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 result" sheetId="1" r:id="rId5"/>
    <sheet state="visible" name="Pivot Table 1" sheetId="2" r:id="rId6"/>
    <sheet state="visible" name="Aggregation" sheetId="3" r:id="rId7"/>
    <sheet state="visible" name="Context" sheetId="4" r:id="rId8"/>
    <sheet state="visible" name="Partner List" sheetId="5" r:id="rId9"/>
    <sheet state="visible" name="Business Plan Setup and Accepta" sheetId="6" r:id="rId10"/>
    <sheet state="visible" name="Sales IN Revenues vs Sales targ" sheetId="7" r:id="rId11"/>
    <sheet state="visible" name="Quarterly Pipeline vs Target Pi" sheetId="8" r:id="rId12"/>
    <sheet state="visible" name="Certifications achievements vs " sheetId="9" r:id="rId13"/>
    <sheet state="visible" name="Marketing Plan (extract summary" sheetId="10" r:id="rId14"/>
    <sheet state="visible" name="Communications - Solution Speci" sheetId="11" r:id="rId15"/>
    <sheet state="visible" name="Networking - Solution Specializ" sheetId="12" r:id="rId16"/>
  </sheets>
  <definedNames>
    <definedName hidden="1" localSheetId="4" name="_xlnm._FilterDatabase">'Partner List'!$A$1:$X$2109</definedName>
  </definedNames>
  <calcPr/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tc={286e7f11-5c30-4a43-b063-8799bdc19482}</author>
    <author>tc={da65685c-ea61-4b18-9b11-5c34ae7a2325}</author>
  </authors>
  <commentList>
    <comment authorId="0" xr:uid="{286e7f11-5c30-4a43-b063-8799bdc194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Filtered on non-empty
</t>
      </text>
    </comment>
    <comment authorId="1" xr:uid="{da65685c-ea61-4b18-9b11-5c34ae7a232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Prompt: https://docs.google.com/document/d/1AjvFhjoaYAHEQbmulJkQR8hLtARXcLbqczqjT8QYlPw/edit?tab=t.r6jn89kjflyl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tc={d3028d88-460a-4a40-9aac-3b472a50a658}</author>
  </authors>
  <commentList>
    <comment authorId="0" xr:uid="{d3028d88-460a-4a40-9aac-3b472a50a658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Variables are based on the context sheet
</t>
      </text>
    </comment>
  </commentList>
</comments>
</file>

<file path=xl/sharedStrings.xml><?xml version="1.0" encoding="utf-8"?>
<sst xmlns="http://schemas.openxmlformats.org/spreadsheetml/2006/main" count="70986" uniqueCount="7177">
  <si>
    <t xml:space="preserve"> </t>
  </si>
  <si>
    <t>Region</t>
  </si>
  <si>
    <t>SUM of Sales IN Revenues vs Sales target - Result</t>
  </si>
  <si>
    <t>SUM of Sales IN Revenues vs Sales target - Target</t>
  </si>
  <si>
    <t>Sales Revenue Achievement</t>
  </si>
  <si>
    <t>SUM of Marketing Plan (extract summary from SF) - Result</t>
  </si>
  <si>
    <t>SUM of Marketing Plan (extract summary from SF) - Target</t>
  </si>
  <si>
    <t>Marketing Plan Achievement</t>
  </si>
  <si>
    <t>SUM of Quarterly Pipeline vs Target Pipeline - Result - 2025 Total</t>
  </si>
  <si>
    <t>SUM of Quarterly Pipeline vs Target Pipeline - Result - 2026 Total</t>
  </si>
  <si>
    <t>Total Pipeline 2025 + 2026</t>
  </si>
  <si>
    <t>Business Plan Acceptance Rate (only "Premium" and "Expert 1000" partners)</t>
  </si>
  <si>
    <t>Certifications Achievement (only "Premium" and "Expert 1000" partners)</t>
  </si>
  <si>
    <t>Communication Certifications Achievement (only "Premium" and "Expert 1000" partners)</t>
  </si>
  <si>
    <t>Networking Certifications Achievement (only "Premium" and "Expert 1000" partners)</t>
  </si>
  <si>
    <t>americas</t>
  </si>
  <si>
    <t>emea</t>
  </si>
  <si>
    <t>germany</t>
  </si>
  <si>
    <t>Account ID</t>
  </si>
  <si>
    <t>Partner name</t>
  </si>
  <si>
    <t>CSM</t>
  </si>
  <si>
    <t>Country</t>
  </si>
  <si>
    <t>Partner Segment</t>
  </si>
  <si>
    <t>Business Plan Setup and Acceptance - Result</t>
  </si>
  <si>
    <t>Business Plan Setup and Acceptance - Target</t>
  </si>
  <si>
    <t>Business Plan Setup and Acceptance - Achievement</t>
  </si>
  <si>
    <t>Sales IN Revenues vs Sales target - Result</t>
  </si>
  <si>
    <t>Sales IN Revenues vs Sales target - Target</t>
  </si>
  <si>
    <t>Sales IN Revenues vs Sales target - Achievement</t>
  </si>
  <si>
    <t>Certifications achievements vs recommended - Result</t>
  </si>
  <si>
    <t>Certifications achievements vs recommended - Target</t>
  </si>
  <si>
    <t>Certifications achievements vs recommended - Achievement</t>
  </si>
  <si>
    <t>Communications - Certifications achievements vs recommended - Result</t>
  </si>
  <si>
    <t>Communications - Certifications achievements vs recommended - Achievement</t>
  </si>
  <si>
    <t>Networking - Certifications achievements vs recommended - Result</t>
  </si>
  <si>
    <t>Networking - Certifications achievements vs recommended - Achievement</t>
  </si>
  <si>
    <t>Marketing Plan (extract summary from SF) - Result</t>
  </si>
  <si>
    <t>Marketing Plan (extract summary from SF) - Target</t>
  </si>
  <si>
    <t>Marketing Plan (extract summary from SF) - Achievement</t>
  </si>
  <si>
    <t>Quarterly Pipeline vs Target Pipeline - Result - Q1</t>
  </si>
  <si>
    <t>Quarterly Pipeline vs Target Pipeline - Target - Q1</t>
  </si>
  <si>
    <t>Quarterly Pipeline vs Target Pipeline - Achievement - Q1</t>
  </si>
  <si>
    <t>Quarterly Pipeline vs Target Pipeline - Result - Q2</t>
  </si>
  <si>
    <t>Quarterly Pipeline vs Target Pipeline - Target - Q2</t>
  </si>
  <si>
    <t>Quarterly Pipeline vs Target Pipeline - Achievement - Q2</t>
  </si>
  <si>
    <t>Quarterly Pipeline vs Target Pipeline - Result - Q3</t>
  </si>
  <si>
    <t>Quarterly Pipeline vs Target Pipeline - Target - Q3</t>
  </si>
  <si>
    <t>Quarterly Pipeline vs Target Pipeline - Achievement - Q3</t>
  </si>
  <si>
    <t>Quarterly Pipeline vs Target Pipeline - Result - Q4</t>
  </si>
  <si>
    <t>Quarterly Pipeline vs Target Pipeline - Target - Q4</t>
  </si>
  <si>
    <t>Quarterly Pipeline vs Target Pipeline - Achievement - Q4</t>
  </si>
  <si>
    <t>Quarterly Pipeline vs Target Pipeline - Result - 2025 Total</t>
  </si>
  <si>
    <t>Quarterly Pipeline vs Target Pipeline - Target - 2025 Total</t>
  </si>
  <si>
    <t>Quarterly Pipeline vs Target Pipeline - Achievement - 2025 Total</t>
  </si>
  <si>
    <t>Quarterly Pipeline vs Target Pipeline - Result - Q1 2026</t>
  </si>
  <si>
    <t>Quarterly Pipeline vs Target Pipeline - Target - Q1 2026</t>
  </si>
  <si>
    <t>Quarterly Pipeline vs Target Pipeline - Achievement - Q1 2026</t>
  </si>
  <si>
    <t>Quarterly Pipeline vs Target Pipeline - Result - Q2 2026</t>
  </si>
  <si>
    <t>Quarterly Pipeline vs Target Pipeline - Target - Q2 2026</t>
  </si>
  <si>
    <t>Quarterly Pipeline vs Target Pipeline - Achievement - Q2 2026</t>
  </si>
  <si>
    <t>Quarterly Pipeline vs Target Pipeline - Result - Q3 2026</t>
  </si>
  <si>
    <t>Quarterly Pipeline vs Target Pipeline - Target - Q3 2026</t>
  </si>
  <si>
    <t>Quarterly Pipeline vs Target Pipeline - Achievement - Q3 2026</t>
  </si>
  <si>
    <t>Quarterly Pipeline vs Target Pipeline - Result - Q4 2026</t>
  </si>
  <si>
    <t>Quarterly Pipeline vs Target Pipeline - Target - Q4 2026</t>
  </si>
  <si>
    <t>Quarterly Pipeline vs Target Pipeline - Achievement - Q4 2026</t>
  </si>
  <si>
    <t>Quarterly Pipeline vs Target Pipeline - Result - 2026 Total</t>
  </si>
  <si>
    <t>Quarterly Pipeline vs Target Pipeline - Target - 2026 Total</t>
  </si>
  <si>
    <t>Business Plan Setup and Acceptance</t>
  </si>
  <si>
    <t>Sales IN Revenues vs Sales target</t>
  </si>
  <si>
    <t>Quarterly Pipeline vs Target Pipeline</t>
  </si>
  <si>
    <t>Certifications achievements vs recommended</t>
  </si>
  <si>
    <t>Marketing Plan (extract summary from SF)</t>
  </si>
  <si>
    <t>OKRs</t>
  </si>
  <si>
    <t>Sum of Certifications</t>
  </si>
  <si>
    <t>Marketing plan</t>
  </si>
  <si>
    <t>Recipients</t>
  </si>
  <si>
    <t>Juergen Reintjes</t>
  </si>
  <si>
    <t>juergen.reintjes@al-enterprise.com</t>
  </si>
  <si>
    <t>Germany</t>
  </si>
  <si>
    <t>Marcos Rodrigues</t>
  </si>
  <si>
    <t>marcos.rodriguez@al-enterprise.com</t>
  </si>
  <si>
    <t>Spain</t>
  </si>
  <si>
    <t>Michael-J Francis</t>
  </si>
  <si>
    <t>michael-j.francis@al-enterprise.com</t>
  </si>
  <si>
    <t>AMERICAS</t>
  </si>
  <si>
    <t>Country code</t>
  </si>
  <si>
    <t>ES</t>
  </si>
  <si>
    <t>DE</t>
  </si>
  <si>
    <t>Americas</t>
  </si>
  <si>
    <t>AR</t>
  </si>
  <si>
    <t>BM</t>
  </si>
  <si>
    <t>BO</t>
  </si>
  <si>
    <t>BR</t>
  </si>
  <si>
    <t>CA</t>
  </si>
  <si>
    <t>CL</t>
  </si>
  <si>
    <t>CO</t>
  </si>
  <si>
    <t>CR</t>
  </si>
  <si>
    <t>EC</t>
  </si>
  <si>
    <t>GT</t>
  </si>
  <si>
    <t>MX</t>
  </si>
  <si>
    <t>PA</t>
  </si>
  <si>
    <t>PE</t>
  </si>
  <si>
    <t>PY</t>
  </si>
  <si>
    <t>SV</t>
  </si>
  <si>
    <t>US</t>
  </si>
  <si>
    <t>UY</t>
  </si>
  <si>
    <t>VE</t>
  </si>
  <si>
    <t>ACCOUNT::ID</t>
  </si>
  <si>
    <t>ACCOUNT::NAME</t>
  </si>
  <si>
    <t>ACCOUNT::AM</t>
  </si>
  <si>
    <t>ACCOUNT::PARENT</t>
  </si>
  <si>
    <t>ACCOUNT::ACCOUNTNAME</t>
  </si>
  <si>
    <t>ACCOUNT::TM_ACCCOUNTRYREGION</t>
  </si>
  <si>
    <t>ACCOUNT::TM_ACCCOUNTRYSUBREGION</t>
  </si>
  <si>
    <t>ACCOUNT::CRD_ID</t>
  </si>
  <si>
    <t>ACCOUNT::COUNTRY</t>
  </si>
  <si>
    <t>ACCOUNT::REPORTING_CATEGORY</t>
  </si>
  <si>
    <t>ACCOUNT::PARTNER_TYPE</t>
  </si>
  <si>
    <t>ACCOUNT::SALES_TERRITORY</t>
  </si>
  <si>
    <t>ACCOUNT::PRODUCT_SOLUTION</t>
  </si>
  <si>
    <t>ACCOUNT::ACCREDITATION_PARTNER_LEVEL</t>
  </si>
  <si>
    <t>ACCOUNT::COMPANY_ENTITY</t>
  </si>
  <si>
    <t>ACCOUNT::SALESFORCE_NAME</t>
  </si>
  <si>
    <t>ACCOUNT::CSN_CRD_TEXT_FIELD</t>
  </si>
  <si>
    <t>ACCOUNT::SALESFORCE_ID</t>
  </si>
  <si>
    <t>ACCOUNT::CRD_COMPANY</t>
  </si>
  <si>
    <t>ACCOUNT::GESDP_STATUS</t>
  </si>
  <si>
    <t>ACCOUNT::START_DATE_OF_COLLABORATION</t>
  </si>
  <si>
    <t>ACCOUNT::PERFORMANCE_INCENTIVE_2023</t>
  </si>
  <si>
    <t>ACCOUNT::STRATEGIC_PARTNER</t>
  </si>
  <si>
    <t>ACCOUNT::ORIGIN</t>
  </si>
  <si>
    <t>67eff1ff22947812f40fa354</t>
  </si>
  <si>
    <t>ISTC de Mexico</t>
  </si>
  <si>
    <t>philippe.girard@al-enterprise.com, rui.silva@al-enterprise.com, joaquin.flores@al-enterprise.com</t>
  </si>
  <si>
    <t>cala</t>
  </si>
  <si>
    <t>distributor</t>
  </si>
  <si>
    <t>001SZ000007dUS9YAM</t>
  </si>
  <si>
    <t>active</t>
  </si>
  <si>
    <t>65f1c0a04b86f221530d41c2</t>
  </si>
  <si>
    <t>Serverli Inc</t>
  </si>
  <si>
    <t>rui.silva@al-enterprise.com, michael-j.francis@al-enterprise.com, luigy.estevanell@al-enterprise.com</t>
  </si>
  <si>
    <t>usa</t>
  </si>
  <si>
    <t>indirect_reseller</t>
  </si>
  <si>
    <t>headquarter</t>
  </si>
  <si>
    <t>001SZ000001dPvdYAE</t>
  </si>
  <si>
    <t>expert_200</t>
  </si>
  <si>
    <t>63fcbb88a107c871cf565993</t>
  </si>
  <si>
    <t>1913SAS</t>
  </si>
  <si>
    <t>caroline.maugere@al-enterprise.com</t>
  </si>
  <si>
    <t>france</t>
  </si>
  <si>
    <t>FR</t>
  </si>
  <si>
    <t>00120000014inBZAAY</t>
  </si>
  <si>
    <t>63ef9d5e384f27260c1badeb</t>
  </si>
  <si>
    <t>2ACOM</t>
  </si>
  <si>
    <t>philippe.girard@al-enterprise.com, dominique.morvan@al-enterprise.com</t>
  </si>
  <si>
    <t>0012000000tvKAtAAM</t>
  </si>
  <si>
    <t>63fcbb9fa107c871cf568307</t>
  </si>
  <si>
    <t>2G2C</t>
  </si>
  <si>
    <t>yohan.caplier@al-enterprise.com</t>
  </si>
  <si>
    <t>00120000014inApAAI</t>
  </si>
  <si>
    <t>63fcbb9ca107c871cf567e29</t>
  </si>
  <si>
    <t>2L COMMUNICATIONS</t>
  </si>
  <si>
    <t>vincent.cazaud@al-enterprise.com</t>
  </si>
  <si>
    <t>0012000000tuSHwAAM</t>
  </si>
  <si>
    <t>63fcbb82a107c871cf564e95</t>
  </si>
  <si>
    <t>2RS-ETN</t>
  </si>
  <si>
    <t>engaged</t>
  </si>
  <si>
    <t>0012000000eAYZwAAO</t>
  </si>
  <si>
    <t>63fcbb9ea107c871cf568101</t>
  </si>
  <si>
    <t>2SI SYSTEMES</t>
  </si>
  <si>
    <t>0012000000eAZcBAAW</t>
  </si>
  <si>
    <t>63fcbb97a107c871cf5675f5</t>
  </si>
  <si>
    <t>2TC TECHNOLOGIES</t>
  </si>
  <si>
    <t>nicolas.juste@al-enterprise.com</t>
  </si>
  <si>
    <t>0012000000eAYJyAAO</t>
  </si>
  <si>
    <t>63fcbb8aa107c871cf565d59</t>
  </si>
  <si>
    <t>3 ITECH</t>
  </si>
  <si>
    <t>cecile.allegaert@al-enterprise.com</t>
  </si>
  <si>
    <t>0010J00002AgLRsQAN</t>
  </si>
  <si>
    <t>63fcbb87a107c871cf5657e1</t>
  </si>
  <si>
    <t>3CORP SERVICOS DE TECNOLOGIA LTDA.</t>
  </si>
  <si>
    <t>renato-takashi.yoshizako@al-enterprise.com</t>
  </si>
  <si>
    <t>0015I0000060FCTQA2</t>
  </si>
  <si>
    <t>63ced843c5c820531c268186</t>
  </si>
  <si>
    <t>3CORP TECHNOLOGY INFRAESTRUTURA DE</t>
  </si>
  <si>
    <t>direct_reseller</t>
  </si>
  <si>
    <t>booster</t>
  </si>
  <si>
    <t>0012000000eAYK2AAO</t>
  </si>
  <si>
    <t>PI 2024</t>
  </si>
  <si>
    <t>yes</t>
  </si>
  <si>
    <t>63fcbb95a107c871cf5671cd</t>
  </si>
  <si>
    <t>3D VIDEO SIMULATION</t>
  </si>
  <si>
    <t>jean-pascal.klein@al-enterprise.com</t>
  </si>
  <si>
    <t>0010J00001p4t63QAA</t>
  </si>
  <si>
    <t>63fcbb84a107c871cf565311</t>
  </si>
  <si>
    <t>3S TELECOMS</t>
  </si>
  <si>
    <t>dominique.morvan@al-enterprise.com</t>
  </si>
  <si>
    <t>0012000000tuSEyAAM</t>
  </si>
  <si>
    <t>63ced84cc5c820531c269590</t>
  </si>
  <si>
    <t>3TH MILLENIUM SRL</t>
  </si>
  <si>
    <t>astrid.savorani@al-enterprise.com, andrea.scaietti@al-enterprise.com, alessandra.gasparini@al-enterprise.com</t>
  </si>
  <si>
    <t>europesouth</t>
  </si>
  <si>
    <t>IT</t>
  </si>
  <si>
    <t>0012000000ohXP9AAM</t>
  </si>
  <si>
    <t>63fcbb9fa107c871cf568385</t>
  </si>
  <si>
    <t>4 OFFICE</t>
  </si>
  <si>
    <t>0015I00000Zsyk6QAB</t>
  </si>
  <si>
    <t>63fcbb85a107c871cf56546f</t>
  </si>
  <si>
    <t>4net AG</t>
  </si>
  <si>
    <t>philippe.girard@al-enterprise.com, olivier.ravel@al-enterprise.com, martin.nickel@al-enterprise.com, laurent.paterac@al-enterprise.com, julia.kosok@al-enterprise.com, emma.bardey@al-enterprise.com</t>
  </si>
  <si>
    <t>europenorth</t>
  </si>
  <si>
    <t>CH</t>
  </si>
  <si>
    <t>accelerator</t>
  </si>
  <si>
    <t>0015I00000OghDxQAJ</t>
  </si>
  <si>
    <t>63ef9d55384f27260c1b9fe7</t>
  </si>
  <si>
    <t>8 Telecom Group Ltd</t>
  </si>
  <si>
    <t>peter.choi@al-enterprise.com</t>
  </si>
  <si>
    <t>apac</t>
  </si>
  <si>
    <t>apac_w_o_greater_china</t>
  </si>
  <si>
    <t>HK</t>
  </si>
  <si>
    <t>0012000000eAZpWAAW</t>
  </si>
  <si>
    <t>67a5dc38617ada49240d92c2</t>
  </si>
  <si>
    <t>9 to 5 Computer</t>
  </si>
  <si>
    <t>michael-j.francis@al-enterprise.com, luigy.estevanell@al-enterprise.com</t>
  </si>
  <si>
    <t>0012000001dwRJxAAM</t>
  </si>
  <si>
    <t>63fcbb95a107c871cf567259</t>
  </si>
  <si>
    <t>@TRID</t>
  </si>
  <si>
    <t>0010J00001yujM0QAI</t>
  </si>
  <si>
    <t>6488e1eb863dcd5166276b7b</t>
  </si>
  <si>
    <t>A &amp; R Solutions</t>
  </si>
  <si>
    <t>margret.moyle@al-enterprise.com, charlotte.holtzer@al-enterprise.com</t>
  </si>
  <si>
    <t>0015I00000hsRxrQAE</t>
  </si>
  <si>
    <t>63ced84dc5c820531c2696ad</t>
  </si>
  <si>
    <t>A Plus Technology &amp; Security</t>
  </si>
  <si>
    <t>brendan.flaherty@al-enterprise.com</t>
  </si>
  <si>
    <t>0012000000mxtjSAAQ</t>
  </si>
  <si>
    <t>66a75f819d5f4ed144040ad2</t>
  </si>
  <si>
    <t>A&amp;O TEC GmbH</t>
  </si>
  <si>
    <t>thomas.ullmann@al-enterprise.com, andreas.grossheimann@al-enterprise.com</t>
  </si>
  <si>
    <t>001SZ000003NJxtYAG</t>
  </si>
  <si>
    <t>63ea6e9452ad6968805ced03</t>
  </si>
  <si>
    <t>A+G connect GmbH</t>
  </si>
  <si>
    <t>andreas.grossheimann@al-enterprise.com</t>
  </si>
  <si>
    <t>smb_communication_platforms</t>
  </si>
  <si>
    <t>0012000000ljUkpAAE</t>
  </si>
  <si>
    <t>63ef9d5a384f27260c1ba76b</t>
  </si>
  <si>
    <t>A. Lehmann Elektro AG</t>
  </si>
  <si>
    <t>martin.nickel@al-enterprise.com, laurent.paterac@al-enterprise.com, emma.bardey@al-enterprise.com</t>
  </si>
  <si>
    <t>0012000000tuSCXAA2</t>
  </si>
  <si>
    <t>63fcbb83a107c871cf564ff3</t>
  </si>
  <si>
    <t>A.N.A. COMMUNICATION SERVICES</t>
  </si>
  <si>
    <t>laurent.paterac@al-enterprise.com, yankel.ayash@al-enterprise.com</t>
  </si>
  <si>
    <t>IL</t>
  </si>
  <si>
    <t>0012000000ohXUjAAM</t>
  </si>
  <si>
    <t>63ef9d62384f27260c1bb551</t>
  </si>
  <si>
    <t>A1 ICT Services GmbH</t>
  </si>
  <si>
    <t>laurent.paterac@al-enterprise.com, sabine.glanz@al-enterprise.com, irina.zotova@al-enterprise.com</t>
  </si>
  <si>
    <t>AT</t>
  </si>
  <si>
    <t>0012000000eAYn7AAG</t>
  </si>
  <si>
    <t>PI 2023</t>
  </si>
  <si>
    <t>expert_1000</t>
  </si>
  <si>
    <t>63ced844c5c820531c268555</t>
  </si>
  <si>
    <t>A1 Telekom Austria AG</t>
  </si>
  <si>
    <t>sabine.glanz@al-enterprise.com, kurt.glatz@al-enterprise.com, irina.zotova@al-enterprise.com</t>
  </si>
  <si>
    <t>0012000000eAZ9cAAG</t>
  </si>
  <si>
    <t>63ced84ac5c820531c26912b</t>
  </si>
  <si>
    <t>A1 Telekom Austria AG - VAD</t>
  </si>
  <si>
    <t>laurent.paterac@al-enterprise.com, sabine.glanz@al-enterprise.com, kurt.glatz@al-enterprise.com</t>
  </si>
  <si>
    <t>0015I00000fJqYVQA0</t>
  </si>
  <si>
    <t>63fcbb8ba107c871cf56605b</t>
  </si>
  <si>
    <t>A2S TELECOM</t>
  </si>
  <si>
    <t>david.gremaud@al-enterprise.com</t>
  </si>
  <si>
    <t>001200000139vVDAAY</t>
  </si>
  <si>
    <t>63fcbb9aa107c871cf5679e5</t>
  </si>
  <si>
    <t>A2S&amp;CO</t>
  </si>
  <si>
    <t>0010J00002BWujBQAT</t>
  </si>
  <si>
    <t>63fcbb8ca107c871cf5661d5</t>
  </si>
  <si>
    <t>A3 TELECOM</t>
  </si>
  <si>
    <t>0012000000tuSFEAA2</t>
  </si>
  <si>
    <t>63fcbb9ba107c871cf567caf</t>
  </si>
  <si>
    <t>A5 NUMERIQUE</t>
  </si>
  <si>
    <t>0015I00000OgaWzQAJ</t>
  </si>
  <si>
    <t>63ef9d58384f27260c1ba49b</t>
  </si>
  <si>
    <t>AAA Solar Electric, Inc.</t>
  </si>
  <si>
    <t>gene.hawks@al-enterprise.com, bill.rademacher@al-enterprise.com</t>
  </si>
  <si>
    <t>00120000010Y2G1AAK</t>
  </si>
  <si>
    <t>63fcbb93a107c871cf566d51</t>
  </si>
  <si>
    <t>AB COM SERVICES</t>
  </si>
  <si>
    <t>iellis.zaamcha@al-enterprise.com</t>
  </si>
  <si>
    <t>0010J00001nsIABQA2</t>
  </si>
  <si>
    <t>63fcbb9ca107c871cf567edf</t>
  </si>
  <si>
    <t>AB TELECOM ASSISTECH</t>
  </si>
  <si>
    <t>0010J00001pTvzLQAS</t>
  </si>
  <si>
    <t>63fcbb92a107c871cf566cd3</t>
  </si>
  <si>
    <t>AB TELECOM SUD</t>
  </si>
  <si>
    <t>0015I00000BlGsaQAF</t>
  </si>
  <si>
    <t>63fcbb95a107c871cf567187</t>
  </si>
  <si>
    <t>ABC COM</t>
  </si>
  <si>
    <t>0010J00001kQZRzQAO</t>
  </si>
  <si>
    <t>63fcbb8aa107c871cf565d75</t>
  </si>
  <si>
    <t>ABC COMMUNICATION</t>
  </si>
  <si>
    <t>0010J00001mmDKuQAM</t>
  </si>
  <si>
    <t>63fcbb9aa107c871cf567a7f</t>
  </si>
  <si>
    <t>0012000000eAZEtAAO</t>
  </si>
  <si>
    <t>63fcbb96a107c871cf5672c9</t>
  </si>
  <si>
    <t>ABC TELEPHONIE</t>
  </si>
  <si>
    <t>0012000000eAYKWAA4</t>
  </si>
  <si>
    <t>63ef9d5c384f27260c1baae5</t>
  </si>
  <si>
    <t>ABERIA TELECOMMUNICATIONS</t>
  </si>
  <si>
    <t>0012000000eAYKXAA4</t>
  </si>
  <si>
    <t>63ced844c5c820531c2684bf</t>
  </si>
  <si>
    <t>Ability Systems Co., Ltd.</t>
  </si>
  <si>
    <t>songhee.nam@al-enterprise.com, chunshik.shin@al-enterprise.com, jaeho.kim@al-enterprise.com</t>
  </si>
  <si>
    <t>KR</t>
  </si>
  <si>
    <t>0012000000mxJ1VAAU</t>
  </si>
  <si>
    <t>6299fef42acbb9510b5e178a</t>
  </si>
  <si>
    <t>abl social federation GmbH</t>
  </si>
  <si>
    <t>olivier.ravel@al-enterprise.com, rui.silva@al-enterprise.com, thomas.ullmann@al-enterprise.com, andreas.grossheimann@al-enterprise.com, katrin.pfeiffer@al-enterprise.com, sibylle.klopfer@al-enterprise.com, igor.leko@al-enterprise.com, daniel.scheidl@al-enterprise.com, hakan.adiguezel@al-enterprise.com</t>
  </si>
  <si>
    <t>lan_network, wlan_network</t>
  </si>
  <si>
    <t>0015I00000ZvwLNQAZ</t>
  </si>
  <si>
    <t>63ced844c5c820531c268474</t>
  </si>
  <si>
    <t>ABLECOM</t>
  </si>
  <si>
    <t>0012000000eAYKYAA4</t>
  </si>
  <si>
    <t>63ef9d56384f27260c1ba1ed</t>
  </si>
  <si>
    <t>ABS India Private Limited</t>
  </si>
  <si>
    <t>prasath-l.rao@al-enterprise.com, sujit.shetty@al-enterprise.com</t>
  </si>
  <si>
    <t>eeimea</t>
  </si>
  <si>
    <t>india</t>
  </si>
  <si>
    <t>IN</t>
  </si>
  <si>
    <t>0012000000ohXMKAA2</t>
  </si>
  <si>
    <t>63ced843c5c820531c268267</t>
  </si>
  <si>
    <t>ABS INDIA PVT LTD</t>
  </si>
  <si>
    <t>philippe.girard@al-enterprise.com, rahul.sharma1@al-enterprise.com, prasath-l.rao@al-enterprise.com, sujit.shetty@al-enterprise.com</t>
  </si>
  <si>
    <t>0012000000myZmYAAU</t>
  </si>
  <si>
    <t>63ced844c5c820531c26841a</t>
  </si>
  <si>
    <t>ABS TELECOM INC</t>
  </si>
  <si>
    <t>TW</t>
  </si>
  <si>
    <t>0012000000eAYKbAAO</t>
  </si>
  <si>
    <t>63fcbb9fa107c871cf56835b</t>
  </si>
  <si>
    <t>Absolu Telecom Entreprise</t>
  </si>
  <si>
    <t>0012000001ehI0VAAU</t>
  </si>
  <si>
    <t>63fcbb8ba107c871cf56604d</t>
  </si>
  <si>
    <t>ABTEL</t>
  </si>
  <si>
    <t>0012000000zWIPKAA4</t>
  </si>
  <si>
    <t>63fcbb7ea107c871cf564741</t>
  </si>
  <si>
    <t>ABX Telecom Ltda</t>
  </si>
  <si>
    <t>gabriel.pires@al-enterprise.com</t>
  </si>
  <si>
    <t>00120000013qYTGAA2</t>
  </si>
  <si>
    <t>63fcbb93a107c871cf566d6d</t>
  </si>
  <si>
    <t>ABYSS COMMUNICATIONS</t>
  </si>
  <si>
    <t>0012000000eAYKeAAO</t>
  </si>
  <si>
    <t>63ced84ac5c820531c26913a</t>
  </si>
  <si>
    <t>ACA Pacific Group CO., Ltd</t>
  </si>
  <si>
    <t>somyos.udomnilobon@al-enterprise.com</t>
  </si>
  <si>
    <t>TH</t>
  </si>
  <si>
    <t>0010J00001kRzSMQA0</t>
  </si>
  <si>
    <t>63ced84ac5c820531c26901d</t>
  </si>
  <si>
    <t>ACA Pacific Pty Ltd</t>
  </si>
  <si>
    <t>maud.holvast@al-enterprise.com, gosia.lee@al-enterprise.com</t>
  </si>
  <si>
    <t>AU</t>
  </si>
  <si>
    <t>0010J00001kRzSOQA0</t>
  </si>
  <si>
    <t>63ced84ac5c820531c2691df</t>
  </si>
  <si>
    <t>ACA Pacific Technology (M) SDN BHD</t>
  </si>
  <si>
    <t>david-cy.lee@al-enterprise.com</t>
  </si>
  <si>
    <t>MY</t>
  </si>
  <si>
    <t>0010J00001kRzSLQA0</t>
  </si>
  <si>
    <t>63ced849c5c820531c268f4b</t>
  </si>
  <si>
    <t>ACA Pacific Technology(S)PteLimited</t>
  </si>
  <si>
    <t>terry.daniel@al-enterprise.com</t>
  </si>
  <si>
    <t>SG</t>
  </si>
  <si>
    <t>0010J00001kRzSQQA0</t>
  </si>
  <si>
    <t>distributor_1000</t>
  </si>
  <si>
    <t>63fcbb92a107c871cf566bbb</t>
  </si>
  <si>
    <t>ACABIS</t>
  </si>
  <si>
    <t>0012000000tvKEtAAM</t>
  </si>
  <si>
    <t>63fcbb9ca107c871cf567ea7</t>
  </si>
  <si>
    <t>Access Bureautique</t>
  </si>
  <si>
    <t>0015I00000SJWXqQAP</t>
  </si>
  <si>
    <t>63fcbb9da107c871cf568013</t>
  </si>
  <si>
    <t>Access Phoning</t>
  </si>
  <si>
    <t>0015I00000SJKoDQAX</t>
  </si>
  <si>
    <t>63ced84dc5c820531c269653</t>
  </si>
  <si>
    <t>Access Technologies &amp; Services LLC</t>
  </si>
  <si>
    <t>najeh.khalil@al-enterprise.com, claudia.fortan@al-enterprise.com, ahmed.hamzawy@al-enterprise.com</t>
  </si>
  <si>
    <t>mea</t>
  </si>
  <si>
    <t>OM</t>
  </si>
  <si>
    <t>0012000001CcFO1AAN</t>
  </si>
  <si>
    <t>terminated</t>
  </si>
  <si>
    <t>63fcbb9ca107c871cf567d8f</t>
  </si>
  <si>
    <t>ACCESSCOM</t>
  </si>
  <si>
    <t>0010J00001lYaP6QAK</t>
  </si>
  <si>
    <t>63fcbb81a107c871cf564c49</t>
  </si>
  <si>
    <t>ACG LLC</t>
  </si>
  <si>
    <t>alena.charnaokaya@al-enterprise.com</t>
  </si>
  <si>
    <t>emerging_europe</t>
  </si>
  <si>
    <t>RU</t>
  </si>
  <si>
    <t>0010J000029PRaMQAW</t>
  </si>
  <si>
    <t>63fcbb91a107c871cf566b75</t>
  </si>
  <si>
    <t>ACOM</t>
  </si>
  <si>
    <t>0012000000ohXUAAA2</t>
  </si>
  <si>
    <t>63fcbb84a107c871cf5652f5</t>
  </si>
  <si>
    <t>ACOR TELECOMS OUEST</t>
  </si>
  <si>
    <t>0012000001V9PTuAAN</t>
  </si>
  <si>
    <t>63fcbb82a107c871cf564f2f</t>
  </si>
  <si>
    <t>ACRT</t>
  </si>
  <si>
    <t>0012000000tuSD2AAM</t>
  </si>
  <si>
    <t>63fcbb87a107c871cf56586d</t>
  </si>
  <si>
    <t>ACS2I</t>
  </si>
  <si>
    <t>0010J00001kswgVQAQ</t>
  </si>
  <si>
    <t>63fcbb89a107c871cf565b37</t>
  </si>
  <si>
    <t>ACSE TECHNOLOGIE</t>
  </si>
  <si>
    <t>0012000000eAYKoAAO</t>
  </si>
  <si>
    <t>63fcbb83a107c871cf565119</t>
  </si>
  <si>
    <t>ACSIT - IMS</t>
  </si>
  <si>
    <t>0012000000mxIujAAE</t>
  </si>
  <si>
    <t>63fcbb85a107c871cf56541b</t>
  </si>
  <si>
    <t>ACTEIS</t>
  </si>
  <si>
    <t>0012000000tuSHTAA2</t>
  </si>
  <si>
    <t>63fcbb9ea107c871cf5680e5</t>
  </si>
  <si>
    <t>Actemium Cherbourg</t>
  </si>
  <si>
    <t>0012000000eAYSYAA4</t>
  </si>
  <si>
    <t>63fcbb96a107c871cf567339</t>
  </si>
  <si>
    <t>ACTI PHONE SERVICE</t>
  </si>
  <si>
    <t>0012000000eAZfMAAW</t>
  </si>
  <si>
    <t>63fcbb94a107c871cf566fc7</t>
  </si>
  <si>
    <t>ACTICOM</t>
  </si>
  <si>
    <t>0012000000ohXSGAA2</t>
  </si>
  <si>
    <t>63fcbb82a107c871cf564f59</t>
  </si>
  <si>
    <t>ACTION TELECOM</t>
  </si>
  <si>
    <t>0012000000tuSE2AAM</t>
  </si>
  <si>
    <t>63fcbb89a107c871cf565c25</t>
  </si>
  <si>
    <t>Activ lead</t>
  </si>
  <si>
    <t>0015I00000Zune6QAB</t>
  </si>
  <si>
    <t>63ef9d5a384f27260c1ba78b</t>
  </si>
  <si>
    <t>activeLAN Solutions GmbH</t>
  </si>
  <si>
    <t>martin.nickel@al-enterprise.com, laurent.paterac@al-enterprise.com, ralph.huerlimann@al-enterprise.com, emma.bardey@al-enterprise.com</t>
  </si>
  <si>
    <t>0012000000yhiOoAAI</t>
  </si>
  <si>
    <t>63fcbb8ba107c871cf565ff9</t>
  </si>
  <si>
    <t>ACTUA TECHNOLOGIE</t>
  </si>
  <si>
    <t>0012000000eAZgDAAW</t>
  </si>
  <si>
    <t>63fcbb95a107c871cf56716b</t>
  </si>
  <si>
    <t>ACTUACOM</t>
  </si>
  <si>
    <t>0012000000tvKB8AAM</t>
  </si>
  <si>
    <t>63ef9d5f384f27260c1bb00d</t>
  </si>
  <si>
    <t>ACUNTIA, S.A.</t>
  </si>
  <si>
    <t>mario.madrid-bustos@al-enterprise.com, astrid.savorani@al-enterprise.com, marcos.rodriguez@al-enterprise.com</t>
  </si>
  <si>
    <t>0012000000ohXRpAAM</t>
  </si>
  <si>
    <t>63fcbb88a107c871cf565985</t>
  </si>
  <si>
    <t>ADD-ON MULTIMEDIA</t>
  </si>
  <si>
    <t>00120000013qYSeAAM</t>
  </si>
  <si>
    <t>63fcbb9aa107c871cf567b0b</t>
  </si>
  <si>
    <t>ADENIS TELECOM</t>
  </si>
  <si>
    <t>0012000000tuSJWAA2</t>
  </si>
  <si>
    <t>63fcbb85a107c871cf5654a7</t>
  </si>
  <si>
    <t>ADI Communication &amp; Systems LTD</t>
  </si>
  <si>
    <t>0012000001gPOZtAAO</t>
  </si>
  <si>
    <t>63fcbb94a107c871cf566fe3</t>
  </si>
  <si>
    <t>ADIFORCE</t>
  </si>
  <si>
    <t>0012000000tuRwUAAU</t>
  </si>
  <si>
    <t>63fcbb8ca107c871cf566181</t>
  </si>
  <si>
    <t>ADOPTEL</t>
  </si>
  <si>
    <t>0010J00001s2sGdQAI</t>
  </si>
  <si>
    <t>63ced84dc5c820531c2696bc</t>
  </si>
  <si>
    <t>ADVANCE 2000, Inc.</t>
  </si>
  <si>
    <t>brendan.flaherty@al-enterprise.com, michael-j.francis@al-enterprise.com, Steve.roos@al-enterprise.com</t>
  </si>
  <si>
    <t>0012000000eAZCwAAO</t>
  </si>
  <si>
    <t>63ced84cc5c820531c269644</t>
  </si>
  <si>
    <t>Advance IT Solutions LLC</t>
  </si>
  <si>
    <t>0012000000ohXUJAA2</t>
  </si>
  <si>
    <t>63ced84ec5c820531c2699e6</t>
  </si>
  <si>
    <t>Advance Technologies Group</t>
  </si>
  <si>
    <t>001200000153BtKAAU</t>
  </si>
  <si>
    <t>6488e1ea863dcd5166276ac7</t>
  </si>
  <si>
    <t>Advance2000 Canada, Inc</t>
  </si>
  <si>
    <t>0010J00001nDhCEQA0</t>
  </si>
  <si>
    <t>63fcbb86a107c871cf5655a3</t>
  </si>
  <si>
    <t>Advanced Communications</t>
  </si>
  <si>
    <t>paul.pan@al-enterprise.com, gosia.lee@al-enterprise.com</t>
  </si>
  <si>
    <t>0012000000tvKa4AAE</t>
  </si>
  <si>
    <t>63fcbb82a107c871cf564f91</t>
  </si>
  <si>
    <t>Advanced Computer Concepts</t>
  </si>
  <si>
    <t>skleinpe@al-enterprise.com</t>
  </si>
  <si>
    <t>0012000000tvo1BAAQ</t>
  </si>
  <si>
    <t>63ced847c5c820531c268a5f</t>
  </si>
  <si>
    <t>ADVANCED E TECHNOLOGIES AeTECH</t>
  </si>
  <si>
    <t>vassilis.xenakis@al-enterprise.com, najeh.khalil@al-enterprise.com, mourad.el-haddadi@al-enterprise.com, ahmed.hamzawy@al-enterprise.com</t>
  </si>
  <si>
    <t>TN</t>
  </si>
  <si>
    <t>0012000000tvKBFAA2</t>
  </si>
  <si>
    <t>63fcbb7da107c871cf5645ab</t>
  </si>
  <si>
    <t>Advanced IT Consultant</t>
  </si>
  <si>
    <t>najeh.khalil@al-enterprise.com, ahmad.ghulami@al-enterprise.com, ahmed.hamzawy@al-enterprise.com</t>
  </si>
  <si>
    <t>SA</t>
  </si>
  <si>
    <t>0010J000025reRRQAY</t>
  </si>
  <si>
    <t>63ced844c5c820531c2683cf</t>
  </si>
  <si>
    <t>Advanced Network Systems VietNam</t>
  </si>
  <si>
    <t>anthony.cheng@al-enterprise.com</t>
  </si>
  <si>
    <t>VN</t>
  </si>
  <si>
    <t>0012000000mxIuBAAU</t>
  </si>
  <si>
    <t>63ced844c5c820531c268366</t>
  </si>
  <si>
    <t>ADVENTUS SOLUTIONS</t>
  </si>
  <si>
    <t>petri.sollman@al-enterprise.com</t>
  </si>
  <si>
    <t>LV</t>
  </si>
  <si>
    <t>0012000000eAYLJAA4</t>
  </si>
  <si>
    <t>63ced849c5c820531c268f3c</t>
  </si>
  <si>
    <t>AE Connectz Pte Ltd</t>
  </si>
  <si>
    <t>0012000000llA9sAAE</t>
  </si>
  <si>
    <t>63ced843c5c820531c26830c</t>
  </si>
  <si>
    <t>AEBDM S.A</t>
  </si>
  <si>
    <t>vassilis.xenakis@al-enterprise.com, chahid.takafi@al-enterprise.com, ahmed.hamzawy@al-enterprise.com</t>
  </si>
  <si>
    <t>MA</t>
  </si>
  <si>
    <t>0012000000eAYMBAA4</t>
  </si>
  <si>
    <t>63fcbb93a107c871cf566db3</t>
  </si>
  <si>
    <t>AECS</t>
  </si>
  <si>
    <t>0012000000eAYLMAA4</t>
  </si>
  <si>
    <t>63ced846c5c820531c2687da</t>
  </si>
  <si>
    <t>AEK AG</t>
  </si>
  <si>
    <t>laurent.paterac@al-enterprise.com, ralph.huerlimann@al-enterprise.com, emma.bardey@al-enterprise.com</t>
  </si>
  <si>
    <t>0010J00002BUsOvQAL</t>
  </si>
  <si>
    <t>63fcbb81a107c871cf564d61</t>
  </si>
  <si>
    <t>AF TELECOMS SAS</t>
  </si>
  <si>
    <t>0012000001JZwrIAAT</t>
  </si>
  <si>
    <t>63fcbb97a107c871cf567531</t>
  </si>
  <si>
    <t>Afritelec</t>
  </si>
  <si>
    <t>karim.harrouche@al-enterprise.com</t>
  </si>
  <si>
    <t>0010J00001ntj1dQAA</t>
  </si>
  <si>
    <t>Afritélec</t>
  </si>
  <si>
    <t>63fcbb8ca107c871cf56621b</t>
  </si>
  <si>
    <t>AG SERVICES TECHNOLOGIE</t>
  </si>
  <si>
    <t>0012000001M0zZiAAJ</t>
  </si>
  <si>
    <t>63fcbb83a107c871cf56507f</t>
  </si>
  <si>
    <t>AG2T</t>
  </si>
  <si>
    <t>00120000014inAdAAI</t>
  </si>
  <si>
    <t>63fcbb7da107c871cf564557</t>
  </si>
  <si>
    <t>AGAPE ENTERPRISE PTE LTD</t>
  </si>
  <si>
    <t>0012000000eAYLVAA4</t>
  </si>
  <si>
    <t>63fcbb8fa107c871cf5667a1</t>
  </si>
  <si>
    <t>AGENCE LEFEUVE CONSEILS</t>
  </si>
  <si>
    <t>00120000014inBbAAI</t>
  </si>
  <si>
    <t>63fcbb7ea107c871cf564733</t>
  </si>
  <si>
    <t>AGENCE PREMIUM</t>
  </si>
  <si>
    <t>0012000001Sk9FRAAZ</t>
  </si>
  <si>
    <t>63fcbb9ea107c871cf5680c9</t>
  </si>
  <si>
    <t>AGENCE SERVICES INNOVATION</t>
  </si>
  <si>
    <t>0010J00001pUxxzQAC</t>
  </si>
  <si>
    <t>63ced84ac5c820531c2690b3</t>
  </si>
  <si>
    <t>AgiTech Distribution Ltd</t>
  </si>
  <si>
    <t>0010J000028F9ZsQAK</t>
  </si>
  <si>
    <t>63fcbb87a107c871cf565907</t>
  </si>
  <si>
    <t>AGITEL GROUPE</t>
  </si>
  <si>
    <t>0012000000qwkTEAAY</t>
  </si>
  <si>
    <t>67eff15de0c0fe4c300b74f2</t>
  </si>
  <si>
    <t>AGORA SOLUCOES EM TECNOLOGIA DA INFORMACAO E COMUNICACAO S.A(DF)</t>
  </si>
  <si>
    <t>001SZ00000RkclvYAB</t>
  </si>
  <si>
    <t>AGORA SOLUCOES EM TECNOLOGIA DA</t>
  </si>
  <si>
    <t>63fcbb95a107c871cf56714f</t>
  </si>
  <si>
    <t>AGT</t>
  </si>
  <si>
    <t>0012000000eAZDdAAO</t>
  </si>
  <si>
    <t>63fcbb94a107c871cf566ff1</t>
  </si>
  <si>
    <t>AINPHONIE TELECOM</t>
  </si>
  <si>
    <t>0012000000tuS9gAAE</t>
  </si>
  <si>
    <t>63fcbb9ea107c871cf568147</t>
  </si>
  <si>
    <t>AIRE TELECOM</t>
  </si>
  <si>
    <t>0012000000mxIveAAE</t>
  </si>
  <si>
    <t>63fcbb93a107c871cf566e85</t>
  </si>
  <si>
    <t>AIRRIA</t>
  </si>
  <si>
    <t>0010J00001kswgSQAQ</t>
  </si>
  <si>
    <t>63fcbb95a107c871cf567133</t>
  </si>
  <si>
    <t>AITRPRO</t>
  </si>
  <si>
    <t>0015I00000fLoihQAC</t>
  </si>
  <si>
    <t>63fcbb93a107c871cf566df9</t>
  </si>
  <si>
    <t>AIX INTEGRATION TELECOM</t>
  </si>
  <si>
    <t>0012000001JZwrOAAT</t>
  </si>
  <si>
    <t>63fcbb9fa107c871cf5682f9</t>
  </si>
  <si>
    <t>AJ PHONE</t>
  </si>
  <si>
    <t>00120000014inAoAAI</t>
  </si>
  <si>
    <t>63fcbb98a107c871cf56778b</t>
  </si>
  <si>
    <t>AJ TELECOM</t>
  </si>
  <si>
    <t>0012000000tuSGEAA2</t>
  </si>
  <si>
    <t>63fcbb8ea107c871cf566555</t>
  </si>
  <si>
    <t>AJYP INFORMATIQUE</t>
  </si>
  <si>
    <t>0010J000025sMvqQAE</t>
  </si>
  <si>
    <t>63fcbb99a107c871cf567991</t>
  </si>
  <si>
    <t>AKLIA GROUPE</t>
  </si>
  <si>
    <t>0010J00001yxBUqQAM</t>
  </si>
  <si>
    <t>660e9296199d8c22620c1282</t>
  </si>
  <si>
    <t>AKOS</t>
  </si>
  <si>
    <t>rui.silva@al-enterprise.com, dominique.morvan@al-enterprise.com</t>
  </si>
  <si>
    <t>001SZ000006kJlrYAE</t>
  </si>
  <si>
    <t>63fcbb9ca107c871cf567ed1</t>
  </si>
  <si>
    <t>AKTEA</t>
  </si>
  <si>
    <t>0010J00001pTvzKQAS</t>
  </si>
  <si>
    <t>63ced84ac5c820531c269086</t>
  </si>
  <si>
    <t>AL ENTERPRISE RT LTD</t>
  </si>
  <si>
    <t>0012000001egUFEAA2</t>
  </si>
  <si>
    <t>63ced845c5c820531c268618</t>
  </si>
  <si>
    <t>AL FUTTAIM TECHNOLOGIES LLC</t>
  </si>
  <si>
    <t>najeh.khalil@al-enterprise.com, ravin.naidu@al-enterprise.com, rahul.sharma1@al-enterprise.com, purvik.bavishi@al-enterprise.com, ahmed.elbagoury@al-enterprise.com, ahmed.hamzawy@al-enterprise.com</t>
  </si>
  <si>
    <t>AE</t>
  </si>
  <si>
    <t>0012000000eAYLqAAO</t>
  </si>
  <si>
    <t>63ced84dc5c820531c269671</t>
  </si>
  <si>
    <t>Al Nahla Solutions LLC</t>
  </si>
  <si>
    <t>najeh.khalil@al-enterprise.com, madalina.cretu@al-enterprise.com, ahmed.hamzawy@al-enterprise.com</t>
  </si>
  <si>
    <t>0012000001WRp9rAAD</t>
  </si>
  <si>
    <t>63ef9d59384f27260c1ba565</t>
  </si>
  <si>
    <t>Al Rostamani Communications LLC</t>
  </si>
  <si>
    <t>najeh.khalil@al-enterprise.com, ravin.naidu@al-enterprise.com, rahul.sharma1@al-enterprise.com, rohit.menon@al-enterprise.com, purvik.bavishi@al-enterprise.com, ahmed.hamzawy@al-enterprise.com</t>
  </si>
  <si>
    <t>0012000000tuSHGAA2</t>
  </si>
  <si>
    <t>63ced84bc5c820531c269284</t>
  </si>
  <si>
    <t>AL-KHALEEJ AL-AWWAL</t>
  </si>
  <si>
    <t>najeh.khalil@al-enterprise.com, ahmad.ghulami@al-enterprise.com, ahmed.hamzawy@al-enterprise.com, musab.almulla@al-enterprise.com</t>
  </si>
  <si>
    <t>0010J000021LigxQAC</t>
  </si>
  <si>
    <t>Al-Khaleej Al-Awwal Company</t>
  </si>
  <si>
    <t>63fcbb8ca107c871cf56619d</t>
  </si>
  <si>
    <t>ALAMYS</t>
  </si>
  <si>
    <t>0010J000027DL1XQAW</t>
  </si>
  <si>
    <t>63fcbb7fa107c871cf56490f</t>
  </si>
  <si>
    <t>ALANTEL TELECOM</t>
  </si>
  <si>
    <t>0012000000eAZCCAA4</t>
  </si>
  <si>
    <t>63fcbb87a107c871cf565747</t>
  </si>
  <si>
    <t>ALARME MANCHE PROTECTION</t>
  </si>
  <si>
    <t>0010J00001kQZRwQAO</t>
  </si>
  <si>
    <t>63ef9d5c384f27260c1baa5f</t>
  </si>
  <si>
    <t>ALASCOM SRL</t>
  </si>
  <si>
    <t>mauro.buratti@al-enterprise.com, astrid.savorani@al-enterprise.com, andrea.scaietti@al-enterprise.com</t>
  </si>
  <si>
    <t>0012000000ohXU7AAM</t>
  </si>
  <si>
    <t>63ced845c5c820531c268663</t>
  </si>
  <si>
    <t>ALBETA GmbH</t>
  </si>
  <si>
    <t>katrin.pfeiffer@al-enterprise.com, krystian.sokalski@al-enterprise.com, alena.charnaokaya@al-enterprise.com, sibylle.klopfer@al-enterprise.com, igor.leko@al-enterprise.com</t>
  </si>
  <si>
    <t>KZ</t>
  </si>
  <si>
    <t>0012000000eAYLuAAO</t>
  </si>
  <si>
    <t>63ced84ac5c820531c2690e0</t>
  </si>
  <si>
    <t>Alca Enterprise, Corp.</t>
  </si>
  <si>
    <t>jorge.silva@al-enterprise.com</t>
  </si>
  <si>
    <t>00120000019W8wJAAS</t>
  </si>
  <si>
    <t>63ced849c5c820531c268ff0</t>
  </si>
  <si>
    <t>Alcadis BV</t>
  </si>
  <si>
    <t>eelco.hollestelle@al-enterprise.com, jaimy.buiks@al-enterprise.com, frank.van-spanje@al-enterprise.com</t>
  </si>
  <si>
    <t>europenorthwest</t>
  </si>
  <si>
    <t>NL</t>
  </si>
  <si>
    <t>0012000000eAYLwAAO</t>
  </si>
  <si>
    <t>63ced842c5c820531c26813b</t>
  </si>
  <si>
    <t>ALCASYS SLOVAKIA A.S.</t>
  </si>
  <si>
    <t>philippe.girard@al-enterprise.com, miloslav.kapes@al-enterprise.com</t>
  </si>
  <si>
    <t>SK</t>
  </si>
  <si>
    <t>0012000000eAYLzAAO</t>
  </si>
  <si>
    <t>63fcbb83a107c871cf565055</t>
  </si>
  <si>
    <t>ALCETIS</t>
  </si>
  <si>
    <t>0012000000tuSExAAM</t>
  </si>
  <si>
    <t>63ced847c5c820531c268bb8</t>
  </si>
  <si>
    <t>ALCOM-TECH JSC</t>
  </si>
  <si>
    <t>bianca.stoica@al-enterprise.com</t>
  </si>
  <si>
    <t>BG</t>
  </si>
  <si>
    <t>0012000000eAYMjAAO</t>
  </si>
  <si>
    <t>63ced843c5c820531c268168</t>
  </si>
  <si>
    <t>ALCTEL TELECOM</t>
  </si>
  <si>
    <t>0012000000eAYMmAAO</t>
  </si>
  <si>
    <t>63ef9d55384f27260c1ba007</t>
  </si>
  <si>
    <t>ALE (Hong Kong) Limited</t>
  </si>
  <si>
    <t>0012000001SBpN3AAL</t>
  </si>
  <si>
    <t>63ced842c5c820531c268069</t>
  </si>
  <si>
    <t>ALE Argentina S.R.L.</t>
  </si>
  <si>
    <t>carlos.casco@al-enterprise.com</t>
  </si>
  <si>
    <t>0012000000eAYXeAAO</t>
  </si>
  <si>
    <t>63ef9d56384f27260c1ba20d</t>
  </si>
  <si>
    <t>ALE China Co., Ltd (no service)</t>
  </si>
  <si>
    <t>yiping.li@al-enterprise.com</t>
  </si>
  <si>
    <t>greater_china</t>
  </si>
  <si>
    <t>CN</t>
  </si>
  <si>
    <t>0012000000eAYj3AAG</t>
  </si>
  <si>
    <t>63ef9d57384f27260c1ba291</t>
  </si>
  <si>
    <t>ALE China Co., Ltd (with service)</t>
  </si>
  <si>
    <t>guanghao.sun@al-enterprise.com</t>
  </si>
  <si>
    <t>0012000001RbhgiAAB</t>
  </si>
  <si>
    <t>63fcbb8da107c871cf566299</t>
  </si>
  <si>
    <t>ALE International SAS - Canada bran</t>
  </si>
  <si>
    <t>didier.comte@al-enterprise.com</t>
  </si>
  <si>
    <t>0012000001WzOYMAA3</t>
  </si>
  <si>
    <t>63ced848c5c820531c268dc5</t>
  </si>
  <si>
    <t>ALE PS NAR</t>
  </si>
  <si>
    <t>steve.mcglasson@al-enterprise.com</t>
  </si>
  <si>
    <t>0015I00000XUjMAQA1</t>
  </si>
  <si>
    <t>63ced840c5c820531c267d21</t>
  </si>
  <si>
    <t>ALE USA Inc. orders administration</t>
  </si>
  <si>
    <t>brendan.flaherty@al-enterprise.com, luigy.estevanell@al-enterprise.com</t>
  </si>
  <si>
    <t>00120000014in30AAA</t>
  </si>
  <si>
    <t>ALE USA Inc.  orders administration</t>
  </si>
  <si>
    <t>63ced841c5c820531c267e7a</t>
  </si>
  <si>
    <t>00120000014in41AAA</t>
  </si>
  <si>
    <t>63ef9d53384f27260c1b9da3</t>
  </si>
  <si>
    <t>ALEnterprise (Australia) Pty Ltd</t>
  </si>
  <si>
    <t>0012000001SBpN2AAL</t>
  </si>
  <si>
    <t>63fcbb86a107c871cf5655e9</t>
  </si>
  <si>
    <t>Alfa Comercial de Telecomunicacione</t>
  </si>
  <si>
    <t>astrid.savorani@al-enterprise.com, rafael.andreo@al-enterprise.com, esther.alonso@al-enterprise.com, hubert.chapelle@al-enterprise.com, marcos.rodriguez@al-enterprise.com</t>
  </si>
  <si>
    <t>0012000000tvKceAAE</t>
  </si>
  <si>
    <t>63fcbb8ba107c871cf566023</t>
  </si>
  <si>
    <t>ALFACOM</t>
  </si>
  <si>
    <t>0012000000tuS9hAAE</t>
  </si>
  <si>
    <t>63ced84dc5c820531c2696cb</t>
  </si>
  <si>
    <t>Alliance Telecommunications</t>
  </si>
  <si>
    <t>0012000000eAZCyAAO</t>
  </si>
  <si>
    <t>63ced84bc5c820531c269356</t>
  </si>
  <si>
    <t>ALLIANCE-COM</t>
  </si>
  <si>
    <t>jean-christophe.antoine@al-enterprise.com, matthieu.quere@al-enterprise.com, youb.saim@al-enterprise.com</t>
  </si>
  <si>
    <t>0012000000eAYN1AAO</t>
  </si>
  <si>
    <t>63ced84cc5c820531c2694be</t>
  </si>
  <si>
    <t>ALLNET GmbH Computersysteme</t>
  </si>
  <si>
    <t>michael.moog@al-enterprise.com</t>
  </si>
  <si>
    <t>0015I00000T5PBlQAN</t>
  </si>
  <si>
    <t>63ef9d56384f27260c1ba16b</t>
  </si>
  <si>
    <t>ALLOWAY NETWORKS DISTRIBUICAO DE PRODUTOS E SOFTWARE LTDA</t>
  </si>
  <si>
    <t>sinclair.fidelis@al-enterprise.com, renato-takashi.yoshizako@al-enterprise.com</t>
  </si>
  <si>
    <t>0010J000025v8iCQAQ</t>
  </si>
  <si>
    <t>ALLOWAY NETWORKS DISTRIBUICAO</t>
  </si>
  <si>
    <t>63fcbb95a107c871cf567275</t>
  </si>
  <si>
    <t>ALLTECH</t>
  </si>
  <si>
    <t>0010J000020J8pLQAS</t>
  </si>
  <si>
    <t>63ced849c5c820531c268f78</t>
  </si>
  <si>
    <t>Alltron AG</t>
  </si>
  <si>
    <t>0012000000nlOAtAAM</t>
  </si>
  <si>
    <t>63fcbb94a107c871cf566fff</t>
  </si>
  <si>
    <t>ALP'COM</t>
  </si>
  <si>
    <t>0012000000tuS9iAAE</t>
  </si>
  <si>
    <t>63fcbb9ba107c871cf567cbd</t>
  </si>
  <si>
    <t>ALPHA BUSINESS</t>
  </si>
  <si>
    <t>0015I00000QS7KPQA1</t>
  </si>
  <si>
    <t>63fcbb8aa107c871cf565cf7</t>
  </si>
  <si>
    <t>ALPIX IP</t>
  </si>
  <si>
    <t>0012000000tvKexAAE</t>
  </si>
  <si>
    <t>63fcbb86a107c871cf56571d</t>
  </si>
  <si>
    <t>ALRETELECOM</t>
  </si>
  <si>
    <t>0012000001Y1IOsAAN</t>
  </si>
  <si>
    <t>63ced849c5c820531c268f5a</t>
  </si>
  <si>
    <t>ALSO Deutschland GmbH</t>
  </si>
  <si>
    <t>michael.moog@al-enterprise.com, katrin.pfeiffer@al-enterprise.com, sibylle.klopfer@al-enterprise.com, igor.leko@al-enterprise.com</t>
  </si>
  <si>
    <t>0012000000eAYKpAAO</t>
  </si>
  <si>
    <t>6299ff54f5acbb30cc0bd2e7</t>
  </si>
  <si>
    <t>Also France</t>
  </si>
  <si>
    <t>philippe.girard@al-enterprise.com, rui.silva@al-enterprise.com, jean-christophe.antoine@al-enterprise.com, ilan.dayan@al-enterprise.com</t>
  </si>
  <si>
    <t>lan_network, wlan_network, rainbow_office</t>
  </si>
  <si>
    <t>0015I00000XUy14QAD</t>
  </si>
  <si>
    <t>ALSO FRANCE</t>
  </si>
  <si>
    <t>63fcbb88a107c871cf565915</t>
  </si>
  <si>
    <t>ALSOTEL</t>
  </si>
  <si>
    <t>0012000000tuS9jAAE</t>
  </si>
  <si>
    <t>63fcbb97a107c871cf567523</t>
  </si>
  <si>
    <t>ALSTOM TRANSPORT SA</t>
  </si>
  <si>
    <t>joerg.fischer@al-enterprise.com</t>
  </si>
  <si>
    <t>0012000000mxInJAAU</t>
  </si>
  <si>
    <t>63fcbb88a107c871cf56593f</t>
  </si>
  <si>
    <t>ALTEA NETWORKS</t>
  </si>
  <si>
    <t>0012000000tuSFsAAM</t>
  </si>
  <si>
    <t>63fcbb99a107c871cf56792f</t>
  </si>
  <si>
    <t>ALTER-TELECOM</t>
  </si>
  <si>
    <t>0010J00001pS6EfQAK</t>
  </si>
  <si>
    <t>63fcbb9fa107c871cf568369</t>
  </si>
  <si>
    <t>ALTICAP</t>
  </si>
  <si>
    <t>0012000001ic0rCAAQ</t>
  </si>
  <si>
    <t>63ced843c5c820531c2681ef</t>
  </si>
  <si>
    <t>Altron Digital Business</t>
  </si>
  <si>
    <t>najeh.khalil@al-enterprise.com, stevious.moagi@al-enterprise.com, ahmed.hamzawy@al-enterprise.com, craig.taylor@al-enterprise.com</t>
  </si>
  <si>
    <t>ZA</t>
  </si>
  <si>
    <t>00120000015ulXeAAI</t>
  </si>
  <si>
    <t>63ced84ec5c820531c269941</t>
  </si>
  <si>
    <t>ALTVoIP Inc.</t>
  </si>
  <si>
    <t>0012000000vFrTIAA0</t>
  </si>
  <si>
    <t>63ced84ac5c820531c2691c1</t>
  </si>
  <si>
    <t>ALURTENAGA SMB SDN BHD</t>
  </si>
  <si>
    <t>0012000000eAZjOAAW</t>
  </si>
  <si>
    <t>63fcbb93a107c871cf566d43</t>
  </si>
  <si>
    <t>ALVECOM</t>
  </si>
  <si>
    <t>0012000001HphIZAAZ</t>
  </si>
  <si>
    <t>63ef9d61384f27260c1bb38d</t>
  </si>
  <si>
    <t>Always On I.T. (Pty) Ltd</t>
  </si>
  <si>
    <t>najeh.khalil@al-enterprise.com, stevious.moagi@al-enterprise.com, ahmed.hamzawy@al-enterprise.com</t>
  </si>
  <si>
    <t>0015I00000UpESdQAN</t>
  </si>
  <si>
    <t>63fcbb99a107c871cf567895</t>
  </si>
  <si>
    <t>ALXONE TECHNOLOGIES</t>
  </si>
  <si>
    <t>manuel.jouachim@al-enterprise.com</t>
  </si>
  <si>
    <t>0015I000009FySBQA0</t>
  </si>
  <si>
    <t>63fcbb99a107c871cf5678a3</t>
  </si>
  <si>
    <t>AM Consult</t>
  </si>
  <si>
    <t>0015I00000BlhD6QAJ</t>
  </si>
  <si>
    <t>63fcbb80a107c871cf564aa5</t>
  </si>
  <si>
    <t>AMADEUS NETWORK SOLUTION SRL</t>
  </si>
  <si>
    <t>astrid.savorani@al-enterprise.com, andrea.scaietti@al-enterprise.com, marco.volpi@al-enterprise.com</t>
  </si>
  <si>
    <t>00120000014inAGAAY</t>
  </si>
  <si>
    <t>63ef9d5c384f27260c1ba9db</t>
  </si>
  <si>
    <t>AMARIS</t>
  </si>
  <si>
    <t>0010J000021fIGqQAM</t>
  </si>
  <si>
    <t>63ced846c5c820531c2687f8</t>
  </si>
  <si>
    <t>AMBAR TELECOMUNICACIONES SL</t>
  </si>
  <si>
    <t>mario.madrid-bustos@al-enterprise.com, astrid.savorani@al-enterprise.com, marcos.rodriguez@al-enterprise.com, borja.gonzalvez@al-enterprise.com</t>
  </si>
  <si>
    <t>0012000000eAYNOAA4</t>
  </si>
  <si>
    <t>63ced846c5c820531c26887f</t>
  </si>
  <si>
    <t>Amber Information Technology</t>
  </si>
  <si>
    <t>MO</t>
  </si>
  <si>
    <t>0012000001Wwcl7AAB</t>
  </si>
  <si>
    <t>63ced841c5c820531c267da8</t>
  </si>
  <si>
    <t>AMERICAN TECHNOLOGIES INC.</t>
  </si>
  <si>
    <t>frederick.decastro@al-enterprise.com</t>
  </si>
  <si>
    <t>PH</t>
  </si>
  <si>
    <t>0012000001UQs5AAAT</t>
  </si>
  <si>
    <t>63ef9d58384f27260c1ba4bd</t>
  </si>
  <si>
    <t>Americom Communications Corporation</t>
  </si>
  <si>
    <t>gene.hawks@al-enterprise.com, steve.mcglasson@al-enterprise.com, bill.rademacher@al-enterprise.com</t>
  </si>
  <si>
    <t>001200000124q1lAAA</t>
  </si>
  <si>
    <t>63fcbb99a107c871cf567983</t>
  </si>
  <si>
    <t>AMG SYSTEMS</t>
  </si>
  <si>
    <t>0010J00001yuot8QAA</t>
  </si>
  <si>
    <t>63ef9d5f384f27260c1bafad</t>
  </si>
  <si>
    <t>AMILLAN LIMITED</t>
  </si>
  <si>
    <t>neal.humphrey@al-enterprise.com, laurent.paterac@al-enterprise.com, gerry.ohanlon@al-enterprise.com</t>
  </si>
  <si>
    <t>GB</t>
  </si>
  <si>
    <t>0012000000eAYNSAA4</t>
  </si>
  <si>
    <t>63ea6e9552ad6968805ceeb5</t>
  </si>
  <si>
    <t>Andre Wagner T.D.F. Kommunikation</t>
  </si>
  <si>
    <t>andreas.grossheimann@al-enterprise.com, andre.ramm@al-enterprise.com</t>
  </si>
  <si>
    <t>0012000000tuSIOAA2</t>
  </si>
  <si>
    <t>André Wagner T.D.F. Kommunikation</t>
  </si>
  <si>
    <t>63fcbb7ea107c871cf564883</t>
  </si>
  <si>
    <t>Anet Communications</t>
  </si>
  <si>
    <t>0010J00001kQZSBQA4</t>
  </si>
  <si>
    <t>63fcbb90a107c871cf566929</t>
  </si>
  <si>
    <t>Anjou Service Telecom IP</t>
  </si>
  <si>
    <t>0012000001gNKdFAAW</t>
  </si>
  <si>
    <t>63ef9d60384f27260c1bb22d</t>
  </si>
  <si>
    <t>anovis it-services and trading gmbh</t>
  </si>
  <si>
    <t>rui.silva@al-enterprise.com, laurent.paterac@al-enterprise.com, sabine.glanz@al-enterprise.com, kurt.glatz@al-enterprise.com</t>
  </si>
  <si>
    <t>0015I00000fJP7aQAG</t>
  </si>
  <si>
    <t>63fcbb95a107c871cf567213</t>
  </si>
  <si>
    <t>ANS INFORMATIQUE</t>
  </si>
  <si>
    <t>0010J00001vH1loQAC</t>
  </si>
  <si>
    <t>63fcbb7fa107c871cf5648e5</t>
  </si>
  <si>
    <t>ANSWARE S.R.L</t>
  </si>
  <si>
    <t>astrid.savorani@al-enterprise.com, andrea.scaietti@al-enterprise.com, giovanna.montemarano@al-enterprise.com</t>
  </si>
  <si>
    <t>0012000001TB3vZAAT</t>
  </si>
  <si>
    <t>63fcbb90a107c871cf56689d</t>
  </si>
  <si>
    <t>ANT-TEC</t>
  </si>
  <si>
    <t>0012000000ohXN4AAM</t>
  </si>
  <si>
    <t>63fcbb99a107c871cf567967</t>
  </si>
  <si>
    <t>ANTILLES TELEPHONE</t>
  </si>
  <si>
    <t>0010J00001wgQQ0QAM</t>
  </si>
  <si>
    <t>63ef9d5a384f27260c1ba6eb</t>
  </si>
  <si>
    <t>AOC TELECOM</t>
  </si>
  <si>
    <t>jean-pascal.klein@al-enterprise.com, lionel.roquetaillade@al-enterprise.com</t>
  </si>
  <si>
    <t>0012000000tuSKXAA2</t>
  </si>
  <si>
    <t>63fcbb8ca107c871cf5660f5</t>
  </si>
  <si>
    <t>API SOLUTIONS</t>
  </si>
  <si>
    <t>0015I00000X1TniQAF</t>
  </si>
  <si>
    <t>63fcbb8ca107c871cf566173</t>
  </si>
  <si>
    <t>APIXIS</t>
  </si>
  <si>
    <t>0010J00001s2sGZQAY</t>
  </si>
  <si>
    <t>6602d0297d87feb37e063ee2</t>
  </si>
  <si>
    <t>Apleona Austria GmbH</t>
  </si>
  <si>
    <t>001SZ000003nx9CYAQ</t>
  </si>
  <si>
    <t>63ef9d5c384f27260c1baa7f</t>
  </si>
  <si>
    <t>APLICACIONES ELECTRICAS ENE</t>
  </si>
  <si>
    <t>0012000000eAYNlAAO</t>
  </si>
  <si>
    <t>63ea6e9452ad6968805cec5b</t>
  </si>
  <si>
    <t>APM Kommunikations- und</t>
  </si>
  <si>
    <t>andreas.grossheimann@al-enterprise.com, katrin.pfeiffer@al-enterprise.com, sibylle.klopfer@al-enterprise.com, igor.leko@al-enterprise.com</t>
  </si>
  <si>
    <t>0012000000tuSDaAAM</t>
  </si>
  <si>
    <t>63fcbb98a107c871cf567753</t>
  </si>
  <si>
    <t>APO'G</t>
  </si>
  <si>
    <t>0012000000tuSEEAA2</t>
  </si>
  <si>
    <t>63ced843c5c820531c268285</t>
  </si>
  <si>
    <t>Apogee International (Pvt) Limited</t>
  </si>
  <si>
    <t>prasath-l.rao@al-enterprise.com, magimairaj.philip@al-enterprise.com, sujit.shetty@al-enterprise.com</t>
  </si>
  <si>
    <t>LK</t>
  </si>
  <si>
    <t>0012000000zZRJjAAO</t>
  </si>
  <si>
    <t>63fcbb83a107c871cf5651a5</t>
  </si>
  <si>
    <t>APPLIED NETWORKS HELLAS S.A.</t>
  </si>
  <si>
    <t>constantinos.makkas@al-enterprise.com</t>
  </si>
  <si>
    <t>GR</t>
  </si>
  <si>
    <t>0012000000eAYNpAAO</t>
  </si>
  <si>
    <t>63fcbb98a107c871cf56771b</t>
  </si>
  <si>
    <t>apps2com</t>
  </si>
  <si>
    <t>0012000000sD1TZAA0</t>
  </si>
  <si>
    <t>63fcbb92a107c871cf566cc5</t>
  </si>
  <si>
    <t>AQSIO</t>
  </si>
  <si>
    <t>0015I0000083wFQQAY</t>
  </si>
  <si>
    <t>63fcbb95a107c871cf5670ed</t>
  </si>
  <si>
    <t>AR-TIC</t>
  </si>
  <si>
    <t>0012000001bQgfTAAS</t>
  </si>
  <si>
    <t>63fcbb82a107c871cf564f67</t>
  </si>
  <si>
    <t>ARAMIS TELECOM</t>
  </si>
  <si>
    <t>0015I00000G9gS6QAJ</t>
  </si>
  <si>
    <t>63fcbb8fa107c871cf56673f</t>
  </si>
  <si>
    <t>ARANTEL</t>
  </si>
  <si>
    <t>0015I000004AalQQAS</t>
  </si>
  <si>
    <t>63fcbb8ca107c871cf5661ab</t>
  </si>
  <si>
    <t>ARCOM TELECOM</t>
  </si>
  <si>
    <t>0012000000eAYO3AAO</t>
  </si>
  <si>
    <t>63fcbb94a107c871cf56700d</t>
  </si>
  <si>
    <t>ARDICOM</t>
  </si>
  <si>
    <t>0012000000tuS9kAAE</t>
  </si>
  <si>
    <t>63ef9d60384f27260c1bb0cd</t>
  </si>
  <si>
    <t>Arki Management</t>
  </si>
  <si>
    <t>0012000001icZ0nAAE</t>
  </si>
  <si>
    <t>63fcbb8fa107c871cf56675b</t>
  </si>
  <si>
    <t>ARMOREZO</t>
  </si>
  <si>
    <t>0010J00001mmDKrQAM</t>
  </si>
  <si>
    <t>63ef9d57384f27260c1ba2f1</t>
  </si>
  <si>
    <t>ARROW ENTERPRISE COMPUTING SOLUTION</t>
  </si>
  <si>
    <t>holly.berger@al-enterprise.com</t>
  </si>
  <si>
    <t>0012000000tvKhhAAE</t>
  </si>
  <si>
    <t>63fcbb92a107c871cf566c47</t>
  </si>
  <si>
    <t>ARS</t>
  </si>
  <si>
    <t>0012000001VrcAnAAJ</t>
  </si>
  <si>
    <t>63fcbb89a107c871cf565c5d</t>
  </si>
  <si>
    <t>ARS TELECOM</t>
  </si>
  <si>
    <t>0010J00001p3gGdQAI</t>
  </si>
  <si>
    <t>63fcbb93a107c871cf566ef5</t>
  </si>
  <si>
    <t>ARTEL</t>
  </si>
  <si>
    <t>0012000000eAYOIAA4</t>
  </si>
  <si>
    <t>63fcbb87a107c871cf56587b</t>
  </si>
  <si>
    <t>ARTELCOM</t>
  </si>
  <si>
    <t>0010J00001pS6EHQA0</t>
  </si>
  <si>
    <t>63fcbb96a107c871cf567347</t>
  </si>
  <si>
    <t>ARTEMIS SECURITE</t>
  </si>
  <si>
    <t>0012000000eAZgGAAW</t>
  </si>
  <si>
    <t>63fcbb9da107c871cf567f6b</t>
  </si>
  <si>
    <t>ARTEVIS</t>
  </si>
  <si>
    <t>00120000013qYSXAA2</t>
  </si>
  <si>
    <t>63fcbb7da107c871cf56460d</t>
  </si>
  <si>
    <t>Arvind Limited (Telecom Div)</t>
  </si>
  <si>
    <t>prasath-l.rao@al-enterprise.com</t>
  </si>
  <si>
    <t>0015I00000FZCKIQA5</t>
  </si>
  <si>
    <t>63fcbb8ba107c871cf565fb3</t>
  </si>
  <si>
    <t>ASC ELECTRONIQUE</t>
  </si>
  <si>
    <t>0010J000020J8pPQAS</t>
  </si>
  <si>
    <t>63ced84ec5c820531c2698ba</t>
  </si>
  <si>
    <t>Ascomnorth, Inc.</t>
  </si>
  <si>
    <t>0012000000qRHyzAAG</t>
  </si>
  <si>
    <t>63ced841c5c820531c267df3</t>
  </si>
  <si>
    <t>ASCOTEL</t>
  </si>
  <si>
    <t>najeh.khalil@al-enterprise.com, ahmad.bashir@al-enterprise.com, ahmed.hamzawy@al-enterprise.com</t>
  </si>
  <si>
    <t>JO</t>
  </si>
  <si>
    <t>0012000000eAYOTAA4</t>
  </si>
  <si>
    <t>663ddd324eca1e1af405c5a2</t>
  </si>
  <si>
    <t>ASN TELECOM PTY LTD</t>
  </si>
  <si>
    <t>philippe.girard@al-enterprise.com, rui.silva@al-enterprise.com, nicole.gorman@al-enterprise.com</t>
  </si>
  <si>
    <t>0015I00000kucBkQAI</t>
  </si>
  <si>
    <t>63ea6e9752ad6968805cf0f3</t>
  </si>
  <si>
    <t>ASTA-PICCA IT-Systeme GmbH</t>
  </si>
  <si>
    <t>0012000000tuS9mAAE</t>
  </si>
  <si>
    <t>63ced849c5c820531c268e5b</t>
  </si>
  <si>
    <t>ASTEL - ADVANCED SOLUCIONES DE</t>
  </si>
  <si>
    <t>joaquin.flores@al-enterprise.com</t>
  </si>
  <si>
    <t>0012000000eAYLFAA4</t>
  </si>
  <si>
    <t>63fcbb8ea107c871cf5665c5</t>
  </si>
  <si>
    <t>ASTI</t>
  </si>
  <si>
    <t>0012000000mxIrJAAU</t>
  </si>
  <si>
    <t>65dcd9ba019929778f07c59d</t>
  </si>
  <si>
    <t>Astrel</t>
  </si>
  <si>
    <t>philippe.girard@al-enterprise.com, rui.silva@al-enterprise.com, jean-pascal.klein@al-enterprise.com</t>
  </si>
  <si>
    <t>0015I00000jiimzQAA</t>
  </si>
  <si>
    <t>ASTREL</t>
  </si>
  <si>
    <t>63fcbb85a107c871cf5653c7</t>
  </si>
  <si>
    <t>AT CONNECT</t>
  </si>
  <si>
    <t>0015I00000FZ46iQAD</t>
  </si>
  <si>
    <t>63ced841c5c820531c267e89</t>
  </si>
  <si>
    <t>AT&amp;T Datacomm, CSU Program</t>
  </si>
  <si>
    <t>0010J00001s3EJcQAM</t>
  </si>
  <si>
    <t>63ced846c5c820531c2688ca</t>
  </si>
  <si>
    <t>AT&amp;T Services, Inc.</t>
  </si>
  <si>
    <t>timothy.payne@al-enterprise.com</t>
  </si>
  <si>
    <t>0012000000eAZkhAAG</t>
  </si>
  <si>
    <t>63fcbb98a107c871cf5676e3</t>
  </si>
  <si>
    <t>AT2F</t>
  </si>
  <si>
    <t>0012000000ohXONAA2</t>
  </si>
  <si>
    <t>63fcbb82a107c871cf564fad</t>
  </si>
  <si>
    <t>ATE</t>
  </si>
  <si>
    <t>0012000000eAYKKAA4</t>
  </si>
  <si>
    <t>63fcbb9ba107c871cf567b97</t>
  </si>
  <si>
    <t>ATE SERVICES</t>
  </si>
  <si>
    <t>0012000001OMo64AAD</t>
  </si>
  <si>
    <t>63fcbb94a107c871cf566f9d</t>
  </si>
  <si>
    <t>ATELIAS</t>
  </si>
  <si>
    <t>0012000000mxIywAAE</t>
  </si>
  <si>
    <t>63fcbb8aa107c871cf565dc9</t>
  </si>
  <si>
    <t>ATELIO 67</t>
  </si>
  <si>
    <t>00120000013qYS0AAM</t>
  </si>
  <si>
    <t>63fcbb95a107c871cf56715d</t>
  </si>
  <si>
    <t>ATELYO</t>
  </si>
  <si>
    <t>0012000000tuSH8AAM</t>
  </si>
  <si>
    <t>63ef9d5e384f27260c1bae6b</t>
  </si>
  <si>
    <t>ATEMIS</t>
  </si>
  <si>
    <t>0012000001LA80JAAT</t>
  </si>
  <si>
    <t>63fcbb87a107c871cf565889</t>
  </si>
  <si>
    <t>ATENA</t>
  </si>
  <si>
    <t>0010J00001pXIw0QAG</t>
  </si>
  <si>
    <t>63fcbb87a107c871cf5657fd</t>
  </si>
  <si>
    <t>ATHI CORPORATION CO., LTD.</t>
  </si>
  <si>
    <t>0012000000eAYOvAAO</t>
  </si>
  <si>
    <t>63fcbb9ea107c871cf56820b</t>
  </si>
  <si>
    <t>ATICTEL</t>
  </si>
  <si>
    <t>0015I000004BWOtQAO</t>
  </si>
  <si>
    <t>63ea6e9452ad6968805cecaf</t>
  </si>
  <si>
    <t>ATIS systems GmbH</t>
  </si>
  <si>
    <t>juergen.reintjes@al-enterprise.com, silke.fraedrich@al-enterprise.com, andreas.grossheimann@al-enterprise.com, gunther.hahn@al-enterprise.com, philipp.bode@al-enterprise.com</t>
  </si>
  <si>
    <t>0015I000003IJBEQA4</t>
  </si>
  <si>
    <t>63fcbb88a107c871cf5659cb</t>
  </si>
  <si>
    <t>ATL SERVICES</t>
  </si>
  <si>
    <t>0015I00000EmtOlQAJ</t>
  </si>
  <si>
    <t>63fcbb9ca107c871cf567de3</t>
  </si>
  <si>
    <t>ATLANTIC TELEPHONE</t>
  </si>
  <si>
    <t>0012000000eAYOxAAO</t>
  </si>
  <si>
    <t>63fcbb94a107c871cf566fd5</t>
  </si>
  <si>
    <t>ATN GROUPE</t>
  </si>
  <si>
    <t>0012000000ohXSzAAM</t>
  </si>
  <si>
    <t>63fcbb8fa107c871cf566651</t>
  </si>
  <si>
    <t>ATO SYSTEM</t>
  </si>
  <si>
    <t>0012000001HphGVAAZ</t>
  </si>
  <si>
    <t>63fcbb9fa107c871cf56842d</t>
  </si>
  <si>
    <t>ATOUTCOMS</t>
  </si>
  <si>
    <t>0012000001Td6hyAAB</t>
  </si>
  <si>
    <t>63fcbb8fa107c871cf566731</t>
  </si>
  <si>
    <t>ATOUTS'M@TIQUES</t>
  </si>
  <si>
    <t>0015I000003IO4NQAW</t>
  </si>
  <si>
    <t>63fcbb9ba107c871cf567c4d</t>
  </si>
  <si>
    <t>ATRP TELECOM</t>
  </si>
  <si>
    <t>0015I00000G7KGUQA3</t>
  </si>
  <si>
    <t>63fcbb9ca107c871cf567e99</t>
  </si>
  <si>
    <t>ATRS</t>
  </si>
  <si>
    <t>0012000001NdWlgAAF</t>
  </si>
  <si>
    <t>63fcbb83a107c871cf565047</t>
  </si>
  <si>
    <t>ATS</t>
  </si>
  <si>
    <t>0012000001ASZ1iAAH</t>
  </si>
  <si>
    <t>63ef9d53384f27260c1b9d83</t>
  </si>
  <si>
    <t>ATS-TELCOM PRAHA a.s.</t>
  </si>
  <si>
    <t>krystian.sokalski@al-enterprise.com, laurent.paterac@al-enterprise.com, miloslav.kapes@al-enterprise.com</t>
  </si>
  <si>
    <t>CZ</t>
  </si>
  <si>
    <t>0012000000eAYOzAAO</t>
  </si>
  <si>
    <t>660e93f7f3b0dd15030b5132</t>
  </si>
  <si>
    <t>ATTINEOS CYBERSECURITE</t>
  </si>
  <si>
    <t>001SZ000004yc3KYAQ</t>
  </si>
  <si>
    <t>63fcbb9ca107c871cf567e53</t>
  </si>
  <si>
    <t>ATV</t>
  </si>
  <si>
    <t>0012000001HphIXAAZ</t>
  </si>
  <si>
    <t>63fcbb96a107c871cf567371</t>
  </si>
  <si>
    <t>ATVI</t>
  </si>
  <si>
    <t>0012000000sENIhAAO</t>
  </si>
  <si>
    <t>63fcbb91a107c871cf566ae9</t>
  </si>
  <si>
    <t>AUBACOM</t>
  </si>
  <si>
    <t>0012000000eAYP0AAO</t>
  </si>
  <si>
    <t>63fcbb8fa107c871cf56666d</t>
  </si>
  <si>
    <t>AUDITELECOM</t>
  </si>
  <si>
    <t>0012000001WP4JsAAL</t>
  </si>
  <si>
    <t>63ced84cc5c820531c2695ea</t>
  </si>
  <si>
    <t>AURATEK SRL</t>
  </si>
  <si>
    <t>0012000000ohXTkAAM</t>
  </si>
  <si>
    <t>63fcbb7fa107c871cf564a5f</t>
  </si>
  <si>
    <t>AURECOM</t>
  </si>
  <si>
    <t>0012000000tuSCYAA2</t>
  </si>
  <si>
    <t>63ced84cc5c820531c269464</t>
  </si>
  <si>
    <t>AUROZ PTY LTD</t>
  </si>
  <si>
    <t>philippe.girard@al-enterprise.com, rui.silva@al-enterprise.com, paul.pan@al-enterprise.com, maud.holvast@al-enterprise.com, nicole.gorman@al-enterprise.com, gosia.lee@al-enterprise.com</t>
  </si>
  <si>
    <t>0015I00000ThHmqQAF</t>
  </si>
  <si>
    <t>63fcbb88a107c871cf565923</t>
  </si>
  <si>
    <t>AUTIS</t>
  </si>
  <si>
    <t>0012000000tuS9rAAE</t>
  </si>
  <si>
    <t>KOESIO IDF</t>
  </si>
  <si>
    <t>63ced84ec5c820531c2698c9</t>
  </si>
  <si>
    <t>Avanti Technologies LLC</t>
  </si>
  <si>
    <t>0012000000qve21AAA</t>
  </si>
  <si>
    <t>63fcbb8fa107c871cf56674d</t>
  </si>
  <si>
    <t>AVANTI TELECOM</t>
  </si>
  <si>
    <t>0015I00000G9KTnQAN</t>
  </si>
  <si>
    <t>63ced84ac5c820531c26910d</t>
  </si>
  <si>
    <t>Avaya Inc.</t>
  </si>
  <si>
    <t>maria.pagola@al-enterprise.com</t>
  </si>
  <si>
    <t>0015I00000ZtjyKQAR</t>
  </si>
  <si>
    <t>63ced84ac5c820531c26911c</t>
  </si>
  <si>
    <t>Avaya International Sales Ltd.</t>
  </si>
  <si>
    <t>IE</t>
  </si>
  <si>
    <t>0015I00000bArzYQAS</t>
  </si>
  <si>
    <t>63fcbb9ba107c871cf567ccb</t>
  </si>
  <si>
    <t>AVB</t>
  </si>
  <si>
    <t>0015I00000T6SXRQA3</t>
  </si>
  <si>
    <t>63fcbb87a107c871cf56572b</t>
  </si>
  <si>
    <t>AVELIA</t>
  </si>
  <si>
    <t>0012000000tuSI5AAM</t>
  </si>
  <si>
    <t>63fcbb86a107c871cf56563d</t>
  </si>
  <si>
    <t>AVENIR RESEAU TELECOM</t>
  </si>
  <si>
    <t>0010J00001rZeYnQAK</t>
  </si>
  <si>
    <t>63fcbb99a107c871cf567817</t>
  </si>
  <si>
    <t>AVEROES</t>
  </si>
  <si>
    <t>0012000001HphGRAAZ</t>
  </si>
  <si>
    <t>63fcbb93a107c871cf566dcf</t>
  </si>
  <si>
    <t>AVISO</t>
  </si>
  <si>
    <t>0012000000mxIwzAAE</t>
  </si>
  <si>
    <t>63ef9d5a384f27260c1ba7ab</t>
  </si>
  <si>
    <t>Avita Communications</t>
  </si>
  <si>
    <t>laurent.paterac@al-enterprise.com, gerry.ohanlon@al-enterprise.com, tajinderpal.ginda@al-enterprise.com</t>
  </si>
  <si>
    <t>0012000000tvKepAAE</t>
  </si>
  <si>
    <t>63fcbb9ca107c871cf567d65</t>
  </si>
  <si>
    <t>AVITECH</t>
  </si>
  <si>
    <t>0015I00000h5ud1QAA</t>
  </si>
  <si>
    <t>63ef9d5b384f27260c1ba91b</t>
  </si>
  <si>
    <t>Avitel Polska Sp. z o.o.</t>
  </si>
  <si>
    <t>krystian.sokalski@al-enterprise.com, laurent.paterac@al-enterprise.com</t>
  </si>
  <si>
    <t>PL</t>
  </si>
  <si>
    <t>0012000001EBAEKAA5</t>
  </si>
  <si>
    <t>63fcbb92a107c871cf566c0f</t>
  </si>
  <si>
    <t>AVIZEO TELECOM</t>
  </si>
  <si>
    <t>0012000001JaihxAAB</t>
  </si>
  <si>
    <t>65c6542995f6cb98b50d6f32</t>
  </si>
  <si>
    <t>Avoira</t>
  </si>
  <si>
    <t>philippe.girard@al-enterprise.com, rui.silva@al-enterprise.com, neal.humphrey@al-enterprise.com, laurent.paterac@al-enterprise.com, gerry.ohanlon@al-enterprise.com, tajinderpal.ginda@al-enterprise.com, christopher.weyell@al-enterprise.com</t>
  </si>
  <si>
    <t>0015I00000kyJKpQAM</t>
  </si>
  <si>
    <t>67a5d9f053e26e938a079872</t>
  </si>
  <si>
    <t>Axcelerate Networks, Inc.</t>
  </si>
  <si>
    <t>bill.rademacher@al-enterprise.com</t>
  </si>
  <si>
    <t>0012000001UQs4mAAD</t>
  </si>
  <si>
    <t>63ced84ec5c820531c2698f6</t>
  </si>
  <si>
    <t>Axcex Media LLC</t>
  </si>
  <si>
    <t>michael-j.francis@al-enterprise.com, luigy.estevanell@al-enterprise.com, robert.stitz@al-enterprise.com</t>
  </si>
  <si>
    <t>0012000000rj390AAA</t>
  </si>
  <si>
    <t>63fcbb9fa107c871cf56834d</t>
  </si>
  <si>
    <t>AXECOM</t>
  </si>
  <si>
    <t>0012000001JaihyAAB</t>
  </si>
  <si>
    <t>63ced843c5c820531c2681a4</t>
  </si>
  <si>
    <t>Axede, S.A.</t>
  </si>
  <si>
    <t>javier.largacha@al-enterprise.com</t>
  </si>
  <si>
    <t>0012000000myZlVAAU</t>
  </si>
  <si>
    <t>63fcbb8ba107c871cf566069</t>
  </si>
  <si>
    <t>AXELIS-IT</t>
  </si>
  <si>
    <t>0012000001HphIaAAJ</t>
  </si>
  <si>
    <t>63fcbb97a107c871cf567603</t>
  </si>
  <si>
    <t>AXETEL</t>
  </si>
  <si>
    <t>0012000000eAYPUAA4</t>
  </si>
  <si>
    <t>63fcbb99a107c871cf567809</t>
  </si>
  <si>
    <t>Axians C&amp;S</t>
  </si>
  <si>
    <t>00120000016xpTrAAI</t>
  </si>
  <si>
    <t>63ef9d55384f27260c1ba049</t>
  </si>
  <si>
    <t>AXIANS COMMUNICATION &amp; SYSTEMS TOULOUSE</t>
  </si>
  <si>
    <t>valerie.legrand@al-enterprise.com, guillaume.mechaly@al-enterprise.com</t>
  </si>
  <si>
    <t>0012000000eAYg8AAG</t>
  </si>
  <si>
    <t>AXIANS COMMUNICATION &amp; SYSTEMS</t>
  </si>
  <si>
    <t>63fcbb91a107c871cf566a25</t>
  </si>
  <si>
    <t>AXIANS INFOCOM</t>
  </si>
  <si>
    <t>guillaume.mechaly@al-enterprise.com</t>
  </si>
  <si>
    <t>0012000000eAYsfAAG</t>
  </si>
  <si>
    <t>63ced846c5c820531c268834</t>
  </si>
  <si>
    <t>AXIANS ITALIA S.p.A.</t>
  </si>
  <si>
    <t>0012000000eAYs4AAG</t>
  </si>
  <si>
    <t>Axians Italia SPA SB</t>
  </si>
  <si>
    <t>63fcbb91a107c871cf5669c3</t>
  </si>
  <si>
    <t>AXIANS LE MANS</t>
  </si>
  <si>
    <t>0012000000eAYPXAA4</t>
  </si>
  <si>
    <t>63fcbb97a107c871cf5674eb</t>
  </si>
  <si>
    <t>Axiis</t>
  </si>
  <si>
    <t>0015I00000gMt71QAC</t>
  </si>
  <si>
    <t>63ced845c5c820531c2685cd</t>
  </si>
  <si>
    <t>AXIO Corporation</t>
  </si>
  <si>
    <t>kenichi.wada@al-enterprise.com</t>
  </si>
  <si>
    <t>JP</t>
  </si>
  <si>
    <t>0012000000eAZcGAAW</t>
  </si>
  <si>
    <t>63fcbb89a107c871cf565ba7</t>
  </si>
  <si>
    <t>Axone Consulting</t>
  </si>
  <si>
    <t>0015I00000OgfN8QAJ</t>
  </si>
  <si>
    <t>63fcbb99a107c871cf5678db</t>
  </si>
  <si>
    <t>AXONE SYSTEMS</t>
  </si>
  <si>
    <t>0015I00000gKAJrQAO</t>
  </si>
  <si>
    <t>63fcbb7ea107c871cf564813</t>
  </si>
  <si>
    <t>Aystel Telecomunicaciones S.A de CV</t>
  </si>
  <si>
    <t>saul.montiel@al-enterprise.com</t>
  </si>
  <si>
    <t>0010J000021MJoxQAG</t>
  </si>
  <si>
    <t>63fcbb99a107c871cf567879</t>
  </si>
  <si>
    <t>AYXYA</t>
  </si>
  <si>
    <t>0012000001gNKdBAAW</t>
  </si>
  <si>
    <t>6299fdc4f5acbb30cc0bd2af</t>
  </si>
  <si>
    <t>Azteq Group</t>
  </si>
  <si>
    <t>philippe.girard@al-enterprise.com, rui.silva@al-enterprise.com, neal.humphrey@al-enterprise.com, laurent.paterac@al-enterprise.com, gerry.ohanlon@al-enterprise.com</t>
  </si>
  <si>
    <t>0015I00000VXY3jQAH</t>
  </si>
  <si>
    <t>63ea6e9652ad6968805cef6b</t>
  </si>
  <si>
    <t>B&amp;C Burokommunikation Wilthen</t>
  </si>
  <si>
    <t>0012000000tuSCIAA2</t>
  </si>
  <si>
    <t>B&amp;C Bürokommunikation Wilthen</t>
  </si>
  <si>
    <t>63fcbb9ba107c871cf567d11</t>
  </si>
  <si>
    <t>B-TEC</t>
  </si>
  <si>
    <t>0015I00000ZtaVPQAZ</t>
  </si>
  <si>
    <t>63ced84cc5c820531c2695bd</t>
  </si>
  <si>
    <t>B.S. TECNOSERVICE DI S. BRUNACCI</t>
  </si>
  <si>
    <t>0012000000ohXRNAA2</t>
  </si>
  <si>
    <t>63fcbb84a107c871cf5651dd</t>
  </si>
  <si>
    <t>B2F</t>
  </si>
  <si>
    <t>cecile.allegaert@al-enterprise.com, laurent.biehler@al-enterprise.com</t>
  </si>
  <si>
    <t>0012000000eAZXOAA4</t>
  </si>
  <si>
    <t>63fcbb85a107c871cf565445</t>
  </si>
  <si>
    <t>B2F System</t>
  </si>
  <si>
    <t>0012000001LA80HAAT</t>
  </si>
  <si>
    <t>63fcbb8fa107c871cf5666dd</t>
  </si>
  <si>
    <t>B2O</t>
  </si>
  <si>
    <t>0010J000021M32bQAC</t>
  </si>
  <si>
    <t>63ced843c5c820531c268348</t>
  </si>
  <si>
    <t>Barkotel Communications</t>
  </si>
  <si>
    <t>vassilis.xenakis@al-enterprise.com, najeh.khalil@al-enterprise.com, ahmed.hamzawy@al-enterprise.com</t>
  </si>
  <si>
    <t>EG</t>
  </si>
  <si>
    <t>0010J00001p2RXZQA2</t>
  </si>
  <si>
    <t>63fcbb98a107c871cf56768f</t>
  </si>
  <si>
    <t>BATI CONNECT</t>
  </si>
  <si>
    <t>0012000000eAZWwAAO</t>
  </si>
  <si>
    <t>63fcbb94a107c871cf566fb9</t>
  </si>
  <si>
    <t>BCS</t>
  </si>
  <si>
    <t>0012000000ohXOOAA2</t>
  </si>
  <si>
    <t>63fcbb99a107c871cf567921</t>
  </si>
  <si>
    <t>BE ONE INGENERIE</t>
  </si>
  <si>
    <t>0010J00001pS6EIQA0</t>
  </si>
  <si>
    <t>63fcbb9aa107c871cf567b43</t>
  </si>
  <si>
    <t>BE2BE TELECOM SAS</t>
  </si>
  <si>
    <t>00120000017YYgqAAG</t>
  </si>
  <si>
    <t>63fcbb83a107c871cf5651b3</t>
  </si>
  <si>
    <t>BECHTLE DIRECT</t>
  </si>
  <si>
    <t>0015I000002MgmnQAC</t>
  </si>
  <si>
    <t>67fe289bb04fca04c102c528</t>
  </si>
  <si>
    <t>Beetel Teletech Limited</t>
  </si>
  <si>
    <t>rui.silva@al-enterprise.com, prasath-l.rao@al-enterprise.com, sujit.shetty@al-enterprise.com</t>
  </si>
  <si>
    <t>001SZ000007nV0JYAU</t>
  </si>
  <si>
    <t>63ced84cc5c820531c269554</t>
  </si>
  <si>
    <t>BELL DI SABATINI F. &amp; C. SNC</t>
  </si>
  <si>
    <t>0012000000tuSKDAA2</t>
  </si>
  <si>
    <t>63fcbb88a107c871cf565931</t>
  </si>
  <si>
    <t>BERCYTEL</t>
  </si>
  <si>
    <t>0012000000tuSEcAAM</t>
  </si>
  <si>
    <t>63fcbb94a107c871cf566f57</t>
  </si>
  <si>
    <t>BERRY RESEAU</t>
  </si>
  <si>
    <t>0012000000eAZC9AAO</t>
  </si>
  <si>
    <t>63fcbb94a107c871cf566fab</t>
  </si>
  <si>
    <t>BERRYCOM ENTREPRISE</t>
  </si>
  <si>
    <t>0012000000ohXNSAA2</t>
  </si>
  <si>
    <t>6488e1eb863dcd5166276b53</t>
  </si>
  <si>
    <t>Best Buy Canada</t>
  </si>
  <si>
    <t>0015I00000fL0NrQAK</t>
  </si>
  <si>
    <t>63fcbb92a107c871cf566cfd</t>
  </si>
  <si>
    <t>BEST TELECOM et RESEAUX</t>
  </si>
  <si>
    <t>0012000000tvKUuAAM</t>
  </si>
  <si>
    <t>67ff70eb5b1a00e99b05f927</t>
  </si>
  <si>
    <t>Bezeq International Ltd</t>
  </si>
  <si>
    <t>ronen.tsarfati@al-enterprise.com</t>
  </si>
  <si>
    <t>001SZ000003Snc2YAC</t>
  </si>
  <si>
    <t>63fcbb86a107c871cf565659</t>
  </si>
  <si>
    <t>BF FORNITURE UFFICIO srl</t>
  </si>
  <si>
    <t>0010J00001sLiLgQAK</t>
  </si>
  <si>
    <t>63fcbb9aa107c871cf567a0f</t>
  </si>
  <si>
    <t>BF RESEAUX</t>
  </si>
  <si>
    <t>0012000000eAYQVAA4</t>
  </si>
  <si>
    <t>63fcbb8fa107c871cf56667b</t>
  </si>
  <si>
    <t>BFI2</t>
  </si>
  <si>
    <t>0015I000004ArS5QAK</t>
  </si>
  <si>
    <t>63ced845c5c820531c26869f</t>
  </si>
  <si>
    <t>BFW Kommunikationssysteme GmbH</t>
  </si>
  <si>
    <t>andreas.grossheimann@al-enterprise.com, katrin.pfeiffer@al-enterprise.com, holger.viktor@al-enterprise.com, sibylle.klopfer@al-enterprise.com, igor.leko@al-enterprise.com</t>
  </si>
  <si>
    <t>0012000000mxIlOAAU</t>
  </si>
  <si>
    <t>63fcbb82a107c871cf564fd7</t>
  </si>
  <si>
    <t>BI-SOLUCOM</t>
  </si>
  <si>
    <t>0012000000tuSDoAAM</t>
  </si>
  <si>
    <t>63fcbb8ca107c871cf566111</t>
  </si>
  <si>
    <t>BiGso</t>
  </si>
  <si>
    <t>0015I00000ei8FUQAY</t>
  </si>
  <si>
    <t>63ef9d54384f27260c1b9e63</t>
  </si>
  <si>
    <t>Bigsun Systems Co., Ltd.</t>
  </si>
  <si>
    <t>songhee.nam@al-enterprise.com</t>
  </si>
  <si>
    <t>0015I000004AalaQAC</t>
  </si>
  <si>
    <t>63ced844c5c820531c2684fb</t>
  </si>
  <si>
    <t>BIN Solutions Co. Ltd.</t>
  </si>
  <si>
    <t>songhee.nam@al-enterprise.com, jaeho.kim@al-enterprise.com</t>
  </si>
  <si>
    <t>0012000001U7smwAAB</t>
  </si>
  <si>
    <t>63ced848c5c820531c268d3e</t>
  </si>
  <si>
    <t>Binder Systemhaus GmbH</t>
  </si>
  <si>
    <t>robert.weinberger@al-enterprise.com, andreas.grossheimann@al-enterprise.com, katrin.pfeiffer@al-enterprise.com, sibylle.klopfer@al-enterprise.com, igor.leko@al-enterprise.com</t>
  </si>
  <si>
    <t>0012000000eAZ8VAAW</t>
  </si>
  <si>
    <t>binder Systemhaus GmbH</t>
  </si>
  <si>
    <t>63fcbb98a107c871cf5677b5</t>
  </si>
  <si>
    <t>BIRD'S TELECOM</t>
  </si>
  <si>
    <t>0012000000tvKEiAAM</t>
  </si>
  <si>
    <t>64466fad136de176273456ff</t>
  </si>
  <si>
    <t>BIS Distribution</t>
  </si>
  <si>
    <t>philippe.girard@al-enterprise.com, rui.silva@al-enterprise.com, yankel.ayash@al-enterprise.com, ronen.tsarfati@al-enterprise.com</t>
  </si>
  <si>
    <t>PS</t>
  </si>
  <si>
    <t>data_center_networks, lan_network, wlan_network, sip_devices</t>
  </si>
  <si>
    <t>0015I00000k6dQBQAY</t>
  </si>
  <si>
    <t>63ef9d54384f27260c1b9f65</t>
  </si>
  <si>
    <t>BIT Group Sdn Bhd</t>
  </si>
  <si>
    <t>0015I00000TfQytQAF</t>
  </si>
  <si>
    <t>66a8fafce1176b97f909ac92</t>
  </si>
  <si>
    <t>Bit Solution Co.,Ltd.</t>
  </si>
  <si>
    <t>philippe.girard@al-enterprise.com, rui.silva@al-enterprise.com, somyos.udomnilobon@al-enterprise.com</t>
  </si>
  <si>
    <t>001SZ00000DqVY7YAN</t>
  </si>
  <si>
    <t>nec</t>
  </si>
  <si>
    <t>63ced848c5c820531c268db6</t>
  </si>
  <si>
    <t>Bittel CIS &amp; Baltic LLC</t>
  </si>
  <si>
    <t>0015I00000Ti33dQAB</t>
  </si>
  <si>
    <t>63fcbb9fa107c871cf568297</t>
  </si>
  <si>
    <t>BK RESEAUX</t>
  </si>
  <si>
    <t>0015I00000EmDPSQA3</t>
  </si>
  <si>
    <t>63ea6e9552ad6968805cede3</t>
  </si>
  <si>
    <t>Blickle Leitstellen &amp; Kommunikation</t>
  </si>
  <si>
    <t>0012000000eAZ25AAG</t>
  </si>
  <si>
    <t>Sinus Nachrichtentechnik GmbH</t>
  </si>
  <si>
    <t>6488e1eb863dcd5166276bb7</t>
  </si>
  <si>
    <t>Blue IP, LDA</t>
  </si>
  <si>
    <t>paulo.freitas@al-enterprise.com, astrid.savorani@al-enterprise.com</t>
  </si>
  <si>
    <t>PT</t>
  </si>
  <si>
    <t>0012000000tuSHDAA2</t>
  </si>
  <si>
    <t>67a5db6dfa14f2068a0eaf22</t>
  </si>
  <si>
    <t>Blue Spruce Technologies</t>
  </si>
  <si>
    <t>brendan.flaherty@al-enterprise.com, michael-j.francis@al-enterprise.com</t>
  </si>
  <si>
    <t>001SZ00000AQmTUYA1</t>
  </si>
  <si>
    <t>63ced849c5c820531c268f96</t>
  </si>
  <si>
    <t>blue2 Telekommunikation- und</t>
  </si>
  <si>
    <t>martin.nickel@al-enterprise.com, laurent.paterac@al-enterprise.com, sabine.glanz@al-enterprise.com</t>
  </si>
  <si>
    <t>0012000000ohXT8AAM</t>
  </si>
  <si>
    <t>67a4dc515285e7ef7f0ec762</t>
  </si>
  <si>
    <t>Blueworks Co. Ltd</t>
  </si>
  <si>
    <t>chunshik.shin@al-enterprise.com</t>
  </si>
  <si>
    <t>0015I00000VGQ50QAH</t>
  </si>
  <si>
    <t>633dbdc4ec522e697b5af946</t>
  </si>
  <si>
    <t>Boffo Sdn Bhd</t>
  </si>
  <si>
    <t>rui.silva@al-enterprise.com, david-cy.lee@al-enterprise.com</t>
  </si>
  <si>
    <t>lan_network, data_center_networks, wlan_network</t>
  </si>
  <si>
    <t>0015I00000d2wi8QAA</t>
  </si>
  <si>
    <t>63fcbb80a107c871cf564b31</t>
  </si>
  <si>
    <t>BOHOO - IMMOTIC SERVICES</t>
  </si>
  <si>
    <t>0012000000mxIvLAAU</t>
  </si>
  <si>
    <t>63ced849c5c820531c268fa5</t>
  </si>
  <si>
    <t>BOLL Engineering AG</t>
  </si>
  <si>
    <t>0010J000027CqQeQAK</t>
  </si>
  <si>
    <t>63ea6e9752ad6968805cf083</t>
  </si>
  <si>
    <t>Bormuth-Stumpf Elektrotechnik GmbH</t>
  </si>
  <si>
    <t>0012000000tuS9vAAE</t>
  </si>
  <si>
    <t>63ced84dc5c820531c269824</t>
  </si>
  <si>
    <t>Boston Systems &amp; Solutions, LLC</t>
  </si>
  <si>
    <t>0012000000myKoSAAU</t>
  </si>
  <si>
    <t>63fcbb97a107c871cf5674cf</t>
  </si>
  <si>
    <t>Boust Techno Drone</t>
  </si>
  <si>
    <t>0015I00000WyFn7QAF</t>
  </si>
  <si>
    <t>BOUST TELECOMS RESEAUX</t>
  </si>
  <si>
    <t>63fcbb8ba107c871cf565f5f</t>
  </si>
  <si>
    <t>BOUYGUES BATIMENT GRAND EST</t>
  </si>
  <si>
    <t>christophe.curcuru@al-enterprise.com</t>
  </si>
  <si>
    <t>0015I00000T4HiaQAF</t>
  </si>
  <si>
    <t>63fcbb8ba107c871cf565ed3</t>
  </si>
  <si>
    <t>BOUYGUES BATIMENT ILE DE FRANCE</t>
  </si>
  <si>
    <t>0015I00000T4GXVQA3</t>
  </si>
  <si>
    <t>63ef9d54384f27260c1b9ea3</t>
  </si>
  <si>
    <t>Bouygues E&amp;S FM France</t>
  </si>
  <si>
    <t>renaud.brar@al-enterprise.com</t>
  </si>
  <si>
    <t>contact_center_standard, lan_network, rainbow_hybrid_ucaas, smb_communication_platforms, enterprise_communication_platforms</t>
  </si>
  <si>
    <t>0012000000eAYZpAAO</t>
  </si>
  <si>
    <t>63ced843c5c820531c26822b</t>
  </si>
  <si>
    <t>Bouygues E&amp;S InTec Schweiz AG</t>
  </si>
  <si>
    <t>laurent.paterac@al-enterprise.com, peter.colleoni@al-enterprise.com, emma.bardey@al-enterprise.com</t>
  </si>
  <si>
    <t>0012000000eAYOsAAO</t>
  </si>
  <si>
    <t>Equans Switzerland AG</t>
  </si>
  <si>
    <t>63ef9d53384f27260c1b9dc3</t>
  </si>
  <si>
    <t>Bouygues E&amp;S InTec Schweiz AG-M/N</t>
  </si>
  <si>
    <t>0012000000eAYOoAAO</t>
  </si>
  <si>
    <t>Equans Switzerland AG-M/N</t>
  </si>
  <si>
    <t>63ef9d53384f27260c1b9de3</t>
  </si>
  <si>
    <t>Bouygues E&amp;S InTec Schweiz AG-O/Z</t>
  </si>
  <si>
    <t>0012000000eAYOjAAO</t>
  </si>
  <si>
    <t>Equans Switzerland AG - ICT</t>
  </si>
  <si>
    <t>63ced845c5c820531c2685be</t>
  </si>
  <si>
    <t>BOUYGUES ENERGIES AND SERVICES SAS</t>
  </si>
  <si>
    <t>data_center_networks, enterprise_cloud, enterprise_communication_platforms, lan_network, contact_center_standard, smb_communication_platforms, wlan_network, rainbow_hybrid_ucaas</t>
  </si>
  <si>
    <t>0015I00000Oh028QAB</t>
  </si>
  <si>
    <t>BOUYGUES ENERGIES &amp; SERVICES SAS</t>
  </si>
  <si>
    <t>63fcbb87a107c871cf565739</t>
  </si>
  <si>
    <t>Bowhead Manufacturing Technologies</t>
  </si>
  <si>
    <t>0012000001SjNKMAA3</t>
  </si>
  <si>
    <t>63fcbb97a107c871cf5675af</t>
  </si>
  <si>
    <t>BOWO</t>
  </si>
  <si>
    <t>0010J000020GU6wQAG</t>
  </si>
  <si>
    <t>63fcbb8ca107c871cf5661f1</t>
  </si>
  <si>
    <t>BRAIN NETWORKS</t>
  </si>
  <si>
    <t>00120000016bEUxAAM</t>
  </si>
  <si>
    <t>68078377a8e4aae18a09ef22</t>
  </si>
  <si>
    <t>Brainet Consultant Company Limited</t>
  </si>
  <si>
    <t>0015I00000d0YIUQA2</t>
  </si>
  <si>
    <t>63ea6e9452ad6968805cece7</t>
  </si>
  <si>
    <t>Braune GmbH</t>
  </si>
  <si>
    <t>0012000000tuSAKAA2</t>
  </si>
  <si>
    <t>633dbe597d81b978d40bc381</t>
  </si>
  <si>
    <t>BRAVANTIC EVOLVING TECHNOLOGY, S.A.</t>
  </si>
  <si>
    <t>rui.silva@al-enterprise.com, paulo.freitas@al-enterprise.com, astrid.savorani@al-enterprise.com</t>
  </si>
  <si>
    <t>0015I00000cAGcOQAW</t>
  </si>
  <si>
    <t>63ea6e9352ad6968805cea1d</t>
  </si>
  <si>
    <t>Brekom GmbH</t>
  </si>
  <si>
    <t>andreas.grossheimann@al-enterprise.com, holger.viktor@al-enterprise.com</t>
  </si>
  <si>
    <t>0012000000oi326AAA</t>
  </si>
  <si>
    <t>BREKOM GmbH</t>
  </si>
  <si>
    <t>63fcbb83a107c871cf565127</t>
  </si>
  <si>
    <t>Brockhaus Telekommunikation GmbH &amp;</t>
  </si>
  <si>
    <t>marcel.marx@al-enterprise.com</t>
  </si>
  <si>
    <t>0015I0000080G3hQAE</t>
  </si>
  <si>
    <t>63fcbb9da107c871cf567fdb</t>
  </si>
  <si>
    <t>BROKER TELECOM</t>
  </si>
  <si>
    <t>0012000001QhIMsAAN</t>
  </si>
  <si>
    <t>63fcbb81a107c871cf564c73</t>
  </si>
  <si>
    <t>BRUNET Informatique et Media</t>
  </si>
  <si>
    <t>0012000000tuS9xAAE</t>
  </si>
  <si>
    <t>63fcbb90a107c871cf5668b9</t>
  </si>
  <si>
    <t>BS ENTREPRISES</t>
  </si>
  <si>
    <t>0010J00001p3DVkQAM</t>
  </si>
  <si>
    <t>63ea6e9752ad6968805cf0bb</t>
  </si>
  <si>
    <t>BS2 Systemhaus GmbH</t>
  </si>
  <si>
    <t>0010J00001kuQrpQAE</t>
  </si>
  <si>
    <t>63ced846c5c820531c268906</t>
  </si>
  <si>
    <t>BTC NETWORKS</t>
  </si>
  <si>
    <t>0012000000eAYQ1AAO</t>
  </si>
  <si>
    <t>63ea6e9352ad6968805ceab7</t>
  </si>
  <si>
    <t>BTD Service GmbH</t>
  </si>
  <si>
    <t>thomas.ullmann@al-enterprise.com, andreas.grossheimann@al-enterprise.com, katrin.pfeiffer@al-enterprise.com, sibylle.klopfer@al-enterprise.com, igor.leko@al-enterprise.com</t>
  </si>
  <si>
    <t>0012000000sxT8qAAE</t>
  </si>
  <si>
    <t>63ea6e9352ad6968805ceb0b</t>
  </si>
  <si>
    <t>Bunsieck &amp; Partner GmbH</t>
  </si>
  <si>
    <t>ralf.kloeppels@al-enterprise.com, andreas.grossheimann@al-enterprise.com, katrin.pfeiffer@al-enterprise.com, sibylle.klopfer@al-enterprise.com, igor.leko@al-enterprise.com</t>
  </si>
  <si>
    <t>0012000000eAYRJAA4</t>
  </si>
  <si>
    <t>63ef9d60384f27260c1bb1ad</t>
  </si>
  <si>
    <t>BUREAUTIQUE &amp; COMMUNICATION</t>
  </si>
  <si>
    <t>0010J00002BW87GQAT</t>
  </si>
  <si>
    <t>63ced848c5c820531c268d7a</t>
  </si>
  <si>
    <t>Burgess Computer Decisions</t>
  </si>
  <si>
    <t>0010J00001wgIYAQA2</t>
  </si>
  <si>
    <t>63ced847c5c820531c268b31</t>
  </si>
  <si>
    <t>BURKHALTER MANAGEMENT SA</t>
  </si>
  <si>
    <t>laurent.paterac@al-enterprise.com, julia.kosok@al-enterprise.com, emma.bardey@al-enterprise.com</t>
  </si>
  <si>
    <t>0012000000eAYRNAA4</t>
  </si>
  <si>
    <t>Burkhalter Services AG</t>
  </si>
  <si>
    <t>684beed85fed90fd6903f372</t>
  </si>
  <si>
    <t>BURKHALTER NET WORKS</t>
  </si>
  <si>
    <t>philippe.girard@al-enterprise.com, rui.silva@al-enterprise.com, julia.kosok@al-enterprise.com</t>
  </si>
  <si>
    <t>0012000000eAYROAA4</t>
  </si>
  <si>
    <t>63ef9d56384f27260c1ba1ad</t>
  </si>
  <si>
    <t>Businesscom B.V.</t>
  </si>
  <si>
    <t>katrien.dirickx@al-enterprise.com, eelco.hollestelle@al-enterprise.com, frank.van-spanje@al-enterprise.com</t>
  </si>
  <si>
    <t>0012000000eAYyZAAW</t>
  </si>
  <si>
    <t>63fcbb9da107c871cf568021</t>
  </si>
  <si>
    <t>BUZITEL</t>
  </si>
  <si>
    <t>0015I00000VVjtIQAT</t>
  </si>
  <si>
    <t>63fcbb99a107c871cf56794b</t>
  </si>
  <si>
    <t>BYO NETWORKS</t>
  </si>
  <si>
    <t>0010J00001s2sGcQAI</t>
  </si>
  <si>
    <t>633dbc6cec522e697b5af915</t>
  </si>
  <si>
    <t>C.H.T. Heinemann GmbH</t>
  </si>
  <si>
    <t>philippe.girard@al-enterprise.com, rui.silva@al-enterprise.com, ralf.kloeppels@al-enterprise.com, andreas.grossheimann@al-enterprise.com, katrin.pfeiffer@al-enterprise.com, sibylle.klopfer@al-enterprise.com, igor.leko@al-enterprise.com</t>
  </si>
  <si>
    <t>0012000000tvKEqAAM</t>
  </si>
  <si>
    <t>63ced84cc5c820531c269437</t>
  </si>
  <si>
    <t>C.M.S. COMPUCENTER LTD</t>
  </si>
  <si>
    <t>0015I000002Lue9QAC</t>
  </si>
  <si>
    <t>63fcbb96a107c871cf5672e5</t>
  </si>
  <si>
    <t>C.T.R.</t>
  </si>
  <si>
    <t>0012000000eAYRfAAO</t>
  </si>
  <si>
    <t>63ced847c5c820531c268a05</t>
  </si>
  <si>
    <t>C2 Technologies SA</t>
  </si>
  <si>
    <t>0012000000eAZRGAA4</t>
  </si>
  <si>
    <t>63fcbb9ba107c871cf567b89</t>
  </si>
  <si>
    <t>Cablage Securite Maintenance</t>
  </si>
  <si>
    <t>0012000001JZwraAAD</t>
  </si>
  <si>
    <t>63fcbb81a107c871cf564d8b</t>
  </si>
  <si>
    <t>Cable Com Inc.</t>
  </si>
  <si>
    <t>0012000001F6CdXAAV</t>
  </si>
  <si>
    <t>63ced840c5c820531c267d03</t>
  </si>
  <si>
    <t>CABLE ONE INC</t>
  </si>
  <si>
    <t>carrier</t>
  </si>
  <si>
    <t>0012000000g40k2AAA</t>
  </si>
  <si>
    <t>63fcbb85a107c871cf56548b</t>
  </si>
  <si>
    <t>CABLECOM</t>
  </si>
  <si>
    <t>0012000000ohXJuAAM</t>
  </si>
  <si>
    <t>62a880af9a27b1712b24907b</t>
  </si>
  <si>
    <t>CAD &amp; LAN S.A.</t>
  </si>
  <si>
    <t>rui.silva@al-enterprise.com, javier.cruz@al-enterprise.com, astrid.savorani@al-enterprise.com, rafael.andreo@al-enterprise.com, esther.alonso@al-enterprise.com, marcos.rodriguez@al-enterprise.com</t>
  </si>
  <si>
    <t>0015I00000ZucIsQAJ</t>
  </si>
  <si>
    <t>66b0d5036db772dc100d8432</t>
  </si>
  <si>
    <t>Calabura Co.,Ltd.</t>
  </si>
  <si>
    <t>001SZ00000DqVY5YAN</t>
  </si>
  <si>
    <t>63ea6e9352ad6968805ceaa9</t>
  </si>
  <si>
    <t>Call-Data-Systems GmbH</t>
  </si>
  <si>
    <t>andreas.grossheimann@al-enterprise.com, katrin.pfeiffer@al-enterprise.com, sibylle.klopfer@al-enterprise.com, igor.leko@al-enterprise.com, hakan.adiguezel@al-enterprise.com</t>
  </si>
  <si>
    <t>0012000000tvKF2AAM</t>
  </si>
  <si>
    <t>63fcbb8ca107c871cf566253</t>
  </si>
  <si>
    <t>CAP-IPCONSULTING</t>
  </si>
  <si>
    <t>0015I000002L8G0QAK</t>
  </si>
  <si>
    <t>63fcbb9aa107c871cf567a1d</t>
  </si>
  <si>
    <t>CAPITAINE</t>
  </si>
  <si>
    <t>0012000000eAYS5AAO</t>
  </si>
  <si>
    <t>63fcbb8ca107c871cf566103</t>
  </si>
  <si>
    <t>CAPLASER</t>
  </si>
  <si>
    <t>0015I00000h40voQAA</t>
  </si>
  <si>
    <t>63fcbb98a107c871cf567737</t>
  </si>
  <si>
    <t>CAPTELECOM</t>
  </si>
  <si>
    <t>0012000000tuSDAAA2</t>
  </si>
  <si>
    <t>63fcbb85a107c871cf565541</t>
  </si>
  <si>
    <t>CARAIBES TELECOM</t>
  </si>
  <si>
    <t>0012000000eAZPyAAO</t>
  </si>
  <si>
    <t>6488e1ea863dcd5166276b03</t>
  </si>
  <si>
    <t>Carrier &amp; Gable Inc.</t>
  </si>
  <si>
    <t>kyle.stetar@al-enterprise.com</t>
  </si>
  <si>
    <t>0015I000002LjEFQA0</t>
  </si>
  <si>
    <t>63ced849c5c820531c268eb5</t>
  </si>
  <si>
    <t>CASA DEL CABLE S.A.</t>
  </si>
  <si>
    <t>carolina.rodriguez@al-enterprise.com</t>
  </si>
  <si>
    <t>0012000001UQs5BAAT</t>
  </si>
  <si>
    <t>63fcbb8ea107c871cf5665e1</t>
  </si>
  <si>
    <t>CASTELCOMS/CORESYS</t>
  </si>
  <si>
    <t>0012000000tuSA3AAM</t>
  </si>
  <si>
    <t>63fcbb97a107c871cf5675d9</t>
  </si>
  <si>
    <t>CATELSYS</t>
  </si>
  <si>
    <t>0010J00002BWvtxQAD</t>
  </si>
  <si>
    <t>63fcbb85a107c871cf5653b9</t>
  </si>
  <si>
    <t>CBX Tech (Pty) Ltd.</t>
  </si>
  <si>
    <t>0012000000tuSIsAAM</t>
  </si>
  <si>
    <t>63ef9d5e384f27260c1bae8b</t>
  </si>
  <si>
    <t>CCONECT</t>
  </si>
  <si>
    <t>0012000001ZQWPMAA5</t>
  </si>
  <si>
    <t>63fcbb8fa107c871cf5666eb</t>
  </si>
  <si>
    <t>CDS INFORMATIQUE</t>
  </si>
  <si>
    <t>0012000000mxJ1yAAE</t>
  </si>
  <si>
    <t>63ced849c5c820531c268e97</t>
  </si>
  <si>
    <t>CDTEL S.A.C</t>
  </si>
  <si>
    <t>0012000000ohXQMAA2</t>
  </si>
  <si>
    <t>63fcbb80a107c871cf564b69</t>
  </si>
  <si>
    <t>CDW</t>
  </si>
  <si>
    <t>0010J00001p4t60QAA</t>
  </si>
  <si>
    <t>63fcbb81a107c871cf564dd1</t>
  </si>
  <si>
    <t>CDW - USA</t>
  </si>
  <si>
    <t>0012000001Xx5sNAAR</t>
  </si>
  <si>
    <t>63fcbb99a107c871cf5678e9</t>
  </si>
  <si>
    <t>CDX TELECOM</t>
  </si>
  <si>
    <t>0010J00001jfwHeQAI</t>
  </si>
  <si>
    <t>63fcbb8ca107c871cf56611f</t>
  </si>
  <si>
    <t>CEGELEC DEFENSE</t>
  </si>
  <si>
    <t>0012000001CafurAAB</t>
  </si>
  <si>
    <t>63fcbb98a107c871cf5677d1</t>
  </si>
  <si>
    <t>CEGELEC LA REUNION</t>
  </si>
  <si>
    <t>0012000000tvKGHAA2</t>
  </si>
  <si>
    <t>ATEXIA</t>
  </si>
  <si>
    <t>63fcbb98a107c871cf5676c7</t>
  </si>
  <si>
    <t>CEGELEC NOUVELLE CALEDONIE</t>
  </si>
  <si>
    <t>0012000000mxJ18AAE</t>
  </si>
  <si>
    <t>63fcbb8ea107c871cf566563</t>
  </si>
  <si>
    <t>CEGELEC OUEST - PORTES DE BRETAGNE</t>
  </si>
  <si>
    <t>0012000000eAYSbAAO</t>
  </si>
  <si>
    <t>CEGELEC OUEST -  PORTES DE BRETAGNE</t>
  </si>
  <si>
    <t>63fcbb91a107c871cf566a41</t>
  </si>
  <si>
    <t>CEGELEC POLYNESIE</t>
  </si>
  <si>
    <t>0012000000mxJ19AAE</t>
  </si>
  <si>
    <t>63fcbb7ea107c871cf5646d1</t>
  </si>
  <si>
    <t>Cellcom ISRAEL LTD</t>
  </si>
  <si>
    <t>0015I00000ZvhhUQAR</t>
  </si>
  <si>
    <t>63fcbb9ca107c871cf567e6f</t>
  </si>
  <si>
    <t>CEREALOG</t>
  </si>
  <si>
    <t>0012000001JaihvAAB</t>
  </si>
  <si>
    <t>63fcbb86a107c871cf5655b1</t>
  </si>
  <si>
    <t>Cerium Technologies, S.L.</t>
  </si>
  <si>
    <t>astrid.savorani@al-enterprise.com, rafael.andreo@al-enterprise.com, esther.alonso@al-enterprise.com, marcos.rodriguez@al-enterprise.com</t>
  </si>
  <si>
    <t>0010J00001yvJM1QAM</t>
  </si>
  <si>
    <t>63fcbb80a107c871cf564b85</t>
  </si>
  <si>
    <t>Certis Technology Singapore Pte Ltd</t>
  </si>
  <si>
    <t>0015I000003H2WKQA0</t>
  </si>
  <si>
    <t>63fcbb9ea107c871cf56809f</t>
  </si>
  <si>
    <t>CERYCOM</t>
  </si>
  <si>
    <t>0015I00000h5zcrQAA</t>
  </si>
  <si>
    <t>63fcbb82a107c871cf564ebf</t>
  </si>
  <si>
    <t>CETEL TELECOM &amp; TECHNOLOGY</t>
  </si>
  <si>
    <t>LY</t>
  </si>
  <si>
    <t>0015I00000Zt7jaQAB</t>
  </si>
  <si>
    <t>67507294c5313518be0f3852</t>
  </si>
  <si>
    <t>CFI GROUPE VIA PEDAB</t>
  </si>
  <si>
    <t>philippe.girard@al-enterprise.com, rui.silva@al-enterprise.com, caroline.maugere@al-enterprise.com, charles-henri.kindler@al-enterprise.com, yoan.cohen-akenine@al-enterprise.com</t>
  </si>
  <si>
    <t>CFI GROUPE</t>
  </si>
  <si>
    <t>0015I00000hsRxqQAE</t>
  </si>
  <si>
    <t>63fcbb80a107c871cf564c2d</t>
  </si>
  <si>
    <t>CGCS</t>
  </si>
  <si>
    <t>0010J000029PSUvQAO</t>
  </si>
  <si>
    <t>63fcbb82a107c871cf564e17</t>
  </si>
  <si>
    <t>CHANNEL COMMUNICATIONS</t>
  </si>
  <si>
    <t>katrien.dirickx@al-enterprise.com, tom.van-uffelen@al-enterprise.com</t>
  </si>
  <si>
    <t>BE</t>
  </si>
  <si>
    <t>0012000000mxIwUAAU</t>
  </si>
  <si>
    <t>673f084b01413fb2a5070832</t>
  </si>
  <si>
    <t>CHEVALIER (NETWORK SOLUTIONS) LTD</t>
  </si>
  <si>
    <t>philippe.girard@al-enterprise.com, rui.silva@al-enterprise.com, peter.choi@al-enterprise.com</t>
  </si>
  <si>
    <t>service_partner</t>
  </si>
  <si>
    <t>enterprise_communication_platforms</t>
  </si>
  <si>
    <t>63ced845c5c820531c268753</t>
  </si>
  <si>
    <t>China Huaxin Malaysia Sdn Bhd</t>
  </si>
  <si>
    <t>0015I0000060NTUQA2</t>
  </si>
  <si>
    <t>63fcbb9ba107c871cf567d1f</t>
  </si>
  <si>
    <t>China Mobile International</t>
  </si>
  <si>
    <t>0015I00000aXcP6QAK</t>
  </si>
  <si>
    <t>63fcbb84a107c871cf565293</t>
  </si>
  <si>
    <t>Christmann Informationstechnik</t>
  </si>
  <si>
    <t>michael.moog@al-enterprise.com, philipp.bode@al-enterprise.com</t>
  </si>
  <si>
    <t>0015I00000OgaWyQAJ</t>
  </si>
  <si>
    <t>63fcbb7da107c871cf564573</t>
  </si>
  <si>
    <t>Christoph Böhne EDV- und</t>
  </si>
  <si>
    <t>0012000000eAYQnAAO</t>
  </si>
  <si>
    <t>63ced848c5c820531c268c99</t>
  </si>
  <si>
    <t>Chyma Pty Ltd</t>
  </si>
  <si>
    <t>0010J00001p2RXTQA2</t>
  </si>
  <si>
    <t>63fcbb97a107c871cf5674dd</t>
  </si>
  <si>
    <t>CINETIC IT</t>
  </si>
  <si>
    <t>0015I00000bZ8qNQAS</t>
  </si>
  <si>
    <t>63fcbb9aa107c871cf567b35</t>
  </si>
  <si>
    <t>CIPAC</t>
  </si>
  <si>
    <t>00120000014inAcAAI</t>
  </si>
  <si>
    <t>63fcbb87a107c871cf5658f9</t>
  </si>
  <si>
    <t>CIPE</t>
  </si>
  <si>
    <t>0012000000ohXSIAA2</t>
  </si>
  <si>
    <t>63fcbb92a107c871cf566bf3</t>
  </si>
  <si>
    <t>CIRCET</t>
  </si>
  <si>
    <t>00120000014inAbAAI</t>
  </si>
  <si>
    <t>63fcbb8aa107c871cf565d91</t>
  </si>
  <si>
    <t>CIRTEL</t>
  </si>
  <si>
    <t>0010J000021KrYgQAK</t>
  </si>
  <si>
    <t>63fcbb87a107c871cf5658dd</t>
  </si>
  <si>
    <t>CISCOM Internet Technologies Com</t>
  </si>
  <si>
    <t>0012000000mxIxlAAE</t>
  </si>
  <si>
    <t>63fcbb9ba107c871cf567bdd</t>
  </si>
  <si>
    <t>CITEL SERVICES</t>
  </si>
  <si>
    <t>0012000001dvDuFAAU</t>
  </si>
  <si>
    <t>63fcbb88a107c871cf565977</t>
  </si>
  <si>
    <t>CL SYSTEMS</t>
  </si>
  <si>
    <t>0012000000tvKebAAE</t>
  </si>
  <si>
    <t>633dbedc7d81b978d40bc393</t>
  </si>
  <si>
    <t>Claranet Portugal</t>
  </si>
  <si>
    <t>0015I00000cAf7lQAC</t>
  </si>
  <si>
    <t>63fcbb87a107c871cf5658eb</t>
  </si>
  <si>
    <t>CLIPTEL</t>
  </si>
  <si>
    <t>0012000000ohXQYAA2</t>
  </si>
  <si>
    <t>63ea6e9752ad6968805cf19b</t>
  </si>
  <si>
    <t>CLOUD &amp; HEAT Technologies GmbH</t>
  </si>
  <si>
    <t>0010J00001p3gGaQAI</t>
  </si>
  <si>
    <t>63fcbb88a107c871cf565a1f</t>
  </si>
  <si>
    <t>CLOUD CONNECTED NETWORK</t>
  </si>
  <si>
    <t>0010J00001yu7qKQAQ</t>
  </si>
  <si>
    <t>63fcbb85a107c871cf56555d</t>
  </si>
  <si>
    <t>CLOUD-U Telecoms</t>
  </si>
  <si>
    <t>00120000019V8PlAAK</t>
  </si>
  <si>
    <t>63ced844c5c820531c268483</t>
  </si>
  <si>
    <t>ClueM</t>
  </si>
  <si>
    <t>kwangjik.kim@al-enterprise.com, chunshik.shin@al-enterprise.com, jaeho.kim@al-enterprise.com</t>
  </si>
  <si>
    <t>0012000000eAZRSAA4</t>
  </si>
  <si>
    <t>63fcbb83a107c871cf5650a9</t>
  </si>
  <si>
    <t>cmp net GmbH &amp; Co. KG</t>
  </si>
  <si>
    <t>0012000001E9jFRAAZ</t>
  </si>
  <si>
    <t>63fcbb9ea107c871cf568139</t>
  </si>
  <si>
    <t>CNDT</t>
  </si>
  <si>
    <t>0012000000mxIvdAAE</t>
  </si>
  <si>
    <t>63fcbb96a107c871cf567355</t>
  </si>
  <si>
    <t>COAXTEL</t>
  </si>
  <si>
    <t>0012000000ohXUKAA2</t>
  </si>
  <si>
    <t>63fcbb82a107c871cf564ee9</t>
  </si>
  <si>
    <t>Coelhovoip Network Security Ltda</t>
  </si>
  <si>
    <t>sinclair.fidelis@al-enterprise.com</t>
  </si>
  <si>
    <t>0015I00000bAtgYQAS</t>
  </si>
  <si>
    <t>63ced848c5c820531c268c6c</t>
  </si>
  <si>
    <t>Cogent Limited</t>
  </si>
  <si>
    <t>paul.pan@al-enterprise.com</t>
  </si>
  <si>
    <t>NZ</t>
  </si>
  <si>
    <t>0012000000eAZhgAAG</t>
  </si>
  <si>
    <t>LANTech Limited</t>
  </si>
  <si>
    <t>63ced847c5c820531c2689ab</t>
  </si>
  <si>
    <t>COM plan + service GmbH</t>
  </si>
  <si>
    <t>thomas.ullmann@al-enterprise.com, silke.fraedrich@al-enterprise.com, andreas.grossheimann@al-enterprise.com, samantha.hunt@al-enterprise.com, katrin.pfeiffer@al-enterprise.com, sibylle.klopfer@al-enterprise.com, igor.leko@al-enterprise.com</t>
  </si>
  <si>
    <t>0012000000eAYTYAA4</t>
  </si>
  <si>
    <t>63fcbb95a107c871cf56724b</t>
  </si>
  <si>
    <t>COM-HIGHTECH</t>
  </si>
  <si>
    <t>0010J00001yu7qMQAQ</t>
  </si>
  <si>
    <t>63ced847c5c820531c268b04</t>
  </si>
  <si>
    <t>COM. TEL S.P.A.</t>
  </si>
  <si>
    <t>astrid.savorani@al-enterprise.com, andrea.scaietti@al-enterprise.com, luigi.radice@al-enterprise.com</t>
  </si>
  <si>
    <t>0012000000eAYTaAAO</t>
  </si>
  <si>
    <t>63ced841c5c820531c267d6c</t>
  </si>
  <si>
    <t>Comafrique Technologies</t>
  </si>
  <si>
    <t>vassilis.xenakis@al-enterprise.com, najeh.khalil@al-enterprise.com, karim.harrouche@al-enterprise.com, ahmed.hamzawy@al-enterprise.com</t>
  </si>
  <si>
    <t>CI</t>
  </si>
  <si>
    <t>0012000000eAYTdAAO</t>
  </si>
  <si>
    <t>63fcbb83a107c871cf56501d</t>
  </si>
  <si>
    <t>COMASYS</t>
  </si>
  <si>
    <t>0012000000eAYTjAAO</t>
  </si>
  <si>
    <t>63ef9d55384f27260c1ba027</t>
  </si>
  <si>
    <t>COMFAX</t>
  </si>
  <si>
    <t>0012000000eAYToAAO</t>
  </si>
  <si>
    <t>63fcbb7fa107c871cf56491d</t>
  </si>
  <si>
    <t>Comfica Soluciones Integrales SL</t>
  </si>
  <si>
    <t>0010J00001lzNBiQAM</t>
  </si>
  <si>
    <t>63fcbb93a107c871cf566e69</t>
  </si>
  <si>
    <t>COMLIGHT</t>
  </si>
  <si>
    <t>0015I00000ei8FVQAY</t>
  </si>
  <si>
    <t>63fcbb7fa107c871cf564891</t>
  </si>
  <si>
    <t>COMLINK</t>
  </si>
  <si>
    <t>nicolas.juste@al-enterprise.com, yohan.caplier@al-enterprise.com</t>
  </si>
  <si>
    <t>0012000001HphIcAAJ</t>
  </si>
  <si>
    <t>63fcbb7fa107c871cf56489f</t>
  </si>
  <si>
    <t>Communication Information Systems</t>
  </si>
  <si>
    <t>0010J00001p3gGgQAI</t>
  </si>
  <si>
    <t>63ced848c5c820531c268bc7</t>
  </si>
  <si>
    <t>Communication Progress Sh.p.k.</t>
  </si>
  <si>
    <t>AL</t>
  </si>
  <si>
    <t>0012000000eAYU3AAO</t>
  </si>
  <si>
    <t>63ced84dc5c820531c2696da</t>
  </si>
  <si>
    <t>Communications Consulting Inc.</t>
  </si>
  <si>
    <t>brendan.flaherty@al-enterprise.com, michael-j.francis@al-enterprise.com, jon.taylor@al-enterprise.com</t>
  </si>
  <si>
    <t>0012000000eAZCrAAO</t>
  </si>
  <si>
    <t>63fcbb88a107c871cf565969</t>
  </si>
  <si>
    <t>COMMUTEL</t>
  </si>
  <si>
    <t>0012000000tvKcsAAE</t>
  </si>
  <si>
    <t>63fcbb86a107c871cf56569f</t>
  </si>
  <si>
    <t>COMPHONE</t>
  </si>
  <si>
    <t>0012000000tvKetAAE</t>
  </si>
  <si>
    <t>63fcbb9ca107c871cf567e37</t>
  </si>
  <si>
    <t>Comptoir Agenais Telecommunications</t>
  </si>
  <si>
    <t>0012000000tvKFBAA2</t>
  </si>
  <si>
    <t>63ea6e9652ad6968805cef25</t>
  </si>
  <si>
    <t>Compu-House GmbH</t>
  </si>
  <si>
    <t>0012000000oi322AAA</t>
  </si>
  <si>
    <t>633dbd9e7d81b978d40bc35d</t>
  </si>
  <si>
    <t>Compuage Infocom Ltd</t>
  </si>
  <si>
    <t>vishal.chavan@al-enterprise.com</t>
  </si>
  <si>
    <t>0015I00000QRM8rQAH</t>
  </si>
  <si>
    <t>63fcbb8ca107c871cf56620d</t>
  </si>
  <si>
    <t>COMPUFIRST</t>
  </si>
  <si>
    <t>0012000001M0zZSAAZ</t>
  </si>
  <si>
    <t>63fcbb85a107c871cf5654df</t>
  </si>
  <si>
    <t>COMPUTACENTER</t>
  </si>
  <si>
    <t>0015I00000T3bUCQAZ</t>
  </si>
  <si>
    <t>63ef9d5b384f27260c1ba899</t>
  </si>
  <si>
    <t>Computacenter Plc</t>
  </si>
  <si>
    <t>0010J00001mSkc5QAC</t>
  </si>
  <si>
    <t>63ced84bc5c820531c2692de</t>
  </si>
  <si>
    <t>COMPUTER GROSS SPA</t>
  </si>
  <si>
    <t>0012000000ohXSpAAM</t>
  </si>
  <si>
    <t>63fcbb7ea107c871cf5647f7</t>
  </si>
  <si>
    <t>Computerland UK Ltd</t>
  </si>
  <si>
    <t>laurent.paterac@al-enterprise.com, gerry.ohanlon@al-enterprise.com, david.upsher@al-enterprise.com</t>
  </si>
  <si>
    <t>0010J00001pTvzZQAS</t>
  </si>
  <si>
    <t>63ced847c5c820531c2689e7</t>
  </si>
  <si>
    <t>Computime Technology</t>
  </si>
  <si>
    <t>gian-luigi.cassago@al-enterprise.com</t>
  </si>
  <si>
    <t>MT</t>
  </si>
  <si>
    <t>0012000000eAYUQAA4</t>
  </si>
  <si>
    <t>63ef9d5d384f27260c1bac85</t>
  </si>
  <si>
    <t>COMSA 98 SL</t>
  </si>
  <si>
    <t>astrid.savorani@al-enterprise.com, rafael.andreo@al-enterprise.com, esther.alonso@al-enterprise.com, hubert.chapelle@al-enterprise.com, marcos.rodriguez@al-enterprise.com, borja.gonzalvez@al-enterprise.com</t>
  </si>
  <si>
    <t>0012000000tvKG2AAM</t>
  </si>
  <si>
    <t>63ced846c5c820531c268933</t>
  </si>
  <si>
    <t>COMSEC</t>
  </si>
  <si>
    <t>0012000000eAYUSAA4</t>
  </si>
  <si>
    <t>63ced84dc5c820531c2696e9</t>
  </si>
  <si>
    <t>ComStar Technologies</t>
  </si>
  <si>
    <t>0012000000eAZCbAAO</t>
  </si>
  <si>
    <t>63ea6e9652ad6968805cef41</t>
  </si>
  <si>
    <t>Comtec Kommunikationssysteme GmbH</t>
  </si>
  <si>
    <t>0012000000tuSADAA2</t>
  </si>
  <si>
    <t>63ced842c5c820531c268096</t>
  </si>
  <si>
    <t>Comtel S.A.</t>
  </si>
  <si>
    <t>luis.arriagada@al-enterprise.com</t>
  </si>
  <si>
    <t>0012000000eAZk1AAG</t>
  </si>
  <si>
    <t>63ea6e9452ad6968805cec4d</t>
  </si>
  <si>
    <t>Comtelo GbR Dipl.Ing.(FH) Torge</t>
  </si>
  <si>
    <t>0012000000tuSHBAA2</t>
  </si>
  <si>
    <t>63ced84ec5c820531c26998c</t>
  </si>
  <si>
    <t>Comtex Telecommunications, Inc</t>
  </si>
  <si>
    <t>0012000000zZRJdAAO</t>
  </si>
  <si>
    <t>63fcbb96a107c871cf567451</t>
  </si>
  <si>
    <t>Comunic developpement</t>
  </si>
  <si>
    <t>0012000001gNKdGAAW</t>
  </si>
  <si>
    <t>63fcbb80a107c871cf564b07</t>
  </si>
  <si>
    <t>COMUTEX</t>
  </si>
  <si>
    <t>0012000000tuSDYAA2</t>
  </si>
  <si>
    <t>63fcbb89a107c871cf565b61</t>
  </si>
  <si>
    <t>Comways</t>
  </si>
  <si>
    <t>0012000001HphIbAAJ</t>
  </si>
  <si>
    <t>63ced842c5c820531c2680ff</t>
  </si>
  <si>
    <t>Comways eu B.V.</t>
  </si>
  <si>
    <t>0012000001EcdlSAAR</t>
  </si>
  <si>
    <t>63fcbb93a107c871cf566deb</t>
  </si>
  <si>
    <t>CONCEPT TELECOM</t>
  </si>
  <si>
    <t>0012000000tuSD1AAM</t>
  </si>
  <si>
    <t>63fcbb85a107c871cf565453</t>
  </si>
  <si>
    <t>CONCEPTS &amp; DEVICES.</t>
  </si>
  <si>
    <t>0012000001BYbXgAAL</t>
  </si>
  <si>
    <t>CONCEPTS &amp; DEVICES LLP</t>
  </si>
  <si>
    <t>63ced84ec5c820531c2699b9</t>
  </si>
  <si>
    <t>ConCor Networks Inc</t>
  </si>
  <si>
    <t>001200000124lvUAAQ</t>
  </si>
  <si>
    <t>63ef9d5d384f27260c1babe5</t>
  </si>
  <si>
    <t>CONECTIA - CRH</t>
  </si>
  <si>
    <t>0012000000tuSDVAA2</t>
  </si>
  <si>
    <t>63fcbb8ea107c871cf56652b</t>
  </si>
  <si>
    <t>CONNECS TELECOM</t>
  </si>
  <si>
    <t>0010J00001mmDKsQAM</t>
  </si>
  <si>
    <t>63fcbb8fa107c871cf566769</t>
  </si>
  <si>
    <t>CONNECT SERVICES</t>
  </si>
  <si>
    <t>0010J00001nEITzQAO</t>
  </si>
  <si>
    <t>63ea6e9452ad6968805ced1f</t>
  </si>
  <si>
    <t>connectline GmbH</t>
  </si>
  <si>
    <t>0012000000eAYUpAAO</t>
  </si>
  <si>
    <t>63fcbb86a107c871cf5656f3</t>
  </si>
  <si>
    <t>ConnetU Ltd.</t>
  </si>
  <si>
    <t>nick.milnes@al-enterprise.com, laurent.paterac@al-enterprise.com, gerry.ohanlon@al-enterprise.com</t>
  </si>
  <si>
    <t>0010J000020IQ5BQAW</t>
  </si>
  <si>
    <t>63fcbb96a107c871cf56730f</t>
  </si>
  <si>
    <t>CONNEX IT</t>
  </si>
  <si>
    <t>0012000000eAZNkAAO</t>
  </si>
  <si>
    <t>63fcbb7fa107c871cf56497f</t>
  </si>
  <si>
    <t>CONNEXING</t>
  </si>
  <si>
    <t>0012000000tuRlJAAU</t>
  </si>
  <si>
    <t>63fcbb88a107c871cf565a81</t>
  </si>
  <si>
    <t>CONNEXX</t>
  </si>
  <si>
    <t>0015I000002MnePQAS</t>
  </si>
  <si>
    <t>63fcbb97a107c871cf5674c1</t>
  </si>
  <si>
    <t>CONSEIL 88</t>
  </si>
  <si>
    <t>0015I00000WBRHDQA5</t>
  </si>
  <si>
    <t>63fcbb9ca107c871cf567eb5</t>
  </si>
  <si>
    <t>CONSULT TELECOM</t>
  </si>
  <si>
    <t>0015I00000UME9SQAX</t>
  </si>
  <si>
    <t>63ea6e9552ad6968805cedf1</t>
  </si>
  <si>
    <t>Contact Funk-Kommunikations-Systeme</t>
  </si>
  <si>
    <t>0012000000eAYUyAAO</t>
  </si>
  <si>
    <t>63fcbb9ba107c871cf567bf9</t>
  </si>
  <si>
    <t>CONTACT MAYOTTE</t>
  </si>
  <si>
    <t>0015I000002MIoeQAG</t>
  </si>
  <si>
    <t>68248a17b487809ea502ca32</t>
  </si>
  <si>
    <t>Contfinity Pte Ltd</t>
  </si>
  <si>
    <t>rui.silva@al-enterprise.com, terry.daniel@al-enterprise.com</t>
  </si>
  <si>
    <t>001SZ00000G0FnTYAV</t>
  </si>
  <si>
    <t>63ea6e9352ad6968805cea63</t>
  </si>
  <si>
    <t>Controlware GmbH</t>
  </si>
  <si>
    <t>katrin.pfeiffer@al-enterprise.com, sibylle.klopfer@al-enterprise.com, igor.leko@al-enterprise.com, philipp.bode@al-enterprise.com</t>
  </si>
  <si>
    <t>0012000000tuSC1AAM</t>
  </si>
  <si>
    <t>63ced84ec5c820531c2698d8</t>
  </si>
  <si>
    <t>Convergence Voice Networks</t>
  </si>
  <si>
    <t>0012000000qybo0AAA</t>
  </si>
  <si>
    <t>63fcbb80a107c871cf564b15</t>
  </si>
  <si>
    <t>CONVERGENCE.COM</t>
  </si>
  <si>
    <t>00120000015vIPCAA2</t>
  </si>
  <si>
    <t>66bccb4b55baeaca630a4692</t>
  </si>
  <si>
    <t>Convergint Technologies LLC (IL)</t>
  </si>
  <si>
    <t>bill.cusack@al-enterprise.com, jack.jachner@al-enterprise.com</t>
  </si>
  <si>
    <t>0015I000009GuT9QAK</t>
  </si>
  <si>
    <t>63ced84ec5c820531c2699aa</t>
  </si>
  <si>
    <t>Conxx Inc</t>
  </si>
  <si>
    <t>00120000013qYSDAA2</t>
  </si>
  <si>
    <t>6140b8b00bf4b746c26e3412</t>
  </si>
  <si>
    <t>COPACO DC B.V</t>
  </si>
  <si>
    <t>philippe.girard@al-enterprise.com, rui.silva@al-enterprise.com, katrien.dirickx@al-enterprise.com, tom.van-uffelen@al-enterprise.com, frank.van-spanje@al-enterprise.com</t>
  </si>
  <si>
    <t>0015I00000bCpEWQA0</t>
  </si>
  <si>
    <t>Copaco DC B.V</t>
  </si>
  <si>
    <t>63fcbb98a107c871cf56776f</t>
  </si>
  <si>
    <t>COPWELL</t>
  </si>
  <si>
    <t>0012000000tuSEeAAM</t>
  </si>
  <si>
    <t>63ced84dc5c820531c26968f</t>
  </si>
  <si>
    <t>Coranet</t>
  </si>
  <si>
    <t>0012000000eAZHjAAO</t>
  </si>
  <si>
    <t>63ced84dc5c820531c269707</t>
  </si>
  <si>
    <t>Core Business Technology Solutions</t>
  </si>
  <si>
    <t>0012000000eBHH5AAO</t>
  </si>
  <si>
    <t>63fcbb9ea107c871cf568163</t>
  </si>
  <si>
    <t>CORFU</t>
  </si>
  <si>
    <t>philippe.girard@al-enterprise.com, rui.silva@al-enterprise.com, yohan.caplier@al-enterprise.com</t>
  </si>
  <si>
    <t>0012000000ohXPPAA2</t>
  </si>
  <si>
    <t>mitel</t>
  </si>
  <si>
    <t>63ef9d59384f27260c1ba667</t>
  </si>
  <si>
    <t>Corporate Distribution Diversity</t>
  </si>
  <si>
    <t>vassilis.xenakis@al-enterprise.com, karim.harrouche@al-enterprise.com</t>
  </si>
  <si>
    <t>0012000000zWIPMAA4</t>
  </si>
  <si>
    <t>63ea6e9352ad6968805cea8d</t>
  </si>
  <si>
    <t>cosmotel IT GmbH</t>
  </si>
  <si>
    <t>ralf.kloeppels@al-enterprise.com, katrin.pfeiffer@al-enterprise.com, sibylle.klopfer@al-enterprise.com, igor.leko@al-enterprise.com</t>
  </si>
  <si>
    <t>0012000000tuSAGAA2</t>
  </si>
  <si>
    <t>Axians cosmotel GmbH</t>
  </si>
  <si>
    <t>63fcbb9aa107c871cf567a2b</t>
  </si>
  <si>
    <t>COSTA</t>
  </si>
  <si>
    <t>0012000000eAYVAAA4</t>
  </si>
  <si>
    <t>63fcbb89a107c871cf565cdb</t>
  </si>
  <si>
    <t>COTTEL RESEAUX</t>
  </si>
  <si>
    <t>0012000000tuSIZAA2</t>
  </si>
  <si>
    <t>63ced841c5c820531c267eb6</t>
  </si>
  <si>
    <t>COVERGINT Comercio e Servicos de Tecnologia Ltda</t>
  </si>
  <si>
    <t>vinicius.costa@al-enterprise.com</t>
  </si>
  <si>
    <t>0012000000imFrwAAE</t>
  </si>
  <si>
    <t>COVERGINT Comercio e Servicos</t>
  </si>
  <si>
    <t>63fcbb82a107c871cf564fbb</t>
  </si>
  <si>
    <t>Croon Elektrotechniek BV</t>
  </si>
  <si>
    <t>0012000000tuSEmAAM</t>
  </si>
  <si>
    <t>Croonwolter&amp;dros B.V.</t>
  </si>
  <si>
    <t>63fcbb81a107c871cf564d0d</t>
  </si>
  <si>
    <t>CRTC SAS</t>
  </si>
  <si>
    <t>0010J000020Fj6sQAC</t>
  </si>
  <si>
    <t>63fcbb8aa107c871cf565d67</t>
  </si>
  <si>
    <t>CRYALIS</t>
  </si>
  <si>
    <t>0010J00001jghH2QAI</t>
  </si>
  <si>
    <t>63ced840c5c820531c267d30</t>
  </si>
  <si>
    <t>Crystal Communications, Inc.</t>
  </si>
  <si>
    <t>michael-j.francis@al-enterprise.com, luigy.estevanell@al-enterprise.com, steve.aliberti@al-enterprise.com, robert.stitz@al-enterprise.com</t>
  </si>
  <si>
    <t>0012000000ohXSUAA2</t>
  </si>
  <si>
    <t>63ea6e9552ad6968805ced8f</t>
  </si>
  <si>
    <t>cs communication systems GmbH</t>
  </si>
  <si>
    <t>andreas.grossheimann@al-enterprise.com, samantha.hunt@al-enterprise.com</t>
  </si>
  <si>
    <t>0012000000tuSAIAA2</t>
  </si>
  <si>
    <t>63fcbb95a107c871cf567221</t>
  </si>
  <si>
    <t>CS SYTSTEM</t>
  </si>
  <si>
    <t>0010J00001vIqQvQAK</t>
  </si>
  <si>
    <t>63fcbb9da107c871cf568067</t>
  </si>
  <si>
    <t>CSE CONSEIL</t>
  </si>
  <si>
    <t>0015I00000aWbXKQA0</t>
  </si>
  <si>
    <t>63fcbb9aa107c871cf567ae1</t>
  </si>
  <si>
    <t>CSF TECHNOLOGIES</t>
  </si>
  <si>
    <t>0012000000ohXQFAA2</t>
  </si>
  <si>
    <t>63ea6e9652ad6968805cef17</t>
  </si>
  <si>
    <t>CTH Dresden GmbH</t>
  </si>
  <si>
    <t>0015I00000BlgUxQAJ</t>
  </si>
  <si>
    <t>63fcbb88a107c871cf565a65</t>
  </si>
  <si>
    <t>CTRL INFORMATIQUE</t>
  </si>
  <si>
    <t>0012000001bRoQ5AAK</t>
  </si>
  <si>
    <t>63ef9d5e384f27260c1bae2b</t>
  </si>
  <si>
    <t>CTV</t>
  </si>
  <si>
    <t>0012000000tvKGQAA2</t>
  </si>
  <si>
    <t>63fcbb97a107c871cf567611</t>
  </si>
  <si>
    <t>CUBE</t>
  </si>
  <si>
    <t>0012000000eAYVXAA4</t>
  </si>
  <si>
    <t>67507466cc02b92062000912</t>
  </si>
  <si>
    <t>Cuebid Syd</t>
  </si>
  <si>
    <t>philippe.girard@al-enterprise.com, rui.silva@al-enterprise.com, joakim.ahrens@al-enterprise.com, magnus.sers@al-enterprise.com</t>
  </si>
  <si>
    <t>SE</t>
  </si>
  <si>
    <t>001SZ00000Ik8jUYAR</t>
  </si>
  <si>
    <t>63ced845c5c820531c268645</t>
  </si>
  <si>
    <t>CURVE TECHNOLOGIES (PVT) LTD</t>
  </si>
  <si>
    <t>najeh.khalil@al-enterprise.com, khaled.maher@al-enterprise.com, sujit.shetty@al-enterprise.com</t>
  </si>
  <si>
    <t>PK</t>
  </si>
  <si>
    <t>0010J00001p3gGeQAI</t>
  </si>
  <si>
    <t>67fe2810e98e5198a90d9ce8</t>
  </si>
  <si>
    <t>Curvewave Technology Private Limited</t>
  </si>
  <si>
    <t>001SZ000002oml6YAA</t>
  </si>
  <si>
    <t>Curvewave Technology Private</t>
  </si>
  <si>
    <t>63ced84dc5c820531c269734</t>
  </si>
  <si>
    <t>Custom Computer Specialists</t>
  </si>
  <si>
    <t>0012000000eAZamAAG</t>
  </si>
  <si>
    <t>63fcbb9da107c871cf567f41</t>
  </si>
  <si>
    <t>CVDIS</t>
  </si>
  <si>
    <t>0012000000eAZD3AAO</t>
  </si>
  <si>
    <t>63fcbb89a107c871cf565c41</t>
  </si>
  <si>
    <t>CX FACTORY</t>
  </si>
  <si>
    <t>0015I00000e6FNiQAM</t>
  </si>
  <si>
    <t>650c11436aec5c84ef0a6902</t>
  </si>
  <si>
    <t>Cyber5 GmbH</t>
  </si>
  <si>
    <t>philippe.girard@al-enterprise.com, rui.silva@al-enterprise.com, ralf.kloeppels@al-enterprise.com, katrin.pfeiffer@al-enterprise.com, sibylle.klopfer@al-enterprise.com, igor.leko@al-enterprise.com</t>
  </si>
  <si>
    <t>0015I00000iMwjPQAS</t>
  </si>
  <si>
    <t>cyber5 GmbH</t>
  </si>
  <si>
    <t>63fcbb7ca107c871cf564511</t>
  </si>
  <si>
    <t>Cyclo X Solucoes em TI Ltda</t>
  </si>
  <si>
    <t>0012000000eAZUCAA4</t>
  </si>
  <si>
    <t>63fcbb7ea107c871cf5646b5</t>
  </si>
  <si>
    <t>Cygate AB</t>
  </si>
  <si>
    <t>joakim.ahrens@al-enterprise.com, laurent.paterac@al-enterprise.com, magnus.sers@al-enterprise.com, christopher.weyell@al-enterprise.com</t>
  </si>
  <si>
    <t>0012000000fJFSUAA4</t>
  </si>
  <si>
    <t>Telia Cygate AB</t>
  </si>
  <si>
    <t>63fcbb90a107c871cf566945</t>
  </si>
  <si>
    <t>Cyrès</t>
  </si>
  <si>
    <t>0015I00000U8Y5kQAF</t>
  </si>
  <si>
    <t>63fcbb7da107c871cf564645</t>
  </si>
  <si>
    <t>D-FI Bordeaux</t>
  </si>
  <si>
    <t>0010J00001rXBgFQAW</t>
  </si>
  <si>
    <t>63fcbb7fa107c871cf564a6d</t>
  </si>
  <si>
    <t>D.S.I.</t>
  </si>
  <si>
    <t>0012000000eAYXIAA4</t>
  </si>
  <si>
    <t>63fcbb9fa107c871cf5682a5</t>
  </si>
  <si>
    <t>D2J</t>
  </si>
  <si>
    <t>0015I00000EmHfYQAV</t>
  </si>
  <si>
    <t>63ced849c5c820531c268fb4</t>
  </si>
  <si>
    <t>Dacas Chile SpA</t>
  </si>
  <si>
    <t>0010J0000299qXDQAY</t>
  </si>
  <si>
    <t>63ced849c5c820531c268ea6</t>
  </si>
  <si>
    <t>DACAS Colombia</t>
  </si>
  <si>
    <t>philippe.girard@al-enterprise.com, rui.silva@al-enterprise.com, carolina.rodriguez@al-enterprise.com</t>
  </si>
  <si>
    <t>lan_network, wlan_network, enterprise_communication_platforms</t>
  </si>
  <si>
    <t>0015I00000j4H31QAE</t>
  </si>
  <si>
    <t>63ced84ac5c820531c2690ef</t>
  </si>
  <si>
    <t>Dacas Corp.</t>
  </si>
  <si>
    <t>0015I000003GyZAQA0</t>
  </si>
  <si>
    <t>65dcd9bc019929778f07c73f</t>
  </si>
  <si>
    <t>Dacas Distri Mexico</t>
  </si>
  <si>
    <t>001SZ000003TANMYA4</t>
  </si>
  <si>
    <t>DACAS DISTRI MEXICO</t>
  </si>
  <si>
    <t>63ced849c5c820531c268fe1</t>
  </si>
  <si>
    <t>Dacas Paraguay S.A.</t>
  </si>
  <si>
    <t>0010J00002BXkHhQAL</t>
  </si>
  <si>
    <t>63ced849c5c820531c268fd2</t>
  </si>
  <si>
    <t>DACAS S.A.</t>
  </si>
  <si>
    <t>0012000000gvLeJAAU</t>
  </si>
  <si>
    <t>6488e1eb863dcd5166276b2b</t>
  </si>
  <si>
    <t>Dactyl Infogérance</t>
  </si>
  <si>
    <t>0015I00000Oe2hLQAR</t>
  </si>
  <si>
    <t>63ced844c5c820531c2684ce</t>
  </si>
  <si>
    <t>DAESHIN GLOBAL NETWORK Co., Ltd.</t>
  </si>
  <si>
    <t>0012000000ohXT0AAM</t>
  </si>
  <si>
    <t>63ced848c5c820531c268d98</t>
  </si>
  <si>
    <t>Dagostino Electronic Services, Inc.</t>
  </si>
  <si>
    <t>0015I00000ej7IAQAY</t>
  </si>
  <si>
    <t>NAT    NORTH AMERICAN TECHNOLOGIES</t>
  </si>
  <si>
    <t>63ced84dc5c820531c26969e</t>
  </si>
  <si>
    <t>brendan.flaherty@al-enterprise.com, michael-j.francis@al-enterprise.com, tracy.dupree@al-enterprise.com, jon.taylor@al-enterprise.com</t>
  </si>
  <si>
    <t>0012000000eAYVfAAO</t>
  </si>
  <si>
    <t>63fcbb87a107c871cf565835</t>
  </si>
  <si>
    <t>Daishin Information Co.,Ltd</t>
  </si>
  <si>
    <t>0012000000eAZ9LAAW</t>
  </si>
  <si>
    <t>63fcbb9fa107c871cf568377</t>
  </si>
  <si>
    <t>Daltoner</t>
  </si>
  <si>
    <t>0015I00000J5Sk9QAF</t>
  </si>
  <si>
    <t>63ced84dc5c820531c2697bb</t>
  </si>
  <si>
    <t>Daly Computers</t>
  </si>
  <si>
    <t>0012000000eAZhSAAW</t>
  </si>
  <si>
    <t>63fcbb7da107c871cf56461b</t>
  </si>
  <si>
    <t>Dan's Excavating, Inc.</t>
  </si>
  <si>
    <t>0015I00000XRyftQAD</t>
  </si>
  <si>
    <t>63fcbb92a107c871cf566c71</t>
  </si>
  <si>
    <t>Dancom</t>
  </si>
  <si>
    <t>MC</t>
  </si>
  <si>
    <t>0015I00000Tex2OQAR</t>
  </si>
  <si>
    <t>63ea6e9452ad6968805ceb89</t>
  </si>
  <si>
    <t>Dapperger und Huber GmbH</t>
  </si>
  <si>
    <t>0012000000mxIzRAAU</t>
  </si>
  <si>
    <t>63fcbb7ea107c871cf564779</t>
  </si>
  <si>
    <t>Data Live</t>
  </si>
  <si>
    <t>0015I00000XrPDQQA3</t>
  </si>
  <si>
    <t>63fcbb82a107c871cf564e33</t>
  </si>
  <si>
    <t>Data Sales Corporation</t>
  </si>
  <si>
    <t>0012000000sGiYiAAK</t>
  </si>
  <si>
    <t>63fcbb89a107c871cf565c79</t>
  </si>
  <si>
    <t>DATA SUP</t>
  </si>
  <si>
    <t>0010J000025sOZdQAM</t>
  </si>
  <si>
    <t>63fcbb9aa107c871cf567ad3</t>
  </si>
  <si>
    <t>DATA VOICE CABLING</t>
  </si>
  <si>
    <t>0012000000ohXMcAAM</t>
  </si>
  <si>
    <t>63ced848c5c820531c268d2f</t>
  </si>
  <si>
    <t>Data#3 Limited</t>
  </si>
  <si>
    <t>nicole.gorman@al-enterprise.com, gosia.lee@al-enterprise.com</t>
  </si>
  <si>
    <t>0015I00000UpESeQAN</t>
  </si>
  <si>
    <t>679366fcb35503f3000f3c14</t>
  </si>
  <si>
    <t>DATAGROUP Stuttgart GmbH</t>
  </si>
  <si>
    <t>robert.weinberger@al-enterprise.com</t>
  </si>
  <si>
    <t>001SZ000004Rj0MYAS</t>
  </si>
  <si>
    <t>63fcbb85a107c871cf56547d</t>
  </si>
  <si>
    <t>DATAIT</t>
  </si>
  <si>
    <t>astrid.savorani@al-enterprise.com, andrea.scaietti@al-enterprise.com, gian-luigi.cassago@al-enterprise.com</t>
  </si>
  <si>
    <t>0012000001Nd13XAAR</t>
  </si>
  <si>
    <t>63fcbb99a107c871cf567975</t>
  </si>
  <si>
    <t>DATAPHONE</t>
  </si>
  <si>
    <t>0010J00001yuot7QAA</t>
  </si>
  <si>
    <t>63fcbb7ea107c871cf56483d</t>
  </si>
  <si>
    <t>DATAPLEX</t>
  </si>
  <si>
    <t>0012000001HphIgAAJ</t>
  </si>
  <si>
    <t>63fcbb96a107c871cf56746d</t>
  </si>
  <si>
    <t>DATAVENIR</t>
  </si>
  <si>
    <t>0015I000005zae6QAA</t>
  </si>
  <si>
    <t>63ef9d5f384f27260c1bb02d</t>
  </si>
  <si>
    <t>Dato Telecommunications, S.A. de C.</t>
  </si>
  <si>
    <t>0010J00001vHoNrQAK</t>
  </si>
  <si>
    <t>63ced842c5c820531c267f4c</t>
  </si>
  <si>
    <t>Datum Technology Pte Ltd</t>
  </si>
  <si>
    <t>0012000000llA9PAAU</t>
  </si>
  <si>
    <t>63ef9d59384f27260c1ba689</t>
  </si>
  <si>
    <t>DAVID TELECOM</t>
  </si>
  <si>
    <t>0012000000eAZ5VAAW</t>
  </si>
  <si>
    <t>63fcbb87a107c871cf565897</t>
  </si>
  <si>
    <t>DB COM</t>
  </si>
  <si>
    <t>0010J000025sMvtQAE</t>
  </si>
  <si>
    <t>63fcbb8aa107c871cf565d9f</t>
  </si>
  <si>
    <t>DBS TELECOM</t>
  </si>
  <si>
    <t>0012000000eAZUcAAO</t>
  </si>
  <si>
    <t>63ced842c5c820531c2680c3</t>
  </si>
  <si>
    <t>DCS S.A.</t>
  </si>
  <si>
    <t>00120000015MlqxAAC</t>
  </si>
  <si>
    <t>63fcbb85a107c871cf5654fb</t>
  </si>
  <si>
    <t>Dealtis</t>
  </si>
  <si>
    <t>0010J00001jfwHgQAI</t>
  </si>
  <si>
    <t>63ced84dc5c820531c2697f7</t>
  </si>
  <si>
    <t>Decisions LTD.</t>
  </si>
  <si>
    <t>0012000000ohXMtAAM</t>
  </si>
  <si>
    <t>63fcbb92a107c871cf566cef</t>
  </si>
  <si>
    <t>DEGREANE</t>
  </si>
  <si>
    <t>0012000000eAYZdAAO</t>
  </si>
  <si>
    <t>63fcbb7da107c871cf5645f1</t>
  </si>
  <si>
    <t>DELO</t>
  </si>
  <si>
    <t>0012000001HphJaAAJ</t>
  </si>
  <si>
    <t>63ef9d61384f27260c1bb24d</t>
  </si>
  <si>
    <t>Deloitte Consulting</t>
  </si>
  <si>
    <t>luigy.estevanell@al-enterprise.com</t>
  </si>
  <si>
    <t>0015I000009Gpr9QAC</t>
  </si>
  <si>
    <t>63fcbb89a107c871cf565c95</t>
  </si>
  <si>
    <t>DELTA-LINE</t>
  </si>
  <si>
    <t>0012000000ohXStAAM</t>
  </si>
  <si>
    <t>63fcbb9fa107c871cf5683af</t>
  </si>
  <si>
    <t>DERTES</t>
  </si>
  <si>
    <t>0012000000eAYWOAA4</t>
  </si>
  <si>
    <t>63fcbb95a107c871cf567179</t>
  </si>
  <si>
    <t>Desmercieres</t>
  </si>
  <si>
    <t>0010J00001jfwHfQAI</t>
  </si>
  <si>
    <t>63ced842c5c820531c26804b</t>
  </si>
  <si>
    <t>Deutsche Telekom AG</t>
  </si>
  <si>
    <t>silke.fraedrich@al-enterprise.com, niels.hass@al-enterprise.com, gunther.hahn@al-enterprise.com</t>
  </si>
  <si>
    <t>0012000000eAZCPAA4</t>
  </si>
  <si>
    <t>63ea6e9252ad6968805cea01</t>
  </si>
  <si>
    <t>niels.hass@al-enterprise.com, gunther.hahn@al-enterprise.com</t>
  </si>
  <si>
    <t>0012000000eAZFbAAO</t>
  </si>
  <si>
    <t>Deutsche Telekom Business Solutions</t>
  </si>
  <si>
    <t>63fcbb9ca107c871cf567d81</t>
  </si>
  <si>
    <t>Devoteam G Cloud</t>
  </si>
  <si>
    <t>valerie.legrand@al-enterprise.com</t>
  </si>
  <si>
    <t>0015I00000T4ayyQAB</t>
  </si>
  <si>
    <t>63ef9d5d384f27260c1bac65</t>
  </si>
  <si>
    <t>DFM</t>
  </si>
  <si>
    <t>0012000001HphGSAAZ</t>
  </si>
  <si>
    <t>63fcbb89a107c871cf565ca3</t>
  </si>
  <si>
    <t>DG TELECOM</t>
  </si>
  <si>
    <t>0012000000tuSAJAA2</t>
  </si>
  <si>
    <t>63fcbb7fa107c871cf564955</t>
  </si>
  <si>
    <t>Dhivehi Raajjeyge Gulhun Plc</t>
  </si>
  <si>
    <t>prasath-l.rao@al-enterprise.com, magimairaj.philip@al-enterprise.com</t>
  </si>
  <si>
    <t>MV</t>
  </si>
  <si>
    <t>0012000001W9LUtAAN</t>
  </si>
  <si>
    <t>63ced84cc5c820531c26959f</t>
  </si>
  <si>
    <t>DI SERIO ING. VALERIO SRL</t>
  </si>
  <si>
    <t>0012000000ohXPOAA2</t>
  </si>
  <si>
    <t>63fcbb84a107c871cf565373</t>
  </si>
  <si>
    <t>DIAKELYS</t>
  </si>
  <si>
    <t>0012000000tuSFnAAM</t>
  </si>
  <si>
    <t>63fcbb8ca107c871cf56612d</t>
  </si>
  <si>
    <t>DIATEL</t>
  </si>
  <si>
    <t>0012000000eAYWaAAO</t>
  </si>
  <si>
    <t>63ef9d58384f27260c1ba435</t>
  </si>
  <si>
    <t>Dice Communications, Inc.</t>
  </si>
  <si>
    <t>0012000000eAZpHAAW</t>
  </si>
  <si>
    <t>63ea6e9752ad6968805cf147</t>
  </si>
  <si>
    <t>Die Elektro GmbH</t>
  </si>
  <si>
    <t>0012000000eAYWbAAO</t>
  </si>
  <si>
    <t>63ea6e9552ad6968805cee1b</t>
  </si>
  <si>
    <t>DiepKom GmbH</t>
  </si>
  <si>
    <t>0012000000oi32FAAQ</t>
  </si>
  <si>
    <t>63ea6e9552ad6968805ced57</t>
  </si>
  <si>
    <t>Dieter Schwengbeck</t>
  </si>
  <si>
    <t>0012000001Xx5sPAAR</t>
  </si>
  <si>
    <t>63fcbba0a107c871cf568457</t>
  </si>
  <si>
    <t>DIGICOM</t>
  </si>
  <si>
    <t>0015I00000fKPgXQAW</t>
  </si>
  <si>
    <t>63fcbb8fa107c871cf5667bd</t>
  </si>
  <si>
    <t>DIGITAL COMMUNICATION</t>
  </si>
  <si>
    <t>0012000001LA80IAAT</t>
  </si>
  <si>
    <t>63ef9d60384f27260c1bb14d</t>
  </si>
  <si>
    <t>Digital Hand Made</t>
  </si>
  <si>
    <t>0012000000ohXTAAA2</t>
  </si>
  <si>
    <t>666863220abfd0f43e0d9979</t>
  </si>
  <si>
    <t>DIGITAL NETWORK COMMUNICATIONS AND COMPUTERS INC.</t>
  </si>
  <si>
    <t>philippe.girard@al-enterprise.com, rui.silva@al-enterprise.com, frederick.decastro@al-enterprise.com</t>
  </si>
  <si>
    <t>001SZ00000BZUxnYAH</t>
  </si>
  <si>
    <t>DIGITAL NETWORK COMMUNICATIONS</t>
  </si>
  <si>
    <t>63ef9d60384f27260c1bb18d</t>
  </si>
  <si>
    <t>Digital Telecommunication Corp</t>
  </si>
  <si>
    <t>philippe.girard@al-enterprise.com, rui.silva@al-enterprise.com, michael-j.francis@al-enterprise.com, bill.rademacher@al-enterprise.com</t>
  </si>
  <si>
    <t>0010J00002BVhYzQAL</t>
  </si>
  <si>
    <t>63fcbb95a107c871cf567109</t>
  </si>
  <si>
    <t>DIGITALLIANCE</t>
  </si>
  <si>
    <t>0015I00000J5d3dQAB</t>
  </si>
  <si>
    <t>63fcbb83a107c871cf5650ef</t>
  </si>
  <si>
    <t>DIGITEL srl</t>
  </si>
  <si>
    <t>0012000000tuSCcAAM</t>
  </si>
  <si>
    <t>63ef9d5e384f27260c1bad4b</t>
  </si>
  <si>
    <t>DIME SRL</t>
  </si>
  <si>
    <t>0012000000tuSCbAAM</t>
  </si>
  <si>
    <t>63ef9d5e384f27260c1bad6b</t>
  </si>
  <si>
    <t>Dinamica IT S.r.l.</t>
  </si>
  <si>
    <t>0010J00001miyRfQAI</t>
  </si>
  <si>
    <t>63fcbb9ca107c871cf567e61</t>
  </si>
  <si>
    <t>Distr-I-nnovation</t>
  </si>
  <si>
    <t>0012000001JZwrZAAT</t>
  </si>
  <si>
    <t>63ef9d56384f27260c1ba18d</t>
  </si>
  <si>
    <t>Distribuciones Bogota S.A.</t>
  </si>
  <si>
    <t>0012000001ZQWPEAA5</t>
  </si>
  <si>
    <t>63ced849c5c820531c268ed3</t>
  </si>
  <si>
    <t>DITRI DACAS TECNOLOGY GROUP BOLIVIA</t>
  </si>
  <si>
    <t>0010J000029PsyIQAS</t>
  </si>
  <si>
    <t>63fcbb9ea107c871cf5681a9</t>
  </si>
  <si>
    <t>DK GROUP</t>
  </si>
  <si>
    <t>00120000013qYSHAA2</t>
  </si>
  <si>
    <t>63fcbb8aa107c871cf565e2b</t>
  </si>
  <si>
    <t>DLCOMMUNICATION</t>
  </si>
  <si>
    <t>0015I00000Oe2hKQAR</t>
  </si>
  <si>
    <t>63fcbb8aa107c871cf565e71</t>
  </si>
  <si>
    <t>DM TEL</t>
  </si>
  <si>
    <t>0015I00000eLJiDQAW</t>
  </si>
  <si>
    <t>63ea6e9552ad6968805cee6f</t>
  </si>
  <si>
    <t>DNT Winkel GmbH</t>
  </si>
  <si>
    <t>0012000000eAYX9AAO</t>
  </si>
  <si>
    <t>63fcbb93a107c871cf566e93</t>
  </si>
  <si>
    <t>DOCOTEC</t>
  </si>
  <si>
    <t>0010J00001kvR3YQAU</t>
  </si>
  <si>
    <t>63fcbb94a107c871cf566f11</t>
  </si>
  <si>
    <t>DOLONIS</t>
  </si>
  <si>
    <t>0012000000eAYXCAA4</t>
  </si>
  <si>
    <t>63fcbb98a107c871cf5676b9</t>
  </si>
  <si>
    <t>DOMOTEC</t>
  </si>
  <si>
    <t>0012000000mxIpVAAU</t>
  </si>
  <si>
    <t>63fcbb9fa107c871cf56843b</t>
  </si>
  <si>
    <t>DOMOTICOPALE</t>
  </si>
  <si>
    <t>0012000001W9LUsAAN</t>
  </si>
  <si>
    <t>63fcbb95a107c871cf5670d1</t>
  </si>
  <si>
    <t>DOTCOM</t>
  </si>
  <si>
    <t>0012000001M1xgLAAR</t>
  </si>
  <si>
    <t>67a4e0b1c23fac669307b722</t>
  </si>
  <si>
    <t>Drive Engineering Corp.</t>
  </si>
  <si>
    <t>001SZ00000FY7mSYAT</t>
  </si>
  <si>
    <t>Drive Integration LLC</t>
  </si>
  <si>
    <t>63ced846c5c820531c268960</t>
  </si>
  <si>
    <t>DSI Distributing, Inc.</t>
  </si>
  <si>
    <t>bill.cusack@al-enterprise.com</t>
  </si>
  <si>
    <t>0010J00001ktt8xQAA</t>
  </si>
  <si>
    <t>63fcbb83a107c871cf5650fd</t>
  </si>
  <si>
    <t>DSP TELECOM</t>
  </si>
  <si>
    <t>0012000000tvKGnAAM</t>
  </si>
  <si>
    <t>633dbb1c7d81b978d40bc309</t>
  </si>
  <si>
    <t>DST International Co, Ltd</t>
  </si>
  <si>
    <t>rui.silva@al-enterprise.com, songhee.nam@al-enterprise.com</t>
  </si>
  <si>
    <t>0015I00000Vl2veQAB</t>
  </si>
  <si>
    <t>63fcbb7fa107c871cf564a0b</t>
  </si>
  <si>
    <t>DV Link</t>
  </si>
  <si>
    <t>vassilis.xenakis@al-enterprise.com, najeh.khalil@al-enterprise.com, chahid.takafi@al-enterprise.com, ahmed.hamzawy@al-enterprise.com</t>
  </si>
  <si>
    <t>0012000001HphGqAAJ</t>
  </si>
  <si>
    <t>63ced848c5c820531c268c30</t>
  </si>
  <si>
    <t>DXC Connect Pty Ltd</t>
  </si>
  <si>
    <t>0012000000eAYfwAAG</t>
  </si>
  <si>
    <t>63ced846c5c820531c268951</t>
  </si>
  <si>
    <t>DXC Technology Services LLC</t>
  </si>
  <si>
    <t>0012000000mxIxHAAU</t>
  </si>
  <si>
    <t>63fcbb88a107c871cf5659d9</t>
  </si>
  <si>
    <t>DXWAY</t>
  </si>
  <si>
    <t>0015I00000Kk82QQAR</t>
  </si>
  <si>
    <t>63ced846c5c820531c2688bb</t>
  </si>
  <si>
    <t>DYARCO INTERNATIONAL GROUP WLL</t>
  </si>
  <si>
    <t>QA</t>
  </si>
  <si>
    <t>0010J00001s2iqWQAQ</t>
  </si>
  <si>
    <t>63ef9d55384f27260c1ba06b</t>
  </si>
  <si>
    <t>DYARCO TECHNOLOGY WLL</t>
  </si>
  <si>
    <t>0010J000021M32dQAC</t>
  </si>
  <si>
    <t>63fcbb82a107c871cf564ef7</t>
  </si>
  <si>
    <t>Dynamic Computer Corporation</t>
  </si>
  <si>
    <t>0012000001RFULKAA5</t>
  </si>
  <si>
    <t>63ced84dc5c820531c269716</t>
  </si>
  <si>
    <t>Dynamic Systems Integration Inc</t>
  </si>
  <si>
    <t>0012000000eAZFcAAO</t>
  </si>
  <si>
    <t>63ced841c5c820531c267ee3</t>
  </si>
  <si>
    <t>E BUSINESS DISTRIBUTION PERU S.A.</t>
  </si>
  <si>
    <t>0012000000eAYXcAAO</t>
  </si>
  <si>
    <t>63ced843c5c820531c2682ee</t>
  </si>
  <si>
    <t>e-Business Distribution Panama</t>
  </si>
  <si>
    <t>0012000000eAYXgAAO</t>
  </si>
  <si>
    <t>63ced842c5c820531c26805a</t>
  </si>
  <si>
    <t>E-BUSINESS DISTRIBUTION SA</t>
  </si>
  <si>
    <t>0012000000eAYXhAAO</t>
  </si>
  <si>
    <t>63ced84bc5c820531c269275</t>
  </si>
  <si>
    <t>E-Data Teknoloji Pazarlama A.S.</t>
  </si>
  <si>
    <t>tolga.battal@al-enterprise.com, doruk.cetinkaya@al-enterprise.com</t>
  </si>
  <si>
    <t>TR</t>
  </si>
  <si>
    <t>0010J000023s4FdQAI</t>
  </si>
  <si>
    <t>63ea6e9752ad6968805cf101</t>
  </si>
  <si>
    <t>e-ITK SYSTEME GmbH</t>
  </si>
  <si>
    <t>0012000000tuSHZAA2</t>
  </si>
  <si>
    <t>63fcbb8ba107c871cf565fa5</t>
  </si>
  <si>
    <t>E-MSN</t>
  </si>
  <si>
    <t>0010J00001m0rZ4QAI</t>
  </si>
  <si>
    <t>63fcbb81a107c871cf564cd5</t>
  </si>
  <si>
    <t>E.Engenharia sistemas</t>
  </si>
  <si>
    <t>0012000000eAZSnAAO</t>
  </si>
  <si>
    <t>E.Engenharia  sistemas</t>
  </si>
  <si>
    <t>63fcbb95a107c871cf5671e9</t>
  </si>
  <si>
    <t>E.S.T COM</t>
  </si>
  <si>
    <t>0010J00001rXBgHQAW</t>
  </si>
  <si>
    <t>63fcbb80a107c871cf564af9</t>
  </si>
  <si>
    <t>E.T.M.</t>
  </si>
  <si>
    <t>0012000000tuSARAA2</t>
  </si>
  <si>
    <t>63fcbb97a107c871cf56753f</t>
  </si>
  <si>
    <t>E3S TECHNOLOGY</t>
  </si>
  <si>
    <t>0010J000029ABN2QAO</t>
  </si>
  <si>
    <t>63ef9d60384f27260c1bb1ed</t>
  </si>
  <si>
    <t>Easier Communications, LLC.</t>
  </si>
  <si>
    <t>0015I000004AalVQAS</t>
  </si>
  <si>
    <t>63ced84ec5c820531c2698e7</t>
  </si>
  <si>
    <t>Eastern DataComm, Inc</t>
  </si>
  <si>
    <t>0012000000riYWCAA2</t>
  </si>
  <si>
    <t>63ced84ec5c820531c269a40</t>
  </si>
  <si>
    <t>Eastern Shore Data, LLC</t>
  </si>
  <si>
    <t>0012000001BXDvyAAH</t>
  </si>
  <si>
    <t>63fcbb9ea107c871cf56819b</t>
  </si>
  <si>
    <t>easyScom</t>
  </si>
  <si>
    <t>0012000000tvKhcAAE</t>
  </si>
  <si>
    <t>63ced843c5c820531c2682fd</t>
  </si>
  <si>
    <t>eBD El Salvador</t>
  </si>
  <si>
    <t>0012000000eAYXaAAO</t>
  </si>
  <si>
    <t>63ced841c5c820531c267d8a</t>
  </si>
  <si>
    <t>EBDI Philippines, Inc</t>
  </si>
  <si>
    <t>0012000000eAYXrAAO</t>
  </si>
  <si>
    <t>63ced84cc5c820531c2694dc</t>
  </si>
  <si>
    <t>EC America, Inc.</t>
  </si>
  <si>
    <t>0015I00000UqfFaQAJ</t>
  </si>
  <si>
    <t>63ced844c5c820531c2683ed</t>
  </si>
  <si>
    <t>eCam Solution Co.,LTD</t>
  </si>
  <si>
    <t>KH</t>
  </si>
  <si>
    <t>0012000001HL4AEAA1</t>
  </si>
  <si>
    <t>63fcbb8ba107c871cf565fc1</t>
  </si>
  <si>
    <t>ECM - GRILHAULT DES FONTAINES</t>
  </si>
  <si>
    <t>0010J000021M32ZQAS</t>
  </si>
  <si>
    <t>63ef9d5a384f27260c1ba6c9</t>
  </si>
  <si>
    <t>ECS - Europeenne de Communication et de Service</t>
  </si>
  <si>
    <t>philippe.cros@al-enterprise.com, thierry.raoul@al-enterprise.com, laurent.biehler@al-enterprise.com</t>
  </si>
  <si>
    <t>0012000000tvKUfAAM</t>
  </si>
  <si>
    <t>ECS - Européenne de Communication</t>
  </si>
  <si>
    <t>63fcbb80a107c871cf564c1f</t>
  </si>
  <si>
    <t>ECS COMINTER</t>
  </si>
  <si>
    <t>0012000000tuS9uAAE</t>
  </si>
  <si>
    <t>63fcbb8aa107c871cf565e7f</t>
  </si>
  <si>
    <t>ECS TRT</t>
  </si>
  <si>
    <t>0015I00000eiQ1cQAE</t>
  </si>
  <si>
    <t>62a880c1d600031ebc100ca5</t>
  </si>
  <si>
    <t>EDNON SL</t>
  </si>
  <si>
    <t>rui.silva@al-enterprise.com, javier.cruz@al-enterprise.com, jaime.tor@al-enterprise.com, astrid.savorani@al-enterprise.com, rafael.andreo@al-enterprise.com, esther.alonso@al-enterprise.com, marcos.rodriguez@al-enterprise.com</t>
  </si>
  <si>
    <t>0015I00000RHn9oQAD</t>
  </si>
  <si>
    <t>63fcbb85a107c871cf56554f</t>
  </si>
  <si>
    <t>Edutek limited</t>
  </si>
  <si>
    <t>0015I00000ZBNzXQAX</t>
  </si>
  <si>
    <t>63ef9d5a384f27260c1ba72b</t>
  </si>
  <si>
    <t>EDV-Systemhaus Arno Kindler</t>
  </si>
  <si>
    <t>0012000001ehI0cAAE</t>
  </si>
  <si>
    <t>63fcbb9ea107c871cf5680d7</t>
  </si>
  <si>
    <t>EET SERVICE</t>
  </si>
  <si>
    <t>0010J00001rZeYpQAK</t>
  </si>
  <si>
    <t>63ea6e9252ad6968805cea0f</t>
  </si>
  <si>
    <t>effexx its GmbH</t>
  </si>
  <si>
    <t>0012000000eAYbMAAW</t>
  </si>
  <si>
    <t>67e40c058a46218c3c09e342</t>
  </si>
  <si>
    <t>EGC Colombia SAS</t>
  </si>
  <si>
    <t>rui.silva@al-enterprise.com, javier.largacha@al-enterprise.com</t>
  </si>
  <si>
    <t>001SZ00000WdBIyYAN</t>
  </si>
  <si>
    <t>63ef9d5c384f27260c1bab45</t>
  </si>
  <si>
    <t>Egitel Telecommunications</t>
  </si>
  <si>
    <t>DZ</t>
  </si>
  <si>
    <t>0012000000tuSGFAA2</t>
  </si>
  <si>
    <t>63ced848c5c820531c268be5</t>
  </si>
  <si>
    <t>EHONET DOO</t>
  </si>
  <si>
    <t>HR</t>
  </si>
  <si>
    <t>0012000000eAYY9AAO</t>
  </si>
  <si>
    <t>63fcbb9ea107c871cf56818d</t>
  </si>
  <si>
    <t>EIFFAGE ENERGIE BASSE NORMANDIE</t>
  </si>
  <si>
    <t>0012000000tvKGPAA2</t>
  </si>
  <si>
    <t>63fcbb8ba107c871cf565ee1</t>
  </si>
  <si>
    <t>EIFFAGE ENERGIE IDF (BU280)</t>
  </si>
  <si>
    <t>0015I00000WyYbyQAF</t>
  </si>
  <si>
    <t>63fcbb97a107c871cf5674b3</t>
  </si>
  <si>
    <t>EIFFAGE ENERGIE SYSTEMES PROXILOR</t>
  </si>
  <si>
    <t>0015I00000QRCAzQAP</t>
  </si>
  <si>
    <t>63fcbb8ea107c871cf5665fd</t>
  </si>
  <si>
    <t>EIFFAGE ENERGIE VAL DE LOIRE</t>
  </si>
  <si>
    <t>0012000000tuSFxAAM</t>
  </si>
  <si>
    <t>63fcbb8ea107c871cf5665d3</t>
  </si>
  <si>
    <t>EINOVA</t>
  </si>
  <si>
    <t>0012000000ohXUUAA2</t>
  </si>
  <si>
    <t>63fcbb8ca107c871cf5660bd</t>
  </si>
  <si>
    <t>EIT</t>
  </si>
  <si>
    <t>0012000001idFgQAAU</t>
  </si>
  <si>
    <t>63fcbb8ca107c871cf566261</t>
  </si>
  <si>
    <t>EKIP</t>
  </si>
  <si>
    <t>0015I00000RJ9MlQAL</t>
  </si>
  <si>
    <t>63fcbb95a107c871cf56722f</t>
  </si>
  <si>
    <t>Ekium</t>
  </si>
  <si>
    <t>0010J00001wg7SKQAY</t>
  </si>
  <si>
    <t>6512933c39ed784394035282</t>
  </si>
  <si>
    <t>EL-DA-NET GmbH</t>
  </si>
  <si>
    <t>0015I00000iP2COQA0</t>
  </si>
  <si>
    <t>67c9bea6c4e26d065b00b865</t>
  </si>
  <si>
    <t>ELCORE GRUP YAZILIM DANISMANLIGI</t>
  </si>
  <si>
    <t>philippe.girard@al-enterprise.com, rui.silva@al-enterprise.com, najeh.khalil@al-enterprise.com, doruk.cetinkaya@al-enterprise.com</t>
  </si>
  <si>
    <t>001SZ00000AMOiiYAH</t>
  </si>
  <si>
    <t>63fcbb8aa107c871cf565d05</t>
  </si>
  <si>
    <t>ELECT-IP</t>
  </si>
  <si>
    <t>0012000000zWIP3AAO</t>
  </si>
  <si>
    <t>65dcd9ba019929778f07c4b9</t>
  </si>
  <si>
    <t>Electracom Projects</t>
  </si>
  <si>
    <t>philippe.girard@al-enterprise.com, rui.silva@al-enterprise.com, neal.humphrey@al-enterprise.com, rachel.akers@al-enterprise.com</t>
  </si>
  <si>
    <t>001SZ000003pvQmYAI</t>
  </si>
  <si>
    <t>63fcbb91a107c871cf566999</t>
  </si>
  <si>
    <t>Electricitat Caldes Andorra</t>
  </si>
  <si>
    <t>javier.cruz@al-enterprise.com</t>
  </si>
  <si>
    <t>AD</t>
  </si>
  <si>
    <t>0010J000020IQ59QAG</t>
  </si>
  <si>
    <t>63ced846c5c820531c268861</t>
  </si>
  <si>
    <t>Electronic Business Solutions LTD</t>
  </si>
  <si>
    <t>0012000001TB3vUAAT</t>
  </si>
  <si>
    <t>63fcbb9fa107c871cf5682dd</t>
  </si>
  <si>
    <t>ELECTRONIC INDUSTRIE</t>
  </si>
  <si>
    <t>0012000000eAZ5JAAW</t>
  </si>
  <si>
    <t>63fcbb97a107c871cf56761f</t>
  </si>
  <si>
    <t>ELECTRONIC TELECOMMUNICATION</t>
  </si>
  <si>
    <t>0012000000eAYYOAA4</t>
  </si>
  <si>
    <t>63ef9d55384f27260c1ba0ab</t>
  </si>
  <si>
    <t>ELEKTRO BURKHALTER AG</t>
  </si>
  <si>
    <t>0012000000fJOT8AAO</t>
  </si>
  <si>
    <t>63fcbb8aa107c871cf565dbb</t>
  </si>
  <si>
    <t>ELEM</t>
  </si>
  <si>
    <t>0012000000tvKcXAAU</t>
  </si>
  <si>
    <t>63fcbb92a107c871cf566d0b</t>
  </si>
  <si>
    <t>ELENA CONSULTING TECHNOLOGIE</t>
  </si>
  <si>
    <t>0015I000009DnMzQAK</t>
  </si>
  <si>
    <t>63ced84cc5c820531c269491</t>
  </si>
  <si>
    <t>Eletronor Distribuidora Materiais</t>
  </si>
  <si>
    <t>0010J00002AiUFmQAN</t>
  </si>
  <si>
    <t>63ced84dc5c820531c2697e8</t>
  </si>
  <si>
    <t>Ellijay Telephone Company</t>
  </si>
  <si>
    <t>0012000000mxIuUAAU</t>
  </si>
  <si>
    <t>65144ec06e651cd3380c8422</t>
  </si>
  <si>
    <t>ELMAT SPA</t>
  </si>
  <si>
    <t>philippe.girard@al-enterprise.com, rui.silva@al-enterprise.com, astrid.savorani@al-enterprise.com, andrea.scaietti@al-enterprise.com, marco.volpi@al-enterprise.com</t>
  </si>
  <si>
    <t>0015I00000jidR9QAI</t>
  </si>
  <si>
    <t>63fcbb95a107c871cf56723d</t>
  </si>
  <si>
    <t>ELPHICOM</t>
  </si>
  <si>
    <t>0010J00001whcA6QAI</t>
  </si>
  <si>
    <t>63fcbb99a107c871cf567825</t>
  </si>
  <si>
    <t>ELYACOM</t>
  </si>
  <si>
    <t>0012000001HphITAAZ</t>
  </si>
  <si>
    <t>63fcbb8ca107c871cf566229</t>
  </si>
  <si>
    <t>EMB  ELECTRONIQUE MIDI PYRENEES</t>
  </si>
  <si>
    <t>0012000001UQs4RAAT</t>
  </si>
  <si>
    <t>63fcbb84a107c871cf5652cb</t>
  </si>
  <si>
    <t>Embrio Enterprise Pte Ltd</t>
  </si>
  <si>
    <t>0012000001Q8zYmAAJ</t>
  </si>
  <si>
    <t>63fcbb95a107c871cf567195</t>
  </si>
  <si>
    <t>EMILINK</t>
  </si>
  <si>
    <t>0010J00001kvR3ZQAU</t>
  </si>
  <si>
    <t>63fcbb85a107c871cf56540d</t>
  </si>
  <si>
    <t>Emmtech</t>
  </si>
  <si>
    <t>0012000000tuSK3AAM</t>
  </si>
  <si>
    <t>63fcbb8da107c871cf5662a7</t>
  </si>
  <si>
    <t>EMS order follow-up</t>
  </si>
  <si>
    <t>0010J00001nvEwMQAU</t>
  </si>
  <si>
    <t>63ced84dc5c820531c2697ca</t>
  </si>
  <si>
    <t>Emtec, Inc.</t>
  </si>
  <si>
    <t>0012000000mxIntAAE</t>
  </si>
  <si>
    <t>63ef9d61384f27260c1bb26d</t>
  </si>
  <si>
    <t>Emurtel S.A</t>
  </si>
  <si>
    <t>0015I00000En6t4QAB</t>
  </si>
  <si>
    <t>Electronic Trafic, S.A.</t>
  </si>
  <si>
    <t>63ced848c5c820531c268c7b</t>
  </si>
  <si>
    <t>Enablis Pty Limited</t>
  </si>
  <si>
    <t>0012000001PSP5HAAX</t>
  </si>
  <si>
    <t>63fcbb89a107c871cf565bb5</t>
  </si>
  <si>
    <t>ENCOM CONSEIL</t>
  </si>
  <si>
    <t>0015I00000RJ9MmQAL</t>
  </si>
  <si>
    <t>63fcbb7ea107c871cf56475d</t>
  </si>
  <si>
    <t>Enkay Converged Technologies LLP</t>
  </si>
  <si>
    <t>0010J00001vHhF5QAK</t>
  </si>
  <si>
    <t>63ea6e9552ad6968805cee37</t>
  </si>
  <si>
    <t>EnoCom GmbH</t>
  </si>
  <si>
    <t>0012000000zZPvlAAG</t>
  </si>
  <si>
    <t>63fcbb7ea107c871cf564709</t>
  </si>
  <si>
    <t>eNovasys Communication Solutions</t>
  </si>
  <si>
    <t>vassilis.xenakis@al-enterprise.com, najeh.khalil@al-enterprise.com, ravin.naidu@al-enterprise.com, rahul.sharma1@al-enterprise.com, ahmed.hamzawy@al-enterprise.com</t>
  </si>
  <si>
    <t>00120000014inBPAAY</t>
  </si>
  <si>
    <t>63fcbb84a107c871cf565357</t>
  </si>
  <si>
    <t>ENTELA</t>
  </si>
  <si>
    <t>0012000000tuSAMAA2</t>
  </si>
  <si>
    <t>65e8269955648174440d988f</t>
  </si>
  <si>
    <t>Enterprise Communications &amp; Services GmbH</t>
  </si>
  <si>
    <t>philippe.girard@al-enterprise.com, rui.silva@al-enterprise.com, thomas.ullmann@al-enterprise.com, andreas.grossheimann@al-enterprise.com</t>
  </si>
  <si>
    <t>0012000001dvDuIAAU</t>
  </si>
  <si>
    <t>Enterprise Communications &amp;</t>
  </si>
  <si>
    <t>63ef9d61384f27260c1bb2cd</t>
  </si>
  <si>
    <t>Enterprise Systems Corporation</t>
  </si>
  <si>
    <t>0015I00000KlWTfQAN</t>
  </si>
  <si>
    <t>63fcbb89a107c871cf565bdf</t>
  </si>
  <si>
    <t>ENTREPRISE HAYAT</t>
  </si>
  <si>
    <t>0015I00000SJWXrQAP</t>
  </si>
  <si>
    <t>63fcbb96a107c871cf56738d</t>
  </si>
  <si>
    <t>ENTREPRISE LYONNAISE DE TELEPHONIE</t>
  </si>
  <si>
    <t>0012000000tuSGxAAM</t>
  </si>
  <si>
    <t>682d72422a4bf8813c0938a2</t>
  </si>
  <si>
    <t>Equipment HQ Limited</t>
  </si>
  <si>
    <t>david.upsher@al-enterprise.com</t>
  </si>
  <si>
    <t>001SZ000004S1gUYAS</t>
  </si>
  <si>
    <t>65d37ff5bc374ab656036c90</t>
  </si>
  <si>
    <t>Era Madani Sistem Sdn Bhd</t>
  </si>
  <si>
    <t>philippe.girard@al-enterprise.com, rui.silva@al-enterprise.com, david-cy.lee@al-enterprise.com</t>
  </si>
  <si>
    <t>0015I00000lbSd6QAE</t>
  </si>
  <si>
    <t>63fcbb91a107c871cf5669d1</t>
  </si>
  <si>
    <t>ERETEL</t>
  </si>
  <si>
    <t>0012000000eAYZOAA4</t>
  </si>
  <si>
    <t>63fcbb88a107c871cf565aab</t>
  </si>
  <si>
    <t>ERI</t>
  </si>
  <si>
    <t>0015I00000fMI6eQAG</t>
  </si>
  <si>
    <t>63fcbb86a107c871cf565605</t>
  </si>
  <si>
    <t>ERIDATA COM.DE MAT.ELETRONICOS</t>
  </si>
  <si>
    <t>0012000000eAYZPAA4</t>
  </si>
  <si>
    <t>63fcbb98a107c871cf56770d</t>
  </si>
  <si>
    <t>ESCI</t>
  </si>
  <si>
    <t>0012000000qvELrAAM</t>
  </si>
  <si>
    <t>63fcbb85a107c871cf5653d5</t>
  </si>
  <si>
    <t>ESPACE COM 14</t>
  </si>
  <si>
    <t>0012000000tvKAPAA2</t>
  </si>
  <si>
    <t>63fcbb94a107c871cf566f1f</t>
  </si>
  <si>
    <t>ESPACE COM 71</t>
  </si>
  <si>
    <t>0012000000eAYZVAA4</t>
  </si>
  <si>
    <t>63fcbb9aa107c871cf567b19</t>
  </si>
  <si>
    <t>ESPACE PRO</t>
  </si>
  <si>
    <t>0012000000tvKUtAAM</t>
  </si>
  <si>
    <t>63fcbb89a107c871cf565c6b</t>
  </si>
  <si>
    <t>ESPACE RDI</t>
  </si>
  <si>
    <t>0010J000020Fj6tQAC</t>
  </si>
  <si>
    <t>63fcbb8fa107c871cf566723</t>
  </si>
  <si>
    <t>ESPACE TECHNOLOGIE</t>
  </si>
  <si>
    <t>0012000001gNKdEAAW</t>
  </si>
  <si>
    <t>63ef9d57384f27260c1ba24f</t>
  </si>
  <si>
    <t>Esprinet Iberica S.L.U.</t>
  </si>
  <si>
    <t>0010J000025t5wCQAQ</t>
  </si>
  <si>
    <t>6299fec49d039639d001b096</t>
  </si>
  <si>
    <t>Essec Telecom Systems</t>
  </si>
  <si>
    <t>rui.silva@al-enterprise.com, katrien.dirickx@al-enterprise.com, tom.van-uffelen@al-enterprise.com</t>
  </si>
  <si>
    <t>0012000000eAZhKAAW</t>
  </si>
  <si>
    <t>63ef9d56384f27260c1ba10b</t>
  </si>
  <si>
    <t>Essentec Networks Co., Ltd.</t>
  </si>
  <si>
    <t>0012000001XrRn3AAF</t>
  </si>
  <si>
    <t>63fcbb7ea107c871cf5647e9</t>
  </si>
  <si>
    <t>ESTEL INGENIERIA Y OBRAS, S.A.</t>
  </si>
  <si>
    <t>0015I00000ZuKmqQAF</t>
  </si>
  <si>
    <t>63ced841c5c820531c267de4</t>
  </si>
  <si>
    <t>Estrategias en Tecnologia</t>
  </si>
  <si>
    <t>jorge.millan@al-enterprise.com</t>
  </si>
  <si>
    <t>0012000000gwXoVAAU</t>
  </si>
  <si>
    <t>AXTEL S.A.B DE C.V</t>
  </si>
  <si>
    <t>63ea6e9352ad6968805ceafd</t>
  </si>
  <si>
    <t>ETF GmbH</t>
  </si>
  <si>
    <t>0012000000eAYYBAA4</t>
  </si>
  <si>
    <t>63fcbb86a107c871cf565691</t>
  </si>
  <si>
    <t>ETI SYSTEM snc</t>
  </si>
  <si>
    <t>0012000000tvKZjAAM</t>
  </si>
  <si>
    <t>63fcbb9aa107c871cf5679c9</t>
  </si>
  <si>
    <t>ETIC NETWORK</t>
  </si>
  <si>
    <t>0010J000028EXnPQAW</t>
  </si>
  <si>
    <t>63fcbb9ea107c871cf5680f3</t>
  </si>
  <si>
    <t>ETJC Entr. de Telecom J. Cuvelier</t>
  </si>
  <si>
    <t>0012000000eAYZGAA4</t>
  </si>
  <si>
    <t>63ea6e9452ad6968805ceb7b</t>
  </si>
  <si>
    <t>ETK networks solution GmbH</t>
  </si>
  <si>
    <t>andreas.grossheimann@al-enterprise.com, samantha.hunt@al-enterprise.com, katrin.pfeiffer@al-enterprise.com, sibylle.klopfer@al-enterprise.com, igor.leko@al-enterprise.com, hakan.adiguezel@al-enterprise.com</t>
  </si>
  <si>
    <t>0012000000eAYZvAAO</t>
  </si>
  <si>
    <t>63fcbb85a107c871cf565461</t>
  </si>
  <si>
    <t>ETM</t>
  </si>
  <si>
    <t>0012000000eAYZFAA4</t>
  </si>
  <si>
    <t>63fcbb86a107c871cf5655db</t>
  </si>
  <si>
    <t>ETNS SYSTEMS</t>
  </si>
  <si>
    <t>0015I00000ZthBZQAZ</t>
  </si>
  <si>
    <t>64466fad136de17627345784</t>
  </si>
  <si>
    <t>Eumecon IT Systems LLC</t>
  </si>
  <si>
    <t>najeh.khalil@al-enterprise.com, ravin.naidu@al-enterprise.com, rahul.sharma1@al-enterprise.com, purvik.bavishi@al-enterprise.com, ahmed.hamzawy@al-enterprise.com</t>
  </si>
  <si>
    <t>0015I00000gKuaxQAC</t>
  </si>
  <si>
    <t>63fcbb9da107c871cf56802f</t>
  </si>
  <si>
    <t>EURELEC Systéme</t>
  </si>
  <si>
    <t>0015I00000XUy15QAD</t>
  </si>
  <si>
    <t>STELCOM</t>
  </si>
  <si>
    <t>63fcbb9ca107c871cf567db9</t>
  </si>
  <si>
    <t>EURL BERTHELET</t>
  </si>
  <si>
    <t>0010J00001sLiLfQAK</t>
  </si>
  <si>
    <t>63ced84bc5c820531c26930b</t>
  </si>
  <si>
    <t>EURL FABEL</t>
  </si>
  <si>
    <t>0012000000tuSH5AAM</t>
  </si>
  <si>
    <t>63fcbb8aa107c871cf565de5</t>
  </si>
  <si>
    <t>EURL SR COM</t>
  </si>
  <si>
    <t>00120000016bZEGAA2</t>
  </si>
  <si>
    <t>63ea6e9652ad6968805cefb1</t>
  </si>
  <si>
    <t>euro-tel - Inh. Winfried Kordel</t>
  </si>
  <si>
    <t>0012000000eAYa1AAG</t>
  </si>
  <si>
    <t>63fcbb8aa107c871cf565d4b</t>
  </si>
  <si>
    <t>EUROCOM</t>
  </si>
  <si>
    <t>0012000000tuSG7AAM</t>
  </si>
  <si>
    <t>63fcbb80a107c871cf564b3f</t>
  </si>
  <si>
    <t>EURODITEL CENTRE</t>
  </si>
  <si>
    <t>0012000000eAYsvAAG</t>
  </si>
  <si>
    <t>63fcbb7fa107c871cf5648ad</t>
  </si>
  <si>
    <t>EURODITEL ILE DE FRANCE</t>
  </si>
  <si>
    <t>0012000000tuSAPAA2</t>
  </si>
  <si>
    <t>63ced846c5c820531c268807</t>
  </si>
  <si>
    <t>EUSKO TELECOMUNICACIONES S.L.</t>
  </si>
  <si>
    <t>0012000000eAYaDAAW</t>
  </si>
  <si>
    <t>63ef9d61384f27260c1bb36d</t>
  </si>
  <si>
    <t>EVCOMS</t>
  </si>
  <si>
    <t>laurent.paterac@al-enterprise.com, gerry.ohanlon@al-enterprise.com, david.upsher@al-enterprise.com, tajinderpal.ginda@al-enterprise.com</t>
  </si>
  <si>
    <t>0015I00000T6VuPQAV</t>
  </si>
  <si>
    <t>evcoms</t>
  </si>
  <si>
    <t>65dcd9ba019929778f07c505</t>
  </si>
  <si>
    <t>Everit</t>
  </si>
  <si>
    <t>001SZ000003kAp3YAE</t>
  </si>
  <si>
    <t>EVERIT</t>
  </si>
  <si>
    <t>63ea6e9352ad6968805ceb6d</t>
  </si>
  <si>
    <t>Evoila networks GmbH</t>
  </si>
  <si>
    <t>andreas.grossheimann@al-enterprise.com, katrin.pfeiffer@al-enterprise.com, sibylle.klopfer@al-enterprise.com, igor.leko@al-enterprise.com, daniel.scheidl@al-enterprise.com, hakan.adiguezel@al-enterprise.com</t>
  </si>
  <si>
    <t>0012000000tuSD6AAM</t>
  </si>
  <si>
    <t>63ced845c5c820531c2686db</t>
  </si>
  <si>
    <t>EWE TEL GmbH</t>
  </si>
  <si>
    <t>0012000000szH2NAAU</t>
  </si>
  <si>
    <t>67c0728412fe7e6a3909bd81</t>
  </si>
  <si>
    <t>Example Partner</t>
  </si>
  <si>
    <t>philippe.girard@al-enterprise.com, olivier.ravel@al-enterprise.com, rui.silva@al-enterprise.com, arnould@qollabi.com</t>
  </si>
  <si>
    <t>63fcbb80a107c871cf564a89</t>
  </si>
  <si>
    <t>EXCELCOM (AUST.) PTY LTD</t>
  </si>
  <si>
    <t>0012000000eAYaQAAW</t>
  </si>
  <si>
    <t>63ced84bc5c820531c2693ec</t>
  </si>
  <si>
    <t>Exclusive Networks (NZ) Pty Ltd</t>
  </si>
  <si>
    <t>0015I00000GA26GQAT</t>
  </si>
  <si>
    <t>63ced849c5c820531c268e10</t>
  </si>
  <si>
    <t>EXCLUSIVE NETWORKS - PH INC.</t>
  </si>
  <si>
    <t>0015I00000KjtK3QAJ</t>
  </si>
  <si>
    <t>63ced84ac5c820531c269185</t>
  </si>
  <si>
    <t>Exclusive Networks Poland S.A</t>
  </si>
  <si>
    <t>krystian.sokalski@al-enterprise.com, laurent.paterac@al-enterprise.com, lukasz.laskowski@al-enterprise.com</t>
  </si>
  <si>
    <t>0012000000eAZ1RAAW</t>
  </si>
  <si>
    <t>63ced84cc5c820531c269455</t>
  </si>
  <si>
    <t>Exclusive Networks Pty Ltd</t>
  </si>
  <si>
    <t>0015I00000EmR79QAF</t>
  </si>
  <si>
    <t>63ef9d57384f27260c1ba331</t>
  </si>
  <si>
    <t>Exclusive Networks Pty Ltd (HQ)</t>
  </si>
  <si>
    <t>0015I00000GAOc6QAH</t>
  </si>
  <si>
    <t>63ced849c5c820531c268f2d</t>
  </si>
  <si>
    <t>Exclusive Networks Singapore Pte.</t>
  </si>
  <si>
    <t>0012000000eAZPwAAO</t>
  </si>
  <si>
    <t>6299fe279d039639d001b072</t>
  </si>
  <si>
    <t>Exertis UK Ltd</t>
  </si>
  <si>
    <t>philippe.girard@al-enterprise.com, rui.silva@al-enterprise.com, nick.milnes@al-enterprise.com, laurent.paterac@al-enterprise.com, gerry.ohanlon@al-enterprise.com</t>
  </si>
  <si>
    <t>0015I00000SKCinQAH</t>
  </si>
  <si>
    <t>Exertis Hammer Ltd</t>
  </si>
  <si>
    <t>63fcbb9fa107c871cf5683e7</t>
  </si>
  <si>
    <t>EXPERT TELECOM</t>
  </si>
  <si>
    <t>0012000000tuSIVAA2</t>
  </si>
  <si>
    <t>63fcbb80a107c871cf564b5b</t>
  </si>
  <si>
    <t>Expert2IT</t>
  </si>
  <si>
    <t>0015I00000XrPDRQA3</t>
  </si>
  <si>
    <t>63ced841c5c820531c267e5c</t>
  </si>
  <si>
    <t>Expertos en Computo y</t>
  </si>
  <si>
    <t>saul.montiel@al-enterprise.com, joaquin.flores@al-enterprise.com</t>
  </si>
  <si>
    <t>0012000001F5uJTAAZ</t>
  </si>
  <si>
    <t>63fcbb8aa107c871cf565dad</t>
  </si>
  <si>
    <t>EXTELIS</t>
  </si>
  <si>
    <t>0012000000mxJ0cAAE</t>
  </si>
  <si>
    <t>63ced84bc5c820531c2692a2</t>
  </si>
  <si>
    <t>EXXITA BE CIRCULAR SA SERVICES, S.L.U.</t>
  </si>
  <si>
    <t>astrid.savorani@al-enterprise.com, angel.montoya@al-enterprise.com, marcos.rodriguez@al-enterprise.com</t>
  </si>
  <si>
    <t>0012000001OMo6EAAT</t>
  </si>
  <si>
    <t>EXXITA BE CIRCULAR SA</t>
  </si>
  <si>
    <t>63fcbb84a107c871cf565381</t>
  </si>
  <si>
    <t>Eynav Information Technology</t>
  </si>
  <si>
    <t>0015I00000XSCttQAH</t>
  </si>
  <si>
    <t>63ef9d5f384f27260c1bafed</t>
  </si>
  <si>
    <t>Ezentis Tecnologia SL</t>
  </si>
  <si>
    <t>jaime.tor@al-enterprise.com, astrid.savorani@al-enterprise.com, rafael.andreo@al-enterprise.com, esther.alonso@al-enterprise.com, marcos.rodriguez@al-enterprise.com, borja.gonzalvez@al-enterprise.com</t>
  </si>
  <si>
    <t>0012000000eAZXnAAO</t>
  </si>
  <si>
    <t>63ea6e9652ad6968805cefa3</t>
  </si>
  <si>
    <t>F&amp;S Fernmelde- und</t>
  </si>
  <si>
    <t>0012000000tuSAVAA2</t>
  </si>
  <si>
    <t>63fcbb88a107c871cf5659bd</t>
  </si>
  <si>
    <t>FACILYTK</t>
  </si>
  <si>
    <t>0012000001gNKdDAAW</t>
  </si>
  <si>
    <t>63fcbb98a107c871cf5677ed</t>
  </si>
  <si>
    <t>Factoria Telecom</t>
  </si>
  <si>
    <t>00120000013qYScAAM</t>
  </si>
  <si>
    <t>63fcbb91a107c871cf566b59</t>
  </si>
  <si>
    <t>FARGAS RHONE ALPES</t>
  </si>
  <si>
    <t>0012000000mxIwWAAU</t>
  </si>
  <si>
    <t>63ef9d5e384f27260c1bad8b</t>
  </si>
  <si>
    <t>FASTNET RESEAUX ET TELECOM</t>
  </si>
  <si>
    <t>0012000000eAYamAAG</t>
  </si>
  <si>
    <t>63ced84cc5c820531c269617</t>
  </si>
  <si>
    <t>FASTNET SERVICES SRL</t>
  </si>
  <si>
    <t>0012000000zZRJSAA4</t>
  </si>
  <si>
    <t>63fcbb92a107c871cf566c63</t>
  </si>
  <si>
    <t>FAUCHE Digital Solutions</t>
  </si>
  <si>
    <t>0015I000003HyyEQAS</t>
  </si>
  <si>
    <t>63fcbb7fa107c871cf5649b7</t>
  </si>
  <si>
    <t>FAURIE TELECOM</t>
  </si>
  <si>
    <t>0012000000tuSAUAA2</t>
  </si>
  <si>
    <t>63ea6e9452ad6968805cebf9</t>
  </si>
  <si>
    <t>Fernmeldetechnik Stadler GmbH</t>
  </si>
  <si>
    <t>0012000000tvK9xAAE</t>
  </si>
  <si>
    <t>63ea6e9652ad6968805ceed1</t>
  </si>
  <si>
    <t>Fernseh-Frank Szymkowiak</t>
  </si>
  <si>
    <t>0012000000tvKV8AAM</t>
  </si>
  <si>
    <t>63ced845c5c820531c268654</t>
  </si>
  <si>
    <t>FI PAKISTAN PVT.LTD</t>
  </si>
  <si>
    <t>najeh.khalil@al-enterprise.com, khaled.maher@al-enterprise.com, ahmed.hamzawy@al-enterprise.com</t>
  </si>
  <si>
    <t>0010J00001yujM1QAI</t>
  </si>
  <si>
    <t>63fcbb7da107c871cf5645c7</t>
  </si>
  <si>
    <t>Fiberzone Pte Ltd</t>
  </si>
  <si>
    <t>0012000001HphI8AAJ</t>
  </si>
  <si>
    <t>63fcbb88a107c871cf565a3b</t>
  </si>
  <si>
    <t>FIBRECOM</t>
  </si>
  <si>
    <t>0010J000023ABIUQA4</t>
  </si>
  <si>
    <t>63fcbb9ea107c871cf56812b</t>
  </si>
  <si>
    <t>FILO SARL</t>
  </si>
  <si>
    <t>0012000000mxItSAAU</t>
  </si>
  <si>
    <t>63ced845c5c820531c268573</t>
  </si>
  <si>
    <t>First One Systems Co., Ltd.</t>
  </si>
  <si>
    <t>0012000000eAZXbAAO</t>
  </si>
  <si>
    <t>63ced849c5c820531c268df2</t>
  </si>
  <si>
    <t>First Video Communications FZ-LLC</t>
  </si>
  <si>
    <t>najeh.khalil@al-enterprise.com, ravin.naidu@al-enterprise.com, rahul.sharma1@al-enterprise.com, madalina.cretu@al-enterprise.com, ahmed.hamzawy@al-enterprise.com</t>
  </si>
  <si>
    <t>0012000000gwYNtAAM</t>
  </si>
  <si>
    <t>63fcbb8fa107c871cf5667d9</t>
  </si>
  <si>
    <t>FIRSTWAN DNS</t>
  </si>
  <si>
    <t>0012000001gNKdAAAW</t>
  </si>
  <si>
    <t>63ced847c5c820531c268b8b</t>
  </si>
  <si>
    <t>Flexcom Co.Ltd</t>
  </si>
  <si>
    <t>0010J000021NcG8QAK</t>
  </si>
  <si>
    <t>63ea6e9552ad6968805cee61</t>
  </si>
  <si>
    <t>fm best GmbH &amp; Co. KG</t>
  </si>
  <si>
    <t>0012000000tuSAWAA2</t>
  </si>
  <si>
    <t>Fm Best Telekommunikation</t>
  </si>
  <si>
    <t>63fcbb96a107c871cf567363</t>
  </si>
  <si>
    <t>FOLDER</t>
  </si>
  <si>
    <t>0012000000sEN4HAAW</t>
  </si>
  <si>
    <t>63ef9d54384f27260c1b9f03</t>
  </si>
  <si>
    <t>FOLIATEAM</t>
  </si>
  <si>
    <t>0012000000tuSDBAA2</t>
  </si>
  <si>
    <t>63fcbb8ba107c871cf565eef</t>
  </si>
  <si>
    <t>FOLIATEAM - UGAP sans service</t>
  </si>
  <si>
    <t>001200000171BKCAA2</t>
  </si>
  <si>
    <t>63ef9d55384f27260c1ba08b</t>
  </si>
  <si>
    <t>Foliateam A2Com</t>
  </si>
  <si>
    <t>0012000001VU9V8AAL</t>
  </si>
  <si>
    <t>63fcbb8ba107c871cf565f6d</t>
  </si>
  <si>
    <t>Foliateam A2Com - UGAP sans service</t>
  </si>
  <si>
    <t>0015I00000XrsfXQAR</t>
  </si>
  <si>
    <t>63ced845c5c820531c2685af</t>
  </si>
  <si>
    <t>FOLIATEAM GROUP</t>
  </si>
  <si>
    <t>001200000171AQJAA2</t>
  </si>
  <si>
    <t>63fcbb8ba107c871cf565f0b</t>
  </si>
  <si>
    <t>Foliateam IDF Sud</t>
  </si>
  <si>
    <t>0012000001ZQWPBAA5</t>
  </si>
  <si>
    <t>63fcbb8ba107c871cf565f19</t>
  </si>
  <si>
    <t>Foliateam Ouest</t>
  </si>
  <si>
    <t>0012000001ZQWPCAA5</t>
  </si>
  <si>
    <t>63fcbb8ba107c871cf565eb7</t>
  </si>
  <si>
    <t>FOLIATEAM RHONE-ALPES</t>
  </si>
  <si>
    <t>0012000001CJ2stAAD</t>
  </si>
  <si>
    <t>63fcbb8ba107c871cf565efd</t>
  </si>
  <si>
    <t>Foliateam Rhone-Alpes</t>
  </si>
  <si>
    <t>0012000001ZQWPJAA5</t>
  </si>
  <si>
    <t>Foliateam Rhône-Alpes</t>
  </si>
  <si>
    <t>63fcbb8ba107c871cf565f35</t>
  </si>
  <si>
    <t>0012000001ZQWPIAA5</t>
  </si>
  <si>
    <t>63fcbb8ba107c871cf565f89</t>
  </si>
  <si>
    <t>0015I00000gMr8JQAS</t>
  </si>
  <si>
    <t>63fcbb8ba107c871cf565f7b</t>
  </si>
  <si>
    <t>FOLIATEAM SUD OUEST - UGAP SANS SER</t>
  </si>
  <si>
    <t>0015I00000gMr8IQAS</t>
  </si>
  <si>
    <t>63ef9d54384f27260c1b9f23</t>
  </si>
  <si>
    <t>FOLIATEAM SUD-OUEST</t>
  </si>
  <si>
    <t>0012000001RE8xpAAD</t>
  </si>
  <si>
    <t>63fcbb8ba107c871cf565f27</t>
  </si>
  <si>
    <t>Foliateam Sud-Ouest</t>
  </si>
  <si>
    <t>0012000001ZQWPHAA5</t>
  </si>
  <si>
    <t>63fcbb9ea107c871cf568155</t>
  </si>
  <si>
    <t>FORCLUM HAUTE-NORMANDIE</t>
  </si>
  <si>
    <t>0012000000mxJ3aAAE</t>
  </si>
  <si>
    <t>63fcbb8ba107c871cf566007</t>
  </si>
  <si>
    <t>FORCLUM QUERCY ROUERGUE GEVAUDAN</t>
  </si>
  <si>
    <t>0012000000mxJ1xAAE</t>
  </si>
  <si>
    <t>633dbdf37d81b978d40bc36f</t>
  </si>
  <si>
    <t>Fornax GmbH</t>
  </si>
  <si>
    <t>rui.silva@al-enterprise.com, andreas.grossheimann@al-enterprise.com, katrin.pfeiffer@al-enterprise.com, sibylle.klopfer@al-enterprise.com, igor.leko@al-enterprise.com</t>
  </si>
  <si>
    <t>lan_network, wlan_network, smb_communication_platforms</t>
  </si>
  <si>
    <t>001200000139vVUAAY</t>
  </si>
  <si>
    <t>63ced84ac5c820531c2691ee</t>
  </si>
  <si>
    <t>Fortesys Sdn Bhd</t>
  </si>
  <si>
    <t>0010J000022R01mQAC</t>
  </si>
  <si>
    <t>63fcbb83a107c871cf564fe5</t>
  </si>
  <si>
    <t>Fractalia IT Systems</t>
  </si>
  <si>
    <t>0012000001VU9V6AAL</t>
  </si>
  <si>
    <t>63fcbb91a107c871cf566b4b</t>
  </si>
  <si>
    <t>FRANCK SALINI</t>
  </si>
  <si>
    <t>0012000000mxIwVAAU</t>
  </si>
  <si>
    <t>SAS STS</t>
  </si>
  <si>
    <t>63ea6e9652ad6968805ceeed</t>
  </si>
  <si>
    <t>Frank &amp; Wagner IT UG</t>
  </si>
  <si>
    <t>0015I000004TNDxQAO</t>
  </si>
  <si>
    <t>6572ea531bcb0fe13308080d</t>
  </si>
  <si>
    <t>Fredon (QLD) Pty Limited</t>
  </si>
  <si>
    <t>philippe.girard@al-enterprise.com, rui.silva@al-enterprise.com, nicole.gorman@al-enterprise.com, gosia.lee@al-enterprise.com</t>
  </si>
  <si>
    <t>0012000000eAYbOAAW</t>
  </si>
  <si>
    <t>63ea6e9752ad6968805cf1ef</t>
  </si>
  <si>
    <t>Free Mind IT GmbH</t>
  </si>
  <si>
    <t>0012000001Zgj1lAAB</t>
  </si>
  <si>
    <t>63fcbb85a107c871cf565429</t>
  </si>
  <si>
    <t>FREECOM SERVICES</t>
  </si>
  <si>
    <t>0015I00000BkWbFQAV</t>
  </si>
  <si>
    <t>UNIXO</t>
  </si>
  <si>
    <t>63fcbb98a107c871cf5677a7</t>
  </si>
  <si>
    <t>FRT COMMUNICATION</t>
  </si>
  <si>
    <t>0012000000tuSIvAAM</t>
  </si>
  <si>
    <t>63ea6e9552ad6968805cee99</t>
  </si>
  <si>
    <t>FS Final Systems GmbH</t>
  </si>
  <si>
    <t>0012000001JZwrXAAT</t>
  </si>
  <si>
    <t>63ea6e9452ad6968805cec23</t>
  </si>
  <si>
    <t>FT Fernmeldetechnik GmbH</t>
  </si>
  <si>
    <t>andreas.grossheimann@al-enterprise.com, katrin.pfeiffer@al-enterprise.com, andre.ramm@al-enterprise.com, sibylle.klopfer@al-enterprise.com, igor.leko@al-enterprise.com</t>
  </si>
  <si>
    <t>0012000000eAYbVAAW</t>
  </si>
  <si>
    <t>63fcbb99a107c871cf56786b</t>
  </si>
  <si>
    <t>FTN &amp; CO</t>
  </si>
  <si>
    <t>0012000001cUWERAA4</t>
  </si>
  <si>
    <t>63ced84cc5c820531c269527</t>
  </si>
  <si>
    <t>FULLCOM SRL</t>
  </si>
  <si>
    <t>0012000000tuSK1AAM</t>
  </si>
  <si>
    <t>63ea6e9652ad6968805cf02f</t>
  </si>
  <si>
    <t>Funktechnik Frehse GmbH</t>
  </si>
  <si>
    <t>0012000000eAYbaAAG</t>
  </si>
  <si>
    <t>63ced847c5c820531c268a50</t>
  </si>
  <si>
    <t>Future Integrated Technologies</t>
  </si>
  <si>
    <t>najeh.khalil@al-enterprise.com, ahmad.johar@al-enterprise.com, ahmed.hamzawy@al-enterprise.com</t>
  </si>
  <si>
    <t>KW</t>
  </si>
  <si>
    <t>0012000001gPOa6AAG</t>
  </si>
  <si>
    <t>63ced844c5c820531c26840b</t>
  </si>
  <si>
    <t>FUTURE TECH INFORMATION TECHNOLOGY</t>
  </si>
  <si>
    <t>MM</t>
  </si>
  <si>
    <t>0010J00001vIU3oQAG</t>
  </si>
  <si>
    <t>6603f28bd1e03633c40e6dc6</t>
  </si>
  <si>
    <t>FWG communication s.r.o.</t>
  </si>
  <si>
    <t>0015I00000Kj3x7QAB</t>
  </si>
  <si>
    <t>63ced845c5c820531c268582</t>
  </si>
  <si>
    <t>G-ABLE COMPANY LIMITED</t>
  </si>
  <si>
    <t>0012000000myZo1AAE</t>
  </si>
  <si>
    <t>G-Able Public Company Limited</t>
  </si>
  <si>
    <t>63fcbb9ca107c871cf567dc7</t>
  </si>
  <si>
    <t>Gamac</t>
  </si>
  <si>
    <t>0010J000023ABIWQA4</t>
  </si>
  <si>
    <t>63ced84ec5c820531c2698ab</t>
  </si>
  <si>
    <t>Garber Connect</t>
  </si>
  <si>
    <t>0012000000qRI0eAAG</t>
  </si>
  <si>
    <t>63fcbb97a107c871cf56762d</t>
  </si>
  <si>
    <t>GASTEL</t>
  </si>
  <si>
    <t>0012000000eAYbmAAG</t>
  </si>
  <si>
    <t>Gastel Communication</t>
  </si>
  <si>
    <t>63fcbb85a107c871cf5653ff</t>
  </si>
  <si>
    <t>GATEWAY DISTRIBUTION &amp; SERVICES PTY</t>
  </si>
  <si>
    <t>0012000000eAZk9AAG</t>
  </si>
  <si>
    <t>63ef9d58384f27260c1ba3f3</t>
  </si>
  <si>
    <t>GDL Telecomunicaciones S.A de C.V</t>
  </si>
  <si>
    <t>hector.villa@al-enterprise.com</t>
  </si>
  <si>
    <t>0012000000gwYIdAAM</t>
  </si>
  <si>
    <t>63fcbb85a107c871cf565525</t>
  </si>
  <si>
    <t>GE - ALSTOM IS&amp;T SAS</t>
  </si>
  <si>
    <t>0010J000023qaY7QAI</t>
  </si>
  <si>
    <t>63ced848c5c820531c268d02</t>
  </si>
  <si>
    <t>GE - ALSTOM POWER INC</t>
  </si>
  <si>
    <t>0012000000mxIz1AAE</t>
  </si>
  <si>
    <t>63ea6e9652ad6968805cf021</t>
  </si>
  <si>
    <t>GECKO mbh</t>
  </si>
  <si>
    <t>0012000000tvKABAA2</t>
  </si>
  <si>
    <t>63fcbb9da107c871cf568075</t>
  </si>
  <si>
    <t>GEMATIQUE</t>
  </si>
  <si>
    <t>0015I00000ehFJnQAM</t>
  </si>
  <si>
    <t>63fcbb7fa107c871cf564a43</t>
  </si>
  <si>
    <t>Gen10 Global Network Co.</t>
  </si>
  <si>
    <t>philippe.girard@al-enterprise.com, rui.silva@al-enterprise.com, somyos.udomnilobon@al-enterprise.com, supachai.khongkrittayaphan@al-enterprise.com</t>
  </si>
  <si>
    <t>0010J00001pXIw1QAG</t>
  </si>
  <si>
    <t>63ced848c5c820531c268c5d</t>
  </si>
  <si>
    <t>GENERAL DATA CABLING AND</t>
  </si>
  <si>
    <t>FJ</t>
  </si>
  <si>
    <t>0012000000fJFb9AAG</t>
  </si>
  <si>
    <t>63ced84ec5c820531c269950</t>
  </si>
  <si>
    <t>Genie Innovations, LLC</t>
  </si>
  <si>
    <t>0012000000vIkq1AAC</t>
  </si>
  <si>
    <t>63fcbb9ba107c871cf567ce7</t>
  </si>
  <si>
    <t>GEOCOM &amp; NETWORKS</t>
  </si>
  <si>
    <t>0015I00000WDePNQA1</t>
  </si>
  <si>
    <t>63ced849c5c820531c268fc3</t>
  </si>
  <si>
    <t>Gervasoni Ingenieria S.R.L.</t>
  </si>
  <si>
    <t>0012000000gvLgFAAU</t>
  </si>
  <si>
    <t>63ef9d53384f27260c1b9e03</t>
  </si>
  <si>
    <t>GFT Gemeinschaft Fernmelde Technik eG</t>
  </si>
  <si>
    <t>katrin.pfeiffer@al-enterprise.com</t>
  </si>
  <si>
    <t>0012000000eAYcLAAW</t>
  </si>
  <si>
    <t>GFT Gemeinschaft Fernmelde</t>
  </si>
  <si>
    <t>67a4e1cd75e72d5ecf0d1142</t>
  </si>
  <si>
    <t>GHA Technologies, Inc.</t>
  </si>
  <si>
    <t>0012000001efjAAAAY</t>
  </si>
  <si>
    <t>63ef9d56384f27260c1ba0cb</t>
  </si>
  <si>
    <t>GIGAS HOSTING, S.A.</t>
  </si>
  <si>
    <t>0012000000eAYwKAAW</t>
  </si>
  <si>
    <t>63fcbb92a107c871cf566c1d</t>
  </si>
  <si>
    <t>GIPS - Global IP Solutions</t>
  </si>
  <si>
    <t>0012000001OOCkkAAH</t>
  </si>
  <si>
    <t>63fcbb83a107c871cf5651c1</t>
  </si>
  <si>
    <t>GK IT-Center</t>
  </si>
  <si>
    <t>0010J00002AioMOQAZ</t>
  </si>
  <si>
    <t>GK "IT-Center"</t>
  </si>
  <si>
    <t>63ced84ec5c820531c269a31</t>
  </si>
  <si>
    <t>Glass House Systems Inc</t>
  </si>
  <si>
    <t>00120000018wnHdAAI</t>
  </si>
  <si>
    <t>63ced84ec5c820531c269a6d</t>
  </si>
  <si>
    <t>Glessner Protective Services, Inc.</t>
  </si>
  <si>
    <t>0012000001GvhEeAAJ</t>
  </si>
  <si>
    <t>63fcbb84a107c871cf565349</t>
  </si>
  <si>
    <t>Global Africa</t>
  </si>
  <si>
    <t>0012000001EvreLAAR</t>
  </si>
  <si>
    <t>63fcbb8ea107c871cf56651d</t>
  </si>
  <si>
    <t>GLOBAL CONNECT</t>
  </si>
  <si>
    <t>0010J00001lYaOuQAK</t>
  </si>
  <si>
    <t>63ef9d5b384f27260c1ba8bb</t>
  </si>
  <si>
    <t>Global IT</t>
  </si>
  <si>
    <t>0012000000tvKdEAAU</t>
  </si>
  <si>
    <t>63fcbb81a107c871cf564da7</t>
  </si>
  <si>
    <t>GLOBAL PARTNER</t>
  </si>
  <si>
    <t>0012000001GvU1kAAF</t>
  </si>
  <si>
    <t>63fcbb9ba107c871cf567b7b</t>
  </si>
  <si>
    <t>GLOBAL TECHNIQUE COMMUNICATION</t>
  </si>
  <si>
    <t>0012000001HphHAAAZ</t>
  </si>
  <si>
    <t>63ced84dc5c820531c269662</t>
  </si>
  <si>
    <t>Global Telecommunication and</t>
  </si>
  <si>
    <t>0012000001QhIMtAAN</t>
  </si>
  <si>
    <t>63ced842c5c820531c26800f</t>
  </si>
  <si>
    <t>GLOBALCOM COMPANY Ltd</t>
  </si>
  <si>
    <t>vassilis.xenakis@al-enterprise.com, yasmine.hadoui@al-enterprise.com</t>
  </si>
  <si>
    <t>MU</t>
  </si>
  <si>
    <t>0010J00001ktt8sQAA</t>
  </si>
  <si>
    <t>63fcbb86a107c871cf565613</t>
  </si>
  <si>
    <t>GLOBALTEL SRL</t>
  </si>
  <si>
    <t>0012000000tuSF3AAM</t>
  </si>
  <si>
    <t>63ced844c5c820531c268447</t>
  </si>
  <si>
    <t>GLORY Technology Service Inc.</t>
  </si>
  <si>
    <t>0012000001V7fITAAZ</t>
  </si>
  <si>
    <t>63ced848c5c820531c268da7</t>
  </si>
  <si>
    <t>Glotech GmbH</t>
  </si>
  <si>
    <t>0015I00000QCE5kQAH</t>
  </si>
  <si>
    <t>63ea6e9652ad6968805cefbf</t>
  </si>
  <si>
    <t>GND TELEKOM</t>
  </si>
  <si>
    <t>0012000000eAYcjAAG</t>
  </si>
  <si>
    <t>6807667bb73197de13056562</t>
  </si>
  <si>
    <t>GNTEL Inc.</t>
  </si>
  <si>
    <t>0012000000eAZpZAAW</t>
  </si>
  <si>
    <t>63ced847c5c820531c2689f6</t>
  </si>
  <si>
    <t>GO p.l.c.</t>
  </si>
  <si>
    <t>0012000000eAYjvAAG</t>
  </si>
  <si>
    <t>63fcbb7fa107c871cf5649e1</t>
  </si>
  <si>
    <t>GOTEL</t>
  </si>
  <si>
    <t>0012000000tuSIJAA2</t>
  </si>
  <si>
    <t>63fcbb82a107c871cf564f3d</t>
  </si>
  <si>
    <t>GOTELCOM</t>
  </si>
  <si>
    <t>0010J00002AjAtFQAV</t>
  </si>
  <si>
    <t>63ced846c5c820531c268816</t>
  </si>
  <si>
    <t>GOTOR COMUNICACIONES S.A.</t>
  </si>
  <si>
    <t>0012000000eAYbzAAG</t>
  </si>
  <si>
    <t>63fcbb85a107c871cf565517</t>
  </si>
  <si>
    <t>GOVERNMENT SECURE SOLUTIONS CGI INC</t>
  </si>
  <si>
    <t>0015I000003H4juQAC</t>
  </si>
  <si>
    <t>63ea6e9652ad6968805cf04b</t>
  </si>
  <si>
    <t>grainscom</t>
  </si>
  <si>
    <t>0012000001Ph5DiAAJ</t>
  </si>
  <si>
    <t>63ced84ec5c820531c269a04</t>
  </si>
  <si>
    <t>Granite Communication Inc.</t>
  </si>
  <si>
    <t>00120000016aqbVAAQ</t>
  </si>
  <si>
    <t>63ced84ec5c820531c269905</t>
  </si>
  <si>
    <t>Grapevine Telephone Network Solutio</t>
  </si>
  <si>
    <t>0012000000sEqV6AAK</t>
  </si>
  <si>
    <t>63fcbb91a107c871cf566b2f</t>
  </si>
  <si>
    <t>GRCS</t>
  </si>
  <si>
    <t>0012000000eAZVsAAO</t>
  </si>
  <si>
    <t>65d37ff5bc374ab656036cb8</t>
  </si>
  <si>
    <t>Green Infrastructure Sdn Bhd</t>
  </si>
  <si>
    <t>0015I00000lbSd5QAE</t>
  </si>
  <si>
    <t>63fcbb93a107c871cf566e77</t>
  </si>
  <si>
    <t>GRESSIER</t>
  </si>
  <si>
    <t>philippe.girard@al-enterprise.com, rui.silva@al-enterprise.com, iellis.zaamcha@al-enterprise.com</t>
  </si>
  <si>
    <t>0015I00000gK17cQAC</t>
  </si>
  <si>
    <t>62a8809fd600031ebc100c97</t>
  </si>
  <si>
    <t>GROUPE INFODIS</t>
  </si>
  <si>
    <t>rui.silva@al-enterprise.com, jean-christophe.antoine@al-enterprise.com, caroline.maugere@al-enterprise.com</t>
  </si>
  <si>
    <t>0015I00000SJsD1QAL</t>
  </si>
  <si>
    <t>63fcbb98a107c871cf56777d</t>
  </si>
  <si>
    <t>GROUPE NETCOM S.A. TELECOM</t>
  </si>
  <si>
    <t>0012000000tuSEvAAM</t>
  </si>
  <si>
    <t>63fcbb8fa107c871cf5667af</t>
  </si>
  <si>
    <t>GROUPE tC - ALENCON</t>
  </si>
  <si>
    <t>0012000001HM20RAAT</t>
  </si>
  <si>
    <t>63fcbb90a107c871cf56690d</t>
  </si>
  <si>
    <t>GROUPE tC - Angers</t>
  </si>
  <si>
    <t>0012000001HM20gAAD</t>
  </si>
  <si>
    <t>63fcbb8ca107c871cf5661ff</t>
  </si>
  <si>
    <t>GROUPE tC - AUCH</t>
  </si>
  <si>
    <t>0012000001HM20SAAT</t>
  </si>
  <si>
    <t>63fcbb9da107c871cf567f87</t>
  </si>
  <si>
    <t>GROUPE tC - BORDEAUX</t>
  </si>
  <si>
    <t>0012000001HM20eAAD</t>
  </si>
  <si>
    <t>63fcbb90a107c871cf566873</t>
  </si>
  <si>
    <t>GROUPE tC - Brest</t>
  </si>
  <si>
    <t>0012000001HphFxAAJ</t>
  </si>
  <si>
    <t>63fcbb9fa107c871cf568411</t>
  </si>
  <si>
    <t>GROUPE tC - CAEN</t>
  </si>
  <si>
    <t>0012000001HM20bAAD</t>
  </si>
  <si>
    <t>63fcbb9fa107c871cf56841f</t>
  </si>
  <si>
    <t>Groupe tC - Cherbourg</t>
  </si>
  <si>
    <t>0012000001HM20kAAD</t>
  </si>
  <si>
    <t>63fcbb9da107c871cf567fbf</t>
  </si>
  <si>
    <t>GROUPE tC - DAX</t>
  </si>
  <si>
    <t>0012000001HM21HAAT</t>
  </si>
  <si>
    <t>63fcbb9fa107c871cf568315</t>
  </si>
  <si>
    <t>GROUPE tC - EVREUX</t>
  </si>
  <si>
    <t>0012000001HM20ZAAT</t>
  </si>
  <si>
    <t>63fcbb90a107c871cf566811</t>
  </si>
  <si>
    <t>GROUPE tC - LA ROCHE S/YON</t>
  </si>
  <si>
    <t>0012000001HM20cAAD</t>
  </si>
  <si>
    <t>63fcbb9fa107c871cf568403</t>
  </si>
  <si>
    <t>GROUPE tC - LAON</t>
  </si>
  <si>
    <t>0012000001HM20VAAT</t>
  </si>
  <si>
    <t>63fcbb90a107c871cf5668ff</t>
  </si>
  <si>
    <t>GROUPE tC - Laval</t>
  </si>
  <si>
    <t>0012000001HM20dAAD</t>
  </si>
  <si>
    <t>63fcbb90a107c871cf56681f</t>
  </si>
  <si>
    <t>GROUPE tC - LE MANS</t>
  </si>
  <si>
    <t>0012000001HM20fAAD</t>
  </si>
  <si>
    <t>63fcbb9da107c871cf567fa3</t>
  </si>
  <si>
    <t>GROUPE tC - MARMANDE</t>
  </si>
  <si>
    <t>0012000001HM20jAAD</t>
  </si>
  <si>
    <t>63fcbb9da107c871cf567fb1</t>
  </si>
  <si>
    <t>GROUPE tC - MONT DE MARSAN</t>
  </si>
  <si>
    <t>0012000001HM20lAAD</t>
  </si>
  <si>
    <t>63fcbb90a107c871cf566865</t>
  </si>
  <si>
    <t>GROUPE tC - Nantes</t>
  </si>
  <si>
    <t>0012000001HM21JAAT</t>
  </si>
  <si>
    <t>63fcbb9ba107c871cf567b6d</t>
  </si>
  <si>
    <t>GROUPE tC - PARIS</t>
  </si>
  <si>
    <t>0012000001HM20mAAD</t>
  </si>
  <si>
    <t>63fcbb9da107c871cf567f79</t>
  </si>
  <si>
    <t>GROUPE tC - PAU</t>
  </si>
  <si>
    <t>0012000001HM20aAAD</t>
  </si>
  <si>
    <t>63fcbb90a107c871cf566803</t>
  </si>
  <si>
    <t>GROUPE tC - Quimper</t>
  </si>
  <si>
    <t>0012000001HM20YAAT</t>
  </si>
  <si>
    <t>63fcbb90a107c871cf56682d</t>
  </si>
  <si>
    <t>GROUPE tC - Rennes</t>
  </si>
  <si>
    <t>0012000001HM20nAAD</t>
  </si>
  <si>
    <t>63fcbb90a107c871cf56683b</t>
  </si>
  <si>
    <t>GROUPE tC - Saint Brieuc</t>
  </si>
  <si>
    <t>0012000001HM20oAAD</t>
  </si>
  <si>
    <t>63fcbb9fa107c871cf568393</t>
  </si>
  <si>
    <t>GROUPE tC - Saint Lo</t>
  </si>
  <si>
    <t>0010J00001s388CQAQ</t>
  </si>
  <si>
    <t>63fcbb90a107c871cf566881</t>
  </si>
  <si>
    <t>GROUPE tC - Saint Malo</t>
  </si>
  <si>
    <t>0012000001HphG1AAJ</t>
  </si>
  <si>
    <t>63fcbb90a107c871cf566849</t>
  </si>
  <si>
    <t>GROUPE tC - Saint Nazaire</t>
  </si>
  <si>
    <t>0012000001HM20rAAD</t>
  </si>
  <si>
    <t>63fcbb9da107c871cf567fcd</t>
  </si>
  <si>
    <t>GROUPE tC - SAINTES</t>
  </si>
  <si>
    <t>0012000001HphFyAAJ</t>
  </si>
  <si>
    <t>63fcbb90a107c871cf566857</t>
  </si>
  <si>
    <t>GROUPE tC - Vannes</t>
  </si>
  <si>
    <t>0012000001HM21IAAT</t>
  </si>
  <si>
    <t>63fcbb7ea107c871cf5646fb</t>
  </si>
  <si>
    <t>GRUPO OSABA URK, S.L.</t>
  </si>
  <si>
    <t>0012000000tuSBrAAM</t>
  </si>
  <si>
    <t>63fcbb7fa107c871cf564901</t>
  </si>
  <si>
    <t>GRUPO ROYAL TELECOM S L</t>
  </si>
  <si>
    <t>0012000000eAYd5AAG</t>
  </si>
  <si>
    <t>63fcbb8ca107c871cf566245</t>
  </si>
  <si>
    <t>GT2S</t>
  </si>
  <si>
    <t>0012000001WP4JpAAL</t>
  </si>
  <si>
    <t>63fcbb93a107c871cf566e07</t>
  </si>
  <si>
    <t>GT84</t>
  </si>
  <si>
    <t>0015I0000083vq6QAA</t>
  </si>
  <si>
    <t>63fcbb9da107c871cf56804b</t>
  </si>
  <si>
    <t>GTO (Agence 17 Royan)</t>
  </si>
  <si>
    <t>0015I00000ZwDeuQAF</t>
  </si>
  <si>
    <t>63fcbb9da107c871cf56803d</t>
  </si>
  <si>
    <t>GTO (Agence 33 Bordeaux)</t>
  </si>
  <si>
    <t>0015I00000ZwAzyQAF</t>
  </si>
  <si>
    <t>63fcbb9da107c871cf568059</t>
  </si>
  <si>
    <t>GTO (Agence 86 Poitiers)</t>
  </si>
  <si>
    <t>0015I00000ZwL2mQAF</t>
  </si>
  <si>
    <t>63ef9d59384f27260c1ba627</t>
  </si>
  <si>
    <t>GTO-Groupe Telecoms de l'Ouest LES MINIMES</t>
  </si>
  <si>
    <t>olivier.ravel@al-enterprise.com</t>
  </si>
  <si>
    <t>0012000000eAYSkAAO</t>
  </si>
  <si>
    <t>GTO-Groupe Telecoms de l'Ouest</t>
  </si>
  <si>
    <t>63fcbb9aa107c871cf567a55</t>
  </si>
  <si>
    <t>GTR (Generation Telecom et Reseaux)</t>
  </si>
  <si>
    <t>0012000000eAZ8DAAW</t>
  </si>
  <si>
    <t>GTR (Génération Télécom et Réseaux)</t>
  </si>
  <si>
    <t>63fcbb81a107c871cf564c57</t>
  </si>
  <si>
    <t>Guedes, Alves &amp; Pacheco, LDA</t>
  </si>
  <si>
    <t>0012000000mxImWAAU</t>
  </si>
  <si>
    <t>Guedes,  Alves &amp; Pacheco, LDA</t>
  </si>
  <si>
    <t>63fcbb7ea107c871cf56476b</t>
  </si>
  <si>
    <t>Gulf Systems</t>
  </si>
  <si>
    <t>0010J000021OUrxQAG</t>
  </si>
  <si>
    <t>63ced84bc5c820531c269293</t>
  </si>
  <si>
    <t>Gulf Talent Contracting Company LLC</t>
  </si>
  <si>
    <t>0010J000027B5j9QAC</t>
  </si>
  <si>
    <t>63ea6e9552ad6968805cee53</t>
  </si>
  <si>
    <t>Gunter &amp; Partner Telecom GmbH</t>
  </si>
  <si>
    <t>ralf.kloeppels@al-enterprise.com, andreas.grossheimann@al-enterprise.com</t>
  </si>
  <si>
    <t>0012000000tvKAIAA2</t>
  </si>
  <si>
    <t>Günter &amp; Partner ITK Solutions GmbH</t>
  </si>
  <si>
    <t>633dbca37d81b978d40bc339</t>
  </si>
  <si>
    <t>GUR LAVI CORPORATION</t>
  </si>
  <si>
    <t>rui.silva@al-enterprise.com, frederick.decastro@al-enterprise.com</t>
  </si>
  <si>
    <t>lan_network, wlan_network, enterprise_communication_platforms, smb_communication_platforms</t>
  </si>
  <si>
    <t>0015I00000c9RvwQAE</t>
  </si>
  <si>
    <t>63fcbb99a107c871cf5678bf</t>
  </si>
  <si>
    <t>GUYANE PRESTA INFORMATIQUE</t>
  </si>
  <si>
    <t>0015I00000fKYsYQAW</t>
  </si>
  <si>
    <t>63ced844c5c820531c2684ec</t>
  </si>
  <si>
    <t>HaeMil IT CO., LTD</t>
  </si>
  <si>
    <t>0012000001S8mBiAAJ</t>
  </si>
  <si>
    <t>63ced844c5c820531c2684a1</t>
  </si>
  <si>
    <t>HANA-IT</t>
  </si>
  <si>
    <t>0012000000eAZXkAAO</t>
  </si>
  <si>
    <t>63fcbb87a107c871cf565827</t>
  </si>
  <si>
    <t>Hansol Inticube Co,.Ltd.</t>
  </si>
  <si>
    <t>0012000001XvAYWAA3</t>
  </si>
  <si>
    <t>63fcbb99a107c871cf567913</t>
  </si>
  <si>
    <t>HARDWARE &amp; SOFTWARE</t>
  </si>
  <si>
    <t>0010J00001ntj1cQAA</t>
  </si>
  <si>
    <t>63fcbb80a107c871cf564ab3</t>
  </si>
  <si>
    <t>Haring Kommunikation</t>
  </si>
  <si>
    <t>0012000000eAZGpAAO</t>
  </si>
  <si>
    <t>63ea6e9752ad6968805cf10f</t>
  </si>
  <si>
    <t>Harms &amp; Pieper GmbH &amp; Co. KG</t>
  </si>
  <si>
    <t>0010J000021Mt3AQAS</t>
  </si>
  <si>
    <t>63ea6e9652ad6968805cefe9</t>
  </si>
  <si>
    <t>HB Fernmeldetechnik</t>
  </si>
  <si>
    <t>0012000000eAYLTAA4</t>
  </si>
  <si>
    <t>65dcd9bc019929778f07c719</t>
  </si>
  <si>
    <t>Hebus Digital Evolution</t>
  </si>
  <si>
    <t>philippe.girard@al-enterprise.com, rui.silva@al-enterprise.com, dominique.morvan@al-enterprise.com</t>
  </si>
  <si>
    <t>0015I00000kxjdDQAQ</t>
  </si>
  <si>
    <t>HEBUS DIGITAL EVOLUTION</t>
  </si>
  <si>
    <t>63ea6e9752ad6968805cf075</t>
  </si>
  <si>
    <t>hecom computer Inh.: Andreas Heim</t>
  </si>
  <si>
    <t>0012000000tvKAHAA2</t>
  </si>
  <si>
    <t>63ea6e9452ad6968805ceca1</t>
  </si>
  <si>
    <t>Heinz Communication Systems GmbH</t>
  </si>
  <si>
    <t>0012000000tuSIRAA2</t>
  </si>
  <si>
    <t>63ea6e9552ad6968805cee7d</t>
  </si>
  <si>
    <t>HELD - Tec GmbH</t>
  </si>
  <si>
    <t>0012000000eAYdgAAG</t>
  </si>
  <si>
    <t>63ced847c5c820531c268b4f</t>
  </si>
  <si>
    <t>HELDELE GmbH</t>
  </si>
  <si>
    <t>robert.weinberger@al-enterprise.com, katrin.pfeiffer@al-enterprise.com, sibylle.klopfer@al-enterprise.com, igor.leko@al-enterprise.com</t>
  </si>
  <si>
    <t>0012000000eAZ4PAAW</t>
  </si>
  <si>
    <t>68079e0f84201507df0f1092</t>
  </si>
  <si>
    <t>Hellenic Telecommunications Organization SA (OTE)</t>
  </si>
  <si>
    <t>0010J000022TX9GQAW</t>
  </si>
  <si>
    <t>Hellenic Telecommunications</t>
  </si>
  <si>
    <t>66a8fe044be743d34e09bf72</t>
  </si>
  <si>
    <t>Hellopine Co., Ltd.</t>
  </si>
  <si>
    <t>rui.silva@al-enterprise.com, somyos.udomnilobon@al-enterprise.com</t>
  </si>
  <si>
    <t>001SZ00000DqVY8YAN</t>
  </si>
  <si>
    <t>63ea6e9652ad6968805ceff7</t>
  </si>
  <si>
    <t>Hero Funk-Technik Telefonanlagen</t>
  </si>
  <si>
    <t>0012000000eAYdjAAG</t>
  </si>
  <si>
    <t>63fcbb88a107c871cf565a49</t>
  </si>
  <si>
    <t>HEXACOM</t>
  </si>
  <si>
    <t>00120000013qYTPAA2</t>
  </si>
  <si>
    <t>63ced846c5c820531c268942</t>
  </si>
  <si>
    <t>HEXATEL SAS</t>
  </si>
  <si>
    <t>0012000000mxJ1YAAU</t>
  </si>
  <si>
    <t>633dbb6a7d81b978d40bc31a</t>
  </si>
  <si>
    <t>Hitachi Rail STS S.p.A.</t>
  </si>
  <si>
    <t>rui.silva@al-enterprise.com, mauro.buratti@al-enterprise.com, astrid.savorani@al-enterprise.com, andrea.scaietti@al-enterprise.com</t>
  </si>
  <si>
    <t>0015I00000VWX80QAH</t>
  </si>
  <si>
    <t>63ced841c5c820531c267e20</t>
  </si>
  <si>
    <t>HITACHI RAIL STS USA, Inc.</t>
  </si>
  <si>
    <t>0012000001hSMKDAA4</t>
  </si>
  <si>
    <t>63ced844c5c820531c268465</t>
  </si>
  <si>
    <t>HLSYSTEM CO. ,Ltd.</t>
  </si>
  <si>
    <t>0010J0000298InlQAE</t>
  </si>
  <si>
    <t>63fcbb88a107c871cf5659a1</t>
  </si>
  <si>
    <t>HM PARTNERS</t>
  </si>
  <si>
    <t>0012000001CaSchAAF</t>
  </si>
  <si>
    <t>63ced847c5c820531c2689ba</t>
  </si>
  <si>
    <t>HOC House of Communication</t>
  </si>
  <si>
    <t>silke.fraedrich@al-enterprise.com, andreas.grossheimann@al-enterprise.com, katrin.pfeiffer@al-enterprise.com, sibylle.klopfer@al-enterprise.com, igor.leko@al-enterprise.com</t>
  </si>
  <si>
    <t>0012000001XCVQGAA5</t>
  </si>
  <si>
    <t>63fcbb97a107c871cf567569</t>
  </si>
  <si>
    <t>Hoist Group France</t>
  </si>
  <si>
    <t>0010J00001mllA9QAI</t>
  </si>
  <si>
    <t>63ced847c5c820531c268ae6</t>
  </si>
  <si>
    <t>Hoist Group S.A</t>
  </si>
  <si>
    <t>laurent.paterac@al-enterprise.com, matthieu.quere@al-enterprise.com, emma.bardey@al-enterprise.com</t>
  </si>
  <si>
    <t>0010J00001ktt8rQAA</t>
  </si>
  <si>
    <t>63fcbb7ea107c871cf5646df</t>
  </si>
  <si>
    <t>Hollander Techniek</t>
  </si>
  <si>
    <t>0012000000tuSEpAAM</t>
  </si>
  <si>
    <t>63ced846c5c820531c268852</t>
  </si>
  <si>
    <t>HONG KONG TELECOMMUNICATIONS (HKT)</t>
  </si>
  <si>
    <t>0012000000myZmKAAU</t>
  </si>
  <si>
    <t>63ced844c5c820531c2683de</t>
  </si>
  <si>
    <t>HOP NHAT MECHANICAL ELECTRICAL</t>
  </si>
  <si>
    <t>0012000001HphLRAAZ</t>
  </si>
  <si>
    <t>63fcbb84a107c871cf565365</t>
  </si>
  <si>
    <t>Horeca Digital Service</t>
  </si>
  <si>
    <t>0010J00002BUGZNQA5</t>
  </si>
  <si>
    <t>63fcbb88a107c871cf565a03</t>
  </si>
  <si>
    <t>HORIZON’TECHOLOGY</t>
  </si>
  <si>
    <t>0015I00000fL0NsQAK</t>
  </si>
  <si>
    <t>63ced846c5c820531c2688f7</t>
  </si>
  <si>
    <t>HOSHAN CO LTD</t>
  </si>
  <si>
    <t>0012000000eAYe2AAG</t>
  </si>
  <si>
    <t>GULF SYSTEMS COMPANY</t>
  </si>
  <si>
    <t>67a4e284ae6a5d263d03c692</t>
  </si>
  <si>
    <t>Howard Industries, Inc.</t>
  </si>
  <si>
    <t>0015I000002MT0IQAW</t>
  </si>
  <si>
    <t>63fcbb99a107c871cf5679ad</t>
  </si>
  <si>
    <t>HP COM</t>
  </si>
  <si>
    <t>0010J000023ABIXQA4</t>
  </si>
  <si>
    <t>63fcbb9ea107c871cf568171</t>
  </si>
  <si>
    <t>HTRADE</t>
  </si>
  <si>
    <t>0012000000ohXQhAAM</t>
  </si>
  <si>
    <t>63fcbb9aa107c871cf567a8d</t>
  </si>
  <si>
    <t>HTS</t>
  </si>
  <si>
    <t>0012000000eAZkeAAG</t>
  </si>
  <si>
    <t>63fcbb88a107c871cf56594d</t>
  </si>
  <si>
    <t>HUB ONE</t>
  </si>
  <si>
    <t>0012000000tuSGMAA2</t>
  </si>
  <si>
    <t>63ced847c5c820531c268b6d</t>
  </si>
  <si>
    <t>Huber &amp; Feneberg GmbH</t>
  </si>
  <si>
    <t>0012000000eAYe8AAG</t>
  </si>
  <si>
    <t>63ea6e9552ad6968805cedd5</t>
  </si>
  <si>
    <t>Human Art Computersysteme GmbH</t>
  </si>
  <si>
    <t>0012000000eAZjBAAW</t>
  </si>
  <si>
    <t>63ea6e9652ad6968805cefcd</t>
  </si>
  <si>
    <t>Hummel Systemhaus GmbH &amp; Co. KG</t>
  </si>
  <si>
    <t>0012000000tvKAOAA2</t>
  </si>
  <si>
    <t>63fcbb8da107c871cf56627d</t>
  </si>
  <si>
    <t>HYDRALARM</t>
  </si>
  <si>
    <t>0015I00000WDIHAQA5</t>
  </si>
  <si>
    <t>63ced842c5c820531c267f88</t>
  </si>
  <si>
    <t>Hyper Communications Pte Ltd</t>
  </si>
  <si>
    <t>0015I00000Kktl1QAB</t>
  </si>
  <si>
    <t>63fcbb83a107c871cf56500f</t>
  </si>
  <si>
    <t>Hytek Telesystems</t>
  </si>
  <si>
    <t>0012000001bQgfkAAC</t>
  </si>
  <si>
    <t>63fcbb80a107c871cf564add</t>
  </si>
  <si>
    <t>Häfelin Systeme GmbH</t>
  </si>
  <si>
    <t>0015I00000UKo8xQAD</t>
  </si>
  <si>
    <t>63fcbb93a107c871cf566d97</t>
  </si>
  <si>
    <t>I-PRINT BUSINESS SOLUTIONS</t>
  </si>
  <si>
    <t>0015I00000SJCh0QAH</t>
  </si>
  <si>
    <t>63fcbb81a107c871cf564cc7</t>
  </si>
  <si>
    <t>I.C.S.</t>
  </si>
  <si>
    <t>0012000000eAZDJAA4</t>
  </si>
  <si>
    <t>63ef9d5c384f27260c1baac3</t>
  </si>
  <si>
    <t>I.E.T.I.C. DI ARRIGHETTI L. &amp; C SNC</t>
  </si>
  <si>
    <t>0012000001gPOa2AAG</t>
  </si>
  <si>
    <t>63ef9d5f384f27260c1baf6b</t>
  </si>
  <si>
    <t>I2S (Integration Service System)</t>
  </si>
  <si>
    <t>0012000000tuSGLAA2</t>
  </si>
  <si>
    <t>I2S (Intégration Service System)</t>
  </si>
  <si>
    <t>65dcd9bc019929778f07c6f3</t>
  </si>
  <si>
    <t>I3S Integration</t>
  </si>
  <si>
    <t>0015I00000hu5XwQAI</t>
  </si>
  <si>
    <t>I3S Intégration</t>
  </si>
  <si>
    <t>63ced84bc5c820531c269347</t>
  </si>
  <si>
    <t>ICON Voice Networks, LLC</t>
  </si>
  <si>
    <t>0012000000mxJ2JAAU</t>
  </si>
  <si>
    <t>63ced843c5c820531c2681fe</t>
  </si>
  <si>
    <t>ICONNECT SA (PTY) LTD</t>
  </si>
  <si>
    <t>0010J000020FMKoQAO</t>
  </si>
  <si>
    <t>63fcbb97a107c871cf567593</t>
  </si>
  <si>
    <t>ICT ENGINE</t>
  </si>
  <si>
    <t>0010J00001rXBgGQAW</t>
  </si>
  <si>
    <t>63ced844c5c820531c268528</t>
  </si>
  <si>
    <t>ICTNet CO LTD</t>
  </si>
  <si>
    <t>kwangjik.kim@al-enterprise.com, songhee.nam@al-enterprise.com, chunshik.shin@al-enterprise.com</t>
  </si>
  <si>
    <t>0010J00001sLiLoQAK</t>
  </si>
  <si>
    <t>63fcbb92a107c871cf566c55</t>
  </si>
  <si>
    <t>ID TELS</t>
  </si>
  <si>
    <t>0015I000002Lw0LQAS</t>
  </si>
  <si>
    <t>63fcbb93a107c871cf566d35</t>
  </si>
  <si>
    <t>IDB TELECOM</t>
  </si>
  <si>
    <t>0012000000ohXNTAA2</t>
  </si>
  <si>
    <t>63ced84bc5c820531c2692fc</t>
  </si>
  <si>
    <t>IDEAL ELECTRONICS SA</t>
  </si>
  <si>
    <t>0012000000zWIPFAA4</t>
  </si>
  <si>
    <t>IDEAL TECHNOLOGY S.A.</t>
  </si>
  <si>
    <t>63fcbb9fa107c871cf5683d9</t>
  </si>
  <si>
    <t>IDEAL TELECOM</t>
  </si>
  <si>
    <t>0012000000sCmoRAAS</t>
  </si>
  <si>
    <t>63fcbb91a107c871cf566adb</t>
  </si>
  <si>
    <t>IGSI</t>
  </si>
  <si>
    <t>0010J000027AJcRQAW</t>
  </si>
  <si>
    <t>63fcbb83a107c871cf56508d</t>
  </si>
  <si>
    <t>Ilanz Technologies LLC</t>
  </si>
  <si>
    <t>najeh.khalil@al-enterprise.com, ravin.naidu@al-enterprise.com, rahul.sharma1@al-enterprise.com, rohit.menon@al-enterprise.com, ahmed.hamzawy@al-enterprise.com</t>
  </si>
  <si>
    <t>0010J000023s4FTQAY</t>
  </si>
  <si>
    <t>63fcbb89a107c871cf565cbf</t>
  </si>
  <si>
    <t>IMC.COM</t>
  </si>
  <si>
    <t>0012000000tuSDXAA2</t>
  </si>
  <si>
    <t>63ea6e9652ad6968805cf059</t>
  </si>
  <si>
    <t>imcam GmbH</t>
  </si>
  <si>
    <t>0015I000002La6BQAS</t>
  </si>
  <si>
    <t>63fcbb97a107c871cf56763b</t>
  </si>
  <si>
    <t>IMEES</t>
  </si>
  <si>
    <t>0012000000eAYf8AAG</t>
  </si>
  <si>
    <t>63fcbb9da107c871cf567f5d</t>
  </si>
  <si>
    <t>IMROG</t>
  </si>
  <si>
    <t>0012000000tvKhfAAE</t>
  </si>
  <si>
    <t>63fcbb9fa107c871cf568289</t>
  </si>
  <si>
    <t>IMTEL</t>
  </si>
  <si>
    <t>0012000001fIC7YAAW</t>
  </si>
  <si>
    <t>63ef9d5b384f27260c1ba93b</t>
  </si>
  <si>
    <t>INCENTEA TECNOLOGIA DE GESTAO SA</t>
  </si>
  <si>
    <t>0012000000tvKaEAAU</t>
  </si>
  <si>
    <t>63ced84dc5c820531c269851</t>
  </si>
  <si>
    <t>Independent Telecommunications Corp</t>
  </si>
  <si>
    <t>0012000000oqbWGAAY</t>
  </si>
  <si>
    <t>63ced845c5c820531c268708</t>
  </si>
  <si>
    <t>INDRA III SOLUÇÕES DE TECNOLOGIA DA</t>
  </si>
  <si>
    <t>0012000000ilyx3AAA</t>
  </si>
  <si>
    <t>INDRA III SOLUÇÕES DE TECNOLOGIA</t>
  </si>
  <si>
    <t>63fcbb7ea107c871cf56484b</t>
  </si>
  <si>
    <t>INDRA SISTEMAS S.A.</t>
  </si>
  <si>
    <t>0012000000eAZdUAAW</t>
  </si>
  <si>
    <t>63fcbb8ca107c871cf566165</t>
  </si>
  <si>
    <t>INDY SYSTEM</t>
  </si>
  <si>
    <t>0010J00001rZeYoQAK</t>
  </si>
  <si>
    <t>63ced841c5c820531c267e11</t>
  </si>
  <si>
    <t>INEO INFRACOM</t>
  </si>
  <si>
    <t>0012000000eAZFTAA4</t>
  </si>
  <si>
    <t>63fcbb91a107c871cf566a79</t>
  </si>
  <si>
    <t>INEO INFRACOM FENOUILLET</t>
  </si>
  <si>
    <t>0015I00000WzhdnQAB</t>
  </si>
  <si>
    <t>63fcbb7da107c871cf56453b</t>
  </si>
  <si>
    <t>INEO INFRACOM IDF CENTRE NORMANDIE</t>
  </si>
  <si>
    <t>0012000000eAYfSAAW</t>
  </si>
  <si>
    <t>63fcbb8ea107c871cf566619</t>
  </si>
  <si>
    <t>INFINITY COMPANY</t>
  </si>
  <si>
    <t>0012000000zxgDPAAY</t>
  </si>
  <si>
    <t>63ced84dc5c820531c269725</t>
  </si>
  <si>
    <t>Infinity Technology</t>
  </si>
  <si>
    <t>0012000000eAZRmAAO</t>
  </si>
  <si>
    <t>63ced84dc5c820531c269680</t>
  </si>
  <si>
    <t>Infocomm Group LLC</t>
  </si>
  <si>
    <t>0010J00001qpVm3QAE</t>
  </si>
  <si>
    <t>63fcbb8aa107c871cf565d3d</t>
  </si>
  <si>
    <t>INFONETIK</t>
  </si>
  <si>
    <t>0015I00000fJmlzQAC</t>
  </si>
  <si>
    <t>65dcd9ba019929778f07c577</t>
  </si>
  <si>
    <t>INFOPRO</t>
  </si>
  <si>
    <t>0015I00000j5E2hQAE</t>
  </si>
  <si>
    <t>Infopro</t>
  </si>
  <si>
    <t>65fd8fdee3ab0680e00d9d32</t>
  </si>
  <si>
    <t>INFORMANTEM 	INFORMÁTICA E MANUTENÇÃO CV, LDA</t>
  </si>
  <si>
    <t>paulo.freitas@al-enterprise.com</t>
  </si>
  <si>
    <t>CV</t>
  </si>
  <si>
    <t>0015I00000h6SLXQA2</t>
  </si>
  <si>
    <t>65fd8b72c9d04324b304bb62</t>
  </si>
  <si>
    <t>INFORMANTEM 	INFORMÁTICA E MANUTENÇÃO, LDA</t>
  </si>
  <si>
    <t>AO</t>
  </si>
  <si>
    <t>0015I00000h6SLWQA2</t>
  </si>
  <si>
    <t>INFORMANTEM</t>
  </si>
  <si>
    <t>65fd8efe5055bf8d4502c212</t>
  </si>
  <si>
    <t>INFORMANTEM INFORMATICA E MANUTENÇÃO, AS</t>
  </si>
  <si>
    <t>MZ</t>
  </si>
  <si>
    <t>0015I00000h6SLVQA2</t>
  </si>
  <si>
    <t>63fcbb8fa107c871cf566689</t>
  </si>
  <si>
    <t>INFORMATEL</t>
  </si>
  <si>
    <t>0015I000004ArS7QAK</t>
  </si>
  <si>
    <t>63fcbb9fa107c871cf56833f</t>
  </si>
  <si>
    <t>INFOTEL</t>
  </si>
  <si>
    <t>0010J00001p4t61QAA</t>
  </si>
  <si>
    <t>63ced845c5c820531c268681</t>
  </si>
  <si>
    <t>INFOTEL COMMUNICATIONS LLC</t>
  </si>
  <si>
    <t>krystian.sokalski@al-enterprise.com, alena.charnaokaya@al-enterprise.com</t>
  </si>
  <si>
    <t>UA</t>
  </si>
  <si>
    <t>0012000001KEENyAAP</t>
  </si>
  <si>
    <t>63ced841c5c820531c267f01</t>
  </si>
  <si>
    <t>Infradata S.A.</t>
  </si>
  <si>
    <t>0015I0000060zerQAA</t>
  </si>
  <si>
    <t>63fcbb9ca107c871cf567d49</t>
  </si>
  <si>
    <t>INFRATEQ GROUP FRANCE</t>
  </si>
  <si>
    <t>0015I00000d2BfJQAU</t>
  </si>
  <si>
    <t>65e1d3e07e0be9eb5203d173</t>
  </si>
  <si>
    <t>Ingram Micro Belux BV</t>
  </si>
  <si>
    <t>philippe.girard@al-enterprise.com, rui.silva@al-enterprise.com, tom.van-uffelen@al-enterprise.com, philippe.lefebvre@al-enterprise.com, xavier.dupuis@al-enterprise.com, frank.van-spanje@al-enterprise.com</t>
  </si>
  <si>
    <t>001SZ000001mURTYA2</t>
  </si>
  <si>
    <t>63ced84bc5c820531c269257</t>
  </si>
  <si>
    <t>Ingram Micro Europe BV on behalf of Ingram Micro AB</t>
  </si>
  <si>
    <t>0012000001JauNrAAJ</t>
  </si>
  <si>
    <t>Ingram Micro Europe BV on behalf of</t>
  </si>
  <si>
    <t>63fcbb9ba107c871cf567c85</t>
  </si>
  <si>
    <t>INITHEC GROUP</t>
  </si>
  <si>
    <t>0015I00000OgC7OQAV</t>
  </si>
  <si>
    <t>63ef9d5d384f27260c1bac25</t>
  </si>
  <si>
    <t>INMAC WSTORE</t>
  </si>
  <si>
    <t>0012000000zxgDOAAY</t>
  </si>
  <si>
    <t>63ced847c5c820531c268b13</t>
  </si>
  <si>
    <t>Innergo Systems Sp. z o.o.</t>
  </si>
  <si>
    <t>krystian.sokalski@al-enterprise.com, laurent.paterac@al-enterprise.com, michal.adamczyk@al-enterprise.com, lukasz.laskowski@al-enterprise.com</t>
  </si>
  <si>
    <t>0012000000kJdzhAAC</t>
  </si>
  <si>
    <t>63fcbb95a107c871cf5672ad</t>
  </si>
  <si>
    <t>INNOV TECHNOLOGIE</t>
  </si>
  <si>
    <t>0010J000025O7nrQAC</t>
  </si>
  <si>
    <t>63fcbb82a107c871cf564e87</t>
  </si>
  <si>
    <t>Innova-ITC</t>
  </si>
  <si>
    <t>philippe.girard@al-enterprise.com, rui.silva@al-enterprise.com, nuno.ribas@al-enterprise.com, carolina.rodriguez@al-enterprise.com</t>
  </si>
  <si>
    <t>wlan_network, lan_network, enterprise_cloud, sip_devices, enterprise_communication_platforms</t>
  </si>
  <si>
    <t>0015I000002NOj6QAG</t>
  </si>
  <si>
    <t>68079f8b3a6a7cf5360b2c32</t>
  </si>
  <si>
    <t>INNOVARO TECHNOLOGY LTD</t>
  </si>
  <si>
    <t>neal.humphrey@al-enterprise.com</t>
  </si>
  <si>
    <t>001SZ00000O4vbRYAR</t>
  </si>
  <si>
    <t>63ced84cc5c820531c269518</t>
  </si>
  <si>
    <t>INNOVASYS SRL</t>
  </si>
  <si>
    <t>0012000000tuSIfAAM</t>
  </si>
  <si>
    <t>63fcbba0a107c871cf568465</t>
  </si>
  <si>
    <t>INNOVATEL</t>
  </si>
  <si>
    <t>0015I00000gN0KvQAK</t>
  </si>
  <si>
    <t>63ced84ec5c820531c2699c8</t>
  </si>
  <si>
    <t>Innovative Network Systems, Inc.</t>
  </si>
  <si>
    <t>00120000014gH8uAAE</t>
  </si>
  <si>
    <t>63ced84fc5c820531c269a7c</t>
  </si>
  <si>
    <t>Innovative Office Solutions Inc.</t>
  </si>
  <si>
    <t>0012000001GvhCOAAZ</t>
  </si>
  <si>
    <t>63fcbb7fa107c871cf5649c5</t>
  </si>
  <si>
    <t>Inntelco</t>
  </si>
  <si>
    <t>0012000000tuSFRAA2</t>
  </si>
  <si>
    <t>63fcbb89a107c871cf565b8b</t>
  </si>
  <si>
    <t>Inova communication</t>
  </si>
  <si>
    <t>0015I00000J5clbQAB</t>
  </si>
  <si>
    <t>63fcbb83a107c871cf565071</t>
  </si>
  <si>
    <t>INSC-INNOVACIÓN EN SERVICIOS DE</t>
  </si>
  <si>
    <t>0010J00001pXIw5QAG</t>
  </si>
  <si>
    <t>63fcbb7ea107c871cf564867</t>
  </si>
  <si>
    <t>Insiyabi IT Company</t>
  </si>
  <si>
    <t>0012000001GwNaqAAF</t>
  </si>
  <si>
    <t>63ced843c5c820531c2682b2</t>
  </si>
  <si>
    <t>INSPIRA ENTERPRISE INDIA PVT LTD</t>
  </si>
  <si>
    <t>0010J00001wgQQ7QAM</t>
  </si>
  <si>
    <t>63fcbb8ea107c871cf566547</t>
  </si>
  <si>
    <t>Instasys</t>
  </si>
  <si>
    <t>0010J00001xkdFDQAY</t>
  </si>
  <si>
    <t>63fcbb9da107c871cf567f17</t>
  </si>
  <si>
    <t>INSTINCTIVE</t>
  </si>
  <si>
    <t>0010J00002AiSPIQA3</t>
  </si>
  <si>
    <t>63ced844c5c820531c268519</t>
  </si>
  <si>
    <t>Insung Information Co., Ltd.</t>
  </si>
  <si>
    <t>kwangjik.kim@al-enterprise.com, chunshik.shin@al-enterprise.com</t>
  </si>
  <si>
    <t>0010J00001nDhCNQA0</t>
  </si>
  <si>
    <t>67766fb5137213659d0c9be2</t>
  </si>
  <si>
    <t>Intech Southwest Services LLC</t>
  </si>
  <si>
    <t>bill.rademacher@al-enterprise.com, jack.jachner@al-enterprise.com</t>
  </si>
  <si>
    <t>0015I00000kHXawQAG</t>
  </si>
  <si>
    <t>63fcbb9aa107c871cf567ab7</t>
  </si>
  <si>
    <t>INTEGR-IP</t>
  </si>
  <si>
    <t>0012000000mxIvVAAU</t>
  </si>
  <si>
    <t>63fcbb88a107c871cf565ab9</t>
  </si>
  <si>
    <t>INTEGRAPHONE</t>
  </si>
  <si>
    <t>0012000000tuSFHAA2</t>
  </si>
  <si>
    <t>63ced84bc5c820531c269248</t>
  </si>
  <si>
    <t>Integrated Communications Group Ltd</t>
  </si>
  <si>
    <t>0012000001HM22KAAT</t>
  </si>
  <si>
    <t>63ef9d57384f27260c1ba311</t>
  </si>
  <si>
    <t>Integrated Products Pty Ltd</t>
  </si>
  <si>
    <t>0012000001Xrz07AAB</t>
  </si>
  <si>
    <t>63ef9d54384f27260c1b9f43</t>
  </si>
  <si>
    <t>INTEGRATED SOLUTIONS SP Z O O</t>
  </si>
  <si>
    <t>krystian.sokalski@al-enterprise.com, laurent.paterac@al-enterprise.com, rafal.zielinski@al-enterprise.com</t>
  </si>
  <si>
    <t>0010J00001s3EJgQAM</t>
  </si>
  <si>
    <t>63fcbb87a107c871cf5658cf</t>
  </si>
  <si>
    <t>INTELLICOM</t>
  </si>
  <si>
    <t>0012000000eAZ4MAAW</t>
  </si>
  <si>
    <t>63ced84ec5c820531c269a22</t>
  </si>
  <si>
    <t>Intelligent Communications Systems</t>
  </si>
  <si>
    <t>00120000017XKRLAA4</t>
  </si>
  <si>
    <t>63ced847c5c820531c268a8c</t>
  </si>
  <si>
    <t>Intelligent Network</t>
  </si>
  <si>
    <t>0012000001KH7vjAAD</t>
  </si>
  <si>
    <t>63fcbb7fa107c871cf5649fd</t>
  </si>
  <si>
    <t>Intelligent Telephony Pty Ltd</t>
  </si>
  <si>
    <t>0012000000tuSF1AAM</t>
  </si>
  <si>
    <t>67a4e33adfd0cfbf1304451f</t>
  </si>
  <si>
    <t>INTELLIGENT TRANSPORTATION SERVICES</t>
  </si>
  <si>
    <t>001SZ000002HE2GYAW</t>
  </si>
  <si>
    <t>63ced841c5c820531c267dc6</t>
  </si>
  <si>
    <t>Intellismart Technology, Inc.</t>
  </si>
  <si>
    <t>0010J000020J8pRQAS</t>
  </si>
  <si>
    <t>64466fad136de17627345771</t>
  </si>
  <si>
    <t>INTER TEC SYSTEMS(L.L.C)</t>
  </si>
  <si>
    <t>0015I00000iN5r1QAC</t>
  </si>
  <si>
    <t>63fcbb91a107c871cf566b13</t>
  </si>
  <si>
    <t>INTER TELEPHONE</t>
  </si>
  <si>
    <t>0012000000eAZCAAA4</t>
  </si>
  <si>
    <t>63ced847c5c820531c268aaa</t>
  </si>
  <si>
    <t>Inter-tech</t>
  </si>
  <si>
    <t>0012000000eAYg4AAG</t>
  </si>
  <si>
    <t>63fcbb91a107c871cf5669ed</t>
  </si>
  <si>
    <t>INTERACT SYSTEMES EST</t>
  </si>
  <si>
    <t>0012000000eAYg7AAG</t>
  </si>
  <si>
    <t>63fcbb91a107c871cf5669df</t>
  </si>
  <si>
    <t>INTERACT SYSTEMES IDF</t>
  </si>
  <si>
    <t>0012000000eAYg6AAG</t>
  </si>
  <si>
    <t>63fcbb91a107c871cf5669b5</t>
  </si>
  <si>
    <t>INTERACT SYSTEMS NANCY</t>
  </si>
  <si>
    <t>0010J000025NpaeQAC</t>
  </si>
  <si>
    <t>63fcbb9aa107c871cf567a71</t>
  </si>
  <si>
    <t>INTERCOM ON LINE</t>
  </si>
  <si>
    <t>0012000000eAZDIAA4</t>
  </si>
  <si>
    <t>63ced84cc5c820531c269563</t>
  </si>
  <si>
    <t>Intercom Sistemi s.r.l.</t>
  </si>
  <si>
    <t>0012000000tvKhpAAE</t>
  </si>
  <si>
    <t>63ced841c5c820531c267ea7</t>
  </si>
  <si>
    <t>INTERCONNECT SOLUTIONS LTD</t>
  </si>
  <si>
    <t>0010J00001ol8n1QAA</t>
  </si>
  <si>
    <t>63fcbb85a107c871cf56556b</t>
  </si>
  <si>
    <t>Interface Digital Solutions Pvt Ltd</t>
  </si>
  <si>
    <t>0010J00001nCl3uQAC</t>
  </si>
  <si>
    <t>63fcbb97a107c871cf5675a1</t>
  </si>
  <si>
    <t>INTERFACE OCEAN INDIEN</t>
  </si>
  <si>
    <t>0010J00001sLiLcQAK</t>
  </si>
  <si>
    <t>63fcbb9ea107c871cf5681e1</t>
  </si>
  <si>
    <t>INTERMONTAGE</t>
  </si>
  <si>
    <t>0012000001hUSDYAA4</t>
  </si>
  <si>
    <t>63ced84dc5c820531c269833</t>
  </si>
  <si>
    <t>Internal Telecommunication Systems</t>
  </si>
  <si>
    <t>0012000000ohXNmAAM</t>
  </si>
  <si>
    <t>63ced847c5c820531c268a14</t>
  </si>
  <si>
    <t>INTERNATIONAL AGENCIES CO LTD</t>
  </si>
  <si>
    <t>BH</t>
  </si>
  <si>
    <t>0012000000eAYgDAAW</t>
  </si>
  <si>
    <t>63fcbb82a107c871cf564dfb</t>
  </si>
  <si>
    <t>INTERSYST Service LTD</t>
  </si>
  <si>
    <t>0012000000eAYgFAAW</t>
  </si>
  <si>
    <t>63ced84bc5c820531c2693b0</t>
  </si>
  <si>
    <t>Intertech International</t>
  </si>
  <si>
    <t>0015I00000RI2VmQAL</t>
  </si>
  <si>
    <t>63fcbb7ea107c871cf5646c3</t>
  </si>
  <si>
    <t>INTERTRADE gruppe</t>
  </si>
  <si>
    <t>0015I00000KjgFYQAZ</t>
  </si>
  <si>
    <t>63fcbb98a107c871cf567729</t>
  </si>
  <si>
    <t>INTRACOM</t>
  </si>
  <si>
    <t>0012000000tuSAiAAM</t>
  </si>
  <si>
    <t>63fcbb9aa107c871cf5679d7</t>
  </si>
  <si>
    <t>INTRACOM Systèmes</t>
  </si>
  <si>
    <t>0010J000028GKmmQAG</t>
  </si>
  <si>
    <t>63ced843c5c820531c26832a</t>
  </si>
  <si>
    <t>INTRACONSULT TELECOM LTD</t>
  </si>
  <si>
    <t>0012000000eAYgJAAW</t>
  </si>
  <si>
    <t>63fcbb8fa107c871cf5666c1</t>
  </si>
  <si>
    <t>IP BELS</t>
  </si>
  <si>
    <t>0015I00000VFe93QAD</t>
  </si>
  <si>
    <t>63fcbb8ea107c871cf56658d</t>
  </si>
  <si>
    <t>IP FOCUS</t>
  </si>
  <si>
    <t>0012000000eAYvOAAW</t>
  </si>
  <si>
    <t>63ef9d60384f27260c1bb20d</t>
  </si>
  <si>
    <t>IP PRODUCTOS Y SERVICIOS S.A. DE C.</t>
  </si>
  <si>
    <t>rui.silva@al-enterprise.com, saul.montiel@al-enterprise.com, joaquin.flores@al-enterprise.com</t>
  </si>
  <si>
    <t>0015I00000XgOBpQAN</t>
  </si>
  <si>
    <t>IP PRODUCTOS Y SERVICIOS S.A DE C.V</t>
  </si>
  <si>
    <t>63fcbb96a107c871cf567427</t>
  </si>
  <si>
    <t>IP SERVICES</t>
  </si>
  <si>
    <t>0012000001M0zZTAAZ</t>
  </si>
  <si>
    <t>63ef9d5b384f27260c1ba9bb</t>
  </si>
  <si>
    <t>IP TEIC</t>
  </si>
  <si>
    <t>enterprise_communication_platforms, smb_communication_platforms, enterprise_cloud</t>
  </si>
  <si>
    <t>0012000000eAYxFAAW</t>
  </si>
  <si>
    <t>63fcbb9ca107c871cf567e7d</t>
  </si>
  <si>
    <t>IP TELECOM&amp;ASSOCIES</t>
  </si>
  <si>
    <t>0012000001M0zZUAAZ</t>
  </si>
  <si>
    <t>63fcbb9ba107c871cf567ba5</t>
  </si>
  <si>
    <t>IP TRICOM</t>
  </si>
  <si>
    <t>0012000001OOCknAAH</t>
  </si>
  <si>
    <t>63fcbb8ca107c871cf5661e3</t>
  </si>
  <si>
    <t>IP-TECH</t>
  </si>
  <si>
    <t>0012000000tuSJxAAM</t>
  </si>
  <si>
    <t>63fcbb88a107c871cf565a73</t>
  </si>
  <si>
    <t>IPBEX</t>
  </si>
  <si>
    <t>0010J00002BUHLKQA5</t>
  </si>
  <si>
    <t>63fcbb88a107c871cf565a2d</t>
  </si>
  <si>
    <t>IPE SOLUTIONS INFORMATIQUES</t>
  </si>
  <si>
    <t>0010J00001yu7qOQAQ</t>
  </si>
  <si>
    <t>63fcbb93a107c871cf566dc1</t>
  </si>
  <si>
    <t>IPENERGY</t>
  </si>
  <si>
    <t>0012000000eAZgBAAW</t>
  </si>
  <si>
    <t>63fcbb95a107c871cf567205</t>
  </si>
  <si>
    <t>IPSET</t>
  </si>
  <si>
    <t>0010J00001sLiLdQAK</t>
  </si>
  <si>
    <t>63fcbb91a107c871cf566a17</t>
  </si>
  <si>
    <t>IPSICOM AMIENS</t>
  </si>
  <si>
    <t>0012000000eAYs8AAG</t>
  </si>
  <si>
    <t>63fcbb7da107c871cf56458f</t>
  </si>
  <si>
    <t>IPSICOM SAS</t>
  </si>
  <si>
    <t>0012000000eAYs7AAG</t>
  </si>
  <si>
    <t>6299fe739d039639d001b084</t>
  </si>
  <si>
    <t>Ipsys Solutions SRL</t>
  </si>
  <si>
    <t>0015I00000RJX4vQAH</t>
  </si>
  <si>
    <t>63ef9d53384f27260c1b9e43</t>
  </si>
  <si>
    <t>IQUINS INCORPORATED</t>
  </si>
  <si>
    <t>0012000001gPOZyAAO</t>
  </si>
  <si>
    <t>63fcbb9ba107c871cf567c15</t>
  </si>
  <si>
    <t>IREMOS</t>
  </si>
  <si>
    <t>0015I000004BeQzQAK</t>
  </si>
  <si>
    <t>63fcbb8aa107c871cf565e55</t>
  </si>
  <si>
    <t>Iris Sûreté Mulhouse</t>
  </si>
  <si>
    <t>0015I00000d35fbQAA</t>
  </si>
  <si>
    <t>63fcbb8fa107c871cf5667cb</t>
  </si>
  <si>
    <t>ISATIS Informatique</t>
  </si>
  <si>
    <t>0012000001ZPEpMAAX</t>
  </si>
  <si>
    <t>63ced842c5c820531c268087</t>
  </si>
  <si>
    <t>ISBEL S.A.</t>
  </si>
  <si>
    <t>0012000000eAYgYAAW</t>
  </si>
  <si>
    <t>63fcbb8aa107c871cf565d13</t>
  </si>
  <si>
    <t>ISIRIS</t>
  </si>
  <si>
    <t>001200000170IwTAAU</t>
  </si>
  <si>
    <t>63ced84cc5c820531c2694cd</t>
  </si>
  <si>
    <t>Isolin Trade&amp; Invest Limited</t>
  </si>
  <si>
    <t>CY</t>
  </si>
  <si>
    <t>0015I00000UAPciQAH</t>
  </si>
  <si>
    <t>63fcbb94a107c871cf567037</t>
  </si>
  <si>
    <t>ISONYS</t>
  </si>
  <si>
    <t>0012000000tuSJMAA2</t>
  </si>
  <si>
    <t>63fcbb8aa107c871cf565e01</t>
  </si>
  <si>
    <t>ISRT</t>
  </si>
  <si>
    <t>0012000001Nd13RAAR</t>
  </si>
  <si>
    <t>63ced849c5c820531c268ef1</t>
  </si>
  <si>
    <t>IT DACAS PERU SAC</t>
  </si>
  <si>
    <t>0015I00000KjSEgQAN</t>
  </si>
  <si>
    <t>63ced849c5c820531c268f1e</t>
  </si>
  <si>
    <t>IT Green Public Company Limited</t>
  </si>
  <si>
    <t>0012000000tucwcAAA</t>
  </si>
  <si>
    <t>63fcbb9ba107c871cf567c07</t>
  </si>
  <si>
    <t>IT LANDS</t>
  </si>
  <si>
    <t>0015I000004BWOuQAO</t>
  </si>
  <si>
    <t>63fcbb96a107c871cf567419</t>
  </si>
  <si>
    <t>IT PARTNER</t>
  </si>
  <si>
    <t>0012000001LA80KAAT</t>
  </si>
  <si>
    <t>63fcbb8fa107c871cf56665f</t>
  </si>
  <si>
    <t>IT'TEK</t>
  </si>
  <si>
    <t>0012000001UQs4gAAD</t>
  </si>
  <si>
    <t>67a4e3d0b05936bb7003d3d2</t>
  </si>
  <si>
    <t>iT1 Source LLC</t>
  </si>
  <si>
    <t>0015I00000bDSaCQAW</t>
  </si>
  <si>
    <t>63fcbb7da107c871cf564549</t>
  </si>
  <si>
    <t>ITAC</t>
  </si>
  <si>
    <t>0012000000eAYgyAAG</t>
  </si>
  <si>
    <t>63fcbb8aa107c871cf565ea9</t>
  </si>
  <si>
    <t>ITAC (UGAP sans service)</t>
  </si>
  <si>
    <t>001200000171BVOAA2</t>
  </si>
  <si>
    <t>63ea6e9352ad6968805cea55</t>
  </si>
  <si>
    <t>ITANCIA</t>
  </si>
  <si>
    <t>jean-christophe.antoine@al-enterprise.com, ludovic.brule@al-enterprise.com</t>
  </si>
  <si>
    <t>0012000000mxJ3BAAU</t>
  </si>
  <si>
    <t>63ced849c5c820531c268f00</t>
  </si>
  <si>
    <t>ITANCIA Belgium</t>
  </si>
  <si>
    <t>00120000016ZxA4AAK</t>
  </si>
  <si>
    <t>63fcbb99a107c871cf5678cd</t>
  </si>
  <si>
    <t>ITANCIA Cloud Vir.</t>
  </si>
  <si>
    <t>0010J000023sKbzQAE</t>
  </si>
  <si>
    <t>63ced84bc5c820531c269383</t>
  </si>
  <si>
    <t>ITANCIA France</t>
  </si>
  <si>
    <t>ludovic.brule@al-enterprise.com</t>
  </si>
  <si>
    <t>0012000000mxImvAAE</t>
  </si>
  <si>
    <t>63ced84bc5c820531c2692cf</t>
  </si>
  <si>
    <t>ITANCIA ITALY</t>
  </si>
  <si>
    <t>0012000000sD1vfAAC</t>
  </si>
  <si>
    <t>63ced84ac5c820531c2690fe</t>
  </si>
  <si>
    <t>Itancia Maroc</t>
  </si>
  <si>
    <t>0012000001CL4ZZAA1</t>
  </si>
  <si>
    <t>63ced84ac5c820531c2691b2</t>
  </si>
  <si>
    <t>Itancia Portugal</t>
  </si>
  <si>
    <t>0012000001ASHONAA5</t>
  </si>
  <si>
    <t>63ced84bc5c820531c26922a</t>
  </si>
  <si>
    <t>ITANCIA Spain</t>
  </si>
  <si>
    <t>0012000000mxJ1ZAAU</t>
  </si>
  <si>
    <t>63ced849c5c820531c268f69</t>
  </si>
  <si>
    <t>ITAS AG</t>
  </si>
  <si>
    <t>0012000001EvreKAAR</t>
  </si>
  <si>
    <t>63fcbb93a107c871cf566d7b</t>
  </si>
  <si>
    <t>ITAS MEDITERRANEE</t>
  </si>
  <si>
    <t>0012000000mxIy2AAE</t>
  </si>
  <si>
    <t>63fcbb7ca107c871cf564503</t>
  </si>
  <si>
    <t>ITC ARIANE SERVICES</t>
  </si>
  <si>
    <t>0015I00000BjzUVQAZ</t>
  </si>
  <si>
    <t>63fcbb8ba107c871cf565f51</t>
  </si>
  <si>
    <t>ITC ARIANE SERVICES (UGAP sans</t>
  </si>
  <si>
    <t>0015I00000KjOIwQAN</t>
  </si>
  <si>
    <t>63fcbb91a107c871cf566a5d</t>
  </si>
  <si>
    <t>ITC ARIANE SERVICES-UGAP ss svce</t>
  </si>
  <si>
    <t>001200000171BYrAAM</t>
  </si>
  <si>
    <t>VOIP TELECOM -UGAP ss svce</t>
  </si>
  <si>
    <t>63fcbb9fa107c871cf568331</t>
  </si>
  <si>
    <t>ITCN</t>
  </si>
  <si>
    <t>0010J00001mRZ4kQAG</t>
  </si>
  <si>
    <t>63ef9d5d384f27260c1bad0b</t>
  </si>
  <si>
    <t>ITCORE SPA</t>
  </si>
  <si>
    <t>0012000000tuSCLAA2</t>
  </si>
  <si>
    <t>63fcbb94a107c871cf56701b</t>
  </si>
  <si>
    <t>ITE RESEAUX</t>
  </si>
  <si>
    <t>0012000000tuSH9AAM</t>
  </si>
  <si>
    <t>63ced843c5c820531c2681c2</t>
  </si>
  <si>
    <t>ITELCA</t>
  </si>
  <si>
    <t>0012000000eAYh6AAG</t>
  </si>
  <si>
    <t>63fcbb8ca107c871cf56613b</t>
  </si>
  <si>
    <t>ITELCOM</t>
  </si>
  <si>
    <t>0010J00001mRZ4lQAG</t>
  </si>
  <si>
    <t>63fcbb8fa107c871cf566715</t>
  </si>
  <si>
    <t>iTeos</t>
  </si>
  <si>
    <t>0010J000021OCxiQAG</t>
  </si>
  <si>
    <t>63fcbb7da107c871cf56466f</t>
  </si>
  <si>
    <t>ITES COM SRL</t>
  </si>
  <si>
    <t>0012000000eAYhAAAW</t>
  </si>
  <si>
    <t>63ea6e9452ad6968805ceb97</t>
  </si>
  <si>
    <t>ITES GmbH</t>
  </si>
  <si>
    <t>0012000000tuSDQAA2</t>
  </si>
  <si>
    <t>63fcbb95a107c871cf567141</t>
  </si>
  <si>
    <t>ITESCOM</t>
  </si>
  <si>
    <t>0010J00001vH1lpQAC</t>
  </si>
  <si>
    <t>63ef9d58384f27260c1ba3b3</t>
  </si>
  <si>
    <t>ITISA INGENIERIA EN TELECOMUNICACIO</t>
  </si>
  <si>
    <t>0012000000tuSGYAA2</t>
  </si>
  <si>
    <t>63ced84bc5c820531c26931a</t>
  </si>
  <si>
    <t>ITISSALNET SARL</t>
  </si>
  <si>
    <t>0012000000oh2TlAAI</t>
  </si>
  <si>
    <t>63ea6e9552ad6968805ced49</t>
  </si>
  <si>
    <t>itk communications GmbH</t>
  </si>
  <si>
    <t>00120000014in9wAAA</t>
  </si>
  <si>
    <t>63ea6e9552ad6968805cedb9</t>
  </si>
  <si>
    <t>ITK Deutschland GmbH</t>
  </si>
  <si>
    <t>00120000015MN7vAAG</t>
  </si>
  <si>
    <t>63fcbb9ca107c871cf567ec3</t>
  </si>
  <si>
    <t>ITKOM</t>
  </si>
  <si>
    <t>0010J00001nsIA3QAM</t>
  </si>
  <si>
    <t>64466fad136de17627345712</t>
  </si>
  <si>
    <t>ITM</t>
  </si>
  <si>
    <t>jaime.tor@al-enterprise.com, astrid.savorani@al-enterprise.com, rafael.andreo@al-enterprise.com, esther.alonso@al-enterprise.com, marcos.rodriguez@al-enterprise.com</t>
  </si>
  <si>
    <t>0015I00000RK1lYQAT</t>
  </si>
  <si>
    <t>63ef9d5b384f27260c1ba97b</t>
  </si>
  <si>
    <t>ITM Installations Telephoniques Modernes</t>
  </si>
  <si>
    <t>0012000000eAYhDAAW</t>
  </si>
  <si>
    <t>ITM Installations Telephoniques</t>
  </si>
  <si>
    <t>63ced84cc5c820531c269446</t>
  </si>
  <si>
    <t>ITNAVPRO ltd</t>
  </si>
  <si>
    <t>0015I00000SJCgzQAH</t>
  </si>
  <si>
    <t>63fcbb99a107c871cf567887</t>
  </si>
  <si>
    <t>ITNI SAS</t>
  </si>
  <si>
    <t>0015I000009DLSZQA4</t>
  </si>
  <si>
    <t>665ec7b0330ea032c80fa152</t>
  </si>
  <si>
    <t>ITOA Integration Sdn Bhd</t>
  </si>
  <si>
    <t>001SZ00000AQmTTYA1</t>
  </si>
  <si>
    <t>63ea6e9652ad6968805cef79</t>
  </si>
  <si>
    <t>itparts Inhaber: Dag Geisler</t>
  </si>
  <si>
    <t>0012000000eAYgmAAG</t>
  </si>
  <si>
    <t>63ced847c5c820531c268b7c</t>
  </si>
  <si>
    <t>ITR AG</t>
  </si>
  <si>
    <t>0012000000eAYhGAAW</t>
  </si>
  <si>
    <t>63ced843c5c820531c268249</t>
  </si>
  <si>
    <t>ITRIS One AG</t>
  </si>
  <si>
    <t>0012000001TB3vYAAT</t>
  </si>
  <si>
    <t>63ced84ac5c820531c2690d1</t>
  </si>
  <si>
    <t>IVALUE INFOSOLUTIONS PRIVATE LTD</t>
  </si>
  <si>
    <t>0010J000020J8pSQAS</t>
  </si>
  <si>
    <t>63ced848c5c820531c268d5c</t>
  </si>
  <si>
    <t>IZERTIS S.A.</t>
  </si>
  <si>
    <t>astrid.savorani@al-enterprise.com, marcos.rodriguez@al-enterprise.com</t>
  </si>
  <si>
    <t>0010J000025vi8IQAQ</t>
  </si>
  <si>
    <t>63fcbb93a107c871cf566e15</t>
  </si>
  <si>
    <t>IZI TECH SAS</t>
  </si>
  <si>
    <t>0015I00000QRDIRQA5</t>
  </si>
  <si>
    <t>63fcbb7ea107c871cf5646a7</t>
  </si>
  <si>
    <t>Jacob Elektronik GmbH</t>
  </si>
  <si>
    <t>0012000000mxJ3ZAAU</t>
  </si>
  <si>
    <t>63fcbb92a107c871cf566ce1</t>
  </si>
  <si>
    <t>JAGUAR NETWORKS</t>
  </si>
  <si>
    <t>0015I00000G9KTmQAN</t>
  </si>
  <si>
    <t>63ea6e9652ad6968805cef4f</t>
  </si>
  <si>
    <t>Jarrath.com</t>
  </si>
  <si>
    <t>0012000000tuSHzAAM</t>
  </si>
  <si>
    <t>63fcbb90a107c871cf56696f</t>
  </si>
  <si>
    <t>JAUNEAUD COMMUNICATION ET</t>
  </si>
  <si>
    <t>0015I00000fLWEZQA4</t>
  </si>
  <si>
    <t>63fcbb8ea107c871cf5665a9</t>
  </si>
  <si>
    <t>Jauneaud Service Telecom</t>
  </si>
  <si>
    <t>0012000000eAZE7AAO</t>
  </si>
  <si>
    <t>62a8808bd600031ebc100c89</t>
  </si>
  <si>
    <t>Jay Kay Systems Consulting Inc</t>
  </si>
  <si>
    <t>rui.silva@al-enterprise.com, margret.moyle@al-enterprise.com, charlotte.holtzer@al-enterprise.com</t>
  </si>
  <si>
    <t>0015I00000Ztn9sQAB</t>
  </si>
  <si>
    <t>63fcbb99a107c871cf56793d</t>
  </si>
  <si>
    <t>JBS CANON</t>
  </si>
  <si>
    <t>0010J00001s2sGbQAI</t>
  </si>
  <si>
    <t>63fcbb88a107c871cf565ae3</t>
  </si>
  <si>
    <t>JC TELECOM</t>
  </si>
  <si>
    <t>0012000000eAYhSAAW</t>
  </si>
  <si>
    <t>63fcbb81a107c871cf564d6f</t>
  </si>
  <si>
    <t>JCD COMMUNICATION</t>
  </si>
  <si>
    <t>0012000000qvDdgAAE</t>
  </si>
  <si>
    <t>63fcbb9da107c871cf567f33</t>
  </si>
  <si>
    <t>JD PHONE</t>
  </si>
  <si>
    <t>0012000000eAYhTAAW</t>
  </si>
  <si>
    <t>63fcbb82a107c871cf564f83</t>
  </si>
  <si>
    <t>JD2M</t>
  </si>
  <si>
    <t>0012000000mxIpmAAE</t>
  </si>
  <si>
    <t>SOTEL CONCEPT SECURITE</t>
  </si>
  <si>
    <t>63ea6e9552ad6968805cedff</t>
  </si>
  <si>
    <t>JEKOM GmbH</t>
  </si>
  <si>
    <t>0012000000tuSAkAAM</t>
  </si>
  <si>
    <t>63ea6e9452ad6968805cebcf</t>
  </si>
  <si>
    <t>Jens Verlaat Service GmbH</t>
  </si>
  <si>
    <t>andreas.grossheimann@al-enterprise.com, katrin.pfeiffer@al-enterprise.com, sibylle.klopfer@al-enterprise.com, igor.leko@al-enterprise.com, philipp.bode@al-enterprise.com</t>
  </si>
  <si>
    <t>0012000000tvKAhAAM</t>
  </si>
  <si>
    <t>63ced84dc5c820531c2697d9</t>
  </si>
  <si>
    <t>JETCOM COMMUNICATIONS INC.</t>
  </si>
  <si>
    <t>0012000000evptpAAA</t>
  </si>
  <si>
    <t>63fcbb88a107c871cf5659af</t>
  </si>
  <si>
    <t>JFCOM</t>
  </si>
  <si>
    <t>0012000001RE8y2AAD</t>
  </si>
  <si>
    <t>63fcbb96a107c871cf56745f</t>
  </si>
  <si>
    <t>JFM TELECOM</t>
  </si>
  <si>
    <t>0015I000002LaWnQAK</t>
  </si>
  <si>
    <t>63ced844c5c820531c268492</t>
  </si>
  <si>
    <t>Jindoo IS</t>
  </si>
  <si>
    <t>0012000000eAZX2AAO</t>
  </si>
  <si>
    <t>63fcbb80a107c871cf564be7</t>
  </si>
  <si>
    <t>JL SYSTEMS</t>
  </si>
  <si>
    <t>0012000000tvKeNAAU</t>
  </si>
  <si>
    <t>63fcbb99a107c871cf5679bb</t>
  </si>
  <si>
    <t>JLS TECHNOLOGY</t>
  </si>
  <si>
    <t>0010J000025sMvsQAE</t>
  </si>
  <si>
    <t>63fcbb9aa107c871cf567a39</t>
  </si>
  <si>
    <t>JMA TEL</t>
  </si>
  <si>
    <t>0012000000eAYhMAAW</t>
  </si>
  <si>
    <t>63fcbb93a107c871cf566d5f</t>
  </si>
  <si>
    <t>JMC SUD SASU</t>
  </si>
  <si>
    <t>0010J000021M32aQAC</t>
  </si>
  <si>
    <t>66bccb7ddbb92ff298050552</t>
  </si>
  <si>
    <t>Johnson Controls, Inc.</t>
  </si>
  <si>
    <t>0015I000003GiQoQAK</t>
  </si>
  <si>
    <t>63fcbb91a107c871cf566b3d</t>
  </si>
  <si>
    <t>JPC PROTECTION</t>
  </si>
  <si>
    <t>0012000000eAZa0AAG</t>
  </si>
  <si>
    <t>63fcbb8fa107c871cf566635</t>
  </si>
  <si>
    <t>JPF INDUSTRIES</t>
  </si>
  <si>
    <t>00120000014inBaAAI</t>
  </si>
  <si>
    <t>63fcbb99a107c871cf567959</t>
  </si>
  <si>
    <t>JW SYSTEM</t>
  </si>
  <si>
    <t>0010J00001s2sGeQAI</t>
  </si>
  <si>
    <t>63fcbb7ea107c871cf5647cd</t>
  </si>
  <si>
    <t>K-USA LLC, DBA Dymec</t>
  </si>
  <si>
    <t>0010J00001qmRIRQA2</t>
  </si>
  <si>
    <t>63ea6e9452ad6968805ced11</t>
  </si>
  <si>
    <t>K. H. Steinkuhler GmbH &amp; Co. KG</t>
  </si>
  <si>
    <t>0012000000eAYhqAAG</t>
  </si>
  <si>
    <t>K. H. Steinkühler GmbH &amp; Co. KG</t>
  </si>
  <si>
    <t>63fcbb89a107c871cf565b0d</t>
  </si>
  <si>
    <t>KERTEL ENTREPRISES / IC COM</t>
  </si>
  <si>
    <t>0010J00001pS6EjQAK</t>
  </si>
  <si>
    <t>63ea6e9452ad6968805cecbd</t>
  </si>
  <si>
    <t>key-IT Ge?ner-Steiner GbR</t>
  </si>
  <si>
    <t>0012000001Bf1CyAAJ</t>
  </si>
  <si>
    <t>key-IT Geßner-Steiner GbR</t>
  </si>
  <si>
    <t>63fcbb97a107c871cf567577</t>
  </si>
  <si>
    <t>KEYYO</t>
  </si>
  <si>
    <t>0010J00001p4t62QAA</t>
  </si>
  <si>
    <t>63ced843c5c820531c26820d</t>
  </si>
  <si>
    <t>Khipu Networks Ltd</t>
  </si>
  <si>
    <t>nick.milnes@al-enterprise.com, laurent.paterac@al-enterprise.com, gerry.ohanlon@al-enterprise.com, david.upsher@al-enterprise.com</t>
  </si>
  <si>
    <t>0012000000eAZ7sAAG</t>
  </si>
  <si>
    <t>63fcbb7ea107c871cf56474f</t>
  </si>
  <si>
    <t>Kinwell B.V.</t>
  </si>
  <si>
    <t>philippe.girard@al-enterprise.com, rui.silva@al-enterprise.com, eelco.hollestelle@al-enterprise.com, jaimy.buiks@al-enterprise.com, esli.coenraad@al-enterprise.com, frank.van-spanje@al-enterprise.com</t>
  </si>
  <si>
    <t>0012000000tuSF9AAM</t>
  </si>
  <si>
    <t>67766946b2d056a637007f82</t>
  </si>
  <si>
    <t>KIT Services LLC</t>
  </si>
  <si>
    <t>0015I0000083sbxQAA</t>
  </si>
  <si>
    <t>63ea6e9752ad6968805cf067</t>
  </si>
  <si>
    <t>KMM - T.D.KOM Telefon-Daten-</t>
  </si>
  <si>
    <t>0012000000eAZfNAAW</t>
  </si>
  <si>
    <t>63ced842c5c820531c2680a5</t>
  </si>
  <si>
    <t>Know How S.A.</t>
  </si>
  <si>
    <t>0012000000eAZkyAAG</t>
  </si>
  <si>
    <t>63fcbb9ea107c871cf5680ad</t>
  </si>
  <si>
    <t>KOESIO AQUITAINE</t>
  </si>
  <si>
    <t>0015I00000h6oAuQAI</t>
  </si>
  <si>
    <t>63ef9d5f384f27260c1baf8b</t>
  </si>
  <si>
    <t>KOESIO AURA TELECOM</t>
  </si>
  <si>
    <t>philippe.cros@al-enterprise.com, lionel.roquetaillade@al-enterprise.com</t>
  </si>
  <si>
    <t>0010J000020J8pQQAS</t>
  </si>
  <si>
    <t>685aa6e073dc945ff3064f12</t>
  </si>
  <si>
    <t>KOESIO GROUPE</t>
  </si>
  <si>
    <t>philippe.girard@al-enterprise.com, philippe.cros@al-enterprise.com</t>
  </si>
  <si>
    <t>001SZ00000c7hiJYAQ</t>
  </si>
  <si>
    <t>63fcbb92a107c871cf566c8d</t>
  </si>
  <si>
    <t>KOESIO PACA</t>
  </si>
  <si>
    <t>0015I00000bBCeOQAW</t>
  </si>
  <si>
    <t>63ef9d5f384f27260c1baf0b</t>
  </si>
  <si>
    <t>KOESIO PACA Télécom France</t>
  </si>
  <si>
    <t>0012000000tuSBVAA2</t>
  </si>
  <si>
    <t>63fcbb7ea107c871cf564787</t>
  </si>
  <si>
    <t>KOESIO PACA Télécom Monaco</t>
  </si>
  <si>
    <t>0015I00000BmeRKQAZ</t>
  </si>
  <si>
    <t>63ea6e9652ad6968805cef95</t>
  </si>
  <si>
    <t>Kommunikationsanlagen Schneider</t>
  </si>
  <si>
    <t>0012000000eAYiBAAW</t>
  </si>
  <si>
    <t>63ea6e9552ad6968805cee8b</t>
  </si>
  <si>
    <t>Kommunikationstechnik Frank Albinus</t>
  </si>
  <si>
    <t>0012000000tuSEgAAM</t>
  </si>
  <si>
    <t>63ced84bc5c820531c269419</t>
  </si>
  <si>
    <t>KOMSA AG</t>
  </si>
  <si>
    <t>marcel.marx@al-enterprise.com, katrin.pfeiffer@al-enterprise.com, sibylle.klopfer@al-enterprise.com, igor.leko@al-enterprise.com</t>
  </si>
  <si>
    <t>0012000000esZiHAAU</t>
  </si>
  <si>
    <t>63ced842c5c820531c2680f0</t>
  </si>
  <si>
    <t>Koning &amp; Hartman BV</t>
  </si>
  <si>
    <t>eelco.hollestelle@al-enterprise.com, peter-de.waal@al-enterprise.com, frank.van-spanje@al-enterprise.com</t>
  </si>
  <si>
    <t>0012000000evl6qAAA</t>
  </si>
  <si>
    <t>63ced842c5c820531c267f97</t>
  </si>
  <si>
    <t>KPN BV</t>
  </si>
  <si>
    <t>jaimy.buiks@al-enterprise.com, frank.van-spanje@al-enterprise.com</t>
  </si>
  <si>
    <t>0012000000eAYiIAAW</t>
  </si>
  <si>
    <t>63fcbb80a107c871cf564bf5</t>
  </si>
  <si>
    <t>Kreuze Telecom BV</t>
  </si>
  <si>
    <t>0012000000tuSEoAAM</t>
  </si>
  <si>
    <t>63ef9d5e384f27260c1bae0b</t>
  </si>
  <si>
    <t>KS TELECOM</t>
  </si>
  <si>
    <t>0012000000tvKcqAAE</t>
  </si>
  <si>
    <t>63ea6e9652ad6968805cf005</t>
  </si>
  <si>
    <t>KTS Kommunikationstechnik</t>
  </si>
  <si>
    <t>0012000000eAYiSAAW</t>
  </si>
  <si>
    <t>63ced845c5c820531c2685fa</t>
  </si>
  <si>
    <t>KYOCERA Mirai Envision Co., Ltd</t>
  </si>
  <si>
    <t>0010J00001miyRgQAI</t>
  </si>
  <si>
    <t>63fcbb9ea107c871cf5681b7</t>
  </si>
  <si>
    <t>L'Agence Pro</t>
  </si>
  <si>
    <t>0012000001JZwrHAAT</t>
  </si>
  <si>
    <t>63fcbb86a107c871cf5656d7</t>
  </si>
  <si>
    <t>L.V.COM</t>
  </si>
  <si>
    <t>0010J000025NySnQAK</t>
  </si>
  <si>
    <t>63fcbb85a107c871cf5653e3</t>
  </si>
  <si>
    <t>La Telefonica Srl</t>
  </si>
  <si>
    <t>0012000001V7fIMAAZ</t>
  </si>
  <si>
    <t>63fcbb8aa107c871cf565d2f</t>
  </si>
  <si>
    <t>LA TELEPHONIE BOURGUIGNONNE</t>
  </si>
  <si>
    <t>0012000000eAYiXAAW</t>
  </si>
  <si>
    <t>63fcbb9fa107c871cf5682cf</t>
  </si>
  <si>
    <t>LACSAP</t>
  </si>
  <si>
    <t>0012000000eAYiaAAG</t>
  </si>
  <si>
    <t>63fcbb84a107c871cf565207</t>
  </si>
  <si>
    <t>Lafi</t>
  </si>
  <si>
    <t>0010J00001nFFfIQAW</t>
  </si>
  <si>
    <t>65dcd9bb019929778f07c635</t>
  </si>
  <si>
    <t>LAFI</t>
  </si>
  <si>
    <t>63fcbb89a107c871cf565ce9</t>
  </si>
  <si>
    <t>LAMBERT TELEPHONIE</t>
  </si>
  <si>
    <t>0012000000tuSIbAAM</t>
  </si>
  <si>
    <t>63fcbb96a107c871cf5672bb</t>
  </si>
  <si>
    <t>LAN ADVICE</t>
  </si>
  <si>
    <t>0010J000027D0UJQA0</t>
  </si>
  <si>
    <t>6572ea531bcb0fe1330807e7</t>
  </si>
  <si>
    <t>LANRover Network Services, Inc.</t>
  </si>
  <si>
    <t>philippe.girard@al-enterprise.com, rui.silva@al-enterprise.com, melissa.mercier@al-enterprise.com, brendan.flaherty@al-enterprise.com, michael-j.francis@al-enterprise.com, steve.aliberti@al-enterprise.com, Steve.roos@al-enterprise.com, jack.jachner@al-enterprise.com</t>
  </si>
  <si>
    <t>0015I00000iLbEMQA0</t>
  </si>
  <si>
    <t>63fcbb85a107c871cf565499</t>
  </si>
  <si>
    <t>Lantek Inc.</t>
  </si>
  <si>
    <t>00120000018woi4AAA</t>
  </si>
  <si>
    <t>63fcbb94a107c871cf56708b</t>
  </si>
  <si>
    <t>LASOTEL</t>
  </si>
  <si>
    <t>0012000001DnUDyAAN</t>
  </si>
  <si>
    <t>63fcbb99a107c871cf56799f</t>
  </si>
  <si>
    <t>LCDC</t>
  </si>
  <si>
    <t>0010J000023ABIVQA4</t>
  </si>
  <si>
    <t>63ef9d57384f27260c1ba351</t>
  </si>
  <si>
    <t>LCN- Division of EG Sawyer Co Inc</t>
  </si>
  <si>
    <t>brendan.flaherty@al-enterprise.com, eric.bumann@al-enterprise.com</t>
  </si>
  <si>
    <t>0012000000eAYijAAG</t>
  </si>
  <si>
    <t>63fcbb92a107c871cf566c9b</t>
  </si>
  <si>
    <t>LE BUREAU NUMERIQUE</t>
  </si>
  <si>
    <t>0010J00001s2sGqQAI</t>
  </si>
  <si>
    <t>63fcbb94a107c871cf567029</t>
  </si>
  <si>
    <t>LECLERE</t>
  </si>
  <si>
    <t>0012000000tuSJ1AAM</t>
  </si>
  <si>
    <t>63fcbb9ea107c871cf56817f</t>
  </si>
  <si>
    <t>LECLERE SERVICES</t>
  </si>
  <si>
    <t>0012000000tuSAnAAM</t>
  </si>
  <si>
    <t>63ea6e9352ad6968805ceb35</t>
  </si>
  <si>
    <t>Lecos GmbH</t>
  </si>
  <si>
    <t>0012000000eAfuwAAC</t>
  </si>
  <si>
    <t>63fcbb84a107c871cf56539d</t>
  </si>
  <si>
    <t>LECUBE</t>
  </si>
  <si>
    <t>0010J00001yvJLzQAM</t>
  </si>
  <si>
    <t>63fcbb91a107c871cf5669fb</t>
  </si>
  <si>
    <t>LETE TELECOMMUNICATIONS</t>
  </si>
  <si>
    <t>0012000000eAYirAAG</t>
  </si>
  <si>
    <t>LETE</t>
  </si>
  <si>
    <t>63ced849c5c820531c268e2e</t>
  </si>
  <si>
    <t>LETTEL DISTRIBUIDORA DE TELEFONIA</t>
  </si>
  <si>
    <t>0012000000eAYisAAG</t>
  </si>
  <si>
    <t>63fcbb7fa107c871cf564a51</t>
  </si>
  <si>
    <t>Levengood Supply Co., Inc.</t>
  </si>
  <si>
    <t>0010J000023s4FbQAI</t>
  </si>
  <si>
    <t>63fcbb9fa107c871cf5682c1</t>
  </si>
  <si>
    <t>LH TELECOM</t>
  </si>
  <si>
    <t>0010J000027A4vQQAS</t>
  </si>
  <si>
    <t>63ef9d61384f27260c1bb28d</t>
  </si>
  <si>
    <t>LICOM</t>
  </si>
  <si>
    <t>philippe.girard@al-enterprise.com, rui.silva@al-enterprise.com, katrien.dirickx@al-enterprise.com, tom.van-uffelen@al-enterprise.com</t>
  </si>
  <si>
    <t>0015I00000J3mXqQAJ</t>
  </si>
  <si>
    <t>63ced84dc5c820531c26979d</t>
  </si>
  <si>
    <t>LightSpeed Technologies, Inc</t>
  </si>
  <si>
    <t>0012000000eAZZmAAO</t>
  </si>
  <si>
    <t>Mobile Communications America</t>
  </si>
  <si>
    <t>63ea6e9352ad6968805ceb5f</t>
  </si>
  <si>
    <t>link protect GmbH</t>
  </si>
  <si>
    <t>0012000000eAZTkAAO</t>
  </si>
  <si>
    <t>63fcbb9da107c871cf567efb</t>
  </si>
  <si>
    <t>LMS Informatique</t>
  </si>
  <si>
    <t>0010J00001sLiLeQAK</t>
  </si>
  <si>
    <t>63fcbb90a107c871cf56698b</t>
  </si>
  <si>
    <t>LOAN COMUNICACIONES</t>
  </si>
  <si>
    <t>0012000000tuSItAAM</t>
  </si>
  <si>
    <t>63ced84cc5c820531c269608</t>
  </si>
  <si>
    <t>LODACOM</t>
  </si>
  <si>
    <t>0012000000ohXTyAAM</t>
  </si>
  <si>
    <t>63ced84dc5c820531c269743</t>
  </si>
  <si>
    <t>Logical Systems, Inc.</t>
  </si>
  <si>
    <t>0012000000eAZZLAA4</t>
  </si>
  <si>
    <t>63ced845c5c820531c268690</t>
  </si>
  <si>
    <t>Logitex LLC - DR</t>
  </si>
  <si>
    <t>krystian.sokalski@al-enterprise.com</t>
  </si>
  <si>
    <t>0015I00000aWd1xQAC</t>
  </si>
  <si>
    <t>63ced84ac5c820531c2691a3</t>
  </si>
  <si>
    <t>Logitex LLC - VAD</t>
  </si>
  <si>
    <t>0015I00000aWd1wQAC</t>
  </si>
  <si>
    <t>63ced844c5c820531c268357</t>
  </si>
  <si>
    <t>Loihde Trust Oy</t>
  </si>
  <si>
    <t>FI</t>
  </si>
  <si>
    <t>0012000000eAYngAAG</t>
  </si>
  <si>
    <t>63ced847c5c820531c268af5</t>
  </si>
  <si>
    <t>LONGWAVE S.p.A.</t>
  </si>
  <si>
    <t>0012000000eAYjXAAW</t>
  </si>
  <si>
    <t>63ced844c5c820531c2684b0</t>
  </si>
  <si>
    <t>LOTTE DATA COMMUNICATION COMPANY</t>
  </si>
  <si>
    <t>0012000000eAZXiAAO</t>
  </si>
  <si>
    <t>63fcbb8ca107c871cf566157</t>
  </si>
  <si>
    <t>LTH sa</t>
  </si>
  <si>
    <t>0010J00001pXIw2QAG</t>
  </si>
  <si>
    <t>63fcbb86a107c871cf565683</t>
  </si>
  <si>
    <t>LTIO</t>
  </si>
  <si>
    <t>0012000000tuSEXAA2</t>
  </si>
  <si>
    <t>63fcbb7da107c871cf56451f</t>
  </si>
  <si>
    <t>LYME COMPUTER SYSTEMS, INC.</t>
  </si>
  <si>
    <t>0010J00002BVhYyQAL</t>
  </si>
  <si>
    <t>63fcbb96a107c871cf56739b</t>
  </si>
  <si>
    <t>M2B TELECOM</t>
  </si>
  <si>
    <t>0012000000tuSHNAA2</t>
  </si>
  <si>
    <t>63fcbb7fa107c871cf564947</t>
  </si>
  <si>
    <t>M2M Cybermatics Pvt Ltd</t>
  </si>
  <si>
    <t>0015I000002MKZQQA4</t>
  </si>
  <si>
    <t>63fcbb9ea107c871cf568227</t>
  </si>
  <si>
    <t>M2TI S9</t>
  </si>
  <si>
    <t>0015I00000SJHLqQAP</t>
  </si>
  <si>
    <t>63fcbb9ba107c871cf567c93</t>
  </si>
  <si>
    <t>MA BUREAUTIQUE</t>
  </si>
  <si>
    <t>0015I00000OgaWvQAJ</t>
  </si>
  <si>
    <t>63ced84ec5c820531c269a13</t>
  </si>
  <si>
    <t>Mach4</t>
  </si>
  <si>
    <t>00120000017W4PaAAK</t>
  </si>
  <si>
    <t>63fcbb89a107c871cf565c87</t>
  </si>
  <si>
    <t>MAGASIT</t>
  </si>
  <si>
    <t>0012000000mxJ2NAAU</t>
  </si>
  <si>
    <t>63ced84dc5c820531c269806</t>
  </si>
  <si>
    <t>Magothy Technology, LLC</t>
  </si>
  <si>
    <t>brendan.flaherty@al-enterprise.com, robert.ewell@al-enterprise.com, jack.jachner@al-enterprise.com</t>
  </si>
  <si>
    <t>0012000000eB12QAAS</t>
  </si>
  <si>
    <t>63ced842c5c820531c2680b4</t>
  </si>
  <si>
    <t>MAGRI TELEFONIA SRL</t>
  </si>
  <si>
    <t>0012000000mxJ0HAAU</t>
  </si>
  <si>
    <t>633594225a4f364541330f92</t>
  </si>
  <si>
    <t>MAGTEL OPERACIONES S.L.U</t>
  </si>
  <si>
    <t>rui.silva@al-enterprise.com, rafael.andreo@al-enterprise.com, hubert.chapelle@al-enterprise.com, marcos.rodriguez@al-enterprise.com</t>
  </si>
  <si>
    <t>0015I00000QRTZAQA5</t>
  </si>
  <si>
    <t>63ced843c5c820531c2681b3</t>
  </si>
  <si>
    <t>MAICROTEL S.A.S.</t>
  </si>
  <si>
    <t>0012000000eAYkdAAG</t>
  </si>
  <si>
    <t>63ced849c5c820531c268e4c</t>
  </si>
  <si>
    <t>Majestic Data (Pty) Ltd</t>
  </si>
  <si>
    <t>0015I00000XS9szQAD</t>
  </si>
  <si>
    <t>63fcbb9ba107c871cf567bc1</t>
  </si>
  <si>
    <t>MAJESTIQUE DIFFUSION</t>
  </si>
  <si>
    <t>0012000001XvAYgAAN</t>
  </si>
  <si>
    <t>63fcbb83a107c871cf5650e1</t>
  </si>
  <si>
    <t>Makkays</t>
  </si>
  <si>
    <t>0012000000eAZmZAAW</t>
  </si>
  <si>
    <t>63ced84bc5c820531c2693fb</t>
  </si>
  <si>
    <t>MAKRO Soluciones de Tecnologia S.A.</t>
  </si>
  <si>
    <t>00120000014in9FAAQ</t>
  </si>
  <si>
    <t>63fcbb95a107c871cf5671db</t>
  </si>
  <si>
    <t>MALDERA</t>
  </si>
  <si>
    <t>0010J00001pXIvzQAG</t>
  </si>
  <si>
    <t>63ced847c5c820531c268a23</t>
  </si>
  <si>
    <t>MAM INTERNATIONAL CORPORATION</t>
  </si>
  <si>
    <t>najeh.khalil@al-enterprise.com, ahmad.bashir@al-enterprise.com, ahmad.johar@al-enterprise.com, ahmed.hamzawy@al-enterprise.com</t>
  </si>
  <si>
    <t>YE</t>
  </si>
  <si>
    <t>0015I00000SJ3R1QAL</t>
  </si>
  <si>
    <t>63fcbb7fa107c871cf5648d7</t>
  </si>
  <si>
    <t>Mantra Technologies Limited</t>
  </si>
  <si>
    <t>UG</t>
  </si>
  <si>
    <t>0012000001Ggmj4AAB</t>
  </si>
  <si>
    <t>63ced84ec5c820531c26996e</t>
  </si>
  <si>
    <t>Marcum Technology LLC</t>
  </si>
  <si>
    <t>0012000000zWIPRAA4</t>
  </si>
  <si>
    <t>63fcbb9aa107c871cf567a47</t>
  </si>
  <si>
    <t>MARTIN PELLEGRIN SA</t>
  </si>
  <si>
    <t>0012000000eAYk2AAG</t>
  </si>
  <si>
    <t>63fcbb95a107c871cf5670c3</t>
  </si>
  <si>
    <t>MASK Telecom</t>
  </si>
  <si>
    <t>0012000001JZwrTAAT</t>
  </si>
  <si>
    <t>63ef9d57384f27260c1ba22d</t>
  </si>
  <si>
    <t>Masscomm Innova, S.L.</t>
  </si>
  <si>
    <t>0012000000mxImJAAU</t>
  </si>
  <si>
    <t>63fcbb91a107c871cf5669a7</t>
  </si>
  <si>
    <t>MASSELIN COMMUNICATION</t>
  </si>
  <si>
    <t>0012000000eAYk5AAG</t>
  </si>
  <si>
    <t>63fcbb91a107c871cf566a09</t>
  </si>
  <si>
    <t>MASSELIN COMMUNICATION AXIANS ROUEN</t>
  </si>
  <si>
    <t>0012000000eAYrtAAG</t>
  </si>
  <si>
    <t>63fcbb7ea107c871cf564859</t>
  </si>
  <si>
    <t>MAXTO ITS</t>
  </si>
  <si>
    <t>0015I00000KkBbLQAV</t>
  </si>
  <si>
    <t>63fcbb81a107c871cf564c81</t>
  </si>
  <si>
    <t>Maxto Spólka z ograniczona</t>
  </si>
  <si>
    <t>0015I000009H4JkQAK</t>
  </si>
  <si>
    <t>65dcd9ba019929778f07c4df</t>
  </si>
  <si>
    <t>Maya Quetzal Comunicaciones,S.A CV</t>
  </si>
  <si>
    <t>philippe.girard@al-enterprise.com, rui.silva@al-enterprise.com, saul.montiel@al-enterprise.com, joaquin.flores@al-enterprise.com</t>
  </si>
  <si>
    <t>0012000000gwYO7AAM</t>
  </si>
  <si>
    <t>63ced84bc5c820531c269374</t>
  </si>
  <si>
    <t>MAYVA Global Services, S.L.</t>
  </si>
  <si>
    <t>0015I00000WyLQrQAN</t>
  </si>
  <si>
    <t>63fcbb88a107c871cf5659f5</t>
  </si>
  <si>
    <t>MAZENQ</t>
  </si>
  <si>
    <t>0015I00000OfNX4QAN</t>
  </si>
  <si>
    <t>63fcbb93a107c871cf566ee7</t>
  </si>
  <si>
    <t>MB FRANCE COM</t>
  </si>
  <si>
    <t>0010J00002BUHLLQA5</t>
  </si>
  <si>
    <t>63fcbb92a107c871cf566c39</t>
  </si>
  <si>
    <t>MC DOMOTIQUE</t>
  </si>
  <si>
    <t>0012000001QhIMpAAN</t>
  </si>
  <si>
    <t>67a5dd1c818802cbbf055652</t>
  </si>
  <si>
    <t>MCA | Mobile Communications America HQ</t>
  </si>
  <si>
    <t>001SZ00000DaJXjYAN</t>
  </si>
  <si>
    <t>63fcbb9aa107c871cf567a9b</t>
  </si>
  <si>
    <t>MCEM INFORMATIQUE SARL</t>
  </si>
  <si>
    <t>0012000000mxIlqAAE</t>
  </si>
  <si>
    <t>63fcbb92a107c871cf566cb7</t>
  </si>
  <si>
    <t>MCS</t>
  </si>
  <si>
    <t>0015I000003HetSQAS</t>
  </si>
  <si>
    <t>63ced84bc5c820531c269239</t>
  </si>
  <si>
    <t>MCS IT Distribution Limited</t>
  </si>
  <si>
    <t>0010J000025sfPtQAI</t>
  </si>
  <si>
    <t>63ced844c5c820531c268537</t>
  </si>
  <si>
    <t>MCS SOLUTION</t>
  </si>
  <si>
    <t>0015I000003HjNsQAK</t>
  </si>
  <si>
    <t>63fcbb93a107c871cf566d89</t>
  </si>
  <si>
    <t>MD CONSULTING</t>
  </si>
  <si>
    <t>0015I00000QRCB0QAP</t>
  </si>
  <si>
    <t>678e728878e2544f92063cd2</t>
  </si>
  <si>
    <t>MD Informatique Inc</t>
  </si>
  <si>
    <t>philippe.girard@al-enterprise.com, rui.silva@al-enterprise.com, nuno.ribas@al-enterprise.com, tracy.dupree@al-enterprise.com</t>
  </si>
  <si>
    <t>001SZ000002lDwsYAE</t>
  </si>
  <si>
    <t>63ef9d5d384f27260c1bacc9</t>
  </si>
  <si>
    <t>MDTEL</t>
  </si>
  <si>
    <t>0012000000tvKa7AAE</t>
  </si>
  <si>
    <t>63ced843c5c820531c26831b</t>
  </si>
  <si>
    <t>MEDI TELECOM S.A.</t>
  </si>
  <si>
    <t>0015I000003IIZlQAO</t>
  </si>
  <si>
    <t>63ef9d5d384f27260c1baba5</t>
  </si>
  <si>
    <t>MEDIA COMMUNICATION IDF</t>
  </si>
  <si>
    <t>philippe.girard@al-enterprise.com, rui.silva@al-enterprise.com, caroline.maugere@al-enterprise.com</t>
  </si>
  <si>
    <t>0012000000tuSAqAAM</t>
  </si>
  <si>
    <t>63fcbb97a107c871cf56755b</t>
  </si>
  <si>
    <t>MEDIA CONNECT</t>
  </si>
  <si>
    <t>0010J00001lX2NrQAK</t>
  </si>
  <si>
    <t>63fcbb9ca107c871cf567dab</t>
  </si>
  <si>
    <t>MEDIAIP</t>
  </si>
  <si>
    <t>0010J00001nDhCUQA0</t>
  </si>
  <si>
    <t>63fcbb86a107c871cf565701</t>
  </si>
  <si>
    <t>Medip Health S.L.</t>
  </si>
  <si>
    <t>0015I00000WBP1oQAH</t>
  </si>
  <si>
    <t>65cce9365eddfe38c600cd76</t>
  </si>
  <si>
    <t>MEGAO INFORMATIQUE</t>
  </si>
  <si>
    <t>philippe.girard@al-enterprise.com, rui.silva@al-enterprise.com, philippe.cros@al-enterprise.com, jean-pascal.klein@al-enterprise.com, lionel.roquetaillade@al-enterprise.com</t>
  </si>
  <si>
    <t>0012000000esT6jAAE</t>
  </si>
  <si>
    <t>63ef9d60384f27260c1bb1cd</t>
  </si>
  <si>
    <t>Meinhart &amp; Heldele GmbH - MEHOKO</t>
  </si>
  <si>
    <t>0015I000002MWfrQAG</t>
  </si>
  <si>
    <t>63fcbb86a107c871cf56562f</t>
  </si>
  <si>
    <t>Mekdam Technology</t>
  </si>
  <si>
    <t>0015I0000083sJFQAY</t>
  </si>
  <si>
    <t>63ced84dc5c820531c269752</t>
  </si>
  <si>
    <t>Melsernet, Inc.</t>
  </si>
  <si>
    <t>0012000000eAZZcAAO</t>
  </si>
  <si>
    <t>63ced845c5c820531c268717</t>
  </si>
  <si>
    <t>MEO - SERVICOS DE COMUNICACOES E</t>
  </si>
  <si>
    <t>0012000001ehI0UAAU</t>
  </si>
  <si>
    <t>63ced846c5c820531c2688d9</t>
  </si>
  <si>
    <t>Merit Iletisim Teknolojileri Tic.</t>
  </si>
  <si>
    <t>0012000000eAYnCAAW</t>
  </si>
  <si>
    <t>63ced84ac5c820531c2690a4</t>
  </si>
  <si>
    <t>Merlion Trade Worldwide Ltd</t>
  </si>
  <si>
    <t>0010J000020Gy6wQAC</t>
  </si>
  <si>
    <t>63fcbb7ea107c871cf564725</t>
  </si>
  <si>
    <t>Meteorit</t>
  </si>
  <si>
    <t>laurent.paterac@al-enterprise.com, yankel.ayash@al-enterprise.com, ronen.tsarfati@al-enterprise.com</t>
  </si>
  <si>
    <t>0015I00000XSz2XQAT</t>
  </si>
  <si>
    <t>65dcd9bb019929778f07c6a7</t>
  </si>
  <si>
    <t>METROWIRED (PTY) LTD</t>
  </si>
  <si>
    <t>stevious.moagi@al-enterprise.com</t>
  </si>
  <si>
    <t>0015I00000XflkKQAR</t>
  </si>
  <si>
    <t>63fcbb90a107c871cf5668ab</t>
  </si>
  <si>
    <t>MFH</t>
  </si>
  <si>
    <t>0012000000ohXOpAAM</t>
  </si>
  <si>
    <t>63fcbb7da107c871cf564581</t>
  </si>
  <si>
    <t>MFI</t>
  </si>
  <si>
    <t>najeh.khalil@al-enterprise.com, hv.nagaraja@al-enterprise.com, ahmed.hamzawy@al-enterprise.com</t>
  </si>
  <si>
    <t>KE</t>
  </si>
  <si>
    <t>0015I00000fKPgZQAW</t>
  </si>
  <si>
    <t>63ced842c5c820531c26801e</t>
  </si>
  <si>
    <t>MFI International FZE</t>
  </si>
  <si>
    <t>najeh.khalil@al-enterprise.com, ravin.naidu@al-enterprise.com, rahul.sharma1@al-enterprise.com, hv.nagaraja@al-enterprise.com, ahmed.hamzawy@al-enterprise.com</t>
  </si>
  <si>
    <t>0010J00001ol8n0QAA</t>
  </si>
  <si>
    <t>63ced842c5c820531c267fe2</t>
  </si>
  <si>
    <t>MFI Technology Solutions Limited</t>
  </si>
  <si>
    <t>0012000000eAYkSAAW</t>
  </si>
  <si>
    <t>63fcbb9ca107c871cf567d57</t>
  </si>
  <si>
    <t>MGSLOG</t>
  </si>
  <si>
    <t>0015I00000e6uZdQAI</t>
  </si>
  <si>
    <t>63ced841c5c820531c267e98</t>
  </si>
  <si>
    <t>MHD Infotech LLC</t>
  </si>
  <si>
    <t>najeh.khalil@al-enterprise.com, rohit.menon@al-enterprise.com, ahmed.hamzawy@al-enterprise.com</t>
  </si>
  <si>
    <t>0012000001FTeCyAAL</t>
  </si>
  <si>
    <t>63fcbb9fa107c871cf5683cb</t>
  </si>
  <si>
    <t>MIATEL</t>
  </si>
  <si>
    <t>0012000000mxIu6AAE</t>
  </si>
  <si>
    <t>63ea6e9752ad6968805cf1c5</t>
  </si>
  <si>
    <t>Michael Becker Sicherheitstechnik GmbH</t>
  </si>
  <si>
    <t>0015I00000QQN7yQAH</t>
  </si>
  <si>
    <t>Michael Becker Sicherheitstechnik</t>
  </si>
  <si>
    <t>63fcbb93a107c871cf566ebd</t>
  </si>
  <si>
    <t>MICRO MEDIA CONSEILS</t>
  </si>
  <si>
    <t>0010J00001sLiLmQAK</t>
  </si>
  <si>
    <t>63ced84dc5c820531c269761</t>
  </si>
  <si>
    <t>Micro Technology Consultants, Inc.</t>
  </si>
  <si>
    <t>luigy.estevanell@al-enterprise.com, jack.jachner@al-enterprise.com</t>
  </si>
  <si>
    <t>0012000000eAZZGAA4</t>
  </si>
  <si>
    <t>63fcbb8aa107c871cf565e0f</t>
  </si>
  <si>
    <t>Micro Tonnerre</t>
  </si>
  <si>
    <t>0012000001QhIN1AAN</t>
  </si>
  <si>
    <t>63ced843c5c820531c268339</t>
  </si>
  <si>
    <t>Microhit Technologies L.L.C</t>
  </si>
  <si>
    <t>0012000000tvKhWAAU</t>
  </si>
  <si>
    <t>63fcbb89a107c871cf565bfb</t>
  </si>
  <si>
    <t>MIDRANGE</t>
  </si>
  <si>
    <t>0015I00000VoWgbQAF</t>
  </si>
  <si>
    <t>63ced847c5c820531c268a41</t>
  </si>
  <si>
    <t>MIDWARE DATA SYSTEMS S.A.L.</t>
  </si>
  <si>
    <t>LB</t>
  </si>
  <si>
    <t>0012000000eAZMnAAO</t>
  </si>
  <si>
    <t>63fcbb85a107c871cf565533</t>
  </si>
  <si>
    <t>MILELEC</t>
  </si>
  <si>
    <t>0012000000ohXT6AAM</t>
  </si>
  <si>
    <t>63ea6e9452ad6968805cecf5</t>
  </si>
  <si>
    <t>Minck Elektro- und Fernmeldetechnik</t>
  </si>
  <si>
    <t>andreas.grossheimann@al-enterprise.com, andre.ramm@al-enterprise.com, daniel.scheidl@al-enterprise.com, hakan.adiguezel@al-enterprise.com</t>
  </si>
  <si>
    <t>00120000014inBIAAY</t>
  </si>
  <si>
    <t>63ef9d5d384f27260c1bac05</t>
  </si>
  <si>
    <t>MIND TECHNOLOGIES</t>
  </si>
  <si>
    <t>0012000000tuSFUAA2</t>
  </si>
  <si>
    <t>63fcbb92a107c871cf566c01</t>
  </si>
  <si>
    <t>MINTAIX</t>
  </si>
  <si>
    <t>00120000018xAJ5AAM</t>
  </si>
  <si>
    <t>63ced845c5c820531c268609</t>
  </si>
  <si>
    <t>MIRAIT ONE Corporation</t>
  </si>
  <si>
    <t>0015I00000WyGUAQA3</t>
  </si>
  <si>
    <t>63fcbb86a107c871cf565587</t>
  </si>
  <si>
    <t>MISTRAL.COM</t>
  </si>
  <si>
    <t>0012000000tuSE4AAM</t>
  </si>
  <si>
    <t>63ced844c5c820531c268456</t>
  </si>
  <si>
    <t>Mitac Information Technology Corp.</t>
  </si>
  <si>
    <t>0010J00001pS6EhQAK</t>
  </si>
  <si>
    <t>63fcbb8ba107c871cf566077</t>
  </si>
  <si>
    <t>MITI</t>
  </si>
  <si>
    <t>0012000001M1xgJAAR</t>
  </si>
  <si>
    <t>IMS 66 - MITI</t>
  </si>
  <si>
    <t>63ea6e9752ad6968805cf0c9</t>
  </si>
  <si>
    <t>ML Network DV-Systeme</t>
  </si>
  <si>
    <t>0012000001V7fIKAAZ</t>
  </si>
  <si>
    <t>63fcbb97a107c871cf5674a5</t>
  </si>
  <si>
    <t>MOABEE</t>
  </si>
  <si>
    <t>0015I00000Kk7cWQAR</t>
  </si>
  <si>
    <t>63fcbb8ea107c871cf56650f</t>
  </si>
  <si>
    <t>MOBITECH</t>
  </si>
  <si>
    <t>0010J00001kQZRyQAO</t>
  </si>
  <si>
    <t>63ea6e9752ad6968805cf0ad</t>
  </si>
  <si>
    <t>ModernCom Systems GmbH &amp; Co. KG</t>
  </si>
  <si>
    <t>0012000000eAYl1AAG</t>
  </si>
  <si>
    <t>63fcbb91a107c871cf566a95</t>
  </si>
  <si>
    <t>MONACO DIGITAL - AVANGARDE</t>
  </si>
  <si>
    <t>0010J00001s2sGwQAI</t>
  </si>
  <si>
    <t>63fcbb87a107c871cf5658b3</t>
  </si>
  <si>
    <t>MONTEL</t>
  </si>
  <si>
    <t>0012000000eAYl6AAG</t>
  </si>
  <si>
    <t>65bcb6033b604a1b390563b7</t>
  </si>
  <si>
    <t>Morefield</t>
  </si>
  <si>
    <t>0015I00000ky7PYQAY</t>
  </si>
  <si>
    <t>63fcbb82a107c871cf564e79</t>
  </si>
  <si>
    <t>MORPHEUS</t>
  </si>
  <si>
    <t>0012000000tuSDOAA2</t>
  </si>
  <si>
    <t>63ef9d5c384f27260c1baaa1</t>
  </si>
  <si>
    <t>Morse Communications, Inc</t>
  </si>
  <si>
    <t>luigy.estevanell@al-enterprise.com, robert.stitz@al-enterprise.com, jack.jachner@al-enterprise.com</t>
  </si>
  <si>
    <t>0012000000eAYlAAAW</t>
  </si>
  <si>
    <t>63ced84cc5c820531c2694eb</t>
  </si>
  <si>
    <t>Motherboard Express Company</t>
  </si>
  <si>
    <t>0015I000009G1t4QAC</t>
  </si>
  <si>
    <t>63fcbb9fa107c871cf5683bd</t>
  </si>
  <si>
    <t>MOUTY</t>
  </si>
  <si>
    <t>0012000000eAYlCAAW</t>
  </si>
  <si>
    <t>63ea6e9552ad6968805cee29</t>
  </si>
  <si>
    <t>movetech Systemberatung</t>
  </si>
  <si>
    <t>0012000001HphIeAAJ</t>
  </si>
  <si>
    <t>63ced84cc5c820531c269581</t>
  </si>
  <si>
    <t>MOVETEL COMMUNICATIONS SNC</t>
  </si>
  <si>
    <t>0012000000ohXP6AAM</t>
  </si>
  <si>
    <t>63ea6e9652ad6968805cef09</t>
  </si>
  <si>
    <t>MR Compact GmbH</t>
  </si>
  <si>
    <t>0012000000tvKBIAA2</t>
  </si>
  <si>
    <t>63fcbb82a107c871cf564e4f</t>
  </si>
  <si>
    <t>MR SERVICE SRL</t>
  </si>
  <si>
    <t>0012000000zZRJXAA4</t>
  </si>
  <si>
    <t>63ea6e9752ad6968805cf171</t>
  </si>
  <si>
    <t>Mr. IT - Michael Muller</t>
  </si>
  <si>
    <t>0012000000tuSDLAA2</t>
  </si>
  <si>
    <t>Mr. IT - Michael Müller</t>
  </si>
  <si>
    <t>63fcbb94a107c871cf566f2d</t>
  </si>
  <si>
    <t>MS COM RHONE ALPES</t>
  </si>
  <si>
    <t>0012000000eAYlJAAW</t>
  </si>
  <si>
    <t>63fcbb95a107c871cf567117</t>
  </si>
  <si>
    <t>MS SOLUTIONS</t>
  </si>
  <si>
    <t>0015I00000KlZYKQA3</t>
  </si>
  <si>
    <t>63ea6e9452ad6968805cec3f</t>
  </si>
  <si>
    <t>MTG-Kommunikations-Technik GmbH</t>
  </si>
  <si>
    <t>0012000000tuSAtAAM</t>
  </si>
  <si>
    <t>63fcbb80a107c871cf564c3b</t>
  </si>
  <si>
    <t>MULTIKOM Kurzeja Ernest</t>
  </si>
  <si>
    <t>00120000014inBVAAY</t>
  </si>
  <si>
    <t>MULTIKOM IT Sp. z o.o.</t>
  </si>
  <si>
    <t>63fcbb82a107c871cf564e09</t>
  </si>
  <si>
    <t>MULTIPHONE NETCOM LYON</t>
  </si>
  <si>
    <t>0012000000tuSEDAA2</t>
  </si>
  <si>
    <t>63fcbb9ea107c871cf56810f</t>
  </si>
  <si>
    <t>MW TELECOM</t>
  </si>
  <si>
    <t>0012000000eAZkdAAG</t>
  </si>
  <si>
    <t>63fcbb97a107c871cf56747b</t>
  </si>
  <si>
    <t>MY TEL BUSINESS</t>
  </si>
  <si>
    <t>0015I0000083vq5QAA</t>
  </si>
  <si>
    <t>63fcbb9ba107c871cf567cd9</t>
  </si>
  <si>
    <t>MY TELECOM</t>
  </si>
  <si>
    <t>0015I00000WBXzWQAX</t>
  </si>
  <si>
    <t>63ced84ec5c820531c26988d</t>
  </si>
  <si>
    <t>Myriad Supply Company</t>
  </si>
  <si>
    <t>0012000000q7wwbAAA</t>
  </si>
  <si>
    <t>63ced844c5c820531c268438</t>
  </si>
  <si>
    <t>N-MARS INTERNATIONAL CO., LTD</t>
  </si>
  <si>
    <t>0012000000eAZPCAA4</t>
  </si>
  <si>
    <t>63fcbb92a107c871cf566bad</t>
  </si>
  <si>
    <t>N.M.B</t>
  </si>
  <si>
    <t>0012000000tuSKVAA2</t>
  </si>
  <si>
    <t>63fcbb87a107c871cf5657c5</t>
  </si>
  <si>
    <t>NaaS 2.0: sanity check in PROD</t>
  </si>
  <si>
    <t>nathalie.rodrigues@al-enterprise.com</t>
  </si>
  <si>
    <t>0015I00000YsXOlQAN</t>
  </si>
  <si>
    <t>63fcbb83a107c871cf565135</t>
  </si>
  <si>
    <t>NABACOM Srl</t>
  </si>
  <si>
    <t>0012000000tuSFFAA2</t>
  </si>
  <si>
    <t>63ea6e9452ad6968805cec85</t>
  </si>
  <si>
    <t>Nachrichteninstallationstechnik</t>
  </si>
  <si>
    <t>enterprise_communication_platforms, rainbow_hybrid_ucaas, lan_network</t>
  </si>
  <si>
    <t>0012000000tuSAxAAM</t>
  </si>
  <si>
    <t>63ea6e9352ad6968805cea2b</t>
  </si>
  <si>
    <t>NACHRICHTENTECHNIK BIELEFELD GmbH</t>
  </si>
  <si>
    <t>0012000000eAYlgAAG</t>
  </si>
  <si>
    <t>Nachrichtentechnik Bielefeld GmbH</t>
  </si>
  <si>
    <t>63ea6e9652ad6968805cf013</t>
  </si>
  <si>
    <t>NACHRICHTENTECHNIK PAULICK GbR</t>
  </si>
  <si>
    <t>0012000000eAYlkAAG</t>
  </si>
  <si>
    <t>63ef9d58384f27260c1ba391</t>
  </si>
  <si>
    <t>Nasstar Managed Services Group Ltd</t>
  </si>
  <si>
    <t>0012000000eAYbPAAW</t>
  </si>
  <si>
    <t>63fcbb9ba107c871cf567c5b</t>
  </si>
  <si>
    <t>NAXIOS - TECHNOLOGIE ET BUSINESS</t>
  </si>
  <si>
    <t>0015I00000GBHOnQAP</t>
  </si>
  <si>
    <t>63ef9d5e384f27260c1bad2b</t>
  </si>
  <si>
    <t>NB SERVICE SRL</t>
  </si>
  <si>
    <t>0012000000eAYlxAAG</t>
  </si>
  <si>
    <t>63fcbb94a107c871cf566f3b</t>
  </si>
  <si>
    <t>NBM-EUROPE</t>
  </si>
  <si>
    <t>0012000000eAYlzAAG</t>
  </si>
  <si>
    <t>63ef9d53384f27260c1b9d23</t>
  </si>
  <si>
    <t>NCS Pte Ltd</t>
  </si>
  <si>
    <t>0012000000eAZ97AAG</t>
  </si>
  <si>
    <t>65fd930030773b12f30cb262</t>
  </si>
  <si>
    <t>NDS Information-Telecom System Co.,</t>
  </si>
  <si>
    <t>philippe.girard@al-enterprise.com, anthony.cheng@al-enterprise.com</t>
  </si>
  <si>
    <t>0015I00000hvCBfQAM</t>
  </si>
  <si>
    <t>63ced847c5c820531c268b5e</t>
  </si>
  <si>
    <t>nds Netzwerksysteme GmbH</t>
  </si>
  <si>
    <t>0012000000tuSAuAAM</t>
  </si>
  <si>
    <t>63ef9d53384f27260c1b9d43</t>
  </si>
  <si>
    <t>NEC Asia Pacific Pte Ltd</t>
  </si>
  <si>
    <t>0012000000eu78tAAA</t>
  </si>
  <si>
    <t>63fcbb87a107c871cf56580b</t>
  </si>
  <si>
    <t>NEC Networks &amp; System Integration</t>
  </si>
  <si>
    <t>0010J00001kwivAQAQ</t>
  </si>
  <si>
    <t>67e40b1f4c8bf642980d1202</t>
  </si>
  <si>
    <t>NECSYS S.A.S.</t>
  </si>
  <si>
    <t>001SZ00000QDkhFYAT</t>
  </si>
  <si>
    <t>63ced847c5c820531c2689d8</t>
  </si>
  <si>
    <t>NEDECO LTD</t>
  </si>
  <si>
    <t>0012000000eAYm4AAG</t>
  </si>
  <si>
    <t>NEDECO Electronics Ltd</t>
  </si>
  <si>
    <t>63fcbb86a107c871cf565667</t>
  </si>
  <si>
    <t>NEMESYS ICT &amp; Telecom</t>
  </si>
  <si>
    <t>0012000000tuSEnAAM</t>
  </si>
  <si>
    <t>63fcbb9da107c871cf568005</t>
  </si>
  <si>
    <t>Neowise</t>
  </si>
  <si>
    <t>0015I00000FZY6GQAX</t>
  </si>
  <si>
    <t>63ced841c5c820531c267db7</t>
  </si>
  <si>
    <t>Nera Philippines Inc.</t>
  </si>
  <si>
    <t>0010J00001pTvzYQAS</t>
  </si>
  <si>
    <t>63ced842c5c820531c267f3d</t>
  </si>
  <si>
    <t>Nera Telecommunications Ltd</t>
  </si>
  <si>
    <t>0012000000hsMkPAAU</t>
  </si>
  <si>
    <t>63fcbb80a107c871cf564a7b</t>
  </si>
  <si>
    <t>Nesma Trading</t>
  </si>
  <si>
    <t>001200000139vV9AAI</t>
  </si>
  <si>
    <t>63fcbb8fa107c871cf5666cf</t>
  </si>
  <si>
    <t>NET4BUSINESS</t>
  </si>
  <si>
    <t>0015I00000fKYsXQAW</t>
  </si>
  <si>
    <t>684009a466c3a00d8201c607</t>
  </si>
  <si>
    <t>Netcom Bayern GmbH</t>
  </si>
  <si>
    <t>philippe.girard@al-enterprise.com, rui.silva@al-enterprise.com, hakan.adiguezel@al-enterprise.com</t>
  </si>
  <si>
    <t>001SZ00000a1BHeYAM</t>
  </si>
  <si>
    <t>63fcbb96a107c871cf567301</t>
  </si>
  <si>
    <t>NETCOM SYSTEMES</t>
  </si>
  <si>
    <t>0012000000eAYmOAAW</t>
  </si>
  <si>
    <t>63ced843c5c820531c2682c1</t>
  </si>
  <si>
    <t>NETCON TECHNOLOGIES INDIA PVT LTD</t>
  </si>
  <si>
    <t>0010J00001xnFZLQA2</t>
  </si>
  <si>
    <t>63ced84dc5c820531c269770</t>
  </si>
  <si>
    <t>Netfast Communications, Inc.</t>
  </si>
  <si>
    <t>0012000000eAZclAAG</t>
  </si>
  <si>
    <t>63ea6e9352ad6968805ceaef</t>
  </si>
  <si>
    <t>Netkom GmbH</t>
  </si>
  <si>
    <t>andreas.grossheimann@al-enterprise.com, gunther.hahn@al-enterprise.com, katrin.pfeiffer@al-enterprise.com, sibylle.klopfer@al-enterprise.com, igor.leko@al-enterprise.com</t>
  </si>
  <si>
    <t>0012000000tuS8aAAE</t>
  </si>
  <si>
    <t>63ef9d59384f27260c1ba607</t>
  </si>
  <si>
    <t>Netleaf NV</t>
  </si>
  <si>
    <t>0010J00001xlaJRQAY</t>
  </si>
  <si>
    <t>63ced845c5c820531c2685a0</t>
  </si>
  <si>
    <t>NetNordic Norway AS</t>
  </si>
  <si>
    <t>stig.hogalmen@al-enterprise.com</t>
  </si>
  <si>
    <t>NO</t>
  </si>
  <si>
    <t>0012000000eAYmJAAW</t>
  </si>
  <si>
    <t>63ea6e9652ad6968805ceefb</t>
  </si>
  <si>
    <t>NetPeppers GmbH</t>
  </si>
  <si>
    <t>andreas.grossheimann@al-enterprise.com, daniel.scheidl@al-enterprise.com, hakan.adiguezel@al-enterprise.com</t>
  </si>
  <si>
    <t>0015I0000080G3gQAE</t>
  </si>
  <si>
    <t>63ced84cc5c820531c2695ae</t>
  </si>
  <si>
    <t>NETPHONE SRL</t>
  </si>
  <si>
    <t>0012000000ohXPtAAM</t>
  </si>
  <si>
    <t>63fcbb82a107c871cf564fc9</t>
  </si>
  <si>
    <t>NETTEL</t>
  </si>
  <si>
    <t>0012000000tuSAwAAM</t>
  </si>
  <si>
    <t>63ef9d60384f27260c1bb16d</t>
  </si>
  <si>
    <t>Network Zen</t>
  </si>
  <si>
    <t>0010J00002BTsE4QAL</t>
  </si>
  <si>
    <t>63fcbb98a107c871cf567799</t>
  </si>
  <si>
    <t>NETWORTH TELECOM</t>
  </si>
  <si>
    <t>0012000000tuSHaAAM</t>
  </si>
  <si>
    <t>63fcbb84a107c871cf5652a1</t>
  </si>
  <si>
    <t>NEW PHONE</t>
  </si>
  <si>
    <t>0012000000mxJ1DAAU</t>
  </si>
  <si>
    <t>63ced844c5c820531c2684dd</t>
  </si>
  <si>
    <t>Newnet Information Technology CoLtd</t>
  </si>
  <si>
    <t>kwangjik.kim@al-enterprise.com, songhee.nam@al-enterprise.com, chunshik.shin@al-enterprise.com, jaeho.kim@al-enterprise.com</t>
  </si>
  <si>
    <t>0012000001Ow7IIAAZ</t>
  </si>
  <si>
    <t>63ced848c5c820531c268c4e</t>
  </si>
  <si>
    <t>Nexon Asia Pacific PTY LTD</t>
  </si>
  <si>
    <t>0012000000eAYn0AAG</t>
  </si>
  <si>
    <t>63ced84cc5c820531c269626</t>
  </si>
  <si>
    <t>NEXT TELECOMUNICAZIONI SRL</t>
  </si>
  <si>
    <t>0012000000zxgDRAAY</t>
  </si>
  <si>
    <t>63fcbb8da107c871cf5663b1</t>
  </si>
  <si>
    <t>NextiraOne - AJACCIO</t>
  </si>
  <si>
    <t>dominique.delarme@al-enterprise.com</t>
  </si>
  <si>
    <t>0012000000eAZSCAA4</t>
  </si>
  <si>
    <t>NXO - AJACCIO</t>
  </si>
  <si>
    <t>63fcbb8da107c871cf566387</t>
  </si>
  <si>
    <t>NextiraOne - Amiens</t>
  </si>
  <si>
    <t>0012000000eAZS9AAO</t>
  </si>
  <si>
    <t>NXO - Amiens</t>
  </si>
  <si>
    <t>63fcbb8da107c871cf5662fb</t>
  </si>
  <si>
    <t>NextiraOne - Angers</t>
  </si>
  <si>
    <t>0012000000eAZRoAAO</t>
  </si>
  <si>
    <t>NXO - Angers</t>
  </si>
  <si>
    <t>63fcbb8da107c871cf566413</t>
  </si>
  <si>
    <t>NextiraOne - Annecy</t>
  </si>
  <si>
    <t>0012000000eAZSKAA4</t>
  </si>
  <si>
    <t>NXO - Annecy</t>
  </si>
  <si>
    <t>63fcbb8da107c871cf566379</t>
  </si>
  <si>
    <t>NextiraOne - BASTIA</t>
  </si>
  <si>
    <t>0012000000eAZS8AAO</t>
  </si>
  <si>
    <t>NXO - BASTIA</t>
  </si>
  <si>
    <t>63fcbb8ea107c871cf5664f3</t>
  </si>
  <si>
    <t>NextiraOne - Bayonne</t>
  </si>
  <si>
    <t>0012000000eAZSbAAO</t>
  </si>
  <si>
    <t>NXO - Bayonne</t>
  </si>
  <si>
    <t>63fcbb8ea107c871cf5664ad</t>
  </si>
  <si>
    <t>NextiraOne - Besancon</t>
  </si>
  <si>
    <t>0012000000eAZSWAA4</t>
  </si>
  <si>
    <t>NXO - Besançon</t>
  </si>
  <si>
    <t>63fcbb8da107c871cf566325</t>
  </si>
  <si>
    <t>NextiraOne - Bordeaux</t>
  </si>
  <si>
    <t>0012000000eAZRzAAO</t>
  </si>
  <si>
    <t>NXO - Bordeaux</t>
  </si>
  <si>
    <t>63fcbb8da107c871cf566405</t>
  </si>
  <si>
    <t>NextiraOne - Brest</t>
  </si>
  <si>
    <t>0012000000eAZSJAA4</t>
  </si>
  <si>
    <t>NXO - Brest</t>
  </si>
  <si>
    <t>63fcbb8ea107c871cf5664c9</t>
  </si>
  <si>
    <t>NextiraOne - Brive La Gaillarde</t>
  </si>
  <si>
    <t>0012000000eAZSYAA4</t>
  </si>
  <si>
    <t>NXO - Brive La Gaillarde</t>
  </si>
  <si>
    <t>63fcbb8da107c871cf5663cd</t>
  </si>
  <si>
    <t>NextiraOne - Caen</t>
  </si>
  <si>
    <t>0012000000eAZSEAA4</t>
  </si>
  <si>
    <t>NXO - Caen</t>
  </si>
  <si>
    <t>63fcbb8ea107c871cf56649f</t>
  </si>
  <si>
    <t>NextiraOne - Chalon-sur-Saone</t>
  </si>
  <si>
    <t>0012000000eAZSVAA4</t>
  </si>
  <si>
    <t>NXO - Chalon-sur-Saône</t>
  </si>
  <si>
    <t>63fcbb8da107c871cf566459</t>
  </si>
  <si>
    <t>NextiraOne - Chambery</t>
  </si>
  <si>
    <t>0012000000eAZSQAA4</t>
  </si>
  <si>
    <t>NXO - Chambéry</t>
  </si>
  <si>
    <t>63fcbb8da107c871cf56644b</t>
  </si>
  <si>
    <t>NextiraOne - Clermont-Ferrand</t>
  </si>
  <si>
    <t>0012000000eAZSPAA4</t>
  </si>
  <si>
    <t>NXO - Clermont-Ferrand</t>
  </si>
  <si>
    <t>63fcbb8da107c871cf566421</t>
  </si>
  <si>
    <t>NextiraOne - Dijon</t>
  </si>
  <si>
    <t>0012000000eAZSLAA4</t>
  </si>
  <si>
    <t>NXO - Dijon</t>
  </si>
  <si>
    <t>63fcbb8ea107c871cf566491</t>
  </si>
  <si>
    <t>NextiraOne - Epinal</t>
  </si>
  <si>
    <t>0012000000eAZSUAA4</t>
  </si>
  <si>
    <t>NXO - Epinal</t>
  </si>
  <si>
    <t>63fcbb8da107c871cf5663bf</t>
  </si>
  <si>
    <t>NextiraOne - Grenoble</t>
  </si>
  <si>
    <t>0012000000eAZSDAA4</t>
  </si>
  <si>
    <t>NXO - Grenoble</t>
  </si>
  <si>
    <t>63fcbb8da107c871cf5662b5</t>
  </si>
  <si>
    <t>NextiraOne - Ile de France</t>
  </si>
  <si>
    <t>0012000000eAZRyAAO</t>
  </si>
  <si>
    <t>NXO - Ile de France</t>
  </si>
  <si>
    <t>63fcbb8ea107c871cf5664bb</t>
  </si>
  <si>
    <t>NextiraOne - La Rochelle</t>
  </si>
  <si>
    <t>0012000000eAZSXAA4</t>
  </si>
  <si>
    <t>NXO- La Rochelle</t>
  </si>
  <si>
    <t>63fcbb8da107c871cf5662ed</t>
  </si>
  <si>
    <t>NextiraOne - Lille</t>
  </si>
  <si>
    <t>0012000000eAZSOAA4</t>
  </si>
  <si>
    <t>NXO - Lille</t>
  </si>
  <si>
    <t>63fcbb8ea107c871cf5664e5</t>
  </si>
  <si>
    <t>NextiraOne - Limoges</t>
  </si>
  <si>
    <t>0012000000eAZSaAAO</t>
  </si>
  <si>
    <t>NXO - Limoges</t>
  </si>
  <si>
    <t>63fcbb8da107c871cf5663a3</t>
  </si>
  <si>
    <t>NextiraOne - Lyon</t>
  </si>
  <si>
    <t>0012000000eAZSBAA4</t>
  </si>
  <si>
    <t>NXO - Lyon</t>
  </si>
  <si>
    <t>63fcbb8da107c871cf566309</t>
  </si>
  <si>
    <t>NextiraOne - Mans</t>
  </si>
  <si>
    <t>0012000000eAZRpAAO</t>
  </si>
  <si>
    <t>NXO - Mans</t>
  </si>
  <si>
    <t>63fcbb8da107c871cf56636b</t>
  </si>
  <si>
    <t>NextiraOne - MARSEILLE</t>
  </si>
  <si>
    <t>0012000000eAZS4AAO</t>
  </si>
  <si>
    <t>NXO- MARSEILLE</t>
  </si>
  <si>
    <t>63fcbb8ea107c871cf566483</t>
  </si>
  <si>
    <t>NextiraOne - Metz</t>
  </si>
  <si>
    <t>0012000000eAZSTAA4</t>
  </si>
  <si>
    <t>NXO - Metz</t>
  </si>
  <si>
    <t>63fcbb8da107c871cf56635d</t>
  </si>
  <si>
    <t>NextiraOne - MONTPELLIER</t>
  </si>
  <si>
    <t>0012000000eAZS3AAO</t>
  </si>
  <si>
    <t>NXO - MONTPELLIER</t>
  </si>
  <si>
    <t>63fcbb8ea107c871cf566475</t>
  </si>
  <si>
    <t>NextiraOne - Nancy</t>
  </si>
  <si>
    <t>0012000000eAZSSAA4</t>
  </si>
  <si>
    <t>NXO - Nancy</t>
  </si>
  <si>
    <t>63fcbb8da107c871cf5663f7</t>
  </si>
  <si>
    <t>NextiraOne - Nantes</t>
  </si>
  <si>
    <t>0012000000eAZSIAA4</t>
  </si>
  <si>
    <t>NXO - Nantes</t>
  </si>
  <si>
    <t>63fcbb8da107c871cf566341</t>
  </si>
  <si>
    <t>NextiraOne - NICE</t>
  </si>
  <si>
    <t>0012000000eAZS1AAO</t>
  </si>
  <si>
    <t>NXO - NICE</t>
  </si>
  <si>
    <t>63fcbb8da107c871cf566317</t>
  </si>
  <si>
    <t>NextiraOne - Niort</t>
  </si>
  <si>
    <t>0012000000eAZRwAAO</t>
  </si>
  <si>
    <t>NXO - Niort</t>
  </si>
  <si>
    <t>63fcbb8da107c871cf5663db</t>
  </si>
  <si>
    <t>NextiraOne - Orleans</t>
  </si>
  <si>
    <t>0012000000eAZSFAA4</t>
  </si>
  <si>
    <t>NXO - Orléans</t>
  </si>
  <si>
    <t>63fcbb8da107c871cf566333</t>
  </si>
  <si>
    <t>NextiraOne - PERPIGNAN</t>
  </si>
  <si>
    <t>0012000000eAZS0AAO</t>
  </si>
  <si>
    <t>NXO - PERPIGNAN</t>
  </si>
  <si>
    <t>63fcbb8ea107c871cf5664d7</t>
  </si>
  <si>
    <t>NextiraOne - Poitiers</t>
  </si>
  <si>
    <t>0012000000eAZSZAA4</t>
  </si>
  <si>
    <t>NXO - Poitiers</t>
  </si>
  <si>
    <t>63fcbb8da107c871cf56643d</t>
  </si>
  <si>
    <t>NextiraOne - Reims</t>
  </si>
  <si>
    <t>0012000000eAZSNAA4</t>
  </si>
  <si>
    <t>NXO - Reims</t>
  </si>
  <si>
    <t>63fcbb8da107c871cf5663e9</t>
  </si>
  <si>
    <t>NextiraOne - Rennes</t>
  </si>
  <si>
    <t>0012000000eAZSHAA4</t>
  </si>
  <si>
    <t>NXO - Rennes</t>
  </si>
  <si>
    <t>63fcbb8da107c871cf56642f</t>
  </si>
  <si>
    <t>NextiraOne - Rouen</t>
  </si>
  <si>
    <t>0012000000eAZSMAA4</t>
  </si>
  <si>
    <t>NXO - Rouen</t>
  </si>
  <si>
    <t>63fcbb8da107c871cf566395</t>
  </si>
  <si>
    <t>NextiraOne - Saint-Etienne</t>
  </si>
  <si>
    <t>0012000000eAZSAAA4</t>
  </si>
  <si>
    <t>NXO - Saint-Etienne</t>
  </si>
  <si>
    <t>63fcbb8da107c871cf566467</t>
  </si>
  <si>
    <t>NextiraOne - Strasbourg</t>
  </si>
  <si>
    <t>0012000000eAZSRAA4</t>
  </si>
  <si>
    <t>NXO - Strasbourg</t>
  </si>
  <si>
    <t>63fcbb8da107c871cf56634f</t>
  </si>
  <si>
    <t>NextiraOne - TOULON</t>
  </si>
  <si>
    <t>0012000000eAZS2AAO</t>
  </si>
  <si>
    <t>NXO - TOULON</t>
  </si>
  <si>
    <t>63fcbb8da107c871cf5662d1</t>
  </si>
  <si>
    <t>NextiraOne - Toulouse</t>
  </si>
  <si>
    <t>0012000000eAZRxAAO</t>
  </si>
  <si>
    <t>NXO - Toulouse</t>
  </si>
  <si>
    <t>63fcbb8da107c871cf5662df</t>
  </si>
  <si>
    <t>NextiraOne - Tours</t>
  </si>
  <si>
    <t>0012000000eAZSGAA4</t>
  </si>
  <si>
    <t>NXO - Tours</t>
  </si>
  <si>
    <t>63fcbb97a107c871cf56754d</t>
  </si>
  <si>
    <t>NextiraOne ANTILLES GUYANE SAS</t>
  </si>
  <si>
    <t>0012000000eAYn6AAG</t>
  </si>
  <si>
    <t>63fcbb98a107c871cf567649</t>
  </si>
  <si>
    <t>NextiraOne OCEAN INDIEN</t>
  </si>
  <si>
    <t>0012000000eAYnIAAW</t>
  </si>
  <si>
    <t>NXO - OCEAN INDIEN</t>
  </si>
  <si>
    <t>63fcbb9aa107c871cf567b51</t>
  </si>
  <si>
    <t>NEXTPHONE</t>
  </si>
  <si>
    <t>0012000001DKDIWAA5</t>
  </si>
  <si>
    <t>682f42de4e91960581052be2</t>
  </si>
  <si>
    <t>NEXUS TECHNOLOGY S.A.</t>
  </si>
  <si>
    <t>001SZ00000J148HYAR</t>
  </si>
  <si>
    <t>63fcbb96a107c871cf5673a9</t>
  </si>
  <si>
    <t>NEYRIAL INFORMATIQUE</t>
  </si>
  <si>
    <t>0012000000tuSIQAA2</t>
  </si>
  <si>
    <t>63fcbb82a107c871cf564e6b</t>
  </si>
  <si>
    <t>NGE Polska Sp. z o.o.</t>
  </si>
  <si>
    <t>0015I000009FvZ3QAK</t>
  </si>
  <si>
    <t>63fcbb7fa107c871cf5648bb</t>
  </si>
  <si>
    <t>NIC-Solutions IT GmbH</t>
  </si>
  <si>
    <t>0015I00000WCBCfQAP</t>
  </si>
  <si>
    <t>63fcbb9ea107c871cf5680bb</t>
  </si>
  <si>
    <t>NIORT FRERES COMMUNICATIONS</t>
  </si>
  <si>
    <t>0010J00001mRZ4jQAG</t>
  </si>
  <si>
    <t>NFcom</t>
  </si>
  <si>
    <t>63fcbb85a107c871cf565509</t>
  </si>
  <si>
    <t>NLS</t>
  </si>
  <si>
    <t>0015I00000OfN2NQAV</t>
  </si>
  <si>
    <t>63ced844c5c820531c26850a</t>
  </si>
  <si>
    <t>NNSP Co.,Ltd</t>
  </si>
  <si>
    <t>0012000001fKjRtAAK</t>
  </si>
  <si>
    <t>63fcbb9fa107c871cf56825f</t>
  </si>
  <si>
    <t>NODICOM</t>
  </si>
  <si>
    <t>0012000000tvKE4AAM</t>
  </si>
  <si>
    <t>63ced843c5c820531c268258</t>
  </si>
  <si>
    <t>NOKIA</t>
  </si>
  <si>
    <t>emmanuel.puiseux@al-enterprise.com</t>
  </si>
  <si>
    <t>0012000000mxJ3qAAE</t>
  </si>
  <si>
    <t>63ef9d54384f27260c1b9f85</t>
  </si>
  <si>
    <t>NOKIA - INTERNAL NEEDS FOR LABS</t>
  </si>
  <si>
    <t>0012000000eAYLxAAO</t>
  </si>
  <si>
    <t>63ced848c5c820531c268d6b</t>
  </si>
  <si>
    <t>Nokia of America Corporation</t>
  </si>
  <si>
    <t>aaron.cole@al-enterprise.com</t>
  </si>
  <si>
    <t>0012000001ZPFOiAAP</t>
  </si>
  <si>
    <t>63fcbb89a107c871cf565b1b</t>
  </si>
  <si>
    <t>Nomosphere</t>
  </si>
  <si>
    <t>0010J000023s4FPQAY</t>
  </si>
  <si>
    <t>63fcbb87a107c871cf565755</t>
  </si>
  <si>
    <t>Nonius2S Hospitality Technology Spa</t>
  </si>
  <si>
    <t>0010J00001ytrCQQAY</t>
  </si>
  <si>
    <t>63fcbb8aa107c871cf565dd7</t>
  </si>
  <si>
    <t>NOREST TELECOM</t>
  </si>
  <si>
    <t>00120000013qYS7AAM</t>
  </si>
  <si>
    <t>63fcbb9ba107c871cf567beb</t>
  </si>
  <si>
    <t>NORETTES COMUNICATION</t>
  </si>
  <si>
    <t>0012000001icZ0mAAE</t>
  </si>
  <si>
    <t>63ced846c5c820531c26896f</t>
  </si>
  <si>
    <t>North American Cable Equipment, Inc</t>
  </si>
  <si>
    <t>0010J00001lW5Q9QAK</t>
  </si>
  <si>
    <t>63fcbb81a107c871cf564d53</t>
  </si>
  <si>
    <t>Nos Communicare Ltd</t>
  </si>
  <si>
    <t>0012000001aKpgwAAC</t>
  </si>
  <si>
    <t>63fcbb9ea107c871cf5681c5</t>
  </si>
  <si>
    <t>NOTICOM</t>
  </si>
  <si>
    <t>0012000001WP4JrAAL</t>
  </si>
  <si>
    <t>63fcbb95a107c871cf5670df</t>
  </si>
  <si>
    <t>NOVALINK</t>
  </si>
  <si>
    <t>0012000001ZPEpLAAX</t>
  </si>
  <si>
    <t>63ced84ec5c820531c2699d7</t>
  </si>
  <si>
    <t>Novatech, Inc.</t>
  </si>
  <si>
    <t>0012000001HM23IAAT</t>
  </si>
  <si>
    <t>63fcbb9ba107c871cf567c31</t>
  </si>
  <si>
    <t>Novatell Solutions</t>
  </si>
  <si>
    <t>0015I000009FySAQA0</t>
  </si>
  <si>
    <t>63fcbb89a107c871cf565c17</t>
  </si>
  <si>
    <t>NOVELCOM</t>
  </si>
  <si>
    <t>0015I00000Zst79QAB</t>
  </si>
  <si>
    <t>63fcbb9fa107c871cf5682b3</t>
  </si>
  <si>
    <t>NOVinfo</t>
  </si>
  <si>
    <t>0015I00000bB3CvQAK</t>
  </si>
  <si>
    <t>63fcbb8aa107c871cf565e39</t>
  </si>
  <si>
    <t>NP SOLUTIONS</t>
  </si>
  <si>
    <t>0015I00000QRDISQA5</t>
  </si>
  <si>
    <t>63fcbb99a107c871cf567841</t>
  </si>
  <si>
    <t>NS PARTNER</t>
  </si>
  <si>
    <t>0012000001RE8xzAAD</t>
  </si>
  <si>
    <t>63fcbb90a107c871cf56688f</t>
  </si>
  <si>
    <t>NS SERVICES</t>
  </si>
  <si>
    <t>0010J00001qmRINQA2</t>
  </si>
  <si>
    <t>63fcbb9da107c871cf568091</t>
  </si>
  <si>
    <t>NT NEGOCE</t>
  </si>
  <si>
    <t>0015I00000h59uiQAA</t>
  </si>
  <si>
    <t>63ea6e9552ad6968805ced73</t>
  </si>
  <si>
    <t>NT-Schulze GmbH</t>
  </si>
  <si>
    <t>0012000000tuSCUAA2</t>
  </si>
  <si>
    <t>63ced841c5c820531c267f1f</t>
  </si>
  <si>
    <t>NTEGRATOR PTE LTD</t>
  </si>
  <si>
    <t>0012000000eAYntAAG</t>
  </si>
  <si>
    <t>63fcbb83a107c871cf56516d</t>
  </si>
  <si>
    <t>NTIC PEYROUTET TELECOM</t>
  </si>
  <si>
    <t>0012000000tvKEVAA2</t>
  </si>
  <si>
    <t>63fcbb7da107c871cf564661</t>
  </si>
  <si>
    <t>NTT AUSTRALIA PTY LTD</t>
  </si>
  <si>
    <t>nextiraone</t>
  </si>
  <si>
    <t>0012000000eu7iPAAQ</t>
  </si>
  <si>
    <t>63ef9d62384f27260c1bb4cd</t>
  </si>
  <si>
    <t>NTT Belgium NV/SA</t>
  </si>
  <si>
    <t>tom.van-uffelen@al-enterprise.com, xavier.dupuis@al-enterprise.com</t>
  </si>
  <si>
    <t>accredited_partner</t>
  </si>
  <si>
    <t>0012000000fJNoNAAW</t>
  </si>
  <si>
    <t>63ef9d62384f27260c1bb48d</t>
  </si>
  <si>
    <t>NTT Czech Republic s.r.o</t>
  </si>
  <si>
    <t>0012000000eAYn8AAG</t>
  </si>
  <si>
    <t>63fcbb87a107c871cf5657b7</t>
  </si>
  <si>
    <t>NTT France</t>
  </si>
  <si>
    <t>0012000000eAYWmAAO</t>
  </si>
  <si>
    <t>63ea6e9352ad6968805cea39</t>
  </si>
  <si>
    <t>NTT Germany AG &amp; Co. KG</t>
  </si>
  <si>
    <t>marius.istel@al-enterprise.com, thomas.araia@al-enterprise.com, katrin.pfeiffer@al-enterprise.com, sibylle.klopfer@al-enterprise.com, igor.leko@al-enterprise.com</t>
  </si>
  <si>
    <t>0012000000eAYn9AAG</t>
  </si>
  <si>
    <t>63ced842c5c820531c26811d</t>
  </si>
  <si>
    <t>NTT Hungary Ltd.</t>
  </si>
  <si>
    <t>miloslav.kapes@al-enterprise.com</t>
  </si>
  <si>
    <t>HU</t>
  </si>
  <si>
    <t>0012000000eAYnBAAW</t>
  </si>
  <si>
    <t>63fcbb82a107c871cf564f21</t>
  </si>
  <si>
    <t>NTT India Pvt Ltd</t>
  </si>
  <si>
    <t>0010J0000299ThkQAE</t>
  </si>
  <si>
    <t>63ef9d62384f27260c1bb4ed</t>
  </si>
  <si>
    <t>NTT Ireland Limited</t>
  </si>
  <si>
    <t>0012000000eAYnDAAW</t>
  </si>
  <si>
    <t>6411c79b373adf1cc246dfd3</t>
  </si>
  <si>
    <t>NTT Italia S.p.A.</t>
  </si>
  <si>
    <t>0012000000eAYWnAAO</t>
  </si>
  <si>
    <t>63fcbb7da107c871cf564565</t>
  </si>
  <si>
    <t>NTT Ltd Commerce Centre</t>
  </si>
  <si>
    <t>0015I0000060no3QAA</t>
  </si>
  <si>
    <t>63fcbb87a107c871cf5657a9</t>
  </si>
  <si>
    <t>NTT Luxembourg PSF SA</t>
  </si>
  <si>
    <t>xavier.dupuis@al-enterprise.com</t>
  </si>
  <si>
    <t>LU</t>
  </si>
  <si>
    <t>00120000018vP6RAAU</t>
  </si>
  <si>
    <t>63fcbb87a107c871cf565771</t>
  </si>
  <si>
    <t>NTT Netherlands BV</t>
  </si>
  <si>
    <t>0012000000eAYnGAAW</t>
  </si>
  <si>
    <t>63ef9d62384f27260c1bb4ad</t>
  </si>
  <si>
    <t>NTT Netherlands Holdings B.V.</t>
  </si>
  <si>
    <t>jaimy.buiks@al-enterprise.com, paola.pernigotti@al-enterprise.com, frank.van-spanje@al-enterprise.com</t>
  </si>
  <si>
    <t>0012000001G9dYqAAJ</t>
  </si>
  <si>
    <t>63fcbb7da107c871cf5645b9</t>
  </si>
  <si>
    <t>NTT Philippines Solutions Inc.</t>
  </si>
  <si>
    <t>0015I00000825qVQAQ</t>
  </si>
  <si>
    <t>63fcbb7ea107c871cf5647a3</t>
  </si>
  <si>
    <t>NTT Poland sp. z o.o.</t>
  </si>
  <si>
    <t>krystian.sokalski@al-enterprise.com, laurent.paterac@al-enterprise.com, michal.adamczyk@al-enterprise.com, bartosz.rembecki@al-enterprise.com</t>
  </si>
  <si>
    <t>0012000000eAYnJAAW</t>
  </si>
  <si>
    <t>63fcbb87a107c871cf56585f</t>
  </si>
  <si>
    <t>NTT Poland sp. z o.o. (Carrier)</t>
  </si>
  <si>
    <t>krystian.sokalski@al-enterprise.com, laurent.paterac@al-enterprise.com, michal.adamczyk@al-enterprise.com</t>
  </si>
  <si>
    <t>0012000000mxIuAAAU</t>
  </si>
  <si>
    <t>63ced842c5c820531c267f5b</t>
  </si>
  <si>
    <t>NTT Singapore Pte Ltd</t>
  </si>
  <si>
    <t>0012000000myZniAAE</t>
  </si>
  <si>
    <t>63ef9d62384f27260c1bb46d</t>
  </si>
  <si>
    <t>NTT Slovakia s.r.o.</t>
  </si>
  <si>
    <t>enterprise_communication_platforms, lan_network</t>
  </si>
  <si>
    <t>0012000000eAYnLAAW</t>
  </si>
  <si>
    <t>63ef9d62384f27260c1bb50f</t>
  </si>
  <si>
    <t>NTT SPAIN INTELLIGENT TECHNOLOGIES AND SERVICES S.L.</t>
  </si>
  <si>
    <t>0012000000eAYMDAA4</t>
  </si>
  <si>
    <t>NTT SPAIN INTELLIGENT TECHNOLOGIES</t>
  </si>
  <si>
    <t>63ef9d62384f27260c1bb52f</t>
  </si>
  <si>
    <t>NTT United Kingdom Limited</t>
  </si>
  <si>
    <t>0012000000eAYnNAAW</t>
  </si>
  <si>
    <t>63fcbb90a107c871cf5668e3</t>
  </si>
  <si>
    <t>NUMERI WAN</t>
  </si>
  <si>
    <t>00120000013qYS5AAM</t>
  </si>
  <si>
    <t>63fcbb96a107c871cf56737f</t>
  </si>
  <si>
    <t>NUMESIS TELECOM</t>
  </si>
  <si>
    <t>0012000000tuSGpAAM</t>
  </si>
  <si>
    <t>633db8eb48bd86081331f4e2</t>
  </si>
  <si>
    <t>Nuvias B.V.</t>
  </si>
  <si>
    <t>joakim.ahrens@al-enterprise.com, jaimy.buiks@al-enterprise.com, frank.van-spanje@al-enterprise.com, christopher.weyell@al-enterprise.com</t>
  </si>
  <si>
    <t>0015I00000Ztn9tQAB</t>
  </si>
  <si>
    <t>63ced84ac5c820531c269077</t>
  </si>
  <si>
    <t>Nuvias Global Services Limited</t>
  </si>
  <si>
    <t>0015I00000Ztm01QAB</t>
  </si>
  <si>
    <t>63fcbb87a107c871cf56578d</t>
  </si>
  <si>
    <t>Nuvias Group Limited</t>
  </si>
  <si>
    <t>0015I00000Ztm00QAB</t>
  </si>
  <si>
    <t>63ced84ac5c820531c26904a</t>
  </si>
  <si>
    <t>Nuvola Distribution Limited</t>
  </si>
  <si>
    <t>00120000014R6UJAA0</t>
  </si>
  <si>
    <t>63ef9d56384f27260c1ba1cd</t>
  </si>
  <si>
    <t>Nuvola Ireland Limited</t>
  </si>
  <si>
    <t>nick.milnes@al-enterprise.com</t>
  </si>
  <si>
    <t>0010J000025rt4nQAA</t>
  </si>
  <si>
    <t>63ced842c5c820531c26803c</t>
  </si>
  <si>
    <t>NXO France SAS</t>
  </si>
  <si>
    <t>philippe.girard@al-enterprise.com, dominique.delarme@al-enterprise.com, bernard.jezequel@al-enterprise.com, souad.habach@al-enterprise.com, christianmorelli@ale-enterprise.com</t>
  </si>
  <si>
    <t>0012000000eAYnAAAW</t>
  </si>
  <si>
    <t>66ec33936fbf39715e08c8a2</t>
  </si>
  <si>
    <t>O'Connor's Engineering Sdn Bhd</t>
  </si>
  <si>
    <t>001SZ00000HqUZrYAN</t>
  </si>
  <si>
    <t>63fcbb8ea107c871cf5665ef</t>
  </si>
  <si>
    <t>O2.0 Centre</t>
  </si>
  <si>
    <t>0012000000tuSEtAAM</t>
  </si>
  <si>
    <t>63fcbb8ba107c871cf566093</t>
  </si>
  <si>
    <t>OCCICOM</t>
  </si>
  <si>
    <t>0012000001V7fIIAAZ</t>
  </si>
  <si>
    <t>63fcbb8aa107c871cf565e8d</t>
  </si>
  <si>
    <t>OCI</t>
  </si>
  <si>
    <t>0015I00000gJEMNQA4</t>
  </si>
  <si>
    <t>63ced84fc5c820531c269a8b</t>
  </si>
  <si>
    <t>Ockers Company Inc</t>
  </si>
  <si>
    <t>0012000001GwBM8AAN</t>
  </si>
  <si>
    <t>65d8b50ab28ae162380faf33</t>
  </si>
  <si>
    <t>OCTAVIOUS COMMUNICATIONS LTD</t>
  </si>
  <si>
    <t>laurent.dolle@al-enterprise.com, philippe.girard@al-enterprise.com, rui.silva@al-enterprise.com, laurent.paterac@al-enterprise.com, yankel.ayash@al-enterprise.com, ronen.tsarfati@al-enterprise.com</t>
  </si>
  <si>
    <t>0015I00000kxYMBQA2</t>
  </si>
  <si>
    <t>63fcbb8ea107c871cf56660b</t>
  </si>
  <si>
    <t>ODENA</t>
  </si>
  <si>
    <t>0012000000tvKEoAAM</t>
  </si>
  <si>
    <t>63fcbb9aa107c871cf567aa9</t>
  </si>
  <si>
    <t>ODITINFO</t>
  </si>
  <si>
    <t>0012000000mxItIAAU</t>
  </si>
  <si>
    <t>63fcbb83a107c871cf56515f</t>
  </si>
  <si>
    <t>OELIS</t>
  </si>
  <si>
    <t>0012000000mxIqAAAU</t>
  </si>
  <si>
    <t>63fcbb81a107c871cf564cf1</t>
  </si>
  <si>
    <t>OFFICE EASY</t>
  </si>
  <si>
    <t>0012000000ohXSuAAM</t>
  </si>
  <si>
    <t>63fcbb8fa107c871cf566643</t>
  </si>
  <si>
    <t>OGTELECOM</t>
  </si>
  <si>
    <t>0012000001BWoKCAA1</t>
  </si>
  <si>
    <t>63ced849c5c820531c268e1f</t>
  </si>
  <si>
    <t>OLIBRAS TELECOMUNICACOES LTDA</t>
  </si>
  <si>
    <t>0012000000eAYoBAAW</t>
  </si>
  <si>
    <t>63ced845c5c820531c268627</t>
  </si>
  <si>
    <t>OMAN INTERNATIONAL</t>
  </si>
  <si>
    <t>0012000000eAYoAAAW</t>
  </si>
  <si>
    <t>63ced84ac5c820531c269149</t>
  </si>
  <si>
    <t>Omni Comm (Vietnam) Pte Ltd</t>
  </si>
  <si>
    <t>0012000000eAZapAAG</t>
  </si>
  <si>
    <t>63fcbb8aa107c871cf565e1d</t>
  </si>
  <si>
    <t>OMNI ELECTRICITE SAS</t>
  </si>
  <si>
    <t>0012000001W8LsyAAF</t>
  </si>
  <si>
    <t>63ced841c5c820531c267f10</t>
  </si>
  <si>
    <t>Omni-Comm Pte Ltd</t>
  </si>
  <si>
    <t>0012000000eAYoDAAW</t>
  </si>
  <si>
    <t>63fcbb87a107c871cf56579b</t>
  </si>
  <si>
    <t>Omni-Health Pte Ltd</t>
  </si>
  <si>
    <t>0015I00000bAGeTQAW</t>
  </si>
  <si>
    <t>63fcbb93a107c871cf566ddd</t>
  </si>
  <si>
    <t>OMNICOM</t>
  </si>
  <si>
    <t>0012000000ohXUWAA2</t>
  </si>
  <si>
    <t>6793a788a83db5ca61051f32</t>
  </si>
  <si>
    <t>Omniconnect Co. Ltd.</t>
  </si>
  <si>
    <t>001SZ000009XC5FYAW</t>
  </si>
  <si>
    <t>63fcbb8aa107c871cf565d21</t>
  </si>
  <si>
    <t>Omnicyan</t>
  </si>
  <si>
    <t>0012000001fIC7XAAW</t>
  </si>
  <si>
    <t>63ced844c5c820531c2683a2</t>
  </si>
  <si>
    <t>OmniTech Corp</t>
  </si>
  <si>
    <t>0012000000eAZVJAA4</t>
  </si>
  <si>
    <t>63ef9d5e384f27260c1baeab</t>
  </si>
  <si>
    <t>OMR INFOGERANCE</t>
  </si>
  <si>
    <t>0010J000023s4FZQAY</t>
  </si>
  <si>
    <t>63ced843c5c820531c268195</t>
  </si>
  <si>
    <t>One Linea Telecom Ltda</t>
  </si>
  <si>
    <t>0012000000eAZ9PAAW</t>
  </si>
  <si>
    <t>63ef9d5d384f27260c1bac45</t>
  </si>
  <si>
    <t>ONE OPERATEUR</t>
  </si>
  <si>
    <t>00120000016bnzpAAA</t>
  </si>
  <si>
    <t>63fcbb85a107c871cf565437</t>
  </si>
  <si>
    <t>One partner</t>
  </si>
  <si>
    <t>0010J00001lzNBcQAM</t>
  </si>
  <si>
    <t>63ced844c5c820531c268384</t>
  </si>
  <si>
    <t>One Technologies Corporation</t>
  </si>
  <si>
    <t>0012000000tvKcvAAE</t>
  </si>
  <si>
    <t>665ec7086c1c55330f00b552</t>
  </si>
  <si>
    <t>One-Net Communications Pte Ltd</t>
  </si>
  <si>
    <t>001SZ00000AV9xJYAT</t>
  </si>
  <si>
    <t>63ef9d5c384f27260c1bab25</t>
  </si>
  <si>
    <t>ONEDIRECT</t>
  </si>
  <si>
    <t>philippe.girard@al-enterprise.com, david.gremaud@al-enterprise.com, catherine.dauvergne@al-enterprise.com</t>
  </si>
  <si>
    <t>0012000000tvKZvAAM</t>
  </si>
  <si>
    <t>63fcbb84a107c871cf5652e7</t>
  </si>
  <si>
    <t>OpenEdge Communications, LLC</t>
  </si>
  <si>
    <t>0010J00001xlfJwQAI</t>
  </si>
  <si>
    <t>63ced84bc5c820531c2692ed</t>
  </si>
  <si>
    <t>OpenIP</t>
  </si>
  <si>
    <t>jean-christophe.antoine@al-enterprise.com</t>
  </si>
  <si>
    <t>0012000000mxInmAAE</t>
  </si>
  <si>
    <t>63fcbb91a107c871cf566aa3</t>
  </si>
  <si>
    <t>OPENRESO</t>
  </si>
  <si>
    <t>0010J00001vH1lqQAC</t>
  </si>
  <si>
    <t>63fcbb9ba107c871cf567ca1</t>
  </si>
  <si>
    <t>OPENTEAM</t>
  </si>
  <si>
    <t>0015I00000OgaWwQAJ</t>
  </si>
  <si>
    <t>63ef9d60384f27260c1bb0ed</t>
  </si>
  <si>
    <t>Opt SRL Soluzioni Tecnologiche</t>
  </si>
  <si>
    <t>0012000000eAYoNAAW</t>
  </si>
  <si>
    <t>63ced84dc5c820531c269815</t>
  </si>
  <si>
    <t>Optel BCS, Inc.</t>
  </si>
  <si>
    <t>brendan.flaherty@al-enterprise.com, michael-j.francis@al-enterprise.com, Steve.roos@al-enterprise.com, jack.jachner@al-enterprise.com</t>
  </si>
  <si>
    <t>0012000000mwFpmAAE</t>
  </si>
  <si>
    <t>63fcbb96a107c871cf56732b</t>
  </si>
  <si>
    <t>OPTIMUM</t>
  </si>
  <si>
    <t>0012000000eAZR6AAO</t>
  </si>
  <si>
    <t>63ef9d5b384f27260c1ba8db</t>
  </si>
  <si>
    <t>Optimus Telecom</t>
  </si>
  <si>
    <t>0012000000ohXTeAAM</t>
  </si>
  <si>
    <t>63fcbb97a107c871cf567497</t>
  </si>
  <si>
    <t>OPTIONS TELECOM</t>
  </si>
  <si>
    <t>0015I00000KisnfQAB</t>
  </si>
  <si>
    <t>63fcbb97a107c871cf5675bd</t>
  </si>
  <si>
    <t>OR TEL</t>
  </si>
  <si>
    <t>0010J000020J8pTQAS</t>
  </si>
  <si>
    <t>63ced843c5c820531c268276</t>
  </si>
  <si>
    <t>Orange Business Services India</t>
  </si>
  <si>
    <t>0012000000eAZVoAAO</t>
  </si>
  <si>
    <t>63ced842c5c820531c267fa6</t>
  </si>
  <si>
    <t>Orange Business Services Internat.</t>
  </si>
  <si>
    <t>jean-philippe.primard@al-enterprise.com</t>
  </si>
  <si>
    <t>0012000000fJOW3AAO</t>
  </si>
  <si>
    <t>63ced847c5c820531c268ab9</t>
  </si>
  <si>
    <t>Orange Polska S.A</t>
  </si>
  <si>
    <t>krystian.sokalski@al-enterprise.com, laurent.paterac@al-enterprise.com, bartosz.rembecki@al-enterprise.com</t>
  </si>
  <si>
    <t>0012000000eAZMoAAO</t>
  </si>
  <si>
    <t>63ced846c5c820531c2687e9</t>
  </si>
  <si>
    <t>ORANGE SA</t>
  </si>
  <si>
    <t>jean-philippe.primard@al-enterprise.com, philippe.chavigny@al-enterprise.com, bernard.jezequel@al-enterprise.com, philippe.le-port@al-enterprise.com, cyril.brindeau@al-enterprise.com</t>
  </si>
  <si>
    <t>0012000000eAYbIAAW</t>
  </si>
  <si>
    <t>63fcbb89a107c871cf565bd1</t>
  </si>
  <si>
    <t>ORASCOM</t>
  </si>
  <si>
    <t>0015I00000SJWXpQAP</t>
  </si>
  <si>
    <t>63fcbb86a107c871cf5656bb</t>
  </si>
  <si>
    <t>OrgTeleService</t>
  </si>
  <si>
    <t>0012000001Xy8DKAAZ</t>
  </si>
  <si>
    <t>63ced84ac5c820531c269095</t>
  </si>
  <si>
    <t>ORSI</t>
  </si>
  <si>
    <t>0012000000eAYoUAAW</t>
  </si>
  <si>
    <t>63fcbb81a107c871cf564d1b</t>
  </si>
  <si>
    <t>OSOS Technology</t>
  </si>
  <si>
    <t>0010J00001nCFIDQA4</t>
  </si>
  <si>
    <t>63fcbb7ea107c871cf564699</t>
  </si>
  <si>
    <t>OTE Group of Companies</t>
  </si>
  <si>
    <t>0012000000nl5nWAAQ</t>
  </si>
  <si>
    <t>63fcbb92a107c871cf566c7f</t>
  </si>
  <si>
    <t>OUSTAOU CONNECT</t>
  </si>
  <si>
    <t>0015I00000bAF9OQAW</t>
  </si>
  <si>
    <t>63fcbb9fa107c871cf568449</t>
  </si>
  <si>
    <t>Ovalau</t>
  </si>
  <si>
    <t>0015I00000WCrg4QAD</t>
  </si>
  <si>
    <t>63ea6e9752ad6968805cf18d</t>
  </si>
  <si>
    <t>p++ Datentechnik GmbH</t>
  </si>
  <si>
    <t>0010J00001lXXErQAO</t>
  </si>
  <si>
    <t>63ced846c5c820531c2687bc</t>
  </si>
  <si>
    <t>P.T. Quinsis Lintas Mitra</t>
  </si>
  <si>
    <t>novse.hardiman@al-enterprise.com</t>
  </si>
  <si>
    <t>ID</t>
  </si>
  <si>
    <t>0015I00000XrJG8QAN</t>
  </si>
  <si>
    <t>66d5b09c0c6ac76037023303</t>
  </si>
  <si>
    <t>PACC Information and Communication</t>
  </si>
  <si>
    <t>philippe.girard@al-enterprise.com, rui.silva@al-enterprise.com, rahul.sharma1@al-enterprise.com, purvik.bavishi@al-enterprise.com</t>
  </si>
  <si>
    <t>001SZ00000BiOptYAF</t>
  </si>
  <si>
    <t>avaya</t>
  </si>
  <si>
    <t>63ced846c5c820531c26898d</t>
  </si>
  <si>
    <t>Pace Electronics, Inc.</t>
  </si>
  <si>
    <t>0010J00001miyReQAI</t>
  </si>
  <si>
    <t>63fcbb87a107c871cf565843</t>
  </si>
  <si>
    <t>PahlExplore, SA</t>
  </si>
  <si>
    <t>0015I00000fK0ZIQA0</t>
  </si>
  <si>
    <t>6685524c088b99bc360c3032</t>
  </si>
  <si>
    <t>Paladin Technologies Canada</t>
  </si>
  <si>
    <t>rui.silva@al-enterprise.com, nuno.ribas@al-enterprise.com, tracy.dupree@al-enterprise.com</t>
  </si>
  <si>
    <t>0015I00000iNuByQAK</t>
  </si>
  <si>
    <t>Paladin Technologies Inc.</t>
  </si>
  <si>
    <t>63ef9d5b384f27260c1ba95b</t>
  </si>
  <si>
    <t>Paldata SA</t>
  </si>
  <si>
    <t>0010J00001kRzSYQA0</t>
  </si>
  <si>
    <t>63ea6e9352ad6968805cea71</t>
  </si>
  <si>
    <t>Pan Dacom Networking AG</t>
  </si>
  <si>
    <t>holger.buettner@al-enterprise.com, katrin.pfeiffer@al-enterprise.com, sibylle.klopfer@al-enterprise.com, igor.leko@al-enterprise.com, philipp.bode@al-enterprise.com</t>
  </si>
  <si>
    <t>0012000000tuSC2AAM</t>
  </si>
  <si>
    <t>63fcbb7fa107c871cf564a19</t>
  </si>
  <si>
    <t>PAREE BV</t>
  </si>
  <si>
    <t>0012000000tuSFBAA2</t>
  </si>
  <si>
    <t>63ced84dc5c820531c269860</t>
  </si>
  <si>
    <t>Parkway Electric &amp; Comm dba ASCOM</t>
  </si>
  <si>
    <t>0012000000orXWoAAM</t>
  </si>
  <si>
    <t>63fcbb8aa107c871cf565e9b</t>
  </si>
  <si>
    <t>PARSON TELECOM</t>
  </si>
  <si>
    <t>0010J00001lX2NmQAK</t>
  </si>
  <si>
    <t>63fcbb8ba107c871cf565ec5</t>
  </si>
  <si>
    <t>PARSON TELECOM (UGAP sans service)</t>
  </si>
  <si>
    <t>0015I00000BkmI3QAJ</t>
  </si>
  <si>
    <t>63fcbb7ea107c871cf564795</t>
  </si>
  <si>
    <t>PARTNER COMMUNICATIONS COMPANY LTD</t>
  </si>
  <si>
    <t>0015I00000aWx7iQAC</t>
  </si>
  <si>
    <t>63ced84bc5c820531c2693a1</t>
  </si>
  <si>
    <t>PartnerNET Cyprus LTD</t>
  </si>
  <si>
    <t>0015I000005zgWaQAI</t>
  </si>
  <si>
    <t>63fcbb84a107c871cf5652d9</t>
  </si>
  <si>
    <t>PASARELA COMUNICACIONES, S.L.</t>
  </si>
  <si>
    <t>0012000000tvKERAA2</t>
  </si>
  <si>
    <t>63fcbb81a107c871cf564db5</t>
  </si>
  <si>
    <t>Path Master, Inc.</t>
  </si>
  <si>
    <t>0015I000005E7pzQAC</t>
  </si>
  <si>
    <t>63fcbb92a107c871cf566d19</t>
  </si>
  <si>
    <t>PBI</t>
  </si>
  <si>
    <t>0010J00001wg7SJQAY</t>
  </si>
  <si>
    <t>63fcbb98a107c871cf567745</t>
  </si>
  <si>
    <t>PC COMMUNICATIONS</t>
  </si>
  <si>
    <t>0012000000tuSDJAA2</t>
  </si>
  <si>
    <t>63ced84ec5c820531c26999b</t>
  </si>
  <si>
    <t>PC Network, Inc</t>
  </si>
  <si>
    <t>0012000000zz0TPAAY</t>
  </si>
  <si>
    <t>63fcbb82a107c871cf564f9f</t>
  </si>
  <si>
    <t>PC World Egypt</t>
  </si>
  <si>
    <t>0012000000mxJ3sAAE</t>
  </si>
  <si>
    <t>63fcbb86a107c871cf56570f</t>
  </si>
  <si>
    <t>PC21</t>
  </si>
  <si>
    <t>0012000001ehI0TAAU</t>
  </si>
  <si>
    <t>63ced846c5c820531c26888e</t>
  </si>
  <si>
    <t>PCCW SOLUTIONS LIMITED</t>
  </si>
  <si>
    <t>0010J000025sgEKQAY</t>
  </si>
  <si>
    <t>63ced846c5c820531c26897e</t>
  </si>
  <si>
    <t>PDI Communications, Inc.</t>
  </si>
  <si>
    <t>0012000000kJTQjAAO</t>
  </si>
  <si>
    <t>63ced84ec5c820531c26997d</t>
  </si>
  <si>
    <t>PDNS (Private Digital Networks LLC)</t>
  </si>
  <si>
    <t>0012000000zZRJYAA4</t>
  </si>
  <si>
    <t>65dcd9ba019929778f07c52b</t>
  </si>
  <si>
    <t>Pedab France</t>
  </si>
  <si>
    <t>philippe.girard@al-enterprise.com, rui.silva@al-enterprise.com, youb.saim@al-enterprise.com, ilan.dayan@al-enterprise.com</t>
  </si>
  <si>
    <t>001SZ000002QGG5YAO</t>
  </si>
  <si>
    <t>63fcbb87a107c871cf565851</t>
  </si>
  <si>
    <t>PEDAB GROUP AB</t>
  </si>
  <si>
    <t>philippe.girard@al-enterprise.com, rui.silva@al-enterprise.com, joakim.ahrens@al-enterprise.com, laurent.paterac@al-enterprise.com, magnus.sers@al-enterprise.com, christopher.weyell@al-enterprise.com</t>
  </si>
  <si>
    <t>0015I00000gL5yeQAC</t>
  </si>
  <si>
    <t>63ced845c5c820531c2686ea</t>
  </si>
  <si>
    <t>peicom GmbH</t>
  </si>
  <si>
    <t>silke.fraedrich@al-enterprise.com, andreas.grossheimann@al-enterprise.com</t>
  </si>
  <si>
    <t>0015I00000eKWT8QAO</t>
  </si>
  <si>
    <t>67eff30d614b39d25f0ace32</t>
  </si>
  <si>
    <t>PENTAGON BUSINESS COM SRL</t>
  </si>
  <si>
    <t>europeeast</t>
  </si>
  <si>
    <t>RO</t>
  </si>
  <si>
    <t>001SZ00000FE6rMYAT</t>
  </si>
  <si>
    <t>63ced846c5c820531c268924</t>
  </si>
  <si>
    <t>Perfect Presentation for Commercial</t>
  </si>
  <si>
    <t>0010J00002AgKZ1QAN</t>
  </si>
  <si>
    <t>63ced846c5c820531c26899c</t>
  </si>
  <si>
    <t>PerfectVision Manufacturing</t>
  </si>
  <si>
    <t>0010J00001xl71wQAA</t>
  </si>
  <si>
    <t>63fcbb8fa107c871cf566777</t>
  </si>
  <si>
    <t>PERFORMANCE TELECOM</t>
  </si>
  <si>
    <t>0010J00001p2RXVQA2</t>
  </si>
  <si>
    <t>63fcbb9aa107c871cf567a63</t>
  </si>
  <si>
    <t>PERIPHONE</t>
  </si>
  <si>
    <t>0012000000eAZCGAA4</t>
  </si>
  <si>
    <t>63fcbb95a107c871cf5671bf</t>
  </si>
  <si>
    <t>Phonatys Business</t>
  </si>
  <si>
    <t>0010J00001nFFfHQAW</t>
  </si>
  <si>
    <t>63ef9d61384f27260c1bb2ad</t>
  </si>
  <si>
    <t>phone-point GmbH</t>
  </si>
  <si>
    <t>0015I00000KkvKyQAJ</t>
  </si>
  <si>
    <t>Phone-point GmbH</t>
  </si>
  <si>
    <t>63fcbb9ba107c871cf567c69</t>
  </si>
  <si>
    <t>PHP HABITAT</t>
  </si>
  <si>
    <t>0015I00000J5JSwQAN</t>
  </si>
  <si>
    <t>63fcbb8ba107c871cf5660a1</t>
  </si>
  <si>
    <t>PIGMA Communications</t>
  </si>
  <si>
    <t>0012000001ZQWP7AAP</t>
  </si>
  <si>
    <t>63ced84dc5c820531c2696f8</t>
  </si>
  <si>
    <t>Pinnacle Communications Corporation</t>
  </si>
  <si>
    <t>0012000000evqB7AAI</t>
  </si>
  <si>
    <t>63ced84ac5c820531c26903b</t>
  </si>
  <si>
    <t>Pinnacle Micro (Pty) Ltd</t>
  </si>
  <si>
    <t>0012000000eAZSoAAO</t>
  </si>
  <si>
    <t>63ced84dc5c820531c2697ac</t>
  </si>
  <si>
    <t>Pinnacle Networx, LLC</t>
  </si>
  <si>
    <t>0012000000eAZeyAAG</t>
  </si>
  <si>
    <t>66a8fa015b4b8f9df10bb322</t>
  </si>
  <si>
    <t>PIRAMID SOLUTIONS CO.,LTD</t>
  </si>
  <si>
    <t>001SZ00000DqVY9YAN</t>
  </si>
  <si>
    <t>6718f0e85cf50a5a1e024052</t>
  </si>
  <si>
    <t>PKE Electronics GmbH</t>
  </si>
  <si>
    <t>rui.silva@al-enterprise.com, sabine.glanz@al-enterprise.com, irina.zotova@al-enterprise.com</t>
  </si>
  <si>
    <t>001SZ00000JWjSLYA1</t>
  </si>
  <si>
    <t>67d436a894cd1f68cd06bc12</t>
  </si>
  <si>
    <t>PKE Mediacom GmbH</t>
  </si>
  <si>
    <t>holger.viktor@al-enterprise.com</t>
  </si>
  <si>
    <t>001SZ00000JWjSMYA1</t>
  </si>
  <si>
    <t>6488e1eb863dcd5166276b67</t>
  </si>
  <si>
    <t>Plan B Networks, Inc.</t>
  </si>
  <si>
    <t>0015I00000gLVm9QAG</t>
  </si>
  <si>
    <t>64466fad136de1762734575e</t>
  </si>
  <si>
    <t>Planete Telecoms Afrique</t>
  </si>
  <si>
    <t>philippe.girard@al-enterprise.com, rui.silva@al-enterprise.com, vassilis.xenakis@al-enterprise.com, karim.harrouche@al-enterprise.com</t>
  </si>
  <si>
    <t>SN</t>
  </si>
  <si>
    <t>0015I00000htBpVQAU</t>
  </si>
  <si>
    <t>63ef9d5c384f27260c1ba9fb</t>
  </si>
  <si>
    <t>Plexus SL</t>
  </si>
  <si>
    <t>jaime.tor@al-enterprise.com, astrid.savorani@al-enterprise.com, rafael.andreo@al-enterprise.com, esther.alonso@al-enterprise.com, hubert.chapelle@al-enterprise.com, marcos.rodriguez@al-enterprise.com, borja.gonzalvez@al-enterprise.com</t>
  </si>
  <si>
    <t>00120000013qYS4AAM</t>
  </si>
  <si>
    <t>63ef9d5b384f27260c1ba811</t>
  </si>
  <si>
    <t>PMS NETWORKS LIMITED</t>
  </si>
  <si>
    <t>0012000000tvKEXAA2</t>
  </si>
  <si>
    <t>63fcbb7fa107c871cf56492b</t>
  </si>
  <si>
    <t>Point Sp. z o.o.</t>
  </si>
  <si>
    <t>0015I00000KkBbMQAV</t>
  </si>
  <si>
    <t>63fcbb82a107c871cf564f4b</t>
  </si>
  <si>
    <t>Pomegranets</t>
  </si>
  <si>
    <t>0010J000027CZ1kQAG</t>
  </si>
  <si>
    <t>63ced844c5c820531c2683c0</t>
  </si>
  <si>
    <t>Positron Multiverse Co., Ltd</t>
  </si>
  <si>
    <t>0012000000mxIjLAAU</t>
  </si>
  <si>
    <t>63ced847c5c820531c268ac8</t>
  </si>
  <si>
    <t>POST Luxembourg</t>
  </si>
  <si>
    <t>ilja.daldini@al-enterprise.com</t>
  </si>
  <si>
    <t>0012000000mxJ0xAAE</t>
  </si>
  <si>
    <t>63fcbb80a107c871cf564bcb</t>
  </si>
  <si>
    <t>Powerful Digital Trading Est.</t>
  </si>
  <si>
    <t>0015I00000SL6m9QAD</t>
  </si>
  <si>
    <t>63ced842c5c820531c267ff1</t>
  </si>
  <si>
    <t>PPC LIMITED</t>
  </si>
  <si>
    <t>NG</t>
  </si>
  <si>
    <t>0012000000eAYpOAAW</t>
  </si>
  <si>
    <t>63fcbb86a107c871cf5656e5</t>
  </si>
  <si>
    <t>PRECTEL</t>
  </si>
  <si>
    <t>0012000000tuSB1AAM</t>
  </si>
  <si>
    <t>63ef9d59384f27260c1ba647</t>
  </si>
  <si>
    <t>PRELUDE DEVELOPPEMENT</t>
  </si>
  <si>
    <t>0012000000tuSKRAA2</t>
  </si>
  <si>
    <t>63ced846c5c820531c268825</t>
  </si>
  <si>
    <t>PREMIUM PLUS SL</t>
  </si>
  <si>
    <t>0012000000eAYq0AAG</t>
  </si>
  <si>
    <t>63fcbb86a107c871cf5655cd</t>
  </si>
  <si>
    <t>Premium Telecom</t>
  </si>
  <si>
    <t>00120000013qYPlAAM</t>
  </si>
  <si>
    <t>PREMIUM TELECOM &amp; CUSTOMER SERVICES</t>
  </si>
  <si>
    <t>63fcbb89a107c871cf565b99</t>
  </si>
  <si>
    <t>PRESTIGE TELEPHONIE</t>
  </si>
  <si>
    <t>0015I00000OgaWxQAJ</t>
  </si>
  <si>
    <t>63fcbb8ea107c871cf5665b7</t>
  </si>
  <si>
    <t>PRIOS</t>
  </si>
  <si>
    <t>0012000000evaz9AAA</t>
  </si>
  <si>
    <t>63fcbb88a107c871cf56595b</t>
  </si>
  <si>
    <t>PRISMATEL</t>
  </si>
  <si>
    <t>0012000000tvKEdAAM</t>
  </si>
  <si>
    <t>63fcbb8ca107c871cf5661b9</t>
  </si>
  <si>
    <t>PROCESS COMMUNICATION</t>
  </si>
  <si>
    <t>0012000000eAZA8AAO</t>
  </si>
  <si>
    <t>63ced846c5c820531c268915</t>
  </si>
  <si>
    <t>Procom Technologies Co</t>
  </si>
  <si>
    <t>0012000000tuSKYAA2</t>
  </si>
  <si>
    <t>63fcbb81a107c871cf564cab</t>
  </si>
  <si>
    <t>PROCOMM</t>
  </si>
  <si>
    <t>0012000000tuSDGAA2</t>
  </si>
  <si>
    <t>63ced84ec5c820531c26995f</t>
  </si>
  <si>
    <t>Procomm Systems Inc.</t>
  </si>
  <si>
    <t>0012000000xBgOMAA0</t>
  </si>
  <si>
    <t>63fcbb84a107c871cf565285</t>
  </si>
  <si>
    <t>PROCOMSUD</t>
  </si>
  <si>
    <t>0012000000tuSHOAA2</t>
  </si>
  <si>
    <t>63ced845c5c820531c268564</t>
  </si>
  <si>
    <t>Proffact Company Limited</t>
  </si>
  <si>
    <t>0012000000eAYq7AAG</t>
  </si>
  <si>
    <t>63ced848c5c820531c268cb7</t>
  </si>
  <si>
    <t>Progility Pty Ltd</t>
  </si>
  <si>
    <t>philippe.girard@al-enterprise.com, rui.silva@al-enterprise.com, paul.pan@al-enterprise.com, gosia.lee@al-enterprise.com</t>
  </si>
  <si>
    <t>0015I000004BVJ6QAO</t>
  </si>
  <si>
    <t>63fcbb84a107c871cf56523f</t>
  </si>
  <si>
    <t>ProjectSpan, Inc.</t>
  </si>
  <si>
    <t>0010J00002AiW0PQAV</t>
  </si>
  <si>
    <t>63fcbb8ca107c871cf566237</t>
  </si>
  <si>
    <t>PROPHONE</t>
  </si>
  <si>
    <t>0012000001VrcAsAAJ</t>
  </si>
  <si>
    <t>66a8f1d726f18c562d0ab645</t>
  </si>
  <si>
    <t>Prosum</t>
  </si>
  <si>
    <t>philippe.girard@al-enterprise.com, rui.silva@al-enterprise.com, paul.pan@al-enterprise.com</t>
  </si>
  <si>
    <t>001SZ00000AMOijYAH</t>
  </si>
  <si>
    <t>63fcbb9ba107c871cf567d03</t>
  </si>
  <si>
    <t>PROTEGO INFORMATIQUE</t>
  </si>
  <si>
    <t>0015I00000ZC1dyQAD</t>
  </si>
  <si>
    <t>63fcbb91a107c871cf566b21</t>
  </si>
  <si>
    <t>PROVENCE ELECTRONIC</t>
  </si>
  <si>
    <t>0012000000eAZGKAA4</t>
  </si>
  <si>
    <t>63fcbb7fa107c871cf564a35</t>
  </si>
  <si>
    <t>PROVENCE TELECOM</t>
  </si>
  <si>
    <t>0012000000tvKEjAAM</t>
  </si>
  <si>
    <t>63ced848c5c820531c268d4d</t>
  </si>
  <si>
    <t>provoicecom GmbH</t>
  </si>
  <si>
    <t>0012000000eAZMpAAO</t>
  </si>
  <si>
    <t>63fcbb8fa107c871cf566793</t>
  </si>
  <si>
    <t>PROXICOM</t>
  </si>
  <si>
    <t>0012000000tuSFrAAM</t>
  </si>
  <si>
    <t>63fcbb94a107c871cf56706f</t>
  </si>
  <si>
    <t>PROXILOR</t>
  </si>
  <si>
    <t>0012000000tvKcUAAU</t>
  </si>
  <si>
    <t>63ced847c5c820531c268ba9</t>
  </si>
  <si>
    <t>Proximus</t>
  </si>
  <si>
    <t>tom.van-uffelen@al-enterprise.com, gregory.williams@al-enterprise.com</t>
  </si>
  <si>
    <t>0012000000eBF13AAG</t>
  </si>
  <si>
    <t>63ced842c5c820531c267fb5</t>
  </si>
  <si>
    <t>Proximus ICT NV</t>
  </si>
  <si>
    <t>0010J00001pTvzaQAC</t>
  </si>
  <si>
    <t>63fcbb99a107c871cf567833</t>
  </si>
  <si>
    <t>Proximus VoIP</t>
  </si>
  <si>
    <t>0012000001HphIjAAJ</t>
  </si>
  <si>
    <t>63fcbb80a107c871cf564ac1</t>
  </si>
  <si>
    <t>PROXY TELECOM</t>
  </si>
  <si>
    <t>0012000000tvKclAAE</t>
  </si>
  <si>
    <t>63ced846c5c820531c26879e</t>
  </si>
  <si>
    <t>PT ANOMALI LINTAS CAKRAWALA</t>
  </si>
  <si>
    <t>0015I000002MOw3QAG</t>
  </si>
  <si>
    <t>63fcbb81a107c871cf564ddf</t>
  </si>
  <si>
    <t>PT DATTEL INDONESIA</t>
  </si>
  <si>
    <t>00120000016ywGGAAY</t>
  </si>
  <si>
    <t>63ced84bc5c820531c26921b</t>
  </si>
  <si>
    <t>PT PIRAMIDA DATA TEKNOLOGI</t>
  </si>
  <si>
    <t>0010J000025NzDkQAK</t>
  </si>
  <si>
    <t>63fcbb87a107c871cf565819</t>
  </si>
  <si>
    <t>PT Prodatech Solusi Indonesia</t>
  </si>
  <si>
    <t>0010J00001smLI7QAM</t>
  </si>
  <si>
    <t>63fcbb86a107c871cf565595</t>
  </si>
  <si>
    <t>PT SISCOM TECHNOLOGIES</t>
  </si>
  <si>
    <t>0012000000ohXTbAAM</t>
  </si>
  <si>
    <t>637e165a41d3da0bfa665f72</t>
  </si>
  <si>
    <t>PT Telematic MultiSystem</t>
  </si>
  <si>
    <t>philippe.girard@al-enterprise.com, rui.silva@al-enterprise.com, novse.hardiman@al-enterprise.com</t>
  </si>
  <si>
    <t>0015I00000VlReOQAV</t>
  </si>
  <si>
    <t>PT Telematic Multisystem</t>
  </si>
  <si>
    <t>63ced84ac5c820531c26920c</t>
  </si>
  <si>
    <t>PT VIRTUS TECHNOLOGY INDONESIA</t>
  </si>
  <si>
    <t>0010J000023CsKPQA0</t>
  </si>
  <si>
    <t>63ced84ac5c820531c2691fd</t>
  </si>
  <si>
    <t>PT. ACA PACIFIC</t>
  </si>
  <si>
    <t>0010J00001kRzSKQA0</t>
  </si>
  <si>
    <t>63ef9d57384f27260c1ba271</t>
  </si>
  <si>
    <t>PT. AMPNET MEGA PACIFIC</t>
  </si>
  <si>
    <t>0012000000mxJySAAU</t>
  </si>
  <si>
    <t>63ced846c5c820531c26878f</t>
  </si>
  <si>
    <t>PT. Artapala Telekomindo</t>
  </si>
  <si>
    <t>0010J00001lX2NoQAK</t>
  </si>
  <si>
    <t>63ced849c5c820531c268de3</t>
  </si>
  <si>
    <t>PT. Immobi Solusi Prima</t>
  </si>
  <si>
    <t>0015I00000YtFJbQAN</t>
  </si>
  <si>
    <t>63ced845c5c820531c268771</t>
  </si>
  <si>
    <t>PT. INFINITE BUSINESS SYNERGY</t>
  </si>
  <si>
    <t>0012000000ohXQJAA2</t>
  </si>
  <si>
    <t>63ced845c5c820531c268780</t>
  </si>
  <si>
    <t>PT. IP NETWORK SOLUSINDO</t>
  </si>
  <si>
    <t>0010J00001ktt8qQAA</t>
  </si>
  <si>
    <t>666016565a5d6ae8d906bcd3</t>
  </si>
  <si>
    <t>PT. Nusatrindo Sejati</t>
  </si>
  <si>
    <t>001SZ00000AzctLYAR</t>
  </si>
  <si>
    <t>63fcbb83a107c871cf56509b</t>
  </si>
  <si>
    <t>PT. TIDEX TITAN PERSADA</t>
  </si>
  <si>
    <t>0010J00001kwG5eQAE</t>
  </si>
  <si>
    <t>65a54003aaeb506a7b096a18</t>
  </si>
  <si>
    <t>PT. WORLD INFINITE NETWORK</t>
  </si>
  <si>
    <t>enterprise_communication_platforms, lan_network, wlan_network</t>
  </si>
  <si>
    <t>0015I00000iP1AZQA0</t>
  </si>
  <si>
    <t>63ced845c5c820531c268672</t>
  </si>
  <si>
    <t>PWV Group LLC</t>
  </si>
  <si>
    <t>0012000001G0kRKAAZ</t>
  </si>
  <si>
    <t>63ef9d5d384f27260c1babc5</t>
  </si>
  <si>
    <t>PX-CIE</t>
  </si>
  <si>
    <t>0012000000tuSBCAA2</t>
  </si>
  <si>
    <t>63fcbb90a107c871cf5668d5</t>
  </si>
  <si>
    <t>PYGRAM</t>
  </si>
  <si>
    <t>0012000000ohXRRAA2</t>
  </si>
  <si>
    <t>63fcbb8ca107c871cf5660af</t>
  </si>
  <si>
    <t>PYRENEES TELECOM</t>
  </si>
  <si>
    <t>0012000001bQgfVAAS</t>
  </si>
  <si>
    <t>63ef9d5b384f27260c1ba877</t>
  </si>
  <si>
    <t>QDOS SBL Group Limited</t>
  </si>
  <si>
    <t>0012000001KE1nqAAD</t>
  </si>
  <si>
    <t>63ced848c5c820531c268dd4</t>
  </si>
  <si>
    <t>QUAD CORE TECHNOLOGIES LLC</t>
  </si>
  <si>
    <t>najeh.khalil@al-enterprise.com, ravin.naidu@al-enterprise.com, rahul.sharma1@al-enterprise.com, khaled.maher@al-enterprise.com, ahmed.hamzawy@al-enterprise.com</t>
  </si>
  <si>
    <t>0015I00000YsJB4QAN</t>
  </si>
  <si>
    <t>63fcbb80a107c871cf564b77</t>
  </si>
  <si>
    <t>Quadbridge Inc.</t>
  </si>
  <si>
    <t>0010J000029Pw7TQAS</t>
  </si>
  <si>
    <t>63ced841c5c820531c267ef2</t>
  </si>
  <si>
    <t>QUANT ICT</t>
  </si>
  <si>
    <t>0012000000eAYTxAAO</t>
  </si>
  <si>
    <t>63fcbb99a107c871cf5678b1</t>
  </si>
  <si>
    <t>Quantum Telecom</t>
  </si>
  <si>
    <t>0015I00000T6SXPQA3</t>
  </si>
  <si>
    <t>63fcbb8ba107c871cf566015</t>
  </si>
  <si>
    <t>QUERCY TELECOM</t>
  </si>
  <si>
    <t>0012000000tuS8ZAAU</t>
  </si>
  <si>
    <t>63fcbb9ba107c871cf567bcf</t>
  </si>
  <si>
    <t>QUID IT</t>
  </si>
  <si>
    <t>0012000001cUWESAA4</t>
  </si>
  <si>
    <t>63ef9d5f384f27260c1bb04d</t>
  </si>
  <si>
    <t>Quonex Alsatel</t>
  </si>
  <si>
    <t>philippe.cros@al-enterprise.com, cecile.allegaert@al-enterprise.com, thierry.raoul@al-enterprise.com, laurent.biehler@al-enterprise.com</t>
  </si>
  <si>
    <t>0012000000qxQT2AAM</t>
  </si>
  <si>
    <t>63fcbb80a107c871cf564acf</t>
  </si>
  <si>
    <t>R 2 S</t>
  </si>
  <si>
    <t>0012000000tuSB4AAM</t>
  </si>
  <si>
    <t>63fcbb88a107c871cf565a57</t>
  </si>
  <si>
    <t>R'COM</t>
  </si>
  <si>
    <t>0012000001JZwrQAAT</t>
  </si>
  <si>
    <t>667042c8d7b95f8f68038fb2</t>
  </si>
  <si>
    <t>R.A.E.T. COMMERCIALE Srl</t>
  </si>
  <si>
    <t>philippe.girard@al-enterprise.com, rui.silva@al-enterprise.com, marco.volpi@al-enterprise.com</t>
  </si>
  <si>
    <t>0015I00000KkmIHQAZ</t>
  </si>
  <si>
    <t>63ea6e9552ad6968805ced3b</t>
  </si>
  <si>
    <t>Raab IT-Systemhaus GmbH &amp; Co. KG</t>
  </si>
  <si>
    <t>0012000000eAYqlAAG</t>
  </si>
  <si>
    <t>63ced84ec5c820531c2699f5</t>
  </si>
  <si>
    <t>RackTop Systems, LLC</t>
  </si>
  <si>
    <t>0012000000nmReEAAU</t>
  </si>
  <si>
    <t>63ced845c5c820531c268735</t>
  </si>
  <si>
    <t>RADIANT COMMUNICATION SDN BHD</t>
  </si>
  <si>
    <t>0012000000eAYqnAAG</t>
  </si>
  <si>
    <t>64466fad136de17627345738</t>
  </si>
  <si>
    <t>Radio Koch / Marine Elektronik GmbH</t>
  </si>
  <si>
    <t>katrin.pfeiffer@al-enterprise.com, sibylle.klopfer@al-enterprise.com, igor.leko@al-enterprise.com</t>
  </si>
  <si>
    <t>0015I00000bDxD8QAK</t>
  </si>
  <si>
    <t>63fcbb84a107c871cf5652af</t>
  </si>
  <si>
    <t>RADIOTEL</t>
  </si>
  <si>
    <t>00120000013qYSdAAM</t>
  </si>
  <si>
    <t>65dcd9bb019929778f07c5c3</t>
  </si>
  <si>
    <t>RAH Infotech Private Limited</t>
  </si>
  <si>
    <t>sujit.shetty@al-enterprise.com</t>
  </si>
  <si>
    <t>0015I00000kwqyAQAQ</t>
  </si>
  <si>
    <t>63fcbb80a107c871cf564bbd</t>
  </si>
  <si>
    <t>Rapid Telecom Solutions, LLC</t>
  </si>
  <si>
    <t>brendan.flaherty@al-enterprise.com, Steve.roos@al-enterprise.com</t>
  </si>
  <si>
    <t>0010J000025vkLTQAY</t>
  </si>
  <si>
    <t>650df320f3539fbbb80c3514</t>
  </si>
  <si>
    <t>Rashi Peripherals Limited</t>
  </si>
  <si>
    <t>philippe.girard@al-enterprise.com, rui.silva@al-enterprise.com, vishal.chavan@al-enterprise.com, prasath-l.rao@al-enterprise.com, sujit.shetty@al-enterprise.com</t>
  </si>
  <si>
    <t>lan_network, sip_devices, enterprise_communication_platforms, wlan_network, rainbow_hybrid_ucaas</t>
  </si>
  <si>
    <t>0015I00000hus4PQAQ</t>
  </si>
  <si>
    <t>63ced848c5c820531c268d89</t>
  </si>
  <si>
    <t>RAVE WIRELESS, INC.</t>
  </si>
  <si>
    <t>0015I000005EMDbQAO</t>
  </si>
  <si>
    <t>63ced842c5c820531c268078</t>
  </si>
  <si>
    <t>RAYCOM SA</t>
  </si>
  <si>
    <t>0012000000eAYqyAAG</t>
  </si>
  <si>
    <t>63fcbb93a107c871cf566e5b</t>
  </si>
  <si>
    <t>RAZUR IT</t>
  </si>
  <si>
    <t>0015I00000bYUvgQAG</t>
  </si>
  <si>
    <t>63fcbb82a107c871cf564f13</t>
  </si>
  <si>
    <t>RCC Electronics and Computers</t>
  </si>
  <si>
    <t>0015I00000QSbSbQAL</t>
  </si>
  <si>
    <t>64466fac136de176273456c6</t>
  </si>
  <si>
    <t>RDP Telecomunicazioni S.r.l.</t>
  </si>
  <si>
    <t>0010J00001miyRbQAI</t>
  </si>
  <si>
    <t>63fcbb9ea107c871cf568235</t>
  </si>
  <si>
    <t>REALISE</t>
  </si>
  <si>
    <t>0015I00000OfNX2QAN</t>
  </si>
  <si>
    <t>63fcbb9ca107c871cf567df1</t>
  </si>
  <si>
    <t>RECOM</t>
  </si>
  <si>
    <t>0012000000eAYr4AAG</t>
  </si>
  <si>
    <t>63ced84ec5c820531c26989c</t>
  </si>
  <si>
    <t>Recovery Point Systems, Inc.</t>
  </si>
  <si>
    <t>0012000000qR5hTAAS</t>
  </si>
  <si>
    <t>6299ff1ef5acbb30cc0bd2c7</t>
  </si>
  <si>
    <t>REDISUL INFORMATICA LTDA</t>
  </si>
  <si>
    <t>rui.silva@al-enterprise.com, vinicius.costa@al-enterprise.com</t>
  </si>
  <si>
    <t>0012000000eAZECAA4</t>
  </si>
  <si>
    <t>633dbe22ec522e697b5af958</t>
  </si>
  <si>
    <t>REDNET GmbH</t>
  </si>
  <si>
    <t>rui.silva@al-enterprise.com, marius.istel@al-enterprise.com, katrin.pfeiffer@al-enterprise.com, sibylle.klopfer@al-enterprise.com, igor.leko@al-enterprise.com, philipp.bode@al-enterprise.com</t>
  </si>
  <si>
    <t>0015I000003JqWbQAK</t>
  </si>
  <si>
    <t>64466fac136de176273456d9</t>
  </si>
  <si>
    <t>REFLEKS TEKNOLOJI DANISMANLIK</t>
  </si>
  <si>
    <t>0015I000003HetTQAS</t>
  </si>
  <si>
    <t>63ef9d58384f27260c1ba3d3</t>
  </si>
  <si>
    <t>REISCOM SA DE CV</t>
  </si>
  <si>
    <t>0012000000eAZWQAA4</t>
  </si>
  <si>
    <t>65dcd9bb019929778f07c681</t>
  </si>
  <si>
    <t>Reivernet Pty Ltd</t>
  </si>
  <si>
    <t>0010J00001nv121QAA</t>
  </si>
  <si>
    <t>63ef9d57384f27260c1ba371</t>
  </si>
  <si>
    <t>Rel Comm, Inc.</t>
  </si>
  <si>
    <t>0010J00001s2sGuQAI</t>
  </si>
  <si>
    <t>63fcbb89a107c871cf565c09</t>
  </si>
  <si>
    <t>RENTINFO</t>
  </si>
  <si>
    <t>0015I00000XV8N4QAL</t>
  </si>
  <si>
    <t>63fcbb83a107c871cf5651cf</t>
  </si>
  <si>
    <t>REPINFO</t>
  </si>
  <si>
    <t>0012000000tuSG2AAM</t>
  </si>
  <si>
    <t>63fcbb98a107c871cf5677c3</t>
  </si>
  <si>
    <t>RESANTILLES</t>
  </si>
  <si>
    <t>0012000000tvKEsAAM</t>
  </si>
  <si>
    <t>63fcbb8da107c871cf56628b</t>
  </si>
  <si>
    <t>Reseaudirect</t>
  </si>
  <si>
    <t>0015I00000ZwYEtQAN</t>
  </si>
  <si>
    <t>63fcbb94a107c871cf5670b5</t>
  </si>
  <si>
    <t>Reseautel Trema</t>
  </si>
  <si>
    <t>0012000001JZwrLAAT</t>
  </si>
  <si>
    <t>Reseautel</t>
  </si>
  <si>
    <t>63fcbb89a107c871cf565aff</t>
  </si>
  <si>
    <t>Reseaux Partners</t>
  </si>
  <si>
    <t>0010J00001kswgUQAQ</t>
  </si>
  <si>
    <t>63fcbb98a107c871cf5676ff</t>
  </si>
  <si>
    <t>RESEAUX TELECOM</t>
  </si>
  <si>
    <t>0012000000ohXRQAA2</t>
  </si>
  <si>
    <t>63fcbb85a107c871cf5654b5</t>
  </si>
  <si>
    <t>RESINTEL</t>
  </si>
  <si>
    <t>philippe.cros@al-enterprise.com, jean-pascal.klein@al-enterprise.com, lionel.roquetaillade@al-enterprise.com</t>
  </si>
  <si>
    <t>0012000000eAZMNAA4</t>
  </si>
  <si>
    <t>63fcbb9fa107c871cf5683f5</t>
  </si>
  <si>
    <t>RESIPELEC</t>
  </si>
  <si>
    <t>0012000000tuSJLAA2</t>
  </si>
  <si>
    <t>63fcbb88a107c871cf5659e7</t>
  </si>
  <si>
    <t>RESIX SAS</t>
  </si>
  <si>
    <t>0015I00000KkSVKQA3</t>
  </si>
  <si>
    <t>63ced847c5c820531c268a9b</t>
  </si>
  <si>
    <t>RETELEM</t>
  </si>
  <si>
    <t>0012000000eAZjqAAG</t>
  </si>
  <si>
    <t>63fcbb84a107c871cf565231</t>
  </si>
  <si>
    <t>RETIS</t>
  </si>
  <si>
    <t>0012000000tuSFGAA2</t>
  </si>
  <si>
    <t>63ced843c5c820531c2682df</t>
  </si>
  <si>
    <t>REVOLUTION TECHNOLOGIES REVTEC, S.A</t>
  </si>
  <si>
    <t>0012000000eAYXfAAO</t>
  </si>
  <si>
    <t>63ced843c5c820531c2682d0</t>
  </si>
  <si>
    <t>REVOLUTION TECHNOLOGIES REVTEC, SA</t>
  </si>
  <si>
    <t>0012000000eAZ0EAAW</t>
  </si>
  <si>
    <t>63fcbb93a107c871cf566e3f</t>
  </si>
  <si>
    <t>REZZO</t>
  </si>
  <si>
    <t>0015I00000WztDBQAZ</t>
  </si>
  <si>
    <t>63ced84ec5c820531c26986f</t>
  </si>
  <si>
    <t>RFP Solutions, Inc.</t>
  </si>
  <si>
    <t>0012000000psvloAAA</t>
  </si>
  <si>
    <t>63fcbb80a107c871cf564b23</t>
  </si>
  <si>
    <t>RH Marine Netherlands B.V.</t>
  </si>
  <si>
    <t>0010J000028FUPIQA4</t>
  </si>
  <si>
    <t>63fcbb80a107c871cf564bd9</t>
  </si>
  <si>
    <t>Rhone Alpes Repro Informatique</t>
  </si>
  <si>
    <t>0012000000eAYKQAA4</t>
  </si>
  <si>
    <t>63fcbb91a107c871cf566b67</t>
  </si>
  <si>
    <t>RIVIERA NETWORKS</t>
  </si>
  <si>
    <t>0012000000ohXNiAAM</t>
  </si>
  <si>
    <t>63fcbb81a107c871cf564d29</t>
  </si>
  <si>
    <t>RIVIERA TELECOM</t>
  </si>
  <si>
    <t>0012000000eAYrXAAW</t>
  </si>
  <si>
    <t>63fcbb8ca107c871cf56618f</t>
  </si>
  <si>
    <t>RKOM TELECOM ET RESEAUX</t>
  </si>
  <si>
    <t>0010J00001sLiLkQAK</t>
  </si>
  <si>
    <t>63ea6e9452ad6968805cebb3</t>
  </si>
  <si>
    <t>rku.it GmbH</t>
  </si>
  <si>
    <t>ralf.kloeppels@al-enterprise.com, andreas.grossheimann@al-enterprise.com, katrin.pfeiffer@al-enterprise.com, andre.ramm@al-enterprise.com, sibylle.klopfer@al-enterprise.com, igor.leko@al-enterprise.com</t>
  </si>
  <si>
    <t>0012000000esccqAAA</t>
  </si>
  <si>
    <t>63ced84cc5c820531c269536</t>
  </si>
  <si>
    <t>RLCOM DI ROSSI LUIGINO</t>
  </si>
  <si>
    <t>0012000000tvKheAAE</t>
  </si>
  <si>
    <t>65fd90ae317faa297d047454</t>
  </si>
  <si>
    <t>RN Projects Pty Ltd</t>
  </si>
  <si>
    <t>0015I00000jjfJdQAI</t>
  </si>
  <si>
    <t>63ef9d5c384f27260c1baa3f</t>
  </si>
  <si>
    <t>Robert Mattern Communicationslagen GmbH</t>
  </si>
  <si>
    <t>andreas.grossheimann@al-enterprise.com, michael.moog@al-enterprise.com</t>
  </si>
  <si>
    <t>0010J000020HXGCQA4</t>
  </si>
  <si>
    <t>RMC Communikationsanlagen GmbH</t>
  </si>
  <si>
    <t>63fcbb88a107c871cf565a9d</t>
  </si>
  <si>
    <t>RST</t>
  </si>
  <si>
    <t>0015I00000c7HydQAE</t>
  </si>
  <si>
    <t>63fcbb9ba107c871cf567c77</t>
  </si>
  <si>
    <t>RT SECURITE</t>
  </si>
  <si>
    <t>0015I00000Oe1rLQAR</t>
  </si>
  <si>
    <t>63ef9d5a384f27260c1ba70b</t>
  </si>
  <si>
    <t>RT-Netzwerktechnik Inhaber Ralf Theißen</t>
  </si>
  <si>
    <t>0012000000mxIoAAAU</t>
  </si>
  <si>
    <t>RT-Netzwerktechnik</t>
  </si>
  <si>
    <t>63fcbb83a107c871cf5650c5</t>
  </si>
  <si>
    <t>RTM NEOPHONE - GROUPE HUARD</t>
  </si>
  <si>
    <t>0012000000tuSB7AAM</t>
  </si>
  <si>
    <t>63fcbb86a107c871cf5655f7</t>
  </si>
  <si>
    <t>RTVE Telecomunicazioni s.n.c</t>
  </si>
  <si>
    <t>0012000000tvKEwAAM</t>
  </si>
  <si>
    <t>63ea6e9452ad6968805ceba5</t>
  </si>
  <si>
    <t>Rud.Otto Meyer Technik GmbH &amp; Co.KG</t>
  </si>
  <si>
    <t>andreas.grossheimann@al-enterprise.com, gunther.hahn@al-enterprise.com, samantha.hunt@al-enterprise.com, katrin.pfeiffer@al-enterprise.com, sibylle.klopfer@al-enterprise.com, igor.leko@al-enterprise.com</t>
  </si>
  <si>
    <t>0012000001bQgfUAAS</t>
  </si>
  <si>
    <t>63fcbb98a107c871cf5676d5</t>
  </si>
  <si>
    <t>RUNTEL</t>
  </si>
  <si>
    <t>0012000000mxJ3oAAE</t>
  </si>
  <si>
    <t>63ced848c5c820531c268bd6</t>
  </si>
  <si>
    <t>S.C.PENTAGON BUSINESS COM SRL</t>
  </si>
  <si>
    <t>0012000000eAYruAAG</t>
  </si>
  <si>
    <t>63fcbb89a107c871cf565b45</t>
  </si>
  <si>
    <t>S.E.T.C</t>
  </si>
  <si>
    <t>0012000000eAYQBAA4</t>
  </si>
  <si>
    <t>63fcbb7fa107c871cf564971</t>
  </si>
  <si>
    <t>S.FOUR TRADING PVT.LTD.</t>
  </si>
  <si>
    <t>NP</t>
  </si>
  <si>
    <t>0015I00000KlkE3QAJ</t>
  </si>
  <si>
    <t>63ced841c5c820531c267e6b</t>
  </si>
  <si>
    <t>S.S.P. TELECOMMUNICATIONS</t>
  </si>
  <si>
    <t>margret.moyle@al-enterprise.com, charlotte.holtzer@al-enterprise.com, michael-j.francis@al-enterprise.com, tracy.dupree@al-enterprise.com</t>
  </si>
  <si>
    <t>0012000000eAYvEAAW</t>
  </si>
  <si>
    <t>63fcbb94a107c871cf566f8f</t>
  </si>
  <si>
    <t>S.T. COM</t>
  </si>
  <si>
    <t>0012000000mxIwyAAE</t>
  </si>
  <si>
    <t>63fcbb7ea107c871cf5647bf</t>
  </si>
  <si>
    <t>S2e Communications</t>
  </si>
  <si>
    <t>0010J00001mRZ4vQAG</t>
  </si>
  <si>
    <t>63fcbb9ea107c871cf568243</t>
  </si>
  <si>
    <t>S2F NETWORK</t>
  </si>
  <si>
    <t>0012000000ohXSxAAM</t>
  </si>
  <si>
    <t>63fcbb8fa107c871cf566785</t>
  </si>
  <si>
    <t>S3A</t>
  </si>
  <si>
    <t>0012000000ohXPIAA2</t>
  </si>
  <si>
    <t>63ced84cc5c820531c2695cc</t>
  </si>
  <si>
    <t>SAFETY &amp; PRIVACY DI MINUCCI LUCA</t>
  </si>
  <si>
    <t>0012000000ohXS1AAM</t>
  </si>
  <si>
    <t>63ef9d60384f27260c1bb0ad</t>
  </si>
  <si>
    <t>Sampol Comunicaciones, S.L.</t>
  </si>
  <si>
    <t>0012000000mxIy6AAE</t>
  </si>
  <si>
    <t>63fcbb92a107c871cf566d27</t>
  </si>
  <si>
    <t>SAPHELEC</t>
  </si>
  <si>
    <t>0010J00002BVYZtQAP</t>
  </si>
  <si>
    <t>63fcbb9ea107c871cf5681fd</t>
  </si>
  <si>
    <t>Saphelec HDF</t>
  </si>
  <si>
    <t>0015I000003HjAoQAK</t>
  </si>
  <si>
    <t>63fcbb9ca107c871cf567d9d</t>
  </si>
  <si>
    <t>Sarl ACE - ESPACE MEDIA</t>
  </si>
  <si>
    <t>0010J00001nDDKcQAO</t>
  </si>
  <si>
    <t>63fcbb85a107c871cf5654d1</t>
  </si>
  <si>
    <t>SARL CHEVALLIER</t>
  </si>
  <si>
    <t>0012000000tuSA6AAM</t>
  </si>
  <si>
    <t>63fcbb93a107c871cf566e31</t>
  </si>
  <si>
    <t>SARL FCCF</t>
  </si>
  <si>
    <t>0015I00000UpKTDQA3</t>
  </si>
  <si>
    <t>63ced847c5c820531c268a6e</t>
  </si>
  <si>
    <t>SARL IP TECHNOLOGIES</t>
  </si>
  <si>
    <t>0012000000eAYgQAAW</t>
  </si>
  <si>
    <t>63ef9d5a384f27260c1ba6a9</t>
  </si>
  <si>
    <t>SARL SYBORD LYON</t>
  </si>
  <si>
    <t>philippe.girard@al-enterprise.com, olivier.ravel@al-enterprise.com, jean-pascal.klein@al-enterprise.com</t>
  </si>
  <si>
    <t>0012000000eAYZzAAO</t>
  </si>
  <si>
    <t>63fcbb96a107c871cf56731d</t>
  </si>
  <si>
    <t>SAT VIDEO</t>
  </si>
  <si>
    <t>0012000000eAZPtAAO</t>
  </si>
  <si>
    <t>63fcbb8ea107c871cf56659b</t>
  </si>
  <si>
    <t>SATECOM</t>
  </si>
  <si>
    <t>0012000000eAZ3aAAG</t>
  </si>
  <si>
    <t>63fcbb8ba107c871cf565feb</t>
  </si>
  <si>
    <t>SATELCOM</t>
  </si>
  <si>
    <t>0012000000eAZMAAA4</t>
  </si>
  <si>
    <t>63fcbb8ea107c871cf566571</t>
  </si>
  <si>
    <t>SATO</t>
  </si>
  <si>
    <t>0012000000eAYsIAAW</t>
  </si>
  <si>
    <t>63fcbb82a107c871cf564e25</t>
  </si>
  <si>
    <t>SATOCONNECT P.C.</t>
  </si>
  <si>
    <t>0015I000005ycABQAY</t>
  </si>
  <si>
    <t>63fcbb7fa107c871cf5649a9</t>
  </si>
  <si>
    <t>Saudi Computers Systems W.L.L.</t>
  </si>
  <si>
    <t>0010J00002BVY7qQAH</t>
  </si>
  <si>
    <t>63fcbb96a107c871cf567435</t>
  </si>
  <si>
    <t>SAVOIES TELECOM ENTREPRISES</t>
  </si>
  <si>
    <t>0012000001OMo63AAD</t>
  </si>
  <si>
    <t>63fcbb95a107c871cf567125</t>
  </si>
  <si>
    <t>SAVTI</t>
  </si>
  <si>
    <t>0015I00000UqWrUQAV</t>
  </si>
  <si>
    <t>63fcbb89a107c871cf565c33</t>
  </si>
  <si>
    <t>SB SYSTEM AND CONSULTING</t>
  </si>
  <si>
    <t>0015I00000ZuyICQAZ</t>
  </si>
  <si>
    <t>6390b7e8ebf4741c282d86f8</t>
  </si>
  <si>
    <t>SBP Digital Service Co., Ltd.</t>
  </si>
  <si>
    <t>0015I00000SL7l5QAD</t>
  </si>
  <si>
    <t>63ced849c5c820531c268e3d</t>
  </si>
  <si>
    <t>Scansource Brasil</t>
  </si>
  <si>
    <t>0012000000eAZNsAAO</t>
  </si>
  <si>
    <t>63ea6e9552ad6968805ced9d</t>
  </si>
  <si>
    <t>Scanvest Deutschland GmbH</t>
  </si>
  <si>
    <t>001200000139vVEAAY</t>
  </si>
  <si>
    <t>63fcbb8ca107c871cf5661c7</t>
  </si>
  <si>
    <t>SCHEFFER</t>
  </si>
  <si>
    <t>0012000000eAZMCAA4</t>
  </si>
  <si>
    <t>63ea6e9652ad6968805cf03d</t>
  </si>
  <si>
    <t>SCHMIEDER it-solutions GmbH</t>
  </si>
  <si>
    <t>0012000000eAYsTAAW</t>
  </si>
  <si>
    <t>63ea6e9552ad6968805cee0d</t>
  </si>
  <si>
    <t>Schussler Fernmeldetechnik und</t>
  </si>
  <si>
    <t>0012000000eAYsYAAW</t>
  </si>
  <si>
    <t>Schüssler Fernmeldetechnik und</t>
  </si>
  <si>
    <t>63ea6e9552ad6968805ced65</t>
  </si>
  <si>
    <t>Schwarz Computer Systeme GmbH</t>
  </si>
  <si>
    <t>0012000000mxIv1AAE</t>
  </si>
  <si>
    <t>64466fad136de176273457aa</t>
  </si>
  <si>
    <t>Scientechnic</t>
  </si>
  <si>
    <t>00120000014in9gAAA</t>
  </si>
  <si>
    <t>63ced84dc5c820531c26978e</t>
  </si>
  <si>
    <t>Scientel Wireless, LLC</t>
  </si>
  <si>
    <t>0012000000eAZcfAAG</t>
  </si>
  <si>
    <t>63fcbb98a107c871cf5676ab</t>
  </si>
  <si>
    <t>SCIPIO</t>
  </si>
  <si>
    <t>0012000000mxIm1AAE</t>
  </si>
  <si>
    <t>63ef9d5c384f27260c1bab05</t>
  </si>
  <si>
    <t>SCOPELEC</t>
  </si>
  <si>
    <t>0012000000eAYsaAAG</t>
  </si>
  <si>
    <t>63fcbb82a107c871cf564f75</t>
  </si>
  <si>
    <t>SCT TELECOM</t>
  </si>
  <si>
    <t>0012000000tuSD7AAM</t>
  </si>
  <si>
    <t>63ced84cc5c820531c269572</t>
  </si>
  <si>
    <t>SDF TELECOMUNICAZIONI SRL</t>
  </si>
  <si>
    <t>0012000000ohXNZAA2</t>
  </si>
  <si>
    <t>65dcd9bc019929778f07c765</t>
  </si>
  <si>
    <t>Seal Solucion de Integracion</t>
  </si>
  <si>
    <t>philippe.girard@al-enterprise.com, rui.silva@al-enterprise.com, paola.sa@al-enterprise.com, nuno.ribas@al-enterprise.com, javier.largacha@al-enterprise.com</t>
  </si>
  <si>
    <t>001SZ000003G2SrYAK</t>
  </si>
  <si>
    <t>SEAL SOLUCION DE INTEGRACION</t>
  </si>
  <si>
    <t>6552303b4da000b9ba0cd0b3</t>
  </si>
  <si>
    <t>Seal telecom comercio e servicos</t>
  </si>
  <si>
    <t>philippe.girard@al-enterprise.com, rui.silva@al-enterprise.com, paola.sa@al-enterprise.com, nuno.ribas@al-enterprise.com, carolina.rodriguez@al-enterprise.com</t>
  </si>
  <si>
    <t>Seal Telecom Com Serv Telecom Ltda.</t>
  </si>
  <si>
    <t>enterprise_cloud, lan_network, enterprise_communication_platforms, wlan_network</t>
  </si>
  <si>
    <t>0015I00000iMl8HQAS</t>
  </si>
  <si>
    <t>SEAL TELECOM COMERCIO E SERVICOS DE</t>
  </si>
  <si>
    <t>65dcd9b9019929778f07c46d</t>
  </si>
  <si>
    <t>SEAL TELECOM SOLUCIONES DE INTEGRACION CHILE SPA</t>
  </si>
  <si>
    <t>philippe.girard@al-enterprise.com, rui.silva@al-enterprise.com, luis.arriagada@al-enterprise.com</t>
  </si>
  <si>
    <t>001SZ000002agHuYAI</t>
  </si>
  <si>
    <t>SEAL SOLUCION DE INTEGRACION S A S</t>
  </si>
  <si>
    <t>63ced842c5c820531c268000</t>
  </si>
  <si>
    <t>Seatec Telecom Services Ltd</t>
  </si>
  <si>
    <t>GH</t>
  </si>
  <si>
    <t>0012000000ohXOMAA2</t>
  </si>
  <si>
    <t>63fcbb98a107c871cf5677fb</t>
  </si>
  <si>
    <t>SECOND TRADE DISTRIBUTION</t>
  </si>
  <si>
    <t>00120000013qYT0AAM</t>
  </si>
  <si>
    <t>63ced84ec5c820531c269a4f</t>
  </si>
  <si>
    <t>Secured Network Solutions</t>
  </si>
  <si>
    <t>0012000001CaSVlAAN</t>
  </si>
  <si>
    <t>63ced849c5c820531c268e01</t>
  </si>
  <si>
    <t>SECURENET FZC</t>
  </si>
  <si>
    <t>0010J000025vL4rQAE</t>
  </si>
  <si>
    <t>63ef9d58384f27260c1ba457</t>
  </si>
  <si>
    <t>SecureTech</t>
  </si>
  <si>
    <t>0012000000eAZgwAAG</t>
  </si>
  <si>
    <t>63fcbb81a107c871cf564d7d</t>
  </si>
  <si>
    <t>SELECT TELECOM Ltd</t>
  </si>
  <si>
    <t>0012000000tvKFDAA2</t>
  </si>
  <si>
    <t>63ced847c5c820531c268b40</t>
  </si>
  <si>
    <t>Selution AG</t>
  </si>
  <si>
    <t>0010J000025NmEFQA0</t>
  </si>
  <si>
    <t>63fcbb7da107c871cf56468b</t>
  </si>
  <si>
    <t>SEMERU</t>
  </si>
  <si>
    <t>0012000000tuSDqAAM</t>
  </si>
  <si>
    <t>63fcbb85a107c871cf5654c3</t>
  </si>
  <si>
    <t>Senetic S.A.</t>
  </si>
  <si>
    <t>0015I0000082OyiQAE</t>
  </si>
  <si>
    <t>63fcbb81a107c871cf564d99</t>
  </si>
  <si>
    <t>Sentenia Systems Inc.</t>
  </si>
  <si>
    <t>0010J00001mllADQAY</t>
  </si>
  <si>
    <t>63fcbb91a107c871cf566abf</t>
  </si>
  <si>
    <t>SERVICES IT</t>
  </si>
  <si>
    <t>0010J00001yvxBjQAI</t>
  </si>
  <si>
    <t>63fcbb93a107c871cf566ed9</t>
  </si>
  <si>
    <t>SERVICES TELECOM</t>
  </si>
  <si>
    <t>0010J00001yujLzQAI</t>
  </si>
  <si>
    <t>63fcbb8ba107c871cf565fcf</t>
  </si>
  <si>
    <t>SERVICES TELECOM &amp; RESEAUX</t>
  </si>
  <si>
    <t>0012000000eAYt9AAG</t>
  </si>
  <si>
    <t>64466fad136de176273456ec</t>
  </si>
  <si>
    <t>Servinfor</t>
  </si>
  <si>
    <t>0015I000004BWOsQAO</t>
  </si>
  <si>
    <t>63fcbb84a107c871cf565303</t>
  </si>
  <si>
    <t>SERVITEL</t>
  </si>
  <si>
    <t>CM</t>
  </si>
  <si>
    <t>0012000000eAYRoAAO</t>
  </si>
  <si>
    <t>63fcbb9ba107c871cf567d2d</t>
  </si>
  <si>
    <t>SERVITELECOM</t>
  </si>
  <si>
    <t>0015I00000bCRIBQA4</t>
  </si>
  <si>
    <t>63ced841c5c820531c267e3e</t>
  </si>
  <si>
    <t>SGT Solutions (Pty) Ltd</t>
  </si>
  <si>
    <t>0015I00000UO0MoQAL</t>
  </si>
  <si>
    <t>63ef9d57384f27260c1ba2d1</t>
  </si>
  <si>
    <t>SHATEL SAS</t>
  </si>
  <si>
    <t>mourad.el-haddadi@al-enterprise.com</t>
  </si>
  <si>
    <t>0010J000021LNNRQA4</t>
  </si>
  <si>
    <t>63fcbb96a107c871cf567443</t>
  </si>
  <si>
    <t>SHENOMEI</t>
  </si>
  <si>
    <t>0012000001W8LsxAAF</t>
  </si>
  <si>
    <t>63ced848c5c820531c268cf3</t>
  </si>
  <si>
    <t>SHINKA IT SPRL</t>
  </si>
  <si>
    <t>tom.van-uffelen@al-enterprise.com, philippe.lefebvre@al-enterprise.com</t>
  </si>
  <si>
    <t>0012000000ohXO1AAM</t>
  </si>
  <si>
    <t>63fcbb84a107c871cf565223</t>
  </si>
  <si>
    <t>SI bureautique</t>
  </si>
  <si>
    <t>0010J00001kRzSZQA0</t>
  </si>
  <si>
    <t>63fcbb9ca107c871cf567e8b</t>
  </si>
  <si>
    <t>SIBAT</t>
  </si>
  <si>
    <t>0012000001Nd13QAAR</t>
  </si>
  <si>
    <t>63fcbb9fa107c871cf5683a1</t>
  </si>
  <si>
    <t>SICOMOR</t>
  </si>
  <si>
    <t>0010J00002BUHLMQA5</t>
  </si>
  <si>
    <t>63fcbb81a107c871cf564c8f</t>
  </si>
  <si>
    <t>Sielte SPA</t>
  </si>
  <si>
    <t>0015I00000SJsD2QAL</t>
  </si>
  <si>
    <t>63ef9d59384f27260c1ba585</t>
  </si>
  <si>
    <t>Siemcom Cable &amp; Wireless Equipment Trading LLC</t>
  </si>
  <si>
    <t>0012000001JZwrEAAT</t>
  </si>
  <si>
    <t>Siemcom Cable &amp; Wireless</t>
  </si>
  <si>
    <t>67766e74b31b5d7e8e0dcba2</t>
  </si>
  <si>
    <t>Siemens Mobility Pte Ltd</t>
  </si>
  <si>
    <t>0015I00000jigsVQAQ</t>
  </si>
  <si>
    <t>63ced840c5c820531c267d3f</t>
  </si>
  <si>
    <t>Siemens Mobility, Inc.</t>
  </si>
  <si>
    <t>00120000012lXnXAAU</t>
  </si>
  <si>
    <t>63ef9d58384f27260c1ba4df</t>
  </si>
  <si>
    <t>Sierra Transportation &amp; Technologies, LLC</t>
  </si>
  <si>
    <t>0010J00001jS7HKQA0</t>
  </si>
  <si>
    <t>Sierra Transportation &amp;</t>
  </si>
  <si>
    <t>63fcbb8ba107c871cf566085</t>
  </si>
  <si>
    <t>SIETEL</t>
  </si>
  <si>
    <t>0012000001U7smzAAB</t>
  </si>
  <si>
    <t>63fcbb9ca107c871cf567eed</t>
  </si>
  <si>
    <t>0010J00001s3EIfQAM</t>
  </si>
  <si>
    <t>63ea6e9352ad6968805ceb43</t>
  </si>
  <si>
    <t>SIEVERS-SNC Computer &amp;</t>
  </si>
  <si>
    <t>0012000000tvKFmAAM</t>
  </si>
  <si>
    <t>SIEVERS-SNC Computer</t>
  </si>
  <si>
    <t>63fcbb95a107c871cf56729f</t>
  </si>
  <si>
    <t>SIFATECH OPERATEUR</t>
  </si>
  <si>
    <t>0010J000023s4FQQAY</t>
  </si>
  <si>
    <t>63fcbb8ba107c871cf565fdd</t>
  </si>
  <si>
    <t>Sigma Méditerranée</t>
  </si>
  <si>
    <t>0012000000eAYtXAAW</t>
  </si>
  <si>
    <t>SIGMA MEDITERRANEE</t>
  </si>
  <si>
    <t>63ef9d5e384f27260c1baeeb</t>
  </si>
  <si>
    <t>SIGNORET TELECOM</t>
  </si>
  <si>
    <t>001SZ00000T6a3JYAR</t>
  </si>
  <si>
    <t>63fcbb84a107c871cf56533b</t>
  </si>
  <si>
    <t>SIMPRA INTERNATIONAL DMCC</t>
  </si>
  <si>
    <t>0010J000021MJowQAG</t>
  </si>
  <si>
    <t>63fcbb84a107c871cf565277</t>
  </si>
  <si>
    <t>SIMTEL</t>
  </si>
  <si>
    <t>0012000000tvKFJAA2</t>
  </si>
  <si>
    <t>63ef9d53384f27260c1b9d63</t>
  </si>
  <si>
    <t>Singapore ALE Pte. Ltd.</t>
  </si>
  <si>
    <t>0012000001NbXH5AAN</t>
  </si>
  <si>
    <t>63ced842c5c820531c267f79</t>
  </si>
  <si>
    <t>Singapore Telecommunications LTD</t>
  </si>
  <si>
    <t>0010J00001ukqdUQAQ</t>
  </si>
  <si>
    <t>63fcbb9aa107c871cf567afd</t>
  </si>
  <si>
    <t>SINTEC</t>
  </si>
  <si>
    <t>0012000000tuSCkAAM</t>
  </si>
  <si>
    <t>63fcbb91a107c871cf566a87</t>
  </si>
  <si>
    <t>SINZERAD</t>
  </si>
  <si>
    <t>hubert.chapelle@al-enterprise.com</t>
  </si>
  <si>
    <t>0010J000025tPXjQAM</t>
  </si>
  <si>
    <t>63fcbb9aa107c871cf567b27</t>
  </si>
  <si>
    <t>SIPCOM</t>
  </si>
  <si>
    <t>001200000139vVZAAY</t>
  </si>
  <si>
    <t>63fcbb8ea107c871cf56657f</t>
  </si>
  <si>
    <t>SIREN TELECOMS</t>
  </si>
  <si>
    <t>0012000000eAYtqAAG</t>
  </si>
  <si>
    <t>63fcbb8ca107c871cf5660e7</t>
  </si>
  <si>
    <t>SIRT</t>
  </si>
  <si>
    <t>0015I00000G9gS5QAJ</t>
  </si>
  <si>
    <t>63fcbb7da107c871cf5645d5</t>
  </si>
  <si>
    <t>SIRTI SPA</t>
  </si>
  <si>
    <t>0012000001ehI0iAAE</t>
  </si>
  <si>
    <t>63ea6e9752ad6968805cf12b</t>
  </si>
  <si>
    <t>SiSKOM GmbH</t>
  </si>
  <si>
    <t>0012000000tuSEZAA2</t>
  </si>
  <si>
    <t>63ced846c5c820531c2688e8</t>
  </si>
  <si>
    <t>Sistas Sayisal Iletisim Sanayi</t>
  </si>
  <si>
    <t>0012000000eAYsNAAW</t>
  </si>
  <si>
    <t>SISTAS Sayisal Iletisim</t>
  </si>
  <si>
    <t>679a293af8dc798a050b9592</t>
  </si>
  <si>
    <t>Sistemas Avanzados de Tecnologia,</t>
  </si>
  <si>
    <t>mario.madrid-bustos@al-enterprise.com</t>
  </si>
  <si>
    <t>0012000000eAYsFAAW</t>
  </si>
  <si>
    <t>63ef9d5c384f27260c1baa1d</t>
  </si>
  <si>
    <t>SISTEMAS TELEFONIA Y LAN SL</t>
  </si>
  <si>
    <t>0010J00001kvR3TQAU</t>
  </si>
  <si>
    <t>63ef9d5e384f27260c1bae4b</t>
  </si>
  <si>
    <t>SISTEO</t>
  </si>
  <si>
    <t>0012000000tuSFVAA2</t>
  </si>
  <si>
    <t>63fcbb8fa107c871cf566697</t>
  </si>
  <si>
    <t>SIT35</t>
  </si>
  <si>
    <t>0015I000005zi08QAA</t>
  </si>
  <si>
    <t>63ced84cc5c820531c2695f9</t>
  </si>
  <si>
    <t>SITEL TELEMATICA SRL</t>
  </si>
  <si>
    <t>0012000000ohXTwAAM</t>
  </si>
  <si>
    <t>63fcbb86a107c871cf5655bf</t>
  </si>
  <si>
    <t>SITIS SRL</t>
  </si>
  <si>
    <t>0012000000tuSCPAA2</t>
  </si>
  <si>
    <t>63ced842c5c820531c2680d2</t>
  </si>
  <si>
    <t>Sixtra Chile S.A.</t>
  </si>
  <si>
    <t>0012000001QhIN3AAN</t>
  </si>
  <si>
    <t>63fcbb86a107c871cf565675</t>
  </si>
  <si>
    <t>SKC IT Service GmbH</t>
  </si>
  <si>
    <t>andre.ramm@al-enterprise.com</t>
  </si>
  <si>
    <t>0012000000oi32CAAQ</t>
  </si>
  <si>
    <t>63ea6e9452ad6968805cebc1</t>
  </si>
  <si>
    <t>SKC Seiler &amp; Klimpel Communication</t>
  </si>
  <si>
    <t>silke.fraedrich@al-enterprise.com, andreas.grossheimann@al-enterprise.com, samantha.hunt@al-enterprise.com, katrin.pfeiffer@al-enterprise.com, sibylle.klopfer@al-enterprise.com, igor.leko@al-enterprise.com</t>
  </si>
  <si>
    <t>0012000000eAYu9AAG</t>
  </si>
  <si>
    <t>63fcbb83a107c871cf565189</t>
  </si>
  <si>
    <t>Sky Communications, Inc</t>
  </si>
  <si>
    <t>0010J000022sBySQAU</t>
  </si>
  <si>
    <t>63fcbb7ea107c871cf5647b1</t>
  </si>
  <si>
    <t>Skyhelm Technology</t>
  </si>
  <si>
    <t>0012000001gMFg5AAG</t>
  </si>
  <si>
    <t>63fcbb84a107c871cf565215</t>
  </si>
  <si>
    <t>Smart Telecom</t>
  </si>
  <si>
    <t>0012000001UQs4hAAD</t>
  </si>
  <si>
    <t>63ef9d58384f27260c1ba413</t>
  </si>
  <si>
    <t>SMC ELECTRIC SUPPLY</t>
  </si>
  <si>
    <t>gene.hawks@al-enterprise.com, bill.rademacher@al-enterprise.com, jack.jachner@al-enterprise.com</t>
  </si>
  <si>
    <t>0012000000eAZaXAAW</t>
  </si>
  <si>
    <t>63fcbb80a107c871cf564c11</t>
  </si>
  <si>
    <t>Smith Bagley, Inc</t>
  </si>
  <si>
    <t>0015I00000G95qgQAB</t>
  </si>
  <si>
    <t>63ced84cc5c820531c2695db</t>
  </si>
  <si>
    <t>SMS TECHNOLOGY SOLUTIONS SNC</t>
  </si>
  <si>
    <t>0012000000ohXS8AAM</t>
  </si>
  <si>
    <t>63fcbb9da107c871cf567ff7</t>
  </si>
  <si>
    <t>SN STA</t>
  </si>
  <si>
    <t>0015I00000FZ4MqQAL</t>
  </si>
  <si>
    <t>63fcbb81a107c871cf564ce3</t>
  </si>
  <si>
    <t>SN2O</t>
  </si>
  <si>
    <t>0010J00001sLiLjQAK</t>
  </si>
  <si>
    <t>63fcbb91a107c871cf566af7</t>
  </si>
  <si>
    <t>SNEF</t>
  </si>
  <si>
    <t>0012000000eAYuNAAW</t>
  </si>
  <si>
    <t>63fcbb8ca107c871cf5660d9</t>
  </si>
  <si>
    <t>SNEF SUD-OUEST</t>
  </si>
  <si>
    <t>0015I000002NQYwQAO</t>
  </si>
  <si>
    <t>65dcd9bc019929778f07c6cd</t>
  </si>
  <si>
    <t>SNEF Tertiaire Bretagne</t>
  </si>
  <si>
    <t>0012000000mxIm6AAE</t>
  </si>
  <si>
    <t>SNEF TERTIAIRE BRETAGNE</t>
  </si>
  <si>
    <t>63fcbb81a107c871cf564c9d</t>
  </si>
  <si>
    <t>SOCACOM</t>
  </si>
  <si>
    <t>0012000000tuSBMAA2</t>
  </si>
  <si>
    <t>63ced847c5c820531c268a7d</t>
  </si>
  <si>
    <t>SOCARAM SPA</t>
  </si>
  <si>
    <t>0012000001F5uJSAAZ</t>
  </si>
  <si>
    <t>65fd91a71a836e8bf40d4d52</t>
  </si>
  <si>
    <t>SOCIEDAD IBERICA DE CONSTRUCCIONES ELECTRICAS S.A (SICE)</t>
  </si>
  <si>
    <t>marcos.rodriguez@al-enterprise.com, borja.gonzalvez@al-enterprise.com</t>
  </si>
  <si>
    <t>0015I00000TfTQuQAN</t>
  </si>
  <si>
    <t>63fcbb7da107c871cf56452d</t>
  </si>
  <si>
    <t>SOCIETE FRANCAISE DU RADIOTELEPHONE</t>
  </si>
  <si>
    <t>0012000000eAYzCAAW</t>
  </si>
  <si>
    <t>63ef9d54384f27260c1b9ec3</t>
  </si>
  <si>
    <t>SOCIETE PARISIENNE ETIT</t>
  </si>
  <si>
    <t>0012000000eAYZtAAO</t>
  </si>
  <si>
    <t>63fcbb8ba107c871cf565f43</t>
  </si>
  <si>
    <t>SOCIETE PARISIENNE ETIT UGAP ss</t>
  </si>
  <si>
    <t>0015I00000Bkr7iQAB</t>
  </si>
  <si>
    <t>63fcbb9ca107c871cf567e1b</t>
  </si>
  <si>
    <t>SOCIETE TELEPHONIE BORDELAISE</t>
  </si>
  <si>
    <t>0012000000tuSDKAA2</t>
  </si>
  <si>
    <t>63ced84bc5c820531c269338</t>
  </si>
  <si>
    <t>Soditel Electronic</t>
  </si>
  <si>
    <t>0015I00000XUkvWQAT</t>
  </si>
  <si>
    <t>63ced845c5c820531c2685eb</t>
  </si>
  <si>
    <t>SOFTBANK TECHNOLOGY CORP.</t>
  </si>
  <si>
    <t>0012000000usHZcAAM</t>
  </si>
  <si>
    <t>63ced84ac5c820531c269194</t>
  </si>
  <si>
    <t>SOFTPROM Distribution GmbH</t>
  </si>
  <si>
    <t>krystian.sokalski@al-enterprise.com, laurent.paterac@al-enterprise.com, sabine.glanz@al-enterprise.com</t>
  </si>
  <si>
    <t>0010J00001s3EJiQAM</t>
  </si>
  <si>
    <t>63ced84ec5c820531c269a5e</t>
  </si>
  <si>
    <t>Softrim Corporation</t>
  </si>
  <si>
    <t>0012000001F7l5tAAB</t>
  </si>
  <si>
    <t>63fcbb94a107c871cf566f73</t>
  </si>
  <si>
    <t>SOGICOM</t>
  </si>
  <si>
    <t>0012000000eAZUUAA4</t>
  </si>
  <si>
    <t>63fcbb89a107c871cf565b29</t>
  </si>
  <si>
    <t>SOKATEL</t>
  </si>
  <si>
    <t>0010J000025rfNfQAI</t>
  </si>
  <si>
    <t>63ced84ac5c820531c269059</t>
  </si>
  <si>
    <t>Sol Distribution Limited</t>
  </si>
  <si>
    <t>0012000001g4zurAAA</t>
  </si>
  <si>
    <t>63fcbb7da107c871cf56459d</t>
  </si>
  <si>
    <t>SOLSTIS SAS</t>
  </si>
  <si>
    <t>0012000000eAYudAAG</t>
  </si>
  <si>
    <t>63fcbb7fa107c871cf564939</t>
  </si>
  <si>
    <t>SOLULEASE/ HTAG</t>
  </si>
  <si>
    <t>caroline.maugere@al-enterprise.com, dominique.morvan@al-enterprise.com</t>
  </si>
  <si>
    <t>0012000001Td6hxAAB</t>
  </si>
  <si>
    <t>63ced84cc5c820531c269635</t>
  </si>
  <si>
    <t>SOLUNET S.R.L.</t>
  </si>
  <si>
    <t>0012000000ohXNQAA2</t>
  </si>
  <si>
    <t>63fcbb8ca107c871cf56626f</t>
  </si>
  <si>
    <t>SolutionData</t>
  </si>
  <si>
    <t>0015I00000UpKTEQA3</t>
  </si>
  <si>
    <t>633dbd0d7d81b978d40bc34b</t>
  </si>
  <si>
    <t>SolutionInc Limited</t>
  </si>
  <si>
    <t>0015I00000X0WRnQAN</t>
  </si>
  <si>
    <t>63ced847c5c820531c268a32</t>
  </si>
  <si>
    <t>Solutions by STC</t>
  </si>
  <si>
    <t>0012000000eAZ8tAAG</t>
  </si>
  <si>
    <t>63fcbb97a107c871cf5675cb</t>
  </si>
  <si>
    <t>SOLUTIONS INFORMATIQUES</t>
  </si>
  <si>
    <t>0010J00002BWujAQAT</t>
  </si>
  <si>
    <t>63ced841c5c820531c267e2f</t>
  </si>
  <si>
    <t>SOLVEM Consulting (PTY) LTD</t>
  </si>
  <si>
    <t>0015I00000RIcQZQA1</t>
  </si>
  <si>
    <t>63ced841c5c820531c267d7b</t>
  </si>
  <si>
    <t>SONATEL SA</t>
  </si>
  <si>
    <t>0012000000eAYSmAAO</t>
  </si>
  <si>
    <t>65d37ff5bc374ab656036c68</t>
  </si>
  <si>
    <t>SONEPAR COLOMBIA SAS</t>
  </si>
  <si>
    <t>rui.silva@al-enterprise.com, carolina.rodriguez@al-enterprise.com</t>
  </si>
  <si>
    <t>0012000001EBwxSAAT</t>
  </si>
  <si>
    <t>647dcd2a1dc40e320e5765b3</t>
  </si>
  <si>
    <t>SORINT.LAB Spa</t>
  </si>
  <si>
    <t>philippe.girard@al-enterprise.com, rui.silva@al-enterprise.com, astrid.savorani@al-enterprise.com, andrea.scaietti@al-enterprise.com, gian-luigi.cassago@al-enterprise.com</t>
  </si>
  <si>
    <t>0015I00000iMnf7QAC</t>
  </si>
  <si>
    <t>63fcbb8aa107c871cf565e63</t>
  </si>
  <si>
    <t>SOS Informatique</t>
  </si>
  <si>
    <t>0015I00000d3I0OQAU</t>
  </si>
  <si>
    <t>63ef9d5b384f27260c1ba833</t>
  </si>
  <si>
    <t>SOUTH WEST COMMUNICATIONS GROUP LTD</t>
  </si>
  <si>
    <t>0012000000eAYuuAAG</t>
  </si>
  <si>
    <t>SOUTH WEST COMMUNICATIONS GROUP</t>
  </si>
  <si>
    <t>63ef9d5f384f27260c1bafcd</t>
  </si>
  <si>
    <t>Southern Communications Corporate Solutions Limited</t>
  </si>
  <si>
    <t>0012000000eAYvwAAG</t>
  </si>
  <si>
    <t>Southern Communications Corporate</t>
  </si>
  <si>
    <t>63fcbb7fa107c871cf56499b</t>
  </si>
  <si>
    <t>Specialized &amp; Interactive Systems</t>
  </si>
  <si>
    <t>0010J000027B9stQAC</t>
  </si>
  <si>
    <t>63ef9d5a384f27260c1ba74b</t>
  </si>
  <si>
    <t>SpeedCom AG</t>
  </si>
  <si>
    <t>martin.nickel@al-enterprise.com</t>
  </si>
  <si>
    <t>LI</t>
  </si>
  <si>
    <t>0012000000tuSCSAA2</t>
  </si>
  <si>
    <t>63ea6e9352ad6968805cea9b</t>
  </si>
  <si>
    <t>SPIE BTAT</t>
  </si>
  <si>
    <t>0012000000eAYoXAAW</t>
  </si>
  <si>
    <t>SPIE BTAT GmbH</t>
  </si>
  <si>
    <t>63fcbb83a107c871cf5650b7</t>
  </si>
  <si>
    <t>SPIE Buchmann GmbH</t>
  </si>
  <si>
    <t>andreas.grossheimann@al-enterprise.com, niels.hass@al-enterprise.com, gunther.hahn@al-enterprise.com</t>
  </si>
  <si>
    <t>0012000001HKm1PAAT</t>
  </si>
  <si>
    <t>63fcbb7ea107c871cf564717</t>
  </si>
  <si>
    <t>Spie Communications</t>
  </si>
  <si>
    <t>0012000001L7OYZAA3</t>
  </si>
  <si>
    <t>Spie ICS</t>
  </si>
  <si>
    <t>63ced842c5c820531c267fc4</t>
  </si>
  <si>
    <t>SPIE Information &amp; Communication Services GmbH</t>
  </si>
  <si>
    <t>andreas.grossheimann@al-enterprise.com, niels.hass@al-enterprise.com, gunther.hahn@al-enterprise.com, katrin.pfeiffer@al-enterprise.com, sibylle.klopfer@al-enterprise.com, igor.leko@al-enterprise.com</t>
  </si>
  <si>
    <t>0012000000eAYUAAA4</t>
  </si>
  <si>
    <t>SPIE Information &amp; Communication</t>
  </si>
  <si>
    <t>63fcbb7fa107c871cf5648c9</t>
  </si>
  <si>
    <t>SPIE Nederland B.V.</t>
  </si>
  <si>
    <t>0012000000tuSHiAAM</t>
  </si>
  <si>
    <t>63fcbb94a107c871cf56707d</t>
  </si>
  <si>
    <t>SPIE SUD-EST</t>
  </si>
  <si>
    <t>00120000013qYSfAAM</t>
  </si>
  <si>
    <t>63fcbb9da107c871cf567f25</t>
  </si>
  <si>
    <t>SPOC IT</t>
  </si>
  <si>
    <t>0010J00002BWvOnQAL</t>
  </si>
  <si>
    <t>63ced84ac5c820531c2691d0</t>
  </si>
  <si>
    <t>SPRINGLAB DISTRIBUTION SDN BHD</t>
  </si>
  <si>
    <t>0012000001Nbjq4AAB</t>
  </si>
  <si>
    <t>63fcbb83a107c871cf565039</t>
  </si>
  <si>
    <t>Sprint S.A.</t>
  </si>
  <si>
    <t>0012000000eAZURAA4</t>
  </si>
  <si>
    <t>63fcbb92a107c871cf566be5</t>
  </si>
  <si>
    <t>SPRINT TELECOM</t>
  </si>
  <si>
    <t>0012000000zxgDNAAY</t>
  </si>
  <si>
    <t>63fcbb89a107c871cf565b7d</t>
  </si>
  <si>
    <t>SSI TECH</t>
  </si>
  <si>
    <t>0015I000003I6Q2QAK</t>
  </si>
  <si>
    <t>63fcbb9ba107c871cf567d3b</t>
  </si>
  <si>
    <t>SSIM EXPERT</t>
  </si>
  <si>
    <t>0015I00000bYoUOQA0</t>
  </si>
  <si>
    <t>63ea6e9552ad6968805ceec3</t>
  </si>
  <si>
    <t>SSM Rhein-Ruhr GmbH</t>
  </si>
  <si>
    <t>0012000000tvKGBAA2</t>
  </si>
  <si>
    <t>63fcbb7fa107c871cf5648f3</t>
  </si>
  <si>
    <t>SSP Converged Solutions, Inc.</t>
  </si>
  <si>
    <t>0010J00001sMGyjQAG</t>
  </si>
  <si>
    <t>63ced841c5c820531c267f2e</t>
  </si>
  <si>
    <t>ST Engineering Advanced Networks</t>
  </si>
  <si>
    <t>0012000000eAYvFAAW</t>
  </si>
  <si>
    <t>63ced846c5c820531c268843</t>
  </si>
  <si>
    <t>ST Engineering Infa Systems Limited</t>
  </si>
  <si>
    <t>0012000000eAYfXAAW</t>
  </si>
  <si>
    <t>63fcbb94a107c871cf567053</t>
  </si>
  <si>
    <t>ST2I RHONE-ALPES</t>
  </si>
  <si>
    <t>0012000000tvKZzAAM</t>
  </si>
  <si>
    <t>63ea6e9552ad6968805ced81</t>
  </si>
  <si>
    <t>STAMM GmbH</t>
  </si>
  <si>
    <t>0012000000eAYsQAAW</t>
  </si>
  <si>
    <t>63fcbb9da107c871cf567f4f</t>
  </si>
  <si>
    <t>STAREVA</t>
  </si>
  <si>
    <t>0012000000mxJ1HAAU</t>
  </si>
  <si>
    <t>63fcbb83a107c871cf56517b</t>
  </si>
  <si>
    <t>STARTEC TELECOMUNICACOES LTDA</t>
  </si>
  <si>
    <t>0012000000tvKGGAA2</t>
  </si>
  <si>
    <t>63ced842c5c820531c267f6a</t>
  </si>
  <si>
    <t>Starview International Pte Ltd</t>
  </si>
  <si>
    <t>0012000001JaihuAAB</t>
  </si>
  <si>
    <t>63fcbb91a107c871cf566b83</t>
  </si>
  <si>
    <t>STCE PROVENCE</t>
  </si>
  <si>
    <t>0012000000tuSBSAA2</t>
  </si>
  <si>
    <t>63ea6e9452ad6968805cec07</t>
  </si>
  <si>
    <t>steep GmbH</t>
  </si>
  <si>
    <t>0015I00000egohRQAQ</t>
  </si>
  <si>
    <t>63ef9d54384f27260c1b9ee3</t>
  </si>
  <si>
    <t>STELOGY</t>
  </si>
  <si>
    <t>rui.silva@al-enterprise.com, christophe.curcuru@al-enterprise.com, john.white@al-enterprise.com</t>
  </si>
  <si>
    <t>0012000000eAYh3AAG</t>
  </si>
  <si>
    <t>63fcbb95a107c871cf5671f7</t>
  </si>
  <si>
    <t>STH</t>
  </si>
  <si>
    <t>0010J00001sLiLbQAK</t>
  </si>
  <si>
    <t>63fcbb8ea107c871cf566627</t>
  </si>
  <si>
    <t>STI BRETAGNE</t>
  </si>
  <si>
    <t>00120000013qYTNAA2</t>
  </si>
  <si>
    <t>63fcbb9aa107c871cf567aef</t>
  </si>
  <si>
    <t>STIM PLUS</t>
  </si>
  <si>
    <t>0012000000ohXQlAAM</t>
  </si>
  <si>
    <t>63fcbb80a107c871cf564b4d</t>
  </si>
  <si>
    <t>STN ORANGE</t>
  </si>
  <si>
    <t>BJ</t>
  </si>
  <si>
    <t>0015I000009FEjdQAG</t>
  </si>
  <si>
    <t>65f1c265fe0e0724950f09f0</t>
  </si>
  <si>
    <t>Stone Security</t>
  </si>
  <si>
    <t>rui.silva@al-enterprise.com, michael-j.francis@al-enterprise.com, bill.rademacher@al-enterprise.com, jack.jachner@al-enterprise.com</t>
  </si>
  <si>
    <t>001SZ0000050Pd6YAE</t>
  </si>
  <si>
    <t>63fcbb98a107c871cf5677df</t>
  </si>
  <si>
    <t>STOPTELECOM</t>
  </si>
  <si>
    <t>0012000000tvKcjAAE</t>
  </si>
  <si>
    <t>63fcbb99a107c871cf56785d</t>
  </si>
  <si>
    <t>STORDATA</t>
  </si>
  <si>
    <t>0012000001W8LswAAF</t>
  </si>
  <si>
    <t>63fcbb98a107c871cf567761</t>
  </si>
  <si>
    <t>STORI TELECOM</t>
  </si>
  <si>
    <t>0012000000tuSEIAA2</t>
  </si>
  <si>
    <t>63fcbb90a107c871cf5668c7</t>
  </si>
  <si>
    <t>STR NION</t>
  </si>
  <si>
    <t>0010J00002BX0rFQAT</t>
  </si>
  <si>
    <t>63ef9d5e384f27260c1baecb</t>
  </si>
  <si>
    <t>Streamline AG</t>
  </si>
  <si>
    <t>0012000000tvKG9AAM</t>
  </si>
  <si>
    <t>63fcbb84a107c871cf56531f</t>
  </si>
  <si>
    <t>STRYCOM</t>
  </si>
  <si>
    <t>0012000000tuSGnAAM</t>
  </si>
  <si>
    <t>63fcbb95a107c871cf5671b1</t>
  </si>
  <si>
    <t>STV</t>
  </si>
  <si>
    <t>0010J00001nEzGZQA0</t>
  </si>
  <si>
    <t>63fcbb89a107c871cf565b53</t>
  </si>
  <si>
    <t>SUDELPHONE</t>
  </si>
  <si>
    <t>0012000000eAYvjAAG</t>
  </si>
  <si>
    <t>67c5c0f7000543ac96095d12</t>
  </si>
  <si>
    <t>SUNNY CLOUD</t>
  </si>
  <si>
    <t>rui.silva@al-enterprise.com, iellis.zaamcha@al-enterprise.com</t>
  </si>
  <si>
    <t>001SZ000005tZTkYAM</t>
  </si>
  <si>
    <t>63ced843c5c820531c26823a</t>
  </si>
  <si>
    <t>Sunrise GmbH</t>
  </si>
  <si>
    <t>0012000000yhhoEAAQ</t>
  </si>
  <si>
    <t>63fcbb84a107c871cf56532d</t>
  </si>
  <si>
    <t>SuperMedia</t>
  </si>
  <si>
    <t>0015I00000d16PlQAI</t>
  </si>
  <si>
    <t>63ea6e9752ad6968805cf09f</t>
  </si>
  <si>
    <t>SWT trilan GmbH</t>
  </si>
  <si>
    <t>0012000000tuSHXAA2</t>
  </si>
  <si>
    <t>63ea6e9452ad6968805cec31</t>
  </si>
  <si>
    <t>SYBCOM Gesellschaft fur Netzwerke</t>
  </si>
  <si>
    <t>0012000000tuSF0AAM</t>
  </si>
  <si>
    <t>SYBCOM Gesellschaft für Netzwerke</t>
  </si>
  <si>
    <t>63fcbb82a107c871cf564ecd</t>
  </si>
  <si>
    <t>SYGLISIS OE</t>
  </si>
  <si>
    <t>0012000001OMo6CAAT</t>
  </si>
  <si>
    <t>63fcbb90a107c871cf566937</t>
  </si>
  <si>
    <t>Synelience</t>
  </si>
  <si>
    <t>0015I00000KkROdQAN</t>
  </si>
  <si>
    <t>63fcbb97a107c871cf5675e7</t>
  </si>
  <si>
    <t>0010J00002BXp9DQAT</t>
  </si>
  <si>
    <t>63ced84ac5c820531c2690c2</t>
  </si>
  <si>
    <t>SYNTEL ENKAY CONVERGED TECHNOLOGIES</t>
  </si>
  <si>
    <t>philippe.girard@al-enterprise.com, rui.silva@al-enterprise.com, prasath-l.rao@al-enterprise.com, sujit.shetty@al-enterprise.com</t>
  </si>
  <si>
    <t>0012000001WzOYJAA3</t>
  </si>
  <si>
    <t>63fcbb98a107c871cf5676f1</t>
  </si>
  <si>
    <t>SYNTHEXIA</t>
  </si>
  <si>
    <t>0012000000ohXQkAAM</t>
  </si>
  <si>
    <t>63fcbb9ca107c871cf567dd5</t>
  </si>
  <si>
    <t>SYSCAB</t>
  </si>
  <si>
    <t>0010J00002CEyMrQAL</t>
  </si>
  <si>
    <t>63ced849c5c820531c268e88</t>
  </si>
  <si>
    <t>sysob IT-Distribution GmbH &amp; Co.KG</t>
  </si>
  <si>
    <t>0010J00002AiSPKQA3</t>
  </si>
  <si>
    <t>63fcbb95a107c871cf5671a3</t>
  </si>
  <si>
    <t>SYSOCO</t>
  </si>
  <si>
    <t>0010J00001kwiv9QAA</t>
  </si>
  <si>
    <t>63fcbb83a107c871cf565063</t>
  </si>
  <si>
    <t>SysSense Computers</t>
  </si>
  <si>
    <t>00120000014inA3AAI</t>
  </si>
  <si>
    <t>63ef9d5b384f27260c1ba99b</t>
  </si>
  <si>
    <t>SYSTEL</t>
  </si>
  <si>
    <t>0012000000eAZLfAAO</t>
  </si>
  <si>
    <t>63ea6e9352ad6968805ceae1</t>
  </si>
  <si>
    <t>systel GmbH</t>
  </si>
  <si>
    <t>0012000000tuSHPAA2</t>
  </si>
  <si>
    <t>63fcbb91a107c871cf566a4f</t>
  </si>
  <si>
    <t>SYSTELCOM</t>
  </si>
  <si>
    <t>0012000000ohXRMAA2</t>
  </si>
  <si>
    <t>63fcbb91a107c871cf566a33</t>
  </si>
  <si>
    <t>SYSTELCOM GROUPE AXIANS</t>
  </si>
  <si>
    <t>0012000000eAYw6AAG</t>
  </si>
  <si>
    <t>63ea6e9452ad6968805cec69</t>
  </si>
  <si>
    <t>Systemhaus Weiss GmbH</t>
  </si>
  <si>
    <t>0012000000tuSDTAA2</t>
  </si>
  <si>
    <t>63fcbb86a107c871cf56564b</t>
  </si>
  <si>
    <t>Systems Analysis Services Inc.</t>
  </si>
  <si>
    <t>0010J000022r2ShQAI</t>
  </si>
  <si>
    <t>64eee803163512795839add3</t>
  </si>
  <si>
    <t>Systi Hi Tech Security srl</t>
  </si>
  <si>
    <t>0015I00000egohLQAQ</t>
  </si>
  <si>
    <t>63fcbb92a107c871cf566bd7</t>
  </si>
  <si>
    <t>T.C.S</t>
  </si>
  <si>
    <t>0012000000tvKeKAAU</t>
  </si>
  <si>
    <t>63fcbb98a107c871cf567657</t>
  </si>
  <si>
    <t>T.R.I.</t>
  </si>
  <si>
    <t>0012000000eAYwPAAW</t>
  </si>
  <si>
    <t>63fcbb98a107c871cf567665</t>
  </si>
  <si>
    <t>T2I</t>
  </si>
  <si>
    <t>0012000000eAYwQAAW</t>
  </si>
  <si>
    <t>63fcbb83a107c871cf565001</t>
  </si>
  <si>
    <t>T4B Sp. z o.o.</t>
  </si>
  <si>
    <t>0015I000004TNDyQAO</t>
  </si>
  <si>
    <t>63ced844c5c820531c268429</t>
  </si>
  <si>
    <t>Taiwan Jettone Telecommunication Co</t>
  </si>
  <si>
    <t>0012000000eAYwRAAW</t>
  </si>
  <si>
    <t>63ced848c5c820531c268d20</t>
  </si>
  <si>
    <t>TALDOR COMMUNICATIONS LTD</t>
  </si>
  <si>
    <t>0012000000eAZemAAG</t>
  </si>
  <si>
    <t>63ea6e9652ad6968805cefdb</t>
  </si>
  <si>
    <t>TBsB.net GmbH</t>
  </si>
  <si>
    <t>0012000000eAYyBAAW</t>
  </si>
  <si>
    <t>63ef9d5c384f27260c1bab65</t>
  </si>
  <si>
    <t>TC Plus Solutions</t>
  </si>
  <si>
    <t>0012000001YZBleAAH</t>
  </si>
  <si>
    <t>63fcbb92a107c871cf566c2b</t>
  </si>
  <si>
    <t>TCF</t>
  </si>
  <si>
    <t>0012000001OOCkmAAH</t>
  </si>
  <si>
    <t>63ced84ac5c820531c269158</t>
  </si>
  <si>
    <t>TCN Distribusjon AS</t>
  </si>
  <si>
    <t>0015I00000Bj1dfQAB</t>
  </si>
  <si>
    <t>63ced843c5c820531c268159</t>
  </si>
  <si>
    <t>TCNS, s.r.o.</t>
  </si>
  <si>
    <t>0012000000fJMdSAAW</t>
  </si>
  <si>
    <t>63ced84ec5c820531c269914</t>
  </si>
  <si>
    <t>TCSI of New Jersey, Inc.</t>
  </si>
  <si>
    <t>0012000000ohXRJAA2</t>
  </si>
  <si>
    <t>6299ff38f5acbb30cc0bd2d7</t>
  </si>
  <si>
    <t>TD Synnex Canada ULC</t>
  </si>
  <si>
    <t>philippe.girard@al-enterprise.com, rui.silva@al-enterprise.com, margret.moyle@al-enterprise.com, charlotte.holtzer@al-enterprise.com</t>
  </si>
  <si>
    <t>0015I00000VGexTQAT</t>
  </si>
  <si>
    <t>63ced84cc5c820531c2694a0</t>
  </si>
  <si>
    <t>TD SYNNEX Corporation (CA)</t>
  </si>
  <si>
    <t>0015I000005E5s0QAC</t>
  </si>
  <si>
    <t>63ea6e9552ad6968805cedc7</t>
  </si>
  <si>
    <t>TDC GmbH</t>
  </si>
  <si>
    <t>0012000000tuSBXAA2</t>
  </si>
  <si>
    <t>6643796fda88cedd7d0edad2</t>
  </si>
  <si>
    <t>TDL Canada</t>
  </si>
  <si>
    <t>0015I00000htoyxQAA</t>
  </si>
  <si>
    <t>63ef9d5e384f27260c1badab</t>
  </si>
  <si>
    <t>TDO</t>
  </si>
  <si>
    <t>0012000000tuSBYAA2</t>
  </si>
  <si>
    <t>63ced84bc5c820531c2693bf</t>
  </si>
  <si>
    <t>TEAM TELECOM SRL</t>
  </si>
  <si>
    <t>0010J00001jfknjQAA</t>
  </si>
  <si>
    <t>63fcbb7da107c871cf56467d</t>
  </si>
  <si>
    <t>Tebicom SA</t>
  </si>
  <si>
    <t>laurent.paterac@al-enterprise.com, walter.santarelli@al-enterprise.com, emma.bardey@al-enterprise.com</t>
  </si>
  <si>
    <t>0012000000tuSFDAA2</t>
  </si>
  <si>
    <t>66437bdd194a28d6d70ef062</t>
  </si>
  <si>
    <t>Tech First General Traiding W.L.L.</t>
  </si>
  <si>
    <t>001SZ000003G2SxYAK</t>
  </si>
  <si>
    <t>66437cc7e06cf969ff03e762</t>
  </si>
  <si>
    <t>Tech First Gulf Branch Company</t>
  </si>
  <si>
    <t>najeh.khalil@al-enterprise.com, ravin.naidu@al-enterprise.com, rahul.sharma1@al-enterprise.com, ahmad.ghulami@al-enterprise.com, ahmed.hamzawy@al-enterprise.com, musab.almulla@al-enterprise.com</t>
  </si>
  <si>
    <t>subsidiary</t>
  </si>
  <si>
    <t>001SZ000003G2SyYAK</t>
  </si>
  <si>
    <t>63ced84cc5c820531c2694af</t>
  </si>
  <si>
    <t>TECH FIRST GULF FZ LLC</t>
  </si>
  <si>
    <t>0015I00000QQlmXQAT</t>
  </si>
  <si>
    <t>66437e0e81c93d718400fea4</t>
  </si>
  <si>
    <t>Tech First Gulf Kenya</t>
  </si>
  <si>
    <t>najeh.khalil@al-enterprise.com, ravin.naidu@al-enterprise.com, rahul.sharma1@al-enterprise.com, stevious.moagi@al-enterprise.com, ahmed.hamzawy@al-enterprise.com</t>
  </si>
  <si>
    <t>001SZ000003G2SzYAK</t>
  </si>
  <si>
    <t>63fcbb83a107c871cf565197</t>
  </si>
  <si>
    <t>TECHNIC BUREAU</t>
  </si>
  <si>
    <t>0015I00000En6t7QAB</t>
  </si>
  <si>
    <t>63fcbb92a107c871cf566bc9</t>
  </si>
  <si>
    <t>TECHNICOM</t>
  </si>
  <si>
    <t>0012000000tvKGbAAM</t>
  </si>
  <si>
    <t>63fcbb93a107c871cf566ea1</t>
  </si>
  <si>
    <t>TECHNICOM SAS</t>
  </si>
  <si>
    <t>0010J00001p2RXWQA2</t>
  </si>
  <si>
    <t>63fcbb82a107c871cf564ea3</t>
  </si>
  <si>
    <t>TECHNICOPHONE</t>
  </si>
  <si>
    <t>0012000000tuSBaAAM</t>
  </si>
  <si>
    <t>63fcbb81a107c871cf564cb9</t>
  </si>
  <si>
    <t>TECHNO CONSULTING SRL</t>
  </si>
  <si>
    <t>0012000001JZwrSAAT</t>
  </si>
  <si>
    <t>63fcbb8aa107c871cf565d83</t>
  </si>
  <si>
    <t>TECHNO-SERVICE</t>
  </si>
  <si>
    <t>0010J00001nsIA7QAM</t>
  </si>
  <si>
    <t>63fcbb80a107c871cf564b93</t>
  </si>
  <si>
    <t>TECHNOLINE SOLUTIONS S.A</t>
  </si>
  <si>
    <t>0012000000tuSKWAA2</t>
  </si>
  <si>
    <t>63fcbb99a107c871cf5678f7</t>
  </si>
  <si>
    <t>TECHNOLOGIES-SERVICES</t>
  </si>
  <si>
    <t>0010J00001kRzSXQA0</t>
  </si>
  <si>
    <t>63ced845c5c820531c2686cc</t>
  </si>
  <si>
    <t>technology experts GmbH &amp; Co. KG</t>
  </si>
  <si>
    <t>0012000000tvKhQAAU</t>
  </si>
  <si>
    <t>63ef9d55384f27260c1b9fc5</t>
  </si>
  <si>
    <t>TECNIMART SL</t>
  </si>
  <si>
    <t>0012000000eAYx3AAG</t>
  </si>
  <si>
    <t>63ced84cc5c820531c269545</t>
  </si>
  <si>
    <t>TECNOTEL DI GABAS LISA</t>
  </si>
  <si>
    <t>0012000000tvKhgAAE</t>
  </si>
  <si>
    <t>63fcbb81a107c871cf564d37</t>
  </si>
  <si>
    <t>Tein Technology</t>
  </si>
  <si>
    <t>0012000001HphHrAAJ</t>
  </si>
  <si>
    <t>63ced84ec5c820531c26987e</t>
  </si>
  <si>
    <t>Tel-Com Systems of Ohio</t>
  </si>
  <si>
    <t>0012000000q7wcqAAA</t>
  </si>
  <si>
    <t>63fcbb7ea107c871cf564875</t>
  </si>
  <si>
    <t>TELALCA S.A.</t>
  </si>
  <si>
    <t>0012000000eAYxLAAW</t>
  </si>
  <si>
    <t>63ced849c5c820531c268ee2</t>
  </si>
  <si>
    <t>TELCOLOMBIA SAS</t>
  </si>
  <si>
    <t>0015I000004TKlIQAW</t>
  </si>
  <si>
    <t>63ced845c5c820531c268744</t>
  </si>
  <si>
    <t>Tele Dynamics Global Com Sdn Bhd</t>
  </si>
  <si>
    <t>0010J00001s2sGrQAI</t>
  </si>
  <si>
    <t>63ced846c5c820531c26889d</t>
  </si>
  <si>
    <t>Tele2 Sverige AB.</t>
  </si>
  <si>
    <t>0012000000es4GAAAY</t>
  </si>
  <si>
    <t>63ced843c5c820531c2681d1</t>
  </si>
  <si>
    <t>TELEBUREAU CA</t>
  </si>
  <si>
    <t>0012000000eAYxgAAG</t>
  </si>
  <si>
    <t>63fcbb88a107c871cf565af1</t>
  </si>
  <si>
    <t>TELEC SA</t>
  </si>
  <si>
    <t>0012000000tvKZVAA2</t>
  </si>
  <si>
    <t>63fcbb96a107c871cf5673b7</t>
  </si>
  <si>
    <t>TELECOM 2000</t>
  </si>
  <si>
    <t>00120000013qYTMAA2</t>
  </si>
  <si>
    <t>683582c8966a33c8900741c2</t>
  </si>
  <si>
    <t>Telecom Enterprise</t>
  </si>
  <si>
    <t>rui.silva@al-enterprise.com, vassilis.xenakis@al-enterprise.com, yasmine.hadoui@al-enterprise.com</t>
  </si>
  <si>
    <t>001SZ00000Ws4CRYAZ</t>
  </si>
  <si>
    <t>63fcbb8fa107c871cf5666f9</t>
  </si>
  <si>
    <t>TELECOM MONETIQUE</t>
  </si>
  <si>
    <t>0012000000mxJ2HAAU</t>
  </si>
  <si>
    <t>63fcbb7da107c871cf564629</t>
  </si>
  <si>
    <t>TELECOM NORDEN AS</t>
  </si>
  <si>
    <t>0012000000eAYxlAAG</t>
  </si>
  <si>
    <t>63ea6e9552ad6968805ced2d</t>
  </si>
  <si>
    <t>Telecom Partner in Dresden GmbH</t>
  </si>
  <si>
    <t>0012000000tvKGpAAM</t>
  </si>
  <si>
    <t>63ef9d58384f27260c1ba501</t>
  </si>
  <si>
    <t>Telecommunications Unlimited, Inc.</t>
  </si>
  <si>
    <t>0010J00001nBi8eQAC</t>
  </si>
  <si>
    <t>63fcbb81a107c871cf564c65</t>
  </si>
  <si>
    <t>TELECOMS ENTREPRISES</t>
  </si>
  <si>
    <t>0012000000tuSESAA2</t>
  </si>
  <si>
    <t>63fcbb7fa107c871cf564963</t>
  </si>
  <si>
    <t>TELECONCEPTS</t>
  </si>
  <si>
    <t>0012000000tuSDdAAM</t>
  </si>
  <si>
    <t>63fcbb89a107c871cf565bed</t>
  </si>
  <si>
    <t>TELECONSULT</t>
  </si>
  <si>
    <t>0015I00000T6eERQAZ</t>
  </si>
  <si>
    <t>63ced84ec5c820531c269923</t>
  </si>
  <si>
    <t>TeleCourier Communications</t>
  </si>
  <si>
    <t>0012000000ohXSVAA2</t>
  </si>
  <si>
    <t>63ced847c5c820531c268ad7</t>
  </si>
  <si>
    <t>Teledatacom Phils. Inc.</t>
  </si>
  <si>
    <t>0012000000mxIpiAAE</t>
  </si>
  <si>
    <t>6836f39029bec4e5550a0662</t>
  </si>
  <si>
    <t>Telefax S.A.</t>
  </si>
  <si>
    <t>0012000000myZqJAAU</t>
  </si>
  <si>
    <t>63ea6e9352ad6968805cea47</t>
  </si>
  <si>
    <t>TELEFOMATIC SYSTEMHAUS GMBH</t>
  </si>
  <si>
    <t>0012000000eAYy8AAG</t>
  </si>
  <si>
    <t>Telefomatic Systemhaus GmbH</t>
  </si>
  <si>
    <t>63ea6e9652ad6968805cef87</t>
  </si>
  <si>
    <t>Telefon Datentechnik Kraft GmbH</t>
  </si>
  <si>
    <t>0012000000eAYy9AAG</t>
  </si>
  <si>
    <t>Telefon  Datentechnik Kraft GmbH</t>
  </si>
  <si>
    <t>63ea6e9652ad6968805cef33</t>
  </si>
  <si>
    <t>Telefon- &amp; Fernmelde-Service</t>
  </si>
  <si>
    <t>0012000000eAYdkAAG</t>
  </si>
  <si>
    <t>63ea6e9352ad6968805ceb51</t>
  </si>
  <si>
    <t>Telefon-Systeme Ernst Schmid GmbH</t>
  </si>
  <si>
    <t>0012000000tvKH4AAM</t>
  </si>
  <si>
    <t>63ea6e9752ad6968805cf091</t>
  </si>
  <si>
    <t>Telefonbau Schneider GmbH &amp; Co. KG.</t>
  </si>
  <si>
    <t>0012000000tvKHAAA2</t>
  </si>
  <si>
    <t>633dbd4048bd86081331f510</t>
  </si>
  <si>
    <t>Telefonica Brasil S.A.</t>
  </si>
  <si>
    <t>paola.sa@al-enterprise.com, gabriel.pires@al-enterprise.com</t>
  </si>
  <si>
    <t>0015I00000Yssg0QAB</t>
  </si>
  <si>
    <t>63ef9d60384f27260c1bb10d</t>
  </si>
  <si>
    <t>TELEFONICA SOLUCIONES INFORMATICA Y COMUNICACIONES DE ESPANA S.A.U.</t>
  </si>
  <si>
    <t>astrid.savorani@al-enterprise.com, rafael.andreo@al-enterprise.com, esther.alonso@al-enterprise.com, angel.montoya@al-enterprise.com, marcos.rodriguez@al-enterprise.com</t>
  </si>
  <si>
    <t>0012000000eAYyNAAW</t>
  </si>
  <si>
    <t>TELEFONICA SOLUCIONES INFORMATICA</t>
  </si>
  <si>
    <t>63ef9d5d384f27260c1baceb</t>
  </si>
  <si>
    <t>Telegamma - Direzione Treviso</t>
  </si>
  <si>
    <t>0012000000tuSBeAAM</t>
  </si>
  <si>
    <t>63ced841c5c820531c267e4d</t>
  </si>
  <si>
    <t>Teleinformatica en Servicios</t>
  </si>
  <si>
    <t>0012000000gwXryAAE</t>
  </si>
  <si>
    <t>63ced843c5c820531c26814a</t>
  </si>
  <si>
    <t>Telekom Rendszerintegráció Zrt.</t>
  </si>
  <si>
    <t>0012000000eAZ6aAAG</t>
  </si>
  <si>
    <t>63ea6e9552ad6968805cee45</t>
  </si>
  <si>
    <t>Telekommunikation Beratung &amp;</t>
  </si>
  <si>
    <t>0012000000tuSEYAA2</t>
  </si>
  <si>
    <t>63ced848c5c820531c268c03</t>
  </si>
  <si>
    <t>Telekomunikacije Racunari Servisi</t>
  </si>
  <si>
    <t>RS</t>
  </si>
  <si>
    <t>0012000000ikkWBAAY</t>
  </si>
  <si>
    <t>63fcbb9ca107c871cf567dff</t>
  </si>
  <si>
    <t>TELELEC DATACOM</t>
  </si>
  <si>
    <t>0012000000eAYyYAAW</t>
  </si>
  <si>
    <t>66a8f2cbd10da1e3f70efee2</t>
  </si>
  <si>
    <t>Telelink Business Systems</t>
  </si>
  <si>
    <t>philippe.girard@al-enterprise.com, rui.silva@al-enterprise.com, paul.pan@al-enterprise.com, nicole.gorman@al-enterprise.com</t>
  </si>
  <si>
    <t>0012000000mxInrAAE</t>
  </si>
  <si>
    <t>Telelink</t>
  </si>
  <si>
    <t>63ced848c5c820531c268bf4</t>
  </si>
  <si>
    <t>Telemach, sirokopasovne</t>
  </si>
  <si>
    <t>SI</t>
  </si>
  <si>
    <t>0012000000eAZe1AAG</t>
  </si>
  <si>
    <t>Telemach Slovenija d.o.o.</t>
  </si>
  <si>
    <t>64466fad136de17627345797</t>
  </si>
  <si>
    <t>Telematics Advanced Technologies LL</t>
  </si>
  <si>
    <t>00120000018XshHAAS</t>
  </si>
  <si>
    <t>63ced848c5c820531c268c21</t>
  </si>
  <si>
    <t>TELEMONT D.O.O.</t>
  </si>
  <si>
    <t>ME</t>
  </si>
  <si>
    <t>0015I00000bD9jeQAC</t>
  </si>
  <si>
    <t>63ced848c5c820531c268ce4</t>
  </si>
  <si>
    <t>Telenet BV</t>
  </si>
  <si>
    <t>0012000000eAYn4AAG</t>
  </si>
  <si>
    <t>63ea6e9652ad6968805ceedf</t>
  </si>
  <si>
    <t>TELENETWORK AG</t>
  </si>
  <si>
    <t>rui.silva@al-enterprise.com, robert.weinberger@al-enterprise.com</t>
  </si>
  <si>
    <t>0012000000tuSCjAAM</t>
  </si>
  <si>
    <t>63fcbb86a107c871cf5656c9</t>
  </si>
  <si>
    <t>Telent Technology Services Limited</t>
  </si>
  <si>
    <t>0015I00000SM0XiQAL</t>
  </si>
  <si>
    <t>63fcbb84a107c871cf5651f9</t>
  </si>
  <si>
    <t>TELEPH' ELEC SERVICES</t>
  </si>
  <si>
    <t>0012000000eAYyiAAG</t>
  </si>
  <si>
    <t>63fcbb89a107c871cf565b6f</t>
  </si>
  <si>
    <t>TELEPHONIE DU GATINAIS</t>
  </si>
  <si>
    <t>0015I000002NQYxQAO</t>
  </si>
  <si>
    <t>63fcbb9fa107c871cf5682eb</t>
  </si>
  <si>
    <t>TELEPHONIE Plus</t>
  </si>
  <si>
    <t>0012000000eAZLEAA4</t>
  </si>
  <si>
    <t>63fcbb85a107c871cf5653ab</t>
  </si>
  <si>
    <t>Telephony Communication</t>
  </si>
  <si>
    <t>0010J00001mmDfRQAU</t>
  </si>
  <si>
    <t>63ef9d59384f27260c1ba545</t>
  </si>
  <si>
    <t>Telephony Telecommunications &amp; Electronics Tech L.L.C</t>
  </si>
  <si>
    <t>0012000000tuSGkAAM</t>
  </si>
  <si>
    <t>Telephony Telecommunications</t>
  </si>
  <si>
    <t>63fcbb84a107c871cf5652bd</t>
  </si>
  <si>
    <t>TELESUL</t>
  </si>
  <si>
    <t>0010J00001m0CghQAE</t>
  </si>
  <si>
    <t>63ced842c5c820531c26802d</t>
  </si>
  <si>
    <t>TeleSys Kommunikationstechnik GmbH</t>
  </si>
  <si>
    <t>0012000000eAYz4AAG</t>
  </si>
  <si>
    <t>63ced845c5c820531c2686ae</t>
  </si>
  <si>
    <t>TeleTech GmbH</t>
  </si>
  <si>
    <t>0012000000eAYxcAAG</t>
  </si>
  <si>
    <t>63ced845c5c820531c268591</t>
  </si>
  <si>
    <t>Teletech Solution Co.,Ltd.</t>
  </si>
  <si>
    <t>0012000001NdooLAAR</t>
  </si>
  <si>
    <t>63ea6e9552ad6968805ceea7</t>
  </si>
  <si>
    <t>teletronic</t>
  </si>
  <si>
    <t>0012000000oi32DAAQ</t>
  </si>
  <si>
    <t>63fcbb8ba107c871cf56603f</t>
  </si>
  <si>
    <t>TELEVALLS, S.L.U.</t>
  </si>
  <si>
    <t>0012000000tvKTiAAM</t>
  </si>
  <si>
    <t>63fcbb86a107c871cf565579</t>
  </si>
  <si>
    <t>TELIMA INFOSERVICES</t>
  </si>
  <si>
    <t>0012000000tvKFEAA2</t>
  </si>
  <si>
    <t>63ef9d5f384f27260c1baf4b</t>
  </si>
  <si>
    <t>TELIS</t>
  </si>
  <si>
    <t>0012000000eAYzEAAW</t>
  </si>
  <si>
    <t>63ced848c5c820531c268cd5</t>
  </si>
  <si>
    <t>Telkea ICT S.A.</t>
  </si>
  <si>
    <t>patrick.dewindt@al-enterprise.com</t>
  </si>
  <si>
    <t>0012000000eAYyvAAG</t>
  </si>
  <si>
    <t>63ced845c5c820531c2686bd</t>
  </si>
  <si>
    <t>TELKO GmbH Saalfeld</t>
  </si>
  <si>
    <t>0012000000eAYzFAAW</t>
  </si>
  <si>
    <t>63ced849c5c820531c268ec4</t>
  </si>
  <si>
    <t>TELMARK DATA S.A.C.</t>
  </si>
  <si>
    <t>0010J000028Fs6sQAC</t>
  </si>
  <si>
    <t>63ef9d5f384f27260c1bb06d</t>
  </si>
  <si>
    <t>TELMO</t>
  </si>
  <si>
    <t>0012000000eAYytAAG</t>
  </si>
  <si>
    <t>63ea6e9352ad6968805cea7f</t>
  </si>
  <si>
    <t>Telonic GmbH</t>
  </si>
  <si>
    <t>0012000000tuSCrAAM</t>
  </si>
  <si>
    <t>63ced84ec5c820531c269932</t>
  </si>
  <si>
    <t>Telspan International LTD, Inc.</t>
  </si>
  <si>
    <t>0012000000xCuesAAC</t>
  </si>
  <si>
    <t>63ea6e9752ad6968805cf139</t>
  </si>
  <si>
    <t>TELTRON &amp; SIMET GmbH</t>
  </si>
  <si>
    <t>0012000000tuSBlAAM</t>
  </si>
  <si>
    <t>63ef9d5d384f27260c1baca7</t>
  </si>
  <si>
    <t>TELYCAL S.L.</t>
  </si>
  <si>
    <t>astrid.savorani@al-enterprise.com, rafael.andreo@al-enterprise.com, esther.alonso@al-enterprise.com, marcos.rodriguez@al-enterprise.com, borja.gonzalvez@al-enterprise.com</t>
  </si>
  <si>
    <t>0012000000tuSBmAAM</t>
  </si>
  <si>
    <t>63fcbb9da107c871cf568083</t>
  </si>
  <si>
    <t>TENEO</t>
  </si>
  <si>
    <t>0015I00000ei8FWQAY</t>
  </si>
  <si>
    <t>63fcbb85a107c871cf5653f1</t>
  </si>
  <si>
    <t>Tera Systems</t>
  </si>
  <si>
    <t>0012000001ic0rAAAQ</t>
  </si>
  <si>
    <t>63fcbb89a107c871cf565cb1</t>
  </si>
  <si>
    <t>TERANIS</t>
  </si>
  <si>
    <t>0012000000tuSApAAM</t>
  </si>
  <si>
    <t>63ea6e9752ad6968805cf1a9</t>
  </si>
  <si>
    <t>Teskom GmbH</t>
  </si>
  <si>
    <t>0012000000eAYzYAAW</t>
  </si>
  <si>
    <t>63fcbb7da107c871cf564653</t>
  </si>
  <si>
    <t>Tessco Incorporated</t>
  </si>
  <si>
    <t>0012000000eAZj9AAG</t>
  </si>
  <si>
    <t>63fcbb93a107c871cf566e23</t>
  </si>
  <si>
    <t>TETHYS</t>
  </si>
  <si>
    <t>0015I00000QRHX9QAP</t>
  </si>
  <si>
    <t>63fcbb9ca107c871cf567e45</t>
  </si>
  <si>
    <t>TF2I</t>
  </si>
  <si>
    <t>0012000001ASHOOAA5</t>
  </si>
  <si>
    <t>63ea6e9452ad6968805cec93</t>
  </si>
  <si>
    <t>TFA Gesellschaft fur</t>
  </si>
  <si>
    <t>0012000000tuSBnAAM</t>
  </si>
  <si>
    <t>TFA Gesellschaft für</t>
  </si>
  <si>
    <t>63fcbb8aa107c871cf565df3</t>
  </si>
  <si>
    <t>TFC - AUXERRE</t>
  </si>
  <si>
    <t>0012000001HM20TAAT</t>
  </si>
  <si>
    <t>63fcbb90a107c871cf5668f1</t>
  </si>
  <si>
    <t>TFC - BLOIS</t>
  </si>
  <si>
    <t>0012000001HM20UAAT</t>
  </si>
  <si>
    <t>63fcbb96a107c871cf5673fd</t>
  </si>
  <si>
    <t>TFC - Bourges</t>
  </si>
  <si>
    <t>0012000001HphFwAAJ</t>
  </si>
  <si>
    <t>63fcbb9aa107c871cf567b5f</t>
  </si>
  <si>
    <t>TFC - CHARTRES</t>
  </si>
  <si>
    <t>0012000001HM20iAAD</t>
  </si>
  <si>
    <t>63fcbb96a107c871cf5673e1</t>
  </si>
  <si>
    <t>TFC - CLERMONT</t>
  </si>
  <si>
    <t>0012000001HM20XAAT</t>
  </si>
  <si>
    <t>63fcbb96a107c871cf5673ef</t>
  </si>
  <si>
    <t>TFC - LE PUY EN VELAY</t>
  </si>
  <si>
    <t>0012000001HM20qAAD</t>
  </si>
  <si>
    <t>63fcbb9da107c871cf567f95</t>
  </si>
  <si>
    <t>TFC - LIMOGES</t>
  </si>
  <si>
    <t>0012000001HM20hAAD</t>
  </si>
  <si>
    <t>63fcbb96a107c871cf5673d3</t>
  </si>
  <si>
    <t>TFC - LYON</t>
  </si>
  <si>
    <t>0012000001HM20WAAT</t>
  </si>
  <si>
    <t>63fcbb90a107c871cf56691b</t>
  </si>
  <si>
    <t>TFC - TOURS</t>
  </si>
  <si>
    <t>0012000001HM20pAAD</t>
  </si>
  <si>
    <t>63ea6e9652ad6968805cef5d</t>
  </si>
  <si>
    <t>TFI-Systeme Radeberg GmbH</t>
  </si>
  <si>
    <t>0012000000eAYzgAAG</t>
  </si>
  <si>
    <t>63fcbb97a107c871cf5674f9</t>
  </si>
  <si>
    <t>THALES Communications and Security (1607)</t>
  </si>
  <si>
    <t>0012000000eAYzjAAG</t>
  </si>
  <si>
    <t>THALES Communications and Security</t>
  </si>
  <si>
    <t>63fcbb97a107c871cf567515</t>
  </si>
  <si>
    <t>THALES Communications and Security (new 11640)</t>
  </si>
  <si>
    <t>0015I00000WCrg3QAD</t>
  </si>
  <si>
    <t>63fcbb97a107c871cf567507</t>
  </si>
  <si>
    <t>THALES Group</t>
  </si>
  <si>
    <t>0012000000eAYziAAG</t>
  </si>
  <si>
    <t>63fcbb7ea107c871cf564805</t>
  </si>
  <si>
    <t>Thales Portugal</t>
  </si>
  <si>
    <t>00120000014in2lAAA</t>
  </si>
  <si>
    <t>GTSPT</t>
  </si>
  <si>
    <t>63fcbb9ea107c871cf5681d3</t>
  </si>
  <si>
    <t>THDTELECOM</t>
  </si>
  <si>
    <t>0012000001gNKdCAAW</t>
  </si>
  <si>
    <t>63ced848c5c820531c268cc6</t>
  </si>
  <si>
    <t>THE FRAME GROUP PTY LIMITED</t>
  </si>
  <si>
    <t>0015I00000UAPchQAH</t>
  </si>
  <si>
    <t>63ea6e9752ad6968805cf163</t>
  </si>
  <si>
    <t>think about IT GmbH</t>
  </si>
  <si>
    <t>0010J00001whVelQAE</t>
  </si>
  <si>
    <t>63ef9d5e384f27260c1badcb</t>
  </si>
  <si>
    <t>TIBCO SERVICES</t>
  </si>
  <si>
    <t>0012000000tuSBoAAM</t>
  </si>
  <si>
    <t>63fcbb94a107c871cf567061</t>
  </si>
  <si>
    <t>TIMAS</t>
  </si>
  <si>
    <t>0012000000tvKcQAAU</t>
  </si>
  <si>
    <t>63fcbb94a107c871cf566f65</t>
  </si>
  <si>
    <t>TIMS</t>
  </si>
  <si>
    <t>0012000000eAZPxAAO</t>
  </si>
  <si>
    <t>63fcbb90a107c871cf566953</t>
  </si>
  <si>
    <t>TIPSS</t>
  </si>
  <si>
    <t>0015I00000ZsZbaQAF</t>
  </si>
  <si>
    <t>63fcbb9fa107c871cf56827b</t>
  </si>
  <si>
    <t>TISCOM</t>
  </si>
  <si>
    <t>0012000001aohEbAAI</t>
  </si>
  <si>
    <t>63ea6e9452ad6968805cebdd</t>
  </si>
  <si>
    <t>TK Netzwerktechnik GmbH</t>
  </si>
  <si>
    <t>andreas.grossheimann@al-enterprise.com, katrin.pfeiffer@al-enterprise.com, andre.ramm@al-enterprise.com, holger.viktor@al-enterprise.com, sibylle.klopfer@al-enterprise.com, igor.leko@al-enterprise.com</t>
  </si>
  <si>
    <t>enterprise_communication_platforms, rainbow_hybrid_ucaas, smb_communication_platforms, lan_network, wlan_network</t>
  </si>
  <si>
    <t>0012000000eAZ01AAG</t>
  </si>
  <si>
    <t>TK-Netzwerktechnik GmbH</t>
  </si>
  <si>
    <t>63ea6e9452ad6968805ceccb</t>
  </si>
  <si>
    <t>TK-Systeme Buscher</t>
  </si>
  <si>
    <t>0012000000tuSDtAAM</t>
  </si>
  <si>
    <t>TK-Systeme Büscher</t>
  </si>
  <si>
    <t>63fcbb99a107c871cf567905</t>
  </si>
  <si>
    <t>TLTI</t>
  </si>
  <si>
    <t>0010J00001nFFfGQAW</t>
  </si>
  <si>
    <t>63ea6e9752ad6968805cf1d3</t>
  </si>
  <si>
    <t>TM Telekommunikation und Management</t>
  </si>
  <si>
    <t>0012000000tuSIcAAM</t>
  </si>
  <si>
    <t>63fcbb97a107c871cf567489</t>
  </si>
  <si>
    <t>TMM Software</t>
  </si>
  <si>
    <t>0015I00000FZViJQAX</t>
  </si>
  <si>
    <t>63ef9d5f384f27260c1baf2b</t>
  </si>
  <si>
    <t>TNT IP SOLUTIONS</t>
  </si>
  <si>
    <t>0012000000tuSBpAAM</t>
  </si>
  <si>
    <t>63ced844c5c820531c2683fc</t>
  </si>
  <si>
    <t>TOAN THANG SYSTEM INTEGRATION CO.,</t>
  </si>
  <si>
    <t>0010J00001vH97NQAS</t>
  </si>
  <si>
    <t>63ced845c5c820531c2685dc</t>
  </si>
  <si>
    <t>TOENEC Corporation</t>
  </si>
  <si>
    <t>0012000000eAZeeAAG</t>
  </si>
  <si>
    <t>63fcbb9ca107c871cf567e0d</t>
  </si>
  <si>
    <t>TOPBIZ</t>
  </si>
  <si>
    <t>0012000000ohXMOAA2</t>
  </si>
  <si>
    <t>63fcbb8ca107c871cf5660cb</t>
  </si>
  <si>
    <t>TOULOUSE TELECOM SERVICE</t>
  </si>
  <si>
    <t>0015I000002MJ9lQAG</t>
  </si>
  <si>
    <t>63ced848c5c820531c268c8a</t>
  </si>
  <si>
    <t>TPIX PTY LTD</t>
  </si>
  <si>
    <t>0012000001aKmhXAAS</t>
  </si>
  <si>
    <t>63fcbb9fa107c871cf568251</t>
  </si>
  <si>
    <t>TRADLEXPORT</t>
  </si>
  <si>
    <t>0012000000tuSK0AAM</t>
  </si>
  <si>
    <t>63ef9d59384f27260c1ba5a5</t>
  </si>
  <si>
    <t>Trans Emirates Systems</t>
  </si>
  <si>
    <t>0010J00001yvJLyQAM</t>
  </si>
  <si>
    <t>67a5d5f929aefced430db0b2</t>
  </si>
  <si>
    <t>Transcore North America</t>
  </si>
  <si>
    <t>0010J00002BWRToQAP</t>
  </si>
  <si>
    <t>Transcore</t>
  </si>
  <si>
    <t>63ced84ac5c820531c269167</t>
  </si>
  <si>
    <t>Transition Systems and Networks</t>
  </si>
  <si>
    <t>0015I00000Em0AxQAJ</t>
  </si>
  <si>
    <t>63ced849c5c820531c268e6a</t>
  </si>
  <si>
    <t>Transource Computers</t>
  </si>
  <si>
    <t>0012000001cSamlAAC</t>
  </si>
  <si>
    <t>63fcbb92a107c871cf566b91</t>
  </si>
  <si>
    <t>TREES TELECOM</t>
  </si>
  <si>
    <t>0012000000tuSHUAA2</t>
  </si>
  <si>
    <t>63ced841c5c820531c267d99</t>
  </si>
  <si>
    <t>TRENDS &amp; TECHNOLOGIES INC</t>
  </si>
  <si>
    <t>0012000000eAYjUAAW</t>
  </si>
  <si>
    <t>67696ca3559b05e1b3063c22</t>
  </si>
  <si>
    <t>Tridon</t>
  </si>
  <si>
    <t>001SZ00000Dp7kqYAB</t>
  </si>
  <si>
    <t>63fcbb80a107c871cf564ba1</t>
  </si>
  <si>
    <t>TRIMARG TELECOM MAGIALS</t>
  </si>
  <si>
    <t>0015I000009FvItQAK</t>
  </si>
  <si>
    <t>63ced84bc5c820531c269428</t>
  </si>
  <si>
    <t>Triple C Cloud Computing Ltd</t>
  </si>
  <si>
    <t>0015I000002KV5xQAG</t>
  </si>
  <si>
    <t>63ced845c5c820531c268726</t>
  </si>
  <si>
    <t>TRISILCO RADIANCE COMMUNICATIONS</t>
  </si>
  <si>
    <t>0012000000eAZ0VAAW</t>
  </si>
  <si>
    <t>67a4e49bb05936bb7003d3eb</t>
  </si>
  <si>
    <t>TRL Systems, Inc.</t>
  </si>
  <si>
    <t>0015I00000j2NcvQAE</t>
  </si>
  <si>
    <t>63ea6e9452ad6968805cec15</t>
  </si>
  <si>
    <t>true networks e.K.</t>
  </si>
  <si>
    <t>0015I000003IUqFQAW</t>
  </si>
  <si>
    <t>682216b15d94fa42370e8032</t>
  </si>
  <si>
    <t>Trustmarque Solutions</t>
  </si>
  <si>
    <t>001SZ000008IWpkYAG</t>
  </si>
  <si>
    <t>63ef9d60384f27260c1bb08d</t>
  </si>
  <si>
    <t>TRUSTTEAM</t>
  </si>
  <si>
    <t>0012000000nkwYlAAI</t>
  </si>
  <si>
    <t>63fcbb82a107c871cf564edb</t>
  </si>
  <si>
    <t>TRUSTVISION LDA</t>
  </si>
  <si>
    <t>0012000000mxIm4AAE</t>
  </si>
  <si>
    <t>63fcbb94a107c871cf566f49</t>
  </si>
  <si>
    <t>TSA TELECOM SECURITE AUDIOVISUEL</t>
  </si>
  <si>
    <t>0012000000eAZ0cAAG</t>
  </si>
  <si>
    <t>63ced848c5c820531c268d11</t>
  </si>
  <si>
    <t>TSG IT Advanced Systems Ltd.</t>
  </si>
  <si>
    <t>0012000000eAZYlAAO</t>
  </si>
  <si>
    <t>66a8ff807a0c8cdfcc03fc52</t>
  </si>
  <si>
    <t>TSM Trading and Technical Service</t>
  </si>
  <si>
    <t>philippe.girard@al-enterprise.com, rui.silva@al-enterprise.com, anthony.cheng@al-enterprise.com</t>
  </si>
  <si>
    <t>001SZ00000E2S50YAF</t>
  </si>
  <si>
    <t>63ef9d5d384f27260c1bab85</t>
  </si>
  <si>
    <t>TULIPE TECHNOLOGY</t>
  </si>
  <si>
    <t>0010J00001vjM35QAE</t>
  </si>
  <si>
    <t>63ced845c5c820531c268636</t>
  </si>
  <si>
    <t>Tuqnia LLC</t>
  </si>
  <si>
    <t>najeh.khalil@al-enterprise.com, ravin.naidu@al-enterprise.com, rahul.sharma1@al-enterprise.com, ahmed.elbagoury@al-enterprise.com, ahmed.hamzawy@al-enterprise.com</t>
  </si>
  <si>
    <t>0012000001ZQWP9AAP</t>
  </si>
  <si>
    <t>63ced84dc5c820531c26977f</t>
  </si>
  <si>
    <t>Turtle &amp; Hughes</t>
  </si>
  <si>
    <t>0012000000eAZdIAAW</t>
  </si>
  <si>
    <t>63ef9d58384f27260c1ba479</t>
  </si>
  <si>
    <t>Twotrees Technologies</t>
  </si>
  <si>
    <t>0012000000szs3MAAQ</t>
  </si>
  <si>
    <t>63fcbb87a107c871cf565763</t>
  </si>
  <si>
    <t>TZAG ELITA LTD</t>
  </si>
  <si>
    <t>0015I00000e69hkQAA</t>
  </si>
  <si>
    <t>63ced844c5c820531c2683b1</t>
  </si>
  <si>
    <t>U&amp;M.E Corporation</t>
  </si>
  <si>
    <t>0012000000eAZWqAAO</t>
  </si>
  <si>
    <t>63fcbb82a107c871cf564f05</t>
  </si>
  <si>
    <t>U-Com A/S</t>
  </si>
  <si>
    <t>philippe.girard@al-enterprise.com, rui.silva@al-enterprise.com, joakim.ahrens@al-enterprise.com, christopher.weyell@al-enterprise.com</t>
  </si>
  <si>
    <t>DK</t>
  </si>
  <si>
    <t>0012000000eAZpfAAG</t>
  </si>
  <si>
    <t>63ced844c5c820531c268375</t>
  </si>
  <si>
    <t>UAB EIT Sprendimai</t>
  </si>
  <si>
    <t>LT</t>
  </si>
  <si>
    <t>0012000000eAZ0pAAG</t>
  </si>
  <si>
    <t>63ced84ac5c820531c268fff</t>
  </si>
  <si>
    <t>UCCX B.V. - Talksoon</t>
  </si>
  <si>
    <t>0015I00000RLcULQA1</t>
  </si>
  <si>
    <t>63ea6e9752ad6968805cf11d</t>
  </si>
  <si>
    <t>UHTelekom</t>
  </si>
  <si>
    <t>0012000000eAZXMAA4</t>
  </si>
  <si>
    <t>63ced846c5c820531c2687cb</t>
  </si>
  <si>
    <t>UMB Group AG</t>
  </si>
  <si>
    <t>rui.silva@al-enterprise.com, laurent.paterac@al-enterprise.com, ralph.huerlimann@al-enterprise.com, emma.bardey@al-enterprise.com</t>
  </si>
  <si>
    <t>0012000000eAYvvAAG</t>
  </si>
  <si>
    <t>63ced84ac5c820531c26902c</t>
  </si>
  <si>
    <t>Unentel Solucoes Tecnologicas Ltda</t>
  </si>
  <si>
    <t>0010J00001ytrCRQAY</t>
  </si>
  <si>
    <t>63fcbb89a107c871cf565c4f</t>
  </si>
  <si>
    <t>Unicom</t>
  </si>
  <si>
    <t>0015I00000gJQA8QAO</t>
  </si>
  <si>
    <t>63fcbb8ea107c871cf566501</t>
  </si>
  <si>
    <t>UNIMEDIA</t>
  </si>
  <si>
    <t>0010J00001kQZRxQAO</t>
  </si>
  <si>
    <t>63ced848c5c820531c268c12</t>
  </si>
  <si>
    <t>UNISTAR LC d.o.o., Ljubljana</t>
  </si>
  <si>
    <t>0012000000mxIw7AAE</t>
  </si>
  <si>
    <t>6488e1ea863dcd5166276ab3</t>
  </si>
  <si>
    <t>United Group</t>
  </si>
  <si>
    <t>0012000001BXDxvAAH</t>
  </si>
  <si>
    <t>63fcbb84a107c871cf565269</t>
  </si>
  <si>
    <t>United Othaim</t>
  </si>
  <si>
    <t>0015I00000TiD6YQAV</t>
  </si>
  <si>
    <t>63fcbb87a107c871cf5658c1</t>
  </si>
  <si>
    <t>UNITED TELECOM</t>
  </si>
  <si>
    <t>0012000000eAZ0yAAG</t>
  </si>
  <si>
    <t>63fcbb9fa107c871cf56826d</t>
  </si>
  <si>
    <t>UNITED TELECOM OUEST</t>
  </si>
  <si>
    <t>001200000139vV3AAI</t>
  </si>
  <si>
    <t>63ef9d60384f27260c1bb12d</t>
  </si>
  <si>
    <t>Unitel Com. Equip.Telecomunicacoes</t>
  </si>
  <si>
    <t>0012000000eAZ0zAAG</t>
  </si>
  <si>
    <t>63ced84ac5c820531c269176</t>
  </si>
  <si>
    <t>Universal Technics Co., Ltd.</t>
  </si>
  <si>
    <t>0012000000eAZ12AAG</t>
  </si>
  <si>
    <t>64466fad136de1762734574b</t>
  </si>
  <si>
    <t>Unji Nuw Prestação de Serviços e</t>
  </si>
  <si>
    <t>0015I00000h4cXrQAI</t>
  </si>
  <si>
    <t>63ea6e9352ad6968805ceb27</t>
  </si>
  <si>
    <t>UP Data Systems GmbH</t>
  </si>
  <si>
    <t>0012000000tuSGSAA2</t>
  </si>
  <si>
    <t>63fcbb88a107c871cf565a11</t>
  </si>
  <si>
    <t>UPDATE TELECOM</t>
  </si>
  <si>
    <t>0010J00001sLiLlQAK</t>
  </si>
  <si>
    <t>63ced848c5c820531c268ca8</t>
  </si>
  <si>
    <t>Uplinx Advanced Services</t>
  </si>
  <si>
    <t>0010J00002AjfsIQAR</t>
  </si>
  <si>
    <t>63ced843c5c820531c2681e0</t>
  </si>
  <si>
    <t>UPSISTEMAS S.A.S.</t>
  </si>
  <si>
    <t>0010J00001rZnL8QAK</t>
  </si>
  <si>
    <t>63fcbb89a107c871cf565ccd</t>
  </si>
  <si>
    <t>URANUS</t>
  </si>
  <si>
    <t>0012000000tuSEaAAM</t>
  </si>
  <si>
    <t>63ef9d59384f27260c1ba523</t>
  </si>
  <si>
    <t>UTM Tech19, Inc.</t>
  </si>
  <si>
    <t>0010J000028FIQ7QAO</t>
  </si>
  <si>
    <t>63ea6e9752ad6968805cf17f</t>
  </si>
  <si>
    <t>Uwe Müller    BFE - Büro- u. Fernmeldeelektr.</t>
  </si>
  <si>
    <t>0015I00000KlZ0YQAV</t>
  </si>
  <si>
    <t>BFE - Büro- u. Fernmeldeelektr.</t>
  </si>
  <si>
    <t>63ced84bc5c820531c2692c0</t>
  </si>
  <si>
    <t>V Valley S.r.l.</t>
  </si>
  <si>
    <t>0012000000fJOg0AAG</t>
  </si>
  <si>
    <t>63fcbb80a107c871cf564c03</t>
  </si>
  <si>
    <t>V-IPCOM</t>
  </si>
  <si>
    <t>0015I00000GBHOoQAP</t>
  </si>
  <si>
    <t>6797b337a781cf7bea01c1a2</t>
  </si>
  <si>
    <t>V-Valley Advanced Solutions Portugal, Unipessoal Lda</t>
  </si>
  <si>
    <t>rui.silva@al-enterprise.com, paulo.freitas@al-enterprise.com</t>
  </si>
  <si>
    <t>001SZ00000MNEqRYAX</t>
  </si>
  <si>
    <t>V-Valley Advanced Solutions</t>
  </si>
  <si>
    <t>63fcbb94a107c871cf566f81</t>
  </si>
  <si>
    <t>VAGNEUX</t>
  </si>
  <si>
    <t>0012000000mxIwZAAU</t>
  </si>
  <si>
    <t>63fcbb9ba107c871cf567c3f</t>
  </si>
  <si>
    <t>VALESYS</t>
  </si>
  <si>
    <t>0015I00000EnJlcQAF</t>
  </si>
  <si>
    <t>63fcbb84a107c871cf5651eb</t>
  </si>
  <si>
    <t>Vality AG</t>
  </si>
  <si>
    <t>0015I000009HJmqQAG</t>
  </si>
  <si>
    <t>63ced84bc5c820531c269392</t>
  </si>
  <si>
    <t>Vanquish GmbH</t>
  </si>
  <si>
    <t>gunther.hahn@al-enterprise.com</t>
  </si>
  <si>
    <t>0015I00000KmaaDQAR</t>
  </si>
  <si>
    <t>63fcbb94a107c871cf5670a7</t>
  </si>
  <si>
    <t>VDP CONSEILS</t>
  </si>
  <si>
    <t>0012000001HphIYAAZ</t>
  </si>
  <si>
    <t>63fcbb7fa107c871cf5649ef</t>
  </si>
  <si>
    <t>VECTOR RESOURCES, INC.</t>
  </si>
  <si>
    <t>0012000000eAZmdAAG</t>
  </si>
  <si>
    <t>63fcbb87a107c871cf5657ef</t>
  </si>
  <si>
    <t>Velans Teleinformatica LTDA</t>
  </si>
  <si>
    <t>0015I00000egd7xQAA</t>
  </si>
  <si>
    <t>63ced84cc5c820531c2694fa</t>
  </si>
  <si>
    <t>Velasea, LLC</t>
  </si>
  <si>
    <t>0015I00000X2A6NQAV</t>
  </si>
  <si>
    <t>63fcbb9aa107c871cf5679f3</t>
  </si>
  <si>
    <t>VELIACOM</t>
  </si>
  <si>
    <t>0010J00002BWvOmQAL</t>
  </si>
  <si>
    <t>63fcbb93a107c871cf566f03</t>
  </si>
  <si>
    <t>VEODIS SUD-EST</t>
  </si>
  <si>
    <t>0012000000eAYPxAAO</t>
  </si>
  <si>
    <t>63fcbb7fa107c871cf5649d3</t>
  </si>
  <si>
    <t>Vetro KEG</t>
  </si>
  <si>
    <t>0012000000tvKV3AAM</t>
  </si>
  <si>
    <t>63ced84bc5c820531c2693ce</t>
  </si>
  <si>
    <t>VExpress</t>
  </si>
  <si>
    <t>0012000000eAZ1sAAG</t>
  </si>
  <si>
    <t>63fcbb7fa107c871cf56498d</t>
  </si>
  <si>
    <t>Veziri LLC</t>
  </si>
  <si>
    <t>GE</t>
  </si>
  <si>
    <t>0012000000eAZ1YAAW</t>
  </si>
  <si>
    <t>63fcbb91a107c871cf566b05</t>
  </si>
  <si>
    <t>VIAL TELECOM</t>
  </si>
  <si>
    <t>0012000000eAZ1aAAG</t>
  </si>
  <si>
    <t>63fcbb9ca107c871cf567d73</t>
  </si>
  <si>
    <t>VICTORIA DIGITAL</t>
  </si>
  <si>
    <t>0015I00000h6UI4QAM</t>
  </si>
  <si>
    <t>64466fad136de17627345725</t>
  </si>
  <si>
    <t>VIDELIO-FUNA GmbH</t>
  </si>
  <si>
    <t>0015I00000SJANQQA5</t>
  </si>
  <si>
    <t>63fcbb96a107c871cf5673c5</t>
  </si>
  <si>
    <t>VIDEOCOM 2000</t>
  </si>
  <si>
    <t>00120000016ZGTDAA4</t>
  </si>
  <si>
    <t>63fcbb9ba107c871cf567cf5</t>
  </si>
  <si>
    <t>VIEVV</t>
  </si>
  <si>
    <t>0015I00000X0excQAB</t>
  </si>
  <si>
    <t>63ea6e9752ad6968805cf1e1</t>
  </si>
  <si>
    <t>Viktor Steinhauer Kommunikations</t>
  </si>
  <si>
    <t>0012000001PSP58AAH</t>
  </si>
  <si>
    <t>63ced841c5c820531c267e02</t>
  </si>
  <si>
    <t>VINCI ENERGIES FRANCE</t>
  </si>
  <si>
    <t>0012000000eAZIhAAO</t>
  </si>
  <si>
    <t>VINCI Energies France</t>
  </si>
  <si>
    <t>63ced844c5c820531c268393</t>
  </si>
  <si>
    <t>VISCO JOINT STOCK</t>
  </si>
  <si>
    <t>0012000000eAZ1eAAG</t>
  </si>
  <si>
    <t>63fcbb9ea107c871cf568219</t>
  </si>
  <si>
    <t>Vital Equipement</t>
  </si>
  <si>
    <t>0015I000004BWpEQAW</t>
  </si>
  <si>
    <t>63fcbb9fa107c871cf568323</t>
  </si>
  <si>
    <t>VITEIP</t>
  </si>
  <si>
    <t>0012000001HphGQAAZ</t>
  </si>
  <si>
    <t>63fcbb85a107c871cf5654ed</t>
  </si>
  <si>
    <t>VNP ? Redes de Comunicação</t>
  </si>
  <si>
    <t>0012000001HphKQAAZ</t>
  </si>
  <si>
    <t>VNP – Redes de Comunicação</t>
  </si>
  <si>
    <t>63ef9d53384f27260c1b9e23</t>
  </si>
  <si>
    <t>Vodacom co.,Ltd</t>
  </si>
  <si>
    <t>0010J0000297pvMQAQ</t>
  </si>
  <si>
    <t>63fcbb82a107c871cf564ded</t>
  </si>
  <si>
    <t>Vodacom Technologies Pvt Ltd</t>
  </si>
  <si>
    <t>0012000000eAZfzAAG</t>
  </si>
  <si>
    <t>63fcbb88a107c871cf565ad5</t>
  </si>
  <si>
    <t>VODO</t>
  </si>
  <si>
    <t>0012000001Y1IP0AAN</t>
  </si>
  <si>
    <t>63fcbb84a107c871cf56525b</t>
  </si>
  <si>
    <t>VODOLIS SCOP</t>
  </si>
  <si>
    <t>00120000015vIPBAA2</t>
  </si>
  <si>
    <t>63fcbb9ba107c871cf567bb3</t>
  </si>
  <si>
    <t>VOGATEL</t>
  </si>
  <si>
    <t>0012000001Sk9FVAAZ</t>
  </si>
  <si>
    <t>63ced849c5c820531c268f87</t>
  </si>
  <si>
    <t>voice and data</t>
  </si>
  <si>
    <t>0012000000eAZ1nAAG</t>
  </si>
  <si>
    <t>63ced846c5c820531c268870</t>
  </si>
  <si>
    <t>Voice Buddies Solutions Limited</t>
  </si>
  <si>
    <t>0012000001gObBYAA0</t>
  </si>
  <si>
    <t>637e164141d3da0bfa665f62</t>
  </si>
  <si>
    <t>VoIP PTY LTD</t>
  </si>
  <si>
    <t>rui.silva@al-enterprise.com, paul.pan@al-enterprise.com, maud.holvast@al-enterprise.com, gosia.lee@al-enterprise.com</t>
  </si>
  <si>
    <t>0012000000eAZ1tAAG</t>
  </si>
  <si>
    <t>63fcbb81a107c871cf564dc3</t>
  </si>
  <si>
    <t>VOLTA</t>
  </si>
  <si>
    <t>0015I0000061OQrQAM</t>
  </si>
  <si>
    <t>63fcbb98a107c871cf567673</t>
  </si>
  <si>
    <t>VOT VAL D'OISE TELEPHONE</t>
  </si>
  <si>
    <t>0012000000eAZ1vAAG</t>
  </si>
  <si>
    <t>63ef9d5a384f27260c1ba7ef</t>
  </si>
  <si>
    <t>Vox Telecommunications (PTY) Ltd</t>
  </si>
  <si>
    <t>najeh.khalil@al-enterprise.com, ravin.naidu@al-enterprise.com, stevious.moagi@al-enterprise.com, ahmed.hamzawy@al-enterprise.com</t>
  </si>
  <si>
    <t>00120000016c764AAA</t>
  </si>
  <si>
    <t>63ced843c5c820531c2682a3</t>
  </si>
  <si>
    <t>VS INFORMATION SYSTEMS (PVT) LTD</t>
  </si>
  <si>
    <t>0010J00001vlkBiQAI</t>
  </si>
  <si>
    <t>63ced843c5c820531c268177</t>
  </si>
  <si>
    <t>VS TELECOM LTDA</t>
  </si>
  <si>
    <t>0012000000eAZ1xAAG</t>
  </si>
  <si>
    <t>63fcbb8fa107c871cf566707</t>
  </si>
  <si>
    <t>VST PRO</t>
  </si>
  <si>
    <t>0012000000zZRJUAA4</t>
  </si>
  <si>
    <t>63fcbb95a107c871cf5670fb</t>
  </si>
  <si>
    <t>VVS SYSTEMES</t>
  </si>
  <si>
    <t>0012000001cQwzLAAS</t>
  </si>
  <si>
    <t>63ea6e9752ad6968805cf0d7</t>
  </si>
  <si>
    <t>Wahlcom GmbH</t>
  </si>
  <si>
    <t>0015I00000Ogb7xQAB</t>
  </si>
  <si>
    <t>WAHLCOM GmbH</t>
  </si>
  <si>
    <t>63fcbb83a107c871cf56502b</t>
  </si>
  <si>
    <t>WAKCom</t>
  </si>
  <si>
    <t>0012000001Y1IOqAAN</t>
  </si>
  <si>
    <t>63ea6e9452ad6968805cebeb</t>
  </si>
  <si>
    <t>Walter Rehdanz GmbH &amp; Co. KG</t>
  </si>
  <si>
    <t>0012000000tuSBtAAM</t>
  </si>
  <si>
    <t>63ef9d56384f27260c1ba0eb</t>
  </si>
  <si>
    <t>Warpcom Services Espana S.L.</t>
  </si>
  <si>
    <t>0010J00001vI7pcQAC</t>
  </si>
  <si>
    <t>63ced845c5c820531c2686f9</t>
  </si>
  <si>
    <t>Warpcom Services, S.A.</t>
  </si>
  <si>
    <t>0012000000eAYMCAA4</t>
  </si>
  <si>
    <t>63fcbb82a107c871cf564e41</t>
  </si>
  <si>
    <t>Wasko s.a.</t>
  </si>
  <si>
    <t>0012000000eAZDcAAO</t>
  </si>
  <si>
    <t>63ced84bc5c820531c2693dd</t>
  </si>
  <si>
    <t>Wavelink Communications Pty Ltd</t>
  </si>
  <si>
    <t>philippe.girard@al-enterprise.com, rui.silva@al-enterprise.com, paul.pan@al-enterprise.com, maud.holvast@al-enterprise.com, gosia.lee@al-enterprise.com</t>
  </si>
  <si>
    <t>0015I000004AdbvQAC</t>
  </si>
  <si>
    <t>63ea6e9452ad6968805cec77</t>
  </si>
  <si>
    <t>WBS IT-Service GmbH</t>
  </si>
  <si>
    <t>0012000000eAZhhAAG</t>
  </si>
  <si>
    <t>63ea6e9752ad6968805cf155</t>
  </si>
  <si>
    <t>Wegener Kommunikation</t>
  </si>
  <si>
    <t>0012000000eAYrcAAG</t>
  </si>
  <si>
    <t>63fcbb80a107c871cf564baf</t>
  </si>
  <si>
    <t>WELCOM'PRO</t>
  </si>
  <si>
    <t>0010J00001rXBf8QAG</t>
  </si>
  <si>
    <t>63ef9d5a384f27260c1ba7cd</t>
  </si>
  <si>
    <t>Welltel</t>
  </si>
  <si>
    <t>gerry.ohanlon@al-enterprise.com, tajinderpal.ginda@al-enterprise.com</t>
  </si>
  <si>
    <t>0010J00001p2RXYQA2</t>
  </si>
  <si>
    <t>67adfae7b9121772b9069032</t>
  </si>
  <si>
    <t>Westcoast Limited</t>
  </si>
  <si>
    <t>philippe.girard@al-enterprise.com, rui.silva@al-enterprise.com, nick.milnes@al-enterprise.com, gerry.ohanlon@al-enterprise.com</t>
  </si>
  <si>
    <t>001SZ00000FDGxZYAX</t>
  </si>
  <si>
    <t>63fcbb8fa107c871cf5666a5</t>
  </si>
  <si>
    <t>WESTELECOM</t>
  </si>
  <si>
    <t>0015I00000Emse0QAB</t>
  </si>
  <si>
    <t>63fcbb89a107c871cf565bc3</t>
  </si>
  <si>
    <t>WIPLEX</t>
  </si>
  <si>
    <t>0015I00000RJrEfQAL</t>
  </si>
  <si>
    <t>63fcbb8aa107c871cf565e47</t>
  </si>
  <si>
    <t>WISI</t>
  </si>
  <si>
    <t>0015I00000T4ayxQAB</t>
  </si>
  <si>
    <t>63fcbb83a107c871cf5650d3</t>
  </si>
  <si>
    <t>WITEL</t>
  </si>
  <si>
    <t>0012000000zZRJVAA4</t>
  </si>
  <si>
    <t>63fcbb97a107c871cf567585</t>
  </si>
  <si>
    <t>WOIT GROUP</t>
  </si>
  <si>
    <t>0010J00001pTvzMQAS</t>
  </si>
  <si>
    <t>63ef9d54384f27260c1b9e83</t>
  </si>
  <si>
    <t>Wooam Co. Ltd</t>
  </si>
  <si>
    <t>63fcbb7da107c871cf5645e3</t>
  </si>
  <si>
    <t>WPI SOLUÇÕES EM TECNOLOGIA LTDA</t>
  </si>
  <si>
    <t>0015I00000QSiCGQA1</t>
  </si>
  <si>
    <t>63ef9d5b384f27260c1ba855</t>
  </si>
  <si>
    <t>Xantaro UK</t>
  </si>
  <si>
    <t>00120000016aArVAAU</t>
  </si>
  <si>
    <t>63fcbb95a107c871cf567267</t>
  </si>
  <si>
    <t>Xbline</t>
  </si>
  <si>
    <t>0010J000020J8pKQAS</t>
  </si>
  <si>
    <t>63fcbb82a107c871cf564eb1</t>
  </si>
  <si>
    <t>XVISION SAFE TELECOM</t>
  </si>
  <si>
    <t>0012000001Td6hwAAB</t>
  </si>
  <si>
    <t>63fcbb9da107c871cf567fe9</t>
  </si>
  <si>
    <t>YOKSEO</t>
  </si>
  <si>
    <t>0012000001QhIMuAAN</t>
  </si>
  <si>
    <t>63fcbb88a107c871cf565a8f</t>
  </si>
  <si>
    <t>Yooth IT</t>
  </si>
  <si>
    <t>0015I000004BWpFQAW</t>
  </si>
  <si>
    <t>63ced842c5c820531c26812c</t>
  </si>
  <si>
    <t>YOUNG BTS KFT</t>
  </si>
  <si>
    <t>0012000000eAZ2fAAG</t>
  </si>
  <si>
    <t>633dbab7ec522e697b5af8e5</t>
  </si>
  <si>
    <t>Yourizon B.V.</t>
  </si>
  <si>
    <t>rui.silva@al-enterprise.com, eelco.hollestelle@al-enterprise.com, jaimy.buiks@al-enterprise.com, frank.van-spanje@al-enterprise.com</t>
  </si>
  <si>
    <t>0015I00000OeIvKQAV</t>
  </si>
  <si>
    <t>63fcbb88a107c871cf565ac7</t>
  </si>
  <si>
    <t>YSATIA</t>
  </si>
  <si>
    <t>0012000001V9PTtAAN</t>
  </si>
  <si>
    <t>63fcbb98a107c871cf56769d</t>
  </si>
  <si>
    <t>YSENTIS</t>
  </si>
  <si>
    <t>0012000000eAZYoAAO</t>
  </si>
  <si>
    <t>63fcbb81a107c871cf564d45</t>
  </si>
  <si>
    <t>ZAO "Poliservice CFO"</t>
  </si>
  <si>
    <t>0015I000003GFRYQA4</t>
  </si>
  <si>
    <t>ZAO “Poliservice CFO”</t>
  </si>
  <si>
    <t>63fcbb83a107c871cf56510b</t>
  </si>
  <si>
    <t>Zech Sicherheitstechnik GmbH</t>
  </si>
  <si>
    <t>0012000000eAYiPAAW</t>
  </si>
  <si>
    <t>63ced843c5c820531c268294</t>
  </si>
  <si>
    <t>ZERONE TECHNOLOGIES PVT LTD</t>
  </si>
  <si>
    <t>0012000000zZRJnAAO</t>
  </si>
  <si>
    <t>63ced846c5c820531c2688ac</t>
  </si>
  <si>
    <t>ZERONE TECHNOLOGIES W.L.L</t>
  </si>
  <si>
    <t>0012000000eAZpRAAW</t>
  </si>
  <si>
    <t>63fcbb7da107c871cf5645ff</t>
  </si>
  <si>
    <t>0010J00001yuot4QAA</t>
  </si>
  <si>
    <t>63ced847c5c820531c268b22</t>
  </si>
  <si>
    <t>ZETTAPLAN AG</t>
  </si>
  <si>
    <t>philippe.girard@al-enterprise.com, rui.silva@al-enterprise.com, laurent.paterac@al-enterprise.com, julia.kosok@al-enterprise.com, emma.bardey@al-enterprise.com</t>
  </si>
  <si>
    <t>0012000000eAYbRAAW</t>
  </si>
  <si>
    <t>66a8fdab43afcb81c905b6c2</t>
  </si>
  <si>
    <t>•	Can you please let us know if the issue is well addressed to find a solution as the access is blocking the use of the platform, the updates are lost, even when saved sometime, the access is denied .</t>
  </si>
  <si>
    <t>ACCOUNT ID</t>
  </si>
  <si>
    <t>ACCOUNT NAME</t>
  </si>
  <si>
    <t>ACCOUNT STATUS</t>
  </si>
  <si>
    <t>MILESTONE START DATE</t>
  </si>
  <si>
    <t>MILESTONE END DATE</t>
  </si>
  <si>
    <t>MILESTONE RESULT</t>
  </si>
  <si>
    <t>MILESTONE TARGET</t>
  </si>
  <si>
    <t>MILESTONE TRAFFIC LIGHT</t>
  </si>
  <si>
    <t>Active</t>
  </si>
  <si>
    <t>Complete</t>
  </si>
  <si>
    <t>At risk</t>
  </si>
  <si>
    <t>Inactive</t>
  </si>
  <si>
    <t>Not defined</t>
  </si>
  <si>
    <t>Late</t>
  </si>
  <si>
    <t>On track</t>
  </si>
  <si>
    <t>-268.00 €</t>
  </si>
  <si>
    <t>-7.43 €</t>
  </si>
  <si>
    <t>16#</t>
  </si>
  <si>
    <t>52#</t>
  </si>
  <si>
    <t>17#</t>
  </si>
  <si>
    <t>0#</t>
  </si>
  <si>
    <t>19#</t>
  </si>
  <si>
    <t>56#</t>
  </si>
  <si>
    <t>20#</t>
  </si>
  <si>
    <t>34#</t>
  </si>
  <si>
    <t>28#</t>
  </si>
  <si>
    <t>75#</t>
  </si>
  <si>
    <t>81#</t>
  </si>
  <si>
    <t>45#</t>
  </si>
  <si>
    <t>14#</t>
  </si>
  <si>
    <t>32#</t>
  </si>
  <si>
    <t>12#</t>
  </si>
  <si>
    <t>36#</t>
  </si>
  <si>
    <t>39#</t>
  </si>
  <si>
    <t>58#</t>
  </si>
  <si>
    <t>15#</t>
  </si>
  <si>
    <t>27#</t>
  </si>
  <si>
    <t>3#</t>
  </si>
  <si>
    <t>2#</t>
  </si>
  <si>
    <t>18#</t>
  </si>
  <si>
    <t>42#</t>
  </si>
  <si>
    <t>30#</t>
  </si>
  <si>
    <t>24#</t>
  </si>
  <si>
    <t>54#</t>
  </si>
  <si>
    <t>31#</t>
  </si>
  <si>
    <t>38#</t>
  </si>
  <si>
    <t>7#</t>
  </si>
  <si>
    <t>1#</t>
  </si>
  <si>
    <t>67#</t>
  </si>
  <si>
    <t>80#</t>
  </si>
  <si>
    <t>107#</t>
  </si>
  <si>
    <t>40#</t>
  </si>
  <si>
    <t>50#</t>
  </si>
  <si>
    <t>5#</t>
  </si>
  <si>
    <t>48#</t>
  </si>
  <si>
    <t>29#</t>
  </si>
  <si>
    <t>6#</t>
  </si>
  <si>
    <t>178#</t>
  </si>
  <si>
    <t>182#</t>
  </si>
  <si>
    <t>47#</t>
  </si>
  <si>
    <t>43#</t>
  </si>
  <si>
    <t>21#</t>
  </si>
  <si>
    <t>9#</t>
  </si>
  <si>
    <t>8#</t>
  </si>
  <si>
    <t>4#</t>
  </si>
  <si>
    <t>74#</t>
  </si>
  <si>
    <t>53#</t>
  </si>
  <si>
    <t>11#</t>
  </si>
  <si>
    <t>10#</t>
  </si>
  <si>
    <t>63#</t>
  </si>
  <si>
    <t>46#</t>
  </si>
  <si>
    <t>13#</t>
  </si>
  <si>
    <t>103#</t>
  </si>
  <si>
    <t>99#</t>
  </si>
  <si>
    <t>267#</t>
  </si>
  <si>
    <t>73#</t>
  </si>
  <si>
    <t>266#</t>
  </si>
  <si>
    <t>289#</t>
  </si>
  <si>
    <t>22#</t>
  </si>
  <si>
    <t>55#</t>
  </si>
  <si>
    <t>49#</t>
  </si>
  <si>
    <t>76#</t>
  </si>
  <si>
    <t>161#</t>
  </si>
  <si>
    <t>204#</t>
  </si>
  <si>
    <t>23#</t>
  </si>
  <si>
    <t>35#</t>
  </si>
  <si>
    <t>26#</t>
  </si>
  <si>
    <t>33#</t>
  </si>
  <si>
    <t>79#</t>
  </si>
  <si>
    <t>51#</t>
  </si>
  <si>
    <t>83#</t>
  </si>
  <si>
    <t>64#</t>
  </si>
  <si>
    <t>59#</t>
  </si>
  <si>
    <t>41#</t>
  </si>
  <si>
    <t>72#</t>
  </si>
  <si>
    <t>57#</t>
  </si>
  <si>
    <t>70#</t>
  </si>
  <si>
    <t>69#</t>
  </si>
  <si>
    <t>25#</t>
  </si>
  <si>
    <t>97#</t>
  </si>
  <si>
    <t>108#</t>
  </si>
  <si>
    <t>68#</t>
  </si>
  <si>
    <t>71#</t>
  </si>
  <si>
    <t>37#</t>
  </si>
  <si>
    <t>91#</t>
  </si>
  <si>
    <t>101#</t>
  </si>
  <si>
    <t>89#</t>
  </si>
  <si>
    <t>87#</t>
  </si>
  <si>
    <t>44#</t>
  </si>
  <si>
    <t>1544#</t>
  </si>
  <si>
    <t>66#</t>
  </si>
  <si>
    <t>3000#</t>
  </si>
  <si>
    <t>60#</t>
  </si>
  <si>
    <t>350#</t>
  </si>
  <si>
    <t>65#</t>
  </si>
  <si>
    <t>361#</t>
  </si>
  <si>
    <t>294#</t>
  </si>
  <si>
    <t>85#</t>
  </si>
  <si>
    <t>312#</t>
  </si>
  <si>
    <t>607#</t>
  </si>
  <si>
    <t>86#</t>
  </si>
  <si>
    <t>688#</t>
  </si>
  <si>
    <t>92#</t>
  </si>
  <si>
    <t>196#</t>
  </si>
  <si>
    <t>142#</t>
  </si>
  <si>
    <t>116#</t>
  </si>
  <si>
    <t>78#</t>
  </si>
  <si>
    <t>112#</t>
  </si>
  <si>
    <t>90#</t>
  </si>
  <si>
    <t>96#</t>
  </si>
  <si>
    <t>82#</t>
  </si>
  <si>
    <t>62#</t>
  </si>
  <si>
    <t>143#</t>
  </si>
  <si>
    <t>134#</t>
  </si>
  <si>
    <t>98#</t>
  </si>
  <si>
    <t>102#</t>
  </si>
  <si>
    <t>233#</t>
  </si>
  <si>
    <t>61#</t>
  </si>
  <si>
    <t>202#</t>
  </si>
  <si>
    <t>191#</t>
  </si>
  <si>
    <t>224#</t>
  </si>
  <si>
    <t>232#</t>
  </si>
  <si>
    <t>84#</t>
  </si>
  <si>
    <t>114#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</si>
</sst>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yyyy-mm-dd"/>
    <numFmt numFmtId="166" formatCode="#,##0.00&quot;$&quot;"/>
    <numFmt numFmtId="167" formatCode="#,##0.00&quot;€&quot;"/>
  </numFmts>
  <fonts count="12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0000FF"/>
    </font>
    <font>
      <b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0.0"/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828B"/>
        <bgColor rgb="FFF4828B"/>
      </patternFill>
    </fill>
    <fill>
      <patternFill patternType="solid">
        <fgColor rgb="FF008568"/>
        <bgColor rgb="FF008568"/>
      </patternFill>
    </fill>
    <fill>
      <patternFill patternType="solid">
        <fgColor rgb="FFBCBCD2"/>
        <bgColor rgb="FFBCBCD2"/>
      </patternFill>
    </fill>
    <fill>
      <patternFill patternType="solid">
        <fgColor rgb="FFFFB373"/>
        <bgColor rgb="FFFFB373"/>
      </patternFill>
    </fill>
    <fill>
      <patternFill patternType="solid">
        <fgColor rgb="FF01C99C"/>
        <bgColor rgb="FF01C9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9" xfId="0" applyFont="1" applyNumberFormat="1"/>
    <xf borderId="0" fillId="0" fontId="1" numFmtId="3" xfId="0" applyFont="1" applyNumberFormat="1"/>
    <xf borderId="0" fillId="0" fontId="2" numFmtId="0" xfId="0" applyAlignment="1" applyFont="1">
      <alignment readingOrder="0"/>
    </xf>
    <xf borderId="0" fillId="2" fontId="2" numFmtId="10" xfId="0" applyAlignment="1" applyFill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1" numFmtId="10" xfId="0" applyAlignment="1" applyFont="1" applyNumberFormat="1">
      <alignment horizontal="center"/>
    </xf>
    <xf borderId="0" fillId="0" fontId="3" numFmtId="0" xfId="0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readingOrder="0" vertical="bottom"/>
    </xf>
    <xf borderId="1" fillId="4" fontId="8" numFmtId="0" xfId="0" applyAlignment="1" applyBorder="1" applyFill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165" xfId="0" applyAlignment="1" applyFont="1" applyNumberForma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5" fontId="8" numFmtId="0" xfId="0" applyAlignment="1" applyFill="1" applyFont="1">
      <alignment readingOrder="0" vertical="bottom"/>
    </xf>
    <xf borderId="0" fillId="6" fontId="8" numFmtId="0" xfId="0" applyAlignment="1" applyFill="1" applyFont="1">
      <alignment readingOrder="0" vertical="bottom"/>
    </xf>
    <xf borderId="0" fillId="0" fontId="9" numFmtId="0" xfId="0" applyAlignment="1" applyFont="1">
      <alignment readingOrder="0" vertical="bottom"/>
    </xf>
    <xf borderId="0" fillId="7" fontId="8" numFmtId="0" xfId="0" applyAlignment="1" applyFill="1" applyFont="1">
      <alignment readingOrder="0" vertical="bottom"/>
    </xf>
    <xf borderId="0" fillId="0" fontId="8" numFmtId="166" xfId="0" applyAlignment="1" applyFont="1" applyNumberFormat="1">
      <alignment readingOrder="0" vertical="bottom"/>
    </xf>
    <xf borderId="0" fillId="8" fontId="8" numFmtId="0" xfId="0" applyAlignment="1" applyFill="1" applyFont="1">
      <alignment readingOrder="0" vertical="bottom"/>
    </xf>
    <xf borderId="0" fillId="9" fontId="8" numFmtId="0" xfId="0" applyAlignment="1" applyFill="1" applyFont="1">
      <alignment readingOrder="0" vertical="bottom"/>
    </xf>
    <xf borderId="0" fillId="0" fontId="8" numFmtId="167" xfId="0" applyAlignment="1" applyFont="1" applyNumberFormat="1">
      <alignment readingOrder="0" vertical="bottom"/>
    </xf>
    <xf quotePrefix="1" borderId="0" fillId="0" fontId="8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4" fontId="8" numFmtId="0" xfId="0" applyAlignment="1" applyFont="1">
      <alignment readingOrder="0" vertical="bottom"/>
    </xf>
    <xf borderId="1" fillId="3" fontId="10" numFmtId="0" xfId="0" applyAlignment="1" applyBorder="1" applyFont="1">
      <alignment readingOrder="0"/>
    </xf>
    <xf borderId="0" fillId="3" fontId="10" numFmtId="0" xfId="0" applyAlignment="1" applyFont="1">
      <alignment readingOrder="0"/>
    </xf>
    <xf borderId="1" fillId="4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ould de Wasseige" id="{b29224ba-460c-4ab5-8415-0c23d5719b9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E1000" sheet="Filtered result"/>
  </cacheSource>
  <cacheFields>
    <cacheField name="Account ID" numFmtId="0">
      <sharedItems containsBlank="1">
        <s v="67eff1ff22947812f40fa354"/>
        <s v="65f1c0a04b86f221530d41c2"/>
        <s v="63ced843c5c820531c268186"/>
        <s v="67a5dc38617ada49240d92c2"/>
        <s v="66a75f819d5f4ed144040ad2"/>
        <s v="63ef9d58384f27260c1ba49b"/>
        <s v="6299fef42acbb9510b5e178a"/>
        <s v="63ef9d5f384f27260c1bb00d"/>
        <s v="63ced84dc5c820531c2696bc"/>
        <s v="67eff15de0c0fe4c300b74f2"/>
        <s v="63ced845c5c820531c268663"/>
        <s v="63ced84ac5c820531c2690e0"/>
        <s v="63ced843c5c820531c268168"/>
        <s v="63ced849c5c820531c268f5a"/>
        <s v="63ced846c5c820531c2687f8"/>
        <s v="63ef9d5c384f27260c1baa7f"/>
        <s v="63ef9d60384f27260c1bb0cd"/>
        <s v="63ef9d57384f27260c1ba2f1"/>
        <s v="63ced849c5c820531c268e5b"/>
        <s v="67a5d9f053e26e938a079872"/>
        <s v="63ced84ec5c820531c2698f6"/>
        <s v="63ced843c5c820531c2681a4"/>
        <s v="63ced845c5c820531c26869f"/>
        <s v="63ced848c5c820531c268d3e"/>
        <s v="67a5db6dfa14f2068a0eaf22"/>
        <s v="63ea6e9352ad6968805ceab7"/>
        <s v="63ea6e9352ad6968805ceb0b"/>
        <s v="63ced848c5c820531c268d7a"/>
        <s v="633dbc6cec522e697b5af915"/>
        <s v="63ea6e9352ad6968805ceaa9"/>
        <s v="63fcbb84a107c871cf565293"/>
        <s v="63ced847c5c820531c2689ab"/>
        <s v="63fcbb7fa107c871cf56491d"/>
        <s v="63ced84dc5c820531c2696da"/>
        <s v="63ea6e9352ad6968805cea63"/>
        <s v="63ea6e9352ad6968805cea8d"/>
        <s v="63ced841c5c820531c267eb6"/>
        <s v="63ced840c5c820531c267d30"/>
        <s v="63fcbb7ca107c871cf564511"/>
        <s v="63ced849c5c820531c268ea6"/>
        <s v="65dcd9bc019929778f07c73f"/>
        <s v="63ced84dc5c820531c26969e"/>
        <s v="679366fcb35503f3000f3c14"/>
        <s v="63ef9d61384f27260c1bb24d"/>
        <s v="63ced842c5c820531c26804b"/>
        <s v="63ef9d58384f27260c1ba435"/>
        <s v="63ef9d60384f27260c1bb18d"/>
        <s v="67a4e0b1c23fac669307b722"/>
        <s v="63ced841c5c820531c267ee3"/>
        <s v="63ced843c5c820531c2682ee"/>
        <s v="63ced842c5c820531c26805a"/>
        <s v="63ced843c5c820531c2682fd"/>
        <s v="63ea6e9252ad6968805cea0f"/>
        <s v="67e40c058a46218c3c09e342"/>
        <s v="6512933c39ed784394035282"/>
        <s v="65e8269955648174440d988f"/>
        <s v="63ef9d57384f27260c1ba24f"/>
        <s v="63ea6e9352ad6968805ceafd"/>
        <s v="63ea6e9452ad6968805ceb7b"/>
        <s v="63ced846c5c820531c268807"/>
        <s v="63ea6e9352ad6968805ceb6d"/>
        <s v="63ced845c5c820531c2686db"/>
        <s v="63ced841c5c820531c267e5c"/>
        <s v="63ced84bc5c820531c2692a2"/>
        <s v="63ef9d5f384f27260c1bafed"/>
        <s v="633dbdf37d81b978d40bc36f"/>
        <s v="63ea6e9452ad6968805cec23"/>
        <s v="63ef9d58384f27260c1ba3f3"/>
        <s v="67a4e1cd75e72d5ecf0d1142"/>
        <s v="63ef9d56384f27260c1ba0cb"/>
        <s v="63ced846c5c820531c268816"/>
        <s v="63fcbb7ea107c871cf5646fb"/>
        <s v="63ced847c5c820531c268b4f"/>
        <s v="63ced847c5c820531c2689ba"/>
        <s v="67a4e284ae6a5d263d03c692"/>
        <s v="63ced847c5c820531c268b6d"/>
        <s v="63ced84bc5c820531c269347"/>
        <s v="63fcbb7ea107c871cf56484b"/>
        <s v="63fcbb82a107c871cf564e87"/>
        <s v="67766fb5137213659d0c9be2"/>
        <s v="67a4e33adfd0cfbf1304451f"/>
        <s v="63ef9d60384f27260c1bb20d"/>
        <s v="63ced842c5c820531c268087"/>
        <s v="67a4e3d0b05936bb7003d3d2"/>
        <s v="63ced849c5c820531c268f69"/>
        <s v="63ced843c5c820531c2681c2"/>
        <s v="63ea6e9452ad6968805ceb97"/>
        <s v="63ea6e9552ad6968805ced49"/>
        <s v="63ced847c5c820531c268b7c"/>
        <s v="63ced848c5c820531c268d5c"/>
        <s v="63ea6e9452ad6968805cebcf"/>
        <s v="66bccb7ddbb92ff298050552"/>
        <s v="67766946b2d056a637007f82"/>
        <s v="63ced84bc5c820531c269419"/>
        <s v="6572ea531bcb0fe1330807e7"/>
        <s v="63ef9d57384f27260c1ba351"/>
        <s v="63ced849c5c820531c268e2e"/>
        <s v="63ea6e9352ad6968805ceb5f"/>
        <s v="63ced84dc5c820531c269743"/>
        <s v="63ced84dc5c820531c269806"/>
        <s v="63ced84bc5c820531c2693fb"/>
        <s v="63ef9d57384f27260c1ba22d"/>
        <s v="65dcd9ba019929778f07c4df"/>
        <s v="67a5dd1c818802cbbf055652"/>
        <s v="678e728878e2544f92063cd2"/>
        <s v="63ef9d5d384f27260c1bacc9"/>
        <s v="63ced84dc5c820531c269761"/>
        <s v="63ef9d5c384f27260c1baaa1"/>
        <s v="63ea6e9352ad6968805cea2b"/>
        <s v="63ced847c5c820531c268b5e"/>
        <s v="67e40b1f4c8bf642980d1202"/>
        <s v="684009a466c3a00d8201c607"/>
        <s v="63ea6e9352ad6968805ceaef"/>
        <s v="682f42de4e91960581052be2"/>
        <s v="63ea6e9352ad6968805cea39"/>
        <s v="63ef9d62384f27260c1bb50f"/>
        <s v="63ced84dc5c820531c269815"/>
        <s v="6685524c088b99bc360c3032"/>
        <s v="63ea6e9352ad6968805cea71"/>
        <s v="63ced845c5c820531c2686ea"/>
        <s v="67d436a894cd1f68cd06bc12"/>
        <s v="63ef9d5c384f27260c1ba9fb"/>
        <s v="63ced846c5c820531c268825"/>
        <s v="63ced848c5c820531c268d4d"/>
        <s v="633dbe22ec522e697b5af958"/>
        <s v="63ced843c5c820531c2682df"/>
        <s v="63ced843c5c820531c2682d0"/>
        <s v="63ced84ec5c820531c26986f"/>
        <s v="63ea6e9452ad6968805ceba5"/>
        <s v="63ced841c5c820531c267e6b"/>
        <s v="6552303b4da000b9ba0cd0b3"/>
        <s v="65dcd9b9019929778f07c46d"/>
        <s v="63ea6e9352ad6968805ceb43"/>
        <s v="679a293af8dc798a050b9592"/>
        <s v="63ea6e9452ad6968805cebc1"/>
        <s v="63fcbb7ea107c871cf5647b1"/>
        <s v="63ef9d58384f27260c1ba413"/>
        <s v="63ea6e9352ad6968805cea9b"/>
        <s v="63fcbb83a107c871cf5650b7"/>
        <s v="63ced842c5c820531c267fc4"/>
        <s v="63ea6e9452ad6968805cec07"/>
        <s v="63ea6e9452ad6968805cec31"/>
        <s v="63ced849c5c820531c268e88"/>
        <s v="63ea6e9352ad6968805ceae1"/>
        <s v="6299ff38f5acbb30cc0bd2d7"/>
        <s v="63ced84cc5c820531c2694a0"/>
        <s v="6643796fda88cedd7d0edad2"/>
        <s v="63ced845c5c820531c2686cc"/>
        <s v="63ef9d55384f27260c1b9fc5"/>
        <s v="63ef9d58384f27260c1ba501"/>
        <s v="6836f39029bec4e5550a0662"/>
        <s v="63ea6e9352ad6968805cea47"/>
        <s v="63ea6e9352ad6968805ceb51"/>
        <s v="63ef9d60384f27260c1bb10d"/>
        <s v="63ced841c5c820531c267e4d"/>
        <s v="63ea6e9652ad6968805ceedf"/>
        <s v="63ced842c5c820531c26802d"/>
        <s v="63ced845c5c820531c2686ae"/>
        <s v="63ced845c5c820531c2686bd"/>
        <s v="63ea6e9352ad6968805cea7f"/>
        <s v="63ef9d5d384f27260c1baca7"/>
        <s v="63ea6e9752ad6968805cf163"/>
        <s v="63ea6e9452ad6968805cebdd"/>
        <s v="67a5d5f929aefced430db0b2"/>
        <s v="63ced849c5c820531c268e6a"/>
        <s v="67696ca3559b05e1b3063c22"/>
        <s v="67a4e49bb05936bb7003d3eb"/>
        <s v="63ef9d58384f27260c1ba479"/>
        <s v="63ea6e9352ad6968805ceb27"/>
        <s v="63ef9d59384f27260c1ba523"/>
        <s v="63ced843c5c820531c268177"/>
        <s v="63ea6e9452ad6968805cebeb"/>
        <m/>
      </sharedItems>
    </cacheField>
    <cacheField name="Partner name" numFmtId="0">
      <sharedItems containsBlank="1">
        <s v="ISTC de Mexico"/>
        <s v="Serverli Inc"/>
        <s v="3CORP TECHNOLOGY INFRAESTRUTURA DE"/>
        <s v="9 to 5 Computer"/>
        <s v="A&amp;O TEC GmbH"/>
        <s v="AAA Solar Electric, Inc."/>
        <s v="abl social federation GmbH"/>
        <s v="ACUNTIA, S.A."/>
        <s v="ADVANCE 2000, Inc."/>
        <s v="AGORA SOLUCOES EM TECNOLOGIA DA INFORMACAO E COMUNICACAO S.A(DF)"/>
        <s v="ALBETA GmbH"/>
        <s v="Alca Enterprise, Corp."/>
        <s v="ALCTEL TELECOM"/>
        <s v="ALSO Deutschland GmbH"/>
        <s v="AMBAR TELECOMUNICACIONES SL"/>
        <s v="APLICACIONES ELECTRICAS ENE"/>
        <s v="Arki Management"/>
        <s v="ARROW ENTERPRISE COMPUTING SOLUTION"/>
        <s v="ASTEL - ADVANCED SOLUCIONES DE"/>
        <s v="Axcelerate Networks, Inc."/>
        <s v="Axcex Media LLC"/>
        <s v="Axede, S.A."/>
        <s v="BFW Kommunikationssysteme GmbH"/>
        <s v="Binder Systemhaus GmbH"/>
        <s v="Blue Spruce Technologies"/>
        <s v="BTD Service GmbH"/>
        <s v="Bunsieck &amp; Partner GmbH"/>
        <s v="Burgess Computer Decisions"/>
        <s v="C.H.T. Heinemann GmbH"/>
        <s v="Call-Data-Systems GmbH"/>
        <s v="Christmann Informationstechnik"/>
        <s v="COM plan + service GmbH"/>
        <s v="Comfica Soluciones Integrales SL"/>
        <s v="Communications Consulting Inc."/>
        <s v="Controlware GmbH"/>
        <s v="cosmotel IT GmbH"/>
        <s v="COVERGINT Comercio e Servicos de Tecnologia Ltda"/>
        <s v="Crystal Communications, Inc."/>
        <s v="Cyclo X Solucoes em TI Ltda"/>
        <s v="DACAS Colombia"/>
        <s v="Dacas Distri Mexico"/>
        <s v="Dagostino Electronic Services, Inc."/>
        <s v="DATAGROUP Stuttgart GmbH"/>
        <s v="Deloitte Consulting"/>
        <s v="Deutsche Telekom AG"/>
        <s v="Dice Communications, Inc."/>
        <s v="Digital Telecommunication Corp"/>
        <s v="Drive Engineering Corp."/>
        <s v="E BUSINESS DISTRIBUTION PERU S.A."/>
        <s v="e-Business Distribution Panama"/>
        <s v="E-BUSINESS DISTRIBUTION SA"/>
        <s v="eBD El Salvador"/>
        <s v="effexx its GmbH"/>
        <s v="EGC Colombia SAS"/>
        <s v="EL-DA-NET GmbH"/>
        <s v="Enterprise Communications &amp; Services GmbH"/>
        <s v="Esprinet Iberica S.L.U."/>
        <s v="ETF GmbH"/>
        <s v="ETK networks solution GmbH"/>
        <s v="EUSKO TELECOMUNICACIONES S.L."/>
        <s v="Evoila networks GmbH"/>
        <s v="EWE TEL GmbH"/>
        <s v="Expertos en Computo y"/>
        <s v="EXXITA BE CIRCULAR SA SERVICES, S.L.U."/>
        <s v="Ezentis Tecnologia SL"/>
        <s v="Fornax GmbH"/>
        <s v="FT Fernmeldetechnik GmbH"/>
        <s v="GDL Telecomunicaciones S.A de C.V"/>
        <s v="GHA Technologies, Inc."/>
        <s v="GIGAS HOSTING, S.A."/>
        <s v="GOTOR COMUNICACIONES S.A."/>
        <s v="GRUPO OSABA URK, S.L."/>
        <s v="HELDELE GmbH"/>
        <s v="HOC House of Communication"/>
        <s v="Howard Industries, Inc."/>
        <s v="Huber &amp; Feneberg GmbH"/>
        <s v="ICON Voice Networks, LLC"/>
        <s v="INDRA SISTEMAS S.A."/>
        <s v="Innova-ITC"/>
        <s v="Intech Southwest Services LLC"/>
        <s v="INTELLIGENT TRANSPORTATION SERVICES"/>
        <s v="IP PRODUCTOS Y SERVICIOS S.A. DE C."/>
        <s v="ISBEL S.A."/>
        <s v="iT1 Source LLC"/>
        <s v="ITAS AG"/>
        <s v="ITELCA"/>
        <s v="ITES GmbH"/>
        <s v="itk communications GmbH"/>
        <s v="ITR AG"/>
        <s v="IZERTIS S.A."/>
        <s v="Jens Verlaat Service GmbH"/>
        <s v="Johnson Controls, Inc."/>
        <s v="KIT Services LLC"/>
        <s v="KOMSA AG"/>
        <s v="LANRover Network Services, Inc."/>
        <s v="LCN- Division of EG Sawyer Co Inc"/>
        <s v="LETTEL DISTRIBUIDORA DE TELEFONIA"/>
        <s v="link protect GmbH"/>
        <s v="Logical Systems, Inc."/>
        <s v="Magothy Technology, LLC"/>
        <s v="MAKRO Soluciones de Tecnologia S.A."/>
        <s v="Masscomm Innova, S.L."/>
        <s v="Maya Quetzal Comunicaciones,S.A CV"/>
        <s v="MCA | Mobile Communications America HQ"/>
        <s v="MD Informatique Inc"/>
        <s v="MDTEL"/>
        <s v="Micro Technology Consultants, Inc."/>
        <s v="Morse Communications, Inc"/>
        <s v="NACHRICHTENTECHNIK BIELEFELD GmbH"/>
        <s v="nds Netzwerksysteme GmbH"/>
        <s v="NECSYS S.A.S."/>
        <s v="Netcom Bayern GmbH"/>
        <s v="Netkom GmbH"/>
        <s v="NEXUS TECHNOLOGY S.A."/>
        <s v="NTT Germany AG &amp; Co. KG"/>
        <s v="NTT SPAIN INTELLIGENT TECHNOLOGIES AND SERVICES S.L."/>
        <s v="Optel BCS, Inc."/>
        <s v="Paladin Technologies Canada"/>
        <s v="Pan Dacom Networking AG"/>
        <s v="peicom GmbH"/>
        <s v="PKE Mediacom GmbH"/>
        <s v="Plexus SL"/>
        <s v="PREMIUM PLUS SL"/>
        <s v="provoicecom GmbH"/>
        <s v="REDNET GmbH"/>
        <s v="REVOLUTION TECHNOLOGIES REVTEC, S.A"/>
        <s v="REVOLUTION TECHNOLOGIES REVTEC, SA"/>
        <s v="RFP Solutions, Inc."/>
        <s v="Rud.Otto Meyer Technik GmbH &amp; Co.KG"/>
        <s v="S.S.P. TELECOMMUNICATIONS"/>
        <s v="Seal telecom comercio e servicos"/>
        <s v="SEAL TELECOM SOLUCIONES DE INTEGRACION CHILE SPA"/>
        <s v="SIEVERS-SNC Computer &amp;"/>
        <s v="Sistemas Avanzados de Tecnologia,"/>
        <s v="SKC Seiler &amp; Klimpel Communication"/>
        <s v="Skyhelm Technology"/>
        <s v="SMC ELECTRIC SUPPLY"/>
        <s v="SPIE BTAT"/>
        <s v="SPIE Buchmann GmbH"/>
        <s v="SPIE Information &amp; Communication Services GmbH"/>
        <s v="steep GmbH"/>
        <s v="SYBCOM Gesellschaft fur Netzwerke"/>
        <s v="sysob IT-Distribution GmbH &amp; Co.KG"/>
        <s v="systel GmbH"/>
        <s v="TD Synnex Canada ULC"/>
        <s v="TD SYNNEX Corporation (CA)"/>
        <s v="TDL Canada"/>
        <s v="technology experts GmbH &amp; Co. KG"/>
        <s v="TECNIMART SL"/>
        <s v="Telecommunications Unlimited, Inc."/>
        <s v="Telefax S.A."/>
        <s v="TELEFOMATIC SYSTEMHAUS GMBH"/>
        <s v="Telefon-Systeme Ernst Schmid GmbH"/>
        <s v="TELEFONICA SOLUCIONES INFORMATICA Y COMUNICACIONES DE ESPANA S.A.U."/>
        <s v="Teleinformatica en Servicios"/>
        <s v="TELENETWORK AG"/>
        <s v="TeleSys Kommunikationstechnik GmbH"/>
        <s v="TeleTech GmbH"/>
        <s v="TELKO GmbH Saalfeld"/>
        <s v="Telonic GmbH"/>
        <s v="TELYCAL S.L."/>
        <s v="think about IT GmbH"/>
        <s v="TK Netzwerktechnik GmbH"/>
        <s v="Transcore North America"/>
        <s v="Transource Computers"/>
        <s v="Tridon"/>
        <s v="TRL Systems, Inc."/>
        <s v="Twotrees Technologies"/>
        <s v="UP Data Systems GmbH"/>
        <s v="UTM Tech19, Inc."/>
        <s v="VS TELECOM LTDA"/>
        <s v="Walter Rehdanz GmbH &amp; Co. KG"/>
        <m/>
      </sharedItems>
    </cacheField>
    <cacheField name="CSM" numFmtId="0">
      <sharedItems containsBlank="1">
        <s v="philippe.girard@al-enterprise.com, rui.silva@al-enterprise.com, joaquin.flores@al-enterprise.com"/>
        <s v="rui.silva@al-enterprise.com, michael-j.francis@al-enterprise.com, luigy.estevanell@al-enterprise.com"/>
        <s v="renato-takashi.yoshizako@al-enterprise.com"/>
        <s v="michael-j.francis@al-enterprise.com, luigy.estevanell@al-enterprise.com"/>
        <s v="thomas.ullmann@al-enterprise.com, andreas.grossheimann@al-enterprise.com"/>
        <s v="gene.hawks@al-enterprise.com, bill.rademacher@al-enterprise.com"/>
        <s v="olivier.ravel@al-enterprise.com, rui.silva@al-enterprise.com, thomas.ullmann@al-enterprise.com, andreas.grossheimann@al-enterprise.com, katrin.pfeiffer@al-enterprise.com, sibylle.klopfer@al-enterprise.com, igor.leko@al-enterprise.com, daniel.scheidl@al-en"/>
        <s v="mario.madrid-bustos@al-enterprise.com, astrid.savorani@al-enterprise.com, marcos.rodriguez@al-enterprise.com"/>
        <s v="brendan.flaherty@al-enterprise.com, michael-j.francis@al-enterprise.com, Steve.roos@al-enterprise.com"/>
        <s v="gabriel.pires@al-enterprise.com"/>
        <s v="katrin.pfeiffer@al-enterprise.com, krystian.sokalski@al-enterprise.com, alena.charnaokaya@al-enterprise.com, sibylle.klopfer@al-enterprise.com, igor.leko@al-enterprise.com"/>
        <s v="jorge.silva@al-enterprise.com"/>
        <s v="michael.moog@al-enterprise.com, katrin.pfeiffer@al-enterprise.com, sibylle.klopfer@al-enterprise.com, igor.leko@al-enterprise.com"/>
        <s v="mario.madrid-bustos@al-enterprise.com, astrid.savorani@al-enterprise.com, marcos.rodriguez@al-enterprise.com, borja.gonzalvez@al-enterprise.com"/>
        <s v="holly.berger@al-enterprise.com"/>
        <s v="joaquin.flores@al-enterprise.com"/>
        <s v="bill.rademacher@al-enterprise.com"/>
        <s v="michael-j.francis@al-enterprise.com, luigy.estevanell@al-enterprise.com, robert.stitz@al-enterprise.com"/>
        <s v="javier.largacha@al-enterprise.com"/>
        <s v="andreas.grossheimann@al-enterprise.com, katrin.pfeiffer@al-enterprise.com, holger.viktor@al-enterprise.com, sibylle.klopfer@al-enterprise.com, igor.leko@al-enterprise.com"/>
        <s v="robert.weinberger@al-enterprise.com, andreas.grossheimann@al-enterprise.com, katrin.pfeiffer@al-enterprise.com, sibylle.klopfer@al-enterprise.com, igor.leko@al-enterprise.com"/>
        <s v="brendan.flaherty@al-enterprise.com, michael-j.francis@al-enterprise.com"/>
        <s v="thomas.ullmann@al-enterprise.com, andreas.grossheimann@al-enterprise.com, katrin.pfeiffer@al-enterprise.com, sibylle.klopfer@al-enterprise.com, igor.leko@al-enterprise.com"/>
        <s v="ralf.kloeppels@al-enterprise.com, andreas.grossheimann@al-enterprise.com, katrin.pfeiffer@al-enterprise.com, sibylle.klopfer@al-enterprise.com, igor.leko@al-enterprise.com"/>
        <s v="philippe.girard@al-enterprise.com, rui.silva@al-enterprise.com, ralf.kloeppels@al-enterprise.com, andreas.grossheimann@al-enterprise.com, katrin.pfeiffer@al-enterprise.com, sibylle.klopfer@al-enterprise.com, igor.leko@al-enterprise.com"/>
        <s v="andreas.grossheimann@al-enterprise.com, katrin.pfeiffer@al-enterprise.com, sibylle.klopfer@al-enterprise.com, igor.leko@al-enterprise.com, hakan.adiguezel@al-enterprise.com"/>
        <s v="michael.moog@al-enterprise.com, philipp.bode@al-enterprise.com"/>
        <s v="thomas.ullmann@al-enterprise.com, silke.fraedrich@al-enterprise.com, andreas.grossheimann@al-enterprise.com, samantha.hunt@al-enterprise.com, katrin.pfeiffer@al-enterprise.com, sibylle.klopfer@al-enterprise.com, igor.leko@al-enterprise.com"/>
        <s v="brendan.flaherty@al-enterprise.com, michael-j.francis@al-enterprise.com, jon.taylor@al-enterprise.com"/>
        <s v="katrin.pfeiffer@al-enterprise.com, sibylle.klopfer@al-enterprise.com, igor.leko@al-enterprise.com, philipp.bode@al-enterprise.com"/>
        <s v="ralf.kloeppels@al-enterprise.com, katrin.pfeiffer@al-enterprise.com, sibylle.klopfer@al-enterprise.com, igor.leko@al-enterprise.com"/>
        <s v="vinicius.costa@al-enterprise.com"/>
        <s v="michael-j.francis@al-enterprise.com, luigy.estevanell@al-enterprise.com, steve.aliberti@al-enterprise.com, robert.stitz@al-enterprise.com"/>
        <s v="philippe.girard@al-enterprise.com, rui.silva@al-enterprise.com, carolina.rodriguez@al-enterprise.com"/>
        <s v="brendan.flaherty@al-enterprise.com, michael-j.francis@al-enterprise.com, tracy.dupree@al-enterprise.com, jon.taylor@al-enterprise.com"/>
        <s v="robert.weinberger@al-enterprise.com"/>
        <s v="luigy.estevanell@al-enterprise.com"/>
        <s v="silke.fraedrich@al-enterprise.com, niels.hass@al-enterprise.com, gunther.hahn@al-enterprise.com"/>
        <s v="philippe.girard@al-enterprise.com, rui.silva@al-enterprise.com, michael-j.francis@al-enterprise.com, bill.rademacher@al-enterprise.com"/>
        <s v="brendan.flaherty@al-enterprise.com"/>
        <s v="carolina.rodriguez@al-enterprise.com"/>
        <s v="luis.arriagada@al-enterprise.com"/>
        <s v="rui.silva@al-enterprise.com, javier.largacha@al-enterprise.com"/>
        <s v="philippe.girard@al-enterprise.com, rui.silva@al-enterprise.com, ralf.kloeppels@al-enterprise.com, katrin.pfeiffer@al-enterprise.com, sibylle.klopfer@al-enterprise.com, igor.leko@al-enterprise.com"/>
        <s v="philippe.girard@al-enterprise.com, rui.silva@al-enterprise.com, thomas.ullmann@al-enterprise.com, andreas.grossheimann@al-enterprise.com"/>
        <s v="andreas.grossheimann@al-enterprise.com, samantha.hunt@al-enterprise.com, katrin.pfeiffer@al-enterprise.com, sibylle.klopfer@al-enterprise.com, igor.leko@al-enterprise.com, hakan.adiguezel@al-enterprise.com"/>
        <s v="andreas.grossheimann@al-enterprise.com, katrin.pfeiffer@al-enterprise.com, sibylle.klopfer@al-enterprise.com, igor.leko@al-enterprise.com, daniel.scheidl@al-enterprise.com, hakan.adiguezel@al-enterprise.com"/>
        <s v="saul.montiel@al-enterprise.com, joaquin.flores@al-enterprise.com"/>
        <s v="astrid.savorani@al-enterprise.com, angel.montoya@al-enterprise.com, marcos.rodriguez@al-enterprise.com"/>
        <s v="jaime.tor@al-enterprise.com, astrid.savorani@al-enterprise.com, rafael.andreo@al-enterprise.com, esther.alonso@al-enterprise.com, marcos.rodriguez@al-enterprise.com, borja.gonzalvez@al-enterprise.com"/>
        <s v="rui.silva@al-enterprise.com, andreas.grossheimann@al-enterprise.com, katrin.pfeiffer@al-enterprise.com, sibylle.klopfer@al-enterprise.com, igor.leko@al-enterprise.com"/>
        <s v="andreas.grossheimann@al-enterprise.com, katrin.pfeiffer@al-enterprise.com, andre.ramm@al-enterprise.com, sibylle.klopfer@al-enterprise.com, igor.leko@al-enterprise.com"/>
        <s v="hector.villa@al-enterprise.com"/>
        <s v="astrid.savorani@al-enterprise.com, rafael.andreo@al-enterprise.com, esther.alonso@al-enterprise.com, hubert.chapelle@al-enterprise.com, marcos.rodriguez@al-enterprise.com"/>
        <s v="robert.weinberger@al-enterprise.com, katrin.pfeiffer@al-enterprise.com, sibylle.klopfer@al-enterprise.com, igor.leko@al-enterprise.com"/>
        <s v="silke.fraedrich@al-enterprise.com, andreas.grossheimann@al-enterprise.com, katrin.pfeiffer@al-enterprise.com, sibylle.klopfer@al-enterprise.com, igor.leko@al-enterprise.com"/>
        <s v="philippe.girard@al-enterprise.com, rui.silva@al-enterprise.com, nuno.ribas@al-enterprise.com, carolina.rodriguez@al-enterprise.com"/>
        <s v="bill.rademacher@al-enterprise.com, jack.jachner@al-enterprise.com"/>
        <s v="rui.silva@al-enterprise.com, saul.montiel@al-enterprise.com, joaquin.flores@al-enterprise.com"/>
        <s v="astrid.savorani@al-enterprise.com, marcos.rodriguez@al-enterprise.com"/>
        <s v="andreas.grossheimann@al-enterprise.com, katrin.pfeiffer@al-enterprise.com, sibylle.klopfer@al-enterprise.com, igor.leko@al-enterprise.com, philipp.bode@al-enterprise.com"/>
        <s v="bill.cusack@al-enterprise.com"/>
        <s v="marcel.marx@al-enterprise.com, katrin.pfeiffer@al-enterprise.com, sibylle.klopfer@al-enterprise.com, igor.leko@al-enterprise.com"/>
        <s v="philippe.girard@al-enterprise.com, rui.silva@al-enterprise.com, melissa.mercier@al-enterprise.com, brendan.flaherty@al-enterprise.com, michael-j.francis@al-enterprise.com, steve.aliberti@al-enterprise.com, Steve.roos@al-enterprise.com, jack.jachner@al-ent"/>
        <s v="brendan.flaherty@al-enterprise.com, eric.bumann@al-enterprise.com"/>
        <s v="brendan.flaherty@al-enterprise.com, robert.ewell@al-enterprise.com, jack.jachner@al-enterprise.com"/>
        <s v="philippe.girard@al-enterprise.com, rui.silva@al-enterprise.com, saul.montiel@al-enterprise.com, joaquin.flores@al-enterprise.com"/>
        <s v="philippe.girard@al-enterprise.com, rui.silva@al-enterprise.com, nuno.ribas@al-enterprise.com, tracy.dupree@al-enterprise.com"/>
        <s v="luigy.estevanell@al-enterprise.com, jack.jachner@al-enterprise.com"/>
        <s v="luigy.estevanell@al-enterprise.com, robert.stitz@al-enterprise.com, jack.jachner@al-enterprise.com"/>
        <s v="philippe.girard@al-enterprise.com, rui.silva@al-enterprise.com, hakan.adiguezel@al-enterprise.com"/>
        <s v="andreas.grossheimann@al-enterprise.com, gunther.hahn@al-enterprise.com, katrin.pfeiffer@al-enterprise.com, sibylle.klopfer@al-enterprise.com, igor.leko@al-enterprise.com"/>
        <s v="marius.istel@al-enterprise.com, thomas.araia@al-enterprise.com, katrin.pfeiffer@al-enterprise.com, sibylle.klopfer@al-enterprise.com, igor.leko@al-enterprise.com"/>
        <s v="brendan.flaherty@al-enterprise.com, michael-j.francis@al-enterprise.com, Steve.roos@al-enterprise.com, jack.jachner@al-enterprise.com"/>
        <s v="rui.silva@al-enterprise.com, nuno.ribas@al-enterprise.com, tracy.dupree@al-enterprise.com"/>
        <s v="holger.buettner@al-enterprise.com, katrin.pfeiffer@al-enterprise.com, sibylle.klopfer@al-enterprise.com, igor.leko@al-enterprise.com, philipp.bode@al-enterprise.com"/>
        <s v="silke.fraedrich@al-enterprise.com, andreas.grossheimann@al-enterprise.com"/>
        <s v="holger.viktor@al-enterprise.com"/>
        <s v="jaime.tor@al-enterprise.com, astrid.savorani@al-enterprise.com, rafael.andreo@al-enterprise.com, esther.alonso@al-enterprise.com, hubert.chapelle@al-enterprise.com, marcos.rodriguez@al-enterprise.com, borja.gonzalvez@al-enterprise.com"/>
        <s v="rui.silva@al-enterprise.com, marius.istel@al-enterprise.com, katrin.pfeiffer@al-enterprise.com, sibylle.klopfer@al-enterprise.com, igor.leko@al-enterprise.com, philipp.bode@al-enterprise.com"/>
        <s v="andreas.grossheimann@al-enterprise.com, gunther.hahn@al-enterprise.com, samantha.hunt@al-enterprise.com, katrin.pfeiffer@al-enterprise.com, sibylle.klopfer@al-enterprise.com, igor.leko@al-enterprise.com"/>
        <s v="margret.moyle@al-enterprise.com, charlotte.holtzer@al-enterprise.com, michael-j.francis@al-enterprise.com, tracy.dupree@al-enterprise.com"/>
        <s v="philippe.girard@al-enterprise.com, rui.silva@al-enterprise.com, paola.sa@al-enterprise.com, nuno.ribas@al-enterprise.com, carolina.rodriguez@al-enterprise.com"/>
        <s v="philippe.girard@al-enterprise.com, rui.silva@al-enterprise.com, luis.arriagada@al-enterprise.com"/>
        <s v="mario.madrid-bustos@al-enterprise.com"/>
        <s v="silke.fraedrich@al-enterprise.com, andreas.grossheimann@al-enterprise.com, samantha.hunt@al-enterprise.com, katrin.pfeiffer@al-enterprise.com, sibylle.klopfer@al-enterprise.com, igor.leko@al-enterprise.com"/>
        <s v="gene.hawks@al-enterprise.com, bill.rademacher@al-enterprise.com, jack.jachner@al-enterprise.com"/>
        <s v="andreas.grossheimann@al-enterprise.com, niels.hass@al-enterprise.com, gunther.hahn@al-enterprise.com"/>
        <s v="andreas.grossheimann@al-enterprise.com, niels.hass@al-enterprise.com, gunther.hahn@al-enterprise.com, katrin.pfeiffer@al-enterprise.com, sibylle.klopfer@al-enterprise.com, igor.leko@al-enterprise.com"/>
        <s v="marcel.marx@al-enterprise.com"/>
        <s v="philippe.girard@al-enterprise.com, rui.silva@al-enterprise.com, margret.moyle@al-enterprise.com, charlotte.holtzer@al-enterprise.com"/>
        <s v="gene.hawks@al-enterprise.com, steve.mcglasson@al-enterprise.com, bill.rademacher@al-enterprise.com"/>
        <s v="astrid.savorani@al-enterprise.com, rafael.andreo@al-enterprise.com, esther.alonso@al-enterprise.com, angel.montoya@al-enterprise.com, marcos.rodriguez@al-enterprise.com"/>
        <s v="rui.silva@al-enterprise.com, robert.weinberger@al-enterprise.com"/>
        <s v="astrid.savorani@al-enterprise.com, rafael.andreo@al-enterprise.com, esther.alonso@al-enterprise.com, marcos.rodriguez@al-enterprise.com, borja.gonzalvez@al-enterprise.com"/>
        <s v="andreas.grossheimann@al-enterprise.com, andre.ramm@al-enterprise.com"/>
        <s v="andreas.grossheimann@al-enterprise.com, katrin.pfeiffer@al-enterprise.com, andre.ramm@al-enterprise.com, holger.viktor@al-enterprise.com, sibylle.klopfer@al-enterprise.com, igor.leko@al-enterprise.com"/>
        <m/>
      </sharedItems>
    </cacheField>
    <cacheField name="Region" numFmtId="0">
      <sharedItems containsBlank="1">
        <s v="americas"/>
        <s v="germany"/>
        <s v="emea"/>
        <m/>
      </sharedItems>
    </cacheField>
    <cacheField name="Country" numFmtId="0">
      <sharedItems containsBlank="1">
        <s v="MX"/>
        <s v="US"/>
        <s v="BR"/>
        <s v="DE"/>
        <s v="ES"/>
        <s v="PA"/>
        <s v="CO"/>
        <s v="PE"/>
        <s v="CL"/>
        <s v="SV"/>
        <s v="UY"/>
        <s v="CA"/>
        <s v="GT"/>
        <s v="CR"/>
        <m/>
      </sharedItems>
    </cacheField>
    <cacheField name="Partner Segment" numFmtId="0">
      <sharedItems containsBlank="1">
        <s v="distributor"/>
        <s v="expert_200"/>
        <s v="yes"/>
        <s v="distributor_1000"/>
        <s v="expert_1000"/>
        <m/>
      </sharedItems>
    </cacheField>
    <cacheField name="Business Plan Setup and Acceptance - Result" numFmtId="0">
      <sharedItems containsString="0" containsBlank="1" containsNumber="1" containsInteger="1">
        <n v="0.0"/>
        <n v="1.0"/>
        <m/>
      </sharedItems>
    </cacheField>
    <cacheField name="Business Plan Setup and Acceptance - Target" numFmtId="0">
      <sharedItems containsString="0" containsBlank="1" containsNumber="1" containsInteger="1">
        <n v="1.0"/>
        <m/>
      </sharedItems>
    </cacheField>
    <cacheField name="Business Plan Setup and Acceptance - Achievement" numFmtId="10">
      <sharedItems containsString="0" containsBlank="1" containsNumber="1" containsInteger="1">
        <n v="0.0"/>
        <n v="1.0"/>
        <m/>
      </sharedItems>
    </cacheField>
    <cacheField name="Sales IN Revenues vs Sales target - Result" numFmtId="0">
      <sharedItems containsString="0" containsBlank="1" containsNumber="1">
        <n v="0.0"/>
        <n v="219.99"/>
        <n v="15.12"/>
        <n v="34.12"/>
        <n v="72.79"/>
        <n v="270.47"/>
        <n v="100.36"/>
        <n v="139.59"/>
        <n v="65.65"/>
        <n v="2756.73"/>
        <n v="17.22"/>
        <n v="88.22"/>
        <n v="18.39"/>
        <n v="10554.48"/>
        <n v="785.44"/>
        <n v="14.62"/>
        <n v="237.1"/>
        <n v="235.23"/>
        <n v="497.73"/>
        <n v="6.13"/>
        <n v="424.36"/>
        <n v="128.59"/>
        <n v="582.88"/>
        <n v="153.16"/>
        <n v="289.89"/>
        <n v="36.18"/>
        <n v="1802.04"/>
        <n v="15.84"/>
        <n v="383.74"/>
        <n v="2061.6"/>
        <n v="321.97"/>
        <n v="9.87"/>
        <n v="373.86"/>
        <n v="2908.71"/>
        <n v="132.47"/>
        <n v="83.6"/>
        <n v="158.29"/>
        <n v="1986.62"/>
        <n v="643.05"/>
        <n v="463.2"/>
        <n v="31.0"/>
        <n v="153.57"/>
        <n v="305.61"/>
        <n v="64.71"/>
        <n v="499.04"/>
        <n v="16.77"/>
        <n v="618.59"/>
        <n v="11.33"/>
        <n v="5.88"/>
        <n v="331.81"/>
        <n v="75.08"/>
        <n v="184.06"/>
        <n v="116.39"/>
        <n v="204.14"/>
        <n v="372.82"/>
        <n v="210.14"/>
        <n v="4608.08"/>
        <n v="72.2"/>
        <n v="35.8"/>
        <n v="64.68"/>
        <n v="179.8"/>
        <n v="1170.06"/>
        <n v="254.87"/>
        <n v="93.97"/>
        <n v="1051.95"/>
        <n v="480.36"/>
        <n v="972.91"/>
        <n v="3920.99"/>
        <n v="17.17"/>
        <n v="98.25"/>
        <n v="239.68"/>
        <n v="140.32"/>
        <n v="2665.78"/>
        <n v="225.0"/>
        <n v="52.8"/>
        <n v="303.99"/>
        <n v="341.41"/>
        <n v="121.19"/>
        <n v="249.91"/>
        <n v="175.38"/>
        <n v="14.61"/>
        <n v="7981.71"/>
        <n v="360.63"/>
        <n v="399.51"/>
        <n v="1075.83"/>
        <n v="310.88"/>
        <n v="28.73"/>
        <n v="1291.42"/>
        <n v="41.21"/>
        <n v="1353.74"/>
        <n v="12.47"/>
        <n v="15.23"/>
        <n v="1.77"/>
        <n v="490.78"/>
        <n v="695.05"/>
        <n v="182.1"/>
        <n v="0.04"/>
        <n v="110.73"/>
        <n v="5.56"/>
        <n v="8770.25"/>
        <n v="644.93"/>
        <n v="448.72"/>
        <n v="7.83"/>
        <n v="367.87"/>
        <n v="188.58"/>
        <n v="140.55"/>
        <n v="210.07"/>
        <n v="419.36"/>
        <n v="41.91"/>
        <n v="151.49"/>
        <n v="48.5"/>
        <n v="881.6"/>
        <n v="47.38"/>
        <n v="1282.13"/>
        <n v="110.87"/>
        <n v="30.5"/>
        <n v="204.54"/>
        <n v="37.86"/>
        <n v="114.27"/>
        <n v="628.63"/>
        <n v="18.73"/>
        <n v="1185.13"/>
        <n v="28.17"/>
        <n v="52.52"/>
        <n v="18.41"/>
        <n v="338.3"/>
        <n v="234.26"/>
        <n v="3234.44"/>
        <n v="0.6"/>
        <n v="717.92"/>
        <n v="562.97"/>
        <n v="45.81"/>
        <n v="2.82"/>
        <n v="207.3"/>
        <n v="63.53"/>
        <n v="1804.04"/>
        <n v="10.37"/>
        <n v="574.44"/>
        <n v="778.89"/>
        <n v="127.44"/>
        <n v="737.74"/>
        <n v="33.16"/>
        <n v="3.81"/>
        <n v="56.26"/>
        <n v="182.37"/>
        <n v="318.53"/>
        <n v="232.93"/>
        <n v="30.94"/>
        <m/>
      </sharedItems>
    </cacheField>
    <cacheField name="Sales IN Revenues vs Sales target - Target" numFmtId="0">
      <sharedItems containsString="0" containsBlank="1" containsNumber="1">
        <n v="500.0"/>
        <n v="99.2"/>
        <n v="4099.96"/>
        <n v="155.0"/>
        <n v="753.0"/>
        <n v="0.0"/>
        <n v="897.99"/>
        <n v="2399.98"/>
        <n v="1145.99"/>
        <n v="434.0"/>
        <n v="1549.99"/>
        <n v="5340.0"/>
        <n v="550.0"/>
        <n v="300.0"/>
        <n v="12725.89"/>
        <n v="2875.97"/>
        <n v="149.6"/>
        <n v="1332.99"/>
        <n v="448.0"/>
        <n v="1300.0"/>
        <n v="612.0"/>
        <n v="345.0"/>
        <n v="1143.99"/>
        <n v="407.0"/>
        <n v="926.0"/>
        <n v="205.0"/>
        <n v="4600.0"/>
        <n v="1379.99"/>
        <n v="4350.0"/>
        <n v="1325.0"/>
        <n v="1519.99"/>
        <n v="1497.29"/>
        <n v="430.0"/>
        <n v="505.0"/>
        <n v="1453.69"/>
        <n v="2039.88"/>
        <n v="1215.59"/>
        <n v="350.0"/>
        <n v="255.0"/>
        <n v="200.0"/>
        <n v="1253.0"/>
        <n v="1000.0"/>
        <n v="326.0"/>
        <n v="450.0"/>
        <n v="1740.0"/>
        <n v="1159.99"/>
        <n v="8500.0"/>
        <n v="230.2"/>
        <n v="2291.0"/>
        <n v="750.0"/>
        <n v="2600.0"/>
        <n v="1060.0"/>
        <n v="2500.0"/>
        <n v="6979.94"/>
        <n v="503.0"/>
        <n v="3349.97"/>
        <n v="5320.0"/>
        <n v="470.0"/>
        <n v="275.0"/>
        <n v="265.0"/>
        <n v="1350.0"/>
        <n v="249.6"/>
        <n v="250.0"/>
        <n v="18900.0"/>
        <n v="1361.99"/>
        <n v="687.99"/>
        <n v="5999.95"/>
        <n v="124.8"/>
        <n v="1367.19"/>
        <n v="3600.0"/>
        <n v="107.2"/>
        <n v="100.0"/>
        <n v="457.2"/>
        <n v="951.39"/>
        <n v="1451.0"/>
        <n v="240.0"/>
        <n v="368.5"/>
        <n v="400.0"/>
        <n v="17000.0"/>
        <n v="1268.59"/>
        <n v="1700.0"/>
        <n v="1150.0"/>
        <n v="900.0"/>
        <n v="1213.99"/>
        <n v="351.3"/>
        <n v="2800.78"/>
        <n v="248.0"/>
        <n v="401.0"/>
        <n v="581.39"/>
        <n v="1400.0"/>
        <n v="5170.0"/>
        <n v="264.0"/>
        <n v="650.0"/>
        <n v="4279.96"/>
        <n v="1500.0"/>
        <n v="220.0"/>
        <n v="653.0"/>
        <n v="2239.0"/>
        <n v="1883.0"/>
        <n v="525.0"/>
        <n v="1601.0"/>
        <n v="333.0"/>
        <n v="1743.38"/>
        <n v="460.0"/>
        <n v="1349.99"/>
        <n v="200.1"/>
        <m/>
      </sharedItems>
    </cacheField>
    <cacheField name="Sales IN Revenues vs Sales target - Achievement">
      <sharedItems containsBlank="1" containsMixedTypes="1" containsNumber="1">
        <n v="0.0"/>
        <n v="0.05365662104020527"/>
        <n v="0.09754838709677419"/>
        <s v=""/>
        <n v="0.14558000000000001"/>
        <n v="0.3011948908117017"/>
        <n v="0.08757493520885871"/>
        <n v="0.32163594470046086"/>
        <n v="0.042355111968464317"/>
        <n v="0.5162415730337079"/>
        <n v="0.031309090909090904"/>
        <n v="0.29406666666666664"/>
        <n v="0.8293706766285108"/>
        <n v="0.27310437869657894"/>
        <n v="0.09772727272727273"/>
        <n v="0.17787080173144584"/>
        <n v="0.5250669642857143"/>
        <n v="0.3828692307692308"/>
        <n v="0.011145454545454545"/>
        <n v="0.6933986928104575"/>
        <n v="0.37272463768115943"/>
        <n v="0.5095149433124415"/>
        <n v="0.3763144963144963"/>
        <n v="0.3130561555075594"/>
        <n v="0.17648780487804877"/>
        <n v="0.3917478260869565"/>
        <n v="0.03168"/>
        <n v="0.278074478800571"/>
        <n v="0.4739310344827586"/>
        <n v="0.24299622641509436"/>
        <n v="0.006493463772787978"/>
        <n v="0.24969110860287588"/>
        <n v="0.3080697674418605"/>
        <n v="0.16554455445544553"/>
        <n v="0.10888841499907131"/>
        <n v="0.22707218071651272"/>
        <n v="0.025502019595422802"/>
        <n v="0.43877142857142853"/>
        <n v="0.8731714285714286"/>
        <n v="0.2537647058823529"/>
        <n v="0.08385"/>
        <n v="0.49368715083798886"/>
        <n v="0.33181"/>
        <n v="0.23030674846625768"/>
        <n v="0.40902222222222223"/>
        <n v="0.33254285714285714"/>
        <n v="0.5832571428571428"/>
        <n v="0.21426436781609196"/>
        <n v="0.18115673410977678"/>
        <n v="0.5421270588235294"/>
        <n v="0.361"/>
        <n v="0.179"/>
        <n v="0.2809730668983493"/>
        <n v="0.5107202095154953"/>
        <n v="0.33982666666666667"/>
        <n v="0.46985"/>
        <n v="0.4045961538461539"/>
        <n v="0.45316981132075473"/>
        <n v="0.389164"/>
        <n v="0.5617512471453909"/>
        <n v="0.08585000000000001"/>
        <n v="0.19532803180914513"/>
        <n v="0.07154690937530785"/>
        <n v="0.5010864661654135"/>
        <n v="0.4787234042553192"/>
        <n v="0.19199999999999998"/>
        <n v="1.147132075471698"/>
        <n v="0.25289629629629634"/>
        <n v="0.485536858974359"/>
        <n v="0.8330333333333333"/>
        <n v="0.70152"/>
        <n v="0.4223126984126984"/>
        <n v="0.26478167974801575"/>
        <n v="0.5806915798194741"/>
        <n v="0.17930649422078518"/>
        <n v="0.31088"/>
        <n v="0.23020833333333335"/>
        <n v="0.9445797584827273"/>
        <n v="0.08160396039603961"/>
        <n v="0.37603888888888887"/>
        <n v="0.11632462686567165"/>
        <n v="0.07615"/>
        <n v="0.0038713910761154855"/>
        <n v="0.5158557479056959"/>
        <n v="0.4790144727773949"/>
        <n v="0.2428"/>
        <n v="0.3004884667571235"/>
        <n v="0.0139"/>
        <n v="0.5158970588235294"/>
        <n v="0.4961"/>
        <n v="0.3537155424526443"/>
        <n v="0.019575"/>
        <n v="0.21639411764705882"/>
        <n v="0.16398260869565218"/>
        <n v="0.4685"/>
        <n v="0.42014"/>
        <n v="0.46595555555555557"/>
        <n v="0.041909999999999996"/>
        <n v="0.33664444444444447"/>
        <n v="0.2425"/>
        <n v="0.7262003805632666"/>
        <n v="0.13487048107031027"/>
        <n v="0.4577760481008862"/>
        <n v="0.44705645161290325"/>
        <n v="0.10166666666666667"/>
        <n v="0.5100748129675811"/>
        <n v="0.19654620822511568"/>
        <n v="0.44902142857142857"/>
        <n v="0.22923210831721472"/>
        <n v="0.19893939393939394"/>
        <n v="0.03682"/>
        <n v="0.5204615384615385"/>
        <n v="0.7557173431527398"/>
        <n v="0.0024"/>
        <n v="0.4786133333333333"/>
        <n v="0.5629700000000001"/>
        <n v="0.012818181818181817"/>
        <n v="0.31745788667687597"/>
        <n v="0.31765"/>
        <n v="0.05184999999999999"/>
        <n v="0.2565609647163913"/>
        <n v="0.41364312267657993"/>
        <n v="0.24274285714285715"/>
        <n v="0.4607995003123048"/>
        <n v="0.16579999999999998"/>
        <n v="0.16894894894894893"/>
        <n v="0.1046071424474297"/>
        <n v="0.6924565217391304"/>
        <n v="0.1725420188297691"/>
        <n v="0.15462268865567216"/>
        <m/>
      </sharedItems>
    </cacheField>
    <cacheField name="Certifications achievements vs recommended - Result" numFmtId="0">
      <sharedItems containsString="0" containsBlank="1" containsNumber="1" containsInteger="1">
        <n v="0.0"/>
        <n v="1.0"/>
        <n v="267.0"/>
        <n v="6.0"/>
        <n v="19.0"/>
        <n v="20.0"/>
        <n v="29.0"/>
        <n v="2.0"/>
        <n v="48.0"/>
        <n v="27.0"/>
        <n v="16.0"/>
        <n v="51.0"/>
        <n v="81.0"/>
        <n v="3.0"/>
        <n v="75.0"/>
        <n v="36.0"/>
        <n v="56.0"/>
        <n v="31.0"/>
        <n v="38.0"/>
        <n v="42.0"/>
        <n v="40.0"/>
        <n v="9.0"/>
        <n v="178.0"/>
        <n v="7.0"/>
        <n v="103.0"/>
        <n v="13.0"/>
        <n v="11.0"/>
        <n v="15.0"/>
        <n v="47.0"/>
        <n v="85.0"/>
        <n v="24.0"/>
        <n v="64.0"/>
        <n v="4.0"/>
        <n v="12.0"/>
        <n v="50.0"/>
        <n v="33.0"/>
        <n v="5.0"/>
        <n v="70.0"/>
        <n v="68.0"/>
        <n v="10.0"/>
        <n v="18.0"/>
        <n v="108.0"/>
        <n v="44.0"/>
        <n v="55.0"/>
        <n v="52.0"/>
        <n v="14.0"/>
        <n v="25.0"/>
        <n v="26.0"/>
        <n v="45.0"/>
        <n v="35.0"/>
        <n v="90.0"/>
        <n v="65.0"/>
        <n v="28.0"/>
        <n v="23.0"/>
        <n v="57.0"/>
        <n v="350.0"/>
        <n v="22.0"/>
        <n v="49.0"/>
        <n v="80.0"/>
        <n v="143.0"/>
        <n v="59.0"/>
        <n v="98.0"/>
        <n v="17.0"/>
        <n v="43.0"/>
        <n v="58.0"/>
        <n v="30.0"/>
        <n v="71.0"/>
        <n v="87.0"/>
        <m/>
      </sharedItems>
    </cacheField>
    <cacheField name="Certifications achievements vs recommended - Target" numFmtId="0">
      <sharedItems containsString="0" containsBlank="1" containsNumber="1" containsInteger="1">
        <n v="0.0"/>
        <n v="52.0"/>
        <n v="56.0"/>
        <n v="40.0"/>
        <n v="63.0"/>
        <n v="53.0"/>
        <n v="64.0"/>
        <n v="60.0"/>
        <n v="16.0"/>
        <n v="47.0"/>
        <n v="69.0"/>
        <n v="55.0"/>
        <n v="22.0"/>
        <n v="58.0"/>
        <n v="11.0"/>
        <n v="82.0"/>
        <n v="43.0"/>
        <n v="66.0"/>
        <n v="20.0"/>
        <n v="65.0"/>
        <n v="62.0"/>
        <n v="59.0"/>
        <n v="54.0"/>
        <n v="57.0"/>
        <n v="3.0"/>
        <m/>
      </sharedItems>
    </cacheField>
    <cacheField name="Certifications achievements vs recommended - Achievement">
      <sharedItems containsBlank="1" containsMixedTypes="1" containsNumber="1">
        <s v=""/>
        <n v="5.134615384615385"/>
        <n v="0.0"/>
        <n v="0.36538461538461536"/>
        <n v="0.5576923076923077"/>
        <n v="0.03571428571428571"/>
        <n v="1.2"/>
        <n v="0.5192307692307693"/>
        <n v="0.3076923076923077"/>
        <n v="0.9807692307692307"/>
        <n v="0.2857142857142857"/>
        <n v="1.5576923076923077"/>
        <n v="1.4423076923076923"/>
        <n v="0.6923076923076923"/>
        <n v="1.0769230769230769"/>
        <n v="0.5961538461538461"/>
        <n v="0.6785714285714286"/>
        <n v="0.8076923076923077"/>
        <n v="0.7692307692307693"/>
        <n v="3.423076923076923"/>
        <n v="0.1346153846153846"/>
        <n v="0.5714285714285714"/>
        <n v="1.9433962264150944"/>
        <n v="0.25"/>
        <n v="0.21153846153846154"/>
        <n v="0.203125"/>
        <n v="0.21666666666666667"/>
        <n v="0.9038461538461539"/>
        <n v="0.5625"/>
        <n v="0.38461538461538464"/>
        <n v="0.46153846153846156"/>
        <n v="1.2307692307692308"/>
        <n v="0.07692307692307693"/>
        <n v="0.21428571428571427"/>
        <n v="0.9615384615384616"/>
        <n v="0.6346153846153846"/>
        <n v="0.10638297872340426"/>
        <n v="1.3461538461538463"/>
        <n v="1.3076923076923077"/>
        <n v="0.6086956521739131"/>
        <n v="0.19230769230769232"/>
        <n v="0.34615384615384615"/>
        <n v="2.076923076923077"/>
        <n v="0.8461538461538461"/>
        <n v="1.0576923076923077"/>
        <n v="0.9454545454545454"/>
        <n v="1.6363636363636365"/>
        <n v="0.4807692307692308"/>
        <n v="0.4482758620689655"/>
        <n v="0.8653846153846154"/>
        <n v="1.4545454545454546"/>
        <n v="0.6730769230769231"/>
        <n v="1.7307692307692308"/>
        <n v="0.038461538461538464"/>
        <n v="0.7926829268292683"/>
        <n v="0.6511627906976745"/>
        <n v="0.11538461538461539"/>
        <n v="0.7575757575757576"/>
        <n v="0.23076923076923078"/>
        <n v="0.057692307692307696"/>
        <n v="0.9655172413793104"/>
        <n v="0.6"/>
        <n v="0.4423076923076923"/>
        <n v="1.0961538461538463"/>
        <n v="0.17307692307692307"/>
        <n v="5.384615384615385"/>
        <n v="1.0377358490566038"/>
        <n v="0.4230769230769231"/>
        <n v="0.2692307692307692"/>
        <n v="0.9423076923076923"/>
        <n v="0.3225806451612903"/>
        <n v="1.5384615384615385"/>
        <n v="0.5"/>
        <n v="2.4237288135593222"/>
        <n v="0.08064516129032258"/>
        <n v="1.1346153846153846"/>
        <n v="1.8148148148148149"/>
        <n v="0.3269230769230769"/>
        <n v="0.8269230769230769"/>
        <n v="0.07017543859649122"/>
        <n v="0.07142857142857142"/>
        <n v="1.1153846153846154"/>
        <n v="0.5769230769230769"/>
        <n v="0.28846153846153844"/>
        <n v="1.3653846153846154"/>
        <n v="1.6730769230769231"/>
        <n v="0.09615384615384616"/>
        <m/>
      </sharedItems>
    </cacheField>
    <cacheField name="Communications - Certifications achievements vs recommended - Result" numFmtId="0">
      <sharedItems containsString="0" containsBlank="1" containsNumber="1" containsInteger="1">
        <n v="0.0"/>
        <n v="1.0"/>
        <m/>
      </sharedItems>
    </cacheField>
    <cacheField name="communications - certifications achievements vs recommended - result2" numFmtId="0">
      <sharedItems containsString="0" containsBlank="1" containsNumber="1" containsInteger="1">
        <n v="1.0"/>
        <m/>
      </sharedItems>
    </cacheField>
    <cacheField name="Communications - Certifications achievements vs recommended - Achievement" numFmtId="10">
      <sharedItems containsString="0" containsBlank="1" containsNumber="1" containsInteger="1">
        <n v="0.0"/>
        <n v="1.0"/>
        <m/>
      </sharedItems>
    </cacheField>
    <cacheField name="Networking - Certifications achievements vs recommended - Result" numFmtId="0">
      <sharedItems containsString="0" containsBlank="1" containsNumber="1" containsInteger="1">
        <n v="0.0"/>
        <n v="1.0"/>
        <m/>
      </sharedItems>
    </cacheField>
    <cacheField name="networking - certifications achievements vs recommended - result2" numFmtId="0">
      <sharedItems containsString="0" containsBlank="1" containsNumber="1" containsInteger="1">
        <n v="1.0"/>
        <m/>
      </sharedItems>
    </cacheField>
    <cacheField name="Networking - Certifications achievements vs recommended - Achievement" numFmtId="10">
      <sharedItems containsString="0" containsBlank="1" containsNumber="1" containsInteger="1">
        <n v="0.0"/>
        <n v="1.0"/>
        <m/>
      </sharedItems>
    </cacheField>
    <cacheField name="Marketing Plan (extract summary from SF) - Result" numFmtId="0">
      <sharedItems containsString="0" containsBlank="1" containsNumber="1" containsInteger="1">
        <n v="0.0"/>
        <n v="1.0"/>
        <m/>
      </sharedItems>
    </cacheField>
    <cacheField name="Marketing Plan (extract summary from SF) - Target" numFmtId="0">
      <sharedItems containsString="0" containsBlank="1" containsNumber="1" containsInteger="1">
        <n v="1.0"/>
        <m/>
      </sharedItems>
    </cacheField>
    <cacheField name="Marketing Plan (extract summary from SF) - Achievement" numFmtId="10">
      <sharedItems containsString="0" containsBlank="1" containsNumber="1" containsInteger="1">
        <n v="0.0"/>
        <n v="1.0"/>
        <m/>
      </sharedItems>
    </cacheField>
    <cacheField name="Quarterly Pipeline vs Target Pipeline - Result - Q1" numFmtId="0">
      <sharedItems containsString="0" containsBlank="1" containsNumber="1">
        <n v="0.0"/>
        <n v="44.0"/>
        <n v="32.4"/>
        <n v="20.84"/>
        <n v="23.32"/>
        <n v="5.58"/>
        <n v="2.2"/>
        <n v="13.85"/>
        <n v="14.52"/>
        <n v="5.7"/>
        <n v="4.42"/>
        <n v="75.0"/>
        <n v="3.08"/>
        <n v="14.49"/>
        <n v="2.0"/>
        <n v="8.17"/>
        <n v="4.1"/>
        <n v="115.0"/>
        <n v="2.49"/>
        <n v="21.9"/>
        <n v="19.83"/>
        <n v="4.68"/>
        <n v="0.59"/>
        <n v="40.01"/>
        <n v="110.0"/>
        <n v="21.7"/>
        <n v="13.6"/>
        <n v="1893.99"/>
        <n v="33.12"/>
        <n v="50.0"/>
        <n v="7.0"/>
        <n v="1.89"/>
        <n v="0.33"/>
        <n v="183.57"/>
        <n v="4.78"/>
        <n v="136.33"/>
        <n v="135.24"/>
        <n v="12.16"/>
        <n v="31.13"/>
        <n v="27.25"/>
        <n v="25.0"/>
        <n v="148.6"/>
        <n v="5.0"/>
        <n v="1.13"/>
        <n v="1.41"/>
        <n v="0.86"/>
        <n v="20.0"/>
        <n v="1.51"/>
        <n v="15.56"/>
        <n v="119.74"/>
        <n v="6.7"/>
        <n v="9.89"/>
        <n v="16.59"/>
        <n v="4.21"/>
        <n v="7.54"/>
        <n v="12.02"/>
        <n v="13.33"/>
        <n v="11.93"/>
        <n v="1.25"/>
        <n v="30.0"/>
        <n v="13.05"/>
        <n v="33.0"/>
        <n v="51.82"/>
        <n v="0.7"/>
        <n v="4.37"/>
        <n v="0.73"/>
        <n v="2.16"/>
        <n v="28.38"/>
        <n v="8.57"/>
        <n v="0.72"/>
        <n v="45.0"/>
        <n v="9.98"/>
        <n v="656.13"/>
        <n v="2.09"/>
        <n v="0.71"/>
        <n v="4.52"/>
        <n v="370.7"/>
        <n v="60.94"/>
        <n v="11.29"/>
        <n v="94.65"/>
        <n v="2.71"/>
        <n v="25.31"/>
        <n v="10.51"/>
        <n v="110.66"/>
        <n v="195.0"/>
        <n v="75.9"/>
        <n v="52.87"/>
        <n v="0.13"/>
        <n v="80.0"/>
        <n v="4.69"/>
        <n v="13.29"/>
        <n v="12.87"/>
        <n v="19.17"/>
        <n v="5.19"/>
        <n v="7.67"/>
        <n v="2.73"/>
        <n v="20.55"/>
        <n v="15.28"/>
        <n v="7.09"/>
        <n v="3.54"/>
        <n v="12.0"/>
        <n v="2.3"/>
        <n v="2.82"/>
        <n v="1.02"/>
        <n v="7.38"/>
        <n v="2.75"/>
        <n v="9.14"/>
        <n v="2.88"/>
        <n v="23.33"/>
        <n v="27.0"/>
        <n v="3.55"/>
        <n v="2.32"/>
        <n v="1.15"/>
        <n v="65.0"/>
        <n v="229.35"/>
        <n v="209.7"/>
        <n v="11.67"/>
        <n v="0.92"/>
        <n v="16.27"/>
        <m/>
      </sharedItems>
    </cacheField>
    <cacheField name="Quarterly Pipeline vs Target Pipeline - Target - Q1" numFmtId="0">
      <sharedItems containsString="0" containsBlank="1" containsNumber="1" containsInteger="1">
        <n v="0.0"/>
        <n v="1689.0"/>
        <n v="810.0"/>
        <n v="450.0"/>
        <m/>
      </sharedItems>
    </cacheField>
    <cacheField name="Quarterly Pipeline vs Target Pipeline - Achievement - Q1">
      <sharedItems containsBlank="1" containsMixedTypes="1" containsNumber="1">
        <s v=""/>
        <n v="0.007116637063351095"/>
        <n v="0.005395061728395062"/>
        <n v="0.21033333333333334"/>
        <m/>
      </sharedItems>
    </cacheField>
    <cacheField name="Quarterly Pipeline vs Target Pipeline - Result - Q2" numFmtId="0">
      <sharedItems containsString="0" containsBlank="1" containsNumber="1">
        <n v="0.0"/>
        <n v="44.27"/>
        <n v="29.0"/>
        <n v="34.44"/>
        <n v="230.0"/>
        <n v="6.87"/>
        <n v="440.0"/>
        <n v="2.77"/>
        <n v="2.2"/>
        <n v="6.13"/>
        <n v="7.05"/>
        <n v="85.0"/>
        <n v="1.86"/>
        <n v="9.0"/>
        <n v="8.97"/>
        <n v="17.91"/>
        <n v="3.16"/>
        <n v="0.76"/>
        <n v="21.09"/>
        <n v="66.0"/>
        <n v="2.49"/>
        <n v="19.83"/>
        <n v="56.78"/>
        <n v="2.42"/>
        <n v="12.97"/>
        <n v="6.5"/>
        <n v="7.06"/>
        <n v="14.0"/>
        <n v="256.74"/>
        <n v="50.0"/>
        <n v="3.03"/>
        <n v="168.0"/>
        <n v="8.15"/>
        <n v="104.99"/>
        <n v="12.96"/>
        <n v="1.89"/>
        <n v="0.64"/>
        <n v="3253.86"/>
        <n v="15.86"/>
        <n v="11.93"/>
        <n v="141.9"/>
        <n v="12.02"/>
        <n v="6.51"/>
        <n v="100.52"/>
        <n v="21.0"/>
        <n v="17.56"/>
        <n v="339.99"/>
        <n v="25.0"/>
        <n v="10.0"/>
        <n v="11.0"/>
        <n v="0.1"/>
        <n v="2.17"/>
        <n v="27.9"/>
        <n v="1.51"/>
        <n v="19.12"/>
        <n v="23.18"/>
        <n v="100.0"/>
        <n v="6.7"/>
        <n v="12.06"/>
        <n v="43.77"/>
        <n v="46.87"/>
        <n v="51.15"/>
        <n v="17.21"/>
        <n v="6.41"/>
        <n v="42.89"/>
        <n v="34.05"/>
        <n v="0.69"/>
        <n v="25.76"/>
        <n v="41.17"/>
        <n v="20.0"/>
        <n v="25.07"/>
        <n v="8.75"/>
        <n v="14.8"/>
        <n v="5.0"/>
        <n v="65.0"/>
        <n v="45.0"/>
        <n v="15.67"/>
        <n v="5.85"/>
        <n v="67.0"/>
        <n v="263.96"/>
        <n v="15.14"/>
        <n v="53.57"/>
        <n v="16.47"/>
        <n v="67.47"/>
        <n v="9.98"/>
        <n v="180.87"/>
        <n v="2.09"/>
        <n v="2.92"/>
        <n v="19.33"/>
        <n v="5.57"/>
        <n v="11.7"/>
        <n v="7.31"/>
        <n v="18.53"/>
        <n v="125.97"/>
        <n v="30.0"/>
        <n v="4.94"/>
        <n v="48.31"/>
        <n v="10.75"/>
        <n v="22.74"/>
        <n v="125.0"/>
        <n v="2700.0"/>
        <n v="15.0"/>
        <n v="2.7"/>
        <n v="40.0"/>
        <n v="0.27"/>
        <n v="4.43"/>
        <n v="54.92"/>
        <n v="16.72"/>
        <n v="13.19"/>
        <n v="5.19"/>
        <n v="16.79"/>
        <n v="3.0"/>
        <n v="19.16"/>
        <n v="53.04"/>
        <n v="8.72"/>
        <n v="7.09"/>
        <n v="0.08"/>
        <n v="2.46"/>
        <n v="0.8"/>
        <n v="12.67"/>
        <n v="0.52"/>
        <n v="1.54"/>
        <n v="76.87"/>
        <n v="54.0"/>
        <n v="2.0"/>
        <n v="27.85"/>
        <n v="1.24"/>
        <n v="11.77"/>
        <n v="6.24"/>
        <n v="13.26"/>
        <n v="4.77"/>
        <n v="12.5"/>
        <n v="42.65"/>
        <n v="1599.98"/>
        <n v="11.13"/>
        <n v="8.67"/>
        <n v="1.67"/>
        <n v="0.92"/>
        <n v="8.37"/>
        <m/>
      </sharedItems>
    </cacheField>
    <cacheField name="Quarterly Pipeline vs Target Pipeline - Target - Q2" numFmtId="0">
      <sharedItems containsString="0" containsBlank="1" containsNumber="1">
        <n v="383.33"/>
        <n v="66.01"/>
        <n v="3416.62"/>
        <n v="0.0"/>
        <n v="502.0"/>
        <n v="357.14"/>
        <n v="279.68"/>
        <n v="733.31"/>
        <n v="177.95"/>
        <n v="885.73"/>
        <n v="1291.67"/>
        <n v="1066.67"/>
        <n v="327.38"/>
        <n v="147.06"/>
        <n v="6881.01"/>
        <n v="845.58"/>
        <n v="99.67"/>
        <n v="1260.6"/>
        <n v="166.67"/>
        <n v="702.7"/>
        <n v="533.33"/>
        <n v="313.85"/>
        <n v="230.0"/>
        <n v="759.99"/>
        <n v="186.36"/>
        <n v="440.95"/>
        <n v="89.13"/>
        <n v="2000.0"/>
        <n v="215.52"/>
        <n v="1679.07"/>
        <n v="1705.88"/>
        <n v="519.61"/>
        <n v="899.98"/>
        <n v="1008.16"/>
        <n v="366.65"/>
        <n v="333.35"/>
        <n v="969.33"/>
        <n v="759.34"/>
        <n v="833.33"/>
        <n v="808.82"/>
        <n v="171.58"/>
        <n v="191.49"/>
        <n v="162.04"/>
        <n v="746.67"/>
        <n v="429.62"/>
        <n v="3937.5"/>
        <n v="47.62"/>
        <n v="79.31"/>
        <n v="1171.28"/>
        <n v="297.62"/>
        <n v="1405.41"/>
        <n v="623.53"/>
        <n v="772.31"/>
        <n v="4656.62"/>
        <n v="353.31"/>
        <n v="1883.3"/>
        <n v="1922.22"/>
        <n v="483.34"/>
        <n v="183.33"/>
        <n v="176.67"/>
        <n v="540.0"/>
        <n v="178.29"/>
        <n v="87.5"/>
        <n v="9083.33"/>
        <n v="464.64"/>
        <n v="2545.43"/>
        <n v="500.0"/>
        <n v="74.42"/>
        <n v="331.21"/>
        <n v="300.0"/>
        <n v="3015.67"/>
        <n v="71.33"/>
        <n v="116.64"/>
        <n v="103.87"/>
        <n v="634.33"/>
        <n v="549.06"/>
        <n v="254.24"/>
        <n v="243.34"/>
        <n v="184.25"/>
        <n v="812.5"/>
        <n v="470.0"/>
        <n v="1133.33"/>
        <n v="996.67"/>
        <n v="80.65"/>
        <n v="416.67"/>
        <n v="233.77"/>
        <n v="250.0"/>
        <n v="304.89"/>
        <n v="255.15"/>
        <n v="270.0"/>
        <n v="2336.66"/>
        <n v="58.35"/>
        <n v="150.94"/>
        <n v="387.66"/>
        <n v="551.43"/>
        <n v="213.11"/>
        <n v="114.94"/>
        <n v="1208.44"/>
        <n v="6.67"/>
        <n v="814.89"/>
        <n v="471.7"/>
        <n v="393.94"/>
        <n v="47.19"/>
        <n v="41.24"/>
        <n v="952.77"/>
        <n v="1255.33"/>
        <n v="181.03"/>
        <n v="116.22"/>
        <n v="1162.33"/>
        <n v="155.93"/>
        <n v="1125.0"/>
        <n v="83.33"/>
        <m/>
      </sharedItems>
    </cacheField>
    <cacheField name="Quarterly Pipeline vs Target Pipeline - Achievement - Q2">
      <sharedItems containsBlank="1" containsMixedTypes="1" containsNumber="1">
        <n v="0.0"/>
        <n v="0.6706559612179973"/>
        <n v="0.008487920810625707"/>
        <s v=""/>
        <n v="0.06860557768924302"/>
        <n v="0.6440051520412163"/>
        <n v="0.02456378718535469"/>
        <n v="0.6000190915165483"/>
        <n v="0.01556617027254847"/>
        <n v="0.0024838268998453256"/>
        <n v="0.004745794204402053"/>
        <n v="0.006609354345767669"/>
        <n v="0.25963711894434605"/>
        <n v="0.012647898816809467"/>
        <n v="0.0013035877000614736"/>
        <n v="0.021180728021003334"/>
        <n v="0.002506742820878947"/>
        <n v="0.004559908801823964"/>
        <n v="0.030012807741568236"/>
        <n v="0.12375077344233401"/>
        <n v="0.007933726302373746"/>
        <n v="0.08621739130434782"/>
        <n v="0.07471150936196529"/>
        <n v="0.012985619231594761"/>
        <n v="0.029413765733076316"/>
        <n v="0.07292718501065859"/>
        <n v="0.0035299999999999997"/>
        <n v="0.06495916852264291"/>
        <n v="0.15290607300469905"/>
        <n v="0.0293103852557038"/>
        <n v="0.005831296549335078"/>
        <n v="0.18667081490699794"/>
        <n v="0.008084034280272974"/>
        <n v="0.03534706123005592"/>
        <n v="0.005669716514174291"/>
        <n v="6.602498633076454E-4"/>
        <n v="0.01571101219480075"/>
        <n v="0.8513829723405533"/>
        <n v="0.02107208428833715"/>
        <n v="2.03989920201596"/>
        <n v="0.013600059345713508"/>
        <n v="5.828185103158877E-4"/>
        <n v="0.05222204814872839"/>
        <n v="0.013391755122192052"/>
        <n v="0.0020223124003910698"/>
        <n v="0.044504445789302176"/>
        <n v="0.005886984126984127"/>
        <n v="0.14069718605627887"/>
        <n v="0.1520615307023074"/>
        <n v="0.040016050816201076"/>
        <n v="0.17186345003695988"/>
        <n v="0.004560946627674486"/>
        <n v="0.06878578416435456"/>
        <n v="8.934236252282115E-4"/>
        <n v="0.00553190941068844"/>
        <n v="0.05660751181681809"/>
        <n v="0.013311740030797006"/>
        <n v="0.007699430866394065"/>
        <n v="0.010344684900897919"/>
        <n v="0.3545519009436535"/>
        <n v="0.2547121752419766"/>
        <n v="0.02901851851851852"/>
        <n v="0.03281171125694094"/>
        <n v="0.7657142857142857"/>
        <n v="0.0016667896024915973"/>
        <n v="0.11529356060606061"/>
        <n v="0.04296559100513917"/>
        <n v="0.026506327025296317"/>
        <n v="0.1"/>
        <n v="0.13410373555495836"/>
        <n v="0.5460885842818756"/>
        <n v="0.006966666666666666"/>
        <n v="9.682757065594046E-4"/>
        <n v="0.27099397168091965"/>
        <n v="0.04775377229080933"/>
        <n v="0.481370944449793"/>
        <n v="0.011523970173253668"/>
        <n v="0.03374858849670346"/>
        <n v="0.49547671491504086"/>
        <n v="0.12328429358099778"/>
        <n v="0.026811397557666216"/>
        <n v="0.024155000000000003"/>
        <n v="0.01323076923076923"/>
        <n v="0.04838297872340425"/>
        <n v="0.1102944420424766"/>
        <n v="0.015050116889241174"/>
        <n v="0.03347799132052077"/>
        <n v="0.09599923200614395"/>
        <n v="0.0011549813919664628"/>
        <n v="0.06"/>
        <n v="0.01452983043064712"/>
        <n v="0.21524593376445228"/>
        <n v="0.06192592592592592"/>
        <n v="0.0056448092576583675"/>
        <n v="0.2877463581833762"/>
        <n v="0.012"/>
        <n v="0.4306346892805088"/>
        <n v="0.1368209255533199"/>
        <n v="0.015813430535154056"/>
        <n v="0.011543334428229551"/>
        <n v="0.006960153123368715"/>
        <n v="0.01582205157061997"/>
        <n v="0.015548110787959112"/>
        <n v="0.0011023955904176383"/>
        <n v="0.19513123825963347"/>
        <n v="1.1443102352193262"/>
        <n v="0.030067895247332686"/>
        <n v="0.0123534536141986"/>
        <n v="0.004970804489656107"/>
        <n v="0.07324752803402751"/>
        <n v="0.028124912109649656"/>
        <n v="0.10755463775598004"/>
        <n v="13.717249657064473"/>
        <n v="0.007459155317336729"/>
        <n v="0.010709933944718784"/>
        <n v="0.0074399999999999996"/>
        <m/>
      </sharedItems>
    </cacheField>
    <cacheField name="Quarterly Pipeline vs Target Pipeline - Result - Q3" numFmtId="0">
      <sharedItems containsString="0" containsBlank="1" containsNumber="1">
        <n v="49.55"/>
        <n v="30.0"/>
        <n v="1788.03"/>
        <n v="0.0"/>
        <n v="119.34"/>
        <n v="85.0"/>
        <n v="80.05"/>
        <n v="440.0"/>
        <n v="527.96"/>
        <n v="15.39"/>
        <n v="229.14"/>
        <n v="318.42"/>
        <n v="111.0"/>
        <n v="54.08"/>
        <n v="73.3"/>
        <n v="296.05"/>
        <n v="93.62"/>
        <n v="70.61"/>
        <n v="972.1"/>
        <n v="82.47"/>
        <n v="285.01"/>
        <n v="367.93"/>
        <n v="35.79"/>
        <n v="42.27"/>
        <n v="157.12"/>
        <n v="4.68"/>
        <n v="90.97"/>
        <n v="6.5"/>
        <n v="570.13"/>
        <n v="110.0"/>
        <n v="330.68"/>
        <n v="700.0"/>
        <n v="218.14"/>
        <n v="460.0"/>
        <n v="2.83"/>
        <n v="2562.98"/>
        <n v="126.86"/>
        <n v="487.98"/>
        <n v="458.28"/>
        <n v="37.27"/>
        <n v="131.12"/>
        <n v="2372.05"/>
        <n v="120.31"/>
        <n v="70.98"/>
        <n v="767.07"/>
        <n v="4.67"/>
        <n v="229.74"/>
        <n v="339.99"/>
        <n v="425.0"/>
        <n v="800.0"/>
        <n v="40.0"/>
        <n v="79.43"/>
        <n v="40.46"/>
        <n v="55.71"/>
        <n v="27.9"/>
        <n v="36.51"/>
        <n v="1280.1"/>
        <n v="2894.47"/>
        <n v="15.99"/>
        <n v="11.58"/>
        <n v="95.0"/>
        <n v="335.92"/>
        <n v="135.96"/>
        <n v="182.0"/>
        <n v="604.58"/>
        <n v="212.38"/>
        <n v="128.01"/>
        <n v="301.35"/>
        <n v="154.87"/>
        <n v="46.0"/>
        <n v="131.35"/>
        <n v="66.54"/>
        <n v="2.61"/>
        <n v="2966.81"/>
        <n v="127.71"/>
        <n v="193.58"/>
        <n v="139.76"/>
        <n v="45.55"/>
        <n v="187.1"/>
        <n v="6.57"/>
        <n v="100.0"/>
        <n v="263.96"/>
        <n v="530.27"/>
        <n v="1242.68"/>
        <n v="194.91"/>
        <n v="361.28"/>
        <n v="111.99"/>
        <n v="13.88"/>
        <n v="759.8"/>
        <n v="42.2"/>
        <n v="344.17"/>
        <n v="50.0"/>
        <n v="60.1"/>
        <n v="370.7"/>
        <n v="11.3"/>
        <n v="45.13"/>
        <n v="81.84"/>
        <n v="1479.52"/>
        <n v="253.3"/>
        <n v="4.94"/>
        <n v="2432.84"/>
        <n v="144.54"/>
        <n v="415.78"/>
        <n v="250.0"/>
        <n v="248.7"/>
        <n v="272.0"/>
        <n v="33.05"/>
        <n v="117.66"/>
        <n v="414.1"/>
        <n v="153.71"/>
        <n v="379.85"/>
        <n v="14.6"/>
        <n v="6370.78"/>
        <n v="5.19"/>
        <n v="0.95"/>
        <n v="8.0"/>
        <n v="65.0"/>
        <n v="6.82"/>
        <n v="47.18"/>
        <n v="337.21"/>
        <n v="7.09"/>
        <n v="2459.29"/>
        <n v="12.0"/>
        <n v="10.0"/>
        <n v="482.67"/>
        <n v="0.8"/>
        <n v="82.56"/>
        <n v="453.5"/>
        <n v="98.48"/>
        <n v="761.04"/>
        <n v="332.0"/>
        <n v="145.58"/>
        <n v="54.0"/>
        <n v="55.19"/>
        <n v="65.86"/>
        <n v="927.86"/>
        <n v="310.3"/>
        <n v="227.08"/>
        <n v="136.0"/>
        <n v="7.1"/>
        <n v="29.38"/>
        <n v="203.57"/>
        <n v="1929.65"/>
        <n v="272.55"/>
        <n v="106.67"/>
        <n v="1904.02"/>
        <m/>
      </sharedItems>
    </cacheField>
    <cacheField name="Quarterly Pipeline vs Target Pipeline - Target - Q3" numFmtId="0">
      <sharedItems containsString="0" containsBlank="1" containsNumber="1">
        <n v="449.99"/>
        <n v="99.32"/>
        <n v="3416.97"/>
        <n v="154.98"/>
        <n v="753.0"/>
        <n v="0.0"/>
        <n v="357.14"/>
        <n v="421.86"/>
        <n v="2499.96"/>
        <n v="376.35"/>
        <n v="921.38"/>
        <n v="1291.67"/>
        <n v="1600.0"/>
        <n v="327.38"/>
        <n v="147.06"/>
        <n v="10318.83"/>
        <n v="1269.09"/>
        <n v="149.65"/>
        <n v="1193.93"/>
        <n v="156.52"/>
        <n v="1054.05"/>
        <n v="633.33"/>
        <n v="470.77"/>
        <n v="326.67"/>
        <n v="1143.32"/>
        <n v="231.82"/>
        <n v="661.43"/>
        <n v="205.0"/>
        <n v="3000.0"/>
        <n v="215.52"/>
        <n v="848.83"/>
        <n v="2558.82"/>
        <n v="803.92"/>
        <n v="1633.33"/>
        <n v="1521.82"/>
        <n v="566.68"/>
        <n v="400.0"/>
        <n v="1453.32"/>
        <n v="1586.84"/>
        <n v="1266.63"/>
        <n v="666.65"/>
        <n v="124.99"/>
        <n v="250.01"/>
        <n v="183.34"/>
        <n v="1240.0"/>
        <n v="433.32"/>
        <n v="808.82"/>
        <n v="257.37"/>
        <n v="287.23"/>
        <n v="162.04"/>
        <n v="256.1"/>
        <n v="700.0"/>
        <n v="644.44"/>
        <n v="5145.83"/>
        <n v="166.67"/>
        <n v="71.43"/>
        <n v="119.14"/>
        <n v="1179.79"/>
        <n v="297.62"/>
        <n v="134.67"/>
        <n v="2108.11"/>
        <n v="935.29"/>
        <n v="1150.77"/>
        <n v="6983.28"/>
        <n v="643.34"/>
        <n v="5316.63"/>
        <n v="2787.3"/>
        <n v="483.34"/>
        <n v="274.57"/>
        <n v="265.0"/>
        <n v="810.0"/>
        <n v="178.29"/>
        <n v="100.0"/>
        <n v="9083.33"/>
        <n v="1706.67"/>
        <n v="572.21"/>
        <n v="2981.8"/>
        <n v="750.0"/>
        <n v="109.11"/>
        <n v="486.58"/>
        <n v="550.01"/>
        <n v="2890.0"/>
        <n v="107.33"/>
        <n v="116.64"/>
        <n v="155.9"/>
        <n v="951.31"/>
        <n v="783.02"/>
        <n v="381.36"/>
        <n v="276.25"/>
        <n v="11800.0"/>
        <n v="812.5"/>
        <n v="536.83"/>
        <n v="300.0"/>
        <n v="1700.0"/>
        <n v="920.0"/>
        <n v="80.65"/>
        <n v="416.67"/>
        <n v="349.35"/>
        <n v="375.0"/>
        <n v="341.47"/>
        <n v="176.67"/>
        <n v="383.79"/>
        <n v="316.67"/>
        <n v="1400.0"/>
        <n v="87.53"/>
        <n v="250.0"/>
        <n v="227.36"/>
        <n v="581.32"/>
        <n v="1028.57"/>
        <n v="5166.67"/>
        <n v="263.33"/>
        <n v="318.03"/>
        <n v="499.98"/>
        <n v="1807.03"/>
        <n v="223.33"/>
        <n v="772.34"/>
        <n v="471.7"/>
        <n v="413.34"/>
        <n v="557.58"/>
        <n v="65.17"/>
        <n v="61.86"/>
        <n v="1429.15"/>
        <n v="1883.0"/>
        <n v="271.55"/>
        <n v="109.46"/>
        <n v="83.34"/>
        <n v="1743.3"/>
        <n v="233.9"/>
        <n v="1125.0"/>
        <n v="125.0"/>
        <m/>
      </sharedItems>
    </cacheField>
    <cacheField name="Quarterly Pipeline vs Target Pipeline - Achievement - Q3">
      <sharedItems containsBlank="1" containsMixedTypes="1" containsNumber="1">
        <n v="0.11011355807906842"/>
        <n v="0.30205396697543296"/>
        <n v="0.523279396658443"/>
        <n v="0.0"/>
        <n v="0.15848605577689243"/>
        <s v=""/>
        <n v="0.23800190401523214"/>
        <n v="0.18975489498885886"/>
        <n v="0.17600281604505671"/>
        <n v="1.4028430981798858"/>
        <n v="0.016703206060474506"/>
        <n v="0.177398251875479"/>
        <n v="0.1990125"/>
        <n v="0.3390555317979107"/>
        <n v="0.3677410580715354"/>
        <n v="0.028690268179628893"/>
        <n v="0.07376939381761735"/>
        <n v="0.47183427998663546"/>
        <n v="0.8142018376286717"/>
        <n v="0.5268975210835676"/>
        <n v="0.2703951425454201"/>
        <n v="0.5809451628692782"/>
        <n v="0.07602438558106932"/>
        <n v="0.12939663880980806"/>
        <n v="0.1374243431410279"/>
        <n v="0.020188076956259165"/>
        <n v="0.13753534009645768"/>
        <n v="0.03170731707317073"/>
        <n v="0.19004333333333334"/>
        <n v="0.5103934669636229"/>
        <n v="0.38957152786777094"/>
        <n v="0.27356359571990213"/>
        <n v="0.27134540750323416"/>
        <n v="0.28163322782291395"/>
        <n v="0.0018596154604355313"/>
        <n v="0.22386532081598082"/>
        <n v="0.33576913549665593"/>
        <n v="0.02348692999924378"/>
        <n v="0.10351878607012308"/>
        <n v="3.5581639540988528"/>
        <n v="0.9625570045603649"/>
        <n v="0.28390864365425383"/>
        <n v="0.025471801025417257"/>
        <n v="0.18527419354838712"/>
        <n v="0.784616449736915"/>
        <n v="0.04945476125714003"/>
        <n v="0.3086218284959397"/>
        <n v="0.14086272325314209"/>
        <n v="0.3438039990125895"/>
        <n v="0.10894181960171806"/>
        <n v="0.05215714285714285"/>
        <n v="1.9863757681087453"/>
        <n v="0.5624884615309872"/>
        <n v="0.2238555228895422"/>
        <n v="0.09719657545744502"/>
        <n v="0.28472863814746696"/>
        <n v="0.4568241381627579"/>
        <n v="1.3514516967401797"/>
        <n v="0.2867876913443796"/>
        <n v="0.22707395567150296"/>
        <n v="0.261868140462473"/>
        <n v="0.022177257678340265"/>
        <n v="0.2759944801103978"/>
        <n v="0.20416886871638634"/>
        <n v="0.01251544681499371"/>
        <n v="0.0458185340652244"/>
        <n v="0.40050482062316384"/>
        <n v="0.509014094766362"/>
        <n v="0.17188679245283017"/>
        <n v="0.23098765432098764"/>
        <n v="0.03685007571933367"/>
        <n v="1.0"/>
        <n v="0.058378370047108274"/>
        <n v="0.7281313903683782"/>
        <n v="0.3406266929973261"/>
        <n v="0.12116171440069755"/>
        <n v="0.14931999999999998"/>
        <n v="0.12721107139583906"/>
        <n v="1.5615109540055079"/>
        <n v="0.07672587771131435"/>
        <n v="0.11908996539792388"/>
        <n v="0.5599552781142272"/>
        <n v="3.1781550068587103"/>
        <n v="0.06779864402711946"/>
        <n v="0.28948043617703656"/>
        <n v="0.08602873931736238"/>
        <n v="1.889504738065439"/>
        <n v="0.6642018040696455"/>
        <n v="0.5181629758917857"/>
        <n v="0.01788235294117647"/>
        <n v="0.2061728813559322"/>
        <n v="0.1778953846153846"/>
        <n v="0.774509621295382"/>
        <n v="0.14705882352941177"/>
        <n v="0.2703260869565217"/>
        <n v="3.372597644141351"/>
        <n v="0.07931936544507642"/>
        <n v="0.33679690854443967"/>
        <n v="1.1042666666666667"/>
        <n v="0.4501420329750783"/>
        <n v="0.22641082243731253"/>
        <n v="0.9897339690976836"/>
        <n v="0.04610477784444374"/>
        <n v="4.5505571428571425"/>
        <n v="0.010853421683994058"/>
        <n v="0.032"/>
        <n v="0.285890218156228"/>
        <n v="0.08116011835133832"/>
        <n v="0.3278435108937651"/>
        <n v="0.4759913058120607"/>
        <n v="0.03797516424258535"/>
        <n v="1.5176870106593718"/>
        <n v="0.0016000640025601025"/>
        <n v="0.045688228751044536"/>
        <n v="0.5871766320532408"/>
        <n v="0.20877676489294045"/>
        <n v="0.8032128514056225"/>
        <n v="0.2610925786434234"/>
        <n v="0.8286021175387448"/>
        <n v="0.48496605237633367"/>
        <n v="0.6492390581814365"/>
        <n v="0.1647902283590016"/>
        <n v="0.836236420548702"/>
        <n v="0.085"/>
        <n v="0.04259914801703966"/>
        <n v="0.2684085510688836"/>
        <n v="23.153947684185265"/>
        <n v="0.1563414214420926"/>
        <n v="0.4560495938435229"/>
        <n v="1.6924622222222223"/>
        <m/>
      </sharedItems>
    </cacheField>
    <cacheField name="Quarterly Pipeline vs Target Pipeline - Result - Q4" numFmtId="0">
      <sharedItems containsString="0" containsBlank="1" containsNumber="1">
        <n v="45.83"/>
        <n v="301.0"/>
        <n v="542.99"/>
        <n v="0.0"/>
        <n v="196.84"/>
        <n v="400.0"/>
        <n v="190.48"/>
        <n v="1339.99"/>
        <n v="432.44"/>
        <n v="3.53"/>
        <n v="1124.39"/>
        <n v="282.09"/>
        <n v="20.0"/>
        <n v="108.4"/>
        <n v="135.8"/>
        <n v="18.91"/>
        <n v="184.87"/>
        <n v="100.0"/>
        <n v="217.97"/>
        <n v="486.22"/>
        <n v="446.86"/>
        <n v="115.0"/>
        <n v="630.0"/>
        <n v="338.62"/>
        <n v="1009.5"/>
        <n v="229.03"/>
        <n v="340.9"/>
        <n v="66.4"/>
        <n v="3865.78"/>
        <n v="340.0"/>
        <n v="18.11"/>
        <n v="541.5"/>
        <n v="388.0"/>
        <n v="1965.99"/>
        <n v="104.26"/>
        <n v="4760.96"/>
        <n v="289.99"/>
        <n v="26.19"/>
        <n v="131.09"/>
        <n v="350.62"/>
        <n v="65.8"/>
        <n v="294.35"/>
        <n v="720.58"/>
        <n v="434.64"/>
        <n v="3.52"/>
        <n v="395.63"/>
        <n v="1371.73"/>
        <n v="265.0"/>
        <n v="515.0"/>
        <n v="40.0"/>
        <n v="73.23"/>
        <n v="506.26"/>
        <n v="113.73"/>
        <n v="205.79"/>
        <n v="47.0"/>
        <n v="746.29"/>
        <n v="14088.73"/>
        <n v="10.0"/>
        <n v="34.99"/>
        <n v="95.0"/>
        <n v="768.11"/>
        <n v="115.37"/>
        <n v="400.67"/>
        <n v="1813.96"/>
        <n v="1570.66"/>
        <n v="128.01"/>
        <n v="1554.98"/>
        <n v="44.91"/>
        <n v="1847.85"/>
        <n v="5169.93"/>
        <n v="107.13"/>
        <n v="667.73"/>
        <n v="293.99"/>
        <n v="70.0"/>
        <n v="49.97"/>
        <n v="197.84"/>
        <n v="41.71"/>
        <n v="48.0"/>
        <n v="1031.17"/>
        <n v="623.26"/>
        <n v="1035.7"/>
        <n v="44.0"/>
        <n v="4504.09"/>
        <n v="4463.3"/>
        <n v="65.0"/>
        <n v="85.95"/>
        <n v="0.48"/>
        <n v="1575.66"/>
        <n v="379.99"/>
        <n v="244.99"/>
        <n v="45.0"/>
        <n v="99.91"/>
        <n v="761.23"/>
        <n v="657.2"/>
        <n v="154.1"/>
        <n v="30.0"/>
        <n v="45242.67"/>
        <n v="730.29"/>
        <n v="2636.97"/>
        <n v="509.0"/>
        <n v="315.0"/>
        <n v="1137.29"/>
        <n v="538.2"/>
        <n v="234.58"/>
        <n v="1297.4"/>
        <n v="66.64"/>
        <n v="90.0"/>
        <n v="201.37"/>
        <n v="29.0"/>
        <n v="280.83"/>
        <n v="64.0"/>
        <n v="256.2"/>
        <n v="181.84"/>
        <n v="44.9"/>
        <n v="443.1"/>
        <n v="39.74"/>
        <n v="4570.15"/>
        <n v="249.0"/>
        <n v="85.0"/>
        <n v="40.4"/>
        <n v="102.29"/>
        <n v="32.02"/>
        <n v="1334.62"/>
        <n v="1109.98"/>
        <n v="97.25"/>
        <n v="5.0"/>
        <n v="179.93"/>
        <n v="54.0"/>
        <n v="7.4"/>
        <n v="14.94"/>
        <n v="150.0"/>
        <n v="860.75"/>
        <n v="3142.28"/>
        <n v="128.8"/>
        <n v="1282.2"/>
        <n v="38.8"/>
        <n v="263.79"/>
        <n v="2119.98"/>
        <n v="386.29"/>
        <n v="1599.98"/>
        <n v="11.13"/>
        <n v="1934.1"/>
        <n v="200.84"/>
        <n v="2446.58"/>
        <m/>
      </sharedItems>
    </cacheField>
    <cacheField name="Quarterly Pipeline vs Target Pipeline - Target - Q4" numFmtId="0">
      <sharedItems containsString="0" containsBlank="1" containsNumber="1">
        <n v="483.34"/>
        <n v="99.32"/>
        <n v="3416.97"/>
        <n v="154.98"/>
        <n v="753.0"/>
        <n v="0.0"/>
        <n v="357.14"/>
        <n v="421.86"/>
        <n v="4033.28"/>
        <n v="629.03"/>
        <n v="935.68"/>
        <n v="1291.67"/>
        <n v="1600.0"/>
        <n v="327.38"/>
        <n v="147.06"/>
        <n v="10316.12"/>
        <n v="1269.09"/>
        <n v="149.65"/>
        <n v="1172.71"/>
        <n v="181.16"/>
        <n v="1054.05"/>
        <n v="499.98"/>
        <n v="470.77"/>
        <n v="363.33"/>
        <n v="1146.66"/>
        <n v="322.73"/>
        <n v="661.43"/>
        <n v="205.0"/>
        <n v="3000.0"/>
        <n v="215.52"/>
        <n v="302.31"/>
        <n v="2558.82"/>
        <n v="754.9"/>
        <n v="1633.33"/>
        <n v="1452.82"/>
        <n v="796.68"/>
        <n v="700.0"/>
        <n v="1453.67"/>
        <n v="555.26"/>
        <n v="1266.63"/>
        <n v="333.35"/>
        <n v="83.33"/>
        <n v="266.68"/>
        <n v="216.66"/>
        <n v="1266.67"/>
        <n v="566.68"/>
        <n v="808.82"/>
        <n v="257.37"/>
        <n v="287.23"/>
        <n v="162.04"/>
        <n v="256.1"/>
        <n v="811.67"/>
        <n v="644.44"/>
        <n v="4410.42"/>
        <n v="166.67"/>
        <n v="71.43"/>
        <n v="119.14"/>
        <n v="1298.94"/>
        <n v="297.62"/>
        <n v="232.0"/>
        <n v="2108.11"/>
        <n v="935.29"/>
        <n v="1150.77"/>
        <n v="6976.61"/>
        <n v="576.64"/>
        <n v="3966.63"/>
        <n v="2884.13"/>
        <n v="416.68"/>
        <n v="275.33"/>
        <n v="265.0"/>
        <n v="810.0"/>
        <n v="178.29"/>
        <n v="100.0"/>
        <n v="250.01"/>
        <n v="9083.33"/>
        <n v="966.65"/>
        <n v="572.21"/>
        <n v="3018.16"/>
        <n v="750.0"/>
        <n v="109.11"/>
        <n v="518.3"/>
        <n v="616.66"/>
        <n v="3393.33"/>
        <n v="107.33"/>
        <n v="83.34"/>
        <n v="155.9"/>
        <n v="951.31"/>
        <n v="858.49"/>
        <n v="381.36"/>
        <n v="289.99"/>
        <n v="276.5"/>
        <n v="16771.43"/>
        <n v="812.5"/>
        <n v="536.83"/>
        <n v="550.01"/>
        <n v="1700.0"/>
        <n v="1073.33"/>
        <n v="80.65"/>
        <n v="416.67"/>
        <n v="351.95"/>
        <n v="375.0"/>
        <n v="280.48"/>
        <n v="176.67"/>
        <n v="383.79"/>
        <n v="317.67"/>
        <n v="1716.67"/>
        <n v="87.53"/>
        <n v="250.0"/>
        <n v="227.36"/>
        <n v="581.32"/>
        <n v="1348.57"/>
        <n v="5166.67"/>
        <n v="263.33"/>
        <n v="321.31"/>
        <n v="1807.03"/>
        <n v="599.98"/>
        <n v="893.62"/>
        <n v="471.7"/>
        <n v="630.3"/>
        <n v="65.17"/>
        <n v="61.86"/>
        <n v="1429.15"/>
        <n v="1883.0"/>
        <n v="271.55"/>
        <n v="1603.33"/>
        <n v="124.32"/>
        <n v="133.32"/>
        <n v="1743.3"/>
        <n v="233.9"/>
        <n v="1125.0"/>
        <n v="125.0"/>
        <m/>
      </sharedItems>
    </cacheField>
    <cacheField name="Quarterly Pipeline vs Target Pipeline - Achievement - Q4">
      <sharedItems containsBlank="1" containsMixedTypes="1" containsNumber="1">
        <n v="0.09481938180163033"/>
        <n v="3.0306081353201773"/>
        <n v="0.15890979434996505"/>
        <n v="0.0"/>
        <n v="0.26140770252324036"/>
        <s v=""/>
        <n v="1.1200089600716807"/>
        <n v="0.4515242023420092"/>
        <n v="0.3322333187876864"/>
        <n v="0.6874711857940004"/>
        <n v="0.00377265731874145"/>
        <n v="0.8704932374368066"/>
        <n v="0.17630625"/>
        <n v="0.06109108681043436"/>
        <n v="0.7371141030871753"/>
        <n v="0.0018330535123670525"/>
        <n v="0.14567130778746978"/>
        <n v="0.6682258603407951"/>
        <n v="0.1858686290728313"/>
        <n v="2.6839258114374034"/>
        <n v="0.4239457331246146"/>
        <n v="0.2300092003680147"/>
        <n v="1.3382331074622427"/>
        <n v="0.9319902017449702"/>
        <n v="0.8803830254827062"/>
        <n v="0.7096644253710531"/>
        <n v="0.5153984548629484"/>
        <n v="0.32390243902439025"/>
        <n v="1.2885933333333335"/>
        <n v="1.5775798069784706"/>
        <n v="0.059905395124210246"/>
        <n v="0.21162098154618142"/>
        <n v="0.5139753609749635"/>
        <n v="1.2036698034077622"/>
        <n v="0.07176387990253438"/>
        <n v="0.3639980920821409"/>
        <n v="0.03741428571428572"/>
        <n v="0.09017865127573658"/>
        <n v="0.11850304361920541"/>
        <n v="0.23238830597727828"/>
        <n v="2.1616319184040798"/>
        <n v="5.215888635545422"/>
        <n v="0.01319934003299835"/>
        <n v="0.09231053263177329"/>
        <n v="1.0829418869950342"/>
        <n v="0.04945476125714003"/>
        <n v="0.2845319967362164"/>
        <n v="1.7625596212094836"/>
        <n v="0.7018637373488028"/>
        <n v="0.8035532994923856"/>
        <n v="0.05790530634371112"/>
        <n v="1.1580441934082302"/>
        <n v="3.1944191256161543"/>
        <n v="0.13999720005599886"/>
        <n v="0.5913360124409134"/>
        <n v="0.38764195954572944"/>
        <n v="1.7270258620689656"/>
        <n v="0.8604674329138422"/>
        <n v="1.6793294058527304"/>
        <n v="1.3512517705536293"/>
        <n v="0.006437223809271265"/>
        <n v="3.2045123473917867"/>
        <n v="1.3033557453052087"/>
        <n v="0.23151869021160626"/>
        <n v="0.7055534222904867"/>
        <n v="0.2542403661061272"/>
        <n v="0.18856603773584904"/>
        <n v="0.24424691358024692"/>
        <n v="0.23394469684222335"/>
        <n v="0.48"/>
        <n v="0.06861580499662569"/>
        <n v="1.0714322660735531"/>
        <n v="0.0768948462976879"/>
        <n v="1.4923297638296182"/>
        <n v="5.951066666666667"/>
        <n v="0.595729080744203"/>
        <n v="0.1658306000385877"/>
        <n v="7.783867933707392E-4"/>
        <n v="0.46434033825180576"/>
        <n v="2.2825864157271964"/>
        <n v="0.26999460010799786"/>
        <n v="0.10502359903711724"/>
        <n v="0.8867080571701476"/>
        <n v="1.7233060625131111"/>
        <n v="0.06896789544467051"/>
        <n v="0.5573236889692585"/>
        <n v="2.697603603270562"/>
        <n v="0.8988184615384615"/>
        <n v="4.912113704524709"/>
        <n v="0.2994117647058824"/>
        <n v="1.0595902471746808"/>
        <n v="1.291669666642667"/>
        <n v="0.6665151299900555"/>
        <n v="3.4597333333333338"/>
        <n v="0.23759269823160295"/>
        <n v="0.5094243504839532"/>
        <n v="0.5246879804059511"/>
        <n v="0.09128970315106871"/>
        <n v="0.16358997361170172"/>
        <n v="0.7311778818690734"/>
        <n v="1.0248"/>
        <n v="0.07723801004610197"/>
        <n v="0.32857026331595696"/>
        <n v="0.8845445906163931"/>
        <n v="0.32278889606197547"/>
        <n v="0.09695922432620538"/>
        <n v="0.3183529924372102"/>
        <n v="0.017719683679850363"/>
        <n v="1.4934983550054832"/>
        <n v="2.3531481874072506"/>
        <n v="0.2854672378232588"/>
        <n v="0.8286021175387448"/>
        <n v="2.4248302618816684"/>
        <n v="0.6022810761641535"/>
        <n v="1.6687626128518322"/>
        <n v="0.4743141226293501"/>
        <n v="0.7997106023089445"/>
        <n v="0.23279534409311814"/>
        <n v="2.1218629343629347"/>
        <n v="12.001050105010501"/>
        <n v="1.1094475993804853"/>
        <n v="0.8586575459598119"/>
        <n v="2.1747377777777777"/>
        <n v="0.52"/>
        <m/>
      </sharedItems>
    </cacheField>
    <cacheField name="Quarterly Pipeline vs Target Pipeline - Result - 2025 Total" numFmtId="0">
      <sharedItems containsString="0" containsBlank="1" containsNumber="1">
        <n v="95.38"/>
        <n v="375.27"/>
        <n v="2404.02"/>
        <n v="0.0"/>
        <n v="383.02"/>
        <n v="20.84"/>
        <n v="715.0"/>
        <n v="300.71999999999997"/>
        <n v="2219.99"/>
        <n v="968.75"/>
        <n v="23.32"/>
        <n v="1373.51"/>
        <n v="622.0799999999999"/>
        <n v="221.7"/>
        <n v="168.76"/>
        <n v="293.1"/>
        <n v="327.01000000000005"/>
        <n v="310.89"/>
        <n v="170.61"/>
        <n v="1195.23"/>
        <n v="577.62"/>
        <n v="757.06"/>
        <n v="663.9300000000001"/>
        <n v="670.77"/>
        <n v="422.62"/>
        <n v="1243.23"/>
        <n v="240.81"/>
        <n v="445.42999999999995"/>
        <n v="79.4"/>
        <n v="4482.9800000000005"/>
        <n v="574.0"/>
        <n v="627.23"/>
        <n v="1305.1"/>
        <n v="609.17"/>
        <n v="4487.98"/>
        <n v="148.36"/>
        <n v="7478.93"/>
        <n v="436.81"/>
        <n v="29.970000000000002"/>
        <n v="620.0400000000001"/>
        <n v="4246.33"/>
        <n v="123.71000000000001"/>
        <n v="573.73"/>
        <n v="3369.77"/>
        <n v="579.13"/>
        <n v="81.01"/>
        <n v="1294.35"/>
        <n v="45.67"/>
        <n v="1646.28"/>
        <n v="679.98"/>
        <n v="740.0"/>
        <n v="1473.6"/>
        <n v="96.0"/>
        <n v="153.89000000000001"/>
        <n v="558.13"/>
        <n v="172.47"/>
        <n v="281.59"/>
        <n v="86.53"/>
        <n v="2061.0699999999997"/>
        <n v="17126.12"/>
        <n v="100.0"/>
        <n v="39.39"/>
        <n v="33.53"/>
        <n v="125.35"/>
        <n v="190.0"/>
        <n v="1155.1100000000001"/>
        <n v="310.02"/>
        <n v="599.88"/>
        <n v="2436.9700000000003"/>
        <n v="1839.2600000000002"/>
        <n v="290.07"/>
        <n v="1868.95"/>
        <n v="226.79"/>
        <n v="87.17"/>
        <n v="2029.1999999999998"/>
        <n v="5274.59"/>
        <n v="151.49"/>
        <n v="2966.81"/>
        <n v="862.06"/>
        <n v="493.27"/>
        <n v="299.76"/>
        <n v="170.51999999999998"/>
        <n v="404.98"/>
        <n v="54.86"/>
        <n v="215.0"/>
        <n v="1559.0900000000001"/>
        <n v="1170.83"/>
        <n v="2360.33"/>
        <n v="263.95"/>
        <n v="4933.56"/>
        <n v="4670.29"/>
        <n v="98.84"/>
        <n v="1682.75"/>
        <n v="46.86"/>
        <n v="1923.46"/>
        <n v="449.99"/>
        <n v="328.94"/>
        <n v="746.97"/>
        <n v="68.0"/>
        <n v="145.13"/>
        <n v="250.0"/>
        <n v="2270.5699999999997"/>
        <n v="1131.1200000000001"/>
        <n v="145.0"/>
        <n v="163.98"/>
        <n v="60.0"/>
        <n v="47726.53"/>
        <n v="910.89"/>
        <n v="3086.0"/>
        <n v="110.66"/>
        <n v="1079.0"/>
        <n v="3015.0"/>
        <n v="1400.99"/>
        <n v="350.6"/>
        <n v="664.12"/>
        <n v="352.64"/>
        <n v="1806.5"/>
        <n v="229.47000000000003"/>
        <n v="155.0"/>
        <n v="649.4300000000001"/>
        <n v="73.19"/>
        <n v="6683.969999999999"/>
        <n v="15.57"/>
        <n v="89.41"/>
        <n v="269.2"/>
        <n v="130.0"/>
        <n v="210.55"/>
        <n v="165.67000000000002"/>
        <n v="804.31"/>
        <n v="61.010000000000005"/>
        <n v="7033.0599999999995"/>
        <n v="294.0"/>
        <n v="95.0"/>
        <n v="40.4"/>
        <n v="589.72"/>
        <n v="4.42"/>
        <n v="134.72"/>
        <n v="1808.1699999999998"/>
        <n v="1211.73"/>
        <n v="868.9699999999999"/>
        <n v="337.0"/>
        <n v="405.26"/>
        <n v="162.0"/>
        <n v="64.59"/>
        <n v="131.98"/>
        <n v="208.24"/>
        <n v="1803.93"/>
        <n v="3461.1400000000003"/>
        <n v="370.29"/>
        <n v="1513.2"/>
        <n v="50.669999999999995"/>
        <n v="313.05"/>
        <n v="2119.98"/>
        <n v="861.86"/>
        <n v="5339.3099999999995"/>
        <n v="82.25999999999999"/>
        <n v="2217.64"/>
        <n v="320.85"/>
        <n v="1.84"/>
        <n v="4375.24"/>
        <n v="65.0"/>
        <m/>
      </sharedItems>
    </cacheField>
    <cacheField name="Quarterly Pipeline vs Target Pipeline - Target - 2025 Total" numFmtId="0">
      <sharedItems containsString="0" containsBlank="1" containsNumber="1">
        <n v="1316.6599999999999"/>
        <n v="264.65"/>
        <n v="10250.56"/>
        <n v="309.96"/>
        <n v="2008.0"/>
        <n v="0.0"/>
        <n v="1071.42"/>
        <n v="1123.4"/>
        <n v="7266.55"/>
        <n v="1183.33"/>
        <n v="2742.79"/>
        <n v="3875.01"/>
        <n v="4266.67"/>
        <n v="982.14"/>
        <n v="441.18"/>
        <n v="27515.96"/>
        <n v="3383.76"/>
        <n v="398.97"/>
        <n v="3627.24"/>
        <n v="504.35"/>
        <n v="2810.8"/>
        <n v="1666.64"/>
        <n v="1255.3899999999999"/>
        <n v="920.0"/>
        <n v="3049.9700000000003"/>
        <n v="740.9100000000001"/>
        <n v="1763.81"/>
        <n v="499.13"/>
        <n v="8000.0"/>
        <n v="646.5600000000001"/>
        <n v="2830.21"/>
        <n v="6823.52"/>
        <n v="2078.43"/>
        <n v="4166.639999999999"/>
        <n v="3982.8"/>
        <n v="1730.0099999999998"/>
        <n v="1433.35"/>
        <n v="3876.32"/>
        <n v="2142.1"/>
        <n v="3292.6000000000004"/>
        <n v="1166.67"/>
        <n v="208.32"/>
        <n v="516.69"/>
        <n v="400.0"/>
        <n v="3340.0"/>
        <n v="2426.46"/>
        <n v="686.32"/>
        <n v="765.95"/>
        <n v="486.12"/>
        <n v="512.2"/>
        <n v="2258.34"/>
        <n v="1718.5"/>
        <n v="13493.75"/>
        <n v="333.34"/>
        <n v="190.48000000000002"/>
        <n v="317.59"/>
        <n v="3650.0099999999998"/>
        <n v="892.86"/>
        <n v="366.66999999999996"/>
        <n v="7310.630000000001"/>
        <n v="2494.1099999999997"/>
        <n v="3073.85"/>
        <n v="18616.51"/>
        <n v="1573.29"/>
        <n v="11166.560000000001"/>
        <n v="7593.650000000001"/>
        <n v="1383.36"/>
        <n v="733.23"/>
        <n v="706.67"/>
        <n v="2970.0"/>
        <n v="534.87"/>
        <n v="287.5"/>
        <n v="666.6899999999999"/>
        <n v="27249.989999999998"/>
        <n v="3137.96"/>
        <n v="1527.75"/>
        <n v="8545.39"/>
        <n v="2000.0"/>
        <n v="292.64"/>
        <n v="1336.09"/>
        <n v="1466.67"/>
        <n v="9299.0"/>
        <n v="285.99"/>
        <n v="316.62"/>
        <n v="415.66999999999996"/>
        <n v="2536.95"/>
        <n v="2190.5699999999997"/>
        <n v="1466.96"/>
        <n v="716.6700000000001"/>
        <n v="737.0"/>
        <n v="30571.43"/>
        <n v="2437.5"/>
        <n v="1543.66"/>
        <n v="966.65"/>
        <n v="4533.33"/>
        <n v="2990.0"/>
        <n v="241.95000000000002"/>
        <n v="1250.01"/>
        <n v="935.0699999999999"/>
        <n v="1000.0"/>
        <n v="926.84"/>
        <n v="353.34"/>
        <n v="1022.73"/>
        <n v="904.3400000000001"/>
        <n v="5453.33"/>
        <n v="233.41"/>
        <n v="750.0"/>
        <n v="605.6600000000001"/>
        <n v="1550.3000000000002"/>
        <n v="2928.5699999999997"/>
        <n v="10333.34"/>
        <n v="703.3299999999999"/>
        <n v="852.45"/>
        <n v="1114.9"/>
        <n v="4822.5"/>
        <n v="829.98"/>
        <n v="2480.85"/>
        <n v="1415.1"/>
        <n v="413.34"/>
        <n v="1581.82"/>
        <n v="177.53"/>
        <n v="164.95999999999998"/>
        <n v="3811.07"/>
        <n v="5021.33"/>
        <n v="724.1300000000001"/>
        <n v="4270.0"/>
        <n v="350.0"/>
        <n v="333.3"/>
        <n v="4648.93"/>
        <n v="623.73"/>
        <n v="3375.0"/>
        <n v="333.33"/>
        <m/>
      </sharedItems>
    </cacheField>
    <cacheField name="Quarterly Pipeline vs Target Pipeline - Achievement - 2025 Total">
      <sharedItems containsBlank="1" containsMixedTypes="1" containsNumber="1">
        <n v="0.0724408731183449"/>
        <n v="1.417986019270735"/>
        <n v="0.2345257234726688"/>
        <n v="0.0"/>
        <n v="0.19074701195219124"/>
        <s v=""/>
        <n v="0.6673386720427096"/>
        <n v="0.267687377603703"/>
        <n v="0.3055081159559901"/>
        <n v="0.8186642779275435"/>
        <n v="0.00850229146234309"/>
        <n v="0.35445327883024813"/>
        <n v="0.14579988609383898"/>
        <n v="0.22573156576455494"/>
        <n v="0.38251960650981454"/>
        <n v="0.011884375467910262"/>
        <n v="0.09187708348109794"/>
        <n v="0.42762613730355664"/>
        <n v="0.3295150031428855"/>
        <n v="1.1452760979478536"/>
        <n v="0.2693396897680375"/>
        <n v="0.3983643738299813"/>
        <n v="0.5343120464556831"/>
        <n v="0.4593695652173913"/>
        <n v="0.4076204028236343"/>
        <n v="0.3250192331052354"/>
        <n v="0.252538538731496"/>
        <n v="0.15907679362090038"/>
        <n v="0.5603725"/>
        <n v="0.8877753031427864"/>
        <n v="0.22161959713236828"/>
        <n v="0.19126491898609513"/>
        <n v="0.29309141996603205"/>
        <n v="1.077122093581399"/>
        <n v="0.03725017575574972"/>
        <n v="0.25248987000075146"/>
        <n v="0.020909059196986084"/>
        <n v="0.1599558343996368"/>
        <n v="0.05775173894776155"/>
        <n v="0.17424831440199234"/>
        <n v="2.888366033239905"/>
        <n v="2.780001920122888"/>
        <n v="0.15678646770790997"/>
        <n v="0.114175"/>
        <n v="0.4928982035928144"/>
        <n v="0.582838334747615"/>
        <n v="0.039563809005712026"/>
        <n v="0.22422485138127987"/>
        <n v="0.728676806580064"/>
        <n v="0.3547889410022217"/>
        <n v="0.5497657165169855"/>
        <n v="0.03831575404943454"/>
        <n v="1.1993424498108813"/>
        <n v="1.269189069013432"/>
        <n v="0.2999940001199976"/>
        <n v="0.20679336413271732"/>
        <n v="0.10557637205201677"/>
        <n v="0.3164676261160929"/>
        <n v="0.34722128889187553"/>
        <n v="1.636021490713721"/>
        <n v="0.33334610013090527"/>
        <n v="0.7374414119665935"/>
        <n v="0.6080160059859785"/>
        <n v="0.012182197415090154"/>
        <n v="0.2615047699046019"/>
        <n v="1.2897812863489884"/>
        <n v="0.47235585533951363"/>
        <n v="0.11352379949036365"/>
        <n v="0.356573849178811"/>
        <n v="0.40882124299333084"/>
        <n v="0.2413007485813746"/>
        <n v="0.13635690235690237"/>
        <n v="0.10256697889206723"/>
        <n v="0.7478260869565218"/>
        <n v="0.042966254299542865"/>
        <n v="0.7521861336664585"/>
        <n v="0.1727704140075274"/>
        <n v="0.5773358500899316"/>
        <n v="2.335145"/>
        <n v="0.3377528704209951"/>
        <n v="1.2594585694077496"/>
        <n v="0.031949927386528666"/>
        <n v="0.2068458974083235"/>
        <n v="1.1501800762264414"/>
        <n v="2.3592003032025772"/>
        <n v="0.2039959200815984"/>
        <n v="0.3491471600067361"/>
        <n v="0.09854352667573268"/>
        <n v="1.0365201751142397"/>
        <n v="0.771063969024377"/>
        <n v="0.20232464035050998"/>
        <n v="0.22249660786974218"/>
        <n v="1.5611481046192475"/>
        <n v="0.37369846153846153"/>
        <n v="1.9991448894186543"/>
        <n v="0.1144778358247556"/>
        <n v="0.23801488089329478"/>
        <n v="0.46855852842809365"/>
        <n v="1.4490597230832816"/>
        <n v="0.5312917496660027"/>
        <n v="0.3771268461184724"/>
        <n v="1.8065"/>
        <n v="0.24758318587890038"/>
        <n v="0.43867096847229303"/>
        <n v="0.6349965288981452"/>
        <n v="0.08093195037264744"/>
        <n v="1.2256676196012344"/>
        <n v="0.3830598517629922"/>
        <n v="0.3589333333333333"/>
        <n v="0.21464187828154407"/>
        <n v="0.106863187770109"/>
        <n v="0.27464257299637707"/>
        <n v="0.6806182705688576"/>
        <n v="0.13507173019777347"/>
        <n v="0.032319741442068464"/>
        <n v="0.691794240131386"/>
        <n v="0.003964481119382904"/>
        <n v="0.027935717988595128"/>
        <n v="0.7288509986496563"/>
        <n v="0.8562857748569006"/>
        <n v="0.8153094304930566"/>
        <n v="0.2561985560936137"/>
        <n v="0.9125218272967949"/>
        <n v="1.2623666343355968"/>
        <n v="0.47333950832705773"/>
        <n v="0.6892874995270178"/>
        <n v="0.5113584577354894"/>
        <n v="0.3543793911007026"/>
        <n v="0.1520069598608028"/>
        <n v="0.8944285714285715"/>
        <n v="16.01953195319532"/>
        <n v="0.47702159421630347"/>
        <n v="0.5144052715117118"/>
        <n v="1.2963674074074074"/>
        <n v="0.19500195001950021"/>
        <m/>
      </sharedItems>
    </cacheField>
    <cacheField name="Quarterly Pipeline vs Target Pipeline - Result - Q1 2026" numFmtId="0">
      <sharedItems containsString="0" containsBlank="1" containsNumber="1">
        <n v="0.0"/>
        <n v="301.0"/>
        <n v="56.8"/>
        <n v="32.4"/>
        <n v="780.0"/>
        <n v="204.24"/>
        <n v="1.48"/>
        <n v="1.47"/>
        <n v="17.75"/>
        <n v="2.74"/>
        <n v="41.46"/>
        <n v="226.72"/>
        <n v="66.56"/>
        <n v="116.21"/>
        <n v="300.0"/>
        <n v="25.0"/>
        <n v="401.38"/>
        <n v="630.0"/>
        <n v="8.21"/>
        <n v="70.0"/>
        <n v="30.0"/>
        <n v="41.81"/>
        <n v="289.99"/>
        <n v="21.79"/>
        <n v="349.59"/>
        <n v="497.77"/>
        <n v="111.38"/>
        <n v="4.91"/>
        <n v="46.59"/>
        <n v="49.0"/>
        <n v="80.57"/>
        <n v="15.0"/>
        <n v="162.0"/>
        <n v="43.09"/>
        <n v="17351.63"/>
        <n v="95.0"/>
        <n v="25.93"/>
        <n v="5.56"/>
        <n v="166.36"/>
        <n v="19.98"/>
        <n v="634.58"/>
        <n v="142.5"/>
        <n v="100.0"/>
        <n v="6267.99"/>
        <n v="34.4"/>
        <n v="85.0"/>
        <n v="211.14"/>
        <n v="0.72"/>
        <n v="110.46"/>
        <n v="2.63"/>
        <n v="897.88"/>
        <n v="0.66"/>
        <n v="8.82"/>
        <n v="34.77"/>
        <n v="94.65"/>
        <n v="7.7"/>
        <n v="15982.27"/>
        <n v="1043.0"/>
        <n v="652.91"/>
        <n v="469.7"/>
        <n v="900.0"/>
        <n v="205.0"/>
        <n v="850.16"/>
        <n v="252.68"/>
        <n v="475.0"/>
        <n v="6.5"/>
        <n v="5.11"/>
        <n v="32.96"/>
        <n v="186.71"/>
        <n v="20.0"/>
        <n v="66.61"/>
        <n v="16.0"/>
        <n v="447.49"/>
        <n v="2.82"/>
        <n v="76.77"/>
        <n v="261.21"/>
        <n v="22.53"/>
        <n v="7.81"/>
        <n v="293.03"/>
        <n v="212.09"/>
        <n v="238.96"/>
        <n v="137.74"/>
        <n v="150.0"/>
        <n v="50.0"/>
        <n v="250.0"/>
        <n v="628.24"/>
        <n v="46.5"/>
        <m/>
      </sharedItems>
    </cacheField>
    <cacheField name="Quarterly Pipeline vs Target Pipeline - Target - Q1 2026" numFmtId="0">
      <sharedItems containsString="0" containsBlank="1" containsNumber="1" containsInteger="1">
        <n v="0.0"/>
        <m/>
      </sharedItems>
    </cacheField>
    <cacheField name="Quarterly Pipeline vs Target Pipeline - Achievement - Q1 2026" numFmtId="10">
      <sharedItems containsBlank="1">
        <s v=""/>
        <m/>
      </sharedItems>
    </cacheField>
    <cacheField name="Quarterly Pipeline vs Target Pipeline - Result - Q2 2026" numFmtId="0">
      <sharedItems containsString="0" containsBlank="1" containsNumber="1">
        <n v="0.0"/>
        <n v="79.0"/>
        <n v="900.0"/>
        <n v="280.0"/>
        <n v="59.47"/>
        <n v="110.0"/>
        <n v="114.76"/>
        <n v="28.22"/>
        <n v="64.23"/>
        <n v="100.0"/>
        <n v="111.89"/>
        <n v="16.1"/>
        <n v="74.66"/>
        <n v="929.0"/>
        <n v="567.55"/>
        <n v="7809.37"/>
        <n v="566.2"/>
        <n v="4.13"/>
        <n v="579.0"/>
        <n v="429.99"/>
        <n v="251.48"/>
        <n v="1.72"/>
        <n v="4020.37"/>
        <n v="11.0"/>
        <n v="337.44"/>
        <n v="164.0"/>
        <n v="26.86"/>
        <n v="8606.62"/>
        <n v="35.0"/>
        <n v="840.08"/>
        <n v="110.94"/>
        <n v="188.37"/>
        <n v="29.15"/>
        <n v="832.25"/>
        <n v="297.08"/>
        <n v="6.0"/>
        <n v="15.44"/>
        <n v="68.18"/>
        <n v="258.0"/>
        <n v="75.8"/>
        <n v="14.43"/>
        <n v="125.49"/>
        <n v="13.0"/>
        <n v="10.0"/>
        <n v="949.54"/>
        <n v="205.25"/>
        <n v="56.8"/>
        <n v="35.53"/>
        <n v="165.0"/>
        <n v="887.59"/>
        <n v="41.51"/>
        <n v="25.0"/>
        <n v="1046.99"/>
        <n v="91.21"/>
        <n v="7149.17"/>
        <n v="380.92"/>
        <n v="2.55"/>
        <n v="6.62"/>
        <n v="143.25"/>
        <n v="125.66"/>
        <n v="125.0"/>
        <n v="1487.34"/>
        <n v="620.0"/>
        <n v="5.7"/>
        <n v="52.55"/>
        <n v="780.41"/>
        <n v="87.24"/>
        <n v="54.99"/>
        <n v="465.62"/>
        <n v="777.32"/>
        <n v="77.54"/>
        <n v="20.0"/>
        <n v="42.27"/>
        <n v="1000.0"/>
        <n v="7.22"/>
        <m/>
      </sharedItems>
    </cacheField>
    <cacheField name="Quarterly Pipeline vs Target Pipeline - Target - Q2 2026" numFmtId="0">
      <sharedItems containsString="0" containsBlank="1" containsNumber="1" containsInteger="1">
        <n v="0.0"/>
        <m/>
      </sharedItems>
    </cacheField>
    <cacheField name="Quarterly Pipeline vs Target Pipeline - Achievement - Q2 2026" numFmtId="10">
      <sharedItems containsBlank="1">
        <s v=""/>
        <m/>
      </sharedItems>
    </cacheField>
    <cacheField name="Quarterly Pipeline vs Target Pipeline - Result - Q3 2026" numFmtId="0">
      <sharedItems containsString="0" containsBlank="1" containsNumber="1">
        <n v="0.0"/>
        <n v="4.51"/>
        <n v="27.16"/>
        <n v="8.38"/>
        <n v="3.33"/>
        <n v="21.35"/>
        <n v="18.34"/>
        <n v="13.55"/>
        <n v="15.0"/>
        <n v="0.46"/>
        <n v="134.85"/>
        <n v="150.0"/>
        <n v="20.0"/>
        <n v="17.11"/>
        <n v="2.21"/>
        <n v="2.56"/>
        <n v="216.9"/>
        <n v="24.93"/>
        <n v="153.83"/>
        <n v="2920.0"/>
        <n v="21.8"/>
        <n v="47.63"/>
        <n v="23.73"/>
        <n v="4.46"/>
        <n v="1120.0"/>
        <n v="429.68"/>
        <n v="16.88"/>
        <n v="44.84"/>
        <n v="56.56"/>
        <n v="276.76"/>
        <n v="1.77"/>
        <n v="2.29"/>
        <n v="95.55"/>
        <n v="11.98"/>
        <n v="105.0"/>
        <n v="842.36"/>
        <n v="12.22"/>
        <n v="6.72"/>
        <n v="34.61"/>
        <n v="3.38"/>
        <n v="0.38"/>
        <n v="508.91"/>
        <n v="6.28"/>
        <n v="5114.5"/>
        <n v="1.8"/>
        <n v="154.69"/>
        <n v="56.16"/>
        <n v="139.33"/>
        <n v="589.85"/>
        <n v="50.0"/>
        <m/>
      </sharedItems>
    </cacheField>
    <cacheField name="Quarterly Pipeline vs Target Pipeline - Target - Q3 2026" numFmtId="0">
      <sharedItems containsString="0" containsBlank="1" containsNumber="1" containsInteger="1">
        <n v="0.0"/>
        <m/>
      </sharedItems>
    </cacheField>
    <cacheField name="Quarterly Pipeline vs Target Pipeline - Achievement - Q3 2026" numFmtId="10">
      <sharedItems containsBlank="1">
        <s v=""/>
        <m/>
      </sharedItems>
    </cacheField>
    <cacheField name="Quarterly Pipeline vs Target Pipeline - Result - Q4 2026" numFmtId="0">
      <sharedItems containsString="0" containsBlank="1" containsNumber="1">
        <n v="0.0"/>
        <n v="38.12"/>
        <n v="52.99"/>
        <n v="7.26"/>
        <n v="4.22"/>
        <n v="3.31"/>
        <n v="3.05"/>
        <n v="40.0"/>
        <n v="432.0"/>
        <n v="110.3"/>
        <n v="3301.26"/>
        <n v="75.0"/>
        <n v="17.35"/>
        <n v="7.03"/>
        <n v="32.17"/>
        <n v="99.87"/>
        <n v="2730.0"/>
        <n v="402.95"/>
        <n v="66.0"/>
        <n v="103.4"/>
        <n v="83.05"/>
        <n v="8.48"/>
        <n v="14.17"/>
        <n v="6624.78"/>
        <n v="14.96"/>
        <n v="206.64"/>
        <n v="31.95"/>
        <n v="67.41"/>
        <n v="51.32"/>
        <n v="4.23"/>
        <n v="33.64"/>
        <n v="300.0"/>
        <n v="24.98"/>
        <n v="250.8"/>
        <n v="3460.53"/>
        <n v="131.81"/>
        <n v="2841.4"/>
        <n v="128.66"/>
        <n v="800.0"/>
        <n v="0.86"/>
        <n v="3.0"/>
        <n v="15.82"/>
        <n v="548.88"/>
        <n v="8000.0"/>
        <n v="33.9"/>
        <n v="525.14"/>
        <n v="1.39"/>
        <n v="22.82"/>
        <n v="12.5"/>
        <n v="40.88"/>
        <n v="76.87"/>
        <n v="29.41"/>
        <n v="200.0"/>
        <n v="10.45"/>
        <m/>
      </sharedItems>
    </cacheField>
    <cacheField name="Quarterly Pipeline vs Target Pipeline - Target - Q4 2026" numFmtId="0">
      <sharedItems containsString="0" containsBlank="1" containsNumber="1" containsInteger="1">
        <n v="0.0"/>
        <m/>
      </sharedItems>
    </cacheField>
    <cacheField name="Quarterly Pipeline vs Target Pipeline - Achievement - Q4 2026" numFmtId="10">
      <sharedItems containsBlank="1">
        <s v=""/>
        <m/>
      </sharedItems>
    </cacheField>
    <cacheField name="Quarterly Pipeline vs Target Pipeline - Result - 2026 Total" numFmtId="0">
      <sharedItems containsString="0" containsBlank="1" containsNumber="1">
        <n v="0.0"/>
        <n v="301.0"/>
        <n v="135.8"/>
        <n v="32.4"/>
        <n v="1680.0"/>
        <n v="488.75"/>
        <n v="99.07"/>
        <n v="111.47"/>
        <n v="212.66"/>
        <n v="39.34"/>
        <n v="112.95"/>
        <n v="100.0"/>
        <n v="346.16"/>
        <n v="107.32"/>
        <n v="212.26000000000002"/>
        <n v="982.55"/>
        <n v="732.0"/>
        <n v="125.3"/>
        <n v="593.01"/>
        <n v="11646.86"/>
        <n v="780.0"/>
        <n v="8.21"/>
        <n v="145.0"/>
        <n v="616.2"/>
        <n v="41.81"/>
        <n v="289.99"/>
        <n v="25.919999999999998"/>
        <n v="349.59"/>
        <n v="596.35"/>
        <n v="927.76"/>
        <n v="128.49"/>
        <n v="14.15"/>
        <n v="332.8"/>
        <n v="50.72"/>
        <n v="4350.009999999999"/>
        <n v="11.0"/>
        <n v="24.93"/>
        <n v="15.0"/>
        <n v="337.44"/>
        <n v="425.87"/>
        <n v="223.78000000000003"/>
        <n v="31608.25"/>
        <n v="35.0"/>
        <n v="95.0"/>
        <n v="1290.76"/>
        <n v="230.13"/>
        <n v="481.86"/>
        <n v="136.64"/>
        <n v="2595.31"/>
        <n v="883.43"/>
        <n v="12898.77"/>
        <n v="30.4"/>
        <n v="326.1"/>
        <n v="258.0"/>
        <n v="160.8"/>
        <n v="14.43"/>
        <n v="413.42"/>
        <n v="13.72"/>
        <n v="10.0"/>
        <n v="949.54"/>
        <n v="439.67999999999995"/>
        <n v="333.56"/>
        <n v="89.48"/>
        <n v="165.0"/>
        <n v="1785.47"/>
        <n v="6.66"/>
        <n v="86.25999999999999"/>
        <n v="25.0"/>
        <n v="300.0"/>
        <n v="95.55"/>
        <n v="1146.99"/>
        <n v="162.93999999999997"/>
        <n v="94.65"/>
        <n v="363.5"/>
        <n v="27434.33"/>
        <n v="1555.73"/>
        <n v="665.13"/>
        <n v="469.7"/>
        <n v="900.0"/>
        <n v="205.0"/>
        <n v="3700.83"/>
        <n v="415.95000000000005"/>
        <n v="1275.0"/>
        <n v="17.36"/>
        <n v="8.11"/>
        <n v="176.21"/>
        <n v="328.57"/>
        <n v="20.0"/>
        <n v="66.61"/>
        <n v="141.0"/>
        <n v="2992.62"/>
        <n v="8620.0"/>
        <n v="8.52"/>
        <n v="169.5"/>
        <n v="1566.7599999999998"/>
        <n v="5225.660000000001"/>
        <n v="87.42000000000002"/>
        <n v="305.53"/>
        <n v="873.2800000000001"/>
        <n v="1149.31"/>
        <n v="384.02000000000004"/>
        <n v="360.0"/>
        <n v="70.0"/>
        <n v="589.85"/>
        <n v="92.27000000000001"/>
        <n v="1250.0"/>
        <n v="645.9100000000001"/>
        <n v="46.5"/>
        <m/>
      </sharedItems>
    </cacheField>
    <cacheField name="Quarterly Pipeline vs Target Pipeline - Target - 2026 Total" numFmtId="0">
      <sharedItems containsString="0" containsBlank="1" containsNumber="1" containsInteger="1">
        <n v="0.0"/>
        <m/>
      </sharedItems>
    </cacheField>
    <cacheField name=" " numFmtId="10">
      <sharedItems containsBlank="1">
        <s v="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Sales Revenue Achievement" formula="'Sales IN Revenues vs Sales target - Result'/'Sales IN Revenues vs Sales target - Target'" databaseField="0"/>
    <cacheField name="Marketing Plan Achievement" formula="'Marketing Plan (extract summary from SF) - Result'/'Marketing Plan (extract summary from SF) - Target'" databaseField="0"/>
    <cacheField name="Total Pipeline 2025 + 2026" formula="'Quarterly Pipeline vs Target Pipeline - Result - 2025 Total'+'Quarterly Pipeline vs Target Pipeline - Result - 2026 Total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J4" firstHeaderRow="0" firstDataRow="2" firstDataCol="0"/>
  <pivotFields>
    <pivotField name="Accou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artn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C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Region" axis="axisRow" compact="0" outline="0" multipleItemSelectionAllowed="1" showAll="0" sortType="ascending">
      <items>
        <item h="1" x="3"/>
        <item x="0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rtner Seg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siness Plan Setup and Acceptance - Result" compact="0" outline="0" multipleItemSelectionAllowed="1" showAll="0">
      <items>
        <item x="0"/>
        <item x="1"/>
        <item x="2"/>
        <item t="default"/>
      </items>
    </pivotField>
    <pivotField name="Business Plan Setup and Acceptance - Target" compact="0" outline="0" multipleItemSelectionAllowed="1" showAll="0">
      <items>
        <item x="0"/>
        <item x="1"/>
        <item t="default"/>
      </items>
    </pivotField>
    <pivotField name="Business Plan Setup and Acceptance - Achievement" compact="0" numFmtId="10" outline="0" multipleItemSelectionAllowed="1" showAll="0">
      <items>
        <item x="0"/>
        <item x="1"/>
        <item x="2"/>
        <item t="default"/>
      </items>
    </pivotField>
    <pivotField name="Sales IN Revenues vs Sales target - Resul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ales IN Revenues vs Sales target - Targe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ales IN Revenues vs Sales target - Achi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Certifications achievements vs recommended - 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ertifications achievements vs recommended - Tar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ertifications achievements vs recommended - Achi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ommunications - Certifications achievements vs recommended - Result" compact="0" outline="0" multipleItemSelectionAllowed="1" showAll="0">
      <items>
        <item x="0"/>
        <item x="1"/>
        <item x="2"/>
        <item t="default"/>
      </items>
    </pivotField>
    <pivotField name="communications - certifications achievements vs recommended - result2" compact="0" outline="0" multipleItemSelectionAllowed="1" showAll="0">
      <items>
        <item x="0"/>
        <item x="1"/>
        <item t="default"/>
      </items>
    </pivotField>
    <pivotField name="Communications - Certifications achievements vs recommended - Achievement" compact="0" numFmtId="10" outline="0" multipleItemSelectionAllowed="1" showAll="0">
      <items>
        <item x="0"/>
        <item x="1"/>
        <item x="2"/>
        <item t="default"/>
      </items>
    </pivotField>
    <pivotField name="Networking - Certifications achievements vs recommended - Result" compact="0" outline="0" multipleItemSelectionAllowed="1" showAll="0">
      <items>
        <item x="0"/>
        <item x="1"/>
        <item x="2"/>
        <item t="default"/>
      </items>
    </pivotField>
    <pivotField name="networking - certifications achievements vs recommended - result2" compact="0" outline="0" multipleItemSelectionAllowed="1" showAll="0">
      <items>
        <item x="0"/>
        <item x="1"/>
        <item t="default"/>
      </items>
    </pivotField>
    <pivotField name="Networking - Certifications achievements vs recommended - Achievement" compact="0" numFmtId="10" outline="0" multipleItemSelectionAllowed="1" showAll="0">
      <items>
        <item x="0"/>
        <item x="1"/>
        <item x="2"/>
        <item t="default"/>
      </items>
    </pivotField>
    <pivotField name="Marketing Plan (extract summary from SF) - Result" dataField="1" compact="0" outline="0" multipleItemSelectionAllowed="1" showAll="0">
      <items>
        <item x="0"/>
        <item x="1"/>
        <item x="2"/>
        <item t="default"/>
      </items>
    </pivotField>
    <pivotField name="Marketing Plan (extract summary from SF) - Target" dataField="1" compact="0" outline="0" multipleItemSelectionAllowed="1" showAll="0">
      <items>
        <item x="0"/>
        <item x="1"/>
        <item t="default"/>
      </items>
    </pivotField>
    <pivotField name="Marketing Plan (extract summary from SF) - Achievement" compact="0" numFmtId="10" outline="0" multipleItemSelectionAllowed="1" showAll="0">
      <items>
        <item x="0"/>
        <item x="1"/>
        <item x="2"/>
        <item t="default"/>
      </items>
    </pivotField>
    <pivotField name="Quarterly Pipeline vs Target Pipeline - Result - 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Quarterly Pipeline vs Target Pipeline - Target - Q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rterly Pipeline vs Target Pipeline - Achievement - Q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rterly Pipeline vs Target Pipeline - Result - Q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Quarterly Pipeline vs Target Pipeline - Target - Q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Quarterly Pipeline vs Target Pipeline - Achievement - Q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Quarterly Pipeline vs Target Pipeline - Result - Q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Quarterly Pipeline vs Target Pipeline - Target - Q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Quarterly Pipeline vs Target Pipeline - Achievement - Q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Quarterly Pipeline vs Target Pipeline - Result - Q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Quarterly Pipeline vs Target Pipeline - Target - Q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Quarterly Pipeline vs Target Pipeline - Achievement - Q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Quarterly Pipeline vs Target Pipeline - Result - 2025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Quarterly Pipeline vs Target Pipeline - Target - 2025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Quarterly Pipeline vs Target Pipeline - Achievement - 2025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Quarterly Pipeline vs Target Pipeline - Result - Q1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Quarterly Pipeline vs Target Pipeline - Target - Q1 2026" compact="0" outline="0" multipleItemSelectionAllowed="1" showAll="0">
      <items>
        <item x="0"/>
        <item x="1"/>
        <item t="default"/>
      </items>
    </pivotField>
    <pivotField name="Quarterly Pipeline vs Target Pipeline - Achievement - Q1 2026" compact="0" numFmtId="10" outline="0" multipleItemSelectionAllowed="1" showAll="0">
      <items>
        <item x="0"/>
        <item x="1"/>
        <item t="default"/>
      </items>
    </pivotField>
    <pivotField name="Quarterly Pipeline vs Target Pipeline - Result - Q2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Quarterly Pipeline vs Target Pipeline - Target - Q2 2026" compact="0" outline="0" multipleItemSelectionAllowed="1" showAll="0">
      <items>
        <item x="0"/>
        <item x="1"/>
        <item t="default"/>
      </items>
    </pivotField>
    <pivotField name="Quarterly Pipeline vs Target Pipeline - Achievement - Q2 2026" compact="0" numFmtId="10" outline="0" multipleItemSelectionAllowed="1" showAll="0">
      <items>
        <item x="0"/>
        <item x="1"/>
        <item t="default"/>
      </items>
    </pivotField>
    <pivotField name="Quarterly Pipeline vs Target Pipeline - Result - Q3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Quarterly Pipeline vs Target Pipeline - Target - Q3 2026" compact="0" outline="0" multipleItemSelectionAllowed="1" showAll="0">
      <items>
        <item x="0"/>
        <item x="1"/>
        <item t="default"/>
      </items>
    </pivotField>
    <pivotField name="Quarterly Pipeline vs Target Pipeline - Achievement - Q3 2026" compact="0" numFmtId="10" outline="0" multipleItemSelectionAllowed="1" showAll="0">
      <items>
        <item x="0"/>
        <item x="1"/>
        <item t="default"/>
      </items>
    </pivotField>
    <pivotField name="Quarterly Pipeline vs Target Pipeline - Result - Q4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Quarterly Pipeline vs Target Pipeline - Target - Q4 2026" compact="0" outline="0" multipleItemSelectionAllowed="1" showAll="0">
      <items>
        <item x="0"/>
        <item x="1"/>
        <item t="default"/>
      </items>
    </pivotField>
    <pivotField name="Quarterly Pipeline vs Target Pipeline - Achievement - Q4 2026" compact="0" numFmtId="10" outline="0" multipleItemSelectionAllowed="1" showAll="0">
      <items>
        <item x="0"/>
        <item x="1"/>
        <item t="default"/>
      </items>
    </pivotField>
    <pivotField name="Quarterly Pipeline vs Target Pipeline - Result - 2026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Quarterly Pipeline vs Target Pipeline - Target - 2026 Total" compact="0" outline="0" multipleItemSelectionAllowed="1" showAll="0">
      <items>
        <item x="0"/>
        <item x="1"/>
        <item t="default"/>
      </items>
    </pivotField>
    <pivotField name=" " compact="0" numFmtId="1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3"/>
  </rowFields>
  <colFields>
    <field x="-2"/>
  </colFields>
  <dataFields>
    <dataField name="SUM of Sales IN Revenues vs Sales target - Result" fld="9" baseField="0"/>
    <dataField name="SUM of Sales IN Revenues vs Sales target - Target" fld="10" baseField="0"/>
    <dataField name="SUM of Sales Revenue Achievement" fld="57" baseField="0"/>
    <dataField name="SUM of Marketing Plan (extract summary from SF) - Result" fld="21" baseField="0"/>
    <dataField name="SUM of Marketing Plan (extract summary from SF) - Target" fld="22" baseField="0"/>
    <dataField name="SUM of Marketing Plan Achievement" fld="58" baseField="0"/>
    <dataField name="SUM of Quarterly Pipeline vs Target Pipeline - Result - 2025 Total" fld="36" baseField="0"/>
    <dataField name="SUM of Quarterly Pipeline vs Target Pipeline - Result - 2026 Total" fld="51" baseField="0"/>
    <dataField name="SUM of Total Pipeline 2025 + 2026" fld="5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15T09:32:27.00" personId="{b29224ba-460c-4ab5-8415-0c23d5719b91}" id="{286e7f11-5c30-4a43-b063-8799bdc19482}" done="0">
    <x18tc:text xml:space="preserve">Filtered on non-empty</x18tc:text>
  </x18tc:threadedComment>
  <x18tc:threadedComment ref="A2" dT="2025-05-22T13:57:04.00" personId="{b29224ba-460c-4ab5-8415-0c23d5719b91}" id="{da65685c-ea61-4b18-9b11-5c34ae7a2325}" done="0">
    <x18tc:text xml:space="preserve">Prompt: https://docs.google.com/document/d/1AjvFhjoaYAHEQbmulJkQR8hLtARXcLbqczqjT8QYlPw/edit?tab=t.r6jn89kjflyl</x18tc:text>
    <x18tc:extLst>
      <ext uri="{F7C98A9C-CBB3-438F-8F68-D28B6AF4A901}">
        <xltc2:checksum/>
        <xltc2:hyperlink startIndex="8" length="103" url="https://docs.google.com/document/d/1AjvFhjoaYAHEQbmulJkQR8hLtARXcLbqczqjT8QYlPw/edit?tab=t.r6jn89kjflyl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5-04-15T09:28:46.00" personId="{b29224ba-460c-4ab5-8415-0c23d5719b91}" id="{d3028d88-460a-4a40-9aac-3b472a50a658}" done="0">
    <x18tc:text xml:space="preserve">Variables are based on the context sheet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jarrath.com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convergence.com" TargetMode="External"/><Relationship Id="rId3" Type="http://schemas.openxmlformats.org/officeDocument/2006/relationships/hyperlink" Target="http://imc.com" TargetMode="External"/><Relationship Id="rId4" Type="http://schemas.openxmlformats.org/officeDocument/2006/relationships/hyperlink" Target="http://imc.com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mistral.com" TargetMode="External"/><Relationship Id="rId9" Type="http://schemas.openxmlformats.org/officeDocument/2006/relationships/hyperlink" Target="http://mistral.com" TargetMode="External"/><Relationship Id="rId5" Type="http://schemas.openxmlformats.org/officeDocument/2006/relationships/hyperlink" Target="http://jarrath.com" TargetMode="External"/><Relationship Id="rId6" Type="http://schemas.openxmlformats.org/officeDocument/2006/relationships/hyperlink" Target="http://jarrath.com" TargetMode="External"/><Relationship Id="rId7" Type="http://schemas.openxmlformats.org/officeDocument/2006/relationships/hyperlink" Target="http://l.v.com" TargetMode="External"/><Relationship Id="rId8" Type="http://schemas.openxmlformats.org/officeDocument/2006/relationships/hyperlink" Target="http://l.v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gence.com" TargetMode="External"/><Relationship Id="rId2" Type="http://schemas.openxmlformats.org/officeDocument/2006/relationships/hyperlink" Target="http://l.v.com" TargetMode="Externa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9" max="29" width="39.0"/>
    <col customWidth="1" min="52" max="52" width="44.71"/>
  </cols>
  <sheetData>
    <row r="1">
      <c r="A1" s="1" t="str">
        <f>IFERROR(__xludf.DUMMYFUNCTION("FILTER(Aggregation!A:BQ,Aggregation!H:H&lt;&gt;"""")
"),"Account ID")</f>
        <v>Account ID</v>
      </c>
      <c r="B1" s="1" t="str">
        <f>IFERROR(__xludf.DUMMYFUNCTION("""COMPUTED_VALUE"""),"Partner name")</f>
        <v>Partner name</v>
      </c>
      <c r="C1" s="1" t="str">
        <f>IFERROR(__xludf.DUMMYFUNCTION("""COMPUTED_VALUE"""),"CSM")</f>
        <v>CSM</v>
      </c>
      <c r="D1" s="1" t="str">
        <f>IFERROR(__xludf.DUMMYFUNCTION("""COMPUTED_VALUE"""),"Region")</f>
        <v>Region</v>
      </c>
      <c r="E1" s="1" t="str">
        <f>IFERROR(__xludf.DUMMYFUNCTION("""COMPUTED_VALUE"""),"Country")</f>
        <v>Country</v>
      </c>
      <c r="F1" s="1" t="str">
        <f>IFERROR(__xludf.DUMMYFUNCTION("""COMPUTED_VALUE"""),"Partner Segment")</f>
        <v>Partner Segment</v>
      </c>
      <c r="G1" s="1" t="str">
        <f>IFERROR(__xludf.DUMMYFUNCTION("""COMPUTED_VALUE"""),"Business Plan Setup and Acceptance - Result")</f>
        <v>Business Plan Setup and Acceptance - Result</v>
      </c>
      <c r="H1" s="1" t="str">
        <f>IFERROR(__xludf.DUMMYFUNCTION("""COMPUTED_VALUE"""),"Business Plan Setup and Acceptance - Target")</f>
        <v>Business Plan Setup and Acceptance - Target</v>
      </c>
      <c r="I1" s="2" t="str">
        <f>IFERROR(__xludf.DUMMYFUNCTION("""COMPUTED_VALUE"""),"Business Plan Setup and Acceptance - Achievement")</f>
        <v>Business Plan Setup and Acceptance - Achievement</v>
      </c>
      <c r="J1" s="1" t="str">
        <f>IFERROR(__xludf.DUMMYFUNCTION("""COMPUTED_VALUE"""),"Sales IN Revenues vs Sales target - Result")</f>
        <v>Sales IN Revenues vs Sales target - Result</v>
      </c>
      <c r="K1" s="1" t="str">
        <f>IFERROR(__xludf.DUMMYFUNCTION("""COMPUTED_VALUE"""),"Sales IN Revenues vs Sales target - Target")</f>
        <v>Sales IN Revenues vs Sales target - Target</v>
      </c>
      <c r="L1" s="1" t="str">
        <f>IFERROR(__xludf.DUMMYFUNCTION("""COMPUTED_VALUE"""),"Sales IN Revenues vs Sales target - Achievement")</f>
        <v>Sales IN Revenues vs Sales target - Achievement</v>
      </c>
      <c r="M1" s="1" t="str">
        <f>IFERROR(__xludf.DUMMYFUNCTION("""COMPUTED_VALUE"""),"Certifications achievements vs recommended - Result")</f>
        <v>Certifications achievements vs recommended - Result</v>
      </c>
      <c r="N1" s="1" t="str">
        <f>IFERROR(__xludf.DUMMYFUNCTION("""COMPUTED_VALUE"""),"Certifications achievements vs recommended - Target")</f>
        <v>Certifications achievements vs recommended - Target</v>
      </c>
      <c r="O1" s="1" t="str">
        <f>IFERROR(__xludf.DUMMYFUNCTION("""COMPUTED_VALUE"""),"Certifications achievements vs recommended - Achievement")</f>
        <v>Certifications achievements vs recommended - Achievement</v>
      </c>
      <c r="P1" s="1" t="str">
        <f>IFERROR(__xludf.DUMMYFUNCTION("""COMPUTED_VALUE"""),"Communications - Certifications achievements vs recommended - Result")</f>
        <v>Communications - Certifications achievements vs recommended - Result</v>
      </c>
      <c r="Q1" s="1" t="str">
        <f>IFERROR(__xludf.DUMMYFUNCTION("""COMPUTED_VALUE"""),"Communications - Certifications achievements vs recommended - Result")</f>
        <v>Communications - Certifications achievements vs recommended - Result</v>
      </c>
      <c r="R1" s="1" t="str">
        <f>IFERROR(__xludf.DUMMYFUNCTION("""COMPUTED_VALUE"""),"Communications - Certifications achievements vs recommended - Achievement")</f>
        <v>Communications - Certifications achievements vs recommended - Achievement</v>
      </c>
      <c r="S1" s="1" t="str">
        <f>IFERROR(__xludf.DUMMYFUNCTION("""COMPUTED_VALUE"""),"Networking - Certifications achievements vs recommended - Result")</f>
        <v>Networking - Certifications achievements vs recommended - Result</v>
      </c>
      <c r="T1" s="1" t="str">
        <f>IFERROR(__xludf.DUMMYFUNCTION("""COMPUTED_VALUE"""),"Networking - Certifications achievements vs recommended - Result")</f>
        <v>Networking - Certifications achievements vs recommended - Result</v>
      </c>
      <c r="U1" s="1" t="str">
        <f>IFERROR(__xludf.DUMMYFUNCTION("""COMPUTED_VALUE"""),"Networking - Certifications achievements vs recommended - Achievement")</f>
        <v>Networking - Certifications achievements vs recommended - Achievement</v>
      </c>
      <c r="V1" s="1" t="str">
        <f>IFERROR(__xludf.DUMMYFUNCTION("""COMPUTED_VALUE"""),"Marketing Plan (extract summary from SF) - Result")</f>
        <v>Marketing Plan (extract summary from SF) - Result</v>
      </c>
      <c r="W1" s="1" t="str">
        <f>IFERROR(__xludf.DUMMYFUNCTION("""COMPUTED_VALUE"""),"Marketing Plan (extract summary from SF) - Target")</f>
        <v>Marketing Plan (extract summary from SF) - Target</v>
      </c>
      <c r="X1" s="1" t="str">
        <f>IFERROR(__xludf.DUMMYFUNCTION("""COMPUTED_VALUE"""),"Marketing Plan (extract summary from SF) - Achievement")</f>
        <v>Marketing Plan (extract summary from SF) - Achievement</v>
      </c>
      <c r="Y1" s="1" t="str">
        <f>IFERROR(__xludf.DUMMYFUNCTION("""COMPUTED_VALUE"""),"Quarterly Pipeline vs Target Pipeline - Result - Q1")</f>
        <v>Quarterly Pipeline vs Target Pipeline - Result - Q1</v>
      </c>
      <c r="Z1" s="1" t="str">
        <f>IFERROR(__xludf.DUMMYFUNCTION("""COMPUTED_VALUE"""),"Quarterly Pipeline vs Target Pipeline - Target - Q1")</f>
        <v>Quarterly Pipeline vs Target Pipeline - Target - Q1</v>
      </c>
      <c r="AA1" s="1" t="str">
        <f>IFERROR(__xludf.DUMMYFUNCTION("""COMPUTED_VALUE"""),"Quarterly Pipeline vs Target Pipeline - Achievement - Q1")</f>
        <v>Quarterly Pipeline vs Target Pipeline - Achievement - Q1</v>
      </c>
      <c r="AB1" s="1" t="str">
        <f>IFERROR(__xludf.DUMMYFUNCTION("""COMPUTED_VALUE"""),"Quarterly Pipeline vs Target Pipeline - Result - Q2")</f>
        <v>Quarterly Pipeline vs Target Pipeline - Result - Q2</v>
      </c>
      <c r="AC1" s="1" t="str">
        <f>IFERROR(__xludf.DUMMYFUNCTION("""COMPUTED_VALUE"""),"Quarterly Pipeline vs Target Pipeline - Target - Q2")</f>
        <v>Quarterly Pipeline vs Target Pipeline - Target - Q2</v>
      </c>
      <c r="AD1" s="1" t="str">
        <f>IFERROR(__xludf.DUMMYFUNCTION("""COMPUTED_VALUE"""),"Quarterly Pipeline vs Target Pipeline - Achievement - Q2")</f>
        <v>Quarterly Pipeline vs Target Pipeline - Achievement - Q2</v>
      </c>
      <c r="AE1" s="1" t="str">
        <f>IFERROR(__xludf.DUMMYFUNCTION("""COMPUTED_VALUE"""),"Quarterly Pipeline vs Target Pipeline - Result - Q3")</f>
        <v>Quarterly Pipeline vs Target Pipeline - Result - Q3</v>
      </c>
      <c r="AF1" s="1" t="str">
        <f>IFERROR(__xludf.DUMMYFUNCTION("""COMPUTED_VALUE"""),"Quarterly Pipeline vs Target Pipeline - Target - Q3")</f>
        <v>Quarterly Pipeline vs Target Pipeline - Target - Q3</v>
      </c>
      <c r="AG1" s="1" t="str">
        <f>IFERROR(__xludf.DUMMYFUNCTION("""COMPUTED_VALUE"""),"Quarterly Pipeline vs Target Pipeline - Achievement - Q3")</f>
        <v>Quarterly Pipeline vs Target Pipeline - Achievement - Q3</v>
      </c>
      <c r="AH1" s="1" t="str">
        <f>IFERROR(__xludf.DUMMYFUNCTION("""COMPUTED_VALUE"""),"Quarterly Pipeline vs Target Pipeline - Result - Q4")</f>
        <v>Quarterly Pipeline vs Target Pipeline - Result - Q4</v>
      </c>
      <c r="AI1" s="1" t="str">
        <f>IFERROR(__xludf.DUMMYFUNCTION("""COMPUTED_VALUE"""),"Quarterly Pipeline vs Target Pipeline - Target - Q4")</f>
        <v>Quarterly Pipeline vs Target Pipeline - Target - Q4</v>
      </c>
      <c r="AJ1" s="1" t="str">
        <f>IFERROR(__xludf.DUMMYFUNCTION("""COMPUTED_VALUE"""),"Quarterly Pipeline vs Target Pipeline - Achievement - Q4")</f>
        <v>Quarterly Pipeline vs Target Pipeline - Achievement - Q4</v>
      </c>
      <c r="AK1" s="1" t="str">
        <f>IFERROR(__xludf.DUMMYFUNCTION("""COMPUTED_VALUE"""),"Quarterly Pipeline vs Target Pipeline - Result - 2025 Total")</f>
        <v>Quarterly Pipeline vs Target Pipeline - Result - 2025 Total</v>
      </c>
      <c r="AL1" s="1" t="str">
        <f>IFERROR(__xludf.DUMMYFUNCTION("""COMPUTED_VALUE"""),"Quarterly Pipeline vs Target Pipeline - Target - 2025 Total")</f>
        <v>Quarterly Pipeline vs Target Pipeline - Target - 2025 Total</v>
      </c>
      <c r="AM1" s="1" t="str">
        <f>IFERROR(__xludf.DUMMYFUNCTION("""COMPUTED_VALUE"""),"Quarterly Pipeline vs Target Pipeline - Achievement - 2025 Total")</f>
        <v>Quarterly Pipeline vs Target Pipeline - Achievement - 2025 Total</v>
      </c>
      <c r="AN1" s="1" t="str">
        <f>IFERROR(__xludf.DUMMYFUNCTION("""COMPUTED_VALUE"""),"Quarterly Pipeline vs Target Pipeline - Result - Q1 2026")</f>
        <v>Quarterly Pipeline vs Target Pipeline - Result - Q1 2026</v>
      </c>
      <c r="AO1" s="1" t="str">
        <f>IFERROR(__xludf.DUMMYFUNCTION("""COMPUTED_VALUE"""),"Quarterly Pipeline vs Target Pipeline - Target - Q1 2026")</f>
        <v>Quarterly Pipeline vs Target Pipeline - Target - Q1 2026</v>
      </c>
      <c r="AP1" s="1" t="str">
        <f>IFERROR(__xludf.DUMMYFUNCTION("""COMPUTED_VALUE"""),"Quarterly Pipeline vs Target Pipeline - Achievement - Q1 2026")</f>
        <v>Quarterly Pipeline vs Target Pipeline - Achievement - Q1 2026</v>
      </c>
      <c r="AQ1" s="1" t="str">
        <f>IFERROR(__xludf.DUMMYFUNCTION("""COMPUTED_VALUE"""),"Quarterly Pipeline vs Target Pipeline - Result - Q2 2026")</f>
        <v>Quarterly Pipeline vs Target Pipeline - Result - Q2 2026</v>
      </c>
      <c r="AR1" s="1" t="str">
        <f>IFERROR(__xludf.DUMMYFUNCTION("""COMPUTED_VALUE"""),"Quarterly Pipeline vs Target Pipeline - Target - Q2 2026")</f>
        <v>Quarterly Pipeline vs Target Pipeline - Target - Q2 2026</v>
      </c>
      <c r="AS1" s="1" t="str">
        <f>IFERROR(__xludf.DUMMYFUNCTION("""COMPUTED_VALUE"""),"Quarterly Pipeline vs Target Pipeline - Achievement - Q2 2026")</f>
        <v>Quarterly Pipeline vs Target Pipeline - Achievement - Q2 2026</v>
      </c>
      <c r="AT1" s="1" t="str">
        <f>IFERROR(__xludf.DUMMYFUNCTION("""COMPUTED_VALUE"""),"Quarterly Pipeline vs Target Pipeline - Result - Q3 2026")</f>
        <v>Quarterly Pipeline vs Target Pipeline - Result - Q3 2026</v>
      </c>
      <c r="AU1" s="1" t="str">
        <f>IFERROR(__xludf.DUMMYFUNCTION("""COMPUTED_VALUE"""),"Quarterly Pipeline vs Target Pipeline - Target - Q3 2026")</f>
        <v>Quarterly Pipeline vs Target Pipeline - Target - Q3 2026</v>
      </c>
      <c r="AV1" s="1" t="str">
        <f>IFERROR(__xludf.DUMMYFUNCTION("""COMPUTED_VALUE"""),"Quarterly Pipeline vs Target Pipeline - Achievement - Q3 2026")</f>
        <v>Quarterly Pipeline vs Target Pipeline - Achievement - Q3 2026</v>
      </c>
      <c r="AW1" s="1" t="str">
        <f>IFERROR(__xludf.DUMMYFUNCTION("""COMPUTED_VALUE"""),"Quarterly Pipeline vs Target Pipeline - Result - Q4 2026")</f>
        <v>Quarterly Pipeline vs Target Pipeline - Result - Q4 2026</v>
      </c>
      <c r="AX1" s="1" t="str">
        <f>IFERROR(__xludf.DUMMYFUNCTION("""COMPUTED_VALUE"""),"Quarterly Pipeline vs Target Pipeline - Target - Q4 2026")</f>
        <v>Quarterly Pipeline vs Target Pipeline - Target - Q4 2026</v>
      </c>
      <c r="AY1" s="1" t="str">
        <f>IFERROR(__xludf.DUMMYFUNCTION("""COMPUTED_VALUE"""),"Quarterly Pipeline vs Target Pipeline - Achievement - Q4 2026")</f>
        <v>Quarterly Pipeline vs Target Pipeline - Achievement - Q4 2026</v>
      </c>
      <c r="AZ1" s="1" t="str">
        <f>IFERROR(__xludf.DUMMYFUNCTION("""COMPUTED_VALUE"""),"Quarterly Pipeline vs Target Pipeline - Result - 2026 Total")</f>
        <v>Quarterly Pipeline vs Target Pipeline - Result - 2026 Total</v>
      </c>
      <c r="BA1" s="1" t="str">
        <f>IFERROR(__xludf.DUMMYFUNCTION("""COMPUTED_VALUE"""),"Quarterly Pipeline vs Target Pipeline - Target - 2026 Total")</f>
        <v>Quarterly Pipeline vs Target Pipeline - Target - 2026 Total</v>
      </c>
      <c r="BB1" s="1" t="s">
        <v>0</v>
      </c>
      <c r="BC1" s="1" t="s">
        <v>0</v>
      </c>
      <c r="BD1" s="1" t="s">
        <v>0</v>
      </c>
      <c r="BE1" s="1" t="s">
        <v>0</v>
      </c>
    </row>
    <row r="2">
      <c r="A2" s="1" t="str">
        <f>IFERROR(__xludf.DUMMYFUNCTION("""COMPUTED_VALUE"""),"67eff1ff22947812f40fa354")</f>
        <v>67eff1ff22947812f40fa354</v>
      </c>
      <c r="B2" s="1" t="str">
        <f>IFERROR(__xludf.DUMMYFUNCTION("""COMPUTED_VALUE"""),"ISTC de Mexico")</f>
        <v>ISTC de Mexico</v>
      </c>
      <c r="C2" s="1" t="str">
        <f>IFERROR(__xludf.DUMMYFUNCTION("""COMPUTED_VALUE"""),"philippe.girard@al-enterprise.com, rui.silva@al-enterprise.com, joaquin.flores@al-enterprise.com")</f>
        <v>philippe.girard@al-enterprise.com, rui.silva@al-enterprise.com, joaquin.flores@al-enterprise.com</v>
      </c>
      <c r="D2" s="1" t="str">
        <f>IFERROR(__xludf.DUMMYFUNCTION("""COMPUTED_VALUE"""),"americas")</f>
        <v>americas</v>
      </c>
      <c r="E2" s="1" t="str">
        <f>IFERROR(__xludf.DUMMYFUNCTION("""COMPUTED_VALUE"""),"MX")</f>
        <v>MX</v>
      </c>
      <c r="F2" s="1" t="str">
        <f>IFERROR(__xludf.DUMMYFUNCTION("""COMPUTED_VALUE"""),"distributor")</f>
        <v>distributor</v>
      </c>
      <c r="G2" s="1">
        <f>IFERROR(__xludf.DUMMYFUNCTION("""COMPUTED_VALUE"""),0.0)</f>
        <v>0</v>
      </c>
      <c r="H2" s="1">
        <f>IFERROR(__xludf.DUMMYFUNCTION("""COMPUTED_VALUE"""),1.0)</f>
        <v>1</v>
      </c>
      <c r="I2" s="2">
        <f>IFERROR(__xludf.DUMMYFUNCTION("""COMPUTED_VALUE"""),0.0)</f>
        <v>0</v>
      </c>
      <c r="J2" s="1">
        <f>IFERROR(__xludf.DUMMYFUNCTION("""COMPUTED_VALUE"""),0.0)</f>
        <v>0</v>
      </c>
      <c r="K2" s="1">
        <f>IFERROR(__xludf.DUMMYFUNCTION("""COMPUTED_VALUE"""),500.0)</f>
        <v>500</v>
      </c>
      <c r="L2" s="2">
        <f>IFERROR(__xludf.DUMMYFUNCTION("""COMPUTED_VALUE"""),0.0)</f>
        <v>0</v>
      </c>
      <c r="M2" s="1">
        <f>IFERROR(__xludf.DUMMYFUNCTION("""COMPUTED_VALUE"""),0.0)</f>
        <v>0</v>
      </c>
      <c r="N2" s="1">
        <f>IFERROR(__xludf.DUMMYFUNCTION("""COMPUTED_VALUE"""),0.0)</f>
        <v>0</v>
      </c>
      <c r="O2" s="2" t="str">
        <f>IFERROR(__xludf.DUMMYFUNCTION("""COMPUTED_VALUE"""),"")</f>
        <v/>
      </c>
      <c r="P2" s="1">
        <f>IFERROR(__xludf.DUMMYFUNCTION("""COMPUTED_VALUE"""),0.0)</f>
        <v>0</v>
      </c>
      <c r="Q2" s="1">
        <f>IFERROR(__xludf.DUMMYFUNCTION("""COMPUTED_VALUE"""),1.0)</f>
        <v>1</v>
      </c>
      <c r="R2" s="2">
        <f>IFERROR(__xludf.DUMMYFUNCTION("""COMPUTED_VALUE"""),0.0)</f>
        <v>0</v>
      </c>
      <c r="S2" s="1">
        <f>IFERROR(__xludf.DUMMYFUNCTION("""COMPUTED_VALUE"""),0.0)</f>
        <v>0</v>
      </c>
      <c r="T2" s="1">
        <f>IFERROR(__xludf.DUMMYFUNCTION("""COMPUTED_VALUE"""),1.0)</f>
        <v>1</v>
      </c>
      <c r="U2" s="2">
        <f>IFERROR(__xludf.DUMMYFUNCTION("""COMPUTED_VALUE"""),0.0)</f>
        <v>0</v>
      </c>
      <c r="V2" s="1">
        <f>IFERROR(__xludf.DUMMYFUNCTION("""COMPUTED_VALUE"""),0.0)</f>
        <v>0</v>
      </c>
      <c r="W2" s="1">
        <f>IFERROR(__xludf.DUMMYFUNCTION("""COMPUTED_VALUE"""),1.0)</f>
        <v>1</v>
      </c>
      <c r="X2" s="2">
        <f>IFERROR(__xludf.DUMMYFUNCTION("""COMPUTED_VALUE"""),0.0)</f>
        <v>0</v>
      </c>
      <c r="Y2" s="1">
        <f>IFERROR(__xludf.DUMMYFUNCTION("""COMPUTED_VALUE"""),0.0)</f>
        <v>0</v>
      </c>
      <c r="Z2" s="1">
        <f>IFERROR(__xludf.DUMMYFUNCTION("""COMPUTED_VALUE"""),0.0)</f>
        <v>0</v>
      </c>
      <c r="AA2" s="2" t="str">
        <f>IFERROR(__xludf.DUMMYFUNCTION("""COMPUTED_VALUE"""),"")</f>
        <v/>
      </c>
      <c r="AB2" s="1">
        <f>IFERROR(__xludf.DUMMYFUNCTION("""COMPUTED_VALUE"""),0.0)</f>
        <v>0</v>
      </c>
      <c r="AC2" s="1">
        <f>IFERROR(__xludf.DUMMYFUNCTION("""COMPUTED_VALUE"""),383.33)</f>
        <v>383.33</v>
      </c>
      <c r="AD2" s="2">
        <f>IFERROR(__xludf.DUMMYFUNCTION("""COMPUTED_VALUE"""),0.0)</f>
        <v>0</v>
      </c>
      <c r="AE2" s="1">
        <f>IFERROR(__xludf.DUMMYFUNCTION("""COMPUTED_VALUE"""),49.55)</f>
        <v>49.55</v>
      </c>
      <c r="AF2" s="1">
        <f>IFERROR(__xludf.DUMMYFUNCTION("""COMPUTED_VALUE"""),449.99)</f>
        <v>449.99</v>
      </c>
      <c r="AG2" s="2">
        <f>IFERROR(__xludf.DUMMYFUNCTION("""COMPUTED_VALUE"""),0.11011355807906842)</f>
        <v>0.1101135581</v>
      </c>
      <c r="AH2" s="1">
        <f>IFERROR(__xludf.DUMMYFUNCTION("""COMPUTED_VALUE"""),45.83)</f>
        <v>45.83</v>
      </c>
      <c r="AI2" s="1">
        <f>IFERROR(__xludf.DUMMYFUNCTION("""COMPUTED_VALUE"""),483.34)</f>
        <v>483.34</v>
      </c>
      <c r="AJ2" s="2">
        <f>IFERROR(__xludf.DUMMYFUNCTION("""COMPUTED_VALUE"""),0.09481938180163033)</f>
        <v>0.0948193818</v>
      </c>
      <c r="AK2" s="1">
        <f>IFERROR(__xludf.DUMMYFUNCTION("""COMPUTED_VALUE"""),95.38)</f>
        <v>95.38</v>
      </c>
      <c r="AL2" s="1">
        <f>IFERROR(__xludf.DUMMYFUNCTION("""COMPUTED_VALUE"""),1316.6599999999999)</f>
        <v>1316.66</v>
      </c>
      <c r="AM2" s="2">
        <f>IFERROR(__xludf.DUMMYFUNCTION("""COMPUTED_VALUE"""),0.0724408731183449)</f>
        <v>0.07244087312</v>
      </c>
      <c r="AN2" s="1">
        <f>IFERROR(__xludf.DUMMYFUNCTION("""COMPUTED_VALUE"""),0.0)</f>
        <v>0</v>
      </c>
      <c r="AO2" s="1">
        <f>IFERROR(__xludf.DUMMYFUNCTION("""COMPUTED_VALUE"""),0.0)</f>
        <v>0</v>
      </c>
      <c r="AP2" s="2" t="str">
        <f>IFERROR(__xludf.DUMMYFUNCTION("""COMPUTED_VALUE"""),"")</f>
        <v/>
      </c>
      <c r="AQ2" s="1">
        <f>IFERROR(__xludf.DUMMYFUNCTION("""COMPUTED_VALUE"""),0.0)</f>
        <v>0</v>
      </c>
      <c r="AR2" s="1">
        <f>IFERROR(__xludf.DUMMYFUNCTION("""COMPUTED_VALUE"""),0.0)</f>
        <v>0</v>
      </c>
      <c r="AS2" s="2" t="str">
        <f>IFERROR(__xludf.DUMMYFUNCTION("""COMPUTED_VALUE"""),"")</f>
        <v/>
      </c>
      <c r="AT2" s="1">
        <f>IFERROR(__xludf.DUMMYFUNCTION("""COMPUTED_VALUE"""),0.0)</f>
        <v>0</v>
      </c>
      <c r="AU2" s="1">
        <f>IFERROR(__xludf.DUMMYFUNCTION("""COMPUTED_VALUE"""),0.0)</f>
        <v>0</v>
      </c>
      <c r="AV2" s="2" t="str">
        <f>IFERROR(__xludf.DUMMYFUNCTION("""COMPUTED_VALUE"""),"")</f>
        <v/>
      </c>
      <c r="AW2" s="1">
        <f>IFERROR(__xludf.DUMMYFUNCTION("""COMPUTED_VALUE"""),0.0)</f>
        <v>0</v>
      </c>
      <c r="AX2" s="1">
        <f>IFERROR(__xludf.DUMMYFUNCTION("""COMPUTED_VALUE"""),0.0)</f>
        <v>0</v>
      </c>
      <c r="AY2" s="2" t="str">
        <f>IFERROR(__xludf.DUMMYFUNCTION("""COMPUTED_VALUE"""),"")</f>
        <v/>
      </c>
      <c r="AZ2" s="1">
        <f>IFERROR(__xludf.DUMMYFUNCTION("""COMPUTED_VALUE"""),0.0)</f>
        <v>0</v>
      </c>
      <c r="BA2" s="1">
        <f>IFERROR(__xludf.DUMMYFUNCTION("""COMPUTED_VALUE"""),0.0)</f>
        <v>0</v>
      </c>
      <c r="BB2" s="2" t="str">
        <f>IFERROR(__xludf.DUMMYFUNCTION("""COMPUTED_VALUE"""),"")</f>
        <v/>
      </c>
    </row>
    <row r="3">
      <c r="A3" s="1" t="str">
        <f>IFERROR(__xludf.DUMMYFUNCTION("""COMPUTED_VALUE"""),"65f1c0a04b86f221530d41c2")</f>
        <v>65f1c0a04b86f221530d41c2</v>
      </c>
      <c r="B3" s="1" t="str">
        <f>IFERROR(__xludf.DUMMYFUNCTION("""COMPUTED_VALUE"""),"Serverli Inc")</f>
        <v>Serverli Inc</v>
      </c>
      <c r="C3" s="1" t="str">
        <f>IFERROR(__xludf.DUMMYFUNCTION("""COMPUTED_VALUE"""),"rui.silva@al-enterprise.com, michael-j.francis@al-enterprise.com, luigy.estevanell@al-enterprise.com")</f>
        <v>rui.silva@al-enterprise.com, michael-j.francis@al-enterprise.com, luigy.estevanell@al-enterprise.com</v>
      </c>
      <c r="D3" s="1" t="str">
        <f>IFERROR(__xludf.DUMMYFUNCTION("""COMPUTED_VALUE"""),"americas")</f>
        <v>americas</v>
      </c>
      <c r="E3" s="1" t="str">
        <f>IFERROR(__xludf.DUMMYFUNCTION("""COMPUTED_VALUE"""),"US")</f>
        <v>US</v>
      </c>
      <c r="F3" s="1" t="str">
        <f>IFERROR(__xludf.DUMMYFUNCTION("""COMPUTED_VALUE"""),"expert_200")</f>
        <v>expert_200</v>
      </c>
      <c r="G3" s="1">
        <f>IFERROR(__xludf.DUMMYFUNCTION("""COMPUTED_VALUE"""),0.0)</f>
        <v>0</v>
      </c>
      <c r="H3" s="1">
        <f>IFERROR(__xludf.DUMMYFUNCTION("""COMPUTED_VALUE"""),1.0)</f>
        <v>1</v>
      </c>
      <c r="I3" s="2">
        <f>IFERROR(__xludf.DUMMYFUNCTION("""COMPUTED_VALUE"""),0.0)</f>
        <v>0</v>
      </c>
      <c r="J3" s="1">
        <f>IFERROR(__xludf.DUMMYFUNCTION("""COMPUTED_VALUE"""),0.0)</f>
        <v>0</v>
      </c>
      <c r="K3" s="1">
        <f>IFERROR(__xludf.DUMMYFUNCTION("""COMPUTED_VALUE"""),99.2)</f>
        <v>99.2</v>
      </c>
      <c r="L3" s="2">
        <f>IFERROR(__xludf.DUMMYFUNCTION("""COMPUTED_VALUE"""),0.0)</f>
        <v>0</v>
      </c>
      <c r="M3" s="1">
        <f>IFERROR(__xludf.DUMMYFUNCTION("""COMPUTED_VALUE"""),1.0)</f>
        <v>1</v>
      </c>
      <c r="N3" s="1">
        <f>IFERROR(__xludf.DUMMYFUNCTION("""COMPUTED_VALUE"""),0.0)</f>
        <v>0</v>
      </c>
      <c r="O3" s="2" t="str">
        <f>IFERROR(__xludf.DUMMYFUNCTION("""COMPUTED_VALUE"""),"")</f>
        <v/>
      </c>
      <c r="P3" s="1">
        <f>IFERROR(__xludf.DUMMYFUNCTION("""COMPUTED_VALUE"""),0.0)</f>
        <v>0</v>
      </c>
      <c r="Q3" s="1">
        <f>IFERROR(__xludf.DUMMYFUNCTION("""COMPUTED_VALUE"""),1.0)</f>
        <v>1</v>
      </c>
      <c r="R3" s="2">
        <f>IFERROR(__xludf.DUMMYFUNCTION("""COMPUTED_VALUE"""),0.0)</f>
        <v>0</v>
      </c>
      <c r="S3" s="1">
        <f>IFERROR(__xludf.DUMMYFUNCTION("""COMPUTED_VALUE"""),0.0)</f>
        <v>0</v>
      </c>
      <c r="T3" s="1">
        <f>IFERROR(__xludf.DUMMYFUNCTION("""COMPUTED_VALUE"""),1.0)</f>
        <v>1</v>
      </c>
      <c r="U3" s="2">
        <f>IFERROR(__xludf.DUMMYFUNCTION("""COMPUTED_VALUE"""),0.0)</f>
        <v>0</v>
      </c>
      <c r="V3" s="1">
        <f>IFERROR(__xludf.DUMMYFUNCTION("""COMPUTED_VALUE"""),0.0)</f>
        <v>0</v>
      </c>
      <c r="W3" s="1">
        <f>IFERROR(__xludf.DUMMYFUNCTION("""COMPUTED_VALUE"""),1.0)</f>
        <v>1</v>
      </c>
      <c r="X3" s="2">
        <f>IFERROR(__xludf.DUMMYFUNCTION("""COMPUTED_VALUE"""),0.0)</f>
        <v>0</v>
      </c>
      <c r="Y3" s="1">
        <f>IFERROR(__xludf.DUMMYFUNCTION("""COMPUTED_VALUE"""),0.0)</f>
        <v>0</v>
      </c>
      <c r="Z3" s="1">
        <f>IFERROR(__xludf.DUMMYFUNCTION("""COMPUTED_VALUE"""),0.0)</f>
        <v>0</v>
      </c>
      <c r="AA3" s="2" t="str">
        <f>IFERROR(__xludf.DUMMYFUNCTION("""COMPUTED_VALUE"""),"")</f>
        <v/>
      </c>
      <c r="AB3" s="1">
        <f>IFERROR(__xludf.DUMMYFUNCTION("""COMPUTED_VALUE"""),44.27)</f>
        <v>44.27</v>
      </c>
      <c r="AC3" s="1">
        <f>IFERROR(__xludf.DUMMYFUNCTION("""COMPUTED_VALUE"""),66.01)</f>
        <v>66.01</v>
      </c>
      <c r="AD3" s="2">
        <f>IFERROR(__xludf.DUMMYFUNCTION("""COMPUTED_VALUE"""),0.6706559612179973)</f>
        <v>0.6706559612</v>
      </c>
      <c r="AE3" s="1">
        <f>IFERROR(__xludf.DUMMYFUNCTION("""COMPUTED_VALUE"""),30.0)</f>
        <v>30</v>
      </c>
      <c r="AF3" s="1">
        <f>IFERROR(__xludf.DUMMYFUNCTION("""COMPUTED_VALUE"""),99.32)</f>
        <v>99.32</v>
      </c>
      <c r="AG3" s="2">
        <f>IFERROR(__xludf.DUMMYFUNCTION("""COMPUTED_VALUE"""),0.30205396697543296)</f>
        <v>0.302053967</v>
      </c>
      <c r="AH3" s="1">
        <f>IFERROR(__xludf.DUMMYFUNCTION("""COMPUTED_VALUE"""),301.0)</f>
        <v>301</v>
      </c>
      <c r="AI3" s="1">
        <f>IFERROR(__xludf.DUMMYFUNCTION("""COMPUTED_VALUE"""),99.32)</f>
        <v>99.32</v>
      </c>
      <c r="AJ3" s="2">
        <f>IFERROR(__xludf.DUMMYFUNCTION("""COMPUTED_VALUE"""),3.0306081353201773)</f>
        <v>3.030608135</v>
      </c>
      <c r="AK3" s="1">
        <f>IFERROR(__xludf.DUMMYFUNCTION("""COMPUTED_VALUE"""),375.27)</f>
        <v>375.27</v>
      </c>
      <c r="AL3" s="1">
        <f>IFERROR(__xludf.DUMMYFUNCTION("""COMPUTED_VALUE"""),264.65)</f>
        <v>264.65</v>
      </c>
      <c r="AM3" s="2">
        <f>IFERROR(__xludf.DUMMYFUNCTION("""COMPUTED_VALUE"""),1.417986019270735)</f>
        <v>1.417986019</v>
      </c>
      <c r="AN3" s="1">
        <f>IFERROR(__xludf.DUMMYFUNCTION("""COMPUTED_VALUE"""),301.0)</f>
        <v>301</v>
      </c>
      <c r="AO3" s="1">
        <f>IFERROR(__xludf.DUMMYFUNCTION("""COMPUTED_VALUE"""),0.0)</f>
        <v>0</v>
      </c>
      <c r="AP3" s="2" t="str">
        <f>IFERROR(__xludf.DUMMYFUNCTION("""COMPUTED_VALUE"""),"")</f>
        <v/>
      </c>
      <c r="AQ3" s="1">
        <f>IFERROR(__xludf.DUMMYFUNCTION("""COMPUTED_VALUE"""),0.0)</f>
        <v>0</v>
      </c>
      <c r="AR3" s="1">
        <f>IFERROR(__xludf.DUMMYFUNCTION("""COMPUTED_VALUE"""),0.0)</f>
        <v>0</v>
      </c>
      <c r="AS3" s="2" t="str">
        <f>IFERROR(__xludf.DUMMYFUNCTION("""COMPUTED_VALUE"""),"")</f>
        <v/>
      </c>
      <c r="AT3" s="1">
        <f>IFERROR(__xludf.DUMMYFUNCTION("""COMPUTED_VALUE"""),0.0)</f>
        <v>0</v>
      </c>
      <c r="AU3" s="1">
        <f>IFERROR(__xludf.DUMMYFUNCTION("""COMPUTED_VALUE"""),0.0)</f>
        <v>0</v>
      </c>
      <c r="AV3" s="2" t="str">
        <f>IFERROR(__xludf.DUMMYFUNCTION("""COMPUTED_VALUE"""),"")</f>
        <v/>
      </c>
      <c r="AW3" s="1">
        <f>IFERROR(__xludf.DUMMYFUNCTION("""COMPUTED_VALUE"""),0.0)</f>
        <v>0</v>
      </c>
      <c r="AX3" s="1">
        <f>IFERROR(__xludf.DUMMYFUNCTION("""COMPUTED_VALUE"""),0.0)</f>
        <v>0</v>
      </c>
      <c r="AY3" s="2" t="str">
        <f>IFERROR(__xludf.DUMMYFUNCTION("""COMPUTED_VALUE"""),"")</f>
        <v/>
      </c>
      <c r="AZ3" s="1">
        <f>IFERROR(__xludf.DUMMYFUNCTION("""COMPUTED_VALUE"""),301.0)</f>
        <v>301</v>
      </c>
      <c r="BA3" s="1">
        <f>IFERROR(__xludf.DUMMYFUNCTION("""COMPUTED_VALUE"""),0.0)</f>
        <v>0</v>
      </c>
      <c r="BB3" s="2" t="str">
        <f>IFERROR(__xludf.DUMMYFUNCTION("""COMPUTED_VALUE"""),"")</f>
        <v/>
      </c>
    </row>
    <row r="4">
      <c r="A4" s="1" t="str">
        <f>IFERROR(__xludf.DUMMYFUNCTION("""COMPUTED_VALUE"""),"63ced843c5c820531c268186")</f>
        <v>63ced843c5c820531c268186</v>
      </c>
      <c r="B4" s="1" t="str">
        <f>IFERROR(__xludf.DUMMYFUNCTION("""COMPUTED_VALUE"""),"3CORP TECHNOLOGY INFRAESTRUTURA DE")</f>
        <v>3CORP TECHNOLOGY INFRAESTRUTURA DE</v>
      </c>
      <c r="C4" s="1" t="str">
        <f>IFERROR(__xludf.DUMMYFUNCTION("""COMPUTED_VALUE"""),"renato-takashi.yoshizako@al-enterprise.com")</f>
        <v>renato-takashi.yoshizako@al-enterprise.com</v>
      </c>
      <c r="D4" s="1" t="str">
        <f>IFERROR(__xludf.DUMMYFUNCTION("""COMPUTED_VALUE"""),"americas")</f>
        <v>americas</v>
      </c>
      <c r="E4" s="1" t="str">
        <f>IFERROR(__xludf.DUMMYFUNCTION("""COMPUTED_VALUE"""),"BR")</f>
        <v>BR</v>
      </c>
      <c r="F4" s="1" t="str">
        <f>IFERROR(__xludf.DUMMYFUNCTION("""COMPUTED_VALUE"""),"yes")</f>
        <v>yes</v>
      </c>
      <c r="G4" s="1">
        <f>IFERROR(__xludf.DUMMYFUNCTION("""COMPUTED_VALUE"""),1.0)</f>
        <v>1</v>
      </c>
      <c r="H4" s="1">
        <f>IFERROR(__xludf.DUMMYFUNCTION("""COMPUTED_VALUE"""),1.0)</f>
        <v>1</v>
      </c>
      <c r="I4" s="2">
        <f>IFERROR(__xludf.DUMMYFUNCTION("""COMPUTED_VALUE"""),1.0)</f>
        <v>1</v>
      </c>
      <c r="J4" s="1">
        <f>IFERROR(__xludf.DUMMYFUNCTION("""COMPUTED_VALUE"""),219.99)</f>
        <v>219.99</v>
      </c>
      <c r="K4" s="1">
        <f>IFERROR(__xludf.DUMMYFUNCTION("""COMPUTED_VALUE"""),4099.96)</f>
        <v>4099.96</v>
      </c>
      <c r="L4" s="2">
        <f>IFERROR(__xludf.DUMMYFUNCTION("""COMPUTED_VALUE"""),0.05365662104020527)</f>
        <v>0.05365662104</v>
      </c>
      <c r="M4" s="1">
        <f>IFERROR(__xludf.DUMMYFUNCTION("""COMPUTED_VALUE"""),267.0)</f>
        <v>267</v>
      </c>
      <c r="N4" s="1">
        <f>IFERROR(__xludf.DUMMYFUNCTION("""COMPUTED_VALUE"""),52.0)</f>
        <v>52</v>
      </c>
      <c r="O4" s="2">
        <f>IFERROR(__xludf.DUMMYFUNCTION("""COMPUTED_VALUE"""),5.134615384615385)</f>
        <v>5.134615385</v>
      </c>
      <c r="P4" s="1">
        <f>IFERROR(__xludf.DUMMYFUNCTION("""COMPUTED_VALUE"""),1.0)</f>
        <v>1</v>
      </c>
      <c r="Q4" s="1">
        <f>IFERROR(__xludf.DUMMYFUNCTION("""COMPUTED_VALUE"""),1.0)</f>
        <v>1</v>
      </c>
      <c r="R4" s="2">
        <f>IFERROR(__xludf.DUMMYFUNCTION("""COMPUTED_VALUE"""),1.0)</f>
        <v>1</v>
      </c>
      <c r="S4" s="1">
        <f>IFERROR(__xludf.DUMMYFUNCTION("""COMPUTED_VALUE"""),0.0)</f>
        <v>0</v>
      </c>
      <c r="T4" s="1">
        <f>IFERROR(__xludf.DUMMYFUNCTION("""COMPUTED_VALUE"""),1.0)</f>
        <v>1</v>
      </c>
      <c r="U4" s="2">
        <f>IFERROR(__xludf.DUMMYFUNCTION("""COMPUTED_VALUE"""),0.0)</f>
        <v>0</v>
      </c>
      <c r="V4" s="1">
        <f>IFERROR(__xludf.DUMMYFUNCTION("""COMPUTED_VALUE"""),0.0)</f>
        <v>0</v>
      </c>
      <c r="W4" s="1">
        <f>IFERROR(__xludf.DUMMYFUNCTION("""COMPUTED_VALUE"""),1.0)</f>
        <v>1</v>
      </c>
      <c r="X4" s="2">
        <f>IFERROR(__xludf.DUMMYFUNCTION("""COMPUTED_VALUE"""),0.0)</f>
        <v>0</v>
      </c>
      <c r="Y4" s="1">
        <f>IFERROR(__xludf.DUMMYFUNCTION("""COMPUTED_VALUE"""),44.0)</f>
        <v>44</v>
      </c>
      <c r="Z4" s="1">
        <f>IFERROR(__xludf.DUMMYFUNCTION("""COMPUTED_VALUE"""),0.0)</f>
        <v>0</v>
      </c>
      <c r="AA4" s="2" t="str">
        <f>IFERROR(__xludf.DUMMYFUNCTION("""COMPUTED_VALUE"""),"")</f>
        <v/>
      </c>
      <c r="AB4" s="1">
        <f>IFERROR(__xludf.DUMMYFUNCTION("""COMPUTED_VALUE"""),29.0)</f>
        <v>29</v>
      </c>
      <c r="AC4" s="1">
        <f>IFERROR(__xludf.DUMMYFUNCTION("""COMPUTED_VALUE"""),3416.62)</f>
        <v>3416.62</v>
      </c>
      <c r="AD4" s="2">
        <f>IFERROR(__xludf.DUMMYFUNCTION("""COMPUTED_VALUE"""),0.008487920810625707)</f>
        <v>0.008487920811</v>
      </c>
      <c r="AE4" s="1">
        <f>IFERROR(__xludf.DUMMYFUNCTION("""COMPUTED_VALUE"""),1788.03)</f>
        <v>1788.03</v>
      </c>
      <c r="AF4" s="1">
        <f>IFERROR(__xludf.DUMMYFUNCTION("""COMPUTED_VALUE"""),3416.97)</f>
        <v>3416.97</v>
      </c>
      <c r="AG4" s="2">
        <f>IFERROR(__xludf.DUMMYFUNCTION("""COMPUTED_VALUE"""),0.523279396658443)</f>
        <v>0.5232793967</v>
      </c>
      <c r="AH4" s="1">
        <f>IFERROR(__xludf.DUMMYFUNCTION("""COMPUTED_VALUE"""),542.99)</f>
        <v>542.99</v>
      </c>
      <c r="AI4" s="1">
        <f>IFERROR(__xludf.DUMMYFUNCTION("""COMPUTED_VALUE"""),3416.97)</f>
        <v>3416.97</v>
      </c>
      <c r="AJ4" s="2">
        <f>IFERROR(__xludf.DUMMYFUNCTION("""COMPUTED_VALUE"""),0.15890979434996505)</f>
        <v>0.1589097943</v>
      </c>
      <c r="AK4" s="1">
        <f>IFERROR(__xludf.DUMMYFUNCTION("""COMPUTED_VALUE"""),2404.02)</f>
        <v>2404.02</v>
      </c>
      <c r="AL4" s="1">
        <f>IFERROR(__xludf.DUMMYFUNCTION("""COMPUTED_VALUE"""),10250.56)</f>
        <v>10250.56</v>
      </c>
      <c r="AM4" s="2">
        <f>IFERROR(__xludf.DUMMYFUNCTION("""COMPUTED_VALUE"""),0.2345257234726688)</f>
        <v>0.2345257235</v>
      </c>
      <c r="AN4" s="1">
        <f>IFERROR(__xludf.DUMMYFUNCTION("""COMPUTED_VALUE"""),56.8)</f>
        <v>56.8</v>
      </c>
      <c r="AO4" s="1">
        <f>IFERROR(__xludf.DUMMYFUNCTION("""COMPUTED_VALUE"""),0.0)</f>
        <v>0</v>
      </c>
      <c r="AP4" s="2" t="str">
        <f>IFERROR(__xludf.DUMMYFUNCTION("""COMPUTED_VALUE"""),"")</f>
        <v/>
      </c>
      <c r="AQ4" s="1">
        <f>IFERROR(__xludf.DUMMYFUNCTION("""COMPUTED_VALUE"""),79.0)</f>
        <v>79</v>
      </c>
      <c r="AR4" s="1">
        <f>IFERROR(__xludf.DUMMYFUNCTION("""COMPUTED_VALUE"""),0.0)</f>
        <v>0</v>
      </c>
      <c r="AS4" s="2" t="str">
        <f>IFERROR(__xludf.DUMMYFUNCTION("""COMPUTED_VALUE"""),"")</f>
        <v/>
      </c>
      <c r="AT4" s="1">
        <f>IFERROR(__xludf.DUMMYFUNCTION("""COMPUTED_VALUE"""),0.0)</f>
        <v>0</v>
      </c>
      <c r="AU4" s="1">
        <f>IFERROR(__xludf.DUMMYFUNCTION("""COMPUTED_VALUE"""),0.0)</f>
        <v>0</v>
      </c>
      <c r="AV4" s="2" t="str">
        <f>IFERROR(__xludf.DUMMYFUNCTION("""COMPUTED_VALUE"""),"")</f>
        <v/>
      </c>
      <c r="AW4" s="1">
        <f>IFERROR(__xludf.DUMMYFUNCTION("""COMPUTED_VALUE"""),0.0)</f>
        <v>0</v>
      </c>
      <c r="AX4" s="1">
        <f>IFERROR(__xludf.DUMMYFUNCTION("""COMPUTED_VALUE"""),0.0)</f>
        <v>0</v>
      </c>
      <c r="AY4" s="2" t="str">
        <f>IFERROR(__xludf.DUMMYFUNCTION("""COMPUTED_VALUE"""),"")</f>
        <v/>
      </c>
      <c r="AZ4" s="1">
        <f>IFERROR(__xludf.DUMMYFUNCTION("""COMPUTED_VALUE"""),135.8)</f>
        <v>135.8</v>
      </c>
      <c r="BA4" s="1">
        <f>IFERROR(__xludf.DUMMYFUNCTION("""COMPUTED_VALUE"""),0.0)</f>
        <v>0</v>
      </c>
      <c r="BB4" s="2" t="str">
        <f>IFERROR(__xludf.DUMMYFUNCTION("""COMPUTED_VALUE"""),"")</f>
        <v/>
      </c>
    </row>
    <row r="5">
      <c r="A5" s="1" t="str">
        <f>IFERROR(__xludf.DUMMYFUNCTION("""COMPUTED_VALUE"""),"67a5dc38617ada49240d92c2")</f>
        <v>67a5dc38617ada49240d92c2</v>
      </c>
      <c r="B5" s="1" t="str">
        <f>IFERROR(__xludf.DUMMYFUNCTION("""COMPUTED_VALUE"""),"9 to 5 Computer")</f>
        <v>9 to 5 Computer</v>
      </c>
      <c r="C5" s="1" t="str">
        <f>IFERROR(__xludf.DUMMYFUNCTION("""COMPUTED_VALUE"""),"michael-j.francis@al-enterprise.com, luigy.estevanell@al-enterprise.com")</f>
        <v>michael-j.francis@al-enterprise.com, luigy.estevanell@al-enterprise.com</v>
      </c>
      <c r="D5" s="1" t="str">
        <f>IFERROR(__xludf.DUMMYFUNCTION("""COMPUTED_VALUE"""),"americas")</f>
        <v>americas</v>
      </c>
      <c r="E5" s="1" t="str">
        <f>IFERROR(__xludf.DUMMYFUNCTION("""COMPUTED_VALUE"""),"US")</f>
        <v>US</v>
      </c>
      <c r="F5" s="1" t="str">
        <f>IFERROR(__xludf.DUMMYFUNCTION("""COMPUTED_VALUE"""),"expert_200")</f>
        <v>expert_200</v>
      </c>
      <c r="G5" s="1">
        <f>IFERROR(__xludf.DUMMYFUNCTION("""COMPUTED_VALUE"""),0.0)</f>
        <v>0</v>
      </c>
      <c r="H5" s="1">
        <f>IFERROR(__xludf.DUMMYFUNCTION("""COMPUTED_VALUE"""),1.0)</f>
        <v>1</v>
      </c>
      <c r="I5" s="2">
        <f>IFERROR(__xludf.DUMMYFUNCTION("""COMPUTED_VALUE"""),0.0)</f>
        <v>0</v>
      </c>
      <c r="J5" s="1">
        <f>IFERROR(__xludf.DUMMYFUNCTION("""COMPUTED_VALUE"""),15.12)</f>
        <v>15.12</v>
      </c>
      <c r="K5" s="1">
        <f>IFERROR(__xludf.DUMMYFUNCTION("""COMPUTED_VALUE"""),155.0)</f>
        <v>155</v>
      </c>
      <c r="L5" s="2">
        <f>IFERROR(__xludf.DUMMYFUNCTION("""COMPUTED_VALUE"""),0.09754838709677419)</f>
        <v>0.0975483871</v>
      </c>
      <c r="M5" s="1">
        <f>IFERROR(__xludf.DUMMYFUNCTION("""COMPUTED_VALUE"""),0.0)</f>
        <v>0</v>
      </c>
      <c r="N5" s="1">
        <f>IFERROR(__xludf.DUMMYFUNCTION("""COMPUTED_VALUE"""),0.0)</f>
        <v>0</v>
      </c>
      <c r="O5" s="2" t="str">
        <f>IFERROR(__xludf.DUMMYFUNCTION("""COMPUTED_VALUE"""),"")</f>
        <v/>
      </c>
      <c r="P5" s="1">
        <f>IFERROR(__xludf.DUMMYFUNCTION("""COMPUTED_VALUE"""),0.0)</f>
        <v>0</v>
      </c>
      <c r="Q5" s="1">
        <f>IFERROR(__xludf.DUMMYFUNCTION("""COMPUTED_VALUE"""),1.0)</f>
        <v>1</v>
      </c>
      <c r="R5" s="2">
        <f>IFERROR(__xludf.DUMMYFUNCTION("""COMPUTED_VALUE"""),0.0)</f>
        <v>0</v>
      </c>
      <c r="S5" s="1">
        <f>IFERROR(__xludf.DUMMYFUNCTION("""COMPUTED_VALUE"""),0.0)</f>
        <v>0</v>
      </c>
      <c r="T5" s="1">
        <f>IFERROR(__xludf.DUMMYFUNCTION("""COMPUTED_VALUE"""),1.0)</f>
        <v>1</v>
      </c>
      <c r="U5" s="2">
        <f>IFERROR(__xludf.DUMMYFUNCTION("""COMPUTED_VALUE"""),0.0)</f>
        <v>0</v>
      </c>
      <c r="V5" s="1">
        <f>IFERROR(__xludf.DUMMYFUNCTION("""COMPUTED_VALUE"""),0.0)</f>
        <v>0</v>
      </c>
      <c r="W5" s="1">
        <f>IFERROR(__xludf.DUMMYFUNCTION("""COMPUTED_VALUE"""),1.0)</f>
        <v>1</v>
      </c>
      <c r="X5" s="2">
        <f>IFERROR(__xludf.DUMMYFUNCTION("""COMPUTED_VALUE"""),0.0)</f>
        <v>0</v>
      </c>
      <c r="Y5" s="1">
        <f>IFERROR(__xludf.DUMMYFUNCTION("""COMPUTED_VALUE"""),0.0)</f>
        <v>0</v>
      </c>
      <c r="Z5" s="1">
        <f>IFERROR(__xludf.DUMMYFUNCTION("""COMPUTED_VALUE"""),0.0)</f>
        <v>0</v>
      </c>
      <c r="AA5" s="2" t="str">
        <f>IFERROR(__xludf.DUMMYFUNCTION("""COMPUTED_VALUE"""),"")</f>
        <v/>
      </c>
      <c r="AB5" s="1">
        <f>IFERROR(__xludf.DUMMYFUNCTION("""COMPUTED_VALUE"""),0.0)</f>
        <v>0</v>
      </c>
      <c r="AC5" s="1">
        <f>IFERROR(__xludf.DUMMYFUNCTION("""COMPUTED_VALUE"""),0.0)</f>
        <v>0</v>
      </c>
      <c r="AD5" s="2" t="str">
        <f>IFERROR(__xludf.DUMMYFUNCTION("""COMPUTED_VALUE"""),"")</f>
        <v/>
      </c>
      <c r="AE5" s="1">
        <f>IFERROR(__xludf.DUMMYFUNCTION("""COMPUTED_VALUE"""),0.0)</f>
        <v>0</v>
      </c>
      <c r="AF5" s="1">
        <f>IFERROR(__xludf.DUMMYFUNCTION("""COMPUTED_VALUE"""),154.98)</f>
        <v>154.98</v>
      </c>
      <c r="AG5" s="2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IFERROR(__xludf.DUMMYFUNCTION("""COMPUTED_VALUE"""),154.98)</f>
        <v>154.98</v>
      </c>
      <c r="AJ5" s="2">
        <f>IFERROR(__xludf.DUMMYFUNCTION("""COMPUTED_VALUE"""),0.0)</f>
        <v>0</v>
      </c>
      <c r="AK5" s="1">
        <f>IFERROR(__xludf.DUMMYFUNCTION("""COMPUTED_VALUE"""),0.0)</f>
        <v>0</v>
      </c>
      <c r="AL5" s="1">
        <f>IFERROR(__xludf.DUMMYFUNCTION("""COMPUTED_VALUE"""),309.96)</f>
        <v>309.96</v>
      </c>
      <c r="AM5" s="2">
        <f>IFERROR(__xludf.DUMMYFUNCTION("""COMPUTED_VALUE"""),0.0)</f>
        <v>0</v>
      </c>
      <c r="AN5" s="1">
        <f>IFERROR(__xludf.DUMMYFUNCTION("""COMPUTED_VALUE"""),0.0)</f>
        <v>0</v>
      </c>
      <c r="AO5" s="1">
        <f>IFERROR(__xludf.DUMMYFUNCTION("""COMPUTED_VALUE"""),0.0)</f>
        <v>0</v>
      </c>
      <c r="AP5" s="2" t="str">
        <f>IFERROR(__xludf.DUMMYFUNCTION("""COMPUTED_VALUE"""),"")</f>
        <v/>
      </c>
      <c r="AQ5" s="1">
        <f>IFERROR(__xludf.DUMMYFUNCTION("""COMPUTED_VALUE"""),0.0)</f>
        <v>0</v>
      </c>
      <c r="AR5" s="1">
        <f>IFERROR(__xludf.DUMMYFUNCTION("""COMPUTED_VALUE"""),0.0)</f>
        <v>0</v>
      </c>
      <c r="AS5" s="2" t="str">
        <f>IFERROR(__xludf.DUMMYFUNCTION("""COMPUTED_VALUE"""),"")</f>
        <v/>
      </c>
      <c r="AT5" s="1">
        <f>IFERROR(__xludf.DUMMYFUNCTION("""COMPUTED_VALUE"""),0.0)</f>
        <v>0</v>
      </c>
      <c r="AU5" s="1">
        <f>IFERROR(__xludf.DUMMYFUNCTION("""COMPUTED_VALUE"""),0.0)</f>
        <v>0</v>
      </c>
      <c r="AV5" s="2" t="str">
        <f>IFERROR(__xludf.DUMMYFUNCTION("""COMPUTED_VALUE"""),"")</f>
        <v/>
      </c>
      <c r="AW5" s="1">
        <f>IFERROR(__xludf.DUMMYFUNCTION("""COMPUTED_VALUE"""),0.0)</f>
        <v>0</v>
      </c>
      <c r="AX5" s="1">
        <f>IFERROR(__xludf.DUMMYFUNCTION("""COMPUTED_VALUE"""),0.0)</f>
        <v>0</v>
      </c>
      <c r="AY5" s="2" t="str">
        <f>IFERROR(__xludf.DUMMYFUNCTION("""COMPUTED_VALUE"""),"")</f>
        <v/>
      </c>
      <c r="AZ5" s="1">
        <f>IFERROR(__xludf.DUMMYFUNCTION("""COMPUTED_VALUE"""),0.0)</f>
        <v>0</v>
      </c>
      <c r="BA5" s="1">
        <f>IFERROR(__xludf.DUMMYFUNCTION("""COMPUTED_VALUE"""),0.0)</f>
        <v>0</v>
      </c>
      <c r="BB5" s="2" t="str">
        <f>IFERROR(__xludf.DUMMYFUNCTION("""COMPUTED_VALUE"""),"")</f>
        <v/>
      </c>
    </row>
    <row r="6">
      <c r="A6" s="1" t="str">
        <f>IFERROR(__xludf.DUMMYFUNCTION("""COMPUTED_VALUE"""),"66a75f819d5f4ed144040ad2")</f>
        <v>66a75f819d5f4ed144040ad2</v>
      </c>
      <c r="B6" s="1" t="str">
        <f>IFERROR(__xludf.DUMMYFUNCTION("""COMPUTED_VALUE"""),"A&amp;O TEC GmbH")</f>
        <v>A&amp;O TEC GmbH</v>
      </c>
      <c r="C6" s="1" t="str">
        <f>IFERROR(__xludf.DUMMYFUNCTION("""COMPUTED_VALUE"""),"thomas.ullmann@al-enterprise.com, andreas.grossheimann@al-enterprise.com")</f>
        <v>thomas.ullmann@al-enterprise.com, andreas.grossheimann@al-enterprise.com</v>
      </c>
      <c r="D6" s="1" t="str">
        <f>IFERROR(__xludf.DUMMYFUNCTION("""COMPUTED_VALUE"""),"germany")</f>
        <v>germany</v>
      </c>
      <c r="E6" s="1" t="str">
        <f>IFERROR(__xludf.DUMMYFUNCTION("""COMPUTED_VALUE"""),"DE")</f>
        <v>DE</v>
      </c>
      <c r="F6" s="1" t="str">
        <f>IFERROR(__xludf.DUMMYFUNCTION("""COMPUTED_VALUE"""),"expert_200")</f>
        <v>expert_200</v>
      </c>
      <c r="G6" s="1">
        <f>IFERROR(__xludf.DUMMYFUNCTION("""COMPUTED_VALUE"""),1.0)</f>
        <v>1</v>
      </c>
      <c r="H6" s="1">
        <f>IFERROR(__xludf.DUMMYFUNCTION("""COMPUTED_VALUE"""),1.0)</f>
        <v>1</v>
      </c>
      <c r="I6" s="2">
        <f>IFERROR(__xludf.DUMMYFUNCTION("""COMPUTED_VALUE"""),1.0)</f>
        <v>1</v>
      </c>
      <c r="J6" s="1">
        <f>IFERROR(__xludf.DUMMYFUNCTION("""COMPUTED_VALUE"""),0.0)</f>
        <v>0</v>
      </c>
      <c r="K6" s="1">
        <f>IFERROR(__xludf.DUMMYFUNCTION("""COMPUTED_VALUE"""),753.0)</f>
        <v>753</v>
      </c>
      <c r="L6" s="2">
        <f>IFERROR(__xludf.DUMMYFUNCTION("""COMPUTED_VALUE"""),0.0)</f>
        <v>0</v>
      </c>
      <c r="M6" s="1">
        <f>IFERROR(__xludf.DUMMYFUNCTION("""COMPUTED_VALUE"""),0.0)</f>
        <v>0</v>
      </c>
      <c r="N6" s="1">
        <f>IFERROR(__xludf.DUMMYFUNCTION("""COMPUTED_VALUE"""),0.0)</f>
        <v>0</v>
      </c>
      <c r="O6" s="2" t="str">
        <f>IFERROR(__xludf.DUMMYFUNCTION("""COMPUTED_VALUE"""),"")</f>
        <v/>
      </c>
      <c r="P6" s="1">
        <f>IFERROR(__xludf.DUMMYFUNCTION("""COMPUTED_VALUE"""),0.0)</f>
        <v>0</v>
      </c>
      <c r="Q6" s="1">
        <f>IFERROR(__xludf.DUMMYFUNCTION("""COMPUTED_VALUE"""),1.0)</f>
        <v>1</v>
      </c>
      <c r="R6" s="2">
        <f>IFERROR(__xludf.DUMMYFUNCTION("""COMPUTED_VALUE"""),0.0)</f>
        <v>0</v>
      </c>
      <c r="S6" s="1">
        <f>IFERROR(__xludf.DUMMYFUNCTION("""COMPUTED_VALUE"""),0.0)</f>
        <v>0</v>
      </c>
      <c r="T6" s="1">
        <f>IFERROR(__xludf.DUMMYFUNCTION("""COMPUTED_VALUE"""),1.0)</f>
        <v>1</v>
      </c>
      <c r="U6" s="2">
        <f>IFERROR(__xludf.DUMMYFUNCTION("""COMPUTED_VALUE"""),0.0)</f>
        <v>0</v>
      </c>
      <c r="V6" s="1">
        <f>IFERROR(__xludf.DUMMYFUNCTION("""COMPUTED_VALUE"""),0.0)</f>
        <v>0</v>
      </c>
      <c r="W6" s="1">
        <f>IFERROR(__xludf.DUMMYFUNCTION("""COMPUTED_VALUE"""),1.0)</f>
        <v>1</v>
      </c>
      <c r="X6" s="2">
        <f>IFERROR(__xludf.DUMMYFUNCTION("""COMPUTED_VALUE"""),0.0)</f>
        <v>0</v>
      </c>
      <c r="Y6" s="1">
        <f>IFERROR(__xludf.DUMMYFUNCTION("""COMPUTED_VALUE"""),32.4)</f>
        <v>32.4</v>
      </c>
      <c r="Z6" s="1">
        <f>IFERROR(__xludf.DUMMYFUNCTION("""COMPUTED_VALUE"""),0.0)</f>
        <v>0</v>
      </c>
      <c r="AA6" s="2" t="str">
        <f>IFERROR(__xludf.DUMMYFUNCTION("""COMPUTED_VALUE"""),"")</f>
        <v/>
      </c>
      <c r="AB6" s="1">
        <f>IFERROR(__xludf.DUMMYFUNCTION("""COMPUTED_VALUE"""),34.44)</f>
        <v>34.44</v>
      </c>
      <c r="AC6" s="1">
        <f>IFERROR(__xludf.DUMMYFUNCTION("""COMPUTED_VALUE"""),502.0)</f>
        <v>502</v>
      </c>
      <c r="AD6" s="2">
        <f>IFERROR(__xludf.DUMMYFUNCTION("""COMPUTED_VALUE"""),0.06860557768924302)</f>
        <v>0.06860557769</v>
      </c>
      <c r="AE6" s="1">
        <f>IFERROR(__xludf.DUMMYFUNCTION("""COMPUTED_VALUE"""),119.34)</f>
        <v>119.34</v>
      </c>
      <c r="AF6" s="1">
        <f>IFERROR(__xludf.DUMMYFUNCTION("""COMPUTED_VALUE"""),753.0)</f>
        <v>753</v>
      </c>
      <c r="AG6" s="2">
        <f>IFERROR(__xludf.DUMMYFUNCTION("""COMPUTED_VALUE"""),0.15848605577689243)</f>
        <v>0.1584860558</v>
      </c>
      <c r="AH6" s="1">
        <f>IFERROR(__xludf.DUMMYFUNCTION("""COMPUTED_VALUE"""),196.84)</f>
        <v>196.84</v>
      </c>
      <c r="AI6" s="1">
        <f>IFERROR(__xludf.DUMMYFUNCTION("""COMPUTED_VALUE"""),753.0)</f>
        <v>753</v>
      </c>
      <c r="AJ6" s="2">
        <f>IFERROR(__xludf.DUMMYFUNCTION("""COMPUTED_VALUE"""),0.26140770252324036)</f>
        <v>0.2614077025</v>
      </c>
      <c r="AK6" s="1">
        <f>IFERROR(__xludf.DUMMYFUNCTION("""COMPUTED_VALUE"""),383.02)</f>
        <v>383.02</v>
      </c>
      <c r="AL6" s="1">
        <f>IFERROR(__xludf.DUMMYFUNCTION("""COMPUTED_VALUE"""),2008.0)</f>
        <v>2008</v>
      </c>
      <c r="AM6" s="2">
        <f>IFERROR(__xludf.DUMMYFUNCTION("""COMPUTED_VALUE"""),0.19074701195219124)</f>
        <v>0.190747012</v>
      </c>
      <c r="AN6" s="1">
        <f>IFERROR(__xludf.DUMMYFUNCTION("""COMPUTED_VALUE"""),32.4)</f>
        <v>32.4</v>
      </c>
      <c r="AO6" s="1">
        <f>IFERROR(__xludf.DUMMYFUNCTION("""COMPUTED_VALUE"""),0.0)</f>
        <v>0</v>
      </c>
      <c r="AP6" s="2" t="str">
        <f>IFERROR(__xludf.DUMMYFUNCTION("""COMPUTED_VALUE"""),"")</f>
        <v/>
      </c>
      <c r="AQ6" s="1">
        <f>IFERROR(__xludf.DUMMYFUNCTION("""COMPUTED_VALUE"""),0.0)</f>
        <v>0</v>
      </c>
      <c r="AR6" s="1">
        <f>IFERROR(__xludf.DUMMYFUNCTION("""COMPUTED_VALUE"""),0.0)</f>
        <v>0</v>
      </c>
      <c r="AS6" s="2" t="str">
        <f>IFERROR(__xludf.DUMMYFUNCTION("""COMPUTED_VALUE"""),"")</f>
        <v/>
      </c>
      <c r="AT6" s="1">
        <f>IFERROR(__xludf.DUMMYFUNCTION("""COMPUTED_VALUE"""),0.0)</f>
        <v>0</v>
      </c>
      <c r="AU6" s="1">
        <f>IFERROR(__xludf.DUMMYFUNCTION("""COMPUTED_VALUE"""),0.0)</f>
        <v>0</v>
      </c>
      <c r="AV6" s="2" t="str">
        <f>IFERROR(__xludf.DUMMYFUNCTION("""COMPUTED_VALUE"""),"")</f>
        <v/>
      </c>
      <c r="AW6" s="1">
        <f>IFERROR(__xludf.DUMMYFUNCTION("""COMPUTED_VALUE"""),0.0)</f>
        <v>0</v>
      </c>
      <c r="AX6" s="1">
        <f>IFERROR(__xludf.DUMMYFUNCTION("""COMPUTED_VALUE"""),0.0)</f>
        <v>0</v>
      </c>
      <c r="AY6" s="2" t="str">
        <f>IFERROR(__xludf.DUMMYFUNCTION("""COMPUTED_VALUE"""),"")</f>
        <v/>
      </c>
      <c r="AZ6" s="1">
        <f>IFERROR(__xludf.DUMMYFUNCTION("""COMPUTED_VALUE"""),32.4)</f>
        <v>32.4</v>
      </c>
      <c r="BA6" s="1">
        <f>IFERROR(__xludf.DUMMYFUNCTION("""COMPUTED_VALUE"""),0.0)</f>
        <v>0</v>
      </c>
      <c r="BB6" s="2" t="str">
        <f>IFERROR(__xludf.DUMMYFUNCTION("""COMPUTED_VALUE"""),"")</f>
        <v/>
      </c>
    </row>
    <row r="7">
      <c r="A7" s="1" t="str">
        <f>IFERROR(__xludf.DUMMYFUNCTION("""COMPUTED_VALUE"""),"63ef9d58384f27260c1ba49b")</f>
        <v>63ef9d58384f27260c1ba49b</v>
      </c>
      <c r="B7" s="1" t="str">
        <f>IFERROR(__xludf.DUMMYFUNCTION("""COMPUTED_VALUE"""),"AAA Solar Electric, Inc.")</f>
        <v>AAA Solar Electric, Inc.</v>
      </c>
      <c r="C7" s="1" t="str">
        <f>IFERROR(__xludf.DUMMYFUNCTION("""COMPUTED_VALUE"""),"gene.hawks@al-enterprise.com, bill.rademacher@al-enterprise.com")</f>
        <v>gene.hawks@al-enterprise.com, bill.rademacher@al-enterprise.com</v>
      </c>
      <c r="D7" s="1" t="str">
        <f>IFERROR(__xludf.DUMMYFUNCTION("""COMPUTED_VALUE"""),"americas")</f>
        <v>americas</v>
      </c>
      <c r="E7" s="1" t="str">
        <f>IFERROR(__xludf.DUMMYFUNCTION("""COMPUTED_VALUE"""),"US")</f>
        <v>US</v>
      </c>
      <c r="F7" s="1" t="str">
        <f>IFERROR(__xludf.DUMMYFUNCTION("""COMPUTED_VALUE"""),"expert_200")</f>
        <v>expert_200</v>
      </c>
      <c r="G7" s="1">
        <f>IFERROR(__xludf.DUMMYFUNCTION("""COMPUTED_VALUE"""),0.0)</f>
        <v>0</v>
      </c>
      <c r="H7" s="1">
        <f>IFERROR(__xludf.DUMMYFUNCTION("""COMPUTED_VALUE"""),1.0)</f>
        <v>1</v>
      </c>
      <c r="I7" s="2">
        <f>IFERROR(__xludf.DUMMYFUNCTION("""COMPUTED_VALUE"""),0.0)</f>
        <v>0</v>
      </c>
      <c r="J7" s="1">
        <f>IFERROR(__xludf.DUMMYFUNCTION("""COMPUTED_VALUE"""),34.12)</f>
        <v>34.12</v>
      </c>
      <c r="K7" s="1">
        <f>IFERROR(__xludf.DUMMYFUNCTION("""COMPUTED_VALUE"""),0.0)</f>
        <v>0</v>
      </c>
      <c r="L7" s="2" t="str">
        <f>IFERROR(__xludf.DUMMYFUNCTION("""COMPUTED_VALUE"""),"")</f>
        <v/>
      </c>
      <c r="M7" s="1">
        <f>IFERROR(__xludf.DUMMYFUNCTION("""COMPUTED_VALUE"""),0.0)</f>
        <v>0</v>
      </c>
      <c r="N7" s="1">
        <f>IFERROR(__xludf.DUMMYFUNCTION("""COMPUTED_VALUE"""),56.0)</f>
        <v>56</v>
      </c>
      <c r="O7" s="2">
        <f>IFERROR(__xludf.DUMMYFUNCTION("""COMPUTED_VALUE"""),0.0)</f>
        <v>0</v>
      </c>
      <c r="P7" s="1">
        <f>IFERROR(__xludf.DUMMYFUNCTION("""COMPUTED_VALUE"""),0.0)</f>
        <v>0</v>
      </c>
      <c r="Q7" s="1">
        <f>IFERROR(__xludf.DUMMYFUNCTION("""COMPUTED_VALUE"""),1.0)</f>
        <v>1</v>
      </c>
      <c r="R7" s="2">
        <f>IFERROR(__xludf.DUMMYFUNCTION("""COMPUTED_VALUE"""),0.0)</f>
        <v>0</v>
      </c>
      <c r="S7" s="1">
        <f>IFERROR(__xludf.DUMMYFUNCTION("""COMPUTED_VALUE"""),0.0)</f>
        <v>0</v>
      </c>
      <c r="T7" s="1">
        <f>IFERROR(__xludf.DUMMYFUNCTION("""COMPUTED_VALUE"""),1.0)</f>
        <v>1</v>
      </c>
      <c r="U7" s="2">
        <f>IFERROR(__xludf.DUMMYFUNCTION("""COMPUTED_VALUE"""),0.0)</f>
        <v>0</v>
      </c>
      <c r="V7" s="1">
        <f>IFERROR(__xludf.DUMMYFUNCTION("""COMPUTED_VALUE"""),0.0)</f>
        <v>0</v>
      </c>
      <c r="W7" s="1">
        <f>IFERROR(__xludf.DUMMYFUNCTION("""COMPUTED_VALUE"""),1.0)</f>
        <v>1</v>
      </c>
      <c r="X7" s="2">
        <f>IFERROR(__xludf.DUMMYFUNCTION("""COMPUTED_VALUE"""),0.0)</f>
        <v>0</v>
      </c>
      <c r="Y7" s="1">
        <f>IFERROR(__xludf.DUMMYFUNCTION("""COMPUTED_VALUE"""),20.84)</f>
        <v>20.84</v>
      </c>
      <c r="Z7" s="1">
        <f>IFERROR(__xludf.DUMMYFUNCTION("""COMPUTED_VALUE"""),0.0)</f>
        <v>0</v>
      </c>
      <c r="AA7" s="2" t="str">
        <f>IFERROR(__xludf.DUMMYFUNCTION("""COMPUTED_VALUE"""),"")</f>
        <v/>
      </c>
      <c r="AB7" s="1">
        <f>IFERROR(__xludf.DUMMYFUNCTION("""COMPUTED_VALUE"""),0.0)</f>
        <v>0</v>
      </c>
      <c r="AC7" s="1">
        <f>IFERROR(__xludf.DUMMYFUNCTION("""COMPUTED_VALUE"""),0.0)</f>
        <v>0</v>
      </c>
      <c r="AD7" s="2" t="str">
        <f>IFERROR(__xludf.DUMMYFUNCTION("""COMPUTED_VALUE"""),"")</f>
        <v/>
      </c>
      <c r="AE7" s="1">
        <f>IFERROR(__xludf.DUMMYFUNCTION("""COMPUTED_VALUE"""),0.0)</f>
        <v>0</v>
      </c>
      <c r="AF7" s="1">
        <f>IFERROR(__xludf.DUMMYFUNCTION("""COMPUTED_VALUE"""),0.0)</f>
        <v>0</v>
      </c>
      <c r="AG7" s="2" t="str">
        <f>IFERROR(__xludf.DUMMYFUNCTION("""COMPUTED_VALUE"""),"")</f>
        <v/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2" t="str">
        <f>IFERROR(__xludf.DUMMYFUNCTION("""COMPUTED_VALUE"""),"")</f>
        <v/>
      </c>
      <c r="AK7" s="1">
        <f>IFERROR(__xludf.DUMMYFUNCTION("""COMPUTED_VALUE"""),20.84)</f>
        <v>20.84</v>
      </c>
      <c r="AL7" s="1">
        <f>IFERROR(__xludf.DUMMYFUNCTION("""COMPUTED_VALUE"""),0.0)</f>
        <v>0</v>
      </c>
      <c r="AM7" s="2" t="str">
        <f>IFERROR(__xludf.DUMMYFUNCTION("""COMPUTED_VALUE"""),"")</f>
        <v/>
      </c>
      <c r="AN7" s="1">
        <f>IFERROR(__xludf.DUMMYFUNCTION("""COMPUTED_VALUE"""),0.0)</f>
        <v>0</v>
      </c>
      <c r="AO7" s="1">
        <f>IFERROR(__xludf.DUMMYFUNCTION("""COMPUTED_VALUE"""),0.0)</f>
        <v>0</v>
      </c>
      <c r="AP7" s="2" t="str">
        <f>IFERROR(__xludf.DUMMYFUNCTION("""COMPUTED_VALUE"""),"")</f>
        <v/>
      </c>
      <c r="AQ7" s="1">
        <f>IFERROR(__xludf.DUMMYFUNCTION("""COMPUTED_VALUE"""),0.0)</f>
        <v>0</v>
      </c>
      <c r="AR7" s="1">
        <f>IFERROR(__xludf.DUMMYFUNCTION("""COMPUTED_VALUE"""),0.0)</f>
        <v>0</v>
      </c>
      <c r="AS7" s="2" t="str">
        <f>IFERROR(__xludf.DUMMYFUNCTION("""COMPUTED_VALUE"""),"")</f>
        <v/>
      </c>
      <c r="AT7" s="1">
        <f>IFERROR(__xludf.DUMMYFUNCTION("""COMPUTED_VALUE"""),0.0)</f>
        <v>0</v>
      </c>
      <c r="AU7" s="1">
        <f>IFERROR(__xludf.DUMMYFUNCTION("""COMPUTED_VALUE"""),0.0)</f>
        <v>0</v>
      </c>
      <c r="AV7" s="2" t="str">
        <f>IFERROR(__xludf.DUMMYFUNCTION("""COMPUTED_VALUE"""),"")</f>
        <v/>
      </c>
      <c r="AW7" s="1">
        <f>IFERROR(__xludf.DUMMYFUNCTION("""COMPUTED_VALUE"""),0.0)</f>
        <v>0</v>
      </c>
      <c r="AX7" s="1">
        <f>IFERROR(__xludf.DUMMYFUNCTION("""COMPUTED_VALUE"""),0.0)</f>
        <v>0</v>
      </c>
      <c r="AY7" s="2" t="str">
        <f>IFERROR(__xludf.DUMMYFUNCTION("""COMPUTED_VALUE"""),"")</f>
        <v/>
      </c>
      <c r="AZ7" s="1">
        <f>IFERROR(__xludf.DUMMYFUNCTION("""COMPUTED_VALUE"""),0.0)</f>
        <v>0</v>
      </c>
      <c r="BA7" s="1">
        <f>IFERROR(__xludf.DUMMYFUNCTION("""COMPUTED_VALUE"""),0.0)</f>
        <v>0</v>
      </c>
      <c r="BB7" s="2" t="str">
        <f>IFERROR(__xludf.DUMMYFUNCTION("""COMPUTED_VALUE"""),"")</f>
        <v/>
      </c>
    </row>
    <row r="8">
      <c r="A8" s="1" t="str">
        <f>IFERROR(__xludf.DUMMYFUNCTION("""COMPUTED_VALUE"""),"6299fef42acbb9510b5e178a")</f>
        <v>6299fef42acbb9510b5e178a</v>
      </c>
      <c r="B8" s="1" t="str">
        <f>IFERROR(__xludf.DUMMYFUNCTION("""COMPUTED_VALUE"""),"abl social federation GmbH")</f>
        <v>abl social federation GmbH</v>
      </c>
      <c r="C8" s="1" t="str">
        <f>IFERROR(__xludf.DUMMYFUNCTION("""COMPUTED_VALUE"""),"olivier.ravel@al-enterprise.com, rui.silva@al-enterprise.com, thomas.ullmann@al-enterprise.com, andreas.grossheimann@al-enterprise.com, katrin.pfeiffer@al-enterprise.com, sibylle.klopfer@al-enterprise.com, igor.leko@al-enterprise.com, daniel.scheidl@al-en"&amp;"terprise.com, hakan.adiguezel@al-enterprise.com")</f>
        <v>olivier.ravel@al-enterprise.com, rui.silva@al-enterprise.com, thomas.ullmann@al-enterprise.com, andreas.grossheimann@al-enterprise.com, katrin.pfeiffer@al-enterprise.com, sibylle.klopfer@al-enterprise.com, igor.leko@al-enterprise.com, daniel.scheidl@al-enterprise.com, hakan.adiguezel@al-enterprise.com</v>
      </c>
      <c r="D8" s="1" t="str">
        <f>IFERROR(__xludf.DUMMYFUNCTION("""COMPUTED_VALUE"""),"germany")</f>
        <v>germany</v>
      </c>
      <c r="E8" s="1" t="str">
        <f>IFERROR(__xludf.DUMMYFUNCTION("""COMPUTED_VALUE"""),"DE")</f>
        <v>DE</v>
      </c>
      <c r="F8" s="1" t="str">
        <f>IFERROR(__xludf.DUMMYFUNCTION("""COMPUTED_VALUE"""),"expert_200")</f>
        <v>expert_200</v>
      </c>
      <c r="G8" s="1">
        <f>IFERROR(__xludf.DUMMYFUNCTION("""COMPUTED_VALUE"""),0.0)</f>
        <v>0</v>
      </c>
      <c r="H8" s="1">
        <f>IFERROR(__xludf.DUMMYFUNCTION("""COMPUTED_VALUE"""),1.0)</f>
        <v>1</v>
      </c>
      <c r="I8" s="2">
        <f>IFERROR(__xludf.DUMMYFUNCTION("""COMPUTED_VALUE"""),0.0)</f>
        <v>0</v>
      </c>
      <c r="J8" s="1">
        <f>IFERROR(__xludf.DUMMYFUNCTION("""COMPUTED_VALUE"""),0.0)</f>
        <v>0</v>
      </c>
      <c r="K8" s="1">
        <f>IFERROR(__xludf.DUMMYFUNCTION("""COMPUTED_VALUE"""),0.0)</f>
        <v>0</v>
      </c>
      <c r="L8" s="2" t="str">
        <f>IFERROR(__xludf.DUMMYFUNCTION("""COMPUTED_VALUE"""),"")</f>
        <v/>
      </c>
      <c r="M8" s="1">
        <f>IFERROR(__xludf.DUMMYFUNCTION("""COMPUTED_VALUE"""),6.0)</f>
        <v>6</v>
      </c>
      <c r="N8" s="1">
        <f>IFERROR(__xludf.DUMMYFUNCTION("""COMPUTED_VALUE"""),0.0)</f>
        <v>0</v>
      </c>
      <c r="O8" s="2" t="str">
        <f>IFERROR(__xludf.DUMMYFUNCTION("""COMPUTED_VALUE"""),"")</f>
        <v/>
      </c>
      <c r="P8" s="1">
        <f>IFERROR(__xludf.DUMMYFUNCTION("""COMPUTED_VALUE"""),0.0)</f>
        <v>0</v>
      </c>
      <c r="Q8" s="1">
        <f>IFERROR(__xludf.DUMMYFUNCTION("""COMPUTED_VALUE"""),1.0)</f>
        <v>1</v>
      </c>
      <c r="R8" s="2">
        <f>IFERROR(__xludf.DUMMYFUNCTION("""COMPUTED_VALUE"""),0.0)</f>
        <v>0</v>
      </c>
      <c r="S8" s="1">
        <f>IFERROR(__xludf.DUMMYFUNCTION("""COMPUTED_VALUE"""),1.0)</f>
        <v>1</v>
      </c>
      <c r="T8" s="1">
        <f>IFERROR(__xludf.DUMMYFUNCTION("""COMPUTED_VALUE"""),1.0)</f>
        <v>1</v>
      </c>
      <c r="U8" s="2">
        <f>IFERROR(__xludf.DUMMYFUNCTION("""COMPUTED_VALUE"""),1.0)</f>
        <v>1</v>
      </c>
      <c r="V8" s="1">
        <f>IFERROR(__xludf.DUMMYFUNCTION("""COMPUTED_VALUE"""),0.0)</f>
        <v>0</v>
      </c>
      <c r="W8" s="1">
        <f>IFERROR(__xludf.DUMMYFUNCTION("""COMPUTED_VALUE"""),1.0)</f>
        <v>1</v>
      </c>
      <c r="X8" s="2">
        <f>IFERROR(__xludf.DUMMYFUNCTION("""COMPUTED_VALUE"""),0.0)</f>
        <v>0</v>
      </c>
      <c r="Y8" s="1">
        <f>IFERROR(__xludf.DUMMYFUNCTION("""COMPUTED_VALUE"""),0.0)</f>
        <v>0</v>
      </c>
      <c r="Z8" s="1">
        <f>IFERROR(__xludf.DUMMYFUNCTION("""COMPUTED_VALUE"""),0.0)</f>
        <v>0</v>
      </c>
      <c r="AA8" s="2" t="str">
        <f>IFERROR(__xludf.DUMMYFUNCTION("""COMPUTED_VALUE"""),"")</f>
        <v/>
      </c>
      <c r="AB8" s="1">
        <f>IFERROR(__xludf.DUMMYFUNCTION("""COMPUTED_VALUE"""),0.0)</f>
        <v>0</v>
      </c>
      <c r="AC8" s="1">
        <f>IFERROR(__xludf.DUMMYFUNCTION("""COMPUTED_VALUE"""),0.0)</f>
        <v>0</v>
      </c>
      <c r="AD8" s="2" t="str">
        <f>IFERROR(__xludf.DUMMYFUNCTION("""COMPUTED_VALUE"""),"")</f>
        <v/>
      </c>
      <c r="AE8" s="1">
        <f>IFERROR(__xludf.DUMMYFUNCTION("""COMPUTED_VALUE"""),0.0)</f>
        <v>0</v>
      </c>
      <c r="AF8" s="1">
        <f>IFERROR(__xludf.DUMMYFUNCTION("""COMPUTED_VALUE"""),0.0)</f>
        <v>0</v>
      </c>
      <c r="AG8" s="2" t="str">
        <f>IFERROR(__xludf.DUMMYFUNCTION("""COMPUTED_VALUE"""),"")</f>
        <v/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2" t="str">
        <f>IFERROR(__xludf.DUMMYFUNCTION("""COMPUTED_VALUE"""),"")</f>
        <v/>
      </c>
      <c r="AK8" s="1">
        <f>IFERROR(__xludf.DUMMYFUNCTION("""COMPUTED_VALUE"""),0.0)</f>
        <v>0</v>
      </c>
      <c r="AL8" s="1">
        <f>IFERROR(__xludf.DUMMYFUNCTION("""COMPUTED_VALUE"""),0.0)</f>
        <v>0</v>
      </c>
      <c r="AM8" s="2" t="str">
        <f>IFERROR(__xludf.DUMMYFUNCTION("""COMPUTED_VALUE"""),"")</f>
        <v/>
      </c>
      <c r="AN8" s="1">
        <f>IFERROR(__xludf.DUMMYFUNCTION("""COMPUTED_VALUE"""),0.0)</f>
        <v>0</v>
      </c>
      <c r="AO8" s="1">
        <f>IFERROR(__xludf.DUMMYFUNCTION("""COMPUTED_VALUE"""),0.0)</f>
        <v>0</v>
      </c>
      <c r="AP8" s="2" t="str">
        <f>IFERROR(__xludf.DUMMYFUNCTION("""COMPUTED_VALUE"""),"")</f>
        <v/>
      </c>
      <c r="AQ8" s="1">
        <f>IFERROR(__xludf.DUMMYFUNCTION("""COMPUTED_VALUE"""),0.0)</f>
        <v>0</v>
      </c>
      <c r="AR8" s="1">
        <f>IFERROR(__xludf.DUMMYFUNCTION("""COMPUTED_VALUE"""),0.0)</f>
        <v>0</v>
      </c>
      <c r="AS8" s="2" t="str">
        <f>IFERROR(__xludf.DUMMYFUNCTION("""COMPUTED_VALUE"""),"")</f>
        <v/>
      </c>
      <c r="AT8" s="1">
        <f>IFERROR(__xludf.DUMMYFUNCTION("""COMPUTED_VALUE"""),0.0)</f>
        <v>0</v>
      </c>
      <c r="AU8" s="1">
        <f>IFERROR(__xludf.DUMMYFUNCTION("""COMPUTED_VALUE"""),0.0)</f>
        <v>0</v>
      </c>
      <c r="AV8" s="2" t="str">
        <f>IFERROR(__xludf.DUMMYFUNCTION("""COMPUTED_VALUE"""),"")</f>
        <v/>
      </c>
      <c r="AW8" s="1">
        <f>IFERROR(__xludf.DUMMYFUNCTION("""COMPUTED_VALUE"""),0.0)</f>
        <v>0</v>
      </c>
      <c r="AX8" s="1">
        <f>IFERROR(__xludf.DUMMYFUNCTION("""COMPUTED_VALUE"""),0.0)</f>
        <v>0</v>
      </c>
      <c r="AY8" s="2" t="str">
        <f>IFERROR(__xludf.DUMMYFUNCTION("""COMPUTED_VALUE"""),"")</f>
        <v/>
      </c>
      <c r="AZ8" s="1">
        <f>IFERROR(__xludf.DUMMYFUNCTION("""COMPUTED_VALUE"""),0.0)</f>
        <v>0</v>
      </c>
      <c r="BA8" s="1">
        <f>IFERROR(__xludf.DUMMYFUNCTION("""COMPUTED_VALUE"""),0.0)</f>
        <v>0</v>
      </c>
      <c r="BB8" s="2" t="str">
        <f>IFERROR(__xludf.DUMMYFUNCTION("""COMPUTED_VALUE"""),"")</f>
        <v/>
      </c>
    </row>
    <row r="9">
      <c r="A9" s="1" t="str">
        <f>IFERROR(__xludf.DUMMYFUNCTION("""COMPUTED_VALUE"""),"63ef9d5f384f27260c1bb00d")</f>
        <v>63ef9d5f384f27260c1bb00d</v>
      </c>
      <c r="B9" s="1" t="str">
        <f>IFERROR(__xludf.DUMMYFUNCTION("""COMPUTED_VALUE"""),"ACUNTIA, S.A.")</f>
        <v>ACUNTIA, S.A.</v>
      </c>
      <c r="C9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9" s="1" t="str">
        <f>IFERROR(__xludf.DUMMYFUNCTION("""COMPUTED_VALUE"""),"emea")</f>
        <v>emea</v>
      </c>
      <c r="E9" s="1" t="str">
        <f>IFERROR(__xludf.DUMMYFUNCTION("""COMPUTED_VALUE"""),"ES")</f>
        <v>ES</v>
      </c>
      <c r="F9" s="1" t="str">
        <f>IFERROR(__xludf.DUMMYFUNCTION("""COMPUTED_VALUE"""),"expert_200")</f>
        <v>expert_200</v>
      </c>
      <c r="G9" s="1">
        <f>IFERROR(__xludf.DUMMYFUNCTION("""COMPUTED_VALUE"""),1.0)</f>
        <v>1</v>
      </c>
      <c r="H9" s="1">
        <f>IFERROR(__xludf.DUMMYFUNCTION("""COMPUTED_VALUE"""),1.0)</f>
        <v>1</v>
      </c>
      <c r="I9" s="2">
        <f>IFERROR(__xludf.DUMMYFUNCTION("""COMPUTED_VALUE"""),1.0)</f>
        <v>1</v>
      </c>
      <c r="J9" s="1">
        <f>IFERROR(__xludf.DUMMYFUNCTION("""COMPUTED_VALUE"""),72.79)</f>
        <v>72.79</v>
      </c>
      <c r="K9" s="1">
        <f>IFERROR(__xludf.DUMMYFUNCTION("""COMPUTED_VALUE"""),500.0)</f>
        <v>500</v>
      </c>
      <c r="L9" s="2">
        <f>IFERROR(__xludf.DUMMYFUNCTION("""COMPUTED_VALUE"""),0.14558000000000001)</f>
        <v>0.14558</v>
      </c>
      <c r="M9" s="1">
        <f>IFERROR(__xludf.DUMMYFUNCTION("""COMPUTED_VALUE"""),19.0)</f>
        <v>19</v>
      </c>
      <c r="N9" s="1">
        <f>IFERROR(__xludf.DUMMYFUNCTION("""COMPUTED_VALUE"""),52.0)</f>
        <v>52</v>
      </c>
      <c r="O9" s="2">
        <f>IFERROR(__xludf.DUMMYFUNCTION("""COMPUTED_VALUE"""),0.36538461538461536)</f>
        <v>0.3653846154</v>
      </c>
      <c r="P9" s="1">
        <f>IFERROR(__xludf.DUMMYFUNCTION("""COMPUTED_VALUE"""),0.0)</f>
        <v>0</v>
      </c>
      <c r="Q9" s="1">
        <f>IFERROR(__xludf.DUMMYFUNCTION("""COMPUTED_VALUE"""),1.0)</f>
        <v>1</v>
      </c>
      <c r="R9" s="2">
        <f>IFERROR(__xludf.DUMMYFUNCTION("""COMPUTED_VALUE"""),0.0)</f>
        <v>0</v>
      </c>
      <c r="S9" s="1">
        <f>IFERROR(__xludf.DUMMYFUNCTION("""COMPUTED_VALUE"""),1.0)</f>
        <v>1</v>
      </c>
      <c r="T9" s="1">
        <f>IFERROR(__xludf.DUMMYFUNCTION("""COMPUTED_VALUE"""),1.0)</f>
        <v>1</v>
      </c>
      <c r="U9" s="2">
        <f>IFERROR(__xludf.DUMMYFUNCTION("""COMPUTED_VALUE"""),1.0)</f>
        <v>1</v>
      </c>
      <c r="V9" s="1">
        <f>IFERROR(__xludf.DUMMYFUNCTION("""COMPUTED_VALUE"""),0.0)</f>
        <v>0</v>
      </c>
      <c r="W9" s="1">
        <f>IFERROR(__xludf.DUMMYFUNCTION("""COMPUTED_VALUE"""),1.0)</f>
        <v>1</v>
      </c>
      <c r="X9" s="2">
        <f>IFERROR(__xludf.DUMMYFUNCTION("""COMPUTED_VALUE"""),0.0)</f>
        <v>0</v>
      </c>
      <c r="Y9" s="1">
        <f>IFERROR(__xludf.DUMMYFUNCTION("""COMPUTED_VALUE"""),0.0)</f>
        <v>0</v>
      </c>
      <c r="Z9" s="1">
        <f>IFERROR(__xludf.DUMMYFUNCTION("""COMPUTED_VALUE"""),0.0)</f>
        <v>0</v>
      </c>
      <c r="AA9" s="2" t="str">
        <f>IFERROR(__xludf.DUMMYFUNCTION("""COMPUTED_VALUE"""),"")</f>
        <v/>
      </c>
      <c r="AB9" s="1">
        <f>IFERROR(__xludf.DUMMYFUNCTION("""COMPUTED_VALUE"""),230.0)</f>
        <v>230</v>
      </c>
      <c r="AC9" s="1">
        <f>IFERROR(__xludf.DUMMYFUNCTION("""COMPUTED_VALUE"""),357.14)</f>
        <v>357.14</v>
      </c>
      <c r="AD9" s="2">
        <f>IFERROR(__xludf.DUMMYFUNCTION("""COMPUTED_VALUE"""),0.6440051520412163)</f>
        <v>0.644005152</v>
      </c>
      <c r="AE9" s="1">
        <f>IFERROR(__xludf.DUMMYFUNCTION("""COMPUTED_VALUE"""),85.0)</f>
        <v>85</v>
      </c>
      <c r="AF9" s="1">
        <f>IFERROR(__xludf.DUMMYFUNCTION("""COMPUTED_VALUE"""),357.14)</f>
        <v>357.14</v>
      </c>
      <c r="AG9" s="2">
        <f>IFERROR(__xludf.DUMMYFUNCTION("""COMPUTED_VALUE"""),0.23800190401523214)</f>
        <v>0.238001904</v>
      </c>
      <c r="AH9" s="1">
        <f>IFERROR(__xludf.DUMMYFUNCTION("""COMPUTED_VALUE"""),400.0)</f>
        <v>400</v>
      </c>
      <c r="AI9" s="1">
        <f>IFERROR(__xludf.DUMMYFUNCTION("""COMPUTED_VALUE"""),357.14)</f>
        <v>357.14</v>
      </c>
      <c r="AJ9" s="2">
        <f>IFERROR(__xludf.DUMMYFUNCTION("""COMPUTED_VALUE"""),1.1200089600716807)</f>
        <v>1.12000896</v>
      </c>
      <c r="AK9" s="1">
        <f>IFERROR(__xludf.DUMMYFUNCTION("""COMPUTED_VALUE"""),715.0)</f>
        <v>715</v>
      </c>
      <c r="AL9" s="1">
        <f>IFERROR(__xludf.DUMMYFUNCTION("""COMPUTED_VALUE"""),1071.42)</f>
        <v>1071.42</v>
      </c>
      <c r="AM9" s="2">
        <f>IFERROR(__xludf.DUMMYFUNCTION("""COMPUTED_VALUE"""),0.6673386720427096)</f>
        <v>0.667338672</v>
      </c>
      <c r="AN9" s="1">
        <f>IFERROR(__xludf.DUMMYFUNCTION("""COMPUTED_VALUE"""),780.0)</f>
        <v>780</v>
      </c>
      <c r="AO9" s="1">
        <f>IFERROR(__xludf.DUMMYFUNCTION("""COMPUTED_VALUE"""),0.0)</f>
        <v>0</v>
      </c>
      <c r="AP9" s="2" t="str">
        <f>IFERROR(__xludf.DUMMYFUNCTION("""COMPUTED_VALUE"""),"")</f>
        <v/>
      </c>
      <c r="AQ9" s="1">
        <f>IFERROR(__xludf.DUMMYFUNCTION("""COMPUTED_VALUE"""),900.0)</f>
        <v>900</v>
      </c>
      <c r="AR9" s="1">
        <f>IFERROR(__xludf.DUMMYFUNCTION("""COMPUTED_VALUE"""),0.0)</f>
        <v>0</v>
      </c>
      <c r="AS9" s="2" t="str">
        <f>IFERROR(__xludf.DUMMYFUNCTION("""COMPUTED_VALUE"""),"")</f>
        <v/>
      </c>
      <c r="AT9" s="1">
        <f>IFERROR(__xludf.DUMMYFUNCTION("""COMPUTED_VALUE"""),0.0)</f>
        <v>0</v>
      </c>
      <c r="AU9" s="1">
        <f>IFERROR(__xludf.DUMMYFUNCTION("""COMPUTED_VALUE"""),0.0)</f>
        <v>0</v>
      </c>
      <c r="AV9" s="2" t="str">
        <f>IFERROR(__xludf.DUMMYFUNCTION("""COMPUTED_VALUE"""),"")</f>
        <v/>
      </c>
      <c r="AW9" s="1">
        <f>IFERROR(__xludf.DUMMYFUNCTION("""COMPUTED_VALUE"""),0.0)</f>
        <v>0</v>
      </c>
      <c r="AX9" s="1">
        <f>IFERROR(__xludf.DUMMYFUNCTION("""COMPUTED_VALUE"""),0.0)</f>
        <v>0</v>
      </c>
      <c r="AY9" s="2" t="str">
        <f>IFERROR(__xludf.DUMMYFUNCTION("""COMPUTED_VALUE"""),"")</f>
        <v/>
      </c>
      <c r="AZ9" s="1">
        <f>IFERROR(__xludf.DUMMYFUNCTION("""COMPUTED_VALUE"""),1680.0)</f>
        <v>1680</v>
      </c>
      <c r="BA9" s="1">
        <f>IFERROR(__xludf.DUMMYFUNCTION("""COMPUTED_VALUE"""),0.0)</f>
        <v>0</v>
      </c>
      <c r="BB9" s="2" t="str">
        <f>IFERROR(__xludf.DUMMYFUNCTION("""COMPUTED_VALUE"""),"")</f>
        <v/>
      </c>
    </row>
    <row r="10">
      <c r="A10" s="1" t="str">
        <f>IFERROR(__xludf.DUMMYFUNCTION("""COMPUTED_VALUE"""),"63ced84dc5c820531c2696bc")</f>
        <v>63ced84dc5c820531c2696bc</v>
      </c>
      <c r="B10" s="1" t="str">
        <f>IFERROR(__xludf.DUMMYFUNCTION("""COMPUTED_VALUE"""),"ADVANCE 2000, Inc.")</f>
        <v>ADVANCE 2000, Inc.</v>
      </c>
      <c r="C10" s="1" t="str">
        <f>IFERROR(__xludf.DUMMYFUNCTION("""COMPUTED_VALUE"""),"brendan.flaherty@al-enterprise.com, michael-j.francis@al-enterprise.com, Steve.roos@al-enterprise.com")</f>
        <v>brendan.flaherty@al-enterprise.com, michael-j.francis@al-enterprise.com, Steve.roos@al-enterprise.com</v>
      </c>
      <c r="D10" s="1" t="str">
        <f>IFERROR(__xludf.DUMMYFUNCTION("""COMPUTED_VALUE"""),"americas")</f>
        <v>americas</v>
      </c>
      <c r="E10" s="1" t="str">
        <f>IFERROR(__xludf.DUMMYFUNCTION("""COMPUTED_VALUE"""),"US")</f>
        <v>US</v>
      </c>
      <c r="F10" s="1" t="str">
        <f>IFERROR(__xludf.DUMMYFUNCTION("""COMPUTED_VALUE"""),"expert_200")</f>
        <v>expert_200</v>
      </c>
      <c r="G10" s="1">
        <f>IFERROR(__xludf.DUMMYFUNCTION("""COMPUTED_VALUE"""),0.0)</f>
        <v>0</v>
      </c>
      <c r="H10" s="1">
        <f>IFERROR(__xludf.DUMMYFUNCTION("""COMPUTED_VALUE"""),1.0)</f>
        <v>1</v>
      </c>
      <c r="I10" s="2">
        <f>IFERROR(__xludf.DUMMYFUNCTION("""COMPUTED_VALUE"""),0.0)</f>
        <v>0</v>
      </c>
      <c r="J10" s="1">
        <f>IFERROR(__xludf.DUMMYFUNCTION("""COMPUTED_VALUE"""),270.47)</f>
        <v>270.47</v>
      </c>
      <c r="K10" s="1">
        <f>IFERROR(__xludf.DUMMYFUNCTION("""COMPUTED_VALUE"""),897.99)</f>
        <v>897.99</v>
      </c>
      <c r="L10" s="2">
        <f>IFERROR(__xludf.DUMMYFUNCTION("""COMPUTED_VALUE"""),0.3011948908117017)</f>
        <v>0.3011948908</v>
      </c>
      <c r="M10" s="1">
        <f>IFERROR(__xludf.DUMMYFUNCTION("""COMPUTED_VALUE"""),20.0)</f>
        <v>20</v>
      </c>
      <c r="N10" s="1">
        <f>IFERROR(__xludf.DUMMYFUNCTION("""COMPUTED_VALUE"""),0.0)</f>
        <v>0</v>
      </c>
      <c r="O10" s="2" t="str">
        <f>IFERROR(__xludf.DUMMYFUNCTION("""COMPUTED_VALUE"""),"")</f>
        <v/>
      </c>
      <c r="P10" s="1">
        <f>IFERROR(__xludf.DUMMYFUNCTION("""COMPUTED_VALUE"""),0.0)</f>
        <v>0</v>
      </c>
      <c r="Q10" s="1">
        <f>IFERROR(__xludf.DUMMYFUNCTION("""COMPUTED_VALUE"""),1.0)</f>
        <v>1</v>
      </c>
      <c r="R10" s="2">
        <f>IFERROR(__xludf.DUMMYFUNCTION("""COMPUTED_VALUE"""),0.0)</f>
        <v>0</v>
      </c>
      <c r="S10" s="1">
        <f>IFERROR(__xludf.DUMMYFUNCTION("""COMPUTED_VALUE"""),0.0)</f>
        <v>0</v>
      </c>
      <c r="T10" s="1">
        <f>IFERROR(__xludf.DUMMYFUNCTION("""COMPUTED_VALUE"""),1.0)</f>
        <v>1</v>
      </c>
      <c r="U10" s="2">
        <f>IFERROR(__xludf.DUMMYFUNCTION("""COMPUTED_VALUE"""),0.0)</f>
        <v>0</v>
      </c>
      <c r="V10" s="1">
        <f>IFERROR(__xludf.DUMMYFUNCTION("""COMPUTED_VALUE"""),0.0)</f>
        <v>0</v>
      </c>
      <c r="W10" s="1">
        <f>IFERROR(__xludf.DUMMYFUNCTION("""COMPUTED_VALUE"""),1.0)</f>
        <v>1</v>
      </c>
      <c r="X10" s="2">
        <f>IFERROR(__xludf.DUMMYFUNCTION("""COMPUTED_VALUE"""),0.0)</f>
        <v>0</v>
      </c>
      <c r="Y10" s="1">
        <f>IFERROR(__xludf.DUMMYFUNCTION("""COMPUTED_VALUE"""),23.32)</f>
        <v>23.32</v>
      </c>
      <c r="Z10" s="1">
        <f>IFERROR(__xludf.DUMMYFUNCTION("""COMPUTED_VALUE"""),0.0)</f>
        <v>0</v>
      </c>
      <c r="AA10" s="2" t="str">
        <f>IFERROR(__xludf.DUMMYFUNCTION("""COMPUTED_VALUE"""),"")</f>
        <v/>
      </c>
      <c r="AB10" s="1">
        <f>IFERROR(__xludf.DUMMYFUNCTION("""COMPUTED_VALUE"""),6.87)</f>
        <v>6.87</v>
      </c>
      <c r="AC10" s="1">
        <f>IFERROR(__xludf.DUMMYFUNCTION("""COMPUTED_VALUE"""),279.68)</f>
        <v>279.68</v>
      </c>
      <c r="AD10" s="2">
        <f>IFERROR(__xludf.DUMMYFUNCTION("""COMPUTED_VALUE"""),0.02456378718535469)</f>
        <v>0.02456378719</v>
      </c>
      <c r="AE10" s="1">
        <f>IFERROR(__xludf.DUMMYFUNCTION("""COMPUTED_VALUE"""),80.05)</f>
        <v>80.05</v>
      </c>
      <c r="AF10" s="1">
        <f>IFERROR(__xludf.DUMMYFUNCTION("""COMPUTED_VALUE"""),421.86)</f>
        <v>421.86</v>
      </c>
      <c r="AG10" s="2">
        <f>IFERROR(__xludf.DUMMYFUNCTION("""COMPUTED_VALUE"""),0.18975489498885886)</f>
        <v>0.189754895</v>
      </c>
      <c r="AH10" s="1">
        <f>IFERROR(__xludf.DUMMYFUNCTION("""COMPUTED_VALUE"""),190.48)</f>
        <v>190.48</v>
      </c>
      <c r="AI10" s="1">
        <f>IFERROR(__xludf.DUMMYFUNCTION("""COMPUTED_VALUE"""),421.86)</f>
        <v>421.86</v>
      </c>
      <c r="AJ10" s="2">
        <f>IFERROR(__xludf.DUMMYFUNCTION("""COMPUTED_VALUE"""),0.4515242023420092)</f>
        <v>0.4515242023</v>
      </c>
      <c r="AK10" s="1">
        <f>IFERROR(__xludf.DUMMYFUNCTION("""COMPUTED_VALUE"""),300.71999999999997)</f>
        <v>300.72</v>
      </c>
      <c r="AL10" s="1">
        <f>IFERROR(__xludf.DUMMYFUNCTION("""COMPUTED_VALUE"""),1123.4)</f>
        <v>1123.4</v>
      </c>
      <c r="AM10" s="2">
        <f>IFERROR(__xludf.DUMMYFUNCTION("""COMPUTED_VALUE"""),0.267687377603703)</f>
        <v>0.2676873776</v>
      </c>
      <c r="AN10" s="1">
        <f>IFERROR(__xludf.DUMMYFUNCTION("""COMPUTED_VALUE"""),204.24)</f>
        <v>204.24</v>
      </c>
      <c r="AO10" s="1">
        <f>IFERROR(__xludf.DUMMYFUNCTION("""COMPUTED_VALUE"""),0.0)</f>
        <v>0</v>
      </c>
      <c r="AP10" s="2" t="str">
        <f>IFERROR(__xludf.DUMMYFUNCTION("""COMPUTED_VALUE"""),"")</f>
        <v/>
      </c>
      <c r="AQ10" s="1">
        <f>IFERROR(__xludf.DUMMYFUNCTION("""COMPUTED_VALUE"""),280.0)</f>
        <v>280</v>
      </c>
      <c r="AR10" s="1">
        <f>IFERROR(__xludf.DUMMYFUNCTION("""COMPUTED_VALUE"""),0.0)</f>
        <v>0</v>
      </c>
      <c r="AS10" s="2" t="str">
        <f>IFERROR(__xludf.DUMMYFUNCTION("""COMPUTED_VALUE"""),"")</f>
        <v/>
      </c>
      <c r="AT10" s="1">
        <f>IFERROR(__xludf.DUMMYFUNCTION("""COMPUTED_VALUE"""),4.51)</f>
        <v>4.51</v>
      </c>
      <c r="AU10" s="1">
        <f>IFERROR(__xludf.DUMMYFUNCTION("""COMPUTED_VALUE"""),0.0)</f>
        <v>0</v>
      </c>
      <c r="AV10" s="2" t="str">
        <f>IFERROR(__xludf.DUMMYFUNCTION("""COMPUTED_VALUE"""),"")</f>
        <v/>
      </c>
      <c r="AW10" s="1">
        <f>IFERROR(__xludf.DUMMYFUNCTION("""COMPUTED_VALUE"""),0.0)</f>
        <v>0</v>
      </c>
      <c r="AX10" s="1">
        <f>IFERROR(__xludf.DUMMYFUNCTION("""COMPUTED_VALUE"""),0.0)</f>
        <v>0</v>
      </c>
      <c r="AY10" s="2" t="str">
        <f>IFERROR(__xludf.DUMMYFUNCTION("""COMPUTED_VALUE"""),"")</f>
        <v/>
      </c>
      <c r="AZ10" s="1">
        <f>IFERROR(__xludf.DUMMYFUNCTION("""COMPUTED_VALUE"""),488.75)</f>
        <v>488.75</v>
      </c>
      <c r="BA10" s="1">
        <f>IFERROR(__xludf.DUMMYFUNCTION("""COMPUTED_VALUE"""),0.0)</f>
        <v>0</v>
      </c>
      <c r="BB10" s="2" t="str">
        <f>IFERROR(__xludf.DUMMYFUNCTION("""COMPUTED_VALUE"""),"")</f>
        <v/>
      </c>
    </row>
    <row r="11">
      <c r="A11" s="1" t="str">
        <f>IFERROR(__xludf.DUMMYFUNCTION("""COMPUTED_VALUE"""),"67eff15de0c0fe4c300b74f2")</f>
        <v>67eff15de0c0fe4c300b74f2</v>
      </c>
      <c r="B11" s="1" t="str">
        <f>IFERROR(__xludf.DUMMYFUNCTION("""COMPUTED_VALUE"""),"AGORA SOLUCOES EM TECNOLOGIA DA INFORMACAO E COMUNICACAO S.A(DF)")</f>
        <v>AGORA SOLUCOES EM TECNOLOGIA DA INFORMACAO E COMUNICACAO S.A(DF)</v>
      </c>
      <c r="C11" s="1" t="str">
        <f>IFERROR(__xludf.DUMMYFUNCTION("""COMPUTED_VALUE"""),"gabriel.pires@al-enterprise.com")</f>
        <v>gabriel.pires@al-enterprise.com</v>
      </c>
      <c r="D11" s="1" t="str">
        <f>IFERROR(__xludf.DUMMYFUNCTION("""COMPUTED_VALUE"""),"americas")</f>
        <v>americas</v>
      </c>
      <c r="E11" s="1" t="str">
        <f>IFERROR(__xludf.DUMMYFUNCTION("""COMPUTED_VALUE"""),"BR")</f>
        <v>BR</v>
      </c>
      <c r="F11" s="1" t="str">
        <f>IFERROR(__xludf.DUMMYFUNCTION("""COMPUTED_VALUE"""),"distributor_1000")</f>
        <v>distributor_1000</v>
      </c>
      <c r="G11" s="1">
        <f>IFERROR(__xludf.DUMMYFUNCTION("""COMPUTED_VALUE"""),1.0)</f>
        <v>1</v>
      </c>
      <c r="H11" s="1">
        <f>IFERROR(__xludf.DUMMYFUNCTION("""COMPUTED_VALUE"""),1.0)</f>
        <v>1</v>
      </c>
      <c r="I11" s="2">
        <f>IFERROR(__xludf.DUMMYFUNCTION("""COMPUTED_VALUE"""),1.0)</f>
        <v>1</v>
      </c>
      <c r="J11" s="1">
        <f>IFERROR(__xludf.DUMMYFUNCTION("""COMPUTED_VALUE"""),0.0)</f>
        <v>0</v>
      </c>
      <c r="K11" s="1">
        <f>IFERROR(__xludf.DUMMYFUNCTION("""COMPUTED_VALUE"""),2399.98)</f>
        <v>2399.98</v>
      </c>
      <c r="L11" s="2">
        <f>IFERROR(__xludf.DUMMYFUNCTION("""COMPUTED_VALUE"""),0.0)</f>
        <v>0</v>
      </c>
      <c r="M11" s="1">
        <f>IFERROR(__xludf.DUMMYFUNCTION("""COMPUTED_VALUE"""),0.0)</f>
        <v>0</v>
      </c>
      <c r="N11" s="1">
        <f>IFERROR(__xludf.DUMMYFUNCTION("""COMPUTED_VALUE"""),0.0)</f>
        <v>0</v>
      </c>
      <c r="O11" s="2" t="str">
        <f>IFERROR(__xludf.DUMMYFUNCTION("""COMPUTED_VALUE"""),"")</f>
        <v/>
      </c>
      <c r="P11" s="1">
        <f>IFERROR(__xludf.DUMMYFUNCTION("""COMPUTED_VALUE"""),0.0)</f>
        <v>0</v>
      </c>
      <c r="Q11" s="1">
        <f>IFERROR(__xludf.DUMMYFUNCTION("""COMPUTED_VALUE"""),1.0)</f>
        <v>1</v>
      </c>
      <c r="R11" s="2">
        <f>IFERROR(__xludf.DUMMYFUNCTION("""COMPUTED_VALUE"""),0.0)</f>
        <v>0</v>
      </c>
      <c r="S11" s="1">
        <f>IFERROR(__xludf.DUMMYFUNCTION("""COMPUTED_VALUE"""),0.0)</f>
        <v>0</v>
      </c>
      <c r="T11" s="1">
        <f>IFERROR(__xludf.DUMMYFUNCTION("""COMPUTED_VALUE"""),1.0)</f>
        <v>1</v>
      </c>
      <c r="U11" s="2">
        <f>IFERROR(__xludf.DUMMYFUNCTION("""COMPUTED_VALUE"""),0.0)</f>
        <v>0</v>
      </c>
      <c r="V11" s="1">
        <f>IFERROR(__xludf.DUMMYFUNCTION("""COMPUTED_VALUE"""),1.0)</f>
        <v>1</v>
      </c>
      <c r="W11" s="1">
        <f>IFERROR(__xludf.DUMMYFUNCTION("""COMPUTED_VALUE"""),1.0)</f>
        <v>1</v>
      </c>
      <c r="X11" s="2">
        <f>IFERROR(__xludf.DUMMYFUNCTION("""COMPUTED_VALUE"""),1.0)</f>
        <v>1</v>
      </c>
      <c r="Y11" s="1">
        <f>IFERROR(__xludf.DUMMYFUNCTION("""COMPUTED_VALUE"""),0.0)</f>
        <v>0</v>
      </c>
      <c r="Z11" s="1">
        <f>IFERROR(__xludf.DUMMYFUNCTION("""COMPUTED_VALUE"""),0.0)</f>
        <v>0</v>
      </c>
      <c r="AA11" s="2" t="str">
        <f>IFERROR(__xludf.DUMMYFUNCTION("""COMPUTED_VALUE"""),"")</f>
        <v/>
      </c>
      <c r="AB11" s="1">
        <f>IFERROR(__xludf.DUMMYFUNCTION("""COMPUTED_VALUE"""),440.0)</f>
        <v>440</v>
      </c>
      <c r="AC11" s="1">
        <f>IFERROR(__xludf.DUMMYFUNCTION("""COMPUTED_VALUE"""),733.31)</f>
        <v>733.31</v>
      </c>
      <c r="AD11" s="2">
        <f>IFERROR(__xludf.DUMMYFUNCTION("""COMPUTED_VALUE"""),0.6000190915165483)</f>
        <v>0.6000190915</v>
      </c>
      <c r="AE11" s="1">
        <f>IFERROR(__xludf.DUMMYFUNCTION("""COMPUTED_VALUE"""),440.0)</f>
        <v>440</v>
      </c>
      <c r="AF11" s="1">
        <f>IFERROR(__xludf.DUMMYFUNCTION("""COMPUTED_VALUE"""),2499.96)</f>
        <v>2499.96</v>
      </c>
      <c r="AG11" s="2">
        <f>IFERROR(__xludf.DUMMYFUNCTION("""COMPUTED_VALUE"""),0.17600281604505671)</f>
        <v>0.176002816</v>
      </c>
      <c r="AH11" s="1">
        <f>IFERROR(__xludf.DUMMYFUNCTION("""COMPUTED_VALUE"""),1339.99)</f>
        <v>1339.99</v>
      </c>
      <c r="AI11" s="1">
        <f>IFERROR(__xludf.DUMMYFUNCTION("""COMPUTED_VALUE"""),4033.28)</f>
        <v>4033.28</v>
      </c>
      <c r="AJ11" s="2">
        <f>IFERROR(__xludf.DUMMYFUNCTION("""COMPUTED_VALUE"""),0.3322333187876864)</f>
        <v>0.3322333188</v>
      </c>
      <c r="AK11" s="1">
        <f>IFERROR(__xludf.DUMMYFUNCTION("""COMPUTED_VALUE"""),2219.99)</f>
        <v>2219.99</v>
      </c>
      <c r="AL11" s="1">
        <f>IFERROR(__xludf.DUMMYFUNCTION("""COMPUTED_VALUE"""),7266.55)</f>
        <v>7266.55</v>
      </c>
      <c r="AM11" s="2">
        <f>IFERROR(__xludf.DUMMYFUNCTION("""COMPUTED_VALUE"""),0.3055081159559901)</f>
        <v>0.305508116</v>
      </c>
      <c r="AN11" s="1">
        <f>IFERROR(__xludf.DUMMYFUNCTION("""COMPUTED_VALUE"""),0.0)</f>
        <v>0</v>
      </c>
      <c r="AO11" s="1">
        <f>IFERROR(__xludf.DUMMYFUNCTION("""COMPUTED_VALUE"""),0.0)</f>
        <v>0</v>
      </c>
      <c r="AP11" s="2" t="str">
        <f>IFERROR(__xludf.DUMMYFUNCTION("""COMPUTED_VALUE"""),"")</f>
        <v/>
      </c>
      <c r="AQ11" s="1">
        <f>IFERROR(__xludf.DUMMYFUNCTION("""COMPUTED_VALUE"""),0.0)</f>
        <v>0</v>
      </c>
      <c r="AR11" s="1">
        <f>IFERROR(__xludf.DUMMYFUNCTION("""COMPUTED_VALUE"""),0.0)</f>
        <v>0</v>
      </c>
      <c r="AS11" s="2" t="str">
        <f>IFERROR(__xludf.DUMMYFUNCTION("""COMPUTED_VALUE"""),"")</f>
        <v/>
      </c>
      <c r="AT11" s="1">
        <f>IFERROR(__xludf.DUMMYFUNCTION("""COMPUTED_VALUE"""),0.0)</f>
        <v>0</v>
      </c>
      <c r="AU11" s="1">
        <f>IFERROR(__xludf.DUMMYFUNCTION("""COMPUTED_VALUE"""),0.0)</f>
        <v>0</v>
      </c>
      <c r="AV11" s="2" t="str">
        <f>IFERROR(__xludf.DUMMYFUNCTION("""COMPUTED_VALUE"""),"")</f>
        <v/>
      </c>
      <c r="AW11" s="1">
        <f>IFERROR(__xludf.DUMMYFUNCTION("""COMPUTED_VALUE"""),0.0)</f>
        <v>0</v>
      </c>
      <c r="AX11" s="1">
        <f>IFERROR(__xludf.DUMMYFUNCTION("""COMPUTED_VALUE"""),0.0)</f>
        <v>0</v>
      </c>
      <c r="AY11" s="2" t="str">
        <f>IFERROR(__xludf.DUMMYFUNCTION("""COMPUTED_VALUE"""),"")</f>
        <v/>
      </c>
      <c r="AZ11" s="1">
        <f>IFERROR(__xludf.DUMMYFUNCTION("""COMPUTED_VALUE"""),0.0)</f>
        <v>0</v>
      </c>
      <c r="BA11" s="1">
        <f>IFERROR(__xludf.DUMMYFUNCTION("""COMPUTED_VALUE"""),0.0)</f>
        <v>0</v>
      </c>
      <c r="BB11" s="2" t="str">
        <f>IFERROR(__xludf.DUMMYFUNCTION("""COMPUTED_VALUE"""),"")</f>
        <v/>
      </c>
    </row>
    <row r="12">
      <c r="A12" s="1" t="str">
        <f>IFERROR(__xludf.DUMMYFUNCTION("""COMPUTED_VALUE"""),"63ced845c5c820531c268663")</f>
        <v>63ced845c5c820531c268663</v>
      </c>
      <c r="B12" s="1" t="str">
        <f>IFERROR(__xludf.DUMMYFUNCTION("""COMPUTED_VALUE"""),"ALBETA GmbH")</f>
        <v>ALBETA GmbH</v>
      </c>
      <c r="C12" s="1" t="str">
        <f>IFERROR(__xludf.DUMMYFUNCTION("""COMPUTED_VALUE"""),"katrin.pfeiffer@al-enterprise.com, krystian.sokalski@al-enterprise.com, alena.charnaokaya@al-enterprise.com, sibylle.klopfer@al-enterprise.com, igor.leko@al-enterprise.com")</f>
        <v>katrin.pfeiffer@al-enterprise.com, krystian.sokalski@al-enterprise.com, alena.charnaokaya@al-enterprise.com, sibylle.klopfer@al-enterprise.com, igor.leko@al-enterprise.com</v>
      </c>
      <c r="D12" s="1" t="str">
        <f>IFERROR(__xludf.DUMMYFUNCTION("""COMPUTED_VALUE"""),"germany")</f>
        <v>germany</v>
      </c>
      <c r="E12" s="1" t="str">
        <f>IFERROR(__xludf.DUMMYFUNCTION("""COMPUTED_VALUE"""),"DE")</f>
        <v>DE</v>
      </c>
      <c r="F12" s="1" t="str">
        <f>IFERROR(__xludf.DUMMYFUNCTION("""COMPUTED_VALUE"""),"expert_1000")</f>
        <v>expert_1000</v>
      </c>
      <c r="G12" s="1">
        <f>IFERROR(__xludf.DUMMYFUNCTION("""COMPUTED_VALUE"""),1.0)</f>
        <v>1</v>
      </c>
      <c r="H12" s="1">
        <f>IFERROR(__xludf.DUMMYFUNCTION("""COMPUTED_VALUE"""),1.0)</f>
        <v>1</v>
      </c>
      <c r="I12" s="2">
        <f>IFERROR(__xludf.DUMMYFUNCTION("""COMPUTED_VALUE"""),1.0)</f>
        <v>1</v>
      </c>
      <c r="J12" s="1">
        <f>IFERROR(__xludf.DUMMYFUNCTION("""COMPUTED_VALUE"""),100.36)</f>
        <v>100.36</v>
      </c>
      <c r="K12" s="1">
        <f>IFERROR(__xludf.DUMMYFUNCTION("""COMPUTED_VALUE"""),1145.99)</f>
        <v>1145.99</v>
      </c>
      <c r="L12" s="2">
        <f>IFERROR(__xludf.DUMMYFUNCTION("""COMPUTED_VALUE"""),0.08757493520885871)</f>
        <v>0.08757493521</v>
      </c>
      <c r="M12" s="1">
        <f>IFERROR(__xludf.DUMMYFUNCTION("""COMPUTED_VALUE"""),29.0)</f>
        <v>29</v>
      </c>
      <c r="N12" s="1">
        <f>IFERROR(__xludf.DUMMYFUNCTION("""COMPUTED_VALUE"""),52.0)</f>
        <v>52</v>
      </c>
      <c r="O12" s="2">
        <f>IFERROR(__xludf.DUMMYFUNCTION("""COMPUTED_VALUE"""),0.5576923076923077)</f>
        <v>0.5576923077</v>
      </c>
      <c r="P12" s="1">
        <f>IFERROR(__xludf.DUMMYFUNCTION("""COMPUTED_VALUE"""),1.0)</f>
        <v>1</v>
      </c>
      <c r="Q12" s="1">
        <f>IFERROR(__xludf.DUMMYFUNCTION("""COMPUTED_VALUE"""),1.0)</f>
        <v>1</v>
      </c>
      <c r="R12" s="2">
        <f>IFERROR(__xludf.DUMMYFUNCTION("""COMPUTED_VALUE"""),1.0)</f>
        <v>1</v>
      </c>
      <c r="S12" s="1">
        <f>IFERROR(__xludf.DUMMYFUNCTION("""COMPUTED_VALUE"""),0.0)</f>
        <v>0</v>
      </c>
      <c r="T12" s="1">
        <f>IFERROR(__xludf.DUMMYFUNCTION("""COMPUTED_VALUE"""),1.0)</f>
        <v>1</v>
      </c>
      <c r="U12" s="2">
        <f>IFERROR(__xludf.DUMMYFUNCTION("""COMPUTED_VALUE"""),0.0)</f>
        <v>0</v>
      </c>
      <c r="V12" s="1">
        <f>IFERROR(__xludf.DUMMYFUNCTION("""COMPUTED_VALUE"""),0.0)</f>
        <v>0</v>
      </c>
      <c r="W12" s="1">
        <f>IFERROR(__xludf.DUMMYFUNCTION("""COMPUTED_VALUE"""),1.0)</f>
        <v>1</v>
      </c>
      <c r="X12" s="2">
        <f>IFERROR(__xludf.DUMMYFUNCTION("""COMPUTED_VALUE"""),0.0)</f>
        <v>0</v>
      </c>
      <c r="Y12" s="1">
        <f>IFERROR(__xludf.DUMMYFUNCTION("""COMPUTED_VALUE"""),5.58)</f>
        <v>5.58</v>
      </c>
      <c r="Z12" s="1">
        <f>IFERROR(__xludf.DUMMYFUNCTION("""COMPUTED_VALUE"""),0.0)</f>
        <v>0</v>
      </c>
      <c r="AA12" s="2" t="str">
        <f>IFERROR(__xludf.DUMMYFUNCTION("""COMPUTED_VALUE"""),"")</f>
        <v/>
      </c>
      <c r="AB12" s="1">
        <f>IFERROR(__xludf.DUMMYFUNCTION("""COMPUTED_VALUE"""),2.77)</f>
        <v>2.77</v>
      </c>
      <c r="AC12" s="1">
        <f>IFERROR(__xludf.DUMMYFUNCTION("""COMPUTED_VALUE"""),177.95)</f>
        <v>177.95</v>
      </c>
      <c r="AD12" s="2">
        <f>IFERROR(__xludf.DUMMYFUNCTION("""COMPUTED_VALUE"""),0.01556617027254847)</f>
        <v>0.01556617027</v>
      </c>
      <c r="AE12" s="1">
        <f>IFERROR(__xludf.DUMMYFUNCTION("""COMPUTED_VALUE"""),527.96)</f>
        <v>527.96</v>
      </c>
      <c r="AF12" s="1">
        <f>IFERROR(__xludf.DUMMYFUNCTION("""COMPUTED_VALUE"""),376.35)</f>
        <v>376.35</v>
      </c>
      <c r="AG12" s="2">
        <f>IFERROR(__xludf.DUMMYFUNCTION("""COMPUTED_VALUE"""),1.4028430981798858)</f>
        <v>1.402843098</v>
      </c>
      <c r="AH12" s="1">
        <f>IFERROR(__xludf.DUMMYFUNCTION("""COMPUTED_VALUE"""),432.44)</f>
        <v>432.44</v>
      </c>
      <c r="AI12" s="1">
        <f>IFERROR(__xludf.DUMMYFUNCTION("""COMPUTED_VALUE"""),629.03)</f>
        <v>629.03</v>
      </c>
      <c r="AJ12" s="2">
        <f>IFERROR(__xludf.DUMMYFUNCTION("""COMPUTED_VALUE"""),0.6874711857940004)</f>
        <v>0.6874711858</v>
      </c>
      <c r="AK12" s="1">
        <f>IFERROR(__xludf.DUMMYFUNCTION("""COMPUTED_VALUE"""),968.75)</f>
        <v>968.75</v>
      </c>
      <c r="AL12" s="1">
        <f>IFERROR(__xludf.DUMMYFUNCTION("""COMPUTED_VALUE"""),1183.33)</f>
        <v>1183.33</v>
      </c>
      <c r="AM12" s="2">
        <f>IFERROR(__xludf.DUMMYFUNCTION("""COMPUTED_VALUE"""),0.8186642779275435)</f>
        <v>0.8186642779</v>
      </c>
      <c r="AN12" s="1">
        <f>IFERROR(__xludf.DUMMYFUNCTION("""COMPUTED_VALUE"""),1.48)</f>
        <v>1.48</v>
      </c>
      <c r="AO12" s="1">
        <f>IFERROR(__xludf.DUMMYFUNCTION("""COMPUTED_VALUE"""),0.0)</f>
        <v>0</v>
      </c>
      <c r="AP12" s="2" t="str">
        <f>IFERROR(__xludf.DUMMYFUNCTION("""COMPUTED_VALUE"""),"")</f>
        <v/>
      </c>
      <c r="AQ12" s="1">
        <f>IFERROR(__xludf.DUMMYFUNCTION("""COMPUTED_VALUE"""),59.47)</f>
        <v>59.47</v>
      </c>
      <c r="AR12" s="1">
        <f>IFERROR(__xludf.DUMMYFUNCTION("""COMPUTED_VALUE"""),0.0)</f>
        <v>0</v>
      </c>
      <c r="AS12" s="2" t="str">
        <f>IFERROR(__xludf.DUMMYFUNCTION("""COMPUTED_VALUE"""),"")</f>
        <v/>
      </c>
      <c r="AT12" s="1">
        <f>IFERROR(__xludf.DUMMYFUNCTION("""COMPUTED_VALUE"""),0.0)</f>
        <v>0</v>
      </c>
      <c r="AU12" s="1">
        <f>IFERROR(__xludf.DUMMYFUNCTION("""COMPUTED_VALUE"""),0.0)</f>
        <v>0</v>
      </c>
      <c r="AV12" s="2" t="str">
        <f>IFERROR(__xludf.DUMMYFUNCTION("""COMPUTED_VALUE"""),"")</f>
        <v/>
      </c>
      <c r="AW12" s="1">
        <f>IFERROR(__xludf.DUMMYFUNCTION("""COMPUTED_VALUE"""),38.12)</f>
        <v>38.12</v>
      </c>
      <c r="AX12" s="1">
        <f>IFERROR(__xludf.DUMMYFUNCTION("""COMPUTED_VALUE"""),0.0)</f>
        <v>0</v>
      </c>
      <c r="AY12" s="2" t="str">
        <f>IFERROR(__xludf.DUMMYFUNCTION("""COMPUTED_VALUE"""),"")</f>
        <v/>
      </c>
      <c r="AZ12" s="1">
        <f>IFERROR(__xludf.DUMMYFUNCTION("""COMPUTED_VALUE"""),99.07)</f>
        <v>99.07</v>
      </c>
      <c r="BA12" s="1">
        <f>IFERROR(__xludf.DUMMYFUNCTION("""COMPUTED_VALUE"""),0.0)</f>
        <v>0</v>
      </c>
      <c r="BB12" s="2" t="str">
        <f>IFERROR(__xludf.DUMMYFUNCTION("""COMPUTED_VALUE"""),"")</f>
        <v/>
      </c>
    </row>
    <row r="13">
      <c r="A13" s="1" t="str">
        <f>IFERROR(__xludf.DUMMYFUNCTION("""COMPUTED_VALUE"""),"63ced84ac5c820531c2690e0")</f>
        <v>63ced84ac5c820531c2690e0</v>
      </c>
      <c r="B13" s="1" t="str">
        <f>IFERROR(__xludf.DUMMYFUNCTION("""COMPUTED_VALUE"""),"Alca Enterprise, Corp.")</f>
        <v>Alca Enterprise, Corp.</v>
      </c>
      <c r="C13" s="1" t="str">
        <f>IFERROR(__xludf.DUMMYFUNCTION("""COMPUTED_VALUE"""),"jorge.silva@al-enterprise.com")</f>
        <v>jorge.silva@al-enterprise.com</v>
      </c>
      <c r="D13" s="1" t="str">
        <f>IFERROR(__xludf.DUMMYFUNCTION("""COMPUTED_VALUE"""),"americas")</f>
        <v>americas</v>
      </c>
      <c r="E13" s="1" t="str">
        <f>IFERROR(__xludf.DUMMYFUNCTION("""COMPUTED_VALUE"""),"PA")</f>
        <v>PA</v>
      </c>
      <c r="F13" s="1" t="str">
        <f>IFERROR(__xludf.DUMMYFUNCTION("""COMPUTED_VALUE"""),"distributor")</f>
        <v>distributor</v>
      </c>
      <c r="G13" s="1">
        <f>IFERROR(__xludf.DUMMYFUNCTION("""COMPUTED_VALUE"""),0.0)</f>
        <v>0</v>
      </c>
      <c r="H13" s="1">
        <f>IFERROR(__xludf.DUMMYFUNCTION("""COMPUTED_VALUE"""),1.0)</f>
        <v>1</v>
      </c>
      <c r="I13" s="2">
        <f>IFERROR(__xludf.DUMMYFUNCTION("""COMPUTED_VALUE"""),0.0)</f>
        <v>0</v>
      </c>
      <c r="J13" s="1">
        <f>IFERROR(__xludf.DUMMYFUNCTION("""COMPUTED_VALUE"""),139.59)</f>
        <v>139.59</v>
      </c>
      <c r="K13" s="1">
        <f>IFERROR(__xludf.DUMMYFUNCTION("""COMPUTED_VALUE"""),434.0)</f>
        <v>434</v>
      </c>
      <c r="L13" s="2">
        <f>IFERROR(__xludf.DUMMYFUNCTION("""COMPUTED_VALUE"""),0.32163594470046086)</f>
        <v>0.3216359447</v>
      </c>
      <c r="M13" s="1">
        <f>IFERROR(__xludf.DUMMYFUNCTION("""COMPUTED_VALUE"""),2.0)</f>
        <v>2</v>
      </c>
      <c r="N13" s="1">
        <f>IFERROR(__xludf.DUMMYFUNCTION("""COMPUTED_VALUE"""),56.0)</f>
        <v>56</v>
      </c>
      <c r="O13" s="2">
        <f>IFERROR(__xludf.DUMMYFUNCTION("""COMPUTED_VALUE"""),0.03571428571428571)</f>
        <v>0.03571428571</v>
      </c>
      <c r="P13" s="1">
        <f>IFERROR(__xludf.DUMMYFUNCTION("""COMPUTED_VALUE"""),0.0)</f>
        <v>0</v>
      </c>
      <c r="Q13" s="1">
        <f>IFERROR(__xludf.DUMMYFUNCTION("""COMPUTED_VALUE"""),1.0)</f>
        <v>1</v>
      </c>
      <c r="R13" s="2">
        <f>IFERROR(__xludf.DUMMYFUNCTION("""COMPUTED_VALUE"""),0.0)</f>
        <v>0</v>
      </c>
      <c r="S13" s="1">
        <f>IFERROR(__xludf.DUMMYFUNCTION("""COMPUTED_VALUE"""),0.0)</f>
        <v>0</v>
      </c>
      <c r="T13" s="1">
        <f>IFERROR(__xludf.DUMMYFUNCTION("""COMPUTED_VALUE"""),1.0)</f>
        <v>1</v>
      </c>
      <c r="U13" s="2">
        <f>IFERROR(__xludf.DUMMYFUNCTION("""COMPUTED_VALUE"""),0.0)</f>
        <v>0</v>
      </c>
      <c r="V13" s="1">
        <f>IFERROR(__xludf.DUMMYFUNCTION("""COMPUTED_VALUE"""),0.0)</f>
        <v>0</v>
      </c>
      <c r="W13" s="1">
        <f>IFERROR(__xludf.DUMMYFUNCTION("""COMPUTED_VALUE"""),1.0)</f>
        <v>1</v>
      </c>
      <c r="X13" s="2">
        <f>IFERROR(__xludf.DUMMYFUNCTION("""COMPUTED_VALUE"""),0.0)</f>
        <v>0</v>
      </c>
      <c r="Y13" s="1">
        <f>IFERROR(__xludf.DUMMYFUNCTION("""COMPUTED_VALUE"""),2.2)</f>
        <v>2.2</v>
      </c>
      <c r="Z13" s="1">
        <f>IFERROR(__xludf.DUMMYFUNCTION("""COMPUTED_VALUE"""),0.0)</f>
        <v>0</v>
      </c>
      <c r="AA13" s="2" t="str">
        <f>IFERROR(__xludf.DUMMYFUNCTION("""COMPUTED_VALUE"""),"")</f>
        <v/>
      </c>
      <c r="AB13" s="1">
        <f>IFERROR(__xludf.DUMMYFUNCTION("""COMPUTED_VALUE"""),2.2)</f>
        <v>2.2</v>
      </c>
      <c r="AC13" s="1">
        <f>IFERROR(__xludf.DUMMYFUNCTION("""COMPUTED_VALUE"""),885.73)</f>
        <v>885.73</v>
      </c>
      <c r="AD13" s="2">
        <f>IFERROR(__xludf.DUMMYFUNCTION("""COMPUTED_VALUE"""),0.0024838268998453256)</f>
        <v>0.0024838269</v>
      </c>
      <c r="AE13" s="1">
        <f>IFERROR(__xludf.DUMMYFUNCTION("""COMPUTED_VALUE"""),15.39)</f>
        <v>15.39</v>
      </c>
      <c r="AF13" s="1">
        <f>IFERROR(__xludf.DUMMYFUNCTION("""COMPUTED_VALUE"""),921.38)</f>
        <v>921.38</v>
      </c>
      <c r="AG13" s="2">
        <f>IFERROR(__xludf.DUMMYFUNCTION("""COMPUTED_VALUE"""),0.016703206060474506)</f>
        <v>0.01670320606</v>
      </c>
      <c r="AH13" s="1">
        <f>IFERROR(__xludf.DUMMYFUNCTION("""COMPUTED_VALUE"""),3.53)</f>
        <v>3.53</v>
      </c>
      <c r="AI13" s="1">
        <f>IFERROR(__xludf.DUMMYFUNCTION("""COMPUTED_VALUE"""),935.68)</f>
        <v>935.68</v>
      </c>
      <c r="AJ13" s="2">
        <f>IFERROR(__xludf.DUMMYFUNCTION("""COMPUTED_VALUE"""),0.00377265731874145)</f>
        <v>0.003772657319</v>
      </c>
      <c r="AK13" s="1">
        <f>IFERROR(__xludf.DUMMYFUNCTION("""COMPUTED_VALUE"""),23.32)</f>
        <v>23.32</v>
      </c>
      <c r="AL13" s="1">
        <f>IFERROR(__xludf.DUMMYFUNCTION("""COMPUTED_VALUE"""),2742.79)</f>
        <v>2742.79</v>
      </c>
      <c r="AM13" s="2">
        <f>IFERROR(__xludf.DUMMYFUNCTION("""COMPUTED_VALUE"""),0.00850229146234309)</f>
        <v>0.008502291462</v>
      </c>
      <c r="AN13" s="1">
        <f>IFERROR(__xludf.DUMMYFUNCTION("""COMPUTED_VALUE"""),0.0)</f>
        <v>0</v>
      </c>
      <c r="AO13" s="1">
        <f>IFERROR(__xludf.DUMMYFUNCTION("""COMPUTED_VALUE"""),0.0)</f>
        <v>0</v>
      </c>
      <c r="AP13" s="2" t="str">
        <f>IFERROR(__xludf.DUMMYFUNCTION("""COMPUTED_VALUE"""),"")</f>
        <v/>
      </c>
      <c r="AQ13" s="1">
        <f>IFERROR(__xludf.DUMMYFUNCTION("""COMPUTED_VALUE"""),0.0)</f>
        <v>0</v>
      </c>
      <c r="AR13" s="1">
        <f>IFERROR(__xludf.DUMMYFUNCTION("""COMPUTED_VALUE"""),0.0)</f>
        <v>0</v>
      </c>
      <c r="AS13" s="2" t="str">
        <f>IFERROR(__xludf.DUMMYFUNCTION("""COMPUTED_VALUE"""),"")</f>
        <v/>
      </c>
      <c r="AT13" s="1">
        <f>IFERROR(__xludf.DUMMYFUNCTION("""COMPUTED_VALUE"""),0.0)</f>
        <v>0</v>
      </c>
      <c r="AU13" s="1">
        <f>IFERROR(__xludf.DUMMYFUNCTION("""COMPUTED_VALUE"""),0.0)</f>
        <v>0</v>
      </c>
      <c r="AV13" s="2" t="str">
        <f>IFERROR(__xludf.DUMMYFUNCTION("""COMPUTED_VALUE"""),"")</f>
        <v/>
      </c>
      <c r="AW13" s="1">
        <f>IFERROR(__xludf.DUMMYFUNCTION("""COMPUTED_VALUE"""),0.0)</f>
        <v>0</v>
      </c>
      <c r="AX13" s="1">
        <f>IFERROR(__xludf.DUMMYFUNCTION("""COMPUTED_VALUE"""),0.0)</f>
        <v>0</v>
      </c>
      <c r="AY13" s="2" t="str">
        <f>IFERROR(__xludf.DUMMYFUNCTION("""COMPUTED_VALUE"""),"")</f>
        <v/>
      </c>
      <c r="AZ13" s="1">
        <f>IFERROR(__xludf.DUMMYFUNCTION("""COMPUTED_VALUE"""),0.0)</f>
        <v>0</v>
      </c>
      <c r="BA13" s="1">
        <f>IFERROR(__xludf.DUMMYFUNCTION("""COMPUTED_VALUE"""),0.0)</f>
        <v>0</v>
      </c>
      <c r="BB13" s="2" t="str">
        <f>IFERROR(__xludf.DUMMYFUNCTION("""COMPUTED_VALUE"""),"")</f>
        <v/>
      </c>
    </row>
    <row r="14">
      <c r="A14" s="1" t="str">
        <f>IFERROR(__xludf.DUMMYFUNCTION("""COMPUTED_VALUE"""),"63ced843c5c820531c268168")</f>
        <v>63ced843c5c820531c268168</v>
      </c>
      <c r="B14" s="1" t="str">
        <f>IFERROR(__xludf.DUMMYFUNCTION("""COMPUTED_VALUE"""),"ALCTEL TELECOM")</f>
        <v>ALCTEL TELECOM</v>
      </c>
      <c r="C14" s="1" t="str">
        <f>IFERROR(__xludf.DUMMYFUNCTION("""COMPUTED_VALUE"""),"renato-takashi.yoshizako@al-enterprise.com")</f>
        <v>renato-takashi.yoshizako@al-enterprise.com</v>
      </c>
      <c r="D14" s="1" t="str">
        <f>IFERROR(__xludf.DUMMYFUNCTION("""COMPUTED_VALUE"""),"americas")</f>
        <v>americas</v>
      </c>
      <c r="E14" s="1" t="str">
        <f>IFERROR(__xludf.DUMMYFUNCTION("""COMPUTED_VALUE"""),"BR")</f>
        <v>BR</v>
      </c>
      <c r="F14" s="1" t="str">
        <f>IFERROR(__xludf.DUMMYFUNCTION("""COMPUTED_VALUE"""),"expert_1000")</f>
        <v>expert_1000</v>
      </c>
      <c r="G14" s="1">
        <f>IFERROR(__xludf.DUMMYFUNCTION("""COMPUTED_VALUE"""),1.0)</f>
        <v>1</v>
      </c>
      <c r="H14" s="1">
        <f>IFERROR(__xludf.DUMMYFUNCTION("""COMPUTED_VALUE"""),1.0)</f>
        <v>1</v>
      </c>
      <c r="I14" s="2">
        <f>IFERROR(__xludf.DUMMYFUNCTION("""COMPUTED_VALUE"""),1.0)</f>
        <v>1</v>
      </c>
      <c r="J14" s="1">
        <f>IFERROR(__xludf.DUMMYFUNCTION("""COMPUTED_VALUE"""),65.65)</f>
        <v>65.65</v>
      </c>
      <c r="K14" s="1">
        <f>IFERROR(__xludf.DUMMYFUNCTION("""COMPUTED_VALUE"""),1549.99)</f>
        <v>1549.99</v>
      </c>
      <c r="L14" s="2">
        <f>IFERROR(__xludf.DUMMYFUNCTION("""COMPUTED_VALUE"""),0.042355111968464317)</f>
        <v>0.04235511197</v>
      </c>
      <c r="M14" s="1">
        <f>IFERROR(__xludf.DUMMYFUNCTION("""COMPUTED_VALUE"""),48.0)</f>
        <v>48</v>
      </c>
      <c r="N14" s="1">
        <f>IFERROR(__xludf.DUMMYFUNCTION("""COMPUTED_VALUE"""),40.0)</f>
        <v>40</v>
      </c>
      <c r="O14" s="2">
        <f>IFERROR(__xludf.DUMMYFUNCTION("""COMPUTED_VALUE"""),1.2)</f>
        <v>1.2</v>
      </c>
      <c r="P14" s="1">
        <f>IFERROR(__xludf.DUMMYFUNCTION("""COMPUTED_VALUE"""),1.0)</f>
        <v>1</v>
      </c>
      <c r="Q14" s="1">
        <f>IFERROR(__xludf.DUMMYFUNCTION("""COMPUTED_VALUE"""),1.0)</f>
        <v>1</v>
      </c>
      <c r="R14" s="2">
        <f>IFERROR(__xludf.DUMMYFUNCTION("""COMPUTED_VALUE"""),1.0)</f>
        <v>1</v>
      </c>
      <c r="S14" s="1">
        <f>IFERROR(__xludf.DUMMYFUNCTION("""COMPUTED_VALUE"""),1.0)</f>
        <v>1</v>
      </c>
      <c r="T14" s="1">
        <f>IFERROR(__xludf.DUMMYFUNCTION("""COMPUTED_VALUE"""),1.0)</f>
        <v>1</v>
      </c>
      <c r="U14" s="2">
        <f>IFERROR(__xludf.DUMMYFUNCTION("""COMPUTED_VALUE"""),1.0)</f>
        <v>1</v>
      </c>
      <c r="V14" s="1">
        <f>IFERROR(__xludf.DUMMYFUNCTION("""COMPUTED_VALUE"""),0.0)</f>
        <v>0</v>
      </c>
      <c r="W14" s="1">
        <f>IFERROR(__xludf.DUMMYFUNCTION("""COMPUTED_VALUE"""),1.0)</f>
        <v>1</v>
      </c>
      <c r="X14" s="2">
        <f>IFERROR(__xludf.DUMMYFUNCTION("""COMPUTED_VALUE"""),0.0)</f>
        <v>0</v>
      </c>
      <c r="Y14" s="1">
        <f>IFERROR(__xludf.DUMMYFUNCTION("""COMPUTED_VALUE"""),13.85)</f>
        <v>13.85</v>
      </c>
      <c r="Z14" s="1">
        <f>IFERROR(__xludf.DUMMYFUNCTION("""COMPUTED_VALUE"""),0.0)</f>
        <v>0</v>
      </c>
      <c r="AA14" s="2" t="str">
        <f>IFERROR(__xludf.DUMMYFUNCTION("""COMPUTED_VALUE"""),"")</f>
        <v/>
      </c>
      <c r="AB14" s="1">
        <f>IFERROR(__xludf.DUMMYFUNCTION("""COMPUTED_VALUE"""),6.13)</f>
        <v>6.13</v>
      </c>
      <c r="AC14" s="1">
        <f>IFERROR(__xludf.DUMMYFUNCTION("""COMPUTED_VALUE"""),1291.67)</f>
        <v>1291.67</v>
      </c>
      <c r="AD14" s="2">
        <f>IFERROR(__xludf.DUMMYFUNCTION("""COMPUTED_VALUE"""),0.004745794204402053)</f>
        <v>0.004745794204</v>
      </c>
      <c r="AE14" s="1">
        <f>IFERROR(__xludf.DUMMYFUNCTION("""COMPUTED_VALUE"""),229.14)</f>
        <v>229.14</v>
      </c>
      <c r="AF14" s="1">
        <f>IFERROR(__xludf.DUMMYFUNCTION("""COMPUTED_VALUE"""),1291.67)</f>
        <v>1291.67</v>
      </c>
      <c r="AG14" s="2">
        <f>IFERROR(__xludf.DUMMYFUNCTION("""COMPUTED_VALUE"""),0.177398251875479)</f>
        <v>0.1773982519</v>
      </c>
      <c r="AH14" s="1">
        <f>IFERROR(__xludf.DUMMYFUNCTION("""COMPUTED_VALUE"""),1124.39)</f>
        <v>1124.39</v>
      </c>
      <c r="AI14" s="1">
        <f>IFERROR(__xludf.DUMMYFUNCTION("""COMPUTED_VALUE"""),1291.67)</f>
        <v>1291.67</v>
      </c>
      <c r="AJ14" s="2">
        <f>IFERROR(__xludf.DUMMYFUNCTION("""COMPUTED_VALUE"""),0.8704932374368066)</f>
        <v>0.8704932374</v>
      </c>
      <c r="AK14" s="1">
        <f>IFERROR(__xludf.DUMMYFUNCTION("""COMPUTED_VALUE"""),1373.51)</f>
        <v>1373.51</v>
      </c>
      <c r="AL14" s="1">
        <f>IFERROR(__xludf.DUMMYFUNCTION("""COMPUTED_VALUE"""),3875.01)</f>
        <v>3875.01</v>
      </c>
      <c r="AM14" s="2">
        <f>IFERROR(__xludf.DUMMYFUNCTION("""COMPUTED_VALUE"""),0.35445327883024813)</f>
        <v>0.3544532788</v>
      </c>
      <c r="AN14" s="1">
        <f>IFERROR(__xludf.DUMMYFUNCTION("""COMPUTED_VALUE"""),1.47)</f>
        <v>1.47</v>
      </c>
      <c r="AO14" s="1">
        <f>IFERROR(__xludf.DUMMYFUNCTION("""COMPUTED_VALUE"""),0.0)</f>
        <v>0</v>
      </c>
      <c r="AP14" s="2" t="str">
        <f>IFERROR(__xludf.DUMMYFUNCTION("""COMPUTED_VALUE"""),"")</f>
        <v/>
      </c>
      <c r="AQ14" s="1">
        <f>IFERROR(__xludf.DUMMYFUNCTION("""COMPUTED_VALUE"""),110.0)</f>
        <v>110</v>
      </c>
      <c r="AR14" s="1">
        <f>IFERROR(__xludf.DUMMYFUNCTION("""COMPUTED_VALUE"""),0.0)</f>
        <v>0</v>
      </c>
      <c r="AS14" s="2" t="str">
        <f>IFERROR(__xludf.DUMMYFUNCTION("""COMPUTED_VALUE"""),"")</f>
        <v/>
      </c>
      <c r="AT14" s="1">
        <f>IFERROR(__xludf.DUMMYFUNCTION("""COMPUTED_VALUE"""),0.0)</f>
        <v>0</v>
      </c>
      <c r="AU14" s="1">
        <f>IFERROR(__xludf.DUMMYFUNCTION("""COMPUTED_VALUE"""),0.0)</f>
        <v>0</v>
      </c>
      <c r="AV14" s="2" t="str">
        <f>IFERROR(__xludf.DUMMYFUNCTION("""COMPUTED_VALUE"""),"")</f>
        <v/>
      </c>
      <c r="AW14" s="1">
        <f>IFERROR(__xludf.DUMMYFUNCTION("""COMPUTED_VALUE"""),0.0)</f>
        <v>0</v>
      </c>
      <c r="AX14" s="1">
        <f>IFERROR(__xludf.DUMMYFUNCTION("""COMPUTED_VALUE"""),0.0)</f>
        <v>0</v>
      </c>
      <c r="AY14" s="2" t="str">
        <f>IFERROR(__xludf.DUMMYFUNCTION("""COMPUTED_VALUE"""),"")</f>
        <v/>
      </c>
      <c r="AZ14" s="1">
        <f>IFERROR(__xludf.DUMMYFUNCTION("""COMPUTED_VALUE"""),111.47)</f>
        <v>111.47</v>
      </c>
      <c r="BA14" s="1">
        <f>IFERROR(__xludf.DUMMYFUNCTION("""COMPUTED_VALUE"""),0.0)</f>
        <v>0</v>
      </c>
      <c r="BB14" s="2" t="str">
        <f>IFERROR(__xludf.DUMMYFUNCTION("""COMPUTED_VALUE"""),"")</f>
        <v/>
      </c>
    </row>
    <row r="15">
      <c r="A15" s="1" t="str">
        <f>IFERROR(__xludf.DUMMYFUNCTION("""COMPUTED_VALUE"""),"63ced849c5c820531c268f5a")</f>
        <v>63ced849c5c820531c268f5a</v>
      </c>
      <c r="B15" s="1" t="str">
        <f>IFERROR(__xludf.DUMMYFUNCTION("""COMPUTED_VALUE"""),"ALSO Deutschland GmbH")</f>
        <v>ALSO Deutschland GmbH</v>
      </c>
      <c r="C15" s="1" t="str">
        <f>IFERROR(__xludf.DUMMYFUNCTION("""COMPUTED_VALUE"""),"michael.moog@al-enterprise.com, katrin.pfeiffer@al-enterprise.com, sibylle.klopfer@al-enterprise.com, igor.leko@al-enterprise.com")</f>
        <v>michael.moog@al-enterprise.com, katrin.pfeiffer@al-enterprise.com, sibylle.klopfer@al-enterprise.com, igor.leko@al-enterprise.com</v>
      </c>
      <c r="D15" s="1" t="str">
        <f>IFERROR(__xludf.DUMMYFUNCTION("""COMPUTED_VALUE"""),"germany")</f>
        <v>germany</v>
      </c>
      <c r="E15" s="1" t="str">
        <f>IFERROR(__xludf.DUMMYFUNCTION("""COMPUTED_VALUE"""),"DE")</f>
        <v>DE</v>
      </c>
      <c r="F15" s="1" t="str">
        <f>IFERROR(__xludf.DUMMYFUNCTION("""COMPUTED_VALUE"""),"distributor_1000")</f>
        <v>distributor_1000</v>
      </c>
      <c r="G15" s="1">
        <f>IFERROR(__xludf.DUMMYFUNCTION("""COMPUTED_VALUE"""),0.0)</f>
        <v>0</v>
      </c>
      <c r="H15" s="1">
        <f>IFERROR(__xludf.DUMMYFUNCTION("""COMPUTED_VALUE"""),1.0)</f>
        <v>1</v>
      </c>
      <c r="I15" s="2">
        <f>IFERROR(__xludf.DUMMYFUNCTION("""COMPUTED_VALUE"""),0.0)</f>
        <v>0</v>
      </c>
      <c r="J15" s="1">
        <f>IFERROR(__xludf.DUMMYFUNCTION("""COMPUTED_VALUE"""),2756.73)</f>
        <v>2756.73</v>
      </c>
      <c r="K15" s="1">
        <f>IFERROR(__xludf.DUMMYFUNCTION("""COMPUTED_VALUE"""),5340.0)</f>
        <v>5340</v>
      </c>
      <c r="L15" s="2">
        <f>IFERROR(__xludf.DUMMYFUNCTION("""COMPUTED_VALUE"""),0.5162415730337079)</f>
        <v>0.516241573</v>
      </c>
      <c r="M15" s="1">
        <f>IFERROR(__xludf.DUMMYFUNCTION("""COMPUTED_VALUE"""),27.0)</f>
        <v>27</v>
      </c>
      <c r="N15" s="1">
        <f>IFERROR(__xludf.DUMMYFUNCTION("""COMPUTED_VALUE"""),52.0)</f>
        <v>52</v>
      </c>
      <c r="O15" s="2">
        <f>IFERROR(__xludf.DUMMYFUNCTION("""COMPUTED_VALUE"""),0.5192307692307693)</f>
        <v>0.5192307692</v>
      </c>
      <c r="P15" s="1">
        <f>IFERROR(__xludf.DUMMYFUNCTION("""COMPUTED_VALUE"""),1.0)</f>
        <v>1</v>
      </c>
      <c r="Q15" s="1">
        <f>IFERROR(__xludf.DUMMYFUNCTION("""COMPUTED_VALUE"""),1.0)</f>
        <v>1</v>
      </c>
      <c r="R15" s="2">
        <f>IFERROR(__xludf.DUMMYFUNCTION("""COMPUTED_VALUE"""),1.0)</f>
        <v>1</v>
      </c>
      <c r="S15" s="1">
        <f>IFERROR(__xludf.DUMMYFUNCTION("""COMPUTED_VALUE"""),0.0)</f>
        <v>0</v>
      </c>
      <c r="T15" s="1">
        <f>IFERROR(__xludf.DUMMYFUNCTION("""COMPUTED_VALUE"""),1.0)</f>
        <v>1</v>
      </c>
      <c r="U15" s="2">
        <f>IFERROR(__xludf.DUMMYFUNCTION("""COMPUTED_VALUE"""),0.0)</f>
        <v>0</v>
      </c>
      <c r="V15" s="1">
        <f>IFERROR(__xludf.DUMMYFUNCTION("""COMPUTED_VALUE"""),0.0)</f>
        <v>0</v>
      </c>
      <c r="W15" s="1">
        <f>IFERROR(__xludf.DUMMYFUNCTION("""COMPUTED_VALUE"""),1.0)</f>
        <v>1</v>
      </c>
      <c r="X15" s="2">
        <f>IFERROR(__xludf.DUMMYFUNCTION("""COMPUTED_VALUE"""),0.0)</f>
        <v>0</v>
      </c>
      <c r="Y15" s="1">
        <f>IFERROR(__xludf.DUMMYFUNCTION("""COMPUTED_VALUE"""),14.52)</f>
        <v>14.52</v>
      </c>
      <c r="Z15" s="1">
        <f>IFERROR(__xludf.DUMMYFUNCTION("""COMPUTED_VALUE"""),0.0)</f>
        <v>0</v>
      </c>
      <c r="AA15" s="2" t="str">
        <f>IFERROR(__xludf.DUMMYFUNCTION("""COMPUTED_VALUE"""),"")</f>
        <v/>
      </c>
      <c r="AB15" s="1">
        <f>IFERROR(__xludf.DUMMYFUNCTION("""COMPUTED_VALUE"""),7.05)</f>
        <v>7.05</v>
      </c>
      <c r="AC15" s="1">
        <f>IFERROR(__xludf.DUMMYFUNCTION("""COMPUTED_VALUE"""),1066.67)</f>
        <v>1066.67</v>
      </c>
      <c r="AD15" s="2">
        <f>IFERROR(__xludf.DUMMYFUNCTION("""COMPUTED_VALUE"""),0.006609354345767669)</f>
        <v>0.006609354346</v>
      </c>
      <c r="AE15" s="1">
        <f>IFERROR(__xludf.DUMMYFUNCTION("""COMPUTED_VALUE"""),318.42)</f>
        <v>318.42</v>
      </c>
      <c r="AF15" s="1">
        <f>IFERROR(__xludf.DUMMYFUNCTION("""COMPUTED_VALUE"""),1600.0)</f>
        <v>1600</v>
      </c>
      <c r="AG15" s="2">
        <f>IFERROR(__xludf.DUMMYFUNCTION("""COMPUTED_VALUE"""),0.1990125)</f>
        <v>0.1990125</v>
      </c>
      <c r="AH15" s="1">
        <f>IFERROR(__xludf.DUMMYFUNCTION("""COMPUTED_VALUE"""),282.09)</f>
        <v>282.09</v>
      </c>
      <c r="AI15" s="1">
        <f>IFERROR(__xludf.DUMMYFUNCTION("""COMPUTED_VALUE"""),1600.0)</f>
        <v>1600</v>
      </c>
      <c r="AJ15" s="2">
        <f>IFERROR(__xludf.DUMMYFUNCTION("""COMPUTED_VALUE"""),0.17630625)</f>
        <v>0.17630625</v>
      </c>
      <c r="AK15" s="1">
        <f>IFERROR(__xludf.DUMMYFUNCTION("""COMPUTED_VALUE"""),622.0799999999999)</f>
        <v>622.08</v>
      </c>
      <c r="AL15" s="1">
        <f>IFERROR(__xludf.DUMMYFUNCTION("""COMPUTED_VALUE"""),4266.67)</f>
        <v>4266.67</v>
      </c>
      <c r="AM15" s="2">
        <f>IFERROR(__xludf.DUMMYFUNCTION("""COMPUTED_VALUE"""),0.14579988609383898)</f>
        <v>0.1457998861</v>
      </c>
      <c r="AN15" s="1">
        <f>IFERROR(__xludf.DUMMYFUNCTION("""COMPUTED_VALUE"""),17.75)</f>
        <v>17.75</v>
      </c>
      <c r="AO15" s="1">
        <f>IFERROR(__xludf.DUMMYFUNCTION("""COMPUTED_VALUE"""),0.0)</f>
        <v>0</v>
      </c>
      <c r="AP15" s="2" t="str">
        <f>IFERROR(__xludf.DUMMYFUNCTION("""COMPUTED_VALUE"""),"")</f>
        <v/>
      </c>
      <c r="AQ15" s="1">
        <f>IFERROR(__xludf.DUMMYFUNCTION("""COMPUTED_VALUE"""),114.76)</f>
        <v>114.76</v>
      </c>
      <c r="AR15" s="1">
        <f>IFERROR(__xludf.DUMMYFUNCTION("""COMPUTED_VALUE"""),0.0)</f>
        <v>0</v>
      </c>
      <c r="AS15" s="2" t="str">
        <f>IFERROR(__xludf.DUMMYFUNCTION("""COMPUTED_VALUE"""),"")</f>
        <v/>
      </c>
      <c r="AT15" s="1">
        <f>IFERROR(__xludf.DUMMYFUNCTION("""COMPUTED_VALUE"""),27.16)</f>
        <v>27.16</v>
      </c>
      <c r="AU15" s="1">
        <f>IFERROR(__xludf.DUMMYFUNCTION("""COMPUTED_VALUE"""),0.0)</f>
        <v>0</v>
      </c>
      <c r="AV15" s="2" t="str">
        <f>IFERROR(__xludf.DUMMYFUNCTION("""COMPUTED_VALUE"""),"")</f>
        <v/>
      </c>
      <c r="AW15" s="1">
        <f>IFERROR(__xludf.DUMMYFUNCTION("""COMPUTED_VALUE"""),52.99)</f>
        <v>52.99</v>
      </c>
      <c r="AX15" s="1">
        <f>IFERROR(__xludf.DUMMYFUNCTION("""COMPUTED_VALUE"""),0.0)</f>
        <v>0</v>
      </c>
      <c r="AY15" s="2" t="str">
        <f>IFERROR(__xludf.DUMMYFUNCTION("""COMPUTED_VALUE"""),"")</f>
        <v/>
      </c>
      <c r="AZ15" s="1">
        <f>IFERROR(__xludf.DUMMYFUNCTION("""COMPUTED_VALUE"""),212.66)</f>
        <v>212.66</v>
      </c>
      <c r="BA15" s="1">
        <f>IFERROR(__xludf.DUMMYFUNCTION("""COMPUTED_VALUE"""),0.0)</f>
        <v>0</v>
      </c>
      <c r="BB15" s="2" t="str">
        <f>IFERROR(__xludf.DUMMYFUNCTION("""COMPUTED_VALUE"""),"")</f>
        <v/>
      </c>
    </row>
    <row r="16">
      <c r="A16" s="1" t="str">
        <f>IFERROR(__xludf.DUMMYFUNCTION("""COMPUTED_VALUE"""),"63ced846c5c820531c2687f8")</f>
        <v>63ced846c5c820531c2687f8</v>
      </c>
      <c r="B16" s="1" t="str">
        <f>IFERROR(__xludf.DUMMYFUNCTION("""COMPUTED_VALUE"""),"AMBAR TELECOMUNICACIONES SL")</f>
        <v>AMBAR TELECOMUNICACIONES SL</v>
      </c>
      <c r="C16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16" s="1" t="str">
        <f>IFERROR(__xludf.DUMMYFUNCTION("""COMPUTED_VALUE"""),"emea")</f>
        <v>emea</v>
      </c>
      <c r="E16" s="1" t="str">
        <f>IFERROR(__xludf.DUMMYFUNCTION("""COMPUTED_VALUE"""),"ES")</f>
        <v>ES</v>
      </c>
      <c r="F16" s="1" t="str">
        <f>IFERROR(__xludf.DUMMYFUNCTION("""COMPUTED_VALUE"""),"expert_200")</f>
        <v>expert_200</v>
      </c>
      <c r="G16" s="1">
        <f>IFERROR(__xludf.DUMMYFUNCTION("""COMPUTED_VALUE"""),1.0)</f>
        <v>1</v>
      </c>
      <c r="H16" s="1">
        <f>IFERROR(__xludf.DUMMYFUNCTION("""COMPUTED_VALUE"""),1.0)</f>
        <v>1</v>
      </c>
      <c r="I16" s="2">
        <f>IFERROR(__xludf.DUMMYFUNCTION("""COMPUTED_VALUE"""),1.0)</f>
        <v>1</v>
      </c>
      <c r="J16" s="1">
        <f>IFERROR(__xludf.DUMMYFUNCTION("""COMPUTED_VALUE"""),17.22)</f>
        <v>17.22</v>
      </c>
      <c r="K16" s="1">
        <f>IFERROR(__xludf.DUMMYFUNCTION("""COMPUTED_VALUE"""),550.0)</f>
        <v>550</v>
      </c>
      <c r="L16" s="2">
        <f>IFERROR(__xludf.DUMMYFUNCTION("""COMPUTED_VALUE"""),0.031309090909090904)</f>
        <v>0.03130909091</v>
      </c>
      <c r="M16" s="1">
        <f>IFERROR(__xludf.DUMMYFUNCTION("""COMPUTED_VALUE"""),16.0)</f>
        <v>16</v>
      </c>
      <c r="N16" s="1">
        <f>IFERROR(__xludf.DUMMYFUNCTION("""COMPUTED_VALUE"""),52.0)</f>
        <v>52</v>
      </c>
      <c r="O16" s="2">
        <f>IFERROR(__xludf.DUMMYFUNCTION("""COMPUTED_VALUE"""),0.3076923076923077)</f>
        <v>0.3076923077</v>
      </c>
      <c r="P16" s="1">
        <f>IFERROR(__xludf.DUMMYFUNCTION("""COMPUTED_VALUE"""),0.0)</f>
        <v>0</v>
      </c>
      <c r="Q16" s="1">
        <f>IFERROR(__xludf.DUMMYFUNCTION("""COMPUTED_VALUE"""),1.0)</f>
        <v>1</v>
      </c>
      <c r="R16" s="2">
        <f>IFERROR(__xludf.DUMMYFUNCTION("""COMPUTED_VALUE"""),0.0)</f>
        <v>0</v>
      </c>
      <c r="S16" s="1">
        <f>IFERROR(__xludf.DUMMYFUNCTION("""COMPUTED_VALUE"""),1.0)</f>
        <v>1</v>
      </c>
      <c r="T16" s="1">
        <f>IFERROR(__xludf.DUMMYFUNCTION("""COMPUTED_VALUE"""),1.0)</f>
        <v>1</v>
      </c>
      <c r="U16" s="2">
        <f>IFERROR(__xludf.DUMMYFUNCTION("""COMPUTED_VALUE"""),1.0)</f>
        <v>1</v>
      </c>
      <c r="V16" s="1">
        <f>IFERROR(__xludf.DUMMYFUNCTION("""COMPUTED_VALUE"""),0.0)</f>
        <v>0</v>
      </c>
      <c r="W16" s="1">
        <f>IFERROR(__xludf.DUMMYFUNCTION("""COMPUTED_VALUE"""),1.0)</f>
        <v>1</v>
      </c>
      <c r="X16" s="2">
        <f>IFERROR(__xludf.DUMMYFUNCTION("""COMPUTED_VALUE"""),0.0)</f>
        <v>0</v>
      </c>
      <c r="Y16" s="1">
        <f>IFERROR(__xludf.DUMMYFUNCTION("""COMPUTED_VALUE"""),5.7)</f>
        <v>5.7</v>
      </c>
      <c r="Z16" s="1">
        <f>IFERROR(__xludf.DUMMYFUNCTION("""COMPUTED_VALUE"""),0.0)</f>
        <v>0</v>
      </c>
      <c r="AA16" s="2" t="str">
        <f>IFERROR(__xludf.DUMMYFUNCTION("""COMPUTED_VALUE"""),"")</f>
        <v/>
      </c>
      <c r="AB16" s="1">
        <f>IFERROR(__xludf.DUMMYFUNCTION("""COMPUTED_VALUE"""),85.0)</f>
        <v>85</v>
      </c>
      <c r="AC16" s="1">
        <f>IFERROR(__xludf.DUMMYFUNCTION("""COMPUTED_VALUE"""),327.38)</f>
        <v>327.38</v>
      </c>
      <c r="AD16" s="2">
        <f>IFERROR(__xludf.DUMMYFUNCTION("""COMPUTED_VALUE"""),0.25963711894434605)</f>
        <v>0.2596371189</v>
      </c>
      <c r="AE16" s="1">
        <f>IFERROR(__xludf.DUMMYFUNCTION("""COMPUTED_VALUE"""),111.0)</f>
        <v>111</v>
      </c>
      <c r="AF16" s="1">
        <f>IFERROR(__xludf.DUMMYFUNCTION("""COMPUTED_VALUE"""),327.38)</f>
        <v>327.38</v>
      </c>
      <c r="AG16" s="2">
        <f>IFERROR(__xludf.DUMMYFUNCTION("""COMPUTED_VALUE"""),0.3390555317979107)</f>
        <v>0.3390555318</v>
      </c>
      <c r="AH16" s="1">
        <f>IFERROR(__xludf.DUMMYFUNCTION("""COMPUTED_VALUE"""),20.0)</f>
        <v>20</v>
      </c>
      <c r="AI16" s="1">
        <f>IFERROR(__xludf.DUMMYFUNCTION("""COMPUTED_VALUE"""),327.38)</f>
        <v>327.38</v>
      </c>
      <c r="AJ16" s="2">
        <f>IFERROR(__xludf.DUMMYFUNCTION("""COMPUTED_VALUE"""),0.06109108681043436)</f>
        <v>0.06109108681</v>
      </c>
      <c r="AK16" s="1">
        <f>IFERROR(__xludf.DUMMYFUNCTION("""COMPUTED_VALUE"""),221.7)</f>
        <v>221.7</v>
      </c>
      <c r="AL16" s="1">
        <f>IFERROR(__xludf.DUMMYFUNCTION("""COMPUTED_VALUE"""),982.14)</f>
        <v>982.14</v>
      </c>
      <c r="AM16" s="2">
        <f>IFERROR(__xludf.DUMMYFUNCTION("""COMPUTED_VALUE"""),0.22573156576455494)</f>
        <v>0.2257315658</v>
      </c>
      <c r="AN16" s="1">
        <f>IFERROR(__xludf.DUMMYFUNCTION("""COMPUTED_VALUE"""),0.0)</f>
        <v>0</v>
      </c>
      <c r="AO16" s="1">
        <f>IFERROR(__xludf.DUMMYFUNCTION("""COMPUTED_VALUE"""),0.0)</f>
        <v>0</v>
      </c>
      <c r="AP16" s="2" t="str">
        <f>IFERROR(__xludf.DUMMYFUNCTION("""COMPUTED_VALUE"""),"")</f>
        <v/>
      </c>
      <c r="AQ16" s="1">
        <f>IFERROR(__xludf.DUMMYFUNCTION("""COMPUTED_VALUE"""),0.0)</f>
        <v>0</v>
      </c>
      <c r="AR16" s="1">
        <f>IFERROR(__xludf.DUMMYFUNCTION("""COMPUTED_VALUE"""),0.0)</f>
        <v>0</v>
      </c>
      <c r="AS16" s="2" t="str">
        <f>IFERROR(__xludf.DUMMYFUNCTION("""COMPUTED_VALUE"""),"")</f>
        <v/>
      </c>
      <c r="AT16" s="1">
        <f>IFERROR(__xludf.DUMMYFUNCTION("""COMPUTED_VALUE"""),0.0)</f>
        <v>0</v>
      </c>
      <c r="AU16" s="1">
        <f>IFERROR(__xludf.DUMMYFUNCTION("""COMPUTED_VALUE"""),0.0)</f>
        <v>0</v>
      </c>
      <c r="AV16" s="2" t="str">
        <f>IFERROR(__xludf.DUMMYFUNCTION("""COMPUTED_VALUE"""),"")</f>
        <v/>
      </c>
      <c r="AW16" s="1">
        <f>IFERROR(__xludf.DUMMYFUNCTION("""COMPUTED_VALUE"""),0.0)</f>
        <v>0</v>
      </c>
      <c r="AX16" s="1">
        <f>IFERROR(__xludf.DUMMYFUNCTION("""COMPUTED_VALUE"""),0.0)</f>
        <v>0</v>
      </c>
      <c r="AY16" s="2" t="str">
        <f>IFERROR(__xludf.DUMMYFUNCTION("""COMPUTED_VALUE"""),"")</f>
        <v/>
      </c>
      <c r="AZ16" s="1">
        <f>IFERROR(__xludf.DUMMYFUNCTION("""COMPUTED_VALUE"""),0.0)</f>
        <v>0</v>
      </c>
      <c r="BA16" s="1">
        <f>IFERROR(__xludf.DUMMYFUNCTION("""COMPUTED_VALUE"""),0.0)</f>
        <v>0</v>
      </c>
      <c r="BB16" s="2" t="str">
        <f>IFERROR(__xludf.DUMMYFUNCTION("""COMPUTED_VALUE"""),"")</f>
        <v/>
      </c>
    </row>
    <row r="17">
      <c r="A17" s="1" t="str">
        <f>IFERROR(__xludf.DUMMYFUNCTION("""COMPUTED_VALUE"""),"63ef9d5c384f27260c1baa7f")</f>
        <v>63ef9d5c384f27260c1baa7f</v>
      </c>
      <c r="B17" s="1" t="str">
        <f>IFERROR(__xludf.DUMMYFUNCTION("""COMPUTED_VALUE"""),"APLICACIONES ELECTRICAS ENE")</f>
        <v>APLICACIONES ELECTRICAS ENE</v>
      </c>
      <c r="C17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17" s="1" t="str">
        <f>IFERROR(__xludf.DUMMYFUNCTION("""COMPUTED_VALUE"""),"emea")</f>
        <v>emea</v>
      </c>
      <c r="E17" s="1" t="str">
        <f>IFERROR(__xludf.DUMMYFUNCTION("""COMPUTED_VALUE"""),"ES")</f>
        <v>ES</v>
      </c>
      <c r="F17" s="1" t="str">
        <f>IFERROR(__xludf.DUMMYFUNCTION("""COMPUTED_VALUE"""),"expert_200")</f>
        <v>expert_200</v>
      </c>
      <c r="G17" s="1">
        <f>IFERROR(__xludf.DUMMYFUNCTION("""COMPUTED_VALUE"""),1.0)</f>
        <v>1</v>
      </c>
      <c r="H17" s="1">
        <f>IFERROR(__xludf.DUMMYFUNCTION("""COMPUTED_VALUE"""),1.0)</f>
        <v>1</v>
      </c>
      <c r="I17" s="2">
        <f>IFERROR(__xludf.DUMMYFUNCTION("""COMPUTED_VALUE"""),1.0)</f>
        <v>1</v>
      </c>
      <c r="J17" s="1">
        <f>IFERROR(__xludf.DUMMYFUNCTION("""COMPUTED_VALUE"""),88.22)</f>
        <v>88.22</v>
      </c>
      <c r="K17" s="1">
        <f>IFERROR(__xludf.DUMMYFUNCTION("""COMPUTED_VALUE"""),300.0)</f>
        <v>300</v>
      </c>
      <c r="L17" s="2">
        <f>IFERROR(__xludf.DUMMYFUNCTION("""COMPUTED_VALUE"""),0.29406666666666664)</f>
        <v>0.2940666667</v>
      </c>
      <c r="M17" s="1">
        <f>IFERROR(__xludf.DUMMYFUNCTION("""COMPUTED_VALUE"""),51.0)</f>
        <v>51</v>
      </c>
      <c r="N17" s="1">
        <f>IFERROR(__xludf.DUMMYFUNCTION("""COMPUTED_VALUE"""),52.0)</f>
        <v>52</v>
      </c>
      <c r="O17" s="2">
        <f>IFERROR(__xludf.DUMMYFUNCTION("""COMPUTED_VALUE"""),0.9807692307692307)</f>
        <v>0.9807692308</v>
      </c>
      <c r="P17" s="1">
        <f>IFERROR(__xludf.DUMMYFUNCTION("""COMPUTED_VALUE"""),1.0)</f>
        <v>1</v>
      </c>
      <c r="Q17" s="1">
        <f>IFERROR(__xludf.DUMMYFUNCTION("""COMPUTED_VALUE"""),1.0)</f>
        <v>1</v>
      </c>
      <c r="R17" s="2">
        <f>IFERROR(__xludf.DUMMYFUNCTION("""COMPUTED_VALUE"""),1.0)</f>
        <v>1</v>
      </c>
      <c r="S17" s="1">
        <f>IFERROR(__xludf.DUMMYFUNCTION("""COMPUTED_VALUE"""),1.0)</f>
        <v>1</v>
      </c>
      <c r="T17" s="1">
        <f>IFERROR(__xludf.DUMMYFUNCTION("""COMPUTED_VALUE"""),1.0)</f>
        <v>1</v>
      </c>
      <c r="U17" s="2">
        <f>IFERROR(__xludf.DUMMYFUNCTION("""COMPUTED_VALUE"""),1.0)</f>
        <v>1</v>
      </c>
      <c r="V17" s="1">
        <f>IFERROR(__xludf.DUMMYFUNCTION("""COMPUTED_VALUE"""),0.0)</f>
        <v>0</v>
      </c>
      <c r="W17" s="1">
        <f>IFERROR(__xludf.DUMMYFUNCTION("""COMPUTED_VALUE"""),1.0)</f>
        <v>1</v>
      </c>
      <c r="X17" s="2">
        <f>IFERROR(__xludf.DUMMYFUNCTION("""COMPUTED_VALUE"""),0.0)</f>
        <v>0</v>
      </c>
      <c r="Y17" s="1">
        <f>IFERROR(__xludf.DUMMYFUNCTION("""COMPUTED_VALUE"""),4.42)</f>
        <v>4.42</v>
      </c>
      <c r="Z17" s="1">
        <f>IFERROR(__xludf.DUMMYFUNCTION("""COMPUTED_VALUE"""),0.0)</f>
        <v>0</v>
      </c>
      <c r="AA17" s="2" t="str">
        <f>IFERROR(__xludf.DUMMYFUNCTION("""COMPUTED_VALUE"""),"")</f>
        <v/>
      </c>
      <c r="AB17" s="1">
        <f>IFERROR(__xludf.DUMMYFUNCTION("""COMPUTED_VALUE"""),1.86)</f>
        <v>1.86</v>
      </c>
      <c r="AC17" s="1">
        <f>IFERROR(__xludf.DUMMYFUNCTION("""COMPUTED_VALUE"""),147.06)</f>
        <v>147.06</v>
      </c>
      <c r="AD17" s="2">
        <f>IFERROR(__xludf.DUMMYFUNCTION("""COMPUTED_VALUE"""),0.012647898816809467)</f>
        <v>0.01264789882</v>
      </c>
      <c r="AE17" s="1">
        <f>IFERROR(__xludf.DUMMYFUNCTION("""COMPUTED_VALUE"""),54.08)</f>
        <v>54.08</v>
      </c>
      <c r="AF17" s="1">
        <f>IFERROR(__xludf.DUMMYFUNCTION("""COMPUTED_VALUE"""),147.06)</f>
        <v>147.06</v>
      </c>
      <c r="AG17" s="2">
        <f>IFERROR(__xludf.DUMMYFUNCTION("""COMPUTED_VALUE"""),0.3677410580715354)</f>
        <v>0.3677410581</v>
      </c>
      <c r="AH17" s="1">
        <f>IFERROR(__xludf.DUMMYFUNCTION("""COMPUTED_VALUE"""),108.4)</f>
        <v>108.4</v>
      </c>
      <c r="AI17" s="1">
        <f>IFERROR(__xludf.DUMMYFUNCTION("""COMPUTED_VALUE"""),147.06)</f>
        <v>147.06</v>
      </c>
      <c r="AJ17" s="2">
        <f>IFERROR(__xludf.DUMMYFUNCTION("""COMPUTED_VALUE"""),0.7371141030871753)</f>
        <v>0.7371141031</v>
      </c>
      <c r="AK17" s="1">
        <f>IFERROR(__xludf.DUMMYFUNCTION("""COMPUTED_VALUE"""),168.76)</f>
        <v>168.76</v>
      </c>
      <c r="AL17" s="1">
        <f>IFERROR(__xludf.DUMMYFUNCTION("""COMPUTED_VALUE"""),441.18)</f>
        <v>441.18</v>
      </c>
      <c r="AM17" s="2">
        <f>IFERROR(__xludf.DUMMYFUNCTION("""COMPUTED_VALUE"""),0.38251960650981454)</f>
        <v>0.3825196065</v>
      </c>
      <c r="AN17" s="1">
        <f>IFERROR(__xludf.DUMMYFUNCTION("""COMPUTED_VALUE"""),0.0)</f>
        <v>0</v>
      </c>
      <c r="AO17" s="1">
        <f>IFERROR(__xludf.DUMMYFUNCTION("""COMPUTED_VALUE"""),0.0)</f>
        <v>0</v>
      </c>
      <c r="AP17" s="2" t="str">
        <f>IFERROR(__xludf.DUMMYFUNCTION("""COMPUTED_VALUE"""),"")</f>
        <v/>
      </c>
      <c r="AQ17" s="1">
        <f>IFERROR(__xludf.DUMMYFUNCTION("""COMPUTED_VALUE"""),0.0)</f>
        <v>0</v>
      </c>
      <c r="AR17" s="1">
        <f>IFERROR(__xludf.DUMMYFUNCTION("""COMPUTED_VALUE"""),0.0)</f>
        <v>0</v>
      </c>
      <c r="AS17" s="2" t="str">
        <f>IFERROR(__xludf.DUMMYFUNCTION("""COMPUTED_VALUE"""),"")</f>
        <v/>
      </c>
      <c r="AT17" s="1">
        <f>IFERROR(__xludf.DUMMYFUNCTION("""COMPUTED_VALUE"""),0.0)</f>
        <v>0</v>
      </c>
      <c r="AU17" s="1">
        <f>IFERROR(__xludf.DUMMYFUNCTION("""COMPUTED_VALUE"""),0.0)</f>
        <v>0</v>
      </c>
      <c r="AV17" s="2" t="str">
        <f>IFERROR(__xludf.DUMMYFUNCTION("""COMPUTED_VALUE"""),"")</f>
        <v/>
      </c>
      <c r="AW17" s="1">
        <f>IFERROR(__xludf.DUMMYFUNCTION("""COMPUTED_VALUE"""),0.0)</f>
        <v>0</v>
      </c>
      <c r="AX17" s="1">
        <f>IFERROR(__xludf.DUMMYFUNCTION("""COMPUTED_VALUE"""),0.0)</f>
        <v>0</v>
      </c>
      <c r="AY17" s="2" t="str">
        <f>IFERROR(__xludf.DUMMYFUNCTION("""COMPUTED_VALUE"""),"")</f>
        <v/>
      </c>
      <c r="AZ17" s="1">
        <f>IFERROR(__xludf.DUMMYFUNCTION("""COMPUTED_VALUE"""),0.0)</f>
        <v>0</v>
      </c>
      <c r="BA17" s="1">
        <f>IFERROR(__xludf.DUMMYFUNCTION("""COMPUTED_VALUE"""),0.0)</f>
        <v>0</v>
      </c>
      <c r="BB17" s="2" t="str">
        <f>IFERROR(__xludf.DUMMYFUNCTION("""COMPUTED_VALUE"""),"")</f>
        <v/>
      </c>
    </row>
    <row r="18">
      <c r="A18" s="1" t="str">
        <f>IFERROR(__xludf.DUMMYFUNCTION("""COMPUTED_VALUE"""),"63ef9d60384f27260c1bb0cd")</f>
        <v>63ef9d60384f27260c1bb0cd</v>
      </c>
      <c r="B18" s="1" t="str">
        <f>IFERROR(__xludf.DUMMYFUNCTION("""COMPUTED_VALUE"""),"Arki Management")</f>
        <v>Arki Management</v>
      </c>
      <c r="C18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8" s="1" t="str">
        <f>IFERROR(__xludf.DUMMYFUNCTION("""COMPUTED_VALUE"""),"emea")</f>
        <v>emea</v>
      </c>
      <c r="E18" s="1" t="str">
        <f>IFERROR(__xludf.DUMMYFUNCTION("""COMPUTED_VALUE"""),"ES")</f>
        <v>ES</v>
      </c>
      <c r="F18" s="1" t="str">
        <f>IFERROR(__xludf.DUMMYFUNCTION("""COMPUTED_VALUE"""),"expert_200")</f>
        <v>expert_200</v>
      </c>
      <c r="G18" s="1">
        <f>IFERROR(__xludf.DUMMYFUNCTION("""COMPUTED_VALUE"""),0.0)</f>
        <v>0</v>
      </c>
      <c r="H18" s="1">
        <f>IFERROR(__xludf.DUMMYFUNCTION("""COMPUTED_VALUE"""),1.0)</f>
        <v>1</v>
      </c>
      <c r="I18" s="2">
        <f>IFERROR(__xludf.DUMMYFUNCTION("""COMPUTED_VALUE"""),0.0)</f>
        <v>0</v>
      </c>
      <c r="J18" s="1">
        <f>IFERROR(__xludf.DUMMYFUNCTION("""COMPUTED_VALUE"""),18.39)</f>
        <v>18.39</v>
      </c>
      <c r="K18" s="1">
        <f>IFERROR(__xludf.DUMMYFUNCTION("""COMPUTED_VALUE"""),0.0)</f>
        <v>0</v>
      </c>
      <c r="L18" s="2" t="str">
        <f>IFERROR(__xludf.DUMMYFUNCTION("""COMPUTED_VALUE"""),"")</f>
        <v/>
      </c>
      <c r="M18" s="1">
        <f>IFERROR(__xludf.DUMMYFUNCTION("""COMPUTED_VALUE"""),0.0)</f>
        <v>0</v>
      </c>
      <c r="N18" s="1">
        <f>IFERROR(__xludf.DUMMYFUNCTION("""COMPUTED_VALUE"""),0.0)</f>
        <v>0</v>
      </c>
      <c r="O18" s="2" t="str">
        <f>IFERROR(__xludf.DUMMYFUNCTION("""COMPUTED_VALUE"""),"")</f>
        <v/>
      </c>
      <c r="P18" s="1">
        <f>IFERROR(__xludf.DUMMYFUNCTION("""COMPUTED_VALUE"""),0.0)</f>
        <v>0</v>
      </c>
      <c r="Q18" s="1">
        <f>IFERROR(__xludf.DUMMYFUNCTION("""COMPUTED_VALUE"""),1.0)</f>
        <v>1</v>
      </c>
      <c r="R18" s="2">
        <f>IFERROR(__xludf.DUMMYFUNCTION("""COMPUTED_VALUE"""),0.0)</f>
        <v>0</v>
      </c>
      <c r="S18" s="1">
        <f>IFERROR(__xludf.DUMMYFUNCTION("""COMPUTED_VALUE"""),0.0)</f>
        <v>0</v>
      </c>
      <c r="T18" s="1">
        <f>IFERROR(__xludf.DUMMYFUNCTION("""COMPUTED_VALUE"""),1.0)</f>
        <v>1</v>
      </c>
      <c r="U18" s="2">
        <f>IFERROR(__xludf.DUMMYFUNCTION("""COMPUTED_VALUE"""),0.0)</f>
        <v>0</v>
      </c>
      <c r="V18" s="1">
        <f>IFERROR(__xludf.DUMMYFUNCTION("""COMPUTED_VALUE"""),0.0)</f>
        <v>0</v>
      </c>
      <c r="W18" s="1">
        <f>IFERROR(__xludf.DUMMYFUNCTION("""COMPUTED_VALUE"""),1.0)</f>
        <v>1</v>
      </c>
      <c r="X18" s="2">
        <f>IFERROR(__xludf.DUMMYFUNCTION("""COMPUTED_VALUE"""),0.0)</f>
        <v>0</v>
      </c>
      <c r="Y18" s="1">
        <f>IFERROR(__xludf.DUMMYFUNCTION("""COMPUTED_VALUE"""),75.0)</f>
        <v>75</v>
      </c>
      <c r="Z18" s="1">
        <f>IFERROR(__xludf.DUMMYFUNCTION("""COMPUTED_VALUE"""),0.0)</f>
        <v>0</v>
      </c>
      <c r="AA18" s="2" t="str">
        <f>IFERROR(__xludf.DUMMYFUNCTION("""COMPUTED_VALUE"""),"")</f>
        <v/>
      </c>
      <c r="AB18" s="1">
        <f>IFERROR(__xludf.DUMMYFUNCTION("""COMPUTED_VALUE"""),9.0)</f>
        <v>9</v>
      </c>
      <c r="AC18" s="1">
        <f>IFERROR(__xludf.DUMMYFUNCTION("""COMPUTED_VALUE"""),0.0)</f>
        <v>0</v>
      </c>
      <c r="AD18" s="2" t="str">
        <f>IFERROR(__xludf.DUMMYFUNCTION("""COMPUTED_VALUE"""),"")</f>
        <v/>
      </c>
      <c r="AE18" s="1">
        <f>IFERROR(__xludf.DUMMYFUNCTION("""COMPUTED_VALUE"""),73.3)</f>
        <v>73.3</v>
      </c>
      <c r="AF18" s="1">
        <f>IFERROR(__xludf.DUMMYFUNCTION("""COMPUTED_VALUE"""),0.0)</f>
        <v>0</v>
      </c>
      <c r="AG18" s="2" t="str">
        <f>IFERROR(__xludf.DUMMYFUNCTION("""COMPUTED_VALUE"""),"")</f>
        <v/>
      </c>
      <c r="AH18" s="1">
        <f>IFERROR(__xludf.DUMMYFUNCTION("""COMPUTED_VALUE"""),135.8)</f>
        <v>135.8</v>
      </c>
      <c r="AI18" s="1">
        <f>IFERROR(__xludf.DUMMYFUNCTION("""COMPUTED_VALUE"""),0.0)</f>
        <v>0</v>
      </c>
      <c r="AJ18" s="2" t="str">
        <f>IFERROR(__xludf.DUMMYFUNCTION("""COMPUTED_VALUE"""),"")</f>
        <v/>
      </c>
      <c r="AK18" s="1">
        <f>IFERROR(__xludf.DUMMYFUNCTION("""COMPUTED_VALUE"""),293.1)</f>
        <v>293.1</v>
      </c>
      <c r="AL18" s="1">
        <f>IFERROR(__xludf.DUMMYFUNCTION("""COMPUTED_VALUE"""),0.0)</f>
        <v>0</v>
      </c>
      <c r="AM18" s="2" t="str">
        <f>IFERROR(__xludf.DUMMYFUNCTION("""COMPUTED_VALUE"""),"")</f>
        <v/>
      </c>
      <c r="AN18" s="1">
        <f>IFERROR(__xludf.DUMMYFUNCTION("""COMPUTED_VALUE"""),0.0)</f>
        <v>0</v>
      </c>
      <c r="AO18" s="1">
        <f>IFERROR(__xludf.DUMMYFUNCTION("""COMPUTED_VALUE"""),0.0)</f>
        <v>0</v>
      </c>
      <c r="AP18" s="2" t="str">
        <f>IFERROR(__xludf.DUMMYFUNCTION("""COMPUTED_VALUE"""),"")</f>
        <v/>
      </c>
      <c r="AQ18" s="1">
        <f>IFERROR(__xludf.DUMMYFUNCTION("""COMPUTED_VALUE"""),0.0)</f>
        <v>0</v>
      </c>
      <c r="AR18" s="1">
        <f>IFERROR(__xludf.DUMMYFUNCTION("""COMPUTED_VALUE"""),0.0)</f>
        <v>0</v>
      </c>
      <c r="AS18" s="2" t="str">
        <f>IFERROR(__xludf.DUMMYFUNCTION("""COMPUTED_VALUE"""),"")</f>
        <v/>
      </c>
      <c r="AT18" s="1">
        <f>IFERROR(__xludf.DUMMYFUNCTION("""COMPUTED_VALUE"""),0.0)</f>
        <v>0</v>
      </c>
      <c r="AU18" s="1">
        <f>IFERROR(__xludf.DUMMYFUNCTION("""COMPUTED_VALUE"""),0.0)</f>
        <v>0</v>
      </c>
      <c r="AV18" s="2" t="str">
        <f>IFERROR(__xludf.DUMMYFUNCTION("""COMPUTED_VALUE"""),"")</f>
        <v/>
      </c>
      <c r="AW18" s="1">
        <f>IFERROR(__xludf.DUMMYFUNCTION("""COMPUTED_VALUE"""),0.0)</f>
        <v>0</v>
      </c>
      <c r="AX18" s="1">
        <f>IFERROR(__xludf.DUMMYFUNCTION("""COMPUTED_VALUE"""),0.0)</f>
        <v>0</v>
      </c>
      <c r="AY18" s="2" t="str">
        <f>IFERROR(__xludf.DUMMYFUNCTION("""COMPUTED_VALUE"""),"")</f>
        <v/>
      </c>
      <c r="AZ18" s="1">
        <f>IFERROR(__xludf.DUMMYFUNCTION("""COMPUTED_VALUE"""),0.0)</f>
        <v>0</v>
      </c>
      <c r="BA18" s="1">
        <f>IFERROR(__xludf.DUMMYFUNCTION("""COMPUTED_VALUE"""),0.0)</f>
        <v>0</v>
      </c>
      <c r="BB18" s="2" t="str">
        <f>IFERROR(__xludf.DUMMYFUNCTION("""COMPUTED_VALUE"""),"")</f>
        <v/>
      </c>
    </row>
    <row r="19">
      <c r="A19" s="1" t="str">
        <f>IFERROR(__xludf.DUMMYFUNCTION("""COMPUTED_VALUE"""),"63ef9d57384f27260c1ba2f1")</f>
        <v>63ef9d57384f27260c1ba2f1</v>
      </c>
      <c r="B19" s="1" t="str">
        <f>IFERROR(__xludf.DUMMYFUNCTION("""COMPUTED_VALUE"""),"ARROW ENTERPRISE COMPUTING SOLUTION")</f>
        <v>ARROW ENTERPRISE COMPUTING SOLUTION</v>
      </c>
      <c r="C19" s="1" t="str">
        <f>IFERROR(__xludf.DUMMYFUNCTION("""COMPUTED_VALUE"""),"holly.berger@al-enterprise.com")</f>
        <v>holly.berger@al-enterprise.com</v>
      </c>
      <c r="D19" s="1" t="str">
        <f>IFERROR(__xludf.DUMMYFUNCTION("""COMPUTED_VALUE"""),"americas")</f>
        <v>americas</v>
      </c>
      <c r="E19" s="1" t="str">
        <f>IFERROR(__xludf.DUMMYFUNCTION("""COMPUTED_VALUE"""),"US")</f>
        <v>US</v>
      </c>
      <c r="F19" s="1" t="str">
        <f>IFERROR(__xludf.DUMMYFUNCTION("""COMPUTED_VALUE"""),"distributor_1000")</f>
        <v>distributor_1000</v>
      </c>
      <c r="G19" s="1">
        <f>IFERROR(__xludf.DUMMYFUNCTION("""COMPUTED_VALUE"""),0.0)</f>
        <v>0</v>
      </c>
      <c r="H19" s="1">
        <f>IFERROR(__xludf.DUMMYFUNCTION("""COMPUTED_VALUE"""),1.0)</f>
        <v>1</v>
      </c>
      <c r="I19" s="2">
        <f>IFERROR(__xludf.DUMMYFUNCTION("""COMPUTED_VALUE"""),0.0)</f>
        <v>0</v>
      </c>
      <c r="J19" s="1">
        <f>IFERROR(__xludf.DUMMYFUNCTION("""COMPUTED_VALUE"""),10554.48)</f>
        <v>10554.48</v>
      </c>
      <c r="K19" s="1">
        <f>IFERROR(__xludf.DUMMYFUNCTION("""COMPUTED_VALUE"""),12725.89)</f>
        <v>12725.89</v>
      </c>
      <c r="L19" s="2">
        <f>IFERROR(__xludf.DUMMYFUNCTION("""COMPUTED_VALUE"""),0.8293706766285108)</f>
        <v>0.8293706766</v>
      </c>
      <c r="M19" s="1">
        <f>IFERROR(__xludf.DUMMYFUNCTION("""COMPUTED_VALUE"""),16.0)</f>
        <v>16</v>
      </c>
      <c r="N19" s="1">
        <f>IFERROR(__xludf.DUMMYFUNCTION("""COMPUTED_VALUE"""),56.0)</f>
        <v>56</v>
      </c>
      <c r="O19" s="2">
        <f>IFERROR(__xludf.DUMMYFUNCTION("""COMPUTED_VALUE"""),0.2857142857142857)</f>
        <v>0.2857142857</v>
      </c>
      <c r="P19" s="1">
        <f>IFERROR(__xludf.DUMMYFUNCTION("""COMPUTED_VALUE"""),1.0)</f>
        <v>1</v>
      </c>
      <c r="Q19" s="1">
        <f>IFERROR(__xludf.DUMMYFUNCTION("""COMPUTED_VALUE"""),1.0)</f>
        <v>1</v>
      </c>
      <c r="R19" s="2">
        <f>IFERROR(__xludf.DUMMYFUNCTION("""COMPUTED_VALUE"""),1.0)</f>
        <v>1</v>
      </c>
      <c r="S19" s="1">
        <f>IFERROR(__xludf.DUMMYFUNCTION("""COMPUTED_VALUE"""),1.0)</f>
        <v>1</v>
      </c>
      <c r="T19" s="1">
        <f>IFERROR(__xludf.DUMMYFUNCTION("""COMPUTED_VALUE"""),1.0)</f>
        <v>1</v>
      </c>
      <c r="U19" s="2">
        <f>IFERROR(__xludf.DUMMYFUNCTION("""COMPUTED_VALUE"""),1.0)</f>
        <v>1</v>
      </c>
      <c r="V19" s="1">
        <f>IFERROR(__xludf.DUMMYFUNCTION("""COMPUTED_VALUE"""),0.0)</f>
        <v>0</v>
      </c>
      <c r="W19" s="1">
        <f>IFERROR(__xludf.DUMMYFUNCTION("""COMPUTED_VALUE"""),1.0)</f>
        <v>1</v>
      </c>
      <c r="X19" s="2">
        <f>IFERROR(__xludf.DUMMYFUNCTION("""COMPUTED_VALUE"""),0.0)</f>
        <v>0</v>
      </c>
      <c r="Y19" s="1">
        <f>IFERROR(__xludf.DUMMYFUNCTION("""COMPUTED_VALUE"""),3.08)</f>
        <v>3.08</v>
      </c>
      <c r="Z19" s="1">
        <f>IFERROR(__xludf.DUMMYFUNCTION("""COMPUTED_VALUE"""),0.0)</f>
        <v>0</v>
      </c>
      <c r="AA19" s="2" t="str">
        <f>IFERROR(__xludf.DUMMYFUNCTION("""COMPUTED_VALUE"""),"")</f>
        <v/>
      </c>
      <c r="AB19" s="1">
        <f>IFERROR(__xludf.DUMMYFUNCTION("""COMPUTED_VALUE"""),8.97)</f>
        <v>8.97</v>
      </c>
      <c r="AC19" s="1">
        <f>IFERROR(__xludf.DUMMYFUNCTION("""COMPUTED_VALUE"""),6881.01)</f>
        <v>6881.01</v>
      </c>
      <c r="AD19" s="2">
        <f>IFERROR(__xludf.DUMMYFUNCTION("""COMPUTED_VALUE"""),0.0013035877000614736)</f>
        <v>0.0013035877</v>
      </c>
      <c r="AE19" s="1">
        <f>IFERROR(__xludf.DUMMYFUNCTION("""COMPUTED_VALUE"""),296.05)</f>
        <v>296.05</v>
      </c>
      <c r="AF19" s="1">
        <f>IFERROR(__xludf.DUMMYFUNCTION("""COMPUTED_VALUE"""),10318.83)</f>
        <v>10318.83</v>
      </c>
      <c r="AG19" s="2">
        <f>IFERROR(__xludf.DUMMYFUNCTION("""COMPUTED_VALUE"""),0.028690268179628893)</f>
        <v>0.02869026818</v>
      </c>
      <c r="AH19" s="1">
        <f>IFERROR(__xludf.DUMMYFUNCTION("""COMPUTED_VALUE"""),18.91)</f>
        <v>18.91</v>
      </c>
      <c r="AI19" s="1">
        <f>IFERROR(__xludf.DUMMYFUNCTION("""COMPUTED_VALUE"""),10316.12)</f>
        <v>10316.12</v>
      </c>
      <c r="AJ19" s="2">
        <f>IFERROR(__xludf.DUMMYFUNCTION("""COMPUTED_VALUE"""),0.0018330535123670525)</f>
        <v>0.001833053512</v>
      </c>
      <c r="AK19" s="1">
        <f>IFERROR(__xludf.DUMMYFUNCTION("""COMPUTED_VALUE"""),327.01000000000005)</f>
        <v>327.01</v>
      </c>
      <c r="AL19" s="1">
        <f>IFERROR(__xludf.DUMMYFUNCTION("""COMPUTED_VALUE"""),27515.96)</f>
        <v>27515.96</v>
      </c>
      <c r="AM19" s="2">
        <f>IFERROR(__xludf.DUMMYFUNCTION("""COMPUTED_VALUE"""),0.011884375467910262)</f>
        <v>0.01188437547</v>
      </c>
      <c r="AN19" s="1">
        <f>IFERROR(__xludf.DUMMYFUNCTION("""COMPUTED_VALUE"""),2.74)</f>
        <v>2.74</v>
      </c>
      <c r="AO19" s="1">
        <f>IFERROR(__xludf.DUMMYFUNCTION("""COMPUTED_VALUE"""),0.0)</f>
        <v>0</v>
      </c>
      <c r="AP19" s="2" t="str">
        <f>IFERROR(__xludf.DUMMYFUNCTION("""COMPUTED_VALUE"""),"")</f>
        <v/>
      </c>
      <c r="AQ19" s="1">
        <f>IFERROR(__xludf.DUMMYFUNCTION("""COMPUTED_VALUE"""),28.22)</f>
        <v>28.22</v>
      </c>
      <c r="AR19" s="1">
        <f>IFERROR(__xludf.DUMMYFUNCTION("""COMPUTED_VALUE"""),0.0)</f>
        <v>0</v>
      </c>
      <c r="AS19" s="2" t="str">
        <f>IFERROR(__xludf.DUMMYFUNCTION("""COMPUTED_VALUE"""),"")</f>
        <v/>
      </c>
      <c r="AT19" s="1">
        <f>IFERROR(__xludf.DUMMYFUNCTION("""COMPUTED_VALUE"""),8.38)</f>
        <v>8.38</v>
      </c>
      <c r="AU19" s="1">
        <f>IFERROR(__xludf.DUMMYFUNCTION("""COMPUTED_VALUE"""),0.0)</f>
        <v>0</v>
      </c>
      <c r="AV19" s="2" t="str">
        <f>IFERROR(__xludf.DUMMYFUNCTION("""COMPUTED_VALUE"""),"")</f>
        <v/>
      </c>
      <c r="AW19" s="1">
        <f>IFERROR(__xludf.DUMMYFUNCTION("""COMPUTED_VALUE"""),0.0)</f>
        <v>0</v>
      </c>
      <c r="AX19" s="1">
        <f>IFERROR(__xludf.DUMMYFUNCTION("""COMPUTED_VALUE"""),0.0)</f>
        <v>0</v>
      </c>
      <c r="AY19" s="2" t="str">
        <f>IFERROR(__xludf.DUMMYFUNCTION("""COMPUTED_VALUE"""),"")</f>
        <v/>
      </c>
      <c r="AZ19" s="1">
        <f>IFERROR(__xludf.DUMMYFUNCTION("""COMPUTED_VALUE"""),39.34)</f>
        <v>39.34</v>
      </c>
      <c r="BA19" s="1">
        <f>IFERROR(__xludf.DUMMYFUNCTION("""COMPUTED_VALUE"""),0.0)</f>
        <v>0</v>
      </c>
      <c r="BB19" s="2" t="str">
        <f>IFERROR(__xludf.DUMMYFUNCTION("""COMPUTED_VALUE"""),"")</f>
        <v/>
      </c>
    </row>
    <row r="20">
      <c r="A20" s="1" t="str">
        <f>IFERROR(__xludf.DUMMYFUNCTION("""COMPUTED_VALUE"""),"63ced849c5c820531c268e5b")</f>
        <v>63ced849c5c820531c268e5b</v>
      </c>
      <c r="B20" s="1" t="str">
        <f>IFERROR(__xludf.DUMMYFUNCTION("""COMPUTED_VALUE"""),"ASTEL - ADVANCED SOLUCIONES DE")</f>
        <v>ASTEL - ADVANCED SOLUCIONES DE</v>
      </c>
      <c r="C20" s="1" t="str">
        <f>IFERROR(__xludf.DUMMYFUNCTION("""COMPUTED_VALUE"""),"joaquin.flores@al-enterprise.com")</f>
        <v>joaquin.flores@al-enterprise.com</v>
      </c>
      <c r="D20" s="1" t="str">
        <f>IFERROR(__xludf.DUMMYFUNCTION("""COMPUTED_VALUE"""),"americas")</f>
        <v>americas</v>
      </c>
      <c r="E20" s="1" t="str">
        <f>IFERROR(__xludf.DUMMYFUNCTION("""COMPUTED_VALUE"""),"MX")</f>
        <v>MX</v>
      </c>
      <c r="F20" s="1" t="str">
        <f>IFERROR(__xludf.DUMMYFUNCTION("""COMPUTED_VALUE"""),"distributor_1000")</f>
        <v>distributor_1000</v>
      </c>
      <c r="G20" s="1">
        <f>IFERROR(__xludf.DUMMYFUNCTION("""COMPUTED_VALUE"""),0.0)</f>
        <v>0</v>
      </c>
      <c r="H20" s="1">
        <f>IFERROR(__xludf.DUMMYFUNCTION("""COMPUTED_VALUE"""),1.0)</f>
        <v>1</v>
      </c>
      <c r="I20" s="2">
        <f>IFERROR(__xludf.DUMMYFUNCTION("""COMPUTED_VALUE"""),0.0)</f>
        <v>0</v>
      </c>
      <c r="J20" s="1">
        <f>IFERROR(__xludf.DUMMYFUNCTION("""COMPUTED_VALUE"""),785.44)</f>
        <v>785.44</v>
      </c>
      <c r="K20" s="1">
        <f>IFERROR(__xludf.DUMMYFUNCTION("""COMPUTED_VALUE"""),2875.97)</f>
        <v>2875.97</v>
      </c>
      <c r="L20" s="2">
        <f>IFERROR(__xludf.DUMMYFUNCTION("""COMPUTED_VALUE"""),0.27310437869657894)</f>
        <v>0.2731043787</v>
      </c>
      <c r="M20" s="1">
        <f>IFERROR(__xludf.DUMMYFUNCTION("""COMPUTED_VALUE"""),81.0)</f>
        <v>81</v>
      </c>
      <c r="N20" s="1">
        <f>IFERROR(__xludf.DUMMYFUNCTION("""COMPUTED_VALUE"""),52.0)</f>
        <v>52</v>
      </c>
      <c r="O20" s="2">
        <f>IFERROR(__xludf.DUMMYFUNCTION("""COMPUTED_VALUE"""),1.5576923076923077)</f>
        <v>1.557692308</v>
      </c>
      <c r="P20" s="1">
        <f>IFERROR(__xludf.DUMMYFUNCTION("""COMPUTED_VALUE"""),1.0)</f>
        <v>1</v>
      </c>
      <c r="Q20" s="1">
        <f>IFERROR(__xludf.DUMMYFUNCTION("""COMPUTED_VALUE"""),1.0)</f>
        <v>1</v>
      </c>
      <c r="R20" s="2">
        <f>IFERROR(__xludf.DUMMYFUNCTION("""COMPUTED_VALUE"""),1.0)</f>
        <v>1</v>
      </c>
      <c r="S20" s="1">
        <f>IFERROR(__xludf.DUMMYFUNCTION("""COMPUTED_VALUE"""),1.0)</f>
        <v>1</v>
      </c>
      <c r="T20" s="1">
        <f>IFERROR(__xludf.DUMMYFUNCTION("""COMPUTED_VALUE"""),1.0)</f>
        <v>1</v>
      </c>
      <c r="U20" s="2">
        <f>IFERROR(__xludf.DUMMYFUNCTION("""COMPUTED_VALUE"""),1.0)</f>
        <v>1</v>
      </c>
      <c r="V20" s="1">
        <f>IFERROR(__xludf.DUMMYFUNCTION("""COMPUTED_VALUE"""),0.0)</f>
        <v>0</v>
      </c>
      <c r="W20" s="1">
        <f>IFERROR(__xludf.DUMMYFUNCTION("""COMPUTED_VALUE"""),1.0)</f>
        <v>1</v>
      </c>
      <c r="X20" s="2">
        <f>IFERROR(__xludf.DUMMYFUNCTION("""COMPUTED_VALUE"""),0.0)</f>
        <v>0</v>
      </c>
      <c r="Y20" s="1">
        <f>IFERROR(__xludf.DUMMYFUNCTION("""COMPUTED_VALUE"""),14.49)</f>
        <v>14.49</v>
      </c>
      <c r="Z20" s="1">
        <f>IFERROR(__xludf.DUMMYFUNCTION("""COMPUTED_VALUE"""),0.0)</f>
        <v>0</v>
      </c>
      <c r="AA20" s="2" t="str">
        <f>IFERROR(__xludf.DUMMYFUNCTION("""COMPUTED_VALUE"""),"")</f>
        <v/>
      </c>
      <c r="AB20" s="1">
        <f>IFERROR(__xludf.DUMMYFUNCTION("""COMPUTED_VALUE"""),17.91)</f>
        <v>17.91</v>
      </c>
      <c r="AC20" s="1">
        <f>IFERROR(__xludf.DUMMYFUNCTION("""COMPUTED_VALUE"""),845.58)</f>
        <v>845.58</v>
      </c>
      <c r="AD20" s="2">
        <f>IFERROR(__xludf.DUMMYFUNCTION("""COMPUTED_VALUE"""),0.021180728021003334)</f>
        <v>0.02118072802</v>
      </c>
      <c r="AE20" s="1">
        <f>IFERROR(__xludf.DUMMYFUNCTION("""COMPUTED_VALUE"""),93.62)</f>
        <v>93.62</v>
      </c>
      <c r="AF20" s="1">
        <f>IFERROR(__xludf.DUMMYFUNCTION("""COMPUTED_VALUE"""),1269.09)</f>
        <v>1269.09</v>
      </c>
      <c r="AG20" s="2">
        <f>IFERROR(__xludf.DUMMYFUNCTION("""COMPUTED_VALUE"""),0.07376939381761735)</f>
        <v>0.07376939382</v>
      </c>
      <c r="AH20" s="1">
        <f>IFERROR(__xludf.DUMMYFUNCTION("""COMPUTED_VALUE"""),184.87)</f>
        <v>184.87</v>
      </c>
      <c r="AI20" s="1">
        <f>IFERROR(__xludf.DUMMYFUNCTION("""COMPUTED_VALUE"""),1269.09)</f>
        <v>1269.09</v>
      </c>
      <c r="AJ20" s="2">
        <f>IFERROR(__xludf.DUMMYFUNCTION("""COMPUTED_VALUE"""),0.14567130778746978)</f>
        <v>0.1456713078</v>
      </c>
      <c r="AK20" s="1">
        <f>IFERROR(__xludf.DUMMYFUNCTION("""COMPUTED_VALUE"""),310.89)</f>
        <v>310.89</v>
      </c>
      <c r="AL20" s="1">
        <f>IFERROR(__xludf.DUMMYFUNCTION("""COMPUTED_VALUE"""),3383.76)</f>
        <v>3383.76</v>
      </c>
      <c r="AM20" s="2">
        <f>IFERROR(__xludf.DUMMYFUNCTION("""COMPUTED_VALUE"""),0.09187708348109794)</f>
        <v>0.09187708348</v>
      </c>
      <c r="AN20" s="1">
        <f>IFERROR(__xludf.DUMMYFUNCTION("""COMPUTED_VALUE"""),41.46)</f>
        <v>41.46</v>
      </c>
      <c r="AO20" s="1">
        <f>IFERROR(__xludf.DUMMYFUNCTION("""COMPUTED_VALUE"""),0.0)</f>
        <v>0</v>
      </c>
      <c r="AP20" s="2" t="str">
        <f>IFERROR(__xludf.DUMMYFUNCTION("""COMPUTED_VALUE"""),"")</f>
        <v/>
      </c>
      <c r="AQ20" s="1">
        <f>IFERROR(__xludf.DUMMYFUNCTION("""COMPUTED_VALUE"""),64.23)</f>
        <v>64.23</v>
      </c>
      <c r="AR20" s="1">
        <f>IFERROR(__xludf.DUMMYFUNCTION("""COMPUTED_VALUE"""),0.0)</f>
        <v>0</v>
      </c>
      <c r="AS20" s="2" t="str">
        <f>IFERROR(__xludf.DUMMYFUNCTION("""COMPUTED_VALUE"""),"")</f>
        <v/>
      </c>
      <c r="AT20" s="1">
        <f>IFERROR(__xludf.DUMMYFUNCTION("""COMPUTED_VALUE"""),0.0)</f>
        <v>0</v>
      </c>
      <c r="AU20" s="1">
        <f>IFERROR(__xludf.DUMMYFUNCTION("""COMPUTED_VALUE"""),0.0)</f>
        <v>0</v>
      </c>
      <c r="AV20" s="2" t="str">
        <f>IFERROR(__xludf.DUMMYFUNCTION("""COMPUTED_VALUE"""),"")</f>
        <v/>
      </c>
      <c r="AW20" s="1">
        <f>IFERROR(__xludf.DUMMYFUNCTION("""COMPUTED_VALUE"""),7.26)</f>
        <v>7.26</v>
      </c>
      <c r="AX20" s="1">
        <f>IFERROR(__xludf.DUMMYFUNCTION("""COMPUTED_VALUE"""),0.0)</f>
        <v>0</v>
      </c>
      <c r="AY20" s="2" t="str">
        <f>IFERROR(__xludf.DUMMYFUNCTION("""COMPUTED_VALUE"""),"")</f>
        <v/>
      </c>
      <c r="AZ20" s="1">
        <f>IFERROR(__xludf.DUMMYFUNCTION("""COMPUTED_VALUE"""),112.95)</f>
        <v>112.95</v>
      </c>
      <c r="BA20" s="1">
        <f>IFERROR(__xludf.DUMMYFUNCTION("""COMPUTED_VALUE"""),0.0)</f>
        <v>0</v>
      </c>
      <c r="BB20" s="2" t="str">
        <f>IFERROR(__xludf.DUMMYFUNCTION("""COMPUTED_VALUE"""),"")</f>
        <v/>
      </c>
    </row>
    <row r="21">
      <c r="A21" s="1" t="str">
        <f>IFERROR(__xludf.DUMMYFUNCTION("""COMPUTED_VALUE"""),"67a5d9f053e26e938a079872")</f>
        <v>67a5d9f053e26e938a079872</v>
      </c>
      <c r="B21" s="1" t="str">
        <f>IFERROR(__xludf.DUMMYFUNCTION("""COMPUTED_VALUE"""),"Axcelerate Networks, Inc.")</f>
        <v>Axcelerate Networks, Inc.</v>
      </c>
      <c r="C21" s="1" t="str">
        <f>IFERROR(__xludf.DUMMYFUNCTION("""COMPUTED_VALUE"""),"bill.rademacher@al-enterprise.com")</f>
        <v>bill.rademacher@al-enterprise.com</v>
      </c>
      <c r="D21" s="1" t="str">
        <f>IFERROR(__xludf.DUMMYFUNCTION("""COMPUTED_VALUE"""),"americas")</f>
        <v>americas</v>
      </c>
      <c r="E21" s="1" t="str">
        <f>IFERROR(__xludf.DUMMYFUNCTION("""COMPUTED_VALUE"""),"US")</f>
        <v>US</v>
      </c>
      <c r="F21" s="1" t="str">
        <f>IFERROR(__xludf.DUMMYFUNCTION("""COMPUTED_VALUE"""),"expert_200")</f>
        <v>expert_200</v>
      </c>
      <c r="G21" s="1">
        <f>IFERROR(__xludf.DUMMYFUNCTION("""COMPUTED_VALUE"""),0.0)</f>
        <v>0</v>
      </c>
      <c r="H21" s="1">
        <f>IFERROR(__xludf.DUMMYFUNCTION("""COMPUTED_VALUE"""),1.0)</f>
        <v>1</v>
      </c>
      <c r="I21" s="2">
        <f>IFERROR(__xludf.DUMMYFUNCTION("""COMPUTED_VALUE"""),0.0)</f>
        <v>0</v>
      </c>
      <c r="J21" s="1">
        <f>IFERROR(__xludf.DUMMYFUNCTION("""COMPUTED_VALUE"""),0.0)</f>
        <v>0</v>
      </c>
      <c r="K21" s="1">
        <f>IFERROR(__xludf.DUMMYFUNCTION("""COMPUTED_VALUE"""),0.0)</f>
        <v>0</v>
      </c>
      <c r="L21" s="2" t="str">
        <f>IFERROR(__xludf.DUMMYFUNCTION("""COMPUTED_VALUE"""),"")</f>
        <v/>
      </c>
      <c r="M21" s="1">
        <f>IFERROR(__xludf.DUMMYFUNCTION("""COMPUTED_VALUE"""),0.0)</f>
        <v>0</v>
      </c>
      <c r="N21" s="1">
        <f>IFERROR(__xludf.DUMMYFUNCTION("""COMPUTED_VALUE"""),0.0)</f>
        <v>0</v>
      </c>
      <c r="O21" s="2" t="str">
        <f>IFERROR(__xludf.DUMMYFUNCTION("""COMPUTED_VALUE"""),"")</f>
        <v/>
      </c>
      <c r="P21" s="1">
        <f>IFERROR(__xludf.DUMMYFUNCTION("""COMPUTED_VALUE"""),0.0)</f>
        <v>0</v>
      </c>
      <c r="Q21" s="1">
        <f>IFERROR(__xludf.DUMMYFUNCTION("""COMPUTED_VALUE"""),1.0)</f>
        <v>1</v>
      </c>
      <c r="R21" s="2">
        <f>IFERROR(__xludf.DUMMYFUNCTION("""COMPUTED_VALUE"""),0.0)</f>
        <v>0</v>
      </c>
      <c r="S21" s="1">
        <f>IFERROR(__xludf.DUMMYFUNCTION("""COMPUTED_VALUE"""),0.0)</f>
        <v>0</v>
      </c>
      <c r="T21" s="1">
        <f>IFERROR(__xludf.DUMMYFUNCTION("""COMPUTED_VALUE"""),1.0)</f>
        <v>1</v>
      </c>
      <c r="U21" s="2">
        <f>IFERROR(__xludf.DUMMYFUNCTION("""COMPUTED_VALUE"""),0.0)</f>
        <v>0</v>
      </c>
      <c r="V21" s="1">
        <f>IFERROR(__xludf.DUMMYFUNCTION("""COMPUTED_VALUE"""),0.0)</f>
        <v>0</v>
      </c>
      <c r="W21" s="1">
        <f>IFERROR(__xludf.DUMMYFUNCTION("""COMPUTED_VALUE"""),1.0)</f>
        <v>1</v>
      </c>
      <c r="X21" s="2">
        <f>IFERROR(__xludf.DUMMYFUNCTION("""COMPUTED_VALUE"""),0.0)</f>
        <v>0</v>
      </c>
      <c r="Y21" s="1">
        <f>IFERROR(__xludf.DUMMYFUNCTION("""COMPUTED_VALUE"""),0.0)</f>
        <v>0</v>
      </c>
      <c r="Z21" s="1">
        <f>IFERROR(__xludf.DUMMYFUNCTION("""COMPUTED_VALUE"""),0.0)</f>
        <v>0</v>
      </c>
      <c r="AA21" s="2" t="str">
        <f>IFERROR(__xludf.DUMMYFUNCTION("""COMPUTED_VALUE"""),"")</f>
        <v/>
      </c>
      <c r="AB21" s="1">
        <f>IFERROR(__xludf.DUMMYFUNCTION("""COMPUTED_VALUE"""),0.0)</f>
        <v>0</v>
      </c>
      <c r="AC21" s="1">
        <f>IFERROR(__xludf.DUMMYFUNCTION("""COMPUTED_VALUE"""),0.0)</f>
        <v>0</v>
      </c>
      <c r="AD21" s="2" t="str">
        <f>IFERROR(__xludf.DUMMYFUNCTION("""COMPUTED_VALUE"""),"")</f>
        <v/>
      </c>
      <c r="AE21" s="1">
        <f>IFERROR(__xludf.DUMMYFUNCTION("""COMPUTED_VALUE"""),0.0)</f>
        <v>0</v>
      </c>
      <c r="AF21" s="1">
        <f>IFERROR(__xludf.DUMMYFUNCTION("""COMPUTED_VALUE"""),0.0)</f>
        <v>0</v>
      </c>
      <c r="AG21" s="2" t="str">
        <f>IFERROR(__xludf.DUMMYFUNCTION("""COMPUTED_VALUE"""),"")</f>
        <v/>
      </c>
      <c r="AH21" s="1">
        <f>IFERROR(__xludf.DUMMYFUNCTION("""COMPUTED_VALUE"""),0.0)</f>
        <v>0</v>
      </c>
      <c r="AI21" s="1">
        <f>IFERROR(__xludf.DUMMYFUNCTION("""COMPUTED_VALUE"""),0.0)</f>
        <v>0</v>
      </c>
      <c r="AJ21" s="2" t="str">
        <f>IFERROR(__xludf.DUMMYFUNCTION("""COMPUTED_VALUE"""),"")</f>
        <v/>
      </c>
      <c r="AK21" s="1">
        <f>IFERROR(__xludf.DUMMYFUNCTION("""COMPUTED_VALUE"""),0.0)</f>
        <v>0</v>
      </c>
      <c r="AL21" s="1">
        <f>IFERROR(__xludf.DUMMYFUNCTION("""COMPUTED_VALUE"""),0.0)</f>
        <v>0</v>
      </c>
      <c r="AM21" s="2" t="str">
        <f>IFERROR(__xludf.DUMMYFUNCTION("""COMPUTED_VALUE"""),"")</f>
        <v/>
      </c>
      <c r="AN21" s="1">
        <f>IFERROR(__xludf.DUMMYFUNCTION("""COMPUTED_VALUE"""),0.0)</f>
        <v>0</v>
      </c>
      <c r="AO21" s="1">
        <f>IFERROR(__xludf.DUMMYFUNCTION("""COMPUTED_VALUE"""),0.0)</f>
        <v>0</v>
      </c>
      <c r="AP21" s="2" t="str">
        <f>IFERROR(__xludf.DUMMYFUNCTION("""COMPUTED_VALUE"""),"")</f>
        <v/>
      </c>
      <c r="AQ21" s="1">
        <f>IFERROR(__xludf.DUMMYFUNCTION("""COMPUTED_VALUE"""),0.0)</f>
        <v>0</v>
      </c>
      <c r="AR21" s="1">
        <f>IFERROR(__xludf.DUMMYFUNCTION("""COMPUTED_VALUE"""),0.0)</f>
        <v>0</v>
      </c>
      <c r="AS21" s="2" t="str">
        <f>IFERROR(__xludf.DUMMYFUNCTION("""COMPUTED_VALUE"""),"")</f>
        <v/>
      </c>
      <c r="AT21" s="1">
        <f>IFERROR(__xludf.DUMMYFUNCTION("""COMPUTED_VALUE"""),0.0)</f>
        <v>0</v>
      </c>
      <c r="AU21" s="1">
        <f>IFERROR(__xludf.DUMMYFUNCTION("""COMPUTED_VALUE"""),0.0)</f>
        <v>0</v>
      </c>
      <c r="AV21" s="2" t="str">
        <f>IFERROR(__xludf.DUMMYFUNCTION("""COMPUTED_VALUE"""),"")</f>
        <v/>
      </c>
      <c r="AW21" s="1">
        <f>IFERROR(__xludf.DUMMYFUNCTION("""COMPUTED_VALUE"""),0.0)</f>
        <v>0</v>
      </c>
      <c r="AX21" s="1">
        <f>IFERROR(__xludf.DUMMYFUNCTION("""COMPUTED_VALUE"""),0.0)</f>
        <v>0</v>
      </c>
      <c r="AY21" s="2" t="str">
        <f>IFERROR(__xludf.DUMMYFUNCTION("""COMPUTED_VALUE"""),"")</f>
        <v/>
      </c>
      <c r="AZ21" s="1">
        <f>IFERROR(__xludf.DUMMYFUNCTION("""COMPUTED_VALUE"""),0.0)</f>
        <v>0</v>
      </c>
      <c r="BA21" s="1">
        <f>IFERROR(__xludf.DUMMYFUNCTION("""COMPUTED_VALUE"""),0.0)</f>
        <v>0</v>
      </c>
      <c r="BB21" s="2" t="str">
        <f>IFERROR(__xludf.DUMMYFUNCTION("""COMPUTED_VALUE"""),"")</f>
        <v/>
      </c>
    </row>
    <row r="22">
      <c r="A22" s="1" t="str">
        <f>IFERROR(__xludf.DUMMYFUNCTION("""COMPUTED_VALUE"""),"63ced84ec5c820531c2698f6")</f>
        <v>63ced84ec5c820531c2698f6</v>
      </c>
      <c r="B22" s="1" t="str">
        <f>IFERROR(__xludf.DUMMYFUNCTION("""COMPUTED_VALUE"""),"Axcex Media LLC")</f>
        <v>Axcex Media LLC</v>
      </c>
      <c r="C22" s="1" t="str">
        <f>IFERROR(__xludf.DUMMYFUNCTION("""COMPUTED_VALUE"""),"michael-j.francis@al-enterprise.com, luigy.estevanell@al-enterprise.com, robert.stitz@al-enterprise.com")</f>
        <v>michael-j.francis@al-enterprise.com, luigy.estevanell@al-enterprise.com, robert.stitz@al-enterprise.com</v>
      </c>
      <c r="D22" s="1" t="str">
        <f>IFERROR(__xludf.DUMMYFUNCTION("""COMPUTED_VALUE"""),"americas")</f>
        <v>americas</v>
      </c>
      <c r="E22" s="1" t="str">
        <f>IFERROR(__xludf.DUMMYFUNCTION("""COMPUTED_VALUE"""),"US")</f>
        <v>US</v>
      </c>
      <c r="F22" s="1" t="str">
        <f>IFERROR(__xludf.DUMMYFUNCTION("""COMPUTED_VALUE"""),"expert_200")</f>
        <v>expert_200</v>
      </c>
      <c r="G22" s="1">
        <f>IFERROR(__xludf.DUMMYFUNCTION("""COMPUTED_VALUE"""),0.0)</f>
        <v>0</v>
      </c>
      <c r="H22" s="1">
        <f>IFERROR(__xludf.DUMMYFUNCTION("""COMPUTED_VALUE"""),1.0)</f>
        <v>1</v>
      </c>
      <c r="I22" s="2">
        <f>IFERROR(__xludf.DUMMYFUNCTION("""COMPUTED_VALUE"""),0.0)</f>
        <v>0</v>
      </c>
      <c r="J22" s="1">
        <f>IFERROR(__xludf.DUMMYFUNCTION("""COMPUTED_VALUE"""),14.62)</f>
        <v>14.62</v>
      </c>
      <c r="K22" s="1">
        <f>IFERROR(__xludf.DUMMYFUNCTION("""COMPUTED_VALUE"""),149.6)</f>
        <v>149.6</v>
      </c>
      <c r="L22" s="2">
        <f>IFERROR(__xludf.DUMMYFUNCTION("""COMPUTED_VALUE"""),0.09772727272727273)</f>
        <v>0.09772727273</v>
      </c>
      <c r="M22" s="1">
        <f>IFERROR(__xludf.DUMMYFUNCTION("""COMPUTED_VALUE"""),3.0)</f>
        <v>3</v>
      </c>
      <c r="N22" s="1">
        <f>IFERROR(__xludf.DUMMYFUNCTION("""COMPUTED_VALUE"""),0.0)</f>
        <v>0</v>
      </c>
      <c r="O22" s="2" t="str">
        <f>IFERROR(__xludf.DUMMYFUNCTION("""COMPUTED_VALUE"""),"")</f>
        <v/>
      </c>
      <c r="P22" s="1">
        <f>IFERROR(__xludf.DUMMYFUNCTION("""COMPUTED_VALUE"""),0.0)</f>
        <v>0</v>
      </c>
      <c r="Q22" s="1">
        <f>IFERROR(__xludf.DUMMYFUNCTION("""COMPUTED_VALUE"""),1.0)</f>
        <v>1</v>
      </c>
      <c r="R22" s="2">
        <f>IFERROR(__xludf.DUMMYFUNCTION("""COMPUTED_VALUE"""),0.0)</f>
        <v>0</v>
      </c>
      <c r="S22" s="1">
        <f>IFERROR(__xludf.DUMMYFUNCTION("""COMPUTED_VALUE"""),0.0)</f>
        <v>0</v>
      </c>
      <c r="T22" s="1">
        <f>IFERROR(__xludf.DUMMYFUNCTION("""COMPUTED_VALUE"""),1.0)</f>
        <v>1</v>
      </c>
      <c r="U22" s="2">
        <f>IFERROR(__xludf.DUMMYFUNCTION("""COMPUTED_VALUE"""),0.0)</f>
        <v>0</v>
      </c>
      <c r="V22" s="1">
        <f>IFERROR(__xludf.DUMMYFUNCTION("""COMPUTED_VALUE"""),0.0)</f>
        <v>0</v>
      </c>
      <c r="W22" s="1">
        <f>IFERROR(__xludf.DUMMYFUNCTION("""COMPUTED_VALUE"""),1.0)</f>
        <v>1</v>
      </c>
      <c r="X22" s="2">
        <f>IFERROR(__xludf.DUMMYFUNCTION("""COMPUTED_VALUE"""),0.0)</f>
        <v>0</v>
      </c>
      <c r="Y22" s="1">
        <f>IFERROR(__xludf.DUMMYFUNCTION("""COMPUTED_VALUE"""),0.0)</f>
        <v>0</v>
      </c>
      <c r="Z22" s="1">
        <f>IFERROR(__xludf.DUMMYFUNCTION("""COMPUTED_VALUE"""),0.0)</f>
        <v>0</v>
      </c>
      <c r="AA22" s="2" t="str">
        <f>IFERROR(__xludf.DUMMYFUNCTION("""COMPUTED_VALUE"""),"")</f>
        <v/>
      </c>
      <c r="AB22" s="1">
        <f>IFERROR(__xludf.DUMMYFUNCTION("""COMPUTED_VALUE"""),0.0)</f>
        <v>0</v>
      </c>
      <c r="AC22" s="1">
        <f>IFERROR(__xludf.DUMMYFUNCTION("""COMPUTED_VALUE"""),99.67)</f>
        <v>99.67</v>
      </c>
      <c r="AD22" s="2">
        <f>IFERROR(__xludf.DUMMYFUNCTION("""COMPUTED_VALUE"""),0.0)</f>
        <v>0</v>
      </c>
      <c r="AE22" s="1">
        <f>IFERROR(__xludf.DUMMYFUNCTION("""COMPUTED_VALUE"""),70.61)</f>
        <v>70.61</v>
      </c>
      <c r="AF22" s="1">
        <f>IFERROR(__xludf.DUMMYFUNCTION("""COMPUTED_VALUE"""),149.65)</f>
        <v>149.65</v>
      </c>
      <c r="AG22" s="2">
        <f>IFERROR(__xludf.DUMMYFUNCTION("""COMPUTED_VALUE"""),0.47183427998663546)</f>
        <v>0.47183428</v>
      </c>
      <c r="AH22" s="1">
        <f>IFERROR(__xludf.DUMMYFUNCTION("""COMPUTED_VALUE"""),100.0)</f>
        <v>100</v>
      </c>
      <c r="AI22" s="1">
        <f>IFERROR(__xludf.DUMMYFUNCTION("""COMPUTED_VALUE"""),149.65)</f>
        <v>149.65</v>
      </c>
      <c r="AJ22" s="2">
        <f>IFERROR(__xludf.DUMMYFUNCTION("""COMPUTED_VALUE"""),0.6682258603407951)</f>
        <v>0.6682258603</v>
      </c>
      <c r="AK22" s="1">
        <f>IFERROR(__xludf.DUMMYFUNCTION("""COMPUTED_VALUE"""),170.61)</f>
        <v>170.61</v>
      </c>
      <c r="AL22" s="1">
        <f>IFERROR(__xludf.DUMMYFUNCTION("""COMPUTED_VALUE"""),398.97)</f>
        <v>398.97</v>
      </c>
      <c r="AM22" s="2">
        <f>IFERROR(__xludf.DUMMYFUNCTION("""COMPUTED_VALUE"""),0.42762613730355664)</f>
        <v>0.4276261373</v>
      </c>
      <c r="AN22" s="1">
        <f>IFERROR(__xludf.DUMMYFUNCTION("""COMPUTED_VALUE"""),0.0)</f>
        <v>0</v>
      </c>
      <c r="AO22" s="1">
        <f>IFERROR(__xludf.DUMMYFUNCTION("""COMPUTED_VALUE"""),0.0)</f>
        <v>0</v>
      </c>
      <c r="AP22" s="2" t="str">
        <f>IFERROR(__xludf.DUMMYFUNCTION("""COMPUTED_VALUE"""),"")</f>
        <v/>
      </c>
      <c r="AQ22" s="1">
        <f>IFERROR(__xludf.DUMMYFUNCTION("""COMPUTED_VALUE"""),100.0)</f>
        <v>100</v>
      </c>
      <c r="AR22" s="1">
        <f>IFERROR(__xludf.DUMMYFUNCTION("""COMPUTED_VALUE"""),0.0)</f>
        <v>0</v>
      </c>
      <c r="AS22" s="2" t="str">
        <f>IFERROR(__xludf.DUMMYFUNCTION("""COMPUTED_VALUE"""),"")</f>
        <v/>
      </c>
      <c r="AT22" s="1">
        <f>IFERROR(__xludf.DUMMYFUNCTION("""COMPUTED_VALUE"""),0.0)</f>
        <v>0</v>
      </c>
      <c r="AU22" s="1">
        <f>IFERROR(__xludf.DUMMYFUNCTION("""COMPUTED_VALUE"""),0.0)</f>
        <v>0</v>
      </c>
      <c r="AV22" s="2" t="str">
        <f>IFERROR(__xludf.DUMMYFUNCTION("""COMPUTED_VALUE"""),"")</f>
        <v/>
      </c>
      <c r="AW22" s="1">
        <f>IFERROR(__xludf.DUMMYFUNCTION("""COMPUTED_VALUE"""),0.0)</f>
        <v>0</v>
      </c>
      <c r="AX22" s="1">
        <f>IFERROR(__xludf.DUMMYFUNCTION("""COMPUTED_VALUE"""),0.0)</f>
        <v>0</v>
      </c>
      <c r="AY22" s="2" t="str">
        <f>IFERROR(__xludf.DUMMYFUNCTION("""COMPUTED_VALUE"""),"")</f>
        <v/>
      </c>
      <c r="AZ22" s="1">
        <f>IFERROR(__xludf.DUMMYFUNCTION("""COMPUTED_VALUE"""),100.0)</f>
        <v>100</v>
      </c>
      <c r="BA22" s="1">
        <f>IFERROR(__xludf.DUMMYFUNCTION("""COMPUTED_VALUE"""),0.0)</f>
        <v>0</v>
      </c>
      <c r="BB22" s="2" t="str">
        <f>IFERROR(__xludf.DUMMYFUNCTION("""COMPUTED_VALUE"""),"")</f>
        <v/>
      </c>
    </row>
    <row r="23">
      <c r="A23" s="1" t="str">
        <f>IFERROR(__xludf.DUMMYFUNCTION("""COMPUTED_VALUE"""),"63ced843c5c820531c2681a4")</f>
        <v>63ced843c5c820531c2681a4</v>
      </c>
      <c r="B23" s="1" t="str">
        <f>IFERROR(__xludf.DUMMYFUNCTION("""COMPUTED_VALUE"""),"Axede, S.A.")</f>
        <v>Axede, S.A.</v>
      </c>
      <c r="C23" s="1" t="str">
        <f>IFERROR(__xludf.DUMMYFUNCTION("""COMPUTED_VALUE"""),"javier.largacha@al-enterprise.com")</f>
        <v>javier.largacha@al-enterprise.com</v>
      </c>
      <c r="D23" s="1" t="str">
        <f>IFERROR(__xludf.DUMMYFUNCTION("""COMPUTED_VALUE"""),"americas")</f>
        <v>americas</v>
      </c>
      <c r="E23" s="1" t="str">
        <f>IFERROR(__xludf.DUMMYFUNCTION("""COMPUTED_VALUE"""),"CO")</f>
        <v>CO</v>
      </c>
      <c r="F23" s="1" t="str">
        <f>IFERROR(__xludf.DUMMYFUNCTION("""COMPUTED_VALUE"""),"expert_1000")</f>
        <v>expert_1000</v>
      </c>
      <c r="G23" s="1">
        <f>IFERROR(__xludf.DUMMYFUNCTION("""COMPUTED_VALUE"""),0.0)</f>
        <v>0</v>
      </c>
      <c r="H23" s="1">
        <f>IFERROR(__xludf.DUMMYFUNCTION("""COMPUTED_VALUE"""),1.0)</f>
        <v>1</v>
      </c>
      <c r="I23" s="2">
        <f>IFERROR(__xludf.DUMMYFUNCTION("""COMPUTED_VALUE"""),0.0)</f>
        <v>0</v>
      </c>
      <c r="J23" s="1">
        <f>IFERROR(__xludf.DUMMYFUNCTION("""COMPUTED_VALUE"""),237.1)</f>
        <v>237.1</v>
      </c>
      <c r="K23" s="1">
        <f>IFERROR(__xludf.DUMMYFUNCTION("""COMPUTED_VALUE"""),1332.99)</f>
        <v>1332.99</v>
      </c>
      <c r="L23" s="2">
        <f>IFERROR(__xludf.DUMMYFUNCTION("""COMPUTED_VALUE"""),0.17787080173144584)</f>
        <v>0.1778708017</v>
      </c>
      <c r="M23" s="1">
        <f>IFERROR(__xludf.DUMMYFUNCTION("""COMPUTED_VALUE"""),75.0)</f>
        <v>75</v>
      </c>
      <c r="N23" s="1">
        <f>IFERROR(__xludf.DUMMYFUNCTION("""COMPUTED_VALUE"""),52.0)</f>
        <v>52</v>
      </c>
      <c r="O23" s="2">
        <f>IFERROR(__xludf.DUMMYFUNCTION("""COMPUTED_VALUE"""),1.4423076923076923)</f>
        <v>1.442307692</v>
      </c>
      <c r="P23" s="1">
        <f>IFERROR(__xludf.DUMMYFUNCTION("""COMPUTED_VALUE"""),1.0)</f>
        <v>1</v>
      </c>
      <c r="Q23" s="1">
        <f>IFERROR(__xludf.DUMMYFUNCTION("""COMPUTED_VALUE"""),1.0)</f>
        <v>1</v>
      </c>
      <c r="R23" s="2">
        <f>IFERROR(__xludf.DUMMYFUNCTION("""COMPUTED_VALUE"""),1.0)</f>
        <v>1</v>
      </c>
      <c r="S23" s="1">
        <f>IFERROR(__xludf.DUMMYFUNCTION("""COMPUTED_VALUE"""),1.0)</f>
        <v>1</v>
      </c>
      <c r="T23" s="1">
        <f>IFERROR(__xludf.DUMMYFUNCTION("""COMPUTED_VALUE"""),1.0)</f>
        <v>1</v>
      </c>
      <c r="U23" s="2">
        <f>IFERROR(__xludf.DUMMYFUNCTION("""COMPUTED_VALUE"""),1.0)</f>
        <v>1</v>
      </c>
      <c r="V23" s="1">
        <f>IFERROR(__xludf.DUMMYFUNCTION("""COMPUTED_VALUE"""),0.0)</f>
        <v>0</v>
      </c>
      <c r="W23" s="1">
        <f>IFERROR(__xludf.DUMMYFUNCTION("""COMPUTED_VALUE"""),1.0)</f>
        <v>1</v>
      </c>
      <c r="X23" s="2">
        <f>IFERROR(__xludf.DUMMYFUNCTION("""COMPUTED_VALUE"""),0.0)</f>
        <v>0</v>
      </c>
      <c r="Y23" s="1">
        <f>IFERROR(__xludf.DUMMYFUNCTION("""COMPUTED_VALUE"""),2.0)</f>
        <v>2</v>
      </c>
      <c r="Z23" s="1">
        <f>IFERROR(__xludf.DUMMYFUNCTION("""COMPUTED_VALUE"""),0.0)</f>
        <v>0</v>
      </c>
      <c r="AA23" s="2" t="str">
        <f>IFERROR(__xludf.DUMMYFUNCTION("""COMPUTED_VALUE"""),"")</f>
        <v/>
      </c>
      <c r="AB23" s="1">
        <f>IFERROR(__xludf.DUMMYFUNCTION("""COMPUTED_VALUE"""),3.16)</f>
        <v>3.16</v>
      </c>
      <c r="AC23" s="1">
        <f>IFERROR(__xludf.DUMMYFUNCTION("""COMPUTED_VALUE"""),1260.6)</f>
        <v>1260.6</v>
      </c>
      <c r="AD23" s="2">
        <f>IFERROR(__xludf.DUMMYFUNCTION("""COMPUTED_VALUE"""),0.002506742820878947)</f>
        <v>0.002506742821</v>
      </c>
      <c r="AE23" s="1">
        <f>IFERROR(__xludf.DUMMYFUNCTION("""COMPUTED_VALUE"""),972.1)</f>
        <v>972.1</v>
      </c>
      <c r="AF23" s="1">
        <f>IFERROR(__xludf.DUMMYFUNCTION("""COMPUTED_VALUE"""),1193.93)</f>
        <v>1193.93</v>
      </c>
      <c r="AG23" s="2">
        <f>IFERROR(__xludf.DUMMYFUNCTION("""COMPUTED_VALUE"""),0.8142018376286717)</f>
        <v>0.8142018376</v>
      </c>
      <c r="AH23" s="1">
        <f>IFERROR(__xludf.DUMMYFUNCTION("""COMPUTED_VALUE"""),217.97)</f>
        <v>217.97</v>
      </c>
      <c r="AI23" s="1">
        <f>IFERROR(__xludf.DUMMYFUNCTION("""COMPUTED_VALUE"""),1172.71)</f>
        <v>1172.71</v>
      </c>
      <c r="AJ23" s="2">
        <f>IFERROR(__xludf.DUMMYFUNCTION("""COMPUTED_VALUE"""),0.1858686290728313)</f>
        <v>0.1858686291</v>
      </c>
      <c r="AK23" s="1">
        <f>IFERROR(__xludf.DUMMYFUNCTION("""COMPUTED_VALUE"""),1195.23)</f>
        <v>1195.23</v>
      </c>
      <c r="AL23" s="1">
        <f>IFERROR(__xludf.DUMMYFUNCTION("""COMPUTED_VALUE"""),3627.24)</f>
        <v>3627.24</v>
      </c>
      <c r="AM23" s="2">
        <f>IFERROR(__xludf.DUMMYFUNCTION("""COMPUTED_VALUE"""),0.3295150031428855)</f>
        <v>0.3295150031</v>
      </c>
      <c r="AN23" s="1">
        <f>IFERROR(__xludf.DUMMYFUNCTION("""COMPUTED_VALUE"""),226.72)</f>
        <v>226.72</v>
      </c>
      <c r="AO23" s="1">
        <f>IFERROR(__xludf.DUMMYFUNCTION("""COMPUTED_VALUE"""),0.0)</f>
        <v>0</v>
      </c>
      <c r="AP23" s="2" t="str">
        <f>IFERROR(__xludf.DUMMYFUNCTION("""COMPUTED_VALUE"""),"")</f>
        <v/>
      </c>
      <c r="AQ23" s="1">
        <f>IFERROR(__xludf.DUMMYFUNCTION("""COMPUTED_VALUE"""),111.89)</f>
        <v>111.89</v>
      </c>
      <c r="AR23" s="1">
        <f>IFERROR(__xludf.DUMMYFUNCTION("""COMPUTED_VALUE"""),0.0)</f>
        <v>0</v>
      </c>
      <c r="AS23" s="2" t="str">
        <f>IFERROR(__xludf.DUMMYFUNCTION("""COMPUTED_VALUE"""),"")</f>
        <v/>
      </c>
      <c r="AT23" s="1">
        <f>IFERROR(__xludf.DUMMYFUNCTION("""COMPUTED_VALUE"""),3.33)</f>
        <v>3.33</v>
      </c>
      <c r="AU23" s="1">
        <f>IFERROR(__xludf.DUMMYFUNCTION("""COMPUTED_VALUE"""),0.0)</f>
        <v>0</v>
      </c>
      <c r="AV23" s="2" t="str">
        <f>IFERROR(__xludf.DUMMYFUNCTION("""COMPUTED_VALUE"""),"")</f>
        <v/>
      </c>
      <c r="AW23" s="1">
        <f>IFERROR(__xludf.DUMMYFUNCTION("""COMPUTED_VALUE"""),4.22)</f>
        <v>4.22</v>
      </c>
      <c r="AX23" s="1">
        <f>IFERROR(__xludf.DUMMYFUNCTION("""COMPUTED_VALUE"""),0.0)</f>
        <v>0</v>
      </c>
      <c r="AY23" s="2" t="str">
        <f>IFERROR(__xludf.DUMMYFUNCTION("""COMPUTED_VALUE"""),"")</f>
        <v/>
      </c>
      <c r="AZ23" s="1">
        <f>IFERROR(__xludf.DUMMYFUNCTION("""COMPUTED_VALUE"""),346.16)</f>
        <v>346.16</v>
      </c>
      <c r="BA23" s="1">
        <f>IFERROR(__xludf.DUMMYFUNCTION("""COMPUTED_VALUE"""),0.0)</f>
        <v>0</v>
      </c>
      <c r="BB23" s="2" t="str">
        <f>IFERROR(__xludf.DUMMYFUNCTION("""COMPUTED_VALUE"""),"")</f>
        <v/>
      </c>
    </row>
    <row r="24">
      <c r="A24" s="1" t="str">
        <f>IFERROR(__xludf.DUMMYFUNCTION("""COMPUTED_VALUE"""),"63ced845c5c820531c26869f")</f>
        <v>63ced845c5c820531c26869f</v>
      </c>
      <c r="B24" s="1" t="str">
        <f>IFERROR(__xludf.DUMMYFUNCTION("""COMPUTED_VALUE"""),"BFW Kommunikationssysteme GmbH")</f>
        <v>BFW Kommunikationssysteme GmbH</v>
      </c>
      <c r="C24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24" s="1" t="str">
        <f>IFERROR(__xludf.DUMMYFUNCTION("""COMPUTED_VALUE"""),"germany")</f>
        <v>germany</v>
      </c>
      <c r="E24" s="1" t="str">
        <f>IFERROR(__xludf.DUMMYFUNCTION("""COMPUTED_VALUE"""),"DE")</f>
        <v>DE</v>
      </c>
      <c r="F24" s="1" t="str">
        <f>IFERROR(__xludf.DUMMYFUNCTION("""COMPUTED_VALUE"""),"expert_200")</f>
        <v>expert_200</v>
      </c>
      <c r="G24" s="1">
        <f>IFERROR(__xludf.DUMMYFUNCTION("""COMPUTED_VALUE"""),1.0)</f>
        <v>1</v>
      </c>
      <c r="H24" s="1">
        <f>IFERROR(__xludf.DUMMYFUNCTION("""COMPUTED_VALUE"""),1.0)</f>
        <v>1</v>
      </c>
      <c r="I24" s="2">
        <f>IFERROR(__xludf.DUMMYFUNCTION("""COMPUTED_VALUE"""),1.0)</f>
        <v>1</v>
      </c>
      <c r="J24" s="1">
        <f>IFERROR(__xludf.DUMMYFUNCTION("""COMPUTED_VALUE"""),235.23)</f>
        <v>235.23</v>
      </c>
      <c r="K24" s="1">
        <f>IFERROR(__xludf.DUMMYFUNCTION("""COMPUTED_VALUE"""),448.0)</f>
        <v>448</v>
      </c>
      <c r="L24" s="2">
        <f>IFERROR(__xludf.DUMMYFUNCTION("""COMPUTED_VALUE"""),0.5250669642857143)</f>
        <v>0.5250669643</v>
      </c>
      <c r="M24" s="1">
        <f>IFERROR(__xludf.DUMMYFUNCTION("""COMPUTED_VALUE"""),36.0)</f>
        <v>36</v>
      </c>
      <c r="N24" s="1">
        <f>IFERROR(__xludf.DUMMYFUNCTION("""COMPUTED_VALUE"""),52.0)</f>
        <v>52</v>
      </c>
      <c r="O24" s="2">
        <f>IFERROR(__xludf.DUMMYFUNCTION("""COMPUTED_VALUE"""),0.6923076923076923)</f>
        <v>0.6923076923</v>
      </c>
      <c r="P24" s="1">
        <f>IFERROR(__xludf.DUMMYFUNCTION("""COMPUTED_VALUE"""),1.0)</f>
        <v>1</v>
      </c>
      <c r="Q24" s="1">
        <f>IFERROR(__xludf.DUMMYFUNCTION("""COMPUTED_VALUE"""),1.0)</f>
        <v>1</v>
      </c>
      <c r="R24" s="2">
        <f>IFERROR(__xludf.DUMMYFUNCTION("""COMPUTED_VALUE"""),1.0)</f>
        <v>1</v>
      </c>
      <c r="S24" s="1">
        <f>IFERROR(__xludf.DUMMYFUNCTION("""COMPUTED_VALUE"""),1.0)</f>
        <v>1</v>
      </c>
      <c r="T24" s="1">
        <f>IFERROR(__xludf.DUMMYFUNCTION("""COMPUTED_VALUE"""),1.0)</f>
        <v>1</v>
      </c>
      <c r="U24" s="2">
        <f>IFERROR(__xludf.DUMMYFUNCTION("""COMPUTED_VALUE"""),1.0)</f>
        <v>1</v>
      </c>
      <c r="V24" s="1">
        <f>IFERROR(__xludf.DUMMYFUNCTION("""COMPUTED_VALUE"""),0.0)</f>
        <v>0</v>
      </c>
      <c r="W24" s="1">
        <f>IFERROR(__xludf.DUMMYFUNCTION("""COMPUTED_VALUE"""),1.0)</f>
        <v>1</v>
      </c>
      <c r="X24" s="2">
        <f>IFERROR(__xludf.DUMMYFUNCTION("""COMPUTED_VALUE"""),0.0)</f>
        <v>0</v>
      </c>
      <c r="Y24" s="1">
        <f>IFERROR(__xludf.DUMMYFUNCTION("""COMPUTED_VALUE"""),8.17)</f>
        <v>8.17</v>
      </c>
      <c r="Z24" s="1">
        <f>IFERROR(__xludf.DUMMYFUNCTION("""COMPUTED_VALUE"""),0.0)</f>
        <v>0</v>
      </c>
      <c r="AA24" s="2" t="str">
        <f>IFERROR(__xludf.DUMMYFUNCTION("""COMPUTED_VALUE"""),"")</f>
        <v/>
      </c>
      <c r="AB24" s="1">
        <f>IFERROR(__xludf.DUMMYFUNCTION("""COMPUTED_VALUE"""),0.76)</f>
        <v>0.76</v>
      </c>
      <c r="AC24" s="1">
        <f>IFERROR(__xludf.DUMMYFUNCTION("""COMPUTED_VALUE"""),166.67)</f>
        <v>166.67</v>
      </c>
      <c r="AD24" s="2">
        <f>IFERROR(__xludf.DUMMYFUNCTION("""COMPUTED_VALUE"""),0.004559908801823964)</f>
        <v>0.004559908802</v>
      </c>
      <c r="AE24" s="1">
        <f>IFERROR(__xludf.DUMMYFUNCTION("""COMPUTED_VALUE"""),82.47)</f>
        <v>82.47</v>
      </c>
      <c r="AF24" s="1">
        <f>IFERROR(__xludf.DUMMYFUNCTION("""COMPUTED_VALUE"""),156.52)</f>
        <v>156.52</v>
      </c>
      <c r="AG24" s="2">
        <f>IFERROR(__xludf.DUMMYFUNCTION("""COMPUTED_VALUE"""),0.5268975210835676)</f>
        <v>0.5268975211</v>
      </c>
      <c r="AH24" s="1">
        <f>IFERROR(__xludf.DUMMYFUNCTION("""COMPUTED_VALUE"""),486.22)</f>
        <v>486.22</v>
      </c>
      <c r="AI24" s="1">
        <f>IFERROR(__xludf.DUMMYFUNCTION("""COMPUTED_VALUE"""),181.16)</f>
        <v>181.16</v>
      </c>
      <c r="AJ24" s="2">
        <f>IFERROR(__xludf.DUMMYFUNCTION("""COMPUTED_VALUE"""),2.6839258114374034)</f>
        <v>2.683925811</v>
      </c>
      <c r="AK24" s="1">
        <f>IFERROR(__xludf.DUMMYFUNCTION("""COMPUTED_VALUE"""),577.62)</f>
        <v>577.62</v>
      </c>
      <c r="AL24" s="1">
        <f>IFERROR(__xludf.DUMMYFUNCTION("""COMPUTED_VALUE"""),504.35)</f>
        <v>504.35</v>
      </c>
      <c r="AM24" s="2">
        <f>IFERROR(__xludf.DUMMYFUNCTION("""COMPUTED_VALUE"""),1.1452760979478536)</f>
        <v>1.145276098</v>
      </c>
      <c r="AN24" s="1">
        <f>IFERROR(__xludf.DUMMYFUNCTION("""COMPUTED_VALUE"""),66.56)</f>
        <v>66.56</v>
      </c>
      <c r="AO24" s="1">
        <f>IFERROR(__xludf.DUMMYFUNCTION("""COMPUTED_VALUE"""),0.0)</f>
        <v>0</v>
      </c>
      <c r="AP24" s="2" t="str">
        <f>IFERROR(__xludf.DUMMYFUNCTION("""COMPUTED_VALUE"""),"")</f>
        <v/>
      </c>
      <c r="AQ24" s="1">
        <f>IFERROR(__xludf.DUMMYFUNCTION("""COMPUTED_VALUE"""),16.1)</f>
        <v>16.1</v>
      </c>
      <c r="AR24" s="1">
        <f>IFERROR(__xludf.DUMMYFUNCTION("""COMPUTED_VALUE"""),0.0)</f>
        <v>0</v>
      </c>
      <c r="AS24" s="2" t="str">
        <f>IFERROR(__xludf.DUMMYFUNCTION("""COMPUTED_VALUE"""),"")</f>
        <v/>
      </c>
      <c r="AT24" s="1">
        <f>IFERROR(__xludf.DUMMYFUNCTION("""COMPUTED_VALUE"""),21.35)</f>
        <v>21.35</v>
      </c>
      <c r="AU24" s="1">
        <f>IFERROR(__xludf.DUMMYFUNCTION("""COMPUTED_VALUE"""),0.0)</f>
        <v>0</v>
      </c>
      <c r="AV24" s="2" t="str">
        <f>IFERROR(__xludf.DUMMYFUNCTION("""COMPUTED_VALUE"""),"")</f>
        <v/>
      </c>
      <c r="AW24" s="1">
        <f>IFERROR(__xludf.DUMMYFUNCTION("""COMPUTED_VALUE"""),3.31)</f>
        <v>3.31</v>
      </c>
      <c r="AX24" s="1">
        <f>IFERROR(__xludf.DUMMYFUNCTION("""COMPUTED_VALUE"""),0.0)</f>
        <v>0</v>
      </c>
      <c r="AY24" s="2" t="str">
        <f>IFERROR(__xludf.DUMMYFUNCTION("""COMPUTED_VALUE"""),"")</f>
        <v/>
      </c>
      <c r="AZ24" s="1">
        <f>IFERROR(__xludf.DUMMYFUNCTION("""COMPUTED_VALUE"""),107.32)</f>
        <v>107.32</v>
      </c>
      <c r="BA24" s="1">
        <f>IFERROR(__xludf.DUMMYFUNCTION("""COMPUTED_VALUE"""),0.0)</f>
        <v>0</v>
      </c>
      <c r="BB24" s="2" t="str">
        <f>IFERROR(__xludf.DUMMYFUNCTION("""COMPUTED_VALUE"""),"")</f>
        <v/>
      </c>
    </row>
    <row r="25">
      <c r="A25" s="1" t="str">
        <f>IFERROR(__xludf.DUMMYFUNCTION("""COMPUTED_VALUE"""),"63ced848c5c820531c268d3e")</f>
        <v>63ced848c5c820531c268d3e</v>
      </c>
      <c r="B25" s="1" t="str">
        <f>IFERROR(__xludf.DUMMYFUNCTION("""COMPUTED_VALUE"""),"Binder Systemhaus GmbH")</f>
        <v>Binder Systemhaus GmbH</v>
      </c>
      <c r="C25" s="1" t="str">
        <f>IFERROR(__xludf.DUMMYFUNCTION("""COMPUTED_VALUE"""),"robert.weinberger@al-enterprise.com, andreas.grossheimann@al-enterprise.com, katrin.pfeiffer@al-enterprise.com, sibylle.klopfer@al-enterprise.com, igor.leko@al-enterprise.com")</f>
        <v>robert.weinberger@al-enterprise.com, andreas.grossheimann@al-enterprise.com, katrin.pfeiffer@al-enterprise.com, sibylle.klopfer@al-enterprise.com, igor.leko@al-enterprise.com</v>
      </c>
      <c r="D25" s="1" t="str">
        <f>IFERROR(__xludf.DUMMYFUNCTION("""COMPUTED_VALUE"""),"germany")</f>
        <v>germany</v>
      </c>
      <c r="E25" s="1" t="str">
        <f>IFERROR(__xludf.DUMMYFUNCTION("""COMPUTED_VALUE"""),"DE")</f>
        <v>DE</v>
      </c>
      <c r="F25" s="1" t="str">
        <f>IFERROR(__xludf.DUMMYFUNCTION("""COMPUTED_VALUE"""),"expert_1000")</f>
        <v>expert_1000</v>
      </c>
      <c r="G25" s="1">
        <f>IFERROR(__xludf.DUMMYFUNCTION("""COMPUTED_VALUE"""),1.0)</f>
        <v>1</v>
      </c>
      <c r="H25" s="1">
        <f>IFERROR(__xludf.DUMMYFUNCTION("""COMPUTED_VALUE"""),1.0)</f>
        <v>1</v>
      </c>
      <c r="I25" s="2">
        <f>IFERROR(__xludf.DUMMYFUNCTION("""COMPUTED_VALUE"""),1.0)</f>
        <v>1</v>
      </c>
      <c r="J25" s="1">
        <f>IFERROR(__xludf.DUMMYFUNCTION("""COMPUTED_VALUE"""),497.73)</f>
        <v>497.73</v>
      </c>
      <c r="K25" s="1">
        <f>IFERROR(__xludf.DUMMYFUNCTION("""COMPUTED_VALUE"""),1300.0)</f>
        <v>1300</v>
      </c>
      <c r="L25" s="2">
        <f>IFERROR(__xludf.DUMMYFUNCTION("""COMPUTED_VALUE"""),0.3828692307692308)</f>
        <v>0.3828692308</v>
      </c>
      <c r="M25" s="1">
        <f>IFERROR(__xludf.DUMMYFUNCTION("""COMPUTED_VALUE"""),27.0)</f>
        <v>27</v>
      </c>
      <c r="N25" s="1">
        <f>IFERROR(__xludf.DUMMYFUNCTION("""COMPUTED_VALUE"""),52.0)</f>
        <v>52</v>
      </c>
      <c r="O25" s="2">
        <f>IFERROR(__xludf.DUMMYFUNCTION("""COMPUTED_VALUE"""),0.5192307692307693)</f>
        <v>0.5192307692</v>
      </c>
      <c r="P25" s="1">
        <f>IFERROR(__xludf.DUMMYFUNCTION("""COMPUTED_VALUE"""),1.0)</f>
        <v>1</v>
      </c>
      <c r="Q25" s="1">
        <f>IFERROR(__xludf.DUMMYFUNCTION("""COMPUTED_VALUE"""),1.0)</f>
        <v>1</v>
      </c>
      <c r="R25" s="2">
        <f>IFERROR(__xludf.DUMMYFUNCTION("""COMPUTED_VALUE"""),1.0)</f>
        <v>1</v>
      </c>
      <c r="S25" s="1">
        <f>IFERROR(__xludf.DUMMYFUNCTION("""COMPUTED_VALUE"""),0.0)</f>
        <v>0</v>
      </c>
      <c r="T25" s="1">
        <f>IFERROR(__xludf.DUMMYFUNCTION("""COMPUTED_VALUE"""),1.0)</f>
        <v>1</v>
      </c>
      <c r="U25" s="2">
        <f>IFERROR(__xludf.DUMMYFUNCTION("""COMPUTED_VALUE"""),0.0)</f>
        <v>0</v>
      </c>
      <c r="V25" s="1">
        <f>IFERROR(__xludf.DUMMYFUNCTION("""COMPUTED_VALUE"""),0.0)</f>
        <v>0</v>
      </c>
      <c r="W25" s="1">
        <f>IFERROR(__xludf.DUMMYFUNCTION("""COMPUTED_VALUE"""),1.0)</f>
        <v>1</v>
      </c>
      <c r="X25" s="2">
        <f>IFERROR(__xludf.DUMMYFUNCTION("""COMPUTED_VALUE"""),0.0)</f>
        <v>0</v>
      </c>
      <c r="Y25" s="1">
        <f>IFERROR(__xludf.DUMMYFUNCTION("""COMPUTED_VALUE"""),4.1)</f>
        <v>4.1</v>
      </c>
      <c r="Z25" s="1">
        <f>IFERROR(__xludf.DUMMYFUNCTION("""COMPUTED_VALUE"""),0.0)</f>
        <v>0</v>
      </c>
      <c r="AA25" s="2" t="str">
        <f>IFERROR(__xludf.DUMMYFUNCTION("""COMPUTED_VALUE"""),"")</f>
        <v/>
      </c>
      <c r="AB25" s="1">
        <f>IFERROR(__xludf.DUMMYFUNCTION("""COMPUTED_VALUE"""),21.09)</f>
        <v>21.09</v>
      </c>
      <c r="AC25" s="1">
        <f>IFERROR(__xludf.DUMMYFUNCTION("""COMPUTED_VALUE"""),702.7)</f>
        <v>702.7</v>
      </c>
      <c r="AD25" s="2">
        <f>IFERROR(__xludf.DUMMYFUNCTION("""COMPUTED_VALUE"""),0.030012807741568236)</f>
        <v>0.03001280774</v>
      </c>
      <c r="AE25" s="1">
        <f>IFERROR(__xludf.DUMMYFUNCTION("""COMPUTED_VALUE"""),285.01)</f>
        <v>285.01</v>
      </c>
      <c r="AF25" s="1">
        <f>IFERROR(__xludf.DUMMYFUNCTION("""COMPUTED_VALUE"""),1054.05)</f>
        <v>1054.05</v>
      </c>
      <c r="AG25" s="2">
        <f>IFERROR(__xludf.DUMMYFUNCTION("""COMPUTED_VALUE"""),0.2703951425454201)</f>
        <v>0.2703951425</v>
      </c>
      <c r="AH25" s="1">
        <f>IFERROR(__xludf.DUMMYFUNCTION("""COMPUTED_VALUE"""),446.86)</f>
        <v>446.86</v>
      </c>
      <c r="AI25" s="1">
        <f>IFERROR(__xludf.DUMMYFUNCTION("""COMPUTED_VALUE"""),1054.05)</f>
        <v>1054.05</v>
      </c>
      <c r="AJ25" s="2">
        <f>IFERROR(__xludf.DUMMYFUNCTION("""COMPUTED_VALUE"""),0.4239457331246146)</f>
        <v>0.4239457331</v>
      </c>
      <c r="AK25" s="1">
        <f>IFERROR(__xludf.DUMMYFUNCTION("""COMPUTED_VALUE"""),757.06)</f>
        <v>757.06</v>
      </c>
      <c r="AL25" s="1">
        <f>IFERROR(__xludf.DUMMYFUNCTION("""COMPUTED_VALUE"""),2810.8)</f>
        <v>2810.8</v>
      </c>
      <c r="AM25" s="2">
        <f>IFERROR(__xludf.DUMMYFUNCTION("""COMPUTED_VALUE"""),0.2693396897680375)</f>
        <v>0.2693396898</v>
      </c>
      <c r="AN25" s="1">
        <f>IFERROR(__xludf.DUMMYFUNCTION("""COMPUTED_VALUE"""),116.21)</f>
        <v>116.21</v>
      </c>
      <c r="AO25" s="1">
        <f>IFERROR(__xludf.DUMMYFUNCTION("""COMPUTED_VALUE"""),0.0)</f>
        <v>0</v>
      </c>
      <c r="AP25" s="2" t="str">
        <f>IFERROR(__xludf.DUMMYFUNCTION("""COMPUTED_VALUE"""),"")</f>
        <v/>
      </c>
      <c r="AQ25" s="1">
        <f>IFERROR(__xludf.DUMMYFUNCTION("""COMPUTED_VALUE"""),74.66)</f>
        <v>74.66</v>
      </c>
      <c r="AR25" s="1">
        <f>IFERROR(__xludf.DUMMYFUNCTION("""COMPUTED_VALUE"""),0.0)</f>
        <v>0</v>
      </c>
      <c r="AS25" s="2" t="str">
        <f>IFERROR(__xludf.DUMMYFUNCTION("""COMPUTED_VALUE"""),"")</f>
        <v/>
      </c>
      <c r="AT25" s="1">
        <f>IFERROR(__xludf.DUMMYFUNCTION("""COMPUTED_VALUE"""),18.34)</f>
        <v>18.34</v>
      </c>
      <c r="AU25" s="1">
        <f>IFERROR(__xludf.DUMMYFUNCTION("""COMPUTED_VALUE"""),0.0)</f>
        <v>0</v>
      </c>
      <c r="AV25" s="2" t="str">
        <f>IFERROR(__xludf.DUMMYFUNCTION("""COMPUTED_VALUE"""),"")</f>
        <v/>
      </c>
      <c r="AW25" s="1">
        <f>IFERROR(__xludf.DUMMYFUNCTION("""COMPUTED_VALUE"""),3.05)</f>
        <v>3.05</v>
      </c>
      <c r="AX25" s="1">
        <f>IFERROR(__xludf.DUMMYFUNCTION("""COMPUTED_VALUE"""),0.0)</f>
        <v>0</v>
      </c>
      <c r="AY25" s="2" t="str">
        <f>IFERROR(__xludf.DUMMYFUNCTION("""COMPUTED_VALUE"""),"")</f>
        <v/>
      </c>
      <c r="AZ25" s="1">
        <f>IFERROR(__xludf.DUMMYFUNCTION("""COMPUTED_VALUE"""),212.26000000000002)</f>
        <v>212.26</v>
      </c>
      <c r="BA25" s="1">
        <f>IFERROR(__xludf.DUMMYFUNCTION("""COMPUTED_VALUE"""),0.0)</f>
        <v>0</v>
      </c>
      <c r="BB25" s="2" t="str">
        <f>IFERROR(__xludf.DUMMYFUNCTION("""COMPUTED_VALUE"""),"")</f>
        <v/>
      </c>
    </row>
    <row r="26">
      <c r="A26" s="1" t="str">
        <f>IFERROR(__xludf.DUMMYFUNCTION("""COMPUTED_VALUE"""),"67a5db6dfa14f2068a0eaf22")</f>
        <v>67a5db6dfa14f2068a0eaf22</v>
      </c>
      <c r="B26" s="1" t="str">
        <f>IFERROR(__xludf.DUMMYFUNCTION("""COMPUTED_VALUE"""),"Blue Spruce Technologies")</f>
        <v>Blue Spruce Technologies</v>
      </c>
      <c r="C26" s="1" t="str">
        <f>IFERROR(__xludf.DUMMYFUNCTION("""COMPUTED_VALUE"""),"brendan.flaherty@al-enterprise.com, michael-j.francis@al-enterprise.com")</f>
        <v>brendan.flaherty@al-enterprise.com, michael-j.francis@al-enterprise.com</v>
      </c>
      <c r="D26" s="1" t="str">
        <f>IFERROR(__xludf.DUMMYFUNCTION("""COMPUTED_VALUE"""),"americas")</f>
        <v>americas</v>
      </c>
      <c r="E26" s="1" t="str">
        <f>IFERROR(__xludf.DUMMYFUNCTION("""COMPUTED_VALUE"""),"US")</f>
        <v>US</v>
      </c>
      <c r="F26" s="1" t="str">
        <f>IFERROR(__xludf.DUMMYFUNCTION("""COMPUTED_VALUE"""),"expert_200")</f>
        <v>expert_200</v>
      </c>
      <c r="G26" s="1">
        <f>IFERROR(__xludf.DUMMYFUNCTION("""COMPUTED_VALUE"""),1.0)</f>
        <v>1</v>
      </c>
      <c r="H26" s="1">
        <f>IFERROR(__xludf.DUMMYFUNCTION("""COMPUTED_VALUE"""),1.0)</f>
        <v>1</v>
      </c>
      <c r="I26" s="2">
        <f>IFERROR(__xludf.DUMMYFUNCTION("""COMPUTED_VALUE"""),1.0)</f>
        <v>1</v>
      </c>
      <c r="J26" s="1">
        <f>IFERROR(__xludf.DUMMYFUNCTION("""COMPUTED_VALUE"""),6.13)</f>
        <v>6.13</v>
      </c>
      <c r="K26" s="1">
        <f>IFERROR(__xludf.DUMMYFUNCTION("""COMPUTED_VALUE"""),550.0)</f>
        <v>550</v>
      </c>
      <c r="L26" s="2">
        <f>IFERROR(__xludf.DUMMYFUNCTION("""COMPUTED_VALUE"""),0.011145454545454545)</f>
        <v>0.01114545455</v>
      </c>
      <c r="M26" s="1">
        <f>IFERROR(__xludf.DUMMYFUNCTION("""COMPUTED_VALUE"""),0.0)</f>
        <v>0</v>
      </c>
      <c r="N26" s="1">
        <f>IFERROR(__xludf.DUMMYFUNCTION("""COMPUTED_VALUE"""),0.0)</f>
        <v>0</v>
      </c>
      <c r="O26" s="2" t="str">
        <f>IFERROR(__xludf.DUMMYFUNCTION("""COMPUTED_VALUE"""),"")</f>
        <v/>
      </c>
      <c r="P26" s="1">
        <f>IFERROR(__xludf.DUMMYFUNCTION("""COMPUTED_VALUE"""),0.0)</f>
        <v>0</v>
      </c>
      <c r="Q26" s="1">
        <f>IFERROR(__xludf.DUMMYFUNCTION("""COMPUTED_VALUE"""),1.0)</f>
        <v>1</v>
      </c>
      <c r="R26" s="2">
        <f>IFERROR(__xludf.DUMMYFUNCTION("""COMPUTED_VALUE"""),0.0)</f>
        <v>0</v>
      </c>
      <c r="S26" s="1">
        <f>IFERROR(__xludf.DUMMYFUNCTION("""COMPUTED_VALUE"""),0.0)</f>
        <v>0</v>
      </c>
      <c r="T26" s="1">
        <f>IFERROR(__xludf.DUMMYFUNCTION("""COMPUTED_VALUE"""),1.0)</f>
        <v>1</v>
      </c>
      <c r="U26" s="2">
        <f>IFERROR(__xludf.DUMMYFUNCTION("""COMPUTED_VALUE"""),0.0)</f>
        <v>0</v>
      </c>
      <c r="V26" s="1">
        <f>IFERROR(__xludf.DUMMYFUNCTION("""COMPUTED_VALUE"""),0.0)</f>
        <v>0</v>
      </c>
      <c r="W26" s="1">
        <f>IFERROR(__xludf.DUMMYFUNCTION("""COMPUTED_VALUE"""),1.0)</f>
        <v>1</v>
      </c>
      <c r="X26" s="2">
        <f>IFERROR(__xludf.DUMMYFUNCTION("""COMPUTED_VALUE"""),0.0)</f>
        <v>0</v>
      </c>
      <c r="Y26" s="1">
        <f>IFERROR(__xludf.DUMMYFUNCTION("""COMPUTED_VALUE"""),115.0)</f>
        <v>115</v>
      </c>
      <c r="Z26" s="1">
        <f>IFERROR(__xludf.DUMMYFUNCTION("""COMPUTED_VALUE"""),0.0)</f>
        <v>0</v>
      </c>
      <c r="AA26" s="2" t="str">
        <f>IFERROR(__xludf.DUMMYFUNCTION("""COMPUTED_VALUE"""),"")</f>
        <v/>
      </c>
      <c r="AB26" s="1">
        <f>IFERROR(__xludf.DUMMYFUNCTION("""COMPUTED_VALUE"""),66.0)</f>
        <v>66</v>
      </c>
      <c r="AC26" s="1">
        <f>IFERROR(__xludf.DUMMYFUNCTION("""COMPUTED_VALUE"""),533.33)</f>
        <v>533.33</v>
      </c>
      <c r="AD26" s="2">
        <f>IFERROR(__xludf.DUMMYFUNCTION("""COMPUTED_VALUE"""),0.12375077344233401)</f>
        <v>0.1237507734</v>
      </c>
      <c r="AE26" s="1">
        <f>IFERROR(__xludf.DUMMYFUNCTION("""COMPUTED_VALUE"""),367.93)</f>
        <v>367.93</v>
      </c>
      <c r="AF26" s="1">
        <f>IFERROR(__xludf.DUMMYFUNCTION("""COMPUTED_VALUE"""),633.33)</f>
        <v>633.33</v>
      </c>
      <c r="AG26" s="2">
        <f>IFERROR(__xludf.DUMMYFUNCTION("""COMPUTED_VALUE"""),0.5809451628692782)</f>
        <v>0.5809451629</v>
      </c>
      <c r="AH26" s="1">
        <f>IFERROR(__xludf.DUMMYFUNCTION("""COMPUTED_VALUE"""),115.0)</f>
        <v>115</v>
      </c>
      <c r="AI26" s="1">
        <f>IFERROR(__xludf.DUMMYFUNCTION("""COMPUTED_VALUE"""),499.98)</f>
        <v>499.98</v>
      </c>
      <c r="AJ26" s="2">
        <f>IFERROR(__xludf.DUMMYFUNCTION("""COMPUTED_VALUE"""),0.2300092003680147)</f>
        <v>0.2300092004</v>
      </c>
      <c r="AK26" s="1">
        <f>IFERROR(__xludf.DUMMYFUNCTION("""COMPUTED_VALUE"""),663.9300000000001)</f>
        <v>663.93</v>
      </c>
      <c r="AL26" s="1">
        <f>IFERROR(__xludf.DUMMYFUNCTION("""COMPUTED_VALUE"""),1666.64)</f>
        <v>1666.64</v>
      </c>
      <c r="AM26" s="2">
        <f>IFERROR(__xludf.DUMMYFUNCTION("""COMPUTED_VALUE"""),0.3983643738299813)</f>
        <v>0.3983643738</v>
      </c>
      <c r="AN26" s="1">
        <f>IFERROR(__xludf.DUMMYFUNCTION("""COMPUTED_VALUE"""),0.0)</f>
        <v>0</v>
      </c>
      <c r="AO26" s="1">
        <f>IFERROR(__xludf.DUMMYFUNCTION("""COMPUTED_VALUE"""),0.0)</f>
        <v>0</v>
      </c>
      <c r="AP26" s="2" t="str">
        <f>IFERROR(__xludf.DUMMYFUNCTION("""COMPUTED_VALUE"""),"")</f>
        <v/>
      </c>
      <c r="AQ26" s="1">
        <f>IFERROR(__xludf.DUMMYFUNCTION("""COMPUTED_VALUE"""),929.0)</f>
        <v>929</v>
      </c>
      <c r="AR26" s="1">
        <f>IFERROR(__xludf.DUMMYFUNCTION("""COMPUTED_VALUE"""),0.0)</f>
        <v>0</v>
      </c>
      <c r="AS26" s="2" t="str">
        <f>IFERROR(__xludf.DUMMYFUNCTION("""COMPUTED_VALUE"""),"")</f>
        <v/>
      </c>
      <c r="AT26" s="1">
        <f>IFERROR(__xludf.DUMMYFUNCTION("""COMPUTED_VALUE"""),13.55)</f>
        <v>13.55</v>
      </c>
      <c r="AU26" s="1">
        <f>IFERROR(__xludf.DUMMYFUNCTION("""COMPUTED_VALUE"""),0.0)</f>
        <v>0</v>
      </c>
      <c r="AV26" s="2" t="str">
        <f>IFERROR(__xludf.DUMMYFUNCTION("""COMPUTED_VALUE"""),"")</f>
        <v/>
      </c>
      <c r="AW26" s="1">
        <f>IFERROR(__xludf.DUMMYFUNCTION("""COMPUTED_VALUE"""),40.0)</f>
        <v>40</v>
      </c>
      <c r="AX26" s="1">
        <f>IFERROR(__xludf.DUMMYFUNCTION("""COMPUTED_VALUE"""),0.0)</f>
        <v>0</v>
      </c>
      <c r="AY26" s="2" t="str">
        <f>IFERROR(__xludf.DUMMYFUNCTION("""COMPUTED_VALUE"""),"")</f>
        <v/>
      </c>
      <c r="AZ26" s="1">
        <f>IFERROR(__xludf.DUMMYFUNCTION("""COMPUTED_VALUE"""),982.55)</f>
        <v>982.55</v>
      </c>
      <c r="BA26" s="1">
        <f>IFERROR(__xludf.DUMMYFUNCTION("""COMPUTED_VALUE"""),0.0)</f>
        <v>0</v>
      </c>
      <c r="BB26" s="2" t="str">
        <f>IFERROR(__xludf.DUMMYFUNCTION("""COMPUTED_VALUE"""),"")</f>
        <v/>
      </c>
    </row>
    <row r="27">
      <c r="A27" s="1" t="str">
        <f>IFERROR(__xludf.DUMMYFUNCTION("""COMPUTED_VALUE"""),"63ea6e9352ad6968805ceab7")</f>
        <v>63ea6e9352ad6968805ceab7</v>
      </c>
      <c r="B27" s="1" t="str">
        <f>IFERROR(__xludf.DUMMYFUNCTION("""COMPUTED_VALUE"""),"BTD Service GmbH")</f>
        <v>BTD Service GmbH</v>
      </c>
      <c r="C27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27" s="1" t="str">
        <f>IFERROR(__xludf.DUMMYFUNCTION("""COMPUTED_VALUE"""),"germany")</f>
        <v>germany</v>
      </c>
      <c r="E27" s="1" t="str">
        <f>IFERROR(__xludf.DUMMYFUNCTION("""COMPUTED_VALUE"""),"DE")</f>
        <v>DE</v>
      </c>
      <c r="F27" s="1" t="str">
        <f>IFERROR(__xludf.DUMMYFUNCTION("""COMPUTED_VALUE"""),"expert_200")</f>
        <v>expert_200</v>
      </c>
      <c r="G27" s="1">
        <f>IFERROR(__xludf.DUMMYFUNCTION("""COMPUTED_VALUE"""),1.0)</f>
        <v>1</v>
      </c>
      <c r="H27" s="1">
        <f>IFERROR(__xludf.DUMMYFUNCTION("""COMPUTED_VALUE"""),1.0)</f>
        <v>1</v>
      </c>
      <c r="I27" s="2">
        <f>IFERROR(__xludf.DUMMYFUNCTION("""COMPUTED_VALUE"""),1.0)</f>
        <v>1</v>
      </c>
      <c r="J27" s="1">
        <f>IFERROR(__xludf.DUMMYFUNCTION("""COMPUTED_VALUE"""),424.36)</f>
        <v>424.36</v>
      </c>
      <c r="K27" s="1">
        <f>IFERROR(__xludf.DUMMYFUNCTION("""COMPUTED_VALUE"""),612.0)</f>
        <v>612</v>
      </c>
      <c r="L27" s="2">
        <f>IFERROR(__xludf.DUMMYFUNCTION("""COMPUTED_VALUE"""),0.6933986928104575)</f>
        <v>0.6933986928</v>
      </c>
      <c r="M27" s="1">
        <f>IFERROR(__xludf.DUMMYFUNCTION("""COMPUTED_VALUE"""),56.0)</f>
        <v>56</v>
      </c>
      <c r="N27" s="1">
        <f>IFERROR(__xludf.DUMMYFUNCTION("""COMPUTED_VALUE"""),52.0)</f>
        <v>52</v>
      </c>
      <c r="O27" s="2">
        <f>IFERROR(__xludf.DUMMYFUNCTION("""COMPUTED_VALUE"""),1.0769230769230769)</f>
        <v>1.076923077</v>
      </c>
      <c r="P27" s="1">
        <f>IFERROR(__xludf.DUMMYFUNCTION("""COMPUTED_VALUE"""),1.0)</f>
        <v>1</v>
      </c>
      <c r="Q27" s="1">
        <f>IFERROR(__xludf.DUMMYFUNCTION("""COMPUTED_VALUE"""),1.0)</f>
        <v>1</v>
      </c>
      <c r="R27" s="2">
        <f>IFERROR(__xludf.DUMMYFUNCTION("""COMPUTED_VALUE"""),1.0)</f>
        <v>1</v>
      </c>
      <c r="S27" s="1">
        <f>IFERROR(__xludf.DUMMYFUNCTION("""COMPUTED_VALUE"""),1.0)</f>
        <v>1</v>
      </c>
      <c r="T27" s="1">
        <f>IFERROR(__xludf.DUMMYFUNCTION("""COMPUTED_VALUE"""),1.0)</f>
        <v>1</v>
      </c>
      <c r="U27" s="2">
        <f>IFERROR(__xludf.DUMMYFUNCTION("""COMPUTED_VALUE"""),1.0)</f>
        <v>1</v>
      </c>
      <c r="V27" s="1">
        <f>IFERROR(__xludf.DUMMYFUNCTION("""COMPUTED_VALUE"""),0.0)</f>
        <v>0</v>
      </c>
      <c r="W27" s="1">
        <f>IFERROR(__xludf.DUMMYFUNCTION("""COMPUTED_VALUE"""),1.0)</f>
        <v>1</v>
      </c>
      <c r="X27" s="2">
        <f>IFERROR(__xludf.DUMMYFUNCTION("""COMPUTED_VALUE"""),0.0)</f>
        <v>0</v>
      </c>
      <c r="Y27" s="1">
        <f>IFERROR(__xludf.DUMMYFUNCTION("""COMPUTED_VALUE"""),2.49)</f>
        <v>2.49</v>
      </c>
      <c r="Z27" s="1">
        <f>IFERROR(__xludf.DUMMYFUNCTION("""COMPUTED_VALUE"""),0.0)</f>
        <v>0</v>
      </c>
      <c r="AA27" s="2" t="str">
        <f>IFERROR(__xludf.DUMMYFUNCTION("""COMPUTED_VALUE"""),"")</f>
        <v/>
      </c>
      <c r="AB27" s="1">
        <f>IFERROR(__xludf.DUMMYFUNCTION("""COMPUTED_VALUE"""),2.49)</f>
        <v>2.49</v>
      </c>
      <c r="AC27" s="1">
        <f>IFERROR(__xludf.DUMMYFUNCTION("""COMPUTED_VALUE"""),313.85)</f>
        <v>313.85</v>
      </c>
      <c r="AD27" s="2">
        <f>IFERROR(__xludf.DUMMYFUNCTION("""COMPUTED_VALUE"""),0.007933726302373746)</f>
        <v>0.007933726302</v>
      </c>
      <c r="AE27" s="1">
        <f>IFERROR(__xludf.DUMMYFUNCTION("""COMPUTED_VALUE"""),35.79)</f>
        <v>35.79</v>
      </c>
      <c r="AF27" s="1">
        <f>IFERROR(__xludf.DUMMYFUNCTION("""COMPUTED_VALUE"""),470.77)</f>
        <v>470.77</v>
      </c>
      <c r="AG27" s="2">
        <f>IFERROR(__xludf.DUMMYFUNCTION("""COMPUTED_VALUE"""),0.07602438558106932)</f>
        <v>0.07602438558</v>
      </c>
      <c r="AH27" s="1">
        <f>IFERROR(__xludf.DUMMYFUNCTION("""COMPUTED_VALUE"""),630.0)</f>
        <v>630</v>
      </c>
      <c r="AI27" s="1">
        <f>IFERROR(__xludf.DUMMYFUNCTION("""COMPUTED_VALUE"""),470.77)</f>
        <v>470.77</v>
      </c>
      <c r="AJ27" s="2">
        <f>IFERROR(__xludf.DUMMYFUNCTION("""COMPUTED_VALUE"""),1.3382331074622427)</f>
        <v>1.338233107</v>
      </c>
      <c r="AK27" s="1">
        <f>IFERROR(__xludf.DUMMYFUNCTION("""COMPUTED_VALUE"""),670.77)</f>
        <v>670.77</v>
      </c>
      <c r="AL27" s="1">
        <f>IFERROR(__xludf.DUMMYFUNCTION("""COMPUTED_VALUE"""),1255.3899999999999)</f>
        <v>1255.39</v>
      </c>
      <c r="AM27" s="2">
        <f>IFERROR(__xludf.DUMMYFUNCTION("""COMPUTED_VALUE"""),0.5343120464556831)</f>
        <v>0.5343120465</v>
      </c>
      <c r="AN27" s="1">
        <f>IFERROR(__xludf.DUMMYFUNCTION("""COMPUTED_VALUE"""),300.0)</f>
        <v>300</v>
      </c>
      <c r="AO27" s="1">
        <f>IFERROR(__xludf.DUMMYFUNCTION("""COMPUTED_VALUE"""),0.0)</f>
        <v>0</v>
      </c>
      <c r="AP27" s="2" t="str">
        <f>IFERROR(__xludf.DUMMYFUNCTION("""COMPUTED_VALUE"""),"")</f>
        <v/>
      </c>
      <c r="AQ27" s="1">
        <f>IFERROR(__xludf.DUMMYFUNCTION("""COMPUTED_VALUE"""),0.0)</f>
        <v>0</v>
      </c>
      <c r="AR27" s="1">
        <f>IFERROR(__xludf.DUMMYFUNCTION("""COMPUTED_VALUE"""),0.0)</f>
        <v>0</v>
      </c>
      <c r="AS27" s="2" t="str">
        <f>IFERROR(__xludf.DUMMYFUNCTION("""COMPUTED_VALUE"""),"")</f>
        <v/>
      </c>
      <c r="AT27" s="1">
        <f>IFERROR(__xludf.DUMMYFUNCTION("""COMPUTED_VALUE"""),0.0)</f>
        <v>0</v>
      </c>
      <c r="AU27" s="1">
        <f>IFERROR(__xludf.DUMMYFUNCTION("""COMPUTED_VALUE"""),0.0)</f>
        <v>0</v>
      </c>
      <c r="AV27" s="2" t="str">
        <f>IFERROR(__xludf.DUMMYFUNCTION("""COMPUTED_VALUE"""),"")</f>
        <v/>
      </c>
      <c r="AW27" s="1">
        <f>IFERROR(__xludf.DUMMYFUNCTION("""COMPUTED_VALUE"""),432.0)</f>
        <v>432</v>
      </c>
      <c r="AX27" s="1">
        <f>IFERROR(__xludf.DUMMYFUNCTION("""COMPUTED_VALUE"""),0.0)</f>
        <v>0</v>
      </c>
      <c r="AY27" s="2" t="str">
        <f>IFERROR(__xludf.DUMMYFUNCTION("""COMPUTED_VALUE"""),"")</f>
        <v/>
      </c>
      <c r="AZ27" s="1">
        <f>IFERROR(__xludf.DUMMYFUNCTION("""COMPUTED_VALUE"""),732.0)</f>
        <v>732</v>
      </c>
      <c r="BA27" s="1">
        <f>IFERROR(__xludf.DUMMYFUNCTION("""COMPUTED_VALUE"""),0.0)</f>
        <v>0</v>
      </c>
      <c r="BB27" s="2" t="str">
        <f>IFERROR(__xludf.DUMMYFUNCTION("""COMPUTED_VALUE"""),"")</f>
        <v/>
      </c>
    </row>
    <row r="28">
      <c r="A28" s="1" t="str">
        <f>IFERROR(__xludf.DUMMYFUNCTION("""COMPUTED_VALUE"""),"63ea6e9352ad6968805ceb0b")</f>
        <v>63ea6e9352ad6968805ceb0b</v>
      </c>
      <c r="B28" s="1" t="str">
        <f>IFERROR(__xludf.DUMMYFUNCTION("""COMPUTED_VALUE"""),"Bunsieck &amp; Partner GmbH")</f>
        <v>Bunsieck &amp; Partner GmbH</v>
      </c>
      <c r="C28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28" s="1" t="str">
        <f>IFERROR(__xludf.DUMMYFUNCTION("""COMPUTED_VALUE"""),"germany")</f>
        <v>germany</v>
      </c>
      <c r="E28" s="1" t="str">
        <f>IFERROR(__xludf.DUMMYFUNCTION("""COMPUTED_VALUE"""),"DE")</f>
        <v>DE</v>
      </c>
      <c r="F28" s="1" t="str">
        <f>IFERROR(__xludf.DUMMYFUNCTION("""COMPUTED_VALUE"""),"expert_200")</f>
        <v>expert_200</v>
      </c>
      <c r="G28" s="1">
        <f>IFERROR(__xludf.DUMMYFUNCTION("""COMPUTED_VALUE"""),1.0)</f>
        <v>1</v>
      </c>
      <c r="H28" s="1">
        <f>IFERROR(__xludf.DUMMYFUNCTION("""COMPUTED_VALUE"""),1.0)</f>
        <v>1</v>
      </c>
      <c r="I28" s="2">
        <f>IFERROR(__xludf.DUMMYFUNCTION("""COMPUTED_VALUE"""),1.0)</f>
        <v>1</v>
      </c>
      <c r="J28" s="1">
        <f>IFERROR(__xludf.DUMMYFUNCTION("""COMPUTED_VALUE"""),128.59)</f>
        <v>128.59</v>
      </c>
      <c r="K28" s="1">
        <f>IFERROR(__xludf.DUMMYFUNCTION("""COMPUTED_VALUE"""),345.0)</f>
        <v>345</v>
      </c>
      <c r="L28" s="2">
        <f>IFERROR(__xludf.DUMMYFUNCTION("""COMPUTED_VALUE"""),0.37272463768115943)</f>
        <v>0.3727246377</v>
      </c>
      <c r="M28" s="1">
        <f>IFERROR(__xludf.DUMMYFUNCTION("""COMPUTED_VALUE"""),31.0)</f>
        <v>31</v>
      </c>
      <c r="N28" s="1">
        <f>IFERROR(__xludf.DUMMYFUNCTION("""COMPUTED_VALUE"""),52.0)</f>
        <v>52</v>
      </c>
      <c r="O28" s="2">
        <f>IFERROR(__xludf.DUMMYFUNCTION("""COMPUTED_VALUE"""),0.5961538461538461)</f>
        <v>0.5961538462</v>
      </c>
      <c r="P28" s="1">
        <f>IFERROR(__xludf.DUMMYFUNCTION("""COMPUTED_VALUE"""),1.0)</f>
        <v>1</v>
      </c>
      <c r="Q28" s="1">
        <f>IFERROR(__xludf.DUMMYFUNCTION("""COMPUTED_VALUE"""),1.0)</f>
        <v>1</v>
      </c>
      <c r="R28" s="2">
        <f>IFERROR(__xludf.DUMMYFUNCTION("""COMPUTED_VALUE"""),1.0)</f>
        <v>1</v>
      </c>
      <c r="S28" s="1">
        <f>IFERROR(__xludf.DUMMYFUNCTION("""COMPUTED_VALUE"""),1.0)</f>
        <v>1</v>
      </c>
      <c r="T28" s="1">
        <f>IFERROR(__xludf.DUMMYFUNCTION("""COMPUTED_VALUE"""),1.0)</f>
        <v>1</v>
      </c>
      <c r="U28" s="2">
        <f>IFERROR(__xludf.DUMMYFUNCTION("""COMPUTED_VALUE"""),1.0)</f>
        <v>1</v>
      </c>
      <c r="V28" s="1">
        <f>IFERROR(__xludf.DUMMYFUNCTION("""COMPUTED_VALUE"""),1.0)</f>
        <v>1</v>
      </c>
      <c r="W28" s="1">
        <f>IFERROR(__xludf.DUMMYFUNCTION("""COMPUTED_VALUE"""),1.0)</f>
        <v>1</v>
      </c>
      <c r="X28" s="2">
        <f>IFERROR(__xludf.DUMMYFUNCTION("""COMPUTED_VALUE"""),1.0)</f>
        <v>1</v>
      </c>
      <c r="Y28" s="1">
        <f>IFERROR(__xludf.DUMMYFUNCTION("""COMPUTED_VALUE"""),21.9)</f>
        <v>21.9</v>
      </c>
      <c r="Z28" s="1">
        <f>IFERROR(__xludf.DUMMYFUNCTION("""COMPUTED_VALUE"""),0.0)</f>
        <v>0</v>
      </c>
      <c r="AA28" s="2" t="str">
        <f>IFERROR(__xludf.DUMMYFUNCTION("""COMPUTED_VALUE"""),"")</f>
        <v/>
      </c>
      <c r="AB28" s="1">
        <f>IFERROR(__xludf.DUMMYFUNCTION("""COMPUTED_VALUE"""),19.83)</f>
        <v>19.83</v>
      </c>
      <c r="AC28" s="1">
        <f>IFERROR(__xludf.DUMMYFUNCTION("""COMPUTED_VALUE"""),230.0)</f>
        <v>230</v>
      </c>
      <c r="AD28" s="2">
        <f>IFERROR(__xludf.DUMMYFUNCTION("""COMPUTED_VALUE"""),0.08621739130434782)</f>
        <v>0.0862173913</v>
      </c>
      <c r="AE28" s="1">
        <f>IFERROR(__xludf.DUMMYFUNCTION("""COMPUTED_VALUE"""),42.27)</f>
        <v>42.27</v>
      </c>
      <c r="AF28" s="1">
        <f>IFERROR(__xludf.DUMMYFUNCTION("""COMPUTED_VALUE"""),326.67)</f>
        <v>326.67</v>
      </c>
      <c r="AG28" s="2">
        <f>IFERROR(__xludf.DUMMYFUNCTION("""COMPUTED_VALUE"""),0.12939663880980806)</f>
        <v>0.1293966388</v>
      </c>
      <c r="AH28" s="1">
        <f>IFERROR(__xludf.DUMMYFUNCTION("""COMPUTED_VALUE"""),338.62)</f>
        <v>338.62</v>
      </c>
      <c r="AI28" s="1">
        <f>IFERROR(__xludf.DUMMYFUNCTION("""COMPUTED_VALUE"""),363.33)</f>
        <v>363.33</v>
      </c>
      <c r="AJ28" s="2">
        <f>IFERROR(__xludf.DUMMYFUNCTION("""COMPUTED_VALUE"""),0.9319902017449702)</f>
        <v>0.9319902017</v>
      </c>
      <c r="AK28" s="1">
        <f>IFERROR(__xludf.DUMMYFUNCTION("""COMPUTED_VALUE"""),422.62)</f>
        <v>422.62</v>
      </c>
      <c r="AL28" s="1">
        <f>IFERROR(__xludf.DUMMYFUNCTION("""COMPUTED_VALUE"""),920.0)</f>
        <v>920</v>
      </c>
      <c r="AM28" s="2">
        <f>IFERROR(__xludf.DUMMYFUNCTION("""COMPUTED_VALUE"""),0.4593695652173913)</f>
        <v>0.4593695652</v>
      </c>
      <c r="AN28" s="1">
        <f>IFERROR(__xludf.DUMMYFUNCTION("""COMPUTED_VALUE"""),0.0)</f>
        <v>0</v>
      </c>
      <c r="AO28" s="1">
        <f>IFERROR(__xludf.DUMMYFUNCTION("""COMPUTED_VALUE"""),0.0)</f>
        <v>0</v>
      </c>
      <c r="AP28" s="2" t="str">
        <f>IFERROR(__xludf.DUMMYFUNCTION("""COMPUTED_VALUE"""),"")</f>
        <v/>
      </c>
      <c r="AQ28" s="1">
        <f>IFERROR(__xludf.DUMMYFUNCTION("""COMPUTED_VALUE"""),0.0)</f>
        <v>0</v>
      </c>
      <c r="AR28" s="1">
        <f>IFERROR(__xludf.DUMMYFUNCTION("""COMPUTED_VALUE"""),0.0)</f>
        <v>0</v>
      </c>
      <c r="AS28" s="2" t="str">
        <f>IFERROR(__xludf.DUMMYFUNCTION("""COMPUTED_VALUE"""),"")</f>
        <v/>
      </c>
      <c r="AT28" s="1">
        <f>IFERROR(__xludf.DUMMYFUNCTION("""COMPUTED_VALUE"""),15.0)</f>
        <v>15</v>
      </c>
      <c r="AU28" s="1">
        <f>IFERROR(__xludf.DUMMYFUNCTION("""COMPUTED_VALUE"""),0.0)</f>
        <v>0</v>
      </c>
      <c r="AV28" s="2" t="str">
        <f>IFERROR(__xludf.DUMMYFUNCTION("""COMPUTED_VALUE"""),"")</f>
        <v/>
      </c>
      <c r="AW28" s="1">
        <f>IFERROR(__xludf.DUMMYFUNCTION("""COMPUTED_VALUE"""),110.3)</f>
        <v>110.3</v>
      </c>
      <c r="AX28" s="1">
        <f>IFERROR(__xludf.DUMMYFUNCTION("""COMPUTED_VALUE"""),0.0)</f>
        <v>0</v>
      </c>
      <c r="AY28" s="2" t="str">
        <f>IFERROR(__xludf.DUMMYFUNCTION("""COMPUTED_VALUE"""),"")</f>
        <v/>
      </c>
      <c r="AZ28" s="1">
        <f>IFERROR(__xludf.DUMMYFUNCTION("""COMPUTED_VALUE"""),125.3)</f>
        <v>125.3</v>
      </c>
      <c r="BA28" s="1">
        <f>IFERROR(__xludf.DUMMYFUNCTION("""COMPUTED_VALUE"""),0.0)</f>
        <v>0</v>
      </c>
      <c r="BB28" s="2" t="str">
        <f>IFERROR(__xludf.DUMMYFUNCTION("""COMPUTED_VALUE"""),"")</f>
        <v/>
      </c>
    </row>
    <row r="29">
      <c r="A29" s="1" t="str">
        <f>IFERROR(__xludf.DUMMYFUNCTION("""COMPUTED_VALUE"""),"63ced848c5c820531c268d7a")</f>
        <v>63ced848c5c820531c268d7a</v>
      </c>
      <c r="B29" s="1" t="str">
        <f>IFERROR(__xludf.DUMMYFUNCTION("""COMPUTED_VALUE"""),"Burgess Computer Decisions")</f>
        <v>Burgess Computer Decisions</v>
      </c>
      <c r="C29" s="1" t="str">
        <f>IFERROR(__xludf.DUMMYFUNCTION("""COMPUTED_VALUE"""),"holly.berger@al-enterprise.com")</f>
        <v>holly.berger@al-enterprise.com</v>
      </c>
      <c r="D29" s="1" t="str">
        <f>IFERROR(__xludf.DUMMYFUNCTION("""COMPUTED_VALUE"""),"americas")</f>
        <v>americas</v>
      </c>
      <c r="E29" s="1" t="str">
        <f>IFERROR(__xludf.DUMMYFUNCTION("""COMPUTED_VALUE"""),"US")</f>
        <v>US</v>
      </c>
      <c r="F29" s="1" t="str">
        <f>IFERROR(__xludf.DUMMYFUNCTION("""COMPUTED_VALUE"""),"distributor")</f>
        <v>distributor</v>
      </c>
      <c r="G29" s="1">
        <f>IFERROR(__xludf.DUMMYFUNCTION("""COMPUTED_VALUE"""),0.0)</f>
        <v>0</v>
      </c>
      <c r="H29" s="1">
        <f>IFERROR(__xludf.DUMMYFUNCTION("""COMPUTED_VALUE"""),1.0)</f>
        <v>1</v>
      </c>
      <c r="I29" s="2">
        <f>IFERROR(__xludf.DUMMYFUNCTION("""COMPUTED_VALUE"""),0.0)</f>
        <v>0</v>
      </c>
      <c r="J29" s="1">
        <f>IFERROR(__xludf.DUMMYFUNCTION("""COMPUTED_VALUE"""),582.88)</f>
        <v>582.88</v>
      </c>
      <c r="K29" s="1">
        <f>IFERROR(__xludf.DUMMYFUNCTION("""COMPUTED_VALUE"""),1143.99)</f>
        <v>1143.99</v>
      </c>
      <c r="L29" s="2">
        <f>IFERROR(__xludf.DUMMYFUNCTION("""COMPUTED_VALUE"""),0.5095149433124415)</f>
        <v>0.5095149433</v>
      </c>
      <c r="M29" s="1">
        <f>IFERROR(__xludf.DUMMYFUNCTION("""COMPUTED_VALUE"""),38.0)</f>
        <v>38</v>
      </c>
      <c r="N29" s="1">
        <f>IFERROR(__xludf.DUMMYFUNCTION("""COMPUTED_VALUE"""),56.0)</f>
        <v>56</v>
      </c>
      <c r="O29" s="2">
        <f>IFERROR(__xludf.DUMMYFUNCTION("""COMPUTED_VALUE"""),0.6785714285714286)</f>
        <v>0.6785714286</v>
      </c>
      <c r="P29" s="1">
        <f>IFERROR(__xludf.DUMMYFUNCTION("""COMPUTED_VALUE"""),0.0)</f>
        <v>0</v>
      </c>
      <c r="Q29" s="1">
        <f>IFERROR(__xludf.DUMMYFUNCTION("""COMPUTED_VALUE"""),1.0)</f>
        <v>1</v>
      </c>
      <c r="R29" s="2">
        <f>IFERROR(__xludf.DUMMYFUNCTION("""COMPUTED_VALUE"""),0.0)</f>
        <v>0</v>
      </c>
      <c r="S29" s="1">
        <f>IFERROR(__xludf.DUMMYFUNCTION("""COMPUTED_VALUE"""),0.0)</f>
        <v>0</v>
      </c>
      <c r="T29" s="1">
        <f>IFERROR(__xludf.DUMMYFUNCTION("""COMPUTED_VALUE"""),1.0)</f>
        <v>1</v>
      </c>
      <c r="U29" s="2">
        <f>IFERROR(__xludf.DUMMYFUNCTION("""COMPUTED_VALUE"""),0.0)</f>
        <v>0</v>
      </c>
      <c r="V29" s="1">
        <f>IFERROR(__xludf.DUMMYFUNCTION("""COMPUTED_VALUE"""),0.0)</f>
        <v>0</v>
      </c>
      <c r="W29" s="1">
        <f>IFERROR(__xludf.DUMMYFUNCTION("""COMPUTED_VALUE"""),1.0)</f>
        <v>1</v>
      </c>
      <c r="X29" s="2">
        <f>IFERROR(__xludf.DUMMYFUNCTION("""COMPUTED_VALUE"""),0.0)</f>
        <v>0</v>
      </c>
      <c r="Y29" s="1">
        <f>IFERROR(__xludf.DUMMYFUNCTION("""COMPUTED_VALUE"""),19.83)</f>
        <v>19.83</v>
      </c>
      <c r="Z29" s="1">
        <f>IFERROR(__xludf.DUMMYFUNCTION("""COMPUTED_VALUE"""),0.0)</f>
        <v>0</v>
      </c>
      <c r="AA29" s="2" t="str">
        <f>IFERROR(__xludf.DUMMYFUNCTION("""COMPUTED_VALUE"""),"")</f>
        <v/>
      </c>
      <c r="AB29" s="1">
        <f>IFERROR(__xludf.DUMMYFUNCTION("""COMPUTED_VALUE"""),56.78)</f>
        <v>56.78</v>
      </c>
      <c r="AC29" s="1">
        <f>IFERROR(__xludf.DUMMYFUNCTION("""COMPUTED_VALUE"""),759.99)</f>
        <v>759.99</v>
      </c>
      <c r="AD29" s="2">
        <f>IFERROR(__xludf.DUMMYFUNCTION("""COMPUTED_VALUE"""),0.07471150936196529)</f>
        <v>0.07471150936</v>
      </c>
      <c r="AE29" s="1">
        <f>IFERROR(__xludf.DUMMYFUNCTION("""COMPUTED_VALUE"""),157.12)</f>
        <v>157.12</v>
      </c>
      <c r="AF29" s="1">
        <f>IFERROR(__xludf.DUMMYFUNCTION("""COMPUTED_VALUE"""),1143.32)</f>
        <v>1143.32</v>
      </c>
      <c r="AG29" s="2">
        <f>IFERROR(__xludf.DUMMYFUNCTION("""COMPUTED_VALUE"""),0.1374243431410279)</f>
        <v>0.1374243431</v>
      </c>
      <c r="AH29" s="1">
        <f>IFERROR(__xludf.DUMMYFUNCTION("""COMPUTED_VALUE"""),1009.5)</f>
        <v>1009.5</v>
      </c>
      <c r="AI29" s="1">
        <f>IFERROR(__xludf.DUMMYFUNCTION("""COMPUTED_VALUE"""),1146.66)</f>
        <v>1146.66</v>
      </c>
      <c r="AJ29" s="2">
        <f>IFERROR(__xludf.DUMMYFUNCTION("""COMPUTED_VALUE"""),0.8803830254827062)</f>
        <v>0.8803830255</v>
      </c>
      <c r="AK29" s="1">
        <f>IFERROR(__xludf.DUMMYFUNCTION("""COMPUTED_VALUE"""),1243.23)</f>
        <v>1243.23</v>
      </c>
      <c r="AL29" s="1">
        <f>IFERROR(__xludf.DUMMYFUNCTION("""COMPUTED_VALUE"""),3049.9700000000003)</f>
        <v>3049.97</v>
      </c>
      <c r="AM29" s="2">
        <f>IFERROR(__xludf.DUMMYFUNCTION("""COMPUTED_VALUE"""),0.4076204028236343)</f>
        <v>0.4076204028</v>
      </c>
      <c r="AN29" s="1">
        <f>IFERROR(__xludf.DUMMYFUNCTION("""COMPUTED_VALUE"""),0.0)</f>
        <v>0</v>
      </c>
      <c r="AO29" s="1">
        <f>IFERROR(__xludf.DUMMYFUNCTION("""COMPUTED_VALUE"""),0.0)</f>
        <v>0</v>
      </c>
      <c r="AP29" s="2" t="str">
        <f>IFERROR(__xludf.DUMMYFUNCTION("""COMPUTED_VALUE"""),"")</f>
        <v/>
      </c>
      <c r="AQ29" s="1">
        <f>IFERROR(__xludf.DUMMYFUNCTION("""COMPUTED_VALUE"""),0.0)</f>
        <v>0</v>
      </c>
      <c r="AR29" s="1">
        <f>IFERROR(__xludf.DUMMYFUNCTION("""COMPUTED_VALUE"""),0.0)</f>
        <v>0</v>
      </c>
      <c r="AS29" s="2" t="str">
        <f>IFERROR(__xludf.DUMMYFUNCTION("""COMPUTED_VALUE"""),"")</f>
        <v/>
      </c>
      <c r="AT29" s="1">
        <f>IFERROR(__xludf.DUMMYFUNCTION("""COMPUTED_VALUE"""),0.0)</f>
        <v>0</v>
      </c>
      <c r="AU29" s="1">
        <f>IFERROR(__xludf.DUMMYFUNCTION("""COMPUTED_VALUE"""),0.0)</f>
        <v>0</v>
      </c>
      <c r="AV29" s="2" t="str">
        <f>IFERROR(__xludf.DUMMYFUNCTION("""COMPUTED_VALUE"""),"")</f>
        <v/>
      </c>
      <c r="AW29" s="1">
        <f>IFERROR(__xludf.DUMMYFUNCTION("""COMPUTED_VALUE"""),0.0)</f>
        <v>0</v>
      </c>
      <c r="AX29" s="1">
        <f>IFERROR(__xludf.DUMMYFUNCTION("""COMPUTED_VALUE"""),0.0)</f>
        <v>0</v>
      </c>
      <c r="AY29" s="2" t="str">
        <f>IFERROR(__xludf.DUMMYFUNCTION("""COMPUTED_VALUE"""),"")</f>
        <v/>
      </c>
      <c r="AZ29" s="1">
        <f>IFERROR(__xludf.DUMMYFUNCTION("""COMPUTED_VALUE"""),0.0)</f>
        <v>0</v>
      </c>
      <c r="BA29" s="1">
        <f>IFERROR(__xludf.DUMMYFUNCTION("""COMPUTED_VALUE"""),0.0)</f>
        <v>0</v>
      </c>
      <c r="BB29" s="2" t="str">
        <f>IFERROR(__xludf.DUMMYFUNCTION("""COMPUTED_VALUE"""),"")</f>
        <v/>
      </c>
    </row>
    <row r="30">
      <c r="A30" s="1" t="str">
        <f>IFERROR(__xludf.DUMMYFUNCTION("""COMPUTED_VALUE"""),"633dbc6cec522e697b5af915")</f>
        <v>633dbc6cec522e697b5af915</v>
      </c>
      <c r="B30" s="1" t="str">
        <f>IFERROR(__xludf.DUMMYFUNCTION("""COMPUTED_VALUE"""),"C.H.T. Heinemann GmbH")</f>
        <v>C.H.T. Heinemann GmbH</v>
      </c>
      <c r="C30" s="1" t="str">
        <f>IFERROR(__xludf.DUMMYFUNCTION("""COMPUTED_VALUE"""),"philippe.girard@al-enterprise.com, rui.silva@al-enterprise.com, ralf.kloeppels@al-enterprise.com, andreas.grossheimann@al-enterprise.com, katrin.pfeiffer@al-enterprise.com, sibylle.klopfer@al-enterprise.com, igor.leko@al-enterprise.com")</f>
        <v>philippe.girard@al-enterprise.com, rui.silva@al-enterprise.com, ralf.kloeppels@al-enterprise.com, andreas.grossheimann@al-enterprise.com, katrin.pfeiffer@al-enterprise.com, sibylle.klopfer@al-enterprise.com, igor.leko@al-enterprise.com</v>
      </c>
      <c r="D30" s="1" t="str">
        <f>IFERROR(__xludf.DUMMYFUNCTION("""COMPUTED_VALUE"""),"germany")</f>
        <v>germany</v>
      </c>
      <c r="E30" s="1" t="str">
        <f>IFERROR(__xludf.DUMMYFUNCTION("""COMPUTED_VALUE"""),"DE")</f>
        <v>DE</v>
      </c>
      <c r="F30" s="1" t="str">
        <f>IFERROR(__xludf.DUMMYFUNCTION("""COMPUTED_VALUE"""),"expert_200")</f>
        <v>expert_200</v>
      </c>
      <c r="G30" s="1">
        <f>IFERROR(__xludf.DUMMYFUNCTION("""COMPUTED_VALUE"""),1.0)</f>
        <v>1</v>
      </c>
      <c r="H30" s="1">
        <f>IFERROR(__xludf.DUMMYFUNCTION("""COMPUTED_VALUE"""),1.0)</f>
        <v>1</v>
      </c>
      <c r="I30" s="2">
        <f>IFERROR(__xludf.DUMMYFUNCTION("""COMPUTED_VALUE"""),1.0)</f>
        <v>1</v>
      </c>
      <c r="J30" s="1">
        <f>IFERROR(__xludf.DUMMYFUNCTION("""COMPUTED_VALUE"""),153.16)</f>
        <v>153.16</v>
      </c>
      <c r="K30" s="1">
        <f>IFERROR(__xludf.DUMMYFUNCTION("""COMPUTED_VALUE"""),407.0)</f>
        <v>407</v>
      </c>
      <c r="L30" s="2">
        <f>IFERROR(__xludf.DUMMYFUNCTION("""COMPUTED_VALUE"""),0.3763144963144963)</f>
        <v>0.3763144963</v>
      </c>
      <c r="M30" s="1">
        <f>IFERROR(__xludf.DUMMYFUNCTION("""COMPUTED_VALUE"""),42.0)</f>
        <v>42</v>
      </c>
      <c r="N30" s="1">
        <f>IFERROR(__xludf.DUMMYFUNCTION("""COMPUTED_VALUE"""),52.0)</f>
        <v>52</v>
      </c>
      <c r="O30" s="2">
        <f>IFERROR(__xludf.DUMMYFUNCTION("""COMPUTED_VALUE"""),0.8076923076923077)</f>
        <v>0.8076923077</v>
      </c>
      <c r="P30" s="1">
        <f>IFERROR(__xludf.DUMMYFUNCTION("""COMPUTED_VALUE"""),1.0)</f>
        <v>1</v>
      </c>
      <c r="Q30" s="1">
        <f>IFERROR(__xludf.DUMMYFUNCTION("""COMPUTED_VALUE"""),1.0)</f>
        <v>1</v>
      </c>
      <c r="R30" s="2">
        <f>IFERROR(__xludf.DUMMYFUNCTION("""COMPUTED_VALUE"""),1.0)</f>
        <v>1</v>
      </c>
      <c r="S30" s="1">
        <f>IFERROR(__xludf.DUMMYFUNCTION("""COMPUTED_VALUE"""),1.0)</f>
        <v>1</v>
      </c>
      <c r="T30" s="1">
        <f>IFERROR(__xludf.DUMMYFUNCTION("""COMPUTED_VALUE"""),1.0)</f>
        <v>1</v>
      </c>
      <c r="U30" s="2">
        <f>IFERROR(__xludf.DUMMYFUNCTION("""COMPUTED_VALUE"""),1.0)</f>
        <v>1</v>
      </c>
      <c r="V30" s="1">
        <f>IFERROR(__xludf.DUMMYFUNCTION("""COMPUTED_VALUE"""),1.0)</f>
        <v>1</v>
      </c>
      <c r="W30" s="1">
        <f>IFERROR(__xludf.DUMMYFUNCTION("""COMPUTED_VALUE"""),1.0)</f>
        <v>1</v>
      </c>
      <c r="X30" s="2">
        <f>IFERROR(__xludf.DUMMYFUNCTION("""COMPUTED_VALUE"""),1.0)</f>
        <v>1</v>
      </c>
      <c r="Y30" s="1">
        <f>IFERROR(__xludf.DUMMYFUNCTION("""COMPUTED_VALUE"""),4.68)</f>
        <v>4.68</v>
      </c>
      <c r="Z30" s="1">
        <f>IFERROR(__xludf.DUMMYFUNCTION("""COMPUTED_VALUE"""),0.0)</f>
        <v>0</v>
      </c>
      <c r="AA30" s="2" t="str">
        <f>IFERROR(__xludf.DUMMYFUNCTION("""COMPUTED_VALUE"""),"")</f>
        <v/>
      </c>
      <c r="AB30" s="1">
        <f>IFERROR(__xludf.DUMMYFUNCTION("""COMPUTED_VALUE"""),2.42)</f>
        <v>2.42</v>
      </c>
      <c r="AC30" s="1">
        <f>IFERROR(__xludf.DUMMYFUNCTION("""COMPUTED_VALUE"""),186.36)</f>
        <v>186.36</v>
      </c>
      <c r="AD30" s="2">
        <f>IFERROR(__xludf.DUMMYFUNCTION("""COMPUTED_VALUE"""),0.012985619231594761)</f>
        <v>0.01298561923</v>
      </c>
      <c r="AE30" s="1">
        <f>IFERROR(__xludf.DUMMYFUNCTION("""COMPUTED_VALUE"""),4.68)</f>
        <v>4.68</v>
      </c>
      <c r="AF30" s="1">
        <f>IFERROR(__xludf.DUMMYFUNCTION("""COMPUTED_VALUE"""),231.82)</f>
        <v>231.82</v>
      </c>
      <c r="AG30" s="2">
        <f>IFERROR(__xludf.DUMMYFUNCTION("""COMPUTED_VALUE"""),0.020188076956259165)</f>
        <v>0.02018807696</v>
      </c>
      <c r="AH30" s="1">
        <f>IFERROR(__xludf.DUMMYFUNCTION("""COMPUTED_VALUE"""),229.03)</f>
        <v>229.03</v>
      </c>
      <c r="AI30" s="1">
        <f>IFERROR(__xludf.DUMMYFUNCTION("""COMPUTED_VALUE"""),322.73)</f>
        <v>322.73</v>
      </c>
      <c r="AJ30" s="2">
        <f>IFERROR(__xludf.DUMMYFUNCTION("""COMPUTED_VALUE"""),0.7096644253710531)</f>
        <v>0.7096644254</v>
      </c>
      <c r="AK30" s="1">
        <f>IFERROR(__xludf.DUMMYFUNCTION("""COMPUTED_VALUE"""),240.81)</f>
        <v>240.81</v>
      </c>
      <c r="AL30" s="1">
        <f>IFERROR(__xludf.DUMMYFUNCTION("""COMPUTED_VALUE"""),740.9100000000001)</f>
        <v>740.91</v>
      </c>
      <c r="AM30" s="2">
        <f>IFERROR(__xludf.DUMMYFUNCTION("""COMPUTED_VALUE"""),0.3250192331052354)</f>
        <v>0.3250192331</v>
      </c>
      <c r="AN30" s="1">
        <f>IFERROR(__xludf.DUMMYFUNCTION("""COMPUTED_VALUE"""),0.0)</f>
        <v>0</v>
      </c>
      <c r="AO30" s="1">
        <f>IFERROR(__xludf.DUMMYFUNCTION("""COMPUTED_VALUE"""),0.0)</f>
        <v>0</v>
      </c>
      <c r="AP30" s="2" t="str">
        <f>IFERROR(__xludf.DUMMYFUNCTION("""COMPUTED_VALUE"""),"")</f>
        <v/>
      </c>
      <c r="AQ30" s="1">
        <f>IFERROR(__xludf.DUMMYFUNCTION("""COMPUTED_VALUE"""),0.0)</f>
        <v>0</v>
      </c>
      <c r="AR30" s="1">
        <f>IFERROR(__xludf.DUMMYFUNCTION("""COMPUTED_VALUE"""),0.0)</f>
        <v>0</v>
      </c>
      <c r="AS30" s="2" t="str">
        <f>IFERROR(__xludf.DUMMYFUNCTION("""COMPUTED_VALUE"""),"")</f>
        <v/>
      </c>
      <c r="AT30" s="1">
        <f>IFERROR(__xludf.DUMMYFUNCTION("""COMPUTED_VALUE"""),0.0)</f>
        <v>0</v>
      </c>
      <c r="AU30" s="1">
        <f>IFERROR(__xludf.DUMMYFUNCTION("""COMPUTED_VALUE"""),0.0)</f>
        <v>0</v>
      </c>
      <c r="AV30" s="2" t="str">
        <f>IFERROR(__xludf.DUMMYFUNCTION("""COMPUTED_VALUE"""),"")</f>
        <v/>
      </c>
      <c r="AW30" s="1">
        <f>IFERROR(__xludf.DUMMYFUNCTION("""COMPUTED_VALUE"""),0.0)</f>
        <v>0</v>
      </c>
      <c r="AX30" s="1">
        <f>IFERROR(__xludf.DUMMYFUNCTION("""COMPUTED_VALUE"""),0.0)</f>
        <v>0</v>
      </c>
      <c r="AY30" s="2" t="str">
        <f>IFERROR(__xludf.DUMMYFUNCTION("""COMPUTED_VALUE"""),"")</f>
        <v/>
      </c>
      <c r="AZ30" s="1">
        <f>IFERROR(__xludf.DUMMYFUNCTION("""COMPUTED_VALUE"""),0.0)</f>
        <v>0</v>
      </c>
      <c r="BA30" s="1">
        <f>IFERROR(__xludf.DUMMYFUNCTION("""COMPUTED_VALUE"""),0.0)</f>
        <v>0</v>
      </c>
      <c r="BB30" s="2" t="str">
        <f>IFERROR(__xludf.DUMMYFUNCTION("""COMPUTED_VALUE"""),"")</f>
        <v/>
      </c>
    </row>
    <row r="31">
      <c r="A31" s="1" t="str">
        <f>IFERROR(__xludf.DUMMYFUNCTION("""COMPUTED_VALUE"""),"63ea6e9352ad6968805ceaa9")</f>
        <v>63ea6e9352ad6968805ceaa9</v>
      </c>
      <c r="B31" s="1" t="str">
        <f>IFERROR(__xludf.DUMMYFUNCTION("""COMPUTED_VALUE"""),"Call-Data-Systems GmbH")</f>
        <v>Call-Data-Systems GmbH</v>
      </c>
      <c r="C31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31" s="1" t="str">
        <f>IFERROR(__xludf.DUMMYFUNCTION("""COMPUTED_VALUE"""),"germany")</f>
        <v>germany</v>
      </c>
      <c r="E31" s="1" t="str">
        <f>IFERROR(__xludf.DUMMYFUNCTION("""COMPUTED_VALUE"""),"DE")</f>
        <v>DE</v>
      </c>
      <c r="F31" s="1" t="str">
        <f>IFERROR(__xludf.DUMMYFUNCTION("""COMPUTED_VALUE"""),"expert_200")</f>
        <v>expert_200</v>
      </c>
      <c r="G31" s="1">
        <f>IFERROR(__xludf.DUMMYFUNCTION("""COMPUTED_VALUE"""),1.0)</f>
        <v>1</v>
      </c>
      <c r="H31" s="1">
        <f>IFERROR(__xludf.DUMMYFUNCTION("""COMPUTED_VALUE"""),1.0)</f>
        <v>1</v>
      </c>
      <c r="I31" s="2">
        <f>IFERROR(__xludf.DUMMYFUNCTION("""COMPUTED_VALUE"""),1.0)</f>
        <v>1</v>
      </c>
      <c r="J31" s="1">
        <f>IFERROR(__xludf.DUMMYFUNCTION("""COMPUTED_VALUE"""),289.89)</f>
        <v>289.89</v>
      </c>
      <c r="K31" s="1">
        <f>IFERROR(__xludf.DUMMYFUNCTION("""COMPUTED_VALUE"""),926.0)</f>
        <v>926</v>
      </c>
      <c r="L31" s="2">
        <f>IFERROR(__xludf.DUMMYFUNCTION("""COMPUTED_VALUE"""),0.3130561555075594)</f>
        <v>0.3130561555</v>
      </c>
      <c r="M31" s="1">
        <f>IFERROR(__xludf.DUMMYFUNCTION("""COMPUTED_VALUE"""),40.0)</f>
        <v>40</v>
      </c>
      <c r="N31" s="1">
        <f>IFERROR(__xludf.DUMMYFUNCTION("""COMPUTED_VALUE"""),52.0)</f>
        <v>52</v>
      </c>
      <c r="O31" s="2">
        <f>IFERROR(__xludf.DUMMYFUNCTION("""COMPUTED_VALUE"""),0.7692307692307693)</f>
        <v>0.7692307692</v>
      </c>
      <c r="P31" s="1">
        <f>IFERROR(__xludf.DUMMYFUNCTION("""COMPUTED_VALUE"""),1.0)</f>
        <v>1</v>
      </c>
      <c r="Q31" s="1">
        <f>IFERROR(__xludf.DUMMYFUNCTION("""COMPUTED_VALUE"""),1.0)</f>
        <v>1</v>
      </c>
      <c r="R31" s="2">
        <f>IFERROR(__xludf.DUMMYFUNCTION("""COMPUTED_VALUE"""),1.0)</f>
        <v>1</v>
      </c>
      <c r="S31" s="1">
        <f>IFERROR(__xludf.DUMMYFUNCTION("""COMPUTED_VALUE"""),1.0)</f>
        <v>1</v>
      </c>
      <c r="T31" s="1">
        <f>IFERROR(__xludf.DUMMYFUNCTION("""COMPUTED_VALUE"""),1.0)</f>
        <v>1</v>
      </c>
      <c r="U31" s="2">
        <f>IFERROR(__xludf.DUMMYFUNCTION("""COMPUTED_VALUE"""),1.0)</f>
        <v>1</v>
      </c>
      <c r="V31" s="1">
        <f>IFERROR(__xludf.DUMMYFUNCTION("""COMPUTED_VALUE"""),1.0)</f>
        <v>1</v>
      </c>
      <c r="W31" s="1">
        <f>IFERROR(__xludf.DUMMYFUNCTION("""COMPUTED_VALUE"""),1.0)</f>
        <v>1</v>
      </c>
      <c r="X31" s="2">
        <f>IFERROR(__xludf.DUMMYFUNCTION("""COMPUTED_VALUE"""),1.0)</f>
        <v>1</v>
      </c>
      <c r="Y31" s="1">
        <f>IFERROR(__xludf.DUMMYFUNCTION("""COMPUTED_VALUE"""),0.59)</f>
        <v>0.59</v>
      </c>
      <c r="Z31" s="1">
        <f>IFERROR(__xludf.DUMMYFUNCTION("""COMPUTED_VALUE"""),0.0)</f>
        <v>0</v>
      </c>
      <c r="AA31" s="2" t="str">
        <f>IFERROR(__xludf.DUMMYFUNCTION("""COMPUTED_VALUE"""),"")</f>
        <v/>
      </c>
      <c r="AB31" s="1">
        <f>IFERROR(__xludf.DUMMYFUNCTION("""COMPUTED_VALUE"""),12.97)</f>
        <v>12.97</v>
      </c>
      <c r="AC31" s="1">
        <f>IFERROR(__xludf.DUMMYFUNCTION("""COMPUTED_VALUE"""),440.95)</f>
        <v>440.95</v>
      </c>
      <c r="AD31" s="2">
        <f>IFERROR(__xludf.DUMMYFUNCTION("""COMPUTED_VALUE"""),0.029413765733076316)</f>
        <v>0.02941376573</v>
      </c>
      <c r="AE31" s="1">
        <f>IFERROR(__xludf.DUMMYFUNCTION("""COMPUTED_VALUE"""),90.97)</f>
        <v>90.97</v>
      </c>
      <c r="AF31" s="1">
        <f>IFERROR(__xludf.DUMMYFUNCTION("""COMPUTED_VALUE"""),661.43)</f>
        <v>661.43</v>
      </c>
      <c r="AG31" s="2">
        <f>IFERROR(__xludf.DUMMYFUNCTION("""COMPUTED_VALUE"""),0.13753534009645768)</f>
        <v>0.1375353401</v>
      </c>
      <c r="AH31" s="1">
        <f>IFERROR(__xludf.DUMMYFUNCTION("""COMPUTED_VALUE"""),340.9)</f>
        <v>340.9</v>
      </c>
      <c r="AI31" s="1">
        <f>IFERROR(__xludf.DUMMYFUNCTION("""COMPUTED_VALUE"""),661.43)</f>
        <v>661.43</v>
      </c>
      <c r="AJ31" s="2">
        <f>IFERROR(__xludf.DUMMYFUNCTION("""COMPUTED_VALUE"""),0.5153984548629484)</f>
        <v>0.5153984549</v>
      </c>
      <c r="AK31" s="1">
        <f>IFERROR(__xludf.DUMMYFUNCTION("""COMPUTED_VALUE"""),445.42999999999995)</f>
        <v>445.43</v>
      </c>
      <c r="AL31" s="1">
        <f>IFERROR(__xludf.DUMMYFUNCTION("""COMPUTED_VALUE"""),1763.81)</f>
        <v>1763.81</v>
      </c>
      <c r="AM31" s="2">
        <f>IFERROR(__xludf.DUMMYFUNCTION("""COMPUTED_VALUE"""),0.252538538731496)</f>
        <v>0.2525385387</v>
      </c>
      <c r="AN31" s="1">
        <f>IFERROR(__xludf.DUMMYFUNCTION("""COMPUTED_VALUE"""),25.0)</f>
        <v>25</v>
      </c>
      <c r="AO31" s="1">
        <f>IFERROR(__xludf.DUMMYFUNCTION("""COMPUTED_VALUE"""),0.0)</f>
        <v>0</v>
      </c>
      <c r="AP31" s="2" t="str">
        <f>IFERROR(__xludf.DUMMYFUNCTION("""COMPUTED_VALUE"""),"")</f>
        <v/>
      </c>
      <c r="AQ31" s="1">
        <f>IFERROR(__xludf.DUMMYFUNCTION("""COMPUTED_VALUE"""),567.55)</f>
        <v>567.55</v>
      </c>
      <c r="AR31" s="1">
        <f>IFERROR(__xludf.DUMMYFUNCTION("""COMPUTED_VALUE"""),0.0)</f>
        <v>0</v>
      </c>
      <c r="AS31" s="2" t="str">
        <f>IFERROR(__xludf.DUMMYFUNCTION("""COMPUTED_VALUE"""),"")</f>
        <v/>
      </c>
      <c r="AT31" s="1">
        <f>IFERROR(__xludf.DUMMYFUNCTION("""COMPUTED_VALUE"""),0.46)</f>
        <v>0.46</v>
      </c>
      <c r="AU31" s="1">
        <f>IFERROR(__xludf.DUMMYFUNCTION("""COMPUTED_VALUE"""),0.0)</f>
        <v>0</v>
      </c>
      <c r="AV31" s="2" t="str">
        <f>IFERROR(__xludf.DUMMYFUNCTION("""COMPUTED_VALUE"""),"")</f>
        <v/>
      </c>
      <c r="AW31" s="1">
        <f>IFERROR(__xludf.DUMMYFUNCTION("""COMPUTED_VALUE"""),0.0)</f>
        <v>0</v>
      </c>
      <c r="AX31" s="1">
        <f>IFERROR(__xludf.DUMMYFUNCTION("""COMPUTED_VALUE"""),0.0)</f>
        <v>0</v>
      </c>
      <c r="AY31" s="2" t="str">
        <f>IFERROR(__xludf.DUMMYFUNCTION("""COMPUTED_VALUE"""),"")</f>
        <v/>
      </c>
      <c r="AZ31" s="1">
        <f>IFERROR(__xludf.DUMMYFUNCTION("""COMPUTED_VALUE"""),593.01)</f>
        <v>593.01</v>
      </c>
      <c r="BA31" s="1">
        <f>IFERROR(__xludf.DUMMYFUNCTION("""COMPUTED_VALUE"""),0.0)</f>
        <v>0</v>
      </c>
      <c r="BB31" s="2" t="str">
        <f>IFERROR(__xludf.DUMMYFUNCTION("""COMPUTED_VALUE"""),"")</f>
        <v/>
      </c>
    </row>
    <row r="32">
      <c r="A32" s="1" t="str">
        <f>IFERROR(__xludf.DUMMYFUNCTION("""COMPUTED_VALUE"""),"63fcbb84a107c871cf565293")</f>
        <v>63fcbb84a107c871cf565293</v>
      </c>
      <c r="B32" s="1" t="str">
        <f>IFERROR(__xludf.DUMMYFUNCTION("""COMPUTED_VALUE"""),"Christmann Informationstechnik")</f>
        <v>Christmann Informationstechnik</v>
      </c>
      <c r="C32" s="1" t="str">
        <f>IFERROR(__xludf.DUMMYFUNCTION("""COMPUTED_VALUE"""),"michael.moog@al-enterprise.com, philipp.bode@al-enterprise.com")</f>
        <v>michael.moog@al-enterprise.com, philipp.bode@al-enterprise.com</v>
      </c>
      <c r="D32" s="1" t="str">
        <f>IFERROR(__xludf.DUMMYFUNCTION("""COMPUTED_VALUE"""),"germany")</f>
        <v>germany</v>
      </c>
      <c r="E32" s="1" t="str">
        <f>IFERROR(__xludf.DUMMYFUNCTION("""COMPUTED_VALUE"""),"DE")</f>
        <v>DE</v>
      </c>
      <c r="F32" s="1" t="str">
        <f>IFERROR(__xludf.DUMMYFUNCTION("""COMPUTED_VALUE"""),"expert_200")</f>
        <v>expert_200</v>
      </c>
      <c r="G32" s="1">
        <f>IFERROR(__xludf.DUMMYFUNCTION("""COMPUTED_VALUE"""),1.0)</f>
        <v>1</v>
      </c>
      <c r="H32" s="1">
        <f>IFERROR(__xludf.DUMMYFUNCTION("""COMPUTED_VALUE"""),1.0)</f>
        <v>1</v>
      </c>
      <c r="I32" s="2">
        <f>IFERROR(__xludf.DUMMYFUNCTION("""COMPUTED_VALUE"""),1.0)</f>
        <v>1</v>
      </c>
      <c r="J32" s="1">
        <f>IFERROR(__xludf.DUMMYFUNCTION("""COMPUTED_VALUE"""),36.18)</f>
        <v>36.18</v>
      </c>
      <c r="K32" s="1">
        <f>IFERROR(__xludf.DUMMYFUNCTION("""COMPUTED_VALUE"""),205.0)</f>
        <v>205</v>
      </c>
      <c r="L32" s="2">
        <f>IFERROR(__xludf.DUMMYFUNCTION("""COMPUTED_VALUE"""),0.17648780487804877)</f>
        <v>0.1764878049</v>
      </c>
      <c r="M32" s="1">
        <f>IFERROR(__xludf.DUMMYFUNCTION("""COMPUTED_VALUE"""),9.0)</f>
        <v>9</v>
      </c>
      <c r="N32" s="1">
        <f>IFERROR(__xludf.DUMMYFUNCTION("""COMPUTED_VALUE"""),0.0)</f>
        <v>0</v>
      </c>
      <c r="O32" s="2" t="str">
        <f>IFERROR(__xludf.DUMMYFUNCTION("""COMPUTED_VALUE"""),"")</f>
        <v/>
      </c>
      <c r="P32" s="1">
        <f>IFERROR(__xludf.DUMMYFUNCTION("""COMPUTED_VALUE"""),0.0)</f>
        <v>0</v>
      </c>
      <c r="Q32" s="1">
        <f>IFERROR(__xludf.DUMMYFUNCTION("""COMPUTED_VALUE"""),1.0)</f>
        <v>1</v>
      </c>
      <c r="R32" s="2">
        <f>IFERROR(__xludf.DUMMYFUNCTION("""COMPUTED_VALUE"""),0.0)</f>
        <v>0</v>
      </c>
      <c r="S32" s="1">
        <f>IFERROR(__xludf.DUMMYFUNCTION("""COMPUTED_VALUE"""),1.0)</f>
        <v>1</v>
      </c>
      <c r="T32" s="1">
        <f>IFERROR(__xludf.DUMMYFUNCTION("""COMPUTED_VALUE"""),1.0)</f>
        <v>1</v>
      </c>
      <c r="U32" s="2">
        <f>IFERROR(__xludf.DUMMYFUNCTION("""COMPUTED_VALUE"""),1.0)</f>
        <v>1</v>
      </c>
      <c r="V32" s="1">
        <f>IFERROR(__xludf.DUMMYFUNCTION("""COMPUTED_VALUE"""),0.0)</f>
        <v>0</v>
      </c>
      <c r="W32" s="1">
        <f>IFERROR(__xludf.DUMMYFUNCTION("""COMPUTED_VALUE"""),1.0)</f>
        <v>1</v>
      </c>
      <c r="X32" s="2">
        <f>IFERROR(__xludf.DUMMYFUNCTION("""COMPUTED_VALUE"""),0.0)</f>
        <v>0</v>
      </c>
      <c r="Y32" s="1">
        <f>IFERROR(__xludf.DUMMYFUNCTION("""COMPUTED_VALUE"""),0.0)</f>
        <v>0</v>
      </c>
      <c r="Z32" s="1">
        <f>IFERROR(__xludf.DUMMYFUNCTION("""COMPUTED_VALUE"""),0.0)</f>
        <v>0</v>
      </c>
      <c r="AA32" s="2" t="str">
        <f>IFERROR(__xludf.DUMMYFUNCTION("""COMPUTED_VALUE"""),"")</f>
        <v/>
      </c>
      <c r="AB32" s="1">
        <f>IFERROR(__xludf.DUMMYFUNCTION("""COMPUTED_VALUE"""),6.5)</f>
        <v>6.5</v>
      </c>
      <c r="AC32" s="1">
        <f>IFERROR(__xludf.DUMMYFUNCTION("""COMPUTED_VALUE"""),89.13)</f>
        <v>89.13</v>
      </c>
      <c r="AD32" s="2">
        <f>IFERROR(__xludf.DUMMYFUNCTION("""COMPUTED_VALUE"""),0.07292718501065859)</f>
        <v>0.07292718501</v>
      </c>
      <c r="AE32" s="1">
        <f>IFERROR(__xludf.DUMMYFUNCTION("""COMPUTED_VALUE"""),6.5)</f>
        <v>6.5</v>
      </c>
      <c r="AF32" s="1">
        <f>IFERROR(__xludf.DUMMYFUNCTION("""COMPUTED_VALUE"""),205.0)</f>
        <v>205</v>
      </c>
      <c r="AG32" s="2">
        <f>IFERROR(__xludf.DUMMYFUNCTION("""COMPUTED_VALUE"""),0.03170731707317073)</f>
        <v>0.03170731707</v>
      </c>
      <c r="AH32" s="1">
        <f>IFERROR(__xludf.DUMMYFUNCTION("""COMPUTED_VALUE"""),66.4)</f>
        <v>66.4</v>
      </c>
      <c r="AI32" s="1">
        <f>IFERROR(__xludf.DUMMYFUNCTION("""COMPUTED_VALUE"""),205.0)</f>
        <v>205</v>
      </c>
      <c r="AJ32" s="2">
        <f>IFERROR(__xludf.DUMMYFUNCTION("""COMPUTED_VALUE"""),0.32390243902439025)</f>
        <v>0.323902439</v>
      </c>
      <c r="AK32" s="1">
        <f>IFERROR(__xludf.DUMMYFUNCTION("""COMPUTED_VALUE"""),79.4)</f>
        <v>79.4</v>
      </c>
      <c r="AL32" s="1">
        <f>IFERROR(__xludf.DUMMYFUNCTION("""COMPUTED_VALUE"""),499.13)</f>
        <v>499.13</v>
      </c>
      <c r="AM32" s="2">
        <f>IFERROR(__xludf.DUMMYFUNCTION("""COMPUTED_VALUE"""),0.15907679362090038)</f>
        <v>0.1590767936</v>
      </c>
      <c r="AN32" s="1">
        <f>IFERROR(__xludf.DUMMYFUNCTION("""COMPUTED_VALUE"""),0.0)</f>
        <v>0</v>
      </c>
      <c r="AO32" s="1">
        <f>IFERROR(__xludf.DUMMYFUNCTION("""COMPUTED_VALUE"""),0.0)</f>
        <v>0</v>
      </c>
      <c r="AP32" s="2" t="str">
        <f>IFERROR(__xludf.DUMMYFUNCTION("""COMPUTED_VALUE"""),"")</f>
        <v/>
      </c>
      <c r="AQ32" s="1">
        <f>IFERROR(__xludf.DUMMYFUNCTION("""COMPUTED_VALUE"""),0.0)</f>
        <v>0</v>
      </c>
      <c r="AR32" s="1">
        <f>IFERROR(__xludf.DUMMYFUNCTION("""COMPUTED_VALUE"""),0.0)</f>
        <v>0</v>
      </c>
      <c r="AS32" s="2" t="str">
        <f>IFERROR(__xludf.DUMMYFUNCTION("""COMPUTED_VALUE"""),"")</f>
        <v/>
      </c>
      <c r="AT32" s="1">
        <f>IFERROR(__xludf.DUMMYFUNCTION("""COMPUTED_VALUE"""),0.0)</f>
        <v>0</v>
      </c>
      <c r="AU32" s="1">
        <f>IFERROR(__xludf.DUMMYFUNCTION("""COMPUTED_VALUE"""),0.0)</f>
        <v>0</v>
      </c>
      <c r="AV32" s="2" t="str">
        <f>IFERROR(__xludf.DUMMYFUNCTION("""COMPUTED_VALUE"""),"")</f>
        <v/>
      </c>
      <c r="AW32" s="1">
        <f>IFERROR(__xludf.DUMMYFUNCTION("""COMPUTED_VALUE"""),0.0)</f>
        <v>0</v>
      </c>
      <c r="AX32" s="1">
        <f>IFERROR(__xludf.DUMMYFUNCTION("""COMPUTED_VALUE"""),0.0)</f>
        <v>0</v>
      </c>
      <c r="AY32" s="2" t="str">
        <f>IFERROR(__xludf.DUMMYFUNCTION("""COMPUTED_VALUE"""),"")</f>
        <v/>
      </c>
      <c r="AZ32" s="1">
        <f>IFERROR(__xludf.DUMMYFUNCTION("""COMPUTED_VALUE"""),0.0)</f>
        <v>0</v>
      </c>
      <c r="BA32" s="1">
        <f>IFERROR(__xludf.DUMMYFUNCTION("""COMPUTED_VALUE"""),0.0)</f>
        <v>0</v>
      </c>
      <c r="BB32" s="2" t="str">
        <f>IFERROR(__xludf.DUMMYFUNCTION("""COMPUTED_VALUE"""),"")</f>
        <v/>
      </c>
    </row>
    <row r="33">
      <c r="A33" s="1" t="str">
        <f>IFERROR(__xludf.DUMMYFUNCTION("""COMPUTED_VALUE"""),"63ced847c5c820531c2689ab")</f>
        <v>63ced847c5c820531c2689ab</v>
      </c>
      <c r="B33" s="1" t="str">
        <f>IFERROR(__xludf.DUMMYFUNCTION("""COMPUTED_VALUE"""),"COM plan + service GmbH")</f>
        <v>COM plan + service GmbH</v>
      </c>
      <c r="C33" s="1" t="str">
        <f>IFERROR(__xludf.DUMMYFUNCTION("""COMPUTED_VALUE"""),"thomas.ullmann@al-enterprise.com, silke.fraedrich@al-enterprise.com, andreas.grossheimann@al-enterprise.com, samantha.hunt@al-enterprise.com, katrin.pfeiffer@al-enterprise.com, sibylle.klopfer@al-enterprise.com, igor.leko@al-enterprise.com")</f>
        <v>thomas.ullmann@al-enterprise.com, silke.fraedrich@al-enterprise.com, andreas.grossheimann@al-enterprise.com, samantha.hunt@al-enterprise.com, katrin.pfeiffer@al-enterprise.com, sibylle.klopfer@al-enterprise.com, igor.leko@al-enterprise.com</v>
      </c>
      <c r="D33" s="1" t="str">
        <f>IFERROR(__xludf.DUMMYFUNCTION("""COMPUTED_VALUE"""),"germany")</f>
        <v>germany</v>
      </c>
      <c r="E33" s="1" t="str">
        <f>IFERROR(__xludf.DUMMYFUNCTION("""COMPUTED_VALUE"""),"DE")</f>
        <v>DE</v>
      </c>
      <c r="F33" s="1" t="str">
        <f>IFERROR(__xludf.DUMMYFUNCTION("""COMPUTED_VALUE"""),"yes")</f>
        <v>yes</v>
      </c>
      <c r="G33" s="1">
        <f>IFERROR(__xludf.DUMMYFUNCTION("""COMPUTED_VALUE"""),1.0)</f>
        <v>1</v>
      </c>
      <c r="H33" s="1">
        <f>IFERROR(__xludf.DUMMYFUNCTION("""COMPUTED_VALUE"""),1.0)</f>
        <v>1</v>
      </c>
      <c r="I33" s="2">
        <f>IFERROR(__xludf.DUMMYFUNCTION("""COMPUTED_VALUE"""),1.0)</f>
        <v>1</v>
      </c>
      <c r="J33" s="1">
        <f>IFERROR(__xludf.DUMMYFUNCTION("""COMPUTED_VALUE"""),1802.04)</f>
        <v>1802.04</v>
      </c>
      <c r="K33" s="1">
        <f>IFERROR(__xludf.DUMMYFUNCTION("""COMPUTED_VALUE"""),4600.0)</f>
        <v>4600</v>
      </c>
      <c r="L33" s="2">
        <f>IFERROR(__xludf.DUMMYFUNCTION("""COMPUTED_VALUE"""),0.3917478260869565)</f>
        <v>0.3917478261</v>
      </c>
      <c r="M33" s="1">
        <f>IFERROR(__xludf.DUMMYFUNCTION("""COMPUTED_VALUE"""),178.0)</f>
        <v>178</v>
      </c>
      <c r="N33" s="1">
        <f>IFERROR(__xludf.DUMMYFUNCTION("""COMPUTED_VALUE"""),52.0)</f>
        <v>52</v>
      </c>
      <c r="O33" s="2">
        <f>IFERROR(__xludf.DUMMYFUNCTION("""COMPUTED_VALUE"""),3.423076923076923)</f>
        <v>3.423076923</v>
      </c>
      <c r="P33" s="1">
        <f>IFERROR(__xludf.DUMMYFUNCTION("""COMPUTED_VALUE"""),1.0)</f>
        <v>1</v>
      </c>
      <c r="Q33" s="1">
        <f>IFERROR(__xludf.DUMMYFUNCTION("""COMPUTED_VALUE"""),1.0)</f>
        <v>1</v>
      </c>
      <c r="R33" s="2">
        <f>IFERROR(__xludf.DUMMYFUNCTION("""COMPUTED_VALUE"""),1.0)</f>
        <v>1</v>
      </c>
      <c r="S33" s="1">
        <f>IFERROR(__xludf.DUMMYFUNCTION("""COMPUTED_VALUE"""),1.0)</f>
        <v>1</v>
      </c>
      <c r="T33" s="1">
        <f>IFERROR(__xludf.DUMMYFUNCTION("""COMPUTED_VALUE"""),1.0)</f>
        <v>1</v>
      </c>
      <c r="U33" s="2">
        <f>IFERROR(__xludf.DUMMYFUNCTION("""COMPUTED_VALUE"""),1.0)</f>
        <v>1</v>
      </c>
      <c r="V33" s="1">
        <f>IFERROR(__xludf.DUMMYFUNCTION("""COMPUTED_VALUE"""),0.0)</f>
        <v>0</v>
      </c>
      <c r="W33" s="1">
        <f>IFERROR(__xludf.DUMMYFUNCTION("""COMPUTED_VALUE"""),1.0)</f>
        <v>1</v>
      </c>
      <c r="X33" s="2">
        <f>IFERROR(__xludf.DUMMYFUNCTION("""COMPUTED_VALUE"""),0.0)</f>
        <v>0</v>
      </c>
      <c r="Y33" s="1">
        <f>IFERROR(__xludf.DUMMYFUNCTION("""COMPUTED_VALUE"""),40.01)</f>
        <v>40.01</v>
      </c>
      <c r="Z33" s="1">
        <f>IFERROR(__xludf.DUMMYFUNCTION("""COMPUTED_VALUE"""),0.0)</f>
        <v>0</v>
      </c>
      <c r="AA33" s="2" t="str">
        <f>IFERROR(__xludf.DUMMYFUNCTION("""COMPUTED_VALUE"""),"")</f>
        <v/>
      </c>
      <c r="AB33" s="1">
        <f>IFERROR(__xludf.DUMMYFUNCTION("""COMPUTED_VALUE"""),7.06)</f>
        <v>7.06</v>
      </c>
      <c r="AC33" s="1">
        <f>IFERROR(__xludf.DUMMYFUNCTION("""COMPUTED_VALUE"""),2000.0)</f>
        <v>2000</v>
      </c>
      <c r="AD33" s="2">
        <f>IFERROR(__xludf.DUMMYFUNCTION("""COMPUTED_VALUE"""),0.0035299999999999997)</f>
        <v>0.00353</v>
      </c>
      <c r="AE33" s="1">
        <f>IFERROR(__xludf.DUMMYFUNCTION("""COMPUTED_VALUE"""),570.13)</f>
        <v>570.13</v>
      </c>
      <c r="AF33" s="1">
        <f>IFERROR(__xludf.DUMMYFUNCTION("""COMPUTED_VALUE"""),3000.0)</f>
        <v>3000</v>
      </c>
      <c r="AG33" s="2">
        <f>IFERROR(__xludf.DUMMYFUNCTION("""COMPUTED_VALUE"""),0.19004333333333334)</f>
        <v>0.1900433333</v>
      </c>
      <c r="AH33" s="1">
        <f>IFERROR(__xludf.DUMMYFUNCTION("""COMPUTED_VALUE"""),3865.78)</f>
        <v>3865.78</v>
      </c>
      <c r="AI33" s="1">
        <f>IFERROR(__xludf.DUMMYFUNCTION("""COMPUTED_VALUE"""),3000.0)</f>
        <v>3000</v>
      </c>
      <c r="AJ33" s="2">
        <f>IFERROR(__xludf.DUMMYFUNCTION("""COMPUTED_VALUE"""),1.2885933333333335)</f>
        <v>1.288593333</v>
      </c>
      <c r="AK33" s="1">
        <f>IFERROR(__xludf.DUMMYFUNCTION("""COMPUTED_VALUE"""),4482.9800000000005)</f>
        <v>4482.98</v>
      </c>
      <c r="AL33" s="1">
        <f>IFERROR(__xludf.DUMMYFUNCTION("""COMPUTED_VALUE"""),8000.0)</f>
        <v>8000</v>
      </c>
      <c r="AM33" s="2">
        <f>IFERROR(__xludf.DUMMYFUNCTION("""COMPUTED_VALUE"""),0.5603725)</f>
        <v>0.5603725</v>
      </c>
      <c r="AN33" s="1">
        <f>IFERROR(__xludf.DUMMYFUNCTION("""COMPUTED_VALUE"""),401.38)</f>
        <v>401.38</v>
      </c>
      <c r="AO33" s="1">
        <f>IFERROR(__xludf.DUMMYFUNCTION("""COMPUTED_VALUE"""),0.0)</f>
        <v>0</v>
      </c>
      <c r="AP33" s="2" t="str">
        <f>IFERROR(__xludf.DUMMYFUNCTION("""COMPUTED_VALUE"""),"")</f>
        <v/>
      </c>
      <c r="AQ33" s="1">
        <f>IFERROR(__xludf.DUMMYFUNCTION("""COMPUTED_VALUE"""),7809.37)</f>
        <v>7809.37</v>
      </c>
      <c r="AR33" s="1">
        <f>IFERROR(__xludf.DUMMYFUNCTION("""COMPUTED_VALUE"""),0.0)</f>
        <v>0</v>
      </c>
      <c r="AS33" s="2" t="str">
        <f>IFERROR(__xludf.DUMMYFUNCTION("""COMPUTED_VALUE"""),"")</f>
        <v/>
      </c>
      <c r="AT33" s="1">
        <f>IFERROR(__xludf.DUMMYFUNCTION("""COMPUTED_VALUE"""),134.85)</f>
        <v>134.85</v>
      </c>
      <c r="AU33" s="1">
        <f>IFERROR(__xludf.DUMMYFUNCTION("""COMPUTED_VALUE"""),0.0)</f>
        <v>0</v>
      </c>
      <c r="AV33" s="2" t="str">
        <f>IFERROR(__xludf.DUMMYFUNCTION("""COMPUTED_VALUE"""),"")</f>
        <v/>
      </c>
      <c r="AW33" s="1">
        <f>IFERROR(__xludf.DUMMYFUNCTION("""COMPUTED_VALUE"""),3301.26)</f>
        <v>3301.26</v>
      </c>
      <c r="AX33" s="1">
        <f>IFERROR(__xludf.DUMMYFUNCTION("""COMPUTED_VALUE"""),0.0)</f>
        <v>0</v>
      </c>
      <c r="AY33" s="2" t="str">
        <f>IFERROR(__xludf.DUMMYFUNCTION("""COMPUTED_VALUE"""),"")</f>
        <v/>
      </c>
      <c r="AZ33" s="1">
        <f>IFERROR(__xludf.DUMMYFUNCTION("""COMPUTED_VALUE"""),11646.86)</f>
        <v>11646.86</v>
      </c>
      <c r="BA33" s="1">
        <f>IFERROR(__xludf.DUMMYFUNCTION("""COMPUTED_VALUE"""),0.0)</f>
        <v>0</v>
      </c>
      <c r="BB33" s="2" t="str">
        <f>IFERROR(__xludf.DUMMYFUNCTION("""COMPUTED_VALUE"""),"")</f>
        <v/>
      </c>
    </row>
    <row r="34">
      <c r="A34" s="1" t="str">
        <f>IFERROR(__xludf.DUMMYFUNCTION("""COMPUTED_VALUE"""),"63fcbb7fa107c871cf56491d")</f>
        <v>63fcbb7fa107c871cf56491d</v>
      </c>
      <c r="B34" s="1" t="str">
        <f>IFERROR(__xludf.DUMMYFUNCTION("""COMPUTED_VALUE"""),"Comfica Soluciones Integrales SL")</f>
        <v>Comfica Soluciones Integrales SL</v>
      </c>
      <c r="C34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34" s="1" t="str">
        <f>IFERROR(__xludf.DUMMYFUNCTION("""COMPUTED_VALUE"""),"emea")</f>
        <v>emea</v>
      </c>
      <c r="E34" s="1" t="str">
        <f>IFERROR(__xludf.DUMMYFUNCTION("""COMPUTED_VALUE"""),"ES")</f>
        <v>ES</v>
      </c>
      <c r="F34" s="1" t="str">
        <f>IFERROR(__xludf.DUMMYFUNCTION("""COMPUTED_VALUE"""),"expert_200")</f>
        <v>expert_200</v>
      </c>
      <c r="G34" s="1">
        <f>IFERROR(__xludf.DUMMYFUNCTION("""COMPUTED_VALUE"""),1.0)</f>
        <v>1</v>
      </c>
      <c r="H34" s="1">
        <f>IFERROR(__xludf.DUMMYFUNCTION("""COMPUTED_VALUE"""),1.0)</f>
        <v>1</v>
      </c>
      <c r="I34" s="2">
        <f>IFERROR(__xludf.DUMMYFUNCTION("""COMPUTED_VALUE"""),1.0)</f>
        <v>1</v>
      </c>
      <c r="J34" s="1">
        <f>IFERROR(__xludf.DUMMYFUNCTION("""COMPUTED_VALUE"""),15.84)</f>
        <v>15.84</v>
      </c>
      <c r="K34" s="1">
        <f>IFERROR(__xludf.DUMMYFUNCTION("""COMPUTED_VALUE"""),500.0)</f>
        <v>500</v>
      </c>
      <c r="L34" s="2">
        <f>IFERROR(__xludf.DUMMYFUNCTION("""COMPUTED_VALUE"""),0.03168)</f>
        <v>0.03168</v>
      </c>
      <c r="M34" s="1">
        <f>IFERROR(__xludf.DUMMYFUNCTION("""COMPUTED_VALUE"""),7.0)</f>
        <v>7</v>
      </c>
      <c r="N34" s="1">
        <f>IFERROR(__xludf.DUMMYFUNCTION("""COMPUTED_VALUE"""),52.0)</f>
        <v>52</v>
      </c>
      <c r="O34" s="2">
        <f>IFERROR(__xludf.DUMMYFUNCTION("""COMPUTED_VALUE"""),0.1346153846153846)</f>
        <v>0.1346153846</v>
      </c>
      <c r="P34" s="1">
        <f>IFERROR(__xludf.DUMMYFUNCTION("""COMPUTED_VALUE"""),0.0)</f>
        <v>0</v>
      </c>
      <c r="Q34" s="1">
        <f>IFERROR(__xludf.DUMMYFUNCTION("""COMPUTED_VALUE"""),1.0)</f>
        <v>1</v>
      </c>
      <c r="R34" s="2">
        <f>IFERROR(__xludf.DUMMYFUNCTION("""COMPUTED_VALUE"""),0.0)</f>
        <v>0</v>
      </c>
      <c r="S34" s="1">
        <f>IFERROR(__xludf.DUMMYFUNCTION("""COMPUTED_VALUE"""),1.0)</f>
        <v>1</v>
      </c>
      <c r="T34" s="1">
        <f>IFERROR(__xludf.DUMMYFUNCTION("""COMPUTED_VALUE"""),1.0)</f>
        <v>1</v>
      </c>
      <c r="U34" s="2">
        <f>IFERROR(__xludf.DUMMYFUNCTION("""COMPUTED_VALUE"""),1.0)</f>
        <v>1</v>
      </c>
      <c r="V34" s="1">
        <f>IFERROR(__xludf.DUMMYFUNCTION("""COMPUTED_VALUE"""),0.0)</f>
        <v>0</v>
      </c>
      <c r="W34" s="1">
        <f>IFERROR(__xludf.DUMMYFUNCTION("""COMPUTED_VALUE"""),1.0)</f>
        <v>1</v>
      </c>
      <c r="X34" s="2">
        <f>IFERROR(__xludf.DUMMYFUNCTION("""COMPUTED_VALUE"""),0.0)</f>
        <v>0</v>
      </c>
      <c r="Y34" s="1">
        <f>IFERROR(__xludf.DUMMYFUNCTION("""COMPUTED_VALUE"""),110.0)</f>
        <v>110</v>
      </c>
      <c r="Z34" s="1">
        <f>IFERROR(__xludf.DUMMYFUNCTION("""COMPUTED_VALUE"""),0.0)</f>
        <v>0</v>
      </c>
      <c r="AA34" s="2" t="str">
        <f>IFERROR(__xludf.DUMMYFUNCTION("""COMPUTED_VALUE"""),"")</f>
        <v/>
      </c>
      <c r="AB34" s="1">
        <f>IFERROR(__xludf.DUMMYFUNCTION("""COMPUTED_VALUE"""),14.0)</f>
        <v>14</v>
      </c>
      <c r="AC34" s="1">
        <f>IFERROR(__xludf.DUMMYFUNCTION("""COMPUTED_VALUE"""),215.52)</f>
        <v>215.52</v>
      </c>
      <c r="AD34" s="2">
        <f>IFERROR(__xludf.DUMMYFUNCTION("""COMPUTED_VALUE"""),0.06495916852264291)</f>
        <v>0.06495916852</v>
      </c>
      <c r="AE34" s="1">
        <f>IFERROR(__xludf.DUMMYFUNCTION("""COMPUTED_VALUE"""),110.0)</f>
        <v>110</v>
      </c>
      <c r="AF34" s="1">
        <f>IFERROR(__xludf.DUMMYFUNCTION("""COMPUTED_VALUE"""),215.52)</f>
        <v>215.52</v>
      </c>
      <c r="AG34" s="2">
        <f>IFERROR(__xludf.DUMMYFUNCTION("""COMPUTED_VALUE"""),0.5103934669636229)</f>
        <v>0.510393467</v>
      </c>
      <c r="AH34" s="1">
        <f>IFERROR(__xludf.DUMMYFUNCTION("""COMPUTED_VALUE"""),340.0)</f>
        <v>340</v>
      </c>
      <c r="AI34" s="1">
        <f>IFERROR(__xludf.DUMMYFUNCTION("""COMPUTED_VALUE"""),215.52)</f>
        <v>215.52</v>
      </c>
      <c r="AJ34" s="2">
        <f>IFERROR(__xludf.DUMMYFUNCTION("""COMPUTED_VALUE"""),1.5775798069784706)</f>
        <v>1.577579807</v>
      </c>
      <c r="AK34" s="1">
        <f>IFERROR(__xludf.DUMMYFUNCTION("""COMPUTED_VALUE"""),574.0)</f>
        <v>574</v>
      </c>
      <c r="AL34" s="1">
        <f>IFERROR(__xludf.DUMMYFUNCTION("""COMPUTED_VALUE"""),646.5600000000001)</f>
        <v>646.56</v>
      </c>
      <c r="AM34" s="2">
        <f>IFERROR(__xludf.DUMMYFUNCTION("""COMPUTED_VALUE"""),0.8877753031427864)</f>
        <v>0.8877753031</v>
      </c>
      <c r="AN34" s="1">
        <f>IFERROR(__xludf.DUMMYFUNCTION("""COMPUTED_VALUE"""),630.0)</f>
        <v>630</v>
      </c>
      <c r="AO34" s="1">
        <f>IFERROR(__xludf.DUMMYFUNCTION("""COMPUTED_VALUE"""),0.0)</f>
        <v>0</v>
      </c>
      <c r="AP34" s="2" t="str">
        <f>IFERROR(__xludf.DUMMYFUNCTION("""COMPUTED_VALUE"""),"")</f>
        <v/>
      </c>
      <c r="AQ34" s="1">
        <f>IFERROR(__xludf.DUMMYFUNCTION("""COMPUTED_VALUE"""),0.0)</f>
        <v>0</v>
      </c>
      <c r="AR34" s="1">
        <f>IFERROR(__xludf.DUMMYFUNCTION("""COMPUTED_VALUE"""),0.0)</f>
        <v>0</v>
      </c>
      <c r="AS34" s="2" t="str">
        <f>IFERROR(__xludf.DUMMYFUNCTION("""COMPUTED_VALUE"""),"")</f>
        <v/>
      </c>
      <c r="AT34" s="1">
        <f>IFERROR(__xludf.DUMMYFUNCTION("""COMPUTED_VALUE"""),150.0)</f>
        <v>150</v>
      </c>
      <c r="AU34" s="1">
        <f>IFERROR(__xludf.DUMMYFUNCTION("""COMPUTED_VALUE"""),0.0)</f>
        <v>0</v>
      </c>
      <c r="AV34" s="2" t="str">
        <f>IFERROR(__xludf.DUMMYFUNCTION("""COMPUTED_VALUE"""),"")</f>
        <v/>
      </c>
      <c r="AW34" s="1">
        <f>IFERROR(__xludf.DUMMYFUNCTION("""COMPUTED_VALUE"""),0.0)</f>
        <v>0</v>
      </c>
      <c r="AX34" s="1">
        <f>IFERROR(__xludf.DUMMYFUNCTION("""COMPUTED_VALUE"""),0.0)</f>
        <v>0</v>
      </c>
      <c r="AY34" s="2" t="str">
        <f>IFERROR(__xludf.DUMMYFUNCTION("""COMPUTED_VALUE"""),"")</f>
        <v/>
      </c>
      <c r="AZ34" s="1">
        <f>IFERROR(__xludf.DUMMYFUNCTION("""COMPUTED_VALUE"""),780.0)</f>
        <v>780</v>
      </c>
      <c r="BA34" s="1">
        <f>IFERROR(__xludf.DUMMYFUNCTION("""COMPUTED_VALUE"""),0.0)</f>
        <v>0</v>
      </c>
      <c r="BB34" s="2" t="str">
        <f>IFERROR(__xludf.DUMMYFUNCTION("""COMPUTED_VALUE"""),"")</f>
        <v/>
      </c>
    </row>
    <row r="35">
      <c r="A35" s="1" t="str">
        <f>IFERROR(__xludf.DUMMYFUNCTION("""COMPUTED_VALUE"""),"63ced84dc5c820531c2696da")</f>
        <v>63ced84dc5c820531c2696da</v>
      </c>
      <c r="B35" s="1" t="str">
        <f>IFERROR(__xludf.DUMMYFUNCTION("""COMPUTED_VALUE"""),"Communications Consulting Inc.")</f>
        <v>Communications Consulting Inc.</v>
      </c>
      <c r="C35" s="1" t="str">
        <f>IFERROR(__xludf.DUMMYFUNCTION("""COMPUTED_VALUE"""),"brendan.flaherty@al-enterprise.com, michael-j.francis@al-enterprise.com, jon.taylor@al-enterprise.com")</f>
        <v>brendan.flaherty@al-enterprise.com, michael-j.francis@al-enterprise.com, jon.taylor@al-enterprise.com</v>
      </c>
      <c r="D35" s="1" t="str">
        <f>IFERROR(__xludf.DUMMYFUNCTION("""COMPUTED_VALUE"""),"americas")</f>
        <v>americas</v>
      </c>
      <c r="E35" s="1" t="str">
        <f>IFERROR(__xludf.DUMMYFUNCTION("""COMPUTED_VALUE"""),"US")</f>
        <v>US</v>
      </c>
      <c r="F35" s="1" t="str">
        <f>IFERROR(__xludf.DUMMYFUNCTION("""COMPUTED_VALUE"""),"expert_1000")</f>
        <v>expert_1000</v>
      </c>
      <c r="G35" s="1">
        <f>IFERROR(__xludf.DUMMYFUNCTION("""COMPUTED_VALUE"""),1.0)</f>
        <v>1</v>
      </c>
      <c r="H35" s="1">
        <f>IFERROR(__xludf.DUMMYFUNCTION("""COMPUTED_VALUE"""),1.0)</f>
        <v>1</v>
      </c>
      <c r="I35" s="2">
        <f>IFERROR(__xludf.DUMMYFUNCTION("""COMPUTED_VALUE"""),1.0)</f>
        <v>1</v>
      </c>
      <c r="J35" s="1">
        <f>IFERROR(__xludf.DUMMYFUNCTION("""COMPUTED_VALUE"""),383.74)</f>
        <v>383.74</v>
      </c>
      <c r="K35" s="1">
        <f>IFERROR(__xludf.DUMMYFUNCTION("""COMPUTED_VALUE"""),1379.99)</f>
        <v>1379.99</v>
      </c>
      <c r="L35" s="2">
        <f>IFERROR(__xludf.DUMMYFUNCTION("""COMPUTED_VALUE"""),0.278074478800571)</f>
        <v>0.2780744788</v>
      </c>
      <c r="M35" s="1">
        <f>IFERROR(__xludf.DUMMYFUNCTION("""COMPUTED_VALUE"""),40.0)</f>
        <v>40</v>
      </c>
      <c r="N35" s="1">
        <f>IFERROR(__xludf.DUMMYFUNCTION("""COMPUTED_VALUE"""),52.0)</f>
        <v>52</v>
      </c>
      <c r="O35" s="2">
        <f>IFERROR(__xludf.DUMMYFUNCTION("""COMPUTED_VALUE"""),0.7692307692307693)</f>
        <v>0.7692307692</v>
      </c>
      <c r="P35" s="1">
        <f>IFERROR(__xludf.DUMMYFUNCTION("""COMPUTED_VALUE"""),1.0)</f>
        <v>1</v>
      </c>
      <c r="Q35" s="1">
        <f>IFERROR(__xludf.DUMMYFUNCTION("""COMPUTED_VALUE"""),1.0)</f>
        <v>1</v>
      </c>
      <c r="R35" s="2">
        <f>IFERROR(__xludf.DUMMYFUNCTION("""COMPUTED_VALUE"""),1.0)</f>
        <v>1</v>
      </c>
      <c r="S35" s="1">
        <f>IFERROR(__xludf.DUMMYFUNCTION("""COMPUTED_VALUE"""),1.0)</f>
        <v>1</v>
      </c>
      <c r="T35" s="1">
        <f>IFERROR(__xludf.DUMMYFUNCTION("""COMPUTED_VALUE"""),1.0)</f>
        <v>1</v>
      </c>
      <c r="U35" s="2">
        <f>IFERROR(__xludf.DUMMYFUNCTION("""COMPUTED_VALUE"""),1.0)</f>
        <v>1</v>
      </c>
      <c r="V35" s="1">
        <f>IFERROR(__xludf.DUMMYFUNCTION("""COMPUTED_VALUE"""),1.0)</f>
        <v>1</v>
      </c>
      <c r="W35" s="1">
        <f>IFERROR(__xludf.DUMMYFUNCTION("""COMPUTED_VALUE"""),1.0)</f>
        <v>1</v>
      </c>
      <c r="X35" s="2">
        <f>IFERROR(__xludf.DUMMYFUNCTION("""COMPUTED_VALUE"""),1.0)</f>
        <v>1</v>
      </c>
      <c r="Y35" s="1">
        <f>IFERROR(__xludf.DUMMYFUNCTION("""COMPUTED_VALUE"""),21.7)</f>
        <v>21.7</v>
      </c>
      <c r="Z35" s="1">
        <f>IFERROR(__xludf.DUMMYFUNCTION("""COMPUTED_VALUE"""),0.0)</f>
        <v>0</v>
      </c>
      <c r="AA35" s="2" t="str">
        <f>IFERROR(__xludf.DUMMYFUNCTION("""COMPUTED_VALUE"""),"")</f>
        <v/>
      </c>
      <c r="AB35" s="1">
        <f>IFERROR(__xludf.DUMMYFUNCTION("""COMPUTED_VALUE"""),256.74)</f>
        <v>256.74</v>
      </c>
      <c r="AC35" s="1">
        <f>IFERROR(__xludf.DUMMYFUNCTION("""COMPUTED_VALUE"""),1679.07)</f>
        <v>1679.07</v>
      </c>
      <c r="AD35" s="2">
        <f>IFERROR(__xludf.DUMMYFUNCTION("""COMPUTED_VALUE"""),0.15290607300469905)</f>
        <v>0.152906073</v>
      </c>
      <c r="AE35" s="1">
        <f>IFERROR(__xludf.DUMMYFUNCTION("""COMPUTED_VALUE"""),330.68)</f>
        <v>330.68</v>
      </c>
      <c r="AF35" s="1">
        <f>IFERROR(__xludf.DUMMYFUNCTION("""COMPUTED_VALUE"""),848.83)</f>
        <v>848.83</v>
      </c>
      <c r="AG35" s="2">
        <f>IFERROR(__xludf.DUMMYFUNCTION("""COMPUTED_VALUE"""),0.38957152786777094)</f>
        <v>0.3895715279</v>
      </c>
      <c r="AH35" s="1">
        <f>IFERROR(__xludf.DUMMYFUNCTION("""COMPUTED_VALUE"""),18.11)</f>
        <v>18.11</v>
      </c>
      <c r="AI35" s="1">
        <f>IFERROR(__xludf.DUMMYFUNCTION("""COMPUTED_VALUE"""),302.31)</f>
        <v>302.31</v>
      </c>
      <c r="AJ35" s="2">
        <f>IFERROR(__xludf.DUMMYFUNCTION("""COMPUTED_VALUE"""),0.059905395124210246)</f>
        <v>0.05990539512</v>
      </c>
      <c r="AK35" s="1">
        <f>IFERROR(__xludf.DUMMYFUNCTION("""COMPUTED_VALUE"""),627.23)</f>
        <v>627.23</v>
      </c>
      <c r="AL35" s="1">
        <f>IFERROR(__xludf.DUMMYFUNCTION("""COMPUTED_VALUE"""),2830.21)</f>
        <v>2830.21</v>
      </c>
      <c r="AM35" s="2">
        <f>IFERROR(__xludf.DUMMYFUNCTION("""COMPUTED_VALUE"""),0.22161959713236828)</f>
        <v>0.2216195971</v>
      </c>
      <c r="AN35" s="1">
        <f>IFERROR(__xludf.DUMMYFUNCTION("""COMPUTED_VALUE"""),8.21)</f>
        <v>8.21</v>
      </c>
      <c r="AO35" s="1">
        <f>IFERROR(__xludf.DUMMYFUNCTION("""COMPUTED_VALUE"""),0.0)</f>
        <v>0</v>
      </c>
      <c r="AP35" s="2" t="str">
        <f>IFERROR(__xludf.DUMMYFUNCTION("""COMPUTED_VALUE"""),"")</f>
        <v/>
      </c>
      <c r="AQ35" s="1">
        <f>IFERROR(__xludf.DUMMYFUNCTION("""COMPUTED_VALUE"""),0.0)</f>
        <v>0</v>
      </c>
      <c r="AR35" s="1">
        <f>IFERROR(__xludf.DUMMYFUNCTION("""COMPUTED_VALUE"""),0.0)</f>
        <v>0</v>
      </c>
      <c r="AS35" s="2" t="str">
        <f>IFERROR(__xludf.DUMMYFUNCTION("""COMPUTED_VALUE"""),"")</f>
        <v/>
      </c>
      <c r="AT35" s="1">
        <f>IFERROR(__xludf.DUMMYFUNCTION("""COMPUTED_VALUE"""),0.0)</f>
        <v>0</v>
      </c>
      <c r="AU35" s="1">
        <f>IFERROR(__xludf.DUMMYFUNCTION("""COMPUTED_VALUE"""),0.0)</f>
        <v>0</v>
      </c>
      <c r="AV35" s="2" t="str">
        <f>IFERROR(__xludf.DUMMYFUNCTION("""COMPUTED_VALUE"""),"")</f>
        <v/>
      </c>
      <c r="AW35" s="1">
        <f>IFERROR(__xludf.DUMMYFUNCTION("""COMPUTED_VALUE"""),0.0)</f>
        <v>0</v>
      </c>
      <c r="AX35" s="1">
        <f>IFERROR(__xludf.DUMMYFUNCTION("""COMPUTED_VALUE"""),0.0)</f>
        <v>0</v>
      </c>
      <c r="AY35" s="2" t="str">
        <f>IFERROR(__xludf.DUMMYFUNCTION("""COMPUTED_VALUE"""),"")</f>
        <v/>
      </c>
      <c r="AZ35" s="1">
        <f>IFERROR(__xludf.DUMMYFUNCTION("""COMPUTED_VALUE"""),8.21)</f>
        <v>8.21</v>
      </c>
      <c r="BA35" s="1">
        <f>IFERROR(__xludf.DUMMYFUNCTION("""COMPUTED_VALUE"""),0.0)</f>
        <v>0</v>
      </c>
      <c r="BB35" s="2" t="str">
        <f>IFERROR(__xludf.DUMMYFUNCTION("""COMPUTED_VALUE"""),"")</f>
        <v/>
      </c>
    </row>
    <row r="36">
      <c r="A36" s="1" t="str">
        <f>IFERROR(__xludf.DUMMYFUNCTION("""COMPUTED_VALUE"""),"63ea6e9352ad6968805cea63")</f>
        <v>63ea6e9352ad6968805cea63</v>
      </c>
      <c r="B36" s="1" t="str">
        <f>IFERROR(__xludf.DUMMYFUNCTION("""COMPUTED_VALUE"""),"Controlware GmbH")</f>
        <v>Controlware GmbH</v>
      </c>
      <c r="C36" s="1" t="str">
        <f>IFERROR(__xludf.DUMMYFUNCTION("""COMPUTED_VALUE"""),"katrin.pfeiffer@al-enterprise.com, sibylle.klopfer@al-enterprise.com, igor.leko@al-enterprise.com, philipp.bode@al-enterprise.com")</f>
        <v>katrin.pfeiffer@al-enterprise.com, sibylle.klopfer@al-enterprise.com, igor.leko@al-enterprise.com, philipp.bode@al-enterprise.com</v>
      </c>
      <c r="D36" s="1" t="str">
        <f>IFERROR(__xludf.DUMMYFUNCTION("""COMPUTED_VALUE"""),"germany")</f>
        <v>germany</v>
      </c>
      <c r="E36" s="1" t="str">
        <f>IFERROR(__xludf.DUMMYFUNCTION("""COMPUTED_VALUE"""),"DE")</f>
        <v>DE</v>
      </c>
      <c r="F36" s="1" t="str">
        <f>IFERROR(__xludf.DUMMYFUNCTION("""COMPUTED_VALUE"""),"yes")</f>
        <v>yes</v>
      </c>
      <c r="G36" s="1">
        <f>IFERROR(__xludf.DUMMYFUNCTION("""COMPUTED_VALUE"""),1.0)</f>
        <v>1</v>
      </c>
      <c r="H36" s="1">
        <f>IFERROR(__xludf.DUMMYFUNCTION("""COMPUTED_VALUE"""),1.0)</f>
        <v>1</v>
      </c>
      <c r="I36" s="2">
        <f>IFERROR(__xludf.DUMMYFUNCTION("""COMPUTED_VALUE"""),1.0)</f>
        <v>1</v>
      </c>
      <c r="J36" s="1">
        <f>IFERROR(__xludf.DUMMYFUNCTION("""COMPUTED_VALUE"""),2061.6)</f>
        <v>2061.6</v>
      </c>
      <c r="K36" s="1">
        <f>IFERROR(__xludf.DUMMYFUNCTION("""COMPUTED_VALUE"""),4350.0)</f>
        <v>4350</v>
      </c>
      <c r="L36" s="2">
        <f>IFERROR(__xludf.DUMMYFUNCTION("""COMPUTED_VALUE"""),0.4739310344827586)</f>
        <v>0.4739310345</v>
      </c>
      <c r="M36" s="1">
        <f>IFERROR(__xludf.DUMMYFUNCTION("""COMPUTED_VALUE"""),36.0)</f>
        <v>36</v>
      </c>
      <c r="N36" s="1">
        <f>IFERROR(__xludf.DUMMYFUNCTION("""COMPUTED_VALUE"""),63.0)</f>
        <v>63</v>
      </c>
      <c r="O36" s="2">
        <f>IFERROR(__xludf.DUMMYFUNCTION("""COMPUTED_VALUE"""),0.5714285714285714)</f>
        <v>0.5714285714</v>
      </c>
      <c r="P36" s="1">
        <f>IFERROR(__xludf.DUMMYFUNCTION("""COMPUTED_VALUE"""),0.0)</f>
        <v>0</v>
      </c>
      <c r="Q36" s="1">
        <f>IFERROR(__xludf.DUMMYFUNCTION("""COMPUTED_VALUE"""),1.0)</f>
        <v>1</v>
      </c>
      <c r="R36" s="2">
        <f>IFERROR(__xludf.DUMMYFUNCTION("""COMPUTED_VALUE"""),0.0)</f>
        <v>0</v>
      </c>
      <c r="S36" s="1">
        <f>IFERROR(__xludf.DUMMYFUNCTION("""COMPUTED_VALUE"""),1.0)</f>
        <v>1</v>
      </c>
      <c r="T36" s="1">
        <f>IFERROR(__xludf.DUMMYFUNCTION("""COMPUTED_VALUE"""),1.0)</f>
        <v>1</v>
      </c>
      <c r="U36" s="2">
        <f>IFERROR(__xludf.DUMMYFUNCTION("""COMPUTED_VALUE"""),1.0)</f>
        <v>1</v>
      </c>
      <c r="V36" s="1">
        <f>IFERROR(__xludf.DUMMYFUNCTION("""COMPUTED_VALUE"""),0.0)</f>
        <v>0</v>
      </c>
      <c r="W36" s="1">
        <f>IFERROR(__xludf.DUMMYFUNCTION("""COMPUTED_VALUE"""),1.0)</f>
        <v>1</v>
      </c>
      <c r="X36" s="2">
        <f>IFERROR(__xludf.DUMMYFUNCTION("""COMPUTED_VALUE"""),0.0)</f>
        <v>0</v>
      </c>
      <c r="Y36" s="1">
        <f>IFERROR(__xludf.DUMMYFUNCTION("""COMPUTED_VALUE"""),13.6)</f>
        <v>13.6</v>
      </c>
      <c r="Z36" s="1">
        <f>IFERROR(__xludf.DUMMYFUNCTION("""COMPUTED_VALUE"""),0.0)</f>
        <v>0</v>
      </c>
      <c r="AA36" s="2" t="str">
        <f>IFERROR(__xludf.DUMMYFUNCTION("""COMPUTED_VALUE"""),"")</f>
        <v/>
      </c>
      <c r="AB36" s="1">
        <f>IFERROR(__xludf.DUMMYFUNCTION("""COMPUTED_VALUE"""),50.0)</f>
        <v>50</v>
      </c>
      <c r="AC36" s="1">
        <f>IFERROR(__xludf.DUMMYFUNCTION("""COMPUTED_VALUE"""),1705.88)</f>
        <v>1705.88</v>
      </c>
      <c r="AD36" s="2">
        <f>IFERROR(__xludf.DUMMYFUNCTION("""COMPUTED_VALUE"""),0.0293103852557038)</f>
        <v>0.02931038526</v>
      </c>
      <c r="AE36" s="1">
        <f>IFERROR(__xludf.DUMMYFUNCTION("""COMPUTED_VALUE"""),700.0)</f>
        <v>700</v>
      </c>
      <c r="AF36" s="1">
        <f>IFERROR(__xludf.DUMMYFUNCTION("""COMPUTED_VALUE"""),2558.82)</f>
        <v>2558.82</v>
      </c>
      <c r="AG36" s="2">
        <f>IFERROR(__xludf.DUMMYFUNCTION("""COMPUTED_VALUE"""),0.27356359571990213)</f>
        <v>0.2735635957</v>
      </c>
      <c r="AH36" s="1">
        <f>IFERROR(__xludf.DUMMYFUNCTION("""COMPUTED_VALUE"""),541.5)</f>
        <v>541.5</v>
      </c>
      <c r="AI36" s="1">
        <f>IFERROR(__xludf.DUMMYFUNCTION("""COMPUTED_VALUE"""),2558.82)</f>
        <v>2558.82</v>
      </c>
      <c r="AJ36" s="2">
        <f>IFERROR(__xludf.DUMMYFUNCTION("""COMPUTED_VALUE"""),0.21162098154618142)</f>
        <v>0.2116209815</v>
      </c>
      <c r="AK36" s="1">
        <f>IFERROR(__xludf.DUMMYFUNCTION("""COMPUTED_VALUE"""),1305.1)</f>
        <v>1305.1</v>
      </c>
      <c r="AL36" s="1">
        <f>IFERROR(__xludf.DUMMYFUNCTION("""COMPUTED_VALUE"""),6823.52)</f>
        <v>6823.52</v>
      </c>
      <c r="AM36" s="2">
        <f>IFERROR(__xludf.DUMMYFUNCTION("""COMPUTED_VALUE"""),0.19126491898609513)</f>
        <v>0.191264919</v>
      </c>
      <c r="AN36" s="1">
        <f>IFERROR(__xludf.DUMMYFUNCTION("""COMPUTED_VALUE"""),70.0)</f>
        <v>70</v>
      </c>
      <c r="AO36" s="1">
        <f>IFERROR(__xludf.DUMMYFUNCTION("""COMPUTED_VALUE"""),0.0)</f>
        <v>0</v>
      </c>
      <c r="AP36" s="2" t="str">
        <f>IFERROR(__xludf.DUMMYFUNCTION("""COMPUTED_VALUE"""),"")</f>
        <v/>
      </c>
      <c r="AQ36" s="1">
        <f>IFERROR(__xludf.DUMMYFUNCTION("""COMPUTED_VALUE"""),0.0)</f>
        <v>0</v>
      </c>
      <c r="AR36" s="1">
        <f>IFERROR(__xludf.DUMMYFUNCTION("""COMPUTED_VALUE"""),0.0)</f>
        <v>0</v>
      </c>
      <c r="AS36" s="2" t="str">
        <f>IFERROR(__xludf.DUMMYFUNCTION("""COMPUTED_VALUE"""),"")</f>
        <v/>
      </c>
      <c r="AT36" s="1">
        <f>IFERROR(__xludf.DUMMYFUNCTION("""COMPUTED_VALUE"""),0.0)</f>
        <v>0</v>
      </c>
      <c r="AU36" s="1">
        <f>IFERROR(__xludf.DUMMYFUNCTION("""COMPUTED_VALUE"""),0.0)</f>
        <v>0</v>
      </c>
      <c r="AV36" s="2" t="str">
        <f>IFERROR(__xludf.DUMMYFUNCTION("""COMPUTED_VALUE"""),"")</f>
        <v/>
      </c>
      <c r="AW36" s="1">
        <f>IFERROR(__xludf.DUMMYFUNCTION("""COMPUTED_VALUE"""),75.0)</f>
        <v>75</v>
      </c>
      <c r="AX36" s="1">
        <f>IFERROR(__xludf.DUMMYFUNCTION("""COMPUTED_VALUE"""),0.0)</f>
        <v>0</v>
      </c>
      <c r="AY36" s="2" t="str">
        <f>IFERROR(__xludf.DUMMYFUNCTION("""COMPUTED_VALUE"""),"")</f>
        <v/>
      </c>
      <c r="AZ36" s="1">
        <f>IFERROR(__xludf.DUMMYFUNCTION("""COMPUTED_VALUE"""),145.0)</f>
        <v>145</v>
      </c>
      <c r="BA36" s="1">
        <f>IFERROR(__xludf.DUMMYFUNCTION("""COMPUTED_VALUE"""),0.0)</f>
        <v>0</v>
      </c>
      <c r="BB36" s="2" t="str">
        <f>IFERROR(__xludf.DUMMYFUNCTION("""COMPUTED_VALUE"""),"")</f>
        <v/>
      </c>
    </row>
    <row r="37">
      <c r="A37" s="1" t="str">
        <f>IFERROR(__xludf.DUMMYFUNCTION("""COMPUTED_VALUE"""),"63ea6e9352ad6968805cea8d")</f>
        <v>63ea6e9352ad6968805cea8d</v>
      </c>
      <c r="B37" s="1" t="str">
        <f>IFERROR(__xludf.DUMMYFUNCTION("""COMPUTED_VALUE"""),"cosmotel IT GmbH")</f>
        <v>cosmotel IT GmbH</v>
      </c>
      <c r="C37" s="1" t="str">
        <f>IFERROR(__xludf.DUMMYFUNCTION("""COMPUTED_VALUE"""),"ralf.kloeppels@al-enterprise.com, katrin.pfeiffer@al-enterprise.com, sibylle.klopfer@al-enterprise.com, igor.leko@al-enterprise.com")</f>
        <v>ralf.kloeppels@al-enterprise.com, katrin.pfeiffer@al-enterprise.com, sibylle.klopfer@al-enterprise.com, igor.leko@al-enterprise.com</v>
      </c>
      <c r="D37" s="1" t="str">
        <f>IFERROR(__xludf.DUMMYFUNCTION("""COMPUTED_VALUE"""),"germany")</f>
        <v>germany</v>
      </c>
      <c r="E37" s="1" t="str">
        <f>IFERROR(__xludf.DUMMYFUNCTION("""COMPUTED_VALUE"""),"DE")</f>
        <v>DE</v>
      </c>
      <c r="F37" s="1" t="str">
        <f>IFERROR(__xludf.DUMMYFUNCTION("""COMPUTED_VALUE"""),"expert_1000")</f>
        <v>expert_1000</v>
      </c>
      <c r="G37" s="1">
        <f>IFERROR(__xludf.DUMMYFUNCTION("""COMPUTED_VALUE"""),0.0)</f>
        <v>0</v>
      </c>
      <c r="H37" s="1">
        <f>IFERROR(__xludf.DUMMYFUNCTION("""COMPUTED_VALUE"""),1.0)</f>
        <v>1</v>
      </c>
      <c r="I37" s="2">
        <f>IFERROR(__xludf.DUMMYFUNCTION("""COMPUTED_VALUE"""),0.0)</f>
        <v>0</v>
      </c>
      <c r="J37" s="1">
        <f>IFERROR(__xludf.DUMMYFUNCTION("""COMPUTED_VALUE"""),321.97)</f>
        <v>321.97</v>
      </c>
      <c r="K37" s="1">
        <f>IFERROR(__xludf.DUMMYFUNCTION("""COMPUTED_VALUE"""),1325.0)</f>
        <v>1325</v>
      </c>
      <c r="L37" s="2">
        <f>IFERROR(__xludf.DUMMYFUNCTION("""COMPUTED_VALUE"""),0.24299622641509436)</f>
        <v>0.2429962264</v>
      </c>
      <c r="M37" s="1">
        <f>IFERROR(__xludf.DUMMYFUNCTION("""COMPUTED_VALUE"""),103.0)</f>
        <v>103</v>
      </c>
      <c r="N37" s="1">
        <f>IFERROR(__xludf.DUMMYFUNCTION("""COMPUTED_VALUE"""),53.0)</f>
        <v>53</v>
      </c>
      <c r="O37" s="2">
        <f>IFERROR(__xludf.DUMMYFUNCTION("""COMPUTED_VALUE"""),1.9433962264150944)</f>
        <v>1.943396226</v>
      </c>
      <c r="P37" s="1">
        <f>IFERROR(__xludf.DUMMYFUNCTION("""COMPUTED_VALUE"""),1.0)</f>
        <v>1</v>
      </c>
      <c r="Q37" s="1">
        <f>IFERROR(__xludf.DUMMYFUNCTION("""COMPUTED_VALUE"""),1.0)</f>
        <v>1</v>
      </c>
      <c r="R37" s="2">
        <f>IFERROR(__xludf.DUMMYFUNCTION("""COMPUTED_VALUE"""),1.0)</f>
        <v>1</v>
      </c>
      <c r="S37" s="1">
        <f>IFERROR(__xludf.DUMMYFUNCTION("""COMPUTED_VALUE"""),1.0)</f>
        <v>1</v>
      </c>
      <c r="T37" s="1">
        <f>IFERROR(__xludf.DUMMYFUNCTION("""COMPUTED_VALUE"""),1.0)</f>
        <v>1</v>
      </c>
      <c r="U37" s="2">
        <f>IFERROR(__xludf.DUMMYFUNCTION("""COMPUTED_VALUE"""),1.0)</f>
        <v>1</v>
      </c>
      <c r="V37" s="1">
        <f>IFERROR(__xludf.DUMMYFUNCTION("""COMPUTED_VALUE"""),1.0)</f>
        <v>1</v>
      </c>
      <c r="W37" s="1">
        <f>IFERROR(__xludf.DUMMYFUNCTION("""COMPUTED_VALUE"""),1.0)</f>
        <v>1</v>
      </c>
      <c r="X37" s="2">
        <f>IFERROR(__xludf.DUMMYFUNCTION("""COMPUTED_VALUE"""),1.0)</f>
        <v>1</v>
      </c>
      <c r="Y37" s="1">
        <f>IFERROR(__xludf.DUMMYFUNCTION("""COMPUTED_VALUE"""),0.0)</f>
        <v>0</v>
      </c>
      <c r="Z37" s="1">
        <f>IFERROR(__xludf.DUMMYFUNCTION("""COMPUTED_VALUE"""),0.0)</f>
        <v>0</v>
      </c>
      <c r="AA37" s="2" t="str">
        <f>IFERROR(__xludf.DUMMYFUNCTION("""COMPUTED_VALUE"""),"")</f>
        <v/>
      </c>
      <c r="AB37" s="1">
        <f>IFERROR(__xludf.DUMMYFUNCTION("""COMPUTED_VALUE"""),3.03)</f>
        <v>3.03</v>
      </c>
      <c r="AC37" s="1">
        <f>IFERROR(__xludf.DUMMYFUNCTION("""COMPUTED_VALUE"""),519.61)</f>
        <v>519.61</v>
      </c>
      <c r="AD37" s="2">
        <f>IFERROR(__xludf.DUMMYFUNCTION("""COMPUTED_VALUE"""),0.005831296549335078)</f>
        <v>0.005831296549</v>
      </c>
      <c r="AE37" s="1">
        <f>IFERROR(__xludf.DUMMYFUNCTION("""COMPUTED_VALUE"""),218.14)</f>
        <v>218.14</v>
      </c>
      <c r="AF37" s="1">
        <f>IFERROR(__xludf.DUMMYFUNCTION("""COMPUTED_VALUE"""),803.92)</f>
        <v>803.92</v>
      </c>
      <c r="AG37" s="2">
        <f>IFERROR(__xludf.DUMMYFUNCTION("""COMPUTED_VALUE"""),0.27134540750323416)</f>
        <v>0.2713454075</v>
      </c>
      <c r="AH37" s="1">
        <f>IFERROR(__xludf.DUMMYFUNCTION("""COMPUTED_VALUE"""),388.0)</f>
        <v>388</v>
      </c>
      <c r="AI37" s="1">
        <f>IFERROR(__xludf.DUMMYFUNCTION("""COMPUTED_VALUE"""),754.9)</f>
        <v>754.9</v>
      </c>
      <c r="AJ37" s="2">
        <f>IFERROR(__xludf.DUMMYFUNCTION("""COMPUTED_VALUE"""),0.5139753609749635)</f>
        <v>0.513975361</v>
      </c>
      <c r="AK37" s="1">
        <f>IFERROR(__xludf.DUMMYFUNCTION("""COMPUTED_VALUE"""),609.17)</f>
        <v>609.17</v>
      </c>
      <c r="AL37" s="1">
        <f>IFERROR(__xludf.DUMMYFUNCTION("""COMPUTED_VALUE"""),2078.43)</f>
        <v>2078.43</v>
      </c>
      <c r="AM37" s="2">
        <f>IFERROR(__xludf.DUMMYFUNCTION("""COMPUTED_VALUE"""),0.29309141996603205)</f>
        <v>0.29309142</v>
      </c>
      <c r="AN37" s="1">
        <f>IFERROR(__xludf.DUMMYFUNCTION("""COMPUTED_VALUE"""),30.0)</f>
        <v>30</v>
      </c>
      <c r="AO37" s="1">
        <f>IFERROR(__xludf.DUMMYFUNCTION("""COMPUTED_VALUE"""),0.0)</f>
        <v>0</v>
      </c>
      <c r="AP37" s="2" t="str">
        <f>IFERROR(__xludf.DUMMYFUNCTION("""COMPUTED_VALUE"""),"")</f>
        <v/>
      </c>
      <c r="AQ37" s="1">
        <f>IFERROR(__xludf.DUMMYFUNCTION("""COMPUTED_VALUE"""),566.2)</f>
        <v>566.2</v>
      </c>
      <c r="AR37" s="1">
        <f>IFERROR(__xludf.DUMMYFUNCTION("""COMPUTED_VALUE"""),0.0)</f>
        <v>0</v>
      </c>
      <c r="AS37" s="2" t="str">
        <f>IFERROR(__xludf.DUMMYFUNCTION("""COMPUTED_VALUE"""),"")</f>
        <v/>
      </c>
      <c r="AT37" s="1">
        <f>IFERROR(__xludf.DUMMYFUNCTION("""COMPUTED_VALUE"""),20.0)</f>
        <v>20</v>
      </c>
      <c r="AU37" s="1">
        <f>IFERROR(__xludf.DUMMYFUNCTION("""COMPUTED_VALUE"""),0.0)</f>
        <v>0</v>
      </c>
      <c r="AV37" s="2" t="str">
        <f>IFERROR(__xludf.DUMMYFUNCTION("""COMPUTED_VALUE"""),"")</f>
        <v/>
      </c>
      <c r="AW37" s="1">
        <f>IFERROR(__xludf.DUMMYFUNCTION("""COMPUTED_VALUE"""),0.0)</f>
        <v>0</v>
      </c>
      <c r="AX37" s="1">
        <f>IFERROR(__xludf.DUMMYFUNCTION("""COMPUTED_VALUE"""),0.0)</f>
        <v>0</v>
      </c>
      <c r="AY37" s="2" t="str">
        <f>IFERROR(__xludf.DUMMYFUNCTION("""COMPUTED_VALUE"""),"")</f>
        <v/>
      </c>
      <c r="AZ37" s="1">
        <f>IFERROR(__xludf.DUMMYFUNCTION("""COMPUTED_VALUE"""),616.2)</f>
        <v>616.2</v>
      </c>
      <c r="BA37" s="1">
        <f>IFERROR(__xludf.DUMMYFUNCTION("""COMPUTED_VALUE"""),0.0)</f>
        <v>0</v>
      </c>
      <c r="BB37" s="2" t="str">
        <f>IFERROR(__xludf.DUMMYFUNCTION("""COMPUTED_VALUE"""),"")</f>
        <v/>
      </c>
    </row>
    <row r="38">
      <c r="A38" s="1" t="str">
        <f>IFERROR(__xludf.DUMMYFUNCTION("""COMPUTED_VALUE"""),"63ced841c5c820531c267eb6")</f>
        <v>63ced841c5c820531c267eb6</v>
      </c>
      <c r="B38" s="1" t="str">
        <f>IFERROR(__xludf.DUMMYFUNCTION("""COMPUTED_VALUE"""),"COVERGINT Comercio e Servicos de Tecnologia Ltda")</f>
        <v>COVERGINT Comercio e Servicos de Tecnologia Ltda</v>
      </c>
      <c r="C38" s="1" t="str">
        <f>IFERROR(__xludf.DUMMYFUNCTION("""COMPUTED_VALUE"""),"vinicius.costa@al-enterprise.com")</f>
        <v>vinicius.costa@al-enterprise.com</v>
      </c>
      <c r="D38" s="1" t="str">
        <f>IFERROR(__xludf.DUMMYFUNCTION("""COMPUTED_VALUE"""),"americas")</f>
        <v>americas</v>
      </c>
      <c r="E38" s="1" t="str">
        <f>IFERROR(__xludf.DUMMYFUNCTION("""COMPUTED_VALUE"""),"BR")</f>
        <v>BR</v>
      </c>
      <c r="F38" s="1" t="str">
        <f>IFERROR(__xludf.DUMMYFUNCTION("""COMPUTED_VALUE"""),"expert_1000")</f>
        <v>expert_1000</v>
      </c>
      <c r="G38" s="1">
        <f>IFERROR(__xludf.DUMMYFUNCTION("""COMPUTED_VALUE"""),0.0)</f>
        <v>0</v>
      </c>
      <c r="H38" s="1">
        <f>IFERROR(__xludf.DUMMYFUNCTION("""COMPUTED_VALUE"""),1.0)</f>
        <v>1</v>
      </c>
      <c r="I38" s="2">
        <f>IFERROR(__xludf.DUMMYFUNCTION("""COMPUTED_VALUE"""),0.0)</f>
        <v>0</v>
      </c>
      <c r="J38" s="1">
        <f>IFERROR(__xludf.DUMMYFUNCTION("""COMPUTED_VALUE"""),9.87)</f>
        <v>9.87</v>
      </c>
      <c r="K38" s="1">
        <f>IFERROR(__xludf.DUMMYFUNCTION("""COMPUTED_VALUE"""),1519.99)</f>
        <v>1519.99</v>
      </c>
      <c r="L38" s="2">
        <f>IFERROR(__xludf.DUMMYFUNCTION("""COMPUTED_VALUE"""),0.006493463772787978)</f>
        <v>0.006493463773</v>
      </c>
      <c r="M38" s="1">
        <f>IFERROR(__xludf.DUMMYFUNCTION("""COMPUTED_VALUE"""),13.0)</f>
        <v>13</v>
      </c>
      <c r="N38" s="1">
        <f>IFERROR(__xludf.DUMMYFUNCTION("""COMPUTED_VALUE"""),52.0)</f>
        <v>52</v>
      </c>
      <c r="O38" s="2">
        <f>IFERROR(__xludf.DUMMYFUNCTION("""COMPUTED_VALUE"""),0.25)</f>
        <v>0.25</v>
      </c>
      <c r="P38" s="1">
        <f>IFERROR(__xludf.DUMMYFUNCTION("""COMPUTED_VALUE"""),0.0)</f>
        <v>0</v>
      </c>
      <c r="Q38" s="1">
        <f>IFERROR(__xludf.DUMMYFUNCTION("""COMPUTED_VALUE"""),1.0)</f>
        <v>1</v>
      </c>
      <c r="R38" s="2">
        <f>IFERROR(__xludf.DUMMYFUNCTION("""COMPUTED_VALUE"""),0.0)</f>
        <v>0</v>
      </c>
      <c r="S38" s="1">
        <f>IFERROR(__xludf.DUMMYFUNCTION("""COMPUTED_VALUE"""),1.0)</f>
        <v>1</v>
      </c>
      <c r="T38" s="1">
        <f>IFERROR(__xludf.DUMMYFUNCTION("""COMPUTED_VALUE"""),1.0)</f>
        <v>1</v>
      </c>
      <c r="U38" s="2">
        <f>IFERROR(__xludf.DUMMYFUNCTION("""COMPUTED_VALUE"""),1.0)</f>
        <v>1</v>
      </c>
      <c r="V38" s="1">
        <f>IFERROR(__xludf.DUMMYFUNCTION("""COMPUTED_VALUE"""),0.0)</f>
        <v>0</v>
      </c>
      <c r="W38" s="1">
        <f>IFERROR(__xludf.DUMMYFUNCTION("""COMPUTED_VALUE"""),1.0)</f>
        <v>1</v>
      </c>
      <c r="X38" s="2">
        <f>IFERROR(__xludf.DUMMYFUNCTION("""COMPUTED_VALUE"""),0.0)</f>
        <v>0</v>
      </c>
      <c r="Y38" s="1">
        <f>IFERROR(__xludf.DUMMYFUNCTION("""COMPUTED_VALUE"""),1893.99)</f>
        <v>1893.99</v>
      </c>
      <c r="Z38" s="1">
        <f>IFERROR(__xludf.DUMMYFUNCTION("""COMPUTED_VALUE"""),0.0)</f>
        <v>0</v>
      </c>
      <c r="AA38" s="2" t="str">
        <f>IFERROR(__xludf.DUMMYFUNCTION("""COMPUTED_VALUE"""),"")</f>
        <v/>
      </c>
      <c r="AB38" s="1">
        <f>IFERROR(__xludf.DUMMYFUNCTION("""COMPUTED_VALUE"""),168.0)</f>
        <v>168</v>
      </c>
      <c r="AC38" s="1">
        <f>IFERROR(__xludf.DUMMYFUNCTION("""COMPUTED_VALUE"""),899.98)</f>
        <v>899.98</v>
      </c>
      <c r="AD38" s="2">
        <f>IFERROR(__xludf.DUMMYFUNCTION("""COMPUTED_VALUE"""),0.18667081490699794)</f>
        <v>0.1866708149</v>
      </c>
      <c r="AE38" s="1">
        <f>IFERROR(__xludf.DUMMYFUNCTION("""COMPUTED_VALUE"""),460.0)</f>
        <v>460</v>
      </c>
      <c r="AF38" s="1">
        <f>IFERROR(__xludf.DUMMYFUNCTION("""COMPUTED_VALUE"""),1633.33)</f>
        <v>1633.33</v>
      </c>
      <c r="AG38" s="2">
        <f>IFERROR(__xludf.DUMMYFUNCTION("""COMPUTED_VALUE"""),0.28163322782291395)</f>
        <v>0.2816332278</v>
      </c>
      <c r="AH38" s="1">
        <f>IFERROR(__xludf.DUMMYFUNCTION("""COMPUTED_VALUE"""),1965.99)</f>
        <v>1965.99</v>
      </c>
      <c r="AI38" s="1">
        <f>IFERROR(__xludf.DUMMYFUNCTION("""COMPUTED_VALUE"""),1633.33)</f>
        <v>1633.33</v>
      </c>
      <c r="AJ38" s="2">
        <f>IFERROR(__xludf.DUMMYFUNCTION("""COMPUTED_VALUE"""),1.2036698034077622)</f>
        <v>1.203669803</v>
      </c>
      <c r="AK38" s="1">
        <f>IFERROR(__xludf.DUMMYFUNCTION("""COMPUTED_VALUE"""),4487.98)</f>
        <v>4487.98</v>
      </c>
      <c r="AL38" s="1">
        <f>IFERROR(__xludf.DUMMYFUNCTION("""COMPUTED_VALUE"""),4166.639999999999)</f>
        <v>4166.64</v>
      </c>
      <c r="AM38" s="2">
        <f>IFERROR(__xludf.DUMMYFUNCTION("""COMPUTED_VALUE"""),1.077122093581399)</f>
        <v>1.077122094</v>
      </c>
      <c r="AN38" s="1">
        <f>IFERROR(__xludf.DUMMYFUNCTION("""COMPUTED_VALUE"""),0.0)</f>
        <v>0</v>
      </c>
      <c r="AO38" s="1">
        <f>IFERROR(__xludf.DUMMYFUNCTION("""COMPUTED_VALUE"""),0.0)</f>
        <v>0</v>
      </c>
      <c r="AP38" s="2" t="str">
        <f>IFERROR(__xludf.DUMMYFUNCTION("""COMPUTED_VALUE"""),"")</f>
        <v/>
      </c>
      <c r="AQ38" s="1">
        <f>IFERROR(__xludf.DUMMYFUNCTION("""COMPUTED_VALUE"""),0.0)</f>
        <v>0</v>
      </c>
      <c r="AR38" s="1">
        <f>IFERROR(__xludf.DUMMYFUNCTION("""COMPUTED_VALUE"""),0.0)</f>
        <v>0</v>
      </c>
      <c r="AS38" s="2" t="str">
        <f>IFERROR(__xludf.DUMMYFUNCTION("""COMPUTED_VALUE"""),"")</f>
        <v/>
      </c>
      <c r="AT38" s="1">
        <f>IFERROR(__xludf.DUMMYFUNCTION("""COMPUTED_VALUE"""),0.0)</f>
        <v>0</v>
      </c>
      <c r="AU38" s="1">
        <f>IFERROR(__xludf.DUMMYFUNCTION("""COMPUTED_VALUE"""),0.0)</f>
        <v>0</v>
      </c>
      <c r="AV38" s="2" t="str">
        <f>IFERROR(__xludf.DUMMYFUNCTION("""COMPUTED_VALUE"""),"")</f>
        <v/>
      </c>
      <c r="AW38" s="1">
        <f>IFERROR(__xludf.DUMMYFUNCTION("""COMPUTED_VALUE"""),0.0)</f>
        <v>0</v>
      </c>
      <c r="AX38" s="1">
        <f>IFERROR(__xludf.DUMMYFUNCTION("""COMPUTED_VALUE"""),0.0)</f>
        <v>0</v>
      </c>
      <c r="AY38" s="2" t="str">
        <f>IFERROR(__xludf.DUMMYFUNCTION("""COMPUTED_VALUE"""),"")</f>
        <v/>
      </c>
      <c r="AZ38" s="1">
        <f>IFERROR(__xludf.DUMMYFUNCTION("""COMPUTED_VALUE"""),0.0)</f>
        <v>0</v>
      </c>
      <c r="BA38" s="1">
        <f>IFERROR(__xludf.DUMMYFUNCTION("""COMPUTED_VALUE"""),0.0)</f>
        <v>0</v>
      </c>
      <c r="BB38" s="2" t="str">
        <f>IFERROR(__xludf.DUMMYFUNCTION("""COMPUTED_VALUE"""),"")</f>
        <v/>
      </c>
    </row>
    <row r="39">
      <c r="A39" s="1" t="str">
        <f>IFERROR(__xludf.DUMMYFUNCTION("""COMPUTED_VALUE"""),"63ced840c5c820531c267d30")</f>
        <v>63ced840c5c820531c267d30</v>
      </c>
      <c r="B39" s="1" t="str">
        <f>IFERROR(__xludf.DUMMYFUNCTION("""COMPUTED_VALUE"""),"Crystal Communications, Inc.")</f>
        <v>Crystal Communications, Inc.</v>
      </c>
      <c r="C39" s="1" t="str">
        <f>IFERROR(__xludf.DUMMYFUNCTION("""COMPUTED_VALUE"""),"michael-j.francis@al-enterprise.com, luigy.estevanell@al-enterprise.com, steve.aliberti@al-enterprise.com, robert.stitz@al-enterprise.com")</f>
        <v>michael-j.francis@al-enterprise.com, luigy.estevanell@al-enterprise.com, steve.aliberti@al-enterprise.com, robert.stitz@al-enterprise.com</v>
      </c>
      <c r="D39" s="1" t="str">
        <f>IFERROR(__xludf.DUMMYFUNCTION("""COMPUTED_VALUE"""),"americas")</f>
        <v>americas</v>
      </c>
      <c r="E39" s="1" t="str">
        <f>IFERROR(__xludf.DUMMYFUNCTION("""COMPUTED_VALUE"""),"US")</f>
        <v>US</v>
      </c>
      <c r="F39" s="1" t="str">
        <f>IFERROR(__xludf.DUMMYFUNCTION("""COMPUTED_VALUE"""),"expert_200")</f>
        <v>expert_200</v>
      </c>
      <c r="G39" s="1">
        <f>IFERROR(__xludf.DUMMYFUNCTION("""COMPUTED_VALUE"""),1.0)</f>
        <v>1</v>
      </c>
      <c r="H39" s="1">
        <f>IFERROR(__xludf.DUMMYFUNCTION("""COMPUTED_VALUE"""),1.0)</f>
        <v>1</v>
      </c>
      <c r="I39" s="2">
        <f>IFERROR(__xludf.DUMMYFUNCTION("""COMPUTED_VALUE"""),1.0)</f>
        <v>1</v>
      </c>
      <c r="J39" s="1">
        <f>IFERROR(__xludf.DUMMYFUNCTION("""COMPUTED_VALUE"""),373.86)</f>
        <v>373.86</v>
      </c>
      <c r="K39" s="1">
        <f>IFERROR(__xludf.DUMMYFUNCTION("""COMPUTED_VALUE"""),1497.29)</f>
        <v>1497.29</v>
      </c>
      <c r="L39" s="2">
        <f>IFERROR(__xludf.DUMMYFUNCTION("""COMPUTED_VALUE"""),0.24969110860287588)</f>
        <v>0.2496911086</v>
      </c>
      <c r="M39" s="1">
        <f>IFERROR(__xludf.DUMMYFUNCTION("""COMPUTED_VALUE"""),11.0)</f>
        <v>11</v>
      </c>
      <c r="N39" s="1">
        <f>IFERROR(__xludf.DUMMYFUNCTION("""COMPUTED_VALUE"""),52.0)</f>
        <v>52</v>
      </c>
      <c r="O39" s="2">
        <f>IFERROR(__xludf.DUMMYFUNCTION("""COMPUTED_VALUE"""),0.21153846153846154)</f>
        <v>0.2115384615</v>
      </c>
      <c r="P39" s="1">
        <f>IFERROR(__xludf.DUMMYFUNCTION("""COMPUTED_VALUE"""),0.0)</f>
        <v>0</v>
      </c>
      <c r="Q39" s="1">
        <f>IFERROR(__xludf.DUMMYFUNCTION("""COMPUTED_VALUE"""),1.0)</f>
        <v>1</v>
      </c>
      <c r="R39" s="2">
        <f>IFERROR(__xludf.DUMMYFUNCTION("""COMPUTED_VALUE"""),0.0)</f>
        <v>0</v>
      </c>
      <c r="S39" s="1">
        <f>IFERROR(__xludf.DUMMYFUNCTION("""COMPUTED_VALUE"""),0.0)</f>
        <v>0</v>
      </c>
      <c r="T39" s="1">
        <f>IFERROR(__xludf.DUMMYFUNCTION("""COMPUTED_VALUE"""),1.0)</f>
        <v>1</v>
      </c>
      <c r="U39" s="2">
        <f>IFERROR(__xludf.DUMMYFUNCTION("""COMPUTED_VALUE"""),0.0)</f>
        <v>0</v>
      </c>
      <c r="V39" s="1">
        <f>IFERROR(__xludf.DUMMYFUNCTION("""COMPUTED_VALUE"""),0.0)</f>
        <v>0</v>
      </c>
      <c r="W39" s="1">
        <f>IFERROR(__xludf.DUMMYFUNCTION("""COMPUTED_VALUE"""),1.0)</f>
        <v>1</v>
      </c>
      <c r="X39" s="2">
        <f>IFERROR(__xludf.DUMMYFUNCTION("""COMPUTED_VALUE"""),0.0)</f>
        <v>0</v>
      </c>
      <c r="Y39" s="1">
        <f>IFERROR(__xludf.DUMMYFUNCTION("""COMPUTED_VALUE"""),33.12)</f>
        <v>33.12</v>
      </c>
      <c r="Z39" s="1">
        <f>IFERROR(__xludf.DUMMYFUNCTION("""COMPUTED_VALUE"""),0.0)</f>
        <v>0</v>
      </c>
      <c r="AA39" s="2" t="str">
        <f>IFERROR(__xludf.DUMMYFUNCTION("""COMPUTED_VALUE"""),"")</f>
        <v/>
      </c>
      <c r="AB39" s="1">
        <f>IFERROR(__xludf.DUMMYFUNCTION("""COMPUTED_VALUE"""),8.15)</f>
        <v>8.15</v>
      </c>
      <c r="AC39" s="1">
        <f>IFERROR(__xludf.DUMMYFUNCTION("""COMPUTED_VALUE"""),1008.16)</f>
        <v>1008.16</v>
      </c>
      <c r="AD39" s="2">
        <f>IFERROR(__xludf.DUMMYFUNCTION("""COMPUTED_VALUE"""),0.008084034280272974)</f>
        <v>0.00808403428</v>
      </c>
      <c r="AE39" s="1">
        <f>IFERROR(__xludf.DUMMYFUNCTION("""COMPUTED_VALUE"""),2.83)</f>
        <v>2.83</v>
      </c>
      <c r="AF39" s="1">
        <f>IFERROR(__xludf.DUMMYFUNCTION("""COMPUTED_VALUE"""),1521.82)</f>
        <v>1521.82</v>
      </c>
      <c r="AG39" s="2">
        <f>IFERROR(__xludf.DUMMYFUNCTION("""COMPUTED_VALUE"""),0.0018596154604355313)</f>
        <v>0.00185961546</v>
      </c>
      <c r="AH39" s="1">
        <f>IFERROR(__xludf.DUMMYFUNCTION("""COMPUTED_VALUE"""),104.26)</f>
        <v>104.26</v>
      </c>
      <c r="AI39" s="1">
        <f>IFERROR(__xludf.DUMMYFUNCTION("""COMPUTED_VALUE"""),1452.82)</f>
        <v>1452.82</v>
      </c>
      <c r="AJ39" s="2">
        <f>IFERROR(__xludf.DUMMYFUNCTION("""COMPUTED_VALUE"""),0.07176387990253438)</f>
        <v>0.0717638799</v>
      </c>
      <c r="AK39" s="1">
        <f>IFERROR(__xludf.DUMMYFUNCTION("""COMPUTED_VALUE"""),148.36)</f>
        <v>148.36</v>
      </c>
      <c r="AL39" s="1">
        <f>IFERROR(__xludf.DUMMYFUNCTION("""COMPUTED_VALUE"""),3982.8)</f>
        <v>3982.8</v>
      </c>
      <c r="AM39" s="2">
        <f>IFERROR(__xludf.DUMMYFUNCTION("""COMPUTED_VALUE"""),0.03725017575574972)</f>
        <v>0.03725017576</v>
      </c>
      <c r="AN39" s="1">
        <f>IFERROR(__xludf.DUMMYFUNCTION("""COMPUTED_VALUE"""),41.81)</f>
        <v>41.81</v>
      </c>
      <c r="AO39" s="1">
        <f>IFERROR(__xludf.DUMMYFUNCTION("""COMPUTED_VALUE"""),0.0)</f>
        <v>0</v>
      </c>
      <c r="AP39" s="2" t="str">
        <f>IFERROR(__xludf.DUMMYFUNCTION("""COMPUTED_VALUE"""),"")</f>
        <v/>
      </c>
      <c r="AQ39" s="1">
        <f>IFERROR(__xludf.DUMMYFUNCTION("""COMPUTED_VALUE"""),0.0)</f>
        <v>0</v>
      </c>
      <c r="AR39" s="1">
        <f>IFERROR(__xludf.DUMMYFUNCTION("""COMPUTED_VALUE"""),0.0)</f>
        <v>0</v>
      </c>
      <c r="AS39" s="2" t="str">
        <f>IFERROR(__xludf.DUMMYFUNCTION("""COMPUTED_VALUE"""),"")</f>
        <v/>
      </c>
      <c r="AT39" s="1">
        <f>IFERROR(__xludf.DUMMYFUNCTION("""COMPUTED_VALUE"""),0.0)</f>
        <v>0</v>
      </c>
      <c r="AU39" s="1">
        <f>IFERROR(__xludf.DUMMYFUNCTION("""COMPUTED_VALUE"""),0.0)</f>
        <v>0</v>
      </c>
      <c r="AV39" s="2" t="str">
        <f>IFERROR(__xludf.DUMMYFUNCTION("""COMPUTED_VALUE"""),"")</f>
        <v/>
      </c>
      <c r="AW39" s="1">
        <f>IFERROR(__xludf.DUMMYFUNCTION("""COMPUTED_VALUE"""),0.0)</f>
        <v>0</v>
      </c>
      <c r="AX39" s="1">
        <f>IFERROR(__xludf.DUMMYFUNCTION("""COMPUTED_VALUE"""),0.0)</f>
        <v>0</v>
      </c>
      <c r="AY39" s="2" t="str">
        <f>IFERROR(__xludf.DUMMYFUNCTION("""COMPUTED_VALUE"""),"")</f>
        <v/>
      </c>
      <c r="AZ39" s="1">
        <f>IFERROR(__xludf.DUMMYFUNCTION("""COMPUTED_VALUE"""),41.81)</f>
        <v>41.81</v>
      </c>
      <c r="BA39" s="1">
        <f>IFERROR(__xludf.DUMMYFUNCTION("""COMPUTED_VALUE"""),0.0)</f>
        <v>0</v>
      </c>
      <c r="BB39" s="2" t="str">
        <f>IFERROR(__xludf.DUMMYFUNCTION("""COMPUTED_VALUE"""),"")</f>
        <v/>
      </c>
    </row>
    <row r="40">
      <c r="A40" s="1" t="str">
        <f>IFERROR(__xludf.DUMMYFUNCTION("""COMPUTED_VALUE"""),"63fcbb7ca107c871cf564511")</f>
        <v>63fcbb7ca107c871cf564511</v>
      </c>
      <c r="B40" s="1" t="str">
        <f>IFERROR(__xludf.DUMMYFUNCTION("""COMPUTED_VALUE"""),"Cyclo X Solucoes em TI Ltda")</f>
        <v>Cyclo X Solucoes em TI Ltda</v>
      </c>
      <c r="C40" s="1" t="str">
        <f>IFERROR(__xludf.DUMMYFUNCTION("""COMPUTED_VALUE"""),"gabriel.pires@al-enterprise.com")</f>
        <v>gabriel.pires@al-enterprise.com</v>
      </c>
      <c r="D40" s="1" t="str">
        <f>IFERROR(__xludf.DUMMYFUNCTION("""COMPUTED_VALUE"""),"americas")</f>
        <v>americas</v>
      </c>
      <c r="E40" s="1" t="str">
        <f>IFERROR(__xludf.DUMMYFUNCTION("""COMPUTED_VALUE"""),"BR")</f>
        <v>BR</v>
      </c>
      <c r="F40" s="1" t="str">
        <f>IFERROR(__xludf.DUMMYFUNCTION("""COMPUTED_VALUE"""),"expert_1000")</f>
        <v>expert_1000</v>
      </c>
      <c r="G40" s="1">
        <f>IFERROR(__xludf.DUMMYFUNCTION("""COMPUTED_VALUE"""),1.0)</f>
        <v>1</v>
      </c>
      <c r="H40" s="1">
        <f>IFERROR(__xludf.DUMMYFUNCTION("""COMPUTED_VALUE"""),1.0)</f>
        <v>1</v>
      </c>
      <c r="I40" s="2">
        <f>IFERROR(__xludf.DUMMYFUNCTION("""COMPUTED_VALUE"""),1.0)</f>
        <v>1</v>
      </c>
      <c r="J40" s="1">
        <f>IFERROR(__xludf.DUMMYFUNCTION("""COMPUTED_VALUE"""),2908.71)</f>
        <v>2908.71</v>
      </c>
      <c r="K40" s="1">
        <f>IFERROR(__xludf.DUMMYFUNCTION("""COMPUTED_VALUE"""),0.0)</f>
        <v>0</v>
      </c>
      <c r="L40" s="2" t="str">
        <f>IFERROR(__xludf.DUMMYFUNCTION("""COMPUTED_VALUE"""),"")</f>
        <v/>
      </c>
      <c r="M40" s="1">
        <f>IFERROR(__xludf.DUMMYFUNCTION("""COMPUTED_VALUE"""),13.0)</f>
        <v>13</v>
      </c>
      <c r="N40" s="1">
        <f>IFERROR(__xludf.DUMMYFUNCTION("""COMPUTED_VALUE"""),64.0)</f>
        <v>64</v>
      </c>
      <c r="O40" s="2">
        <f>IFERROR(__xludf.DUMMYFUNCTION("""COMPUTED_VALUE"""),0.203125)</f>
        <v>0.203125</v>
      </c>
      <c r="P40" s="1">
        <f>IFERROR(__xludf.DUMMYFUNCTION("""COMPUTED_VALUE"""),0.0)</f>
        <v>0</v>
      </c>
      <c r="Q40" s="1">
        <f>IFERROR(__xludf.DUMMYFUNCTION("""COMPUTED_VALUE"""),1.0)</f>
        <v>1</v>
      </c>
      <c r="R40" s="2">
        <f>IFERROR(__xludf.DUMMYFUNCTION("""COMPUTED_VALUE"""),0.0)</f>
        <v>0</v>
      </c>
      <c r="S40" s="1">
        <f>IFERROR(__xludf.DUMMYFUNCTION("""COMPUTED_VALUE"""),0.0)</f>
        <v>0</v>
      </c>
      <c r="T40" s="1">
        <f>IFERROR(__xludf.DUMMYFUNCTION("""COMPUTED_VALUE"""),1.0)</f>
        <v>1</v>
      </c>
      <c r="U40" s="2">
        <f>IFERROR(__xludf.DUMMYFUNCTION("""COMPUTED_VALUE"""),0.0)</f>
        <v>0</v>
      </c>
      <c r="V40" s="1">
        <f>IFERROR(__xludf.DUMMYFUNCTION("""COMPUTED_VALUE"""),1.0)</f>
        <v>1</v>
      </c>
      <c r="W40" s="1">
        <f>IFERROR(__xludf.DUMMYFUNCTION("""COMPUTED_VALUE"""),1.0)</f>
        <v>1</v>
      </c>
      <c r="X40" s="2">
        <f>IFERROR(__xludf.DUMMYFUNCTION("""COMPUTED_VALUE"""),1.0)</f>
        <v>1</v>
      </c>
      <c r="Y40" s="1">
        <f>IFERROR(__xludf.DUMMYFUNCTION("""COMPUTED_VALUE"""),50.0)</f>
        <v>50</v>
      </c>
      <c r="Z40" s="1">
        <f>IFERROR(__xludf.DUMMYFUNCTION("""COMPUTED_VALUE"""),0.0)</f>
        <v>0</v>
      </c>
      <c r="AA40" s="2" t="str">
        <f>IFERROR(__xludf.DUMMYFUNCTION("""COMPUTED_VALUE"""),"")</f>
        <v/>
      </c>
      <c r="AB40" s="1">
        <f>IFERROR(__xludf.DUMMYFUNCTION("""COMPUTED_VALUE"""),104.99)</f>
        <v>104.99</v>
      </c>
      <c r="AC40" s="1">
        <f>IFERROR(__xludf.DUMMYFUNCTION("""COMPUTED_VALUE"""),0.0)</f>
        <v>0</v>
      </c>
      <c r="AD40" s="2" t="str">
        <f>IFERROR(__xludf.DUMMYFUNCTION("""COMPUTED_VALUE"""),"")</f>
        <v/>
      </c>
      <c r="AE40" s="1">
        <f>IFERROR(__xludf.DUMMYFUNCTION("""COMPUTED_VALUE"""),2562.98)</f>
        <v>2562.98</v>
      </c>
      <c r="AF40" s="1">
        <f>IFERROR(__xludf.DUMMYFUNCTION("""COMPUTED_VALUE"""),0.0)</f>
        <v>0</v>
      </c>
      <c r="AG40" s="2" t="str">
        <f>IFERROR(__xludf.DUMMYFUNCTION("""COMPUTED_VALUE"""),"")</f>
        <v/>
      </c>
      <c r="AH40" s="1">
        <f>IFERROR(__xludf.DUMMYFUNCTION("""COMPUTED_VALUE"""),4760.96)</f>
        <v>4760.96</v>
      </c>
      <c r="AI40" s="1">
        <f>IFERROR(__xludf.DUMMYFUNCTION("""COMPUTED_VALUE"""),0.0)</f>
        <v>0</v>
      </c>
      <c r="AJ40" s="2" t="str">
        <f>IFERROR(__xludf.DUMMYFUNCTION("""COMPUTED_VALUE"""),"")</f>
        <v/>
      </c>
      <c r="AK40" s="1">
        <f>IFERROR(__xludf.DUMMYFUNCTION("""COMPUTED_VALUE"""),7478.93)</f>
        <v>7478.93</v>
      </c>
      <c r="AL40" s="1">
        <f>IFERROR(__xludf.DUMMYFUNCTION("""COMPUTED_VALUE"""),0.0)</f>
        <v>0</v>
      </c>
      <c r="AM40" s="2" t="str">
        <f>IFERROR(__xludf.DUMMYFUNCTION("""COMPUTED_VALUE"""),"")</f>
        <v/>
      </c>
      <c r="AN40" s="1">
        <f>IFERROR(__xludf.DUMMYFUNCTION("""COMPUTED_VALUE"""),289.99)</f>
        <v>289.99</v>
      </c>
      <c r="AO40" s="1">
        <f>IFERROR(__xludf.DUMMYFUNCTION("""COMPUTED_VALUE"""),0.0)</f>
        <v>0</v>
      </c>
      <c r="AP40" s="2" t="str">
        <f>IFERROR(__xludf.DUMMYFUNCTION("""COMPUTED_VALUE"""),"")</f>
        <v/>
      </c>
      <c r="AQ40" s="1">
        <f>IFERROR(__xludf.DUMMYFUNCTION("""COMPUTED_VALUE"""),0.0)</f>
        <v>0</v>
      </c>
      <c r="AR40" s="1">
        <f>IFERROR(__xludf.DUMMYFUNCTION("""COMPUTED_VALUE"""),0.0)</f>
        <v>0</v>
      </c>
      <c r="AS40" s="2" t="str">
        <f>IFERROR(__xludf.DUMMYFUNCTION("""COMPUTED_VALUE"""),"")</f>
        <v/>
      </c>
      <c r="AT40" s="1">
        <f>IFERROR(__xludf.DUMMYFUNCTION("""COMPUTED_VALUE"""),0.0)</f>
        <v>0</v>
      </c>
      <c r="AU40" s="1">
        <f>IFERROR(__xludf.DUMMYFUNCTION("""COMPUTED_VALUE"""),0.0)</f>
        <v>0</v>
      </c>
      <c r="AV40" s="2" t="str">
        <f>IFERROR(__xludf.DUMMYFUNCTION("""COMPUTED_VALUE"""),"")</f>
        <v/>
      </c>
      <c r="AW40" s="1">
        <f>IFERROR(__xludf.DUMMYFUNCTION("""COMPUTED_VALUE"""),0.0)</f>
        <v>0</v>
      </c>
      <c r="AX40" s="1">
        <f>IFERROR(__xludf.DUMMYFUNCTION("""COMPUTED_VALUE"""),0.0)</f>
        <v>0</v>
      </c>
      <c r="AY40" s="2" t="str">
        <f>IFERROR(__xludf.DUMMYFUNCTION("""COMPUTED_VALUE"""),"")</f>
        <v/>
      </c>
      <c r="AZ40" s="1">
        <f>IFERROR(__xludf.DUMMYFUNCTION("""COMPUTED_VALUE"""),289.99)</f>
        <v>289.99</v>
      </c>
      <c r="BA40" s="1">
        <f>IFERROR(__xludf.DUMMYFUNCTION("""COMPUTED_VALUE"""),0.0)</f>
        <v>0</v>
      </c>
      <c r="BB40" s="2" t="str">
        <f>IFERROR(__xludf.DUMMYFUNCTION("""COMPUTED_VALUE"""),"")</f>
        <v/>
      </c>
    </row>
    <row r="41">
      <c r="A41" s="1" t="str">
        <f>IFERROR(__xludf.DUMMYFUNCTION("""COMPUTED_VALUE"""),"63ced849c5c820531c268ea6")</f>
        <v>63ced849c5c820531c268ea6</v>
      </c>
      <c r="B41" s="1" t="str">
        <f>IFERROR(__xludf.DUMMYFUNCTION("""COMPUTED_VALUE"""),"DACAS Colombia")</f>
        <v>DACAS Colombia</v>
      </c>
      <c r="C41" s="1" t="str">
        <f>IFERROR(__xludf.DUMMYFUNCTION("""COMPUTED_VALUE"""),"philippe.girard@al-enterprise.com, rui.silva@al-enterprise.com, carolina.rodriguez@al-enterprise.com")</f>
        <v>philippe.girard@al-enterprise.com, rui.silva@al-enterprise.com, carolina.rodriguez@al-enterprise.com</v>
      </c>
      <c r="D41" s="1" t="str">
        <f>IFERROR(__xludf.DUMMYFUNCTION("""COMPUTED_VALUE"""),"americas")</f>
        <v>americas</v>
      </c>
      <c r="E41" s="1" t="str">
        <f>IFERROR(__xludf.DUMMYFUNCTION("""COMPUTED_VALUE"""),"CO")</f>
        <v>CO</v>
      </c>
      <c r="F41" s="1" t="str">
        <f>IFERROR(__xludf.DUMMYFUNCTION("""COMPUTED_VALUE"""),"distributor")</f>
        <v>distributor</v>
      </c>
      <c r="G41" s="1">
        <f>IFERROR(__xludf.DUMMYFUNCTION("""COMPUTED_VALUE"""),0.0)</f>
        <v>0</v>
      </c>
      <c r="H41" s="1">
        <f>IFERROR(__xludf.DUMMYFUNCTION("""COMPUTED_VALUE"""),1.0)</f>
        <v>1</v>
      </c>
      <c r="I41" s="2">
        <f>IFERROR(__xludf.DUMMYFUNCTION("""COMPUTED_VALUE"""),0.0)</f>
        <v>0</v>
      </c>
      <c r="J41" s="1">
        <f>IFERROR(__xludf.DUMMYFUNCTION("""COMPUTED_VALUE"""),132.47)</f>
        <v>132.47</v>
      </c>
      <c r="K41" s="1">
        <f>IFERROR(__xludf.DUMMYFUNCTION("""COMPUTED_VALUE"""),430.0)</f>
        <v>430</v>
      </c>
      <c r="L41" s="2">
        <f>IFERROR(__xludf.DUMMYFUNCTION("""COMPUTED_VALUE"""),0.3080697674418605)</f>
        <v>0.3080697674</v>
      </c>
      <c r="M41" s="1">
        <f>IFERROR(__xludf.DUMMYFUNCTION("""COMPUTED_VALUE"""),13.0)</f>
        <v>13</v>
      </c>
      <c r="N41" s="1">
        <f>IFERROR(__xludf.DUMMYFUNCTION("""COMPUTED_VALUE"""),60.0)</f>
        <v>60</v>
      </c>
      <c r="O41" s="2">
        <f>IFERROR(__xludf.DUMMYFUNCTION("""COMPUTED_VALUE"""),0.21666666666666667)</f>
        <v>0.2166666667</v>
      </c>
      <c r="P41" s="1">
        <f>IFERROR(__xludf.DUMMYFUNCTION("""COMPUTED_VALUE"""),0.0)</f>
        <v>0</v>
      </c>
      <c r="Q41" s="1">
        <f>IFERROR(__xludf.DUMMYFUNCTION("""COMPUTED_VALUE"""),1.0)</f>
        <v>1</v>
      </c>
      <c r="R41" s="2">
        <f>IFERROR(__xludf.DUMMYFUNCTION("""COMPUTED_VALUE"""),0.0)</f>
        <v>0</v>
      </c>
      <c r="S41" s="1">
        <f>IFERROR(__xludf.DUMMYFUNCTION("""COMPUTED_VALUE"""),1.0)</f>
        <v>1</v>
      </c>
      <c r="T41" s="1">
        <f>IFERROR(__xludf.DUMMYFUNCTION("""COMPUTED_VALUE"""),1.0)</f>
        <v>1</v>
      </c>
      <c r="U41" s="2">
        <f>IFERROR(__xludf.DUMMYFUNCTION("""COMPUTED_VALUE"""),1.0)</f>
        <v>1</v>
      </c>
      <c r="V41" s="1">
        <f>IFERROR(__xludf.DUMMYFUNCTION("""COMPUTED_VALUE"""),0.0)</f>
        <v>0</v>
      </c>
      <c r="W41" s="1">
        <f>IFERROR(__xludf.DUMMYFUNCTION("""COMPUTED_VALUE"""),1.0)</f>
        <v>1</v>
      </c>
      <c r="X41" s="2">
        <f>IFERROR(__xludf.DUMMYFUNCTION("""COMPUTED_VALUE"""),0.0)</f>
        <v>0</v>
      </c>
      <c r="Y41" s="1">
        <f>IFERROR(__xludf.DUMMYFUNCTION("""COMPUTED_VALUE"""),7.0)</f>
        <v>7</v>
      </c>
      <c r="Z41" s="1">
        <f>IFERROR(__xludf.DUMMYFUNCTION("""COMPUTED_VALUE"""),0.0)</f>
        <v>0</v>
      </c>
      <c r="AA41" s="2" t="str">
        <f>IFERROR(__xludf.DUMMYFUNCTION("""COMPUTED_VALUE"""),"")</f>
        <v/>
      </c>
      <c r="AB41" s="1">
        <f>IFERROR(__xludf.DUMMYFUNCTION("""COMPUTED_VALUE"""),12.96)</f>
        <v>12.96</v>
      </c>
      <c r="AC41" s="1">
        <f>IFERROR(__xludf.DUMMYFUNCTION("""COMPUTED_VALUE"""),366.65)</f>
        <v>366.65</v>
      </c>
      <c r="AD41" s="2">
        <f>IFERROR(__xludf.DUMMYFUNCTION("""COMPUTED_VALUE"""),0.03534706123005592)</f>
        <v>0.03534706123</v>
      </c>
      <c r="AE41" s="1">
        <f>IFERROR(__xludf.DUMMYFUNCTION("""COMPUTED_VALUE"""),126.86)</f>
        <v>126.86</v>
      </c>
      <c r="AF41" s="1">
        <f>IFERROR(__xludf.DUMMYFUNCTION("""COMPUTED_VALUE"""),566.68)</f>
        <v>566.68</v>
      </c>
      <c r="AG41" s="2">
        <f>IFERROR(__xludf.DUMMYFUNCTION("""COMPUTED_VALUE"""),0.22386532081598082)</f>
        <v>0.2238653208</v>
      </c>
      <c r="AH41" s="1">
        <f>IFERROR(__xludf.DUMMYFUNCTION("""COMPUTED_VALUE"""),289.99)</f>
        <v>289.99</v>
      </c>
      <c r="AI41" s="1">
        <f>IFERROR(__xludf.DUMMYFUNCTION("""COMPUTED_VALUE"""),796.68)</f>
        <v>796.68</v>
      </c>
      <c r="AJ41" s="2">
        <f>IFERROR(__xludf.DUMMYFUNCTION("""COMPUTED_VALUE"""),0.3639980920821409)</f>
        <v>0.3639980921</v>
      </c>
      <c r="AK41" s="1">
        <f>IFERROR(__xludf.DUMMYFUNCTION("""COMPUTED_VALUE"""),436.81)</f>
        <v>436.81</v>
      </c>
      <c r="AL41" s="1">
        <f>IFERROR(__xludf.DUMMYFUNCTION("""COMPUTED_VALUE"""),1730.0099999999998)</f>
        <v>1730.01</v>
      </c>
      <c r="AM41" s="2">
        <f>IFERROR(__xludf.DUMMYFUNCTION("""COMPUTED_VALUE"""),0.25248987000075146)</f>
        <v>0.25248987</v>
      </c>
      <c r="AN41" s="1">
        <f>IFERROR(__xludf.DUMMYFUNCTION("""COMPUTED_VALUE"""),0.0)</f>
        <v>0</v>
      </c>
      <c r="AO41" s="1">
        <f>IFERROR(__xludf.DUMMYFUNCTION("""COMPUTED_VALUE"""),0.0)</f>
        <v>0</v>
      </c>
      <c r="AP41" s="2" t="str">
        <f>IFERROR(__xludf.DUMMYFUNCTION("""COMPUTED_VALUE"""),"")</f>
        <v/>
      </c>
      <c r="AQ41" s="1">
        <f>IFERROR(__xludf.DUMMYFUNCTION("""COMPUTED_VALUE"""),0.0)</f>
        <v>0</v>
      </c>
      <c r="AR41" s="1">
        <f>IFERROR(__xludf.DUMMYFUNCTION("""COMPUTED_VALUE"""),0.0)</f>
        <v>0</v>
      </c>
      <c r="AS41" s="2" t="str">
        <f>IFERROR(__xludf.DUMMYFUNCTION("""COMPUTED_VALUE"""),"")</f>
        <v/>
      </c>
      <c r="AT41" s="1">
        <f>IFERROR(__xludf.DUMMYFUNCTION("""COMPUTED_VALUE"""),0.0)</f>
        <v>0</v>
      </c>
      <c r="AU41" s="1">
        <f>IFERROR(__xludf.DUMMYFUNCTION("""COMPUTED_VALUE"""),0.0)</f>
        <v>0</v>
      </c>
      <c r="AV41" s="2" t="str">
        <f>IFERROR(__xludf.DUMMYFUNCTION("""COMPUTED_VALUE"""),"")</f>
        <v/>
      </c>
      <c r="AW41" s="1">
        <f>IFERROR(__xludf.DUMMYFUNCTION("""COMPUTED_VALUE"""),0.0)</f>
        <v>0</v>
      </c>
      <c r="AX41" s="1">
        <f>IFERROR(__xludf.DUMMYFUNCTION("""COMPUTED_VALUE"""),0.0)</f>
        <v>0</v>
      </c>
      <c r="AY41" s="2" t="str">
        <f>IFERROR(__xludf.DUMMYFUNCTION("""COMPUTED_VALUE"""),"")</f>
        <v/>
      </c>
      <c r="AZ41" s="1">
        <f>IFERROR(__xludf.DUMMYFUNCTION("""COMPUTED_VALUE"""),0.0)</f>
        <v>0</v>
      </c>
      <c r="BA41" s="1">
        <f>IFERROR(__xludf.DUMMYFUNCTION("""COMPUTED_VALUE"""),0.0)</f>
        <v>0</v>
      </c>
      <c r="BB41" s="2" t="str">
        <f>IFERROR(__xludf.DUMMYFUNCTION("""COMPUTED_VALUE"""),"")</f>
        <v/>
      </c>
    </row>
    <row r="42">
      <c r="A42" s="1" t="str">
        <f>IFERROR(__xludf.DUMMYFUNCTION("""COMPUTED_VALUE"""),"65dcd9bc019929778f07c73f")</f>
        <v>65dcd9bc019929778f07c73f</v>
      </c>
      <c r="B42" s="1" t="str">
        <f>IFERROR(__xludf.DUMMYFUNCTION("""COMPUTED_VALUE"""),"Dacas Distri Mexico")</f>
        <v>Dacas Distri Mexico</v>
      </c>
      <c r="C42" s="1" t="str">
        <f>IFERROR(__xludf.DUMMYFUNCTION("""COMPUTED_VALUE"""),"joaquin.flores@al-enterprise.com")</f>
        <v>joaquin.flores@al-enterprise.com</v>
      </c>
      <c r="D42" s="1" t="str">
        <f>IFERROR(__xludf.DUMMYFUNCTION("""COMPUTED_VALUE"""),"americas")</f>
        <v>americas</v>
      </c>
      <c r="E42" s="1" t="str">
        <f>IFERROR(__xludf.DUMMYFUNCTION("""COMPUTED_VALUE"""),"MX")</f>
        <v>MX</v>
      </c>
      <c r="F42" s="1" t="str">
        <f>IFERROR(__xludf.DUMMYFUNCTION("""COMPUTED_VALUE"""),"distributor")</f>
        <v>distributor</v>
      </c>
      <c r="G42" s="1">
        <f>IFERROR(__xludf.DUMMYFUNCTION("""COMPUTED_VALUE"""),0.0)</f>
        <v>0</v>
      </c>
      <c r="H42" s="1">
        <f>IFERROR(__xludf.DUMMYFUNCTION("""COMPUTED_VALUE"""),1.0)</f>
        <v>1</v>
      </c>
      <c r="I42" s="2">
        <f>IFERROR(__xludf.DUMMYFUNCTION("""COMPUTED_VALUE"""),0.0)</f>
        <v>0</v>
      </c>
      <c r="J42" s="1">
        <f>IFERROR(__xludf.DUMMYFUNCTION("""COMPUTED_VALUE"""),83.6)</f>
        <v>83.6</v>
      </c>
      <c r="K42" s="1">
        <f>IFERROR(__xludf.DUMMYFUNCTION("""COMPUTED_VALUE"""),505.0)</f>
        <v>505</v>
      </c>
      <c r="L42" s="2">
        <f>IFERROR(__xludf.DUMMYFUNCTION("""COMPUTED_VALUE"""),0.16554455445544553)</f>
        <v>0.1655445545</v>
      </c>
      <c r="M42" s="1">
        <f>IFERROR(__xludf.DUMMYFUNCTION("""COMPUTED_VALUE"""),15.0)</f>
        <v>15</v>
      </c>
      <c r="N42" s="1">
        <f>IFERROR(__xludf.DUMMYFUNCTION("""COMPUTED_VALUE"""),0.0)</f>
        <v>0</v>
      </c>
      <c r="O42" s="2" t="str">
        <f>IFERROR(__xludf.DUMMYFUNCTION("""COMPUTED_VALUE"""),"")</f>
        <v/>
      </c>
      <c r="P42" s="1">
        <f>IFERROR(__xludf.DUMMYFUNCTION("""COMPUTED_VALUE"""),0.0)</f>
        <v>0</v>
      </c>
      <c r="Q42" s="1">
        <f>IFERROR(__xludf.DUMMYFUNCTION("""COMPUTED_VALUE"""),1.0)</f>
        <v>1</v>
      </c>
      <c r="R42" s="2">
        <f>IFERROR(__xludf.DUMMYFUNCTION("""COMPUTED_VALUE"""),0.0)</f>
        <v>0</v>
      </c>
      <c r="S42" s="1">
        <f>IFERROR(__xludf.DUMMYFUNCTION("""COMPUTED_VALUE"""),0.0)</f>
        <v>0</v>
      </c>
      <c r="T42" s="1">
        <f>IFERROR(__xludf.DUMMYFUNCTION("""COMPUTED_VALUE"""),1.0)</f>
        <v>1</v>
      </c>
      <c r="U42" s="2">
        <f>IFERROR(__xludf.DUMMYFUNCTION("""COMPUTED_VALUE"""),0.0)</f>
        <v>0</v>
      </c>
      <c r="V42" s="1">
        <f>IFERROR(__xludf.DUMMYFUNCTION("""COMPUTED_VALUE"""),0.0)</f>
        <v>0</v>
      </c>
      <c r="W42" s="1">
        <f>IFERROR(__xludf.DUMMYFUNCTION("""COMPUTED_VALUE"""),1.0)</f>
        <v>1</v>
      </c>
      <c r="X42" s="2">
        <f>IFERROR(__xludf.DUMMYFUNCTION("""COMPUTED_VALUE"""),0.0)</f>
        <v>0</v>
      </c>
      <c r="Y42" s="1">
        <f>IFERROR(__xludf.DUMMYFUNCTION("""COMPUTED_VALUE"""),1.89)</f>
        <v>1.89</v>
      </c>
      <c r="Z42" s="1">
        <f>IFERROR(__xludf.DUMMYFUNCTION("""COMPUTED_VALUE"""),0.0)</f>
        <v>0</v>
      </c>
      <c r="AA42" s="2" t="str">
        <f>IFERROR(__xludf.DUMMYFUNCTION("""COMPUTED_VALUE"""),"")</f>
        <v/>
      </c>
      <c r="AB42" s="1">
        <f>IFERROR(__xludf.DUMMYFUNCTION("""COMPUTED_VALUE"""),1.89)</f>
        <v>1.89</v>
      </c>
      <c r="AC42" s="1">
        <f>IFERROR(__xludf.DUMMYFUNCTION("""COMPUTED_VALUE"""),333.35)</f>
        <v>333.35</v>
      </c>
      <c r="AD42" s="2">
        <f>IFERROR(__xludf.DUMMYFUNCTION("""COMPUTED_VALUE"""),0.005669716514174291)</f>
        <v>0.005669716514</v>
      </c>
      <c r="AE42" s="1">
        <f>IFERROR(__xludf.DUMMYFUNCTION("""COMPUTED_VALUE"""),0.0)</f>
        <v>0</v>
      </c>
      <c r="AF42" s="1">
        <f>IFERROR(__xludf.DUMMYFUNCTION("""COMPUTED_VALUE"""),400.0)</f>
        <v>400</v>
      </c>
      <c r="AG42" s="2">
        <f>IFERROR(__xludf.DUMMYFUNCTION("""COMPUTED_VALUE"""),0.0)</f>
        <v>0</v>
      </c>
      <c r="AH42" s="1">
        <f>IFERROR(__xludf.DUMMYFUNCTION("""COMPUTED_VALUE"""),26.19)</f>
        <v>26.19</v>
      </c>
      <c r="AI42" s="1">
        <f>IFERROR(__xludf.DUMMYFUNCTION("""COMPUTED_VALUE"""),700.0)</f>
        <v>700</v>
      </c>
      <c r="AJ42" s="2">
        <f>IFERROR(__xludf.DUMMYFUNCTION("""COMPUTED_VALUE"""),0.03741428571428572)</f>
        <v>0.03741428571</v>
      </c>
      <c r="AK42" s="1">
        <f>IFERROR(__xludf.DUMMYFUNCTION("""COMPUTED_VALUE"""),29.970000000000002)</f>
        <v>29.97</v>
      </c>
      <c r="AL42" s="1">
        <f>IFERROR(__xludf.DUMMYFUNCTION("""COMPUTED_VALUE"""),1433.35)</f>
        <v>1433.35</v>
      </c>
      <c r="AM42" s="2">
        <f>IFERROR(__xludf.DUMMYFUNCTION("""COMPUTED_VALUE"""),0.020909059196986084)</f>
        <v>0.0209090592</v>
      </c>
      <c r="AN42" s="1">
        <f>IFERROR(__xludf.DUMMYFUNCTION("""COMPUTED_VALUE"""),21.79)</f>
        <v>21.79</v>
      </c>
      <c r="AO42" s="1">
        <f>IFERROR(__xludf.DUMMYFUNCTION("""COMPUTED_VALUE"""),0.0)</f>
        <v>0</v>
      </c>
      <c r="AP42" s="2" t="str">
        <f>IFERROR(__xludf.DUMMYFUNCTION("""COMPUTED_VALUE"""),"")</f>
        <v/>
      </c>
      <c r="AQ42" s="1">
        <f>IFERROR(__xludf.DUMMYFUNCTION("""COMPUTED_VALUE"""),4.13)</f>
        <v>4.13</v>
      </c>
      <c r="AR42" s="1">
        <f>IFERROR(__xludf.DUMMYFUNCTION("""COMPUTED_VALUE"""),0.0)</f>
        <v>0</v>
      </c>
      <c r="AS42" s="2" t="str">
        <f>IFERROR(__xludf.DUMMYFUNCTION("""COMPUTED_VALUE"""),"")</f>
        <v/>
      </c>
      <c r="AT42" s="1">
        <f>IFERROR(__xludf.DUMMYFUNCTION("""COMPUTED_VALUE"""),0.0)</f>
        <v>0</v>
      </c>
      <c r="AU42" s="1">
        <f>IFERROR(__xludf.DUMMYFUNCTION("""COMPUTED_VALUE"""),0.0)</f>
        <v>0</v>
      </c>
      <c r="AV42" s="2" t="str">
        <f>IFERROR(__xludf.DUMMYFUNCTION("""COMPUTED_VALUE"""),"")</f>
        <v/>
      </c>
      <c r="AW42" s="1">
        <f>IFERROR(__xludf.DUMMYFUNCTION("""COMPUTED_VALUE"""),0.0)</f>
        <v>0</v>
      </c>
      <c r="AX42" s="1">
        <f>IFERROR(__xludf.DUMMYFUNCTION("""COMPUTED_VALUE"""),0.0)</f>
        <v>0</v>
      </c>
      <c r="AY42" s="2" t="str">
        <f>IFERROR(__xludf.DUMMYFUNCTION("""COMPUTED_VALUE"""),"")</f>
        <v/>
      </c>
      <c r="AZ42" s="1">
        <f>IFERROR(__xludf.DUMMYFUNCTION("""COMPUTED_VALUE"""),25.919999999999998)</f>
        <v>25.92</v>
      </c>
      <c r="BA42" s="1">
        <f>IFERROR(__xludf.DUMMYFUNCTION("""COMPUTED_VALUE"""),0.0)</f>
        <v>0</v>
      </c>
      <c r="BB42" s="2" t="str">
        <f>IFERROR(__xludf.DUMMYFUNCTION("""COMPUTED_VALUE"""),"")</f>
        <v/>
      </c>
    </row>
    <row r="43">
      <c r="A43" s="1" t="str">
        <f>IFERROR(__xludf.DUMMYFUNCTION("""COMPUTED_VALUE"""),"63ced84dc5c820531c26969e")</f>
        <v>63ced84dc5c820531c26969e</v>
      </c>
      <c r="B43" s="1" t="str">
        <f>IFERROR(__xludf.DUMMYFUNCTION("""COMPUTED_VALUE"""),"Dagostino Electronic Services, Inc.")</f>
        <v>Dagostino Electronic Services, Inc.</v>
      </c>
      <c r="C43" s="1" t="str">
        <f>IFERROR(__xludf.DUMMYFUNCTION("""COMPUTED_VALUE"""),"brendan.flaherty@al-enterprise.com, michael-j.francis@al-enterprise.com, tracy.dupree@al-enterprise.com, jon.taylor@al-enterprise.com")</f>
        <v>brendan.flaherty@al-enterprise.com, michael-j.francis@al-enterprise.com, tracy.dupree@al-enterprise.com, jon.taylor@al-enterprise.com</v>
      </c>
      <c r="D43" s="1" t="str">
        <f>IFERROR(__xludf.DUMMYFUNCTION("""COMPUTED_VALUE"""),"americas")</f>
        <v>americas</v>
      </c>
      <c r="E43" s="1" t="str">
        <f>IFERROR(__xludf.DUMMYFUNCTION("""COMPUTED_VALUE"""),"US")</f>
        <v>US</v>
      </c>
      <c r="F43" s="1" t="str">
        <f>IFERROR(__xludf.DUMMYFUNCTION("""COMPUTED_VALUE"""),"expert_1000")</f>
        <v>expert_1000</v>
      </c>
      <c r="G43" s="1">
        <f>IFERROR(__xludf.DUMMYFUNCTION("""COMPUTED_VALUE"""),1.0)</f>
        <v>1</v>
      </c>
      <c r="H43" s="1">
        <f>IFERROR(__xludf.DUMMYFUNCTION("""COMPUTED_VALUE"""),1.0)</f>
        <v>1</v>
      </c>
      <c r="I43" s="2">
        <f>IFERROR(__xludf.DUMMYFUNCTION("""COMPUTED_VALUE"""),1.0)</f>
        <v>1</v>
      </c>
      <c r="J43" s="1">
        <f>IFERROR(__xludf.DUMMYFUNCTION("""COMPUTED_VALUE"""),158.29)</f>
        <v>158.29</v>
      </c>
      <c r="K43" s="1">
        <f>IFERROR(__xludf.DUMMYFUNCTION("""COMPUTED_VALUE"""),1453.69)</f>
        <v>1453.69</v>
      </c>
      <c r="L43" s="2">
        <f>IFERROR(__xludf.DUMMYFUNCTION("""COMPUTED_VALUE"""),0.10888841499907131)</f>
        <v>0.108888415</v>
      </c>
      <c r="M43" s="1">
        <f>IFERROR(__xludf.DUMMYFUNCTION("""COMPUTED_VALUE"""),31.0)</f>
        <v>31</v>
      </c>
      <c r="N43" s="1">
        <f>IFERROR(__xludf.DUMMYFUNCTION("""COMPUTED_VALUE"""),52.0)</f>
        <v>52</v>
      </c>
      <c r="O43" s="2">
        <f>IFERROR(__xludf.DUMMYFUNCTION("""COMPUTED_VALUE"""),0.5961538461538461)</f>
        <v>0.5961538462</v>
      </c>
      <c r="P43" s="1">
        <f>IFERROR(__xludf.DUMMYFUNCTION("""COMPUTED_VALUE"""),1.0)</f>
        <v>1</v>
      </c>
      <c r="Q43" s="1">
        <f>IFERROR(__xludf.DUMMYFUNCTION("""COMPUTED_VALUE"""),1.0)</f>
        <v>1</v>
      </c>
      <c r="R43" s="2">
        <f>IFERROR(__xludf.DUMMYFUNCTION("""COMPUTED_VALUE"""),1.0)</f>
        <v>1</v>
      </c>
      <c r="S43" s="1">
        <f>IFERROR(__xludf.DUMMYFUNCTION("""COMPUTED_VALUE"""),1.0)</f>
        <v>1</v>
      </c>
      <c r="T43" s="1">
        <f>IFERROR(__xludf.DUMMYFUNCTION("""COMPUTED_VALUE"""),1.0)</f>
        <v>1</v>
      </c>
      <c r="U43" s="2">
        <f>IFERROR(__xludf.DUMMYFUNCTION("""COMPUTED_VALUE"""),1.0)</f>
        <v>1</v>
      </c>
      <c r="V43" s="1">
        <f>IFERROR(__xludf.DUMMYFUNCTION("""COMPUTED_VALUE"""),0.0)</f>
        <v>0</v>
      </c>
      <c r="W43" s="1">
        <f>IFERROR(__xludf.DUMMYFUNCTION("""COMPUTED_VALUE"""),1.0)</f>
        <v>1</v>
      </c>
      <c r="X43" s="2">
        <f>IFERROR(__xludf.DUMMYFUNCTION("""COMPUTED_VALUE"""),0.0)</f>
        <v>0</v>
      </c>
      <c r="Y43" s="1">
        <f>IFERROR(__xludf.DUMMYFUNCTION("""COMPUTED_VALUE"""),0.33)</f>
        <v>0.33</v>
      </c>
      <c r="Z43" s="1">
        <f>IFERROR(__xludf.DUMMYFUNCTION("""COMPUTED_VALUE"""),0.0)</f>
        <v>0</v>
      </c>
      <c r="AA43" s="2" t="str">
        <f>IFERROR(__xludf.DUMMYFUNCTION("""COMPUTED_VALUE"""),"")</f>
        <v/>
      </c>
      <c r="AB43" s="1">
        <f>IFERROR(__xludf.DUMMYFUNCTION("""COMPUTED_VALUE"""),0.64)</f>
        <v>0.64</v>
      </c>
      <c r="AC43" s="1">
        <f>IFERROR(__xludf.DUMMYFUNCTION("""COMPUTED_VALUE"""),969.33)</f>
        <v>969.33</v>
      </c>
      <c r="AD43" s="2">
        <f>IFERROR(__xludf.DUMMYFUNCTION("""COMPUTED_VALUE"""),6.602498633076454E-4)</f>
        <v>0.0006602498633</v>
      </c>
      <c r="AE43" s="1">
        <f>IFERROR(__xludf.DUMMYFUNCTION("""COMPUTED_VALUE"""),487.98)</f>
        <v>487.98</v>
      </c>
      <c r="AF43" s="1">
        <f>IFERROR(__xludf.DUMMYFUNCTION("""COMPUTED_VALUE"""),1453.32)</f>
        <v>1453.32</v>
      </c>
      <c r="AG43" s="2">
        <f>IFERROR(__xludf.DUMMYFUNCTION("""COMPUTED_VALUE"""),0.33576913549665593)</f>
        <v>0.3357691355</v>
      </c>
      <c r="AH43" s="1">
        <f>IFERROR(__xludf.DUMMYFUNCTION("""COMPUTED_VALUE"""),131.09)</f>
        <v>131.09</v>
      </c>
      <c r="AI43" s="1">
        <f>IFERROR(__xludf.DUMMYFUNCTION("""COMPUTED_VALUE"""),1453.67)</f>
        <v>1453.67</v>
      </c>
      <c r="AJ43" s="2">
        <f>IFERROR(__xludf.DUMMYFUNCTION("""COMPUTED_VALUE"""),0.09017865127573658)</f>
        <v>0.09017865128</v>
      </c>
      <c r="AK43" s="1">
        <f>IFERROR(__xludf.DUMMYFUNCTION("""COMPUTED_VALUE"""),620.0400000000001)</f>
        <v>620.04</v>
      </c>
      <c r="AL43" s="1">
        <f>IFERROR(__xludf.DUMMYFUNCTION("""COMPUTED_VALUE"""),3876.32)</f>
        <v>3876.32</v>
      </c>
      <c r="AM43" s="2">
        <f>IFERROR(__xludf.DUMMYFUNCTION("""COMPUTED_VALUE"""),0.1599558343996368)</f>
        <v>0.1599558344</v>
      </c>
      <c r="AN43" s="1">
        <f>IFERROR(__xludf.DUMMYFUNCTION("""COMPUTED_VALUE"""),349.59)</f>
        <v>349.59</v>
      </c>
      <c r="AO43" s="1">
        <f>IFERROR(__xludf.DUMMYFUNCTION("""COMPUTED_VALUE"""),0.0)</f>
        <v>0</v>
      </c>
      <c r="AP43" s="2" t="str">
        <f>IFERROR(__xludf.DUMMYFUNCTION("""COMPUTED_VALUE"""),"")</f>
        <v/>
      </c>
      <c r="AQ43" s="1">
        <f>IFERROR(__xludf.DUMMYFUNCTION("""COMPUTED_VALUE"""),0.0)</f>
        <v>0</v>
      </c>
      <c r="AR43" s="1">
        <f>IFERROR(__xludf.DUMMYFUNCTION("""COMPUTED_VALUE"""),0.0)</f>
        <v>0</v>
      </c>
      <c r="AS43" s="2" t="str">
        <f>IFERROR(__xludf.DUMMYFUNCTION("""COMPUTED_VALUE"""),"")</f>
        <v/>
      </c>
      <c r="AT43" s="1">
        <f>IFERROR(__xludf.DUMMYFUNCTION("""COMPUTED_VALUE"""),0.0)</f>
        <v>0</v>
      </c>
      <c r="AU43" s="1">
        <f>IFERROR(__xludf.DUMMYFUNCTION("""COMPUTED_VALUE"""),0.0)</f>
        <v>0</v>
      </c>
      <c r="AV43" s="2" t="str">
        <f>IFERROR(__xludf.DUMMYFUNCTION("""COMPUTED_VALUE"""),"")</f>
        <v/>
      </c>
      <c r="AW43" s="1">
        <f>IFERROR(__xludf.DUMMYFUNCTION("""COMPUTED_VALUE"""),0.0)</f>
        <v>0</v>
      </c>
      <c r="AX43" s="1">
        <f>IFERROR(__xludf.DUMMYFUNCTION("""COMPUTED_VALUE"""),0.0)</f>
        <v>0</v>
      </c>
      <c r="AY43" s="2" t="str">
        <f>IFERROR(__xludf.DUMMYFUNCTION("""COMPUTED_VALUE"""),"")</f>
        <v/>
      </c>
      <c r="AZ43" s="1">
        <f>IFERROR(__xludf.DUMMYFUNCTION("""COMPUTED_VALUE"""),349.59)</f>
        <v>349.59</v>
      </c>
      <c r="BA43" s="1">
        <f>IFERROR(__xludf.DUMMYFUNCTION("""COMPUTED_VALUE"""),0.0)</f>
        <v>0</v>
      </c>
      <c r="BB43" s="2" t="str">
        <f>IFERROR(__xludf.DUMMYFUNCTION("""COMPUTED_VALUE"""),"")</f>
        <v/>
      </c>
    </row>
    <row r="44">
      <c r="A44" s="1" t="str">
        <f>IFERROR(__xludf.DUMMYFUNCTION("""COMPUTED_VALUE"""),"679366fcb35503f3000f3c14")</f>
        <v>679366fcb35503f3000f3c14</v>
      </c>
      <c r="B44" s="1" t="str">
        <f>IFERROR(__xludf.DUMMYFUNCTION("""COMPUTED_VALUE"""),"DATAGROUP Stuttgart GmbH")</f>
        <v>DATAGROUP Stuttgart GmbH</v>
      </c>
      <c r="C44" s="1" t="str">
        <f>IFERROR(__xludf.DUMMYFUNCTION("""COMPUTED_VALUE"""),"robert.weinberger@al-enterprise.com")</f>
        <v>robert.weinberger@al-enterprise.com</v>
      </c>
      <c r="D44" s="1" t="str">
        <f>IFERROR(__xludf.DUMMYFUNCTION("""COMPUTED_VALUE"""),"germany")</f>
        <v>germany</v>
      </c>
      <c r="E44" s="1" t="str">
        <f>IFERROR(__xludf.DUMMYFUNCTION("""COMPUTED_VALUE"""),"DE")</f>
        <v>DE</v>
      </c>
      <c r="F44" s="1" t="str">
        <f>IFERROR(__xludf.DUMMYFUNCTION("""COMPUTED_VALUE"""),"expert_200")</f>
        <v>expert_200</v>
      </c>
      <c r="G44" s="1">
        <f>IFERROR(__xludf.DUMMYFUNCTION("""COMPUTED_VALUE"""),0.0)</f>
        <v>0</v>
      </c>
      <c r="H44" s="1">
        <f>IFERROR(__xludf.DUMMYFUNCTION("""COMPUTED_VALUE"""),1.0)</f>
        <v>1</v>
      </c>
      <c r="I44" s="2">
        <f>IFERROR(__xludf.DUMMYFUNCTION("""COMPUTED_VALUE"""),0.0)</f>
        <v>0</v>
      </c>
      <c r="J44" s="1">
        <f>IFERROR(__xludf.DUMMYFUNCTION("""COMPUTED_VALUE"""),0.0)</f>
        <v>0</v>
      </c>
      <c r="K44" s="1">
        <f>IFERROR(__xludf.DUMMYFUNCTION("""COMPUTED_VALUE"""),0.0)</f>
        <v>0</v>
      </c>
      <c r="L44" s="2" t="str">
        <f>IFERROR(__xludf.DUMMYFUNCTION("""COMPUTED_VALUE"""),"")</f>
        <v/>
      </c>
      <c r="M44" s="1">
        <f>IFERROR(__xludf.DUMMYFUNCTION("""COMPUTED_VALUE"""),0.0)</f>
        <v>0</v>
      </c>
      <c r="N44" s="1">
        <f>IFERROR(__xludf.DUMMYFUNCTION("""COMPUTED_VALUE"""),0.0)</f>
        <v>0</v>
      </c>
      <c r="O44" s="2" t="str">
        <f>IFERROR(__xludf.DUMMYFUNCTION("""COMPUTED_VALUE"""),"")</f>
        <v/>
      </c>
      <c r="P44" s="1">
        <f>IFERROR(__xludf.DUMMYFUNCTION("""COMPUTED_VALUE"""),0.0)</f>
        <v>0</v>
      </c>
      <c r="Q44" s="1">
        <f>IFERROR(__xludf.DUMMYFUNCTION("""COMPUTED_VALUE"""),1.0)</f>
        <v>1</v>
      </c>
      <c r="R44" s="2">
        <f>IFERROR(__xludf.DUMMYFUNCTION("""COMPUTED_VALUE"""),0.0)</f>
        <v>0</v>
      </c>
      <c r="S44" s="1">
        <f>IFERROR(__xludf.DUMMYFUNCTION("""COMPUTED_VALUE"""),0.0)</f>
        <v>0</v>
      </c>
      <c r="T44" s="1">
        <f>IFERROR(__xludf.DUMMYFUNCTION("""COMPUTED_VALUE"""),1.0)</f>
        <v>1</v>
      </c>
      <c r="U44" s="2">
        <f>IFERROR(__xludf.DUMMYFUNCTION("""COMPUTED_VALUE"""),0.0)</f>
        <v>0</v>
      </c>
      <c r="V44" s="1">
        <f>IFERROR(__xludf.DUMMYFUNCTION("""COMPUTED_VALUE"""),0.0)</f>
        <v>0</v>
      </c>
      <c r="W44" s="1">
        <f>IFERROR(__xludf.DUMMYFUNCTION("""COMPUTED_VALUE"""),1.0)</f>
        <v>1</v>
      </c>
      <c r="X44" s="2">
        <f>IFERROR(__xludf.DUMMYFUNCTION("""COMPUTED_VALUE"""),0.0)</f>
        <v>0</v>
      </c>
      <c r="Y44" s="1">
        <f>IFERROR(__xludf.DUMMYFUNCTION("""COMPUTED_VALUE"""),0.0)</f>
        <v>0</v>
      </c>
      <c r="Z44" s="1">
        <f>IFERROR(__xludf.DUMMYFUNCTION("""COMPUTED_VALUE"""),0.0)</f>
        <v>0</v>
      </c>
      <c r="AA44" s="2" t="str">
        <f>IFERROR(__xludf.DUMMYFUNCTION("""COMPUTED_VALUE"""),"")</f>
        <v/>
      </c>
      <c r="AB44" s="1">
        <f>IFERROR(__xludf.DUMMYFUNCTION("""COMPUTED_VALUE"""),0.0)</f>
        <v>0</v>
      </c>
      <c r="AC44" s="1">
        <f>IFERROR(__xludf.DUMMYFUNCTION("""COMPUTED_VALUE"""),0.0)</f>
        <v>0</v>
      </c>
      <c r="AD44" s="2" t="str">
        <f>IFERROR(__xludf.DUMMYFUNCTION("""COMPUTED_VALUE"""),"")</f>
        <v/>
      </c>
      <c r="AE44" s="1">
        <f>IFERROR(__xludf.DUMMYFUNCTION("""COMPUTED_VALUE"""),0.0)</f>
        <v>0</v>
      </c>
      <c r="AF44" s="1">
        <f>IFERROR(__xludf.DUMMYFUNCTION("""COMPUTED_VALUE"""),0.0)</f>
        <v>0</v>
      </c>
      <c r="AG44" s="2" t="str">
        <f>IFERROR(__xludf.DUMMYFUNCTION("""COMPUTED_VALUE"""),"")</f>
        <v/>
      </c>
      <c r="AH44" s="1">
        <f>IFERROR(__xludf.DUMMYFUNCTION("""COMPUTED_VALUE"""),0.0)</f>
        <v>0</v>
      </c>
      <c r="AI44" s="1">
        <f>IFERROR(__xludf.DUMMYFUNCTION("""COMPUTED_VALUE"""),0.0)</f>
        <v>0</v>
      </c>
      <c r="AJ44" s="2" t="str">
        <f>IFERROR(__xludf.DUMMYFUNCTION("""COMPUTED_VALUE"""),"")</f>
        <v/>
      </c>
      <c r="AK44" s="1">
        <f>IFERROR(__xludf.DUMMYFUNCTION("""COMPUTED_VALUE"""),0.0)</f>
        <v>0</v>
      </c>
      <c r="AL44" s="1">
        <f>IFERROR(__xludf.DUMMYFUNCTION("""COMPUTED_VALUE"""),0.0)</f>
        <v>0</v>
      </c>
      <c r="AM44" s="2" t="str">
        <f>IFERROR(__xludf.DUMMYFUNCTION("""COMPUTED_VALUE"""),"")</f>
        <v/>
      </c>
      <c r="AN44" s="1">
        <f>IFERROR(__xludf.DUMMYFUNCTION("""COMPUTED_VALUE"""),0.0)</f>
        <v>0</v>
      </c>
      <c r="AO44" s="1">
        <f>IFERROR(__xludf.DUMMYFUNCTION("""COMPUTED_VALUE"""),0.0)</f>
        <v>0</v>
      </c>
      <c r="AP44" s="2" t="str">
        <f>IFERROR(__xludf.DUMMYFUNCTION("""COMPUTED_VALUE"""),"")</f>
        <v/>
      </c>
      <c r="AQ44" s="1">
        <f>IFERROR(__xludf.DUMMYFUNCTION("""COMPUTED_VALUE"""),0.0)</f>
        <v>0</v>
      </c>
      <c r="AR44" s="1">
        <f>IFERROR(__xludf.DUMMYFUNCTION("""COMPUTED_VALUE"""),0.0)</f>
        <v>0</v>
      </c>
      <c r="AS44" s="2" t="str">
        <f>IFERROR(__xludf.DUMMYFUNCTION("""COMPUTED_VALUE"""),"")</f>
        <v/>
      </c>
      <c r="AT44" s="1">
        <f>IFERROR(__xludf.DUMMYFUNCTION("""COMPUTED_VALUE"""),0.0)</f>
        <v>0</v>
      </c>
      <c r="AU44" s="1">
        <f>IFERROR(__xludf.DUMMYFUNCTION("""COMPUTED_VALUE"""),0.0)</f>
        <v>0</v>
      </c>
      <c r="AV44" s="2" t="str">
        <f>IFERROR(__xludf.DUMMYFUNCTION("""COMPUTED_VALUE"""),"")</f>
        <v/>
      </c>
      <c r="AW44" s="1">
        <f>IFERROR(__xludf.DUMMYFUNCTION("""COMPUTED_VALUE"""),0.0)</f>
        <v>0</v>
      </c>
      <c r="AX44" s="1">
        <f>IFERROR(__xludf.DUMMYFUNCTION("""COMPUTED_VALUE"""),0.0)</f>
        <v>0</v>
      </c>
      <c r="AY44" s="2" t="str">
        <f>IFERROR(__xludf.DUMMYFUNCTION("""COMPUTED_VALUE"""),"")</f>
        <v/>
      </c>
      <c r="AZ44" s="1">
        <f>IFERROR(__xludf.DUMMYFUNCTION("""COMPUTED_VALUE"""),0.0)</f>
        <v>0</v>
      </c>
      <c r="BA44" s="1">
        <f>IFERROR(__xludf.DUMMYFUNCTION("""COMPUTED_VALUE"""),0.0)</f>
        <v>0</v>
      </c>
      <c r="BB44" s="2" t="str">
        <f>IFERROR(__xludf.DUMMYFUNCTION("""COMPUTED_VALUE"""),"")</f>
        <v/>
      </c>
    </row>
    <row r="45">
      <c r="A45" s="1" t="str">
        <f>IFERROR(__xludf.DUMMYFUNCTION("""COMPUTED_VALUE"""),"63ef9d61384f27260c1bb24d")</f>
        <v>63ef9d61384f27260c1bb24d</v>
      </c>
      <c r="B45" s="1" t="str">
        <f>IFERROR(__xludf.DUMMYFUNCTION("""COMPUTED_VALUE"""),"Deloitte Consulting")</f>
        <v>Deloitte Consulting</v>
      </c>
      <c r="C45" s="1" t="str">
        <f>IFERROR(__xludf.DUMMYFUNCTION("""COMPUTED_VALUE"""),"luigy.estevanell@al-enterprise.com")</f>
        <v>luigy.estevanell@al-enterprise.com</v>
      </c>
      <c r="D45" s="1" t="str">
        <f>IFERROR(__xludf.DUMMYFUNCTION("""COMPUTED_VALUE"""),"americas")</f>
        <v>americas</v>
      </c>
      <c r="E45" s="1" t="str">
        <f>IFERROR(__xludf.DUMMYFUNCTION("""COMPUTED_VALUE"""),"US")</f>
        <v>US</v>
      </c>
      <c r="F45" s="1" t="str">
        <f>IFERROR(__xludf.DUMMYFUNCTION("""COMPUTED_VALUE"""),"expert_200")</f>
        <v>expert_200</v>
      </c>
      <c r="G45" s="1">
        <f>IFERROR(__xludf.DUMMYFUNCTION("""COMPUTED_VALUE"""),0.0)</f>
        <v>0</v>
      </c>
      <c r="H45" s="1">
        <f>IFERROR(__xludf.DUMMYFUNCTION("""COMPUTED_VALUE"""),1.0)</f>
        <v>1</v>
      </c>
      <c r="I45" s="2">
        <f>IFERROR(__xludf.DUMMYFUNCTION("""COMPUTED_VALUE"""),0.0)</f>
        <v>0</v>
      </c>
      <c r="J45" s="1">
        <f>IFERROR(__xludf.DUMMYFUNCTION("""COMPUTED_VALUE"""),1986.62)</f>
        <v>1986.62</v>
      </c>
      <c r="K45" s="1">
        <f>IFERROR(__xludf.DUMMYFUNCTION("""COMPUTED_VALUE"""),0.0)</f>
        <v>0</v>
      </c>
      <c r="L45" s="2" t="str">
        <f>IFERROR(__xludf.DUMMYFUNCTION("""COMPUTED_VALUE"""),"")</f>
        <v/>
      </c>
      <c r="M45" s="1">
        <f>IFERROR(__xludf.DUMMYFUNCTION("""COMPUTED_VALUE"""),0.0)</f>
        <v>0</v>
      </c>
      <c r="N45" s="1">
        <f>IFERROR(__xludf.DUMMYFUNCTION("""COMPUTED_VALUE"""),0.0)</f>
        <v>0</v>
      </c>
      <c r="O45" s="2" t="str">
        <f>IFERROR(__xludf.DUMMYFUNCTION("""COMPUTED_VALUE"""),"")</f>
        <v/>
      </c>
      <c r="P45" s="1">
        <f>IFERROR(__xludf.DUMMYFUNCTION("""COMPUTED_VALUE"""),0.0)</f>
        <v>0</v>
      </c>
      <c r="Q45" s="1">
        <f>IFERROR(__xludf.DUMMYFUNCTION("""COMPUTED_VALUE"""),1.0)</f>
        <v>1</v>
      </c>
      <c r="R45" s="2">
        <f>IFERROR(__xludf.DUMMYFUNCTION("""COMPUTED_VALUE"""),0.0)</f>
        <v>0</v>
      </c>
      <c r="S45" s="1">
        <f>IFERROR(__xludf.DUMMYFUNCTION("""COMPUTED_VALUE"""),0.0)</f>
        <v>0</v>
      </c>
      <c r="T45" s="1">
        <f>IFERROR(__xludf.DUMMYFUNCTION("""COMPUTED_VALUE"""),1.0)</f>
        <v>1</v>
      </c>
      <c r="U45" s="2">
        <f>IFERROR(__xludf.DUMMYFUNCTION("""COMPUTED_VALUE"""),0.0)</f>
        <v>0</v>
      </c>
      <c r="V45" s="1">
        <f>IFERROR(__xludf.DUMMYFUNCTION("""COMPUTED_VALUE"""),0.0)</f>
        <v>0</v>
      </c>
      <c r="W45" s="1">
        <f>IFERROR(__xludf.DUMMYFUNCTION("""COMPUTED_VALUE"""),1.0)</f>
        <v>1</v>
      </c>
      <c r="X45" s="2">
        <f>IFERROR(__xludf.DUMMYFUNCTION("""COMPUTED_VALUE"""),0.0)</f>
        <v>0</v>
      </c>
      <c r="Y45" s="1">
        <f>IFERROR(__xludf.DUMMYFUNCTION("""COMPUTED_VALUE"""),183.57)</f>
        <v>183.57</v>
      </c>
      <c r="Z45" s="1">
        <f>IFERROR(__xludf.DUMMYFUNCTION("""COMPUTED_VALUE"""),0.0)</f>
        <v>0</v>
      </c>
      <c r="AA45" s="2" t="str">
        <f>IFERROR(__xludf.DUMMYFUNCTION("""COMPUTED_VALUE"""),"")</f>
        <v/>
      </c>
      <c r="AB45" s="1">
        <f>IFERROR(__xludf.DUMMYFUNCTION("""COMPUTED_VALUE"""),3253.86)</f>
        <v>3253.86</v>
      </c>
      <c r="AC45" s="1">
        <f>IFERROR(__xludf.DUMMYFUNCTION("""COMPUTED_VALUE"""),0.0)</f>
        <v>0</v>
      </c>
      <c r="AD45" s="2" t="str">
        <f>IFERROR(__xludf.DUMMYFUNCTION("""COMPUTED_VALUE"""),"")</f>
        <v/>
      </c>
      <c r="AE45" s="1">
        <f>IFERROR(__xludf.DUMMYFUNCTION("""COMPUTED_VALUE"""),458.28)</f>
        <v>458.28</v>
      </c>
      <c r="AF45" s="1">
        <f>IFERROR(__xludf.DUMMYFUNCTION("""COMPUTED_VALUE"""),0.0)</f>
        <v>0</v>
      </c>
      <c r="AG45" s="2" t="str">
        <f>IFERROR(__xludf.DUMMYFUNCTION("""COMPUTED_VALUE"""),"")</f>
        <v/>
      </c>
      <c r="AH45" s="1">
        <f>IFERROR(__xludf.DUMMYFUNCTION("""COMPUTED_VALUE"""),350.62)</f>
        <v>350.62</v>
      </c>
      <c r="AI45" s="1">
        <f>IFERROR(__xludf.DUMMYFUNCTION("""COMPUTED_VALUE"""),0.0)</f>
        <v>0</v>
      </c>
      <c r="AJ45" s="2" t="str">
        <f>IFERROR(__xludf.DUMMYFUNCTION("""COMPUTED_VALUE"""),"")</f>
        <v/>
      </c>
      <c r="AK45" s="1">
        <f>IFERROR(__xludf.DUMMYFUNCTION("""COMPUTED_VALUE"""),4246.33)</f>
        <v>4246.33</v>
      </c>
      <c r="AL45" s="1">
        <f>IFERROR(__xludf.DUMMYFUNCTION("""COMPUTED_VALUE"""),0.0)</f>
        <v>0</v>
      </c>
      <c r="AM45" s="2" t="str">
        <f>IFERROR(__xludf.DUMMYFUNCTION("""COMPUTED_VALUE"""),"")</f>
        <v/>
      </c>
      <c r="AN45" s="1">
        <f>IFERROR(__xludf.DUMMYFUNCTION("""COMPUTED_VALUE"""),0.0)</f>
        <v>0</v>
      </c>
      <c r="AO45" s="1">
        <f>IFERROR(__xludf.DUMMYFUNCTION("""COMPUTED_VALUE"""),0.0)</f>
        <v>0</v>
      </c>
      <c r="AP45" s="2" t="str">
        <f>IFERROR(__xludf.DUMMYFUNCTION("""COMPUTED_VALUE"""),"")</f>
        <v/>
      </c>
      <c r="AQ45" s="1">
        <f>IFERROR(__xludf.DUMMYFUNCTION("""COMPUTED_VALUE"""),0.0)</f>
        <v>0</v>
      </c>
      <c r="AR45" s="1">
        <f>IFERROR(__xludf.DUMMYFUNCTION("""COMPUTED_VALUE"""),0.0)</f>
        <v>0</v>
      </c>
      <c r="AS45" s="2" t="str">
        <f>IFERROR(__xludf.DUMMYFUNCTION("""COMPUTED_VALUE"""),"")</f>
        <v/>
      </c>
      <c r="AT45" s="1">
        <f>IFERROR(__xludf.DUMMYFUNCTION("""COMPUTED_VALUE"""),0.0)</f>
        <v>0</v>
      </c>
      <c r="AU45" s="1">
        <f>IFERROR(__xludf.DUMMYFUNCTION("""COMPUTED_VALUE"""),0.0)</f>
        <v>0</v>
      </c>
      <c r="AV45" s="2" t="str">
        <f>IFERROR(__xludf.DUMMYFUNCTION("""COMPUTED_VALUE"""),"")</f>
        <v/>
      </c>
      <c r="AW45" s="1">
        <f>IFERROR(__xludf.DUMMYFUNCTION("""COMPUTED_VALUE"""),0.0)</f>
        <v>0</v>
      </c>
      <c r="AX45" s="1">
        <f>IFERROR(__xludf.DUMMYFUNCTION("""COMPUTED_VALUE"""),0.0)</f>
        <v>0</v>
      </c>
      <c r="AY45" s="2" t="str">
        <f>IFERROR(__xludf.DUMMYFUNCTION("""COMPUTED_VALUE"""),"")</f>
        <v/>
      </c>
      <c r="AZ45" s="1">
        <f>IFERROR(__xludf.DUMMYFUNCTION("""COMPUTED_VALUE"""),0.0)</f>
        <v>0</v>
      </c>
      <c r="BA45" s="1">
        <f>IFERROR(__xludf.DUMMYFUNCTION("""COMPUTED_VALUE"""),0.0)</f>
        <v>0</v>
      </c>
      <c r="BB45" s="2" t="str">
        <f>IFERROR(__xludf.DUMMYFUNCTION("""COMPUTED_VALUE"""),"")</f>
        <v/>
      </c>
    </row>
    <row r="46">
      <c r="A46" s="1" t="str">
        <f>IFERROR(__xludf.DUMMYFUNCTION("""COMPUTED_VALUE"""),"63ced842c5c820531c26804b")</f>
        <v>63ced842c5c820531c26804b</v>
      </c>
      <c r="B46" s="1" t="str">
        <f>IFERROR(__xludf.DUMMYFUNCTION("""COMPUTED_VALUE"""),"Deutsche Telekom AG")</f>
        <v>Deutsche Telekom AG</v>
      </c>
      <c r="C46" s="1" t="str">
        <f>IFERROR(__xludf.DUMMYFUNCTION("""COMPUTED_VALUE"""),"silke.fraedrich@al-enterprise.com, niels.hass@al-enterprise.com, gunther.hahn@al-enterprise.com")</f>
        <v>silke.fraedrich@al-enterprise.com, niels.hass@al-enterprise.com, gunther.hahn@al-enterprise.com</v>
      </c>
      <c r="D46" s="1" t="str">
        <f>IFERROR(__xludf.DUMMYFUNCTION("""COMPUTED_VALUE"""),"germany")</f>
        <v>germany</v>
      </c>
      <c r="E46" s="1" t="str">
        <f>IFERROR(__xludf.DUMMYFUNCTION("""COMPUTED_VALUE"""),"DE")</f>
        <v>DE</v>
      </c>
      <c r="F46" s="1"/>
      <c r="G46" s="1">
        <f>IFERROR(__xludf.DUMMYFUNCTION("""COMPUTED_VALUE"""),0.0)</f>
        <v>0</v>
      </c>
      <c r="H46" s="1">
        <f>IFERROR(__xludf.DUMMYFUNCTION("""COMPUTED_VALUE"""),1.0)</f>
        <v>1</v>
      </c>
      <c r="I46" s="2">
        <f>IFERROR(__xludf.DUMMYFUNCTION("""COMPUTED_VALUE"""),0.0)</f>
        <v>0</v>
      </c>
      <c r="J46" s="1">
        <f>IFERROR(__xludf.DUMMYFUNCTION("""COMPUTED_VALUE"""),643.05)</f>
        <v>643.05</v>
      </c>
      <c r="K46" s="1">
        <f>IFERROR(__xludf.DUMMYFUNCTION("""COMPUTED_VALUE"""),0.0)</f>
        <v>0</v>
      </c>
      <c r="L46" s="2" t="str">
        <f>IFERROR(__xludf.DUMMYFUNCTION("""COMPUTED_VALUE"""),"")</f>
        <v/>
      </c>
      <c r="M46" s="1">
        <f>IFERROR(__xludf.DUMMYFUNCTION("""COMPUTED_VALUE"""),38.0)</f>
        <v>38</v>
      </c>
      <c r="N46" s="1">
        <f>IFERROR(__xludf.DUMMYFUNCTION("""COMPUTED_VALUE"""),0.0)</f>
        <v>0</v>
      </c>
      <c r="O46" s="2" t="str">
        <f>IFERROR(__xludf.DUMMYFUNCTION("""COMPUTED_VALUE"""),"")</f>
        <v/>
      </c>
      <c r="P46" s="1">
        <f>IFERROR(__xludf.DUMMYFUNCTION("""COMPUTED_VALUE"""),0.0)</f>
        <v>0</v>
      </c>
      <c r="Q46" s="1">
        <f>IFERROR(__xludf.DUMMYFUNCTION("""COMPUTED_VALUE"""),1.0)</f>
        <v>1</v>
      </c>
      <c r="R46" s="2">
        <f>IFERROR(__xludf.DUMMYFUNCTION("""COMPUTED_VALUE"""),0.0)</f>
        <v>0</v>
      </c>
      <c r="S46" s="1">
        <f>IFERROR(__xludf.DUMMYFUNCTION("""COMPUTED_VALUE"""),0.0)</f>
        <v>0</v>
      </c>
      <c r="T46" s="1">
        <f>IFERROR(__xludf.DUMMYFUNCTION("""COMPUTED_VALUE"""),1.0)</f>
        <v>1</v>
      </c>
      <c r="U46" s="2">
        <f>IFERROR(__xludf.DUMMYFUNCTION("""COMPUTED_VALUE"""),0.0)</f>
        <v>0</v>
      </c>
      <c r="V46" s="1">
        <f>IFERROR(__xludf.DUMMYFUNCTION("""COMPUTED_VALUE"""),0.0)</f>
        <v>0</v>
      </c>
      <c r="W46" s="1">
        <f>IFERROR(__xludf.DUMMYFUNCTION("""COMPUTED_VALUE"""),1.0)</f>
        <v>1</v>
      </c>
      <c r="X46" s="2">
        <f>IFERROR(__xludf.DUMMYFUNCTION("""COMPUTED_VALUE"""),0.0)</f>
        <v>0</v>
      </c>
      <c r="Y46" s="1">
        <f>IFERROR(__xludf.DUMMYFUNCTION("""COMPUTED_VALUE"""),0.0)</f>
        <v>0</v>
      </c>
      <c r="Z46" s="1">
        <f>IFERROR(__xludf.DUMMYFUNCTION("""COMPUTED_VALUE"""),0.0)</f>
        <v>0</v>
      </c>
      <c r="AA46" s="2" t="str">
        <f>IFERROR(__xludf.DUMMYFUNCTION("""COMPUTED_VALUE"""),"")</f>
        <v/>
      </c>
      <c r="AB46" s="1">
        <f>IFERROR(__xludf.DUMMYFUNCTION("""COMPUTED_VALUE"""),0.0)</f>
        <v>0</v>
      </c>
      <c r="AC46" s="1">
        <f>IFERROR(__xludf.DUMMYFUNCTION("""COMPUTED_VALUE"""),0.0)</f>
        <v>0</v>
      </c>
      <c r="AD46" s="2" t="str">
        <f>IFERROR(__xludf.DUMMYFUNCTION("""COMPUTED_VALUE"""),"")</f>
        <v/>
      </c>
      <c r="AE46" s="1">
        <f>IFERROR(__xludf.DUMMYFUNCTION("""COMPUTED_VALUE"""),0.0)</f>
        <v>0</v>
      </c>
      <c r="AF46" s="1">
        <f>IFERROR(__xludf.DUMMYFUNCTION("""COMPUTED_VALUE"""),0.0)</f>
        <v>0</v>
      </c>
      <c r="AG46" s="2" t="str">
        <f>IFERROR(__xludf.DUMMYFUNCTION("""COMPUTED_VALUE"""),"")</f>
        <v/>
      </c>
      <c r="AH46" s="1">
        <f>IFERROR(__xludf.DUMMYFUNCTION("""COMPUTED_VALUE"""),0.0)</f>
        <v>0</v>
      </c>
      <c r="AI46" s="1">
        <f>IFERROR(__xludf.DUMMYFUNCTION("""COMPUTED_VALUE"""),0.0)</f>
        <v>0</v>
      </c>
      <c r="AJ46" s="2" t="str">
        <f>IFERROR(__xludf.DUMMYFUNCTION("""COMPUTED_VALUE"""),"")</f>
        <v/>
      </c>
      <c r="AK46" s="1">
        <f>IFERROR(__xludf.DUMMYFUNCTION("""COMPUTED_VALUE"""),0.0)</f>
        <v>0</v>
      </c>
      <c r="AL46" s="1">
        <f>IFERROR(__xludf.DUMMYFUNCTION("""COMPUTED_VALUE"""),0.0)</f>
        <v>0</v>
      </c>
      <c r="AM46" s="2" t="str">
        <f>IFERROR(__xludf.DUMMYFUNCTION("""COMPUTED_VALUE"""),"")</f>
        <v/>
      </c>
      <c r="AN46" s="1">
        <f>IFERROR(__xludf.DUMMYFUNCTION("""COMPUTED_VALUE"""),0.0)</f>
        <v>0</v>
      </c>
      <c r="AO46" s="1">
        <f>IFERROR(__xludf.DUMMYFUNCTION("""COMPUTED_VALUE"""),0.0)</f>
        <v>0</v>
      </c>
      <c r="AP46" s="2" t="str">
        <f>IFERROR(__xludf.DUMMYFUNCTION("""COMPUTED_VALUE"""),"")</f>
        <v/>
      </c>
      <c r="AQ46" s="1">
        <f>IFERROR(__xludf.DUMMYFUNCTION("""COMPUTED_VALUE"""),0.0)</f>
        <v>0</v>
      </c>
      <c r="AR46" s="1">
        <f>IFERROR(__xludf.DUMMYFUNCTION("""COMPUTED_VALUE"""),0.0)</f>
        <v>0</v>
      </c>
      <c r="AS46" s="2" t="str">
        <f>IFERROR(__xludf.DUMMYFUNCTION("""COMPUTED_VALUE"""),"")</f>
        <v/>
      </c>
      <c r="AT46" s="1">
        <f>IFERROR(__xludf.DUMMYFUNCTION("""COMPUTED_VALUE"""),0.0)</f>
        <v>0</v>
      </c>
      <c r="AU46" s="1">
        <f>IFERROR(__xludf.DUMMYFUNCTION("""COMPUTED_VALUE"""),0.0)</f>
        <v>0</v>
      </c>
      <c r="AV46" s="2" t="str">
        <f>IFERROR(__xludf.DUMMYFUNCTION("""COMPUTED_VALUE"""),"")</f>
        <v/>
      </c>
      <c r="AW46" s="1">
        <f>IFERROR(__xludf.DUMMYFUNCTION("""COMPUTED_VALUE"""),0.0)</f>
        <v>0</v>
      </c>
      <c r="AX46" s="1">
        <f>IFERROR(__xludf.DUMMYFUNCTION("""COMPUTED_VALUE"""),0.0)</f>
        <v>0</v>
      </c>
      <c r="AY46" s="2" t="str">
        <f>IFERROR(__xludf.DUMMYFUNCTION("""COMPUTED_VALUE"""),"")</f>
        <v/>
      </c>
      <c r="AZ46" s="1">
        <f>IFERROR(__xludf.DUMMYFUNCTION("""COMPUTED_VALUE"""),0.0)</f>
        <v>0</v>
      </c>
      <c r="BA46" s="1">
        <f>IFERROR(__xludf.DUMMYFUNCTION("""COMPUTED_VALUE"""),0.0)</f>
        <v>0</v>
      </c>
      <c r="BB46" s="2" t="str">
        <f>IFERROR(__xludf.DUMMYFUNCTION("""COMPUTED_VALUE"""),"")</f>
        <v/>
      </c>
    </row>
    <row r="47">
      <c r="A47" s="1" t="str">
        <f>IFERROR(__xludf.DUMMYFUNCTION("""COMPUTED_VALUE"""),"63ef9d58384f27260c1ba435")</f>
        <v>63ef9d58384f27260c1ba435</v>
      </c>
      <c r="B47" s="1" t="str">
        <f>IFERROR(__xludf.DUMMYFUNCTION("""COMPUTED_VALUE"""),"Dice Communications, Inc.")</f>
        <v>Dice Communications, Inc.</v>
      </c>
      <c r="C47" s="1" t="str">
        <f>IFERROR(__xludf.DUMMYFUNCTION("""COMPUTED_VALUE"""),"gene.hawks@al-enterprise.com, bill.rademacher@al-enterprise.com")</f>
        <v>gene.hawks@al-enterprise.com, bill.rademacher@al-enterprise.com</v>
      </c>
      <c r="D47" s="1" t="str">
        <f>IFERROR(__xludf.DUMMYFUNCTION("""COMPUTED_VALUE"""),"americas")</f>
        <v>americas</v>
      </c>
      <c r="E47" s="1" t="str">
        <f>IFERROR(__xludf.DUMMYFUNCTION("""COMPUTED_VALUE"""),"US")</f>
        <v>US</v>
      </c>
      <c r="F47" s="1" t="str">
        <f>IFERROR(__xludf.DUMMYFUNCTION("""COMPUTED_VALUE"""),"expert_1000")</f>
        <v>expert_1000</v>
      </c>
      <c r="G47" s="1">
        <f>IFERROR(__xludf.DUMMYFUNCTION("""COMPUTED_VALUE"""),0.0)</f>
        <v>0</v>
      </c>
      <c r="H47" s="1">
        <f>IFERROR(__xludf.DUMMYFUNCTION("""COMPUTED_VALUE"""),1.0)</f>
        <v>1</v>
      </c>
      <c r="I47" s="2">
        <f>IFERROR(__xludf.DUMMYFUNCTION("""COMPUTED_VALUE"""),0.0)</f>
        <v>0</v>
      </c>
      <c r="J47" s="1">
        <f>IFERROR(__xludf.DUMMYFUNCTION("""COMPUTED_VALUE"""),463.2)</f>
        <v>463.2</v>
      </c>
      <c r="K47" s="1">
        <f>IFERROR(__xludf.DUMMYFUNCTION("""COMPUTED_VALUE"""),2039.88)</f>
        <v>2039.88</v>
      </c>
      <c r="L47" s="2">
        <f>IFERROR(__xludf.DUMMYFUNCTION("""COMPUTED_VALUE"""),0.22707218071651272)</f>
        <v>0.2270721807</v>
      </c>
      <c r="M47" s="1">
        <f>IFERROR(__xludf.DUMMYFUNCTION("""COMPUTED_VALUE"""),47.0)</f>
        <v>47</v>
      </c>
      <c r="N47" s="1">
        <f>IFERROR(__xludf.DUMMYFUNCTION("""COMPUTED_VALUE"""),52.0)</f>
        <v>52</v>
      </c>
      <c r="O47" s="2">
        <f>IFERROR(__xludf.DUMMYFUNCTION("""COMPUTED_VALUE"""),0.9038461538461539)</f>
        <v>0.9038461538</v>
      </c>
      <c r="P47" s="1">
        <f>IFERROR(__xludf.DUMMYFUNCTION("""COMPUTED_VALUE"""),1.0)</f>
        <v>1</v>
      </c>
      <c r="Q47" s="1">
        <f>IFERROR(__xludf.DUMMYFUNCTION("""COMPUTED_VALUE"""),1.0)</f>
        <v>1</v>
      </c>
      <c r="R47" s="2">
        <f>IFERROR(__xludf.DUMMYFUNCTION("""COMPUTED_VALUE"""),1.0)</f>
        <v>1</v>
      </c>
      <c r="S47" s="1">
        <f>IFERROR(__xludf.DUMMYFUNCTION("""COMPUTED_VALUE"""),1.0)</f>
        <v>1</v>
      </c>
      <c r="T47" s="1">
        <f>IFERROR(__xludf.DUMMYFUNCTION("""COMPUTED_VALUE"""),1.0)</f>
        <v>1</v>
      </c>
      <c r="U47" s="2">
        <f>IFERROR(__xludf.DUMMYFUNCTION("""COMPUTED_VALUE"""),1.0)</f>
        <v>1</v>
      </c>
      <c r="V47" s="1">
        <f>IFERROR(__xludf.DUMMYFUNCTION("""COMPUTED_VALUE"""),0.0)</f>
        <v>0</v>
      </c>
      <c r="W47" s="1">
        <f>IFERROR(__xludf.DUMMYFUNCTION("""COMPUTED_VALUE"""),1.0)</f>
        <v>1</v>
      </c>
      <c r="X47" s="2">
        <f>IFERROR(__xludf.DUMMYFUNCTION("""COMPUTED_VALUE"""),0.0)</f>
        <v>0</v>
      </c>
      <c r="Y47" s="1">
        <f>IFERROR(__xludf.DUMMYFUNCTION("""COMPUTED_VALUE"""),4.78)</f>
        <v>4.78</v>
      </c>
      <c r="Z47" s="1">
        <f>IFERROR(__xludf.DUMMYFUNCTION("""COMPUTED_VALUE"""),0.0)</f>
        <v>0</v>
      </c>
      <c r="AA47" s="2" t="str">
        <f>IFERROR(__xludf.DUMMYFUNCTION("""COMPUTED_VALUE"""),"")</f>
        <v/>
      </c>
      <c r="AB47" s="1">
        <f>IFERROR(__xludf.DUMMYFUNCTION("""COMPUTED_VALUE"""),15.86)</f>
        <v>15.86</v>
      </c>
      <c r="AC47" s="1">
        <f>IFERROR(__xludf.DUMMYFUNCTION("""COMPUTED_VALUE"""),0.0)</f>
        <v>0</v>
      </c>
      <c r="AD47" s="2" t="str">
        <f>IFERROR(__xludf.DUMMYFUNCTION("""COMPUTED_VALUE"""),"")</f>
        <v/>
      </c>
      <c r="AE47" s="1">
        <f>IFERROR(__xludf.DUMMYFUNCTION("""COMPUTED_VALUE"""),37.27)</f>
        <v>37.27</v>
      </c>
      <c r="AF47" s="1">
        <f>IFERROR(__xludf.DUMMYFUNCTION("""COMPUTED_VALUE"""),1586.84)</f>
        <v>1586.84</v>
      </c>
      <c r="AG47" s="2">
        <f>IFERROR(__xludf.DUMMYFUNCTION("""COMPUTED_VALUE"""),0.02348692999924378)</f>
        <v>0.02348693</v>
      </c>
      <c r="AH47" s="1">
        <f>IFERROR(__xludf.DUMMYFUNCTION("""COMPUTED_VALUE"""),65.8)</f>
        <v>65.8</v>
      </c>
      <c r="AI47" s="1">
        <f>IFERROR(__xludf.DUMMYFUNCTION("""COMPUTED_VALUE"""),555.26)</f>
        <v>555.26</v>
      </c>
      <c r="AJ47" s="2">
        <f>IFERROR(__xludf.DUMMYFUNCTION("""COMPUTED_VALUE"""),0.11850304361920541)</f>
        <v>0.1185030436</v>
      </c>
      <c r="AK47" s="1">
        <f>IFERROR(__xludf.DUMMYFUNCTION("""COMPUTED_VALUE"""),123.71000000000001)</f>
        <v>123.71</v>
      </c>
      <c r="AL47" s="1">
        <f>IFERROR(__xludf.DUMMYFUNCTION("""COMPUTED_VALUE"""),2142.1)</f>
        <v>2142.1</v>
      </c>
      <c r="AM47" s="2">
        <f>IFERROR(__xludf.DUMMYFUNCTION("""COMPUTED_VALUE"""),0.05775173894776155)</f>
        <v>0.05775173895</v>
      </c>
      <c r="AN47" s="1">
        <f>IFERROR(__xludf.DUMMYFUNCTION("""COMPUTED_VALUE"""),0.0)</f>
        <v>0</v>
      </c>
      <c r="AO47" s="1">
        <f>IFERROR(__xludf.DUMMYFUNCTION("""COMPUTED_VALUE"""),0.0)</f>
        <v>0</v>
      </c>
      <c r="AP47" s="2" t="str">
        <f>IFERROR(__xludf.DUMMYFUNCTION("""COMPUTED_VALUE"""),"")</f>
        <v/>
      </c>
      <c r="AQ47" s="1">
        <f>IFERROR(__xludf.DUMMYFUNCTION("""COMPUTED_VALUE"""),579.0)</f>
        <v>579</v>
      </c>
      <c r="AR47" s="1">
        <f>IFERROR(__xludf.DUMMYFUNCTION("""COMPUTED_VALUE"""),0.0)</f>
        <v>0</v>
      </c>
      <c r="AS47" s="2" t="str">
        <f>IFERROR(__xludf.DUMMYFUNCTION("""COMPUTED_VALUE"""),"")</f>
        <v/>
      </c>
      <c r="AT47" s="1">
        <f>IFERROR(__xludf.DUMMYFUNCTION("""COMPUTED_VALUE"""),0.0)</f>
        <v>0</v>
      </c>
      <c r="AU47" s="1">
        <f>IFERROR(__xludf.DUMMYFUNCTION("""COMPUTED_VALUE"""),0.0)</f>
        <v>0</v>
      </c>
      <c r="AV47" s="2" t="str">
        <f>IFERROR(__xludf.DUMMYFUNCTION("""COMPUTED_VALUE"""),"")</f>
        <v/>
      </c>
      <c r="AW47" s="1">
        <f>IFERROR(__xludf.DUMMYFUNCTION("""COMPUTED_VALUE"""),17.35)</f>
        <v>17.35</v>
      </c>
      <c r="AX47" s="1">
        <f>IFERROR(__xludf.DUMMYFUNCTION("""COMPUTED_VALUE"""),0.0)</f>
        <v>0</v>
      </c>
      <c r="AY47" s="2" t="str">
        <f>IFERROR(__xludf.DUMMYFUNCTION("""COMPUTED_VALUE"""),"")</f>
        <v/>
      </c>
      <c r="AZ47" s="1">
        <f>IFERROR(__xludf.DUMMYFUNCTION("""COMPUTED_VALUE"""),596.35)</f>
        <v>596.35</v>
      </c>
      <c r="BA47" s="1">
        <f>IFERROR(__xludf.DUMMYFUNCTION("""COMPUTED_VALUE"""),0.0)</f>
        <v>0</v>
      </c>
      <c r="BB47" s="2" t="str">
        <f>IFERROR(__xludf.DUMMYFUNCTION("""COMPUTED_VALUE"""),"")</f>
        <v/>
      </c>
    </row>
    <row r="48">
      <c r="A48" s="1" t="str">
        <f>IFERROR(__xludf.DUMMYFUNCTION("""COMPUTED_VALUE"""),"63ef9d60384f27260c1bb18d")</f>
        <v>63ef9d60384f27260c1bb18d</v>
      </c>
      <c r="B48" s="1" t="str">
        <f>IFERROR(__xludf.DUMMYFUNCTION("""COMPUTED_VALUE"""),"Digital Telecommunication Corp")</f>
        <v>Digital Telecommunication Corp</v>
      </c>
      <c r="C48" s="1" t="str">
        <f>IFERROR(__xludf.DUMMYFUNCTION("""COMPUTED_VALUE"""),"philippe.girard@al-enterprise.com, rui.silva@al-enterprise.com, michael-j.francis@al-enterprise.com, bill.rademacher@al-enterprise.com")</f>
        <v>philippe.girard@al-enterprise.com, rui.silva@al-enterprise.com, michael-j.francis@al-enterprise.com, bill.rademacher@al-enterprise.com</v>
      </c>
      <c r="D48" s="1" t="str">
        <f>IFERROR(__xludf.DUMMYFUNCTION("""COMPUTED_VALUE"""),"americas")</f>
        <v>americas</v>
      </c>
      <c r="E48" s="1" t="str">
        <f>IFERROR(__xludf.DUMMYFUNCTION("""COMPUTED_VALUE"""),"US")</f>
        <v>US</v>
      </c>
      <c r="F48" s="1" t="str">
        <f>IFERROR(__xludf.DUMMYFUNCTION("""COMPUTED_VALUE"""),"expert_200")</f>
        <v>expert_200</v>
      </c>
      <c r="G48" s="1">
        <f>IFERROR(__xludf.DUMMYFUNCTION("""COMPUTED_VALUE"""),1.0)</f>
        <v>1</v>
      </c>
      <c r="H48" s="1">
        <f>IFERROR(__xludf.DUMMYFUNCTION("""COMPUTED_VALUE"""),1.0)</f>
        <v>1</v>
      </c>
      <c r="I48" s="2">
        <f>IFERROR(__xludf.DUMMYFUNCTION("""COMPUTED_VALUE"""),1.0)</f>
        <v>1</v>
      </c>
      <c r="J48" s="1">
        <f>IFERROR(__xludf.DUMMYFUNCTION("""COMPUTED_VALUE"""),31.0)</f>
        <v>31</v>
      </c>
      <c r="K48" s="1">
        <f>IFERROR(__xludf.DUMMYFUNCTION("""COMPUTED_VALUE"""),1215.59)</f>
        <v>1215.59</v>
      </c>
      <c r="L48" s="2">
        <f>IFERROR(__xludf.DUMMYFUNCTION("""COMPUTED_VALUE"""),0.025502019595422802)</f>
        <v>0.0255020196</v>
      </c>
      <c r="M48" s="1">
        <f>IFERROR(__xludf.DUMMYFUNCTION("""COMPUTED_VALUE"""),9.0)</f>
        <v>9</v>
      </c>
      <c r="N48" s="1">
        <f>IFERROR(__xludf.DUMMYFUNCTION("""COMPUTED_VALUE"""),16.0)</f>
        <v>16</v>
      </c>
      <c r="O48" s="2">
        <f>IFERROR(__xludf.DUMMYFUNCTION("""COMPUTED_VALUE"""),0.5625)</f>
        <v>0.5625</v>
      </c>
      <c r="P48" s="1">
        <f>IFERROR(__xludf.DUMMYFUNCTION("""COMPUTED_VALUE"""),0.0)</f>
        <v>0</v>
      </c>
      <c r="Q48" s="1">
        <f>IFERROR(__xludf.DUMMYFUNCTION("""COMPUTED_VALUE"""),1.0)</f>
        <v>1</v>
      </c>
      <c r="R48" s="2">
        <f>IFERROR(__xludf.DUMMYFUNCTION("""COMPUTED_VALUE"""),0.0)</f>
        <v>0</v>
      </c>
      <c r="S48" s="1">
        <f>IFERROR(__xludf.DUMMYFUNCTION("""COMPUTED_VALUE"""),0.0)</f>
        <v>0</v>
      </c>
      <c r="T48" s="1">
        <f>IFERROR(__xludf.DUMMYFUNCTION("""COMPUTED_VALUE"""),1.0)</f>
        <v>1</v>
      </c>
      <c r="U48" s="2">
        <f>IFERROR(__xludf.DUMMYFUNCTION("""COMPUTED_VALUE"""),0.0)</f>
        <v>0</v>
      </c>
      <c r="V48" s="1">
        <f>IFERROR(__xludf.DUMMYFUNCTION("""COMPUTED_VALUE"""),0.0)</f>
        <v>0</v>
      </c>
      <c r="W48" s="1">
        <f>IFERROR(__xludf.DUMMYFUNCTION("""COMPUTED_VALUE"""),1.0)</f>
        <v>1</v>
      </c>
      <c r="X48" s="2">
        <f>IFERROR(__xludf.DUMMYFUNCTION("""COMPUTED_VALUE"""),0.0)</f>
        <v>0</v>
      </c>
      <c r="Y48" s="1">
        <f>IFERROR(__xludf.DUMMYFUNCTION("""COMPUTED_VALUE"""),136.33)</f>
        <v>136.33</v>
      </c>
      <c r="Z48" s="1">
        <f>IFERROR(__xludf.DUMMYFUNCTION("""COMPUTED_VALUE"""),0.0)</f>
        <v>0</v>
      </c>
      <c r="AA48" s="2" t="str">
        <f>IFERROR(__xludf.DUMMYFUNCTION("""COMPUTED_VALUE"""),"")</f>
        <v/>
      </c>
      <c r="AB48" s="1">
        <f>IFERROR(__xludf.DUMMYFUNCTION("""COMPUTED_VALUE"""),11.93)</f>
        <v>11.93</v>
      </c>
      <c r="AC48" s="1">
        <f>IFERROR(__xludf.DUMMYFUNCTION("""COMPUTED_VALUE"""),759.34)</f>
        <v>759.34</v>
      </c>
      <c r="AD48" s="2">
        <f>IFERROR(__xludf.DUMMYFUNCTION("""COMPUTED_VALUE"""),0.01571101219480075)</f>
        <v>0.01571101219</v>
      </c>
      <c r="AE48" s="1">
        <f>IFERROR(__xludf.DUMMYFUNCTION("""COMPUTED_VALUE"""),131.12)</f>
        <v>131.12</v>
      </c>
      <c r="AF48" s="1">
        <f>IFERROR(__xludf.DUMMYFUNCTION("""COMPUTED_VALUE"""),1266.63)</f>
        <v>1266.63</v>
      </c>
      <c r="AG48" s="2">
        <f>IFERROR(__xludf.DUMMYFUNCTION("""COMPUTED_VALUE"""),0.10351878607012308)</f>
        <v>0.1035187861</v>
      </c>
      <c r="AH48" s="1">
        <f>IFERROR(__xludf.DUMMYFUNCTION("""COMPUTED_VALUE"""),294.35)</f>
        <v>294.35</v>
      </c>
      <c r="AI48" s="1">
        <f>IFERROR(__xludf.DUMMYFUNCTION("""COMPUTED_VALUE"""),1266.63)</f>
        <v>1266.63</v>
      </c>
      <c r="AJ48" s="2">
        <f>IFERROR(__xludf.DUMMYFUNCTION("""COMPUTED_VALUE"""),0.23238830597727828)</f>
        <v>0.232388306</v>
      </c>
      <c r="AK48" s="1">
        <f>IFERROR(__xludf.DUMMYFUNCTION("""COMPUTED_VALUE"""),573.73)</f>
        <v>573.73</v>
      </c>
      <c r="AL48" s="1">
        <f>IFERROR(__xludf.DUMMYFUNCTION("""COMPUTED_VALUE"""),3292.6000000000004)</f>
        <v>3292.6</v>
      </c>
      <c r="AM48" s="2">
        <f>IFERROR(__xludf.DUMMYFUNCTION("""COMPUTED_VALUE"""),0.17424831440199234)</f>
        <v>0.1742483144</v>
      </c>
      <c r="AN48" s="1">
        <f>IFERROR(__xludf.DUMMYFUNCTION("""COMPUTED_VALUE"""),497.77)</f>
        <v>497.77</v>
      </c>
      <c r="AO48" s="1">
        <f>IFERROR(__xludf.DUMMYFUNCTION("""COMPUTED_VALUE"""),0.0)</f>
        <v>0</v>
      </c>
      <c r="AP48" s="2" t="str">
        <f>IFERROR(__xludf.DUMMYFUNCTION("""COMPUTED_VALUE"""),"")</f>
        <v/>
      </c>
      <c r="AQ48" s="1">
        <f>IFERROR(__xludf.DUMMYFUNCTION("""COMPUTED_VALUE"""),429.99)</f>
        <v>429.99</v>
      </c>
      <c r="AR48" s="1">
        <f>IFERROR(__xludf.DUMMYFUNCTION("""COMPUTED_VALUE"""),0.0)</f>
        <v>0</v>
      </c>
      <c r="AS48" s="2" t="str">
        <f>IFERROR(__xludf.DUMMYFUNCTION("""COMPUTED_VALUE"""),"")</f>
        <v/>
      </c>
      <c r="AT48" s="1">
        <f>IFERROR(__xludf.DUMMYFUNCTION("""COMPUTED_VALUE"""),0.0)</f>
        <v>0</v>
      </c>
      <c r="AU48" s="1">
        <f>IFERROR(__xludf.DUMMYFUNCTION("""COMPUTED_VALUE"""),0.0)</f>
        <v>0</v>
      </c>
      <c r="AV48" s="2" t="str">
        <f>IFERROR(__xludf.DUMMYFUNCTION("""COMPUTED_VALUE"""),"")</f>
        <v/>
      </c>
      <c r="AW48" s="1">
        <f>IFERROR(__xludf.DUMMYFUNCTION("""COMPUTED_VALUE"""),0.0)</f>
        <v>0</v>
      </c>
      <c r="AX48" s="1">
        <f>IFERROR(__xludf.DUMMYFUNCTION("""COMPUTED_VALUE"""),0.0)</f>
        <v>0</v>
      </c>
      <c r="AY48" s="2" t="str">
        <f>IFERROR(__xludf.DUMMYFUNCTION("""COMPUTED_VALUE"""),"")</f>
        <v/>
      </c>
      <c r="AZ48" s="1">
        <f>IFERROR(__xludf.DUMMYFUNCTION("""COMPUTED_VALUE"""),927.76)</f>
        <v>927.76</v>
      </c>
      <c r="BA48" s="1">
        <f>IFERROR(__xludf.DUMMYFUNCTION("""COMPUTED_VALUE"""),0.0)</f>
        <v>0</v>
      </c>
      <c r="BB48" s="2" t="str">
        <f>IFERROR(__xludf.DUMMYFUNCTION("""COMPUTED_VALUE"""),"")</f>
        <v/>
      </c>
    </row>
    <row r="49">
      <c r="A49" s="1" t="str">
        <f>IFERROR(__xludf.DUMMYFUNCTION("""COMPUTED_VALUE"""),"67a4e0b1c23fac669307b722")</f>
        <v>67a4e0b1c23fac669307b722</v>
      </c>
      <c r="B49" s="1" t="str">
        <f>IFERROR(__xludf.DUMMYFUNCTION("""COMPUTED_VALUE"""),"Drive Engineering Corp.")</f>
        <v>Drive Engineering Corp.</v>
      </c>
      <c r="C49" s="1" t="str">
        <f>IFERROR(__xludf.DUMMYFUNCTION("""COMPUTED_VALUE"""),"brendan.flaherty@al-enterprise.com")</f>
        <v>brendan.flaherty@al-enterprise.com</v>
      </c>
      <c r="D49" s="1" t="str">
        <f>IFERROR(__xludf.DUMMYFUNCTION("""COMPUTED_VALUE"""),"americas")</f>
        <v>americas</v>
      </c>
      <c r="E49" s="1" t="str">
        <f>IFERROR(__xludf.DUMMYFUNCTION("""COMPUTED_VALUE"""),"US")</f>
        <v>US</v>
      </c>
      <c r="F49" s="1" t="str">
        <f>IFERROR(__xludf.DUMMYFUNCTION("""COMPUTED_VALUE"""),"expert_200")</f>
        <v>expert_200</v>
      </c>
      <c r="G49" s="1">
        <f>IFERROR(__xludf.DUMMYFUNCTION("""COMPUTED_VALUE"""),1.0)</f>
        <v>1</v>
      </c>
      <c r="H49" s="1">
        <f>IFERROR(__xludf.DUMMYFUNCTION("""COMPUTED_VALUE"""),1.0)</f>
        <v>1</v>
      </c>
      <c r="I49" s="2">
        <f>IFERROR(__xludf.DUMMYFUNCTION("""COMPUTED_VALUE"""),1.0)</f>
        <v>1</v>
      </c>
      <c r="J49" s="1">
        <f>IFERROR(__xludf.DUMMYFUNCTION("""COMPUTED_VALUE"""),153.57)</f>
        <v>153.57</v>
      </c>
      <c r="K49" s="1">
        <f>IFERROR(__xludf.DUMMYFUNCTION("""COMPUTED_VALUE"""),350.0)</f>
        <v>350</v>
      </c>
      <c r="L49" s="2">
        <f>IFERROR(__xludf.DUMMYFUNCTION("""COMPUTED_VALUE"""),0.43877142857142853)</f>
        <v>0.4387714286</v>
      </c>
      <c r="M49" s="1">
        <f>IFERROR(__xludf.DUMMYFUNCTION("""COMPUTED_VALUE"""),0.0)</f>
        <v>0</v>
      </c>
      <c r="N49" s="1">
        <f>IFERROR(__xludf.DUMMYFUNCTION("""COMPUTED_VALUE"""),0.0)</f>
        <v>0</v>
      </c>
      <c r="O49" s="2" t="str">
        <f>IFERROR(__xludf.DUMMYFUNCTION("""COMPUTED_VALUE"""),"")</f>
        <v/>
      </c>
      <c r="P49" s="1">
        <f>IFERROR(__xludf.DUMMYFUNCTION("""COMPUTED_VALUE"""),0.0)</f>
        <v>0</v>
      </c>
      <c r="Q49" s="1">
        <f>IFERROR(__xludf.DUMMYFUNCTION("""COMPUTED_VALUE"""),1.0)</f>
        <v>1</v>
      </c>
      <c r="R49" s="2">
        <f>IFERROR(__xludf.DUMMYFUNCTION("""COMPUTED_VALUE"""),0.0)</f>
        <v>0</v>
      </c>
      <c r="S49" s="1">
        <f>IFERROR(__xludf.DUMMYFUNCTION("""COMPUTED_VALUE"""),0.0)</f>
        <v>0</v>
      </c>
      <c r="T49" s="1">
        <f>IFERROR(__xludf.DUMMYFUNCTION("""COMPUTED_VALUE"""),1.0)</f>
        <v>1</v>
      </c>
      <c r="U49" s="2">
        <f>IFERROR(__xludf.DUMMYFUNCTION("""COMPUTED_VALUE"""),0.0)</f>
        <v>0</v>
      </c>
      <c r="V49" s="1">
        <f>IFERROR(__xludf.DUMMYFUNCTION("""COMPUTED_VALUE"""),0.0)</f>
        <v>0</v>
      </c>
      <c r="W49" s="1">
        <f>IFERROR(__xludf.DUMMYFUNCTION("""COMPUTED_VALUE"""),1.0)</f>
        <v>1</v>
      </c>
      <c r="X49" s="2">
        <f>IFERROR(__xludf.DUMMYFUNCTION("""COMPUTED_VALUE"""),0.0)</f>
        <v>0</v>
      </c>
      <c r="Y49" s="1">
        <f>IFERROR(__xludf.DUMMYFUNCTION("""COMPUTED_VALUE"""),135.24)</f>
        <v>135.24</v>
      </c>
      <c r="Z49" s="1">
        <f>IFERROR(__xludf.DUMMYFUNCTION("""COMPUTED_VALUE"""),0.0)</f>
        <v>0</v>
      </c>
      <c r="AA49" s="2" t="str">
        <f>IFERROR(__xludf.DUMMYFUNCTION("""COMPUTED_VALUE"""),"")</f>
        <v/>
      </c>
      <c r="AB49" s="1">
        <f>IFERROR(__xludf.DUMMYFUNCTION("""COMPUTED_VALUE"""),141.9)</f>
        <v>141.9</v>
      </c>
      <c r="AC49" s="1">
        <f>IFERROR(__xludf.DUMMYFUNCTION("""COMPUTED_VALUE"""),166.67)</f>
        <v>166.67</v>
      </c>
      <c r="AD49" s="2">
        <f>IFERROR(__xludf.DUMMYFUNCTION("""COMPUTED_VALUE"""),0.8513829723405533)</f>
        <v>0.8513829723</v>
      </c>
      <c r="AE49" s="1">
        <f>IFERROR(__xludf.DUMMYFUNCTION("""COMPUTED_VALUE"""),2372.05)</f>
        <v>2372.05</v>
      </c>
      <c r="AF49" s="1">
        <f>IFERROR(__xludf.DUMMYFUNCTION("""COMPUTED_VALUE"""),666.65)</f>
        <v>666.65</v>
      </c>
      <c r="AG49" s="2">
        <f>IFERROR(__xludf.DUMMYFUNCTION("""COMPUTED_VALUE"""),3.5581639540988528)</f>
        <v>3.558163954</v>
      </c>
      <c r="AH49" s="1">
        <f>IFERROR(__xludf.DUMMYFUNCTION("""COMPUTED_VALUE"""),720.58)</f>
        <v>720.58</v>
      </c>
      <c r="AI49" s="1">
        <f>IFERROR(__xludf.DUMMYFUNCTION("""COMPUTED_VALUE"""),333.35)</f>
        <v>333.35</v>
      </c>
      <c r="AJ49" s="2">
        <f>IFERROR(__xludf.DUMMYFUNCTION("""COMPUTED_VALUE"""),2.1616319184040798)</f>
        <v>2.161631918</v>
      </c>
      <c r="AK49" s="1">
        <f>IFERROR(__xludf.DUMMYFUNCTION("""COMPUTED_VALUE"""),3369.77)</f>
        <v>3369.77</v>
      </c>
      <c r="AL49" s="1">
        <f>IFERROR(__xludf.DUMMYFUNCTION("""COMPUTED_VALUE"""),1166.67)</f>
        <v>1166.67</v>
      </c>
      <c r="AM49" s="2">
        <f>IFERROR(__xludf.DUMMYFUNCTION("""COMPUTED_VALUE"""),2.888366033239905)</f>
        <v>2.888366033</v>
      </c>
      <c r="AN49" s="1">
        <f>IFERROR(__xludf.DUMMYFUNCTION("""COMPUTED_VALUE"""),0.0)</f>
        <v>0</v>
      </c>
      <c r="AO49" s="1">
        <f>IFERROR(__xludf.DUMMYFUNCTION("""COMPUTED_VALUE"""),0.0)</f>
        <v>0</v>
      </c>
      <c r="AP49" s="2" t="str">
        <f>IFERROR(__xludf.DUMMYFUNCTION("""COMPUTED_VALUE"""),"")</f>
        <v/>
      </c>
      <c r="AQ49" s="1">
        <f>IFERROR(__xludf.DUMMYFUNCTION("""COMPUTED_VALUE"""),0.0)</f>
        <v>0</v>
      </c>
      <c r="AR49" s="1">
        <f>IFERROR(__xludf.DUMMYFUNCTION("""COMPUTED_VALUE"""),0.0)</f>
        <v>0</v>
      </c>
      <c r="AS49" s="2" t="str">
        <f>IFERROR(__xludf.DUMMYFUNCTION("""COMPUTED_VALUE"""),"")</f>
        <v/>
      </c>
      <c r="AT49" s="1">
        <f>IFERROR(__xludf.DUMMYFUNCTION("""COMPUTED_VALUE"""),0.0)</f>
        <v>0</v>
      </c>
      <c r="AU49" s="1">
        <f>IFERROR(__xludf.DUMMYFUNCTION("""COMPUTED_VALUE"""),0.0)</f>
        <v>0</v>
      </c>
      <c r="AV49" s="2" t="str">
        <f>IFERROR(__xludf.DUMMYFUNCTION("""COMPUTED_VALUE"""),"")</f>
        <v/>
      </c>
      <c r="AW49" s="1">
        <f>IFERROR(__xludf.DUMMYFUNCTION("""COMPUTED_VALUE"""),0.0)</f>
        <v>0</v>
      </c>
      <c r="AX49" s="1">
        <f>IFERROR(__xludf.DUMMYFUNCTION("""COMPUTED_VALUE"""),0.0)</f>
        <v>0</v>
      </c>
      <c r="AY49" s="2" t="str">
        <f>IFERROR(__xludf.DUMMYFUNCTION("""COMPUTED_VALUE"""),"")</f>
        <v/>
      </c>
      <c r="AZ49" s="1">
        <f>IFERROR(__xludf.DUMMYFUNCTION("""COMPUTED_VALUE"""),0.0)</f>
        <v>0</v>
      </c>
      <c r="BA49" s="1">
        <f>IFERROR(__xludf.DUMMYFUNCTION("""COMPUTED_VALUE"""),0.0)</f>
        <v>0</v>
      </c>
      <c r="BB49" s="2" t="str">
        <f>IFERROR(__xludf.DUMMYFUNCTION("""COMPUTED_VALUE"""),"")</f>
        <v/>
      </c>
    </row>
    <row r="50">
      <c r="A50" s="1" t="str">
        <f>IFERROR(__xludf.DUMMYFUNCTION("""COMPUTED_VALUE"""),"63ced841c5c820531c267ee3")</f>
        <v>63ced841c5c820531c267ee3</v>
      </c>
      <c r="B50" s="1" t="str">
        <f>IFERROR(__xludf.DUMMYFUNCTION("""COMPUTED_VALUE"""),"E BUSINESS DISTRIBUTION PERU S.A.")</f>
        <v>E BUSINESS DISTRIBUTION PERU S.A.</v>
      </c>
      <c r="C50" s="1" t="str">
        <f>IFERROR(__xludf.DUMMYFUNCTION("""COMPUTED_VALUE"""),"carolina.rodriguez@al-enterprise.com")</f>
        <v>carolina.rodriguez@al-enterprise.com</v>
      </c>
      <c r="D50" s="1" t="str">
        <f>IFERROR(__xludf.DUMMYFUNCTION("""COMPUTED_VALUE"""),"americas")</f>
        <v>americas</v>
      </c>
      <c r="E50" s="1" t="str">
        <f>IFERROR(__xludf.DUMMYFUNCTION("""COMPUTED_VALUE"""),"PE")</f>
        <v>PE</v>
      </c>
      <c r="F50" s="1" t="str">
        <f>IFERROR(__xludf.DUMMYFUNCTION("""COMPUTED_VALUE"""),"expert_200")</f>
        <v>expert_200</v>
      </c>
      <c r="G50" s="1">
        <f>IFERROR(__xludf.DUMMYFUNCTION("""COMPUTED_VALUE"""),0.0)</f>
        <v>0</v>
      </c>
      <c r="H50" s="1">
        <f>IFERROR(__xludf.DUMMYFUNCTION("""COMPUTED_VALUE"""),1.0)</f>
        <v>1</v>
      </c>
      <c r="I50" s="2">
        <f>IFERROR(__xludf.DUMMYFUNCTION("""COMPUTED_VALUE"""),0.0)</f>
        <v>0</v>
      </c>
      <c r="J50" s="1">
        <f>IFERROR(__xludf.DUMMYFUNCTION("""COMPUTED_VALUE"""),305.61)</f>
        <v>305.61</v>
      </c>
      <c r="K50" s="1">
        <f>IFERROR(__xludf.DUMMYFUNCTION("""COMPUTED_VALUE"""),350.0)</f>
        <v>350</v>
      </c>
      <c r="L50" s="2">
        <f>IFERROR(__xludf.DUMMYFUNCTION("""COMPUTED_VALUE"""),0.8731714285714286)</f>
        <v>0.8731714286</v>
      </c>
      <c r="M50" s="1">
        <f>IFERROR(__xludf.DUMMYFUNCTION("""COMPUTED_VALUE"""),36.0)</f>
        <v>36</v>
      </c>
      <c r="N50" s="1">
        <f>IFERROR(__xludf.DUMMYFUNCTION("""COMPUTED_VALUE"""),52.0)</f>
        <v>52</v>
      </c>
      <c r="O50" s="2">
        <f>IFERROR(__xludf.DUMMYFUNCTION("""COMPUTED_VALUE"""),0.6923076923076923)</f>
        <v>0.6923076923</v>
      </c>
      <c r="P50" s="1">
        <f>IFERROR(__xludf.DUMMYFUNCTION("""COMPUTED_VALUE"""),1.0)</f>
        <v>1</v>
      </c>
      <c r="Q50" s="1">
        <f>IFERROR(__xludf.DUMMYFUNCTION("""COMPUTED_VALUE"""),1.0)</f>
        <v>1</v>
      </c>
      <c r="R50" s="2">
        <f>IFERROR(__xludf.DUMMYFUNCTION("""COMPUTED_VALUE"""),1.0)</f>
        <v>1</v>
      </c>
      <c r="S50" s="1">
        <f>IFERROR(__xludf.DUMMYFUNCTION("""COMPUTED_VALUE"""),1.0)</f>
        <v>1</v>
      </c>
      <c r="T50" s="1">
        <f>IFERROR(__xludf.DUMMYFUNCTION("""COMPUTED_VALUE"""),1.0)</f>
        <v>1</v>
      </c>
      <c r="U50" s="2">
        <f>IFERROR(__xludf.DUMMYFUNCTION("""COMPUTED_VALUE"""),1.0)</f>
        <v>1</v>
      </c>
      <c r="V50" s="1">
        <f>IFERROR(__xludf.DUMMYFUNCTION("""COMPUTED_VALUE"""),0.0)</f>
        <v>0</v>
      </c>
      <c r="W50" s="1">
        <f>IFERROR(__xludf.DUMMYFUNCTION("""COMPUTED_VALUE"""),1.0)</f>
        <v>1</v>
      </c>
      <c r="X50" s="2">
        <f>IFERROR(__xludf.DUMMYFUNCTION("""COMPUTED_VALUE"""),0.0)</f>
        <v>0</v>
      </c>
      <c r="Y50" s="1">
        <f>IFERROR(__xludf.DUMMYFUNCTION("""COMPUTED_VALUE"""),12.16)</f>
        <v>12.16</v>
      </c>
      <c r="Z50" s="1">
        <f>IFERROR(__xludf.DUMMYFUNCTION("""COMPUTED_VALUE"""),0.0)</f>
        <v>0</v>
      </c>
      <c r="AA50" s="2" t="str">
        <f>IFERROR(__xludf.DUMMYFUNCTION("""COMPUTED_VALUE"""),"")</f>
        <v/>
      </c>
      <c r="AB50" s="1">
        <f>IFERROR(__xludf.DUMMYFUNCTION("""COMPUTED_VALUE"""),12.02)</f>
        <v>12.02</v>
      </c>
      <c r="AC50" s="1">
        <f>IFERROR(__xludf.DUMMYFUNCTION("""COMPUTED_VALUE"""),0.0)</f>
        <v>0</v>
      </c>
      <c r="AD50" s="2" t="str">
        <f>IFERROR(__xludf.DUMMYFUNCTION("""COMPUTED_VALUE"""),"")</f>
        <v/>
      </c>
      <c r="AE50" s="1">
        <f>IFERROR(__xludf.DUMMYFUNCTION("""COMPUTED_VALUE"""),120.31)</f>
        <v>120.31</v>
      </c>
      <c r="AF50" s="1">
        <f>IFERROR(__xludf.DUMMYFUNCTION("""COMPUTED_VALUE"""),124.99)</f>
        <v>124.99</v>
      </c>
      <c r="AG50" s="2">
        <f>IFERROR(__xludf.DUMMYFUNCTION("""COMPUTED_VALUE"""),0.9625570045603649)</f>
        <v>0.9625570046</v>
      </c>
      <c r="AH50" s="1">
        <f>IFERROR(__xludf.DUMMYFUNCTION("""COMPUTED_VALUE"""),434.64)</f>
        <v>434.64</v>
      </c>
      <c r="AI50" s="1">
        <f>IFERROR(__xludf.DUMMYFUNCTION("""COMPUTED_VALUE"""),83.33)</f>
        <v>83.33</v>
      </c>
      <c r="AJ50" s="2">
        <f>IFERROR(__xludf.DUMMYFUNCTION("""COMPUTED_VALUE"""),5.215888635545422)</f>
        <v>5.215888636</v>
      </c>
      <c r="AK50" s="1">
        <f>IFERROR(__xludf.DUMMYFUNCTION("""COMPUTED_VALUE"""),579.13)</f>
        <v>579.13</v>
      </c>
      <c r="AL50" s="1">
        <f>IFERROR(__xludf.DUMMYFUNCTION("""COMPUTED_VALUE"""),208.32)</f>
        <v>208.32</v>
      </c>
      <c r="AM50" s="2">
        <f>IFERROR(__xludf.DUMMYFUNCTION("""COMPUTED_VALUE"""),2.780001920122888)</f>
        <v>2.78000192</v>
      </c>
      <c r="AN50" s="1">
        <f>IFERROR(__xludf.DUMMYFUNCTION("""COMPUTED_VALUE"""),111.38)</f>
        <v>111.38</v>
      </c>
      <c r="AO50" s="1">
        <f>IFERROR(__xludf.DUMMYFUNCTION("""COMPUTED_VALUE"""),0.0)</f>
        <v>0</v>
      </c>
      <c r="AP50" s="2" t="str">
        <f>IFERROR(__xludf.DUMMYFUNCTION("""COMPUTED_VALUE"""),"")</f>
        <v/>
      </c>
      <c r="AQ50" s="1">
        <f>IFERROR(__xludf.DUMMYFUNCTION("""COMPUTED_VALUE"""),0.0)</f>
        <v>0</v>
      </c>
      <c r="AR50" s="1">
        <f>IFERROR(__xludf.DUMMYFUNCTION("""COMPUTED_VALUE"""),0.0)</f>
        <v>0</v>
      </c>
      <c r="AS50" s="2" t="str">
        <f>IFERROR(__xludf.DUMMYFUNCTION("""COMPUTED_VALUE"""),"")</f>
        <v/>
      </c>
      <c r="AT50" s="1">
        <f>IFERROR(__xludf.DUMMYFUNCTION("""COMPUTED_VALUE"""),17.11)</f>
        <v>17.11</v>
      </c>
      <c r="AU50" s="1">
        <f>IFERROR(__xludf.DUMMYFUNCTION("""COMPUTED_VALUE"""),0.0)</f>
        <v>0</v>
      </c>
      <c r="AV50" s="2" t="str">
        <f>IFERROR(__xludf.DUMMYFUNCTION("""COMPUTED_VALUE"""),"")</f>
        <v/>
      </c>
      <c r="AW50" s="1">
        <f>IFERROR(__xludf.DUMMYFUNCTION("""COMPUTED_VALUE"""),0.0)</f>
        <v>0</v>
      </c>
      <c r="AX50" s="1">
        <f>IFERROR(__xludf.DUMMYFUNCTION("""COMPUTED_VALUE"""),0.0)</f>
        <v>0</v>
      </c>
      <c r="AY50" s="2" t="str">
        <f>IFERROR(__xludf.DUMMYFUNCTION("""COMPUTED_VALUE"""),"")</f>
        <v/>
      </c>
      <c r="AZ50" s="1">
        <f>IFERROR(__xludf.DUMMYFUNCTION("""COMPUTED_VALUE"""),128.49)</f>
        <v>128.49</v>
      </c>
      <c r="BA50" s="1">
        <f>IFERROR(__xludf.DUMMYFUNCTION("""COMPUTED_VALUE"""),0.0)</f>
        <v>0</v>
      </c>
      <c r="BB50" s="2" t="str">
        <f>IFERROR(__xludf.DUMMYFUNCTION("""COMPUTED_VALUE"""),"")</f>
        <v/>
      </c>
    </row>
    <row r="51">
      <c r="A51" s="1" t="str">
        <f>IFERROR(__xludf.DUMMYFUNCTION("""COMPUTED_VALUE"""),"63ced843c5c820531c2682ee")</f>
        <v>63ced843c5c820531c2682ee</v>
      </c>
      <c r="B51" s="1" t="str">
        <f>IFERROR(__xludf.DUMMYFUNCTION("""COMPUTED_VALUE"""),"e-Business Distribution Panama")</f>
        <v>e-Business Distribution Panama</v>
      </c>
      <c r="C51" s="1" t="str">
        <f>IFERROR(__xludf.DUMMYFUNCTION("""COMPUTED_VALUE"""),"jorge.silva@al-enterprise.com")</f>
        <v>jorge.silva@al-enterprise.com</v>
      </c>
      <c r="D51" s="1" t="str">
        <f>IFERROR(__xludf.DUMMYFUNCTION("""COMPUTED_VALUE"""),"americas")</f>
        <v>americas</v>
      </c>
      <c r="E51" s="1" t="str">
        <f>IFERROR(__xludf.DUMMYFUNCTION("""COMPUTED_VALUE"""),"PA")</f>
        <v>PA</v>
      </c>
      <c r="F51" s="1"/>
      <c r="G51" s="1">
        <f>IFERROR(__xludf.DUMMYFUNCTION("""COMPUTED_VALUE"""),0.0)</f>
        <v>0</v>
      </c>
      <c r="H51" s="1">
        <f>IFERROR(__xludf.DUMMYFUNCTION("""COMPUTED_VALUE"""),1.0)</f>
        <v>1</v>
      </c>
      <c r="I51" s="2">
        <f>IFERROR(__xludf.DUMMYFUNCTION("""COMPUTED_VALUE"""),0.0)</f>
        <v>0</v>
      </c>
      <c r="J51" s="1">
        <f>IFERROR(__xludf.DUMMYFUNCTION("""COMPUTED_VALUE"""),64.71)</f>
        <v>64.71</v>
      </c>
      <c r="K51" s="1">
        <f>IFERROR(__xludf.DUMMYFUNCTION("""COMPUTED_VALUE"""),255.0)</f>
        <v>255</v>
      </c>
      <c r="L51" s="2">
        <f>IFERROR(__xludf.DUMMYFUNCTION("""COMPUTED_VALUE"""),0.2537647058823529)</f>
        <v>0.2537647059</v>
      </c>
      <c r="M51" s="1">
        <f>IFERROR(__xludf.DUMMYFUNCTION("""COMPUTED_VALUE"""),20.0)</f>
        <v>20</v>
      </c>
      <c r="N51" s="1">
        <f>IFERROR(__xludf.DUMMYFUNCTION("""COMPUTED_VALUE"""),52.0)</f>
        <v>52</v>
      </c>
      <c r="O51" s="2">
        <f>IFERROR(__xludf.DUMMYFUNCTION("""COMPUTED_VALUE"""),0.38461538461538464)</f>
        <v>0.3846153846</v>
      </c>
      <c r="P51" s="1">
        <f>IFERROR(__xludf.DUMMYFUNCTION("""COMPUTED_VALUE"""),1.0)</f>
        <v>1</v>
      </c>
      <c r="Q51" s="1">
        <f>IFERROR(__xludf.DUMMYFUNCTION("""COMPUTED_VALUE"""),1.0)</f>
        <v>1</v>
      </c>
      <c r="R51" s="2">
        <f>IFERROR(__xludf.DUMMYFUNCTION("""COMPUTED_VALUE"""),1.0)</f>
        <v>1</v>
      </c>
      <c r="S51" s="1">
        <f>IFERROR(__xludf.DUMMYFUNCTION("""COMPUTED_VALUE"""),0.0)</f>
        <v>0</v>
      </c>
      <c r="T51" s="1">
        <f>IFERROR(__xludf.DUMMYFUNCTION("""COMPUTED_VALUE"""),1.0)</f>
        <v>1</v>
      </c>
      <c r="U51" s="2">
        <f>IFERROR(__xludf.DUMMYFUNCTION("""COMPUTED_VALUE"""),0.0)</f>
        <v>0</v>
      </c>
      <c r="V51" s="1">
        <f>IFERROR(__xludf.DUMMYFUNCTION("""COMPUTED_VALUE"""),0.0)</f>
        <v>0</v>
      </c>
      <c r="W51" s="1">
        <f>IFERROR(__xludf.DUMMYFUNCTION("""COMPUTED_VALUE"""),1.0)</f>
        <v>1</v>
      </c>
      <c r="X51" s="2">
        <f>IFERROR(__xludf.DUMMYFUNCTION("""COMPUTED_VALUE"""),0.0)</f>
        <v>0</v>
      </c>
      <c r="Y51" s="1">
        <f>IFERROR(__xludf.DUMMYFUNCTION("""COMPUTED_VALUE"""),0.0)</f>
        <v>0</v>
      </c>
      <c r="Z51" s="1">
        <f>IFERROR(__xludf.DUMMYFUNCTION("""COMPUTED_VALUE"""),0.0)</f>
        <v>0</v>
      </c>
      <c r="AA51" s="2" t="str">
        <f>IFERROR(__xludf.DUMMYFUNCTION("""COMPUTED_VALUE"""),"")</f>
        <v/>
      </c>
      <c r="AB51" s="1">
        <f>IFERROR(__xludf.DUMMYFUNCTION("""COMPUTED_VALUE"""),6.51)</f>
        <v>6.51</v>
      </c>
      <c r="AC51" s="1">
        <f>IFERROR(__xludf.DUMMYFUNCTION("""COMPUTED_VALUE"""),0.0)</f>
        <v>0</v>
      </c>
      <c r="AD51" s="2" t="str">
        <f>IFERROR(__xludf.DUMMYFUNCTION("""COMPUTED_VALUE"""),"")</f>
        <v/>
      </c>
      <c r="AE51" s="1">
        <f>IFERROR(__xludf.DUMMYFUNCTION("""COMPUTED_VALUE"""),70.98)</f>
        <v>70.98</v>
      </c>
      <c r="AF51" s="1">
        <f>IFERROR(__xludf.DUMMYFUNCTION("""COMPUTED_VALUE"""),250.01)</f>
        <v>250.01</v>
      </c>
      <c r="AG51" s="2">
        <f>IFERROR(__xludf.DUMMYFUNCTION("""COMPUTED_VALUE"""),0.28390864365425383)</f>
        <v>0.2839086437</v>
      </c>
      <c r="AH51" s="1">
        <f>IFERROR(__xludf.DUMMYFUNCTION("""COMPUTED_VALUE"""),3.52)</f>
        <v>3.52</v>
      </c>
      <c r="AI51" s="1">
        <f>IFERROR(__xludf.DUMMYFUNCTION("""COMPUTED_VALUE"""),266.68)</f>
        <v>266.68</v>
      </c>
      <c r="AJ51" s="2">
        <f>IFERROR(__xludf.DUMMYFUNCTION("""COMPUTED_VALUE"""),0.01319934003299835)</f>
        <v>0.01319934003</v>
      </c>
      <c r="AK51" s="1">
        <f>IFERROR(__xludf.DUMMYFUNCTION("""COMPUTED_VALUE"""),81.01)</f>
        <v>81.01</v>
      </c>
      <c r="AL51" s="1">
        <f>IFERROR(__xludf.DUMMYFUNCTION("""COMPUTED_VALUE"""),516.69)</f>
        <v>516.69</v>
      </c>
      <c r="AM51" s="2">
        <f>IFERROR(__xludf.DUMMYFUNCTION("""COMPUTED_VALUE"""),0.15678646770790997)</f>
        <v>0.1567864677</v>
      </c>
      <c r="AN51" s="1">
        <f>IFERROR(__xludf.DUMMYFUNCTION("""COMPUTED_VALUE"""),4.91)</f>
        <v>4.91</v>
      </c>
      <c r="AO51" s="1">
        <f>IFERROR(__xludf.DUMMYFUNCTION("""COMPUTED_VALUE"""),0.0)</f>
        <v>0</v>
      </c>
      <c r="AP51" s="2" t="str">
        <f>IFERROR(__xludf.DUMMYFUNCTION("""COMPUTED_VALUE"""),"")</f>
        <v/>
      </c>
      <c r="AQ51" s="1">
        <f>IFERROR(__xludf.DUMMYFUNCTION("""COMPUTED_VALUE"""),0.0)</f>
        <v>0</v>
      </c>
      <c r="AR51" s="1">
        <f>IFERROR(__xludf.DUMMYFUNCTION("""COMPUTED_VALUE"""),0.0)</f>
        <v>0</v>
      </c>
      <c r="AS51" s="2" t="str">
        <f>IFERROR(__xludf.DUMMYFUNCTION("""COMPUTED_VALUE"""),"")</f>
        <v/>
      </c>
      <c r="AT51" s="1">
        <f>IFERROR(__xludf.DUMMYFUNCTION("""COMPUTED_VALUE"""),2.21)</f>
        <v>2.21</v>
      </c>
      <c r="AU51" s="1">
        <f>IFERROR(__xludf.DUMMYFUNCTION("""COMPUTED_VALUE"""),0.0)</f>
        <v>0</v>
      </c>
      <c r="AV51" s="2" t="str">
        <f>IFERROR(__xludf.DUMMYFUNCTION("""COMPUTED_VALUE"""),"")</f>
        <v/>
      </c>
      <c r="AW51" s="1">
        <f>IFERROR(__xludf.DUMMYFUNCTION("""COMPUTED_VALUE"""),7.03)</f>
        <v>7.03</v>
      </c>
      <c r="AX51" s="1">
        <f>IFERROR(__xludf.DUMMYFUNCTION("""COMPUTED_VALUE"""),0.0)</f>
        <v>0</v>
      </c>
      <c r="AY51" s="2" t="str">
        <f>IFERROR(__xludf.DUMMYFUNCTION("""COMPUTED_VALUE"""),"")</f>
        <v/>
      </c>
      <c r="AZ51" s="1">
        <f>IFERROR(__xludf.DUMMYFUNCTION("""COMPUTED_VALUE"""),14.15)</f>
        <v>14.15</v>
      </c>
      <c r="BA51" s="1">
        <f>IFERROR(__xludf.DUMMYFUNCTION("""COMPUTED_VALUE"""),0.0)</f>
        <v>0</v>
      </c>
      <c r="BB51" s="2" t="str">
        <f>IFERROR(__xludf.DUMMYFUNCTION("""COMPUTED_VALUE"""),"")</f>
        <v/>
      </c>
    </row>
    <row r="52">
      <c r="A52" s="1" t="str">
        <f>IFERROR(__xludf.DUMMYFUNCTION("""COMPUTED_VALUE"""),"63ced842c5c820531c26805a")</f>
        <v>63ced842c5c820531c26805a</v>
      </c>
      <c r="B52" s="1" t="str">
        <f>IFERROR(__xludf.DUMMYFUNCTION("""COMPUTED_VALUE"""),"E-BUSINESS DISTRIBUTION SA")</f>
        <v>E-BUSINESS DISTRIBUTION SA</v>
      </c>
      <c r="C52" s="1" t="str">
        <f>IFERROR(__xludf.DUMMYFUNCTION("""COMPUTED_VALUE"""),"luis.arriagada@al-enterprise.com")</f>
        <v>luis.arriagada@al-enterprise.com</v>
      </c>
      <c r="D52" s="1" t="str">
        <f>IFERROR(__xludf.DUMMYFUNCTION("""COMPUTED_VALUE"""),"americas")</f>
        <v>americas</v>
      </c>
      <c r="E52" s="1" t="str">
        <f>IFERROR(__xludf.DUMMYFUNCTION("""COMPUTED_VALUE"""),"CL")</f>
        <v>CL</v>
      </c>
      <c r="F52" s="1" t="str">
        <f>IFERROR(__xludf.DUMMYFUNCTION("""COMPUTED_VALUE"""),"expert_1000")</f>
        <v>expert_1000</v>
      </c>
      <c r="G52" s="1">
        <f>IFERROR(__xludf.DUMMYFUNCTION("""COMPUTED_VALUE"""),0.0)</f>
        <v>0</v>
      </c>
      <c r="H52" s="1">
        <f>IFERROR(__xludf.DUMMYFUNCTION("""COMPUTED_VALUE"""),1.0)</f>
        <v>1</v>
      </c>
      <c r="I52" s="2">
        <f>IFERROR(__xludf.DUMMYFUNCTION("""COMPUTED_VALUE"""),0.0)</f>
        <v>0</v>
      </c>
      <c r="J52" s="1">
        <f>IFERROR(__xludf.DUMMYFUNCTION("""COMPUTED_VALUE"""),499.04)</f>
        <v>499.04</v>
      </c>
      <c r="K52" s="1">
        <f>IFERROR(__xludf.DUMMYFUNCTION("""COMPUTED_VALUE"""),0.0)</f>
        <v>0</v>
      </c>
      <c r="L52" s="2" t="str">
        <f>IFERROR(__xludf.DUMMYFUNCTION("""COMPUTED_VALUE"""),"")</f>
        <v/>
      </c>
      <c r="M52" s="1">
        <f>IFERROR(__xludf.DUMMYFUNCTION("""COMPUTED_VALUE"""),85.0)</f>
        <v>85</v>
      </c>
      <c r="N52" s="1">
        <f>IFERROR(__xludf.DUMMYFUNCTION("""COMPUTED_VALUE"""),0.0)</f>
        <v>0</v>
      </c>
      <c r="O52" s="2" t="str">
        <f>IFERROR(__xludf.DUMMYFUNCTION("""COMPUTED_VALUE"""),"")</f>
        <v/>
      </c>
      <c r="P52" s="1">
        <f>IFERROR(__xludf.DUMMYFUNCTION("""COMPUTED_VALUE"""),1.0)</f>
        <v>1</v>
      </c>
      <c r="Q52" s="1">
        <f>IFERROR(__xludf.DUMMYFUNCTION("""COMPUTED_VALUE"""),1.0)</f>
        <v>1</v>
      </c>
      <c r="R52" s="2">
        <f>IFERROR(__xludf.DUMMYFUNCTION("""COMPUTED_VALUE"""),1.0)</f>
        <v>1</v>
      </c>
      <c r="S52" s="1">
        <f>IFERROR(__xludf.DUMMYFUNCTION("""COMPUTED_VALUE"""),1.0)</f>
        <v>1</v>
      </c>
      <c r="T52" s="1">
        <f>IFERROR(__xludf.DUMMYFUNCTION("""COMPUTED_VALUE"""),1.0)</f>
        <v>1</v>
      </c>
      <c r="U52" s="2">
        <f>IFERROR(__xludf.DUMMYFUNCTION("""COMPUTED_VALUE"""),1.0)</f>
        <v>1</v>
      </c>
      <c r="V52" s="1">
        <f>IFERROR(__xludf.DUMMYFUNCTION("""COMPUTED_VALUE"""),0.0)</f>
        <v>0</v>
      </c>
      <c r="W52" s="1">
        <f>IFERROR(__xludf.DUMMYFUNCTION("""COMPUTED_VALUE"""),1.0)</f>
        <v>1</v>
      </c>
      <c r="X52" s="2">
        <f>IFERROR(__xludf.DUMMYFUNCTION("""COMPUTED_VALUE"""),0.0)</f>
        <v>0</v>
      </c>
      <c r="Y52" s="1">
        <f>IFERROR(__xludf.DUMMYFUNCTION("""COMPUTED_VALUE"""),31.13)</f>
        <v>31.13</v>
      </c>
      <c r="Z52" s="1">
        <f>IFERROR(__xludf.DUMMYFUNCTION("""COMPUTED_VALUE"""),0.0)</f>
        <v>0</v>
      </c>
      <c r="AA52" s="2" t="str">
        <f>IFERROR(__xludf.DUMMYFUNCTION("""COMPUTED_VALUE"""),"")</f>
        <v/>
      </c>
      <c r="AB52" s="1">
        <f>IFERROR(__xludf.DUMMYFUNCTION("""COMPUTED_VALUE"""),100.52)</f>
        <v>100.52</v>
      </c>
      <c r="AC52" s="1">
        <f>IFERROR(__xludf.DUMMYFUNCTION("""COMPUTED_VALUE"""),0.0)</f>
        <v>0</v>
      </c>
      <c r="AD52" s="2" t="str">
        <f>IFERROR(__xludf.DUMMYFUNCTION("""COMPUTED_VALUE"""),"")</f>
        <v/>
      </c>
      <c r="AE52" s="1">
        <f>IFERROR(__xludf.DUMMYFUNCTION("""COMPUTED_VALUE"""),767.07)</f>
        <v>767.07</v>
      </c>
      <c r="AF52" s="1">
        <f>IFERROR(__xludf.DUMMYFUNCTION("""COMPUTED_VALUE"""),0.0)</f>
        <v>0</v>
      </c>
      <c r="AG52" s="2" t="str">
        <f>IFERROR(__xludf.DUMMYFUNCTION("""COMPUTED_VALUE"""),"")</f>
        <v/>
      </c>
      <c r="AH52" s="1">
        <f>IFERROR(__xludf.DUMMYFUNCTION("""COMPUTED_VALUE"""),395.63)</f>
        <v>395.63</v>
      </c>
      <c r="AI52" s="1">
        <f>IFERROR(__xludf.DUMMYFUNCTION("""COMPUTED_VALUE"""),0.0)</f>
        <v>0</v>
      </c>
      <c r="AJ52" s="2" t="str">
        <f>IFERROR(__xludf.DUMMYFUNCTION("""COMPUTED_VALUE"""),"")</f>
        <v/>
      </c>
      <c r="AK52" s="1">
        <f>IFERROR(__xludf.DUMMYFUNCTION("""COMPUTED_VALUE"""),1294.35)</f>
        <v>1294.35</v>
      </c>
      <c r="AL52" s="1">
        <f>IFERROR(__xludf.DUMMYFUNCTION("""COMPUTED_VALUE"""),0.0)</f>
        <v>0</v>
      </c>
      <c r="AM52" s="2" t="str">
        <f>IFERROR(__xludf.DUMMYFUNCTION("""COMPUTED_VALUE"""),"")</f>
        <v/>
      </c>
      <c r="AN52" s="1">
        <f>IFERROR(__xludf.DUMMYFUNCTION("""COMPUTED_VALUE"""),46.59)</f>
        <v>46.59</v>
      </c>
      <c r="AO52" s="1">
        <f>IFERROR(__xludf.DUMMYFUNCTION("""COMPUTED_VALUE"""),0.0)</f>
        <v>0</v>
      </c>
      <c r="AP52" s="2" t="str">
        <f>IFERROR(__xludf.DUMMYFUNCTION("""COMPUTED_VALUE"""),"")</f>
        <v/>
      </c>
      <c r="AQ52" s="1">
        <f>IFERROR(__xludf.DUMMYFUNCTION("""COMPUTED_VALUE"""),251.48)</f>
        <v>251.48</v>
      </c>
      <c r="AR52" s="1">
        <f>IFERROR(__xludf.DUMMYFUNCTION("""COMPUTED_VALUE"""),0.0)</f>
        <v>0</v>
      </c>
      <c r="AS52" s="2" t="str">
        <f>IFERROR(__xludf.DUMMYFUNCTION("""COMPUTED_VALUE"""),"")</f>
        <v/>
      </c>
      <c r="AT52" s="1">
        <f>IFERROR(__xludf.DUMMYFUNCTION("""COMPUTED_VALUE"""),2.56)</f>
        <v>2.56</v>
      </c>
      <c r="AU52" s="1">
        <f>IFERROR(__xludf.DUMMYFUNCTION("""COMPUTED_VALUE"""),0.0)</f>
        <v>0</v>
      </c>
      <c r="AV52" s="2" t="str">
        <f>IFERROR(__xludf.DUMMYFUNCTION("""COMPUTED_VALUE"""),"")</f>
        <v/>
      </c>
      <c r="AW52" s="1">
        <f>IFERROR(__xludf.DUMMYFUNCTION("""COMPUTED_VALUE"""),32.17)</f>
        <v>32.17</v>
      </c>
      <c r="AX52" s="1">
        <f>IFERROR(__xludf.DUMMYFUNCTION("""COMPUTED_VALUE"""),0.0)</f>
        <v>0</v>
      </c>
      <c r="AY52" s="2" t="str">
        <f>IFERROR(__xludf.DUMMYFUNCTION("""COMPUTED_VALUE"""),"")</f>
        <v/>
      </c>
      <c r="AZ52" s="1">
        <f>IFERROR(__xludf.DUMMYFUNCTION("""COMPUTED_VALUE"""),332.8)</f>
        <v>332.8</v>
      </c>
      <c r="BA52" s="1">
        <f>IFERROR(__xludf.DUMMYFUNCTION("""COMPUTED_VALUE"""),0.0)</f>
        <v>0</v>
      </c>
      <c r="BB52" s="2" t="str">
        <f>IFERROR(__xludf.DUMMYFUNCTION("""COMPUTED_VALUE"""),"")</f>
        <v/>
      </c>
    </row>
    <row r="53">
      <c r="A53" s="1" t="str">
        <f>IFERROR(__xludf.DUMMYFUNCTION("""COMPUTED_VALUE"""),"63ced843c5c820531c2682fd")</f>
        <v>63ced843c5c820531c2682fd</v>
      </c>
      <c r="B53" s="1" t="str">
        <f>IFERROR(__xludf.DUMMYFUNCTION("""COMPUTED_VALUE"""),"eBD El Salvador")</f>
        <v>eBD El Salvador</v>
      </c>
      <c r="C53" s="1" t="str">
        <f>IFERROR(__xludf.DUMMYFUNCTION("""COMPUTED_VALUE"""),"jorge.silva@al-enterprise.com")</f>
        <v>jorge.silva@al-enterprise.com</v>
      </c>
      <c r="D53" s="1" t="str">
        <f>IFERROR(__xludf.DUMMYFUNCTION("""COMPUTED_VALUE"""),"americas")</f>
        <v>americas</v>
      </c>
      <c r="E53" s="1" t="str">
        <f>IFERROR(__xludf.DUMMYFUNCTION("""COMPUTED_VALUE"""),"SV")</f>
        <v>SV</v>
      </c>
      <c r="F53" s="1"/>
      <c r="G53" s="1">
        <f>IFERROR(__xludf.DUMMYFUNCTION("""COMPUTED_VALUE"""),0.0)</f>
        <v>0</v>
      </c>
      <c r="H53" s="1">
        <f>IFERROR(__xludf.DUMMYFUNCTION("""COMPUTED_VALUE"""),1.0)</f>
        <v>1</v>
      </c>
      <c r="I53" s="2">
        <f>IFERROR(__xludf.DUMMYFUNCTION("""COMPUTED_VALUE"""),0.0)</f>
        <v>0</v>
      </c>
      <c r="J53" s="1">
        <f>IFERROR(__xludf.DUMMYFUNCTION("""COMPUTED_VALUE"""),16.77)</f>
        <v>16.77</v>
      </c>
      <c r="K53" s="1">
        <f>IFERROR(__xludf.DUMMYFUNCTION("""COMPUTED_VALUE"""),200.0)</f>
        <v>200</v>
      </c>
      <c r="L53" s="2">
        <f>IFERROR(__xludf.DUMMYFUNCTION("""COMPUTED_VALUE"""),0.08385)</f>
        <v>0.08385</v>
      </c>
      <c r="M53" s="1">
        <f>IFERROR(__xludf.DUMMYFUNCTION("""COMPUTED_VALUE"""),24.0)</f>
        <v>24</v>
      </c>
      <c r="N53" s="1">
        <f>IFERROR(__xludf.DUMMYFUNCTION("""COMPUTED_VALUE"""),52.0)</f>
        <v>52</v>
      </c>
      <c r="O53" s="2">
        <f>IFERROR(__xludf.DUMMYFUNCTION("""COMPUTED_VALUE"""),0.46153846153846156)</f>
        <v>0.4615384615</v>
      </c>
      <c r="P53" s="1">
        <f>IFERROR(__xludf.DUMMYFUNCTION("""COMPUTED_VALUE"""),1.0)</f>
        <v>1</v>
      </c>
      <c r="Q53" s="1">
        <f>IFERROR(__xludf.DUMMYFUNCTION("""COMPUTED_VALUE"""),1.0)</f>
        <v>1</v>
      </c>
      <c r="R53" s="2">
        <f>IFERROR(__xludf.DUMMYFUNCTION("""COMPUTED_VALUE"""),1.0)</f>
        <v>1</v>
      </c>
      <c r="S53" s="1">
        <f>IFERROR(__xludf.DUMMYFUNCTION("""COMPUTED_VALUE"""),0.0)</f>
        <v>0</v>
      </c>
      <c r="T53" s="1">
        <f>IFERROR(__xludf.DUMMYFUNCTION("""COMPUTED_VALUE"""),1.0)</f>
        <v>1</v>
      </c>
      <c r="U53" s="2">
        <f>IFERROR(__xludf.DUMMYFUNCTION("""COMPUTED_VALUE"""),0.0)</f>
        <v>0</v>
      </c>
      <c r="V53" s="1">
        <f>IFERROR(__xludf.DUMMYFUNCTION("""COMPUTED_VALUE"""),0.0)</f>
        <v>0</v>
      </c>
      <c r="W53" s="1">
        <f>IFERROR(__xludf.DUMMYFUNCTION("""COMPUTED_VALUE"""),1.0)</f>
        <v>1</v>
      </c>
      <c r="X53" s="2">
        <f>IFERROR(__xludf.DUMMYFUNCTION("""COMPUTED_VALUE"""),0.0)</f>
        <v>0</v>
      </c>
      <c r="Y53" s="1">
        <f>IFERROR(__xludf.DUMMYFUNCTION("""COMPUTED_VALUE"""),0.0)</f>
        <v>0</v>
      </c>
      <c r="Z53" s="1">
        <f>IFERROR(__xludf.DUMMYFUNCTION("""COMPUTED_VALUE"""),0.0)</f>
        <v>0</v>
      </c>
      <c r="AA53" s="2" t="str">
        <f>IFERROR(__xludf.DUMMYFUNCTION("""COMPUTED_VALUE"""),"")</f>
        <v/>
      </c>
      <c r="AB53" s="1">
        <f>IFERROR(__xludf.DUMMYFUNCTION("""COMPUTED_VALUE"""),21.0)</f>
        <v>21</v>
      </c>
      <c r="AC53" s="1">
        <f>IFERROR(__xludf.DUMMYFUNCTION("""COMPUTED_VALUE"""),0.0)</f>
        <v>0</v>
      </c>
      <c r="AD53" s="2" t="str">
        <f>IFERROR(__xludf.DUMMYFUNCTION("""COMPUTED_VALUE"""),"")</f>
        <v/>
      </c>
      <c r="AE53" s="1">
        <f>IFERROR(__xludf.DUMMYFUNCTION("""COMPUTED_VALUE"""),4.67)</f>
        <v>4.67</v>
      </c>
      <c r="AF53" s="1">
        <f>IFERROR(__xludf.DUMMYFUNCTION("""COMPUTED_VALUE"""),183.34)</f>
        <v>183.34</v>
      </c>
      <c r="AG53" s="2">
        <f>IFERROR(__xludf.DUMMYFUNCTION("""COMPUTED_VALUE"""),0.025471801025417257)</f>
        <v>0.02547180103</v>
      </c>
      <c r="AH53" s="1">
        <f>IFERROR(__xludf.DUMMYFUNCTION("""COMPUTED_VALUE"""),20.0)</f>
        <v>20</v>
      </c>
      <c r="AI53" s="1">
        <f>IFERROR(__xludf.DUMMYFUNCTION("""COMPUTED_VALUE"""),216.66)</f>
        <v>216.66</v>
      </c>
      <c r="AJ53" s="2">
        <f>IFERROR(__xludf.DUMMYFUNCTION("""COMPUTED_VALUE"""),0.09231053263177329)</f>
        <v>0.09231053263</v>
      </c>
      <c r="AK53" s="1">
        <f>IFERROR(__xludf.DUMMYFUNCTION("""COMPUTED_VALUE"""),45.67)</f>
        <v>45.67</v>
      </c>
      <c r="AL53" s="1">
        <f>IFERROR(__xludf.DUMMYFUNCTION("""COMPUTED_VALUE"""),400.0)</f>
        <v>400</v>
      </c>
      <c r="AM53" s="2">
        <f>IFERROR(__xludf.DUMMYFUNCTION("""COMPUTED_VALUE"""),0.114175)</f>
        <v>0.114175</v>
      </c>
      <c r="AN53" s="1">
        <f>IFERROR(__xludf.DUMMYFUNCTION("""COMPUTED_VALUE"""),49.0)</f>
        <v>49</v>
      </c>
      <c r="AO53" s="1">
        <f>IFERROR(__xludf.DUMMYFUNCTION("""COMPUTED_VALUE"""),0.0)</f>
        <v>0</v>
      </c>
      <c r="AP53" s="2" t="str">
        <f>IFERROR(__xludf.DUMMYFUNCTION("""COMPUTED_VALUE"""),"")</f>
        <v/>
      </c>
      <c r="AQ53" s="1">
        <f>IFERROR(__xludf.DUMMYFUNCTION("""COMPUTED_VALUE"""),1.72)</f>
        <v>1.72</v>
      </c>
      <c r="AR53" s="1">
        <f>IFERROR(__xludf.DUMMYFUNCTION("""COMPUTED_VALUE"""),0.0)</f>
        <v>0</v>
      </c>
      <c r="AS53" s="2" t="str">
        <f>IFERROR(__xludf.DUMMYFUNCTION("""COMPUTED_VALUE"""),"")</f>
        <v/>
      </c>
      <c r="AT53" s="1">
        <f>IFERROR(__xludf.DUMMYFUNCTION("""COMPUTED_VALUE"""),0.0)</f>
        <v>0</v>
      </c>
      <c r="AU53" s="1">
        <f>IFERROR(__xludf.DUMMYFUNCTION("""COMPUTED_VALUE"""),0.0)</f>
        <v>0</v>
      </c>
      <c r="AV53" s="2" t="str">
        <f>IFERROR(__xludf.DUMMYFUNCTION("""COMPUTED_VALUE"""),"")</f>
        <v/>
      </c>
      <c r="AW53" s="1">
        <f>IFERROR(__xludf.DUMMYFUNCTION("""COMPUTED_VALUE"""),0.0)</f>
        <v>0</v>
      </c>
      <c r="AX53" s="1">
        <f>IFERROR(__xludf.DUMMYFUNCTION("""COMPUTED_VALUE"""),0.0)</f>
        <v>0</v>
      </c>
      <c r="AY53" s="2" t="str">
        <f>IFERROR(__xludf.DUMMYFUNCTION("""COMPUTED_VALUE"""),"")</f>
        <v/>
      </c>
      <c r="AZ53" s="1">
        <f>IFERROR(__xludf.DUMMYFUNCTION("""COMPUTED_VALUE"""),50.72)</f>
        <v>50.72</v>
      </c>
      <c r="BA53" s="1">
        <f>IFERROR(__xludf.DUMMYFUNCTION("""COMPUTED_VALUE"""),0.0)</f>
        <v>0</v>
      </c>
      <c r="BB53" s="2" t="str">
        <f>IFERROR(__xludf.DUMMYFUNCTION("""COMPUTED_VALUE"""),"")</f>
        <v/>
      </c>
    </row>
    <row r="54">
      <c r="A54" s="1" t="str">
        <f>IFERROR(__xludf.DUMMYFUNCTION("""COMPUTED_VALUE"""),"63ea6e9252ad6968805cea0f")</f>
        <v>63ea6e9252ad6968805cea0f</v>
      </c>
      <c r="B54" s="1" t="str">
        <f>IFERROR(__xludf.DUMMYFUNCTION("""COMPUTED_VALUE"""),"effexx its GmbH")</f>
        <v>effexx its GmbH</v>
      </c>
      <c r="C54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54" s="1" t="str">
        <f>IFERROR(__xludf.DUMMYFUNCTION("""COMPUTED_VALUE"""),"germany")</f>
        <v>germany</v>
      </c>
      <c r="E54" s="1" t="str">
        <f>IFERROR(__xludf.DUMMYFUNCTION("""COMPUTED_VALUE"""),"DE")</f>
        <v>DE</v>
      </c>
      <c r="F54" s="1" t="str">
        <f>IFERROR(__xludf.DUMMYFUNCTION("""COMPUTED_VALUE"""),"expert_1000")</f>
        <v>expert_1000</v>
      </c>
      <c r="G54" s="1">
        <f>IFERROR(__xludf.DUMMYFUNCTION("""COMPUTED_VALUE"""),0.0)</f>
        <v>0</v>
      </c>
      <c r="H54" s="1">
        <f>IFERROR(__xludf.DUMMYFUNCTION("""COMPUTED_VALUE"""),1.0)</f>
        <v>1</v>
      </c>
      <c r="I54" s="2">
        <f>IFERROR(__xludf.DUMMYFUNCTION("""COMPUTED_VALUE"""),0.0)</f>
        <v>0</v>
      </c>
      <c r="J54" s="1">
        <f>IFERROR(__xludf.DUMMYFUNCTION("""COMPUTED_VALUE"""),618.59)</f>
        <v>618.59</v>
      </c>
      <c r="K54" s="1">
        <f>IFERROR(__xludf.DUMMYFUNCTION("""COMPUTED_VALUE"""),1253.0)</f>
        <v>1253</v>
      </c>
      <c r="L54" s="2">
        <f>IFERROR(__xludf.DUMMYFUNCTION("""COMPUTED_VALUE"""),0.49368715083798886)</f>
        <v>0.4936871508</v>
      </c>
      <c r="M54" s="1">
        <f>IFERROR(__xludf.DUMMYFUNCTION("""COMPUTED_VALUE"""),64.0)</f>
        <v>64</v>
      </c>
      <c r="N54" s="1">
        <f>IFERROR(__xludf.DUMMYFUNCTION("""COMPUTED_VALUE"""),52.0)</f>
        <v>52</v>
      </c>
      <c r="O54" s="2">
        <f>IFERROR(__xludf.DUMMYFUNCTION("""COMPUTED_VALUE"""),1.2307692307692308)</f>
        <v>1.230769231</v>
      </c>
      <c r="P54" s="1">
        <f>IFERROR(__xludf.DUMMYFUNCTION("""COMPUTED_VALUE"""),1.0)</f>
        <v>1</v>
      </c>
      <c r="Q54" s="1">
        <f>IFERROR(__xludf.DUMMYFUNCTION("""COMPUTED_VALUE"""),1.0)</f>
        <v>1</v>
      </c>
      <c r="R54" s="2">
        <f>IFERROR(__xludf.DUMMYFUNCTION("""COMPUTED_VALUE"""),1.0)</f>
        <v>1</v>
      </c>
      <c r="S54" s="1">
        <f>IFERROR(__xludf.DUMMYFUNCTION("""COMPUTED_VALUE"""),1.0)</f>
        <v>1</v>
      </c>
      <c r="T54" s="1">
        <f>IFERROR(__xludf.DUMMYFUNCTION("""COMPUTED_VALUE"""),1.0)</f>
        <v>1</v>
      </c>
      <c r="U54" s="2">
        <f>IFERROR(__xludf.DUMMYFUNCTION("""COMPUTED_VALUE"""),1.0)</f>
        <v>1</v>
      </c>
      <c r="V54" s="1">
        <f>IFERROR(__xludf.DUMMYFUNCTION("""COMPUTED_VALUE"""),1.0)</f>
        <v>1</v>
      </c>
      <c r="W54" s="1">
        <f>IFERROR(__xludf.DUMMYFUNCTION("""COMPUTED_VALUE"""),1.0)</f>
        <v>1</v>
      </c>
      <c r="X54" s="2">
        <f>IFERROR(__xludf.DUMMYFUNCTION("""COMPUTED_VALUE"""),1.0)</f>
        <v>1</v>
      </c>
      <c r="Y54" s="1">
        <f>IFERROR(__xludf.DUMMYFUNCTION("""COMPUTED_VALUE"""),27.25)</f>
        <v>27.25</v>
      </c>
      <c r="Z54" s="1">
        <f>IFERROR(__xludf.DUMMYFUNCTION("""COMPUTED_VALUE"""),0.0)</f>
        <v>0</v>
      </c>
      <c r="AA54" s="2" t="str">
        <f>IFERROR(__xludf.DUMMYFUNCTION("""COMPUTED_VALUE"""),"")</f>
        <v/>
      </c>
      <c r="AB54" s="1">
        <f>IFERROR(__xludf.DUMMYFUNCTION("""COMPUTED_VALUE"""),17.56)</f>
        <v>17.56</v>
      </c>
      <c r="AC54" s="1">
        <f>IFERROR(__xludf.DUMMYFUNCTION("""COMPUTED_VALUE"""),833.33)</f>
        <v>833.33</v>
      </c>
      <c r="AD54" s="2">
        <f>IFERROR(__xludf.DUMMYFUNCTION("""COMPUTED_VALUE"""),0.02107208428833715)</f>
        <v>0.02107208429</v>
      </c>
      <c r="AE54" s="1">
        <f>IFERROR(__xludf.DUMMYFUNCTION("""COMPUTED_VALUE"""),229.74)</f>
        <v>229.74</v>
      </c>
      <c r="AF54" s="1">
        <f>IFERROR(__xludf.DUMMYFUNCTION("""COMPUTED_VALUE"""),1240.0)</f>
        <v>1240</v>
      </c>
      <c r="AG54" s="2">
        <f>IFERROR(__xludf.DUMMYFUNCTION("""COMPUTED_VALUE"""),0.18527419354838712)</f>
        <v>0.1852741935</v>
      </c>
      <c r="AH54" s="1">
        <f>IFERROR(__xludf.DUMMYFUNCTION("""COMPUTED_VALUE"""),1371.73)</f>
        <v>1371.73</v>
      </c>
      <c r="AI54" s="1">
        <f>IFERROR(__xludf.DUMMYFUNCTION("""COMPUTED_VALUE"""),1266.67)</f>
        <v>1266.67</v>
      </c>
      <c r="AJ54" s="2">
        <f>IFERROR(__xludf.DUMMYFUNCTION("""COMPUTED_VALUE"""),1.0829418869950342)</f>
        <v>1.082941887</v>
      </c>
      <c r="AK54" s="1">
        <f>IFERROR(__xludf.DUMMYFUNCTION("""COMPUTED_VALUE"""),1646.28)</f>
        <v>1646.28</v>
      </c>
      <c r="AL54" s="1">
        <f>IFERROR(__xludf.DUMMYFUNCTION("""COMPUTED_VALUE"""),3340.0)</f>
        <v>3340</v>
      </c>
      <c r="AM54" s="2">
        <f>IFERROR(__xludf.DUMMYFUNCTION("""COMPUTED_VALUE"""),0.4928982035928144)</f>
        <v>0.4928982036</v>
      </c>
      <c r="AN54" s="1">
        <f>IFERROR(__xludf.DUMMYFUNCTION("""COMPUTED_VALUE"""),80.57)</f>
        <v>80.57</v>
      </c>
      <c r="AO54" s="1">
        <f>IFERROR(__xludf.DUMMYFUNCTION("""COMPUTED_VALUE"""),0.0)</f>
        <v>0</v>
      </c>
      <c r="AP54" s="2" t="str">
        <f>IFERROR(__xludf.DUMMYFUNCTION("""COMPUTED_VALUE"""),"")</f>
        <v/>
      </c>
      <c r="AQ54" s="1">
        <f>IFERROR(__xludf.DUMMYFUNCTION("""COMPUTED_VALUE"""),4020.37)</f>
        <v>4020.37</v>
      </c>
      <c r="AR54" s="1">
        <f>IFERROR(__xludf.DUMMYFUNCTION("""COMPUTED_VALUE"""),0.0)</f>
        <v>0</v>
      </c>
      <c r="AS54" s="2" t="str">
        <f>IFERROR(__xludf.DUMMYFUNCTION("""COMPUTED_VALUE"""),"")</f>
        <v/>
      </c>
      <c r="AT54" s="1">
        <f>IFERROR(__xludf.DUMMYFUNCTION("""COMPUTED_VALUE"""),216.9)</f>
        <v>216.9</v>
      </c>
      <c r="AU54" s="1">
        <f>IFERROR(__xludf.DUMMYFUNCTION("""COMPUTED_VALUE"""),0.0)</f>
        <v>0</v>
      </c>
      <c r="AV54" s="2" t="str">
        <f>IFERROR(__xludf.DUMMYFUNCTION("""COMPUTED_VALUE"""),"")</f>
        <v/>
      </c>
      <c r="AW54" s="1">
        <f>IFERROR(__xludf.DUMMYFUNCTION("""COMPUTED_VALUE"""),32.17)</f>
        <v>32.17</v>
      </c>
      <c r="AX54" s="1">
        <f>IFERROR(__xludf.DUMMYFUNCTION("""COMPUTED_VALUE"""),0.0)</f>
        <v>0</v>
      </c>
      <c r="AY54" s="2" t="str">
        <f>IFERROR(__xludf.DUMMYFUNCTION("""COMPUTED_VALUE"""),"")</f>
        <v/>
      </c>
      <c r="AZ54" s="1">
        <f>IFERROR(__xludf.DUMMYFUNCTION("""COMPUTED_VALUE"""),4350.009999999999)</f>
        <v>4350.01</v>
      </c>
      <c r="BA54" s="1">
        <f>IFERROR(__xludf.DUMMYFUNCTION("""COMPUTED_VALUE"""),0.0)</f>
        <v>0</v>
      </c>
      <c r="BB54" s="2" t="str">
        <f>IFERROR(__xludf.DUMMYFUNCTION("""COMPUTED_VALUE"""),"")</f>
        <v/>
      </c>
    </row>
    <row r="55">
      <c r="A55" s="1" t="str">
        <f>IFERROR(__xludf.DUMMYFUNCTION("""COMPUTED_VALUE"""),"67e40c058a46218c3c09e342")</f>
        <v>67e40c058a46218c3c09e342</v>
      </c>
      <c r="B55" s="1" t="str">
        <f>IFERROR(__xludf.DUMMYFUNCTION("""COMPUTED_VALUE"""),"EGC Colombia SAS")</f>
        <v>EGC Colombia SAS</v>
      </c>
      <c r="C55" s="1" t="str">
        <f>IFERROR(__xludf.DUMMYFUNCTION("""COMPUTED_VALUE"""),"rui.silva@al-enterprise.com, javier.largacha@al-enterprise.com")</f>
        <v>rui.silva@al-enterprise.com, javier.largacha@al-enterprise.com</v>
      </c>
      <c r="D55" s="1" t="str">
        <f>IFERROR(__xludf.DUMMYFUNCTION("""COMPUTED_VALUE"""),"americas")</f>
        <v>americas</v>
      </c>
      <c r="E55" s="1" t="str">
        <f>IFERROR(__xludf.DUMMYFUNCTION("""COMPUTED_VALUE"""),"CO")</f>
        <v>CO</v>
      </c>
      <c r="F55" s="1"/>
      <c r="G55" s="1">
        <f>IFERROR(__xludf.DUMMYFUNCTION("""COMPUTED_VALUE"""),0.0)</f>
        <v>0</v>
      </c>
      <c r="H55" s="1">
        <f>IFERROR(__xludf.DUMMYFUNCTION("""COMPUTED_VALUE"""),1.0)</f>
        <v>1</v>
      </c>
      <c r="I55" s="2">
        <f>IFERROR(__xludf.DUMMYFUNCTION("""COMPUTED_VALUE"""),0.0)</f>
        <v>0</v>
      </c>
      <c r="J55" s="1">
        <f>IFERROR(__xludf.DUMMYFUNCTION("""COMPUTED_VALUE"""),0.0)</f>
        <v>0</v>
      </c>
      <c r="K55" s="1">
        <f>IFERROR(__xludf.DUMMYFUNCTION("""COMPUTED_VALUE"""),350.0)</f>
        <v>350</v>
      </c>
      <c r="L55" s="2">
        <f>IFERROR(__xludf.DUMMYFUNCTION("""COMPUTED_VALUE"""),0.0)</f>
        <v>0</v>
      </c>
      <c r="M55" s="1">
        <f>IFERROR(__xludf.DUMMYFUNCTION("""COMPUTED_VALUE"""),0.0)</f>
        <v>0</v>
      </c>
      <c r="N55" s="1">
        <f>IFERROR(__xludf.DUMMYFUNCTION("""COMPUTED_VALUE"""),0.0)</f>
        <v>0</v>
      </c>
      <c r="O55" s="2" t="str">
        <f>IFERROR(__xludf.DUMMYFUNCTION("""COMPUTED_VALUE"""),"")</f>
        <v/>
      </c>
      <c r="P55" s="1">
        <f>IFERROR(__xludf.DUMMYFUNCTION("""COMPUTED_VALUE"""),0.0)</f>
        <v>0</v>
      </c>
      <c r="Q55" s="1">
        <f>IFERROR(__xludf.DUMMYFUNCTION("""COMPUTED_VALUE"""),1.0)</f>
        <v>1</v>
      </c>
      <c r="R55" s="2">
        <f>IFERROR(__xludf.DUMMYFUNCTION("""COMPUTED_VALUE"""),0.0)</f>
        <v>0</v>
      </c>
      <c r="S55" s="1">
        <f>IFERROR(__xludf.DUMMYFUNCTION("""COMPUTED_VALUE"""),0.0)</f>
        <v>0</v>
      </c>
      <c r="T55" s="1">
        <f>IFERROR(__xludf.DUMMYFUNCTION("""COMPUTED_VALUE"""),1.0)</f>
        <v>1</v>
      </c>
      <c r="U55" s="2">
        <f>IFERROR(__xludf.DUMMYFUNCTION("""COMPUTED_VALUE"""),0.0)</f>
        <v>0</v>
      </c>
      <c r="V55" s="1">
        <f>IFERROR(__xludf.DUMMYFUNCTION("""COMPUTED_VALUE"""),0.0)</f>
        <v>0</v>
      </c>
      <c r="W55" s="1">
        <f>IFERROR(__xludf.DUMMYFUNCTION("""COMPUTED_VALUE"""),1.0)</f>
        <v>1</v>
      </c>
      <c r="X55" s="2">
        <f>IFERROR(__xludf.DUMMYFUNCTION("""COMPUTED_VALUE"""),0.0)</f>
        <v>0</v>
      </c>
      <c r="Y55" s="1">
        <f>IFERROR(__xludf.DUMMYFUNCTION("""COMPUTED_VALUE"""),0.0)</f>
        <v>0</v>
      </c>
      <c r="Z55" s="1">
        <f>IFERROR(__xludf.DUMMYFUNCTION("""COMPUTED_VALUE"""),0.0)</f>
        <v>0</v>
      </c>
      <c r="AA55" s="2" t="str">
        <f>IFERROR(__xludf.DUMMYFUNCTION("""COMPUTED_VALUE"""),"")</f>
        <v/>
      </c>
      <c r="AB55" s="1">
        <f>IFERROR(__xludf.DUMMYFUNCTION("""COMPUTED_VALUE"""),339.99)</f>
        <v>339.99</v>
      </c>
      <c r="AC55" s="1">
        <f>IFERROR(__xludf.DUMMYFUNCTION("""COMPUTED_VALUE"""),166.67)</f>
        <v>166.67</v>
      </c>
      <c r="AD55" s="2">
        <f>IFERROR(__xludf.DUMMYFUNCTION("""COMPUTED_VALUE"""),2.03989920201596)</f>
        <v>2.039899202</v>
      </c>
      <c r="AE55" s="1">
        <f>IFERROR(__xludf.DUMMYFUNCTION("""COMPUTED_VALUE"""),339.99)</f>
        <v>339.99</v>
      </c>
      <c r="AF55" s="1">
        <f>IFERROR(__xludf.DUMMYFUNCTION("""COMPUTED_VALUE"""),433.32)</f>
        <v>433.32</v>
      </c>
      <c r="AG55" s="2">
        <f>IFERROR(__xludf.DUMMYFUNCTION("""COMPUTED_VALUE"""),0.784616449736915)</f>
        <v>0.7846164497</v>
      </c>
      <c r="AH55" s="1">
        <f>IFERROR(__xludf.DUMMYFUNCTION("""COMPUTED_VALUE"""),0.0)</f>
        <v>0</v>
      </c>
      <c r="AI55" s="1">
        <f>IFERROR(__xludf.DUMMYFUNCTION("""COMPUTED_VALUE"""),566.68)</f>
        <v>566.68</v>
      </c>
      <c r="AJ55" s="2">
        <f>IFERROR(__xludf.DUMMYFUNCTION("""COMPUTED_VALUE"""),0.0)</f>
        <v>0</v>
      </c>
      <c r="AK55" s="1">
        <f>IFERROR(__xludf.DUMMYFUNCTION("""COMPUTED_VALUE"""),679.98)</f>
        <v>679.98</v>
      </c>
      <c r="AL55" s="1">
        <f>IFERROR(__xludf.DUMMYFUNCTION("""COMPUTED_VALUE"""),1166.67)</f>
        <v>1166.67</v>
      </c>
      <c r="AM55" s="2">
        <f>IFERROR(__xludf.DUMMYFUNCTION("""COMPUTED_VALUE"""),0.582838334747615)</f>
        <v>0.5828383347</v>
      </c>
      <c r="AN55" s="1">
        <f>IFERROR(__xludf.DUMMYFUNCTION("""COMPUTED_VALUE"""),0.0)</f>
        <v>0</v>
      </c>
      <c r="AO55" s="1">
        <f>IFERROR(__xludf.DUMMYFUNCTION("""COMPUTED_VALUE"""),0.0)</f>
        <v>0</v>
      </c>
      <c r="AP55" s="2" t="str">
        <f>IFERROR(__xludf.DUMMYFUNCTION("""COMPUTED_VALUE"""),"")</f>
        <v/>
      </c>
      <c r="AQ55" s="1">
        <f>IFERROR(__xludf.DUMMYFUNCTION("""COMPUTED_VALUE"""),0.0)</f>
        <v>0</v>
      </c>
      <c r="AR55" s="1">
        <f>IFERROR(__xludf.DUMMYFUNCTION("""COMPUTED_VALUE"""),0.0)</f>
        <v>0</v>
      </c>
      <c r="AS55" s="2" t="str">
        <f>IFERROR(__xludf.DUMMYFUNCTION("""COMPUTED_VALUE"""),"")</f>
        <v/>
      </c>
      <c r="AT55" s="1">
        <f>IFERROR(__xludf.DUMMYFUNCTION("""COMPUTED_VALUE"""),0.0)</f>
        <v>0</v>
      </c>
      <c r="AU55" s="1">
        <f>IFERROR(__xludf.DUMMYFUNCTION("""COMPUTED_VALUE"""),0.0)</f>
        <v>0</v>
      </c>
      <c r="AV55" s="2" t="str">
        <f>IFERROR(__xludf.DUMMYFUNCTION("""COMPUTED_VALUE"""),"")</f>
        <v/>
      </c>
      <c r="AW55" s="1">
        <f>IFERROR(__xludf.DUMMYFUNCTION("""COMPUTED_VALUE"""),0.0)</f>
        <v>0</v>
      </c>
      <c r="AX55" s="1">
        <f>IFERROR(__xludf.DUMMYFUNCTION("""COMPUTED_VALUE"""),0.0)</f>
        <v>0</v>
      </c>
      <c r="AY55" s="2" t="str">
        <f>IFERROR(__xludf.DUMMYFUNCTION("""COMPUTED_VALUE"""),"")</f>
        <v/>
      </c>
      <c r="AZ55" s="1">
        <f>IFERROR(__xludf.DUMMYFUNCTION("""COMPUTED_VALUE"""),0.0)</f>
        <v>0</v>
      </c>
      <c r="BA55" s="1">
        <f>IFERROR(__xludf.DUMMYFUNCTION("""COMPUTED_VALUE"""),0.0)</f>
        <v>0</v>
      </c>
      <c r="BB55" s="2" t="str">
        <f>IFERROR(__xludf.DUMMYFUNCTION("""COMPUTED_VALUE"""),"")</f>
        <v/>
      </c>
    </row>
    <row r="56">
      <c r="A56" s="1" t="str">
        <f>IFERROR(__xludf.DUMMYFUNCTION("""COMPUTED_VALUE"""),"6512933c39ed784394035282")</f>
        <v>6512933c39ed784394035282</v>
      </c>
      <c r="B56" s="1" t="str">
        <f>IFERROR(__xludf.DUMMYFUNCTION("""COMPUTED_VALUE"""),"EL-DA-NET GmbH")</f>
        <v>EL-DA-NET GmbH</v>
      </c>
      <c r="C56" s="1" t="str">
        <f>IFERROR(__xludf.DUMMYFUNCTION("""COMPUTED_VALUE"""),"philippe.girard@al-enterprise.com, rui.silva@al-enterprise.com, ralf.kloeppels@al-enterprise.com, katrin.pfeiffer@al-enterprise.com, sibylle.klopfer@al-enterprise.com, igor.leko@al-enterprise.com")</f>
        <v>philippe.girard@al-enterprise.com, rui.silva@al-enterprise.com, ralf.kloeppels@al-enterprise.com, katrin.pfeiffer@al-enterprise.com, sibylle.klopfer@al-enterprise.com, igor.leko@al-enterprise.com</v>
      </c>
      <c r="D56" s="1" t="str">
        <f>IFERROR(__xludf.DUMMYFUNCTION("""COMPUTED_VALUE"""),"germany")</f>
        <v>germany</v>
      </c>
      <c r="E56" s="1" t="str">
        <f>IFERROR(__xludf.DUMMYFUNCTION("""COMPUTED_VALUE"""),"DE")</f>
        <v>DE</v>
      </c>
      <c r="F56" s="1"/>
      <c r="G56" s="1">
        <f>IFERROR(__xludf.DUMMYFUNCTION("""COMPUTED_VALUE"""),0.0)</f>
        <v>0</v>
      </c>
      <c r="H56" s="1">
        <f>IFERROR(__xludf.DUMMYFUNCTION("""COMPUTED_VALUE"""),1.0)</f>
        <v>1</v>
      </c>
      <c r="I56" s="2">
        <f>IFERROR(__xludf.DUMMYFUNCTION("""COMPUTED_VALUE"""),0.0)</f>
        <v>0</v>
      </c>
      <c r="J56" s="1">
        <f>IFERROR(__xludf.DUMMYFUNCTION("""COMPUTED_VALUE"""),11.33)</f>
        <v>11.33</v>
      </c>
      <c r="K56" s="1">
        <f>IFERROR(__xludf.DUMMYFUNCTION("""COMPUTED_VALUE"""),0.0)</f>
        <v>0</v>
      </c>
      <c r="L56" s="2" t="str">
        <f>IFERROR(__xludf.DUMMYFUNCTION("""COMPUTED_VALUE"""),"")</f>
        <v/>
      </c>
      <c r="M56" s="1">
        <f>IFERROR(__xludf.DUMMYFUNCTION("""COMPUTED_VALUE"""),4.0)</f>
        <v>4</v>
      </c>
      <c r="N56" s="1">
        <f>IFERROR(__xludf.DUMMYFUNCTION("""COMPUTED_VALUE"""),52.0)</f>
        <v>52</v>
      </c>
      <c r="O56" s="2">
        <f>IFERROR(__xludf.DUMMYFUNCTION("""COMPUTED_VALUE"""),0.07692307692307693)</f>
        <v>0.07692307692</v>
      </c>
      <c r="P56" s="1">
        <f>IFERROR(__xludf.DUMMYFUNCTION("""COMPUTED_VALUE"""),0.0)</f>
        <v>0</v>
      </c>
      <c r="Q56" s="1">
        <f>IFERROR(__xludf.DUMMYFUNCTION("""COMPUTED_VALUE"""),1.0)</f>
        <v>1</v>
      </c>
      <c r="R56" s="2">
        <f>IFERROR(__xludf.DUMMYFUNCTION("""COMPUTED_VALUE"""),0.0)</f>
        <v>0</v>
      </c>
      <c r="S56" s="1">
        <f>IFERROR(__xludf.DUMMYFUNCTION("""COMPUTED_VALUE"""),1.0)</f>
        <v>1</v>
      </c>
      <c r="T56" s="1">
        <f>IFERROR(__xludf.DUMMYFUNCTION("""COMPUTED_VALUE"""),1.0)</f>
        <v>1</v>
      </c>
      <c r="U56" s="2">
        <f>IFERROR(__xludf.DUMMYFUNCTION("""COMPUTED_VALUE"""),1.0)</f>
        <v>1</v>
      </c>
      <c r="V56" s="1">
        <f>IFERROR(__xludf.DUMMYFUNCTION("""COMPUTED_VALUE"""),0.0)</f>
        <v>0</v>
      </c>
      <c r="W56" s="1">
        <f>IFERROR(__xludf.DUMMYFUNCTION("""COMPUTED_VALUE"""),1.0)</f>
        <v>1</v>
      </c>
      <c r="X56" s="2">
        <f>IFERROR(__xludf.DUMMYFUNCTION("""COMPUTED_VALUE"""),0.0)</f>
        <v>0</v>
      </c>
      <c r="Y56" s="1">
        <f>IFERROR(__xludf.DUMMYFUNCTION("""COMPUTED_VALUE"""),25.0)</f>
        <v>25</v>
      </c>
      <c r="Z56" s="1">
        <f>IFERROR(__xludf.DUMMYFUNCTION("""COMPUTED_VALUE"""),0.0)</f>
        <v>0</v>
      </c>
      <c r="AA56" s="2" t="str">
        <f>IFERROR(__xludf.DUMMYFUNCTION("""COMPUTED_VALUE"""),"")</f>
        <v/>
      </c>
      <c r="AB56" s="1">
        <f>IFERROR(__xludf.DUMMYFUNCTION("""COMPUTED_VALUE"""),25.0)</f>
        <v>25</v>
      </c>
      <c r="AC56" s="1">
        <f>IFERROR(__xludf.DUMMYFUNCTION("""COMPUTED_VALUE"""),0.0)</f>
        <v>0</v>
      </c>
      <c r="AD56" s="2" t="str">
        <f>IFERROR(__xludf.DUMMYFUNCTION("""COMPUTED_VALUE"""),"")</f>
        <v/>
      </c>
      <c r="AE56" s="1">
        <f>IFERROR(__xludf.DUMMYFUNCTION("""COMPUTED_VALUE"""),425.0)</f>
        <v>425</v>
      </c>
      <c r="AF56" s="1">
        <f>IFERROR(__xludf.DUMMYFUNCTION("""COMPUTED_VALUE"""),0.0)</f>
        <v>0</v>
      </c>
      <c r="AG56" s="2" t="str">
        <f>IFERROR(__xludf.DUMMYFUNCTION("""COMPUTED_VALUE"""),"")</f>
        <v/>
      </c>
      <c r="AH56" s="1">
        <f>IFERROR(__xludf.DUMMYFUNCTION("""COMPUTED_VALUE"""),265.0)</f>
        <v>265</v>
      </c>
      <c r="AI56" s="1">
        <f>IFERROR(__xludf.DUMMYFUNCTION("""COMPUTED_VALUE"""),0.0)</f>
        <v>0</v>
      </c>
      <c r="AJ56" s="2" t="str">
        <f>IFERROR(__xludf.DUMMYFUNCTION("""COMPUTED_VALUE"""),"")</f>
        <v/>
      </c>
      <c r="AK56" s="1">
        <f>IFERROR(__xludf.DUMMYFUNCTION("""COMPUTED_VALUE"""),740.0)</f>
        <v>740</v>
      </c>
      <c r="AL56" s="1">
        <f>IFERROR(__xludf.DUMMYFUNCTION("""COMPUTED_VALUE"""),0.0)</f>
        <v>0</v>
      </c>
      <c r="AM56" s="2" t="str">
        <f>IFERROR(__xludf.DUMMYFUNCTION("""COMPUTED_VALUE"""),"")</f>
        <v/>
      </c>
      <c r="AN56" s="1">
        <f>IFERROR(__xludf.DUMMYFUNCTION("""COMPUTED_VALUE"""),0.0)</f>
        <v>0</v>
      </c>
      <c r="AO56" s="1">
        <f>IFERROR(__xludf.DUMMYFUNCTION("""COMPUTED_VALUE"""),0.0)</f>
        <v>0</v>
      </c>
      <c r="AP56" s="2" t="str">
        <f>IFERROR(__xludf.DUMMYFUNCTION("""COMPUTED_VALUE"""),"")</f>
        <v/>
      </c>
      <c r="AQ56" s="1">
        <f>IFERROR(__xludf.DUMMYFUNCTION("""COMPUTED_VALUE"""),0.0)</f>
        <v>0</v>
      </c>
      <c r="AR56" s="1">
        <f>IFERROR(__xludf.DUMMYFUNCTION("""COMPUTED_VALUE"""),0.0)</f>
        <v>0</v>
      </c>
      <c r="AS56" s="2" t="str">
        <f>IFERROR(__xludf.DUMMYFUNCTION("""COMPUTED_VALUE"""),"")</f>
        <v/>
      </c>
      <c r="AT56" s="1">
        <f>IFERROR(__xludf.DUMMYFUNCTION("""COMPUTED_VALUE"""),0.0)</f>
        <v>0</v>
      </c>
      <c r="AU56" s="1">
        <f>IFERROR(__xludf.DUMMYFUNCTION("""COMPUTED_VALUE"""),0.0)</f>
        <v>0</v>
      </c>
      <c r="AV56" s="2" t="str">
        <f>IFERROR(__xludf.DUMMYFUNCTION("""COMPUTED_VALUE"""),"")</f>
        <v/>
      </c>
      <c r="AW56" s="1">
        <f>IFERROR(__xludf.DUMMYFUNCTION("""COMPUTED_VALUE"""),0.0)</f>
        <v>0</v>
      </c>
      <c r="AX56" s="1">
        <f>IFERROR(__xludf.DUMMYFUNCTION("""COMPUTED_VALUE"""),0.0)</f>
        <v>0</v>
      </c>
      <c r="AY56" s="2" t="str">
        <f>IFERROR(__xludf.DUMMYFUNCTION("""COMPUTED_VALUE"""),"")</f>
        <v/>
      </c>
      <c r="AZ56" s="1">
        <f>IFERROR(__xludf.DUMMYFUNCTION("""COMPUTED_VALUE"""),0.0)</f>
        <v>0</v>
      </c>
      <c r="BA56" s="1">
        <f>IFERROR(__xludf.DUMMYFUNCTION("""COMPUTED_VALUE"""),0.0)</f>
        <v>0</v>
      </c>
      <c r="BB56" s="2" t="str">
        <f>IFERROR(__xludf.DUMMYFUNCTION("""COMPUTED_VALUE"""),"")</f>
        <v/>
      </c>
    </row>
    <row r="57">
      <c r="A57" s="1" t="str">
        <f>IFERROR(__xludf.DUMMYFUNCTION("""COMPUTED_VALUE"""),"65e8269955648174440d988f")</f>
        <v>65e8269955648174440d988f</v>
      </c>
      <c r="B57" s="1" t="str">
        <f>IFERROR(__xludf.DUMMYFUNCTION("""COMPUTED_VALUE"""),"Enterprise Communications &amp; Services GmbH")</f>
        <v>Enterprise Communications &amp; Services GmbH</v>
      </c>
      <c r="C57" s="1" t="str">
        <f>IFERROR(__xludf.DUMMYFUNCTION("""COMPUTED_VALUE"""),"philippe.girard@al-enterprise.com, rui.silva@al-enterprise.com, thomas.ullmann@al-enterprise.com, andreas.grossheimann@al-enterprise.com")</f>
        <v>philippe.girard@al-enterprise.com, rui.silva@al-enterprise.com, thomas.ullmann@al-enterprise.com, andreas.grossheimann@al-enterprise.com</v>
      </c>
      <c r="D57" s="1" t="str">
        <f>IFERROR(__xludf.DUMMYFUNCTION("""COMPUTED_VALUE"""),"germany")</f>
        <v>germany</v>
      </c>
      <c r="E57" s="1" t="str">
        <f>IFERROR(__xludf.DUMMYFUNCTION("""COMPUTED_VALUE"""),"DE")</f>
        <v>DE</v>
      </c>
      <c r="F57" s="1" t="str">
        <f>IFERROR(__xludf.DUMMYFUNCTION("""COMPUTED_VALUE"""),"expert_200")</f>
        <v>expert_200</v>
      </c>
      <c r="G57" s="1">
        <f>IFERROR(__xludf.DUMMYFUNCTION("""COMPUTED_VALUE"""),0.0)</f>
        <v>0</v>
      </c>
      <c r="H57" s="1">
        <f>IFERROR(__xludf.DUMMYFUNCTION("""COMPUTED_VALUE"""),1.0)</f>
        <v>1</v>
      </c>
      <c r="I57" s="2">
        <f>IFERROR(__xludf.DUMMYFUNCTION("""COMPUTED_VALUE"""),0.0)</f>
        <v>0</v>
      </c>
      <c r="J57" s="1">
        <f>IFERROR(__xludf.DUMMYFUNCTION("""COMPUTED_VALUE"""),5.88)</f>
        <v>5.88</v>
      </c>
      <c r="K57" s="1">
        <f>IFERROR(__xludf.DUMMYFUNCTION("""COMPUTED_VALUE"""),0.0)</f>
        <v>0</v>
      </c>
      <c r="L57" s="2" t="str">
        <f>IFERROR(__xludf.DUMMYFUNCTION("""COMPUTED_VALUE"""),"")</f>
        <v/>
      </c>
      <c r="M57" s="1">
        <f>IFERROR(__xludf.DUMMYFUNCTION("""COMPUTED_VALUE"""),0.0)</f>
        <v>0</v>
      </c>
      <c r="N57" s="1">
        <f>IFERROR(__xludf.DUMMYFUNCTION("""COMPUTED_VALUE"""),0.0)</f>
        <v>0</v>
      </c>
      <c r="O57" s="2" t="str">
        <f>IFERROR(__xludf.DUMMYFUNCTION("""COMPUTED_VALUE"""),"")</f>
        <v/>
      </c>
      <c r="P57" s="1">
        <f>IFERROR(__xludf.DUMMYFUNCTION("""COMPUTED_VALUE"""),0.0)</f>
        <v>0</v>
      </c>
      <c r="Q57" s="1">
        <f>IFERROR(__xludf.DUMMYFUNCTION("""COMPUTED_VALUE"""),1.0)</f>
        <v>1</v>
      </c>
      <c r="R57" s="2">
        <f>IFERROR(__xludf.DUMMYFUNCTION("""COMPUTED_VALUE"""),0.0)</f>
        <v>0</v>
      </c>
      <c r="S57" s="1">
        <f>IFERROR(__xludf.DUMMYFUNCTION("""COMPUTED_VALUE"""),0.0)</f>
        <v>0</v>
      </c>
      <c r="T57" s="1">
        <f>IFERROR(__xludf.DUMMYFUNCTION("""COMPUTED_VALUE"""),1.0)</f>
        <v>1</v>
      </c>
      <c r="U57" s="2">
        <f>IFERROR(__xludf.DUMMYFUNCTION("""COMPUTED_VALUE"""),0.0)</f>
        <v>0</v>
      </c>
      <c r="V57" s="1">
        <f>IFERROR(__xludf.DUMMYFUNCTION("""COMPUTED_VALUE"""),0.0)</f>
        <v>0</v>
      </c>
      <c r="W57" s="1">
        <f>IFERROR(__xludf.DUMMYFUNCTION("""COMPUTED_VALUE"""),1.0)</f>
        <v>1</v>
      </c>
      <c r="X57" s="2">
        <f>IFERROR(__xludf.DUMMYFUNCTION("""COMPUTED_VALUE"""),0.0)</f>
        <v>0</v>
      </c>
      <c r="Y57" s="1">
        <f>IFERROR(__xludf.DUMMYFUNCTION("""COMPUTED_VALUE"""),148.6)</f>
        <v>148.6</v>
      </c>
      <c r="Z57" s="1">
        <f>IFERROR(__xludf.DUMMYFUNCTION("""COMPUTED_VALUE"""),0.0)</f>
        <v>0</v>
      </c>
      <c r="AA57" s="2" t="str">
        <f>IFERROR(__xludf.DUMMYFUNCTION("""COMPUTED_VALUE"""),"")</f>
        <v/>
      </c>
      <c r="AB57" s="1">
        <f>IFERROR(__xludf.DUMMYFUNCTION("""COMPUTED_VALUE"""),10.0)</f>
        <v>10</v>
      </c>
      <c r="AC57" s="1">
        <f>IFERROR(__xludf.DUMMYFUNCTION("""COMPUTED_VALUE"""),0.0)</f>
        <v>0</v>
      </c>
      <c r="AD57" s="2" t="str">
        <f>IFERROR(__xludf.DUMMYFUNCTION("""COMPUTED_VALUE"""),"")</f>
        <v/>
      </c>
      <c r="AE57" s="1">
        <f>IFERROR(__xludf.DUMMYFUNCTION("""COMPUTED_VALUE"""),800.0)</f>
        <v>800</v>
      </c>
      <c r="AF57" s="1">
        <f>IFERROR(__xludf.DUMMYFUNCTION("""COMPUTED_VALUE"""),0.0)</f>
        <v>0</v>
      </c>
      <c r="AG57" s="2" t="str">
        <f>IFERROR(__xludf.DUMMYFUNCTION("""COMPUTED_VALUE"""),"")</f>
        <v/>
      </c>
      <c r="AH57" s="1">
        <f>IFERROR(__xludf.DUMMYFUNCTION("""COMPUTED_VALUE"""),515.0)</f>
        <v>515</v>
      </c>
      <c r="AI57" s="1">
        <f>IFERROR(__xludf.DUMMYFUNCTION("""COMPUTED_VALUE"""),0.0)</f>
        <v>0</v>
      </c>
      <c r="AJ57" s="2" t="str">
        <f>IFERROR(__xludf.DUMMYFUNCTION("""COMPUTED_VALUE"""),"")</f>
        <v/>
      </c>
      <c r="AK57" s="1">
        <f>IFERROR(__xludf.DUMMYFUNCTION("""COMPUTED_VALUE"""),1473.6)</f>
        <v>1473.6</v>
      </c>
      <c r="AL57" s="1">
        <f>IFERROR(__xludf.DUMMYFUNCTION("""COMPUTED_VALUE"""),0.0)</f>
        <v>0</v>
      </c>
      <c r="AM57" s="2" t="str">
        <f>IFERROR(__xludf.DUMMYFUNCTION("""COMPUTED_VALUE"""),"")</f>
        <v/>
      </c>
      <c r="AN57" s="1">
        <f>IFERROR(__xludf.DUMMYFUNCTION("""COMPUTED_VALUE"""),0.0)</f>
        <v>0</v>
      </c>
      <c r="AO57" s="1">
        <f>IFERROR(__xludf.DUMMYFUNCTION("""COMPUTED_VALUE"""),0.0)</f>
        <v>0</v>
      </c>
      <c r="AP57" s="2" t="str">
        <f>IFERROR(__xludf.DUMMYFUNCTION("""COMPUTED_VALUE"""),"")</f>
        <v/>
      </c>
      <c r="AQ57" s="1">
        <f>IFERROR(__xludf.DUMMYFUNCTION("""COMPUTED_VALUE"""),11.0)</f>
        <v>11</v>
      </c>
      <c r="AR57" s="1">
        <f>IFERROR(__xludf.DUMMYFUNCTION("""COMPUTED_VALUE"""),0.0)</f>
        <v>0</v>
      </c>
      <c r="AS57" s="2" t="str">
        <f>IFERROR(__xludf.DUMMYFUNCTION("""COMPUTED_VALUE"""),"")</f>
        <v/>
      </c>
      <c r="AT57" s="1">
        <f>IFERROR(__xludf.DUMMYFUNCTION("""COMPUTED_VALUE"""),0.0)</f>
        <v>0</v>
      </c>
      <c r="AU57" s="1">
        <f>IFERROR(__xludf.DUMMYFUNCTION("""COMPUTED_VALUE"""),0.0)</f>
        <v>0</v>
      </c>
      <c r="AV57" s="2" t="str">
        <f>IFERROR(__xludf.DUMMYFUNCTION("""COMPUTED_VALUE"""),"")</f>
        <v/>
      </c>
      <c r="AW57" s="1">
        <f>IFERROR(__xludf.DUMMYFUNCTION("""COMPUTED_VALUE"""),0.0)</f>
        <v>0</v>
      </c>
      <c r="AX57" s="1">
        <f>IFERROR(__xludf.DUMMYFUNCTION("""COMPUTED_VALUE"""),0.0)</f>
        <v>0</v>
      </c>
      <c r="AY57" s="2" t="str">
        <f>IFERROR(__xludf.DUMMYFUNCTION("""COMPUTED_VALUE"""),"")</f>
        <v/>
      </c>
      <c r="AZ57" s="1">
        <f>IFERROR(__xludf.DUMMYFUNCTION("""COMPUTED_VALUE"""),11.0)</f>
        <v>11</v>
      </c>
      <c r="BA57" s="1">
        <f>IFERROR(__xludf.DUMMYFUNCTION("""COMPUTED_VALUE"""),0.0)</f>
        <v>0</v>
      </c>
      <c r="BB57" s="2" t="str">
        <f>IFERROR(__xludf.DUMMYFUNCTION("""COMPUTED_VALUE"""),"")</f>
        <v/>
      </c>
    </row>
    <row r="58">
      <c r="A58" s="1" t="str">
        <f>IFERROR(__xludf.DUMMYFUNCTION("""COMPUTED_VALUE"""),"63ef9d57384f27260c1ba24f")</f>
        <v>63ef9d57384f27260c1ba24f</v>
      </c>
      <c r="B58" s="1" t="str">
        <f>IFERROR(__xludf.DUMMYFUNCTION("""COMPUTED_VALUE"""),"Esprinet Iberica S.L.U.")</f>
        <v>Esprinet Iberica S.L.U.</v>
      </c>
      <c r="C58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58" s="1" t="str">
        <f>IFERROR(__xludf.DUMMYFUNCTION("""COMPUTED_VALUE"""),"emea")</f>
        <v>emea</v>
      </c>
      <c r="E58" s="1" t="str">
        <f>IFERROR(__xludf.DUMMYFUNCTION("""COMPUTED_VALUE"""),"ES")</f>
        <v>ES</v>
      </c>
      <c r="F58" s="1" t="str">
        <f>IFERROR(__xludf.DUMMYFUNCTION("""COMPUTED_VALUE"""),"distributor")</f>
        <v>distributor</v>
      </c>
      <c r="G58" s="1">
        <f>IFERROR(__xludf.DUMMYFUNCTION("""COMPUTED_VALUE"""),1.0)</f>
        <v>1</v>
      </c>
      <c r="H58" s="1">
        <f>IFERROR(__xludf.DUMMYFUNCTION("""COMPUTED_VALUE"""),1.0)</f>
        <v>1</v>
      </c>
      <c r="I58" s="2">
        <f>IFERROR(__xludf.DUMMYFUNCTION("""COMPUTED_VALUE"""),1.0)</f>
        <v>1</v>
      </c>
      <c r="J58" s="1">
        <f>IFERROR(__xludf.DUMMYFUNCTION("""COMPUTED_VALUE"""),331.81)</f>
        <v>331.81</v>
      </c>
      <c r="K58" s="1">
        <f>IFERROR(__xludf.DUMMYFUNCTION("""COMPUTED_VALUE"""),1000.0)</f>
        <v>1000</v>
      </c>
      <c r="L58" s="2">
        <f>IFERROR(__xludf.DUMMYFUNCTION("""COMPUTED_VALUE"""),0.33181)</f>
        <v>0.33181</v>
      </c>
      <c r="M58" s="1">
        <f>IFERROR(__xludf.DUMMYFUNCTION("""COMPUTED_VALUE"""),12.0)</f>
        <v>12</v>
      </c>
      <c r="N58" s="1">
        <f>IFERROR(__xludf.DUMMYFUNCTION("""COMPUTED_VALUE"""),56.0)</f>
        <v>56</v>
      </c>
      <c r="O58" s="2">
        <f>IFERROR(__xludf.DUMMYFUNCTION("""COMPUTED_VALUE"""),0.21428571428571427)</f>
        <v>0.2142857143</v>
      </c>
      <c r="P58" s="1">
        <f>IFERROR(__xludf.DUMMYFUNCTION("""COMPUTED_VALUE"""),0.0)</f>
        <v>0</v>
      </c>
      <c r="Q58" s="1">
        <f>IFERROR(__xludf.DUMMYFUNCTION("""COMPUTED_VALUE"""),1.0)</f>
        <v>1</v>
      </c>
      <c r="R58" s="2">
        <f>IFERROR(__xludf.DUMMYFUNCTION("""COMPUTED_VALUE"""),0.0)</f>
        <v>0</v>
      </c>
      <c r="S58" s="1">
        <f>IFERROR(__xludf.DUMMYFUNCTION("""COMPUTED_VALUE"""),0.0)</f>
        <v>0</v>
      </c>
      <c r="T58" s="1">
        <f>IFERROR(__xludf.DUMMYFUNCTION("""COMPUTED_VALUE"""),1.0)</f>
        <v>1</v>
      </c>
      <c r="U58" s="2">
        <f>IFERROR(__xludf.DUMMYFUNCTION("""COMPUTED_VALUE"""),0.0)</f>
        <v>0</v>
      </c>
      <c r="V58" s="1">
        <f>IFERROR(__xludf.DUMMYFUNCTION("""COMPUTED_VALUE"""),0.0)</f>
        <v>0</v>
      </c>
      <c r="W58" s="1">
        <f>IFERROR(__xludf.DUMMYFUNCTION("""COMPUTED_VALUE"""),1.0)</f>
        <v>1</v>
      </c>
      <c r="X58" s="2">
        <f>IFERROR(__xludf.DUMMYFUNCTION("""COMPUTED_VALUE"""),0.0)</f>
        <v>0</v>
      </c>
      <c r="Y58" s="1">
        <f>IFERROR(__xludf.DUMMYFUNCTION("""COMPUTED_VALUE"""),5.0)</f>
        <v>5</v>
      </c>
      <c r="Z58" s="1">
        <f>IFERROR(__xludf.DUMMYFUNCTION("""COMPUTED_VALUE"""),0.0)</f>
        <v>0</v>
      </c>
      <c r="AA58" s="2" t="str">
        <f>IFERROR(__xludf.DUMMYFUNCTION("""COMPUTED_VALUE"""),"")</f>
        <v/>
      </c>
      <c r="AB58" s="1">
        <f>IFERROR(__xludf.DUMMYFUNCTION("""COMPUTED_VALUE"""),11.0)</f>
        <v>11</v>
      </c>
      <c r="AC58" s="1">
        <f>IFERROR(__xludf.DUMMYFUNCTION("""COMPUTED_VALUE"""),808.82)</f>
        <v>808.82</v>
      </c>
      <c r="AD58" s="2">
        <f>IFERROR(__xludf.DUMMYFUNCTION("""COMPUTED_VALUE"""),0.013600059345713508)</f>
        <v>0.01360005935</v>
      </c>
      <c r="AE58" s="1">
        <f>IFERROR(__xludf.DUMMYFUNCTION("""COMPUTED_VALUE"""),40.0)</f>
        <v>40</v>
      </c>
      <c r="AF58" s="1">
        <f>IFERROR(__xludf.DUMMYFUNCTION("""COMPUTED_VALUE"""),808.82)</f>
        <v>808.82</v>
      </c>
      <c r="AG58" s="2">
        <f>IFERROR(__xludf.DUMMYFUNCTION("""COMPUTED_VALUE"""),0.04945476125714003)</f>
        <v>0.04945476126</v>
      </c>
      <c r="AH58" s="1">
        <f>IFERROR(__xludf.DUMMYFUNCTION("""COMPUTED_VALUE"""),40.0)</f>
        <v>40</v>
      </c>
      <c r="AI58" s="1">
        <f>IFERROR(__xludf.DUMMYFUNCTION("""COMPUTED_VALUE"""),808.82)</f>
        <v>808.82</v>
      </c>
      <c r="AJ58" s="2">
        <f>IFERROR(__xludf.DUMMYFUNCTION("""COMPUTED_VALUE"""),0.04945476125714003)</f>
        <v>0.04945476126</v>
      </c>
      <c r="AK58" s="1">
        <f>IFERROR(__xludf.DUMMYFUNCTION("""COMPUTED_VALUE"""),96.0)</f>
        <v>96</v>
      </c>
      <c r="AL58" s="1">
        <f>IFERROR(__xludf.DUMMYFUNCTION("""COMPUTED_VALUE"""),2426.46)</f>
        <v>2426.46</v>
      </c>
      <c r="AM58" s="2">
        <f>IFERROR(__xludf.DUMMYFUNCTION("""COMPUTED_VALUE"""),0.039563809005712026)</f>
        <v>0.03956380901</v>
      </c>
      <c r="AN58" s="1">
        <f>IFERROR(__xludf.DUMMYFUNCTION("""COMPUTED_VALUE"""),0.0)</f>
        <v>0</v>
      </c>
      <c r="AO58" s="1">
        <f>IFERROR(__xludf.DUMMYFUNCTION("""COMPUTED_VALUE"""),0.0)</f>
        <v>0</v>
      </c>
      <c r="AP58" s="2" t="str">
        <f>IFERROR(__xludf.DUMMYFUNCTION("""COMPUTED_VALUE"""),"")</f>
        <v/>
      </c>
      <c r="AQ58" s="1">
        <f>IFERROR(__xludf.DUMMYFUNCTION("""COMPUTED_VALUE"""),0.0)</f>
        <v>0</v>
      </c>
      <c r="AR58" s="1">
        <f>IFERROR(__xludf.DUMMYFUNCTION("""COMPUTED_VALUE"""),0.0)</f>
        <v>0</v>
      </c>
      <c r="AS58" s="2" t="str">
        <f>IFERROR(__xludf.DUMMYFUNCTION("""COMPUTED_VALUE"""),"")</f>
        <v/>
      </c>
      <c r="AT58" s="1">
        <f>IFERROR(__xludf.DUMMYFUNCTION("""COMPUTED_VALUE"""),24.93)</f>
        <v>24.93</v>
      </c>
      <c r="AU58" s="1">
        <f>IFERROR(__xludf.DUMMYFUNCTION("""COMPUTED_VALUE"""),0.0)</f>
        <v>0</v>
      </c>
      <c r="AV58" s="2" t="str">
        <f>IFERROR(__xludf.DUMMYFUNCTION("""COMPUTED_VALUE"""),"")</f>
        <v/>
      </c>
      <c r="AW58" s="1">
        <f>IFERROR(__xludf.DUMMYFUNCTION("""COMPUTED_VALUE"""),0.0)</f>
        <v>0</v>
      </c>
      <c r="AX58" s="1">
        <f>IFERROR(__xludf.DUMMYFUNCTION("""COMPUTED_VALUE"""),0.0)</f>
        <v>0</v>
      </c>
      <c r="AY58" s="2" t="str">
        <f>IFERROR(__xludf.DUMMYFUNCTION("""COMPUTED_VALUE"""),"")</f>
        <v/>
      </c>
      <c r="AZ58" s="1">
        <f>IFERROR(__xludf.DUMMYFUNCTION("""COMPUTED_VALUE"""),24.93)</f>
        <v>24.93</v>
      </c>
      <c r="BA58" s="1">
        <f>IFERROR(__xludf.DUMMYFUNCTION("""COMPUTED_VALUE"""),0.0)</f>
        <v>0</v>
      </c>
      <c r="BB58" s="2" t="str">
        <f>IFERROR(__xludf.DUMMYFUNCTION("""COMPUTED_VALUE"""),"")</f>
        <v/>
      </c>
    </row>
    <row r="59">
      <c r="A59" s="1" t="str">
        <f>IFERROR(__xludf.DUMMYFUNCTION("""COMPUTED_VALUE"""),"63ea6e9352ad6968805ceafd")</f>
        <v>63ea6e9352ad6968805ceafd</v>
      </c>
      <c r="B59" s="1" t="str">
        <f>IFERROR(__xludf.DUMMYFUNCTION("""COMPUTED_VALUE"""),"ETF GmbH")</f>
        <v>ETF GmbH</v>
      </c>
      <c r="C59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59" s="1" t="str">
        <f>IFERROR(__xludf.DUMMYFUNCTION("""COMPUTED_VALUE"""),"germany")</f>
        <v>germany</v>
      </c>
      <c r="E59" s="1" t="str">
        <f>IFERROR(__xludf.DUMMYFUNCTION("""COMPUTED_VALUE"""),"DE")</f>
        <v>DE</v>
      </c>
      <c r="F59" s="1" t="str">
        <f>IFERROR(__xludf.DUMMYFUNCTION("""COMPUTED_VALUE"""),"expert_200")</f>
        <v>expert_200</v>
      </c>
      <c r="G59" s="1">
        <f>IFERROR(__xludf.DUMMYFUNCTION("""COMPUTED_VALUE"""),1.0)</f>
        <v>1</v>
      </c>
      <c r="H59" s="1">
        <f>IFERROR(__xludf.DUMMYFUNCTION("""COMPUTED_VALUE"""),1.0)</f>
        <v>1</v>
      </c>
      <c r="I59" s="2">
        <f>IFERROR(__xludf.DUMMYFUNCTION("""COMPUTED_VALUE"""),1.0)</f>
        <v>1</v>
      </c>
      <c r="J59" s="1">
        <f>IFERROR(__xludf.DUMMYFUNCTION("""COMPUTED_VALUE"""),75.08)</f>
        <v>75.08</v>
      </c>
      <c r="K59" s="1">
        <f>IFERROR(__xludf.DUMMYFUNCTION("""COMPUTED_VALUE"""),326.0)</f>
        <v>326</v>
      </c>
      <c r="L59" s="2">
        <f>IFERROR(__xludf.DUMMYFUNCTION("""COMPUTED_VALUE"""),0.23030674846625768)</f>
        <v>0.2303067485</v>
      </c>
      <c r="M59" s="1">
        <f>IFERROR(__xludf.DUMMYFUNCTION("""COMPUTED_VALUE"""),16.0)</f>
        <v>16</v>
      </c>
      <c r="N59" s="1">
        <f>IFERROR(__xludf.DUMMYFUNCTION("""COMPUTED_VALUE"""),52.0)</f>
        <v>52</v>
      </c>
      <c r="O59" s="2">
        <f>IFERROR(__xludf.DUMMYFUNCTION("""COMPUTED_VALUE"""),0.3076923076923077)</f>
        <v>0.3076923077</v>
      </c>
      <c r="P59" s="1">
        <f>IFERROR(__xludf.DUMMYFUNCTION("""COMPUTED_VALUE"""),1.0)</f>
        <v>1</v>
      </c>
      <c r="Q59" s="1">
        <f>IFERROR(__xludf.DUMMYFUNCTION("""COMPUTED_VALUE"""),1.0)</f>
        <v>1</v>
      </c>
      <c r="R59" s="2">
        <f>IFERROR(__xludf.DUMMYFUNCTION("""COMPUTED_VALUE"""),1.0)</f>
        <v>1</v>
      </c>
      <c r="S59" s="1">
        <f>IFERROR(__xludf.DUMMYFUNCTION("""COMPUTED_VALUE"""),0.0)</f>
        <v>0</v>
      </c>
      <c r="T59" s="1">
        <f>IFERROR(__xludf.DUMMYFUNCTION("""COMPUTED_VALUE"""),1.0)</f>
        <v>1</v>
      </c>
      <c r="U59" s="2">
        <f>IFERROR(__xludf.DUMMYFUNCTION("""COMPUTED_VALUE"""),0.0)</f>
        <v>0</v>
      </c>
      <c r="V59" s="1">
        <f>IFERROR(__xludf.DUMMYFUNCTION("""COMPUTED_VALUE"""),0.0)</f>
        <v>0</v>
      </c>
      <c r="W59" s="1">
        <f>IFERROR(__xludf.DUMMYFUNCTION("""COMPUTED_VALUE"""),1.0)</f>
        <v>1</v>
      </c>
      <c r="X59" s="2">
        <f>IFERROR(__xludf.DUMMYFUNCTION("""COMPUTED_VALUE"""),0.0)</f>
        <v>0</v>
      </c>
      <c r="Y59" s="1">
        <f>IFERROR(__xludf.DUMMYFUNCTION("""COMPUTED_VALUE"""),1.13)</f>
        <v>1.13</v>
      </c>
      <c r="Z59" s="1">
        <f>IFERROR(__xludf.DUMMYFUNCTION("""COMPUTED_VALUE"""),0.0)</f>
        <v>0</v>
      </c>
      <c r="AA59" s="2" t="str">
        <f>IFERROR(__xludf.DUMMYFUNCTION("""COMPUTED_VALUE"""),"")</f>
        <v/>
      </c>
      <c r="AB59" s="1">
        <f>IFERROR(__xludf.DUMMYFUNCTION("""COMPUTED_VALUE"""),0.1)</f>
        <v>0.1</v>
      </c>
      <c r="AC59" s="1">
        <f>IFERROR(__xludf.DUMMYFUNCTION("""COMPUTED_VALUE"""),171.58)</f>
        <v>171.58</v>
      </c>
      <c r="AD59" s="2">
        <f>IFERROR(__xludf.DUMMYFUNCTION("""COMPUTED_VALUE"""),5.828185103158877E-4)</f>
        <v>0.0005828185103</v>
      </c>
      <c r="AE59" s="1">
        <f>IFERROR(__xludf.DUMMYFUNCTION("""COMPUTED_VALUE"""),79.43)</f>
        <v>79.43</v>
      </c>
      <c r="AF59" s="1">
        <f>IFERROR(__xludf.DUMMYFUNCTION("""COMPUTED_VALUE"""),257.37)</f>
        <v>257.37</v>
      </c>
      <c r="AG59" s="2">
        <f>IFERROR(__xludf.DUMMYFUNCTION("""COMPUTED_VALUE"""),0.3086218284959397)</f>
        <v>0.3086218285</v>
      </c>
      <c r="AH59" s="1">
        <f>IFERROR(__xludf.DUMMYFUNCTION("""COMPUTED_VALUE"""),73.23)</f>
        <v>73.23</v>
      </c>
      <c r="AI59" s="1">
        <f>IFERROR(__xludf.DUMMYFUNCTION("""COMPUTED_VALUE"""),257.37)</f>
        <v>257.37</v>
      </c>
      <c r="AJ59" s="2">
        <f>IFERROR(__xludf.DUMMYFUNCTION("""COMPUTED_VALUE"""),0.2845319967362164)</f>
        <v>0.2845319967</v>
      </c>
      <c r="AK59" s="1">
        <f>IFERROR(__xludf.DUMMYFUNCTION("""COMPUTED_VALUE"""),153.89000000000001)</f>
        <v>153.89</v>
      </c>
      <c r="AL59" s="1">
        <f>IFERROR(__xludf.DUMMYFUNCTION("""COMPUTED_VALUE"""),686.32)</f>
        <v>686.32</v>
      </c>
      <c r="AM59" s="2">
        <f>IFERROR(__xludf.DUMMYFUNCTION("""COMPUTED_VALUE"""),0.22422485138127987)</f>
        <v>0.2242248514</v>
      </c>
      <c r="AN59" s="1">
        <f>IFERROR(__xludf.DUMMYFUNCTION("""COMPUTED_VALUE"""),0.0)</f>
        <v>0</v>
      </c>
      <c r="AO59" s="1">
        <f>IFERROR(__xludf.DUMMYFUNCTION("""COMPUTED_VALUE"""),0.0)</f>
        <v>0</v>
      </c>
      <c r="AP59" s="2" t="str">
        <f>IFERROR(__xludf.DUMMYFUNCTION("""COMPUTED_VALUE"""),"")</f>
        <v/>
      </c>
      <c r="AQ59" s="1">
        <f>IFERROR(__xludf.DUMMYFUNCTION("""COMPUTED_VALUE"""),0.0)</f>
        <v>0</v>
      </c>
      <c r="AR59" s="1">
        <f>IFERROR(__xludf.DUMMYFUNCTION("""COMPUTED_VALUE"""),0.0)</f>
        <v>0</v>
      </c>
      <c r="AS59" s="2" t="str">
        <f>IFERROR(__xludf.DUMMYFUNCTION("""COMPUTED_VALUE"""),"")</f>
        <v/>
      </c>
      <c r="AT59" s="1">
        <f>IFERROR(__xludf.DUMMYFUNCTION("""COMPUTED_VALUE"""),0.0)</f>
        <v>0</v>
      </c>
      <c r="AU59" s="1">
        <f>IFERROR(__xludf.DUMMYFUNCTION("""COMPUTED_VALUE"""),0.0)</f>
        <v>0</v>
      </c>
      <c r="AV59" s="2" t="str">
        <f>IFERROR(__xludf.DUMMYFUNCTION("""COMPUTED_VALUE"""),"")</f>
        <v/>
      </c>
      <c r="AW59" s="1">
        <f>IFERROR(__xludf.DUMMYFUNCTION("""COMPUTED_VALUE"""),0.0)</f>
        <v>0</v>
      </c>
      <c r="AX59" s="1">
        <f>IFERROR(__xludf.DUMMYFUNCTION("""COMPUTED_VALUE"""),0.0)</f>
        <v>0</v>
      </c>
      <c r="AY59" s="2" t="str">
        <f>IFERROR(__xludf.DUMMYFUNCTION("""COMPUTED_VALUE"""),"")</f>
        <v/>
      </c>
      <c r="AZ59" s="1">
        <f>IFERROR(__xludf.DUMMYFUNCTION("""COMPUTED_VALUE"""),0.0)</f>
        <v>0</v>
      </c>
      <c r="BA59" s="1">
        <f>IFERROR(__xludf.DUMMYFUNCTION("""COMPUTED_VALUE"""),0.0)</f>
        <v>0</v>
      </c>
      <c r="BB59" s="2" t="str">
        <f>IFERROR(__xludf.DUMMYFUNCTION("""COMPUTED_VALUE"""),"")</f>
        <v/>
      </c>
    </row>
    <row r="60">
      <c r="A60" s="1" t="str">
        <f>IFERROR(__xludf.DUMMYFUNCTION("""COMPUTED_VALUE"""),"63ea6e9452ad6968805ceb7b")</f>
        <v>63ea6e9452ad6968805ceb7b</v>
      </c>
      <c r="B60" s="1" t="str">
        <f>IFERROR(__xludf.DUMMYFUNCTION("""COMPUTED_VALUE"""),"ETK networks solution GmbH")</f>
        <v>ETK networks solution GmbH</v>
      </c>
      <c r="C60" s="1" t="str">
        <f>IFERROR(__xludf.DUMMYFUNCTION("""COMPUTED_VALUE"""),"andreas.grossheimann@al-enterprise.com, samantha.hunt@al-enterprise.com, katrin.pfeiffer@al-enterprise.com, sibylle.klopfer@al-enterprise.com, igor.leko@al-enterprise.com, hakan.adiguezel@al-enterprise.com")</f>
        <v>andreas.grossheimann@al-enterprise.com, samantha.hunt@al-enterprise.com, katrin.pfeiffer@al-enterprise.com, sibylle.klopfer@al-enterprise.com, igor.leko@al-enterprise.com, hakan.adiguezel@al-enterprise.com</v>
      </c>
      <c r="D60" s="1" t="str">
        <f>IFERROR(__xludf.DUMMYFUNCTION("""COMPUTED_VALUE"""),"germany")</f>
        <v>germany</v>
      </c>
      <c r="E60" s="1" t="str">
        <f>IFERROR(__xludf.DUMMYFUNCTION("""COMPUTED_VALUE"""),"DE")</f>
        <v>DE</v>
      </c>
      <c r="F60" s="1" t="str">
        <f>IFERROR(__xludf.DUMMYFUNCTION("""COMPUTED_VALUE"""),"expert_200")</f>
        <v>expert_200</v>
      </c>
      <c r="G60" s="1">
        <f>IFERROR(__xludf.DUMMYFUNCTION("""COMPUTED_VALUE"""),0.0)</f>
        <v>0</v>
      </c>
      <c r="H60" s="1">
        <f>IFERROR(__xludf.DUMMYFUNCTION("""COMPUTED_VALUE"""),1.0)</f>
        <v>1</v>
      </c>
      <c r="I60" s="2">
        <f>IFERROR(__xludf.DUMMYFUNCTION("""COMPUTED_VALUE"""),0.0)</f>
        <v>0</v>
      </c>
      <c r="J60" s="1">
        <f>IFERROR(__xludf.DUMMYFUNCTION("""COMPUTED_VALUE"""),184.06)</f>
        <v>184.06</v>
      </c>
      <c r="K60" s="1">
        <f>IFERROR(__xludf.DUMMYFUNCTION("""COMPUTED_VALUE"""),450.0)</f>
        <v>450</v>
      </c>
      <c r="L60" s="2">
        <f>IFERROR(__xludf.DUMMYFUNCTION("""COMPUTED_VALUE"""),0.40902222222222223)</f>
        <v>0.4090222222</v>
      </c>
      <c r="M60" s="1">
        <f>IFERROR(__xludf.DUMMYFUNCTION("""COMPUTED_VALUE"""),50.0)</f>
        <v>50</v>
      </c>
      <c r="N60" s="1">
        <f>IFERROR(__xludf.DUMMYFUNCTION("""COMPUTED_VALUE"""),52.0)</f>
        <v>52</v>
      </c>
      <c r="O60" s="2">
        <f>IFERROR(__xludf.DUMMYFUNCTION("""COMPUTED_VALUE"""),0.9615384615384616)</f>
        <v>0.9615384615</v>
      </c>
      <c r="P60" s="1">
        <f>IFERROR(__xludf.DUMMYFUNCTION("""COMPUTED_VALUE"""),1.0)</f>
        <v>1</v>
      </c>
      <c r="Q60" s="1">
        <f>IFERROR(__xludf.DUMMYFUNCTION("""COMPUTED_VALUE"""),1.0)</f>
        <v>1</v>
      </c>
      <c r="R60" s="2">
        <f>IFERROR(__xludf.DUMMYFUNCTION("""COMPUTED_VALUE"""),1.0)</f>
        <v>1</v>
      </c>
      <c r="S60" s="1">
        <f>IFERROR(__xludf.DUMMYFUNCTION("""COMPUTED_VALUE"""),0.0)</f>
        <v>0</v>
      </c>
      <c r="T60" s="1">
        <f>IFERROR(__xludf.DUMMYFUNCTION("""COMPUTED_VALUE"""),1.0)</f>
        <v>1</v>
      </c>
      <c r="U60" s="2">
        <f>IFERROR(__xludf.DUMMYFUNCTION("""COMPUTED_VALUE"""),0.0)</f>
        <v>0</v>
      </c>
      <c r="V60" s="1">
        <f>IFERROR(__xludf.DUMMYFUNCTION("""COMPUTED_VALUE"""),0.0)</f>
        <v>0</v>
      </c>
      <c r="W60" s="1">
        <f>IFERROR(__xludf.DUMMYFUNCTION("""COMPUTED_VALUE"""),1.0)</f>
        <v>1</v>
      </c>
      <c r="X60" s="2">
        <f>IFERROR(__xludf.DUMMYFUNCTION("""COMPUTED_VALUE"""),0.0)</f>
        <v>0</v>
      </c>
      <c r="Y60" s="1">
        <f>IFERROR(__xludf.DUMMYFUNCTION("""COMPUTED_VALUE"""),1.41)</f>
        <v>1.41</v>
      </c>
      <c r="Z60" s="1">
        <f>IFERROR(__xludf.DUMMYFUNCTION("""COMPUTED_VALUE"""),0.0)</f>
        <v>0</v>
      </c>
      <c r="AA60" s="2" t="str">
        <f>IFERROR(__xludf.DUMMYFUNCTION("""COMPUTED_VALUE"""),"")</f>
        <v/>
      </c>
      <c r="AB60" s="1">
        <f>IFERROR(__xludf.DUMMYFUNCTION("""COMPUTED_VALUE"""),10.0)</f>
        <v>10</v>
      </c>
      <c r="AC60" s="1">
        <f>IFERROR(__xludf.DUMMYFUNCTION("""COMPUTED_VALUE"""),191.49)</f>
        <v>191.49</v>
      </c>
      <c r="AD60" s="2">
        <f>IFERROR(__xludf.DUMMYFUNCTION("""COMPUTED_VALUE"""),0.05222204814872839)</f>
        <v>0.05222204815</v>
      </c>
      <c r="AE60" s="1">
        <f>IFERROR(__xludf.DUMMYFUNCTION("""COMPUTED_VALUE"""),40.46)</f>
        <v>40.46</v>
      </c>
      <c r="AF60" s="1">
        <f>IFERROR(__xludf.DUMMYFUNCTION("""COMPUTED_VALUE"""),287.23)</f>
        <v>287.23</v>
      </c>
      <c r="AG60" s="2">
        <f>IFERROR(__xludf.DUMMYFUNCTION("""COMPUTED_VALUE"""),0.14086272325314209)</f>
        <v>0.1408627233</v>
      </c>
      <c r="AH60" s="1">
        <f>IFERROR(__xludf.DUMMYFUNCTION("""COMPUTED_VALUE"""),506.26)</f>
        <v>506.26</v>
      </c>
      <c r="AI60" s="1">
        <f>IFERROR(__xludf.DUMMYFUNCTION("""COMPUTED_VALUE"""),287.23)</f>
        <v>287.23</v>
      </c>
      <c r="AJ60" s="2">
        <f>IFERROR(__xludf.DUMMYFUNCTION("""COMPUTED_VALUE"""),1.7625596212094836)</f>
        <v>1.762559621</v>
      </c>
      <c r="AK60" s="1">
        <f>IFERROR(__xludf.DUMMYFUNCTION("""COMPUTED_VALUE"""),558.13)</f>
        <v>558.13</v>
      </c>
      <c r="AL60" s="1">
        <f>IFERROR(__xludf.DUMMYFUNCTION("""COMPUTED_VALUE"""),765.95)</f>
        <v>765.95</v>
      </c>
      <c r="AM60" s="2">
        <f>IFERROR(__xludf.DUMMYFUNCTION("""COMPUTED_VALUE"""),0.728676806580064)</f>
        <v>0.7286768066</v>
      </c>
      <c r="AN60" s="1">
        <f>IFERROR(__xludf.DUMMYFUNCTION("""COMPUTED_VALUE"""),15.0)</f>
        <v>15</v>
      </c>
      <c r="AO60" s="1">
        <f>IFERROR(__xludf.DUMMYFUNCTION("""COMPUTED_VALUE"""),0.0)</f>
        <v>0</v>
      </c>
      <c r="AP60" s="2" t="str">
        <f>IFERROR(__xludf.DUMMYFUNCTION("""COMPUTED_VALUE"""),"")</f>
        <v/>
      </c>
      <c r="AQ60" s="1">
        <f>IFERROR(__xludf.DUMMYFUNCTION("""COMPUTED_VALUE"""),0.0)</f>
        <v>0</v>
      </c>
      <c r="AR60" s="1">
        <f>IFERROR(__xludf.DUMMYFUNCTION("""COMPUTED_VALUE"""),0.0)</f>
        <v>0</v>
      </c>
      <c r="AS60" s="2" t="str">
        <f>IFERROR(__xludf.DUMMYFUNCTION("""COMPUTED_VALUE"""),"")</f>
        <v/>
      </c>
      <c r="AT60" s="1">
        <f>IFERROR(__xludf.DUMMYFUNCTION("""COMPUTED_VALUE"""),0.0)</f>
        <v>0</v>
      </c>
      <c r="AU60" s="1">
        <f>IFERROR(__xludf.DUMMYFUNCTION("""COMPUTED_VALUE"""),0.0)</f>
        <v>0</v>
      </c>
      <c r="AV60" s="2" t="str">
        <f>IFERROR(__xludf.DUMMYFUNCTION("""COMPUTED_VALUE"""),"")</f>
        <v/>
      </c>
      <c r="AW60" s="1">
        <f>IFERROR(__xludf.DUMMYFUNCTION("""COMPUTED_VALUE"""),0.0)</f>
        <v>0</v>
      </c>
      <c r="AX60" s="1">
        <f>IFERROR(__xludf.DUMMYFUNCTION("""COMPUTED_VALUE"""),0.0)</f>
        <v>0</v>
      </c>
      <c r="AY60" s="2" t="str">
        <f>IFERROR(__xludf.DUMMYFUNCTION("""COMPUTED_VALUE"""),"")</f>
        <v/>
      </c>
      <c r="AZ60" s="1">
        <f>IFERROR(__xludf.DUMMYFUNCTION("""COMPUTED_VALUE"""),15.0)</f>
        <v>15</v>
      </c>
      <c r="BA60" s="1">
        <f>IFERROR(__xludf.DUMMYFUNCTION("""COMPUTED_VALUE"""),0.0)</f>
        <v>0</v>
      </c>
      <c r="BB60" s="2" t="str">
        <f>IFERROR(__xludf.DUMMYFUNCTION("""COMPUTED_VALUE"""),"")</f>
        <v/>
      </c>
    </row>
    <row r="61">
      <c r="A61" s="1" t="str">
        <f>IFERROR(__xludf.DUMMYFUNCTION("""COMPUTED_VALUE"""),"63ced846c5c820531c268807")</f>
        <v>63ced846c5c820531c268807</v>
      </c>
      <c r="B61" s="1" t="str">
        <f>IFERROR(__xludf.DUMMYFUNCTION("""COMPUTED_VALUE"""),"EUSKO TELECOMUNICACIONES S.L.")</f>
        <v>EUSKO TELECOMUNICACIONES S.L.</v>
      </c>
      <c r="C61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61" s="1" t="str">
        <f>IFERROR(__xludf.DUMMYFUNCTION("""COMPUTED_VALUE"""),"emea")</f>
        <v>emea</v>
      </c>
      <c r="E61" s="1" t="str">
        <f>IFERROR(__xludf.DUMMYFUNCTION("""COMPUTED_VALUE"""),"ES")</f>
        <v>ES</v>
      </c>
      <c r="F61" s="1" t="str">
        <f>IFERROR(__xludf.DUMMYFUNCTION("""COMPUTED_VALUE"""),"expert_200")</f>
        <v>expert_200</v>
      </c>
      <c r="G61" s="1">
        <f>IFERROR(__xludf.DUMMYFUNCTION("""COMPUTED_VALUE"""),1.0)</f>
        <v>1</v>
      </c>
      <c r="H61" s="1">
        <f>IFERROR(__xludf.DUMMYFUNCTION("""COMPUTED_VALUE"""),1.0)</f>
        <v>1</v>
      </c>
      <c r="I61" s="2">
        <f>IFERROR(__xludf.DUMMYFUNCTION("""COMPUTED_VALUE"""),1.0)</f>
        <v>1</v>
      </c>
      <c r="J61" s="1">
        <f>IFERROR(__xludf.DUMMYFUNCTION("""COMPUTED_VALUE"""),116.39)</f>
        <v>116.39</v>
      </c>
      <c r="K61" s="1">
        <f>IFERROR(__xludf.DUMMYFUNCTION("""COMPUTED_VALUE"""),350.0)</f>
        <v>350</v>
      </c>
      <c r="L61" s="2">
        <f>IFERROR(__xludf.DUMMYFUNCTION("""COMPUTED_VALUE"""),0.33254285714285714)</f>
        <v>0.3325428571</v>
      </c>
      <c r="M61" s="1">
        <f>IFERROR(__xludf.DUMMYFUNCTION("""COMPUTED_VALUE"""),33.0)</f>
        <v>33</v>
      </c>
      <c r="N61" s="1">
        <f>IFERROR(__xludf.DUMMYFUNCTION("""COMPUTED_VALUE"""),52.0)</f>
        <v>52</v>
      </c>
      <c r="O61" s="2">
        <f>IFERROR(__xludf.DUMMYFUNCTION("""COMPUTED_VALUE"""),0.6346153846153846)</f>
        <v>0.6346153846</v>
      </c>
      <c r="P61" s="1">
        <f>IFERROR(__xludf.DUMMYFUNCTION("""COMPUTED_VALUE"""),1.0)</f>
        <v>1</v>
      </c>
      <c r="Q61" s="1">
        <f>IFERROR(__xludf.DUMMYFUNCTION("""COMPUTED_VALUE"""),1.0)</f>
        <v>1</v>
      </c>
      <c r="R61" s="2">
        <f>IFERROR(__xludf.DUMMYFUNCTION("""COMPUTED_VALUE"""),1.0)</f>
        <v>1</v>
      </c>
      <c r="S61" s="1">
        <f>IFERROR(__xludf.DUMMYFUNCTION("""COMPUTED_VALUE"""),1.0)</f>
        <v>1</v>
      </c>
      <c r="T61" s="1">
        <f>IFERROR(__xludf.DUMMYFUNCTION("""COMPUTED_VALUE"""),1.0)</f>
        <v>1</v>
      </c>
      <c r="U61" s="2">
        <f>IFERROR(__xludf.DUMMYFUNCTION("""COMPUTED_VALUE"""),1.0)</f>
        <v>1</v>
      </c>
      <c r="V61" s="1">
        <f>IFERROR(__xludf.DUMMYFUNCTION("""COMPUTED_VALUE"""),0.0)</f>
        <v>0</v>
      </c>
      <c r="W61" s="1">
        <f>IFERROR(__xludf.DUMMYFUNCTION("""COMPUTED_VALUE"""),1.0)</f>
        <v>1</v>
      </c>
      <c r="X61" s="2">
        <f>IFERROR(__xludf.DUMMYFUNCTION("""COMPUTED_VALUE"""),0.0)</f>
        <v>0</v>
      </c>
      <c r="Y61" s="1">
        <f>IFERROR(__xludf.DUMMYFUNCTION("""COMPUTED_VALUE"""),0.86)</f>
        <v>0.86</v>
      </c>
      <c r="Z61" s="1">
        <f>IFERROR(__xludf.DUMMYFUNCTION("""COMPUTED_VALUE"""),0.0)</f>
        <v>0</v>
      </c>
      <c r="AA61" s="2" t="str">
        <f>IFERROR(__xludf.DUMMYFUNCTION("""COMPUTED_VALUE"""),"")</f>
        <v/>
      </c>
      <c r="AB61" s="1">
        <f>IFERROR(__xludf.DUMMYFUNCTION("""COMPUTED_VALUE"""),2.17)</f>
        <v>2.17</v>
      </c>
      <c r="AC61" s="1">
        <f>IFERROR(__xludf.DUMMYFUNCTION("""COMPUTED_VALUE"""),162.04)</f>
        <v>162.04</v>
      </c>
      <c r="AD61" s="2">
        <f>IFERROR(__xludf.DUMMYFUNCTION("""COMPUTED_VALUE"""),0.013391755122192052)</f>
        <v>0.01339175512</v>
      </c>
      <c r="AE61" s="1">
        <f>IFERROR(__xludf.DUMMYFUNCTION("""COMPUTED_VALUE"""),55.71)</f>
        <v>55.71</v>
      </c>
      <c r="AF61" s="1">
        <f>IFERROR(__xludf.DUMMYFUNCTION("""COMPUTED_VALUE"""),162.04)</f>
        <v>162.04</v>
      </c>
      <c r="AG61" s="2">
        <f>IFERROR(__xludf.DUMMYFUNCTION("""COMPUTED_VALUE"""),0.3438039990125895)</f>
        <v>0.343803999</v>
      </c>
      <c r="AH61" s="1">
        <f>IFERROR(__xludf.DUMMYFUNCTION("""COMPUTED_VALUE"""),113.73)</f>
        <v>113.73</v>
      </c>
      <c r="AI61" s="1">
        <f>IFERROR(__xludf.DUMMYFUNCTION("""COMPUTED_VALUE"""),162.04)</f>
        <v>162.04</v>
      </c>
      <c r="AJ61" s="2">
        <f>IFERROR(__xludf.DUMMYFUNCTION("""COMPUTED_VALUE"""),0.7018637373488028)</f>
        <v>0.7018637373</v>
      </c>
      <c r="AK61" s="1">
        <f>IFERROR(__xludf.DUMMYFUNCTION("""COMPUTED_VALUE"""),172.47)</f>
        <v>172.47</v>
      </c>
      <c r="AL61" s="1">
        <f>IFERROR(__xludf.DUMMYFUNCTION("""COMPUTED_VALUE"""),486.12)</f>
        <v>486.12</v>
      </c>
      <c r="AM61" s="2">
        <f>IFERROR(__xludf.DUMMYFUNCTION("""COMPUTED_VALUE"""),0.3547889410022217)</f>
        <v>0.354788941</v>
      </c>
      <c r="AN61" s="1">
        <f>IFERROR(__xludf.DUMMYFUNCTION("""COMPUTED_VALUE"""),0.0)</f>
        <v>0</v>
      </c>
      <c r="AO61" s="1">
        <f>IFERROR(__xludf.DUMMYFUNCTION("""COMPUTED_VALUE"""),0.0)</f>
        <v>0</v>
      </c>
      <c r="AP61" s="2" t="str">
        <f>IFERROR(__xludf.DUMMYFUNCTION("""COMPUTED_VALUE"""),"")</f>
        <v/>
      </c>
      <c r="AQ61" s="1">
        <f>IFERROR(__xludf.DUMMYFUNCTION("""COMPUTED_VALUE"""),0.0)</f>
        <v>0</v>
      </c>
      <c r="AR61" s="1">
        <f>IFERROR(__xludf.DUMMYFUNCTION("""COMPUTED_VALUE"""),0.0)</f>
        <v>0</v>
      </c>
      <c r="AS61" s="2" t="str">
        <f>IFERROR(__xludf.DUMMYFUNCTION("""COMPUTED_VALUE"""),"")</f>
        <v/>
      </c>
      <c r="AT61" s="1">
        <f>IFERROR(__xludf.DUMMYFUNCTION("""COMPUTED_VALUE"""),0.0)</f>
        <v>0</v>
      </c>
      <c r="AU61" s="1">
        <f>IFERROR(__xludf.DUMMYFUNCTION("""COMPUTED_VALUE"""),0.0)</f>
        <v>0</v>
      </c>
      <c r="AV61" s="2" t="str">
        <f>IFERROR(__xludf.DUMMYFUNCTION("""COMPUTED_VALUE"""),"")</f>
        <v/>
      </c>
      <c r="AW61" s="1">
        <f>IFERROR(__xludf.DUMMYFUNCTION("""COMPUTED_VALUE"""),0.0)</f>
        <v>0</v>
      </c>
      <c r="AX61" s="1">
        <f>IFERROR(__xludf.DUMMYFUNCTION("""COMPUTED_VALUE"""),0.0)</f>
        <v>0</v>
      </c>
      <c r="AY61" s="2" t="str">
        <f>IFERROR(__xludf.DUMMYFUNCTION("""COMPUTED_VALUE"""),"")</f>
        <v/>
      </c>
      <c r="AZ61" s="1">
        <f>IFERROR(__xludf.DUMMYFUNCTION("""COMPUTED_VALUE"""),0.0)</f>
        <v>0</v>
      </c>
      <c r="BA61" s="1">
        <f>IFERROR(__xludf.DUMMYFUNCTION("""COMPUTED_VALUE"""),0.0)</f>
        <v>0</v>
      </c>
      <c r="BB61" s="2" t="str">
        <f>IFERROR(__xludf.DUMMYFUNCTION("""COMPUTED_VALUE"""),"")</f>
        <v/>
      </c>
    </row>
    <row r="62">
      <c r="A62" s="1" t="str">
        <f>IFERROR(__xludf.DUMMYFUNCTION("""COMPUTED_VALUE"""),"63ea6e9352ad6968805ceb6d")</f>
        <v>63ea6e9352ad6968805ceb6d</v>
      </c>
      <c r="B62" s="1" t="str">
        <f>IFERROR(__xludf.DUMMYFUNCTION("""COMPUTED_VALUE"""),"Evoila networks GmbH")</f>
        <v>Evoila networks GmbH</v>
      </c>
      <c r="C62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62" s="1" t="str">
        <f>IFERROR(__xludf.DUMMYFUNCTION("""COMPUTED_VALUE"""),"germany")</f>
        <v>germany</v>
      </c>
      <c r="E62" s="1" t="str">
        <f>IFERROR(__xludf.DUMMYFUNCTION("""COMPUTED_VALUE"""),"DE")</f>
        <v>DE</v>
      </c>
      <c r="F62" s="1" t="str">
        <f>IFERROR(__xludf.DUMMYFUNCTION("""COMPUTED_VALUE"""),"expert_200")</f>
        <v>expert_200</v>
      </c>
      <c r="G62" s="1">
        <f>IFERROR(__xludf.DUMMYFUNCTION("""COMPUTED_VALUE"""),0.0)</f>
        <v>0</v>
      </c>
      <c r="H62" s="1">
        <f>IFERROR(__xludf.DUMMYFUNCTION("""COMPUTED_VALUE"""),1.0)</f>
        <v>1</v>
      </c>
      <c r="I62" s="2">
        <f>IFERROR(__xludf.DUMMYFUNCTION("""COMPUTED_VALUE"""),0.0)</f>
        <v>0</v>
      </c>
      <c r="J62" s="1">
        <f>IFERROR(__xludf.DUMMYFUNCTION("""COMPUTED_VALUE"""),204.14)</f>
        <v>204.14</v>
      </c>
      <c r="K62" s="1">
        <f>IFERROR(__xludf.DUMMYFUNCTION("""COMPUTED_VALUE"""),350.0)</f>
        <v>350</v>
      </c>
      <c r="L62" s="2">
        <f>IFERROR(__xludf.DUMMYFUNCTION("""COMPUTED_VALUE"""),0.5832571428571428)</f>
        <v>0.5832571429</v>
      </c>
      <c r="M62" s="1">
        <f>IFERROR(__xludf.DUMMYFUNCTION("""COMPUTED_VALUE"""),5.0)</f>
        <v>5</v>
      </c>
      <c r="N62" s="1">
        <f>IFERROR(__xludf.DUMMYFUNCTION("""COMPUTED_VALUE"""),47.0)</f>
        <v>47</v>
      </c>
      <c r="O62" s="2">
        <f>IFERROR(__xludf.DUMMYFUNCTION("""COMPUTED_VALUE"""),0.10638297872340426)</f>
        <v>0.1063829787</v>
      </c>
      <c r="P62" s="1">
        <f>IFERROR(__xludf.DUMMYFUNCTION("""COMPUTED_VALUE"""),0.0)</f>
        <v>0</v>
      </c>
      <c r="Q62" s="1">
        <f>IFERROR(__xludf.DUMMYFUNCTION("""COMPUTED_VALUE"""),1.0)</f>
        <v>1</v>
      </c>
      <c r="R62" s="2">
        <f>IFERROR(__xludf.DUMMYFUNCTION("""COMPUTED_VALUE"""),0.0)</f>
        <v>0</v>
      </c>
      <c r="S62" s="1">
        <f>IFERROR(__xludf.DUMMYFUNCTION("""COMPUTED_VALUE"""),0.0)</f>
        <v>0</v>
      </c>
      <c r="T62" s="1">
        <f>IFERROR(__xludf.DUMMYFUNCTION("""COMPUTED_VALUE"""),1.0)</f>
        <v>1</v>
      </c>
      <c r="U62" s="2">
        <f>IFERROR(__xludf.DUMMYFUNCTION("""COMPUTED_VALUE"""),0.0)</f>
        <v>0</v>
      </c>
      <c r="V62" s="1">
        <f>IFERROR(__xludf.DUMMYFUNCTION("""COMPUTED_VALUE"""),0.0)</f>
        <v>0</v>
      </c>
      <c r="W62" s="1">
        <f>IFERROR(__xludf.DUMMYFUNCTION("""COMPUTED_VALUE"""),1.0)</f>
        <v>1</v>
      </c>
      <c r="X62" s="2">
        <f>IFERROR(__xludf.DUMMYFUNCTION("""COMPUTED_VALUE"""),0.0)</f>
        <v>0</v>
      </c>
      <c r="Y62" s="1">
        <f>IFERROR(__xludf.DUMMYFUNCTION("""COMPUTED_VALUE"""),20.0)</f>
        <v>20</v>
      </c>
      <c r="Z62" s="1">
        <f>IFERROR(__xludf.DUMMYFUNCTION("""COMPUTED_VALUE"""),0.0)</f>
        <v>0</v>
      </c>
      <c r="AA62" s="2" t="str">
        <f>IFERROR(__xludf.DUMMYFUNCTION("""COMPUTED_VALUE"""),"")</f>
        <v/>
      </c>
      <c r="AB62" s="1">
        <f>IFERROR(__xludf.DUMMYFUNCTION("""COMPUTED_VALUE"""),27.9)</f>
        <v>27.9</v>
      </c>
      <c r="AC62" s="1">
        <f>IFERROR(__xludf.DUMMYFUNCTION("""COMPUTED_VALUE"""),0.0)</f>
        <v>0</v>
      </c>
      <c r="AD62" s="2" t="str">
        <f>IFERROR(__xludf.DUMMYFUNCTION("""COMPUTED_VALUE"""),"")</f>
        <v/>
      </c>
      <c r="AE62" s="1">
        <f>IFERROR(__xludf.DUMMYFUNCTION("""COMPUTED_VALUE"""),27.9)</f>
        <v>27.9</v>
      </c>
      <c r="AF62" s="1">
        <f>IFERROR(__xludf.DUMMYFUNCTION("""COMPUTED_VALUE"""),256.1)</f>
        <v>256.1</v>
      </c>
      <c r="AG62" s="2">
        <f>IFERROR(__xludf.DUMMYFUNCTION("""COMPUTED_VALUE"""),0.10894181960171806)</f>
        <v>0.1089418196</v>
      </c>
      <c r="AH62" s="1">
        <f>IFERROR(__xludf.DUMMYFUNCTION("""COMPUTED_VALUE"""),205.79)</f>
        <v>205.79</v>
      </c>
      <c r="AI62" s="1">
        <f>IFERROR(__xludf.DUMMYFUNCTION("""COMPUTED_VALUE"""),256.1)</f>
        <v>256.1</v>
      </c>
      <c r="AJ62" s="2">
        <f>IFERROR(__xludf.DUMMYFUNCTION("""COMPUTED_VALUE"""),0.8035532994923856)</f>
        <v>0.8035532995</v>
      </c>
      <c r="AK62" s="1">
        <f>IFERROR(__xludf.DUMMYFUNCTION("""COMPUTED_VALUE"""),281.59)</f>
        <v>281.59</v>
      </c>
      <c r="AL62" s="1">
        <f>IFERROR(__xludf.DUMMYFUNCTION("""COMPUTED_VALUE"""),512.2)</f>
        <v>512.2</v>
      </c>
      <c r="AM62" s="2">
        <f>IFERROR(__xludf.DUMMYFUNCTION("""COMPUTED_VALUE"""),0.5497657165169855)</f>
        <v>0.5497657165</v>
      </c>
      <c r="AN62" s="1">
        <f>IFERROR(__xludf.DUMMYFUNCTION("""COMPUTED_VALUE"""),0.0)</f>
        <v>0</v>
      </c>
      <c r="AO62" s="1">
        <f>IFERROR(__xludf.DUMMYFUNCTION("""COMPUTED_VALUE"""),0.0)</f>
        <v>0</v>
      </c>
      <c r="AP62" s="2" t="str">
        <f>IFERROR(__xludf.DUMMYFUNCTION("""COMPUTED_VALUE"""),"")</f>
        <v/>
      </c>
      <c r="AQ62" s="1">
        <f>IFERROR(__xludf.DUMMYFUNCTION("""COMPUTED_VALUE"""),337.44)</f>
        <v>337.44</v>
      </c>
      <c r="AR62" s="1">
        <f>IFERROR(__xludf.DUMMYFUNCTION("""COMPUTED_VALUE"""),0.0)</f>
        <v>0</v>
      </c>
      <c r="AS62" s="2" t="str">
        <f>IFERROR(__xludf.DUMMYFUNCTION("""COMPUTED_VALUE"""),"")</f>
        <v/>
      </c>
      <c r="AT62" s="1">
        <f>IFERROR(__xludf.DUMMYFUNCTION("""COMPUTED_VALUE"""),0.0)</f>
        <v>0</v>
      </c>
      <c r="AU62" s="1">
        <f>IFERROR(__xludf.DUMMYFUNCTION("""COMPUTED_VALUE"""),0.0)</f>
        <v>0</v>
      </c>
      <c r="AV62" s="2" t="str">
        <f>IFERROR(__xludf.DUMMYFUNCTION("""COMPUTED_VALUE"""),"")</f>
        <v/>
      </c>
      <c r="AW62" s="1">
        <f>IFERROR(__xludf.DUMMYFUNCTION("""COMPUTED_VALUE"""),0.0)</f>
        <v>0</v>
      </c>
      <c r="AX62" s="1">
        <f>IFERROR(__xludf.DUMMYFUNCTION("""COMPUTED_VALUE"""),0.0)</f>
        <v>0</v>
      </c>
      <c r="AY62" s="2" t="str">
        <f>IFERROR(__xludf.DUMMYFUNCTION("""COMPUTED_VALUE"""),"")</f>
        <v/>
      </c>
      <c r="AZ62" s="1">
        <f>IFERROR(__xludf.DUMMYFUNCTION("""COMPUTED_VALUE"""),337.44)</f>
        <v>337.44</v>
      </c>
      <c r="BA62" s="1">
        <f>IFERROR(__xludf.DUMMYFUNCTION("""COMPUTED_VALUE"""),0.0)</f>
        <v>0</v>
      </c>
      <c r="BB62" s="2" t="str">
        <f>IFERROR(__xludf.DUMMYFUNCTION("""COMPUTED_VALUE"""),"")</f>
        <v/>
      </c>
    </row>
    <row r="63">
      <c r="A63" s="1" t="str">
        <f>IFERROR(__xludf.DUMMYFUNCTION("""COMPUTED_VALUE"""),"63ced845c5c820531c2686db")</f>
        <v>63ced845c5c820531c2686db</v>
      </c>
      <c r="B63" s="1" t="str">
        <f>IFERROR(__xludf.DUMMYFUNCTION("""COMPUTED_VALUE"""),"EWE TEL GmbH")</f>
        <v>EWE TEL GmbH</v>
      </c>
      <c r="C63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63" s="1" t="str">
        <f>IFERROR(__xludf.DUMMYFUNCTION("""COMPUTED_VALUE"""),"germany")</f>
        <v>germany</v>
      </c>
      <c r="E63" s="1" t="str">
        <f>IFERROR(__xludf.DUMMYFUNCTION("""COMPUTED_VALUE"""),"DE")</f>
        <v>DE</v>
      </c>
      <c r="F63" s="1" t="str">
        <f>IFERROR(__xludf.DUMMYFUNCTION("""COMPUTED_VALUE"""),"expert_1000")</f>
        <v>expert_1000</v>
      </c>
      <c r="G63" s="1">
        <f>IFERROR(__xludf.DUMMYFUNCTION("""COMPUTED_VALUE"""),1.0)</f>
        <v>1</v>
      </c>
      <c r="H63" s="1">
        <f>IFERROR(__xludf.DUMMYFUNCTION("""COMPUTED_VALUE"""),1.0)</f>
        <v>1</v>
      </c>
      <c r="I63" s="2">
        <f>IFERROR(__xludf.DUMMYFUNCTION("""COMPUTED_VALUE"""),1.0)</f>
        <v>1</v>
      </c>
      <c r="J63" s="1">
        <f>IFERROR(__xludf.DUMMYFUNCTION("""COMPUTED_VALUE"""),372.82)</f>
        <v>372.82</v>
      </c>
      <c r="K63" s="1">
        <f>IFERROR(__xludf.DUMMYFUNCTION("""COMPUTED_VALUE"""),1740.0)</f>
        <v>1740</v>
      </c>
      <c r="L63" s="2">
        <f>IFERROR(__xludf.DUMMYFUNCTION("""COMPUTED_VALUE"""),0.21426436781609196)</f>
        <v>0.2142643678</v>
      </c>
      <c r="M63" s="1">
        <f>IFERROR(__xludf.DUMMYFUNCTION("""COMPUTED_VALUE"""),70.0)</f>
        <v>70</v>
      </c>
      <c r="N63" s="1">
        <f>IFERROR(__xludf.DUMMYFUNCTION("""COMPUTED_VALUE"""),52.0)</f>
        <v>52</v>
      </c>
      <c r="O63" s="2">
        <f>IFERROR(__xludf.DUMMYFUNCTION("""COMPUTED_VALUE"""),1.3461538461538463)</f>
        <v>1.346153846</v>
      </c>
      <c r="P63" s="1">
        <f>IFERROR(__xludf.DUMMYFUNCTION("""COMPUTED_VALUE"""),1.0)</f>
        <v>1</v>
      </c>
      <c r="Q63" s="1">
        <f>IFERROR(__xludf.DUMMYFUNCTION("""COMPUTED_VALUE"""),1.0)</f>
        <v>1</v>
      </c>
      <c r="R63" s="2">
        <f>IFERROR(__xludf.DUMMYFUNCTION("""COMPUTED_VALUE"""),1.0)</f>
        <v>1</v>
      </c>
      <c r="S63" s="1">
        <f>IFERROR(__xludf.DUMMYFUNCTION("""COMPUTED_VALUE"""),0.0)</f>
        <v>0</v>
      </c>
      <c r="T63" s="1">
        <f>IFERROR(__xludf.DUMMYFUNCTION("""COMPUTED_VALUE"""),1.0)</f>
        <v>1</v>
      </c>
      <c r="U63" s="2">
        <f>IFERROR(__xludf.DUMMYFUNCTION("""COMPUTED_VALUE"""),0.0)</f>
        <v>0</v>
      </c>
      <c r="V63" s="1">
        <f>IFERROR(__xludf.DUMMYFUNCTION("""COMPUTED_VALUE"""),0.0)</f>
        <v>0</v>
      </c>
      <c r="W63" s="1">
        <f>IFERROR(__xludf.DUMMYFUNCTION("""COMPUTED_VALUE"""),1.0)</f>
        <v>1</v>
      </c>
      <c r="X63" s="2">
        <f>IFERROR(__xludf.DUMMYFUNCTION("""COMPUTED_VALUE"""),0.0)</f>
        <v>0</v>
      </c>
      <c r="Y63" s="1">
        <f>IFERROR(__xludf.DUMMYFUNCTION("""COMPUTED_VALUE"""),1.51)</f>
        <v>1.51</v>
      </c>
      <c r="Z63" s="1">
        <f>IFERROR(__xludf.DUMMYFUNCTION("""COMPUTED_VALUE"""),0.0)</f>
        <v>0</v>
      </c>
      <c r="AA63" s="2" t="str">
        <f>IFERROR(__xludf.DUMMYFUNCTION("""COMPUTED_VALUE"""),"")</f>
        <v/>
      </c>
      <c r="AB63" s="1">
        <f>IFERROR(__xludf.DUMMYFUNCTION("""COMPUTED_VALUE"""),1.51)</f>
        <v>1.51</v>
      </c>
      <c r="AC63" s="1">
        <f>IFERROR(__xludf.DUMMYFUNCTION("""COMPUTED_VALUE"""),746.67)</f>
        <v>746.67</v>
      </c>
      <c r="AD63" s="2">
        <f>IFERROR(__xludf.DUMMYFUNCTION("""COMPUTED_VALUE"""),0.0020223124003910698)</f>
        <v>0.0020223124</v>
      </c>
      <c r="AE63" s="1">
        <f>IFERROR(__xludf.DUMMYFUNCTION("""COMPUTED_VALUE"""),36.51)</f>
        <v>36.51</v>
      </c>
      <c r="AF63" s="1">
        <f>IFERROR(__xludf.DUMMYFUNCTION("""COMPUTED_VALUE"""),700.0)</f>
        <v>700</v>
      </c>
      <c r="AG63" s="2">
        <f>IFERROR(__xludf.DUMMYFUNCTION("""COMPUTED_VALUE"""),0.05215714285714285)</f>
        <v>0.05215714286</v>
      </c>
      <c r="AH63" s="1">
        <f>IFERROR(__xludf.DUMMYFUNCTION("""COMPUTED_VALUE"""),47.0)</f>
        <v>47</v>
      </c>
      <c r="AI63" s="1">
        <f>IFERROR(__xludf.DUMMYFUNCTION("""COMPUTED_VALUE"""),811.67)</f>
        <v>811.67</v>
      </c>
      <c r="AJ63" s="2">
        <f>IFERROR(__xludf.DUMMYFUNCTION("""COMPUTED_VALUE"""),0.05790530634371112)</f>
        <v>0.05790530634</v>
      </c>
      <c r="AK63" s="1">
        <f>IFERROR(__xludf.DUMMYFUNCTION("""COMPUTED_VALUE"""),86.53)</f>
        <v>86.53</v>
      </c>
      <c r="AL63" s="1">
        <f>IFERROR(__xludf.DUMMYFUNCTION("""COMPUTED_VALUE"""),2258.34)</f>
        <v>2258.34</v>
      </c>
      <c r="AM63" s="2">
        <f>IFERROR(__xludf.DUMMYFUNCTION("""COMPUTED_VALUE"""),0.03831575404943454)</f>
        <v>0.03831575405</v>
      </c>
      <c r="AN63" s="1">
        <f>IFERROR(__xludf.DUMMYFUNCTION("""COMPUTED_VALUE"""),162.0)</f>
        <v>162</v>
      </c>
      <c r="AO63" s="1">
        <f>IFERROR(__xludf.DUMMYFUNCTION("""COMPUTED_VALUE"""),0.0)</f>
        <v>0</v>
      </c>
      <c r="AP63" s="2" t="str">
        <f>IFERROR(__xludf.DUMMYFUNCTION("""COMPUTED_VALUE"""),"")</f>
        <v/>
      </c>
      <c r="AQ63" s="1">
        <f>IFERROR(__xludf.DUMMYFUNCTION("""COMPUTED_VALUE"""),164.0)</f>
        <v>164</v>
      </c>
      <c r="AR63" s="1">
        <f>IFERROR(__xludf.DUMMYFUNCTION("""COMPUTED_VALUE"""),0.0)</f>
        <v>0</v>
      </c>
      <c r="AS63" s="2" t="str">
        <f>IFERROR(__xludf.DUMMYFUNCTION("""COMPUTED_VALUE"""),"")</f>
        <v/>
      </c>
      <c r="AT63" s="1">
        <f>IFERROR(__xludf.DUMMYFUNCTION("""COMPUTED_VALUE"""),0.0)</f>
        <v>0</v>
      </c>
      <c r="AU63" s="1">
        <f>IFERROR(__xludf.DUMMYFUNCTION("""COMPUTED_VALUE"""),0.0)</f>
        <v>0</v>
      </c>
      <c r="AV63" s="2" t="str">
        <f>IFERROR(__xludf.DUMMYFUNCTION("""COMPUTED_VALUE"""),"")</f>
        <v/>
      </c>
      <c r="AW63" s="1">
        <f>IFERROR(__xludf.DUMMYFUNCTION("""COMPUTED_VALUE"""),99.87)</f>
        <v>99.87</v>
      </c>
      <c r="AX63" s="1">
        <f>IFERROR(__xludf.DUMMYFUNCTION("""COMPUTED_VALUE"""),0.0)</f>
        <v>0</v>
      </c>
      <c r="AY63" s="2" t="str">
        <f>IFERROR(__xludf.DUMMYFUNCTION("""COMPUTED_VALUE"""),"")</f>
        <v/>
      </c>
      <c r="AZ63" s="1">
        <f>IFERROR(__xludf.DUMMYFUNCTION("""COMPUTED_VALUE"""),425.87)</f>
        <v>425.87</v>
      </c>
      <c r="BA63" s="1">
        <f>IFERROR(__xludf.DUMMYFUNCTION("""COMPUTED_VALUE"""),0.0)</f>
        <v>0</v>
      </c>
      <c r="BB63" s="2" t="str">
        <f>IFERROR(__xludf.DUMMYFUNCTION("""COMPUTED_VALUE"""),"")</f>
        <v/>
      </c>
    </row>
    <row r="64">
      <c r="A64" s="1" t="str">
        <f>IFERROR(__xludf.DUMMYFUNCTION("""COMPUTED_VALUE"""),"63ced841c5c820531c267e5c")</f>
        <v>63ced841c5c820531c267e5c</v>
      </c>
      <c r="B64" s="1" t="str">
        <f>IFERROR(__xludf.DUMMYFUNCTION("""COMPUTED_VALUE"""),"Expertos en Computo y")</f>
        <v>Expertos en Computo y</v>
      </c>
      <c r="C64" s="1" t="str">
        <f>IFERROR(__xludf.DUMMYFUNCTION("""COMPUTED_VALUE"""),"saul.montiel@al-enterprise.com, joaquin.flores@al-enterprise.com")</f>
        <v>saul.montiel@al-enterprise.com, joaquin.flores@al-enterprise.com</v>
      </c>
      <c r="D64" s="1" t="str">
        <f>IFERROR(__xludf.DUMMYFUNCTION("""COMPUTED_VALUE"""),"americas")</f>
        <v>americas</v>
      </c>
      <c r="E64" s="1" t="str">
        <f>IFERROR(__xludf.DUMMYFUNCTION("""COMPUTED_VALUE"""),"MX")</f>
        <v>MX</v>
      </c>
      <c r="F64" s="1" t="str">
        <f>IFERROR(__xludf.DUMMYFUNCTION("""COMPUTED_VALUE"""),"yes")</f>
        <v>yes</v>
      </c>
      <c r="G64" s="1">
        <f>IFERROR(__xludf.DUMMYFUNCTION("""COMPUTED_VALUE"""),0.0)</f>
        <v>0</v>
      </c>
      <c r="H64" s="1">
        <f>IFERROR(__xludf.DUMMYFUNCTION("""COMPUTED_VALUE"""),1.0)</f>
        <v>1</v>
      </c>
      <c r="I64" s="2">
        <f>IFERROR(__xludf.DUMMYFUNCTION("""COMPUTED_VALUE"""),0.0)</f>
        <v>0</v>
      </c>
      <c r="J64" s="1">
        <f>IFERROR(__xludf.DUMMYFUNCTION("""COMPUTED_VALUE"""),210.14)</f>
        <v>210.14</v>
      </c>
      <c r="K64" s="1">
        <f>IFERROR(__xludf.DUMMYFUNCTION("""COMPUTED_VALUE"""),1159.99)</f>
        <v>1159.99</v>
      </c>
      <c r="L64" s="2">
        <f>IFERROR(__xludf.DUMMYFUNCTION("""COMPUTED_VALUE"""),0.18115673410977678)</f>
        <v>0.1811567341</v>
      </c>
      <c r="M64" s="1">
        <f>IFERROR(__xludf.DUMMYFUNCTION("""COMPUTED_VALUE"""),68.0)</f>
        <v>68</v>
      </c>
      <c r="N64" s="1">
        <f>IFERROR(__xludf.DUMMYFUNCTION("""COMPUTED_VALUE"""),52.0)</f>
        <v>52</v>
      </c>
      <c r="O64" s="2">
        <f>IFERROR(__xludf.DUMMYFUNCTION("""COMPUTED_VALUE"""),1.3076923076923077)</f>
        <v>1.307692308</v>
      </c>
      <c r="P64" s="1">
        <f>IFERROR(__xludf.DUMMYFUNCTION("""COMPUTED_VALUE"""),1.0)</f>
        <v>1</v>
      </c>
      <c r="Q64" s="1">
        <f>IFERROR(__xludf.DUMMYFUNCTION("""COMPUTED_VALUE"""),1.0)</f>
        <v>1</v>
      </c>
      <c r="R64" s="2">
        <f>IFERROR(__xludf.DUMMYFUNCTION("""COMPUTED_VALUE"""),1.0)</f>
        <v>1</v>
      </c>
      <c r="S64" s="1">
        <f>IFERROR(__xludf.DUMMYFUNCTION("""COMPUTED_VALUE"""),0.0)</f>
        <v>0</v>
      </c>
      <c r="T64" s="1">
        <f>IFERROR(__xludf.DUMMYFUNCTION("""COMPUTED_VALUE"""),1.0)</f>
        <v>1</v>
      </c>
      <c r="U64" s="2">
        <f>IFERROR(__xludf.DUMMYFUNCTION("""COMPUTED_VALUE"""),0.0)</f>
        <v>0</v>
      </c>
      <c r="V64" s="1">
        <f>IFERROR(__xludf.DUMMYFUNCTION("""COMPUTED_VALUE"""),0.0)</f>
        <v>0</v>
      </c>
      <c r="W64" s="1">
        <f>IFERROR(__xludf.DUMMYFUNCTION("""COMPUTED_VALUE"""),1.0)</f>
        <v>1</v>
      </c>
      <c r="X64" s="2">
        <f>IFERROR(__xludf.DUMMYFUNCTION("""COMPUTED_VALUE"""),0.0)</f>
        <v>0</v>
      </c>
      <c r="Y64" s="1">
        <f>IFERROR(__xludf.DUMMYFUNCTION("""COMPUTED_VALUE"""),15.56)</f>
        <v>15.56</v>
      </c>
      <c r="Z64" s="1">
        <f>IFERROR(__xludf.DUMMYFUNCTION("""COMPUTED_VALUE"""),0.0)</f>
        <v>0</v>
      </c>
      <c r="AA64" s="2" t="str">
        <f>IFERROR(__xludf.DUMMYFUNCTION("""COMPUTED_VALUE"""),"")</f>
        <v/>
      </c>
      <c r="AB64" s="1">
        <f>IFERROR(__xludf.DUMMYFUNCTION("""COMPUTED_VALUE"""),19.12)</f>
        <v>19.12</v>
      </c>
      <c r="AC64" s="1">
        <f>IFERROR(__xludf.DUMMYFUNCTION("""COMPUTED_VALUE"""),429.62)</f>
        <v>429.62</v>
      </c>
      <c r="AD64" s="2">
        <f>IFERROR(__xludf.DUMMYFUNCTION("""COMPUTED_VALUE"""),0.044504445789302176)</f>
        <v>0.04450444579</v>
      </c>
      <c r="AE64" s="1">
        <f>IFERROR(__xludf.DUMMYFUNCTION("""COMPUTED_VALUE"""),1280.1)</f>
        <v>1280.1</v>
      </c>
      <c r="AF64" s="1">
        <f>IFERROR(__xludf.DUMMYFUNCTION("""COMPUTED_VALUE"""),644.44)</f>
        <v>644.44</v>
      </c>
      <c r="AG64" s="2">
        <f>IFERROR(__xludf.DUMMYFUNCTION("""COMPUTED_VALUE"""),1.9863757681087453)</f>
        <v>1.986375768</v>
      </c>
      <c r="AH64" s="1">
        <f>IFERROR(__xludf.DUMMYFUNCTION("""COMPUTED_VALUE"""),746.29)</f>
        <v>746.29</v>
      </c>
      <c r="AI64" s="1">
        <f>IFERROR(__xludf.DUMMYFUNCTION("""COMPUTED_VALUE"""),644.44)</f>
        <v>644.44</v>
      </c>
      <c r="AJ64" s="2">
        <f>IFERROR(__xludf.DUMMYFUNCTION("""COMPUTED_VALUE"""),1.1580441934082302)</f>
        <v>1.158044193</v>
      </c>
      <c r="AK64" s="1">
        <f>IFERROR(__xludf.DUMMYFUNCTION("""COMPUTED_VALUE"""),2061.0699999999997)</f>
        <v>2061.07</v>
      </c>
      <c r="AL64" s="1">
        <f>IFERROR(__xludf.DUMMYFUNCTION("""COMPUTED_VALUE"""),1718.5)</f>
        <v>1718.5</v>
      </c>
      <c r="AM64" s="2">
        <f>IFERROR(__xludf.DUMMYFUNCTION("""COMPUTED_VALUE"""),1.1993424498108813)</f>
        <v>1.19934245</v>
      </c>
      <c r="AN64" s="1">
        <f>IFERROR(__xludf.DUMMYFUNCTION("""COMPUTED_VALUE"""),43.09)</f>
        <v>43.09</v>
      </c>
      <c r="AO64" s="1">
        <f>IFERROR(__xludf.DUMMYFUNCTION("""COMPUTED_VALUE"""),0.0)</f>
        <v>0</v>
      </c>
      <c r="AP64" s="2" t="str">
        <f>IFERROR(__xludf.DUMMYFUNCTION("""COMPUTED_VALUE"""),"")</f>
        <v/>
      </c>
      <c r="AQ64" s="1">
        <f>IFERROR(__xludf.DUMMYFUNCTION("""COMPUTED_VALUE"""),26.86)</f>
        <v>26.86</v>
      </c>
      <c r="AR64" s="1">
        <f>IFERROR(__xludf.DUMMYFUNCTION("""COMPUTED_VALUE"""),0.0)</f>
        <v>0</v>
      </c>
      <c r="AS64" s="2" t="str">
        <f>IFERROR(__xludf.DUMMYFUNCTION("""COMPUTED_VALUE"""),"")</f>
        <v/>
      </c>
      <c r="AT64" s="1">
        <f>IFERROR(__xludf.DUMMYFUNCTION("""COMPUTED_VALUE"""),153.83)</f>
        <v>153.83</v>
      </c>
      <c r="AU64" s="1">
        <f>IFERROR(__xludf.DUMMYFUNCTION("""COMPUTED_VALUE"""),0.0)</f>
        <v>0</v>
      </c>
      <c r="AV64" s="2" t="str">
        <f>IFERROR(__xludf.DUMMYFUNCTION("""COMPUTED_VALUE"""),"")</f>
        <v/>
      </c>
      <c r="AW64" s="1">
        <f>IFERROR(__xludf.DUMMYFUNCTION("""COMPUTED_VALUE"""),0.0)</f>
        <v>0</v>
      </c>
      <c r="AX64" s="1">
        <f>IFERROR(__xludf.DUMMYFUNCTION("""COMPUTED_VALUE"""),0.0)</f>
        <v>0</v>
      </c>
      <c r="AY64" s="2" t="str">
        <f>IFERROR(__xludf.DUMMYFUNCTION("""COMPUTED_VALUE"""),"")</f>
        <v/>
      </c>
      <c r="AZ64" s="1">
        <f>IFERROR(__xludf.DUMMYFUNCTION("""COMPUTED_VALUE"""),223.78000000000003)</f>
        <v>223.78</v>
      </c>
      <c r="BA64" s="1">
        <f>IFERROR(__xludf.DUMMYFUNCTION("""COMPUTED_VALUE"""),0.0)</f>
        <v>0</v>
      </c>
      <c r="BB64" s="2" t="str">
        <f>IFERROR(__xludf.DUMMYFUNCTION("""COMPUTED_VALUE"""),"")</f>
        <v/>
      </c>
    </row>
    <row r="65">
      <c r="A65" s="1" t="str">
        <f>IFERROR(__xludf.DUMMYFUNCTION("""COMPUTED_VALUE"""),"63ced84bc5c820531c2692a2")</f>
        <v>63ced84bc5c820531c2692a2</v>
      </c>
      <c r="B65" s="1" t="str">
        <f>IFERROR(__xludf.DUMMYFUNCTION("""COMPUTED_VALUE"""),"EXXITA BE CIRCULAR SA SERVICES, S.L.U.")</f>
        <v>EXXITA BE CIRCULAR SA SERVICES, S.L.U.</v>
      </c>
      <c r="C65" s="1" t="str">
        <f>IFERROR(__xludf.DUMMYFUNCTION("""COMPUTED_VALUE"""),"astrid.savorani@al-enterprise.com, angel.montoya@al-enterprise.com, marcos.rodriguez@al-enterprise.com")</f>
        <v>astrid.savorani@al-enterprise.com, angel.montoya@al-enterprise.com, marcos.rodriguez@al-enterprise.com</v>
      </c>
      <c r="D65" s="1" t="str">
        <f>IFERROR(__xludf.DUMMYFUNCTION("""COMPUTED_VALUE"""),"emea")</f>
        <v>emea</v>
      </c>
      <c r="E65" s="1" t="str">
        <f>IFERROR(__xludf.DUMMYFUNCTION("""COMPUTED_VALUE"""),"ES")</f>
        <v>ES</v>
      </c>
      <c r="F65" s="1" t="str">
        <f>IFERROR(__xludf.DUMMYFUNCTION("""COMPUTED_VALUE"""),"distributor_1000")</f>
        <v>distributor_1000</v>
      </c>
      <c r="G65" s="1">
        <f>IFERROR(__xludf.DUMMYFUNCTION("""COMPUTED_VALUE"""),1.0)</f>
        <v>1</v>
      </c>
      <c r="H65" s="1">
        <f>IFERROR(__xludf.DUMMYFUNCTION("""COMPUTED_VALUE"""),1.0)</f>
        <v>1</v>
      </c>
      <c r="I65" s="2">
        <f>IFERROR(__xludf.DUMMYFUNCTION("""COMPUTED_VALUE"""),1.0)</f>
        <v>1</v>
      </c>
      <c r="J65" s="1">
        <f>IFERROR(__xludf.DUMMYFUNCTION("""COMPUTED_VALUE"""),4608.08)</f>
        <v>4608.08</v>
      </c>
      <c r="K65" s="1">
        <f>IFERROR(__xludf.DUMMYFUNCTION("""COMPUTED_VALUE"""),8500.0)</f>
        <v>8500</v>
      </c>
      <c r="L65" s="2">
        <f>IFERROR(__xludf.DUMMYFUNCTION("""COMPUTED_VALUE"""),0.5421270588235294)</f>
        <v>0.5421270588</v>
      </c>
      <c r="M65" s="1">
        <f>IFERROR(__xludf.DUMMYFUNCTION("""COMPUTED_VALUE"""),42.0)</f>
        <v>42</v>
      </c>
      <c r="N65" s="1">
        <f>IFERROR(__xludf.DUMMYFUNCTION("""COMPUTED_VALUE"""),69.0)</f>
        <v>69</v>
      </c>
      <c r="O65" s="2">
        <f>IFERROR(__xludf.DUMMYFUNCTION("""COMPUTED_VALUE"""),0.6086956521739131)</f>
        <v>0.6086956522</v>
      </c>
      <c r="P65" s="1">
        <f>IFERROR(__xludf.DUMMYFUNCTION("""COMPUTED_VALUE"""),1.0)</f>
        <v>1</v>
      </c>
      <c r="Q65" s="1">
        <f>IFERROR(__xludf.DUMMYFUNCTION("""COMPUTED_VALUE"""),1.0)</f>
        <v>1</v>
      </c>
      <c r="R65" s="2">
        <f>IFERROR(__xludf.DUMMYFUNCTION("""COMPUTED_VALUE"""),1.0)</f>
        <v>1</v>
      </c>
      <c r="S65" s="1">
        <f>IFERROR(__xludf.DUMMYFUNCTION("""COMPUTED_VALUE"""),1.0)</f>
        <v>1</v>
      </c>
      <c r="T65" s="1">
        <f>IFERROR(__xludf.DUMMYFUNCTION("""COMPUTED_VALUE"""),1.0)</f>
        <v>1</v>
      </c>
      <c r="U65" s="2">
        <f>IFERROR(__xludf.DUMMYFUNCTION("""COMPUTED_VALUE"""),1.0)</f>
        <v>1</v>
      </c>
      <c r="V65" s="1">
        <f>IFERROR(__xludf.DUMMYFUNCTION("""COMPUTED_VALUE"""),0.0)</f>
        <v>0</v>
      </c>
      <c r="W65" s="1">
        <f>IFERROR(__xludf.DUMMYFUNCTION("""COMPUTED_VALUE"""),1.0)</f>
        <v>1</v>
      </c>
      <c r="X65" s="2">
        <f>IFERROR(__xludf.DUMMYFUNCTION("""COMPUTED_VALUE"""),0.0)</f>
        <v>0</v>
      </c>
      <c r="Y65" s="1">
        <f>IFERROR(__xludf.DUMMYFUNCTION("""COMPUTED_VALUE"""),119.74)</f>
        <v>119.74</v>
      </c>
      <c r="Z65" s="1">
        <f>IFERROR(__xludf.DUMMYFUNCTION("""COMPUTED_VALUE"""),0.0)</f>
        <v>0</v>
      </c>
      <c r="AA65" s="2" t="str">
        <f>IFERROR(__xludf.DUMMYFUNCTION("""COMPUTED_VALUE"""),"")</f>
        <v/>
      </c>
      <c r="AB65" s="1">
        <f>IFERROR(__xludf.DUMMYFUNCTION("""COMPUTED_VALUE"""),23.18)</f>
        <v>23.18</v>
      </c>
      <c r="AC65" s="1">
        <f>IFERROR(__xludf.DUMMYFUNCTION("""COMPUTED_VALUE"""),3937.5)</f>
        <v>3937.5</v>
      </c>
      <c r="AD65" s="2">
        <f>IFERROR(__xludf.DUMMYFUNCTION("""COMPUTED_VALUE"""),0.005886984126984127)</f>
        <v>0.005886984127</v>
      </c>
      <c r="AE65" s="1">
        <f>IFERROR(__xludf.DUMMYFUNCTION("""COMPUTED_VALUE"""),2894.47)</f>
        <v>2894.47</v>
      </c>
      <c r="AF65" s="1">
        <f>IFERROR(__xludf.DUMMYFUNCTION("""COMPUTED_VALUE"""),5145.83)</f>
        <v>5145.83</v>
      </c>
      <c r="AG65" s="2">
        <f>IFERROR(__xludf.DUMMYFUNCTION("""COMPUTED_VALUE"""),0.5624884615309872)</f>
        <v>0.5624884615</v>
      </c>
      <c r="AH65" s="1">
        <f>IFERROR(__xludf.DUMMYFUNCTION("""COMPUTED_VALUE"""),14088.73)</f>
        <v>14088.73</v>
      </c>
      <c r="AI65" s="1">
        <f>IFERROR(__xludf.DUMMYFUNCTION("""COMPUTED_VALUE"""),4410.42)</f>
        <v>4410.42</v>
      </c>
      <c r="AJ65" s="2">
        <f>IFERROR(__xludf.DUMMYFUNCTION("""COMPUTED_VALUE"""),3.1944191256161543)</f>
        <v>3.194419126</v>
      </c>
      <c r="AK65" s="1">
        <f>IFERROR(__xludf.DUMMYFUNCTION("""COMPUTED_VALUE"""),17126.12)</f>
        <v>17126.12</v>
      </c>
      <c r="AL65" s="1">
        <f>IFERROR(__xludf.DUMMYFUNCTION("""COMPUTED_VALUE"""),13493.75)</f>
        <v>13493.75</v>
      </c>
      <c r="AM65" s="2">
        <f>IFERROR(__xludf.DUMMYFUNCTION("""COMPUTED_VALUE"""),1.269189069013432)</f>
        <v>1.269189069</v>
      </c>
      <c r="AN65" s="1">
        <f>IFERROR(__xludf.DUMMYFUNCTION("""COMPUTED_VALUE"""),17351.63)</f>
        <v>17351.63</v>
      </c>
      <c r="AO65" s="1">
        <f>IFERROR(__xludf.DUMMYFUNCTION("""COMPUTED_VALUE"""),0.0)</f>
        <v>0</v>
      </c>
      <c r="AP65" s="2" t="str">
        <f>IFERROR(__xludf.DUMMYFUNCTION("""COMPUTED_VALUE"""),"")</f>
        <v/>
      </c>
      <c r="AQ65" s="1">
        <f>IFERROR(__xludf.DUMMYFUNCTION("""COMPUTED_VALUE"""),8606.62)</f>
        <v>8606.62</v>
      </c>
      <c r="AR65" s="1">
        <f>IFERROR(__xludf.DUMMYFUNCTION("""COMPUTED_VALUE"""),0.0)</f>
        <v>0</v>
      </c>
      <c r="AS65" s="2" t="str">
        <f>IFERROR(__xludf.DUMMYFUNCTION("""COMPUTED_VALUE"""),"")</f>
        <v/>
      </c>
      <c r="AT65" s="1">
        <f>IFERROR(__xludf.DUMMYFUNCTION("""COMPUTED_VALUE"""),2920.0)</f>
        <v>2920</v>
      </c>
      <c r="AU65" s="1">
        <f>IFERROR(__xludf.DUMMYFUNCTION("""COMPUTED_VALUE"""),0.0)</f>
        <v>0</v>
      </c>
      <c r="AV65" s="2" t="str">
        <f>IFERROR(__xludf.DUMMYFUNCTION("""COMPUTED_VALUE"""),"")</f>
        <v/>
      </c>
      <c r="AW65" s="1">
        <f>IFERROR(__xludf.DUMMYFUNCTION("""COMPUTED_VALUE"""),2730.0)</f>
        <v>2730</v>
      </c>
      <c r="AX65" s="1">
        <f>IFERROR(__xludf.DUMMYFUNCTION("""COMPUTED_VALUE"""),0.0)</f>
        <v>0</v>
      </c>
      <c r="AY65" s="2" t="str">
        <f>IFERROR(__xludf.DUMMYFUNCTION("""COMPUTED_VALUE"""),"")</f>
        <v/>
      </c>
      <c r="AZ65" s="1">
        <f>IFERROR(__xludf.DUMMYFUNCTION("""COMPUTED_VALUE"""),31608.25)</f>
        <v>31608.25</v>
      </c>
      <c r="BA65" s="1">
        <f>IFERROR(__xludf.DUMMYFUNCTION("""COMPUTED_VALUE"""),0.0)</f>
        <v>0</v>
      </c>
      <c r="BB65" s="2" t="str">
        <f>IFERROR(__xludf.DUMMYFUNCTION("""COMPUTED_VALUE"""),"")</f>
        <v/>
      </c>
    </row>
    <row r="66">
      <c r="A66" s="1" t="str">
        <f>IFERROR(__xludf.DUMMYFUNCTION("""COMPUTED_VALUE"""),"63ef9d5f384f27260c1bafed")</f>
        <v>63ef9d5f384f27260c1bafed</v>
      </c>
      <c r="B66" s="1" t="str">
        <f>IFERROR(__xludf.DUMMYFUNCTION("""COMPUTED_VALUE"""),"Ezentis Tecnologia SL")</f>
        <v>Ezentis Tecnologia SL</v>
      </c>
      <c r="C66" s="1" t="str">
        <f>IFERROR(__xludf.DUMMYFUNCTION("""COMPUTED_VALUE"""),"jaime.tor@al-enterprise.com, astrid.savorani@al-enterprise.com, rafael.andreo@al-enterprise.com, esther.alonso@al-enterprise.com, marcos.rodriguez@al-enterprise.com, borja.gonzalvez@al-enterprise.com")</f>
        <v>jaime.tor@al-enterprise.com, astrid.savorani@al-enterprise.com, rafael.andreo@al-enterprise.com, esther.alonso@al-enterprise.com, marcos.rodriguez@al-enterprise.com, borja.gonzalvez@al-enterprise.com</v>
      </c>
      <c r="D66" s="1" t="str">
        <f>IFERROR(__xludf.DUMMYFUNCTION("""COMPUTED_VALUE"""),"emea")</f>
        <v>emea</v>
      </c>
      <c r="E66" s="1" t="str">
        <f>IFERROR(__xludf.DUMMYFUNCTION("""COMPUTED_VALUE"""),"ES")</f>
        <v>ES</v>
      </c>
      <c r="F66" s="1"/>
      <c r="G66" s="1">
        <f>IFERROR(__xludf.DUMMYFUNCTION("""COMPUTED_VALUE"""),1.0)</f>
        <v>1</v>
      </c>
      <c r="H66" s="1">
        <f>IFERROR(__xludf.DUMMYFUNCTION("""COMPUTED_VALUE"""),1.0)</f>
        <v>1</v>
      </c>
      <c r="I66" s="2">
        <f>IFERROR(__xludf.DUMMYFUNCTION("""COMPUTED_VALUE"""),1.0)</f>
        <v>1</v>
      </c>
      <c r="J66" s="1">
        <f>IFERROR(__xludf.DUMMYFUNCTION("""COMPUTED_VALUE"""),72.2)</f>
        <v>72.2</v>
      </c>
      <c r="K66" s="1">
        <f>IFERROR(__xludf.DUMMYFUNCTION("""COMPUTED_VALUE"""),200.0)</f>
        <v>200</v>
      </c>
      <c r="L66" s="2">
        <f>IFERROR(__xludf.DUMMYFUNCTION("""COMPUTED_VALUE"""),0.361)</f>
        <v>0.361</v>
      </c>
      <c r="M66" s="1">
        <f>IFERROR(__xludf.DUMMYFUNCTION("""COMPUTED_VALUE"""),10.0)</f>
        <v>10</v>
      </c>
      <c r="N66" s="1">
        <f>IFERROR(__xludf.DUMMYFUNCTION("""COMPUTED_VALUE"""),52.0)</f>
        <v>52</v>
      </c>
      <c r="O66" s="2">
        <f>IFERROR(__xludf.DUMMYFUNCTION("""COMPUTED_VALUE"""),0.19230769230769232)</f>
        <v>0.1923076923</v>
      </c>
      <c r="P66" s="1">
        <f>IFERROR(__xludf.DUMMYFUNCTION("""COMPUTED_VALUE"""),0.0)</f>
        <v>0</v>
      </c>
      <c r="Q66" s="1">
        <f>IFERROR(__xludf.DUMMYFUNCTION("""COMPUTED_VALUE"""),1.0)</f>
        <v>1</v>
      </c>
      <c r="R66" s="2">
        <f>IFERROR(__xludf.DUMMYFUNCTION("""COMPUTED_VALUE"""),0.0)</f>
        <v>0</v>
      </c>
      <c r="S66" s="1">
        <f>IFERROR(__xludf.DUMMYFUNCTION("""COMPUTED_VALUE"""),1.0)</f>
        <v>1</v>
      </c>
      <c r="T66" s="1">
        <f>IFERROR(__xludf.DUMMYFUNCTION("""COMPUTED_VALUE"""),1.0)</f>
        <v>1</v>
      </c>
      <c r="U66" s="2">
        <f>IFERROR(__xludf.DUMMYFUNCTION("""COMPUTED_VALUE"""),1.0)</f>
        <v>1</v>
      </c>
      <c r="V66" s="1">
        <f>IFERROR(__xludf.DUMMYFUNCTION("""COMPUTED_VALUE"""),0.0)</f>
        <v>0</v>
      </c>
      <c r="W66" s="1">
        <f>IFERROR(__xludf.DUMMYFUNCTION("""COMPUTED_VALUE"""),1.0)</f>
        <v>1</v>
      </c>
      <c r="X66" s="2">
        <f>IFERROR(__xludf.DUMMYFUNCTION("""COMPUTED_VALUE"""),0.0)</f>
        <v>0</v>
      </c>
      <c r="Y66" s="1">
        <f>IFERROR(__xludf.DUMMYFUNCTION("""COMPUTED_VALUE"""),0.0)</f>
        <v>0</v>
      </c>
      <c r="Z66" s="1">
        <f>IFERROR(__xludf.DUMMYFUNCTION("""COMPUTED_VALUE"""),0.0)</f>
        <v>0</v>
      </c>
      <c r="AA66" s="2" t="str">
        <f>IFERROR(__xludf.DUMMYFUNCTION("""COMPUTED_VALUE"""),"")</f>
        <v/>
      </c>
      <c r="AB66" s="1">
        <f>IFERROR(__xludf.DUMMYFUNCTION("""COMPUTED_VALUE"""),100.0)</f>
        <v>100</v>
      </c>
      <c r="AC66" s="1">
        <f>IFERROR(__xludf.DUMMYFUNCTION("""COMPUTED_VALUE"""),0.0)</f>
        <v>0</v>
      </c>
      <c r="AD66" s="2" t="str">
        <f>IFERROR(__xludf.DUMMYFUNCTION("""COMPUTED_VALUE"""),"")</f>
        <v/>
      </c>
      <c r="AE66" s="1">
        <f>IFERROR(__xludf.DUMMYFUNCTION("""COMPUTED_VALUE"""),0.0)</f>
        <v>0</v>
      </c>
      <c r="AF66" s="1">
        <f>IFERROR(__xludf.DUMMYFUNCTION("""COMPUTED_VALUE"""),166.67)</f>
        <v>166.67</v>
      </c>
      <c r="AG66" s="2">
        <f>IFERROR(__xludf.DUMMYFUNCTION("""COMPUTED_VALUE"""),0.0)</f>
        <v>0</v>
      </c>
      <c r="AH66" s="1">
        <f>IFERROR(__xludf.DUMMYFUNCTION("""COMPUTED_VALUE"""),0.0)</f>
        <v>0</v>
      </c>
      <c r="AI66" s="1">
        <f>IFERROR(__xludf.DUMMYFUNCTION("""COMPUTED_VALUE"""),166.67)</f>
        <v>166.67</v>
      </c>
      <c r="AJ66" s="2">
        <f>IFERROR(__xludf.DUMMYFUNCTION("""COMPUTED_VALUE"""),0.0)</f>
        <v>0</v>
      </c>
      <c r="AK66" s="1">
        <f>IFERROR(__xludf.DUMMYFUNCTION("""COMPUTED_VALUE"""),100.0)</f>
        <v>100</v>
      </c>
      <c r="AL66" s="1">
        <f>IFERROR(__xludf.DUMMYFUNCTION("""COMPUTED_VALUE"""),333.34)</f>
        <v>333.34</v>
      </c>
      <c r="AM66" s="2">
        <f>IFERROR(__xludf.DUMMYFUNCTION("""COMPUTED_VALUE"""),0.2999940001199976)</f>
        <v>0.2999940001</v>
      </c>
      <c r="AN66" s="1">
        <f>IFERROR(__xludf.DUMMYFUNCTION("""COMPUTED_VALUE"""),0.0)</f>
        <v>0</v>
      </c>
      <c r="AO66" s="1">
        <f>IFERROR(__xludf.DUMMYFUNCTION("""COMPUTED_VALUE"""),0.0)</f>
        <v>0</v>
      </c>
      <c r="AP66" s="2" t="str">
        <f>IFERROR(__xludf.DUMMYFUNCTION("""COMPUTED_VALUE"""),"")</f>
        <v/>
      </c>
      <c r="AQ66" s="1">
        <f>IFERROR(__xludf.DUMMYFUNCTION("""COMPUTED_VALUE"""),0.0)</f>
        <v>0</v>
      </c>
      <c r="AR66" s="1">
        <f>IFERROR(__xludf.DUMMYFUNCTION("""COMPUTED_VALUE"""),0.0)</f>
        <v>0</v>
      </c>
      <c r="AS66" s="2" t="str">
        <f>IFERROR(__xludf.DUMMYFUNCTION("""COMPUTED_VALUE"""),"")</f>
        <v/>
      </c>
      <c r="AT66" s="1">
        <f>IFERROR(__xludf.DUMMYFUNCTION("""COMPUTED_VALUE"""),0.0)</f>
        <v>0</v>
      </c>
      <c r="AU66" s="1">
        <f>IFERROR(__xludf.DUMMYFUNCTION("""COMPUTED_VALUE"""),0.0)</f>
        <v>0</v>
      </c>
      <c r="AV66" s="2" t="str">
        <f>IFERROR(__xludf.DUMMYFUNCTION("""COMPUTED_VALUE"""),"")</f>
        <v/>
      </c>
      <c r="AW66" s="1">
        <f>IFERROR(__xludf.DUMMYFUNCTION("""COMPUTED_VALUE"""),0.0)</f>
        <v>0</v>
      </c>
      <c r="AX66" s="1">
        <f>IFERROR(__xludf.DUMMYFUNCTION("""COMPUTED_VALUE"""),0.0)</f>
        <v>0</v>
      </c>
      <c r="AY66" s="2" t="str">
        <f>IFERROR(__xludf.DUMMYFUNCTION("""COMPUTED_VALUE"""),"")</f>
        <v/>
      </c>
      <c r="AZ66" s="1">
        <f>IFERROR(__xludf.DUMMYFUNCTION("""COMPUTED_VALUE"""),0.0)</f>
        <v>0</v>
      </c>
      <c r="BA66" s="1">
        <f>IFERROR(__xludf.DUMMYFUNCTION("""COMPUTED_VALUE"""),0.0)</f>
        <v>0</v>
      </c>
      <c r="BB66" s="2" t="str">
        <f>IFERROR(__xludf.DUMMYFUNCTION("""COMPUTED_VALUE"""),"")</f>
        <v/>
      </c>
    </row>
    <row r="67">
      <c r="A67" s="1" t="str">
        <f>IFERROR(__xludf.DUMMYFUNCTION("""COMPUTED_VALUE"""),"633dbdf37d81b978d40bc36f")</f>
        <v>633dbdf37d81b978d40bc36f</v>
      </c>
      <c r="B67" s="1" t="str">
        <f>IFERROR(__xludf.DUMMYFUNCTION("""COMPUTED_VALUE"""),"Fornax GmbH")</f>
        <v>Fornax GmbH</v>
      </c>
      <c r="C67" s="1" t="str">
        <f>IFERROR(__xludf.DUMMYFUNCTION("""COMPUTED_VALUE"""),"rui.silva@al-enterprise.com, andreas.grossheimann@al-enterprise.com, katrin.pfeiffer@al-enterprise.com, sibylle.klopfer@al-enterprise.com, igor.leko@al-enterprise.com")</f>
        <v>rui.silva@al-enterprise.com, andreas.grossheimann@al-enterprise.com, katrin.pfeiffer@al-enterprise.com, sibylle.klopfer@al-enterprise.com, igor.leko@al-enterprise.com</v>
      </c>
      <c r="D67" s="1" t="str">
        <f>IFERROR(__xludf.DUMMYFUNCTION("""COMPUTED_VALUE"""),"germany")</f>
        <v>germany</v>
      </c>
      <c r="E67" s="1" t="str">
        <f>IFERROR(__xludf.DUMMYFUNCTION("""COMPUTED_VALUE"""),"DE")</f>
        <v>DE</v>
      </c>
      <c r="F67" s="1" t="str">
        <f>IFERROR(__xludf.DUMMYFUNCTION("""COMPUTED_VALUE"""),"expert_200")</f>
        <v>expert_200</v>
      </c>
      <c r="G67" s="1">
        <f>IFERROR(__xludf.DUMMYFUNCTION("""COMPUTED_VALUE"""),0.0)</f>
        <v>0</v>
      </c>
      <c r="H67" s="1">
        <f>IFERROR(__xludf.DUMMYFUNCTION("""COMPUTED_VALUE"""),1.0)</f>
        <v>1</v>
      </c>
      <c r="I67" s="2">
        <f>IFERROR(__xludf.DUMMYFUNCTION("""COMPUTED_VALUE"""),0.0)</f>
        <v>0</v>
      </c>
      <c r="J67" s="1">
        <f>IFERROR(__xludf.DUMMYFUNCTION("""COMPUTED_VALUE"""),35.8)</f>
        <v>35.8</v>
      </c>
      <c r="K67" s="1">
        <f>IFERROR(__xludf.DUMMYFUNCTION("""COMPUTED_VALUE"""),200.0)</f>
        <v>200</v>
      </c>
      <c r="L67" s="2">
        <f>IFERROR(__xludf.DUMMYFUNCTION("""COMPUTED_VALUE"""),0.179)</f>
        <v>0.179</v>
      </c>
      <c r="M67" s="1">
        <f>IFERROR(__xludf.DUMMYFUNCTION("""COMPUTED_VALUE"""),10.0)</f>
        <v>10</v>
      </c>
      <c r="N67" s="1">
        <f>IFERROR(__xludf.DUMMYFUNCTION("""COMPUTED_VALUE"""),52.0)</f>
        <v>52</v>
      </c>
      <c r="O67" s="2">
        <f>IFERROR(__xludf.DUMMYFUNCTION("""COMPUTED_VALUE"""),0.19230769230769232)</f>
        <v>0.1923076923</v>
      </c>
      <c r="P67" s="1">
        <f>IFERROR(__xludf.DUMMYFUNCTION("""COMPUTED_VALUE"""),0.0)</f>
        <v>0</v>
      </c>
      <c r="Q67" s="1">
        <f>IFERROR(__xludf.DUMMYFUNCTION("""COMPUTED_VALUE"""),1.0)</f>
        <v>1</v>
      </c>
      <c r="R67" s="2">
        <f>IFERROR(__xludf.DUMMYFUNCTION("""COMPUTED_VALUE"""),0.0)</f>
        <v>0</v>
      </c>
      <c r="S67" s="1">
        <f>IFERROR(__xludf.DUMMYFUNCTION("""COMPUTED_VALUE"""),0.0)</f>
        <v>0</v>
      </c>
      <c r="T67" s="1">
        <f>IFERROR(__xludf.DUMMYFUNCTION("""COMPUTED_VALUE"""),1.0)</f>
        <v>1</v>
      </c>
      <c r="U67" s="2">
        <f>IFERROR(__xludf.DUMMYFUNCTION("""COMPUTED_VALUE"""),0.0)</f>
        <v>0</v>
      </c>
      <c r="V67" s="1">
        <f>IFERROR(__xludf.DUMMYFUNCTION("""COMPUTED_VALUE"""),0.0)</f>
        <v>0</v>
      </c>
      <c r="W67" s="1">
        <f>IFERROR(__xludf.DUMMYFUNCTION("""COMPUTED_VALUE"""),1.0)</f>
        <v>1</v>
      </c>
      <c r="X67" s="2">
        <f>IFERROR(__xludf.DUMMYFUNCTION("""COMPUTED_VALUE"""),0.0)</f>
        <v>0</v>
      </c>
      <c r="Y67" s="1">
        <f>IFERROR(__xludf.DUMMYFUNCTION("""COMPUTED_VALUE"""),6.7)</f>
        <v>6.7</v>
      </c>
      <c r="Z67" s="1">
        <f>IFERROR(__xludf.DUMMYFUNCTION("""COMPUTED_VALUE"""),0.0)</f>
        <v>0</v>
      </c>
      <c r="AA67" s="2" t="str">
        <f>IFERROR(__xludf.DUMMYFUNCTION("""COMPUTED_VALUE"""),"")</f>
        <v/>
      </c>
      <c r="AB67" s="1">
        <f>IFERROR(__xludf.DUMMYFUNCTION("""COMPUTED_VALUE"""),6.7)</f>
        <v>6.7</v>
      </c>
      <c r="AC67" s="1">
        <f>IFERROR(__xludf.DUMMYFUNCTION("""COMPUTED_VALUE"""),47.62)</f>
        <v>47.62</v>
      </c>
      <c r="AD67" s="2">
        <f>IFERROR(__xludf.DUMMYFUNCTION("""COMPUTED_VALUE"""),0.14069718605627887)</f>
        <v>0.1406971861</v>
      </c>
      <c r="AE67" s="1">
        <f>IFERROR(__xludf.DUMMYFUNCTION("""COMPUTED_VALUE"""),15.99)</f>
        <v>15.99</v>
      </c>
      <c r="AF67" s="1">
        <f>IFERROR(__xludf.DUMMYFUNCTION("""COMPUTED_VALUE"""),71.43)</f>
        <v>71.43</v>
      </c>
      <c r="AG67" s="2">
        <f>IFERROR(__xludf.DUMMYFUNCTION("""COMPUTED_VALUE"""),0.2238555228895422)</f>
        <v>0.2238555229</v>
      </c>
      <c r="AH67" s="1">
        <f>IFERROR(__xludf.DUMMYFUNCTION("""COMPUTED_VALUE"""),10.0)</f>
        <v>10</v>
      </c>
      <c r="AI67" s="1">
        <f>IFERROR(__xludf.DUMMYFUNCTION("""COMPUTED_VALUE"""),71.43)</f>
        <v>71.43</v>
      </c>
      <c r="AJ67" s="2">
        <f>IFERROR(__xludf.DUMMYFUNCTION("""COMPUTED_VALUE"""),0.13999720005599886)</f>
        <v>0.1399972001</v>
      </c>
      <c r="AK67" s="1">
        <f>IFERROR(__xludf.DUMMYFUNCTION("""COMPUTED_VALUE"""),39.39)</f>
        <v>39.39</v>
      </c>
      <c r="AL67" s="1">
        <f>IFERROR(__xludf.DUMMYFUNCTION("""COMPUTED_VALUE"""),190.48000000000002)</f>
        <v>190.48</v>
      </c>
      <c r="AM67" s="2">
        <f>IFERROR(__xludf.DUMMYFUNCTION("""COMPUTED_VALUE"""),0.20679336413271732)</f>
        <v>0.2067933641</v>
      </c>
      <c r="AN67" s="1">
        <f>IFERROR(__xludf.DUMMYFUNCTION("""COMPUTED_VALUE"""),0.0)</f>
        <v>0</v>
      </c>
      <c r="AO67" s="1">
        <f>IFERROR(__xludf.DUMMYFUNCTION("""COMPUTED_VALUE"""),0.0)</f>
        <v>0</v>
      </c>
      <c r="AP67" s="2" t="str">
        <f>IFERROR(__xludf.DUMMYFUNCTION("""COMPUTED_VALUE"""),"")</f>
        <v/>
      </c>
      <c r="AQ67" s="1">
        <f>IFERROR(__xludf.DUMMYFUNCTION("""COMPUTED_VALUE"""),35.0)</f>
        <v>35</v>
      </c>
      <c r="AR67" s="1">
        <f>IFERROR(__xludf.DUMMYFUNCTION("""COMPUTED_VALUE"""),0.0)</f>
        <v>0</v>
      </c>
      <c r="AS67" s="2" t="str">
        <f>IFERROR(__xludf.DUMMYFUNCTION("""COMPUTED_VALUE"""),"")</f>
        <v/>
      </c>
      <c r="AT67" s="1">
        <f>IFERROR(__xludf.DUMMYFUNCTION("""COMPUTED_VALUE"""),0.0)</f>
        <v>0</v>
      </c>
      <c r="AU67" s="1">
        <f>IFERROR(__xludf.DUMMYFUNCTION("""COMPUTED_VALUE"""),0.0)</f>
        <v>0</v>
      </c>
      <c r="AV67" s="2" t="str">
        <f>IFERROR(__xludf.DUMMYFUNCTION("""COMPUTED_VALUE"""),"")</f>
        <v/>
      </c>
      <c r="AW67" s="1">
        <f>IFERROR(__xludf.DUMMYFUNCTION("""COMPUTED_VALUE"""),0.0)</f>
        <v>0</v>
      </c>
      <c r="AX67" s="1">
        <f>IFERROR(__xludf.DUMMYFUNCTION("""COMPUTED_VALUE"""),0.0)</f>
        <v>0</v>
      </c>
      <c r="AY67" s="2" t="str">
        <f>IFERROR(__xludf.DUMMYFUNCTION("""COMPUTED_VALUE"""),"")</f>
        <v/>
      </c>
      <c r="AZ67" s="1">
        <f>IFERROR(__xludf.DUMMYFUNCTION("""COMPUTED_VALUE"""),35.0)</f>
        <v>35</v>
      </c>
      <c r="BA67" s="1">
        <f>IFERROR(__xludf.DUMMYFUNCTION("""COMPUTED_VALUE"""),0.0)</f>
        <v>0</v>
      </c>
      <c r="BB67" s="2" t="str">
        <f>IFERROR(__xludf.DUMMYFUNCTION("""COMPUTED_VALUE"""),"")</f>
        <v/>
      </c>
    </row>
    <row r="68">
      <c r="A68" s="1" t="str">
        <f>IFERROR(__xludf.DUMMYFUNCTION("""COMPUTED_VALUE"""),"63ea6e9452ad6968805cec23")</f>
        <v>63ea6e9452ad6968805cec23</v>
      </c>
      <c r="B68" s="1" t="str">
        <f>IFERROR(__xludf.DUMMYFUNCTION("""COMPUTED_VALUE"""),"FT Fernmeldetechnik GmbH")</f>
        <v>FT Fernmeldetechnik GmbH</v>
      </c>
      <c r="C68" s="1" t="str">
        <f>IFERROR(__xludf.DUMMYFUNCTION("""COMPUTED_VALUE"""),"andreas.grossheimann@al-enterprise.com, katrin.pfeiffer@al-enterprise.com, andre.ramm@al-enterprise.com, sibylle.klopfer@al-enterprise.com, igor.leko@al-enterprise.com")</f>
        <v>andreas.grossheimann@al-enterprise.com, katrin.pfeiffer@al-enterprise.com, andre.ramm@al-enterprise.com, sibylle.klopfer@al-enterprise.com, igor.leko@al-enterprise.com</v>
      </c>
      <c r="D68" s="1" t="str">
        <f>IFERROR(__xludf.DUMMYFUNCTION("""COMPUTED_VALUE"""),"germany")</f>
        <v>germany</v>
      </c>
      <c r="E68" s="1" t="str">
        <f>IFERROR(__xludf.DUMMYFUNCTION("""COMPUTED_VALUE"""),"DE")</f>
        <v>DE</v>
      </c>
      <c r="F68" s="1" t="str">
        <f>IFERROR(__xludf.DUMMYFUNCTION("""COMPUTED_VALUE"""),"expert_200")</f>
        <v>expert_200</v>
      </c>
      <c r="G68" s="1">
        <f>IFERROR(__xludf.DUMMYFUNCTION("""COMPUTED_VALUE"""),0.0)</f>
        <v>0</v>
      </c>
      <c r="H68" s="1">
        <f>IFERROR(__xludf.DUMMYFUNCTION("""COMPUTED_VALUE"""),1.0)</f>
        <v>1</v>
      </c>
      <c r="I68" s="2">
        <f>IFERROR(__xludf.DUMMYFUNCTION("""COMPUTED_VALUE"""),0.0)</f>
        <v>0</v>
      </c>
      <c r="J68" s="1">
        <f>IFERROR(__xludf.DUMMYFUNCTION("""COMPUTED_VALUE"""),64.68)</f>
        <v>64.68</v>
      </c>
      <c r="K68" s="1">
        <f>IFERROR(__xludf.DUMMYFUNCTION("""COMPUTED_VALUE"""),230.2)</f>
        <v>230.2</v>
      </c>
      <c r="L68" s="2">
        <f>IFERROR(__xludf.DUMMYFUNCTION("""COMPUTED_VALUE"""),0.2809730668983493)</f>
        <v>0.2809730669</v>
      </c>
      <c r="M68" s="1">
        <f>IFERROR(__xludf.DUMMYFUNCTION("""COMPUTED_VALUE"""),18.0)</f>
        <v>18</v>
      </c>
      <c r="N68" s="1">
        <f>IFERROR(__xludf.DUMMYFUNCTION("""COMPUTED_VALUE"""),52.0)</f>
        <v>52</v>
      </c>
      <c r="O68" s="2">
        <f>IFERROR(__xludf.DUMMYFUNCTION("""COMPUTED_VALUE"""),0.34615384615384615)</f>
        <v>0.3461538462</v>
      </c>
      <c r="P68" s="1">
        <f>IFERROR(__xludf.DUMMYFUNCTION("""COMPUTED_VALUE"""),1.0)</f>
        <v>1</v>
      </c>
      <c r="Q68" s="1">
        <f>IFERROR(__xludf.DUMMYFUNCTION("""COMPUTED_VALUE"""),1.0)</f>
        <v>1</v>
      </c>
      <c r="R68" s="2">
        <f>IFERROR(__xludf.DUMMYFUNCTION("""COMPUTED_VALUE"""),1.0)</f>
        <v>1</v>
      </c>
      <c r="S68" s="1">
        <f>IFERROR(__xludf.DUMMYFUNCTION("""COMPUTED_VALUE"""),0.0)</f>
        <v>0</v>
      </c>
      <c r="T68" s="1">
        <f>IFERROR(__xludf.DUMMYFUNCTION("""COMPUTED_VALUE"""),1.0)</f>
        <v>1</v>
      </c>
      <c r="U68" s="2">
        <f>IFERROR(__xludf.DUMMYFUNCTION("""COMPUTED_VALUE"""),0.0)</f>
        <v>0</v>
      </c>
      <c r="V68" s="1">
        <f>IFERROR(__xludf.DUMMYFUNCTION("""COMPUTED_VALUE"""),0.0)</f>
        <v>0</v>
      </c>
      <c r="W68" s="1">
        <f>IFERROR(__xludf.DUMMYFUNCTION("""COMPUTED_VALUE"""),1.0)</f>
        <v>1</v>
      </c>
      <c r="X68" s="2">
        <f>IFERROR(__xludf.DUMMYFUNCTION("""COMPUTED_VALUE"""),0.0)</f>
        <v>0</v>
      </c>
      <c r="Y68" s="1">
        <f>IFERROR(__xludf.DUMMYFUNCTION("""COMPUTED_VALUE"""),9.89)</f>
        <v>9.89</v>
      </c>
      <c r="Z68" s="1">
        <f>IFERROR(__xludf.DUMMYFUNCTION("""COMPUTED_VALUE"""),0.0)</f>
        <v>0</v>
      </c>
      <c r="AA68" s="2" t="str">
        <f>IFERROR(__xludf.DUMMYFUNCTION("""COMPUTED_VALUE"""),"")</f>
        <v/>
      </c>
      <c r="AB68" s="1">
        <f>IFERROR(__xludf.DUMMYFUNCTION("""COMPUTED_VALUE"""),12.06)</f>
        <v>12.06</v>
      </c>
      <c r="AC68" s="1">
        <f>IFERROR(__xludf.DUMMYFUNCTION("""COMPUTED_VALUE"""),79.31)</f>
        <v>79.31</v>
      </c>
      <c r="AD68" s="2">
        <f>IFERROR(__xludf.DUMMYFUNCTION("""COMPUTED_VALUE"""),0.1520615307023074)</f>
        <v>0.1520615307</v>
      </c>
      <c r="AE68" s="1">
        <f>IFERROR(__xludf.DUMMYFUNCTION("""COMPUTED_VALUE"""),11.58)</f>
        <v>11.58</v>
      </c>
      <c r="AF68" s="1">
        <f>IFERROR(__xludf.DUMMYFUNCTION("""COMPUTED_VALUE"""),119.14)</f>
        <v>119.14</v>
      </c>
      <c r="AG68" s="2">
        <f>IFERROR(__xludf.DUMMYFUNCTION("""COMPUTED_VALUE"""),0.09719657545744502)</f>
        <v>0.09719657546</v>
      </c>
      <c r="AH68" s="1">
        <f>IFERROR(__xludf.DUMMYFUNCTION("""COMPUTED_VALUE"""),0.0)</f>
        <v>0</v>
      </c>
      <c r="AI68" s="1">
        <f>IFERROR(__xludf.DUMMYFUNCTION("""COMPUTED_VALUE"""),119.14)</f>
        <v>119.14</v>
      </c>
      <c r="AJ68" s="2">
        <f>IFERROR(__xludf.DUMMYFUNCTION("""COMPUTED_VALUE"""),0.0)</f>
        <v>0</v>
      </c>
      <c r="AK68" s="1">
        <f>IFERROR(__xludf.DUMMYFUNCTION("""COMPUTED_VALUE"""),33.53)</f>
        <v>33.53</v>
      </c>
      <c r="AL68" s="1">
        <f>IFERROR(__xludf.DUMMYFUNCTION("""COMPUTED_VALUE"""),317.59)</f>
        <v>317.59</v>
      </c>
      <c r="AM68" s="2">
        <f>IFERROR(__xludf.DUMMYFUNCTION("""COMPUTED_VALUE"""),0.10557637205201677)</f>
        <v>0.1055763721</v>
      </c>
      <c r="AN68" s="1">
        <f>IFERROR(__xludf.DUMMYFUNCTION("""COMPUTED_VALUE"""),0.0)</f>
        <v>0</v>
      </c>
      <c r="AO68" s="1">
        <f>IFERROR(__xludf.DUMMYFUNCTION("""COMPUTED_VALUE"""),0.0)</f>
        <v>0</v>
      </c>
      <c r="AP68" s="2" t="str">
        <f>IFERROR(__xludf.DUMMYFUNCTION("""COMPUTED_VALUE"""),"")</f>
        <v/>
      </c>
      <c r="AQ68" s="1">
        <f>IFERROR(__xludf.DUMMYFUNCTION("""COMPUTED_VALUE"""),0.0)</f>
        <v>0</v>
      </c>
      <c r="AR68" s="1">
        <f>IFERROR(__xludf.DUMMYFUNCTION("""COMPUTED_VALUE"""),0.0)</f>
        <v>0</v>
      </c>
      <c r="AS68" s="2" t="str">
        <f>IFERROR(__xludf.DUMMYFUNCTION("""COMPUTED_VALUE"""),"")</f>
        <v/>
      </c>
      <c r="AT68" s="1">
        <f>IFERROR(__xludf.DUMMYFUNCTION("""COMPUTED_VALUE"""),0.0)</f>
        <v>0</v>
      </c>
      <c r="AU68" s="1">
        <f>IFERROR(__xludf.DUMMYFUNCTION("""COMPUTED_VALUE"""),0.0)</f>
        <v>0</v>
      </c>
      <c r="AV68" s="2" t="str">
        <f>IFERROR(__xludf.DUMMYFUNCTION("""COMPUTED_VALUE"""),"")</f>
        <v/>
      </c>
      <c r="AW68" s="1">
        <f>IFERROR(__xludf.DUMMYFUNCTION("""COMPUTED_VALUE"""),0.0)</f>
        <v>0</v>
      </c>
      <c r="AX68" s="1">
        <f>IFERROR(__xludf.DUMMYFUNCTION("""COMPUTED_VALUE"""),0.0)</f>
        <v>0</v>
      </c>
      <c r="AY68" s="2" t="str">
        <f>IFERROR(__xludf.DUMMYFUNCTION("""COMPUTED_VALUE"""),"")</f>
        <v/>
      </c>
      <c r="AZ68" s="1">
        <f>IFERROR(__xludf.DUMMYFUNCTION("""COMPUTED_VALUE"""),0.0)</f>
        <v>0</v>
      </c>
      <c r="BA68" s="1">
        <f>IFERROR(__xludf.DUMMYFUNCTION("""COMPUTED_VALUE"""),0.0)</f>
        <v>0</v>
      </c>
      <c r="BB68" s="2" t="str">
        <f>IFERROR(__xludf.DUMMYFUNCTION("""COMPUTED_VALUE"""),"")</f>
        <v/>
      </c>
    </row>
    <row r="69">
      <c r="A69" s="1" t="str">
        <f>IFERROR(__xludf.DUMMYFUNCTION("""COMPUTED_VALUE"""),"63ef9d58384f27260c1ba3f3")</f>
        <v>63ef9d58384f27260c1ba3f3</v>
      </c>
      <c r="B69" s="1" t="str">
        <f>IFERROR(__xludf.DUMMYFUNCTION("""COMPUTED_VALUE"""),"GDL Telecomunicaciones S.A de C.V")</f>
        <v>GDL Telecomunicaciones S.A de C.V</v>
      </c>
      <c r="C69" s="1" t="str">
        <f>IFERROR(__xludf.DUMMYFUNCTION("""COMPUTED_VALUE"""),"hector.villa@al-enterprise.com")</f>
        <v>hector.villa@al-enterprise.com</v>
      </c>
      <c r="D69" s="1" t="str">
        <f>IFERROR(__xludf.DUMMYFUNCTION("""COMPUTED_VALUE"""),"americas")</f>
        <v>americas</v>
      </c>
      <c r="E69" s="1" t="str">
        <f>IFERROR(__xludf.DUMMYFUNCTION("""COMPUTED_VALUE"""),"MX")</f>
        <v>MX</v>
      </c>
      <c r="F69" s="1" t="str">
        <f>IFERROR(__xludf.DUMMYFUNCTION("""COMPUTED_VALUE"""),"expert_200")</f>
        <v>expert_200</v>
      </c>
      <c r="G69" s="1">
        <f>IFERROR(__xludf.DUMMYFUNCTION("""COMPUTED_VALUE"""),0.0)</f>
        <v>0</v>
      </c>
      <c r="H69" s="1">
        <f>IFERROR(__xludf.DUMMYFUNCTION("""COMPUTED_VALUE"""),1.0)</f>
        <v>1</v>
      </c>
      <c r="I69" s="2">
        <f>IFERROR(__xludf.DUMMYFUNCTION("""COMPUTED_VALUE"""),0.0)</f>
        <v>0</v>
      </c>
      <c r="J69" s="1">
        <f>IFERROR(__xludf.DUMMYFUNCTION("""COMPUTED_VALUE"""),179.8)</f>
        <v>179.8</v>
      </c>
      <c r="K69" s="1">
        <f>IFERROR(__xludf.DUMMYFUNCTION("""COMPUTED_VALUE"""),0.0)</f>
        <v>0</v>
      </c>
      <c r="L69" s="2" t="str">
        <f>IFERROR(__xludf.DUMMYFUNCTION("""COMPUTED_VALUE"""),"")</f>
        <v/>
      </c>
      <c r="M69" s="1">
        <f>IFERROR(__xludf.DUMMYFUNCTION("""COMPUTED_VALUE"""),10.0)</f>
        <v>10</v>
      </c>
      <c r="N69" s="1">
        <f>IFERROR(__xludf.DUMMYFUNCTION("""COMPUTED_VALUE"""),0.0)</f>
        <v>0</v>
      </c>
      <c r="O69" s="2" t="str">
        <f>IFERROR(__xludf.DUMMYFUNCTION("""COMPUTED_VALUE"""),"")</f>
        <v/>
      </c>
      <c r="P69" s="1">
        <f>IFERROR(__xludf.DUMMYFUNCTION("""COMPUTED_VALUE"""),0.0)</f>
        <v>0</v>
      </c>
      <c r="Q69" s="1">
        <f>IFERROR(__xludf.DUMMYFUNCTION("""COMPUTED_VALUE"""),1.0)</f>
        <v>1</v>
      </c>
      <c r="R69" s="2">
        <f>IFERROR(__xludf.DUMMYFUNCTION("""COMPUTED_VALUE"""),0.0)</f>
        <v>0</v>
      </c>
      <c r="S69" s="1">
        <f>IFERROR(__xludf.DUMMYFUNCTION("""COMPUTED_VALUE"""),0.0)</f>
        <v>0</v>
      </c>
      <c r="T69" s="1">
        <f>IFERROR(__xludf.DUMMYFUNCTION("""COMPUTED_VALUE"""),1.0)</f>
        <v>1</v>
      </c>
      <c r="U69" s="2">
        <f>IFERROR(__xludf.DUMMYFUNCTION("""COMPUTED_VALUE"""),0.0)</f>
        <v>0</v>
      </c>
      <c r="V69" s="1">
        <f>IFERROR(__xludf.DUMMYFUNCTION("""COMPUTED_VALUE"""),0.0)</f>
        <v>0</v>
      </c>
      <c r="W69" s="1">
        <f>IFERROR(__xludf.DUMMYFUNCTION("""COMPUTED_VALUE"""),1.0)</f>
        <v>1</v>
      </c>
      <c r="X69" s="2">
        <f>IFERROR(__xludf.DUMMYFUNCTION("""COMPUTED_VALUE"""),0.0)</f>
        <v>0</v>
      </c>
      <c r="Y69" s="1">
        <f>IFERROR(__xludf.DUMMYFUNCTION("""COMPUTED_VALUE"""),16.59)</f>
        <v>16.59</v>
      </c>
      <c r="Z69" s="1">
        <f>IFERROR(__xludf.DUMMYFUNCTION("""COMPUTED_VALUE"""),0.0)</f>
        <v>0</v>
      </c>
      <c r="AA69" s="2" t="str">
        <f>IFERROR(__xludf.DUMMYFUNCTION("""COMPUTED_VALUE"""),"")</f>
        <v/>
      </c>
      <c r="AB69" s="1">
        <f>IFERROR(__xludf.DUMMYFUNCTION("""COMPUTED_VALUE"""),43.77)</f>
        <v>43.77</v>
      </c>
      <c r="AC69" s="1">
        <f>IFERROR(__xludf.DUMMYFUNCTION("""COMPUTED_VALUE"""),0.0)</f>
        <v>0</v>
      </c>
      <c r="AD69" s="2" t="str">
        <f>IFERROR(__xludf.DUMMYFUNCTION("""COMPUTED_VALUE"""),"")</f>
        <v/>
      </c>
      <c r="AE69" s="1">
        <f>IFERROR(__xludf.DUMMYFUNCTION("""COMPUTED_VALUE"""),30.0)</f>
        <v>30</v>
      </c>
      <c r="AF69" s="1">
        <f>IFERROR(__xludf.DUMMYFUNCTION("""COMPUTED_VALUE"""),0.0)</f>
        <v>0</v>
      </c>
      <c r="AG69" s="2" t="str">
        <f>IFERROR(__xludf.DUMMYFUNCTION("""COMPUTED_VALUE"""),"")</f>
        <v/>
      </c>
      <c r="AH69" s="1">
        <f>IFERROR(__xludf.DUMMYFUNCTION("""COMPUTED_VALUE"""),34.99)</f>
        <v>34.99</v>
      </c>
      <c r="AI69" s="1">
        <f>IFERROR(__xludf.DUMMYFUNCTION("""COMPUTED_VALUE"""),0.0)</f>
        <v>0</v>
      </c>
      <c r="AJ69" s="2" t="str">
        <f>IFERROR(__xludf.DUMMYFUNCTION("""COMPUTED_VALUE"""),"")</f>
        <v/>
      </c>
      <c r="AK69" s="1">
        <f>IFERROR(__xludf.DUMMYFUNCTION("""COMPUTED_VALUE"""),125.35)</f>
        <v>125.35</v>
      </c>
      <c r="AL69" s="1">
        <f>IFERROR(__xludf.DUMMYFUNCTION("""COMPUTED_VALUE"""),0.0)</f>
        <v>0</v>
      </c>
      <c r="AM69" s="2" t="str">
        <f>IFERROR(__xludf.DUMMYFUNCTION("""COMPUTED_VALUE"""),"")</f>
        <v/>
      </c>
      <c r="AN69" s="1">
        <f>IFERROR(__xludf.DUMMYFUNCTION("""COMPUTED_VALUE"""),0.0)</f>
        <v>0</v>
      </c>
      <c r="AO69" s="1">
        <f>IFERROR(__xludf.DUMMYFUNCTION("""COMPUTED_VALUE"""),0.0)</f>
        <v>0</v>
      </c>
      <c r="AP69" s="2" t="str">
        <f>IFERROR(__xludf.DUMMYFUNCTION("""COMPUTED_VALUE"""),"")</f>
        <v/>
      </c>
      <c r="AQ69" s="1">
        <f>IFERROR(__xludf.DUMMYFUNCTION("""COMPUTED_VALUE"""),0.0)</f>
        <v>0</v>
      </c>
      <c r="AR69" s="1">
        <f>IFERROR(__xludf.DUMMYFUNCTION("""COMPUTED_VALUE"""),0.0)</f>
        <v>0</v>
      </c>
      <c r="AS69" s="2" t="str">
        <f>IFERROR(__xludf.DUMMYFUNCTION("""COMPUTED_VALUE"""),"")</f>
        <v/>
      </c>
      <c r="AT69" s="1">
        <f>IFERROR(__xludf.DUMMYFUNCTION("""COMPUTED_VALUE"""),0.0)</f>
        <v>0</v>
      </c>
      <c r="AU69" s="1">
        <f>IFERROR(__xludf.DUMMYFUNCTION("""COMPUTED_VALUE"""),0.0)</f>
        <v>0</v>
      </c>
      <c r="AV69" s="2" t="str">
        <f>IFERROR(__xludf.DUMMYFUNCTION("""COMPUTED_VALUE"""),"")</f>
        <v/>
      </c>
      <c r="AW69" s="1">
        <f>IFERROR(__xludf.DUMMYFUNCTION("""COMPUTED_VALUE"""),0.0)</f>
        <v>0</v>
      </c>
      <c r="AX69" s="1">
        <f>IFERROR(__xludf.DUMMYFUNCTION("""COMPUTED_VALUE"""),0.0)</f>
        <v>0</v>
      </c>
      <c r="AY69" s="2" t="str">
        <f>IFERROR(__xludf.DUMMYFUNCTION("""COMPUTED_VALUE"""),"")</f>
        <v/>
      </c>
      <c r="AZ69" s="1">
        <f>IFERROR(__xludf.DUMMYFUNCTION("""COMPUTED_VALUE"""),0.0)</f>
        <v>0</v>
      </c>
      <c r="BA69" s="1">
        <f>IFERROR(__xludf.DUMMYFUNCTION("""COMPUTED_VALUE"""),0.0)</f>
        <v>0</v>
      </c>
      <c r="BB69" s="2" t="str">
        <f>IFERROR(__xludf.DUMMYFUNCTION("""COMPUTED_VALUE"""),"")</f>
        <v/>
      </c>
    </row>
    <row r="70">
      <c r="A70" s="1" t="str">
        <f>IFERROR(__xludf.DUMMYFUNCTION("""COMPUTED_VALUE"""),"67a4e1cd75e72d5ecf0d1142")</f>
        <v>67a4e1cd75e72d5ecf0d1142</v>
      </c>
      <c r="B70" s="1" t="str">
        <f>IFERROR(__xludf.DUMMYFUNCTION("""COMPUTED_VALUE"""),"GHA Technologies, Inc.")</f>
        <v>GHA Technologies, Inc.</v>
      </c>
      <c r="C70" s="1" t="str">
        <f>IFERROR(__xludf.DUMMYFUNCTION("""COMPUTED_VALUE"""),"bill.rademacher@al-enterprise.com")</f>
        <v>bill.rademacher@al-enterprise.com</v>
      </c>
      <c r="D70" s="1" t="str">
        <f>IFERROR(__xludf.DUMMYFUNCTION("""COMPUTED_VALUE"""),"americas")</f>
        <v>americas</v>
      </c>
      <c r="E70" s="1" t="str">
        <f>IFERROR(__xludf.DUMMYFUNCTION("""COMPUTED_VALUE"""),"US")</f>
        <v>US</v>
      </c>
      <c r="F70" s="1" t="str">
        <f>IFERROR(__xludf.DUMMYFUNCTION("""COMPUTED_VALUE"""),"expert_200")</f>
        <v>expert_200</v>
      </c>
      <c r="G70" s="1">
        <f>IFERROR(__xludf.DUMMYFUNCTION("""COMPUTED_VALUE"""),0.0)</f>
        <v>0</v>
      </c>
      <c r="H70" s="1">
        <f>IFERROR(__xludf.DUMMYFUNCTION("""COMPUTED_VALUE"""),1.0)</f>
        <v>1</v>
      </c>
      <c r="I70" s="2">
        <f>IFERROR(__xludf.DUMMYFUNCTION("""COMPUTED_VALUE"""),0.0)</f>
        <v>0</v>
      </c>
      <c r="J70" s="1">
        <f>IFERROR(__xludf.DUMMYFUNCTION("""COMPUTED_VALUE"""),0.0)</f>
        <v>0</v>
      </c>
      <c r="K70" s="1">
        <f>IFERROR(__xludf.DUMMYFUNCTION("""COMPUTED_VALUE"""),0.0)</f>
        <v>0</v>
      </c>
      <c r="L70" s="2" t="str">
        <f>IFERROR(__xludf.DUMMYFUNCTION("""COMPUTED_VALUE"""),"")</f>
        <v/>
      </c>
      <c r="M70" s="1">
        <f>IFERROR(__xludf.DUMMYFUNCTION("""COMPUTED_VALUE"""),0.0)</f>
        <v>0</v>
      </c>
      <c r="N70" s="1">
        <f>IFERROR(__xludf.DUMMYFUNCTION("""COMPUTED_VALUE"""),0.0)</f>
        <v>0</v>
      </c>
      <c r="O70" s="2" t="str">
        <f>IFERROR(__xludf.DUMMYFUNCTION("""COMPUTED_VALUE"""),"")</f>
        <v/>
      </c>
      <c r="P70" s="1">
        <f>IFERROR(__xludf.DUMMYFUNCTION("""COMPUTED_VALUE"""),0.0)</f>
        <v>0</v>
      </c>
      <c r="Q70" s="1">
        <f>IFERROR(__xludf.DUMMYFUNCTION("""COMPUTED_VALUE"""),1.0)</f>
        <v>1</v>
      </c>
      <c r="R70" s="2">
        <f>IFERROR(__xludf.DUMMYFUNCTION("""COMPUTED_VALUE"""),0.0)</f>
        <v>0</v>
      </c>
      <c r="S70" s="1">
        <f>IFERROR(__xludf.DUMMYFUNCTION("""COMPUTED_VALUE"""),0.0)</f>
        <v>0</v>
      </c>
      <c r="T70" s="1">
        <f>IFERROR(__xludf.DUMMYFUNCTION("""COMPUTED_VALUE"""),1.0)</f>
        <v>1</v>
      </c>
      <c r="U70" s="2">
        <f>IFERROR(__xludf.DUMMYFUNCTION("""COMPUTED_VALUE"""),0.0)</f>
        <v>0</v>
      </c>
      <c r="V70" s="1">
        <f>IFERROR(__xludf.DUMMYFUNCTION("""COMPUTED_VALUE"""),0.0)</f>
        <v>0</v>
      </c>
      <c r="W70" s="1">
        <f>IFERROR(__xludf.DUMMYFUNCTION("""COMPUTED_VALUE"""),1.0)</f>
        <v>1</v>
      </c>
      <c r="X70" s="2">
        <f>IFERROR(__xludf.DUMMYFUNCTION("""COMPUTED_VALUE"""),0.0)</f>
        <v>0</v>
      </c>
      <c r="Y70" s="1">
        <f>IFERROR(__xludf.DUMMYFUNCTION("""COMPUTED_VALUE"""),0.0)</f>
        <v>0</v>
      </c>
      <c r="Z70" s="1">
        <f>IFERROR(__xludf.DUMMYFUNCTION("""COMPUTED_VALUE"""),0.0)</f>
        <v>0</v>
      </c>
      <c r="AA70" s="2" t="str">
        <f>IFERROR(__xludf.DUMMYFUNCTION("""COMPUTED_VALUE"""),"")</f>
        <v/>
      </c>
      <c r="AB70" s="1">
        <f>IFERROR(__xludf.DUMMYFUNCTION("""COMPUTED_VALUE"""),0.0)</f>
        <v>0</v>
      </c>
      <c r="AC70" s="1">
        <f>IFERROR(__xludf.DUMMYFUNCTION("""COMPUTED_VALUE"""),0.0)</f>
        <v>0</v>
      </c>
      <c r="AD70" s="2" t="str">
        <f>IFERROR(__xludf.DUMMYFUNCTION("""COMPUTED_VALUE"""),"")</f>
        <v/>
      </c>
      <c r="AE70" s="1">
        <f>IFERROR(__xludf.DUMMYFUNCTION("""COMPUTED_VALUE"""),95.0)</f>
        <v>95</v>
      </c>
      <c r="AF70" s="1">
        <f>IFERROR(__xludf.DUMMYFUNCTION("""COMPUTED_VALUE"""),0.0)</f>
        <v>0</v>
      </c>
      <c r="AG70" s="2" t="str">
        <f>IFERROR(__xludf.DUMMYFUNCTION("""COMPUTED_VALUE"""),"")</f>
        <v/>
      </c>
      <c r="AH70" s="1">
        <f>IFERROR(__xludf.DUMMYFUNCTION("""COMPUTED_VALUE"""),95.0)</f>
        <v>95</v>
      </c>
      <c r="AI70" s="1">
        <f>IFERROR(__xludf.DUMMYFUNCTION("""COMPUTED_VALUE"""),0.0)</f>
        <v>0</v>
      </c>
      <c r="AJ70" s="2" t="str">
        <f>IFERROR(__xludf.DUMMYFUNCTION("""COMPUTED_VALUE"""),"")</f>
        <v/>
      </c>
      <c r="AK70" s="1">
        <f>IFERROR(__xludf.DUMMYFUNCTION("""COMPUTED_VALUE"""),190.0)</f>
        <v>190</v>
      </c>
      <c r="AL70" s="1">
        <f>IFERROR(__xludf.DUMMYFUNCTION("""COMPUTED_VALUE"""),0.0)</f>
        <v>0</v>
      </c>
      <c r="AM70" s="2" t="str">
        <f>IFERROR(__xludf.DUMMYFUNCTION("""COMPUTED_VALUE"""),"")</f>
        <v/>
      </c>
      <c r="AN70" s="1">
        <f>IFERROR(__xludf.DUMMYFUNCTION("""COMPUTED_VALUE"""),95.0)</f>
        <v>95</v>
      </c>
      <c r="AO70" s="1">
        <f>IFERROR(__xludf.DUMMYFUNCTION("""COMPUTED_VALUE"""),0.0)</f>
        <v>0</v>
      </c>
      <c r="AP70" s="2" t="str">
        <f>IFERROR(__xludf.DUMMYFUNCTION("""COMPUTED_VALUE"""),"")</f>
        <v/>
      </c>
      <c r="AQ70" s="1">
        <f>IFERROR(__xludf.DUMMYFUNCTION("""COMPUTED_VALUE"""),0.0)</f>
        <v>0</v>
      </c>
      <c r="AR70" s="1">
        <f>IFERROR(__xludf.DUMMYFUNCTION("""COMPUTED_VALUE"""),0.0)</f>
        <v>0</v>
      </c>
      <c r="AS70" s="2" t="str">
        <f>IFERROR(__xludf.DUMMYFUNCTION("""COMPUTED_VALUE"""),"")</f>
        <v/>
      </c>
      <c r="AT70" s="1">
        <f>IFERROR(__xludf.DUMMYFUNCTION("""COMPUTED_VALUE"""),0.0)</f>
        <v>0</v>
      </c>
      <c r="AU70" s="1">
        <f>IFERROR(__xludf.DUMMYFUNCTION("""COMPUTED_VALUE"""),0.0)</f>
        <v>0</v>
      </c>
      <c r="AV70" s="2" t="str">
        <f>IFERROR(__xludf.DUMMYFUNCTION("""COMPUTED_VALUE"""),"")</f>
        <v/>
      </c>
      <c r="AW70" s="1">
        <f>IFERROR(__xludf.DUMMYFUNCTION("""COMPUTED_VALUE"""),0.0)</f>
        <v>0</v>
      </c>
      <c r="AX70" s="1">
        <f>IFERROR(__xludf.DUMMYFUNCTION("""COMPUTED_VALUE"""),0.0)</f>
        <v>0</v>
      </c>
      <c r="AY70" s="2" t="str">
        <f>IFERROR(__xludf.DUMMYFUNCTION("""COMPUTED_VALUE"""),"")</f>
        <v/>
      </c>
      <c r="AZ70" s="1">
        <f>IFERROR(__xludf.DUMMYFUNCTION("""COMPUTED_VALUE"""),95.0)</f>
        <v>95</v>
      </c>
      <c r="BA70" s="1">
        <f>IFERROR(__xludf.DUMMYFUNCTION("""COMPUTED_VALUE"""),0.0)</f>
        <v>0</v>
      </c>
      <c r="BB70" s="2" t="str">
        <f>IFERROR(__xludf.DUMMYFUNCTION("""COMPUTED_VALUE"""),"")</f>
        <v/>
      </c>
    </row>
    <row r="71">
      <c r="A71" s="1" t="str">
        <f>IFERROR(__xludf.DUMMYFUNCTION("""COMPUTED_VALUE"""),"63ef9d56384f27260c1ba0cb")</f>
        <v>63ef9d56384f27260c1ba0cb</v>
      </c>
      <c r="B71" s="1" t="str">
        <f>IFERROR(__xludf.DUMMYFUNCTION("""COMPUTED_VALUE"""),"GIGAS HOSTING, S.A.")</f>
        <v>GIGAS HOSTING, S.A.</v>
      </c>
      <c r="C71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71" s="1" t="str">
        <f>IFERROR(__xludf.DUMMYFUNCTION("""COMPUTED_VALUE"""),"emea")</f>
        <v>emea</v>
      </c>
      <c r="E71" s="1" t="str">
        <f>IFERROR(__xludf.DUMMYFUNCTION("""COMPUTED_VALUE"""),"ES")</f>
        <v>ES</v>
      </c>
      <c r="F71" s="1" t="str">
        <f>IFERROR(__xludf.DUMMYFUNCTION("""COMPUTED_VALUE"""),"yes")</f>
        <v>yes</v>
      </c>
      <c r="G71" s="1">
        <f>IFERROR(__xludf.DUMMYFUNCTION("""COMPUTED_VALUE"""),1.0)</f>
        <v>1</v>
      </c>
      <c r="H71" s="1">
        <f>IFERROR(__xludf.DUMMYFUNCTION("""COMPUTED_VALUE"""),1.0)</f>
        <v>1</v>
      </c>
      <c r="I71" s="2">
        <f>IFERROR(__xludf.DUMMYFUNCTION("""COMPUTED_VALUE"""),1.0)</f>
        <v>1</v>
      </c>
      <c r="J71" s="1">
        <f>IFERROR(__xludf.DUMMYFUNCTION("""COMPUTED_VALUE"""),1170.06)</f>
        <v>1170.06</v>
      </c>
      <c r="K71" s="1">
        <f>IFERROR(__xludf.DUMMYFUNCTION("""COMPUTED_VALUE"""),2291.0)</f>
        <v>2291</v>
      </c>
      <c r="L71" s="2">
        <f>IFERROR(__xludf.DUMMYFUNCTION("""COMPUTED_VALUE"""),0.5107202095154953)</f>
        <v>0.5107202095</v>
      </c>
      <c r="M71" s="1">
        <f>IFERROR(__xludf.DUMMYFUNCTION("""COMPUTED_VALUE"""),108.0)</f>
        <v>108</v>
      </c>
      <c r="N71" s="1">
        <f>IFERROR(__xludf.DUMMYFUNCTION("""COMPUTED_VALUE"""),52.0)</f>
        <v>52</v>
      </c>
      <c r="O71" s="2">
        <f>IFERROR(__xludf.DUMMYFUNCTION("""COMPUTED_VALUE"""),2.076923076923077)</f>
        <v>2.076923077</v>
      </c>
      <c r="P71" s="1">
        <f>IFERROR(__xludf.DUMMYFUNCTION("""COMPUTED_VALUE"""),1.0)</f>
        <v>1</v>
      </c>
      <c r="Q71" s="1">
        <f>IFERROR(__xludf.DUMMYFUNCTION("""COMPUTED_VALUE"""),1.0)</f>
        <v>1</v>
      </c>
      <c r="R71" s="2">
        <f>IFERROR(__xludf.DUMMYFUNCTION("""COMPUTED_VALUE"""),1.0)</f>
        <v>1</v>
      </c>
      <c r="S71" s="1">
        <f>IFERROR(__xludf.DUMMYFUNCTION("""COMPUTED_VALUE"""),1.0)</f>
        <v>1</v>
      </c>
      <c r="T71" s="1">
        <f>IFERROR(__xludf.DUMMYFUNCTION("""COMPUTED_VALUE"""),1.0)</f>
        <v>1</v>
      </c>
      <c r="U71" s="2">
        <f>IFERROR(__xludf.DUMMYFUNCTION("""COMPUTED_VALUE"""),1.0)</f>
        <v>1</v>
      </c>
      <c r="V71" s="1">
        <f>IFERROR(__xludf.DUMMYFUNCTION("""COMPUTED_VALUE"""),0.0)</f>
        <v>0</v>
      </c>
      <c r="W71" s="1">
        <f>IFERROR(__xludf.DUMMYFUNCTION("""COMPUTED_VALUE"""),1.0)</f>
        <v>1</v>
      </c>
      <c r="X71" s="2">
        <f>IFERROR(__xludf.DUMMYFUNCTION("""COMPUTED_VALUE"""),0.0)</f>
        <v>0</v>
      </c>
      <c r="Y71" s="1">
        <f>IFERROR(__xludf.DUMMYFUNCTION("""COMPUTED_VALUE"""),4.21)</f>
        <v>4.21</v>
      </c>
      <c r="Z71" s="1">
        <f>IFERROR(__xludf.DUMMYFUNCTION("""COMPUTED_VALUE"""),0.0)</f>
        <v>0</v>
      </c>
      <c r="AA71" s="2" t="str">
        <f>IFERROR(__xludf.DUMMYFUNCTION("""COMPUTED_VALUE"""),"")</f>
        <v/>
      </c>
      <c r="AB71" s="1">
        <f>IFERROR(__xludf.DUMMYFUNCTION("""COMPUTED_VALUE"""),46.87)</f>
        <v>46.87</v>
      </c>
      <c r="AC71" s="1">
        <f>IFERROR(__xludf.DUMMYFUNCTION("""COMPUTED_VALUE"""),1171.28)</f>
        <v>1171.28</v>
      </c>
      <c r="AD71" s="2">
        <f>IFERROR(__xludf.DUMMYFUNCTION("""COMPUTED_VALUE"""),0.040016050816201076)</f>
        <v>0.04001605082</v>
      </c>
      <c r="AE71" s="1">
        <f>IFERROR(__xludf.DUMMYFUNCTION("""COMPUTED_VALUE"""),335.92)</f>
        <v>335.92</v>
      </c>
      <c r="AF71" s="1">
        <f>IFERROR(__xludf.DUMMYFUNCTION("""COMPUTED_VALUE"""),1179.79)</f>
        <v>1179.79</v>
      </c>
      <c r="AG71" s="2">
        <f>IFERROR(__xludf.DUMMYFUNCTION("""COMPUTED_VALUE"""),0.28472863814746696)</f>
        <v>0.2847286381</v>
      </c>
      <c r="AH71" s="1">
        <f>IFERROR(__xludf.DUMMYFUNCTION("""COMPUTED_VALUE"""),768.11)</f>
        <v>768.11</v>
      </c>
      <c r="AI71" s="1">
        <f>IFERROR(__xludf.DUMMYFUNCTION("""COMPUTED_VALUE"""),1298.94)</f>
        <v>1298.94</v>
      </c>
      <c r="AJ71" s="2">
        <f>IFERROR(__xludf.DUMMYFUNCTION("""COMPUTED_VALUE"""),0.5913360124409134)</f>
        <v>0.5913360124</v>
      </c>
      <c r="AK71" s="1">
        <f>IFERROR(__xludf.DUMMYFUNCTION("""COMPUTED_VALUE"""),1155.1100000000001)</f>
        <v>1155.11</v>
      </c>
      <c r="AL71" s="1">
        <f>IFERROR(__xludf.DUMMYFUNCTION("""COMPUTED_VALUE"""),3650.0099999999998)</f>
        <v>3650.01</v>
      </c>
      <c r="AM71" s="2">
        <f>IFERROR(__xludf.DUMMYFUNCTION("""COMPUTED_VALUE"""),0.3164676261160929)</f>
        <v>0.3164676261</v>
      </c>
      <c r="AN71" s="1">
        <f>IFERROR(__xludf.DUMMYFUNCTION("""COMPUTED_VALUE"""),25.93)</f>
        <v>25.93</v>
      </c>
      <c r="AO71" s="1">
        <f>IFERROR(__xludf.DUMMYFUNCTION("""COMPUTED_VALUE"""),0.0)</f>
        <v>0</v>
      </c>
      <c r="AP71" s="2" t="str">
        <f>IFERROR(__xludf.DUMMYFUNCTION("""COMPUTED_VALUE"""),"")</f>
        <v/>
      </c>
      <c r="AQ71" s="1">
        <f>IFERROR(__xludf.DUMMYFUNCTION("""COMPUTED_VALUE"""),840.08)</f>
        <v>840.08</v>
      </c>
      <c r="AR71" s="1">
        <f>IFERROR(__xludf.DUMMYFUNCTION("""COMPUTED_VALUE"""),0.0)</f>
        <v>0</v>
      </c>
      <c r="AS71" s="2" t="str">
        <f>IFERROR(__xludf.DUMMYFUNCTION("""COMPUTED_VALUE"""),"")</f>
        <v/>
      </c>
      <c r="AT71" s="1">
        <f>IFERROR(__xludf.DUMMYFUNCTION("""COMPUTED_VALUE"""),21.8)</f>
        <v>21.8</v>
      </c>
      <c r="AU71" s="1">
        <f>IFERROR(__xludf.DUMMYFUNCTION("""COMPUTED_VALUE"""),0.0)</f>
        <v>0</v>
      </c>
      <c r="AV71" s="2" t="str">
        <f>IFERROR(__xludf.DUMMYFUNCTION("""COMPUTED_VALUE"""),"")</f>
        <v/>
      </c>
      <c r="AW71" s="1">
        <f>IFERROR(__xludf.DUMMYFUNCTION("""COMPUTED_VALUE"""),402.95)</f>
        <v>402.95</v>
      </c>
      <c r="AX71" s="1">
        <f>IFERROR(__xludf.DUMMYFUNCTION("""COMPUTED_VALUE"""),0.0)</f>
        <v>0</v>
      </c>
      <c r="AY71" s="2" t="str">
        <f>IFERROR(__xludf.DUMMYFUNCTION("""COMPUTED_VALUE"""),"")</f>
        <v/>
      </c>
      <c r="AZ71" s="1">
        <f>IFERROR(__xludf.DUMMYFUNCTION("""COMPUTED_VALUE"""),1290.76)</f>
        <v>1290.76</v>
      </c>
      <c r="BA71" s="1">
        <f>IFERROR(__xludf.DUMMYFUNCTION("""COMPUTED_VALUE"""),0.0)</f>
        <v>0</v>
      </c>
      <c r="BB71" s="2" t="str">
        <f>IFERROR(__xludf.DUMMYFUNCTION("""COMPUTED_VALUE"""),"")</f>
        <v/>
      </c>
    </row>
    <row r="72">
      <c r="A72" s="1" t="str">
        <f>IFERROR(__xludf.DUMMYFUNCTION("""COMPUTED_VALUE"""),"63ced846c5c820531c268816")</f>
        <v>63ced846c5c820531c268816</v>
      </c>
      <c r="B72" s="1" t="str">
        <f>IFERROR(__xludf.DUMMYFUNCTION("""COMPUTED_VALUE"""),"GOTOR COMUNICACIONES S.A.")</f>
        <v>GOTOR COMUNICACIONES S.A.</v>
      </c>
      <c r="C72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72" s="1" t="str">
        <f>IFERROR(__xludf.DUMMYFUNCTION("""COMPUTED_VALUE"""),"emea")</f>
        <v>emea</v>
      </c>
      <c r="E72" s="1" t="str">
        <f>IFERROR(__xludf.DUMMYFUNCTION("""COMPUTED_VALUE"""),"ES")</f>
        <v>ES</v>
      </c>
      <c r="F72" s="1" t="str">
        <f>IFERROR(__xludf.DUMMYFUNCTION("""COMPUTED_VALUE"""),"expert_200")</f>
        <v>expert_200</v>
      </c>
      <c r="G72" s="1">
        <f>IFERROR(__xludf.DUMMYFUNCTION("""COMPUTED_VALUE"""),1.0)</f>
        <v>1</v>
      </c>
      <c r="H72" s="1">
        <f>IFERROR(__xludf.DUMMYFUNCTION("""COMPUTED_VALUE"""),1.0)</f>
        <v>1</v>
      </c>
      <c r="I72" s="2">
        <f>IFERROR(__xludf.DUMMYFUNCTION("""COMPUTED_VALUE"""),1.0)</f>
        <v>1</v>
      </c>
      <c r="J72" s="1">
        <f>IFERROR(__xludf.DUMMYFUNCTION("""COMPUTED_VALUE"""),254.87)</f>
        <v>254.87</v>
      </c>
      <c r="K72" s="1">
        <f>IFERROR(__xludf.DUMMYFUNCTION("""COMPUTED_VALUE"""),750.0)</f>
        <v>750</v>
      </c>
      <c r="L72" s="2">
        <f>IFERROR(__xludf.DUMMYFUNCTION("""COMPUTED_VALUE"""),0.33982666666666667)</f>
        <v>0.3398266667</v>
      </c>
      <c r="M72" s="1">
        <f>IFERROR(__xludf.DUMMYFUNCTION("""COMPUTED_VALUE"""),44.0)</f>
        <v>44</v>
      </c>
      <c r="N72" s="1">
        <f>IFERROR(__xludf.DUMMYFUNCTION("""COMPUTED_VALUE"""),52.0)</f>
        <v>52</v>
      </c>
      <c r="O72" s="2">
        <f>IFERROR(__xludf.DUMMYFUNCTION("""COMPUTED_VALUE"""),0.8461538461538461)</f>
        <v>0.8461538462</v>
      </c>
      <c r="P72" s="1">
        <f>IFERROR(__xludf.DUMMYFUNCTION("""COMPUTED_VALUE"""),1.0)</f>
        <v>1</v>
      </c>
      <c r="Q72" s="1">
        <f>IFERROR(__xludf.DUMMYFUNCTION("""COMPUTED_VALUE"""),1.0)</f>
        <v>1</v>
      </c>
      <c r="R72" s="2">
        <f>IFERROR(__xludf.DUMMYFUNCTION("""COMPUTED_VALUE"""),1.0)</f>
        <v>1</v>
      </c>
      <c r="S72" s="1">
        <f>IFERROR(__xludf.DUMMYFUNCTION("""COMPUTED_VALUE"""),1.0)</f>
        <v>1</v>
      </c>
      <c r="T72" s="1">
        <f>IFERROR(__xludf.DUMMYFUNCTION("""COMPUTED_VALUE"""),1.0)</f>
        <v>1</v>
      </c>
      <c r="U72" s="2">
        <f>IFERROR(__xludf.DUMMYFUNCTION("""COMPUTED_VALUE"""),1.0)</f>
        <v>1</v>
      </c>
      <c r="V72" s="1">
        <f>IFERROR(__xludf.DUMMYFUNCTION("""COMPUTED_VALUE"""),0.0)</f>
        <v>0</v>
      </c>
      <c r="W72" s="1">
        <f>IFERROR(__xludf.DUMMYFUNCTION("""COMPUTED_VALUE"""),1.0)</f>
        <v>1</v>
      </c>
      <c r="X72" s="2">
        <f>IFERROR(__xludf.DUMMYFUNCTION("""COMPUTED_VALUE"""),0.0)</f>
        <v>0</v>
      </c>
      <c r="Y72" s="1">
        <f>IFERROR(__xludf.DUMMYFUNCTION("""COMPUTED_VALUE"""),7.54)</f>
        <v>7.54</v>
      </c>
      <c r="Z72" s="1">
        <f>IFERROR(__xludf.DUMMYFUNCTION("""COMPUTED_VALUE"""),0.0)</f>
        <v>0</v>
      </c>
      <c r="AA72" s="2" t="str">
        <f>IFERROR(__xludf.DUMMYFUNCTION("""COMPUTED_VALUE"""),"")</f>
        <v/>
      </c>
      <c r="AB72" s="1">
        <f>IFERROR(__xludf.DUMMYFUNCTION("""COMPUTED_VALUE"""),51.15)</f>
        <v>51.15</v>
      </c>
      <c r="AC72" s="1">
        <f>IFERROR(__xludf.DUMMYFUNCTION("""COMPUTED_VALUE"""),297.62)</f>
        <v>297.62</v>
      </c>
      <c r="AD72" s="2">
        <f>IFERROR(__xludf.DUMMYFUNCTION("""COMPUTED_VALUE"""),0.17186345003695988)</f>
        <v>0.17186345</v>
      </c>
      <c r="AE72" s="1">
        <f>IFERROR(__xludf.DUMMYFUNCTION("""COMPUTED_VALUE"""),135.96)</f>
        <v>135.96</v>
      </c>
      <c r="AF72" s="1">
        <f>IFERROR(__xludf.DUMMYFUNCTION("""COMPUTED_VALUE"""),297.62)</f>
        <v>297.62</v>
      </c>
      <c r="AG72" s="2">
        <f>IFERROR(__xludf.DUMMYFUNCTION("""COMPUTED_VALUE"""),0.4568241381627579)</f>
        <v>0.4568241382</v>
      </c>
      <c r="AH72" s="1">
        <f>IFERROR(__xludf.DUMMYFUNCTION("""COMPUTED_VALUE"""),115.37)</f>
        <v>115.37</v>
      </c>
      <c r="AI72" s="1">
        <f>IFERROR(__xludf.DUMMYFUNCTION("""COMPUTED_VALUE"""),297.62)</f>
        <v>297.62</v>
      </c>
      <c r="AJ72" s="2">
        <f>IFERROR(__xludf.DUMMYFUNCTION("""COMPUTED_VALUE"""),0.38764195954572944)</f>
        <v>0.3876419595</v>
      </c>
      <c r="AK72" s="1">
        <f>IFERROR(__xludf.DUMMYFUNCTION("""COMPUTED_VALUE"""),310.02)</f>
        <v>310.02</v>
      </c>
      <c r="AL72" s="1">
        <f>IFERROR(__xludf.DUMMYFUNCTION("""COMPUTED_VALUE"""),892.86)</f>
        <v>892.86</v>
      </c>
      <c r="AM72" s="2">
        <f>IFERROR(__xludf.DUMMYFUNCTION("""COMPUTED_VALUE"""),0.34722128889187553)</f>
        <v>0.3472212889</v>
      </c>
      <c r="AN72" s="1">
        <f>IFERROR(__xludf.DUMMYFUNCTION("""COMPUTED_VALUE"""),5.56)</f>
        <v>5.56</v>
      </c>
      <c r="AO72" s="1">
        <f>IFERROR(__xludf.DUMMYFUNCTION("""COMPUTED_VALUE"""),0.0)</f>
        <v>0</v>
      </c>
      <c r="AP72" s="2" t="str">
        <f>IFERROR(__xludf.DUMMYFUNCTION("""COMPUTED_VALUE"""),"")</f>
        <v/>
      </c>
      <c r="AQ72" s="1">
        <f>IFERROR(__xludf.DUMMYFUNCTION("""COMPUTED_VALUE"""),110.94)</f>
        <v>110.94</v>
      </c>
      <c r="AR72" s="1">
        <f>IFERROR(__xludf.DUMMYFUNCTION("""COMPUTED_VALUE"""),0.0)</f>
        <v>0</v>
      </c>
      <c r="AS72" s="2" t="str">
        <f>IFERROR(__xludf.DUMMYFUNCTION("""COMPUTED_VALUE"""),"")</f>
        <v/>
      </c>
      <c r="AT72" s="1">
        <f>IFERROR(__xludf.DUMMYFUNCTION("""COMPUTED_VALUE"""),47.63)</f>
        <v>47.63</v>
      </c>
      <c r="AU72" s="1">
        <f>IFERROR(__xludf.DUMMYFUNCTION("""COMPUTED_VALUE"""),0.0)</f>
        <v>0</v>
      </c>
      <c r="AV72" s="2" t="str">
        <f>IFERROR(__xludf.DUMMYFUNCTION("""COMPUTED_VALUE"""),"")</f>
        <v/>
      </c>
      <c r="AW72" s="1">
        <f>IFERROR(__xludf.DUMMYFUNCTION("""COMPUTED_VALUE"""),66.0)</f>
        <v>66</v>
      </c>
      <c r="AX72" s="1">
        <f>IFERROR(__xludf.DUMMYFUNCTION("""COMPUTED_VALUE"""),0.0)</f>
        <v>0</v>
      </c>
      <c r="AY72" s="2" t="str">
        <f>IFERROR(__xludf.DUMMYFUNCTION("""COMPUTED_VALUE"""),"")</f>
        <v/>
      </c>
      <c r="AZ72" s="1">
        <f>IFERROR(__xludf.DUMMYFUNCTION("""COMPUTED_VALUE"""),230.13)</f>
        <v>230.13</v>
      </c>
      <c r="BA72" s="1">
        <f>IFERROR(__xludf.DUMMYFUNCTION("""COMPUTED_VALUE"""),0.0)</f>
        <v>0</v>
      </c>
      <c r="BB72" s="2" t="str">
        <f>IFERROR(__xludf.DUMMYFUNCTION("""COMPUTED_VALUE"""),"")</f>
        <v/>
      </c>
    </row>
    <row r="73">
      <c r="A73" s="1" t="str">
        <f>IFERROR(__xludf.DUMMYFUNCTION("""COMPUTED_VALUE"""),"63fcbb7ea107c871cf5646fb")</f>
        <v>63fcbb7ea107c871cf5646fb</v>
      </c>
      <c r="B73" s="1" t="str">
        <f>IFERROR(__xludf.DUMMYFUNCTION("""COMPUTED_VALUE"""),"GRUPO OSABA URK, S.L.")</f>
        <v>GRUPO OSABA URK, S.L.</v>
      </c>
      <c r="C73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73" s="1" t="str">
        <f>IFERROR(__xludf.DUMMYFUNCTION("""COMPUTED_VALUE"""),"emea")</f>
        <v>emea</v>
      </c>
      <c r="E73" s="1" t="str">
        <f>IFERROR(__xludf.DUMMYFUNCTION("""COMPUTED_VALUE"""),"ES")</f>
        <v>ES</v>
      </c>
      <c r="F73" s="1"/>
      <c r="G73" s="1">
        <f>IFERROR(__xludf.DUMMYFUNCTION("""COMPUTED_VALUE"""),1.0)</f>
        <v>1</v>
      </c>
      <c r="H73" s="1">
        <f>IFERROR(__xludf.DUMMYFUNCTION("""COMPUTED_VALUE"""),1.0)</f>
        <v>1</v>
      </c>
      <c r="I73" s="2">
        <f>IFERROR(__xludf.DUMMYFUNCTION("""COMPUTED_VALUE"""),1.0)</f>
        <v>1</v>
      </c>
      <c r="J73" s="1">
        <f>IFERROR(__xludf.DUMMYFUNCTION("""COMPUTED_VALUE"""),93.97)</f>
        <v>93.97</v>
      </c>
      <c r="K73" s="1">
        <f>IFERROR(__xludf.DUMMYFUNCTION("""COMPUTED_VALUE"""),200.0)</f>
        <v>200</v>
      </c>
      <c r="L73" s="2">
        <f>IFERROR(__xludf.DUMMYFUNCTION("""COMPUTED_VALUE"""),0.46985)</f>
        <v>0.46985</v>
      </c>
      <c r="M73" s="1">
        <f>IFERROR(__xludf.DUMMYFUNCTION("""COMPUTED_VALUE"""),0.0)</f>
        <v>0</v>
      </c>
      <c r="N73" s="1">
        <f>IFERROR(__xludf.DUMMYFUNCTION("""COMPUTED_VALUE"""),0.0)</f>
        <v>0</v>
      </c>
      <c r="O73" s="2" t="str">
        <f>IFERROR(__xludf.DUMMYFUNCTION("""COMPUTED_VALUE"""),"")</f>
        <v/>
      </c>
      <c r="P73" s="1">
        <f>IFERROR(__xludf.DUMMYFUNCTION("""COMPUTED_VALUE"""),1.0)</f>
        <v>1</v>
      </c>
      <c r="Q73" s="1">
        <f>IFERROR(__xludf.DUMMYFUNCTION("""COMPUTED_VALUE"""),1.0)</f>
        <v>1</v>
      </c>
      <c r="R73" s="2">
        <f>IFERROR(__xludf.DUMMYFUNCTION("""COMPUTED_VALUE"""),1.0)</f>
        <v>1</v>
      </c>
      <c r="S73" s="1">
        <f>IFERROR(__xludf.DUMMYFUNCTION("""COMPUTED_VALUE"""),1.0)</f>
        <v>1</v>
      </c>
      <c r="T73" s="1">
        <f>IFERROR(__xludf.DUMMYFUNCTION("""COMPUTED_VALUE"""),1.0)</f>
        <v>1</v>
      </c>
      <c r="U73" s="2">
        <f>IFERROR(__xludf.DUMMYFUNCTION("""COMPUTED_VALUE"""),1.0)</f>
        <v>1</v>
      </c>
      <c r="V73" s="1">
        <f>IFERROR(__xludf.DUMMYFUNCTION("""COMPUTED_VALUE"""),0.0)</f>
        <v>0</v>
      </c>
      <c r="W73" s="1">
        <f>IFERROR(__xludf.DUMMYFUNCTION("""COMPUTED_VALUE"""),1.0)</f>
        <v>1</v>
      </c>
      <c r="X73" s="2">
        <f>IFERROR(__xludf.DUMMYFUNCTION("""COMPUTED_VALUE"""),0.0)</f>
        <v>0</v>
      </c>
      <c r="Y73" s="1">
        <f>IFERROR(__xludf.DUMMYFUNCTION("""COMPUTED_VALUE"""),0.0)</f>
        <v>0</v>
      </c>
      <c r="Z73" s="1">
        <f>IFERROR(__xludf.DUMMYFUNCTION("""COMPUTED_VALUE"""),0.0)</f>
        <v>0</v>
      </c>
      <c r="AA73" s="2" t="str">
        <f>IFERROR(__xludf.DUMMYFUNCTION("""COMPUTED_VALUE"""),"")</f>
        <v/>
      </c>
      <c r="AB73" s="1">
        <f>IFERROR(__xludf.DUMMYFUNCTION("""COMPUTED_VALUE"""),17.21)</f>
        <v>17.21</v>
      </c>
      <c r="AC73" s="1">
        <f>IFERROR(__xludf.DUMMYFUNCTION("""COMPUTED_VALUE"""),0.0)</f>
        <v>0</v>
      </c>
      <c r="AD73" s="2" t="str">
        <f>IFERROR(__xludf.DUMMYFUNCTION("""COMPUTED_VALUE"""),"")</f>
        <v/>
      </c>
      <c r="AE73" s="1">
        <f>IFERROR(__xludf.DUMMYFUNCTION("""COMPUTED_VALUE"""),182.0)</f>
        <v>182</v>
      </c>
      <c r="AF73" s="1">
        <f>IFERROR(__xludf.DUMMYFUNCTION("""COMPUTED_VALUE"""),134.67)</f>
        <v>134.67</v>
      </c>
      <c r="AG73" s="2">
        <f>IFERROR(__xludf.DUMMYFUNCTION("""COMPUTED_VALUE"""),1.3514516967401797)</f>
        <v>1.351451697</v>
      </c>
      <c r="AH73" s="1">
        <f>IFERROR(__xludf.DUMMYFUNCTION("""COMPUTED_VALUE"""),400.67)</f>
        <v>400.67</v>
      </c>
      <c r="AI73" s="1">
        <f>IFERROR(__xludf.DUMMYFUNCTION("""COMPUTED_VALUE"""),232.0)</f>
        <v>232</v>
      </c>
      <c r="AJ73" s="2">
        <f>IFERROR(__xludf.DUMMYFUNCTION("""COMPUTED_VALUE"""),1.7270258620689656)</f>
        <v>1.727025862</v>
      </c>
      <c r="AK73" s="1">
        <f>IFERROR(__xludf.DUMMYFUNCTION("""COMPUTED_VALUE"""),599.88)</f>
        <v>599.88</v>
      </c>
      <c r="AL73" s="1">
        <f>IFERROR(__xludf.DUMMYFUNCTION("""COMPUTED_VALUE"""),366.66999999999996)</f>
        <v>366.67</v>
      </c>
      <c r="AM73" s="2">
        <f>IFERROR(__xludf.DUMMYFUNCTION("""COMPUTED_VALUE"""),1.636021490713721)</f>
        <v>1.636021491</v>
      </c>
      <c r="AN73" s="1">
        <f>IFERROR(__xludf.DUMMYFUNCTION("""COMPUTED_VALUE"""),0.0)</f>
        <v>0</v>
      </c>
      <c r="AO73" s="1">
        <f>IFERROR(__xludf.DUMMYFUNCTION("""COMPUTED_VALUE"""),0.0)</f>
        <v>0</v>
      </c>
      <c r="AP73" s="2" t="str">
        <f>IFERROR(__xludf.DUMMYFUNCTION("""COMPUTED_VALUE"""),"")</f>
        <v/>
      </c>
      <c r="AQ73" s="1">
        <f>IFERROR(__xludf.DUMMYFUNCTION("""COMPUTED_VALUE"""),0.0)</f>
        <v>0</v>
      </c>
      <c r="AR73" s="1">
        <f>IFERROR(__xludf.DUMMYFUNCTION("""COMPUTED_VALUE"""),0.0)</f>
        <v>0</v>
      </c>
      <c r="AS73" s="2" t="str">
        <f>IFERROR(__xludf.DUMMYFUNCTION("""COMPUTED_VALUE"""),"")</f>
        <v/>
      </c>
      <c r="AT73" s="1">
        <f>IFERROR(__xludf.DUMMYFUNCTION("""COMPUTED_VALUE"""),0.0)</f>
        <v>0</v>
      </c>
      <c r="AU73" s="1">
        <f>IFERROR(__xludf.DUMMYFUNCTION("""COMPUTED_VALUE"""),0.0)</f>
        <v>0</v>
      </c>
      <c r="AV73" s="2" t="str">
        <f>IFERROR(__xludf.DUMMYFUNCTION("""COMPUTED_VALUE"""),"")</f>
        <v/>
      </c>
      <c r="AW73" s="1">
        <f>IFERROR(__xludf.DUMMYFUNCTION("""COMPUTED_VALUE"""),0.0)</f>
        <v>0</v>
      </c>
      <c r="AX73" s="1">
        <f>IFERROR(__xludf.DUMMYFUNCTION("""COMPUTED_VALUE"""),0.0)</f>
        <v>0</v>
      </c>
      <c r="AY73" s="2" t="str">
        <f>IFERROR(__xludf.DUMMYFUNCTION("""COMPUTED_VALUE"""),"")</f>
        <v/>
      </c>
      <c r="AZ73" s="1">
        <f>IFERROR(__xludf.DUMMYFUNCTION("""COMPUTED_VALUE"""),0.0)</f>
        <v>0</v>
      </c>
      <c r="BA73" s="1">
        <f>IFERROR(__xludf.DUMMYFUNCTION("""COMPUTED_VALUE"""),0.0)</f>
        <v>0</v>
      </c>
      <c r="BB73" s="2" t="str">
        <f>IFERROR(__xludf.DUMMYFUNCTION("""COMPUTED_VALUE"""),"")</f>
        <v/>
      </c>
    </row>
    <row r="74">
      <c r="A74" s="1" t="str">
        <f>IFERROR(__xludf.DUMMYFUNCTION("""COMPUTED_VALUE"""),"63ced847c5c820531c268b4f")</f>
        <v>63ced847c5c820531c268b4f</v>
      </c>
      <c r="B74" s="1" t="str">
        <f>IFERROR(__xludf.DUMMYFUNCTION("""COMPUTED_VALUE"""),"HELDELE GmbH")</f>
        <v>HELDELE GmbH</v>
      </c>
      <c r="C74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74" s="1" t="str">
        <f>IFERROR(__xludf.DUMMYFUNCTION("""COMPUTED_VALUE"""),"germany")</f>
        <v>germany</v>
      </c>
      <c r="E74" s="1" t="str">
        <f>IFERROR(__xludf.DUMMYFUNCTION("""COMPUTED_VALUE"""),"DE")</f>
        <v>DE</v>
      </c>
      <c r="F74" s="1" t="str">
        <f>IFERROR(__xludf.DUMMYFUNCTION("""COMPUTED_VALUE"""),"expert_1000")</f>
        <v>expert_1000</v>
      </c>
      <c r="G74" s="1">
        <f>IFERROR(__xludf.DUMMYFUNCTION("""COMPUTED_VALUE"""),1.0)</f>
        <v>1</v>
      </c>
      <c r="H74" s="1">
        <f>IFERROR(__xludf.DUMMYFUNCTION("""COMPUTED_VALUE"""),1.0)</f>
        <v>1</v>
      </c>
      <c r="I74" s="2">
        <f>IFERROR(__xludf.DUMMYFUNCTION("""COMPUTED_VALUE"""),1.0)</f>
        <v>1</v>
      </c>
      <c r="J74" s="1">
        <f>IFERROR(__xludf.DUMMYFUNCTION("""COMPUTED_VALUE"""),1051.95)</f>
        <v>1051.95</v>
      </c>
      <c r="K74" s="1">
        <f>IFERROR(__xludf.DUMMYFUNCTION("""COMPUTED_VALUE"""),2600.0)</f>
        <v>2600</v>
      </c>
      <c r="L74" s="2">
        <f>IFERROR(__xludf.DUMMYFUNCTION("""COMPUTED_VALUE"""),0.4045961538461539)</f>
        <v>0.4045961538</v>
      </c>
      <c r="M74" s="1">
        <f>IFERROR(__xludf.DUMMYFUNCTION("""COMPUTED_VALUE"""),55.0)</f>
        <v>55</v>
      </c>
      <c r="N74" s="1">
        <f>IFERROR(__xludf.DUMMYFUNCTION("""COMPUTED_VALUE"""),52.0)</f>
        <v>52</v>
      </c>
      <c r="O74" s="2">
        <f>IFERROR(__xludf.DUMMYFUNCTION("""COMPUTED_VALUE"""),1.0576923076923077)</f>
        <v>1.057692308</v>
      </c>
      <c r="P74" s="1">
        <f>IFERROR(__xludf.DUMMYFUNCTION("""COMPUTED_VALUE"""),1.0)</f>
        <v>1</v>
      </c>
      <c r="Q74" s="1">
        <f>IFERROR(__xludf.DUMMYFUNCTION("""COMPUTED_VALUE"""),1.0)</f>
        <v>1</v>
      </c>
      <c r="R74" s="2">
        <f>IFERROR(__xludf.DUMMYFUNCTION("""COMPUTED_VALUE"""),1.0)</f>
        <v>1</v>
      </c>
      <c r="S74" s="1">
        <f>IFERROR(__xludf.DUMMYFUNCTION("""COMPUTED_VALUE"""),1.0)</f>
        <v>1</v>
      </c>
      <c r="T74" s="1">
        <f>IFERROR(__xludf.DUMMYFUNCTION("""COMPUTED_VALUE"""),1.0)</f>
        <v>1</v>
      </c>
      <c r="U74" s="2">
        <f>IFERROR(__xludf.DUMMYFUNCTION("""COMPUTED_VALUE"""),1.0)</f>
        <v>1</v>
      </c>
      <c r="V74" s="1">
        <f>IFERROR(__xludf.DUMMYFUNCTION("""COMPUTED_VALUE"""),1.0)</f>
        <v>1</v>
      </c>
      <c r="W74" s="1">
        <f>IFERROR(__xludf.DUMMYFUNCTION("""COMPUTED_VALUE"""),1.0)</f>
        <v>1</v>
      </c>
      <c r="X74" s="2">
        <f>IFERROR(__xludf.DUMMYFUNCTION("""COMPUTED_VALUE"""),1.0)</f>
        <v>1</v>
      </c>
      <c r="Y74" s="1">
        <f>IFERROR(__xludf.DUMMYFUNCTION("""COMPUTED_VALUE"""),12.02)</f>
        <v>12.02</v>
      </c>
      <c r="Z74" s="1">
        <f>IFERROR(__xludf.DUMMYFUNCTION("""COMPUTED_VALUE"""),1689.0)</f>
        <v>1689</v>
      </c>
      <c r="AA74" s="2">
        <f>IFERROR(__xludf.DUMMYFUNCTION("""COMPUTED_VALUE"""),0.007116637063351095)</f>
        <v>0.007116637063</v>
      </c>
      <c r="AB74" s="1">
        <f>IFERROR(__xludf.DUMMYFUNCTION("""COMPUTED_VALUE"""),6.41)</f>
        <v>6.41</v>
      </c>
      <c r="AC74" s="1">
        <f>IFERROR(__xludf.DUMMYFUNCTION("""COMPUTED_VALUE"""),1405.41)</f>
        <v>1405.41</v>
      </c>
      <c r="AD74" s="2">
        <f>IFERROR(__xludf.DUMMYFUNCTION("""COMPUTED_VALUE"""),0.004560946627674486)</f>
        <v>0.004560946628</v>
      </c>
      <c r="AE74" s="1">
        <f>IFERROR(__xludf.DUMMYFUNCTION("""COMPUTED_VALUE"""),604.58)</f>
        <v>604.58</v>
      </c>
      <c r="AF74" s="1">
        <f>IFERROR(__xludf.DUMMYFUNCTION("""COMPUTED_VALUE"""),2108.11)</f>
        <v>2108.11</v>
      </c>
      <c r="AG74" s="2">
        <f>IFERROR(__xludf.DUMMYFUNCTION("""COMPUTED_VALUE"""),0.2867876913443796)</f>
        <v>0.2867876913</v>
      </c>
      <c r="AH74" s="1">
        <f>IFERROR(__xludf.DUMMYFUNCTION("""COMPUTED_VALUE"""),1813.96)</f>
        <v>1813.96</v>
      </c>
      <c r="AI74" s="1">
        <f>IFERROR(__xludf.DUMMYFUNCTION("""COMPUTED_VALUE"""),2108.11)</f>
        <v>2108.11</v>
      </c>
      <c r="AJ74" s="2">
        <f>IFERROR(__xludf.DUMMYFUNCTION("""COMPUTED_VALUE"""),0.8604674329138422)</f>
        <v>0.8604674329</v>
      </c>
      <c r="AK74" s="1">
        <f>IFERROR(__xludf.DUMMYFUNCTION("""COMPUTED_VALUE"""),2436.9700000000003)</f>
        <v>2436.97</v>
      </c>
      <c r="AL74" s="1">
        <f>IFERROR(__xludf.DUMMYFUNCTION("""COMPUTED_VALUE"""),7310.630000000001)</f>
        <v>7310.63</v>
      </c>
      <c r="AM74" s="2">
        <f>IFERROR(__xludf.DUMMYFUNCTION("""COMPUTED_VALUE"""),0.33334610013090527)</f>
        <v>0.3333461001</v>
      </c>
      <c r="AN74" s="1">
        <f>IFERROR(__xludf.DUMMYFUNCTION("""COMPUTED_VALUE"""),166.36)</f>
        <v>166.36</v>
      </c>
      <c r="AO74" s="1">
        <f>IFERROR(__xludf.DUMMYFUNCTION("""COMPUTED_VALUE"""),0.0)</f>
        <v>0</v>
      </c>
      <c r="AP74" s="2" t="str">
        <f>IFERROR(__xludf.DUMMYFUNCTION("""COMPUTED_VALUE"""),"")</f>
        <v/>
      </c>
      <c r="AQ74" s="1">
        <f>IFERROR(__xludf.DUMMYFUNCTION("""COMPUTED_VALUE"""),188.37)</f>
        <v>188.37</v>
      </c>
      <c r="AR74" s="1">
        <f>IFERROR(__xludf.DUMMYFUNCTION("""COMPUTED_VALUE"""),0.0)</f>
        <v>0</v>
      </c>
      <c r="AS74" s="2" t="str">
        <f>IFERROR(__xludf.DUMMYFUNCTION("""COMPUTED_VALUE"""),"")</f>
        <v/>
      </c>
      <c r="AT74" s="1">
        <f>IFERROR(__xludf.DUMMYFUNCTION("""COMPUTED_VALUE"""),23.73)</f>
        <v>23.73</v>
      </c>
      <c r="AU74" s="1">
        <f>IFERROR(__xludf.DUMMYFUNCTION("""COMPUTED_VALUE"""),0.0)</f>
        <v>0</v>
      </c>
      <c r="AV74" s="2" t="str">
        <f>IFERROR(__xludf.DUMMYFUNCTION("""COMPUTED_VALUE"""),"")</f>
        <v/>
      </c>
      <c r="AW74" s="1">
        <f>IFERROR(__xludf.DUMMYFUNCTION("""COMPUTED_VALUE"""),103.4)</f>
        <v>103.4</v>
      </c>
      <c r="AX74" s="1">
        <f>IFERROR(__xludf.DUMMYFUNCTION("""COMPUTED_VALUE"""),0.0)</f>
        <v>0</v>
      </c>
      <c r="AY74" s="2" t="str">
        <f>IFERROR(__xludf.DUMMYFUNCTION("""COMPUTED_VALUE"""),"")</f>
        <v/>
      </c>
      <c r="AZ74" s="1">
        <f>IFERROR(__xludf.DUMMYFUNCTION("""COMPUTED_VALUE"""),481.86)</f>
        <v>481.86</v>
      </c>
      <c r="BA74" s="1">
        <f>IFERROR(__xludf.DUMMYFUNCTION("""COMPUTED_VALUE"""),0.0)</f>
        <v>0</v>
      </c>
      <c r="BB74" s="2" t="str">
        <f>IFERROR(__xludf.DUMMYFUNCTION("""COMPUTED_VALUE"""),"")</f>
        <v/>
      </c>
    </row>
    <row r="75">
      <c r="A75" s="1" t="str">
        <f>IFERROR(__xludf.DUMMYFUNCTION("""COMPUTED_VALUE"""),"63ced847c5c820531c2689ba")</f>
        <v>63ced847c5c820531c2689ba</v>
      </c>
      <c r="B75" s="1" t="str">
        <f>IFERROR(__xludf.DUMMYFUNCTION("""COMPUTED_VALUE"""),"HOC House of Communication")</f>
        <v>HOC House of Communication</v>
      </c>
      <c r="C75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75" s="1" t="str">
        <f>IFERROR(__xludf.DUMMYFUNCTION("""COMPUTED_VALUE"""),"germany")</f>
        <v>germany</v>
      </c>
      <c r="E75" s="1" t="str">
        <f>IFERROR(__xludf.DUMMYFUNCTION("""COMPUTED_VALUE"""),"DE")</f>
        <v>DE</v>
      </c>
      <c r="F75" s="1" t="str">
        <f>IFERROR(__xludf.DUMMYFUNCTION("""COMPUTED_VALUE"""),"expert_1000")</f>
        <v>expert_1000</v>
      </c>
      <c r="G75" s="1">
        <f>IFERROR(__xludf.DUMMYFUNCTION("""COMPUTED_VALUE"""),1.0)</f>
        <v>1</v>
      </c>
      <c r="H75" s="1">
        <f>IFERROR(__xludf.DUMMYFUNCTION("""COMPUTED_VALUE"""),1.0)</f>
        <v>1</v>
      </c>
      <c r="I75" s="2">
        <f>IFERROR(__xludf.DUMMYFUNCTION("""COMPUTED_VALUE"""),1.0)</f>
        <v>1</v>
      </c>
      <c r="J75" s="1">
        <f>IFERROR(__xludf.DUMMYFUNCTION("""COMPUTED_VALUE"""),480.36)</f>
        <v>480.36</v>
      </c>
      <c r="K75" s="1">
        <f>IFERROR(__xludf.DUMMYFUNCTION("""COMPUTED_VALUE"""),1060.0)</f>
        <v>1060</v>
      </c>
      <c r="L75" s="2">
        <f>IFERROR(__xludf.DUMMYFUNCTION("""COMPUTED_VALUE"""),0.45316981132075473)</f>
        <v>0.4531698113</v>
      </c>
      <c r="M75" s="1">
        <f>IFERROR(__xludf.DUMMYFUNCTION("""COMPUTED_VALUE"""),33.0)</f>
        <v>33</v>
      </c>
      <c r="N75" s="1">
        <f>IFERROR(__xludf.DUMMYFUNCTION("""COMPUTED_VALUE"""),52.0)</f>
        <v>52</v>
      </c>
      <c r="O75" s="2">
        <f>IFERROR(__xludf.DUMMYFUNCTION("""COMPUTED_VALUE"""),0.6346153846153846)</f>
        <v>0.6346153846</v>
      </c>
      <c r="P75" s="1">
        <f>IFERROR(__xludf.DUMMYFUNCTION("""COMPUTED_VALUE"""),1.0)</f>
        <v>1</v>
      </c>
      <c r="Q75" s="1">
        <f>IFERROR(__xludf.DUMMYFUNCTION("""COMPUTED_VALUE"""),1.0)</f>
        <v>1</v>
      </c>
      <c r="R75" s="2">
        <f>IFERROR(__xludf.DUMMYFUNCTION("""COMPUTED_VALUE"""),1.0)</f>
        <v>1</v>
      </c>
      <c r="S75" s="1">
        <f>IFERROR(__xludf.DUMMYFUNCTION("""COMPUTED_VALUE"""),0.0)</f>
        <v>0</v>
      </c>
      <c r="T75" s="1">
        <f>IFERROR(__xludf.DUMMYFUNCTION("""COMPUTED_VALUE"""),1.0)</f>
        <v>1</v>
      </c>
      <c r="U75" s="2">
        <f>IFERROR(__xludf.DUMMYFUNCTION("""COMPUTED_VALUE"""),0.0)</f>
        <v>0</v>
      </c>
      <c r="V75" s="1">
        <f>IFERROR(__xludf.DUMMYFUNCTION("""COMPUTED_VALUE"""),1.0)</f>
        <v>1</v>
      </c>
      <c r="W75" s="1">
        <f>IFERROR(__xludf.DUMMYFUNCTION("""COMPUTED_VALUE"""),1.0)</f>
        <v>1</v>
      </c>
      <c r="X75" s="2">
        <f>IFERROR(__xludf.DUMMYFUNCTION("""COMPUTED_VALUE"""),1.0)</f>
        <v>1</v>
      </c>
      <c r="Y75" s="1">
        <f>IFERROR(__xludf.DUMMYFUNCTION("""COMPUTED_VALUE"""),13.33)</f>
        <v>13.33</v>
      </c>
      <c r="Z75" s="1">
        <f>IFERROR(__xludf.DUMMYFUNCTION("""COMPUTED_VALUE"""),0.0)</f>
        <v>0</v>
      </c>
      <c r="AA75" s="2" t="str">
        <f>IFERROR(__xludf.DUMMYFUNCTION("""COMPUTED_VALUE"""),"")</f>
        <v/>
      </c>
      <c r="AB75" s="1">
        <f>IFERROR(__xludf.DUMMYFUNCTION("""COMPUTED_VALUE"""),42.89)</f>
        <v>42.89</v>
      </c>
      <c r="AC75" s="1">
        <f>IFERROR(__xludf.DUMMYFUNCTION("""COMPUTED_VALUE"""),623.53)</f>
        <v>623.53</v>
      </c>
      <c r="AD75" s="2">
        <f>IFERROR(__xludf.DUMMYFUNCTION("""COMPUTED_VALUE"""),0.06878578416435456)</f>
        <v>0.06878578416</v>
      </c>
      <c r="AE75" s="1">
        <f>IFERROR(__xludf.DUMMYFUNCTION("""COMPUTED_VALUE"""),212.38)</f>
        <v>212.38</v>
      </c>
      <c r="AF75" s="1">
        <f>IFERROR(__xludf.DUMMYFUNCTION("""COMPUTED_VALUE"""),935.29)</f>
        <v>935.29</v>
      </c>
      <c r="AG75" s="2">
        <f>IFERROR(__xludf.DUMMYFUNCTION("""COMPUTED_VALUE"""),0.22707395567150296)</f>
        <v>0.2270739557</v>
      </c>
      <c r="AH75" s="1">
        <f>IFERROR(__xludf.DUMMYFUNCTION("""COMPUTED_VALUE"""),1570.66)</f>
        <v>1570.66</v>
      </c>
      <c r="AI75" s="1">
        <f>IFERROR(__xludf.DUMMYFUNCTION("""COMPUTED_VALUE"""),935.29)</f>
        <v>935.29</v>
      </c>
      <c r="AJ75" s="2">
        <f>IFERROR(__xludf.DUMMYFUNCTION("""COMPUTED_VALUE"""),1.6793294058527304)</f>
        <v>1.679329406</v>
      </c>
      <c r="AK75" s="1">
        <f>IFERROR(__xludf.DUMMYFUNCTION("""COMPUTED_VALUE"""),1839.2600000000002)</f>
        <v>1839.26</v>
      </c>
      <c r="AL75" s="1">
        <f>IFERROR(__xludf.DUMMYFUNCTION("""COMPUTED_VALUE"""),2494.1099999999997)</f>
        <v>2494.11</v>
      </c>
      <c r="AM75" s="2">
        <f>IFERROR(__xludf.DUMMYFUNCTION("""COMPUTED_VALUE"""),0.7374414119665935)</f>
        <v>0.737441412</v>
      </c>
      <c r="AN75" s="1">
        <f>IFERROR(__xludf.DUMMYFUNCTION("""COMPUTED_VALUE"""),19.98)</f>
        <v>19.98</v>
      </c>
      <c r="AO75" s="1">
        <f>IFERROR(__xludf.DUMMYFUNCTION("""COMPUTED_VALUE"""),0.0)</f>
        <v>0</v>
      </c>
      <c r="AP75" s="2" t="str">
        <f>IFERROR(__xludf.DUMMYFUNCTION("""COMPUTED_VALUE"""),"")</f>
        <v/>
      </c>
      <c r="AQ75" s="1">
        <f>IFERROR(__xludf.DUMMYFUNCTION("""COMPUTED_VALUE"""),29.15)</f>
        <v>29.15</v>
      </c>
      <c r="AR75" s="1">
        <f>IFERROR(__xludf.DUMMYFUNCTION("""COMPUTED_VALUE"""),0.0)</f>
        <v>0</v>
      </c>
      <c r="AS75" s="2" t="str">
        <f>IFERROR(__xludf.DUMMYFUNCTION("""COMPUTED_VALUE"""),"")</f>
        <v/>
      </c>
      <c r="AT75" s="1">
        <f>IFERROR(__xludf.DUMMYFUNCTION("""COMPUTED_VALUE"""),4.46)</f>
        <v>4.46</v>
      </c>
      <c r="AU75" s="1">
        <f>IFERROR(__xludf.DUMMYFUNCTION("""COMPUTED_VALUE"""),0.0)</f>
        <v>0</v>
      </c>
      <c r="AV75" s="2" t="str">
        <f>IFERROR(__xludf.DUMMYFUNCTION("""COMPUTED_VALUE"""),"")</f>
        <v/>
      </c>
      <c r="AW75" s="1">
        <f>IFERROR(__xludf.DUMMYFUNCTION("""COMPUTED_VALUE"""),83.05)</f>
        <v>83.05</v>
      </c>
      <c r="AX75" s="1">
        <f>IFERROR(__xludf.DUMMYFUNCTION("""COMPUTED_VALUE"""),0.0)</f>
        <v>0</v>
      </c>
      <c r="AY75" s="2" t="str">
        <f>IFERROR(__xludf.DUMMYFUNCTION("""COMPUTED_VALUE"""),"")</f>
        <v/>
      </c>
      <c r="AZ75" s="1">
        <f>IFERROR(__xludf.DUMMYFUNCTION("""COMPUTED_VALUE"""),136.64)</f>
        <v>136.64</v>
      </c>
      <c r="BA75" s="1">
        <f>IFERROR(__xludf.DUMMYFUNCTION("""COMPUTED_VALUE"""),0.0)</f>
        <v>0</v>
      </c>
      <c r="BB75" s="2" t="str">
        <f>IFERROR(__xludf.DUMMYFUNCTION("""COMPUTED_VALUE"""),"")</f>
        <v/>
      </c>
    </row>
    <row r="76">
      <c r="A76" s="1" t="str">
        <f>IFERROR(__xludf.DUMMYFUNCTION("""COMPUTED_VALUE"""),"67a4e284ae6a5d263d03c692")</f>
        <v>67a4e284ae6a5d263d03c692</v>
      </c>
      <c r="B76" s="1" t="str">
        <f>IFERROR(__xludf.DUMMYFUNCTION("""COMPUTED_VALUE"""),"Howard Industries, Inc.")</f>
        <v>Howard Industries, Inc.</v>
      </c>
      <c r="C76" s="1" t="str">
        <f>IFERROR(__xludf.DUMMYFUNCTION("""COMPUTED_VALUE"""),"bill.rademacher@al-enterprise.com")</f>
        <v>bill.rademacher@al-enterprise.com</v>
      </c>
      <c r="D76" s="1" t="str">
        <f>IFERROR(__xludf.DUMMYFUNCTION("""COMPUTED_VALUE"""),"americas")</f>
        <v>americas</v>
      </c>
      <c r="E76" s="1" t="str">
        <f>IFERROR(__xludf.DUMMYFUNCTION("""COMPUTED_VALUE"""),"US")</f>
        <v>US</v>
      </c>
      <c r="F76" s="1" t="str">
        <f>IFERROR(__xludf.DUMMYFUNCTION("""COMPUTED_VALUE"""),"expert_200")</f>
        <v>expert_200</v>
      </c>
      <c r="G76" s="1">
        <f>IFERROR(__xludf.DUMMYFUNCTION("""COMPUTED_VALUE"""),0.0)</f>
        <v>0</v>
      </c>
      <c r="H76" s="1">
        <f>IFERROR(__xludf.DUMMYFUNCTION("""COMPUTED_VALUE"""),1.0)</f>
        <v>1</v>
      </c>
      <c r="I76" s="2">
        <f>IFERROR(__xludf.DUMMYFUNCTION("""COMPUTED_VALUE"""),0.0)</f>
        <v>0</v>
      </c>
      <c r="J76" s="1">
        <f>IFERROR(__xludf.DUMMYFUNCTION("""COMPUTED_VALUE"""),0.0)</f>
        <v>0</v>
      </c>
      <c r="K76" s="1">
        <f>IFERROR(__xludf.DUMMYFUNCTION("""COMPUTED_VALUE"""),0.0)</f>
        <v>0</v>
      </c>
      <c r="L76" s="2" t="str">
        <f>IFERROR(__xludf.DUMMYFUNCTION("""COMPUTED_VALUE"""),"")</f>
        <v/>
      </c>
      <c r="M76" s="1">
        <f>IFERROR(__xludf.DUMMYFUNCTION("""COMPUTED_VALUE"""),0.0)</f>
        <v>0</v>
      </c>
      <c r="N76" s="1">
        <f>IFERROR(__xludf.DUMMYFUNCTION("""COMPUTED_VALUE"""),0.0)</f>
        <v>0</v>
      </c>
      <c r="O76" s="2" t="str">
        <f>IFERROR(__xludf.DUMMYFUNCTION("""COMPUTED_VALUE"""),"")</f>
        <v/>
      </c>
      <c r="P76" s="1">
        <f>IFERROR(__xludf.DUMMYFUNCTION("""COMPUTED_VALUE"""),0.0)</f>
        <v>0</v>
      </c>
      <c r="Q76" s="1">
        <f>IFERROR(__xludf.DUMMYFUNCTION("""COMPUTED_VALUE"""),1.0)</f>
        <v>1</v>
      </c>
      <c r="R76" s="2">
        <f>IFERROR(__xludf.DUMMYFUNCTION("""COMPUTED_VALUE"""),0.0)</f>
        <v>0</v>
      </c>
      <c r="S76" s="1">
        <f>IFERROR(__xludf.DUMMYFUNCTION("""COMPUTED_VALUE"""),0.0)</f>
        <v>0</v>
      </c>
      <c r="T76" s="1">
        <f>IFERROR(__xludf.DUMMYFUNCTION("""COMPUTED_VALUE"""),1.0)</f>
        <v>1</v>
      </c>
      <c r="U76" s="2">
        <f>IFERROR(__xludf.DUMMYFUNCTION("""COMPUTED_VALUE"""),0.0)</f>
        <v>0</v>
      </c>
      <c r="V76" s="1">
        <f>IFERROR(__xludf.DUMMYFUNCTION("""COMPUTED_VALUE"""),0.0)</f>
        <v>0</v>
      </c>
      <c r="W76" s="1">
        <f>IFERROR(__xludf.DUMMYFUNCTION("""COMPUTED_VALUE"""),1.0)</f>
        <v>1</v>
      </c>
      <c r="X76" s="2">
        <f>IFERROR(__xludf.DUMMYFUNCTION("""COMPUTED_VALUE"""),0.0)</f>
        <v>0</v>
      </c>
      <c r="Y76" s="1">
        <f>IFERROR(__xludf.DUMMYFUNCTION("""COMPUTED_VALUE"""),0.0)</f>
        <v>0</v>
      </c>
      <c r="Z76" s="1">
        <f>IFERROR(__xludf.DUMMYFUNCTION("""COMPUTED_VALUE"""),0.0)</f>
        <v>0</v>
      </c>
      <c r="AA76" s="2" t="str">
        <f>IFERROR(__xludf.DUMMYFUNCTION("""COMPUTED_VALUE"""),"")</f>
        <v/>
      </c>
      <c r="AB76" s="1">
        <f>IFERROR(__xludf.DUMMYFUNCTION("""COMPUTED_VALUE"""),34.05)</f>
        <v>34.05</v>
      </c>
      <c r="AC76" s="1">
        <f>IFERROR(__xludf.DUMMYFUNCTION("""COMPUTED_VALUE"""),0.0)</f>
        <v>0</v>
      </c>
      <c r="AD76" s="2" t="str">
        <f>IFERROR(__xludf.DUMMYFUNCTION("""COMPUTED_VALUE"""),"")</f>
        <v/>
      </c>
      <c r="AE76" s="1">
        <f>IFERROR(__xludf.DUMMYFUNCTION("""COMPUTED_VALUE"""),128.01)</f>
        <v>128.01</v>
      </c>
      <c r="AF76" s="1">
        <f>IFERROR(__xludf.DUMMYFUNCTION("""COMPUTED_VALUE"""),0.0)</f>
        <v>0</v>
      </c>
      <c r="AG76" s="2" t="str">
        <f>IFERROR(__xludf.DUMMYFUNCTION("""COMPUTED_VALUE"""),"")</f>
        <v/>
      </c>
      <c r="AH76" s="1">
        <f>IFERROR(__xludf.DUMMYFUNCTION("""COMPUTED_VALUE"""),128.01)</f>
        <v>128.01</v>
      </c>
      <c r="AI76" s="1">
        <f>IFERROR(__xludf.DUMMYFUNCTION("""COMPUTED_VALUE"""),0.0)</f>
        <v>0</v>
      </c>
      <c r="AJ76" s="2" t="str">
        <f>IFERROR(__xludf.DUMMYFUNCTION("""COMPUTED_VALUE"""),"")</f>
        <v/>
      </c>
      <c r="AK76" s="1">
        <f>IFERROR(__xludf.DUMMYFUNCTION("""COMPUTED_VALUE"""),290.07)</f>
        <v>290.07</v>
      </c>
      <c r="AL76" s="1">
        <f>IFERROR(__xludf.DUMMYFUNCTION("""COMPUTED_VALUE"""),0.0)</f>
        <v>0</v>
      </c>
      <c r="AM76" s="2" t="str">
        <f>IFERROR(__xludf.DUMMYFUNCTION("""COMPUTED_VALUE"""),"")</f>
        <v/>
      </c>
      <c r="AN76" s="1">
        <f>IFERROR(__xludf.DUMMYFUNCTION("""COMPUTED_VALUE"""),0.0)</f>
        <v>0</v>
      </c>
      <c r="AO76" s="1">
        <f>IFERROR(__xludf.DUMMYFUNCTION("""COMPUTED_VALUE"""),0.0)</f>
        <v>0</v>
      </c>
      <c r="AP76" s="2" t="str">
        <f>IFERROR(__xludf.DUMMYFUNCTION("""COMPUTED_VALUE"""),"")</f>
        <v/>
      </c>
      <c r="AQ76" s="1">
        <f>IFERROR(__xludf.DUMMYFUNCTION("""COMPUTED_VALUE"""),0.0)</f>
        <v>0</v>
      </c>
      <c r="AR76" s="1">
        <f>IFERROR(__xludf.DUMMYFUNCTION("""COMPUTED_VALUE"""),0.0)</f>
        <v>0</v>
      </c>
      <c r="AS76" s="2" t="str">
        <f>IFERROR(__xludf.DUMMYFUNCTION("""COMPUTED_VALUE"""),"")</f>
        <v/>
      </c>
      <c r="AT76" s="1">
        <f>IFERROR(__xludf.DUMMYFUNCTION("""COMPUTED_VALUE"""),0.0)</f>
        <v>0</v>
      </c>
      <c r="AU76" s="1">
        <f>IFERROR(__xludf.DUMMYFUNCTION("""COMPUTED_VALUE"""),0.0)</f>
        <v>0</v>
      </c>
      <c r="AV76" s="2" t="str">
        <f>IFERROR(__xludf.DUMMYFUNCTION("""COMPUTED_VALUE"""),"")</f>
        <v/>
      </c>
      <c r="AW76" s="1">
        <f>IFERROR(__xludf.DUMMYFUNCTION("""COMPUTED_VALUE"""),0.0)</f>
        <v>0</v>
      </c>
      <c r="AX76" s="1">
        <f>IFERROR(__xludf.DUMMYFUNCTION("""COMPUTED_VALUE"""),0.0)</f>
        <v>0</v>
      </c>
      <c r="AY76" s="2" t="str">
        <f>IFERROR(__xludf.DUMMYFUNCTION("""COMPUTED_VALUE"""),"")</f>
        <v/>
      </c>
      <c r="AZ76" s="1">
        <f>IFERROR(__xludf.DUMMYFUNCTION("""COMPUTED_VALUE"""),0.0)</f>
        <v>0</v>
      </c>
      <c r="BA76" s="1">
        <f>IFERROR(__xludf.DUMMYFUNCTION("""COMPUTED_VALUE"""),0.0)</f>
        <v>0</v>
      </c>
      <c r="BB76" s="2" t="str">
        <f>IFERROR(__xludf.DUMMYFUNCTION("""COMPUTED_VALUE"""),"")</f>
        <v/>
      </c>
    </row>
    <row r="77">
      <c r="A77" s="1" t="str">
        <f>IFERROR(__xludf.DUMMYFUNCTION("""COMPUTED_VALUE"""),"63ced847c5c820531c268b6d")</f>
        <v>63ced847c5c820531c268b6d</v>
      </c>
      <c r="B77" s="1" t="str">
        <f>IFERROR(__xludf.DUMMYFUNCTION("""COMPUTED_VALUE"""),"Huber &amp; Feneberg GmbH")</f>
        <v>Huber &amp; Feneberg GmbH</v>
      </c>
      <c r="C77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77" s="1" t="str">
        <f>IFERROR(__xludf.DUMMYFUNCTION("""COMPUTED_VALUE"""),"germany")</f>
        <v>germany</v>
      </c>
      <c r="E77" s="1" t="str">
        <f>IFERROR(__xludf.DUMMYFUNCTION("""COMPUTED_VALUE"""),"DE")</f>
        <v>DE</v>
      </c>
      <c r="F77" s="1" t="str">
        <f>IFERROR(__xludf.DUMMYFUNCTION("""COMPUTED_VALUE"""),"expert_1000")</f>
        <v>expert_1000</v>
      </c>
      <c r="G77" s="1">
        <f>IFERROR(__xludf.DUMMYFUNCTION("""COMPUTED_VALUE"""),0.0)</f>
        <v>0</v>
      </c>
      <c r="H77" s="1">
        <f>IFERROR(__xludf.DUMMYFUNCTION("""COMPUTED_VALUE"""),1.0)</f>
        <v>1</v>
      </c>
      <c r="I77" s="2">
        <f>IFERROR(__xludf.DUMMYFUNCTION("""COMPUTED_VALUE"""),0.0)</f>
        <v>0</v>
      </c>
      <c r="J77" s="1">
        <f>IFERROR(__xludf.DUMMYFUNCTION("""COMPUTED_VALUE"""),972.91)</f>
        <v>972.91</v>
      </c>
      <c r="K77" s="1">
        <f>IFERROR(__xludf.DUMMYFUNCTION("""COMPUTED_VALUE"""),2500.0)</f>
        <v>2500</v>
      </c>
      <c r="L77" s="2">
        <f>IFERROR(__xludf.DUMMYFUNCTION("""COMPUTED_VALUE"""),0.389164)</f>
        <v>0.389164</v>
      </c>
      <c r="M77" s="1">
        <f>IFERROR(__xludf.DUMMYFUNCTION("""COMPUTED_VALUE"""),52.0)</f>
        <v>52</v>
      </c>
      <c r="N77" s="1">
        <f>IFERROR(__xludf.DUMMYFUNCTION("""COMPUTED_VALUE"""),55.0)</f>
        <v>55</v>
      </c>
      <c r="O77" s="2">
        <f>IFERROR(__xludf.DUMMYFUNCTION("""COMPUTED_VALUE"""),0.9454545454545454)</f>
        <v>0.9454545455</v>
      </c>
      <c r="P77" s="1">
        <f>IFERROR(__xludf.DUMMYFUNCTION("""COMPUTED_VALUE"""),1.0)</f>
        <v>1</v>
      </c>
      <c r="Q77" s="1">
        <f>IFERROR(__xludf.DUMMYFUNCTION("""COMPUTED_VALUE"""),1.0)</f>
        <v>1</v>
      </c>
      <c r="R77" s="2">
        <f>IFERROR(__xludf.DUMMYFUNCTION("""COMPUTED_VALUE"""),1.0)</f>
        <v>1</v>
      </c>
      <c r="S77" s="1">
        <f>IFERROR(__xludf.DUMMYFUNCTION("""COMPUTED_VALUE"""),1.0)</f>
        <v>1</v>
      </c>
      <c r="T77" s="1">
        <f>IFERROR(__xludf.DUMMYFUNCTION("""COMPUTED_VALUE"""),1.0)</f>
        <v>1</v>
      </c>
      <c r="U77" s="2">
        <f>IFERROR(__xludf.DUMMYFUNCTION("""COMPUTED_VALUE"""),1.0)</f>
        <v>1</v>
      </c>
      <c r="V77" s="1">
        <f>IFERROR(__xludf.DUMMYFUNCTION("""COMPUTED_VALUE"""),0.0)</f>
        <v>0</v>
      </c>
      <c r="W77" s="1">
        <f>IFERROR(__xludf.DUMMYFUNCTION("""COMPUTED_VALUE"""),1.0)</f>
        <v>1</v>
      </c>
      <c r="X77" s="2">
        <f>IFERROR(__xludf.DUMMYFUNCTION("""COMPUTED_VALUE"""),0.0)</f>
        <v>0</v>
      </c>
      <c r="Y77" s="1">
        <f>IFERROR(__xludf.DUMMYFUNCTION("""COMPUTED_VALUE"""),11.93)</f>
        <v>11.93</v>
      </c>
      <c r="Z77" s="1">
        <f>IFERROR(__xludf.DUMMYFUNCTION("""COMPUTED_VALUE"""),0.0)</f>
        <v>0</v>
      </c>
      <c r="AA77" s="2" t="str">
        <f>IFERROR(__xludf.DUMMYFUNCTION("""COMPUTED_VALUE"""),"")</f>
        <v/>
      </c>
      <c r="AB77" s="1">
        <f>IFERROR(__xludf.DUMMYFUNCTION("""COMPUTED_VALUE"""),0.69)</f>
        <v>0.69</v>
      </c>
      <c r="AC77" s="1">
        <f>IFERROR(__xludf.DUMMYFUNCTION("""COMPUTED_VALUE"""),772.31)</f>
        <v>772.31</v>
      </c>
      <c r="AD77" s="2">
        <f>IFERROR(__xludf.DUMMYFUNCTION("""COMPUTED_VALUE"""),8.934236252282115E-4)</f>
        <v>0.0008934236252</v>
      </c>
      <c r="AE77" s="1">
        <f>IFERROR(__xludf.DUMMYFUNCTION("""COMPUTED_VALUE"""),301.35)</f>
        <v>301.35</v>
      </c>
      <c r="AF77" s="1">
        <f>IFERROR(__xludf.DUMMYFUNCTION("""COMPUTED_VALUE"""),1150.77)</f>
        <v>1150.77</v>
      </c>
      <c r="AG77" s="2">
        <f>IFERROR(__xludf.DUMMYFUNCTION("""COMPUTED_VALUE"""),0.261868140462473)</f>
        <v>0.2618681405</v>
      </c>
      <c r="AH77" s="1">
        <f>IFERROR(__xludf.DUMMYFUNCTION("""COMPUTED_VALUE"""),1554.98)</f>
        <v>1554.98</v>
      </c>
      <c r="AI77" s="1">
        <f>IFERROR(__xludf.DUMMYFUNCTION("""COMPUTED_VALUE"""),1150.77)</f>
        <v>1150.77</v>
      </c>
      <c r="AJ77" s="2">
        <f>IFERROR(__xludf.DUMMYFUNCTION("""COMPUTED_VALUE"""),1.3512517705536293)</f>
        <v>1.351251771</v>
      </c>
      <c r="AK77" s="1">
        <f>IFERROR(__xludf.DUMMYFUNCTION("""COMPUTED_VALUE"""),1868.95)</f>
        <v>1868.95</v>
      </c>
      <c r="AL77" s="1">
        <f>IFERROR(__xludf.DUMMYFUNCTION("""COMPUTED_VALUE"""),3073.85)</f>
        <v>3073.85</v>
      </c>
      <c r="AM77" s="2">
        <f>IFERROR(__xludf.DUMMYFUNCTION("""COMPUTED_VALUE"""),0.6080160059859785)</f>
        <v>0.608016006</v>
      </c>
      <c r="AN77" s="1">
        <f>IFERROR(__xludf.DUMMYFUNCTION("""COMPUTED_VALUE"""),634.58)</f>
        <v>634.58</v>
      </c>
      <c r="AO77" s="1">
        <f>IFERROR(__xludf.DUMMYFUNCTION("""COMPUTED_VALUE"""),0.0)</f>
        <v>0</v>
      </c>
      <c r="AP77" s="2" t="str">
        <f>IFERROR(__xludf.DUMMYFUNCTION("""COMPUTED_VALUE"""),"")</f>
        <v/>
      </c>
      <c r="AQ77" s="1">
        <f>IFERROR(__xludf.DUMMYFUNCTION("""COMPUTED_VALUE"""),832.25)</f>
        <v>832.25</v>
      </c>
      <c r="AR77" s="1">
        <f>IFERROR(__xludf.DUMMYFUNCTION("""COMPUTED_VALUE"""),0.0)</f>
        <v>0</v>
      </c>
      <c r="AS77" s="2" t="str">
        <f>IFERROR(__xludf.DUMMYFUNCTION("""COMPUTED_VALUE"""),"")</f>
        <v/>
      </c>
      <c r="AT77" s="1">
        <f>IFERROR(__xludf.DUMMYFUNCTION("""COMPUTED_VALUE"""),1120.0)</f>
        <v>1120</v>
      </c>
      <c r="AU77" s="1">
        <f>IFERROR(__xludf.DUMMYFUNCTION("""COMPUTED_VALUE"""),0.0)</f>
        <v>0</v>
      </c>
      <c r="AV77" s="2" t="str">
        <f>IFERROR(__xludf.DUMMYFUNCTION("""COMPUTED_VALUE"""),"")</f>
        <v/>
      </c>
      <c r="AW77" s="1">
        <f>IFERROR(__xludf.DUMMYFUNCTION("""COMPUTED_VALUE"""),8.48)</f>
        <v>8.48</v>
      </c>
      <c r="AX77" s="1">
        <f>IFERROR(__xludf.DUMMYFUNCTION("""COMPUTED_VALUE"""),0.0)</f>
        <v>0</v>
      </c>
      <c r="AY77" s="2" t="str">
        <f>IFERROR(__xludf.DUMMYFUNCTION("""COMPUTED_VALUE"""),"")</f>
        <v/>
      </c>
      <c r="AZ77" s="1">
        <f>IFERROR(__xludf.DUMMYFUNCTION("""COMPUTED_VALUE"""),2595.31)</f>
        <v>2595.31</v>
      </c>
      <c r="BA77" s="1">
        <f>IFERROR(__xludf.DUMMYFUNCTION("""COMPUTED_VALUE"""),0.0)</f>
        <v>0</v>
      </c>
      <c r="BB77" s="2" t="str">
        <f>IFERROR(__xludf.DUMMYFUNCTION("""COMPUTED_VALUE"""),"")</f>
        <v/>
      </c>
    </row>
    <row r="78">
      <c r="A78" s="1" t="str">
        <f>IFERROR(__xludf.DUMMYFUNCTION("""COMPUTED_VALUE"""),"63ced84bc5c820531c269347")</f>
        <v>63ced84bc5c820531c269347</v>
      </c>
      <c r="B78" s="1" t="str">
        <f>IFERROR(__xludf.DUMMYFUNCTION("""COMPUTED_VALUE"""),"ICON Voice Networks, LLC")</f>
        <v>ICON Voice Networks, LLC</v>
      </c>
      <c r="C78" s="1" t="str">
        <f>IFERROR(__xludf.DUMMYFUNCTION("""COMPUTED_VALUE"""),"holly.berger@al-enterprise.com")</f>
        <v>holly.berger@al-enterprise.com</v>
      </c>
      <c r="D78" s="1" t="str">
        <f>IFERROR(__xludf.DUMMYFUNCTION("""COMPUTED_VALUE"""),"americas")</f>
        <v>americas</v>
      </c>
      <c r="E78" s="1" t="str">
        <f>IFERROR(__xludf.DUMMYFUNCTION("""COMPUTED_VALUE"""),"US")</f>
        <v>US</v>
      </c>
      <c r="F78" s="1" t="str">
        <f>IFERROR(__xludf.DUMMYFUNCTION("""COMPUTED_VALUE"""),"distributor_1000")</f>
        <v>distributor_1000</v>
      </c>
      <c r="G78" s="1">
        <f>IFERROR(__xludf.DUMMYFUNCTION("""COMPUTED_VALUE"""),0.0)</f>
        <v>0</v>
      </c>
      <c r="H78" s="1">
        <f>IFERROR(__xludf.DUMMYFUNCTION("""COMPUTED_VALUE"""),1.0)</f>
        <v>1</v>
      </c>
      <c r="I78" s="2">
        <f>IFERROR(__xludf.DUMMYFUNCTION("""COMPUTED_VALUE"""),0.0)</f>
        <v>0</v>
      </c>
      <c r="J78" s="1">
        <f>IFERROR(__xludf.DUMMYFUNCTION("""COMPUTED_VALUE"""),3920.99)</f>
        <v>3920.99</v>
      </c>
      <c r="K78" s="1">
        <f>IFERROR(__xludf.DUMMYFUNCTION("""COMPUTED_VALUE"""),6979.94)</f>
        <v>6979.94</v>
      </c>
      <c r="L78" s="2">
        <f>IFERROR(__xludf.DUMMYFUNCTION("""COMPUTED_VALUE"""),0.5617512471453909)</f>
        <v>0.5617512471</v>
      </c>
      <c r="M78" s="1">
        <f>IFERROR(__xludf.DUMMYFUNCTION("""COMPUTED_VALUE"""),16.0)</f>
        <v>16</v>
      </c>
      <c r="N78" s="1">
        <f>IFERROR(__xludf.DUMMYFUNCTION("""COMPUTED_VALUE"""),56.0)</f>
        <v>56</v>
      </c>
      <c r="O78" s="2">
        <f>IFERROR(__xludf.DUMMYFUNCTION("""COMPUTED_VALUE"""),0.2857142857142857)</f>
        <v>0.2857142857</v>
      </c>
      <c r="P78" s="1">
        <f>IFERROR(__xludf.DUMMYFUNCTION("""COMPUTED_VALUE"""),0.0)</f>
        <v>0</v>
      </c>
      <c r="Q78" s="1">
        <f>IFERROR(__xludf.DUMMYFUNCTION("""COMPUTED_VALUE"""),1.0)</f>
        <v>1</v>
      </c>
      <c r="R78" s="2">
        <f>IFERROR(__xludf.DUMMYFUNCTION("""COMPUTED_VALUE"""),0.0)</f>
        <v>0</v>
      </c>
      <c r="S78" s="1">
        <f>IFERROR(__xludf.DUMMYFUNCTION("""COMPUTED_VALUE"""),0.0)</f>
        <v>0</v>
      </c>
      <c r="T78" s="1">
        <f>IFERROR(__xludf.DUMMYFUNCTION("""COMPUTED_VALUE"""),1.0)</f>
        <v>1</v>
      </c>
      <c r="U78" s="2">
        <f>IFERROR(__xludf.DUMMYFUNCTION("""COMPUTED_VALUE"""),0.0)</f>
        <v>0</v>
      </c>
      <c r="V78" s="1">
        <f>IFERROR(__xludf.DUMMYFUNCTION("""COMPUTED_VALUE"""),0.0)</f>
        <v>0</v>
      </c>
      <c r="W78" s="1">
        <f>IFERROR(__xludf.DUMMYFUNCTION("""COMPUTED_VALUE"""),1.0)</f>
        <v>1</v>
      </c>
      <c r="X78" s="2">
        <f>IFERROR(__xludf.DUMMYFUNCTION("""COMPUTED_VALUE"""),0.0)</f>
        <v>0</v>
      </c>
      <c r="Y78" s="1">
        <f>IFERROR(__xludf.DUMMYFUNCTION("""COMPUTED_VALUE"""),1.25)</f>
        <v>1.25</v>
      </c>
      <c r="Z78" s="1">
        <f>IFERROR(__xludf.DUMMYFUNCTION("""COMPUTED_VALUE"""),0.0)</f>
        <v>0</v>
      </c>
      <c r="AA78" s="2" t="str">
        <f>IFERROR(__xludf.DUMMYFUNCTION("""COMPUTED_VALUE"""),"")</f>
        <v/>
      </c>
      <c r="AB78" s="1">
        <f>IFERROR(__xludf.DUMMYFUNCTION("""COMPUTED_VALUE"""),25.76)</f>
        <v>25.76</v>
      </c>
      <c r="AC78" s="1">
        <f>IFERROR(__xludf.DUMMYFUNCTION("""COMPUTED_VALUE"""),4656.62)</f>
        <v>4656.62</v>
      </c>
      <c r="AD78" s="2">
        <f>IFERROR(__xludf.DUMMYFUNCTION("""COMPUTED_VALUE"""),0.00553190941068844)</f>
        <v>0.005531909411</v>
      </c>
      <c r="AE78" s="1">
        <f>IFERROR(__xludf.DUMMYFUNCTION("""COMPUTED_VALUE"""),154.87)</f>
        <v>154.87</v>
      </c>
      <c r="AF78" s="1">
        <f>IFERROR(__xludf.DUMMYFUNCTION("""COMPUTED_VALUE"""),6983.28)</f>
        <v>6983.28</v>
      </c>
      <c r="AG78" s="2">
        <f>IFERROR(__xludf.DUMMYFUNCTION("""COMPUTED_VALUE"""),0.022177257678340265)</f>
        <v>0.02217725768</v>
      </c>
      <c r="AH78" s="1">
        <f>IFERROR(__xludf.DUMMYFUNCTION("""COMPUTED_VALUE"""),44.91)</f>
        <v>44.91</v>
      </c>
      <c r="AI78" s="1">
        <f>IFERROR(__xludf.DUMMYFUNCTION("""COMPUTED_VALUE"""),6976.61)</f>
        <v>6976.61</v>
      </c>
      <c r="AJ78" s="2">
        <f>IFERROR(__xludf.DUMMYFUNCTION("""COMPUTED_VALUE"""),0.006437223809271265)</f>
        <v>0.006437223809</v>
      </c>
      <c r="AK78" s="1">
        <f>IFERROR(__xludf.DUMMYFUNCTION("""COMPUTED_VALUE"""),226.79)</f>
        <v>226.79</v>
      </c>
      <c r="AL78" s="1">
        <f>IFERROR(__xludf.DUMMYFUNCTION("""COMPUTED_VALUE"""),18616.51)</f>
        <v>18616.51</v>
      </c>
      <c r="AM78" s="2">
        <f>IFERROR(__xludf.DUMMYFUNCTION("""COMPUTED_VALUE"""),0.012182197415090154)</f>
        <v>0.01218219742</v>
      </c>
      <c r="AN78" s="1">
        <f>IFERROR(__xludf.DUMMYFUNCTION("""COMPUTED_VALUE"""),142.5)</f>
        <v>142.5</v>
      </c>
      <c r="AO78" s="1">
        <f>IFERROR(__xludf.DUMMYFUNCTION("""COMPUTED_VALUE"""),0.0)</f>
        <v>0</v>
      </c>
      <c r="AP78" s="2" t="str">
        <f>IFERROR(__xludf.DUMMYFUNCTION("""COMPUTED_VALUE"""),"")</f>
        <v/>
      </c>
      <c r="AQ78" s="1">
        <f>IFERROR(__xludf.DUMMYFUNCTION("""COMPUTED_VALUE"""),297.08)</f>
        <v>297.08</v>
      </c>
      <c r="AR78" s="1">
        <f>IFERROR(__xludf.DUMMYFUNCTION("""COMPUTED_VALUE"""),0.0)</f>
        <v>0</v>
      </c>
      <c r="AS78" s="2" t="str">
        <f>IFERROR(__xludf.DUMMYFUNCTION("""COMPUTED_VALUE"""),"")</f>
        <v/>
      </c>
      <c r="AT78" s="1">
        <f>IFERROR(__xludf.DUMMYFUNCTION("""COMPUTED_VALUE"""),429.68)</f>
        <v>429.68</v>
      </c>
      <c r="AU78" s="1">
        <f>IFERROR(__xludf.DUMMYFUNCTION("""COMPUTED_VALUE"""),0.0)</f>
        <v>0</v>
      </c>
      <c r="AV78" s="2" t="str">
        <f>IFERROR(__xludf.DUMMYFUNCTION("""COMPUTED_VALUE"""),"")</f>
        <v/>
      </c>
      <c r="AW78" s="1">
        <f>IFERROR(__xludf.DUMMYFUNCTION("""COMPUTED_VALUE"""),14.17)</f>
        <v>14.17</v>
      </c>
      <c r="AX78" s="1">
        <f>IFERROR(__xludf.DUMMYFUNCTION("""COMPUTED_VALUE"""),0.0)</f>
        <v>0</v>
      </c>
      <c r="AY78" s="2" t="str">
        <f>IFERROR(__xludf.DUMMYFUNCTION("""COMPUTED_VALUE"""),"")</f>
        <v/>
      </c>
      <c r="AZ78" s="1">
        <f>IFERROR(__xludf.DUMMYFUNCTION("""COMPUTED_VALUE"""),883.43)</f>
        <v>883.43</v>
      </c>
      <c r="BA78" s="1">
        <f>IFERROR(__xludf.DUMMYFUNCTION("""COMPUTED_VALUE"""),0.0)</f>
        <v>0</v>
      </c>
      <c r="BB78" s="2" t="str">
        <f>IFERROR(__xludf.DUMMYFUNCTION("""COMPUTED_VALUE"""),"")</f>
        <v/>
      </c>
    </row>
    <row r="79">
      <c r="A79" s="1" t="str">
        <f>IFERROR(__xludf.DUMMYFUNCTION("""COMPUTED_VALUE"""),"63fcbb7ea107c871cf56484b")</f>
        <v>63fcbb7ea107c871cf56484b</v>
      </c>
      <c r="B79" s="1" t="str">
        <f>IFERROR(__xludf.DUMMYFUNCTION("""COMPUTED_VALUE"""),"INDRA SISTEMAS S.A.")</f>
        <v>INDRA SISTEMAS S.A.</v>
      </c>
      <c r="C79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79" s="1" t="str">
        <f>IFERROR(__xludf.DUMMYFUNCTION("""COMPUTED_VALUE"""),"emea")</f>
        <v>emea</v>
      </c>
      <c r="E79" s="1" t="str">
        <f>IFERROR(__xludf.DUMMYFUNCTION("""COMPUTED_VALUE"""),"ES")</f>
        <v>ES</v>
      </c>
      <c r="F79" s="1"/>
      <c r="G79" s="1">
        <f>IFERROR(__xludf.DUMMYFUNCTION("""COMPUTED_VALUE"""),1.0)</f>
        <v>1</v>
      </c>
      <c r="H79" s="1">
        <f>IFERROR(__xludf.DUMMYFUNCTION("""COMPUTED_VALUE"""),1.0)</f>
        <v>1</v>
      </c>
      <c r="I79" s="2">
        <f>IFERROR(__xludf.DUMMYFUNCTION("""COMPUTED_VALUE"""),1.0)</f>
        <v>1</v>
      </c>
      <c r="J79" s="1">
        <f>IFERROR(__xludf.DUMMYFUNCTION("""COMPUTED_VALUE"""),17.17)</f>
        <v>17.17</v>
      </c>
      <c r="K79" s="1">
        <f>IFERROR(__xludf.DUMMYFUNCTION("""COMPUTED_VALUE"""),200.0)</f>
        <v>200</v>
      </c>
      <c r="L79" s="2">
        <f>IFERROR(__xludf.DUMMYFUNCTION("""COMPUTED_VALUE"""),0.08585000000000001)</f>
        <v>0.08585</v>
      </c>
      <c r="M79" s="1">
        <f>IFERROR(__xludf.DUMMYFUNCTION("""COMPUTED_VALUE"""),14.0)</f>
        <v>14</v>
      </c>
      <c r="N79" s="1">
        <f>IFERROR(__xludf.DUMMYFUNCTION("""COMPUTED_VALUE"""),0.0)</f>
        <v>0</v>
      </c>
      <c r="O79" s="2" t="str">
        <f>IFERROR(__xludf.DUMMYFUNCTION("""COMPUTED_VALUE"""),"")</f>
        <v/>
      </c>
      <c r="P79" s="1">
        <f>IFERROR(__xludf.DUMMYFUNCTION("""COMPUTED_VALUE"""),0.0)</f>
        <v>0</v>
      </c>
      <c r="Q79" s="1">
        <f>IFERROR(__xludf.DUMMYFUNCTION("""COMPUTED_VALUE"""),1.0)</f>
        <v>1</v>
      </c>
      <c r="R79" s="2">
        <f>IFERROR(__xludf.DUMMYFUNCTION("""COMPUTED_VALUE"""),0.0)</f>
        <v>0</v>
      </c>
      <c r="S79" s="1">
        <f>IFERROR(__xludf.DUMMYFUNCTION("""COMPUTED_VALUE"""),1.0)</f>
        <v>1</v>
      </c>
      <c r="T79" s="1">
        <f>IFERROR(__xludf.DUMMYFUNCTION("""COMPUTED_VALUE"""),1.0)</f>
        <v>1</v>
      </c>
      <c r="U79" s="2">
        <f>IFERROR(__xludf.DUMMYFUNCTION("""COMPUTED_VALUE"""),1.0)</f>
        <v>1</v>
      </c>
      <c r="V79" s="1">
        <f>IFERROR(__xludf.DUMMYFUNCTION("""COMPUTED_VALUE"""),0.0)</f>
        <v>0</v>
      </c>
      <c r="W79" s="1">
        <f>IFERROR(__xludf.DUMMYFUNCTION("""COMPUTED_VALUE"""),1.0)</f>
        <v>1</v>
      </c>
      <c r="X79" s="2">
        <f>IFERROR(__xludf.DUMMYFUNCTION("""COMPUTED_VALUE"""),0.0)</f>
        <v>0</v>
      </c>
      <c r="Y79" s="1">
        <f>IFERROR(__xludf.DUMMYFUNCTION("""COMPUTED_VALUE"""),0.0)</f>
        <v>0</v>
      </c>
      <c r="Z79" s="1">
        <f>IFERROR(__xludf.DUMMYFUNCTION("""COMPUTED_VALUE"""),0.0)</f>
        <v>0</v>
      </c>
      <c r="AA79" s="2" t="str">
        <f>IFERROR(__xludf.DUMMYFUNCTION("""COMPUTED_VALUE"""),"")</f>
        <v/>
      </c>
      <c r="AB79" s="1">
        <f>IFERROR(__xludf.DUMMYFUNCTION("""COMPUTED_VALUE"""),41.17)</f>
        <v>41.17</v>
      </c>
      <c r="AC79" s="1">
        <f>IFERROR(__xludf.DUMMYFUNCTION("""COMPUTED_VALUE"""),0.0)</f>
        <v>0</v>
      </c>
      <c r="AD79" s="2" t="str">
        <f>IFERROR(__xludf.DUMMYFUNCTION("""COMPUTED_VALUE"""),"")</f>
        <v/>
      </c>
      <c r="AE79" s="1">
        <f>IFERROR(__xludf.DUMMYFUNCTION("""COMPUTED_VALUE"""),46.0)</f>
        <v>46</v>
      </c>
      <c r="AF79" s="1">
        <f>IFERROR(__xludf.DUMMYFUNCTION("""COMPUTED_VALUE"""),166.67)</f>
        <v>166.67</v>
      </c>
      <c r="AG79" s="2">
        <f>IFERROR(__xludf.DUMMYFUNCTION("""COMPUTED_VALUE"""),0.2759944801103978)</f>
        <v>0.2759944801</v>
      </c>
      <c r="AH79" s="1">
        <f>IFERROR(__xludf.DUMMYFUNCTION("""COMPUTED_VALUE"""),0.0)</f>
        <v>0</v>
      </c>
      <c r="AI79" s="1">
        <f>IFERROR(__xludf.DUMMYFUNCTION("""COMPUTED_VALUE"""),166.67)</f>
        <v>166.67</v>
      </c>
      <c r="AJ79" s="2">
        <f>IFERROR(__xludf.DUMMYFUNCTION("""COMPUTED_VALUE"""),0.0)</f>
        <v>0</v>
      </c>
      <c r="AK79" s="1">
        <f>IFERROR(__xludf.DUMMYFUNCTION("""COMPUTED_VALUE"""),87.17)</f>
        <v>87.17</v>
      </c>
      <c r="AL79" s="1">
        <f>IFERROR(__xludf.DUMMYFUNCTION("""COMPUTED_VALUE"""),333.34)</f>
        <v>333.34</v>
      </c>
      <c r="AM79" s="2">
        <f>IFERROR(__xludf.DUMMYFUNCTION("""COMPUTED_VALUE"""),0.2615047699046019)</f>
        <v>0.2615047699</v>
      </c>
      <c r="AN79" s="1">
        <f>IFERROR(__xludf.DUMMYFUNCTION("""COMPUTED_VALUE"""),0.0)</f>
        <v>0</v>
      </c>
      <c r="AO79" s="1">
        <f>IFERROR(__xludf.DUMMYFUNCTION("""COMPUTED_VALUE"""),0.0)</f>
        <v>0</v>
      </c>
      <c r="AP79" s="2" t="str">
        <f>IFERROR(__xludf.DUMMYFUNCTION("""COMPUTED_VALUE"""),"")</f>
        <v/>
      </c>
      <c r="AQ79" s="1">
        <f>IFERROR(__xludf.DUMMYFUNCTION("""COMPUTED_VALUE"""),0.0)</f>
        <v>0</v>
      </c>
      <c r="AR79" s="1">
        <f>IFERROR(__xludf.DUMMYFUNCTION("""COMPUTED_VALUE"""),0.0)</f>
        <v>0</v>
      </c>
      <c r="AS79" s="2" t="str">
        <f>IFERROR(__xludf.DUMMYFUNCTION("""COMPUTED_VALUE"""),"")</f>
        <v/>
      </c>
      <c r="AT79" s="1">
        <f>IFERROR(__xludf.DUMMYFUNCTION("""COMPUTED_VALUE"""),0.0)</f>
        <v>0</v>
      </c>
      <c r="AU79" s="1">
        <f>IFERROR(__xludf.DUMMYFUNCTION("""COMPUTED_VALUE"""),0.0)</f>
        <v>0</v>
      </c>
      <c r="AV79" s="2" t="str">
        <f>IFERROR(__xludf.DUMMYFUNCTION("""COMPUTED_VALUE"""),"")</f>
        <v/>
      </c>
      <c r="AW79" s="1">
        <f>IFERROR(__xludf.DUMMYFUNCTION("""COMPUTED_VALUE"""),0.0)</f>
        <v>0</v>
      </c>
      <c r="AX79" s="1">
        <f>IFERROR(__xludf.DUMMYFUNCTION("""COMPUTED_VALUE"""),0.0)</f>
        <v>0</v>
      </c>
      <c r="AY79" s="2" t="str">
        <f>IFERROR(__xludf.DUMMYFUNCTION("""COMPUTED_VALUE"""),"")</f>
        <v/>
      </c>
      <c r="AZ79" s="1">
        <f>IFERROR(__xludf.DUMMYFUNCTION("""COMPUTED_VALUE"""),0.0)</f>
        <v>0</v>
      </c>
      <c r="BA79" s="1">
        <f>IFERROR(__xludf.DUMMYFUNCTION("""COMPUTED_VALUE"""),0.0)</f>
        <v>0</v>
      </c>
      <c r="BB79" s="2" t="str">
        <f>IFERROR(__xludf.DUMMYFUNCTION("""COMPUTED_VALUE"""),"")</f>
        <v/>
      </c>
    </row>
    <row r="80">
      <c r="A80" s="1" t="str">
        <f>IFERROR(__xludf.DUMMYFUNCTION("""COMPUTED_VALUE"""),"63fcbb82a107c871cf564e87")</f>
        <v>63fcbb82a107c871cf564e87</v>
      </c>
      <c r="B80" s="1" t="str">
        <f>IFERROR(__xludf.DUMMYFUNCTION("""COMPUTED_VALUE"""),"Innova-ITC")</f>
        <v>Innova-ITC</v>
      </c>
      <c r="C80" s="1" t="str">
        <f>IFERROR(__xludf.DUMMYFUNCTION("""COMPUTED_VALUE"""),"philippe.girard@al-enterprise.com, rui.silva@al-enterprise.com, nuno.ribas@al-enterprise.com, carolina.rodriguez@al-enterprise.com")</f>
        <v>philippe.girard@al-enterprise.com, rui.silva@al-enterprise.com, nuno.ribas@al-enterprise.com, carolina.rodriguez@al-enterprise.com</v>
      </c>
      <c r="D80" s="1" t="str">
        <f>IFERROR(__xludf.DUMMYFUNCTION("""COMPUTED_VALUE"""),"americas")</f>
        <v>americas</v>
      </c>
      <c r="E80" s="1" t="str">
        <f>IFERROR(__xludf.DUMMYFUNCTION("""COMPUTED_VALUE"""),"PE")</f>
        <v>PE</v>
      </c>
      <c r="F80" s="1" t="str">
        <f>IFERROR(__xludf.DUMMYFUNCTION("""COMPUTED_VALUE"""),"expert_200")</f>
        <v>expert_200</v>
      </c>
      <c r="G80" s="1">
        <f>IFERROR(__xludf.DUMMYFUNCTION("""COMPUTED_VALUE"""),0.0)</f>
        <v>0</v>
      </c>
      <c r="H80" s="1">
        <f>IFERROR(__xludf.DUMMYFUNCTION("""COMPUTED_VALUE"""),1.0)</f>
        <v>1</v>
      </c>
      <c r="I80" s="2">
        <f>IFERROR(__xludf.DUMMYFUNCTION("""COMPUTED_VALUE"""),0.0)</f>
        <v>0</v>
      </c>
      <c r="J80" s="1">
        <f>IFERROR(__xludf.DUMMYFUNCTION("""COMPUTED_VALUE"""),98.25)</f>
        <v>98.25</v>
      </c>
      <c r="K80" s="1">
        <f>IFERROR(__xludf.DUMMYFUNCTION("""COMPUTED_VALUE"""),503.0)</f>
        <v>503</v>
      </c>
      <c r="L80" s="2">
        <f>IFERROR(__xludf.DUMMYFUNCTION("""COMPUTED_VALUE"""),0.19532803180914513)</f>
        <v>0.1953280318</v>
      </c>
      <c r="M80" s="1">
        <f>IFERROR(__xludf.DUMMYFUNCTION("""COMPUTED_VALUE"""),36.0)</f>
        <v>36</v>
      </c>
      <c r="N80" s="1">
        <f>IFERROR(__xludf.DUMMYFUNCTION("""COMPUTED_VALUE"""),22.0)</f>
        <v>22</v>
      </c>
      <c r="O80" s="2">
        <f>IFERROR(__xludf.DUMMYFUNCTION("""COMPUTED_VALUE"""),1.6363636363636365)</f>
        <v>1.636363636</v>
      </c>
      <c r="P80" s="1">
        <f>IFERROR(__xludf.DUMMYFUNCTION("""COMPUTED_VALUE"""),0.0)</f>
        <v>0</v>
      </c>
      <c r="Q80" s="1">
        <f>IFERROR(__xludf.DUMMYFUNCTION("""COMPUTED_VALUE"""),1.0)</f>
        <v>1</v>
      </c>
      <c r="R80" s="2">
        <f>IFERROR(__xludf.DUMMYFUNCTION("""COMPUTED_VALUE"""),0.0)</f>
        <v>0</v>
      </c>
      <c r="S80" s="1">
        <f>IFERROR(__xludf.DUMMYFUNCTION("""COMPUTED_VALUE"""),1.0)</f>
        <v>1</v>
      </c>
      <c r="T80" s="1">
        <f>IFERROR(__xludf.DUMMYFUNCTION("""COMPUTED_VALUE"""),1.0)</f>
        <v>1</v>
      </c>
      <c r="U80" s="2">
        <f>IFERROR(__xludf.DUMMYFUNCTION("""COMPUTED_VALUE"""),1.0)</f>
        <v>1</v>
      </c>
      <c r="V80" s="1">
        <f>IFERROR(__xludf.DUMMYFUNCTION("""COMPUTED_VALUE"""),0.0)</f>
        <v>0</v>
      </c>
      <c r="W80" s="1">
        <f>IFERROR(__xludf.DUMMYFUNCTION("""COMPUTED_VALUE"""),1.0)</f>
        <v>1</v>
      </c>
      <c r="X80" s="2">
        <f>IFERROR(__xludf.DUMMYFUNCTION("""COMPUTED_VALUE"""),0.0)</f>
        <v>0</v>
      </c>
      <c r="Y80" s="1">
        <f>IFERROR(__xludf.DUMMYFUNCTION("""COMPUTED_VALUE"""),30.0)</f>
        <v>30</v>
      </c>
      <c r="Z80" s="1">
        <f>IFERROR(__xludf.DUMMYFUNCTION("""COMPUTED_VALUE"""),0.0)</f>
        <v>0</v>
      </c>
      <c r="AA80" s="2" t="str">
        <f>IFERROR(__xludf.DUMMYFUNCTION("""COMPUTED_VALUE"""),"")</f>
        <v/>
      </c>
      <c r="AB80" s="1">
        <f>IFERROR(__xludf.DUMMYFUNCTION("""COMPUTED_VALUE"""),20.0)</f>
        <v>20</v>
      </c>
      <c r="AC80" s="1">
        <f>IFERROR(__xludf.DUMMYFUNCTION("""COMPUTED_VALUE"""),353.31)</f>
        <v>353.31</v>
      </c>
      <c r="AD80" s="2">
        <f>IFERROR(__xludf.DUMMYFUNCTION("""COMPUTED_VALUE"""),0.05660751181681809)</f>
        <v>0.05660751182</v>
      </c>
      <c r="AE80" s="1">
        <f>IFERROR(__xludf.DUMMYFUNCTION("""COMPUTED_VALUE"""),131.35)</f>
        <v>131.35</v>
      </c>
      <c r="AF80" s="1">
        <f>IFERROR(__xludf.DUMMYFUNCTION("""COMPUTED_VALUE"""),643.34)</f>
        <v>643.34</v>
      </c>
      <c r="AG80" s="2">
        <f>IFERROR(__xludf.DUMMYFUNCTION("""COMPUTED_VALUE"""),0.20416886871638634)</f>
        <v>0.2041688687</v>
      </c>
      <c r="AH80" s="1">
        <f>IFERROR(__xludf.DUMMYFUNCTION("""COMPUTED_VALUE"""),1847.85)</f>
        <v>1847.85</v>
      </c>
      <c r="AI80" s="1">
        <f>IFERROR(__xludf.DUMMYFUNCTION("""COMPUTED_VALUE"""),576.64)</f>
        <v>576.64</v>
      </c>
      <c r="AJ80" s="2">
        <f>IFERROR(__xludf.DUMMYFUNCTION("""COMPUTED_VALUE"""),3.2045123473917867)</f>
        <v>3.204512347</v>
      </c>
      <c r="AK80" s="1">
        <f>IFERROR(__xludf.DUMMYFUNCTION("""COMPUTED_VALUE"""),2029.1999999999998)</f>
        <v>2029.2</v>
      </c>
      <c r="AL80" s="1">
        <f>IFERROR(__xludf.DUMMYFUNCTION("""COMPUTED_VALUE"""),1573.29)</f>
        <v>1573.29</v>
      </c>
      <c r="AM80" s="2">
        <f>IFERROR(__xludf.DUMMYFUNCTION("""COMPUTED_VALUE"""),1.2897812863489884)</f>
        <v>1.289781286</v>
      </c>
      <c r="AN80" s="1">
        <f>IFERROR(__xludf.DUMMYFUNCTION("""COMPUTED_VALUE"""),100.0)</f>
        <v>100</v>
      </c>
      <c r="AO80" s="1">
        <f>IFERROR(__xludf.DUMMYFUNCTION("""COMPUTED_VALUE"""),0.0)</f>
        <v>0</v>
      </c>
      <c r="AP80" s="2" t="str">
        <f>IFERROR(__xludf.DUMMYFUNCTION("""COMPUTED_VALUE"""),"")</f>
        <v/>
      </c>
      <c r="AQ80" s="1">
        <f>IFERROR(__xludf.DUMMYFUNCTION("""COMPUTED_VALUE"""),0.0)</f>
        <v>0</v>
      </c>
      <c r="AR80" s="1">
        <f>IFERROR(__xludf.DUMMYFUNCTION("""COMPUTED_VALUE"""),0.0)</f>
        <v>0</v>
      </c>
      <c r="AS80" s="2" t="str">
        <f>IFERROR(__xludf.DUMMYFUNCTION("""COMPUTED_VALUE"""),"")</f>
        <v/>
      </c>
      <c r="AT80" s="1">
        <f>IFERROR(__xludf.DUMMYFUNCTION("""COMPUTED_VALUE"""),0.0)</f>
        <v>0</v>
      </c>
      <c r="AU80" s="1">
        <f>IFERROR(__xludf.DUMMYFUNCTION("""COMPUTED_VALUE"""),0.0)</f>
        <v>0</v>
      </c>
      <c r="AV80" s="2" t="str">
        <f>IFERROR(__xludf.DUMMYFUNCTION("""COMPUTED_VALUE"""),"")</f>
        <v/>
      </c>
      <c r="AW80" s="1">
        <f>IFERROR(__xludf.DUMMYFUNCTION("""COMPUTED_VALUE"""),0.0)</f>
        <v>0</v>
      </c>
      <c r="AX80" s="1">
        <f>IFERROR(__xludf.DUMMYFUNCTION("""COMPUTED_VALUE"""),0.0)</f>
        <v>0</v>
      </c>
      <c r="AY80" s="2" t="str">
        <f>IFERROR(__xludf.DUMMYFUNCTION("""COMPUTED_VALUE"""),"")</f>
        <v/>
      </c>
      <c r="AZ80" s="1">
        <f>IFERROR(__xludf.DUMMYFUNCTION("""COMPUTED_VALUE"""),100.0)</f>
        <v>100</v>
      </c>
      <c r="BA80" s="1">
        <f>IFERROR(__xludf.DUMMYFUNCTION("""COMPUTED_VALUE"""),0.0)</f>
        <v>0</v>
      </c>
      <c r="BB80" s="2" t="str">
        <f>IFERROR(__xludf.DUMMYFUNCTION("""COMPUTED_VALUE"""),"")</f>
        <v/>
      </c>
    </row>
    <row r="81">
      <c r="A81" s="1" t="str">
        <f>IFERROR(__xludf.DUMMYFUNCTION("""COMPUTED_VALUE"""),"67766fb5137213659d0c9be2")</f>
        <v>67766fb5137213659d0c9be2</v>
      </c>
      <c r="B81" s="1" t="str">
        <f>IFERROR(__xludf.DUMMYFUNCTION("""COMPUTED_VALUE"""),"Intech Southwest Services LLC")</f>
        <v>Intech Southwest Services LLC</v>
      </c>
      <c r="C81" s="1" t="str">
        <f>IFERROR(__xludf.DUMMYFUNCTION("""COMPUTED_VALUE"""),"bill.rademacher@al-enterprise.com, jack.jachner@al-enterprise.com")</f>
        <v>bill.rademacher@al-enterprise.com, jack.jachner@al-enterprise.com</v>
      </c>
      <c r="D81" s="1" t="str">
        <f>IFERROR(__xludf.DUMMYFUNCTION("""COMPUTED_VALUE"""),"americas")</f>
        <v>americas</v>
      </c>
      <c r="E81" s="1" t="str">
        <f>IFERROR(__xludf.DUMMYFUNCTION("""COMPUTED_VALUE"""),"US")</f>
        <v>US</v>
      </c>
      <c r="F81" s="1" t="str">
        <f>IFERROR(__xludf.DUMMYFUNCTION("""COMPUTED_VALUE"""),"expert_1000")</f>
        <v>expert_1000</v>
      </c>
      <c r="G81" s="1">
        <f>IFERROR(__xludf.DUMMYFUNCTION("""COMPUTED_VALUE"""),1.0)</f>
        <v>1</v>
      </c>
      <c r="H81" s="1">
        <f>IFERROR(__xludf.DUMMYFUNCTION("""COMPUTED_VALUE"""),1.0)</f>
        <v>1</v>
      </c>
      <c r="I81" s="2">
        <f>IFERROR(__xludf.DUMMYFUNCTION("""COMPUTED_VALUE"""),1.0)</f>
        <v>1</v>
      </c>
      <c r="J81" s="1">
        <f>IFERROR(__xludf.DUMMYFUNCTION("""COMPUTED_VALUE"""),239.68)</f>
        <v>239.68</v>
      </c>
      <c r="K81" s="1">
        <f>IFERROR(__xludf.DUMMYFUNCTION("""COMPUTED_VALUE"""),3349.97)</f>
        <v>3349.97</v>
      </c>
      <c r="L81" s="2">
        <f>IFERROR(__xludf.DUMMYFUNCTION("""COMPUTED_VALUE"""),0.07154690937530785)</f>
        <v>0.07154690938</v>
      </c>
      <c r="M81" s="1">
        <f>IFERROR(__xludf.DUMMYFUNCTION("""COMPUTED_VALUE"""),5.0)</f>
        <v>5</v>
      </c>
      <c r="N81" s="1">
        <f>IFERROR(__xludf.DUMMYFUNCTION("""COMPUTED_VALUE"""),0.0)</f>
        <v>0</v>
      </c>
      <c r="O81" s="2" t="str">
        <f>IFERROR(__xludf.DUMMYFUNCTION("""COMPUTED_VALUE"""),"")</f>
        <v/>
      </c>
      <c r="P81" s="1">
        <f>IFERROR(__xludf.DUMMYFUNCTION("""COMPUTED_VALUE"""),0.0)</f>
        <v>0</v>
      </c>
      <c r="Q81" s="1">
        <f>IFERROR(__xludf.DUMMYFUNCTION("""COMPUTED_VALUE"""),1.0)</f>
        <v>1</v>
      </c>
      <c r="R81" s="2">
        <f>IFERROR(__xludf.DUMMYFUNCTION("""COMPUTED_VALUE"""),0.0)</f>
        <v>0</v>
      </c>
      <c r="S81" s="1">
        <f>IFERROR(__xludf.DUMMYFUNCTION("""COMPUTED_VALUE"""),0.0)</f>
        <v>0</v>
      </c>
      <c r="T81" s="1">
        <f>IFERROR(__xludf.DUMMYFUNCTION("""COMPUTED_VALUE"""),1.0)</f>
        <v>1</v>
      </c>
      <c r="U81" s="2">
        <f>IFERROR(__xludf.DUMMYFUNCTION("""COMPUTED_VALUE"""),0.0)</f>
        <v>0</v>
      </c>
      <c r="V81" s="1">
        <f>IFERROR(__xludf.DUMMYFUNCTION("""COMPUTED_VALUE"""),0.0)</f>
        <v>0</v>
      </c>
      <c r="W81" s="1">
        <f>IFERROR(__xludf.DUMMYFUNCTION("""COMPUTED_VALUE"""),1.0)</f>
        <v>1</v>
      </c>
      <c r="X81" s="2">
        <f>IFERROR(__xludf.DUMMYFUNCTION("""COMPUTED_VALUE"""),0.0)</f>
        <v>0</v>
      </c>
      <c r="Y81" s="1">
        <f>IFERROR(__xludf.DUMMYFUNCTION("""COMPUTED_VALUE"""),13.05)</f>
        <v>13.05</v>
      </c>
      <c r="Z81" s="1">
        <f>IFERROR(__xludf.DUMMYFUNCTION("""COMPUTED_VALUE"""),0.0)</f>
        <v>0</v>
      </c>
      <c r="AA81" s="2" t="str">
        <f>IFERROR(__xludf.DUMMYFUNCTION("""COMPUTED_VALUE"""),"")</f>
        <v/>
      </c>
      <c r="AB81" s="1">
        <f>IFERROR(__xludf.DUMMYFUNCTION("""COMPUTED_VALUE"""),25.07)</f>
        <v>25.07</v>
      </c>
      <c r="AC81" s="1">
        <f>IFERROR(__xludf.DUMMYFUNCTION("""COMPUTED_VALUE"""),1883.3)</f>
        <v>1883.3</v>
      </c>
      <c r="AD81" s="2">
        <f>IFERROR(__xludf.DUMMYFUNCTION("""COMPUTED_VALUE"""),0.013311740030797006)</f>
        <v>0.01331174003</v>
      </c>
      <c r="AE81" s="1">
        <f>IFERROR(__xludf.DUMMYFUNCTION("""COMPUTED_VALUE"""),66.54)</f>
        <v>66.54</v>
      </c>
      <c r="AF81" s="1">
        <f>IFERROR(__xludf.DUMMYFUNCTION("""COMPUTED_VALUE"""),5316.63)</f>
        <v>5316.63</v>
      </c>
      <c r="AG81" s="2">
        <f>IFERROR(__xludf.DUMMYFUNCTION("""COMPUTED_VALUE"""),0.01251544681499371)</f>
        <v>0.01251544681</v>
      </c>
      <c r="AH81" s="1">
        <f>IFERROR(__xludf.DUMMYFUNCTION("""COMPUTED_VALUE"""),5169.93)</f>
        <v>5169.93</v>
      </c>
      <c r="AI81" s="1">
        <f>IFERROR(__xludf.DUMMYFUNCTION("""COMPUTED_VALUE"""),3966.63)</f>
        <v>3966.63</v>
      </c>
      <c r="AJ81" s="2">
        <f>IFERROR(__xludf.DUMMYFUNCTION("""COMPUTED_VALUE"""),1.3033557453052087)</f>
        <v>1.303355745</v>
      </c>
      <c r="AK81" s="1">
        <f>IFERROR(__xludf.DUMMYFUNCTION("""COMPUTED_VALUE"""),5274.59)</f>
        <v>5274.59</v>
      </c>
      <c r="AL81" s="1">
        <f>IFERROR(__xludf.DUMMYFUNCTION("""COMPUTED_VALUE"""),11166.560000000001)</f>
        <v>11166.56</v>
      </c>
      <c r="AM81" s="2">
        <f>IFERROR(__xludf.DUMMYFUNCTION("""COMPUTED_VALUE"""),0.47235585533951363)</f>
        <v>0.4723558553</v>
      </c>
      <c r="AN81" s="1">
        <f>IFERROR(__xludf.DUMMYFUNCTION("""COMPUTED_VALUE"""),6267.99)</f>
        <v>6267.99</v>
      </c>
      <c r="AO81" s="1">
        <f>IFERROR(__xludf.DUMMYFUNCTION("""COMPUTED_VALUE"""),0.0)</f>
        <v>0</v>
      </c>
      <c r="AP81" s="2" t="str">
        <f>IFERROR(__xludf.DUMMYFUNCTION("""COMPUTED_VALUE"""),"")</f>
        <v/>
      </c>
      <c r="AQ81" s="1">
        <f>IFERROR(__xludf.DUMMYFUNCTION("""COMPUTED_VALUE"""),6.0)</f>
        <v>6</v>
      </c>
      <c r="AR81" s="1">
        <f>IFERROR(__xludf.DUMMYFUNCTION("""COMPUTED_VALUE"""),0.0)</f>
        <v>0</v>
      </c>
      <c r="AS81" s="2" t="str">
        <f>IFERROR(__xludf.DUMMYFUNCTION("""COMPUTED_VALUE"""),"")</f>
        <v/>
      </c>
      <c r="AT81" s="1">
        <f>IFERROR(__xludf.DUMMYFUNCTION("""COMPUTED_VALUE"""),0.0)</f>
        <v>0</v>
      </c>
      <c r="AU81" s="1">
        <f>IFERROR(__xludf.DUMMYFUNCTION("""COMPUTED_VALUE"""),0.0)</f>
        <v>0</v>
      </c>
      <c r="AV81" s="2" t="str">
        <f>IFERROR(__xludf.DUMMYFUNCTION("""COMPUTED_VALUE"""),"")</f>
        <v/>
      </c>
      <c r="AW81" s="1">
        <f>IFERROR(__xludf.DUMMYFUNCTION("""COMPUTED_VALUE"""),6624.78)</f>
        <v>6624.78</v>
      </c>
      <c r="AX81" s="1">
        <f>IFERROR(__xludf.DUMMYFUNCTION("""COMPUTED_VALUE"""),0.0)</f>
        <v>0</v>
      </c>
      <c r="AY81" s="2" t="str">
        <f>IFERROR(__xludf.DUMMYFUNCTION("""COMPUTED_VALUE"""),"")</f>
        <v/>
      </c>
      <c r="AZ81" s="1">
        <f>IFERROR(__xludf.DUMMYFUNCTION("""COMPUTED_VALUE"""),12898.77)</f>
        <v>12898.77</v>
      </c>
      <c r="BA81" s="1">
        <f>IFERROR(__xludf.DUMMYFUNCTION("""COMPUTED_VALUE"""),0.0)</f>
        <v>0</v>
      </c>
      <c r="BB81" s="2" t="str">
        <f>IFERROR(__xludf.DUMMYFUNCTION("""COMPUTED_VALUE"""),"")</f>
        <v/>
      </c>
    </row>
    <row r="82">
      <c r="A82" s="1" t="str">
        <f>IFERROR(__xludf.DUMMYFUNCTION("""COMPUTED_VALUE"""),"67a4e33adfd0cfbf1304451f")</f>
        <v>67a4e33adfd0cfbf1304451f</v>
      </c>
      <c r="B82" s="1" t="str">
        <f>IFERROR(__xludf.DUMMYFUNCTION("""COMPUTED_VALUE"""),"INTELLIGENT TRANSPORTATION SERVICES")</f>
        <v>INTELLIGENT TRANSPORTATION SERVICES</v>
      </c>
      <c r="C82" s="1" t="str">
        <f>IFERROR(__xludf.DUMMYFUNCTION("""COMPUTED_VALUE"""),"luigy.estevanell@al-enterprise.com")</f>
        <v>luigy.estevanell@al-enterprise.com</v>
      </c>
      <c r="D82" s="1" t="str">
        <f>IFERROR(__xludf.DUMMYFUNCTION("""COMPUTED_VALUE"""),"americas")</f>
        <v>americas</v>
      </c>
      <c r="E82" s="1" t="str">
        <f>IFERROR(__xludf.DUMMYFUNCTION("""COMPUTED_VALUE"""),"US")</f>
        <v>US</v>
      </c>
      <c r="F82" s="1" t="str">
        <f>IFERROR(__xludf.DUMMYFUNCTION("""COMPUTED_VALUE"""),"expert_200")</f>
        <v>expert_200</v>
      </c>
      <c r="G82" s="1">
        <f>IFERROR(__xludf.DUMMYFUNCTION("""COMPUTED_VALUE"""),0.0)</f>
        <v>0</v>
      </c>
      <c r="H82" s="1">
        <f>IFERROR(__xludf.DUMMYFUNCTION("""COMPUTED_VALUE"""),1.0)</f>
        <v>1</v>
      </c>
      <c r="I82" s="2">
        <f>IFERROR(__xludf.DUMMYFUNCTION("""COMPUTED_VALUE"""),0.0)</f>
        <v>0</v>
      </c>
      <c r="J82" s="1">
        <f>IFERROR(__xludf.DUMMYFUNCTION("""COMPUTED_VALUE"""),0.0)</f>
        <v>0</v>
      </c>
      <c r="K82" s="1">
        <f>IFERROR(__xludf.DUMMYFUNCTION("""COMPUTED_VALUE"""),0.0)</f>
        <v>0</v>
      </c>
      <c r="L82" s="2" t="str">
        <f>IFERROR(__xludf.DUMMYFUNCTION("""COMPUTED_VALUE"""),"")</f>
        <v/>
      </c>
      <c r="M82" s="1">
        <f>IFERROR(__xludf.DUMMYFUNCTION("""COMPUTED_VALUE"""),0.0)</f>
        <v>0</v>
      </c>
      <c r="N82" s="1">
        <f>IFERROR(__xludf.DUMMYFUNCTION("""COMPUTED_VALUE"""),0.0)</f>
        <v>0</v>
      </c>
      <c r="O82" s="2" t="str">
        <f>IFERROR(__xludf.DUMMYFUNCTION("""COMPUTED_VALUE"""),"")</f>
        <v/>
      </c>
      <c r="P82" s="1">
        <f>IFERROR(__xludf.DUMMYFUNCTION("""COMPUTED_VALUE"""),0.0)</f>
        <v>0</v>
      </c>
      <c r="Q82" s="1">
        <f>IFERROR(__xludf.DUMMYFUNCTION("""COMPUTED_VALUE"""),1.0)</f>
        <v>1</v>
      </c>
      <c r="R82" s="2">
        <f>IFERROR(__xludf.DUMMYFUNCTION("""COMPUTED_VALUE"""),0.0)</f>
        <v>0</v>
      </c>
      <c r="S82" s="1">
        <f>IFERROR(__xludf.DUMMYFUNCTION("""COMPUTED_VALUE"""),0.0)</f>
        <v>0</v>
      </c>
      <c r="T82" s="1">
        <f>IFERROR(__xludf.DUMMYFUNCTION("""COMPUTED_VALUE"""),1.0)</f>
        <v>1</v>
      </c>
      <c r="U82" s="2">
        <f>IFERROR(__xludf.DUMMYFUNCTION("""COMPUTED_VALUE"""),0.0)</f>
        <v>0</v>
      </c>
      <c r="V82" s="1">
        <f>IFERROR(__xludf.DUMMYFUNCTION("""COMPUTED_VALUE"""),0.0)</f>
        <v>0</v>
      </c>
      <c r="W82" s="1">
        <f>IFERROR(__xludf.DUMMYFUNCTION("""COMPUTED_VALUE"""),1.0)</f>
        <v>1</v>
      </c>
      <c r="X82" s="2">
        <f>IFERROR(__xludf.DUMMYFUNCTION("""COMPUTED_VALUE"""),0.0)</f>
        <v>0</v>
      </c>
      <c r="Y82" s="1">
        <f>IFERROR(__xludf.DUMMYFUNCTION("""COMPUTED_VALUE"""),0.0)</f>
        <v>0</v>
      </c>
      <c r="Z82" s="1">
        <f>IFERROR(__xludf.DUMMYFUNCTION("""COMPUTED_VALUE"""),0.0)</f>
        <v>0</v>
      </c>
      <c r="AA82" s="2" t="str">
        <f>IFERROR(__xludf.DUMMYFUNCTION("""COMPUTED_VALUE"""),"")</f>
        <v/>
      </c>
      <c r="AB82" s="1">
        <f>IFERROR(__xludf.DUMMYFUNCTION("""COMPUTED_VALUE"""),0.0)</f>
        <v>0</v>
      </c>
      <c r="AC82" s="1">
        <f>IFERROR(__xludf.DUMMYFUNCTION("""COMPUTED_VALUE"""),0.0)</f>
        <v>0</v>
      </c>
      <c r="AD82" s="2" t="str">
        <f>IFERROR(__xludf.DUMMYFUNCTION("""COMPUTED_VALUE"""),"")</f>
        <v/>
      </c>
      <c r="AE82" s="1">
        <f>IFERROR(__xludf.DUMMYFUNCTION("""COMPUTED_VALUE"""),0.0)</f>
        <v>0</v>
      </c>
      <c r="AF82" s="1">
        <f>IFERROR(__xludf.DUMMYFUNCTION("""COMPUTED_VALUE"""),0.0)</f>
        <v>0</v>
      </c>
      <c r="AG82" s="2" t="str">
        <f>IFERROR(__xludf.DUMMYFUNCTION("""COMPUTED_VALUE"""),"")</f>
        <v/>
      </c>
      <c r="AH82" s="1">
        <f>IFERROR(__xludf.DUMMYFUNCTION("""COMPUTED_VALUE"""),0.0)</f>
        <v>0</v>
      </c>
      <c r="AI82" s="1">
        <f>IFERROR(__xludf.DUMMYFUNCTION("""COMPUTED_VALUE"""),0.0)</f>
        <v>0</v>
      </c>
      <c r="AJ82" s="2" t="str">
        <f>IFERROR(__xludf.DUMMYFUNCTION("""COMPUTED_VALUE"""),"")</f>
        <v/>
      </c>
      <c r="AK82" s="1">
        <f>IFERROR(__xludf.DUMMYFUNCTION("""COMPUTED_VALUE"""),0.0)</f>
        <v>0</v>
      </c>
      <c r="AL82" s="1">
        <f>IFERROR(__xludf.DUMMYFUNCTION("""COMPUTED_VALUE"""),0.0)</f>
        <v>0</v>
      </c>
      <c r="AM82" s="2" t="str">
        <f>IFERROR(__xludf.DUMMYFUNCTION("""COMPUTED_VALUE"""),"")</f>
        <v/>
      </c>
      <c r="AN82" s="1">
        <f>IFERROR(__xludf.DUMMYFUNCTION("""COMPUTED_VALUE"""),0.0)</f>
        <v>0</v>
      </c>
      <c r="AO82" s="1">
        <f>IFERROR(__xludf.DUMMYFUNCTION("""COMPUTED_VALUE"""),0.0)</f>
        <v>0</v>
      </c>
      <c r="AP82" s="2" t="str">
        <f>IFERROR(__xludf.DUMMYFUNCTION("""COMPUTED_VALUE"""),"")</f>
        <v/>
      </c>
      <c r="AQ82" s="1">
        <f>IFERROR(__xludf.DUMMYFUNCTION("""COMPUTED_VALUE"""),0.0)</f>
        <v>0</v>
      </c>
      <c r="AR82" s="1">
        <f>IFERROR(__xludf.DUMMYFUNCTION("""COMPUTED_VALUE"""),0.0)</f>
        <v>0</v>
      </c>
      <c r="AS82" s="2" t="str">
        <f>IFERROR(__xludf.DUMMYFUNCTION("""COMPUTED_VALUE"""),"")</f>
        <v/>
      </c>
      <c r="AT82" s="1">
        <f>IFERROR(__xludf.DUMMYFUNCTION("""COMPUTED_VALUE"""),0.0)</f>
        <v>0</v>
      </c>
      <c r="AU82" s="1">
        <f>IFERROR(__xludf.DUMMYFUNCTION("""COMPUTED_VALUE"""),0.0)</f>
        <v>0</v>
      </c>
      <c r="AV82" s="2" t="str">
        <f>IFERROR(__xludf.DUMMYFUNCTION("""COMPUTED_VALUE"""),"")</f>
        <v/>
      </c>
      <c r="AW82" s="1">
        <f>IFERROR(__xludf.DUMMYFUNCTION("""COMPUTED_VALUE"""),0.0)</f>
        <v>0</v>
      </c>
      <c r="AX82" s="1">
        <f>IFERROR(__xludf.DUMMYFUNCTION("""COMPUTED_VALUE"""),0.0)</f>
        <v>0</v>
      </c>
      <c r="AY82" s="2" t="str">
        <f>IFERROR(__xludf.DUMMYFUNCTION("""COMPUTED_VALUE"""),"")</f>
        <v/>
      </c>
      <c r="AZ82" s="1">
        <f>IFERROR(__xludf.DUMMYFUNCTION("""COMPUTED_VALUE"""),0.0)</f>
        <v>0</v>
      </c>
      <c r="BA82" s="1">
        <f>IFERROR(__xludf.DUMMYFUNCTION("""COMPUTED_VALUE"""),0.0)</f>
        <v>0</v>
      </c>
      <c r="BB82" s="2" t="str">
        <f>IFERROR(__xludf.DUMMYFUNCTION("""COMPUTED_VALUE"""),"")</f>
        <v/>
      </c>
    </row>
    <row r="83">
      <c r="A83" s="1" t="str">
        <f>IFERROR(__xludf.DUMMYFUNCTION("""COMPUTED_VALUE"""),"63ef9d60384f27260c1bb20d")</f>
        <v>63ef9d60384f27260c1bb20d</v>
      </c>
      <c r="B83" s="1" t="str">
        <f>IFERROR(__xludf.DUMMYFUNCTION("""COMPUTED_VALUE"""),"IP PRODUCTOS Y SERVICIOS S.A. DE C.")</f>
        <v>IP PRODUCTOS Y SERVICIOS S.A. DE C.</v>
      </c>
      <c r="C83" s="1" t="str">
        <f>IFERROR(__xludf.DUMMYFUNCTION("""COMPUTED_VALUE"""),"rui.silva@al-enterprise.com, saul.montiel@al-enterprise.com, joaquin.flores@al-enterprise.com")</f>
        <v>rui.silva@al-enterprise.com, saul.montiel@al-enterprise.com, joaquin.flores@al-enterprise.com</v>
      </c>
      <c r="D83" s="1" t="str">
        <f>IFERROR(__xludf.DUMMYFUNCTION("""COMPUTED_VALUE"""),"americas")</f>
        <v>americas</v>
      </c>
      <c r="E83" s="1" t="str">
        <f>IFERROR(__xludf.DUMMYFUNCTION("""COMPUTED_VALUE"""),"MX")</f>
        <v>MX</v>
      </c>
      <c r="F83" s="1" t="str">
        <f>IFERROR(__xludf.DUMMYFUNCTION("""COMPUTED_VALUE"""),"expert_200")</f>
        <v>expert_200</v>
      </c>
      <c r="G83" s="1">
        <f>IFERROR(__xludf.DUMMYFUNCTION("""COMPUTED_VALUE"""),0.0)</f>
        <v>0</v>
      </c>
      <c r="H83" s="1">
        <f>IFERROR(__xludf.DUMMYFUNCTION("""COMPUTED_VALUE"""),1.0)</f>
        <v>1</v>
      </c>
      <c r="I83" s="2">
        <f>IFERROR(__xludf.DUMMYFUNCTION("""COMPUTED_VALUE"""),0.0)</f>
        <v>0</v>
      </c>
      <c r="J83" s="1">
        <f>IFERROR(__xludf.DUMMYFUNCTION("""COMPUTED_VALUE"""),0.0)</f>
        <v>0</v>
      </c>
      <c r="K83" s="1">
        <f>IFERROR(__xludf.DUMMYFUNCTION("""COMPUTED_VALUE"""),0.0)</f>
        <v>0</v>
      </c>
      <c r="L83" s="2" t="str">
        <f>IFERROR(__xludf.DUMMYFUNCTION("""COMPUTED_VALUE"""),"")</f>
        <v/>
      </c>
      <c r="M83" s="1">
        <f>IFERROR(__xludf.DUMMYFUNCTION("""COMPUTED_VALUE"""),25.0)</f>
        <v>25</v>
      </c>
      <c r="N83" s="1">
        <f>IFERROR(__xludf.DUMMYFUNCTION("""COMPUTED_VALUE"""),52.0)</f>
        <v>52</v>
      </c>
      <c r="O83" s="2">
        <f>IFERROR(__xludf.DUMMYFUNCTION("""COMPUTED_VALUE"""),0.4807692307692308)</f>
        <v>0.4807692308</v>
      </c>
      <c r="P83" s="1">
        <f>IFERROR(__xludf.DUMMYFUNCTION("""COMPUTED_VALUE"""),0.0)</f>
        <v>0</v>
      </c>
      <c r="Q83" s="1">
        <f>IFERROR(__xludf.DUMMYFUNCTION("""COMPUTED_VALUE"""),1.0)</f>
        <v>1</v>
      </c>
      <c r="R83" s="2">
        <f>IFERROR(__xludf.DUMMYFUNCTION("""COMPUTED_VALUE"""),0.0)</f>
        <v>0</v>
      </c>
      <c r="S83" s="1">
        <f>IFERROR(__xludf.DUMMYFUNCTION("""COMPUTED_VALUE"""),0.0)</f>
        <v>0</v>
      </c>
      <c r="T83" s="1">
        <f>IFERROR(__xludf.DUMMYFUNCTION("""COMPUTED_VALUE"""),1.0)</f>
        <v>1</v>
      </c>
      <c r="U83" s="2">
        <f>IFERROR(__xludf.DUMMYFUNCTION("""COMPUTED_VALUE"""),0.0)</f>
        <v>0</v>
      </c>
      <c r="V83" s="1">
        <f>IFERROR(__xludf.DUMMYFUNCTION("""COMPUTED_VALUE"""),0.0)</f>
        <v>0</v>
      </c>
      <c r="W83" s="1">
        <f>IFERROR(__xludf.DUMMYFUNCTION("""COMPUTED_VALUE"""),1.0)</f>
        <v>1</v>
      </c>
      <c r="X83" s="2">
        <f>IFERROR(__xludf.DUMMYFUNCTION("""COMPUTED_VALUE"""),0.0)</f>
        <v>0</v>
      </c>
      <c r="Y83" s="1">
        <f>IFERROR(__xludf.DUMMYFUNCTION("""COMPUTED_VALUE"""),0.0)</f>
        <v>0</v>
      </c>
      <c r="Z83" s="1">
        <f>IFERROR(__xludf.DUMMYFUNCTION("""COMPUTED_VALUE"""),0.0)</f>
        <v>0</v>
      </c>
      <c r="AA83" s="2" t="str">
        <f>IFERROR(__xludf.DUMMYFUNCTION("""COMPUTED_VALUE"""),"")</f>
        <v/>
      </c>
      <c r="AB83" s="1">
        <f>IFERROR(__xludf.DUMMYFUNCTION("""COMPUTED_VALUE"""),0.0)</f>
        <v>0</v>
      </c>
      <c r="AC83" s="1">
        <f>IFERROR(__xludf.DUMMYFUNCTION("""COMPUTED_VALUE"""),0.0)</f>
        <v>0</v>
      </c>
      <c r="AD83" s="2" t="str">
        <f>IFERROR(__xludf.DUMMYFUNCTION("""COMPUTED_VALUE"""),"")</f>
        <v/>
      </c>
      <c r="AE83" s="1">
        <f>IFERROR(__xludf.DUMMYFUNCTION("""COMPUTED_VALUE"""),0.0)</f>
        <v>0</v>
      </c>
      <c r="AF83" s="1">
        <f>IFERROR(__xludf.DUMMYFUNCTION("""COMPUTED_VALUE"""),0.0)</f>
        <v>0</v>
      </c>
      <c r="AG83" s="2" t="str">
        <f>IFERROR(__xludf.DUMMYFUNCTION("""COMPUTED_VALUE"""),"")</f>
        <v/>
      </c>
      <c r="AH83" s="1">
        <f>IFERROR(__xludf.DUMMYFUNCTION("""COMPUTED_VALUE"""),0.0)</f>
        <v>0</v>
      </c>
      <c r="AI83" s="1">
        <f>IFERROR(__xludf.DUMMYFUNCTION("""COMPUTED_VALUE"""),0.0)</f>
        <v>0</v>
      </c>
      <c r="AJ83" s="2" t="str">
        <f>IFERROR(__xludf.DUMMYFUNCTION("""COMPUTED_VALUE"""),"")</f>
        <v/>
      </c>
      <c r="AK83" s="1">
        <f>IFERROR(__xludf.DUMMYFUNCTION("""COMPUTED_VALUE"""),0.0)</f>
        <v>0</v>
      </c>
      <c r="AL83" s="1">
        <f>IFERROR(__xludf.DUMMYFUNCTION("""COMPUTED_VALUE"""),0.0)</f>
        <v>0</v>
      </c>
      <c r="AM83" s="2" t="str">
        <f>IFERROR(__xludf.DUMMYFUNCTION("""COMPUTED_VALUE"""),"")</f>
        <v/>
      </c>
      <c r="AN83" s="1">
        <f>IFERROR(__xludf.DUMMYFUNCTION("""COMPUTED_VALUE"""),0.0)</f>
        <v>0</v>
      </c>
      <c r="AO83" s="1">
        <f>IFERROR(__xludf.DUMMYFUNCTION("""COMPUTED_VALUE"""),0.0)</f>
        <v>0</v>
      </c>
      <c r="AP83" s="2" t="str">
        <f>IFERROR(__xludf.DUMMYFUNCTION("""COMPUTED_VALUE"""),"")</f>
        <v/>
      </c>
      <c r="AQ83" s="1">
        <f>IFERROR(__xludf.DUMMYFUNCTION("""COMPUTED_VALUE"""),0.0)</f>
        <v>0</v>
      </c>
      <c r="AR83" s="1">
        <f>IFERROR(__xludf.DUMMYFUNCTION("""COMPUTED_VALUE"""),0.0)</f>
        <v>0</v>
      </c>
      <c r="AS83" s="2" t="str">
        <f>IFERROR(__xludf.DUMMYFUNCTION("""COMPUTED_VALUE"""),"")</f>
        <v/>
      </c>
      <c r="AT83" s="1">
        <f>IFERROR(__xludf.DUMMYFUNCTION("""COMPUTED_VALUE"""),0.0)</f>
        <v>0</v>
      </c>
      <c r="AU83" s="1">
        <f>IFERROR(__xludf.DUMMYFUNCTION("""COMPUTED_VALUE"""),0.0)</f>
        <v>0</v>
      </c>
      <c r="AV83" s="2" t="str">
        <f>IFERROR(__xludf.DUMMYFUNCTION("""COMPUTED_VALUE"""),"")</f>
        <v/>
      </c>
      <c r="AW83" s="1">
        <f>IFERROR(__xludf.DUMMYFUNCTION("""COMPUTED_VALUE"""),0.0)</f>
        <v>0</v>
      </c>
      <c r="AX83" s="1">
        <f>IFERROR(__xludf.DUMMYFUNCTION("""COMPUTED_VALUE"""),0.0)</f>
        <v>0</v>
      </c>
      <c r="AY83" s="2" t="str">
        <f>IFERROR(__xludf.DUMMYFUNCTION("""COMPUTED_VALUE"""),"")</f>
        <v/>
      </c>
      <c r="AZ83" s="1">
        <f>IFERROR(__xludf.DUMMYFUNCTION("""COMPUTED_VALUE"""),0.0)</f>
        <v>0</v>
      </c>
      <c r="BA83" s="1">
        <f>IFERROR(__xludf.DUMMYFUNCTION("""COMPUTED_VALUE"""),0.0)</f>
        <v>0</v>
      </c>
      <c r="BB83" s="2" t="str">
        <f>IFERROR(__xludf.DUMMYFUNCTION("""COMPUTED_VALUE"""),"")</f>
        <v/>
      </c>
    </row>
    <row r="84">
      <c r="A84" s="1" t="str">
        <f>IFERROR(__xludf.DUMMYFUNCTION("""COMPUTED_VALUE"""),"63ced842c5c820531c268087")</f>
        <v>63ced842c5c820531c268087</v>
      </c>
      <c r="B84" s="1" t="str">
        <f>IFERROR(__xludf.DUMMYFUNCTION("""COMPUTED_VALUE"""),"ISBEL S.A.")</f>
        <v>ISBEL S.A.</v>
      </c>
      <c r="C84" s="1" t="str">
        <f>IFERROR(__xludf.DUMMYFUNCTION("""COMPUTED_VALUE"""),"luis.arriagada@al-enterprise.com")</f>
        <v>luis.arriagada@al-enterprise.com</v>
      </c>
      <c r="D84" s="1" t="str">
        <f>IFERROR(__xludf.DUMMYFUNCTION("""COMPUTED_VALUE"""),"americas")</f>
        <v>americas</v>
      </c>
      <c r="E84" s="1" t="str">
        <f>IFERROR(__xludf.DUMMYFUNCTION("""COMPUTED_VALUE"""),"UY")</f>
        <v>UY</v>
      </c>
      <c r="F84" s="1" t="str">
        <f>IFERROR(__xludf.DUMMYFUNCTION("""COMPUTED_VALUE"""),"expert_200")</f>
        <v>expert_200</v>
      </c>
      <c r="G84" s="1">
        <f>IFERROR(__xludf.DUMMYFUNCTION("""COMPUTED_VALUE"""),0.0)</f>
        <v>0</v>
      </c>
      <c r="H84" s="1">
        <f>IFERROR(__xludf.DUMMYFUNCTION("""COMPUTED_VALUE"""),1.0)</f>
        <v>1</v>
      </c>
      <c r="I84" s="2">
        <f>IFERROR(__xludf.DUMMYFUNCTION("""COMPUTED_VALUE"""),0.0)</f>
        <v>0</v>
      </c>
      <c r="J84" s="1">
        <f>IFERROR(__xludf.DUMMYFUNCTION("""COMPUTED_VALUE"""),140.32)</f>
        <v>140.32</v>
      </c>
      <c r="K84" s="1">
        <f>IFERROR(__xludf.DUMMYFUNCTION("""COMPUTED_VALUE"""),0.0)</f>
        <v>0</v>
      </c>
      <c r="L84" s="2" t="str">
        <f>IFERROR(__xludf.DUMMYFUNCTION("""COMPUTED_VALUE"""),"")</f>
        <v/>
      </c>
      <c r="M84" s="1">
        <f>IFERROR(__xludf.DUMMYFUNCTION("""COMPUTED_VALUE"""),16.0)</f>
        <v>16</v>
      </c>
      <c r="N84" s="1">
        <f>IFERROR(__xludf.DUMMYFUNCTION("""COMPUTED_VALUE"""),52.0)</f>
        <v>52</v>
      </c>
      <c r="O84" s="2">
        <f>IFERROR(__xludf.DUMMYFUNCTION("""COMPUTED_VALUE"""),0.3076923076923077)</f>
        <v>0.3076923077</v>
      </c>
      <c r="P84" s="1">
        <f>IFERROR(__xludf.DUMMYFUNCTION("""COMPUTED_VALUE"""),0.0)</f>
        <v>0</v>
      </c>
      <c r="Q84" s="1">
        <f>IFERROR(__xludf.DUMMYFUNCTION("""COMPUTED_VALUE"""),1.0)</f>
        <v>1</v>
      </c>
      <c r="R84" s="2">
        <f>IFERROR(__xludf.DUMMYFUNCTION("""COMPUTED_VALUE"""),0.0)</f>
        <v>0</v>
      </c>
      <c r="S84" s="1">
        <f>IFERROR(__xludf.DUMMYFUNCTION("""COMPUTED_VALUE"""),0.0)</f>
        <v>0</v>
      </c>
      <c r="T84" s="1">
        <f>IFERROR(__xludf.DUMMYFUNCTION("""COMPUTED_VALUE"""),1.0)</f>
        <v>1</v>
      </c>
      <c r="U84" s="2">
        <f>IFERROR(__xludf.DUMMYFUNCTION("""COMPUTED_VALUE"""),0.0)</f>
        <v>0</v>
      </c>
      <c r="V84" s="1">
        <f>IFERROR(__xludf.DUMMYFUNCTION("""COMPUTED_VALUE"""),0.0)</f>
        <v>0</v>
      </c>
      <c r="W84" s="1">
        <f>IFERROR(__xludf.DUMMYFUNCTION("""COMPUTED_VALUE"""),1.0)</f>
        <v>1</v>
      </c>
      <c r="X84" s="2">
        <f>IFERROR(__xludf.DUMMYFUNCTION("""COMPUTED_VALUE"""),0.0)</f>
        <v>0</v>
      </c>
      <c r="Y84" s="1">
        <f>IFERROR(__xludf.DUMMYFUNCTION("""COMPUTED_VALUE"""),33.0)</f>
        <v>33</v>
      </c>
      <c r="Z84" s="1">
        <f>IFERROR(__xludf.DUMMYFUNCTION("""COMPUTED_VALUE"""),0.0)</f>
        <v>0</v>
      </c>
      <c r="AA84" s="2" t="str">
        <f>IFERROR(__xludf.DUMMYFUNCTION("""COMPUTED_VALUE"""),"")</f>
        <v/>
      </c>
      <c r="AB84" s="1">
        <f>IFERROR(__xludf.DUMMYFUNCTION("""COMPUTED_VALUE"""),8.75)</f>
        <v>8.75</v>
      </c>
      <c r="AC84" s="1">
        <f>IFERROR(__xludf.DUMMYFUNCTION("""COMPUTED_VALUE"""),0.0)</f>
        <v>0</v>
      </c>
      <c r="AD84" s="2" t="str">
        <f>IFERROR(__xludf.DUMMYFUNCTION("""COMPUTED_VALUE"""),"")</f>
        <v/>
      </c>
      <c r="AE84" s="1">
        <f>IFERROR(__xludf.DUMMYFUNCTION("""COMPUTED_VALUE"""),2.61)</f>
        <v>2.61</v>
      </c>
      <c r="AF84" s="1">
        <f>IFERROR(__xludf.DUMMYFUNCTION("""COMPUTED_VALUE"""),0.0)</f>
        <v>0</v>
      </c>
      <c r="AG84" s="2" t="str">
        <f>IFERROR(__xludf.DUMMYFUNCTION("""COMPUTED_VALUE"""),"")</f>
        <v/>
      </c>
      <c r="AH84" s="1">
        <f>IFERROR(__xludf.DUMMYFUNCTION("""COMPUTED_VALUE"""),107.13)</f>
        <v>107.13</v>
      </c>
      <c r="AI84" s="1">
        <f>IFERROR(__xludf.DUMMYFUNCTION("""COMPUTED_VALUE"""),0.0)</f>
        <v>0</v>
      </c>
      <c r="AJ84" s="2" t="str">
        <f>IFERROR(__xludf.DUMMYFUNCTION("""COMPUTED_VALUE"""),"")</f>
        <v/>
      </c>
      <c r="AK84" s="1">
        <f>IFERROR(__xludf.DUMMYFUNCTION("""COMPUTED_VALUE"""),151.49)</f>
        <v>151.49</v>
      </c>
      <c r="AL84" s="1">
        <f>IFERROR(__xludf.DUMMYFUNCTION("""COMPUTED_VALUE"""),0.0)</f>
        <v>0</v>
      </c>
      <c r="AM84" s="2" t="str">
        <f>IFERROR(__xludf.DUMMYFUNCTION("""COMPUTED_VALUE"""),"")</f>
        <v/>
      </c>
      <c r="AN84" s="1">
        <f>IFERROR(__xludf.DUMMYFUNCTION("""COMPUTED_VALUE"""),0.0)</f>
        <v>0</v>
      </c>
      <c r="AO84" s="1">
        <f>IFERROR(__xludf.DUMMYFUNCTION("""COMPUTED_VALUE"""),0.0)</f>
        <v>0</v>
      </c>
      <c r="AP84" s="2" t="str">
        <f>IFERROR(__xludf.DUMMYFUNCTION("""COMPUTED_VALUE"""),"")</f>
        <v/>
      </c>
      <c r="AQ84" s="1">
        <f>IFERROR(__xludf.DUMMYFUNCTION("""COMPUTED_VALUE"""),15.44)</f>
        <v>15.44</v>
      </c>
      <c r="AR84" s="1">
        <f>IFERROR(__xludf.DUMMYFUNCTION("""COMPUTED_VALUE"""),0.0)</f>
        <v>0</v>
      </c>
      <c r="AS84" s="2" t="str">
        <f>IFERROR(__xludf.DUMMYFUNCTION("""COMPUTED_VALUE"""),"")</f>
        <v/>
      </c>
      <c r="AT84" s="1">
        <f>IFERROR(__xludf.DUMMYFUNCTION("""COMPUTED_VALUE"""),0.0)</f>
        <v>0</v>
      </c>
      <c r="AU84" s="1">
        <f>IFERROR(__xludf.DUMMYFUNCTION("""COMPUTED_VALUE"""),0.0)</f>
        <v>0</v>
      </c>
      <c r="AV84" s="2" t="str">
        <f>IFERROR(__xludf.DUMMYFUNCTION("""COMPUTED_VALUE"""),"")</f>
        <v/>
      </c>
      <c r="AW84" s="1">
        <f>IFERROR(__xludf.DUMMYFUNCTION("""COMPUTED_VALUE"""),14.96)</f>
        <v>14.96</v>
      </c>
      <c r="AX84" s="1">
        <f>IFERROR(__xludf.DUMMYFUNCTION("""COMPUTED_VALUE"""),0.0)</f>
        <v>0</v>
      </c>
      <c r="AY84" s="2" t="str">
        <f>IFERROR(__xludf.DUMMYFUNCTION("""COMPUTED_VALUE"""),"")</f>
        <v/>
      </c>
      <c r="AZ84" s="1">
        <f>IFERROR(__xludf.DUMMYFUNCTION("""COMPUTED_VALUE"""),30.4)</f>
        <v>30.4</v>
      </c>
      <c r="BA84" s="1">
        <f>IFERROR(__xludf.DUMMYFUNCTION("""COMPUTED_VALUE"""),0.0)</f>
        <v>0</v>
      </c>
      <c r="BB84" s="2" t="str">
        <f>IFERROR(__xludf.DUMMYFUNCTION("""COMPUTED_VALUE"""),"")</f>
        <v/>
      </c>
    </row>
    <row r="85">
      <c r="A85" s="1" t="str">
        <f>IFERROR(__xludf.DUMMYFUNCTION("""COMPUTED_VALUE"""),"67a4e3d0b05936bb7003d3d2")</f>
        <v>67a4e3d0b05936bb7003d3d2</v>
      </c>
      <c r="B85" s="1" t="str">
        <f>IFERROR(__xludf.DUMMYFUNCTION("""COMPUTED_VALUE"""),"iT1 Source LLC")</f>
        <v>iT1 Source LLC</v>
      </c>
      <c r="C85" s="1" t="str">
        <f>IFERROR(__xludf.DUMMYFUNCTION("""COMPUTED_VALUE"""),"bill.rademacher@al-enterprise.com")</f>
        <v>bill.rademacher@al-enterprise.com</v>
      </c>
      <c r="D85" s="1" t="str">
        <f>IFERROR(__xludf.DUMMYFUNCTION("""COMPUTED_VALUE"""),"americas")</f>
        <v>americas</v>
      </c>
      <c r="E85" s="1" t="str">
        <f>IFERROR(__xludf.DUMMYFUNCTION("""COMPUTED_VALUE"""),"US")</f>
        <v>US</v>
      </c>
      <c r="F85" s="1" t="str">
        <f>IFERROR(__xludf.DUMMYFUNCTION("""COMPUTED_VALUE"""),"expert_200")</f>
        <v>expert_200</v>
      </c>
      <c r="G85" s="1">
        <f>IFERROR(__xludf.DUMMYFUNCTION("""COMPUTED_VALUE"""),0.0)</f>
        <v>0</v>
      </c>
      <c r="H85" s="1">
        <f>IFERROR(__xludf.DUMMYFUNCTION("""COMPUTED_VALUE"""),1.0)</f>
        <v>1</v>
      </c>
      <c r="I85" s="2">
        <f>IFERROR(__xludf.DUMMYFUNCTION("""COMPUTED_VALUE"""),0.0)</f>
        <v>0</v>
      </c>
      <c r="J85" s="1">
        <f>IFERROR(__xludf.DUMMYFUNCTION("""COMPUTED_VALUE"""),0.0)</f>
        <v>0</v>
      </c>
      <c r="K85" s="1">
        <f>IFERROR(__xludf.DUMMYFUNCTION("""COMPUTED_VALUE"""),0.0)</f>
        <v>0</v>
      </c>
      <c r="L85" s="2" t="str">
        <f>IFERROR(__xludf.DUMMYFUNCTION("""COMPUTED_VALUE"""),"")</f>
        <v/>
      </c>
      <c r="M85" s="1">
        <f>IFERROR(__xludf.DUMMYFUNCTION("""COMPUTED_VALUE"""),0.0)</f>
        <v>0</v>
      </c>
      <c r="N85" s="1">
        <f>IFERROR(__xludf.DUMMYFUNCTION("""COMPUTED_VALUE"""),0.0)</f>
        <v>0</v>
      </c>
      <c r="O85" s="2" t="str">
        <f>IFERROR(__xludf.DUMMYFUNCTION("""COMPUTED_VALUE"""),"")</f>
        <v/>
      </c>
      <c r="P85" s="1">
        <f>IFERROR(__xludf.DUMMYFUNCTION("""COMPUTED_VALUE"""),0.0)</f>
        <v>0</v>
      </c>
      <c r="Q85" s="1">
        <f>IFERROR(__xludf.DUMMYFUNCTION("""COMPUTED_VALUE"""),1.0)</f>
        <v>1</v>
      </c>
      <c r="R85" s="2">
        <f>IFERROR(__xludf.DUMMYFUNCTION("""COMPUTED_VALUE"""),0.0)</f>
        <v>0</v>
      </c>
      <c r="S85" s="1">
        <f>IFERROR(__xludf.DUMMYFUNCTION("""COMPUTED_VALUE"""),0.0)</f>
        <v>0</v>
      </c>
      <c r="T85" s="1">
        <f>IFERROR(__xludf.DUMMYFUNCTION("""COMPUTED_VALUE"""),1.0)</f>
        <v>1</v>
      </c>
      <c r="U85" s="2">
        <f>IFERROR(__xludf.DUMMYFUNCTION("""COMPUTED_VALUE"""),0.0)</f>
        <v>0</v>
      </c>
      <c r="V85" s="1">
        <f>IFERROR(__xludf.DUMMYFUNCTION("""COMPUTED_VALUE"""),0.0)</f>
        <v>0</v>
      </c>
      <c r="W85" s="1">
        <f>IFERROR(__xludf.DUMMYFUNCTION("""COMPUTED_VALUE"""),1.0)</f>
        <v>1</v>
      </c>
      <c r="X85" s="2">
        <f>IFERROR(__xludf.DUMMYFUNCTION("""COMPUTED_VALUE"""),0.0)</f>
        <v>0</v>
      </c>
      <c r="Y85" s="1">
        <f>IFERROR(__xludf.DUMMYFUNCTION("""COMPUTED_VALUE"""),0.0)</f>
        <v>0</v>
      </c>
      <c r="Z85" s="1">
        <f>IFERROR(__xludf.DUMMYFUNCTION("""COMPUTED_VALUE"""),0.0)</f>
        <v>0</v>
      </c>
      <c r="AA85" s="2" t="str">
        <f>IFERROR(__xludf.DUMMYFUNCTION("""COMPUTED_VALUE"""),"")</f>
        <v/>
      </c>
      <c r="AB85" s="1">
        <f>IFERROR(__xludf.DUMMYFUNCTION("""COMPUTED_VALUE"""),0.0)</f>
        <v>0</v>
      </c>
      <c r="AC85" s="1">
        <f>IFERROR(__xludf.DUMMYFUNCTION("""COMPUTED_VALUE"""),0.0)</f>
        <v>0</v>
      </c>
      <c r="AD85" s="2" t="str">
        <f>IFERROR(__xludf.DUMMYFUNCTION("""COMPUTED_VALUE"""),"")</f>
        <v/>
      </c>
      <c r="AE85" s="1">
        <f>IFERROR(__xludf.DUMMYFUNCTION("""COMPUTED_VALUE"""),2966.81)</f>
        <v>2966.81</v>
      </c>
      <c r="AF85" s="1">
        <f>IFERROR(__xludf.DUMMYFUNCTION("""COMPUTED_VALUE"""),0.0)</f>
        <v>0</v>
      </c>
      <c r="AG85" s="2" t="str">
        <f>IFERROR(__xludf.DUMMYFUNCTION("""COMPUTED_VALUE"""),"")</f>
        <v/>
      </c>
      <c r="AH85" s="1">
        <f>IFERROR(__xludf.DUMMYFUNCTION("""COMPUTED_VALUE"""),0.0)</f>
        <v>0</v>
      </c>
      <c r="AI85" s="1">
        <f>IFERROR(__xludf.DUMMYFUNCTION("""COMPUTED_VALUE"""),0.0)</f>
        <v>0</v>
      </c>
      <c r="AJ85" s="2" t="str">
        <f>IFERROR(__xludf.DUMMYFUNCTION("""COMPUTED_VALUE"""),"")</f>
        <v/>
      </c>
      <c r="AK85" s="1">
        <f>IFERROR(__xludf.DUMMYFUNCTION("""COMPUTED_VALUE"""),2966.81)</f>
        <v>2966.81</v>
      </c>
      <c r="AL85" s="1">
        <f>IFERROR(__xludf.DUMMYFUNCTION("""COMPUTED_VALUE"""),0.0)</f>
        <v>0</v>
      </c>
      <c r="AM85" s="2" t="str">
        <f>IFERROR(__xludf.DUMMYFUNCTION("""COMPUTED_VALUE"""),"")</f>
        <v/>
      </c>
      <c r="AN85" s="1">
        <f>IFERROR(__xludf.DUMMYFUNCTION("""COMPUTED_VALUE"""),0.0)</f>
        <v>0</v>
      </c>
      <c r="AO85" s="1">
        <f>IFERROR(__xludf.DUMMYFUNCTION("""COMPUTED_VALUE"""),0.0)</f>
        <v>0</v>
      </c>
      <c r="AP85" s="2" t="str">
        <f>IFERROR(__xludf.DUMMYFUNCTION("""COMPUTED_VALUE"""),"")</f>
        <v/>
      </c>
      <c r="AQ85" s="1">
        <f>IFERROR(__xludf.DUMMYFUNCTION("""COMPUTED_VALUE"""),0.0)</f>
        <v>0</v>
      </c>
      <c r="AR85" s="1">
        <f>IFERROR(__xludf.DUMMYFUNCTION("""COMPUTED_VALUE"""),0.0)</f>
        <v>0</v>
      </c>
      <c r="AS85" s="2" t="str">
        <f>IFERROR(__xludf.DUMMYFUNCTION("""COMPUTED_VALUE"""),"")</f>
        <v/>
      </c>
      <c r="AT85" s="1">
        <f>IFERROR(__xludf.DUMMYFUNCTION("""COMPUTED_VALUE"""),0.0)</f>
        <v>0</v>
      </c>
      <c r="AU85" s="1">
        <f>IFERROR(__xludf.DUMMYFUNCTION("""COMPUTED_VALUE"""),0.0)</f>
        <v>0</v>
      </c>
      <c r="AV85" s="2" t="str">
        <f>IFERROR(__xludf.DUMMYFUNCTION("""COMPUTED_VALUE"""),"")</f>
        <v/>
      </c>
      <c r="AW85" s="1">
        <f>IFERROR(__xludf.DUMMYFUNCTION("""COMPUTED_VALUE"""),0.0)</f>
        <v>0</v>
      </c>
      <c r="AX85" s="1">
        <f>IFERROR(__xludf.DUMMYFUNCTION("""COMPUTED_VALUE"""),0.0)</f>
        <v>0</v>
      </c>
      <c r="AY85" s="2" t="str">
        <f>IFERROR(__xludf.DUMMYFUNCTION("""COMPUTED_VALUE"""),"")</f>
        <v/>
      </c>
      <c r="AZ85" s="1">
        <f>IFERROR(__xludf.DUMMYFUNCTION("""COMPUTED_VALUE"""),0.0)</f>
        <v>0</v>
      </c>
      <c r="BA85" s="1">
        <f>IFERROR(__xludf.DUMMYFUNCTION("""COMPUTED_VALUE"""),0.0)</f>
        <v>0</v>
      </c>
      <c r="BB85" s="2" t="str">
        <f>IFERROR(__xludf.DUMMYFUNCTION("""COMPUTED_VALUE"""),"")</f>
        <v/>
      </c>
    </row>
    <row r="86">
      <c r="A86" s="1" t="str">
        <f>IFERROR(__xludf.DUMMYFUNCTION("""COMPUTED_VALUE"""),"63ced849c5c820531c268f69")</f>
        <v>63ced849c5c820531c268f69</v>
      </c>
      <c r="B86" s="1" t="str">
        <f>IFERROR(__xludf.DUMMYFUNCTION("""COMPUTED_VALUE"""),"ITAS AG")</f>
        <v>ITAS AG</v>
      </c>
      <c r="C86" s="1" t="str">
        <f>IFERROR(__xludf.DUMMYFUNCTION("""COMPUTED_VALUE"""),"michael.moog@al-enterprise.com, katrin.pfeiffer@al-enterprise.com, sibylle.klopfer@al-enterprise.com, igor.leko@al-enterprise.com")</f>
        <v>michael.moog@al-enterprise.com, katrin.pfeiffer@al-enterprise.com, sibylle.klopfer@al-enterprise.com, igor.leko@al-enterprise.com</v>
      </c>
      <c r="D86" s="1" t="str">
        <f>IFERROR(__xludf.DUMMYFUNCTION("""COMPUTED_VALUE"""),"germany")</f>
        <v>germany</v>
      </c>
      <c r="E86" s="1" t="str">
        <f>IFERROR(__xludf.DUMMYFUNCTION("""COMPUTED_VALUE"""),"DE")</f>
        <v>DE</v>
      </c>
      <c r="F86" s="1" t="str">
        <f>IFERROR(__xludf.DUMMYFUNCTION("""COMPUTED_VALUE"""),"distributor_1000")</f>
        <v>distributor_1000</v>
      </c>
      <c r="G86" s="1">
        <f>IFERROR(__xludf.DUMMYFUNCTION("""COMPUTED_VALUE"""),0.0)</f>
        <v>0</v>
      </c>
      <c r="H86" s="1">
        <f>IFERROR(__xludf.DUMMYFUNCTION("""COMPUTED_VALUE"""),1.0)</f>
        <v>1</v>
      </c>
      <c r="I86" s="2">
        <f>IFERROR(__xludf.DUMMYFUNCTION("""COMPUTED_VALUE"""),0.0)</f>
        <v>0</v>
      </c>
      <c r="J86" s="1">
        <f>IFERROR(__xludf.DUMMYFUNCTION("""COMPUTED_VALUE"""),2665.78)</f>
        <v>2665.78</v>
      </c>
      <c r="K86" s="1">
        <f>IFERROR(__xludf.DUMMYFUNCTION("""COMPUTED_VALUE"""),5320.0)</f>
        <v>5320</v>
      </c>
      <c r="L86" s="2">
        <f>IFERROR(__xludf.DUMMYFUNCTION("""COMPUTED_VALUE"""),0.5010864661654135)</f>
        <v>0.5010864662</v>
      </c>
      <c r="M86" s="1">
        <f>IFERROR(__xludf.DUMMYFUNCTION("""COMPUTED_VALUE"""),26.0)</f>
        <v>26</v>
      </c>
      <c r="N86" s="1">
        <f>IFERROR(__xludf.DUMMYFUNCTION("""COMPUTED_VALUE"""),58.0)</f>
        <v>58</v>
      </c>
      <c r="O86" s="2">
        <f>IFERROR(__xludf.DUMMYFUNCTION("""COMPUTED_VALUE"""),0.4482758620689655)</f>
        <v>0.4482758621</v>
      </c>
      <c r="P86" s="1">
        <f>IFERROR(__xludf.DUMMYFUNCTION("""COMPUTED_VALUE"""),1.0)</f>
        <v>1</v>
      </c>
      <c r="Q86" s="1">
        <f>IFERROR(__xludf.DUMMYFUNCTION("""COMPUTED_VALUE"""),1.0)</f>
        <v>1</v>
      </c>
      <c r="R86" s="2">
        <f>IFERROR(__xludf.DUMMYFUNCTION("""COMPUTED_VALUE"""),1.0)</f>
        <v>1</v>
      </c>
      <c r="S86" s="1">
        <f>IFERROR(__xludf.DUMMYFUNCTION("""COMPUTED_VALUE"""),0.0)</f>
        <v>0</v>
      </c>
      <c r="T86" s="1">
        <f>IFERROR(__xludf.DUMMYFUNCTION("""COMPUTED_VALUE"""),1.0)</f>
        <v>1</v>
      </c>
      <c r="U86" s="2">
        <f>IFERROR(__xludf.DUMMYFUNCTION("""COMPUTED_VALUE"""),0.0)</f>
        <v>0</v>
      </c>
      <c r="V86" s="1">
        <f>IFERROR(__xludf.DUMMYFUNCTION("""COMPUTED_VALUE"""),0.0)</f>
        <v>0</v>
      </c>
      <c r="W86" s="1">
        <f>IFERROR(__xludf.DUMMYFUNCTION("""COMPUTED_VALUE"""),1.0)</f>
        <v>1</v>
      </c>
      <c r="X86" s="2">
        <f>IFERROR(__xludf.DUMMYFUNCTION("""COMPUTED_VALUE"""),0.0)</f>
        <v>0</v>
      </c>
      <c r="Y86" s="1">
        <f>IFERROR(__xludf.DUMMYFUNCTION("""COMPUTED_VALUE"""),51.82)</f>
        <v>51.82</v>
      </c>
      <c r="Z86" s="1">
        <f>IFERROR(__xludf.DUMMYFUNCTION("""COMPUTED_VALUE"""),0.0)</f>
        <v>0</v>
      </c>
      <c r="AA86" s="2" t="str">
        <f>IFERROR(__xludf.DUMMYFUNCTION("""COMPUTED_VALUE"""),"")</f>
        <v/>
      </c>
      <c r="AB86" s="1">
        <f>IFERROR(__xludf.DUMMYFUNCTION("""COMPUTED_VALUE"""),14.8)</f>
        <v>14.8</v>
      </c>
      <c r="AC86" s="1">
        <f>IFERROR(__xludf.DUMMYFUNCTION("""COMPUTED_VALUE"""),1922.22)</f>
        <v>1922.22</v>
      </c>
      <c r="AD86" s="2">
        <f>IFERROR(__xludf.DUMMYFUNCTION("""COMPUTED_VALUE"""),0.007699430866394065)</f>
        <v>0.007699430866</v>
      </c>
      <c r="AE86" s="1">
        <f>IFERROR(__xludf.DUMMYFUNCTION("""COMPUTED_VALUE"""),127.71)</f>
        <v>127.71</v>
      </c>
      <c r="AF86" s="1">
        <f>IFERROR(__xludf.DUMMYFUNCTION("""COMPUTED_VALUE"""),2787.3)</f>
        <v>2787.3</v>
      </c>
      <c r="AG86" s="2">
        <f>IFERROR(__xludf.DUMMYFUNCTION("""COMPUTED_VALUE"""),0.0458185340652244)</f>
        <v>0.04581853407</v>
      </c>
      <c r="AH86" s="1">
        <f>IFERROR(__xludf.DUMMYFUNCTION("""COMPUTED_VALUE"""),667.73)</f>
        <v>667.73</v>
      </c>
      <c r="AI86" s="1">
        <f>IFERROR(__xludf.DUMMYFUNCTION("""COMPUTED_VALUE"""),2884.13)</f>
        <v>2884.13</v>
      </c>
      <c r="AJ86" s="2">
        <f>IFERROR(__xludf.DUMMYFUNCTION("""COMPUTED_VALUE"""),0.23151869021160626)</f>
        <v>0.2315186902</v>
      </c>
      <c r="AK86" s="1">
        <f>IFERROR(__xludf.DUMMYFUNCTION("""COMPUTED_VALUE"""),862.06)</f>
        <v>862.06</v>
      </c>
      <c r="AL86" s="1">
        <f>IFERROR(__xludf.DUMMYFUNCTION("""COMPUTED_VALUE"""),7593.650000000001)</f>
        <v>7593.65</v>
      </c>
      <c r="AM86" s="2">
        <f>IFERROR(__xludf.DUMMYFUNCTION("""COMPUTED_VALUE"""),0.11352379949036365)</f>
        <v>0.1135237995</v>
      </c>
      <c r="AN86" s="1">
        <f>IFERROR(__xludf.DUMMYFUNCTION("""COMPUTED_VALUE"""),34.4)</f>
        <v>34.4</v>
      </c>
      <c r="AO86" s="1">
        <f>IFERROR(__xludf.DUMMYFUNCTION("""COMPUTED_VALUE"""),0.0)</f>
        <v>0</v>
      </c>
      <c r="AP86" s="2" t="str">
        <f>IFERROR(__xludf.DUMMYFUNCTION("""COMPUTED_VALUE"""),"")</f>
        <v/>
      </c>
      <c r="AQ86" s="1">
        <f>IFERROR(__xludf.DUMMYFUNCTION("""COMPUTED_VALUE"""),68.18)</f>
        <v>68.18</v>
      </c>
      <c r="AR86" s="1">
        <f>IFERROR(__xludf.DUMMYFUNCTION("""COMPUTED_VALUE"""),0.0)</f>
        <v>0</v>
      </c>
      <c r="AS86" s="2" t="str">
        <f>IFERROR(__xludf.DUMMYFUNCTION("""COMPUTED_VALUE"""),"")</f>
        <v/>
      </c>
      <c r="AT86" s="1">
        <f>IFERROR(__xludf.DUMMYFUNCTION("""COMPUTED_VALUE"""),16.88)</f>
        <v>16.88</v>
      </c>
      <c r="AU86" s="1">
        <f>IFERROR(__xludf.DUMMYFUNCTION("""COMPUTED_VALUE"""),0.0)</f>
        <v>0</v>
      </c>
      <c r="AV86" s="2" t="str">
        <f>IFERROR(__xludf.DUMMYFUNCTION("""COMPUTED_VALUE"""),"")</f>
        <v/>
      </c>
      <c r="AW86" s="1">
        <f>IFERROR(__xludf.DUMMYFUNCTION("""COMPUTED_VALUE"""),206.64)</f>
        <v>206.64</v>
      </c>
      <c r="AX86" s="1">
        <f>IFERROR(__xludf.DUMMYFUNCTION("""COMPUTED_VALUE"""),0.0)</f>
        <v>0</v>
      </c>
      <c r="AY86" s="2" t="str">
        <f>IFERROR(__xludf.DUMMYFUNCTION("""COMPUTED_VALUE"""),"")</f>
        <v/>
      </c>
      <c r="AZ86" s="1">
        <f>IFERROR(__xludf.DUMMYFUNCTION("""COMPUTED_VALUE"""),326.1)</f>
        <v>326.1</v>
      </c>
      <c r="BA86" s="1">
        <f>IFERROR(__xludf.DUMMYFUNCTION("""COMPUTED_VALUE"""),0.0)</f>
        <v>0</v>
      </c>
      <c r="BB86" s="2" t="str">
        <f>IFERROR(__xludf.DUMMYFUNCTION("""COMPUTED_VALUE"""),"")</f>
        <v/>
      </c>
    </row>
    <row r="87">
      <c r="A87" s="1" t="str">
        <f>IFERROR(__xludf.DUMMYFUNCTION("""COMPUTED_VALUE"""),"63ced843c5c820531c2681c2")</f>
        <v>63ced843c5c820531c2681c2</v>
      </c>
      <c r="B87" s="1" t="str">
        <f>IFERROR(__xludf.DUMMYFUNCTION("""COMPUTED_VALUE"""),"ITELCA")</f>
        <v>ITELCA</v>
      </c>
      <c r="C87" s="1" t="str">
        <f>IFERROR(__xludf.DUMMYFUNCTION("""COMPUTED_VALUE"""),"javier.largacha@al-enterprise.com")</f>
        <v>javier.largacha@al-enterprise.com</v>
      </c>
      <c r="D87" s="1" t="str">
        <f>IFERROR(__xludf.DUMMYFUNCTION("""COMPUTED_VALUE"""),"americas")</f>
        <v>americas</v>
      </c>
      <c r="E87" s="1" t="str">
        <f>IFERROR(__xludf.DUMMYFUNCTION("""COMPUTED_VALUE"""),"CO")</f>
        <v>CO</v>
      </c>
      <c r="F87" s="1" t="str">
        <f>IFERROR(__xludf.DUMMYFUNCTION("""COMPUTED_VALUE"""),"expert_200")</f>
        <v>expert_200</v>
      </c>
      <c r="G87" s="1">
        <f>IFERROR(__xludf.DUMMYFUNCTION("""COMPUTED_VALUE"""),1.0)</f>
        <v>1</v>
      </c>
      <c r="H87" s="1">
        <f>IFERROR(__xludf.DUMMYFUNCTION("""COMPUTED_VALUE"""),1.0)</f>
        <v>1</v>
      </c>
      <c r="I87" s="2">
        <f>IFERROR(__xludf.DUMMYFUNCTION("""COMPUTED_VALUE"""),1.0)</f>
        <v>1</v>
      </c>
      <c r="J87" s="1">
        <f>IFERROR(__xludf.DUMMYFUNCTION("""COMPUTED_VALUE"""),225.0)</f>
        <v>225</v>
      </c>
      <c r="K87" s="1">
        <f>IFERROR(__xludf.DUMMYFUNCTION("""COMPUTED_VALUE"""),470.0)</f>
        <v>470</v>
      </c>
      <c r="L87" s="2">
        <f>IFERROR(__xludf.DUMMYFUNCTION("""COMPUTED_VALUE"""),0.4787234042553192)</f>
        <v>0.4787234043</v>
      </c>
      <c r="M87" s="1">
        <f>IFERROR(__xludf.DUMMYFUNCTION("""COMPUTED_VALUE"""),31.0)</f>
        <v>31</v>
      </c>
      <c r="N87" s="1">
        <f>IFERROR(__xludf.DUMMYFUNCTION("""COMPUTED_VALUE"""),52.0)</f>
        <v>52</v>
      </c>
      <c r="O87" s="2">
        <f>IFERROR(__xludf.DUMMYFUNCTION("""COMPUTED_VALUE"""),0.5961538461538461)</f>
        <v>0.5961538462</v>
      </c>
      <c r="P87" s="1">
        <f>IFERROR(__xludf.DUMMYFUNCTION("""COMPUTED_VALUE"""),0.0)</f>
        <v>0</v>
      </c>
      <c r="Q87" s="1">
        <f>IFERROR(__xludf.DUMMYFUNCTION("""COMPUTED_VALUE"""),1.0)</f>
        <v>1</v>
      </c>
      <c r="R87" s="2">
        <f>IFERROR(__xludf.DUMMYFUNCTION("""COMPUTED_VALUE"""),0.0)</f>
        <v>0</v>
      </c>
      <c r="S87" s="1">
        <f>IFERROR(__xludf.DUMMYFUNCTION("""COMPUTED_VALUE"""),0.0)</f>
        <v>0</v>
      </c>
      <c r="T87" s="1">
        <f>IFERROR(__xludf.DUMMYFUNCTION("""COMPUTED_VALUE"""),1.0)</f>
        <v>1</v>
      </c>
      <c r="U87" s="2">
        <f>IFERROR(__xludf.DUMMYFUNCTION("""COMPUTED_VALUE"""),0.0)</f>
        <v>0</v>
      </c>
      <c r="V87" s="1">
        <f>IFERROR(__xludf.DUMMYFUNCTION("""COMPUTED_VALUE"""),1.0)</f>
        <v>1</v>
      </c>
      <c r="W87" s="1">
        <f>IFERROR(__xludf.DUMMYFUNCTION("""COMPUTED_VALUE"""),1.0)</f>
        <v>1</v>
      </c>
      <c r="X87" s="2">
        <f>IFERROR(__xludf.DUMMYFUNCTION("""COMPUTED_VALUE"""),1.0)</f>
        <v>1</v>
      </c>
      <c r="Y87" s="1">
        <f>IFERROR(__xludf.DUMMYFUNCTION("""COMPUTED_VALUE"""),0.7)</f>
        <v>0.7</v>
      </c>
      <c r="Z87" s="1">
        <f>IFERROR(__xludf.DUMMYFUNCTION("""COMPUTED_VALUE"""),0.0)</f>
        <v>0</v>
      </c>
      <c r="AA87" s="2" t="str">
        <f>IFERROR(__xludf.DUMMYFUNCTION("""COMPUTED_VALUE"""),"")</f>
        <v/>
      </c>
      <c r="AB87" s="1">
        <f>IFERROR(__xludf.DUMMYFUNCTION("""COMPUTED_VALUE"""),5.0)</f>
        <v>5</v>
      </c>
      <c r="AC87" s="1">
        <f>IFERROR(__xludf.DUMMYFUNCTION("""COMPUTED_VALUE"""),483.34)</f>
        <v>483.34</v>
      </c>
      <c r="AD87" s="2">
        <f>IFERROR(__xludf.DUMMYFUNCTION("""COMPUTED_VALUE"""),0.010344684900897919)</f>
        <v>0.0103446849</v>
      </c>
      <c r="AE87" s="1">
        <f>IFERROR(__xludf.DUMMYFUNCTION("""COMPUTED_VALUE"""),193.58)</f>
        <v>193.58</v>
      </c>
      <c r="AF87" s="1">
        <f>IFERROR(__xludf.DUMMYFUNCTION("""COMPUTED_VALUE"""),483.34)</f>
        <v>483.34</v>
      </c>
      <c r="AG87" s="2">
        <f>IFERROR(__xludf.DUMMYFUNCTION("""COMPUTED_VALUE"""),0.40050482062316384)</f>
        <v>0.4005048206</v>
      </c>
      <c r="AH87" s="1">
        <f>IFERROR(__xludf.DUMMYFUNCTION("""COMPUTED_VALUE"""),293.99)</f>
        <v>293.99</v>
      </c>
      <c r="AI87" s="1">
        <f>IFERROR(__xludf.DUMMYFUNCTION("""COMPUTED_VALUE"""),416.68)</f>
        <v>416.68</v>
      </c>
      <c r="AJ87" s="2">
        <f>IFERROR(__xludf.DUMMYFUNCTION("""COMPUTED_VALUE"""),0.7055534222904867)</f>
        <v>0.7055534223</v>
      </c>
      <c r="AK87" s="1">
        <f>IFERROR(__xludf.DUMMYFUNCTION("""COMPUTED_VALUE"""),493.27)</f>
        <v>493.27</v>
      </c>
      <c r="AL87" s="1">
        <f>IFERROR(__xludf.DUMMYFUNCTION("""COMPUTED_VALUE"""),1383.36)</f>
        <v>1383.36</v>
      </c>
      <c r="AM87" s="2">
        <f>IFERROR(__xludf.DUMMYFUNCTION("""COMPUTED_VALUE"""),0.356573849178811)</f>
        <v>0.3565738492</v>
      </c>
      <c r="AN87" s="1">
        <f>IFERROR(__xludf.DUMMYFUNCTION("""COMPUTED_VALUE"""),0.0)</f>
        <v>0</v>
      </c>
      <c r="AO87" s="1">
        <f>IFERROR(__xludf.DUMMYFUNCTION("""COMPUTED_VALUE"""),0.0)</f>
        <v>0</v>
      </c>
      <c r="AP87" s="2" t="str">
        <f>IFERROR(__xludf.DUMMYFUNCTION("""COMPUTED_VALUE"""),"")</f>
        <v/>
      </c>
      <c r="AQ87" s="1">
        <f>IFERROR(__xludf.DUMMYFUNCTION("""COMPUTED_VALUE"""),258.0)</f>
        <v>258</v>
      </c>
      <c r="AR87" s="1">
        <f>IFERROR(__xludf.DUMMYFUNCTION("""COMPUTED_VALUE"""),0.0)</f>
        <v>0</v>
      </c>
      <c r="AS87" s="2" t="str">
        <f>IFERROR(__xludf.DUMMYFUNCTION("""COMPUTED_VALUE"""),"")</f>
        <v/>
      </c>
      <c r="AT87" s="1">
        <f>IFERROR(__xludf.DUMMYFUNCTION("""COMPUTED_VALUE"""),0.0)</f>
        <v>0</v>
      </c>
      <c r="AU87" s="1">
        <f>IFERROR(__xludf.DUMMYFUNCTION("""COMPUTED_VALUE"""),0.0)</f>
        <v>0</v>
      </c>
      <c r="AV87" s="2" t="str">
        <f>IFERROR(__xludf.DUMMYFUNCTION("""COMPUTED_VALUE"""),"")</f>
        <v/>
      </c>
      <c r="AW87" s="1">
        <f>IFERROR(__xludf.DUMMYFUNCTION("""COMPUTED_VALUE"""),0.0)</f>
        <v>0</v>
      </c>
      <c r="AX87" s="1">
        <f>IFERROR(__xludf.DUMMYFUNCTION("""COMPUTED_VALUE"""),0.0)</f>
        <v>0</v>
      </c>
      <c r="AY87" s="2" t="str">
        <f>IFERROR(__xludf.DUMMYFUNCTION("""COMPUTED_VALUE"""),"")</f>
        <v/>
      </c>
      <c r="AZ87" s="1">
        <f>IFERROR(__xludf.DUMMYFUNCTION("""COMPUTED_VALUE"""),258.0)</f>
        <v>258</v>
      </c>
      <c r="BA87" s="1">
        <f>IFERROR(__xludf.DUMMYFUNCTION("""COMPUTED_VALUE"""),0.0)</f>
        <v>0</v>
      </c>
      <c r="BB87" s="2" t="str">
        <f>IFERROR(__xludf.DUMMYFUNCTION("""COMPUTED_VALUE"""),"")</f>
        <v/>
      </c>
    </row>
    <row r="88">
      <c r="A88" s="1" t="str">
        <f>IFERROR(__xludf.DUMMYFUNCTION("""COMPUTED_VALUE"""),"63ea6e9452ad6968805ceb97")</f>
        <v>63ea6e9452ad6968805ceb97</v>
      </c>
      <c r="B88" s="1" t="str">
        <f>IFERROR(__xludf.DUMMYFUNCTION("""COMPUTED_VALUE"""),"ITES GmbH")</f>
        <v>ITES GmbH</v>
      </c>
      <c r="C88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88" s="1" t="str">
        <f>IFERROR(__xludf.DUMMYFUNCTION("""COMPUTED_VALUE"""),"germany")</f>
        <v>germany</v>
      </c>
      <c r="E88" s="1" t="str">
        <f>IFERROR(__xludf.DUMMYFUNCTION("""COMPUTED_VALUE"""),"DE")</f>
        <v>DE</v>
      </c>
      <c r="F88" s="1" t="str">
        <f>IFERROR(__xludf.DUMMYFUNCTION("""COMPUTED_VALUE"""),"expert_200")</f>
        <v>expert_200</v>
      </c>
      <c r="G88" s="1">
        <f>IFERROR(__xludf.DUMMYFUNCTION("""COMPUTED_VALUE"""),0.0)</f>
        <v>0</v>
      </c>
      <c r="H88" s="1">
        <f>IFERROR(__xludf.DUMMYFUNCTION("""COMPUTED_VALUE"""),1.0)</f>
        <v>1</v>
      </c>
      <c r="I88" s="2">
        <f>IFERROR(__xludf.DUMMYFUNCTION("""COMPUTED_VALUE"""),0.0)</f>
        <v>0</v>
      </c>
      <c r="J88" s="1">
        <f>IFERROR(__xludf.DUMMYFUNCTION("""COMPUTED_VALUE"""),52.8)</f>
        <v>52.8</v>
      </c>
      <c r="K88" s="1">
        <f>IFERROR(__xludf.DUMMYFUNCTION("""COMPUTED_VALUE"""),275.0)</f>
        <v>275</v>
      </c>
      <c r="L88" s="2">
        <f>IFERROR(__xludf.DUMMYFUNCTION("""COMPUTED_VALUE"""),0.19199999999999998)</f>
        <v>0.192</v>
      </c>
      <c r="M88" s="1">
        <f>IFERROR(__xludf.DUMMYFUNCTION("""COMPUTED_VALUE"""),45.0)</f>
        <v>45</v>
      </c>
      <c r="N88" s="1">
        <f>IFERROR(__xludf.DUMMYFUNCTION("""COMPUTED_VALUE"""),52.0)</f>
        <v>52</v>
      </c>
      <c r="O88" s="2">
        <f>IFERROR(__xludf.DUMMYFUNCTION("""COMPUTED_VALUE"""),0.8653846153846154)</f>
        <v>0.8653846154</v>
      </c>
      <c r="P88" s="1">
        <f>IFERROR(__xludf.DUMMYFUNCTION("""COMPUTED_VALUE"""),1.0)</f>
        <v>1</v>
      </c>
      <c r="Q88" s="1">
        <f>IFERROR(__xludf.DUMMYFUNCTION("""COMPUTED_VALUE"""),1.0)</f>
        <v>1</v>
      </c>
      <c r="R88" s="2">
        <f>IFERROR(__xludf.DUMMYFUNCTION("""COMPUTED_VALUE"""),1.0)</f>
        <v>1</v>
      </c>
      <c r="S88" s="1">
        <f>IFERROR(__xludf.DUMMYFUNCTION("""COMPUTED_VALUE"""),1.0)</f>
        <v>1</v>
      </c>
      <c r="T88" s="1">
        <f>IFERROR(__xludf.DUMMYFUNCTION("""COMPUTED_VALUE"""),1.0)</f>
        <v>1</v>
      </c>
      <c r="U88" s="2">
        <f>IFERROR(__xludf.DUMMYFUNCTION("""COMPUTED_VALUE"""),1.0)</f>
        <v>1</v>
      </c>
      <c r="V88" s="1">
        <f>IFERROR(__xludf.DUMMYFUNCTION("""COMPUTED_VALUE"""),0.0)</f>
        <v>0</v>
      </c>
      <c r="W88" s="1">
        <f>IFERROR(__xludf.DUMMYFUNCTION("""COMPUTED_VALUE"""),1.0)</f>
        <v>1</v>
      </c>
      <c r="X88" s="2">
        <f>IFERROR(__xludf.DUMMYFUNCTION("""COMPUTED_VALUE"""),0.0)</f>
        <v>0</v>
      </c>
      <c r="Y88" s="1">
        <f>IFERROR(__xludf.DUMMYFUNCTION("""COMPUTED_VALUE"""),25.0)</f>
        <v>25</v>
      </c>
      <c r="Z88" s="1">
        <f>IFERROR(__xludf.DUMMYFUNCTION("""COMPUTED_VALUE"""),0.0)</f>
        <v>0</v>
      </c>
      <c r="AA88" s="2" t="str">
        <f>IFERROR(__xludf.DUMMYFUNCTION("""COMPUTED_VALUE"""),"")</f>
        <v/>
      </c>
      <c r="AB88" s="1">
        <f>IFERROR(__xludf.DUMMYFUNCTION("""COMPUTED_VALUE"""),65.0)</f>
        <v>65</v>
      </c>
      <c r="AC88" s="1">
        <f>IFERROR(__xludf.DUMMYFUNCTION("""COMPUTED_VALUE"""),183.33)</f>
        <v>183.33</v>
      </c>
      <c r="AD88" s="2">
        <f>IFERROR(__xludf.DUMMYFUNCTION("""COMPUTED_VALUE"""),0.3545519009436535)</f>
        <v>0.3545519009</v>
      </c>
      <c r="AE88" s="1">
        <f>IFERROR(__xludf.DUMMYFUNCTION("""COMPUTED_VALUE"""),139.76)</f>
        <v>139.76</v>
      </c>
      <c r="AF88" s="1">
        <f>IFERROR(__xludf.DUMMYFUNCTION("""COMPUTED_VALUE"""),274.57)</f>
        <v>274.57</v>
      </c>
      <c r="AG88" s="2">
        <f>IFERROR(__xludf.DUMMYFUNCTION("""COMPUTED_VALUE"""),0.509014094766362)</f>
        <v>0.5090140948</v>
      </c>
      <c r="AH88" s="1">
        <f>IFERROR(__xludf.DUMMYFUNCTION("""COMPUTED_VALUE"""),70.0)</f>
        <v>70</v>
      </c>
      <c r="AI88" s="1">
        <f>IFERROR(__xludf.DUMMYFUNCTION("""COMPUTED_VALUE"""),275.33)</f>
        <v>275.33</v>
      </c>
      <c r="AJ88" s="2">
        <f>IFERROR(__xludf.DUMMYFUNCTION("""COMPUTED_VALUE"""),0.2542403661061272)</f>
        <v>0.2542403661</v>
      </c>
      <c r="AK88" s="1">
        <f>IFERROR(__xludf.DUMMYFUNCTION("""COMPUTED_VALUE"""),299.76)</f>
        <v>299.76</v>
      </c>
      <c r="AL88" s="1">
        <f>IFERROR(__xludf.DUMMYFUNCTION("""COMPUTED_VALUE"""),733.23)</f>
        <v>733.23</v>
      </c>
      <c r="AM88" s="2">
        <f>IFERROR(__xludf.DUMMYFUNCTION("""COMPUTED_VALUE"""),0.40882124299333084)</f>
        <v>0.408821243</v>
      </c>
      <c r="AN88" s="1">
        <f>IFERROR(__xludf.DUMMYFUNCTION("""COMPUTED_VALUE"""),85.0)</f>
        <v>85</v>
      </c>
      <c r="AO88" s="1">
        <f>IFERROR(__xludf.DUMMYFUNCTION("""COMPUTED_VALUE"""),0.0)</f>
        <v>0</v>
      </c>
      <c r="AP88" s="2" t="str">
        <f>IFERROR(__xludf.DUMMYFUNCTION("""COMPUTED_VALUE"""),"")</f>
        <v/>
      </c>
      <c r="AQ88" s="1">
        <f>IFERROR(__xludf.DUMMYFUNCTION("""COMPUTED_VALUE"""),75.8)</f>
        <v>75.8</v>
      </c>
      <c r="AR88" s="1">
        <f>IFERROR(__xludf.DUMMYFUNCTION("""COMPUTED_VALUE"""),0.0)</f>
        <v>0</v>
      </c>
      <c r="AS88" s="2" t="str">
        <f>IFERROR(__xludf.DUMMYFUNCTION("""COMPUTED_VALUE"""),"")</f>
        <v/>
      </c>
      <c r="AT88" s="1">
        <f>IFERROR(__xludf.DUMMYFUNCTION("""COMPUTED_VALUE"""),0.0)</f>
        <v>0</v>
      </c>
      <c r="AU88" s="1">
        <f>IFERROR(__xludf.DUMMYFUNCTION("""COMPUTED_VALUE"""),0.0)</f>
        <v>0</v>
      </c>
      <c r="AV88" s="2" t="str">
        <f>IFERROR(__xludf.DUMMYFUNCTION("""COMPUTED_VALUE"""),"")</f>
        <v/>
      </c>
      <c r="AW88" s="1">
        <f>IFERROR(__xludf.DUMMYFUNCTION("""COMPUTED_VALUE"""),0.0)</f>
        <v>0</v>
      </c>
      <c r="AX88" s="1">
        <f>IFERROR(__xludf.DUMMYFUNCTION("""COMPUTED_VALUE"""),0.0)</f>
        <v>0</v>
      </c>
      <c r="AY88" s="2" t="str">
        <f>IFERROR(__xludf.DUMMYFUNCTION("""COMPUTED_VALUE"""),"")</f>
        <v/>
      </c>
      <c r="AZ88" s="1">
        <f>IFERROR(__xludf.DUMMYFUNCTION("""COMPUTED_VALUE"""),160.8)</f>
        <v>160.8</v>
      </c>
      <c r="BA88" s="1">
        <f>IFERROR(__xludf.DUMMYFUNCTION("""COMPUTED_VALUE"""),0.0)</f>
        <v>0</v>
      </c>
      <c r="BB88" s="2" t="str">
        <f>IFERROR(__xludf.DUMMYFUNCTION("""COMPUTED_VALUE"""),"")</f>
        <v/>
      </c>
    </row>
    <row r="89">
      <c r="A89" s="1" t="str">
        <f>IFERROR(__xludf.DUMMYFUNCTION("""COMPUTED_VALUE"""),"63ea6e9552ad6968805ced49")</f>
        <v>63ea6e9552ad6968805ced49</v>
      </c>
      <c r="B89" s="1" t="str">
        <f>IFERROR(__xludf.DUMMYFUNCTION("""COMPUTED_VALUE"""),"itk communications GmbH")</f>
        <v>itk communications GmbH</v>
      </c>
      <c r="C89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89" s="1" t="str">
        <f>IFERROR(__xludf.DUMMYFUNCTION("""COMPUTED_VALUE"""),"germany")</f>
        <v>germany</v>
      </c>
      <c r="E89" s="1" t="str">
        <f>IFERROR(__xludf.DUMMYFUNCTION("""COMPUTED_VALUE"""),"DE")</f>
        <v>DE</v>
      </c>
      <c r="F89" s="1" t="str">
        <f>IFERROR(__xludf.DUMMYFUNCTION("""COMPUTED_VALUE"""),"expert_200")</f>
        <v>expert_200</v>
      </c>
      <c r="G89" s="1">
        <f>IFERROR(__xludf.DUMMYFUNCTION("""COMPUTED_VALUE"""),1.0)</f>
        <v>1</v>
      </c>
      <c r="H89" s="1">
        <f>IFERROR(__xludf.DUMMYFUNCTION("""COMPUTED_VALUE"""),1.0)</f>
        <v>1</v>
      </c>
      <c r="I89" s="2">
        <f>IFERROR(__xludf.DUMMYFUNCTION("""COMPUTED_VALUE"""),1.0)</f>
        <v>1</v>
      </c>
      <c r="J89" s="1">
        <f>IFERROR(__xludf.DUMMYFUNCTION("""COMPUTED_VALUE"""),303.99)</f>
        <v>303.99</v>
      </c>
      <c r="K89" s="1">
        <f>IFERROR(__xludf.DUMMYFUNCTION("""COMPUTED_VALUE"""),265.0)</f>
        <v>265</v>
      </c>
      <c r="L89" s="2">
        <f>IFERROR(__xludf.DUMMYFUNCTION("""COMPUTED_VALUE"""),1.147132075471698)</f>
        <v>1.147132075</v>
      </c>
      <c r="M89" s="1">
        <f>IFERROR(__xludf.DUMMYFUNCTION("""COMPUTED_VALUE"""),16.0)</f>
        <v>16</v>
      </c>
      <c r="N89" s="1">
        <f>IFERROR(__xludf.DUMMYFUNCTION("""COMPUTED_VALUE"""),11.0)</f>
        <v>11</v>
      </c>
      <c r="O89" s="2">
        <f>IFERROR(__xludf.DUMMYFUNCTION("""COMPUTED_VALUE"""),1.4545454545454546)</f>
        <v>1.454545455</v>
      </c>
      <c r="P89" s="1">
        <f>IFERROR(__xludf.DUMMYFUNCTION("""COMPUTED_VALUE"""),1.0)</f>
        <v>1</v>
      </c>
      <c r="Q89" s="1">
        <f>IFERROR(__xludf.DUMMYFUNCTION("""COMPUTED_VALUE"""),1.0)</f>
        <v>1</v>
      </c>
      <c r="R89" s="2">
        <f>IFERROR(__xludf.DUMMYFUNCTION("""COMPUTED_VALUE"""),1.0)</f>
        <v>1</v>
      </c>
      <c r="S89" s="1">
        <f>IFERROR(__xludf.DUMMYFUNCTION("""COMPUTED_VALUE"""),0.0)</f>
        <v>0</v>
      </c>
      <c r="T89" s="1">
        <f>IFERROR(__xludf.DUMMYFUNCTION("""COMPUTED_VALUE"""),1.0)</f>
        <v>1</v>
      </c>
      <c r="U89" s="2">
        <f>IFERROR(__xludf.DUMMYFUNCTION("""COMPUTED_VALUE"""),0.0)</f>
        <v>0</v>
      </c>
      <c r="V89" s="1">
        <f>IFERROR(__xludf.DUMMYFUNCTION("""COMPUTED_VALUE"""),0.0)</f>
        <v>0</v>
      </c>
      <c r="W89" s="1">
        <f>IFERROR(__xludf.DUMMYFUNCTION("""COMPUTED_VALUE"""),1.0)</f>
        <v>1</v>
      </c>
      <c r="X89" s="2">
        <f>IFERROR(__xludf.DUMMYFUNCTION("""COMPUTED_VALUE"""),0.0)</f>
        <v>0</v>
      </c>
      <c r="Y89" s="1">
        <f>IFERROR(__xludf.DUMMYFUNCTION("""COMPUTED_VALUE"""),30.0)</f>
        <v>30</v>
      </c>
      <c r="Z89" s="1">
        <f>IFERROR(__xludf.DUMMYFUNCTION("""COMPUTED_VALUE"""),0.0)</f>
        <v>0</v>
      </c>
      <c r="AA89" s="2" t="str">
        <f>IFERROR(__xludf.DUMMYFUNCTION("""COMPUTED_VALUE"""),"")</f>
        <v/>
      </c>
      <c r="AB89" s="1">
        <f>IFERROR(__xludf.DUMMYFUNCTION("""COMPUTED_VALUE"""),45.0)</f>
        <v>45</v>
      </c>
      <c r="AC89" s="1">
        <f>IFERROR(__xludf.DUMMYFUNCTION("""COMPUTED_VALUE"""),176.67)</f>
        <v>176.67</v>
      </c>
      <c r="AD89" s="2">
        <f>IFERROR(__xludf.DUMMYFUNCTION("""COMPUTED_VALUE"""),0.2547121752419766)</f>
        <v>0.2547121752</v>
      </c>
      <c r="AE89" s="1">
        <f>IFERROR(__xludf.DUMMYFUNCTION("""COMPUTED_VALUE"""),45.55)</f>
        <v>45.55</v>
      </c>
      <c r="AF89" s="1">
        <f>IFERROR(__xludf.DUMMYFUNCTION("""COMPUTED_VALUE"""),265.0)</f>
        <v>265</v>
      </c>
      <c r="AG89" s="2">
        <f>IFERROR(__xludf.DUMMYFUNCTION("""COMPUTED_VALUE"""),0.17188679245283017)</f>
        <v>0.1718867925</v>
      </c>
      <c r="AH89" s="1">
        <f>IFERROR(__xludf.DUMMYFUNCTION("""COMPUTED_VALUE"""),49.97)</f>
        <v>49.97</v>
      </c>
      <c r="AI89" s="1">
        <f>IFERROR(__xludf.DUMMYFUNCTION("""COMPUTED_VALUE"""),265.0)</f>
        <v>265</v>
      </c>
      <c r="AJ89" s="2">
        <f>IFERROR(__xludf.DUMMYFUNCTION("""COMPUTED_VALUE"""),0.18856603773584904)</f>
        <v>0.1885660377</v>
      </c>
      <c r="AK89" s="1">
        <f>IFERROR(__xludf.DUMMYFUNCTION("""COMPUTED_VALUE"""),170.51999999999998)</f>
        <v>170.52</v>
      </c>
      <c r="AL89" s="1">
        <f>IFERROR(__xludf.DUMMYFUNCTION("""COMPUTED_VALUE"""),706.67)</f>
        <v>706.67</v>
      </c>
      <c r="AM89" s="2">
        <f>IFERROR(__xludf.DUMMYFUNCTION("""COMPUTED_VALUE"""),0.2413007485813746)</f>
        <v>0.2413007486</v>
      </c>
      <c r="AN89" s="1">
        <f>IFERROR(__xludf.DUMMYFUNCTION("""COMPUTED_VALUE"""),0.0)</f>
        <v>0</v>
      </c>
      <c r="AO89" s="1">
        <f>IFERROR(__xludf.DUMMYFUNCTION("""COMPUTED_VALUE"""),0.0)</f>
        <v>0</v>
      </c>
      <c r="AP89" s="2" t="str">
        <f>IFERROR(__xludf.DUMMYFUNCTION("""COMPUTED_VALUE"""),"")</f>
        <v/>
      </c>
      <c r="AQ89" s="1">
        <f>IFERROR(__xludf.DUMMYFUNCTION("""COMPUTED_VALUE"""),14.43)</f>
        <v>14.43</v>
      </c>
      <c r="AR89" s="1">
        <f>IFERROR(__xludf.DUMMYFUNCTION("""COMPUTED_VALUE"""),0.0)</f>
        <v>0</v>
      </c>
      <c r="AS89" s="2" t="str">
        <f>IFERROR(__xludf.DUMMYFUNCTION("""COMPUTED_VALUE"""),"")</f>
        <v/>
      </c>
      <c r="AT89" s="1">
        <f>IFERROR(__xludf.DUMMYFUNCTION("""COMPUTED_VALUE"""),0.0)</f>
        <v>0</v>
      </c>
      <c r="AU89" s="1">
        <f>IFERROR(__xludf.DUMMYFUNCTION("""COMPUTED_VALUE"""),0.0)</f>
        <v>0</v>
      </c>
      <c r="AV89" s="2" t="str">
        <f>IFERROR(__xludf.DUMMYFUNCTION("""COMPUTED_VALUE"""),"")</f>
        <v/>
      </c>
      <c r="AW89" s="1">
        <f>IFERROR(__xludf.DUMMYFUNCTION("""COMPUTED_VALUE"""),0.0)</f>
        <v>0</v>
      </c>
      <c r="AX89" s="1">
        <f>IFERROR(__xludf.DUMMYFUNCTION("""COMPUTED_VALUE"""),0.0)</f>
        <v>0</v>
      </c>
      <c r="AY89" s="2" t="str">
        <f>IFERROR(__xludf.DUMMYFUNCTION("""COMPUTED_VALUE"""),"")</f>
        <v/>
      </c>
      <c r="AZ89" s="1">
        <f>IFERROR(__xludf.DUMMYFUNCTION("""COMPUTED_VALUE"""),14.43)</f>
        <v>14.43</v>
      </c>
      <c r="BA89" s="1">
        <f>IFERROR(__xludf.DUMMYFUNCTION("""COMPUTED_VALUE"""),0.0)</f>
        <v>0</v>
      </c>
      <c r="BB89" s="2" t="str">
        <f>IFERROR(__xludf.DUMMYFUNCTION("""COMPUTED_VALUE"""),"")</f>
        <v/>
      </c>
    </row>
    <row r="90">
      <c r="A90" s="1" t="str">
        <f>IFERROR(__xludf.DUMMYFUNCTION("""COMPUTED_VALUE"""),"63ced847c5c820531c268b7c")</f>
        <v>63ced847c5c820531c268b7c</v>
      </c>
      <c r="B90" s="1" t="str">
        <f>IFERROR(__xludf.DUMMYFUNCTION("""COMPUTED_VALUE"""),"ITR AG")</f>
        <v>ITR AG</v>
      </c>
      <c r="C90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90" s="1" t="str">
        <f>IFERROR(__xludf.DUMMYFUNCTION("""COMPUTED_VALUE"""),"germany")</f>
        <v>germany</v>
      </c>
      <c r="E90" s="1" t="str">
        <f>IFERROR(__xludf.DUMMYFUNCTION("""COMPUTED_VALUE"""),"DE")</f>
        <v>DE</v>
      </c>
      <c r="F90" s="1" t="str">
        <f>IFERROR(__xludf.DUMMYFUNCTION("""COMPUTED_VALUE"""),"expert_1000")</f>
        <v>expert_1000</v>
      </c>
      <c r="G90" s="1">
        <f>IFERROR(__xludf.DUMMYFUNCTION("""COMPUTED_VALUE"""),1.0)</f>
        <v>1</v>
      </c>
      <c r="H90" s="1">
        <f>IFERROR(__xludf.DUMMYFUNCTION("""COMPUTED_VALUE"""),1.0)</f>
        <v>1</v>
      </c>
      <c r="I90" s="2">
        <f>IFERROR(__xludf.DUMMYFUNCTION("""COMPUTED_VALUE"""),1.0)</f>
        <v>1</v>
      </c>
      <c r="J90" s="1">
        <f>IFERROR(__xludf.DUMMYFUNCTION("""COMPUTED_VALUE"""),341.41)</f>
        <v>341.41</v>
      </c>
      <c r="K90" s="1">
        <f>IFERROR(__xludf.DUMMYFUNCTION("""COMPUTED_VALUE"""),1350.0)</f>
        <v>1350</v>
      </c>
      <c r="L90" s="2">
        <f>IFERROR(__xludf.DUMMYFUNCTION("""COMPUTED_VALUE"""),0.25289629629629634)</f>
        <v>0.2528962963</v>
      </c>
      <c r="M90" s="1">
        <f>IFERROR(__xludf.DUMMYFUNCTION("""COMPUTED_VALUE"""),35.0)</f>
        <v>35</v>
      </c>
      <c r="N90" s="1">
        <f>IFERROR(__xludf.DUMMYFUNCTION("""COMPUTED_VALUE"""),52.0)</f>
        <v>52</v>
      </c>
      <c r="O90" s="2">
        <f>IFERROR(__xludf.DUMMYFUNCTION("""COMPUTED_VALUE"""),0.6730769230769231)</f>
        <v>0.6730769231</v>
      </c>
      <c r="P90" s="1">
        <f>IFERROR(__xludf.DUMMYFUNCTION("""COMPUTED_VALUE"""),1.0)</f>
        <v>1</v>
      </c>
      <c r="Q90" s="1">
        <f>IFERROR(__xludf.DUMMYFUNCTION("""COMPUTED_VALUE"""),1.0)</f>
        <v>1</v>
      </c>
      <c r="R90" s="2">
        <f>IFERROR(__xludf.DUMMYFUNCTION("""COMPUTED_VALUE"""),1.0)</f>
        <v>1</v>
      </c>
      <c r="S90" s="1">
        <f>IFERROR(__xludf.DUMMYFUNCTION("""COMPUTED_VALUE"""),0.0)</f>
        <v>0</v>
      </c>
      <c r="T90" s="1">
        <f>IFERROR(__xludf.DUMMYFUNCTION("""COMPUTED_VALUE"""),1.0)</f>
        <v>1</v>
      </c>
      <c r="U90" s="2">
        <f>IFERROR(__xludf.DUMMYFUNCTION("""COMPUTED_VALUE"""),0.0)</f>
        <v>0</v>
      </c>
      <c r="V90" s="1">
        <f>IFERROR(__xludf.DUMMYFUNCTION("""COMPUTED_VALUE"""),0.0)</f>
        <v>0</v>
      </c>
      <c r="W90" s="1">
        <f>IFERROR(__xludf.DUMMYFUNCTION("""COMPUTED_VALUE"""),1.0)</f>
        <v>1</v>
      </c>
      <c r="X90" s="2">
        <f>IFERROR(__xludf.DUMMYFUNCTION("""COMPUTED_VALUE"""),0.0)</f>
        <v>0</v>
      </c>
      <c r="Y90" s="1">
        <f>IFERROR(__xludf.DUMMYFUNCTION("""COMPUTED_VALUE"""),4.37)</f>
        <v>4.37</v>
      </c>
      <c r="Z90" s="1">
        <f>IFERROR(__xludf.DUMMYFUNCTION("""COMPUTED_VALUE"""),810.0)</f>
        <v>810</v>
      </c>
      <c r="AA90" s="2">
        <f>IFERROR(__xludf.DUMMYFUNCTION("""COMPUTED_VALUE"""),0.005395061728395062)</f>
        <v>0.005395061728</v>
      </c>
      <c r="AB90" s="1">
        <f>IFERROR(__xludf.DUMMYFUNCTION("""COMPUTED_VALUE"""),15.67)</f>
        <v>15.67</v>
      </c>
      <c r="AC90" s="1">
        <f>IFERROR(__xludf.DUMMYFUNCTION("""COMPUTED_VALUE"""),540.0)</f>
        <v>540</v>
      </c>
      <c r="AD90" s="2">
        <f>IFERROR(__xludf.DUMMYFUNCTION("""COMPUTED_VALUE"""),0.02901851851851852)</f>
        <v>0.02901851852</v>
      </c>
      <c r="AE90" s="1">
        <f>IFERROR(__xludf.DUMMYFUNCTION("""COMPUTED_VALUE"""),187.1)</f>
        <v>187.1</v>
      </c>
      <c r="AF90" s="1">
        <f>IFERROR(__xludf.DUMMYFUNCTION("""COMPUTED_VALUE"""),810.0)</f>
        <v>810</v>
      </c>
      <c r="AG90" s="2">
        <f>IFERROR(__xludf.DUMMYFUNCTION("""COMPUTED_VALUE"""),0.23098765432098764)</f>
        <v>0.2309876543</v>
      </c>
      <c r="AH90" s="1">
        <f>IFERROR(__xludf.DUMMYFUNCTION("""COMPUTED_VALUE"""),197.84)</f>
        <v>197.84</v>
      </c>
      <c r="AI90" s="1">
        <f>IFERROR(__xludf.DUMMYFUNCTION("""COMPUTED_VALUE"""),810.0)</f>
        <v>810</v>
      </c>
      <c r="AJ90" s="2">
        <f>IFERROR(__xludf.DUMMYFUNCTION("""COMPUTED_VALUE"""),0.24424691358024692)</f>
        <v>0.2442469136</v>
      </c>
      <c r="AK90" s="1">
        <f>IFERROR(__xludf.DUMMYFUNCTION("""COMPUTED_VALUE"""),404.98)</f>
        <v>404.98</v>
      </c>
      <c r="AL90" s="1">
        <f>IFERROR(__xludf.DUMMYFUNCTION("""COMPUTED_VALUE"""),2970.0)</f>
        <v>2970</v>
      </c>
      <c r="AM90" s="2">
        <f>IFERROR(__xludf.DUMMYFUNCTION("""COMPUTED_VALUE"""),0.13635690235690237)</f>
        <v>0.1363569024</v>
      </c>
      <c r="AN90" s="1">
        <f>IFERROR(__xludf.DUMMYFUNCTION("""COMPUTED_VALUE"""),211.14)</f>
        <v>211.14</v>
      </c>
      <c r="AO90" s="1">
        <f>IFERROR(__xludf.DUMMYFUNCTION("""COMPUTED_VALUE"""),0.0)</f>
        <v>0</v>
      </c>
      <c r="AP90" s="2" t="str">
        <f>IFERROR(__xludf.DUMMYFUNCTION("""COMPUTED_VALUE"""),"")</f>
        <v/>
      </c>
      <c r="AQ90" s="1">
        <f>IFERROR(__xludf.DUMMYFUNCTION("""COMPUTED_VALUE"""),125.49)</f>
        <v>125.49</v>
      </c>
      <c r="AR90" s="1">
        <f>IFERROR(__xludf.DUMMYFUNCTION("""COMPUTED_VALUE"""),0.0)</f>
        <v>0</v>
      </c>
      <c r="AS90" s="2" t="str">
        <f>IFERROR(__xludf.DUMMYFUNCTION("""COMPUTED_VALUE"""),"")</f>
        <v/>
      </c>
      <c r="AT90" s="1">
        <f>IFERROR(__xludf.DUMMYFUNCTION("""COMPUTED_VALUE"""),44.84)</f>
        <v>44.84</v>
      </c>
      <c r="AU90" s="1">
        <f>IFERROR(__xludf.DUMMYFUNCTION("""COMPUTED_VALUE"""),0.0)</f>
        <v>0</v>
      </c>
      <c r="AV90" s="2" t="str">
        <f>IFERROR(__xludf.DUMMYFUNCTION("""COMPUTED_VALUE"""),"")</f>
        <v/>
      </c>
      <c r="AW90" s="1">
        <f>IFERROR(__xludf.DUMMYFUNCTION("""COMPUTED_VALUE"""),31.95)</f>
        <v>31.95</v>
      </c>
      <c r="AX90" s="1">
        <f>IFERROR(__xludf.DUMMYFUNCTION("""COMPUTED_VALUE"""),0.0)</f>
        <v>0</v>
      </c>
      <c r="AY90" s="2" t="str">
        <f>IFERROR(__xludf.DUMMYFUNCTION("""COMPUTED_VALUE"""),"")</f>
        <v/>
      </c>
      <c r="AZ90" s="1">
        <f>IFERROR(__xludf.DUMMYFUNCTION("""COMPUTED_VALUE"""),413.42)</f>
        <v>413.42</v>
      </c>
      <c r="BA90" s="1">
        <f>IFERROR(__xludf.DUMMYFUNCTION("""COMPUTED_VALUE"""),0.0)</f>
        <v>0</v>
      </c>
      <c r="BB90" s="2" t="str">
        <f>IFERROR(__xludf.DUMMYFUNCTION("""COMPUTED_VALUE"""),"")</f>
        <v/>
      </c>
    </row>
    <row r="91">
      <c r="A91" s="1" t="str">
        <f>IFERROR(__xludf.DUMMYFUNCTION("""COMPUTED_VALUE"""),"63ced848c5c820531c268d5c")</f>
        <v>63ced848c5c820531c268d5c</v>
      </c>
      <c r="B91" s="1" t="str">
        <f>IFERROR(__xludf.DUMMYFUNCTION("""COMPUTED_VALUE"""),"IZERTIS S.A.")</f>
        <v>IZERTIS S.A.</v>
      </c>
      <c r="C91" s="1" t="str">
        <f>IFERROR(__xludf.DUMMYFUNCTION("""COMPUTED_VALUE"""),"astrid.savorani@al-enterprise.com, marcos.rodriguez@al-enterprise.com")</f>
        <v>astrid.savorani@al-enterprise.com, marcos.rodriguez@al-enterprise.com</v>
      </c>
      <c r="D91" s="1" t="str">
        <f>IFERROR(__xludf.DUMMYFUNCTION("""COMPUTED_VALUE"""),"emea")</f>
        <v>emea</v>
      </c>
      <c r="E91" s="1" t="str">
        <f>IFERROR(__xludf.DUMMYFUNCTION("""COMPUTED_VALUE"""),"ES")</f>
        <v>ES</v>
      </c>
      <c r="F91" s="1" t="str">
        <f>IFERROR(__xludf.DUMMYFUNCTION("""COMPUTED_VALUE"""),"expert_200")</f>
        <v>expert_200</v>
      </c>
      <c r="G91" s="1">
        <f>IFERROR(__xludf.DUMMYFUNCTION("""COMPUTED_VALUE"""),1.0)</f>
        <v>1</v>
      </c>
      <c r="H91" s="1">
        <f>IFERROR(__xludf.DUMMYFUNCTION("""COMPUTED_VALUE"""),1.0)</f>
        <v>1</v>
      </c>
      <c r="I91" s="2">
        <f>IFERROR(__xludf.DUMMYFUNCTION("""COMPUTED_VALUE"""),1.0)</f>
        <v>1</v>
      </c>
      <c r="J91" s="1">
        <f>IFERROR(__xludf.DUMMYFUNCTION("""COMPUTED_VALUE"""),121.19)</f>
        <v>121.19</v>
      </c>
      <c r="K91" s="1">
        <f>IFERROR(__xludf.DUMMYFUNCTION("""COMPUTED_VALUE"""),249.6)</f>
        <v>249.6</v>
      </c>
      <c r="L91" s="2">
        <f>IFERROR(__xludf.DUMMYFUNCTION("""COMPUTED_VALUE"""),0.485536858974359)</f>
        <v>0.485536859</v>
      </c>
      <c r="M91" s="1">
        <f>IFERROR(__xludf.DUMMYFUNCTION("""COMPUTED_VALUE"""),90.0)</f>
        <v>90</v>
      </c>
      <c r="N91" s="1">
        <f>IFERROR(__xludf.DUMMYFUNCTION("""COMPUTED_VALUE"""),52.0)</f>
        <v>52</v>
      </c>
      <c r="O91" s="2">
        <f>IFERROR(__xludf.DUMMYFUNCTION("""COMPUTED_VALUE"""),1.7307692307692308)</f>
        <v>1.730769231</v>
      </c>
      <c r="P91" s="1">
        <f>IFERROR(__xludf.DUMMYFUNCTION("""COMPUTED_VALUE"""),1.0)</f>
        <v>1</v>
      </c>
      <c r="Q91" s="1">
        <f>IFERROR(__xludf.DUMMYFUNCTION("""COMPUTED_VALUE"""),1.0)</f>
        <v>1</v>
      </c>
      <c r="R91" s="2">
        <f>IFERROR(__xludf.DUMMYFUNCTION("""COMPUTED_VALUE"""),1.0)</f>
        <v>1</v>
      </c>
      <c r="S91" s="1">
        <f>IFERROR(__xludf.DUMMYFUNCTION("""COMPUTED_VALUE"""),1.0)</f>
        <v>1</v>
      </c>
      <c r="T91" s="1">
        <f>IFERROR(__xludf.DUMMYFUNCTION("""COMPUTED_VALUE"""),1.0)</f>
        <v>1</v>
      </c>
      <c r="U91" s="2">
        <f>IFERROR(__xludf.DUMMYFUNCTION("""COMPUTED_VALUE"""),1.0)</f>
        <v>1</v>
      </c>
      <c r="V91" s="1">
        <f>IFERROR(__xludf.DUMMYFUNCTION("""COMPUTED_VALUE"""),0.0)</f>
        <v>0</v>
      </c>
      <c r="W91" s="1">
        <f>IFERROR(__xludf.DUMMYFUNCTION("""COMPUTED_VALUE"""),1.0)</f>
        <v>1</v>
      </c>
      <c r="X91" s="2">
        <f>IFERROR(__xludf.DUMMYFUNCTION("""COMPUTED_VALUE"""),0.0)</f>
        <v>0</v>
      </c>
      <c r="Y91" s="1">
        <f>IFERROR(__xludf.DUMMYFUNCTION("""COMPUTED_VALUE"""),0.73)</f>
        <v>0.73</v>
      </c>
      <c r="Z91" s="1">
        <f>IFERROR(__xludf.DUMMYFUNCTION("""COMPUTED_VALUE"""),0.0)</f>
        <v>0</v>
      </c>
      <c r="AA91" s="2" t="str">
        <f>IFERROR(__xludf.DUMMYFUNCTION("""COMPUTED_VALUE"""),"")</f>
        <v/>
      </c>
      <c r="AB91" s="1">
        <f>IFERROR(__xludf.DUMMYFUNCTION("""COMPUTED_VALUE"""),5.85)</f>
        <v>5.85</v>
      </c>
      <c r="AC91" s="1">
        <f>IFERROR(__xludf.DUMMYFUNCTION("""COMPUTED_VALUE"""),178.29)</f>
        <v>178.29</v>
      </c>
      <c r="AD91" s="2">
        <f>IFERROR(__xludf.DUMMYFUNCTION("""COMPUTED_VALUE"""),0.03281171125694094)</f>
        <v>0.03281171126</v>
      </c>
      <c r="AE91" s="1">
        <f>IFERROR(__xludf.DUMMYFUNCTION("""COMPUTED_VALUE"""),6.57)</f>
        <v>6.57</v>
      </c>
      <c r="AF91" s="1">
        <f>IFERROR(__xludf.DUMMYFUNCTION("""COMPUTED_VALUE"""),178.29)</f>
        <v>178.29</v>
      </c>
      <c r="AG91" s="2">
        <f>IFERROR(__xludf.DUMMYFUNCTION("""COMPUTED_VALUE"""),0.03685007571933367)</f>
        <v>0.03685007572</v>
      </c>
      <c r="AH91" s="1">
        <f>IFERROR(__xludf.DUMMYFUNCTION("""COMPUTED_VALUE"""),41.71)</f>
        <v>41.71</v>
      </c>
      <c r="AI91" s="1">
        <f>IFERROR(__xludf.DUMMYFUNCTION("""COMPUTED_VALUE"""),178.29)</f>
        <v>178.29</v>
      </c>
      <c r="AJ91" s="2">
        <f>IFERROR(__xludf.DUMMYFUNCTION("""COMPUTED_VALUE"""),0.23394469684222335)</f>
        <v>0.2339446968</v>
      </c>
      <c r="AK91" s="1">
        <f>IFERROR(__xludf.DUMMYFUNCTION("""COMPUTED_VALUE"""),54.86)</f>
        <v>54.86</v>
      </c>
      <c r="AL91" s="1">
        <f>IFERROR(__xludf.DUMMYFUNCTION("""COMPUTED_VALUE"""),534.87)</f>
        <v>534.87</v>
      </c>
      <c r="AM91" s="2">
        <f>IFERROR(__xludf.DUMMYFUNCTION("""COMPUTED_VALUE"""),0.10256697889206723)</f>
        <v>0.1025669789</v>
      </c>
      <c r="AN91" s="1">
        <f>IFERROR(__xludf.DUMMYFUNCTION("""COMPUTED_VALUE"""),0.72)</f>
        <v>0.72</v>
      </c>
      <c r="AO91" s="1">
        <f>IFERROR(__xludf.DUMMYFUNCTION("""COMPUTED_VALUE"""),0.0)</f>
        <v>0</v>
      </c>
      <c r="AP91" s="2" t="str">
        <f>IFERROR(__xludf.DUMMYFUNCTION("""COMPUTED_VALUE"""),"")</f>
        <v/>
      </c>
      <c r="AQ91" s="1">
        <f>IFERROR(__xludf.DUMMYFUNCTION("""COMPUTED_VALUE"""),13.0)</f>
        <v>13</v>
      </c>
      <c r="AR91" s="1">
        <f>IFERROR(__xludf.DUMMYFUNCTION("""COMPUTED_VALUE"""),0.0)</f>
        <v>0</v>
      </c>
      <c r="AS91" s="2" t="str">
        <f>IFERROR(__xludf.DUMMYFUNCTION("""COMPUTED_VALUE"""),"")</f>
        <v/>
      </c>
      <c r="AT91" s="1">
        <f>IFERROR(__xludf.DUMMYFUNCTION("""COMPUTED_VALUE"""),0.0)</f>
        <v>0</v>
      </c>
      <c r="AU91" s="1">
        <f>IFERROR(__xludf.DUMMYFUNCTION("""COMPUTED_VALUE"""),0.0)</f>
        <v>0</v>
      </c>
      <c r="AV91" s="2" t="str">
        <f>IFERROR(__xludf.DUMMYFUNCTION("""COMPUTED_VALUE"""),"")</f>
        <v/>
      </c>
      <c r="AW91" s="1">
        <f>IFERROR(__xludf.DUMMYFUNCTION("""COMPUTED_VALUE"""),0.0)</f>
        <v>0</v>
      </c>
      <c r="AX91" s="1">
        <f>IFERROR(__xludf.DUMMYFUNCTION("""COMPUTED_VALUE"""),0.0)</f>
        <v>0</v>
      </c>
      <c r="AY91" s="2" t="str">
        <f>IFERROR(__xludf.DUMMYFUNCTION("""COMPUTED_VALUE"""),"")</f>
        <v/>
      </c>
      <c r="AZ91" s="1">
        <f>IFERROR(__xludf.DUMMYFUNCTION("""COMPUTED_VALUE"""),13.72)</f>
        <v>13.72</v>
      </c>
      <c r="BA91" s="1">
        <f>IFERROR(__xludf.DUMMYFUNCTION("""COMPUTED_VALUE"""),0.0)</f>
        <v>0</v>
      </c>
      <c r="BB91" s="2" t="str">
        <f>IFERROR(__xludf.DUMMYFUNCTION("""COMPUTED_VALUE"""),"")</f>
        <v/>
      </c>
    </row>
    <row r="92">
      <c r="A92" s="1" t="str">
        <f>IFERROR(__xludf.DUMMYFUNCTION("""COMPUTED_VALUE"""),"63ea6e9452ad6968805cebcf")</f>
        <v>63ea6e9452ad6968805cebcf</v>
      </c>
      <c r="B92" s="1" t="str">
        <f>IFERROR(__xludf.DUMMYFUNCTION("""COMPUTED_VALUE"""),"Jens Verlaat Service GmbH")</f>
        <v>Jens Verlaat Service GmbH</v>
      </c>
      <c r="C92" s="1" t="str">
        <f>IFERROR(__xludf.DUMMYFUNCTION("""COMPUTED_VALUE"""),"andreas.grossheimann@al-enterprise.com, katrin.pfeiffer@al-enterprise.com, sibylle.klopfer@al-enterprise.com, igor.leko@al-enterprise.com, philipp.bode@al-enterprise.com")</f>
        <v>andreas.grossheimann@al-enterprise.com, katrin.pfeiffer@al-enterprise.com, sibylle.klopfer@al-enterprise.com, igor.leko@al-enterprise.com, philipp.bode@al-enterprise.com</v>
      </c>
      <c r="D92" s="1" t="str">
        <f>IFERROR(__xludf.DUMMYFUNCTION("""COMPUTED_VALUE"""),"germany")</f>
        <v>germany</v>
      </c>
      <c r="E92" s="1" t="str">
        <f>IFERROR(__xludf.DUMMYFUNCTION("""COMPUTED_VALUE"""),"DE")</f>
        <v>DE</v>
      </c>
      <c r="F92" s="1" t="str">
        <f>IFERROR(__xludf.DUMMYFUNCTION("""COMPUTED_VALUE"""),"expert_200")</f>
        <v>expert_200</v>
      </c>
      <c r="G92" s="1">
        <f>IFERROR(__xludf.DUMMYFUNCTION("""COMPUTED_VALUE"""),1.0)</f>
        <v>1</v>
      </c>
      <c r="H92" s="1">
        <f>IFERROR(__xludf.DUMMYFUNCTION("""COMPUTED_VALUE"""),1.0)</f>
        <v>1</v>
      </c>
      <c r="I92" s="2">
        <f>IFERROR(__xludf.DUMMYFUNCTION("""COMPUTED_VALUE"""),1.0)</f>
        <v>1</v>
      </c>
      <c r="J92" s="1">
        <f>IFERROR(__xludf.DUMMYFUNCTION("""COMPUTED_VALUE"""),249.91)</f>
        <v>249.91</v>
      </c>
      <c r="K92" s="1">
        <f>IFERROR(__xludf.DUMMYFUNCTION("""COMPUTED_VALUE"""),300.0)</f>
        <v>300</v>
      </c>
      <c r="L92" s="2">
        <f>IFERROR(__xludf.DUMMYFUNCTION("""COMPUTED_VALUE"""),0.8330333333333333)</f>
        <v>0.8330333333</v>
      </c>
      <c r="M92" s="1">
        <f>IFERROR(__xludf.DUMMYFUNCTION("""COMPUTED_VALUE"""),2.0)</f>
        <v>2</v>
      </c>
      <c r="N92" s="1">
        <f>IFERROR(__xludf.DUMMYFUNCTION("""COMPUTED_VALUE"""),52.0)</f>
        <v>52</v>
      </c>
      <c r="O92" s="2">
        <f>IFERROR(__xludf.DUMMYFUNCTION("""COMPUTED_VALUE"""),0.038461538461538464)</f>
        <v>0.03846153846</v>
      </c>
      <c r="P92" s="1">
        <f>IFERROR(__xludf.DUMMYFUNCTION("""COMPUTED_VALUE"""),0.0)</f>
        <v>0</v>
      </c>
      <c r="Q92" s="1">
        <f>IFERROR(__xludf.DUMMYFUNCTION("""COMPUTED_VALUE"""),1.0)</f>
        <v>1</v>
      </c>
      <c r="R92" s="2">
        <f>IFERROR(__xludf.DUMMYFUNCTION("""COMPUTED_VALUE"""),0.0)</f>
        <v>0</v>
      </c>
      <c r="S92" s="1">
        <f>IFERROR(__xludf.DUMMYFUNCTION("""COMPUTED_VALUE"""),1.0)</f>
        <v>1</v>
      </c>
      <c r="T92" s="1">
        <f>IFERROR(__xludf.DUMMYFUNCTION("""COMPUTED_VALUE"""),1.0)</f>
        <v>1</v>
      </c>
      <c r="U92" s="2">
        <f>IFERROR(__xludf.DUMMYFUNCTION("""COMPUTED_VALUE"""),1.0)</f>
        <v>1</v>
      </c>
      <c r="V92" s="1">
        <f>IFERROR(__xludf.DUMMYFUNCTION("""COMPUTED_VALUE"""),0.0)</f>
        <v>0</v>
      </c>
      <c r="W92" s="1">
        <f>IFERROR(__xludf.DUMMYFUNCTION("""COMPUTED_VALUE"""),1.0)</f>
        <v>1</v>
      </c>
      <c r="X92" s="2">
        <f>IFERROR(__xludf.DUMMYFUNCTION("""COMPUTED_VALUE"""),0.0)</f>
        <v>0</v>
      </c>
      <c r="Y92" s="1">
        <f>IFERROR(__xludf.DUMMYFUNCTION("""COMPUTED_VALUE"""),0.0)</f>
        <v>0</v>
      </c>
      <c r="Z92" s="1">
        <f>IFERROR(__xludf.DUMMYFUNCTION("""COMPUTED_VALUE"""),0.0)</f>
        <v>0</v>
      </c>
      <c r="AA92" s="2" t="str">
        <f>IFERROR(__xludf.DUMMYFUNCTION("""COMPUTED_VALUE"""),"")</f>
        <v/>
      </c>
      <c r="AB92" s="1">
        <f>IFERROR(__xludf.DUMMYFUNCTION("""COMPUTED_VALUE"""),67.0)</f>
        <v>67</v>
      </c>
      <c r="AC92" s="1">
        <f>IFERROR(__xludf.DUMMYFUNCTION("""COMPUTED_VALUE"""),87.5)</f>
        <v>87.5</v>
      </c>
      <c r="AD92" s="2">
        <f>IFERROR(__xludf.DUMMYFUNCTION("""COMPUTED_VALUE"""),0.7657142857142857)</f>
        <v>0.7657142857</v>
      </c>
      <c r="AE92" s="1">
        <f>IFERROR(__xludf.DUMMYFUNCTION("""COMPUTED_VALUE"""),100.0)</f>
        <v>100</v>
      </c>
      <c r="AF92" s="1">
        <f>IFERROR(__xludf.DUMMYFUNCTION("""COMPUTED_VALUE"""),100.0)</f>
        <v>100</v>
      </c>
      <c r="AG92" s="2">
        <f>IFERROR(__xludf.DUMMYFUNCTION("""COMPUTED_VALUE"""),1.0)</f>
        <v>1</v>
      </c>
      <c r="AH92" s="1">
        <f>IFERROR(__xludf.DUMMYFUNCTION("""COMPUTED_VALUE"""),48.0)</f>
        <v>48</v>
      </c>
      <c r="AI92" s="1">
        <f>IFERROR(__xludf.DUMMYFUNCTION("""COMPUTED_VALUE"""),100.0)</f>
        <v>100</v>
      </c>
      <c r="AJ92" s="2">
        <f>IFERROR(__xludf.DUMMYFUNCTION("""COMPUTED_VALUE"""),0.48)</f>
        <v>0.48</v>
      </c>
      <c r="AK92" s="1">
        <f>IFERROR(__xludf.DUMMYFUNCTION("""COMPUTED_VALUE"""),215.0)</f>
        <v>215</v>
      </c>
      <c r="AL92" s="1">
        <f>IFERROR(__xludf.DUMMYFUNCTION("""COMPUTED_VALUE"""),287.5)</f>
        <v>287.5</v>
      </c>
      <c r="AM92" s="2">
        <f>IFERROR(__xludf.DUMMYFUNCTION("""COMPUTED_VALUE"""),0.7478260869565218)</f>
        <v>0.747826087</v>
      </c>
      <c r="AN92" s="1">
        <f>IFERROR(__xludf.DUMMYFUNCTION("""COMPUTED_VALUE"""),0.0)</f>
        <v>0</v>
      </c>
      <c r="AO92" s="1">
        <f>IFERROR(__xludf.DUMMYFUNCTION("""COMPUTED_VALUE"""),0.0)</f>
        <v>0</v>
      </c>
      <c r="AP92" s="2" t="str">
        <f>IFERROR(__xludf.DUMMYFUNCTION("""COMPUTED_VALUE"""),"")</f>
        <v/>
      </c>
      <c r="AQ92" s="1">
        <f>IFERROR(__xludf.DUMMYFUNCTION("""COMPUTED_VALUE"""),10.0)</f>
        <v>10</v>
      </c>
      <c r="AR92" s="1">
        <f>IFERROR(__xludf.DUMMYFUNCTION("""COMPUTED_VALUE"""),0.0)</f>
        <v>0</v>
      </c>
      <c r="AS92" s="2" t="str">
        <f>IFERROR(__xludf.DUMMYFUNCTION("""COMPUTED_VALUE"""),"")</f>
        <v/>
      </c>
      <c r="AT92" s="1">
        <f>IFERROR(__xludf.DUMMYFUNCTION("""COMPUTED_VALUE"""),0.0)</f>
        <v>0</v>
      </c>
      <c r="AU92" s="1">
        <f>IFERROR(__xludf.DUMMYFUNCTION("""COMPUTED_VALUE"""),0.0)</f>
        <v>0</v>
      </c>
      <c r="AV92" s="2" t="str">
        <f>IFERROR(__xludf.DUMMYFUNCTION("""COMPUTED_VALUE"""),"")</f>
        <v/>
      </c>
      <c r="AW92" s="1">
        <f>IFERROR(__xludf.DUMMYFUNCTION("""COMPUTED_VALUE"""),0.0)</f>
        <v>0</v>
      </c>
      <c r="AX92" s="1">
        <f>IFERROR(__xludf.DUMMYFUNCTION("""COMPUTED_VALUE"""),0.0)</f>
        <v>0</v>
      </c>
      <c r="AY92" s="2" t="str">
        <f>IFERROR(__xludf.DUMMYFUNCTION("""COMPUTED_VALUE"""),"")</f>
        <v/>
      </c>
      <c r="AZ92" s="1">
        <f>IFERROR(__xludf.DUMMYFUNCTION("""COMPUTED_VALUE"""),10.0)</f>
        <v>10</v>
      </c>
      <c r="BA92" s="1">
        <f>IFERROR(__xludf.DUMMYFUNCTION("""COMPUTED_VALUE"""),0.0)</f>
        <v>0</v>
      </c>
      <c r="BB92" s="2" t="str">
        <f>IFERROR(__xludf.DUMMYFUNCTION("""COMPUTED_VALUE"""),"")</f>
        <v/>
      </c>
    </row>
    <row r="93">
      <c r="A93" s="1" t="str">
        <f>IFERROR(__xludf.DUMMYFUNCTION("""COMPUTED_VALUE"""),"66bccb7ddbb92ff298050552")</f>
        <v>66bccb7ddbb92ff298050552</v>
      </c>
      <c r="B93" s="1" t="str">
        <f>IFERROR(__xludf.DUMMYFUNCTION("""COMPUTED_VALUE"""),"Johnson Controls, Inc.")</f>
        <v>Johnson Controls, Inc.</v>
      </c>
      <c r="C93" s="1" t="str">
        <f>IFERROR(__xludf.DUMMYFUNCTION("""COMPUTED_VALUE"""),"bill.cusack@al-enterprise.com")</f>
        <v>bill.cusack@al-enterprise.com</v>
      </c>
      <c r="D93" s="1" t="str">
        <f>IFERROR(__xludf.DUMMYFUNCTION("""COMPUTED_VALUE"""),"americas")</f>
        <v>americas</v>
      </c>
      <c r="E93" s="1" t="str">
        <f>IFERROR(__xludf.DUMMYFUNCTION("""COMPUTED_VALUE"""),"US")</f>
        <v>US</v>
      </c>
      <c r="F93" s="1" t="str">
        <f>IFERROR(__xludf.DUMMYFUNCTION("""COMPUTED_VALUE"""),"expert_200")</f>
        <v>expert_200</v>
      </c>
      <c r="G93" s="1">
        <f>IFERROR(__xludf.DUMMYFUNCTION("""COMPUTED_VALUE"""),0.0)</f>
        <v>0</v>
      </c>
      <c r="H93" s="1">
        <f>IFERROR(__xludf.DUMMYFUNCTION("""COMPUTED_VALUE"""),1.0)</f>
        <v>1</v>
      </c>
      <c r="I93" s="2">
        <f>IFERROR(__xludf.DUMMYFUNCTION("""COMPUTED_VALUE"""),0.0)</f>
        <v>0</v>
      </c>
      <c r="J93" s="1">
        <f>IFERROR(__xludf.DUMMYFUNCTION("""COMPUTED_VALUE"""),175.38)</f>
        <v>175.38</v>
      </c>
      <c r="K93" s="1">
        <f>IFERROR(__xludf.DUMMYFUNCTION("""COMPUTED_VALUE"""),250.0)</f>
        <v>250</v>
      </c>
      <c r="L93" s="2">
        <f>IFERROR(__xludf.DUMMYFUNCTION("""COMPUTED_VALUE"""),0.70152)</f>
        <v>0.70152</v>
      </c>
      <c r="M93" s="1">
        <f>IFERROR(__xludf.DUMMYFUNCTION("""COMPUTED_VALUE"""),0.0)</f>
        <v>0</v>
      </c>
      <c r="N93" s="1">
        <f>IFERROR(__xludf.DUMMYFUNCTION("""COMPUTED_VALUE"""),0.0)</f>
        <v>0</v>
      </c>
      <c r="O93" s="2" t="str">
        <f>IFERROR(__xludf.DUMMYFUNCTION("""COMPUTED_VALUE"""),"")</f>
        <v/>
      </c>
      <c r="P93" s="1">
        <f>IFERROR(__xludf.DUMMYFUNCTION("""COMPUTED_VALUE"""),0.0)</f>
        <v>0</v>
      </c>
      <c r="Q93" s="1">
        <f>IFERROR(__xludf.DUMMYFUNCTION("""COMPUTED_VALUE"""),1.0)</f>
        <v>1</v>
      </c>
      <c r="R93" s="2">
        <f>IFERROR(__xludf.DUMMYFUNCTION("""COMPUTED_VALUE"""),0.0)</f>
        <v>0</v>
      </c>
      <c r="S93" s="1">
        <f>IFERROR(__xludf.DUMMYFUNCTION("""COMPUTED_VALUE"""),0.0)</f>
        <v>0</v>
      </c>
      <c r="T93" s="1">
        <f>IFERROR(__xludf.DUMMYFUNCTION("""COMPUTED_VALUE"""),1.0)</f>
        <v>1</v>
      </c>
      <c r="U93" s="2">
        <f>IFERROR(__xludf.DUMMYFUNCTION("""COMPUTED_VALUE"""),0.0)</f>
        <v>0</v>
      </c>
      <c r="V93" s="1">
        <f>IFERROR(__xludf.DUMMYFUNCTION("""COMPUTED_VALUE"""),0.0)</f>
        <v>0</v>
      </c>
      <c r="W93" s="1">
        <f>IFERROR(__xludf.DUMMYFUNCTION("""COMPUTED_VALUE"""),1.0)</f>
        <v>1</v>
      </c>
      <c r="X93" s="2">
        <f>IFERROR(__xludf.DUMMYFUNCTION("""COMPUTED_VALUE"""),0.0)</f>
        <v>0</v>
      </c>
      <c r="Y93" s="1">
        <f>IFERROR(__xludf.DUMMYFUNCTION("""COMPUTED_VALUE"""),0.0)</f>
        <v>0</v>
      </c>
      <c r="Z93" s="1">
        <f>IFERROR(__xludf.DUMMYFUNCTION("""COMPUTED_VALUE"""),0.0)</f>
        <v>0</v>
      </c>
      <c r="AA93" s="2" t="str">
        <f>IFERROR(__xludf.DUMMYFUNCTION("""COMPUTED_VALUE"""),"")</f>
        <v/>
      </c>
      <c r="AB93" s="1">
        <f>IFERROR(__xludf.DUMMYFUNCTION("""COMPUTED_VALUE"""),0.0)</f>
        <v>0</v>
      </c>
      <c r="AC93" s="1">
        <f>IFERROR(__xludf.DUMMYFUNCTION("""COMPUTED_VALUE"""),166.67)</f>
        <v>166.67</v>
      </c>
      <c r="AD93" s="2">
        <f>IFERROR(__xludf.DUMMYFUNCTION("""COMPUTED_VALUE"""),0.0)</f>
        <v>0</v>
      </c>
      <c r="AE93" s="1">
        <f>IFERROR(__xludf.DUMMYFUNCTION("""COMPUTED_VALUE"""),0.0)</f>
        <v>0</v>
      </c>
      <c r="AF93" s="1">
        <f>IFERROR(__xludf.DUMMYFUNCTION("""COMPUTED_VALUE"""),250.01)</f>
        <v>250.01</v>
      </c>
      <c r="AG93" s="2">
        <f>IFERROR(__xludf.DUMMYFUNCTION("""COMPUTED_VALUE"""),0.0)</f>
        <v>0</v>
      </c>
      <c r="AH93" s="1">
        <f>IFERROR(__xludf.DUMMYFUNCTION("""COMPUTED_VALUE"""),0.0)</f>
        <v>0</v>
      </c>
      <c r="AI93" s="1">
        <f>IFERROR(__xludf.DUMMYFUNCTION("""COMPUTED_VALUE"""),250.01)</f>
        <v>250.01</v>
      </c>
      <c r="AJ93" s="2">
        <f>IFERROR(__xludf.DUMMYFUNCTION("""COMPUTED_VALUE"""),0.0)</f>
        <v>0</v>
      </c>
      <c r="AK93" s="1">
        <f>IFERROR(__xludf.DUMMYFUNCTION("""COMPUTED_VALUE"""),0.0)</f>
        <v>0</v>
      </c>
      <c r="AL93" s="1">
        <f>IFERROR(__xludf.DUMMYFUNCTION("""COMPUTED_VALUE"""),666.6899999999999)</f>
        <v>666.69</v>
      </c>
      <c r="AM93" s="2">
        <f>IFERROR(__xludf.DUMMYFUNCTION("""COMPUTED_VALUE"""),0.0)</f>
        <v>0</v>
      </c>
      <c r="AN93" s="1">
        <f>IFERROR(__xludf.DUMMYFUNCTION("""COMPUTED_VALUE"""),0.0)</f>
        <v>0</v>
      </c>
      <c r="AO93" s="1">
        <f>IFERROR(__xludf.DUMMYFUNCTION("""COMPUTED_VALUE"""),0.0)</f>
        <v>0</v>
      </c>
      <c r="AP93" s="2" t="str">
        <f>IFERROR(__xludf.DUMMYFUNCTION("""COMPUTED_VALUE"""),"")</f>
        <v/>
      </c>
      <c r="AQ93" s="1">
        <f>IFERROR(__xludf.DUMMYFUNCTION("""COMPUTED_VALUE"""),0.0)</f>
        <v>0</v>
      </c>
      <c r="AR93" s="1">
        <f>IFERROR(__xludf.DUMMYFUNCTION("""COMPUTED_VALUE"""),0.0)</f>
        <v>0</v>
      </c>
      <c r="AS93" s="2" t="str">
        <f>IFERROR(__xludf.DUMMYFUNCTION("""COMPUTED_VALUE"""),"")</f>
        <v/>
      </c>
      <c r="AT93" s="1">
        <f>IFERROR(__xludf.DUMMYFUNCTION("""COMPUTED_VALUE"""),0.0)</f>
        <v>0</v>
      </c>
      <c r="AU93" s="1">
        <f>IFERROR(__xludf.DUMMYFUNCTION("""COMPUTED_VALUE"""),0.0)</f>
        <v>0</v>
      </c>
      <c r="AV93" s="2" t="str">
        <f>IFERROR(__xludf.DUMMYFUNCTION("""COMPUTED_VALUE"""),"")</f>
        <v/>
      </c>
      <c r="AW93" s="1">
        <f>IFERROR(__xludf.DUMMYFUNCTION("""COMPUTED_VALUE"""),0.0)</f>
        <v>0</v>
      </c>
      <c r="AX93" s="1">
        <f>IFERROR(__xludf.DUMMYFUNCTION("""COMPUTED_VALUE"""),0.0)</f>
        <v>0</v>
      </c>
      <c r="AY93" s="2" t="str">
        <f>IFERROR(__xludf.DUMMYFUNCTION("""COMPUTED_VALUE"""),"")</f>
        <v/>
      </c>
      <c r="AZ93" s="1">
        <f>IFERROR(__xludf.DUMMYFUNCTION("""COMPUTED_VALUE"""),0.0)</f>
        <v>0</v>
      </c>
      <c r="BA93" s="1">
        <f>IFERROR(__xludf.DUMMYFUNCTION("""COMPUTED_VALUE"""),0.0)</f>
        <v>0</v>
      </c>
      <c r="BB93" s="2" t="str">
        <f>IFERROR(__xludf.DUMMYFUNCTION("""COMPUTED_VALUE"""),"")</f>
        <v/>
      </c>
    </row>
    <row r="94">
      <c r="A94" s="1" t="str">
        <f>IFERROR(__xludf.DUMMYFUNCTION("""COMPUTED_VALUE"""),"67766946b2d056a637007f82")</f>
        <v>67766946b2d056a637007f82</v>
      </c>
      <c r="B94" s="1" t="str">
        <f>IFERROR(__xludf.DUMMYFUNCTION("""COMPUTED_VALUE"""),"KIT Services LLC")</f>
        <v>KIT Services LLC</v>
      </c>
      <c r="C94" s="1" t="str">
        <f>IFERROR(__xludf.DUMMYFUNCTION("""COMPUTED_VALUE"""),"brendan.flaherty@al-enterprise.com")</f>
        <v>brendan.flaherty@al-enterprise.com</v>
      </c>
      <c r="D94" s="1" t="str">
        <f>IFERROR(__xludf.DUMMYFUNCTION("""COMPUTED_VALUE"""),"americas")</f>
        <v>americas</v>
      </c>
      <c r="E94" s="1" t="str">
        <f>IFERROR(__xludf.DUMMYFUNCTION("""COMPUTED_VALUE"""),"US")</f>
        <v>US</v>
      </c>
      <c r="F94" s="1" t="str">
        <f>IFERROR(__xludf.DUMMYFUNCTION("""COMPUTED_VALUE"""),"expert_200")</f>
        <v>expert_200</v>
      </c>
      <c r="G94" s="1">
        <f>IFERROR(__xludf.DUMMYFUNCTION("""COMPUTED_VALUE"""),0.0)</f>
        <v>0</v>
      </c>
      <c r="H94" s="1">
        <f>IFERROR(__xludf.DUMMYFUNCTION("""COMPUTED_VALUE"""),1.0)</f>
        <v>1</v>
      </c>
      <c r="I94" s="2">
        <f>IFERROR(__xludf.DUMMYFUNCTION("""COMPUTED_VALUE"""),0.0)</f>
        <v>0</v>
      </c>
      <c r="J94" s="1">
        <f>IFERROR(__xludf.DUMMYFUNCTION("""COMPUTED_VALUE"""),14.61)</f>
        <v>14.61</v>
      </c>
      <c r="K94" s="1">
        <f>IFERROR(__xludf.DUMMYFUNCTION("""COMPUTED_VALUE"""),0.0)</f>
        <v>0</v>
      </c>
      <c r="L94" s="2" t="str">
        <f>IFERROR(__xludf.DUMMYFUNCTION("""COMPUTED_VALUE"""),"")</f>
        <v/>
      </c>
      <c r="M94" s="1">
        <f>IFERROR(__xludf.DUMMYFUNCTION("""COMPUTED_VALUE"""),9.0)</f>
        <v>9</v>
      </c>
      <c r="N94" s="1">
        <f>IFERROR(__xludf.DUMMYFUNCTION("""COMPUTED_VALUE"""),0.0)</f>
        <v>0</v>
      </c>
      <c r="O94" s="2" t="str">
        <f>IFERROR(__xludf.DUMMYFUNCTION("""COMPUTED_VALUE"""),"")</f>
        <v/>
      </c>
      <c r="P94" s="1">
        <f>IFERROR(__xludf.DUMMYFUNCTION("""COMPUTED_VALUE"""),0.0)</f>
        <v>0</v>
      </c>
      <c r="Q94" s="1">
        <f>IFERROR(__xludf.DUMMYFUNCTION("""COMPUTED_VALUE"""),1.0)</f>
        <v>1</v>
      </c>
      <c r="R94" s="2">
        <f>IFERROR(__xludf.DUMMYFUNCTION("""COMPUTED_VALUE"""),0.0)</f>
        <v>0</v>
      </c>
      <c r="S94" s="1">
        <f>IFERROR(__xludf.DUMMYFUNCTION("""COMPUTED_VALUE"""),0.0)</f>
        <v>0</v>
      </c>
      <c r="T94" s="1">
        <f>IFERROR(__xludf.DUMMYFUNCTION("""COMPUTED_VALUE"""),1.0)</f>
        <v>1</v>
      </c>
      <c r="U94" s="2">
        <f>IFERROR(__xludf.DUMMYFUNCTION("""COMPUTED_VALUE"""),0.0)</f>
        <v>0</v>
      </c>
      <c r="V94" s="1">
        <f>IFERROR(__xludf.DUMMYFUNCTION("""COMPUTED_VALUE"""),0.0)</f>
        <v>0</v>
      </c>
      <c r="W94" s="1">
        <f>IFERROR(__xludf.DUMMYFUNCTION("""COMPUTED_VALUE"""),1.0)</f>
        <v>1</v>
      </c>
      <c r="X94" s="2">
        <f>IFERROR(__xludf.DUMMYFUNCTION("""COMPUTED_VALUE"""),0.0)</f>
        <v>0</v>
      </c>
      <c r="Y94" s="1">
        <f>IFERROR(__xludf.DUMMYFUNCTION("""COMPUTED_VALUE"""),0.0)</f>
        <v>0</v>
      </c>
      <c r="Z94" s="1">
        <f>IFERROR(__xludf.DUMMYFUNCTION("""COMPUTED_VALUE"""),0.0)</f>
        <v>0</v>
      </c>
      <c r="AA94" s="2" t="str">
        <f>IFERROR(__xludf.DUMMYFUNCTION("""COMPUTED_VALUE"""),"")</f>
        <v/>
      </c>
      <c r="AB94" s="1">
        <f>IFERROR(__xludf.DUMMYFUNCTION("""COMPUTED_VALUE"""),263.96)</f>
        <v>263.96</v>
      </c>
      <c r="AC94" s="1">
        <f>IFERROR(__xludf.DUMMYFUNCTION("""COMPUTED_VALUE"""),0.0)</f>
        <v>0</v>
      </c>
      <c r="AD94" s="2" t="str">
        <f>IFERROR(__xludf.DUMMYFUNCTION("""COMPUTED_VALUE"""),"")</f>
        <v/>
      </c>
      <c r="AE94" s="1">
        <f>IFERROR(__xludf.DUMMYFUNCTION("""COMPUTED_VALUE"""),263.96)</f>
        <v>263.96</v>
      </c>
      <c r="AF94" s="1">
        <f>IFERROR(__xludf.DUMMYFUNCTION("""COMPUTED_VALUE"""),0.0)</f>
        <v>0</v>
      </c>
      <c r="AG94" s="2" t="str">
        <f>IFERROR(__xludf.DUMMYFUNCTION("""COMPUTED_VALUE"""),"")</f>
        <v/>
      </c>
      <c r="AH94" s="1">
        <f>IFERROR(__xludf.DUMMYFUNCTION("""COMPUTED_VALUE"""),1031.17)</f>
        <v>1031.17</v>
      </c>
      <c r="AI94" s="1">
        <f>IFERROR(__xludf.DUMMYFUNCTION("""COMPUTED_VALUE"""),0.0)</f>
        <v>0</v>
      </c>
      <c r="AJ94" s="2" t="str">
        <f>IFERROR(__xludf.DUMMYFUNCTION("""COMPUTED_VALUE"""),"")</f>
        <v/>
      </c>
      <c r="AK94" s="1">
        <f>IFERROR(__xludf.DUMMYFUNCTION("""COMPUTED_VALUE"""),1559.0900000000001)</f>
        <v>1559.09</v>
      </c>
      <c r="AL94" s="1">
        <f>IFERROR(__xludf.DUMMYFUNCTION("""COMPUTED_VALUE"""),0.0)</f>
        <v>0</v>
      </c>
      <c r="AM94" s="2" t="str">
        <f>IFERROR(__xludf.DUMMYFUNCTION("""COMPUTED_VALUE"""),"")</f>
        <v/>
      </c>
      <c r="AN94" s="1">
        <f>IFERROR(__xludf.DUMMYFUNCTION("""COMPUTED_VALUE"""),0.0)</f>
        <v>0</v>
      </c>
      <c r="AO94" s="1">
        <f>IFERROR(__xludf.DUMMYFUNCTION("""COMPUTED_VALUE"""),0.0)</f>
        <v>0</v>
      </c>
      <c r="AP94" s="2" t="str">
        <f>IFERROR(__xludf.DUMMYFUNCTION("""COMPUTED_VALUE"""),"")</f>
        <v/>
      </c>
      <c r="AQ94" s="1">
        <f>IFERROR(__xludf.DUMMYFUNCTION("""COMPUTED_VALUE"""),949.54)</f>
        <v>949.54</v>
      </c>
      <c r="AR94" s="1">
        <f>IFERROR(__xludf.DUMMYFUNCTION("""COMPUTED_VALUE"""),0.0)</f>
        <v>0</v>
      </c>
      <c r="AS94" s="2" t="str">
        <f>IFERROR(__xludf.DUMMYFUNCTION("""COMPUTED_VALUE"""),"")</f>
        <v/>
      </c>
      <c r="AT94" s="1">
        <f>IFERROR(__xludf.DUMMYFUNCTION("""COMPUTED_VALUE"""),0.0)</f>
        <v>0</v>
      </c>
      <c r="AU94" s="1">
        <f>IFERROR(__xludf.DUMMYFUNCTION("""COMPUTED_VALUE"""),0.0)</f>
        <v>0</v>
      </c>
      <c r="AV94" s="2" t="str">
        <f>IFERROR(__xludf.DUMMYFUNCTION("""COMPUTED_VALUE"""),"")</f>
        <v/>
      </c>
      <c r="AW94" s="1">
        <f>IFERROR(__xludf.DUMMYFUNCTION("""COMPUTED_VALUE"""),0.0)</f>
        <v>0</v>
      </c>
      <c r="AX94" s="1">
        <f>IFERROR(__xludf.DUMMYFUNCTION("""COMPUTED_VALUE"""),0.0)</f>
        <v>0</v>
      </c>
      <c r="AY94" s="2" t="str">
        <f>IFERROR(__xludf.DUMMYFUNCTION("""COMPUTED_VALUE"""),"")</f>
        <v/>
      </c>
      <c r="AZ94" s="1">
        <f>IFERROR(__xludf.DUMMYFUNCTION("""COMPUTED_VALUE"""),949.54)</f>
        <v>949.54</v>
      </c>
      <c r="BA94" s="1">
        <f>IFERROR(__xludf.DUMMYFUNCTION("""COMPUTED_VALUE"""),0.0)</f>
        <v>0</v>
      </c>
      <c r="BB94" s="2" t="str">
        <f>IFERROR(__xludf.DUMMYFUNCTION("""COMPUTED_VALUE"""),"")</f>
        <v/>
      </c>
    </row>
    <row r="95">
      <c r="A95" s="1" t="str">
        <f>IFERROR(__xludf.DUMMYFUNCTION("""COMPUTED_VALUE"""),"63ced84bc5c820531c269419")</f>
        <v>63ced84bc5c820531c269419</v>
      </c>
      <c r="B95" s="1" t="str">
        <f>IFERROR(__xludf.DUMMYFUNCTION("""COMPUTED_VALUE"""),"KOMSA AG")</f>
        <v>KOMSA AG</v>
      </c>
      <c r="C95" s="1" t="str">
        <f>IFERROR(__xludf.DUMMYFUNCTION("""COMPUTED_VALUE"""),"marcel.marx@al-enterprise.com, katrin.pfeiffer@al-enterprise.com, sibylle.klopfer@al-enterprise.com, igor.leko@al-enterprise.com")</f>
        <v>marcel.marx@al-enterprise.com, katrin.pfeiffer@al-enterprise.com, sibylle.klopfer@al-enterprise.com, igor.leko@al-enterprise.com</v>
      </c>
      <c r="D95" s="1" t="str">
        <f>IFERROR(__xludf.DUMMYFUNCTION("""COMPUTED_VALUE"""),"germany")</f>
        <v>germany</v>
      </c>
      <c r="E95" s="1" t="str">
        <f>IFERROR(__xludf.DUMMYFUNCTION("""COMPUTED_VALUE"""),"DE")</f>
        <v>DE</v>
      </c>
      <c r="F95" s="1" t="str">
        <f>IFERROR(__xludf.DUMMYFUNCTION("""COMPUTED_VALUE"""),"distributor_1000")</f>
        <v>distributor_1000</v>
      </c>
      <c r="G95" s="1">
        <f>IFERROR(__xludf.DUMMYFUNCTION("""COMPUTED_VALUE"""),0.0)</f>
        <v>0</v>
      </c>
      <c r="H95" s="1">
        <f>IFERROR(__xludf.DUMMYFUNCTION("""COMPUTED_VALUE"""),1.0)</f>
        <v>1</v>
      </c>
      <c r="I95" s="2">
        <f>IFERROR(__xludf.DUMMYFUNCTION("""COMPUTED_VALUE"""),0.0)</f>
        <v>0</v>
      </c>
      <c r="J95" s="1">
        <f>IFERROR(__xludf.DUMMYFUNCTION("""COMPUTED_VALUE"""),7981.71)</f>
        <v>7981.71</v>
      </c>
      <c r="K95" s="1">
        <f>IFERROR(__xludf.DUMMYFUNCTION("""COMPUTED_VALUE"""),18900.0)</f>
        <v>18900</v>
      </c>
      <c r="L95" s="2">
        <f>IFERROR(__xludf.DUMMYFUNCTION("""COMPUTED_VALUE"""),0.4223126984126984)</f>
        <v>0.4223126984</v>
      </c>
      <c r="M95" s="1">
        <f>IFERROR(__xludf.DUMMYFUNCTION("""COMPUTED_VALUE"""),65.0)</f>
        <v>65</v>
      </c>
      <c r="N95" s="1">
        <f>IFERROR(__xludf.DUMMYFUNCTION("""COMPUTED_VALUE"""),82.0)</f>
        <v>82</v>
      </c>
      <c r="O95" s="2">
        <f>IFERROR(__xludf.DUMMYFUNCTION("""COMPUTED_VALUE"""),0.7926829268292683)</f>
        <v>0.7926829268</v>
      </c>
      <c r="P95" s="1">
        <f>IFERROR(__xludf.DUMMYFUNCTION("""COMPUTED_VALUE"""),1.0)</f>
        <v>1</v>
      </c>
      <c r="Q95" s="1">
        <f>IFERROR(__xludf.DUMMYFUNCTION("""COMPUTED_VALUE"""),1.0)</f>
        <v>1</v>
      </c>
      <c r="R95" s="2">
        <f>IFERROR(__xludf.DUMMYFUNCTION("""COMPUTED_VALUE"""),1.0)</f>
        <v>1</v>
      </c>
      <c r="S95" s="1">
        <f>IFERROR(__xludf.DUMMYFUNCTION("""COMPUTED_VALUE"""),1.0)</f>
        <v>1</v>
      </c>
      <c r="T95" s="1">
        <f>IFERROR(__xludf.DUMMYFUNCTION("""COMPUTED_VALUE"""),1.0)</f>
        <v>1</v>
      </c>
      <c r="U95" s="2">
        <f>IFERROR(__xludf.DUMMYFUNCTION("""COMPUTED_VALUE"""),1.0)</f>
        <v>1</v>
      </c>
      <c r="V95" s="1">
        <f>IFERROR(__xludf.DUMMYFUNCTION("""COMPUTED_VALUE"""),0.0)</f>
        <v>0</v>
      </c>
      <c r="W95" s="1">
        <f>IFERROR(__xludf.DUMMYFUNCTION("""COMPUTED_VALUE"""),1.0)</f>
        <v>1</v>
      </c>
      <c r="X95" s="2">
        <f>IFERROR(__xludf.DUMMYFUNCTION("""COMPUTED_VALUE"""),0.0)</f>
        <v>0</v>
      </c>
      <c r="Y95" s="1">
        <f>IFERROR(__xludf.DUMMYFUNCTION("""COMPUTED_VALUE"""),2.16)</f>
        <v>2.16</v>
      </c>
      <c r="Z95" s="1">
        <f>IFERROR(__xludf.DUMMYFUNCTION("""COMPUTED_VALUE"""),0.0)</f>
        <v>0</v>
      </c>
      <c r="AA95" s="2" t="str">
        <f>IFERROR(__xludf.DUMMYFUNCTION("""COMPUTED_VALUE"""),"")</f>
        <v/>
      </c>
      <c r="AB95" s="1">
        <f>IFERROR(__xludf.DUMMYFUNCTION("""COMPUTED_VALUE"""),15.14)</f>
        <v>15.14</v>
      </c>
      <c r="AC95" s="1">
        <f>IFERROR(__xludf.DUMMYFUNCTION("""COMPUTED_VALUE"""),9083.33)</f>
        <v>9083.33</v>
      </c>
      <c r="AD95" s="2">
        <f>IFERROR(__xludf.DUMMYFUNCTION("""COMPUTED_VALUE"""),0.0016667896024915973)</f>
        <v>0.001666789602</v>
      </c>
      <c r="AE95" s="1">
        <f>IFERROR(__xludf.DUMMYFUNCTION("""COMPUTED_VALUE"""),530.27)</f>
        <v>530.27</v>
      </c>
      <c r="AF95" s="1">
        <f>IFERROR(__xludf.DUMMYFUNCTION("""COMPUTED_VALUE"""),9083.33)</f>
        <v>9083.33</v>
      </c>
      <c r="AG95" s="2">
        <f>IFERROR(__xludf.DUMMYFUNCTION("""COMPUTED_VALUE"""),0.058378370047108274)</f>
        <v>0.05837837005</v>
      </c>
      <c r="AH95" s="1">
        <f>IFERROR(__xludf.DUMMYFUNCTION("""COMPUTED_VALUE"""),623.26)</f>
        <v>623.26</v>
      </c>
      <c r="AI95" s="1">
        <f>IFERROR(__xludf.DUMMYFUNCTION("""COMPUTED_VALUE"""),9083.33)</f>
        <v>9083.33</v>
      </c>
      <c r="AJ95" s="2">
        <f>IFERROR(__xludf.DUMMYFUNCTION("""COMPUTED_VALUE"""),0.06861580499662569)</f>
        <v>0.068615805</v>
      </c>
      <c r="AK95" s="1">
        <f>IFERROR(__xludf.DUMMYFUNCTION("""COMPUTED_VALUE"""),1170.83)</f>
        <v>1170.83</v>
      </c>
      <c r="AL95" s="1">
        <f>IFERROR(__xludf.DUMMYFUNCTION("""COMPUTED_VALUE"""),27249.989999999998)</f>
        <v>27249.99</v>
      </c>
      <c r="AM95" s="2">
        <f>IFERROR(__xludf.DUMMYFUNCTION("""COMPUTED_VALUE"""),0.042966254299542865)</f>
        <v>0.0429662543</v>
      </c>
      <c r="AN95" s="1">
        <f>IFERROR(__xludf.DUMMYFUNCTION("""COMPUTED_VALUE"""),110.46)</f>
        <v>110.46</v>
      </c>
      <c r="AO95" s="1">
        <f>IFERROR(__xludf.DUMMYFUNCTION("""COMPUTED_VALUE"""),0.0)</f>
        <v>0</v>
      </c>
      <c r="AP95" s="2" t="str">
        <f>IFERROR(__xludf.DUMMYFUNCTION("""COMPUTED_VALUE"""),"")</f>
        <v/>
      </c>
      <c r="AQ95" s="1">
        <f>IFERROR(__xludf.DUMMYFUNCTION("""COMPUTED_VALUE"""),205.25)</f>
        <v>205.25</v>
      </c>
      <c r="AR95" s="1">
        <f>IFERROR(__xludf.DUMMYFUNCTION("""COMPUTED_VALUE"""),0.0)</f>
        <v>0</v>
      </c>
      <c r="AS95" s="2" t="str">
        <f>IFERROR(__xludf.DUMMYFUNCTION("""COMPUTED_VALUE"""),"")</f>
        <v/>
      </c>
      <c r="AT95" s="1">
        <f>IFERROR(__xludf.DUMMYFUNCTION("""COMPUTED_VALUE"""),56.56)</f>
        <v>56.56</v>
      </c>
      <c r="AU95" s="1">
        <f>IFERROR(__xludf.DUMMYFUNCTION("""COMPUTED_VALUE"""),0.0)</f>
        <v>0</v>
      </c>
      <c r="AV95" s="2" t="str">
        <f>IFERROR(__xludf.DUMMYFUNCTION("""COMPUTED_VALUE"""),"")</f>
        <v/>
      </c>
      <c r="AW95" s="1">
        <f>IFERROR(__xludf.DUMMYFUNCTION("""COMPUTED_VALUE"""),67.41)</f>
        <v>67.41</v>
      </c>
      <c r="AX95" s="1">
        <f>IFERROR(__xludf.DUMMYFUNCTION("""COMPUTED_VALUE"""),0.0)</f>
        <v>0</v>
      </c>
      <c r="AY95" s="2" t="str">
        <f>IFERROR(__xludf.DUMMYFUNCTION("""COMPUTED_VALUE"""),"")</f>
        <v/>
      </c>
      <c r="AZ95" s="1">
        <f>IFERROR(__xludf.DUMMYFUNCTION("""COMPUTED_VALUE"""),439.67999999999995)</f>
        <v>439.68</v>
      </c>
      <c r="BA95" s="1">
        <f>IFERROR(__xludf.DUMMYFUNCTION("""COMPUTED_VALUE"""),0.0)</f>
        <v>0</v>
      </c>
      <c r="BB95" s="2" t="str">
        <f>IFERROR(__xludf.DUMMYFUNCTION("""COMPUTED_VALUE"""),"")</f>
        <v/>
      </c>
    </row>
    <row r="96">
      <c r="A96" s="1" t="str">
        <f>IFERROR(__xludf.DUMMYFUNCTION("""COMPUTED_VALUE"""),"6572ea531bcb0fe1330807e7")</f>
        <v>6572ea531bcb0fe1330807e7</v>
      </c>
      <c r="B96" s="1" t="str">
        <f>IFERROR(__xludf.DUMMYFUNCTION("""COMPUTED_VALUE"""),"LANRover Network Services, Inc.")</f>
        <v>LANRover Network Services, Inc.</v>
      </c>
      <c r="C96" s="1" t="str">
        <f>IFERROR(__xludf.DUMMYFUNCTION("""COMPUTED_VALUE"""),"philippe.girard@al-enterprise.com, rui.silva@al-enterprise.com, melissa.mercier@al-enterprise.com, brendan.flaherty@al-enterprise.com, michael-j.francis@al-enterprise.com, steve.aliberti@al-enterprise.com, Steve.roos@al-enterprise.com, jack.jachner@al-ent"&amp;"erprise.com")</f>
        <v>philippe.girard@al-enterprise.com, rui.silva@al-enterprise.com, melissa.mercier@al-enterprise.com, brendan.flaherty@al-enterprise.com, michael-j.francis@al-enterprise.com, steve.aliberti@al-enterprise.com, Steve.roos@al-enterprise.com, jack.jachner@al-enterprise.com</v>
      </c>
      <c r="D96" s="1" t="str">
        <f>IFERROR(__xludf.DUMMYFUNCTION("""COMPUTED_VALUE"""),"americas")</f>
        <v>americas</v>
      </c>
      <c r="E96" s="1" t="str">
        <f>IFERROR(__xludf.DUMMYFUNCTION("""COMPUTED_VALUE"""),"US")</f>
        <v>US</v>
      </c>
      <c r="F96" s="1" t="str">
        <f>IFERROR(__xludf.DUMMYFUNCTION("""COMPUTED_VALUE"""),"expert_1000")</f>
        <v>expert_1000</v>
      </c>
      <c r="G96" s="1">
        <f>IFERROR(__xludf.DUMMYFUNCTION("""COMPUTED_VALUE"""),1.0)</f>
        <v>1</v>
      </c>
      <c r="H96" s="1">
        <f>IFERROR(__xludf.DUMMYFUNCTION("""COMPUTED_VALUE"""),1.0)</f>
        <v>1</v>
      </c>
      <c r="I96" s="2">
        <f>IFERROR(__xludf.DUMMYFUNCTION("""COMPUTED_VALUE"""),1.0)</f>
        <v>1</v>
      </c>
      <c r="J96" s="1">
        <f>IFERROR(__xludf.DUMMYFUNCTION("""COMPUTED_VALUE"""),360.63)</f>
        <v>360.63</v>
      </c>
      <c r="K96" s="1">
        <f>IFERROR(__xludf.DUMMYFUNCTION("""COMPUTED_VALUE"""),1361.99)</f>
        <v>1361.99</v>
      </c>
      <c r="L96" s="2">
        <f>IFERROR(__xludf.DUMMYFUNCTION("""COMPUTED_VALUE"""),0.26478167974801575)</f>
        <v>0.2647816797</v>
      </c>
      <c r="M96" s="1">
        <f>IFERROR(__xludf.DUMMYFUNCTION("""COMPUTED_VALUE"""),28.0)</f>
        <v>28</v>
      </c>
      <c r="N96" s="1">
        <f>IFERROR(__xludf.DUMMYFUNCTION("""COMPUTED_VALUE"""),43.0)</f>
        <v>43</v>
      </c>
      <c r="O96" s="2">
        <f>IFERROR(__xludf.DUMMYFUNCTION("""COMPUTED_VALUE"""),0.6511627906976745)</f>
        <v>0.6511627907</v>
      </c>
      <c r="P96" s="1">
        <f>IFERROR(__xludf.DUMMYFUNCTION("""COMPUTED_VALUE"""),0.0)</f>
        <v>0</v>
      </c>
      <c r="Q96" s="1">
        <f>IFERROR(__xludf.DUMMYFUNCTION("""COMPUTED_VALUE"""),1.0)</f>
        <v>1</v>
      </c>
      <c r="R96" s="2">
        <f>IFERROR(__xludf.DUMMYFUNCTION("""COMPUTED_VALUE"""),0.0)</f>
        <v>0</v>
      </c>
      <c r="S96" s="1">
        <f>IFERROR(__xludf.DUMMYFUNCTION("""COMPUTED_VALUE"""),1.0)</f>
        <v>1</v>
      </c>
      <c r="T96" s="1">
        <f>IFERROR(__xludf.DUMMYFUNCTION("""COMPUTED_VALUE"""),1.0)</f>
        <v>1</v>
      </c>
      <c r="U96" s="2">
        <f>IFERROR(__xludf.DUMMYFUNCTION("""COMPUTED_VALUE"""),1.0)</f>
        <v>1</v>
      </c>
      <c r="V96" s="1">
        <f>IFERROR(__xludf.DUMMYFUNCTION("""COMPUTED_VALUE"""),1.0)</f>
        <v>1</v>
      </c>
      <c r="W96" s="1">
        <f>IFERROR(__xludf.DUMMYFUNCTION("""COMPUTED_VALUE"""),1.0)</f>
        <v>1</v>
      </c>
      <c r="X96" s="2">
        <f>IFERROR(__xludf.DUMMYFUNCTION("""COMPUTED_VALUE"""),1.0)</f>
        <v>1</v>
      </c>
      <c r="Y96" s="1">
        <f>IFERROR(__xludf.DUMMYFUNCTION("""COMPUTED_VALUE"""),28.38)</f>
        <v>28.38</v>
      </c>
      <c r="Z96" s="1">
        <f>IFERROR(__xludf.DUMMYFUNCTION("""COMPUTED_VALUE"""),0.0)</f>
        <v>0</v>
      </c>
      <c r="AA96" s="2" t="str">
        <f>IFERROR(__xludf.DUMMYFUNCTION("""COMPUTED_VALUE"""),"")</f>
        <v/>
      </c>
      <c r="AB96" s="1">
        <f>IFERROR(__xludf.DUMMYFUNCTION("""COMPUTED_VALUE"""),53.57)</f>
        <v>53.57</v>
      </c>
      <c r="AC96" s="1">
        <f>IFERROR(__xludf.DUMMYFUNCTION("""COMPUTED_VALUE"""),464.64)</f>
        <v>464.64</v>
      </c>
      <c r="AD96" s="2">
        <f>IFERROR(__xludf.DUMMYFUNCTION("""COMPUTED_VALUE"""),0.11529356060606061)</f>
        <v>0.1152935606</v>
      </c>
      <c r="AE96" s="1">
        <f>IFERROR(__xludf.DUMMYFUNCTION("""COMPUTED_VALUE"""),1242.68)</f>
        <v>1242.68</v>
      </c>
      <c r="AF96" s="1">
        <f>IFERROR(__xludf.DUMMYFUNCTION("""COMPUTED_VALUE"""),1706.67)</f>
        <v>1706.67</v>
      </c>
      <c r="AG96" s="2">
        <f>IFERROR(__xludf.DUMMYFUNCTION("""COMPUTED_VALUE"""),0.7281313903683782)</f>
        <v>0.7281313904</v>
      </c>
      <c r="AH96" s="1">
        <f>IFERROR(__xludf.DUMMYFUNCTION("""COMPUTED_VALUE"""),1035.7)</f>
        <v>1035.7</v>
      </c>
      <c r="AI96" s="1">
        <f>IFERROR(__xludf.DUMMYFUNCTION("""COMPUTED_VALUE"""),966.65)</f>
        <v>966.65</v>
      </c>
      <c r="AJ96" s="2">
        <f>IFERROR(__xludf.DUMMYFUNCTION("""COMPUTED_VALUE"""),1.0714322660735531)</f>
        <v>1.071432266</v>
      </c>
      <c r="AK96" s="1">
        <f>IFERROR(__xludf.DUMMYFUNCTION("""COMPUTED_VALUE"""),2360.33)</f>
        <v>2360.33</v>
      </c>
      <c r="AL96" s="1">
        <f>IFERROR(__xludf.DUMMYFUNCTION("""COMPUTED_VALUE"""),3137.96)</f>
        <v>3137.96</v>
      </c>
      <c r="AM96" s="2">
        <f>IFERROR(__xludf.DUMMYFUNCTION("""COMPUTED_VALUE"""),0.7521861336664585)</f>
        <v>0.7521861337</v>
      </c>
      <c r="AN96" s="1">
        <f>IFERROR(__xludf.DUMMYFUNCTION("""COMPUTED_VALUE"""),0.0)</f>
        <v>0</v>
      </c>
      <c r="AO96" s="1">
        <f>IFERROR(__xludf.DUMMYFUNCTION("""COMPUTED_VALUE"""),0.0)</f>
        <v>0</v>
      </c>
      <c r="AP96" s="2" t="str">
        <f>IFERROR(__xludf.DUMMYFUNCTION("""COMPUTED_VALUE"""),"")</f>
        <v/>
      </c>
      <c r="AQ96" s="1">
        <f>IFERROR(__xludf.DUMMYFUNCTION("""COMPUTED_VALUE"""),56.8)</f>
        <v>56.8</v>
      </c>
      <c r="AR96" s="1">
        <f>IFERROR(__xludf.DUMMYFUNCTION("""COMPUTED_VALUE"""),0.0)</f>
        <v>0</v>
      </c>
      <c r="AS96" s="2" t="str">
        <f>IFERROR(__xludf.DUMMYFUNCTION("""COMPUTED_VALUE"""),"")</f>
        <v/>
      </c>
      <c r="AT96" s="1">
        <f>IFERROR(__xludf.DUMMYFUNCTION("""COMPUTED_VALUE"""),276.76)</f>
        <v>276.76</v>
      </c>
      <c r="AU96" s="1">
        <f>IFERROR(__xludf.DUMMYFUNCTION("""COMPUTED_VALUE"""),0.0)</f>
        <v>0</v>
      </c>
      <c r="AV96" s="2" t="str">
        <f>IFERROR(__xludf.DUMMYFUNCTION("""COMPUTED_VALUE"""),"")</f>
        <v/>
      </c>
      <c r="AW96" s="1">
        <f>IFERROR(__xludf.DUMMYFUNCTION("""COMPUTED_VALUE"""),0.0)</f>
        <v>0</v>
      </c>
      <c r="AX96" s="1">
        <f>IFERROR(__xludf.DUMMYFUNCTION("""COMPUTED_VALUE"""),0.0)</f>
        <v>0</v>
      </c>
      <c r="AY96" s="2" t="str">
        <f>IFERROR(__xludf.DUMMYFUNCTION("""COMPUTED_VALUE"""),"")</f>
        <v/>
      </c>
      <c r="AZ96" s="1">
        <f>IFERROR(__xludf.DUMMYFUNCTION("""COMPUTED_VALUE"""),333.56)</f>
        <v>333.56</v>
      </c>
      <c r="BA96" s="1">
        <f>IFERROR(__xludf.DUMMYFUNCTION("""COMPUTED_VALUE"""),0.0)</f>
        <v>0</v>
      </c>
      <c r="BB96" s="2" t="str">
        <f>IFERROR(__xludf.DUMMYFUNCTION("""COMPUTED_VALUE"""),"")</f>
        <v/>
      </c>
    </row>
    <row r="97">
      <c r="A97" s="1" t="str">
        <f>IFERROR(__xludf.DUMMYFUNCTION("""COMPUTED_VALUE"""),"63ef9d57384f27260c1ba351")</f>
        <v>63ef9d57384f27260c1ba351</v>
      </c>
      <c r="B97" s="1" t="str">
        <f>IFERROR(__xludf.DUMMYFUNCTION("""COMPUTED_VALUE"""),"LCN- Division of EG Sawyer Co Inc")</f>
        <v>LCN- Division of EG Sawyer Co Inc</v>
      </c>
      <c r="C97" s="1" t="str">
        <f>IFERROR(__xludf.DUMMYFUNCTION("""COMPUTED_VALUE"""),"brendan.flaherty@al-enterprise.com, eric.bumann@al-enterprise.com")</f>
        <v>brendan.flaherty@al-enterprise.com, eric.bumann@al-enterprise.com</v>
      </c>
      <c r="D97" s="1" t="str">
        <f>IFERROR(__xludf.DUMMYFUNCTION("""COMPUTED_VALUE"""),"americas")</f>
        <v>americas</v>
      </c>
      <c r="E97" s="1" t="str">
        <f>IFERROR(__xludf.DUMMYFUNCTION("""COMPUTED_VALUE"""),"US")</f>
        <v>US</v>
      </c>
      <c r="F97" s="1" t="str">
        <f>IFERROR(__xludf.DUMMYFUNCTION("""COMPUTED_VALUE"""),"expert_200")</f>
        <v>expert_200</v>
      </c>
      <c r="G97" s="1">
        <f>IFERROR(__xludf.DUMMYFUNCTION("""COMPUTED_VALUE"""),0.0)</f>
        <v>0</v>
      </c>
      <c r="H97" s="1">
        <f>IFERROR(__xludf.DUMMYFUNCTION("""COMPUTED_VALUE"""),1.0)</f>
        <v>1</v>
      </c>
      <c r="I97" s="2">
        <f>IFERROR(__xludf.DUMMYFUNCTION("""COMPUTED_VALUE"""),0.0)</f>
        <v>0</v>
      </c>
      <c r="J97" s="1">
        <f>IFERROR(__xludf.DUMMYFUNCTION("""COMPUTED_VALUE"""),399.51)</f>
        <v>399.51</v>
      </c>
      <c r="K97" s="1">
        <f>IFERROR(__xludf.DUMMYFUNCTION("""COMPUTED_VALUE"""),687.99)</f>
        <v>687.99</v>
      </c>
      <c r="L97" s="2">
        <f>IFERROR(__xludf.DUMMYFUNCTION("""COMPUTED_VALUE"""),0.5806915798194741)</f>
        <v>0.5806915798</v>
      </c>
      <c r="M97" s="1">
        <f>IFERROR(__xludf.DUMMYFUNCTION("""COMPUTED_VALUE"""),6.0)</f>
        <v>6</v>
      </c>
      <c r="N97" s="1">
        <f>IFERROR(__xludf.DUMMYFUNCTION("""COMPUTED_VALUE"""),52.0)</f>
        <v>52</v>
      </c>
      <c r="O97" s="2">
        <f>IFERROR(__xludf.DUMMYFUNCTION("""COMPUTED_VALUE"""),0.11538461538461539)</f>
        <v>0.1153846154</v>
      </c>
      <c r="P97" s="1">
        <f>IFERROR(__xludf.DUMMYFUNCTION("""COMPUTED_VALUE"""),0.0)</f>
        <v>0</v>
      </c>
      <c r="Q97" s="1">
        <f>IFERROR(__xludf.DUMMYFUNCTION("""COMPUTED_VALUE"""),1.0)</f>
        <v>1</v>
      </c>
      <c r="R97" s="2">
        <f>IFERROR(__xludf.DUMMYFUNCTION("""COMPUTED_VALUE"""),0.0)</f>
        <v>0</v>
      </c>
      <c r="S97" s="1">
        <f>IFERROR(__xludf.DUMMYFUNCTION("""COMPUTED_VALUE"""),0.0)</f>
        <v>0</v>
      </c>
      <c r="T97" s="1">
        <f>IFERROR(__xludf.DUMMYFUNCTION("""COMPUTED_VALUE"""),1.0)</f>
        <v>1</v>
      </c>
      <c r="U97" s="2">
        <f>IFERROR(__xludf.DUMMYFUNCTION("""COMPUTED_VALUE"""),0.0)</f>
        <v>0</v>
      </c>
      <c r="V97" s="1">
        <f>IFERROR(__xludf.DUMMYFUNCTION("""COMPUTED_VALUE"""),0.0)</f>
        <v>0</v>
      </c>
      <c r="W97" s="1">
        <f>IFERROR(__xludf.DUMMYFUNCTION("""COMPUTED_VALUE"""),1.0)</f>
        <v>1</v>
      </c>
      <c r="X97" s="2">
        <f>IFERROR(__xludf.DUMMYFUNCTION("""COMPUTED_VALUE"""),0.0)</f>
        <v>0</v>
      </c>
      <c r="Y97" s="1">
        <f>IFERROR(__xludf.DUMMYFUNCTION("""COMPUTED_VALUE"""),8.57)</f>
        <v>8.57</v>
      </c>
      <c r="Z97" s="1">
        <f>IFERROR(__xludf.DUMMYFUNCTION("""COMPUTED_VALUE"""),0.0)</f>
        <v>0</v>
      </c>
      <c r="AA97" s="2" t="str">
        <f>IFERROR(__xludf.DUMMYFUNCTION("""COMPUTED_VALUE"""),"")</f>
        <v/>
      </c>
      <c r="AB97" s="1">
        <f>IFERROR(__xludf.DUMMYFUNCTION("""COMPUTED_VALUE"""),16.47)</f>
        <v>16.47</v>
      </c>
      <c r="AC97" s="1">
        <f>IFERROR(__xludf.DUMMYFUNCTION("""COMPUTED_VALUE"""),383.33)</f>
        <v>383.33</v>
      </c>
      <c r="AD97" s="2">
        <f>IFERROR(__xludf.DUMMYFUNCTION("""COMPUTED_VALUE"""),0.04296559100513917)</f>
        <v>0.04296559101</v>
      </c>
      <c r="AE97" s="1">
        <f>IFERROR(__xludf.DUMMYFUNCTION("""COMPUTED_VALUE"""),194.91)</f>
        <v>194.91</v>
      </c>
      <c r="AF97" s="1">
        <f>IFERROR(__xludf.DUMMYFUNCTION("""COMPUTED_VALUE"""),572.21)</f>
        <v>572.21</v>
      </c>
      <c r="AG97" s="2">
        <f>IFERROR(__xludf.DUMMYFUNCTION("""COMPUTED_VALUE"""),0.3406266929973261)</f>
        <v>0.340626693</v>
      </c>
      <c r="AH97" s="1">
        <f>IFERROR(__xludf.DUMMYFUNCTION("""COMPUTED_VALUE"""),44.0)</f>
        <v>44</v>
      </c>
      <c r="AI97" s="1">
        <f>IFERROR(__xludf.DUMMYFUNCTION("""COMPUTED_VALUE"""),572.21)</f>
        <v>572.21</v>
      </c>
      <c r="AJ97" s="2">
        <f>IFERROR(__xludf.DUMMYFUNCTION("""COMPUTED_VALUE"""),0.0768948462976879)</f>
        <v>0.0768948463</v>
      </c>
      <c r="AK97" s="1">
        <f>IFERROR(__xludf.DUMMYFUNCTION("""COMPUTED_VALUE"""),263.95)</f>
        <v>263.95</v>
      </c>
      <c r="AL97" s="1">
        <f>IFERROR(__xludf.DUMMYFUNCTION("""COMPUTED_VALUE"""),1527.75)</f>
        <v>1527.75</v>
      </c>
      <c r="AM97" s="2">
        <f>IFERROR(__xludf.DUMMYFUNCTION("""COMPUTED_VALUE"""),0.1727704140075274)</f>
        <v>0.172770414</v>
      </c>
      <c r="AN97" s="1">
        <f>IFERROR(__xludf.DUMMYFUNCTION("""COMPUTED_VALUE"""),0.0)</f>
        <v>0</v>
      </c>
      <c r="AO97" s="1">
        <f>IFERROR(__xludf.DUMMYFUNCTION("""COMPUTED_VALUE"""),0.0)</f>
        <v>0</v>
      </c>
      <c r="AP97" s="2" t="str">
        <f>IFERROR(__xludf.DUMMYFUNCTION("""COMPUTED_VALUE"""),"")</f>
        <v/>
      </c>
      <c r="AQ97" s="1">
        <f>IFERROR(__xludf.DUMMYFUNCTION("""COMPUTED_VALUE"""),0.0)</f>
        <v>0</v>
      </c>
      <c r="AR97" s="1">
        <f>IFERROR(__xludf.DUMMYFUNCTION("""COMPUTED_VALUE"""),0.0)</f>
        <v>0</v>
      </c>
      <c r="AS97" s="2" t="str">
        <f>IFERROR(__xludf.DUMMYFUNCTION("""COMPUTED_VALUE"""),"")</f>
        <v/>
      </c>
      <c r="AT97" s="1">
        <f>IFERROR(__xludf.DUMMYFUNCTION("""COMPUTED_VALUE"""),0.0)</f>
        <v>0</v>
      </c>
      <c r="AU97" s="1">
        <f>IFERROR(__xludf.DUMMYFUNCTION("""COMPUTED_VALUE"""),0.0)</f>
        <v>0</v>
      </c>
      <c r="AV97" s="2" t="str">
        <f>IFERROR(__xludf.DUMMYFUNCTION("""COMPUTED_VALUE"""),"")</f>
        <v/>
      </c>
      <c r="AW97" s="1">
        <f>IFERROR(__xludf.DUMMYFUNCTION("""COMPUTED_VALUE"""),0.0)</f>
        <v>0</v>
      </c>
      <c r="AX97" s="1">
        <f>IFERROR(__xludf.DUMMYFUNCTION("""COMPUTED_VALUE"""),0.0)</f>
        <v>0</v>
      </c>
      <c r="AY97" s="2" t="str">
        <f>IFERROR(__xludf.DUMMYFUNCTION("""COMPUTED_VALUE"""),"")</f>
        <v/>
      </c>
      <c r="AZ97" s="1">
        <f>IFERROR(__xludf.DUMMYFUNCTION("""COMPUTED_VALUE"""),0.0)</f>
        <v>0</v>
      </c>
      <c r="BA97" s="1">
        <f>IFERROR(__xludf.DUMMYFUNCTION("""COMPUTED_VALUE"""),0.0)</f>
        <v>0</v>
      </c>
      <c r="BB97" s="2" t="str">
        <f>IFERROR(__xludf.DUMMYFUNCTION("""COMPUTED_VALUE"""),"")</f>
        <v/>
      </c>
    </row>
    <row r="98">
      <c r="A98" s="1" t="str">
        <f>IFERROR(__xludf.DUMMYFUNCTION("""COMPUTED_VALUE"""),"63ced849c5c820531c268e2e")</f>
        <v>63ced849c5c820531c268e2e</v>
      </c>
      <c r="B98" s="1" t="str">
        <f>IFERROR(__xludf.DUMMYFUNCTION("""COMPUTED_VALUE"""),"LETTEL DISTRIBUIDORA DE TELEFONIA")</f>
        <v>LETTEL DISTRIBUIDORA DE TELEFONIA</v>
      </c>
      <c r="C98" s="1" t="str">
        <f>IFERROR(__xludf.DUMMYFUNCTION("""COMPUTED_VALUE"""),"gabriel.pires@al-enterprise.com")</f>
        <v>gabriel.pires@al-enterprise.com</v>
      </c>
      <c r="D98" s="1" t="str">
        <f>IFERROR(__xludf.DUMMYFUNCTION("""COMPUTED_VALUE"""),"americas")</f>
        <v>americas</v>
      </c>
      <c r="E98" s="1" t="str">
        <f>IFERROR(__xludf.DUMMYFUNCTION("""COMPUTED_VALUE"""),"BR")</f>
        <v>BR</v>
      </c>
      <c r="F98" s="1" t="str">
        <f>IFERROR(__xludf.DUMMYFUNCTION("""COMPUTED_VALUE"""),"distributor_1000")</f>
        <v>distributor_1000</v>
      </c>
      <c r="G98" s="1">
        <f>IFERROR(__xludf.DUMMYFUNCTION("""COMPUTED_VALUE"""),1.0)</f>
        <v>1</v>
      </c>
      <c r="H98" s="1">
        <f>IFERROR(__xludf.DUMMYFUNCTION("""COMPUTED_VALUE"""),1.0)</f>
        <v>1</v>
      </c>
      <c r="I98" s="2">
        <f>IFERROR(__xludf.DUMMYFUNCTION("""COMPUTED_VALUE"""),1.0)</f>
        <v>1</v>
      </c>
      <c r="J98" s="1">
        <f>IFERROR(__xludf.DUMMYFUNCTION("""COMPUTED_VALUE"""),1075.83)</f>
        <v>1075.83</v>
      </c>
      <c r="K98" s="1">
        <f>IFERROR(__xludf.DUMMYFUNCTION("""COMPUTED_VALUE"""),5999.95)</f>
        <v>5999.95</v>
      </c>
      <c r="L98" s="2">
        <f>IFERROR(__xludf.DUMMYFUNCTION("""COMPUTED_VALUE"""),0.17930649422078518)</f>
        <v>0.1793064942</v>
      </c>
      <c r="M98" s="1">
        <f>IFERROR(__xludf.DUMMYFUNCTION("""COMPUTED_VALUE"""),50.0)</f>
        <v>50</v>
      </c>
      <c r="N98" s="1">
        <f>IFERROR(__xludf.DUMMYFUNCTION("""COMPUTED_VALUE"""),66.0)</f>
        <v>66</v>
      </c>
      <c r="O98" s="2">
        <f>IFERROR(__xludf.DUMMYFUNCTION("""COMPUTED_VALUE"""),0.7575757575757576)</f>
        <v>0.7575757576</v>
      </c>
      <c r="P98" s="1">
        <f>IFERROR(__xludf.DUMMYFUNCTION("""COMPUTED_VALUE"""),1.0)</f>
        <v>1</v>
      </c>
      <c r="Q98" s="1">
        <f>IFERROR(__xludf.DUMMYFUNCTION("""COMPUTED_VALUE"""),1.0)</f>
        <v>1</v>
      </c>
      <c r="R98" s="2">
        <f>IFERROR(__xludf.DUMMYFUNCTION("""COMPUTED_VALUE"""),1.0)</f>
        <v>1</v>
      </c>
      <c r="S98" s="1">
        <f>IFERROR(__xludf.DUMMYFUNCTION("""COMPUTED_VALUE"""),1.0)</f>
        <v>1</v>
      </c>
      <c r="T98" s="1">
        <f>IFERROR(__xludf.DUMMYFUNCTION("""COMPUTED_VALUE"""),1.0)</f>
        <v>1</v>
      </c>
      <c r="U98" s="2">
        <f>IFERROR(__xludf.DUMMYFUNCTION("""COMPUTED_VALUE"""),1.0)</f>
        <v>1</v>
      </c>
      <c r="V98" s="1">
        <f>IFERROR(__xludf.DUMMYFUNCTION("""COMPUTED_VALUE"""),1.0)</f>
        <v>1</v>
      </c>
      <c r="W98" s="1">
        <f>IFERROR(__xludf.DUMMYFUNCTION("""COMPUTED_VALUE"""),1.0)</f>
        <v>1</v>
      </c>
      <c r="X98" s="2">
        <f>IFERROR(__xludf.DUMMYFUNCTION("""COMPUTED_VALUE"""),1.0)</f>
        <v>1</v>
      </c>
      <c r="Y98" s="1">
        <f>IFERROR(__xludf.DUMMYFUNCTION("""COMPUTED_VALUE"""),0.72)</f>
        <v>0.72</v>
      </c>
      <c r="Z98" s="1">
        <f>IFERROR(__xludf.DUMMYFUNCTION("""COMPUTED_VALUE"""),0.0)</f>
        <v>0</v>
      </c>
      <c r="AA98" s="2" t="str">
        <f>IFERROR(__xludf.DUMMYFUNCTION("""COMPUTED_VALUE"""),"")</f>
        <v/>
      </c>
      <c r="AB98" s="1">
        <f>IFERROR(__xludf.DUMMYFUNCTION("""COMPUTED_VALUE"""),67.47)</f>
        <v>67.47</v>
      </c>
      <c r="AC98" s="1">
        <f>IFERROR(__xludf.DUMMYFUNCTION("""COMPUTED_VALUE"""),2545.43)</f>
        <v>2545.43</v>
      </c>
      <c r="AD98" s="2">
        <f>IFERROR(__xludf.DUMMYFUNCTION("""COMPUTED_VALUE"""),0.026506327025296317)</f>
        <v>0.02650632703</v>
      </c>
      <c r="AE98" s="1">
        <f>IFERROR(__xludf.DUMMYFUNCTION("""COMPUTED_VALUE"""),361.28)</f>
        <v>361.28</v>
      </c>
      <c r="AF98" s="1">
        <f>IFERROR(__xludf.DUMMYFUNCTION("""COMPUTED_VALUE"""),2981.8)</f>
        <v>2981.8</v>
      </c>
      <c r="AG98" s="2">
        <f>IFERROR(__xludf.DUMMYFUNCTION("""COMPUTED_VALUE"""),0.12116171440069755)</f>
        <v>0.1211617144</v>
      </c>
      <c r="AH98" s="1">
        <f>IFERROR(__xludf.DUMMYFUNCTION("""COMPUTED_VALUE"""),4504.09)</f>
        <v>4504.09</v>
      </c>
      <c r="AI98" s="1">
        <f>IFERROR(__xludf.DUMMYFUNCTION("""COMPUTED_VALUE"""),3018.16)</f>
        <v>3018.16</v>
      </c>
      <c r="AJ98" s="2">
        <f>IFERROR(__xludf.DUMMYFUNCTION("""COMPUTED_VALUE"""),1.4923297638296182)</f>
        <v>1.492329764</v>
      </c>
      <c r="AK98" s="1">
        <f>IFERROR(__xludf.DUMMYFUNCTION("""COMPUTED_VALUE"""),4933.56)</f>
        <v>4933.56</v>
      </c>
      <c r="AL98" s="1">
        <f>IFERROR(__xludf.DUMMYFUNCTION("""COMPUTED_VALUE"""),8545.39)</f>
        <v>8545.39</v>
      </c>
      <c r="AM98" s="2">
        <f>IFERROR(__xludf.DUMMYFUNCTION("""COMPUTED_VALUE"""),0.5773358500899316)</f>
        <v>0.5773358501</v>
      </c>
      <c r="AN98" s="1">
        <f>IFERROR(__xludf.DUMMYFUNCTION("""COMPUTED_VALUE"""),2.63)</f>
        <v>2.63</v>
      </c>
      <c r="AO98" s="1">
        <f>IFERROR(__xludf.DUMMYFUNCTION("""COMPUTED_VALUE"""),0.0)</f>
        <v>0</v>
      </c>
      <c r="AP98" s="2" t="str">
        <f>IFERROR(__xludf.DUMMYFUNCTION("""COMPUTED_VALUE"""),"")</f>
        <v/>
      </c>
      <c r="AQ98" s="1">
        <f>IFERROR(__xludf.DUMMYFUNCTION("""COMPUTED_VALUE"""),35.53)</f>
        <v>35.53</v>
      </c>
      <c r="AR98" s="1">
        <f>IFERROR(__xludf.DUMMYFUNCTION("""COMPUTED_VALUE"""),0.0)</f>
        <v>0</v>
      </c>
      <c r="AS98" s="2" t="str">
        <f>IFERROR(__xludf.DUMMYFUNCTION("""COMPUTED_VALUE"""),"")</f>
        <v/>
      </c>
      <c r="AT98" s="1">
        <f>IFERROR(__xludf.DUMMYFUNCTION("""COMPUTED_VALUE"""),0.0)</f>
        <v>0</v>
      </c>
      <c r="AU98" s="1">
        <f>IFERROR(__xludf.DUMMYFUNCTION("""COMPUTED_VALUE"""),0.0)</f>
        <v>0</v>
      </c>
      <c r="AV98" s="2" t="str">
        <f>IFERROR(__xludf.DUMMYFUNCTION("""COMPUTED_VALUE"""),"")</f>
        <v/>
      </c>
      <c r="AW98" s="1">
        <f>IFERROR(__xludf.DUMMYFUNCTION("""COMPUTED_VALUE"""),51.32)</f>
        <v>51.32</v>
      </c>
      <c r="AX98" s="1">
        <f>IFERROR(__xludf.DUMMYFUNCTION("""COMPUTED_VALUE"""),0.0)</f>
        <v>0</v>
      </c>
      <c r="AY98" s="2" t="str">
        <f>IFERROR(__xludf.DUMMYFUNCTION("""COMPUTED_VALUE"""),"")</f>
        <v/>
      </c>
      <c r="AZ98" s="1">
        <f>IFERROR(__xludf.DUMMYFUNCTION("""COMPUTED_VALUE"""),89.48)</f>
        <v>89.48</v>
      </c>
      <c r="BA98" s="1">
        <f>IFERROR(__xludf.DUMMYFUNCTION("""COMPUTED_VALUE"""),0.0)</f>
        <v>0</v>
      </c>
      <c r="BB98" s="2" t="str">
        <f>IFERROR(__xludf.DUMMYFUNCTION("""COMPUTED_VALUE"""),"")</f>
        <v/>
      </c>
    </row>
    <row r="99">
      <c r="A99" s="1" t="str">
        <f>IFERROR(__xludf.DUMMYFUNCTION("""COMPUTED_VALUE"""),"63ea6e9352ad6968805ceb5f")</f>
        <v>63ea6e9352ad6968805ceb5f</v>
      </c>
      <c r="B99" s="1" t="str">
        <f>IFERROR(__xludf.DUMMYFUNCTION("""COMPUTED_VALUE"""),"link protect GmbH")</f>
        <v>link protect GmbH</v>
      </c>
      <c r="C99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99" s="1" t="str">
        <f>IFERROR(__xludf.DUMMYFUNCTION("""COMPUTED_VALUE"""),"germany")</f>
        <v>germany</v>
      </c>
      <c r="E99" s="1" t="str">
        <f>IFERROR(__xludf.DUMMYFUNCTION("""COMPUTED_VALUE"""),"DE")</f>
        <v>DE</v>
      </c>
      <c r="F99" s="1" t="str">
        <f>IFERROR(__xludf.DUMMYFUNCTION("""COMPUTED_VALUE"""),"expert_1000")</f>
        <v>expert_1000</v>
      </c>
      <c r="G99" s="1">
        <f>IFERROR(__xludf.DUMMYFUNCTION("""COMPUTED_VALUE"""),0.0)</f>
        <v>0</v>
      </c>
      <c r="H99" s="1">
        <f>IFERROR(__xludf.DUMMYFUNCTION("""COMPUTED_VALUE"""),1.0)</f>
        <v>1</v>
      </c>
      <c r="I99" s="2">
        <f>IFERROR(__xludf.DUMMYFUNCTION("""COMPUTED_VALUE"""),0.0)</f>
        <v>0</v>
      </c>
      <c r="J99" s="1">
        <f>IFERROR(__xludf.DUMMYFUNCTION("""COMPUTED_VALUE"""),310.88)</f>
        <v>310.88</v>
      </c>
      <c r="K99" s="1">
        <f>IFERROR(__xludf.DUMMYFUNCTION("""COMPUTED_VALUE"""),1000.0)</f>
        <v>1000</v>
      </c>
      <c r="L99" s="2">
        <f>IFERROR(__xludf.DUMMYFUNCTION("""COMPUTED_VALUE"""),0.31088)</f>
        <v>0.31088</v>
      </c>
      <c r="M99" s="1">
        <f>IFERROR(__xludf.DUMMYFUNCTION("""COMPUTED_VALUE"""),12.0)</f>
        <v>12</v>
      </c>
      <c r="N99" s="1">
        <f>IFERROR(__xludf.DUMMYFUNCTION("""COMPUTED_VALUE"""),52.0)</f>
        <v>52</v>
      </c>
      <c r="O99" s="2">
        <f>IFERROR(__xludf.DUMMYFUNCTION("""COMPUTED_VALUE"""),0.23076923076923078)</f>
        <v>0.2307692308</v>
      </c>
      <c r="P99" s="1">
        <f>IFERROR(__xludf.DUMMYFUNCTION("""COMPUTED_VALUE"""),0.0)</f>
        <v>0</v>
      </c>
      <c r="Q99" s="1">
        <f>IFERROR(__xludf.DUMMYFUNCTION("""COMPUTED_VALUE"""),1.0)</f>
        <v>1</v>
      </c>
      <c r="R99" s="2">
        <f>IFERROR(__xludf.DUMMYFUNCTION("""COMPUTED_VALUE"""),0.0)</f>
        <v>0</v>
      </c>
      <c r="S99" s="1">
        <f>IFERROR(__xludf.DUMMYFUNCTION("""COMPUTED_VALUE"""),1.0)</f>
        <v>1</v>
      </c>
      <c r="T99" s="1">
        <f>IFERROR(__xludf.DUMMYFUNCTION("""COMPUTED_VALUE"""),1.0)</f>
        <v>1</v>
      </c>
      <c r="U99" s="2">
        <f>IFERROR(__xludf.DUMMYFUNCTION("""COMPUTED_VALUE"""),1.0)</f>
        <v>1</v>
      </c>
      <c r="V99" s="1">
        <f>IFERROR(__xludf.DUMMYFUNCTION("""COMPUTED_VALUE"""),0.0)</f>
        <v>0</v>
      </c>
      <c r="W99" s="1">
        <f>IFERROR(__xludf.DUMMYFUNCTION("""COMPUTED_VALUE"""),1.0)</f>
        <v>1</v>
      </c>
      <c r="X99" s="2">
        <f>IFERROR(__xludf.DUMMYFUNCTION("""COMPUTED_VALUE"""),0.0)</f>
        <v>0</v>
      </c>
      <c r="Y99" s="1">
        <f>IFERROR(__xludf.DUMMYFUNCTION("""COMPUTED_VALUE"""),45.0)</f>
        <v>45</v>
      </c>
      <c r="Z99" s="1">
        <f>IFERROR(__xludf.DUMMYFUNCTION("""COMPUTED_VALUE"""),0.0)</f>
        <v>0</v>
      </c>
      <c r="AA99" s="2" t="str">
        <f>IFERROR(__xludf.DUMMYFUNCTION("""COMPUTED_VALUE"""),"")</f>
        <v/>
      </c>
      <c r="AB99" s="1">
        <f>IFERROR(__xludf.DUMMYFUNCTION("""COMPUTED_VALUE"""),50.0)</f>
        <v>50</v>
      </c>
      <c r="AC99" s="1">
        <f>IFERROR(__xludf.DUMMYFUNCTION("""COMPUTED_VALUE"""),500.0)</f>
        <v>500</v>
      </c>
      <c r="AD99" s="2">
        <f>IFERROR(__xludf.DUMMYFUNCTION("""COMPUTED_VALUE"""),0.1)</f>
        <v>0.1</v>
      </c>
      <c r="AE99" s="1">
        <f>IFERROR(__xludf.DUMMYFUNCTION("""COMPUTED_VALUE"""),111.99)</f>
        <v>111.99</v>
      </c>
      <c r="AF99" s="1">
        <f>IFERROR(__xludf.DUMMYFUNCTION("""COMPUTED_VALUE"""),750.0)</f>
        <v>750</v>
      </c>
      <c r="AG99" s="2">
        <f>IFERROR(__xludf.DUMMYFUNCTION("""COMPUTED_VALUE"""),0.14931999999999998)</f>
        <v>0.14932</v>
      </c>
      <c r="AH99" s="1">
        <f>IFERROR(__xludf.DUMMYFUNCTION("""COMPUTED_VALUE"""),4463.3)</f>
        <v>4463.3</v>
      </c>
      <c r="AI99" s="1">
        <f>IFERROR(__xludf.DUMMYFUNCTION("""COMPUTED_VALUE"""),750.0)</f>
        <v>750</v>
      </c>
      <c r="AJ99" s="2">
        <f>IFERROR(__xludf.DUMMYFUNCTION("""COMPUTED_VALUE"""),5.951066666666667)</f>
        <v>5.951066667</v>
      </c>
      <c r="AK99" s="1">
        <f>IFERROR(__xludf.DUMMYFUNCTION("""COMPUTED_VALUE"""),4670.29)</f>
        <v>4670.29</v>
      </c>
      <c r="AL99" s="1">
        <f>IFERROR(__xludf.DUMMYFUNCTION("""COMPUTED_VALUE"""),2000.0)</f>
        <v>2000</v>
      </c>
      <c r="AM99" s="2">
        <f>IFERROR(__xludf.DUMMYFUNCTION("""COMPUTED_VALUE"""),2.335145)</f>
        <v>2.335145</v>
      </c>
      <c r="AN99" s="1">
        <f>IFERROR(__xludf.DUMMYFUNCTION("""COMPUTED_VALUE"""),0.0)</f>
        <v>0</v>
      </c>
      <c r="AO99" s="1">
        <f>IFERROR(__xludf.DUMMYFUNCTION("""COMPUTED_VALUE"""),0.0)</f>
        <v>0</v>
      </c>
      <c r="AP99" s="2" t="str">
        <f>IFERROR(__xludf.DUMMYFUNCTION("""COMPUTED_VALUE"""),"")</f>
        <v/>
      </c>
      <c r="AQ99" s="1">
        <f>IFERROR(__xludf.DUMMYFUNCTION("""COMPUTED_VALUE"""),165.0)</f>
        <v>165</v>
      </c>
      <c r="AR99" s="1">
        <f>IFERROR(__xludf.DUMMYFUNCTION("""COMPUTED_VALUE"""),0.0)</f>
        <v>0</v>
      </c>
      <c r="AS99" s="2" t="str">
        <f>IFERROR(__xludf.DUMMYFUNCTION("""COMPUTED_VALUE"""),"")</f>
        <v/>
      </c>
      <c r="AT99" s="1">
        <f>IFERROR(__xludf.DUMMYFUNCTION("""COMPUTED_VALUE"""),0.0)</f>
        <v>0</v>
      </c>
      <c r="AU99" s="1">
        <f>IFERROR(__xludf.DUMMYFUNCTION("""COMPUTED_VALUE"""),0.0)</f>
        <v>0</v>
      </c>
      <c r="AV99" s="2" t="str">
        <f>IFERROR(__xludf.DUMMYFUNCTION("""COMPUTED_VALUE"""),"")</f>
        <v/>
      </c>
      <c r="AW99" s="1">
        <f>IFERROR(__xludf.DUMMYFUNCTION("""COMPUTED_VALUE"""),0.0)</f>
        <v>0</v>
      </c>
      <c r="AX99" s="1">
        <f>IFERROR(__xludf.DUMMYFUNCTION("""COMPUTED_VALUE"""),0.0)</f>
        <v>0</v>
      </c>
      <c r="AY99" s="2" t="str">
        <f>IFERROR(__xludf.DUMMYFUNCTION("""COMPUTED_VALUE"""),"")</f>
        <v/>
      </c>
      <c r="AZ99" s="1">
        <f>IFERROR(__xludf.DUMMYFUNCTION("""COMPUTED_VALUE"""),165.0)</f>
        <v>165</v>
      </c>
      <c r="BA99" s="1">
        <f>IFERROR(__xludf.DUMMYFUNCTION("""COMPUTED_VALUE"""),0.0)</f>
        <v>0</v>
      </c>
      <c r="BB99" s="2" t="str">
        <f>IFERROR(__xludf.DUMMYFUNCTION("""COMPUTED_VALUE"""),"")</f>
        <v/>
      </c>
    </row>
    <row r="100">
      <c r="A100" s="1" t="str">
        <f>IFERROR(__xludf.DUMMYFUNCTION("""COMPUTED_VALUE"""),"63ced84dc5c820531c269743")</f>
        <v>63ced84dc5c820531c269743</v>
      </c>
      <c r="B100" s="1" t="str">
        <f>IFERROR(__xludf.DUMMYFUNCTION("""COMPUTED_VALUE"""),"Logical Systems, Inc.")</f>
        <v>Logical Systems, Inc.</v>
      </c>
      <c r="C100" s="1" t="str">
        <f>IFERROR(__xludf.DUMMYFUNCTION("""COMPUTED_VALUE"""),"luigy.estevanell@al-enterprise.com")</f>
        <v>luigy.estevanell@al-enterprise.com</v>
      </c>
      <c r="D100" s="1" t="str">
        <f>IFERROR(__xludf.DUMMYFUNCTION("""COMPUTED_VALUE"""),"americas")</f>
        <v>americas</v>
      </c>
      <c r="E100" s="1" t="str">
        <f>IFERROR(__xludf.DUMMYFUNCTION("""COMPUTED_VALUE"""),"US")</f>
        <v>US</v>
      </c>
      <c r="F100" s="1" t="str">
        <f>IFERROR(__xludf.DUMMYFUNCTION("""COMPUTED_VALUE"""),"expert_200")</f>
        <v>expert_200</v>
      </c>
      <c r="G100" s="1">
        <f>IFERROR(__xludf.DUMMYFUNCTION("""COMPUTED_VALUE"""),0.0)</f>
        <v>0</v>
      </c>
      <c r="H100" s="1">
        <f>IFERROR(__xludf.DUMMYFUNCTION("""COMPUTED_VALUE"""),1.0)</f>
        <v>1</v>
      </c>
      <c r="I100" s="2">
        <f>IFERROR(__xludf.DUMMYFUNCTION("""COMPUTED_VALUE"""),0.0)</f>
        <v>0</v>
      </c>
      <c r="J100" s="1">
        <f>IFERROR(__xludf.DUMMYFUNCTION("""COMPUTED_VALUE"""),28.73)</f>
        <v>28.73</v>
      </c>
      <c r="K100" s="1">
        <f>IFERROR(__xludf.DUMMYFUNCTION("""COMPUTED_VALUE"""),124.8)</f>
        <v>124.8</v>
      </c>
      <c r="L100" s="2">
        <f>IFERROR(__xludf.DUMMYFUNCTION("""COMPUTED_VALUE"""),0.23020833333333335)</f>
        <v>0.2302083333</v>
      </c>
      <c r="M100" s="1">
        <f>IFERROR(__xludf.DUMMYFUNCTION("""COMPUTED_VALUE"""),0.0)</f>
        <v>0</v>
      </c>
      <c r="N100" s="1">
        <f>IFERROR(__xludf.DUMMYFUNCTION("""COMPUTED_VALUE"""),0.0)</f>
        <v>0</v>
      </c>
      <c r="O100" s="2" t="str">
        <f>IFERROR(__xludf.DUMMYFUNCTION("""COMPUTED_VALUE"""),"")</f>
        <v/>
      </c>
      <c r="P100" s="1">
        <f>IFERROR(__xludf.DUMMYFUNCTION("""COMPUTED_VALUE"""),0.0)</f>
        <v>0</v>
      </c>
      <c r="Q100" s="1">
        <f>IFERROR(__xludf.DUMMYFUNCTION("""COMPUTED_VALUE"""),1.0)</f>
        <v>1</v>
      </c>
      <c r="R100" s="2">
        <f>IFERROR(__xludf.DUMMYFUNCTION("""COMPUTED_VALUE"""),0.0)</f>
        <v>0</v>
      </c>
      <c r="S100" s="1">
        <f>IFERROR(__xludf.DUMMYFUNCTION("""COMPUTED_VALUE"""),0.0)</f>
        <v>0</v>
      </c>
      <c r="T100" s="1">
        <f>IFERROR(__xludf.DUMMYFUNCTION("""COMPUTED_VALUE"""),1.0)</f>
        <v>1</v>
      </c>
      <c r="U100" s="2">
        <f>IFERROR(__xludf.DUMMYFUNCTION("""COMPUTED_VALUE"""),0.0)</f>
        <v>0</v>
      </c>
      <c r="V100" s="1">
        <f>IFERROR(__xludf.DUMMYFUNCTION("""COMPUTED_VALUE"""),0.0)</f>
        <v>0</v>
      </c>
      <c r="W100" s="1">
        <f>IFERROR(__xludf.DUMMYFUNCTION("""COMPUTED_VALUE"""),1.0)</f>
        <v>1</v>
      </c>
      <c r="X100" s="2">
        <f>IFERROR(__xludf.DUMMYFUNCTION("""COMPUTED_VALUE"""),0.0)</f>
        <v>0</v>
      </c>
      <c r="Y100" s="1">
        <f>IFERROR(__xludf.DUMMYFUNCTION("""COMPUTED_VALUE"""),9.98)</f>
        <v>9.98</v>
      </c>
      <c r="Z100" s="1">
        <f>IFERROR(__xludf.DUMMYFUNCTION("""COMPUTED_VALUE"""),0.0)</f>
        <v>0</v>
      </c>
      <c r="AA100" s="2" t="str">
        <f>IFERROR(__xludf.DUMMYFUNCTION("""COMPUTED_VALUE"""),"")</f>
        <v/>
      </c>
      <c r="AB100" s="1">
        <f>IFERROR(__xludf.DUMMYFUNCTION("""COMPUTED_VALUE"""),9.98)</f>
        <v>9.98</v>
      </c>
      <c r="AC100" s="1">
        <f>IFERROR(__xludf.DUMMYFUNCTION("""COMPUTED_VALUE"""),74.42)</f>
        <v>74.42</v>
      </c>
      <c r="AD100" s="2">
        <f>IFERROR(__xludf.DUMMYFUNCTION("""COMPUTED_VALUE"""),0.13410373555495836)</f>
        <v>0.1341037356</v>
      </c>
      <c r="AE100" s="1">
        <f>IFERROR(__xludf.DUMMYFUNCTION("""COMPUTED_VALUE"""),13.88)</f>
        <v>13.88</v>
      </c>
      <c r="AF100" s="1">
        <f>IFERROR(__xludf.DUMMYFUNCTION("""COMPUTED_VALUE"""),109.11)</f>
        <v>109.11</v>
      </c>
      <c r="AG100" s="2">
        <f>IFERROR(__xludf.DUMMYFUNCTION("""COMPUTED_VALUE"""),0.12721107139583906)</f>
        <v>0.1272110714</v>
      </c>
      <c r="AH100" s="1">
        <f>IFERROR(__xludf.DUMMYFUNCTION("""COMPUTED_VALUE"""),65.0)</f>
        <v>65</v>
      </c>
      <c r="AI100" s="1">
        <f>IFERROR(__xludf.DUMMYFUNCTION("""COMPUTED_VALUE"""),109.11)</f>
        <v>109.11</v>
      </c>
      <c r="AJ100" s="2">
        <f>IFERROR(__xludf.DUMMYFUNCTION("""COMPUTED_VALUE"""),0.595729080744203)</f>
        <v>0.5957290807</v>
      </c>
      <c r="AK100" s="1">
        <f>IFERROR(__xludf.DUMMYFUNCTION("""COMPUTED_VALUE"""),98.84)</f>
        <v>98.84</v>
      </c>
      <c r="AL100" s="1">
        <f>IFERROR(__xludf.DUMMYFUNCTION("""COMPUTED_VALUE"""),292.64)</f>
        <v>292.64</v>
      </c>
      <c r="AM100" s="2">
        <f>IFERROR(__xludf.DUMMYFUNCTION("""COMPUTED_VALUE"""),0.3377528704209951)</f>
        <v>0.3377528704</v>
      </c>
      <c r="AN100" s="1">
        <f>IFERROR(__xludf.DUMMYFUNCTION("""COMPUTED_VALUE"""),0.0)</f>
        <v>0</v>
      </c>
      <c r="AO100" s="1">
        <f>IFERROR(__xludf.DUMMYFUNCTION("""COMPUTED_VALUE"""),0.0)</f>
        <v>0</v>
      </c>
      <c r="AP100" s="2" t="str">
        <f>IFERROR(__xludf.DUMMYFUNCTION("""COMPUTED_VALUE"""),"")</f>
        <v/>
      </c>
      <c r="AQ100" s="1">
        <f>IFERROR(__xludf.DUMMYFUNCTION("""COMPUTED_VALUE"""),0.0)</f>
        <v>0</v>
      </c>
      <c r="AR100" s="1">
        <f>IFERROR(__xludf.DUMMYFUNCTION("""COMPUTED_VALUE"""),0.0)</f>
        <v>0</v>
      </c>
      <c r="AS100" s="2" t="str">
        <f>IFERROR(__xludf.DUMMYFUNCTION("""COMPUTED_VALUE"""),"")</f>
        <v/>
      </c>
      <c r="AT100" s="1">
        <f>IFERROR(__xludf.DUMMYFUNCTION("""COMPUTED_VALUE"""),0.0)</f>
        <v>0</v>
      </c>
      <c r="AU100" s="1">
        <f>IFERROR(__xludf.DUMMYFUNCTION("""COMPUTED_VALUE"""),0.0)</f>
        <v>0</v>
      </c>
      <c r="AV100" s="2" t="str">
        <f>IFERROR(__xludf.DUMMYFUNCTION("""COMPUTED_VALUE"""),"")</f>
        <v/>
      </c>
      <c r="AW100" s="1">
        <f>IFERROR(__xludf.DUMMYFUNCTION("""COMPUTED_VALUE"""),0.0)</f>
        <v>0</v>
      </c>
      <c r="AX100" s="1">
        <f>IFERROR(__xludf.DUMMYFUNCTION("""COMPUTED_VALUE"""),0.0)</f>
        <v>0</v>
      </c>
      <c r="AY100" s="2" t="str">
        <f>IFERROR(__xludf.DUMMYFUNCTION("""COMPUTED_VALUE"""),"")</f>
        <v/>
      </c>
      <c r="AZ100" s="1">
        <f>IFERROR(__xludf.DUMMYFUNCTION("""COMPUTED_VALUE"""),0.0)</f>
        <v>0</v>
      </c>
      <c r="BA100" s="1">
        <f>IFERROR(__xludf.DUMMYFUNCTION("""COMPUTED_VALUE"""),0.0)</f>
        <v>0</v>
      </c>
      <c r="BB100" s="2" t="str">
        <f>IFERROR(__xludf.DUMMYFUNCTION("""COMPUTED_VALUE"""),"")</f>
        <v/>
      </c>
    </row>
    <row r="101">
      <c r="A101" s="1" t="str">
        <f>IFERROR(__xludf.DUMMYFUNCTION("""COMPUTED_VALUE"""),"63ced84dc5c820531c269806")</f>
        <v>63ced84dc5c820531c269806</v>
      </c>
      <c r="B101" s="1" t="str">
        <f>IFERROR(__xludf.DUMMYFUNCTION("""COMPUTED_VALUE"""),"Magothy Technology, LLC")</f>
        <v>Magothy Technology, LLC</v>
      </c>
      <c r="C101" s="1" t="str">
        <f>IFERROR(__xludf.DUMMYFUNCTION("""COMPUTED_VALUE"""),"brendan.flaherty@al-enterprise.com, robert.ewell@al-enterprise.com, jack.jachner@al-enterprise.com")</f>
        <v>brendan.flaherty@al-enterprise.com, robert.ewell@al-enterprise.com, jack.jachner@al-enterprise.com</v>
      </c>
      <c r="D101" s="1" t="str">
        <f>IFERROR(__xludf.DUMMYFUNCTION("""COMPUTED_VALUE"""),"americas")</f>
        <v>americas</v>
      </c>
      <c r="E101" s="1" t="str">
        <f>IFERROR(__xludf.DUMMYFUNCTION("""COMPUTED_VALUE"""),"US")</f>
        <v>US</v>
      </c>
      <c r="F101" s="1" t="str">
        <f>IFERROR(__xludf.DUMMYFUNCTION("""COMPUTED_VALUE"""),"expert_1000")</f>
        <v>expert_1000</v>
      </c>
      <c r="G101" s="1">
        <f>IFERROR(__xludf.DUMMYFUNCTION("""COMPUTED_VALUE"""),1.0)</f>
        <v>1</v>
      </c>
      <c r="H101" s="1">
        <f>IFERROR(__xludf.DUMMYFUNCTION("""COMPUTED_VALUE"""),1.0)</f>
        <v>1</v>
      </c>
      <c r="I101" s="2">
        <f>IFERROR(__xludf.DUMMYFUNCTION("""COMPUTED_VALUE"""),1.0)</f>
        <v>1</v>
      </c>
      <c r="J101" s="1">
        <f>IFERROR(__xludf.DUMMYFUNCTION("""COMPUTED_VALUE"""),1291.42)</f>
        <v>1291.42</v>
      </c>
      <c r="K101" s="1">
        <f>IFERROR(__xludf.DUMMYFUNCTION("""COMPUTED_VALUE"""),1367.19)</f>
        <v>1367.19</v>
      </c>
      <c r="L101" s="2">
        <f>IFERROR(__xludf.DUMMYFUNCTION("""COMPUTED_VALUE"""),0.9445797584827273)</f>
        <v>0.9445797585</v>
      </c>
      <c r="M101" s="1">
        <f>IFERROR(__xludf.DUMMYFUNCTION("""COMPUTED_VALUE"""),0.0)</f>
        <v>0</v>
      </c>
      <c r="N101" s="1">
        <f>IFERROR(__xludf.DUMMYFUNCTION("""COMPUTED_VALUE"""),56.0)</f>
        <v>56</v>
      </c>
      <c r="O101" s="2">
        <f>IFERROR(__xludf.DUMMYFUNCTION("""COMPUTED_VALUE"""),0.0)</f>
        <v>0</v>
      </c>
      <c r="P101" s="1">
        <f>IFERROR(__xludf.DUMMYFUNCTION("""COMPUTED_VALUE"""),0.0)</f>
        <v>0</v>
      </c>
      <c r="Q101" s="1">
        <f>IFERROR(__xludf.DUMMYFUNCTION("""COMPUTED_VALUE"""),1.0)</f>
        <v>1</v>
      </c>
      <c r="R101" s="2">
        <f>IFERROR(__xludf.DUMMYFUNCTION("""COMPUTED_VALUE"""),0.0)</f>
        <v>0</v>
      </c>
      <c r="S101" s="1">
        <f>IFERROR(__xludf.DUMMYFUNCTION("""COMPUTED_VALUE"""),0.0)</f>
        <v>0</v>
      </c>
      <c r="T101" s="1">
        <f>IFERROR(__xludf.DUMMYFUNCTION("""COMPUTED_VALUE"""),1.0)</f>
        <v>1</v>
      </c>
      <c r="U101" s="2">
        <f>IFERROR(__xludf.DUMMYFUNCTION("""COMPUTED_VALUE"""),0.0)</f>
        <v>0</v>
      </c>
      <c r="V101" s="1">
        <f>IFERROR(__xludf.DUMMYFUNCTION("""COMPUTED_VALUE"""),0.0)</f>
        <v>0</v>
      </c>
      <c r="W101" s="1">
        <f>IFERROR(__xludf.DUMMYFUNCTION("""COMPUTED_VALUE"""),1.0)</f>
        <v>1</v>
      </c>
      <c r="X101" s="2">
        <f>IFERROR(__xludf.DUMMYFUNCTION("""COMPUTED_VALUE"""),0.0)</f>
        <v>0</v>
      </c>
      <c r="Y101" s="1">
        <f>IFERROR(__xludf.DUMMYFUNCTION("""COMPUTED_VALUE"""),656.13)</f>
        <v>656.13</v>
      </c>
      <c r="Z101" s="1">
        <f>IFERROR(__xludf.DUMMYFUNCTION("""COMPUTED_VALUE"""),0.0)</f>
        <v>0</v>
      </c>
      <c r="AA101" s="2" t="str">
        <f>IFERROR(__xludf.DUMMYFUNCTION("""COMPUTED_VALUE"""),"")</f>
        <v/>
      </c>
      <c r="AB101" s="1">
        <f>IFERROR(__xludf.DUMMYFUNCTION("""COMPUTED_VALUE"""),180.87)</f>
        <v>180.87</v>
      </c>
      <c r="AC101" s="1">
        <f>IFERROR(__xludf.DUMMYFUNCTION("""COMPUTED_VALUE"""),331.21)</f>
        <v>331.21</v>
      </c>
      <c r="AD101" s="2">
        <f>IFERROR(__xludf.DUMMYFUNCTION("""COMPUTED_VALUE"""),0.5460885842818756)</f>
        <v>0.5460885843</v>
      </c>
      <c r="AE101" s="1">
        <f>IFERROR(__xludf.DUMMYFUNCTION("""COMPUTED_VALUE"""),759.8)</f>
        <v>759.8</v>
      </c>
      <c r="AF101" s="1">
        <f>IFERROR(__xludf.DUMMYFUNCTION("""COMPUTED_VALUE"""),486.58)</f>
        <v>486.58</v>
      </c>
      <c r="AG101" s="2">
        <f>IFERROR(__xludf.DUMMYFUNCTION("""COMPUTED_VALUE"""),1.5615109540055079)</f>
        <v>1.561510954</v>
      </c>
      <c r="AH101" s="1">
        <f>IFERROR(__xludf.DUMMYFUNCTION("""COMPUTED_VALUE"""),85.95)</f>
        <v>85.95</v>
      </c>
      <c r="AI101" s="1">
        <f>IFERROR(__xludf.DUMMYFUNCTION("""COMPUTED_VALUE"""),518.3)</f>
        <v>518.3</v>
      </c>
      <c r="AJ101" s="2">
        <f>IFERROR(__xludf.DUMMYFUNCTION("""COMPUTED_VALUE"""),0.1658306000385877)</f>
        <v>0.1658306</v>
      </c>
      <c r="AK101" s="1">
        <f>IFERROR(__xludf.DUMMYFUNCTION("""COMPUTED_VALUE"""),1682.75)</f>
        <v>1682.75</v>
      </c>
      <c r="AL101" s="1">
        <f>IFERROR(__xludf.DUMMYFUNCTION("""COMPUTED_VALUE"""),1336.09)</f>
        <v>1336.09</v>
      </c>
      <c r="AM101" s="2">
        <f>IFERROR(__xludf.DUMMYFUNCTION("""COMPUTED_VALUE"""),1.2594585694077496)</f>
        <v>1.259458569</v>
      </c>
      <c r="AN101" s="1">
        <f>IFERROR(__xludf.DUMMYFUNCTION("""COMPUTED_VALUE"""),897.88)</f>
        <v>897.88</v>
      </c>
      <c r="AO101" s="1">
        <f>IFERROR(__xludf.DUMMYFUNCTION("""COMPUTED_VALUE"""),0.0)</f>
        <v>0</v>
      </c>
      <c r="AP101" s="2" t="str">
        <f>IFERROR(__xludf.DUMMYFUNCTION("""COMPUTED_VALUE"""),"")</f>
        <v/>
      </c>
      <c r="AQ101" s="1">
        <f>IFERROR(__xludf.DUMMYFUNCTION("""COMPUTED_VALUE"""),887.59)</f>
        <v>887.59</v>
      </c>
      <c r="AR101" s="1">
        <f>IFERROR(__xludf.DUMMYFUNCTION("""COMPUTED_VALUE"""),0.0)</f>
        <v>0</v>
      </c>
      <c r="AS101" s="2" t="str">
        <f>IFERROR(__xludf.DUMMYFUNCTION("""COMPUTED_VALUE"""),"")</f>
        <v/>
      </c>
      <c r="AT101" s="1">
        <f>IFERROR(__xludf.DUMMYFUNCTION("""COMPUTED_VALUE"""),0.0)</f>
        <v>0</v>
      </c>
      <c r="AU101" s="1">
        <f>IFERROR(__xludf.DUMMYFUNCTION("""COMPUTED_VALUE"""),0.0)</f>
        <v>0</v>
      </c>
      <c r="AV101" s="2" t="str">
        <f>IFERROR(__xludf.DUMMYFUNCTION("""COMPUTED_VALUE"""),"")</f>
        <v/>
      </c>
      <c r="AW101" s="1">
        <f>IFERROR(__xludf.DUMMYFUNCTION("""COMPUTED_VALUE"""),0.0)</f>
        <v>0</v>
      </c>
      <c r="AX101" s="1">
        <f>IFERROR(__xludf.DUMMYFUNCTION("""COMPUTED_VALUE"""),0.0)</f>
        <v>0</v>
      </c>
      <c r="AY101" s="2" t="str">
        <f>IFERROR(__xludf.DUMMYFUNCTION("""COMPUTED_VALUE"""),"")</f>
        <v/>
      </c>
      <c r="AZ101" s="1">
        <f>IFERROR(__xludf.DUMMYFUNCTION("""COMPUTED_VALUE"""),1785.47)</f>
        <v>1785.47</v>
      </c>
      <c r="BA101" s="1">
        <f>IFERROR(__xludf.DUMMYFUNCTION("""COMPUTED_VALUE"""),0.0)</f>
        <v>0</v>
      </c>
      <c r="BB101" s="2" t="str">
        <f>IFERROR(__xludf.DUMMYFUNCTION("""COMPUTED_VALUE"""),"")</f>
        <v/>
      </c>
    </row>
    <row r="102">
      <c r="A102" s="1" t="str">
        <f>IFERROR(__xludf.DUMMYFUNCTION("""COMPUTED_VALUE"""),"63ced84bc5c820531c2693fb")</f>
        <v>63ced84bc5c820531c2693fb</v>
      </c>
      <c r="B102" s="1" t="str">
        <f>IFERROR(__xludf.DUMMYFUNCTION("""COMPUTED_VALUE"""),"MAKRO Soluciones de Tecnologia S.A.")</f>
        <v>MAKRO Soluciones de Tecnologia S.A.</v>
      </c>
      <c r="C102" s="1" t="str">
        <f>IFERROR(__xludf.DUMMYFUNCTION("""COMPUTED_VALUE"""),"saul.montiel@al-enterprise.com, joaquin.flores@al-enterprise.com")</f>
        <v>saul.montiel@al-enterprise.com, joaquin.flores@al-enterprise.com</v>
      </c>
      <c r="D102" s="1" t="str">
        <f>IFERROR(__xludf.DUMMYFUNCTION("""COMPUTED_VALUE"""),"americas")</f>
        <v>americas</v>
      </c>
      <c r="E102" s="1" t="str">
        <f>IFERROR(__xludf.DUMMYFUNCTION("""COMPUTED_VALUE"""),"MX")</f>
        <v>MX</v>
      </c>
      <c r="F102" s="1" t="str">
        <f>IFERROR(__xludf.DUMMYFUNCTION("""COMPUTED_VALUE"""),"distributor")</f>
        <v>distributor</v>
      </c>
      <c r="G102" s="1">
        <f>IFERROR(__xludf.DUMMYFUNCTION("""COMPUTED_VALUE"""),0.0)</f>
        <v>0</v>
      </c>
      <c r="H102" s="1">
        <f>IFERROR(__xludf.DUMMYFUNCTION("""COMPUTED_VALUE"""),1.0)</f>
        <v>1</v>
      </c>
      <c r="I102" s="2">
        <f>IFERROR(__xludf.DUMMYFUNCTION("""COMPUTED_VALUE"""),0.0)</f>
        <v>0</v>
      </c>
      <c r="J102" s="1">
        <f>IFERROR(__xludf.DUMMYFUNCTION("""COMPUTED_VALUE"""),41.21)</f>
        <v>41.21</v>
      </c>
      <c r="K102" s="1">
        <f>IFERROR(__xludf.DUMMYFUNCTION("""COMPUTED_VALUE"""),505.0)</f>
        <v>505</v>
      </c>
      <c r="L102" s="2">
        <f>IFERROR(__xludf.DUMMYFUNCTION("""COMPUTED_VALUE"""),0.08160396039603961)</f>
        <v>0.0816039604</v>
      </c>
      <c r="M102" s="1">
        <f>IFERROR(__xludf.DUMMYFUNCTION("""COMPUTED_VALUE"""),3.0)</f>
        <v>3</v>
      </c>
      <c r="N102" s="1">
        <f>IFERROR(__xludf.DUMMYFUNCTION("""COMPUTED_VALUE"""),52.0)</f>
        <v>52</v>
      </c>
      <c r="O102" s="2">
        <f>IFERROR(__xludf.DUMMYFUNCTION("""COMPUTED_VALUE"""),0.057692307692307696)</f>
        <v>0.05769230769</v>
      </c>
      <c r="P102" s="1">
        <f>IFERROR(__xludf.DUMMYFUNCTION("""COMPUTED_VALUE"""),0.0)</f>
        <v>0</v>
      </c>
      <c r="Q102" s="1">
        <f>IFERROR(__xludf.DUMMYFUNCTION("""COMPUTED_VALUE"""),1.0)</f>
        <v>1</v>
      </c>
      <c r="R102" s="2">
        <f>IFERROR(__xludf.DUMMYFUNCTION("""COMPUTED_VALUE"""),0.0)</f>
        <v>0</v>
      </c>
      <c r="S102" s="1">
        <f>IFERROR(__xludf.DUMMYFUNCTION("""COMPUTED_VALUE"""),0.0)</f>
        <v>0</v>
      </c>
      <c r="T102" s="1">
        <f>IFERROR(__xludf.DUMMYFUNCTION("""COMPUTED_VALUE"""),1.0)</f>
        <v>1</v>
      </c>
      <c r="U102" s="2">
        <f>IFERROR(__xludf.DUMMYFUNCTION("""COMPUTED_VALUE"""),0.0)</f>
        <v>0</v>
      </c>
      <c r="V102" s="1">
        <f>IFERROR(__xludf.DUMMYFUNCTION("""COMPUTED_VALUE"""),0.0)</f>
        <v>0</v>
      </c>
      <c r="W102" s="1">
        <f>IFERROR(__xludf.DUMMYFUNCTION("""COMPUTED_VALUE"""),1.0)</f>
        <v>1</v>
      </c>
      <c r="X102" s="2">
        <f>IFERROR(__xludf.DUMMYFUNCTION("""COMPUTED_VALUE"""),0.0)</f>
        <v>0</v>
      </c>
      <c r="Y102" s="1">
        <f>IFERROR(__xludf.DUMMYFUNCTION("""COMPUTED_VALUE"""),2.09)</f>
        <v>2.09</v>
      </c>
      <c r="Z102" s="1">
        <f>IFERROR(__xludf.DUMMYFUNCTION("""COMPUTED_VALUE"""),0.0)</f>
        <v>0</v>
      </c>
      <c r="AA102" s="2" t="str">
        <f>IFERROR(__xludf.DUMMYFUNCTION("""COMPUTED_VALUE"""),"")</f>
        <v/>
      </c>
      <c r="AB102" s="1">
        <f>IFERROR(__xludf.DUMMYFUNCTION("""COMPUTED_VALUE"""),2.09)</f>
        <v>2.09</v>
      </c>
      <c r="AC102" s="1">
        <f>IFERROR(__xludf.DUMMYFUNCTION("""COMPUTED_VALUE"""),300.0)</f>
        <v>300</v>
      </c>
      <c r="AD102" s="2">
        <f>IFERROR(__xludf.DUMMYFUNCTION("""COMPUTED_VALUE"""),0.006966666666666666)</f>
        <v>0.006966666667</v>
      </c>
      <c r="AE102" s="1">
        <f>IFERROR(__xludf.DUMMYFUNCTION("""COMPUTED_VALUE"""),42.2)</f>
        <v>42.2</v>
      </c>
      <c r="AF102" s="1">
        <f>IFERROR(__xludf.DUMMYFUNCTION("""COMPUTED_VALUE"""),550.01)</f>
        <v>550.01</v>
      </c>
      <c r="AG102" s="2">
        <f>IFERROR(__xludf.DUMMYFUNCTION("""COMPUTED_VALUE"""),0.07672587771131435)</f>
        <v>0.07672587771</v>
      </c>
      <c r="AH102" s="1">
        <f>IFERROR(__xludf.DUMMYFUNCTION("""COMPUTED_VALUE"""),0.48)</f>
        <v>0.48</v>
      </c>
      <c r="AI102" s="1">
        <f>IFERROR(__xludf.DUMMYFUNCTION("""COMPUTED_VALUE"""),616.66)</f>
        <v>616.66</v>
      </c>
      <c r="AJ102" s="2">
        <f>IFERROR(__xludf.DUMMYFUNCTION("""COMPUTED_VALUE"""),7.783867933707392E-4)</f>
        <v>0.0007783867934</v>
      </c>
      <c r="AK102" s="1">
        <f>IFERROR(__xludf.DUMMYFUNCTION("""COMPUTED_VALUE"""),46.86)</f>
        <v>46.86</v>
      </c>
      <c r="AL102" s="1">
        <f>IFERROR(__xludf.DUMMYFUNCTION("""COMPUTED_VALUE"""),1466.67)</f>
        <v>1466.67</v>
      </c>
      <c r="AM102" s="2">
        <f>IFERROR(__xludf.DUMMYFUNCTION("""COMPUTED_VALUE"""),0.031949927386528666)</f>
        <v>0.03194992739</v>
      </c>
      <c r="AN102" s="1">
        <f>IFERROR(__xludf.DUMMYFUNCTION("""COMPUTED_VALUE"""),0.66)</f>
        <v>0.66</v>
      </c>
      <c r="AO102" s="1">
        <f>IFERROR(__xludf.DUMMYFUNCTION("""COMPUTED_VALUE"""),0.0)</f>
        <v>0</v>
      </c>
      <c r="AP102" s="2" t="str">
        <f>IFERROR(__xludf.DUMMYFUNCTION("""COMPUTED_VALUE"""),"")</f>
        <v/>
      </c>
      <c r="AQ102" s="1">
        <f>IFERROR(__xludf.DUMMYFUNCTION("""COMPUTED_VALUE"""),0.0)</f>
        <v>0</v>
      </c>
      <c r="AR102" s="1">
        <f>IFERROR(__xludf.DUMMYFUNCTION("""COMPUTED_VALUE"""),0.0)</f>
        <v>0</v>
      </c>
      <c r="AS102" s="2" t="str">
        <f>IFERROR(__xludf.DUMMYFUNCTION("""COMPUTED_VALUE"""),"")</f>
        <v/>
      </c>
      <c r="AT102" s="1">
        <f>IFERROR(__xludf.DUMMYFUNCTION("""COMPUTED_VALUE"""),1.77)</f>
        <v>1.77</v>
      </c>
      <c r="AU102" s="1">
        <f>IFERROR(__xludf.DUMMYFUNCTION("""COMPUTED_VALUE"""),0.0)</f>
        <v>0</v>
      </c>
      <c r="AV102" s="2" t="str">
        <f>IFERROR(__xludf.DUMMYFUNCTION("""COMPUTED_VALUE"""),"")</f>
        <v/>
      </c>
      <c r="AW102" s="1">
        <f>IFERROR(__xludf.DUMMYFUNCTION("""COMPUTED_VALUE"""),4.23)</f>
        <v>4.23</v>
      </c>
      <c r="AX102" s="1">
        <f>IFERROR(__xludf.DUMMYFUNCTION("""COMPUTED_VALUE"""),0.0)</f>
        <v>0</v>
      </c>
      <c r="AY102" s="2" t="str">
        <f>IFERROR(__xludf.DUMMYFUNCTION("""COMPUTED_VALUE"""),"")</f>
        <v/>
      </c>
      <c r="AZ102" s="1">
        <f>IFERROR(__xludf.DUMMYFUNCTION("""COMPUTED_VALUE"""),6.66)</f>
        <v>6.66</v>
      </c>
      <c r="BA102" s="1">
        <f>IFERROR(__xludf.DUMMYFUNCTION("""COMPUTED_VALUE"""),0.0)</f>
        <v>0</v>
      </c>
      <c r="BB102" s="2" t="str">
        <f>IFERROR(__xludf.DUMMYFUNCTION("""COMPUTED_VALUE"""),"")</f>
        <v/>
      </c>
    </row>
    <row r="103">
      <c r="A103" s="1" t="str">
        <f>IFERROR(__xludf.DUMMYFUNCTION("""COMPUTED_VALUE"""),"63ef9d57384f27260c1ba22d")</f>
        <v>63ef9d57384f27260c1ba22d</v>
      </c>
      <c r="B103" s="1" t="str">
        <f>IFERROR(__xludf.DUMMYFUNCTION("""COMPUTED_VALUE"""),"Masscomm Innova, S.L.")</f>
        <v>Masscomm Innova, S.L.</v>
      </c>
      <c r="C103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103" s="1" t="str">
        <f>IFERROR(__xludf.DUMMYFUNCTION("""COMPUTED_VALUE"""),"emea")</f>
        <v>emea</v>
      </c>
      <c r="E103" s="1" t="str">
        <f>IFERROR(__xludf.DUMMYFUNCTION("""COMPUTED_VALUE"""),"ES")</f>
        <v>ES</v>
      </c>
      <c r="F103" s="1" t="str">
        <f>IFERROR(__xludf.DUMMYFUNCTION("""COMPUTED_VALUE"""),"distributor_1000")</f>
        <v>distributor_1000</v>
      </c>
      <c r="G103" s="1">
        <f>IFERROR(__xludf.DUMMYFUNCTION("""COMPUTED_VALUE"""),1.0)</f>
        <v>1</v>
      </c>
      <c r="H103" s="1">
        <f>IFERROR(__xludf.DUMMYFUNCTION("""COMPUTED_VALUE"""),1.0)</f>
        <v>1</v>
      </c>
      <c r="I103" s="2">
        <f>IFERROR(__xludf.DUMMYFUNCTION("""COMPUTED_VALUE"""),1.0)</f>
        <v>1</v>
      </c>
      <c r="J103" s="1">
        <f>IFERROR(__xludf.DUMMYFUNCTION("""COMPUTED_VALUE"""),1353.74)</f>
        <v>1353.74</v>
      </c>
      <c r="K103" s="1">
        <f>IFERROR(__xludf.DUMMYFUNCTION("""COMPUTED_VALUE"""),3600.0)</f>
        <v>3600</v>
      </c>
      <c r="L103" s="2">
        <f>IFERROR(__xludf.DUMMYFUNCTION("""COMPUTED_VALUE"""),0.37603888888888887)</f>
        <v>0.3760388889</v>
      </c>
      <c r="M103" s="1">
        <f>IFERROR(__xludf.DUMMYFUNCTION("""COMPUTED_VALUE"""),56.0)</f>
        <v>56</v>
      </c>
      <c r="N103" s="1">
        <f>IFERROR(__xludf.DUMMYFUNCTION("""COMPUTED_VALUE"""),58.0)</f>
        <v>58</v>
      </c>
      <c r="O103" s="2">
        <f>IFERROR(__xludf.DUMMYFUNCTION("""COMPUTED_VALUE"""),0.9655172413793104)</f>
        <v>0.9655172414</v>
      </c>
      <c r="P103" s="1">
        <f>IFERROR(__xludf.DUMMYFUNCTION("""COMPUTED_VALUE"""),1.0)</f>
        <v>1</v>
      </c>
      <c r="Q103" s="1">
        <f>IFERROR(__xludf.DUMMYFUNCTION("""COMPUTED_VALUE"""),1.0)</f>
        <v>1</v>
      </c>
      <c r="R103" s="2">
        <f>IFERROR(__xludf.DUMMYFUNCTION("""COMPUTED_VALUE"""),1.0)</f>
        <v>1</v>
      </c>
      <c r="S103" s="1">
        <f>IFERROR(__xludf.DUMMYFUNCTION("""COMPUTED_VALUE"""),1.0)</f>
        <v>1</v>
      </c>
      <c r="T103" s="1">
        <f>IFERROR(__xludf.DUMMYFUNCTION("""COMPUTED_VALUE"""),1.0)</f>
        <v>1</v>
      </c>
      <c r="U103" s="2">
        <f>IFERROR(__xludf.DUMMYFUNCTION("""COMPUTED_VALUE"""),1.0)</f>
        <v>1</v>
      </c>
      <c r="V103" s="1">
        <f>IFERROR(__xludf.DUMMYFUNCTION("""COMPUTED_VALUE"""),0.0)</f>
        <v>0</v>
      </c>
      <c r="W103" s="1">
        <f>IFERROR(__xludf.DUMMYFUNCTION("""COMPUTED_VALUE"""),1.0)</f>
        <v>1</v>
      </c>
      <c r="X103" s="2">
        <f>IFERROR(__xludf.DUMMYFUNCTION("""COMPUTED_VALUE"""),0.0)</f>
        <v>0</v>
      </c>
      <c r="Y103" s="1">
        <f>IFERROR(__xludf.DUMMYFUNCTION("""COMPUTED_VALUE"""),0.71)</f>
        <v>0.71</v>
      </c>
      <c r="Z103" s="1">
        <f>IFERROR(__xludf.DUMMYFUNCTION("""COMPUTED_VALUE"""),0.0)</f>
        <v>0</v>
      </c>
      <c r="AA103" s="2" t="str">
        <f>IFERROR(__xludf.DUMMYFUNCTION("""COMPUTED_VALUE"""),"")</f>
        <v/>
      </c>
      <c r="AB103" s="1">
        <f>IFERROR(__xludf.DUMMYFUNCTION("""COMPUTED_VALUE"""),2.92)</f>
        <v>2.92</v>
      </c>
      <c r="AC103" s="1">
        <f>IFERROR(__xludf.DUMMYFUNCTION("""COMPUTED_VALUE"""),3015.67)</f>
        <v>3015.67</v>
      </c>
      <c r="AD103" s="2">
        <f>IFERROR(__xludf.DUMMYFUNCTION("""COMPUTED_VALUE"""),9.682757065594046E-4)</f>
        <v>0.0009682757066</v>
      </c>
      <c r="AE103" s="1">
        <f>IFERROR(__xludf.DUMMYFUNCTION("""COMPUTED_VALUE"""),344.17)</f>
        <v>344.17</v>
      </c>
      <c r="AF103" s="1">
        <f>IFERROR(__xludf.DUMMYFUNCTION("""COMPUTED_VALUE"""),2890.0)</f>
        <v>2890</v>
      </c>
      <c r="AG103" s="2">
        <f>IFERROR(__xludf.DUMMYFUNCTION("""COMPUTED_VALUE"""),0.11908996539792388)</f>
        <v>0.1190899654</v>
      </c>
      <c r="AH103" s="1">
        <f>IFERROR(__xludf.DUMMYFUNCTION("""COMPUTED_VALUE"""),1575.66)</f>
        <v>1575.66</v>
      </c>
      <c r="AI103" s="1">
        <f>IFERROR(__xludf.DUMMYFUNCTION("""COMPUTED_VALUE"""),3393.33)</f>
        <v>3393.33</v>
      </c>
      <c r="AJ103" s="2">
        <f>IFERROR(__xludf.DUMMYFUNCTION("""COMPUTED_VALUE"""),0.46434033825180576)</f>
        <v>0.4643403383</v>
      </c>
      <c r="AK103" s="1">
        <f>IFERROR(__xludf.DUMMYFUNCTION("""COMPUTED_VALUE"""),1923.46)</f>
        <v>1923.46</v>
      </c>
      <c r="AL103" s="1">
        <f>IFERROR(__xludf.DUMMYFUNCTION("""COMPUTED_VALUE"""),9299.0)</f>
        <v>9299</v>
      </c>
      <c r="AM103" s="2">
        <f>IFERROR(__xludf.DUMMYFUNCTION("""COMPUTED_VALUE"""),0.2068458974083235)</f>
        <v>0.2068458974</v>
      </c>
      <c r="AN103" s="1">
        <f>IFERROR(__xludf.DUMMYFUNCTION("""COMPUTED_VALUE"""),8.82)</f>
        <v>8.82</v>
      </c>
      <c r="AO103" s="1">
        <f>IFERROR(__xludf.DUMMYFUNCTION("""COMPUTED_VALUE"""),0.0)</f>
        <v>0</v>
      </c>
      <c r="AP103" s="2" t="str">
        <f>IFERROR(__xludf.DUMMYFUNCTION("""COMPUTED_VALUE"""),"")</f>
        <v/>
      </c>
      <c r="AQ103" s="1">
        <f>IFERROR(__xludf.DUMMYFUNCTION("""COMPUTED_VALUE"""),41.51)</f>
        <v>41.51</v>
      </c>
      <c r="AR103" s="1">
        <f>IFERROR(__xludf.DUMMYFUNCTION("""COMPUTED_VALUE"""),0.0)</f>
        <v>0</v>
      </c>
      <c r="AS103" s="2" t="str">
        <f>IFERROR(__xludf.DUMMYFUNCTION("""COMPUTED_VALUE"""),"")</f>
        <v/>
      </c>
      <c r="AT103" s="1">
        <f>IFERROR(__xludf.DUMMYFUNCTION("""COMPUTED_VALUE"""),2.29)</f>
        <v>2.29</v>
      </c>
      <c r="AU103" s="1">
        <f>IFERROR(__xludf.DUMMYFUNCTION("""COMPUTED_VALUE"""),0.0)</f>
        <v>0</v>
      </c>
      <c r="AV103" s="2" t="str">
        <f>IFERROR(__xludf.DUMMYFUNCTION("""COMPUTED_VALUE"""),"")</f>
        <v/>
      </c>
      <c r="AW103" s="1">
        <f>IFERROR(__xludf.DUMMYFUNCTION("""COMPUTED_VALUE"""),33.64)</f>
        <v>33.64</v>
      </c>
      <c r="AX103" s="1">
        <f>IFERROR(__xludf.DUMMYFUNCTION("""COMPUTED_VALUE"""),0.0)</f>
        <v>0</v>
      </c>
      <c r="AY103" s="2" t="str">
        <f>IFERROR(__xludf.DUMMYFUNCTION("""COMPUTED_VALUE"""),"")</f>
        <v/>
      </c>
      <c r="AZ103" s="1">
        <f>IFERROR(__xludf.DUMMYFUNCTION("""COMPUTED_VALUE"""),86.25999999999999)</f>
        <v>86.26</v>
      </c>
      <c r="BA103" s="1">
        <f>IFERROR(__xludf.DUMMYFUNCTION("""COMPUTED_VALUE"""),0.0)</f>
        <v>0</v>
      </c>
      <c r="BB103" s="2" t="str">
        <f>IFERROR(__xludf.DUMMYFUNCTION("""COMPUTED_VALUE"""),"")</f>
        <v/>
      </c>
    </row>
    <row r="104">
      <c r="A104" s="1" t="str">
        <f>IFERROR(__xludf.DUMMYFUNCTION("""COMPUTED_VALUE"""),"65dcd9ba019929778f07c4df")</f>
        <v>65dcd9ba019929778f07c4df</v>
      </c>
      <c r="B104" s="1" t="str">
        <f>IFERROR(__xludf.DUMMYFUNCTION("""COMPUTED_VALUE"""),"Maya Quetzal Comunicaciones,S.A CV")</f>
        <v>Maya Quetzal Comunicaciones,S.A CV</v>
      </c>
      <c r="C104" s="1" t="str">
        <f>IFERROR(__xludf.DUMMYFUNCTION("""COMPUTED_VALUE"""),"philippe.girard@al-enterprise.com, rui.silva@al-enterprise.com, saul.montiel@al-enterprise.com, joaquin.flores@al-enterprise.com")</f>
        <v>philippe.girard@al-enterprise.com, rui.silva@al-enterprise.com, saul.montiel@al-enterprise.com, joaquin.flores@al-enterprise.com</v>
      </c>
      <c r="D104" s="1" t="str">
        <f>IFERROR(__xludf.DUMMYFUNCTION("""COMPUTED_VALUE"""),"americas")</f>
        <v>americas</v>
      </c>
      <c r="E104" s="1" t="str">
        <f>IFERROR(__xludf.DUMMYFUNCTION("""COMPUTED_VALUE"""),"MX")</f>
        <v>MX</v>
      </c>
      <c r="F104" s="1" t="str">
        <f>IFERROR(__xludf.DUMMYFUNCTION("""COMPUTED_VALUE"""),"expert_200")</f>
        <v>expert_200</v>
      </c>
      <c r="G104" s="1">
        <f>IFERROR(__xludf.DUMMYFUNCTION("""COMPUTED_VALUE"""),0.0)</f>
        <v>0</v>
      </c>
      <c r="H104" s="1">
        <f>IFERROR(__xludf.DUMMYFUNCTION("""COMPUTED_VALUE"""),1.0)</f>
        <v>1</v>
      </c>
      <c r="I104" s="2">
        <f>IFERROR(__xludf.DUMMYFUNCTION("""COMPUTED_VALUE"""),0.0)</f>
        <v>0</v>
      </c>
      <c r="J104" s="1">
        <f>IFERROR(__xludf.DUMMYFUNCTION("""COMPUTED_VALUE"""),0.0)</f>
        <v>0</v>
      </c>
      <c r="K104" s="1">
        <f>IFERROR(__xludf.DUMMYFUNCTION("""COMPUTED_VALUE"""),0.0)</f>
        <v>0</v>
      </c>
      <c r="L104" s="2" t="str">
        <f>IFERROR(__xludf.DUMMYFUNCTION("""COMPUTED_VALUE"""),"")</f>
        <v/>
      </c>
      <c r="M104" s="1">
        <f>IFERROR(__xludf.DUMMYFUNCTION("""COMPUTED_VALUE"""),12.0)</f>
        <v>12</v>
      </c>
      <c r="N104" s="1">
        <f>IFERROR(__xludf.DUMMYFUNCTION("""COMPUTED_VALUE"""),20.0)</f>
        <v>20</v>
      </c>
      <c r="O104" s="2">
        <f>IFERROR(__xludf.DUMMYFUNCTION("""COMPUTED_VALUE"""),0.6)</f>
        <v>0.6</v>
      </c>
      <c r="P104" s="1">
        <f>IFERROR(__xludf.DUMMYFUNCTION("""COMPUTED_VALUE"""),0.0)</f>
        <v>0</v>
      </c>
      <c r="Q104" s="1">
        <f>IFERROR(__xludf.DUMMYFUNCTION("""COMPUTED_VALUE"""),1.0)</f>
        <v>1</v>
      </c>
      <c r="R104" s="2">
        <f>IFERROR(__xludf.DUMMYFUNCTION("""COMPUTED_VALUE"""),0.0)</f>
        <v>0</v>
      </c>
      <c r="S104" s="1">
        <f>IFERROR(__xludf.DUMMYFUNCTION("""COMPUTED_VALUE"""),0.0)</f>
        <v>0</v>
      </c>
      <c r="T104" s="1">
        <f>IFERROR(__xludf.DUMMYFUNCTION("""COMPUTED_VALUE"""),1.0)</f>
        <v>1</v>
      </c>
      <c r="U104" s="2">
        <f>IFERROR(__xludf.DUMMYFUNCTION("""COMPUTED_VALUE"""),0.0)</f>
        <v>0</v>
      </c>
      <c r="V104" s="1">
        <f>IFERROR(__xludf.DUMMYFUNCTION("""COMPUTED_VALUE"""),0.0)</f>
        <v>0</v>
      </c>
      <c r="W104" s="1">
        <f>IFERROR(__xludf.DUMMYFUNCTION("""COMPUTED_VALUE"""),1.0)</f>
        <v>1</v>
      </c>
      <c r="X104" s="2">
        <f>IFERROR(__xludf.DUMMYFUNCTION("""COMPUTED_VALUE"""),0.0)</f>
        <v>0</v>
      </c>
      <c r="Y104" s="1">
        <f>IFERROR(__xludf.DUMMYFUNCTION("""COMPUTED_VALUE"""),0.0)</f>
        <v>0</v>
      </c>
      <c r="Z104" s="1">
        <f>IFERROR(__xludf.DUMMYFUNCTION("""COMPUTED_VALUE"""),0.0)</f>
        <v>0</v>
      </c>
      <c r="AA104" s="2" t="str">
        <f>IFERROR(__xludf.DUMMYFUNCTION("""COMPUTED_VALUE"""),"")</f>
        <v/>
      </c>
      <c r="AB104" s="1">
        <f>IFERROR(__xludf.DUMMYFUNCTION("""COMPUTED_VALUE"""),20.0)</f>
        <v>20</v>
      </c>
      <c r="AC104" s="1">
        <f>IFERROR(__xludf.DUMMYFUNCTION("""COMPUTED_VALUE"""),0.0)</f>
        <v>0</v>
      </c>
      <c r="AD104" s="2" t="str">
        <f>IFERROR(__xludf.DUMMYFUNCTION("""COMPUTED_VALUE"""),"")</f>
        <v/>
      </c>
      <c r="AE104" s="1">
        <f>IFERROR(__xludf.DUMMYFUNCTION("""COMPUTED_VALUE"""),50.0)</f>
        <v>50</v>
      </c>
      <c r="AF104" s="1">
        <f>IFERROR(__xludf.DUMMYFUNCTION("""COMPUTED_VALUE"""),0.0)</f>
        <v>0</v>
      </c>
      <c r="AG104" s="2" t="str">
        <f>IFERROR(__xludf.DUMMYFUNCTION("""COMPUTED_VALUE"""),"")</f>
        <v/>
      </c>
      <c r="AH104" s="1">
        <f>IFERROR(__xludf.DUMMYFUNCTION("""COMPUTED_VALUE"""),379.99)</f>
        <v>379.99</v>
      </c>
      <c r="AI104" s="1">
        <f>IFERROR(__xludf.DUMMYFUNCTION("""COMPUTED_VALUE"""),0.0)</f>
        <v>0</v>
      </c>
      <c r="AJ104" s="2" t="str">
        <f>IFERROR(__xludf.DUMMYFUNCTION("""COMPUTED_VALUE"""),"")</f>
        <v/>
      </c>
      <c r="AK104" s="1">
        <f>IFERROR(__xludf.DUMMYFUNCTION("""COMPUTED_VALUE"""),449.99)</f>
        <v>449.99</v>
      </c>
      <c r="AL104" s="1">
        <f>IFERROR(__xludf.DUMMYFUNCTION("""COMPUTED_VALUE"""),0.0)</f>
        <v>0</v>
      </c>
      <c r="AM104" s="2" t="str">
        <f>IFERROR(__xludf.DUMMYFUNCTION("""COMPUTED_VALUE"""),"")</f>
        <v/>
      </c>
      <c r="AN104" s="1">
        <f>IFERROR(__xludf.DUMMYFUNCTION("""COMPUTED_VALUE"""),0.0)</f>
        <v>0</v>
      </c>
      <c r="AO104" s="1">
        <f>IFERROR(__xludf.DUMMYFUNCTION("""COMPUTED_VALUE"""),0.0)</f>
        <v>0</v>
      </c>
      <c r="AP104" s="2" t="str">
        <f>IFERROR(__xludf.DUMMYFUNCTION("""COMPUTED_VALUE"""),"")</f>
        <v/>
      </c>
      <c r="AQ104" s="1">
        <f>IFERROR(__xludf.DUMMYFUNCTION("""COMPUTED_VALUE"""),0.0)</f>
        <v>0</v>
      </c>
      <c r="AR104" s="1">
        <f>IFERROR(__xludf.DUMMYFUNCTION("""COMPUTED_VALUE"""),0.0)</f>
        <v>0</v>
      </c>
      <c r="AS104" s="2" t="str">
        <f>IFERROR(__xludf.DUMMYFUNCTION("""COMPUTED_VALUE"""),"")</f>
        <v/>
      </c>
      <c r="AT104" s="1">
        <f>IFERROR(__xludf.DUMMYFUNCTION("""COMPUTED_VALUE"""),0.0)</f>
        <v>0</v>
      </c>
      <c r="AU104" s="1">
        <f>IFERROR(__xludf.DUMMYFUNCTION("""COMPUTED_VALUE"""),0.0)</f>
        <v>0</v>
      </c>
      <c r="AV104" s="2" t="str">
        <f>IFERROR(__xludf.DUMMYFUNCTION("""COMPUTED_VALUE"""),"")</f>
        <v/>
      </c>
      <c r="AW104" s="1">
        <f>IFERROR(__xludf.DUMMYFUNCTION("""COMPUTED_VALUE"""),0.0)</f>
        <v>0</v>
      </c>
      <c r="AX104" s="1">
        <f>IFERROR(__xludf.DUMMYFUNCTION("""COMPUTED_VALUE"""),0.0)</f>
        <v>0</v>
      </c>
      <c r="AY104" s="2" t="str">
        <f>IFERROR(__xludf.DUMMYFUNCTION("""COMPUTED_VALUE"""),"")</f>
        <v/>
      </c>
      <c r="AZ104" s="1">
        <f>IFERROR(__xludf.DUMMYFUNCTION("""COMPUTED_VALUE"""),0.0)</f>
        <v>0</v>
      </c>
      <c r="BA104" s="1">
        <f>IFERROR(__xludf.DUMMYFUNCTION("""COMPUTED_VALUE"""),0.0)</f>
        <v>0</v>
      </c>
      <c r="BB104" s="2" t="str">
        <f>IFERROR(__xludf.DUMMYFUNCTION("""COMPUTED_VALUE"""),"")</f>
        <v/>
      </c>
    </row>
    <row r="105">
      <c r="A105" s="1" t="str">
        <f>IFERROR(__xludf.DUMMYFUNCTION("""COMPUTED_VALUE"""),"67a5dd1c818802cbbf055652")</f>
        <v>67a5dd1c818802cbbf055652</v>
      </c>
      <c r="B105" s="1" t="str">
        <f>IFERROR(__xludf.DUMMYFUNCTION("""COMPUTED_VALUE"""),"MCA | Mobile Communications America HQ")</f>
        <v>MCA | Mobile Communications America HQ</v>
      </c>
      <c r="C105" s="1" t="str">
        <f>IFERROR(__xludf.DUMMYFUNCTION("""COMPUTED_VALUE"""),"luigy.estevanell@al-enterprise.com")</f>
        <v>luigy.estevanell@al-enterprise.com</v>
      </c>
      <c r="D105" s="1" t="str">
        <f>IFERROR(__xludf.DUMMYFUNCTION("""COMPUTED_VALUE"""),"americas")</f>
        <v>americas</v>
      </c>
      <c r="E105" s="1" t="str">
        <f>IFERROR(__xludf.DUMMYFUNCTION("""COMPUTED_VALUE"""),"US")</f>
        <v>US</v>
      </c>
      <c r="F105" s="1" t="str">
        <f>IFERROR(__xludf.DUMMYFUNCTION("""COMPUTED_VALUE"""),"expert_200")</f>
        <v>expert_200</v>
      </c>
      <c r="G105" s="1">
        <f>IFERROR(__xludf.DUMMYFUNCTION("""COMPUTED_VALUE"""),0.0)</f>
        <v>0</v>
      </c>
      <c r="H105" s="1">
        <f>IFERROR(__xludf.DUMMYFUNCTION("""COMPUTED_VALUE"""),1.0)</f>
        <v>1</v>
      </c>
      <c r="I105" s="2">
        <f>IFERROR(__xludf.DUMMYFUNCTION("""COMPUTED_VALUE"""),0.0)</f>
        <v>0</v>
      </c>
      <c r="J105" s="1">
        <f>IFERROR(__xludf.DUMMYFUNCTION("""COMPUTED_VALUE"""),12.47)</f>
        <v>12.47</v>
      </c>
      <c r="K105" s="1">
        <f>IFERROR(__xludf.DUMMYFUNCTION("""COMPUTED_VALUE"""),107.2)</f>
        <v>107.2</v>
      </c>
      <c r="L105" s="2">
        <f>IFERROR(__xludf.DUMMYFUNCTION("""COMPUTED_VALUE"""),0.11632462686567165)</f>
        <v>0.1163246269</v>
      </c>
      <c r="M105" s="1">
        <f>IFERROR(__xludf.DUMMYFUNCTION("""COMPUTED_VALUE"""),0.0)</f>
        <v>0</v>
      </c>
      <c r="N105" s="1">
        <f>IFERROR(__xludf.DUMMYFUNCTION("""COMPUTED_VALUE"""),0.0)</f>
        <v>0</v>
      </c>
      <c r="O105" s="2" t="str">
        <f>IFERROR(__xludf.DUMMYFUNCTION("""COMPUTED_VALUE"""),"")</f>
        <v/>
      </c>
      <c r="P105" s="1">
        <f>IFERROR(__xludf.DUMMYFUNCTION("""COMPUTED_VALUE"""),0.0)</f>
        <v>0</v>
      </c>
      <c r="Q105" s="1">
        <f>IFERROR(__xludf.DUMMYFUNCTION("""COMPUTED_VALUE"""),1.0)</f>
        <v>1</v>
      </c>
      <c r="R105" s="2">
        <f>IFERROR(__xludf.DUMMYFUNCTION("""COMPUTED_VALUE"""),0.0)</f>
        <v>0</v>
      </c>
      <c r="S105" s="1">
        <f>IFERROR(__xludf.DUMMYFUNCTION("""COMPUTED_VALUE"""),1.0)</f>
        <v>1</v>
      </c>
      <c r="T105" s="1">
        <f>IFERROR(__xludf.DUMMYFUNCTION("""COMPUTED_VALUE"""),1.0)</f>
        <v>1</v>
      </c>
      <c r="U105" s="2">
        <f>IFERROR(__xludf.DUMMYFUNCTION("""COMPUTED_VALUE"""),1.0)</f>
        <v>1</v>
      </c>
      <c r="V105" s="1">
        <f>IFERROR(__xludf.DUMMYFUNCTION("""COMPUTED_VALUE"""),0.0)</f>
        <v>0</v>
      </c>
      <c r="W105" s="1">
        <f>IFERROR(__xludf.DUMMYFUNCTION("""COMPUTED_VALUE"""),1.0)</f>
        <v>1</v>
      </c>
      <c r="X105" s="2">
        <f>IFERROR(__xludf.DUMMYFUNCTION("""COMPUTED_VALUE"""),0.0)</f>
        <v>0</v>
      </c>
      <c r="Y105" s="1">
        <f>IFERROR(__xludf.DUMMYFUNCTION("""COMPUTED_VALUE"""),4.52)</f>
        <v>4.52</v>
      </c>
      <c r="Z105" s="1">
        <f>IFERROR(__xludf.DUMMYFUNCTION("""COMPUTED_VALUE"""),0.0)</f>
        <v>0</v>
      </c>
      <c r="AA105" s="2" t="str">
        <f>IFERROR(__xludf.DUMMYFUNCTION("""COMPUTED_VALUE"""),"")</f>
        <v/>
      </c>
      <c r="AB105" s="1">
        <f>IFERROR(__xludf.DUMMYFUNCTION("""COMPUTED_VALUE"""),19.33)</f>
        <v>19.33</v>
      </c>
      <c r="AC105" s="1">
        <f>IFERROR(__xludf.DUMMYFUNCTION("""COMPUTED_VALUE"""),71.33)</f>
        <v>71.33</v>
      </c>
      <c r="AD105" s="2">
        <f>IFERROR(__xludf.DUMMYFUNCTION("""COMPUTED_VALUE"""),0.27099397168091965)</f>
        <v>0.2709939717</v>
      </c>
      <c r="AE105" s="1">
        <f>IFERROR(__xludf.DUMMYFUNCTION("""COMPUTED_VALUE"""),60.1)</f>
        <v>60.1</v>
      </c>
      <c r="AF105" s="1">
        <f>IFERROR(__xludf.DUMMYFUNCTION("""COMPUTED_VALUE"""),107.33)</f>
        <v>107.33</v>
      </c>
      <c r="AG105" s="2">
        <f>IFERROR(__xludf.DUMMYFUNCTION("""COMPUTED_VALUE"""),0.5599552781142272)</f>
        <v>0.5599552781</v>
      </c>
      <c r="AH105" s="1">
        <f>IFERROR(__xludf.DUMMYFUNCTION("""COMPUTED_VALUE"""),244.99)</f>
        <v>244.99</v>
      </c>
      <c r="AI105" s="1">
        <f>IFERROR(__xludf.DUMMYFUNCTION("""COMPUTED_VALUE"""),107.33)</f>
        <v>107.33</v>
      </c>
      <c r="AJ105" s="2">
        <f>IFERROR(__xludf.DUMMYFUNCTION("""COMPUTED_VALUE"""),2.2825864157271964)</f>
        <v>2.282586416</v>
      </c>
      <c r="AK105" s="1">
        <f>IFERROR(__xludf.DUMMYFUNCTION("""COMPUTED_VALUE"""),328.94)</f>
        <v>328.94</v>
      </c>
      <c r="AL105" s="1">
        <f>IFERROR(__xludf.DUMMYFUNCTION("""COMPUTED_VALUE"""),285.99)</f>
        <v>285.99</v>
      </c>
      <c r="AM105" s="2">
        <f>IFERROR(__xludf.DUMMYFUNCTION("""COMPUTED_VALUE"""),1.1501800762264414)</f>
        <v>1.150180076</v>
      </c>
      <c r="AN105" s="1">
        <f>IFERROR(__xludf.DUMMYFUNCTION("""COMPUTED_VALUE"""),0.0)</f>
        <v>0</v>
      </c>
      <c r="AO105" s="1">
        <f>IFERROR(__xludf.DUMMYFUNCTION("""COMPUTED_VALUE"""),0.0)</f>
        <v>0</v>
      </c>
      <c r="AP105" s="2" t="str">
        <f>IFERROR(__xludf.DUMMYFUNCTION("""COMPUTED_VALUE"""),"")</f>
        <v/>
      </c>
      <c r="AQ105" s="1">
        <f>IFERROR(__xludf.DUMMYFUNCTION("""COMPUTED_VALUE"""),25.0)</f>
        <v>25</v>
      </c>
      <c r="AR105" s="1">
        <f>IFERROR(__xludf.DUMMYFUNCTION("""COMPUTED_VALUE"""),0.0)</f>
        <v>0</v>
      </c>
      <c r="AS105" s="2" t="str">
        <f>IFERROR(__xludf.DUMMYFUNCTION("""COMPUTED_VALUE"""),"")</f>
        <v/>
      </c>
      <c r="AT105" s="1">
        <f>IFERROR(__xludf.DUMMYFUNCTION("""COMPUTED_VALUE"""),0.0)</f>
        <v>0</v>
      </c>
      <c r="AU105" s="1">
        <f>IFERROR(__xludf.DUMMYFUNCTION("""COMPUTED_VALUE"""),0.0)</f>
        <v>0</v>
      </c>
      <c r="AV105" s="2" t="str">
        <f>IFERROR(__xludf.DUMMYFUNCTION("""COMPUTED_VALUE"""),"")</f>
        <v/>
      </c>
      <c r="AW105" s="1">
        <f>IFERROR(__xludf.DUMMYFUNCTION("""COMPUTED_VALUE"""),0.0)</f>
        <v>0</v>
      </c>
      <c r="AX105" s="1">
        <f>IFERROR(__xludf.DUMMYFUNCTION("""COMPUTED_VALUE"""),0.0)</f>
        <v>0</v>
      </c>
      <c r="AY105" s="2" t="str">
        <f>IFERROR(__xludf.DUMMYFUNCTION("""COMPUTED_VALUE"""),"")</f>
        <v/>
      </c>
      <c r="AZ105" s="1">
        <f>IFERROR(__xludf.DUMMYFUNCTION("""COMPUTED_VALUE"""),25.0)</f>
        <v>25</v>
      </c>
      <c r="BA105" s="1">
        <f>IFERROR(__xludf.DUMMYFUNCTION("""COMPUTED_VALUE"""),0.0)</f>
        <v>0</v>
      </c>
      <c r="BB105" s="2" t="str">
        <f>IFERROR(__xludf.DUMMYFUNCTION("""COMPUTED_VALUE"""),"")</f>
        <v/>
      </c>
    </row>
    <row r="106">
      <c r="A106" s="1" t="str">
        <f>IFERROR(__xludf.DUMMYFUNCTION("""COMPUTED_VALUE"""),"678e728878e2544f92063cd2")</f>
        <v>678e728878e2544f92063cd2</v>
      </c>
      <c r="B106" s="1" t="str">
        <f>IFERROR(__xludf.DUMMYFUNCTION("""COMPUTED_VALUE"""),"MD Informatique Inc")</f>
        <v>MD Informatique Inc</v>
      </c>
      <c r="C106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106" s="1" t="str">
        <f>IFERROR(__xludf.DUMMYFUNCTION("""COMPUTED_VALUE"""),"americas")</f>
        <v>americas</v>
      </c>
      <c r="E106" s="1" t="str">
        <f>IFERROR(__xludf.DUMMYFUNCTION("""COMPUTED_VALUE"""),"CA")</f>
        <v>CA</v>
      </c>
      <c r="F106" s="1" t="str">
        <f>IFERROR(__xludf.DUMMYFUNCTION("""COMPUTED_VALUE"""),"expert_200")</f>
        <v>expert_200</v>
      </c>
      <c r="G106" s="1">
        <f>IFERROR(__xludf.DUMMYFUNCTION("""COMPUTED_VALUE"""),1.0)</f>
        <v>1</v>
      </c>
      <c r="H106" s="1">
        <f>IFERROR(__xludf.DUMMYFUNCTION("""COMPUTED_VALUE"""),1.0)</f>
        <v>1</v>
      </c>
      <c r="I106" s="2">
        <f>IFERROR(__xludf.DUMMYFUNCTION("""COMPUTED_VALUE"""),1.0)</f>
        <v>1</v>
      </c>
      <c r="J106" s="1">
        <f>IFERROR(__xludf.DUMMYFUNCTION("""COMPUTED_VALUE"""),0.0)</f>
        <v>0</v>
      </c>
      <c r="K106" s="1">
        <f>IFERROR(__xludf.DUMMYFUNCTION("""COMPUTED_VALUE"""),100.0)</f>
        <v>100</v>
      </c>
      <c r="L106" s="2">
        <f>IFERROR(__xludf.DUMMYFUNCTION("""COMPUTED_VALUE"""),0.0)</f>
        <v>0</v>
      </c>
      <c r="M106" s="1">
        <f>IFERROR(__xludf.DUMMYFUNCTION("""COMPUTED_VALUE"""),0.0)</f>
        <v>0</v>
      </c>
      <c r="N106" s="1">
        <f>IFERROR(__xludf.DUMMYFUNCTION("""COMPUTED_VALUE"""),0.0)</f>
        <v>0</v>
      </c>
      <c r="O106" s="2" t="str">
        <f>IFERROR(__xludf.DUMMYFUNCTION("""COMPUTED_VALUE"""),"")</f>
        <v/>
      </c>
      <c r="P106" s="1">
        <f>IFERROR(__xludf.DUMMYFUNCTION("""COMPUTED_VALUE"""),0.0)</f>
        <v>0</v>
      </c>
      <c r="Q106" s="1">
        <f>IFERROR(__xludf.DUMMYFUNCTION("""COMPUTED_VALUE"""),1.0)</f>
        <v>1</v>
      </c>
      <c r="R106" s="2">
        <f>IFERROR(__xludf.DUMMYFUNCTION("""COMPUTED_VALUE"""),0.0)</f>
        <v>0</v>
      </c>
      <c r="S106" s="1">
        <f>IFERROR(__xludf.DUMMYFUNCTION("""COMPUTED_VALUE"""),0.0)</f>
        <v>0</v>
      </c>
      <c r="T106" s="1">
        <f>IFERROR(__xludf.DUMMYFUNCTION("""COMPUTED_VALUE"""),1.0)</f>
        <v>1</v>
      </c>
      <c r="U106" s="2">
        <f>IFERROR(__xludf.DUMMYFUNCTION("""COMPUTED_VALUE"""),0.0)</f>
        <v>0</v>
      </c>
      <c r="V106" s="1">
        <f>IFERROR(__xludf.DUMMYFUNCTION("""COMPUTED_VALUE"""),0.0)</f>
        <v>0</v>
      </c>
      <c r="W106" s="1">
        <f>IFERROR(__xludf.DUMMYFUNCTION("""COMPUTED_VALUE"""),1.0)</f>
        <v>1</v>
      </c>
      <c r="X106" s="2">
        <f>IFERROR(__xludf.DUMMYFUNCTION("""COMPUTED_VALUE"""),0.0)</f>
        <v>0</v>
      </c>
      <c r="Y106" s="1">
        <f>IFERROR(__xludf.DUMMYFUNCTION("""COMPUTED_VALUE"""),370.7)</f>
        <v>370.7</v>
      </c>
      <c r="Z106" s="1">
        <f>IFERROR(__xludf.DUMMYFUNCTION("""COMPUTED_VALUE"""),0.0)</f>
        <v>0</v>
      </c>
      <c r="AA106" s="2" t="str">
        <f>IFERROR(__xludf.DUMMYFUNCTION("""COMPUTED_VALUE"""),"")</f>
        <v/>
      </c>
      <c r="AB106" s="1">
        <f>IFERROR(__xludf.DUMMYFUNCTION("""COMPUTED_VALUE"""),5.57)</f>
        <v>5.57</v>
      </c>
      <c r="AC106" s="1">
        <f>IFERROR(__xludf.DUMMYFUNCTION("""COMPUTED_VALUE"""),116.64)</f>
        <v>116.64</v>
      </c>
      <c r="AD106" s="2">
        <f>IFERROR(__xludf.DUMMYFUNCTION("""COMPUTED_VALUE"""),0.04775377229080933)</f>
        <v>0.04775377229</v>
      </c>
      <c r="AE106" s="1">
        <f>IFERROR(__xludf.DUMMYFUNCTION("""COMPUTED_VALUE"""),370.7)</f>
        <v>370.7</v>
      </c>
      <c r="AF106" s="1">
        <f>IFERROR(__xludf.DUMMYFUNCTION("""COMPUTED_VALUE"""),116.64)</f>
        <v>116.64</v>
      </c>
      <c r="AG106" s="2">
        <f>IFERROR(__xludf.DUMMYFUNCTION("""COMPUTED_VALUE"""),3.1781550068587103)</f>
        <v>3.178155007</v>
      </c>
      <c r="AH106" s="1">
        <f>IFERROR(__xludf.DUMMYFUNCTION("""COMPUTED_VALUE"""),0.0)</f>
        <v>0</v>
      </c>
      <c r="AI106" s="1">
        <f>IFERROR(__xludf.DUMMYFUNCTION("""COMPUTED_VALUE"""),83.34)</f>
        <v>83.34</v>
      </c>
      <c r="AJ106" s="2">
        <f>IFERROR(__xludf.DUMMYFUNCTION("""COMPUTED_VALUE"""),0.0)</f>
        <v>0</v>
      </c>
      <c r="AK106" s="1">
        <f>IFERROR(__xludf.DUMMYFUNCTION("""COMPUTED_VALUE"""),746.97)</f>
        <v>746.97</v>
      </c>
      <c r="AL106" s="1">
        <f>IFERROR(__xludf.DUMMYFUNCTION("""COMPUTED_VALUE"""),316.62)</f>
        <v>316.62</v>
      </c>
      <c r="AM106" s="2">
        <f>IFERROR(__xludf.DUMMYFUNCTION("""COMPUTED_VALUE"""),2.3592003032025772)</f>
        <v>2.359200303</v>
      </c>
      <c r="AN106" s="1">
        <f>IFERROR(__xludf.DUMMYFUNCTION("""COMPUTED_VALUE"""),0.0)</f>
        <v>0</v>
      </c>
      <c r="AO106" s="1">
        <f>IFERROR(__xludf.DUMMYFUNCTION("""COMPUTED_VALUE"""),0.0)</f>
        <v>0</v>
      </c>
      <c r="AP106" s="2" t="str">
        <f>IFERROR(__xludf.DUMMYFUNCTION("""COMPUTED_VALUE"""),"")</f>
        <v/>
      </c>
      <c r="AQ106" s="1">
        <f>IFERROR(__xludf.DUMMYFUNCTION("""COMPUTED_VALUE"""),0.0)</f>
        <v>0</v>
      </c>
      <c r="AR106" s="1">
        <f>IFERROR(__xludf.DUMMYFUNCTION("""COMPUTED_VALUE"""),0.0)</f>
        <v>0</v>
      </c>
      <c r="AS106" s="2" t="str">
        <f>IFERROR(__xludf.DUMMYFUNCTION("""COMPUTED_VALUE"""),"")</f>
        <v/>
      </c>
      <c r="AT106" s="1">
        <f>IFERROR(__xludf.DUMMYFUNCTION("""COMPUTED_VALUE"""),0.0)</f>
        <v>0</v>
      </c>
      <c r="AU106" s="1">
        <f>IFERROR(__xludf.DUMMYFUNCTION("""COMPUTED_VALUE"""),0.0)</f>
        <v>0</v>
      </c>
      <c r="AV106" s="2" t="str">
        <f>IFERROR(__xludf.DUMMYFUNCTION("""COMPUTED_VALUE"""),"")</f>
        <v/>
      </c>
      <c r="AW106" s="1">
        <f>IFERROR(__xludf.DUMMYFUNCTION("""COMPUTED_VALUE"""),0.0)</f>
        <v>0</v>
      </c>
      <c r="AX106" s="1">
        <f>IFERROR(__xludf.DUMMYFUNCTION("""COMPUTED_VALUE"""),0.0)</f>
        <v>0</v>
      </c>
      <c r="AY106" s="2" t="str">
        <f>IFERROR(__xludf.DUMMYFUNCTION("""COMPUTED_VALUE"""),"")</f>
        <v/>
      </c>
      <c r="AZ106" s="1">
        <f>IFERROR(__xludf.DUMMYFUNCTION("""COMPUTED_VALUE"""),0.0)</f>
        <v>0</v>
      </c>
      <c r="BA106" s="1">
        <f>IFERROR(__xludf.DUMMYFUNCTION("""COMPUTED_VALUE"""),0.0)</f>
        <v>0</v>
      </c>
      <c r="BB106" s="2" t="str">
        <f>IFERROR(__xludf.DUMMYFUNCTION("""COMPUTED_VALUE"""),"")</f>
        <v/>
      </c>
    </row>
    <row r="107">
      <c r="A107" s="1" t="str">
        <f>IFERROR(__xludf.DUMMYFUNCTION("""COMPUTED_VALUE"""),"63ef9d5d384f27260c1bacc9")</f>
        <v>63ef9d5d384f27260c1bacc9</v>
      </c>
      <c r="B107" s="1" t="str">
        <f>IFERROR(__xludf.DUMMYFUNCTION("""COMPUTED_VALUE"""),"MDTEL")</f>
        <v>MDTEL</v>
      </c>
      <c r="C107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07" s="1" t="str">
        <f>IFERROR(__xludf.DUMMYFUNCTION("""COMPUTED_VALUE"""),"emea")</f>
        <v>emea</v>
      </c>
      <c r="E107" s="1" t="str">
        <f>IFERROR(__xludf.DUMMYFUNCTION("""COMPUTED_VALUE"""),"ES")</f>
        <v>ES</v>
      </c>
      <c r="F107" s="1"/>
      <c r="G107" s="1">
        <f>IFERROR(__xludf.DUMMYFUNCTION("""COMPUTED_VALUE"""),1.0)</f>
        <v>1</v>
      </c>
      <c r="H107" s="1">
        <f>IFERROR(__xludf.DUMMYFUNCTION("""COMPUTED_VALUE"""),1.0)</f>
        <v>1</v>
      </c>
      <c r="I107" s="2">
        <f>IFERROR(__xludf.DUMMYFUNCTION("""COMPUTED_VALUE"""),1.0)</f>
        <v>1</v>
      </c>
      <c r="J107" s="1">
        <f>IFERROR(__xludf.DUMMYFUNCTION("""COMPUTED_VALUE"""),15.23)</f>
        <v>15.23</v>
      </c>
      <c r="K107" s="1">
        <f>IFERROR(__xludf.DUMMYFUNCTION("""COMPUTED_VALUE"""),200.0)</f>
        <v>200</v>
      </c>
      <c r="L107" s="2">
        <f>IFERROR(__xludf.DUMMYFUNCTION("""COMPUTED_VALUE"""),0.07615)</f>
        <v>0.07615</v>
      </c>
      <c r="M107" s="1">
        <f>IFERROR(__xludf.DUMMYFUNCTION("""COMPUTED_VALUE"""),11.0)</f>
        <v>11</v>
      </c>
      <c r="N107" s="1">
        <f>IFERROR(__xludf.DUMMYFUNCTION("""COMPUTED_VALUE"""),52.0)</f>
        <v>52</v>
      </c>
      <c r="O107" s="2">
        <f>IFERROR(__xludf.DUMMYFUNCTION("""COMPUTED_VALUE"""),0.21153846153846154)</f>
        <v>0.2115384615</v>
      </c>
      <c r="P107" s="1">
        <f>IFERROR(__xludf.DUMMYFUNCTION("""COMPUTED_VALUE"""),0.0)</f>
        <v>0</v>
      </c>
      <c r="Q107" s="1">
        <f>IFERROR(__xludf.DUMMYFUNCTION("""COMPUTED_VALUE"""),1.0)</f>
        <v>1</v>
      </c>
      <c r="R107" s="2">
        <f>IFERROR(__xludf.DUMMYFUNCTION("""COMPUTED_VALUE"""),0.0)</f>
        <v>0</v>
      </c>
      <c r="S107" s="1">
        <f>IFERROR(__xludf.DUMMYFUNCTION("""COMPUTED_VALUE"""),1.0)</f>
        <v>1</v>
      </c>
      <c r="T107" s="1">
        <f>IFERROR(__xludf.DUMMYFUNCTION("""COMPUTED_VALUE"""),1.0)</f>
        <v>1</v>
      </c>
      <c r="U107" s="2">
        <f>IFERROR(__xludf.DUMMYFUNCTION("""COMPUTED_VALUE"""),1.0)</f>
        <v>1</v>
      </c>
      <c r="V107" s="1">
        <f>IFERROR(__xludf.DUMMYFUNCTION("""COMPUTED_VALUE"""),0.0)</f>
        <v>0</v>
      </c>
      <c r="W107" s="1">
        <f>IFERROR(__xludf.DUMMYFUNCTION("""COMPUTED_VALUE"""),1.0)</f>
        <v>1</v>
      </c>
      <c r="X107" s="2">
        <f>IFERROR(__xludf.DUMMYFUNCTION("""COMPUTED_VALUE"""),0.0)</f>
        <v>0</v>
      </c>
      <c r="Y107" s="1">
        <f>IFERROR(__xludf.DUMMYFUNCTION("""COMPUTED_VALUE"""),0.0)</f>
        <v>0</v>
      </c>
      <c r="Z107" s="1">
        <f>IFERROR(__xludf.DUMMYFUNCTION("""COMPUTED_VALUE"""),0.0)</f>
        <v>0</v>
      </c>
      <c r="AA107" s="2" t="str">
        <f>IFERROR(__xludf.DUMMYFUNCTION("""COMPUTED_VALUE"""),"")</f>
        <v/>
      </c>
      <c r="AB107" s="1">
        <f>IFERROR(__xludf.DUMMYFUNCTION("""COMPUTED_VALUE"""),11.7)</f>
        <v>11.7</v>
      </c>
      <c r="AC107" s="1">
        <f>IFERROR(__xludf.DUMMYFUNCTION("""COMPUTED_VALUE"""),0.0)</f>
        <v>0</v>
      </c>
      <c r="AD107" s="2" t="str">
        <f>IFERROR(__xludf.DUMMYFUNCTION("""COMPUTED_VALUE"""),"")</f>
        <v/>
      </c>
      <c r="AE107" s="1">
        <f>IFERROR(__xludf.DUMMYFUNCTION("""COMPUTED_VALUE"""),11.3)</f>
        <v>11.3</v>
      </c>
      <c r="AF107" s="1">
        <f>IFERROR(__xludf.DUMMYFUNCTION("""COMPUTED_VALUE"""),166.67)</f>
        <v>166.67</v>
      </c>
      <c r="AG107" s="2">
        <f>IFERROR(__xludf.DUMMYFUNCTION("""COMPUTED_VALUE"""),0.06779864402711946)</f>
        <v>0.06779864403</v>
      </c>
      <c r="AH107" s="1">
        <f>IFERROR(__xludf.DUMMYFUNCTION("""COMPUTED_VALUE"""),45.0)</f>
        <v>45</v>
      </c>
      <c r="AI107" s="1">
        <f>IFERROR(__xludf.DUMMYFUNCTION("""COMPUTED_VALUE"""),166.67)</f>
        <v>166.67</v>
      </c>
      <c r="AJ107" s="2">
        <f>IFERROR(__xludf.DUMMYFUNCTION("""COMPUTED_VALUE"""),0.26999460010799786)</f>
        <v>0.2699946001</v>
      </c>
      <c r="AK107" s="1">
        <f>IFERROR(__xludf.DUMMYFUNCTION("""COMPUTED_VALUE"""),68.0)</f>
        <v>68</v>
      </c>
      <c r="AL107" s="1">
        <f>IFERROR(__xludf.DUMMYFUNCTION("""COMPUTED_VALUE"""),333.34)</f>
        <v>333.34</v>
      </c>
      <c r="AM107" s="2">
        <f>IFERROR(__xludf.DUMMYFUNCTION("""COMPUTED_VALUE"""),0.2039959200815984)</f>
        <v>0.2039959201</v>
      </c>
      <c r="AN107" s="1">
        <f>IFERROR(__xludf.DUMMYFUNCTION("""COMPUTED_VALUE"""),0.0)</f>
        <v>0</v>
      </c>
      <c r="AO107" s="1">
        <f>IFERROR(__xludf.DUMMYFUNCTION("""COMPUTED_VALUE"""),0.0)</f>
        <v>0</v>
      </c>
      <c r="AP107" s="2" t="str">
        <f>IFERROR(__xludf.DUMMYFUNCTION("""COMPUTED_VALUE"""),"")</f>
        <v/>
      </c>
      <c r="AQ107" s="1">
        <f>IFERROR(__xludf.DUMMYFUNCTION("""COMPUTED_VALUE"""),0.0)</f>
        <v>0</v>
      </c>
      <c r="AR107" s="1">
        <f>IFERROR(__xludf.DUMMYFUNCTION("""COMPUTED_VALUE"""),0.0)</f>
        <v>0</v>
      </c>
      <c r="AS107" s="2" t="str">
        <f>IFERROR(__xludf.DUMMYFUNCTION("""COMPUTED_VALUE"""),"")</f>
        <v/>
      </c>
      <c r="AT107" s="1">
        <f>IFERROR(__xludf.DUMMYFUNCTION("""COMPUTED_VALUE"""),0.0)</f>
        <v>0</v>
      </c>
      <c r="AU107" s="1">
        <f>IFERROR(__xludf.DUMMYFUNCTION("""COMPUTED_VALUE"""),0.0)</f>
        <v>0</v>
      </c>
      <c r="AV107" s="2" t="str">
        <f>IFERROR(__xludf.DUMMYFUNCTION("""COMPUTED_VALUE"""),"")</f>
        <v/>
      </c>
      <c r="AW107" s="1">
        <f>IFERROR(__xludf.DUMMYFUNCTION("""COMPUTED_VALUE"""),300.0)</f>
        <v>300</v>
      </c>
      <c r="AX107" s="1">
        <f>IFERROR(__xludf.DUMMYFUNCTION("""COMPUTED_VALUE"""),0.0)</f>
        <v>0</v>
      </c>
      <c r="AY107" s="2" t="str">
        <f>IFERROR(__xludf.DUMMYFUNCTION("""COMPUTED_VALUE"""),"")</f>
        <v/>
      </c>
      <c r="AZ107" s="1">
        <f>IFERROR(__xludf.DUMMYFUNCTION("""COMPUTED_VALUE"""),300.0)</f>
        <v>300</v>
      </c>
      <c r="BA107" s="1">
        <f>IFERROR(__xludf.DUMMYFUNCTION("""COMPUTED_VALUE"""),0.0)</f>
        <v>0</v>
      </c>
      <c r="BB107" s="2" t="str">
        <f>IFERROR(__xludf.DUMMYFUNCTION("""COMPUTED_VALUE"""),"")</f>
        <v/>
      </c>
    </row>
    <row r="108">
      <c r="A108" s="1" t="str">
        <f>IFERROR(__xludf.DUMMYFUNCTION("""COMPUTED_VALUE"""),"63ced84dc5c820531c269761")</f>
        <v>63ced84dc5c820531c269761</v>
      </c>
      <c r="B108" s="1" t="str">
        <f>IFERROR(__xludf.DUMMYFUNCTION("""COMPUTED_VALUE"""),"Micro Technology Consultants, Inc.")</f>
        <v>Micro Technology Consultants, Inc.</v>
      </c>
      <c r="C108" s="1" t="str">
        <f>IFERROR(__xludf.DUMMYFUNCTION("""COMPUTED_VALUE"""),"luigy.estevanell@al-enterprise.com, jack.jachner@al-enterprise.com")</f>
        <v>luigy.estevanell@al-enterprise.com, jack.jachner@al-enterprise.com</v>
      </c>
      <c r="D108" s="1" t="str">
        <f>IFERROR(__xludf.DUMMYFUNCTION("""COMPUTED_VALUE"""),"americas")</f>
        <v>americas</v>
      </c>
      <c r="E108" s="1" t="str">
        <f>IFERROR(__xludf.DUMMYFUNCTION("""COMPUTED_VALUE"""),"US")</f>
        <v>US</v>
      </c>
      <c r="F108" s="1" t="str">
        <f>IFERROR(__xludf.DUMMYFUNCTION("""COMPUTED_VALUE"""),"expert_200")</f>
        <v>expert_200</v>
      </c>
      <c r="G108" s="1">
        <f>IFERROR(__xludf.DUMMYFUNCTION("""COMPUTED_VALUE"""),0.0)</f>
        <v>0</v>
      </c>
      <c r="H108" s="1">
        <f>IFERROR(__xludf.DUMMYFUNCTION("""COMPUTED_VALUE"""),1.0)</f>
        <v>1</v>
      </c>
      <c r="I108" s="2">
        <f>IFERROR(__xludf.DUMMYFUNCTION("""COMPUTED_VALUE"""),0.0)</f>
        <v>0</v>
      </c>
      <c r="J108" s="1">
        <f>IFERROR(__xludf.DUMMYFUNCTION("""COMPUTED_VALUE"""),1.77)</f>
        <v>1.77</v>
      </c>
      <c r="K108" s="1">
        <f>IFERROR(__xludf.DUMMYFUNCTION("""COMPUTED_VALUE"""),457.2)</f>
        <v>457.2</v>
      </c>
      <c r="L108" s="2">
        <f>IFERROR(__xludf.DUMMYFUNCTION("""COMPUTED_VALUE"""),0.0038713910761154855)</f>
        <v>0.003871391076</v>
      </c>
      <c r="M108" s="1">
        <f>IFERROR(__xludf.DUMMYFUNCTION("""COMPUTED_VALUE"""),0.0)</f>
        <v>0</v>
      </c>
      <c r="N108" s="1">
        <f>IFERROR(__xludf.DUMMYFUNCTION("""COMPUTED_VALUE"""),56.0)</f>
        <v>56</v>
      </c>
      <c r="O108" s="2">
        <f>IFERROR(__xludf.DUMMYFUNCTION("""COMPUTED_VALUE"""),0.0)</f>
        <v>0</v>
      </c>
      <c r="P108" s="1">
        <f>IFERROR(__xludf.DUMMYFUNCTION("""COMPUTED_VALUE"""),0.0)</f>
        <v>0</v>
      </c>
      <c r="Q108" s="1">
        <f>IFERROR(__xludf.DUMMYFUNCTION("""COMPUTED_VALUE"""),1.0)</f>
        <v>1</v>
      </c>
      <c r="R108" s="2">
        <f>IFERROR(__xludf.DUMMYFUNCTION("""COMPUTED_VALUE"""),0.0)</f>
        <v>0</v>
      </c>
      <c r="S108" s="1">
        <f>IFERROR(__xludf.DUMMYFUNCTION("""COMPUTED_VALUE"""),0.0)</f>
        <v>0</v>
      </c>
      <c r="T108" s="1">
        <f>IFERROR(__xludf.DUMMYFUNCTION("""COMPUTED_VALUE"""),1.0)</f>
        <v>1</v>
      </c>
      <c r="U108" s="2">
        <f>IFERROR(__xludf.DUMMYFUNCTION("""COMPUTED_VALUE"""),0.0)</f>
        <v>0</v>
      </c>
      <c r="V108" s="1">
        <f>IFERROR(__xludf.DUMMYFUNCTION("""COMPUTED_VALUE"""),0.0)</f>
        <v>0</v>
      </c>
      <c r="W108" s="1">
        <f>IFERROR(__xludf.DUMMYFUNCTION("""COMPUTED_VALUE"""),1.0)</f>
        <v>1</v>
      </c>
      <c r="X108" s="2">
        <f>IFERROR(__xludf.DUMMYFUNCTION("""COMPUTED_VALUE"""),0.0)</f>
        <v>0</v>
      </c>
      <c r="Y108" s="1">
        <f>IFERROR(__xludf.DUMMYFUNCTION("""COMPUTED_VALUE"""),50.0)</f>
        <v>50</v>
      </c>
      <c r="Z108" s="1">
        <f>IFERROR(__xludf.DUMMYFUNCTION("""COMPUTED_VALUE"""),0.0)</f>
        <v>0</v>
      </c>
      <c r="AA108" s="2" t="str">
        <f>IFERROR(__xludf.DUMMYFUNCTION("""COMPUTED_VALUE"""),"")</f>
        <v/>
      </c>
      <c r="AB108" s="1">
        <f>IFERROR(__xludf.DUMMYFUNCTION("""COMPUTED_VALUE"""),50.0)</f>
        <v>50</v>
      </c>
      <c r="AC108" s="1">
        <f>IFERROR(__xludf.DUMMYFUNCTION("""COMPUTED_VALUE"""),103.87)</f>
        <v>103.87</v>
      </c>
      <c r="AD108" s="2">
        <f>IFERROR(__xludf.DUMMYFUNCTION("""COMPUTED_VALUE"""),0.481370944449793)</f>
        <v>0.4813709444</v>
      </c>
      <c r="AE108" s="1">
        <f>IFERROR(__xludf.DUMMYFUNCTION("""COMPUTED_VALUE"""),45.13)</f>
        <v>45.13</v>
      </c>
      <c r="AF108" s="1">
        <f>IFERROR(__xludf.DUMMYFUNCTION("""COMPUTED_VALUE"""),155.9)</f>
        <v>155.9</v>
      </c>
      <c r="AG108" s="2">
        <f>IFERROR(__xludf.DUMMYFUNCTION("""COMPUTED_VALUE"""),0.28948043617703656)</f>
        <v>0.2894804362</v>
      </c>
      <c r="AH108" s="1">
        <f>IFERROR(__xludf.DUMMYFUNCTION("""COMPUTED_VALUE"""),0.0)</f>
        <v>0</v>
      </c>
      <c r="AI108" s="1">
        <f>IFERROR(__xludf.DUMMYFUNCTION("""COMPUTED_VALUE"""),155.9)</f>
        <v>155.9</v>
      </c>
      <c r="AJ108" s="2">
        <f>IFERROR(__xludf.DUMMYFUNCTION("""COMPUTED_VALUE"""),0.0)</f>
        <v>0</v>
      </c>
      <c r="AK108" s="1">
        <f>IFERROR(__xludf.DUMMYFUNCTION("""COMPUTED_VALUE"""),145.13)</f>
        <v>145.13</v>
      </c>
      <c r="AL108" s="1">
        <f>IFERROR(__xludf.DUMMYFUNCTION("""COMPUTED_VALUE"""),415.66999999999996)</f>
        <v>415.67</v>
      </c>
      <c r="AM108" s="2">
        <f>IFERROR(__xludf.DUMMYFUNCTION("""COMPUTED_VALUE"""),0.3491471600067361)</f>
        <v>0.34914716</v>
      </c>
      <c r="AN108" s="1">
        <f>IFERROR(__xludf.DUMMYFUNCTION("""COMPUTED_VALUE"""),0.0)</f>
        <v>0</v>
      </c>
      <c r="AO108" s="1">
        <f>IFERROR(__xludf.DUMMYFUNCTION("""COMPUTED_VALUE"""),0.0)</f>
        <v>0</v>
      </c>
      <c r="AP108" s="2" t="str">
        <f>IFERROR(__xludf.DUMMYFUNCTION("""COMPUTED_VALUE"""),"")</f>
        <v/>
      </c>
      <c r="AQ108" s="1">
        <f>IFERROR(__xludf.DUMMYFUNCTION("""COMPUTED_VALUE"""),0.0)</f>
        <v>0</v>
      </c>
      <c r="AR108" s="1">
        <f>IFERROR(__xludf.DUMMYFUNCTION("""COMPUTED_VALUE"""),0.0)</f>
        <v>0</v>
      </c>
      <c r="AS108" s="2" t="str">
        <f>IFERROR(__xludf.DUMMYFUNCTION("""COMPUTED_VALUE"""),"")</f>
        <v/>
      </c>
      <c r="AT108" s="1">
        <f>IFERROR(__xludf.DUMMYFUNCTION("""COMPUTED_VALUE"""),95.55)</f>
        <v>95.55</v>
      </c>
      <c r="AU108" s="1">
        <f>IFERROR(__xludf.DUMMYFUNCTION("""COMPUTED_VALUE"""),0.0)</f>
        <v>0</v>
      </c>
      <c r="AV108" s="2" t="str">
        <f>IFERROR(__xludf.DUMMYFUNCTION("""COMPUTED_VALUE"""),"")</f>
        <v/>
      </c>
      <c r="AW108" s="1">
        <f>IFERROR(__xludf.DUMMYFUNCTION("""COMPUTED_VALUE"""),0.0)</f>
        <v>0</v>
      </c>
      <c r="AX108" s="1">
        <f>IFERROR(__xludf.DUMMYFUNCTION("""COMPUTED_VALUE"""),0.0)</f>
        <v>0</v>
      </c>
      <c r="AY108" s="2" t="str">
        <f>IFERROR(__xludf.DUMMYFUNCTION("""COMPUTED_VALUE"""),"")</f>
        <v/>
      </c>
      <c r="AZ108" s="1">
        <f>IFERROR(__xludf.DUMMYFUNCTION("""COMPUTED_VALUE"""),95.55)</f>
        <v>95.55</v>
      </c>
      <c r="BA108" s="1">
        <f>IFERROR(__xludf.DUMMYFUNCTION("""COMPUTED_VALUE"""),0.0)</f>
        <v>0</v>
      </c>
      <c r="BB108" s="2" t="str">
        <f>IFERROR(__xludf.DUMMYFUNCTION("""COMPUTED_VALUE"""),"")</f>
        <v/>
      </c>
    </row>
    <row r="109">
      <c r="A109" s="1" t="str">
        <f>IFERROR(__xludf.DUMMYFUNCTION("""COMPUTED_VALUE"""),"63ef9d5c384f27260c1baaa1")</f>
        <v>63ef9d5c384f27260c1baaa1</v>
      </c>
      <c r="B109" s="1" t="str">
        <f>IFERROR(__xludf.DUMMYFUNCTION("""COMPUTED_VALUE"""),"Morse Communications, Inc")</f>
        <v>Morse Communications, Inc</v>
      </c>
      <c r="C109" s="1" t="str">
        <f>IFERROR(__xludf.DUMMYFUNCTION("""COMPUTED_VALUE"""),"luigy.estevanell@al-enterprise.com, robert.stitz@al-enterprise.com, jack.jachner@al-enterprise.com")</f>
        <v>luigy.estevanell@al-enterprise.com, robert.stitz@al-enterprise.com, jack.jachner@al-enterprise.com</v>
      </c>
      <c r="D109" s="1" t="str">
        <f>IFERROR(__xludf.DUMMYFUNCTION("""COMPUTED_VALUE"""),"americas")</f>
        <v>americas</v>
      </c>
      <c r="E109" s="1" t="str">
        <f>IFERROR(__xludf.DUMMYFUNCTION("""COMPUTED_VALUE"""),"US")</f>
        <v>US</v>
      </c>
      <c r="F109" s="1" t="str">
        <f>IFERROR(__xludf.DUMMYFUNCTION("""COMPUTED_VALUE"""),"expert_200")</f>
        <v>expert_200</v>
      </c>
      <c r="G109" s="1">
        <f>IFERROR(__xludf.DUMMYFUNCTION("""COMPUTED_VALUE"""),0.0)</f>
        <v>0</v>
      </c>
      <c r="H109" s="1">
        <f>IFERROR(__xludf.DUMMYFUNCTION("""COMPUTED_VALUE"""),1.0)</f>
        <v>1</v>
      </c>
      <c r="I109" s="2">
        <f>IFERROR(__xludf.DUMMYFUNCTION("""COMPUTED_VALUE"""),0.0)</f>
        <v>0</v>
      </c>
      <c r="J109" s="1">
        <f>IFERROR(__xludf.DUMMYFUNCTION("""COMPUTED_VALUE"""),490.78)</f>
        <v>490.78</v>
      </c>
      <c r="K109" s="1">
        <f>IFERROR(__xludf.DUMMYFUNCTION("""COMPUTED_VALUE"""),951.39)</f>
        <v>951.39</v>
      </c>
      <c r="L109" s="2">
        <f>IFERROR(__xludf.DUMMYFUNCTION("""COMPUTED_VALUE"""),0.5158557479056959)</f>
        <v>0.5158557479</v>
      </c>
      <c r="M109" s="1">
        <f>IFERROR(__xludf.DUMMYFUNCTION("""COMPUTED_VALUE"""),23.0)</f>
        <v>23</v>
      </c>
      <c r="N109" s="1">
        <f>IFERROR(__xludf.DUMMYFUNCTION("""COMPUTED_VALUE"""),52.0)</f>
        <v>52</v>
      </c>
      <c r="O109" s="2">
        <f>IFERROR(__xludf.DUMMYFUNCTION("""COMPUTED_VALUE"""),0.4423076923076923)</f>
        <v>0.4423076923</v>
      </c>
      <c r="P109" s="1">
        <f>IFERROR(__xludf.DUMMYFUNCTION("""COMPUTED_VALUE"""),0.0)</f>
        <v>0</v>
      </c>
      <c r="Q109" s="1">
        <f>IFERROR(__xludf.DUMMYFUNCTION("""COMPUTED_VALUE"""),1.0)</f>
        <v>1</v>
      </c>
      <c r="R109" s="2">
        <f>IFERROR(__xludf.DUMMYFUNCTION("""COMPUTED_VALUE"""),0.0)</f>
        <v>0</v>
      </c>
      <c r="S109" s="1">
        <f>IFERROR(__xludf.DUMMYFUNCTION("""COMPUTED_VALUE"""),0.0)</f>
        <v>0</v>
      </c>
      <c r="T109" s="1">
        <f>IFERROR(__xludf.DUMMYFUNCTION("""COMPUTED_VALUE"""),1.0)</f>
        <v>1</v>
      </c>
      <c r="U109" s="2">
        <f>IFERROR(__xludf.DUMMYFUNCTION("""COMPUTED_VALUE"""),0.0)</f>
        <v>0</v>
      </c>
      <c r="V109" s="1">
        <f>IFERROR(__xludf.DUMMYFUNCTION("""COMPUTED_VALUE"""),0.0)</f>
        <v>0</v>
      </c>
      <c r="W109" s="1">
        <f>IFERROR(__xludf.DUMMYFUNCTION("""COMPUTED_VALUE"""),1.0)</f>
        <v>1</v>
      </c>
      <c r="X109" s="2">
        <f>IFERROR(__xludf.DUMMYFUNCTION("""COMPUTED_VALUE"""),0.0)</f>
        <v>0</v>
      </c>
      <c r="Y109" s="1">
        <f>IFERROR(__xludf.DUMMYFUNCTION("""COMPUTED_VALUE"""),60.94)</f>
        <v>60.94</v>
      </c>
      <c r="Z109" s="1">
        <f>IFERROR(__xludf.DUMMYFUNCTION("""COMPUTED_VALUE"""),0.0)</f>
        <v>0</v>
      </c>
      <c r="AA109" s="2" t="str">
        <f>IFERROR(__xludf.DUMMYFUNCTION("""COMPUTED_VALUE"""),"")</f>
        <v/>
      </c>
      <c r="AB109" s="1">
        <f>IFERROR(__xludf.DUMMYFUNCTION("""COMPUTED_VALUE"""),7.31)</f>
        <v>7.31</v>
      </c>
      <c r="AC109" s="1">
        <f>IFERROR(__xludf.DUMMYFUNCTION("""COMPUTED_VALUE"""),634.33)</f>
        <v>634.33</v>
      </c>
      <c r="AD109" s="2">
        <f>IFERROR(__xludf.DUMMYFUNCTION("""COMPUTED_VALUE"""),0.011523970173253668)</f>
        <v>0.01152397017</v>
      </c>
      <c r="AE109" s="1">
        <f>IFERROR(__xludf.DUMMYFUNCTION("""COMPUTED_VALUE"""),81.84)</f>
        <v>81.84</v>
      </c>
      <c r="AF109" s="1">
        <f>IFERROR(__xludf.DUMMYFUNCTION("""COMPUTED_VALUE"""),951.31)</f>
        <v>951.31</v>
      </c>
      <c r="AG109" s="2">
        <f>IFERROR(__xludf.DUMMYFUNCTION("""COMPUTED_VALUE"""),0.08602873931736238)</f>
        <v>0.08602873932</v>
      </c>
      <c r="AH109" s="1">
        <f>IFERROR(__xludf.DUMMYFUNCTION("""COMPUTED_VALUE"""),99.91)</f>
        <v>99.91</v>
      </c>
      <c r="AI109" s="1">
        <f>IFERROR(__xludf.DUMMYFUNCTION("""COMPUTED_VALUE"""),951.31)</f>
        <v>951.31</v>
      </c>
      <c r="AJ109" s="2">
        <f>IFERROR(__xludf.DUMMYFUNCTION("""COMPUTED_VALUE"""),0.10502359903711724)</f>
        <v>0.105023599</v>
      </c>
      <c r="AK109" s="1">
        <f>IFERROR(__xludf.DUMMYFUNCTION("""COMPUTED_VALUE"""),250.0)</f>
        <v>250</v>
      </c>
      <c r="AL109" s="1">
        <f>IFERROR(__xludf.DUMMYFUNCTION("""COMPUTED_VALUE"""),2536.95)</f>
        <v>2536.95</v>
      </c>
      <c r="AM109" s="2">
        <f>IFERROR(__xludf.DUMMYFUNCTION("""COMPUTED_VALUE"""),0.09854352667573268)</f>
        <v>0.09854352668</v>
      </c>
      <c r="AN109" s="1">
        <f>IFERROR(__xludf.DUMMYFUNCTION("""COMPUTED_VALUE"""),100.0)</f>
        <v>100</v>
      </c>
      <c r="AO109" s="1">
        <f>IFERROR(__xludf.DUMMYFUNCTION("""COMPUTED_VALUE"""),0.0)</f>
        <v>0</v>
      </c>
      <c r="AP109" s="2" t="str">
        <f>IFERROR(__xludf.DUMMYFUNCTION("""COMPUTED_VALUE"""),"")</f>
        <v/>
      </c>
      <c r="AQ109" s="1">
        <f>IFERROR(__xludf.DUMMYFUNCTION("""COMPUTED_VALUE"""),1046.99)</f>
        <v>1046.99</v>
      </c>
      <c r="AR109" s="1">
        <f>IFERROR(__xludf.DUMMYFUNCTION("""COMPUTED_VALUE"""),0.0)</f>
        <v>0</v>
      </c>
      <c r="AS109" s="2" t="str">
        <f>IFERROR(__xludf.DUMMYFUNCTION("""COMPUTED_VALUE"""),"")</f>
        <v/>
      </c>
      <c r="AT109" s="1">
        <f>IFERROR(__xludf.DUMMYFUNCTION("""COMPUTED_VALUE"""),0.0)</f>
        <v>0</v>
      </c>
      <c r="AU109" s="1">
        <f>IFERROR(__xludf.DUMMYFUNCTION("""COMPUTED_VALUE"""),0.0)</f>
        <v>0</v>
      </c>
      <c r="AV109" s="2" t="str">
        <f>IFERROR(__xludf.DUMMYFUNCTION("""COMPUTED_VALUE"""),"")</f>
        <v/>
      </c>
      <c r="AW109" s="1">
        <f>IFERROR(__xludf.DUMMYFUNCTION("""COMPUTED_VALUE"""),0.0)</f>
        <v>0</v>
      </c>
      <c r="AX109" s="1">
        <f>IFERROR(__xludf.DUMMYFUNCTION("""COMPUTED_VALUE"""),0.0)</f>
        <v>0</v>
      </c>
      <c r="AY109" s="2" t="str">
        <f>IFERROR(__xludf.DUMMYFUNCTION("""COMPUTED_VALUE"""),"")</f>
        <v/>
      </c>
      <c r="AZ109" s="1">
        <f>IFERROR(__xludf.DUMMYFUNCTION("""COMPUTED_VALUE"""),1146.99)</f>
        <v>1146.99</v>
      </c>
      <c r="BA109" s="1">
        <f>IFERROR(__xludf.DUMMYFUNCTION("""COMPUTED_VALUE"""),0.0)</f>
        <v>0</v>
      </c>
      <c r="BB109" s="2" t="str">
        <f>IFERROR(__xludf.DUMMYFUNCTION("""COMPUTED_VALUE"""),"")</f>
        <v/>
      </c>
    </row>
    <row r="110">
      <c r="A110" s="1" t="str">
        <f>IFERROR(__xludf.DUMMYFUNCTION("""COMPUTED_VALUE"""),"63ea6e9352ad6968805cea2b")</f>
        <v>63ea6e9352ad6968805cea2b</v>
      </c>
      <c r="B110" s="1" t="str">
        <f>IFERROR(__xludf.DUMMYFUNCTION("""COMPUTED_VALUE"""),"NACHRICHTENTECHNIK BIELEFELD GmbH")</f>
        <v>NACHRICHTENTECHNIK BIELEFELD GmbH</v>
      </c>
      <c r="C110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110" s="1" t="str">
        <f>IFERROR(__xludf.DUMMYFUNCTION("""COMPUTED_VALUE"""),"germany")</f>
        <v>germany</v>
      </c>
      <c r="E110" s="1" t="str">
        <f>IFERROR(__xludf.DUMMYFUNCTION("""COMPUTED_VALUE"""),"DE")</f>
        <v>DE</v>
      </c>
      <c r="F110" s="1" t="str">
        <f>IFERROR(__xludf.DUMMYFUNCTION("""COMPUTED_VALUE"""),"expert_1000")</f>
        <v>expert_1000</v>
      </c>
      <c r="G110" s="1">
        <f>IFERROR(__xludf.DUMMYFUNCTION("""COMPUTED_VALUE"""),1.0)</f>
        <v>1</v>
      </c>
      <c r="H110" s="1">
        <f>IFERROR(__xludf.DUMMYFUNCTION("""COMPUTED_VALUE"""),1.0)</f>
        <v>1</v>
      </c>
      <c r="I110" s="2">
        <f>IFERROR(__xludf.DUMMYFUNCTION("""COMPUTED_VALUE"""),1.0)</f>
        <v>1</v>
      </c>
      <c r="J110" s="1">
        <f>IFERROR(__xludf.DUMMYFUNCTION("""COMPUTED_VALUE"""),695.05)</f>
        <v>695.05</v>
      </c>
      <c r="K110" s="1">
        <f>IFERROR(__xludf.DUMMYFUNCTION("""COMPUTED_VALUE"""),1451.0)</f>
        <v>1451</v>
      </c>
      <c r="L110" s="2">
        <f>IFERROR(__xludf.DUMMYFUNCTION("""COMPUTED_VALUE"""),0.4790144727773949)</f>
        <v>0.4790144728</v>
      </c>
      <c r="M110" s="1">
        <f>IFERROR(__xludf.DUMMYFUNCTION("""COMPUTED_VALUE"""),57.0)</f>
        <v>57</v>
      </c>
      <c r="N110" s="1">
        <f>IFERROR(__xludf.DUMMYFUNCTION("""COMPUTED_VALUE"""),52.0)</f>
        <v>52</v>
      </c>
      <c r="O110" s="2">
        <f>IFERROR(__xludf.DUMMYFUNCTION("""COMPUTED_VALUE"""),1.0961538461538463)</f>
        <v>1.096153846</v>
      </c>
      <c r="P110" s="1">
        <f>IFERROR(__xludf.DUMMYFUNCTION("""COMPUTED_VALUE"""),1.0)</f>
        <v>1</v>
      </c>
      <c r="Q110" s="1">
        <f>IFERROR(__xludf.DUMMYFUNCTION("""COMPUTED_VALUE"""),1.0)</f>
        <v>1</v>
      </c>
      <c r="R110" s="2">
        <f>IFERROR(__xludf.DUMMYFUNCTION("""COMPUTED_VALUE"""),1.0)</f>
        <v>1</v>
      </c>
      <c r="S110" s="1">
        <f>IFERROR(__xludf.DUMMYFUNCTION("""COMPUTED_VALUE"""),1.0)</f>
        <v>1</v>
      </c>
      <c r="T110" s="1">
        <f>IFERROR(__xludf.DUMMYFUNCTION("""COMPUTED_VALUE"""),1.0)</f>
        <v>1</v>
      </c>
      <c r="U110" s="2">
        <f>IFERROR(__xludf.DUMMYFUNCTION("""COMPUTED_VALUE"""),1.0)</f>
        <v>1</v>
      </c>
      <c r="V110" s="1">
        <f>IFERROR(__xludf.DUMMYFUNCTION("""COMPUTED_VALUE"""),0.0)</f>
        <v>0</v>
      </c>
      <c r="W110" s="1">
        <f>IFERROR(__xludf.DUMMYFUNCTION("""COMPUTED_VALUE"""),1.0)</f>
        <v>1</v>
      </c>
      <c r="X110" s="2">
        <f>IFERROR(__xludf.DUMMYFUNCTION("""COMPUTED_VALUE"""),0.0)</f>
        <v>0</v>
      </c>
      <c r="Y110" s="1">
        <f>IFERROR(__xludf.DUMMYFUNCTION("""COMPUTED_VALUE"""),11.29)</f>
        <v>11.29</v>
      </c>
      <c r="Z110" s="1">
        <f>IFERROR(__xludf.DUMMYFUNCTION("""COMPUTED_VALUE"""),0.0)</f>
        <v>0</v>
      </c>
      <c r="AA110" s="2" t="str">
        <f>IFERROR(__xludf.DUMMYFUNCTION("""COMPUTED_VALUE"""),"")</f>
        <v/>
      </c>
      <c r="AB110" s="1">
        <f>IFERROR(__xludf.DUMMYFUNCTION("""COMPUTED_VALUE"""),18.53)</f>
        <v>18.53</v>
      </c>
      <c r="AC110" s="1">
        <f>IFERROR(__xludf.DUMMYFUNCTION("""COMPUTED_VALUE"""),549.06)</f>
        <v>549.06</v>
      </c>
      <c r="AD110" s="2">
        <f>IFERROR(__xludf.DUMMYFUNCTION("""COMPUTED_VALUE"""),0.03374858849670346)</f>
        <v>0.0337485885</v>
      </c>
      <c r="AE110" s="1">
        <f>IFERROR(__xludf.DUMMYFUNCTION("""COMPUTED_VALUE"""),1479.52)</f>
        <v>1479.52</v>
      </c>
      <c r="AF110" s="1">
        <f>IFERROR(__xludf.DUMMYFUNCTION("""COMPUTED_VALUE"""),783.02)</f>
        <v>783.02</v>
      </c>
      <c r="AG110" s="2">
        <f>IFERROR(__xludf.DUMMYFUNCTION("""COMPUTED_VALUE"""),1.889504738065439)</f>
        <v>1.889504738</v>
      </c>
      <c r="AH110" s="1">
        <f>IFERROR(__xludf.DUMMYFUNCTION("""COMPUTED_VALUE"""),761.23)</f>
        <v>761.23</v>
      </c>
      <c r="AI110" s="1">
        <f>IFERROR(__xludf.DUMMYFUNCTION("""COMPUTED_VALUE"""),858.49)</f>
        <v>858.49</v>
      </c>
      <c r="AJ110" s="2">
        <f>IFERROR(__xludf.DUMMYFUNCTION("""COMPUTED_VALUE"""),0.8867080571701476)</f>
        <v>0.8867080572</v>
      </c>
      <c r="AK110" s="1">
        <f>IFERROR(__xludf.DUMMYFUNCTION("""COMPUTED_VALUE"""),2270.5699999999997)</f>
        <v>2270.57</v>
      </c>
      <c r="AL110" s="1">
        <f>IFERROR(__xludf.DUMMYFUNCTION("""COMPUTED_VALUE"""),2190.5699999999997)</f>
        <v>2190.57</v>
      </c>
      <c r="AM110" s="2">
        <f>IFERROR(__xludf.DUMMYFUNCTION("""COMPUTED_VALUE"""),1.0365201751142397)</f>
        <v>1.036520175</v>
      </c>
      <c r="AN110" s="1">
        <f>IFERROR(__xludf.DUMMYFUNCTION("""COMPUTED_VALUE"""),34.77)</f>
        <v>34.77</v>
      </c>
      <c r="AO110" s="1">
        <f>IFERROR(__xludf.DUMMYFUNCTION("""COMPUTED_VALUE"""),0.0)</f>
        <v>0</v>
      </c>
      <c r="AP110" s="2" t="str">
        <f>IFERROR(__xludf.DUMMYFUNCTION("""COMPUTED_VALUE"""),"")</f>
        <v/>
      </c>
      <c r="AQ110" s="1">
        <f>IFERROR(__xludf.DUMMYFUNCTION("""COMPUTED_VALUE"""),91.21)</f>
        <v>91.21</v>
      </c>
      <c r="AR110" s="1">
        <f>IFERROR(__xludf.DUMMYFUNCTION("""COMPUTED_VALUE"""),0.0)</f>
        <v>0</v>
      </c>
      <c r="AS110" s="2" t="str">
        <f>IFERROR(__xludf.DUMMYFUNCTION("""COMPUTED_VALUE"""),"")</f>
        <v/>
      </c>
      <c r="AT110" s="1">
        <f>IFERROR(__xludf.DUMMYFUNCTION("""COMPUTED_VALUE"""),11.98)</f>
        <v>11.98</v>
      </c>
      <c r="AU110" s="1">
        <f>IFERROR(__xludf.DUMMYFUNCTION("""COMPUTED_VALUE"""),0.0)</f>
        <v>0</v>
      </c>
      <c r="AV110" s="2" t="str">
        <f>IFERROR(__xludf.DUMMYFUNCTION("""COMPUTED_VALUE"""),"")</f>
        <v/>
      </c>
      <c r="AW110" s="1">
        <f>IFERROR(__xludf.DUMMYFUNCTION("""COMPUTED_VALUE"""),24.98)</f>
        <v>24.98</v>
      </c>
      <c r="AX110" s="1">
        <f>IFERROR(__xludf.DUMMYFUNCTION("""COMPUTED_VALUE"""),0.0)</f>
        <v>0</v>
      </c>
      <c r="AY110" s="2" t="str">
        <f>IFERROR(__xludf.DUMMYFUNCTION("""COMPUTED_VALUE"""),"")</f>
        <v/>
      </c>
      <c r="AZ110" s="1">
        <f>IFERROR(__xludf.DUMMYFUNCTION("""COMPUTED_VALUE"""),162.93999999999997)</f>
        <v>162.94</v>
      </c>
      <c r="BA110" s="1">
        <f>IFERROR(__xludf.DUMMYFUNCTION("""COMPUTED_VALUE"""),0.0)</f>
        <v>0</v>
      </c>
      <c r="BB110" s="2" t="str">
        <f>IFERROR(__xludf.DUMMYFUNCTION("""COMPUTED_VALUE"""),"")</f>
        <v/>
      </c>
    </row>
    <row r="111">
      <c r="A111" s="1" t="str">
        <f>IFERROR(__xludf.DUMMYFUNCTION("""COMPUTED_VALUE"""),"63ced847c5c820531c268b5e")</f>
        <v>63ced847c5c820531c268b5e</v>
      </c>
      <c r="B111" s="1" t="str">
        <f>IFERROR(__xludf.DUMMYFUNCTION("""COMPUTED_VALUE"""),"nds Netzwerksysteme GmbH")</f>
        <v>nds Netzwerksysteme GmbH</v>
      </c>
      <c r="C111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111" s="1" t="str">
        <f>IFERROR(__xludf.DUMMYFUNCTION("""COMPUTED_VALUE"""),"germany")</f>
        <v>germany</v>
      </c>
      <c r="E111" s="1" t="str">
        <f>IFERROR(__xludf.DUMMYFUNCTION("""COMPUTED_VALUE"""),"DE")</f>
        <v>DE</v>
      </c>
      <c r="F111" s="1" t="str">
        <f>IFERROR(__xludf.DUMMYFUNCTION("""COMPUTED_VALUE"""),"expert_200")</f>
        <v>expert_200</v>
      </c>
      <c r="G111" s="1">
        <f>IFERROR(__xludf.DUMMYFUNCTION("""COMPUTED_VALUE"""),1.0)</f>
        <v>1</v>
      </c>
      <c r="H111" s="1">
        <f>IFERROR(__xludf.DUMMYFUNCTION("""COMPUTED_VALUE"""),1.0)</f>
        <v>1</v>
      </c>
      <c r="I111" s="2">
        <f>IFERROR(__xludf.DUMMYFUNCTION("""COMPUTED_VALUE"""),1.0)</f>
        <v>1</v>
      </c>
      <c r="J111" s="1">
        <f>IFERROR(__xludf.DUMMYFUNCTION("""COMPUTED_VALUE"""),182.1)</f>
        <v>182.1</v>
      </c>
      <c r="K111" s="1">
        <f>IFERROR(__xludf.DUMMYFUNCTION("""COMPUTED_VALUE"""),750.0)</f>
        <v>750</v>
      </c>
      <c r="L111" s="2">
        <f>IFERROR(__xludf.DUMMYFUNCTION("""COMPUTED_VALUE"""),0.2428)</f>
        <v>0.2428</v>
      </c>
      <c r="M111" s="1">
        <f>IFERROR(__xludf.DUMMYFUNCTION("""COMPUTED_VALUE"""),16.0)</f>
        <v>16</v>
      </c>
      <c r="N111" s="1">
        <f>IFERROR(__xludf.DUMMYFUNCTION("""COMPUTED_VALUE"""),52.0)</f>
        <v>52</v>
      </c>
      <c r="O111" s="2">
        <f>IFERROR(__xludf.DUMMYFUNCTION("""COMPUTED_VALUE"""),0.3076923076923077)</f>
        <v>0.3076923077</v>
      </c>
      <c r="P111" s="1">
        <f>IFERROR(__xludf.DUMMYFUNCTION("""COMPUTED_VALUE"""),0.0)</f>
        <v>0</v>
      </c>
      <c r="Q111" s="1">
        <f>IFERROR(__xludf.DUMMYFUNCTION("""COMPUTED_VALUE"""),1.0)</f>
        <v>1</v>
      </c>
      <c r="R111" s="2">
        <f>IFERROR(__xludf.DUMMYFUNCTION("""COMPUTED_VALUE"""),0.0)</f>
        <v>0</v>
      </c>
      <c r="S111" s="1">
        <f>IFERROR(__xludf.DUMMYFUNCTION("""COMPUTED_VALUE"""),0.0)</f>
        <v>0</v>
      </c>
      <c r="T111" s="1">
        <f>IFERROR(__xludf.DUMMYFUNCTION("""COMPUTED_VALUE"""),1.0)</f>
        <v>1</v>
      </c>
      <c r="U111" s="2">
        <f>IFERROR(__xludf.DUMMYFUNCTION("""COMPUTED_VALUE"""),0.0)</f>
        <v>0</v>
      </c>
      <c r="V111" s="1">
        <f>IFERROR(__xludf.DUMMYFUNCTION("""COMPUTED_VALUE"""),1.0)</f>
        <v>1</v>
      </c>
      <c r="W111" s="1">
        <f>IFERROR(__xludf.DUMMYFUNCTION("""COMPUTED_VALUE"""),1.0)</f>
        <v>1</v>
      </c>
      <c r="X111" s="2">
        <f>IFERROR(__xludf.DUMMYFUNCTION("""COMPUTED_VALUE"""),1.0)</f>
        <v>1</v>
      </c>
      <c r="Y111" s="1">
        <f>IFERROR(__xludf.DUMMYFUNCTION("""COMPUTED_VALUE"""),94.65)</f>
        <v>94.65</v>
      </c>
      <c r="Z111" s="1">
        <f>IFERROR(__xludf.DUMMYFUNCTION("""COMPUTED_VALUE"""),450.0)</f>
        <v>450</v>
      </c>
      <c r="AA111" s="2">
        <f>IFERROR(__xludf.DUMMYFUNCTION("""COMPUTED_VALUE"""),0.21033333333333334)</f>
        <v>0.2103333333</v>
      </c>
      <c r="AB111" s="1">
        <f>IFERROR(__xludf.DUMMYFUNCTION("""COMPUTED_VALUE"""),125.97)</f>
        <v>125.97</v>
      </c>
      <c r="AC111" s="1">
        <f>IFERROR(__xludf.DUMMYFUNCTION("""COMPUTED_VALUE"""),254.24)</f>
        <v>254.24</v>
      </c>
      <c r="AD111" s="2">
        <f>IFERROR(__xludf.DUMMYFUNCTION("""COMPUTED_VALUE"""),0.49547671491504086)</f>
        <v>0.4954767149</v>
      </c>
      <c r="AE111" s="1">
        <f>IFERROR(__xludf.DUMMYFUNCTION("""COMPUTED_VALUE"""),253.3)</f>
        <v>253.3</v>
      </c>
      <c r="AF111" s="1">
        <f>IFERROR(__xludf.DUMMYFUNCTION("""COMPUTED_VALUE"""),381.36)</f>
        <v>381.36</v>
      </c>
      <c r="AG111" s="2">
        <f>IFERROR(__xludf.DUMMYFUNCTION("""COMPUTED_VALUE"""),0.6642018040696455)</f>
        <v>0.6642018041</v>
      </c>
      <c r="AH111" s="1">
        <f>IFERROR(__xludf.DUMMYFUNCTION("""COMPUTED_VALUE"""),657.2)</f>
        <v>657.2</v>
      </c>
      <c r="AI111" s="1">
        <f>IFERROR(__xludf.DUMMYFUNCTION("""COMPUTED_VALUE"""),381.36)</f>
        <v>381.36</v>
      </c>
      <c r="AJ111" s="2">
        <f>IFERROR(__xludf.DUMMYFUNCTION("""COMPUTED_VALUE"""),1.7233060625131111)</f>
        <v>1.723306063</v>
      </c>
      <c r="AK111" s="1">
        <f>IFERROR(__xludf.DUMMYFUNCTION("""COMPUTED_VALUE"""),1131.1200000000001)</f>
        <v>1131.12</v>
      </c>
      <c r="AL111" s="1">
        <f>IFERROR(__xludf.DUMMYFUNCTION("""COMPUTED_VALUE"""),1466.96)</f>
        <v>1466.96</v>
      </c>
      <c r="AM111" s="2">
        <f>IFERROR(__xludf.DUMMYFUNCTION("""COMPUTED_VALUE"""),0.771063969024377)</f>
        <v>0.771063969</v>
      </c>
      <c r="AN111" s="1">
        <f>IFERROR(__xludf.DUMMYFUNCTION("""COMPUTED_VALUE"""),94.65)</f>
        <v>94.65</v>
      </c>
      <c r="AO111" s="1">
        <f>IFERROR(__xludf.DUMMYFUNCTION("""COMPUTED_VALUE"""),0.0)</f>
        <v>0</v>
      </c>
      <c r="AP111" s="2" t="str">
        <f>IFERROR(__xludf.DUMMYFUNCTION("""COMPUTED_VALUE"""),"")</f>
        <v/>
      </c>
      <c r="AQ111" s="1">
        <f>IFERROR(__xludf.DUMMYFUNCTION("""COMPUTED_VALUE"""),0.0)</f>
        <v>0</v>
      </c>
      <c r="AR111" s="1">
        <f>IFERROR(__xludf.DUMMYFUNCTION("""COMPUTED_VALUE"""),0.0)</f>
        <v>0</v>
      </c>
      <c r="AS111" s="2" t="str">
        <f>IFERROR(__xludf.DUMMYFUNCTION("""COMPUTED_VALUE"""),"")</f>
        <v/>
      </c>
      <c r="AT111" s="1">
        <f>IFERROR(__xludf.DUMMYFUNCTION("""COMPUTED_VALUE"""),0.0)</f>
        <v>0</v>
      </c>
      <c r="AU111" s="1">
        <f>IFERROR(__xludf.DUMMYFUNCTION("""COMPUTED_VALUE"""),0.0)</f>
        <v>0</v>
      </c>
      <c r="AV111" s="2" t="str">
        <f>IFERROR(__xludf.DUMMYFUNCTION("""COMPUTED_VALUE"""),"")</f>
        <v/>
      </c>
      <c r="AW111" s="1">
        <f>IFERROR(__xludf.DUMMYFUNCTION("""COMPUTED_VALUE"""),0.0)</f>
        <v>0</v>
      </c>
      <c r="AX111" s="1">
        <f>IFERROR(__xludf.DUMMYFUNCTION("""COMPUTED_VALUE"""),0.0)</f>
        <v>0</v>
      </c>
      <c r="AY111" s="2" t="str">
        <f>IFERROR(__xludf.DUMMYFUNCTION("""COMPUTED_VALUE"""),"")</f>
        <v/>
      </c>
      <c r="AZ111" s="1">
        <f>IFERROR(__xludf.DUMMYFUNCTION("""COMPUTED_VALUE"""),94.65)</f>
        <v>94.65</v>
      </c>
      <c r="BA111" s="1">
        <f>IFERROR(__xludf.DUMMYFUNCTION("""COMPUTED_VALUE"""),0.0)</f>
        <v>0</v>
      </c>
      <c r="BB111" s="2" t="str">
        <f>IFERROR(__xludf.DUMMYFUNCTION("""COMPUTED_VALUE"""),"")</f>
        <v/>
      </c>
    </row>
    <row r="112">
      <c r="A112" s="1" t="str">
        <f>IFERROR(__xludf.DUMMYFUNCTION("""COMPUTED_VALUE"""),"67e40b1f4c8bf642980d1202")</f>
        <v>67e40b1f4c8bf642980d1202</v>
      </c>
      <c r="B112" s="1" t="str">
        <f>IFERROR(__xludf.DUMMYFUNCTION("""COMPUTED_VALUE"""),"NECSYS S.A.S.")</f>
        <v>NECSYS S.A.S.</v>
      </c>
      <c r="C112" s="1" t="str">
        <f>IFERROR(__xludf.DUMMYFUNCTION("""COMPUTED_VALUE"""),"rui.silva@al-enterprise.com, javier.largacha@al-enterprise.com")</f>
        <v>rui.silva@al-enterprise.com, javier.largacha@al-enterprise.com</v>
      </c>
      <c r="D112" s="1" t="str">
        <f>IFERROR(__xludf.DUMMYFUNCTION("""COMPUTED_VALUE"""),"americas")</f>
        <v>americas</v>
      </c>
      <c r="E112" s="1" t="str">
        <f>IFERROR(__xludf.DUMMYFUNCTION("""COMPUTED_VALUE"""),"CO")</f>
        <v>CO</v>
      </c>
      <c r="F112" s="1"/>
      <c r="G112" s="1">
        <f>IFERROR(__xludf.DUMMYFUNCTION("""COMPUTED_VALUE"""),0.0)</f>
        <v>0</v>
      </c>
      <c r="H112" s="1">
        <f>IFERROR(__xludf.DUMMYFUNCTION("""COMPUTED_VALUE"""),1.0)</f>
        <v>1</v>
      </c>
      <c r="I112" s="2">
        <f>IFERROR(__xludf.DUMMYFUNCTION("""COMPUTED_VALUE"""),0.0)</f>
        <v>0</v>
      </c>
      <c r="J112" s="1">
        <f>IFERROR(__xludf.DUMMYFUNCTION("""COMPUTED_VALUE"""),0.0)</f>
        <v>0</v>
      </c>
      <c r="K112" s="1">
        <f>IFERROR(__xludf.DUMMYFUNCTION("""COMPUTED_VALUE"""),240.0)</f>
        <v>240</v>
      </c>
      <c r="L112" s="2">
        <f>IFERROR(__xludf.DUMMYFUNCTION("""COMPUTED_VALUE"""),0.0)</f>
        <v>0</v>
      </c>
      <c r="M112" s="1">
        <f>IFERROR(__xludf.DUMMYFUNCTION("""COMPUTED_VALUE"""),0.0)</f>
        <v>0</v>
      </c>
      <c r="N112" s="1">
        <f>IFERROR(__xludf.DUMMYFUNCTION("""COMPUTED_VALUE"""),0.0)</f>
        <v>0</v>
      </c>
      <c r="O112" s="2" t="str">
        <f>IFERROR(__xludf.DUMMYFUNCTION("""COMPUTED_VALUE"""),"")</f>
        <v/>
      </c>
      <c r="P112" s="1">
        <f>IFERROR(__xludf.DUMMYFUNCTION("""COMPUTED_VALUE"""),0.0)</f>
        <v>0</v>
      </c>
      <c r="Q112" s="1">
        <f>IFERROR(__xludf.DUMMYFUNCTION("""COMPUTED_VALUE"""),1.0)</f>
        <v>1</v>
      </c>
      <c r="R112" s="2">
        <f>IFERROR(__xludf.DUMMYFUNCTION("""COMPUTED_VALUE"""),0.0)</f>
        <v>0</v>
      </c>
      <c r="S112" s="1">
        <f>IFERROR(__xludf.DUMMYFUNCTION("""COMPUTED_VALUE"""),0.0)</f>
        <v>0</v>
      </c>
      <c r="T112" s="1">
        <f>IFERROR(__xludf.DUMMYFUNCTION("""COMPUTED_VALUE"""),1.0)</f>
        <v>1</v>
      </c>
      <c r="U112" s="2">
        <f>IFERROR(__xludf.DUMMYFUNCTION("""COMPUTED_VALUE"""),0.0)</f>
        <v>0</v>
      </c>
      <c r="V112" s="1">
        <f>IFERROR(__xludf.DUMMYFUNCTION("""COMPUTED_VALUE"""),0.0)</f>
        <v>0</v>
      </c>
      <c r="W112" s="1">
        <f>IFERROR(__xludf.DUMMYFUNCTION("""COMPUTED_VALUE"""),1.0)</f>
        <v>1</v>
      </c>
      <c r="X112" s="2">
        <f>IFERROR(__xludf.DUMMYFUNCTION("""COMPUTED_VALUE"""),0.0)</f>
        <v>0</v>
      </c>
      <c r="Y112" s="1">
        <f>IFERROR(__xludf.DUMMYFUNCTION("""COMPUTED_VALUE"""),0.0)</f>
        <v>0</v>
      </c>
      <c r="Z112" s="1">
        <f>IFERROR(__xludf.DUMMYFUNCTION("""COMPUTED_VALUE"""),0.0)</f>
        <v>0</v>
      </c>
      <c r="AA112" s="2" t="str">
        <f>IFERROR(__xludf.DUMMYFUNCTION("""COMPUTED_VALUE"""),"")</f>
        <v/>
      </c>
      <c r="AB112" s="1">
        <f>IFERROR(__xludf.DUMMYFUNCTION("""COMPUTED_VALUE"""),30.0)</f>
        <v>30</v>
      </c>
      <c r="AC112" s="1">
        <f>IFERROR(__xludf.DUMMYFUNCTION("""COMPUTED_VALUE"""),243.34)</f>
        <v>243.34</v>
      </c>
      <c r="AD112" s="2">
        <f>IFERROR(__xludf.DUMMYFUNCTION("""COMPUTED_VALUE"""),0.12328429358099778)</f>
        <v>0.1232842936</v>
      </c>
      <c r="AE112" s="1">
        <f>IFERROR(__xludf.DUMMYFUNCTION("""COMPUTED_VALUE"""),95.0)</f>
        <v>95</v>
      </c>
      <c r="AF112" s="1">
        <f>IFERROR(__xludf.DUMMYFUNCTION("""COMPUTED_VALUE"""),183.34)</f>
        <v>183.34</v>
      </c>
      <c r="AG112" s="2">
        <f>IFERROR(__xludf.DUMMYFUNCTION("""COMPUTED_VALUE"""),0.5181629758917857)</f>
        <v>0.5181629759</v>
      </c>
      <c r="AH112" s="1">
        <f>IFERROR(__xludf.DUMMYFUNCTION("""COMPUTED_VALUE"""),20.0)</f>
        <v>20</v>
      </c>
      <c r="AI112" s="1">
        <f>IFERROR(__xludf.DUMMYFUNCTION("""COMPUTED_VALUE"""),289.99)</f>
        <v>289.99</v>
      </c>
      <c r="AJ112" s="2">
        <f>IFERROR(__xludf.DUMMYFUNCTION("""COMPUTED_VALUE"""),0.06896789544467051)</f>
        <v>0.06896789544</v>
      </c>
      <c r="AK112" s="1">
        <f>IFERROR(__xludf.DUMMYFUNCTION("""COMPUTED_VALUE"""),145.0)</f>
        <v>145</v>
      </c>
      <c r="AL112" s="1">
        <f>IFERROR(__xludf.DUMMYFUNCTION("""COMPUTED_VALUE"""),716.6700000000001)</f>
        <v>716.67</v>
      </c>
      <c r="AM112" s="2">
        <f>IFERROR(__xludf.DUMMYFUNCTION("""COMPUTED_VALUE"""),0.20232464035050998)</f>
        <v>0.2023246404</v>
      </c>
      <c r="AN112" s="1">
        <f>IFERROR(__xludf.DUMMYFUNCTION("""COMPUTED_VALUE"""),0.0)</f>
        <v>0</v>
      </c>
      <c r="AO112" s="1">
        <f>IFERROR(__xludf.DUMMYFUNCTION("""COMPUTED_VALUE"""),0.0)</f>
        <v>0</v>
      </c>
      <c r="AP112" s="2" t="str">
        <f>IFERROR(__xludf.DUMMYFUNCTION("""COMPUTED_VALUE"""),"")</f>
        <v/>
      </c>
      <c r="AQ112" s="1">
        <f>IFERROR(__xludf.DUMMYFUNCTION("""COMPUTED_VALUE"""),0.0)</f>
        <v>0</v>
      </c>
      <c r="AR112" s="1">
        <f>IFERROR(__xludf.DUMMYFUNCTION("""COMPUTED_VALUE"""),0.0)</f>
        <v>0</v>
      </c>
      <c r="AS112" s="2" t="str">
        <f>IFERROR(__xludf.DUMMYFUNCTION("""COMPUTED_VALUE"""),"")</f>
        <v/>
      </c>
      <c r="AT112" s="1">
        <f>IFERROR(__xludf.DUMMYFUNCTION("""COMPUTED_VALUE"""),0.0)</f>
        <v>0</v>
      </c>
      <c r="AU112" s="1">
        <f>IFERROR(__xludf.DUMMYFUNCTION("""COMPUTED_VALUE"""),0.0)</f>
        <v>0</v>
      </c>
      <c r="AV112" s="2" t="str">
        <f>IFERROR(__xludf.DUMMYFUNCTION("""COMPUTED_VALUE"""),"")</f>
        <v/>
      </c>
      <c r="AW112" s="1">
        <f>IFERROR(__xludf.DUMMYFUNCTION("""COMPUTED_VALUE"""),0.0)</f>
        <v>0</v>
      </c>
      <c r="AX112" s="1">
        <f>IFERROR(__xludf.DUMMYFUNCTION("""COMPUTED_VALUE"""),0.0)</f>
        <v>0</v>
      </c>
      <c r="AY112" s="2" t="str">
        <f>IFERROR(__xludf.DUMMYFUNCTION("""COMPUTED_VALUE"""),"")</f>
        <v/>
      </c>
      <c r="AZ112" s="1">
        <f>IFERROR(__xludf.DUMMYFUNCTION("""COMPUTED_VALUE"""),0.0)</f>
        <v>0</v>
      </c>
      <c r="BA112" s="1">
        <f>IFERROR(__xludf.DUMMYFUNCTION("""COMPUTED_VALUE"""),0.0)</f>
        <v>0</v>
      </c>
      <c r="BB112" s="2" t="str">
        <f>IFERROR(__xludf.DUMMYFUNCTION("""COMPUTED_VALUE"""),"")</f>
        <v/>
      </c>
    </row>
    <row r="113">
      <c r="A113" s="1" t="str">
        <f>IFERROR(__xludf.DUMMYFUNCTION("""COMPUTED_VALUE"""),"684009a466c3a00d8201c607")</f>
        <v>684009a466c3a00d8201c607</v>
      </c>
      <c r="B113" s="1" t="str">
        <f>IFERROR(__xludf.DUMMYFUNCTION("""COMPUTED_VALUE"""),"Netcom Bayern GmbH")</f>
        <v>Netcom Bayern GmbH</v>
      </c>
      <c r="C113" s="1" t="str">
        <f>IFERROR(__xludf.DUMMYFUNCTION("""COMPUTED_VALUE"""),"philippe.girard@al-enterprise.com, rui.silva@al-enterprise.com, hakan.adiguezel@al-enterprise.com")</f>
        <v>philippe.girard@al-enterprise.com, rui.silva@al-enterprise.com, hakan.adiguezel@al-enterprise.com</v>
      </c>
      <c r="D113" s="1" t="str">
        <f>IFERROR(__xludf.DUMMYFUNCTION("""COMPUTED_VALUE"""),"germany")</f>
        <v>germany</v>
      </c>
      <c r="E113" s="1" t="str">
        <f>IFERROR(__xludf.DUMMYFUNCTION("""COMPUTED_VALUE"""),"DE")</f>
        <v>DE</v>
      </c>
      <c r="F113" s="1"/>
      <c r="G113" s="1">
        <f>IFERROR(__xludf.DUMMYFUNCTION("""COMPUTED_VALUE"""),0.0)</f>
        <v>0</v>
      </c>
      <c r="H113" s="1">
        <f>IFERROR(__xludf.DUMMYFUNCTION("""COMPUTED_VALUE"""),1.0)</f>
        <v>1</v>
      </c>
      <c r="I113" s="2">
        <f>IFERROR(__xludf.DUMMYFUNCTION("""COMPUTED_VALUE"""),0.0)</f>
        <v>0</v>
      </c>
      <c r="J113" s="1">
        <f>IFERROR(__xludf.DUMMYFUNCTION("""COMPUTED_VALUE"""),0.04)</f>
        <v>0.04</v>
      </c>
      <c r="K113" s="1">
        <f>IFERROR(__xludf.DUMMYFUNCTION("""COMPUTED_VALUE"""),0.0)</f>
        <v>0</v>
      </c>
      <c r="L113" s="2" t="str">
        <f>IFERROR(__xludf.DUMMYFUNCTION("""COMPUTED_VALUE"""),"")</f>
        <v/>
      </c>
      <c r="M113" s="1">
        <f>IFERROR(__xludf.DUMMYFUNCTION("""COMPUTED_VALUE"""),0.0)</f>
        <v>0</v>
      </c>
      <c r="N113" s="1">
        <f>IFERROR(__xludf.DUMMYFUNCTION("""COMPUTED_VALUE"""),0.0)</f>
        <v>0</v>
      </c>
      <c r="O113" s="2" t="str">
        <f>IFERROR(__xludf.DUMMYFUNCTION("""COMPUTED_VALUE"""),"")</f>
        <v/>
      </c>
      <c r="P113" s="1">
        <f>IFERROR(__xludf.DUMMYFUNCTION("""COMPUTED_VALUE"""),0.0)</f>
        <v>0</v>
      </c>
      <c r="Q113" s="1">
        <f>IFERROR(__xludf.DUMMYFUNCTION("""COMPUTED_VALUE"""),1.0)</f>
        <v>1</v>
      </c>
      <c r="R113" s="2">
        <f>IFERROR(__xludf.DUMMYFUNCTION("""COMPUTED_VALUE"""),0.0)</f>
        <v>0</v>
      </c>
      <c r="S113" s="1">
        <f>IFERROR(__xludf.DUMMYFUNCTION("""COMPUTED_VALUE"""),0.0)</f>
        <v>0</v>
      </c>
      <c r="T113" s="1">
        <f>IFERROR(__xludf.DUMMYFUNCTION("""COMPUTED_VALUE"""),1.0)</f>
        <v>1</v>
      </c>
      <c r="U113" s="2">
        <f>IFERROR(__xludf.DUMMYFUNCTION("""COMPUTED_VALUE"""),0.0)</f>
        <v>0</v>
      </c>
      <c r="V113" s="1">
        <f>IFERROR(__xludf.DUMMYFUNCTION("""COMPUTED_VALUE"""),0.0)</f>
        <v>0</v>
      </c>
      <c r="W113" s="1">
        <f>IFERROR(__xludf.DUMMYFUNCTION("""COMPUTED_VALUE"""),1.0)</f>
        <v>1</v>
      </c>
      <c r="X113" s="2">
        <f>IFERROR(__xludf.DUMMYFUNCTION("""COMPUTED_VALUE"""),0.0)</f>
        <v>0</v>
      </c>
      <c r="Y113" s="1">
        <f>IFERROR(__xludf.DUMMYFUNCTION("""COMPUTED_VALUE"""),0.0)</f>
        <v>0</v>
      </c>
      <c r="Z113" s="1">
        <f>IFERROR(__xludf.DUMMYFUNCTION("""COMPUTED_VALUE"""),0.0)</f>
        <v>0</v>
      </c>
      <c r="AA113" s="2" t="str">
        <f>IFERROR(__xludf.DUMMYFUNCTION("""COMPUTED_VALUE"""),"")</f>
        <v/>
      </c>
      <c r="AB113" s="1">
        <f>IFERROR(__xludf.DUMMYFUNCTION("""COMPUTED_VALUE"""),0.0)</f>
        <v>0</v>
      </c>
      <c r="AC113" s="1">
        <f>IFERROR(__xludf.DUMMYFUNCTION("""COMPUTED_VALUE"""),0.0)</f>
        <v>0</v>
      </c>
      <c r="AD113" s="2" t="str">
        <f>IFERROR(__xludf.DUMMYFUNCTION("""COMPUTED_VALUE"""),"")</f>
        <v/>
      </c>
      <c r="AE113" s="1">
        <f>IFERROR(__xludf.DUMMYFUNCTION("""COMPUTED_VALUE"""),0.0)</f>
        <v>0</v>
      </c>
      <c r="AF113" s="1">
        <f>IFERROR(__xludf.DUMMYFUNCTION("""COMPUTED_VALUE"""),0.0)</f>
        <v>0</v>
      </c>
      <c r="AG113" s="2" t="str">
        <f>IFERROR(__xludf.DUMMYFUNCTION("""COMPUTED_VALUE"""),"")</f>
        <v/>
      </c>
      <c r="AH113" s="1">
        <f>IFERROR(__xludf.DUMMYFUNCTION("""COMPUTED_VALUE"""),0.0)</f>
        <v>0</v>
      </c>
      <c r="AI113" s="1">
        <f>IFERROR(__xludf.DUMMYFUNCTION("""COMPUTED_VALUE"""),0.0)</f>
        <v>0</v>
      </c>
      <c r="AJ113" s="2" t="str">
        <f>IFERROR(__xludf.DUMMYFUNCTION("""COMPUTED_VALUE"""),"")</f>
        <v/>
      </c>
      <c r="AK113" s="1">
        <f>IFERROR(__xludf.DUMMYFUNCTION("""COMPUTED_VALUE"""),0.0)</f>
        <v>0</v>
      </c>
      <c r="AL113" s="1">
        <f>IFERROR(__xludf.DUMMYFUNCTION("""COMPUTED_VALUE"""),0.0)</f>
        <v>0</v>
      </c>
      <c r="AM113" s="2" t="str">
        <f>IFERROR(__xludf.DUMMYFUNCTION("""COMPUTED_VALUE"""),"")</f>
        <v/>
      </c>
      <c r="AN113" s="1">
        <f>IFERROR(__xludf.DUMMYFUNCTION("""COMPUTED_VALUE"""),0.0)</f>
        <v>0</v>
      </c>
      <c r="AO113" s="1">
        <f>IFERROR(__xludf.DUMMYFUNCTION("""COMPUTED_VALUE"""),0.0)</f>
        <v>0</v>
      </c>
      <c r="AP113" s="2" t="str">
        <f>IFERROR(__xludf.DUMMYFUNCTION("""COMPUTED_VALUE"""),"")</f>
        <v/>
      </c>
      <c r="AQ113" s="1">
        <f>IFERROR(__xludf.DUMMYFUNCTION("""COMPUTED_VALUE"""),0.0)</f>
        <v>0</v>
      </c>
      <c r="AR113" s="1">
        <f>IFERROR(__xludf.DUMMYFUNCTION("""COMPUTED_VALUE"""),0.0)</f>
        <v>0</v>
      </c>
      <c r="AS113" s="2" t="str">
        <f>IFERROR(__xludf.DUMMYFUNCTION("""COMPUTED_VALUE"""),"")</f>
        <v/>
      </c>
      <c r="AT113" s="1">
        <f>IFERROR(__xludf.DUMMYFUNCTION("""COMPUTED_VALUE"""),0.0)</f>
        <v>0</v>
      </c>
      <c r="AU113" s="1">
        <f>IFERROR(__xludf.DUMMYFUNCTION("""COMPUTED_VALUE"""),0.0)</f>
        <v>0</v>
      </c>
      <c r="AV113" s="2" t="str">
        <f>IFERROR(__xludf.DUMMYFUNCTION("""COMPUTED_VALUE"""),"")</f>
        <v/>
      </c>
      <c r="AW113" s="1">
        <f>IFERROR(__xludf.DUMMYFUNCTION("""COMPUTED_VALUE"""),0.0)</f>
        <v>0</v>
      </c>
      <c r="AX113" s="1">
        <f>IFERROR(__xludf.DUMMYFUNCTION("""COMPUTED_VALUE"""),0.0)</f>
        <v>0</v>
      </c>
      <c r="AY113" s="2" t="str">
        <f>IFERROR(__xludf.DUMMYFUNCTION("""COMPUTED_VALUE"""),"")</f>
        <v/>
      </c>
      <c r="AZ113" s="1">
        <f>IFERROR(__xludf.DUMMYFUNCTION("""COMPUTED_VALUE"""),0.0)</f>
        <v>0</v>
      </c>
      <c r="BA113" s="1">
        <f>IFERROR(__xludf.DUMMYFUNCTION("""COMPUTED_VALUE"""),0.0)</f>
        <v>0</v>
      </c>
      <c r="BB113" s="2" t="str">
        <f>IFERROR(__xludf.DUMMYFUNCTION("""COMPUTED_VALUE"""),"")</f>
        <v/>
      </c>
    </row>
    <row r="114">
      <c r="A114" s="1" t="str">
        <f>IFERROR(__xludf.DUMMYFUNCTION("""COMPUTED_VALUE"""),"63ea6e9352ad6968805ceaef")</f>
        <v>63ea6e9352ad6968805ceaef</v>
      </c>
      <c r="B114" s="1" t="str">
        <f>IFERROR(__xludf.DUMMYFUNCTION("""COMPUTED_VALUE"""),"Netkom GmbH")</f>
        <v>Netkom GmbH</v>
      </c>
      <c r="C114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114" s="1" t="str">
        <f>IFERROR(__xludf.DUMMYFUNCTION("""COMPUTED_VALUE"""),"germany")</f>
        <v>germany</v>
      </c>
      <c r="E114" s="1" t="str">
        <f>IFERROR(__xludf.DUMMYFUNCTION("""COMPUTED_VALUE"""),"DE")</f>
        <v>DE</v>
      </c>
      <c r="F114" s="1" t="str">
        <f>IFERROR(__xludf.DUMMYFUNCTION("""COMPUTED_VALUE"""),"expert_200")</f>
        <v>expert_200</v>
      </c>
      <c r="G114" s="1">
        <f>IFERROR(__xludf.DUMMYFUNCTION("""COMPUTED_VALUE"""),0.0)</f>
        <v>0</v>
      </c>
      <c r="H114" s="1">
        <f>IFERROR(__xludf.DUMMYFUNCTION("""COMPUTED_VALUE"""),1.0)</f>
        <v>1</v>
      </c>
      <c r="I114" s="2">
        <f>IFERROR(__xludf.DUMMYFUNCTION("""COMPUTED_VALUE"""),0.0)</f>
        <v>0</v>
      </c>
      <c r="J114" s="1">
        <f>IFERROR(__xludf.DUMMYFUNCTION("""COMPUTED_VALUE"""),110.73)</f>
        <v>110.73</v>
      </c>
      <c r="K114" s="1">
        <f>IFERROR(__xludf.DUMMYFUNCTION("""COMPUTED_VALUE"""),368.5)</f>
        <v>368.5</v>
      </c>
      <c r="L114" s="2">
        <f>IFERROR(__xludf.DUMMYFUNCTION("""COMPUTED_VALUE"""),0.3004884667571235)</f>
        <v>0.3004884668</v>
      </c>
      <c r="M114" s="1">
        <f>IFERROR(__xludf.DUMMYFUNCTION("""COMPUTED_VALUE"""),9.0)</f>
        <v>9</v>
      </c>
      <c r="N114" s="1">
        <f>IFERROR(__xludf.DUMMYFUNCTION("""COMPUTED_VALUE"""),52.0)</f>
        <v>52</v>
      </c>
      <c r="O114" s="2">
        <f>IFERROR(__xludf.DUMMYFUNCTION("""COMPUTED_VALUE"""),0.17307692307692307)</f>
        <v>0.1730769231</v>
      </c>
      <c r="P114" s="1">
        <f>IFERROR(__xludf.DUMMYFUNCTION("""COMPUTED_VALUE"""),1.0)</f>
        <v>1</v>
      </c>
      <c r="Q114" s="1">
        <f>IFERROR(__xludf.DUMMYFUNCTION("""COMPUTED_VALUE"""),1.0)</f>
        <v>1</v>
      </c>
      <c r="R114" s="2">
        <f>IFERROR(__xludf.DUMMYFUNCTION("""COMPUTED_VALUE"""),1.0)</f>
        <v>1</v>
      </c>
      <c r="S114" s="1">
        <f>IFERROR(__xludf.DUMMYFUNCTION("""COMPUTED_VALUE"""),0.0)</f>
        <v>0</v>
      </c>
      <c r="T114" s="1">
        <f>IFERROR(__xludf.DUMMYFUNCTION("""COMPUTED_VALUE"""),1.0)</f>
        <v>1</v>
      </c>
      <c r="U114" s="2">
        <f>IFERROR(__xludf.DUMMYFUNCTION("""COMPUTED_VALUE"""),0.0)</f>
        <v>0</v>
      </c>
      <c r="V114" s="1">
        <f>IFERROR(__xludf.DUMMYFUNCTION("""COMPUTED_VALUE"""),0.0)</f>
        <v>0</v>
      </c>
      <c r="W114" s="1">
        <f>IFERROR(__xludf.DUMMYFUNCTION("""COMPUTED_VALUE"""),1.0)</f>
        <v>1</v>
      </c>
      <c r="X114" s="2">
        <f>IFERROR(__xludf.DUMMYFUNCTION("""COMPUTED_VALUE"""),0.0)</f>
        <v>0</v>
      </c>
      <c r="Y114" s="1">
        <f>IFERROR(__xludf.DUMMYFUNCTION("""COMPUTED_VALUE"""),0.0)</f>
        <v>0</v>
      </c>
      <c r="Z114" s="1">
        <f>IFERROR(__xludf.DUMMYFUNCTION("""COMPUTED_VALUE"""),0.0)</f>
        <v>0</v>
      </c>
      <c r="AA114" s="2" t="str">
        <f>IFERROR(__xludf.DUMMYFUNCTION("""COMPUTED_VALUE"""),"")</f>
        <v/>
      </c>
      <c r="AB114" s="1">
        <f>IFERROR(__xludf.DUMMYFUNCTION("""COMPUTED_VALUE"""),4.94)</f>
        <v>4.94</v>
      </c>
      <c r="AC114" s="1">
        <f>IFERROR(__xludf.DUMMYFUNCTION("""COMPUTED_VALUE"""),184.25)</f>
        <v>184.25</v>
      </c>
      <c r="AD114" s="2">
        <f>IFERROR(__xludf.DUMMYFUNCTION("""COMPUTED_VALUE"""),0.026811397557666216)</f>
        <v>0.02681139756</v>
      </c>
      <c r="AE114" s="1">
        <f>IFERROR(__xludf.DUMMYFUNCTION("""COMPUTED_VALUE"""),4.94)</f>
        <v>4.94</v>
      </c>
      <c r="AF114" s="1">
        <f>IFERROR(__xludf.DUMMYFUNCTION("""COMPUTED_VALUE"""),276.25)</f>
        <v>276.25</v>
      </c>
      <c r="AG114" s="2">
        <f>IFERROR(__xludf.DUMMYFUNCTION("""COMPUTED_VALUE"""),0.01788235294117647)</f>
        <v>0.01788235294</v>
      </c>
      <c r="AH114" s="1">
        <f>IFERROR(__xludf.DUMMYFUNCTION("""COMPUTED_VALUE"""),154.1)</f>
        <v>154.1</v>
      </c>
      <c r="AI114" s="1">
        <f>IFERROR(__xludf.DUMMYFUNCTION("""COMPUTED_VALUE"""),276.5)</f>
        <v>276.5</v>
      </c>
      <c r="AJ114" s="2">
        <f>IFERROR(__xludf.DUMMYFUNCTION("""COMPUTED_VALUE"""),0.5573236889692585)</f>
        <v>0.557323689</v>
      </c>
      <c r="AK114" s="1">
        <f>IFERROR(__xludf.DUMMYFUNCTION("""COMPUTED_VALUE"""),163.98)</f>
        <v>163.98</v>
      </c>
      <c r="AL114" s="1">
        <f>IFERROR(__xludf.DUMMYFUNCTION("""COMPUTED_VALUE"""),737.0)</f>
        <v>737</v>
      </c>
      <c r="AM114" s="2">
        <f>IFERROR(__xludf.DUMMYFUNCTION("""COMPUTED_VALUE"""),0.22249660786974218)</f>
        <v>0.2224966079</v>
      </c>
      <c r="AN114" s="1">
        <f>IFERROR(__xludf.DUMMYFUNCTION("""COMPUTED_VALUE"""),7.7)</f>
        <v>7.7</v>
      </c>
      <c r="AO114" s="1">
        <f>IFERROR(__xludf.DUMMYFUNCTION("""COMPUTED_VALUE"""),0.0)</f>
        <v>0</v>
      </c>
      <c r="AP114" s="2" t="str">
        <f>IFERROR(__xludf.DUMMYFUNCTION("""COMPUTED_VALUE"""),"")</f>
        <v/>
      </c>
      <c r="AQ114" s="1">
        <f>IFERROR(__xludf.DUMMYFUNCTION("""COMPUTED_VALUE"""),0.0)</f>
        <v>0</v>
      </c>
      <c r="AR114" s="1">
        <f>IFERROR(__xludf.DUMMYFUNCTION("""COMPUTED_VALUE"""),0.0)</f>
        <v>0</v>
      </c>
      <c r="AS114" s="2" t="str">
        <f>IFERROR(__xludf.DUMMYFUNCTION("""COMPUTED_VALUE"""),"")</f>
        <v/>
      </c>
      <c r="AT114" s="1">
        <f>IFERROR(__xludf.DUMMYFUNCTION("""COMPUTED_VALUE"""),105.0)</f>
        <v>105</v>
      </c>
      <c r="AU114" s="1">
        <f>IFERROR(__xludf.DUMMYFUNCTION("""COMPUTED_VALUE"""),0.0)</f>
        <v>0</v>
      </c>
      <c r="AV114" s="2" t="str">
        <f>IFERROR(__xludf.DUMMYFUNCTION("""COMPUTED_VALUE"""),"")</f>
        <v/>
      </c>
      <c r="AW114" s="1">
        <f>IFERROR(__xludf.DUMMYFUNCTION("""COMPUTED_VALUE"""),250.8)</f>
        <v>250.8</v>
      </c>
      <c r="AX114" s="1">
        <f>IFERROR(__xludf.DUMMYFUNCTION("""COMPUTED_VALUE"""),0.0)</f>
        <v>0</v>
      </c>
      <c r="AY114" s="2" t="str">
        <f>IFERROR(__xludf.DUMMYFUNCTION("""COMPUTED_VALUE"""),"")</f>
        <v/>
      </c>
      <c r="AZ114" s="1">
        <f>IFERROR(__xludf.DUMMYFUNCTION("""COMPUTED_VALUE"""),363.5)</f>
        <v>363.5</v>
      </c>
      <c r="BA114" s="1">
        <f>IFERROR(__xludf.DUMMYFUNCTION("""COMPUTED_VALUE"""),0.0)</f>
        <v>0</v>
      </c>
      <c r="BB114" s="2" t="str">
        <f>IFERROR(__xludf.DUMMYFUNCTION("""COMPUTED_VALUE"""),"")</f>
        <v/>
      </c>
    </row>
    <row r="115">
      <c r="A115" s="1" t="str">
        <f>IFERROR(__xludf.DUMMYFUNCTION("""COMPUTED_VALUE"""),"682f42de4e91960581052be2")</f>
        <v>682f42de4e91960581052be2</v>
      </c>
      <c r="B115" s="1" t="str">
        <f>IFERROR(__xludf.DUMMYFUNCTION("""COMPUTED_VALUE"""),"NEXUS TECHNOLOGY S.A.")</f>
        <v>NEXUS TECHNOLOGY S.A.</v>
      </c>
      <c r="C115" s="1" t="str">
        <f>IFERROR(__xludf.DUMMYFUNCTION("""COMPUTED_VALUE"""),"philippe.girard@al-enterprise.com, rui.silva@al-enterprise.com, carolina.rodriguez@al-enterprise.com")</f>
        <v>philippe.girard@al-enterprise.com, rui.silva@al-enterprise.com, carolina.rodriguez@al-enterprise.com</v>
      </c>
      <c r="D115" s="1" t="str">
        <f>IFERROR(__xludf.DUMMYFUNCTION("""COMPUTED_VALUE"""),"americas")</f>
        <v>americas</v>
      </c>
      <c r="E115" s="1" t="str">
        <f>IFERROR(__xludf.DUMMYFUNCTION("""COMPUTED_VALUE"""),"PE")</f>
        <v>PE</v>
      </c>
      <c r="F115" s="1" t="str">
        <f>IFERROR(__xludf.DUMMYFUNCTION("""COMPUTED_VALUE"""),"distributor")</f>
        <v>distributor</v>
      </c>
      <c r="G115" s="1">
        <f>IFERROR(__xludf.DUMMYFUNCTION("""COMPUTED_VALUE"""),0.0)</f>
        <v>0</v>
      </c>
      <c r="H115" s="1">
        <f>IFERROR(__xludf.DUMMYFUNCTION("""COMPUTED_VALUE"""),1.0)</f>
        <v>1</v>
      </c>
      <c r="I115" s="2">
        <f>IFERROR(__xludf.DUMMYFUNCTION("""COMPUTED_VALUE"""),0.0)</f>
        <v>0</v>
      </c>
      <c r="J115" s="1">
        <f>IFERROR(__xludf.DUMMYFUNCTION("""COMPUTED_VALUE"""),5.56)</f>
        <v>5.56</v>
      </c>
      <c r="K115" s="1">
        <f>IFERROR(__xludf.DUMMYFUNCTION("""COMPUTED_VALUE"""),400.0)</f>
        <v>400</v>
      </c>
      <c r="L115" s="2">
        <f>IFERROR(__xludf.DUMMYFUNCTION("""COMPUTED_VALUE"""),0.0139)</f>
        <v>0.0139</v>
      </c>
      <c r="M115" s="1">
        <f>IFERROR(__xludf.DUMMYFUNCTION("""COMPUTED_VALUE"""),0.0)</f>
        <v>0</v>
      </c>
      <c r="N115" s="1">
        <f>IFERROR(__xludf.DUMMYFUNCTION("""COMPUTED_VALUE"""),0.0)</f>
        <v>0</v>
      </c>
      <c r="O115" s="2" t="str">
        <f>IFERROR(__xludf.DUMMYFUNCTION("""COMPUTED_VALUE"""),"")</f>
        <v/>
      </c>
      <c r="P115" s="1">
        <f>IFERROR(__xludf.DUMMYFUNCTION("""COMPUTED_VALUE"""),0.0)</f>
        <v>0</v>
      </c>
      <c r="Q115" s="1">
        <f>IFERROR(__xludf.DUMMYFUNCTION("""COMPUTED_VALUE"""),1.0)</f>
        <v>1</v>
      </c>
      <c r="R115" s="2">
        <f>IFERROR(__xludf.DUMMYFUNCTION("""COMPUTED_VALUE"""),0.0)</f>
        <v>0</v>
      </c>
      <c r="S115" s="1">
        <f>IFERROR(__xludf.DUMMYFUNCTION("""COMPUTED_VALUE"""),0.0)</f>
        <v>0</v>
      </c>
      <c r="T115" s="1">
        <f>IFERROR(__xludf.DUMMYFUNCTION("""COMPUTED_VALUE"""),1.0)</f>
        <v>1</v>
      </c>
      <c r="U115" s="2">
        <f>IFERROR(__xludf.DUMMYFUNCTION("""COMPUTED_VALUE"""),0.0)</f>
        <v>0</v>
      </c>
      <c r="V115" s="1">
        <f>IFERROR(__xludf.DUMMYFUNCTION("""COMPUTED_VALUE"""),0.0)</f>
        <v>0</v>
      </c>
      <c r="W115" s="1">
        <f>IFERROR(__xludf.DUMMYFUNCTION("""COMPUTED_VALUE"""),1.0)</f>
        <v>1</v>
      </c>
      <c r="X115" s="2">
        <f>IFERROR(__xludf.DUMMYFUNCTION("""COMPUTED_VALUE"""),0.0)</f>
        <v>0</v>
      </c>
      <c r="Y115" s="1">
        <f>IFERROR(__xludf.DUMMYFUNCTION("""COMPUTED_VALUE"""),0.0)</f>
        <v>0</v>
      </c>
      <c r="Z115" s="1">
        <f>IFERROR(__xludf.DUMMYFUNCTION("""COMPUTED_VALUE"""),0.0)</f>
        <v>0</v>
      </c>
      <c r="AA115" s="2" t="str">
        <f>IFERROR(__xludf.DUMMYFUNCTION("""COMPUTED_VALUE"""),"")</f>
        <v/>
      </c>
      <c r="AB115" s="1">
        <f>IFERROR(__xludf.DUMMYFUNCTION("""COMPUTED_VALUE"""),0.0)</f>
        <v>0</v>
      </c>
      <c r="AC115" s="1">
        <f>IFERROR(__xludf.DUMMYFUNCTION("""COMPUTED_VALUE"""),0.0)</f>
        <v>0</v>
      </c>
      <c r="AD115" s="2" t="str">
        <f>IFERROR(__xludf.DUMMYFUNCTION("""COMPUTED_VALUE"""),"")</f>
        <v/>
      </c>
      <c r="AE115" s="1">
        <f>IFERROR(__xludf.DUMMYFUNCTION("""COMPUTED_VALUE"""),30.0)</f>
        <v>30</v>
      </c>
      <c r="AF115" s="1">
        <f>IFERROR(__xludf.DUMMYFUNCTION("""COMPUTED_VALUE"""),0.0)</f>
        <v>0</v>
      </c>
      <c r="AG115" s="2" t="str">
        <f>IFERROR(__xludf.DUMMYFUNCTION("""COMPUTED_VALUE"""),"")</f>
        <v/>
      </c>
      <c r="AH115" s="1">
        <f>IFERROR(__xludf.DUMMYFUNCTION("""COMPUTED_VALUE"""),30.0)</f>
        <v>30</v>
      </c>
      <c r="AI115" s="1">
        <f>IFERROR(__xludf.DUMMYFUNCTION("""COMPUTED_VALUE"""),0.0)</f>
        <v>0</v>
      </c>
      <c r="AJ115" s="2" t="str">
        <f>IFERROR(__xludf.DUMMYFUNCTION("""COMPUTED_VALUE"""),"")</f>
        <v/>
      </c>
      <c r="AK115" s="1">
        <f>IFERROR(__xludf.DUMMYFUNCTION("""COMPUTED_VALUE"""),60.0)</f>
        <v>60</v>
      </c>
      <c r="AL115" s="1">
        <f>IFERROR(__xludf.DUMMYFUNCTION("""COMPUTED_VALUE"""),0.0)</f>
        <v>0</v>
      </c>
      <c r="AM115" s="2" t="str">
        <f>IFERROR(__xludf.DUMMYFUNCTION("""COMPUTED_VALUE"""),"")</f>
        <v/>
      </c>
      <c r="AN115" s="1">
        <f>IFERROR(__xludf.DUMMYFUNCTION("""COMPUTED_VALUE"""),0.0)</f>
        <v>0</v>
      </c>
      <c r="AO115" s="1">
        <f>IFERROR(__xludf.DUMMYFUNCTION("""COMPUTED_VALUE"""),0.0)</f>
        <v>0</v>
      </c>
      <c r="AP115" s="2" t="str">
        <f>IFERROR(__xludf.DUMMYFUNCTION("""COMPUTED_VALUE"""),"")</f>
        <v/>
      </c>
      <c r="AQ115" s="1">
        <f>IFERROR(__xludf.DUMMYFUNCTION("""COMPUTED_VALUE"""),0.0)</f>
        <v>0</v>
      </c>
      <c r="AR115" s="1">
        <f>IFERROR(__xludf.DUMMYFUNCTION("""COMPUTED_VALUE"""),0.0)</f>
        <v>0</v>
      </c>
      <c r="AS115" s="2" t="str">
        <f>IFERROR(__xludf.DUMMYFUNCTION("""COMPUTED_VALUE"""),"")</f>
        <v/>
      </c>
      <c r="AT115" s="1">
        <f>IFERROR(__xludf.DUMMYFUNCTION("""COMPUTED_VALUE"""),0.0)</f>
        <v>0</v>
      </c>
      <c r="AU115" s="1">
        <f>IFERROR(__xludf.DUMMYFUNCTION("""COMPUTED_VALUE"""),0.0)</f>
        <v>0</v>
      </c>
      <c r="AV115" s="2" t="str">
        <f>IFERROR(__xludf.DUMMYFUNCTION("""COMPUTED_VALUE"""),"")</f>
        <v/>
      </c>
      <c r="AW115" s="1">
        <f>IFERROR(__xludf.DUMMYFUNCTION("""COMPUTED_VALUE"""),0.0)</f>
        <v>0</v>
      </c>
      <c r="AX115" s="1">
        <f>IFERROR(__xludf.DUMMYFUNCTION("""COMPUTED_VALUE"""),0.0)</f>
        <v>0</v>
      </c>
      <c r="AY115" s="2" t="str">
        <f>IFERROR(__xludf.DUMMYFUNCTION("""COMPUTED_VALUE"""),"")</f>
        <v/>
      </c>
      <c r="AZ115" s="1">
        <f>IFERROR(__xludf.DUMMYFUNCTION("""COMPUTED_VALUE"""),0.0)</f>
        <v>0</v>
      </c>
      <c r="BA115" s="1">
        <f>IFERROR(__xludf.DUMMYFUNCTION("""COMPUTED_VALUE"""),0.0)</f>
        <v>0</v>
      </c>
      <c r="BB115" s="2" t="str">
        <f>IFERROR(__xludf.DUMMYFUNCTION("""COMPUTED_VALUE"""),"")</f>
        <v/>
      </c>
    </row>
    <row r="116">
      <c r="A116" s="1" t="str">
        <f>IFERROR(__xludf.DUMMYFUNCTION("""COMPUTED_VALUE"""),"63ea6e9352ad6968805cea39")</f>
        <v>63ea6e9352ad6968805cea39</v>
      </c>
      <c r="B116" s="1" t="str">
        <f>IFERROR(__xludf.DUMMYFUNCTION("""COMPUTED_VALUE"""),"NTT Germany AG &amp; Co. KG")</f>
        <v>NTT Germany AG &amp; Co. KG</v>
      </c>
      <c r="C116" s="1" t="str">
        <f>IFERROR(__xludf.DUMMYFUNCTION("""COMPUTED_VALUE"""),"marius.istel@al-enterprise.com, thomas.araia@al-enterprise.com, katrin.pfeiffer@al-enterprise.com, sibylle.klopfer@al-enterprise.com, igor.leko@al-enterprise.com")</f>
        <v>marius.istel@al-enterprise.com, thomas.araia@al-enterprise.com, katrin.pfeiffer@al-enterprise.com, sibylle.klopfer@al-enterprise.com, igor.leko@al-enterprise.com</v>
      </c>
      <c r="D116" s="1" t="str">
        <f>IFERROR(__xludf.DUMMYFUNCTION("""COMPUTED_VALUE"""),"germany")</f>
        <v>germany</v>
      </c>
      <c r="E116" s="1" t="str">
        <f>IFERROR(__xludf.DUMMYFUNCTION("""COMPUTED_VALUE"""),"DE")</f>
        <v>DE</v>
      </c>
      <c r="F116" s="1" t="str">
        <f>IFERROR(__xludf.DUMMYFUNCTION("""COMPUTED_VALUE"""),"yes")</f>
        <v>yes</v>
      </c>
      <c r="G116" s="1">
        <f>IFERROR(__xludf.DUMMYFUNCTION("""COMPUTED_VALUE"""),1.0)</f>
        <v>1</v>
      </c>
      <c r="H116" s="1">
        <f>IFERROR(__xludf.DUMMYFUNCTION("""COMPUTED_VALUE"""),1.0)</f>
        <v>1</v>
      </c>
      <c r="I116" s="2">
        <f>IFERROR(__xludf.DUMMYFUNCTION("""COMPUTED_VALUE"""),1.0)</f>
        <v>1</v>
      </c>
      <c r="J116" s="1">
        <f>IFERROR(__xludf.DUMMYFUNCTION("""COMPUTED_VALUE"""),8770.25)</f>
        <v>8770.25</v>
      </c>
      <c r="K116" s="1">
        <f>IFERROR(__xludf.DUMMYFUNCTION("""COMPUTED_VALUE"""),17000.0)</f>
        <v>17000</v>
      </c>
      <c r="L116" s="2">
        <f>IFERROR(__xludf.DUMMYFUNCTION("""COMPUTED_VALUE"""),0.5158970588235294)</f>
        <v>0.5158970588</v>
      </c>
      <c r="M116" s="1">
        <f>IFERROR(__xludf.DUMMYFUNCTION("""COMPUTED_VALUE"""),350.0)</f>
        <v>350</v>
      </c>
      <c r="N116" s="1">
        <f>IFERROR(__xludf.DUMMYFUNCTION("""COMPUTED_VALUE"""),65.0)</f>
        <v>65</v>
      </c>
      <c r="O116" s="2">
        <f>IFERROR(__xludf.DUMMYFUNCTION("""COMPUTED_VALUE"""),5.384615384615385)</f>
        <v>5.384615385</v>
      </c>
      <c r="P116" s="1">
        <f>IFERROR(__xludf.DUMMYFUNCTION("""COMPUTED_VALUE"""),1.0)</f>
        <v>1</v>
      </c>
      <c r="Q116" s="1">
        <f>IFERROR(__xludf.DUMMYFUNCTION("""COMPUTED_VALUE"""),1.0)</f>
        <v>1</v>
      </c>
      <c r="R116" s="2">
        <f>IFERROR(__xludf.DUMMYFUNCTION("""COMPUTED_VALUE"""),1.0)</f>
        <v>1</v>
      </c>
      <c r="S116" s="1">
        <f>IFERROR(__xludf.DUMMYFUNCTION("""COMPUTED_VALUE"""),1.0)</f>
        <v>1</v>
      </c>
      <c r="T116" s="1">
        <f>IFERROR(__xludf.DUMMYFUNCTION("""COMPUTED_VALUE"""),1.0)</f>
        <v>1</v>
      </c>
      <c r="U116" s="2">
        <f>IFERROR(__xludf.DUMMYFUNCTION("""COMPUTED_VALUE"""),1.0)</f>
        <v>1</v>
      </c>
      <c r="V116" s="1">
        <f>IFERROR(__xludf.DUMMYFUNCTION("""COMPUTED_VALUE"""),1.0)</f>
        <v>1</v>
      </c>
      <c r="W116" s="1">
        <f>IFERROR(__xludf.DUMMYFUNCTION("""COMPUTED_VALUE"""),1.0)</f>
        <v>1</v>
      </c>
      <c r="X116" s="2">
        <f>IFERROR(__xludf.DUMMYFUNCTION("""COMPUTED_VALUE"""),1.0)</f>
        <v>1</v>
      </c>
      <c r="Y116" s="1">
        <f>IFERROR(__xludf.DUMMYFUNCTION("""COMPUTED_VALUE"""),2.71)</f>
        <v>2.71</v>
      </c>
      <c r="Z116" s="1">
        <f>IFERROR(__xludf.DUMMYFUNCTION("""COMPUTED_VALUE"""),0.0)</f>
        <v>0</v>
      </c>
      <c r="AA116" s="2" t="str">
        <f>IFERROR(__xludf.DUMMYFUNCTION("""COMPUTED_VALUE"""),"")</f>
        <v/>
      </c>
      <c r="AB116" s="1">
        <f>IFERROR(__xludf.DUMMYFUNCTION("""COMPUTED_VALUE"""),48.31)</f>
        <v>48.31</v>
      </c>
      <c r="AC116" s="1">
        <f>IFERROR(__xludf.DUMMYFUNCTION("""COMPUTED_VALUE"""),2000.0)</f>
        <v>2000</v>
      </c>
      <c r="AD116" s="2">
        <f>IFERROR(__xludf.DUMMYFUNCTION("""COMPUTED_VALUE"""),0.024155000000000003)</f>
        <v>0.024155</v>
      </c>
      <c r="AE116" s="1">
        <f>IFERROR(__xludf.DUMMYFUNCTION("""COMPUTED_VALUE"""),2432.84)</f>
        <v>2432.84</v>
      </c>
      <c r="AF116" s="1">
        <f>IFERROR(__xludf.DUMMYFUNCTION("""COMPUTED_VALUE"""),11800.0)</f>
        <v>11800</v>
      </c>
      <c r="AG116" s="2">
        <f>IFERROR(__xludf.DUMMYFUNCTION("""COMPUTED_VALUE"""),0.2061728813559322)</f>
        <v>0.2061728814</v>
      </c>
      <c r="AH116" s="1">
        <f>IFERROR(__xludf.DUMMYFUNCTION("""COMPUTED_VALUE"""),45242.67)</f>
        <v>45242.67</v>
      </c>
      <c r="AI116" s="1">
        <f>IFERROR(__xludf.DUMMYFUNCTION("""COMPUTED_VALUE"""),16771.43)</f>
        <v>16771.43</v>
      </c>
      <c r="AJ116" s="2">
        <f>IFERROR(__xludf.DUMMYFUNCTION("""COMPUTED_VALUE"""),2.697603603270562)</f>
        <v>2.697603603</v>
      </c>
      <c r="AK116" s="1">
        <f>IFERROR(__xludf.DUMMYFUNCTION("""COMPUTED_VALUE"""),47726.53)</f>
        <v>47726.53</v>
      </c>
      <c r="AL116" s="1">
        <f>IFERROR(__xludf.DUMMYFUNCTION("""COMPUTED_VALUE"""),30571.43)</f>
        <v>30571.43</v>
      </c>
      <c r="AM116" s="2">
        <f>IFERROR(__xludf.DUMMYFUNCTION("""COMPUTED_VALUE"""),1.5611481046192475)</f>
        <v>1.561148105</v>
      </c>
      <c r="AN116" s="1">
        <f>IFERROR(__xludf.DUMMYFUNCTION("""COMPUTED_VALUE"""),15982.27)</f>
        <v>15982.27</v>
      </c>
      <c r="AO116" s="1">
        <f>IFERROR(__xludf.DUMMYFUNCTION("""COMPUTED_VALUE"""),0.0)</f>
        <v>0</v>
      </c>
      <c r="AP116" s="2" t="str">
        <f>IFERROR(__xludf.DUMMYFUNCTION("""COMPUTED_VALUE"""),"")</f>
        <v/>
      </c>
      <c r="AQ116" s="1">
        <f>IFERROR(__xludf.DUMMYFUNCTION("""COMPUTED_VALUE"""),7149.17)</f>
        <v>7149.17</v>
      </c>
      <c r="AR116" s="1">
        <f>IFERROR(__xludf.DUMMYFUNCTION("""COMPUTED_VALUE"""),0.0)</f>
        <v>0</v>
      </c>
      <c r="AS116" s="2" t="str">
        <f>IFERROR(__xludf.DUMMYFUNCTION("""COMPUTED_VALUE"""),"")</f>
        <v/>
      </c>
      <c r="AT116" s="1">
        <f>IFERROR(__xludf.DUMMYFUNCTION("""COMPUTED_VALUE"""),842.36)</f>
        <v>842.36</v>
      </c>
      <c r="AU116" s="1">
        <f>IFERROR(__xludf.DUMMYFUNCTION("""COMPUTED_VALUE"""),0.0)</f>
        <v>0</v>
      </c>
      <c r="AV116" s="2" t="str">
        <f>IFERROR(__xludf.DUMMYFUNCTION("""COMPUTED_VALUE"""),"")</f>
        <v/>
      </c>
      <c r="AW116" s="1">
        <f>IFERROR(__xludf.DUMMYFUNCTION("""COMPUTED_VALUE"""),3460.53)</f>
        <v>3460.53</v>
      </c>
      <c r="AX116" s="1">
        <f>IFERROR(__xludf.DUMMYFUNCTION("""COMPUTED_VALUE"""),0.0)</f>
        <v>0</v>
      </c>
      <c r="AY116" s="2" t="str">
        <f>IFERROR(__xludf.DUMMYFUNCTION("""COMPUTED_VALUE"""),"")</f>
        <v/>
      </c>
      <c r="AZ116" s="1">
        <f>IFERROR(__xludf.DUMMYFUNCTION("""COMPUTED_VALUE"""),27434.33)</f>
        <v>27434.33</v>
      </c>
      <c r="BA116" s="1">
        <f>IFERROR(__xludf.DUMMYFUNCTION("""COMPUTED_VALUE"""),0.0)</f>
        <v>0</v>
      </c>
      <c r="BB116" s="2" t="str">
        <f>IFERROR(__xludf.DUMMYFUNCTION("""COMPUTED_VALUE"""),"")</f>
        <v/>
      </c>
    </row>
    <row r="117">
      <c r="A117" s="1" t="str">
        <f>IFERROR(__xludf.DUMMYFUNCTION("""COMPUTED_VALUE"""),"63ef9d62384f27260c1bb50f")</f>
        <v>63ef9d62384f27260c1bb50f</v>
      </c>
      <c r="B117" s="1" t="str">
        <f>IFERROR(__xludf.DUMMYFUNCTION("""COMPUTED_VALUE"""),"NTT SPAIN INTELLIGENT TECHNOLOGIES AND SERVICES S.L.")</f>
        <v>NTT SPAIN INTELLIGENT TECHNOLOGIES AND SERVICES S.L.</v>
      </c>
      <c r="C117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17" s="1" t="str">
        <f>IFERROR(__xludf.DUMMYFUNCTION("""COMPUTED_VALUE"""),"emea")</f>
        <v>emea</v>
      </c>
      <c r="E117" s="1" t="str">
        <f>IFERROR(__xludf.DUMMYFUNCTION("""COMPUTED_VALUE"""),"ES")</f>
        <v>ES</v>
      </c>
      <c r="F117" s="1" t="str">
        <f>IFERROR(__xludf.DUMMYFUNCTION("""COMPUTED_VALUE"""),"yes")</f>
        <v>yes</v>
      </c>
      <c r="G117" s="1">
        <f>IFERROR(__xludf.DUMMYFUNCTION("""COMPUTED_VALUE"""),1.0)</f>
        <v>1</v>
      </c>
      <c r="H117" s="1">
        <f>IFERROR(__xludf.DUMMYFUNCTION("""COMPUTED_VALUE"""),1.0)</f>
        <v>1</v>
      </c>
      <c r="I117" s="2">
        <f>IFERROR(__xludf.DUMMYFUNCTION("""COMPUTED_VALUE"""),1.0)</f>
        <v>1</v>
      </c>
      <c r="J117" s="1">
        <f>IFERROR(__xludf.DUMMYFUNCTION("""COMPUTED_VALUE"""),644.93)</f>
        <v>644.93</v>
      </c>
      <c r="K117" s="1">
        <f>IFERROR(__xludf.DUMMYFUNCTION("""COMPUTED_VALUE"""),1300.0)</f>
        <v>1300</v>
      </c>
      <c r="L117" s="2">
        <f>IFERROR(__xludf.DUMMYFUNCTION("""COMPUTED_VALUE"""),0.4961)</f>
        <v>0.4961</v>
      </c>
      <c r="M117" s="1">
        <f>IFERROR(__xludf.DUMMYFUNCTION("""COMPUTED_VALUE"""),55.0)</f>
        <v>55</v>
      </c>
      <c r="N117" s="1">
        <f>IFERROR(__xludf.DUMMYFUNCTION("""COMPUTED_VALUE"""),53.0)</f>
        <v>53</v>
      </c>
      <c r="O117" s="2">
        <f>IFERROR(__xludf.DUMMYFUNCTION("""COMPUTED_VALUE"""),1.0377358490566038)</f>
        <v>1.037735849</v>
      </c>
      <c r="P117" s="1">
        <f>IFERROR(__xludf.DUMMYFUNCTION("""COMPUTED_VALUE"""),1.0)</f>
        <v>1</v>
      </c>
      <c r="Q117" s="1">
        <f>IFERROR(__xludf.DUMMYFUNCTION("""COMPUTED_VALUE"""),1.0)</f>
        <v>1</v>
      </c>
      <c r="R117" s="2">
        <f>IFERROR(__xludf.DUMMYFUNCTION("""COMPUTED_VALUE"""),1.0)</f>
        <v>1</v>
      </c>
      <c r="S117" s="1">
        <f>IFERROR(__xludf.DUMMYFUNCTION("""COMPUTED_VALUE"""),1.0)</f>
        <v>1</v>
      </c>
      <c r="T117" s="1">
        <f>IFERROR(__xludf.DUMMYFUNCTION("""COMPUTED_VALUE"""),1.0)</f>
        <v>1</v>
      </c>
      <c r="U117" s="2">
        <f>IFERROR(__xludf.DUMMYFUNCTION("""COMPUTED_VALUE"""),1.0)</f>
        <v>1</v>
      </c>
      <c r="V117" s="1">
        <f>IFERROR(__xludf.DUMMYFUNCTION("""COMPUTED_VALUE"""),0.0)</f>
        <v>0</v>
      </c>
      <c r="W117" s="1">
        <f>IFERROR(__xludf.DUMMYFUNCTION("""COMPUTED_VALUE"""),1.0)</f>
        <v>1</v>
      </c>
      <c r="X117" s="2">
        <f>IFERROR(__xludf.DUMMYFUNCTION("""COMPUTED_VALUE"""),0.0)</f>
        <v>0</v>
      </c>
      <c r="Y117" s="1">
        <f>IFERROR(__xludf.DUMMYFUNCTION("""COMPUTED_VALUE"""),25.31)</f>
        <v>25.31</v>
      </c>
      <c r="Z117" s="1">
        <f>IFERROR(__xludf.DUMMYFUNCTION("""COMPUTED_VALUE"""),0.0)</f>
        <v>0</v>
      </c>
      <c r="AA117" s="2" t="str">
        <f>IFERROR(__xludf.DUMMYFUNCTION("""COMPUTED_VALUE"""),"")</f>
        <v/>
      </c>
      <c r="AB117" s="1">
        <f>IFERROR(__xludf.DUMMYFUNCTION("""COMPUTED_VALUE"""),10.75)</f>
        <v>10.75</v>
      </c>
      <c r="AC117" s="1">
        <f>IFERROR(__xludf.DUMMYFUNCTION("""COMPUTED_VALUE"""),812.5)</f>
        <v>812.5</v>
      </c>
      <c r="AD117" s="2">
        <f>IFERROR(__xludf.DUMMYFUNCTION("""COMPUTED_VALUE"""),0.01323076923076923)</f>
        <v>0.01323076923</v>
      </c>
      <c r="AE117" s="1">
        <f>IFERROR(__xludf.DUMMYFUNCTION("""COMPUTED_VALUE"""),144.54)</f>
        <v>144.54</v>
      </c>
      <c r="AF117" s="1">
        <f>IFERROR(__xludf.DUMMYFUNCTION("""COMPUTED_VALUE"""),812.5)</f>
        <v>812.5</v>
      </c>
      <c r="AG117" s="2">
        <f>IFERROR(__xludf.DUMMYFUNCTION("""COMPUTED_VALUE"""),0.1778953846153846)</f>
        <v>0.1778953846</v>
      </c>
      <c r="AH117" s="1">
        <f>IFERROR(__xludf.DUMMYFUNCTION("""COMPUTED_VALUE"""),730.29)</f>
        <v>730.29</v>
      </c>
      <c r="AI117" s="1">
        <f>IFERROR(__xludf.DUMMYFUNCTION("""COMPUTED_VALUE"""),812.5)</f>
        <v>812.5</v>
      </c>
      <c r="AJ117" s="2">
        <f>IFERROR(__xludf.DUMMYFUNCTION("""COMPUTED_VALUE"""),0.8988184615384615)</f>
        <v>0.8988184615</v>
      </c>
      <c r="AK117" s="1">
        <f>IFERROR(__xludf.DUMMYFUNCTION("""COMPUTED_VALUE"""),910.89)</f>
        <v>910.89</v>
      </c>
      <c r="AL117" s="1">
        <f>IFERROR(__xludf.DUMMYFUNCTION("""COMPUTED_VALUE"""),2437.5)</f>
        <v>2437.5</v>
      </c>
      <c r="AM117" s="2">
        <f>IFERROR(__xludf.DUMMYFUNCTION("""COMPUTED_VALUE"""),0.37369846153846153)</f>
        <v>0.3736984615</v>
      </c>
      <c r="AN117" s="1">
        <f>IFERROR(__xludf.DUMMYFUNCTION("""COMPUTED_VALUE"""),1043.0)</f>
        <v>1043</v>
      </c>
      <c r="AO117" s="1">
        <f>IFERROR(__xludf.DUMMYFUNCTION("""COMPUTED_VALUE"""),0.0)</f>
        <v>0</v>
      </c>
      <c r="AP117" s="2" t="str">
        <f>IFERROR(__xludf.DUMMYFUNCTION("""COMPUTED_VALUE"""),"")</f>
        <v/>
      </c>
      <c r="AQ117" s="1">
        <f>IFERROR(__xludf.DUMMYFUNCTION("""COMPUTED_VALUE"""),380.92)</f>
        <v>380.92</v>
      </c>
      <c r="AR117" s="1">
        <f>IFERROR(__xludf.DUMMYFUNCTION("""COMPUTED_VALUE"""),0.0)</f>
        <v>0</v>
      </c>
      <c r="AS117" s="2" t="str">
        <f>IFERROR(__xludf.DUMMYFUNCTION("""COMPUTED_VALUE"""),"")</f>
        <v/>
      </c>
      <c r="AT117" s="1">
        <f>IFERROR(__xludf.DUMMYFUNCTION("""COMPUTED_VALUE"""),0.0)</f>
        <v>0</v>
      </c>
      <c r="AU117" s="1">
        <f>IFERROR(__xludf.DUMMYFUNCTION("""COMPUTED_VALUE"""),0.0)</f>
        <v>0</v>
      </c>
      <c r="AV117" s="2" t="str">
        <f>IFERROR(__xludf.DUMMYFUNCTION("""COMPUTED_VALUE"""),"")</f>
        <v/>
      </c>
      <c r="AW117" s="1">
        <f>IFERROR(__xludf.DUMMYFUNCTION("""COMPUTED_VALUE"""),131.81)</f>
        <v>131.81</v>
      </c>
      <c r="AX117" s="1">
        <f>IFERROR(__xludf.DUMMYFUNCTION("""COMPUTED_VALUE"""),0.0)</f>
        <v>0</v>
      </c>
      <c r="AY117" s="2" t="str">
        <f>IFERROR(__xludf.DUMMYFUNCTION("""COMPUTED_VALUE"""),"")</f>
        <v/>
      </c>
      <c r="AZ117" s="1">
        <f>IFERROR(__xludf.DUMMYFUNCTION("""COMPUTED_VALUE"""),1555.73)</f>
        <v>1555.73</v>
      </c>
      <c r="BA117" s="1">
        <f>IFERROR(__xludf.DUMMYFUNCTION("""COMPUTED_VALUE"""),0.0)</f>
        <v>0</v>
      </c>
      <c r="BB117" s="2" t="str">
        <f>IFERROR(__xludf.DUMMYFUNCTION("""COMPUTED_VALUE"""),"")</f>
        <v/>
      </c>
    </row>
    <row r="118">
      <c r="A118" s="1" t="str">
        <f>IFERROR(__xludf.DUMMYFUNCTION("""COMPUTED_VALUE"""),"63ced84dc5c820531c269815")</f>
        <v>63ced84dc5c820531c269815</v>
      </c>
      <c r="B118" s="1" t="str">
        <f>IFERROR(__xludf.DUMMYFUNCTION("""COMPUTED_VALUE"""),"Optel BCS, Inc.")</f>
        <v>Optel BCS, Inc.</v>
      </c>
      <c r="C118" s="1" t="str">
        <f>IFERROR(__xludf.DUMMYFUNCTION("""COMPUTED_VALUE"""),"brendan.flaherty@al-enterprise.com, michael-j.francis@al-enterprise.com, Steve.roos@al-enterprise.com, jack.jachner@al-enterprise.com")</f>
        <v>brendan.flaherty@al-enterprise.com, michael-j.francis@al-enterprise.com, Steve.roos@al-enterprise.com, jack.jachner@al-enterprise.com</v>
      </c>
      <c r="D118" s="1" t="str">
        <f>IFERROR(__xludf.DUMMYFUNCTION("""COMPUTED_VALUE"""),"americas")</f>
        <v>americas</v>
      </c>
      <c r="E118" s="1" t="str">
        <f>IFERROR(__xludf.DUMMYFUNCTION("""COMPUTED_VALUE"""),"US")</f>
        <v>US</v>
      </c>
      <c r="F118" s="1" t="str">
        <f>IFERROR(__xludf.DUMMYFUNCTION("""COMPUTED_VALUE"""),"expert_1000")</f>
        <v>expert_1000</v>
      </c>
      <c r="G118" s="1">
        <f>IFERROR(__xludf.DUMMYFUNCTION("""COMPUTED_VALUE"""),0.0)</f>
        <v>0</v>
      </c>
      <c r="H118" s="1">
        <f>IFERROR(__xludf.DUMMYFUNCTION("""COMPUTED_VALUE"""),1.0)</f>
        <v>1</v>
      </c>
      <c r="I118" s="2">
        <f>IFERROR(__xludf.DUMMYFUNCTION("""COMPUTED_VALUE"""),0.0)</f>
        <v>0</v>
      </c>
      <c r="J118" s="1">
        <f>IFERROR(__xludf.DUMMYFUNCTION("""COMPUTED_VALUE"""),448.72)</f>
        <v>448.72</v>
      </c>
      <c r="K118" s="1">
        <f>IFERROR(__xludf.DUMMYFUNCTION("""COMPUTED_VALUE"""),1268.59)</f>
        <v>1268.59</v>
      </c>
      <c r="L118" s="2">
        <f>IFERROR(__xludf.DUMMYFUNCTION("""COMPUTED_VALUE"""),0.3537155424526443)</f>
        <v>0.3537155425</v>
      </c>
      <c r="M118" s="1">
        <f>IFERROR(__xludf.DUMMYFUNCTION("""COMPUTED_VALUE"""),22.0)</f>
        <v>22</v>
      </c>
      <c r="N118" s="1">
        <f>IFERROR(__xludf.DUMMYFUNCTION("""COMPUTED_VALUE"""),52.0)</f>
        <v>52</v>
      </c>
      <c r="O118" s="2">
        <f>IFERROR(__xludf.DUMMYFUNCTION("""COMPUTED_VALUE"""),0.4230769230769231)</f>
        <v>0.4230769231</v>
      </c>
      <c r="P118" s="1">
        <f>IFERROR(__xludf.DUMMYFUNCTION("""COMPUTED_VALUE"""),1.0)</f>
        <v>1</v>
      </c>
      <c r="Q118" s="1">
        <f>IFERROR(__xludf.DUMMYFUNCTION("""COMPUTED_VALUE"""),1.0)</f>
        <v>1</v>
      </c>
      <c r="R118" s="2">
        <f>IFERROR(__xludf.DUMMYFUNCTION("""COMPUTED_VALUE"""),1.0)</f>
        <v>1</v>
      </c>
      <c r="S118" s="1">
        <f>IFERROR(__xludf.DUMMYFUNCTION("""COMPUTED_VALUE"""),0.0)</f>
        <v>0</v>
      </c>
      <c r="T118" s="1">
        <f>IFERROR(__xludf.DUMMYFUNCTION("""COMPUTED_VALUE"""),1.0)</f>
        <v>1</v>
      </c>
      <c r="U118" s="2">
        <f>IFERROR(__xludf.DUMMYFUNCTION("""COMPUTED_VALUE"""),0.0)</f>
        <v>0</v>
      </c>
      <c r="V118" s="1">
        <f>IFERROR(__xludf.DUMMYFUNCTION("""COMPUTED_VALUE"""),0.0)</f>
        <v>0</v>
      </c>
      <c r="W118" s="1">
        <f>IFERROR(__xludf.DUMMYFUNCTION("""COMPUTED_VALUE"""),1.0)</f>
        <v>1</v>
      </c>
      <c r="X118" s="2">
        <f>IFERROR(__xludf.DUMMYFUNCTION("""COMPUTED_VALUE"""),0.0)</f>
        <v>0</v>
      </c>
      <c r="Y118" s="1">
        <f>IFERROR(__xludf.DUMMYFUNCTION("""COMPUTED_VALUE"""),10.51)</f>
        <v>10.51</v>
      </c>
      <c r="Z118" s="1">
        <f>IFERROR(__xludf.DUMMYFUNCTION("""COMPUTED_VALUE"""),0.0)</f>
        <v>0</v>
      </c>
      <c r="AA118" s="2" t="str">
        <f>IFERROR(__xludf.DUMMYFUNCTION("""COMPUTED_VALUE"""),"")</f>
        <v/>
      </c>
      <c r="AB118" s="1">
        <f>IFERROR(__xludf.DUMMYFUNCTION("""COMPUTED_VALUE"""),22.74)</f>
        <v>22.74</v>
      </c>
      <c r="AC118" s="1">
        <f>IFERROR(__xludf.DUMMYFUNCTION("""COMPUTED_VALUE"""),470.0)</f>
        <v>470</v>
      </c>
      <c r="AD118" s="2">
        <f>IFERROR(__xludf.DUMMYFUNCTION("""COMPUTED_VALUE"""),0.04838297872340425)</f>
        <v>0.04838297872</v>
      </c>
      <c r="AE118" s="1">
        <f>IFERROR(__xludf.DUMMYFUNCTION("""COMPUTED_VALUE"""),415.78)</f>
        <v>415.78</v>
      </c>
      <c r="AF118" s="1">
        <f>IFERROR(__xludf.DUMMYFUNCTION("""COMPUTED_VALUE"""),536.83)</f>
        <v>536.83</v>
      </c>
      <c r="AG118" s="2">
        <f>IFERROR(__xludf.DUMMYFUNCTION("""COMPUTED_VALUE"""),0.774509621295382)</f>
        <v>0.7745096213</v>
      </c>
      <c r="AH118" s="1">
        <f>IFERROR(__xludf.DUMMYFUNCTION("""COMPUTED_VALUE"""),2636.97)</f>
        <v>2636.97</v>
      </c>
      <c r="AI118" s="1">
        <f>IFERROR(__xludf.DUMMYFUNCTION("""COMPUTED_VALUE"""),536.83)</f>
        <v>536.83</v>
      </c>
      <c r="AJ118" s="2">
        <f>IFERROR(__xludf.DUMMYFUNCTION("""COMPUTED_VALUE"""),4.912113704524709)</f>
        <v>4.912113705</v>
      </c>
      <c r="AK118" s="1">
        <f>IFERROR(__xludf.DUMMYFUNCTION("""COMPUTED_VALUE"""),3086.0)</f>
        <v>3086</v>
      </c>
      <c r="AL118" s="1">
        <f>IFERROR(__xludf.DUMMYFUNCTION("""COMPUTED_VALUE"""),1543.66)</f>
        <v>1543.66</v>
      </c>
      <c r="AM118" s="2">
        <f>IFERROR(__xludf.DUMMYFUNCTION("""COMPUTED_VALUE"""),1.9991448894186543)</f>
        <v>1.999144889</v>
      </c>
      <c r="AN118" s="1">
        <f>IFERROR(__xludf.DUMMYFUNCTION("""COMPUTED_VALUE"""),652.91)</f>
        <v>652.91</v>
      </c>
      <c r="AO118" s="1">
        <f>IFERROR(__xludf.DUMMYFUNCTION("""COMPUTED_VALUE"""),0.0)</f>
        <v>0</v>
      </c>
      <c r="AP118" s="2" t="str">
        <f>IFERROR(__xludf.DUMMYFUNCTION("""COMPUTED_VALUE"""),"")</f>
        <v/>
      </c>
      <c r="AQ118" s="1">
        <f>IFERROR(__xludf.DUMMYFUNCTION("""COMPUTED_VALUE"""),0.0)</f>
        <v>0</v>
      </c>
      <c r="AR118" s="1">
        <f>IFERROR(__xludf.DUMMYFUNCTION("""COMPUTED_VALUE"""),0.0)</f>
        <v>0</v>
      </c>
      <c r="AS118" s="2" t="str">
        <f>IFERROR(__xludf.DUMMYFUNCTION("""COMPUTED_VALUE"""),"")</f>
        <v/>
      </c>
      <c r="AT118" s="1">
        <f>IFERROR(__xludf.DUMMYFUNCTION("""COMPUTED_VALUE"""),12.22)</f>
        <v>12.22</v>
      </c>
      <c r="AU118" s="1">
        <f>IFERROR(__xludf.DUMMYFUNCTION("""COMPUTED_VALUE"""),0.0)</f>
        <v>0</v>
      </c>
      <c r="AV118" s="2" t="str">
        <f>IFERROR(__xludf.DUMMYFUNCTION("""COMPUTED_VALUE"""),"")</f>
        <v/>
      </c>
      <c r="AW118" s="1">
        <f>IFERROR(__xludf.DUMMYFUNCTION("""COMPUTED_VALUE"""),0.0)</f>
        <v>0</v>
      </c>
      <c r="AX118" s="1">
        <f>IFERROR(__xludf.DUMMYFUNCTION("""COMPUTED_VALUE"""),0.0)</f>
        <v>0</v>
      </c>
      <c r="AY118" s="2" t="str">
        <f>IFERROR(__xludf.DUMMYFUNCTION("""COMPUTED_VALUE"""),"")</f>
        <v/>
      </c>
      <c r="AZ118" s="1">
        <f>IFERROR(__xludf.DUMMYFUNCTION("""COMPUTED_VALUE"""),665.13)</f>
        <v>665.13</v>
      </c>
      <c r="BA118" s="1">
        <f>IFERROR(__xludf.DUMMYFUNCTION("""COMPUTED_VALUE"""),0.0)</f>
        <v>0</v>
      </c>
      <c r="BB118" s="2" t="str">
        <f>IFERROR(__xludf.DUMMYFUNCTION("""COMPUTED_VALUE"""),"")</f>
        <v/>
      </c>
    </row>
    <row r="119">
      <c r="A119" s="1" t="str">
        <f>IFERROR(__xludf.DUMMYFUNCTION("""COMPUTED_VALUE"""),"6685524c088b99bc360c3032")</f>
        <v>6685524c088b99bc360c3032</v>
      </c>
      <c r="B119" s="1" t="str">
        <f>IFERROR(__xludf.DUMMYFUNCTION("""COMPUTED_VALUE"""),"Paladin Technologies Canada")</f>
        <v>Paladin Technologies Canada</v>
      </c>
      <c r="C119" s="1" t="str">
        <f>IFERROR(__xludf.DUMMYFUNCTION("""COMPUTED_VALUE"""),"rui.silva@al-enterprise.com, nuno.ribas@al-enterprise.com, tracy.dupree@al-enterprise.com")</f>
        <v>rui.silva@al-enterprise.com, nuno.ribas@al-enterprise.com, tracy.dupree@al-enterprise.com</v>
      </c>
      <c r="D119" s="1" t="str">
        <f>IFERROR(__xludf.DUMMYFUNCTION("""COMPUTED_VALUE"""),"americas")</f>
        <v>americas</v>
      </c>
      <c r="E119" s="1" t="str">
        <f>IFERROR(__xludf.DUMMYFUNCTION("""COMPUTED_VALUE"""),"CA")</f>
        <v>CA</v>
      </c>
      <c r="F119" s="1" t="str">
        <f>IFERROR(__xludf.DUMMYFUNCTION("""COMPUTED_VALUE"""),"expert_200")</f>
        <v>expert_200</v>
      </c>
      <c r="G119" s="1">
        <f>IFERROR(__xludf.DUMMYFUNCTION("""COMPUTED_VALUE"""),1.0)</f>
        <v>1</v>
      </c>
      <c r="H119" s="1">
        <f>IFERROR(__xludf.DUMMYFUNCTION("""COMPUTED_VALUE"""),1.0)</f>
        <v>1</v>
      </c>
      <c r="I119" s="2">
        <f>IFERROR(__xludf.DUMMYFUNCTION("""COMPUTED_VALUE"""),1.0)</f>
        <v>1</v>
      </c>
      <c r="J119" s="1">
        <f>IFERROR(__xludf.DUMMYFUNCTION("""COMPUTED_VALUE"""),7.83)</f>
        <v>7.83</v>
      </c>
      <c r="K119" s="1">
        <f>IFERROR(__xludf.DUMMYFUNCTION("""COMPUTED_VALUE"""),400.0)</f>
        <v>400</v>
      </c>
      <c r="L119" s="2">
        <f>IFERROR(__xludf.DUMMYFUNCTION("""COMPUTED_VALUE"""),0.019575)</f>
        <v>0.019575</v>
      </c>
      <c r="M119" s="1">
        <f>IFERROR(__xludf.DUMMYFUNCTION("""COMPUTED_VALUE"""),0.0)</f>
        <v>0</v>
      </c>
      <c r="N119" s="1">
        <f>IFERROR(__xludf.DUMMYFUNCTION("""COMPUTED_VALUE"""),0.0)</f>
        <v>0</v>
      </c>
      <c r="O119" s="2" t="str">
        <f>IFERROR(__xludf.DUMMYFUNCTION("""COMPUTED_VALUE"""),"")</f>
        <v/>
      </c>
      <c r="P119" s="1">
        <f>IFERROR(__xludf.DUMMYFUNCTION("""COMPUTED_VALUE"""),0.0)</f>
        <v>0</v>
      </c>
      <c r="Q119" s="1">
        <f>IFERROR(__xludf.DUMMYFUNCTION("""COMPUTED_VALUE"""),1.0)</f>
        <v>1</v>
      </c>
      <c r="R119" s="2">
        <f>IFERROR(__xludf.DUMMYFUNCTION("""COMPUTED_VALUE"""),0.0)</f>
        <v>0</v>
      </c>
      <c r="S119" s="1">
        <f>IFERROR(__xludf.DUMMYFUNCTION("""COMPUTED_VALUE"""),0.0)</f>
        <v>0</v>
      </c>
      <c r="T119" s="1">
        <f>IFERROR(__xludf.DUMMYFUNCTION("""COMPUTED_VALUE"""),1.0)</f>
        <v>1</v>
      </c>
      <c r="U119" s="2">
        <f>IFERROR(__xludf.DUMMYFUNCTION("""COMPUTED_VALUE"""),0.0)</f>
        <v>0</v>
      </c>
      <c r="V119" s="1">
        <f>IFERROR(__xludf.DUMMYFUNCTION("""COMPUTED_VALUE"""),1.0)</f>
        <v>1</v>
      </c>
      <c r="W119" s="1">
        <f>IFERROR(__xludf.DUMMYFUNCTION("""COMPUTED_VALUE"""),1.0)</f>
        <v>1</v>
      </c>
      <c r="X119" s="2">
        <f>IFERROR(__xludf.DUMMYFUNCTION("""COMPUTED_VALUE"""),1.0)</f>
        <v>1</v>
      </c>
      <c r="Y119" s="1">
        <f>IFERROR(__xludf.DUMMYFUNCTION("""COMPUTED_VALUE"""),110.66)</f>
        <v>110.66</v>
      </c>
      <c r="Z119" s="1">
        <f>IFERROR(__xludf.DUMMYFUNCTION("""COMPUTED_VALUE"""),0.0)</f>
        <v>0</v>
      </c>
      <c r="AA119" s="2" t="str">
        <f>IFERROR(__xludf.DUMMYFUNCTION("""COMPUTED_VALUE"""),"")</f>
        <v/>
      </c>
      <c r="AB119" s="1">
        <f>IFERROR(__xludf.DUMMYFUNCTION("""COMPUTED_VALUE"""),0.0)</f>
        <v>0</v>
      </c>
      <c r="AC119" s="1">
        <f>IFERROR(__xludf.DUMMYFUNCTION("""COMPUTED_VALUE"""),116.64)</f>
        <v>116.64</v>
      </c>
      <c r="AD119" s="2">
        <f>IFERROR(__xludf.DUMMYFUNCTION("""COMPUTED_VALUE"""),0.0)</f>
        <v>0</v>
      </c>
      <c r="AE119" s="1">
        <f>IFERROR(__xludf.DUMMYFUNCTION("""COMPUTED_VALUE"""),0.0)</f>
        <v>0</v>
      </c>
      <c r="AF119" s="1">
        <f>IFERROR(__xludf.DUMMYFUNCTION("""COMPUTED_VALUE"""),300.0)</f>
        <v>300</v>
      </c>
      <c r="AG119" s="2">
        <f>IFERROR(__xludf.DUMMYFUNCTION("""COMPUTED_VALUE"""),0.0)</f>
        <v>0</v>
      </c>
      <c r="AH119" s="1">
        <f>IFERROR(__xludf.DUMMYFUNCTION("""COMPUTED_VALUE"""),0.0)</f>
        <v>0</v>
      </c>
      <c r="AI119" s="1">
        <f>IFERROR(__xludf.DUMMYFUNCTION("""COMPUTED_VALUE"""),550.01)</f>
        <v>550.01</v>
      </c>
      <c r="AJ119" s="2">
        <f>IFERROR(__xludf.DUMMYFUNCTION("""COMPUTED_VALUE"""),0.0)</f>
        <v>0</v>
      </c>
      <c r="AK119" s="1">
        <f>IFERROR(__xludf.DUMMYFUNCTION("""COMPUTED_VALUE"""),110.66)</f>
        <v>110.66</v>
      </c>
      <c r="AL119" s="1">
        <f>IFERROR(__xludf.DUMMYFUNCTION("""COMPUTED_VALUE"""),966.65)</f>
        <v>966.65</v>
      </c>
      <c r="AM119" s="2">
        <f>IFERROR(__xludf.DUMMYFUNCTION("""COMPUTED_VALUE"""),0.1144778358247556)</f>
        <v>0.1144778358</v>
      </c>
      <c r="AN119" s="1">
        <f>IFERROR(__xludf.DUMMYFUNCTION("""COMPUTED_VALUE"""),0.0)</f>
        <v>0</v>
      </c>
      <c r="AO119" s="1">
        <f>IFERROR(__xludf.DUMMYFUNCTION("""COMPUTED_VALUE"""),0.0)</f>
        <v>0</v>
      </c>
      <c r="AP119" s="2" t="str">
        <f>IFERROR(__xludf.DUMMYFUNCTION("""COMPUTED_VALUE"""),"")</f>
        <v/>
      </c>
      <c r="AQ119" s="1">
        <f>IFERROR(__xludf.DUMMYFUNCTION("""COMPUTED_VALUE"""),0.0)</f>
        <v>0</v>
      </c>
      <c r="AR119" s="1">
        <f>IFERROR(__xludf.DUMMYFUNCTION("""COMPUTED_VALUE"""),0.0)</f>
        <v>0</v>
      </c>
      <c r="AS119" s="2" t="str">
        <f>IFERROR(__xludf.DUMMYFUNCTION("""COMPUTED_VALUE"""),"")</f>
        <v/>
      </c>
      <c r="AT119" s="1">
        <f>IFERROR(__xludf.DUMMYFUNCTION("""COMPUTED_VALUE"""),0.0)</f>
        <v>0</v>
      </c>
      <c r="AU119" s="1">
        <f>IFERROR(__xludf.DUMMYFUNCTION("""COMPUTED_VALUE"""),0.0)</f>
        <v>0</v>
      </c>
      <c r="AV119" s="2" t="str">
        <f>IFERROR(__xludf.DUMMYFUNCTION("""COMPUTED_VALUE"""),"")</f>
        <v/>
      </c>
      <c r="AW119" s="1">
        <f>IFERROR(__xludf.DUMMYFUNCTION("""COMPUTED_VALUE"""),0.0)</f>
        <v>0</v>
      </c>
      <c r="AX119" s="1">
        <f>IFERROR(__xludf.DUMMYFUNCTION("""COMPUTED_VALUE"""),0.0)</f>
        <v>0</v>
      </c>
      <c r="AY119" s="2" t="str">
        <f>IFERROR(__xludf.DUMMYFUNCTION("""COMPUTED_VALUE"""),"")</f>
        <v/>
      </c>
      <c r="AZ119" s="1">
        <f>IFERROR(__xludf.DUMMYFUNCTION("""COMPUTED_VALUE"""),0.0)</f>
        <v>0</v>
      </c>
      <c r="BA119" s="1">
        <f>IFERROR(__xludf.DUMMYFUNCTION("""COMPUTED_VALUE"""),0.0)</f>
        <v>0</v>
      </c>
      <c r="BB119" s="2" t="str">
        <f>IFERROR(__xludf.DUMMYFUNCTION("""COMPUTED_VALUE"""),"")</f>
        <v/>
      </c>
    </row>
    <row r="120">
      <c r="A120" s="1" t="str">
        <f>IFERROR(__xludf.DUMMYFUNCTION("""COMPUTED_VALUE"""),"63ea6e9352ad6968805cea71")</f>
        <v>63ea6e9352ad6968805cea71</v>
      </c>
      <c r="B120" s="1" t="str">
        <f>IFERROR(__xludf.DUMMYFUNCTION("""COMPUTED_VALUE"""),"Pan Dacom Networking AG")</f>
        <v>Pan Dacom Networking AG</v>
      </c>
      <c r="C120" s="1" t="str">
        <f>IFERROR(__xludf.DUMMYFUNCTION("""COMPUTED_VALUE"""),"holger.buettner@al-enterprise.com, katrin.pfeiffer@al-enterprise.com, sibylle.klopfer@al-enterprise.com, igor.leko@al-enterprise.com, philipp.bode@al-enterprise.com")</f>
        <v>holger.buettner@al-enterprise.com, katrin.pfeiffer@al-enterprise.com, sibylle.klopfer@al-enterprise.com, igor.leko@al-enterprise.com, philipp.bode@al-enterprise.com</v>
      </c>
      <c r="D120" s="1" t="str">
        <f>IFERROR(__xludf.DUMMYFUNCTION("""COMPUTED_VALUE"""),"germany")</f>
        <v>germany</v>
      </c>
      <c r="E120" s="1" t="str">
        <f>IFERROR(__xludf.DUMMYFUNCTION("""COMPUTED_VALUE"""),"DE")</f>
        <v>DE</v>
      </c>
      <c r="F120" s="1" t="str">
        <f>IFERROR(__xludf.DUMMYFUNCTION("""COMPUTED_VALUE"""),"expert_1000")</f>
        <v>expert_1000</v>
      </c>
      <c r="G120" s="1">
        <f>IFERROR(__xludf.DUMMYFUNCTION("""COMPUTED_VALUE"""),1.0)</f>
        <v>1</v>
      </c>
      <c r="H120" s="1">
        <f>IFERROR(__xludf.DUMMYFUNCTION("""COMPUTED_VALUE"""),1.0)</f>
        <v>1</v>
      </c>
      <c r="I120" s="2">
        <f>IFERROR(__xludf.DUMMYFUNCTION("""COMPUTED_VALUE"""),1.0)</f>
        <v>1</v>
      </c>
      <c r="J120" s="1">
        <f>IFERROR(__xludf.DUMMYFUNCTION("""COMPUTED_VALUE"""),367.87)</f>
        <v>367.87</v>
      </c>
      <c r="K120" s="1">
        <f>IFERROR(__xludf.DUMMYFUNCTION("""COMPUTED_VALUE"""),1700.0)</f>
        <v>1700</v>
      </c>
      <c r="L120" s="2">
        <f>IFERROR(__xludf.DUMMYFUNCTION("""COMPUTED_VALUE"""),0.21639411764705882)</f>
        <v>0.2163941176</v>
      </c>
      <c r="M120" s="1">
        <f>IFERROR(__xludf.DUMMYFUNCTION("""COMPUTED_VALUE"""),16.0)</f>
        <v>16</v>
      </c>
      <c r="N120" s="1">
        <f>IFERROR(__xludf.DUMMYFUNCTION("""COMPUTED_VALUE"""),52.0)</f>
        <v>52</v>
      </c>
      <c r="O120" s="2">
        <f>IFERROR(__xludf.DUMMYFUNCTION("""COMPUTED_VALUE"""),0.3076923076923077)</f>
        <v>0.3076923077</v>
      </c>
      <c r="P120" s="1">
        <f>IFERROR(__xludf.DUMMYFUNCTION("""COMPUTED_VALUE"""),0.0)</f>
        <v>0</v>
      </c>
      <c r="Q120" s="1">
        <f>IFERROR(__xludf.DUMMYFUNCTION("""COMPUTED_VALUE"""),1.0)</f>
        <v>1</v>
      </c>
      <c r="R120" s="2">
        <f>IFERROR(__xludf.DUMMYFUNCTION("""COMPUTED_VALUE"""),0.0)</f>
        <v>0</v>
      </c>
      <c r="S120" s="1">
        <f>IFERROR(__xludf.DUMMYFUNCTION("""COMPUTED_VALUE"""),1.0)</f>
        <v>1</v>
      </c>
      <c r="T120" s="1">
        <f>IFERROR(__xludf.DUMMYFUNCTION("""COMPUTED_VALUE"""),1.0)</f>
        <v>1</v>
      </c>
      <c r="U120" s="2">
        <f>IFERROR(__xludf.DUMMYFUNCTION("""COMPUTED_VALUE"""),1.0)</f>
        <v>1</v>
      </c>
      <c r="V120" s="1">
        <f>IFERROR(__xludf.DUMMYFUNCTION("""COMPUTED_VALUE"""),0.0)</f>
        <v>0</v>
      </c>
      <c r="W120" s="1">
        <f>IFERROR(__xludf.DUMMYFUNCTION("""COMPUTED_VALUE"""),1.0)</f>
        <v>1</v>
      </c>
      <c r="X120" s="2">
        <f>IFERROR(__xludf.DUMMYFUNCTION("""COMPUTED_VALUE"""),0.0)</f>
        <v>0</v>
      </c>
      <c r="Y120" s="1">
        <f>IFERROR(__xludf.DUMMYFUNCTION("""COMPUTED_VALUE"""),195.0)</f>
        <v>195</v>
      </c>
      <c r="Z120" s="1">
        <f>IFERROR(__xludf.DUMMYFUNCTION("""COMPUTED_VALUE"""),0.0)</f>
        <v>0</v>
      </c>
      <c r="AA120" s="2" t="str">
        <f>IFERROR(__xludf.DUMMYFUNCTION("""COMPUTED_VALUE"""),"")</f>
        <v/>
      </c>
      <c r="AB120" s="1">
        <f>IFERROR(__xludf.DUMMYFUNCTION("""COMPUTED_VALUE"""),125.0)</f>
        <v>125</v>
      </c>
      <c r="AC120" s="1">
        <f>IFERROR(__xludf.DUMMYFUNCTION("""COMPUTED_VALUE"""),1133.33)</f>
        <v>1133.33</v>
      </c>
      <c r="AD120" s="2">
        <f>IFERROR(__xludf.DUMMYFUNCTION("""COMPUTED_VALUE"""),0.1102944420424766)</f>
        <v>0.110294442</v>
      </c>
      <c r="AE120" s="1">
        <f>IFERROR(__xludf.DUMMYFUNCTION("""COMPUTED_VALUE"""),250.0)</f>
        <v>250</v>
      </c>
      <c r="AF120" s="1">
        <f>IFERROR(__xludf.DUMMYFUNCTION("""COMPUTED_VALUE"""),1700.0)</f>
        <v>1700</v>
      </c>
      <c r="AG120" s="2">
        <f>IFERROR(__xludf.DUMMYFUNCTION("""COMPUTED_VALUE"""),0.14705882352941177)</f>
        <v>0.1470588235</v>
      </c>
      <c r="AH120" s="1">
        <f>IFERROR(__xludf.DUMMYFUNCTION("""COMPUTED_VALUE"""),509.0)</f>
        <v>509</v>
      </c>
      <c r="AI120" s="1">
        <f>IFERROR(__xludf.DUMMYFUNCTION("""COMPUTED_VALUE"""),1700.0)</f>
        <v>1700</v>
      </c>
      <c r="AJ120" s="2">
        <f>IFERROR(__xludf.DUMMYFUNCTION("""COMPUTED_VALUE"""),0.2994117647058824)</f>
        <v>0.2994117647</v>
      </c>
      <c r="AK120" s="1">
        <f>IFERROR(__xludf.DUMMYFUNCTION("""COMPUTED_VALUE"""),1079.0)</f>
        <v>1079</v>
      </c>
      <c r="AL120" s="1">
        <f>IFERROR(__xludf.DUMMYFUNCTION("""COMPUTED_VALUE"""),4533.33)</f>
        <v>4533.33</v>
      </c>
      <c r="AM120" s="2">
        <f>IFERROR(__xludf.DUMMYFUNCTION("""COMPUTED_VALUE"""),0.23801488089329478)</f>
        <v>0.2380148809</v>
      </c>
      <c r="AN120" s="1">
        <f>IFERROR(__xludf.DUMMYFUNCTION("""COMPUTED_VALUE"""),469.7)</f>
        <v>469.7</v>
      </c>
      <c r="AO120" s="1">
        <f>IFERROR(__xludf.DUMMYFUNCTION("""COMPUTED_VALUE"""),0.0)</f>
        <v>0</v>
      </c>
      <c r="AP120" s="2" t="str">
        <f>IFERROR(__xludf.DUMMYFUNCTION("""COMPUTED_VALUE"""),"")</f>
        <v/>
      </c>
      <c r="AQ120" s="1">
        <f>IFERROR(__xludf.DUMMYFUNCTION("""COMPUTED_VALUE"""),0.0)</f>
        <v>0</v>
      </c>
      <c r="AR120" s="1">
        <f>IFERROR(__xludf.DUMMYFUNCTION("""COMPUTED_VALUE"""),0.0)</f>
        <v>0</v>
      </c>
      <c r="AS120" s="2" t="str">
        <f>IFERROR(__xludf.DUMMYFUNCTION("""COMPUTED_VALUE"""),"")</f>
        <v/>
      </c>
      <c r="AT120" s="1">
        <f>IFERROR(__xludf.DUMMYFUNCTION("""COMPUTED_VALUE"""),0.0)</f>
        <v>0</v>
      </c>
      <c r="AU120" s="1">
        <f>IFERROR(__xludf.DUMMYFUNCTION("""COMPUTED_VALUE"""),0.0)</f>
        <v>0</v>
      </c>
      <c r="AV120" s="2" t="str">
        <f>IFERROR(__xludf.DUMMYFUNCTION("""COMPUTED_VALUE"""),"")</f>
        <v/>
      </c>
      <c r="AW120" s="1">
        <f>IFERROR(__xludf.DUMMYFUNCTION("""COMPUTED_VALUE"""),0.0)</f>
        <v>0</v>
      </c>
      <c r="AX120" s="1">
        <f>IFERROR(__xludf.DUMMYFUNCTION("""COMPUTED_VALUE"""),0.0)</f>
        <v>0</v>
      </c>
      <c r="AY120" s="2" t="str">
        <f>IFERROR(__xludf.DUMMYFUNCTION("""COMPUTED_VALUE"""),"")</f>
        <v/>
      </c>
      <c r="AZ120" s="1">
        <f>IFERROR(__xludf.DUMMYFUNCTION("""COMPUTED_VALUE"""),469.7)</f>
        <v>469.7</v>
      </c>
      <c r="BA120" s="1">
        <f>IFERROR(__xludf.DUMMYFUNCTION("""COMPUTED_VALUE"""),0.0)</f>
        <v>0</v>
      </c>
      <c r="BB120" s="2" t="str">
        <f>IFERROR(__xludf.DUMMYFUNCTION("""COMPUTED_VALUE"""),"")</f>
        <v/>
      </c>
    </row>
    <row r="121">
      <c r="A121" s="1" t="str">
        <f>IFERROR(__xludf.DUMMYFUNCTION("""COMPUTED_VALUE"""),"63ced845c5c820531c2686ea")</f>
        <v>63ced845c5c820531c2686ea</v>
      </c>
      <c r="B121" s="1" t="str">
        <f>IFERROR(__xludf.DUMMYFUNCTION("""COMPUTED_VALUE"""),"peicom GmbH")</f>
        <v>peicom GmbH</v>
      </c>
      <c r="C121" s="1" t="str">
        <f>IFERROR(__xludf.DUMMYFUNCTION("""COMPUTED_VALUE"""),"silke.fraedrich@al-enterprise.com, andreas.grossheimann@al-enterprise.com")</f>
        <v>silke.fraedrich@al-enterprise.com, andreas.grossheimann@al-enterprise.com</v>
      </c>
      <c r="D121" s="1" t="str">
        <f>IFERROR(__xludf.DUMMYFUNCTION("""COMPUTED_VALUE"""),"germany")</f>
        <v>germany</v>
      </c>
      <c r="E121" s="1" t="str">
        <f>IFERROR(__xludf.DUMMYFUNCTION("""COMPUTED_VALUE"""),"DE")</f>
        <v>DE</v>
      </c>
      <c r="F121" s="1"/>
      <c r="G121" s="1">
        <f>IFERROR(__xludf.DUMMYFUNCTION("""COMPUTED_VALUE"""),0.0)</f>
        <v>0</v>
      </c>
      <c r="H121" s="1">
        <f>IFERROR(__xludf.DUMMYFUNCTION("""COMPUTED_VALUE"""),1.0)</f>
        <v>1</v>
      </c>
      <c r="I121" s="2">
        <f>IFERROR(__xludf.DUMMYFUNCTION("""COMPUTED_VALUE"""),0.0)</f>
        <v>0</v>
      </c>
      <c r="J121" s="1">
        <f>IFERROR(__xludf.DUMMYFUNCTION("""COMPUTED_VALUE"""),0.0)</f>
        <v>0</v>
      </c>
      <c r="K121" s="1">
        <f>IFERROR(__xludf.DUMMYFUNCTION("""COMPUTED_VALUE"""),0.0)</f>
        <v>0</v>
      </c>
      <c r="L121" s="2" t="str">
        <f>IFERROR(__xludf.DUMMYFUNCTION("""COMPUTED_VALUE"""),"")</f>
        <v/>
      </c>
      <c r="M121" s="1">
        <f>IFERROR(__xludf.DUMMYFUNCTION("""COMPUTED_VALUE"""),0.0)</f>
        <v>0</v>
      </c>
      <c r="N121" s="1">
        <f>IFERROR(__xludf.DUMMYFUNCTION("""COMPUTED_VALUE"""),0.0)</f>
        <v>0</v>
      </c>
      <c r="O121" s="2" t="str">
        <f>IFERROR(__xludf.DUMMYFUNCTION("""COMPUTED_VALUE"""),"")</f>
        <v/>
      </c>
      <c r="P121" s="1">
        <f>IFERROR(__xludf.DUMMYFUNCTION("""COMPUTED_VALUE"""),0.0)</f>
        <v>0</v>
      </c>
      <c r="Q121" s="1">
        <f>IFERROR(__xludf.DUMMYFUNCTION("""COMPUTED_VALUE"""),1.0)</f>
        <v>1</v>
      </c>
      <c r="R121" s="2">
        <f>IFERROR(__xludf.DUMMYFUNCTION("""COMPUTED_VALUE"""),0.0)</f>
        <v>0</v>
      </c>
      <c r="S121" s="1">
        <f>IFERROR(__xludf.DUMMYFUNCTION("""COMPUTED_VALUE"""),0.0)</f>
        <v>0</v>
      </c>
      <c r="T121" s="1">
        <f>IFERROR(__xludf.DUMMYFUNCTION("""COMPUTED_VALUE"""),1.0)</f>
        <v>1</v>
      </c>
      <c r="U121" s="2">
        <f>IFERROR(__xludf.DUMMYFUNCTION("""COMPUTED_VALUE"""),0.0)</f>
        <v>0</v>
      </c>
      <c r="V121" s="1">
        <f>IFERROR(__xludf.DUMMYFUNCTION("""COMPUTED_VALUE"""),0.0)</f>
        <v>0</v>
      </c>
      <c r="W121" s="1">
        <f>IFERROR(__xludf.DUMMYFUNCTION("""COMPUTED_VALUE"""),1.0)</f>
        <v>1</v>
      </c>
      <c r="X121" s="2">
        <f>IFERROR(__xludf.DUMMYFUNCTION("""COMPUTED_VALUE"""),0.0)</f>
        <v>0</v>
      </c>
      <c r="Y121" s="1">
        <f>IFERROR(__xludf.DUMMYFUNCTION("""COMPUTED_VALUE"""),0.0)</f>
        <v>0</v>
      </c>
      <c r="Z121" s="1">
        <f>IFERROR(__xludf.DUMMYFUNCTION("""COMPUTED_VALUE"""),0.0)</f>
        <v>0</v>
      </c>
      <c r="AA121" s="2" t="str">
        <f>IFERROR(__xludf.DUMMYFUNCTION("""COMPUTED_VALUE"""),"")</f>
        <v/>
      </c>
      <c r="AB121" s="1">
        <f>IFERROR(__xludf.DUMMYFUNCTION("""COMPUTED_VALUE"""),2700.0)</f>
        <v>2700</v>
      </c>
      <c r="AC121" s="1">
        <f>IFERROR(__xludf.DUMMYFUNCTION("""COMPUTED_VALUE"""),0.0)</f>
        <v>0</v>
      </c>
      <c r="AD121" s="2" t="str">
        <f>IFERROR(__xludf.DUMMYFUNCTION("""COMPUTED_VALUE"""),"")</f>
        <v/>
      </c>
      <c r="AE121" s="1">
        <f>IFERROR(__xludf.DUMMYFUNCTION("""COMPUTED_VALUE"""),0.0)</f>
        <v>0</v>
      </c>
      <c r="AF121" s="1">
        <f>IFERROR(__xludf.DUMMYFUNCTION("""COMPUTED_VALUE"""),0.0)</f>
        <v>0</v>
      </c>
      <c r="AG121" s="2" t="str">
        <f>IFERROR(__xludf.DUMMYFUNCTION("""COMPUTED_VALUE"""),"")</f>
        <v/>
      </c>
      <c r="AH121" s="1">
        <f>IFERROR(__xludf.DUMMYFUNCTION("""COMPUTED_VALUE"""),315.0)</f>
        <v>315</v>
      </c>
      <c r="AI121" s="1">
        <f>IFERROR(__xludf.DUMMYFUNCTION("""COMPUTED_VALUE"""),0.0)</f>
        <v>0</v>
      </c>
      <c r="AJ121" s="2" t="str">
        <f>IFERROR(__xludf.DUMMYFUNCTION("""COMPUTED_VALUE"""),"")</f>
        <v/>
      </c>
      <c r="AK121" s="1">
        <f>IFERROR(__xludf.DUMMYFUNCTION("""COMPUTED_VALUE"""),3015.0)</f>
        <v>3015</v>
      </c>
      <c r="AL121" s="1">
        <f>IFERROR(__xludf.DUMMYFUNCTION("""COMPUTED_VALUE"""),0.0)</f>
        <v>0</v>
      </c>
      <c r="AM121" s="2" t="str">
        <f>IFERROR(__xludf.DUMMYFUNCTION("""COMPUTED_VALUE"""),"")</f>
        <v/>
      </c>
      <c r="AN121" s="1">
        <f>IFERROR(__xludf.DUMMYFUNCTION("""COMPUTED_VALUE"""),900.0)</f>
        <v>900</v>
      </c>
      <c r="AO121" s="1">
        <f>IFERROR(__xludf.DUMMYFUNCTION("""COMPUTED_VALUE"""),0.0)</f>
        <v>0</v>
      </c>
      <c r="AP121" s="2" t="str">
        <f>IFERROR(__xludf.DUMMYFUNCTION("""COMPUTED_VALUE"""),"")</f>
        <v/>
      </c>
      <c r="AQ121" s="1">
        <f>IFERROR(__xludf.DUMMYFUNCTION("""COMPUTED_VALUE"""),0.0)</f>
        <v>0</v>
      </c>
      <c r="AR121" s="1">
        <f>IFERROR(__xludf.DUMMYFUNCTION("""COMPUTED_VALUE"""),0.0)</f>
        <v>0</v>
      </c>
      <c r="AS121" s="2" t="str">
        <f>IFERROR(__xludf.DUMMYFUNCTION("""COMPUTED_VALUE"""),"")</f>
        <v/>
      </c>
      <c r="AT121" s="1">
        <f>IFERROR(__xludf.DUMMYFUNCTION("""COMPUTED_VALUE"""),0.0)</f>
        <v>0</v>
      </c>
      <c r="AU121" s="1">
        <f>IFERROR(__xludf.DUMMYFUNCTION("""COMPUTED_VALUE"""),0.0)</f>
        <v>0</v>
      </c>
      <c r="AV121" s="2" t="str">
        <f>IFERROR(__xludf.DUMMYFUNCTION("""COMPUTED_VALUE"""),"")</f>
        <v/>
      </c>
      <c r="AW121" s="1">
        <f>IFERROR(__xludf.DUMMYFUNCTION("""COMPUTED_VALUE"""),0.0)</f>
        <v>0</v>
      </c>
      <c r="AX121" s="1">
        <f>IFERROR(__xludf.DUMMYFUNCTION("""COMPUTED_VALUE"""),0.0)</f>
        <v>0</v>
      </c>
      <c r="AY121" s="2" t="str">
        <f>IFERROR(__xludf.DUMMYFUNCTION("""COMPUTED_VALUE"""),"")</f>
        <v/>
      </c>
      <c r="AZ121" s="1">
        <f>IFERROR(__xludf.DUMMYFUNCTION("""COMPUTED_VALUE"""),900.0)</f>
        <v>900</v>
      </c>
      <c r="BA121" s="1">
        <f>IFERROR(__xludf.DUMMYFUNCTION("""COMPUTED_VALUE"""),0.0)</f>
        <v>0</v>
      </c>
      <c r="BB121" s="2" t="str">
        <f>IFERROR(__xludf.DUMMYFUNCTION("""COMPUTED_VALUE"""),"")</f>
        <v/>
      </c>
    </row>
    <row r="122">
      <c r="A122" s="1" t="str">
        <f>IFERROR(__xludf.DUMMYFUNCTION("""COMPUTED_VALUE"""),"67d436a894cd1f68cd06bc12")</f>
        <v>67d436a894cd1f68cd06bc12</v>
      </c>
      <c r="B122" s="1" t="str">
        <f>IFERROR(__xludf.DUMMYFUNCTION("""COMPUTED_VALUE"""),"PKE Mediacom GmbH")</f>
        <v>PKE Mediacom GmbH</v>
      </c>
      <c r="C122" s="1" t="str">
        <f>IFERROR(__xludf.DUMMYFUNCTION("""COMPUTED_VALUE"""),"holger.viktor@al-enterprise.com")</f>
        <v>holger.viktor@al-enterprise.com</v>
      </c>
      <c r="D122" s="1" t="str">
        <f>IFERROR(__xludf.DUMMYFUNCTION("""COMPUTED_VALUE"""),"germany")</f>
        <v>germany</v>
      </c>
      <c r="E122" s="1" t="str">
        <f>IFERROR(__xludf.DUMMYFUNCTION("""COMPUTED_VALUE"""),"DE")</f>
        <v>DE</v>
      </c>
      <c r="F122" s="1" t="str">
        <f>IFERROR(__xludf.DUMMYFUNCTION("""COMPUTED_VALUE"""),"expert_1000")</f>
        <v>expert_1000</v>
      </c>
      <c r="G122" s="1">
        <f>IFERROR(__xludf.DUMMYFUNCTION("""COMPUTED_VALUE"""),1.0)</f>
        <v>1</v>
      </c>
      <c r="H122" s="1">
        <f>IFERROR(__xludf.DUMMYFUNCTION("""COMPUTED_VALUE"""),1.0)</f>
        <v>1</v>
      </c>
      <c r="I122" s="2">
        <f>IFERROR(__xludf.DUMMYFUNCTION("""COMPUTED_VALUE"""),1.0)</f>
        <v>1</v>
      </c>
      <c r="J122" s="1">
        <f>IFERROR(__xludf.DUMMYFUNCTION("""COMPUTED_VALUE"""),188.58)</f>
        <v>188.58</v>
      </c>
      <c r="K122" s="1">
        <f>IFERROR(__xludf.DUMMYFUNCTION("""COMPUTED_VALUE"""),1150.0)</f>
        <v>1150</v>
      </c>
      <c r="L122" s="2">
        <f>IFERROR(__xludf.DUMMYFUNCTION("""COMPUTED_VALUE"""),0.16398260869565218)</f>
        <v>0.1639826087</v>
      </c>
      <c r="M122" s="1">
        <f>IFERROR(__xludf.DUMMYFUNCTION("""COMPUTED_VALUE"""),0.0)</f>
        <v>0</v>
      </c>
      <c r="N122" s="1">
        <f>IFERROR(__xludf.DUMMYFUNCTION("""COMPUTED_VALUE"""),0.0)</f>
        <v>0</v>
      </c>
      <c r="O122" s="2" t="str">
        <f>IFERROR(__xludf.DUMMYFUNCTION("""COMPUTED_VALUE"""),"")</f>
        <v/>
      </c>
      <c r="P122" s="1">
        <f>IFERROR(__xludf.DUMMYFUNCTION("""COMPUTED_VALUE"""),0.0)</f>
        <v>0</v>
      </c>
      <c r="Q122" s="1">
        <f>IFERROR(__xludf.DUMMYFUNCTION("""COMPUTED_VALUE"""),1.0)</f>
        <v>1</v>
      </c>
      <c r="R122" s="2">
        <f>IFERROR(__xludf.DUMMYFUNCTION("""COMPUTED_VALUE"""),0.0)</f>
        <v>0</v>
      </c>
      <c r="S122" s="1">
        <f>IFERROR(__xludf.DUMMYFUNCTION("""COMPUTED_VALUE"""),0.0)</f>
        <v>0</v>
      </c>
      <c r="T122" s="1">
        <f>IFERROR(__xludf.DUMMYFUNCTION("""COMPUTED_VALUE"""),1.0)</f>
        <v>1</v>
      </c>
      <c r="U122" s="2">
        <f>IFERROR(__xludf.DUMMYFUNCTION("""COMPUTED_VALUE"""),0.0)</f>
        <v>0</v>
      </c>
      <c r="V122" s="1">
        <f>IFERROR(__xludf.DUMMYFUNCTION("""COMPUTED_VALUE"""),0.0)</f>
        <v>0</v>
      </c>
      <c r="W122" s="1">
        <f>IFERROR(__xludf.DUMMYFUNCTION("""COMPUTED_VALUE"""),1.0)</f>
        <v>1</v>
      </c>
      <c r="X122" s="2">
        <f>IFERROR(__xludf.DUMMYFUNCTION("""COMPUTED_VALUE"""),0.0)</f>
        <v>0</v>
      </c>
      <c r="Y122" s="1">
        <f>IFERROR(__xludf.DUMMYFUNCTION("""COMPUTED_VALUE"""),0.0)</f>
        <v>0</v>
      </c>
      <c r="Z122" s="1">
        <f>IFERROR(__xludf.DUMMYFUNCTION("""COMPUTED_VALUE"""),0.0)</f>
        <v>0</v>
      </c>
      <c r="AA122" s="2" t="str">
        <f>IFERROR(__xludf.DUMMYFUNCTION("""COMPUTED_VALUE"""),"")</f>
        <v/>
      </c>
      <c r="AB122" s="1">
        <f>IFERROR(__xludf.DUMMYFUNCTION("""COMPUTED_VALUE"""),15.0)</f>
        <v>15</v>
      </c>
      <c r="AC122" s="1">
        <f>IFERROR(__xludf.DUMMYFUNCTION("""COMPUTED_VALUE"""),996.67)</f>
        <v>996.67</v>
      </c>
      <c r="AD122" s="2">
        <f>IFERROR(__xludf.DUMMYFUNCTION("""COMPUTED_VALUE"""),0.015050116889241174)</f>
        <v>0.01505011689</v>
      </c>
      <c r="AE122" s="1">
        <f>IFERROR(__xludf.DUMMYFUNCTION("""COMPUTED_VALUE"""),248.7)</f>
        <v>248.7</v>
      </c>
      <c r="AF122" s="1">
        <f>IFERROR(__xludf.DUMMYFUNCTION("""COMPUTED_VALUE"""),920.0)</f>
        <v>920</v>
      </c>
      <c r="AG122" s="2">
        <f>IFERROR(__xludf.DUMMYFUNCTION("""COMPUTED_VALUE"""),0.2703260869565217)</f>
        <v>0.270326087</v>
      </c>
      <c r="AH122" s="1">
        <f>IFERROR(__xludf.DUMMYFUNCTION("""COMPUTED_VALUE"""),1137.29)</f>
        <v>1137.29</v>
      </c>
      <c r="AI122" s="1">
        <f>IFERROR(__xludf.DUMMYFUNCTION("""COMPUTED_VALUE"""),1073.33)</f>
        <v>1073.33</v>
      </c>
      <c r="AJ122" s="2">
        <f>IFERROR(__xludf.DUMMYFUNCTION("""COMPUTED_VALUE"""),1.0595902471746808)</f>
        <v>1.059590247</v>
      </c>
      <c r="AK122" s="1">
        <f>IFERROR(__xludf.DUMMYFUNCTION("""COMPUTED_VALUE"""),1400.99)</f>
        <v>1400.99</v>
      </c>
      <c r="AL122" s="1">
        <f>IFERROR(__xludf.DUMMYFUNCTION("""COMPUTED_VALUE"""),2990.0)</f>
        <v>2990</v>
      </c>
      <c r="AM122" s="2">
        <f>IFERROR(__xludf.DUMMYFUNCTION("""COMPUTED_VALUE"""),0.46855852842809365)</f>
        <v>0.4685585284</v>
      </c>
      <c r="AN122" s="1">
        <f>IFERROR(__xludf.DUMMYFUNCTION("""COMPUTED_VALUE"""),205.0)</f>
        <v>205</v>
      </c>
      <c r="AO122" s="1">
        <f>IFERROR(__xludf.DUMMYFUNCTION("""COMPUTED_VALUE"""),0.0)</f>
        <v>0</v>
      </c>
      <c r="AP122" s="2" t="str">
        <f>IFERROR(__xludf.DUMMYFUNCTION("""COMPUTED_VALUE"""),"")</f>
        <v/>
      </c>
      <c r="AQ122" s="1">
        <f>IFERROR(__xludf.DUMMYFUNCTION("""COMPUTED_VALUE"""),0.0)</f>
        <v>0</v>
      </c>
      <c r="AR122" s="1">
        <f>IFERROR(__xludf.DUMMYFUNCTION("""COMPUTED_VALUE"""),0.0)</f>
        <v>0</v>
      </c>
      <c r="AS122" s="2" t="str">
        <f>IFERROR(__xludf.DUMMYFUNCTION("""COMPUTED_VALUE"""),"")</f>
        <v/>
      </c>
      <c r="AT122" s="1">
        <f>IFERROR(__xludf.DUMMYFUNCTION("""COMPUTED_VALUE"""),0.0)</f>
        <v>0</v>
      </c>
      <c r="AU122" s="1">
        <f>IFERROR(__xludf.DUMMYFUNCTION("""COMPUTED_VALUE"""),0.0)</f>
        <v>0</v>
      </c>
      <c r="AV122" s="2" t="str">
        <f>IFERROR(__xludf.DUMMYFUNCTION("""COMPUTED_VALUE"""),"")</f>
        <v/>
      </c>
      <c r="AW122" s="1">
        <f>IFERROR(__xludf.DUMMYFUNCTION("""COMPUTED_VALUE"""),0.0)</f>
        <v>0</v>
      </c>
      <c r="AX122" s="1">
        <f>IFERROR(__xludf.DUMMYFUNCTION("""COMPUTED_VALUE"""),0.0)</f>
        <v>0</v>
      </c>
      <c r="AY122" s="2" t="str">
        <f>IFERROR(__xludf.DUMMYFUNCTION("""COMPUTED_VALUE"""),"")</f>
        <v/>
      </c>
      <c r="AZ122" s="1">
        <f>IFERROR(__xludf.DUMMYFUNCTION("""COMPUTED_VALUE"""),205.0)</f>
        <v>205</v>
      </c>
      <c r="BA122" s="1">
        <f>IFERROR(__xludf.DUMMYFUNCTION("""COMPUTED_VALUE"""),0.0)</f>
        <v>0</v>
      </c>
      <c r="BB122" s="2" t="str">
        <f>IFERROR(__xludf.DUMMYFUNCTION("""COMPUTED_VALUE"""),"")</f>
        <v/>
      </c>
    </row>
    <row r="123">
      <c r="A123" s="1" t="str">
        <f>IFERROR(__xludf.DUMMYFUNCTION("""COMPUTED_VALUE"""),"63ef9d5c384f27260c1ba9fb")</f>
        <v>63ef9d5c384f27260c1ba9fb</v>
      </c>
      <c r="B123" s="1" t="str">
        <f>IFERROR(__xludf.DUMMYFUNCTION("""COMPUTED_VALUE"""),"Plexus SL")</f>
        <v>Plexus SL</v>
      </c>
      <c r="C123" s="1" t="str">
        <f>IFERROR(__xludf.DUMMYFUNCTION("""COMPUTED_VALUE"""),"jaime.tor@al-enterprise.com, astrid.savorani@al-enterprise.com, rafael.andreo@al-enterprise.com, esther.alonso@al-enterprise.com, hubert.chapelle@al-enterprise.com, marcos.rodriguez@al-enterprise.com, borja.gonzalvez@al-enterprise.com")</f>
        <v>jaime.tor@al-enterprise.com, astrid.savorani@al-enterprise.com, rafael.andreo@al-enterprise.com, esther.alonso@al-enterprise.com, hubert.chapelle@al-enterprise.com, marcos.rodriguez@al-enterprise.com, borja.gonzalvez@al-enterprise.com</v>
      </c>
      <c r="D123" s="1" t="str">
        <f>IFERROR(__xludf.DUMMYFUNCTION("""COMPUTED_VALUE"""),"emea")</f>
        <v>emea</v>
      </c>
      <c r="E123" s="1" t="str">
        <f>IFERROR(__xludf.DUMMYFUNCTION("""COMPUTED_VALUE"""),"ES")</f>
        <v>ES</v>
      </c>
      <c r="F123" s="1" t="str">
        <f>IFERROR(__xludf.DUMMYFUNCTION("""COMPUTED_VALUE"""),"expert_200")</f>
        <v>expert_200</v>
      </c>
      <c r="G123" s="1">
        <f>IFERROR(__xludf.DUMMYFUNCTION("""COMPUTED_VALUE"""),1.0)</f>
        <v>1</v>
      </c>
      <c r="H123" s="1">
        <f>IFERROR(__xludf.DUMMYFUNCTION("""COMPUTED_VALUE"""),1.0)</f>
        <v>1</v>
      </c>
      <c r="I123" s="2">
        <f>IFERROR(__xludf.DUMMYFUNCTION("""COMPUTED_VALUE"""),1.0)</f>
        <v>1</v>
      </c>
      <c r="J123" s="1">
        <f>IFERROR(__xludf.DUMMYFUNCTION("""COMPUTED_VALUE"""),140.55)</f>
        <v>140.55</v>
      </c>
      <c r="K123" s="1">
        <f>IFERROR(__xludf.DUMMYFUNCTION("""COMPUTED_VALUE"""),300.0)</f>
        <v>300</v>
      </c>
      <c r="L123" s="2">
        <f>IFERROR(__xludf.DUMMYFUNCTION("""COMPUTED_VALUE"""),0.4685)</f>
        <v>0.4685</v>
      </c>
      <c r="M123" s="1">
        <f>IFERROR(__xludf.DUMMYFUNCTION("""COMPUTED_VALUE"""),14.0)</f>
        <v>14</v>
      </c>
      <c r="N123" s="1">
        <f>IFERROR(__xludf.DUMMYFUNCTION("""COMPUTED_VALUE"""),52.0)</f>
        <v>52</v>
      </c>
      <c r="O123" s="2">
        <f>IFERROR(__xludf.DUMMYFUNCTION("""COMPUTED_VALUE"""),0.2692307692307692)</f>
        <v>0.2692307692</v>
      </c>
      <c r="P123" s="1">
        <f>IFERROR(__xludf.DUMMYFUNCTION("""COMPUTED_VALUE"""),0.0)</f>
        <v>0</v>
      </c>
      <c r="Q123" s="1">
        <f>IFERROR(__xludf.DUMMYFUNCTION("""COMPUTED_VALUE"""),1.0)</f>
        <v>1</v>
      </c>
      <c r="R123" s="2">
        <f>IFERROR(__xludf.DUMMYFUNCTION("""COMPUTED_VALUE"""),0.0)</f>
        <v>0</v>
      </c>
      <c r="S123" s="1">
        <f>IFERROR(__xludf.DUMMYFUNCTION("""COMPUTED_VALUE"""),0.0)</f>
        <v>0</v>
      </c>
      <c r="T123" s="1">
        <f>IFERROR(__xludf.DUMMYFUNCTION("""COMPUTED_VALUE"""),1.0)</f>
        <v>1</v>
      </c>
      <c r="U123" s="2">
        <f>IFERROR(__xludf.DUMMYFUNCTION("""COMPUTED_VALUE"""),0.0)</f>
        <v>0</v>
      </c>
      <c r="V123" s="1">
        <f>IFERROR(__xludf.DUMMYFUNCTION("""COMPUTED_VALUE"""),0.0)</f>
        <v>0</v>
      </c>
      <c r="W123" s="1">
        <f>IFERROR(__xludf.DUMMYFUNCTION("""COMPUTED_VALUE"""),1.0)</f>
        <v>1</v>
      </c>
      <c r="X123" s="2">
        <f>IFERROR(__xludf.DUMMYFUNCTION("""COMPUTED_VALUE"""),0.0)</f>
        <v>0</v>
      </c>
      <c r="Y123" s="1">
        <f>IFERROR(__xludf.DUMMYFUNCTION("""COMPUTED_VALUE"""),75.9)</f>
        <v>75.9</v>
      </c>
      <c r="Z123" s="1">
        <f>IFERROR(__xludf.DUMMYFUNCTION("""COMPUTED_VALUE"""),0.0)</f>
        <v>0</v>
      </c>
      <c r="AA123" s="2" t="str">
        <f>IFERROR(__xludf.DUMMYFUNCTION("""COMPUTED_VALUE"""),"")</f>
        <v/>
      </c>
      <c r="AB123" s="1">
        <f>IFERROR(__xludf.DUMMYFUNCTION("""COMPUTED_VALUE"""),2.7)</f>
        <v>2.7</v>
      </c>
      <c r="AC123" s="1">
        <f>IFERROR(__xludf.DUMMYFUNCTION("""COMPUTED_VALUE"""),80.65)</f>
        <v>80.65</v>
      </c>
      <c r="AD123" s="2">
        <f>IFERROR(__xludf.DUMMYFUNCTION("""COMPUTED_VALUE"""),0.03347799132052077)</f>
        <v>0.03347799132</v>
      </c>
      <c r="AE123" s="1">
        <f>IFERROR(__xludf.DUMMYFUNCTION("""COMPUTED_VALUE"""),272.0)</f>
        <v>272</v>
      </c>
      <c r="AF123" s="1">
        <f>IFERROR(__xludf.DUMMYFUNCTION("""COMPUTED_VALUE"""),80.65)</f>
        <v>80.65</v>
      </c>
      <c r="AG123" s="2">
        <f>IFERROR(__xludf.DUMMYFUNCTION("""COMPUTED_VALUE"""),3.372597644141351)</f>
        <v>3.372597644</v>
      </c>
      <c r="AH123" s="1">
        <f>IFERROR(__xludf.DUMMYFUNCTION("""COMPUTED_VALUE"""),0.0)</f>
        <v>0</v>
      </c>
      <c r="AI123" s="1">
        <f>IFERROR(__xludf.DUMMYFUNCTION("""COMPUTED_VALUE"""),80.65)</f>
        <v>80.65</v>
      </c>
      <c r="AJ123" s="2">
        <f>IFERROR(__xludf.DUMMYFUNCTION("""COMPUTED_VALUE"""),0.0)</f>
        <v>0</v>
      </c>
      <c r="AK123" s="1">
        <f>IFERROR(__xludf.DUMMYFUNCTION("""COMPUTED_VALUE"""),350.6)</f>
        <v>350.6</v>
      </c>
      <c r="AL123" s="1">
        <f>IFERROR(__xludf.DUMMYFUNCTION("""COMPUTED_VALUE"""),241.95000000000002)</f>
        <v>241.95</v>
      </c>
      <c r="AM123" s="2">
        <f>IFERROR(__xludf.DUMMYFUNCTION("""COMPUTED_VALUE"""),1.4490597230832816)</f>
        <v>1.449059723</v>
      </c>
      <c r="AN123" s="1">
        <f>IFERROR(__xludf.DUMMYFUNCTION("""COMPUTED_VALUE"""),0.0)</f>
        <v>0</v>
      </c>
      <c r="AO123" s="1">
        <f>IFERROR(__xludf.DUMMYFUNCTION("""COMPUTED_VALUE"""),0.0)</f>
        <v>0</v>
      </c>
      <c r="AP123" s="2" t="str">
        <f>IFERROR(__xludf.DUMMYFUNCTION("""COMPUTED_VALUE"""),"")</f>
        <v/>
      </c>
      <c r="AQ123" s="1">
        <f>IFERROR(__xludf.DUMMYFUNCTION("""COMPUTED_VALUE"""),0.0)</f>
        <v>0</v>
      </c>
      <c r="AR123" s="1">
        <f>IFERROR(__xludf.DUMMYFUNCTION("""COMPUTED_VALUE"""),0.0)</f>
        <v>0</v>
      </c>
      <c r="AS123" s="2" t="str">
        <f>IFERROR(__xludf.DUMMYFUNCTION("""COMPUTED_VALUE"""),"")</f>
        <v/>
      </c>
      <c r="AT123" s="1">
        <f>IFERROR(__xludf.DUMMYFUNCTION("""COMPUTED_VALUE"""),0.0)</f>
        <v>0</v>
      </c>
      <c r="AU123" s="1">
        <f>IFERROR(__xludf.DUMMYFUNCTION("""COMPUTED_VALUE"""),0.0)</f>
        <v>0</v>
      </c>
      <c r="AV123" s="2" t="str">
        <f>IFERROR(__xludf.DUMMYFUNCTION("""COMPUTED_VALUE"""),"")</f>
        <v/>
      </c>
      <c r="AW123" s="1">
        <f>IFERROR(__xludf.DUMMYFUNCTION("""COMPUTED_VALUE"""),0.0)</f>
        <v>0</v>
      </c>
      <c r="AX123" s="1">
        <f>IFERROR(__xludf.DUMMYFUNCTION("""COMPUTED_VALUE"""),0.0)</f>
        <v>0</v>
      </c>
      <c r="AY123" s="2" t="str">
        <f>IFERROR(__xludf.DUMMYFUNCTION("""COMPUTED_VALUE"""),"")</f>
        <v/>
      </c>
      <c r="AZ123" s="1">
        <f>IFERROR(__xludf.DUMMYFUNCTION("""COMPUTED_VALUE"""),0.0)</f>
        <v>0</v>
      </c>
      <c r="BA123" s="1">
        <f>IFERROR(__xludf.DUMMYFUNCTION("""COMPUTED_VALUE"""),0.0)</f>
        <v>0</v>
      </c>
      <c r="BB123" s="2" t="str">
        <f>IFERROR(__xludf.DUMMYFUNCTION("""COMPUTED_VALUE"""),"")</f>
        <v/>
      </c>
    </row>
    <row r="124">
      <c r="A124" s="1" t="str">
        <f>IFERROR(__xludf.DUMMYFUNCTION("""COMPUTED_VALUE"""),"63ced846c5c820531c268825")</f>
        <v>63ced846c5c820531c268825</v>
      </c>
      <c r="B124" s="1" t="str">
        <f>IFERROR(__xludf.DUMMYFUNCTION("""COMPUTED_VALUE"""),"PREMIUM PLUS SL")</f>
        <v>PREMIUM PLUS SL</v>
      </c>
      <c r="C124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24" s="1" t="str">
        <f>IFERROR(__xludf.DUMMYFUNCTION("""COMPUTED_VALUE"""),"emea")</f>
        <v>emea</v>
      </c>
      <c r="E124" s="1" t="str">
        <f>IFERROR(__xludf.DUMMYFUNCTION("""COMPUTED_VALUE"""),"ES")</f>
        <v>ES</v>
      </c>
      <c r="F124" s="1" t="str">
        <f>IFERROR(__xludf.DUMMYFUNCTION("""COMPUTED_VALUE"""),"expert_200")</f>
        <v>expert_200</v>
      </c>
      <c r="G124" s="1">
        <f>IFERROR(__xludf.DUMMYFUNCTION("""COMPUTED_VALUE"""),1.0)</f>
        <v>1</v>
      </c>
      <c r="H124" s="1">
        <f>IFERROR(__xludf.DUMMYFUNCTION("""COMPUTED_VALUE"""),1.0)</f>
        <v>1</v>
      </c>
      <c r="I124" s="2">
        <f>IFERROR(__xludf.DUMMYFUNCTION("""COMPUTED_VALUE"""),1.0)</f>
        <v>1</v>
      </c>
      <c r="J124" s="1">
        <f>IFERROR(__xludf.DUMMYFUNCTION("""COMPUTED_VALUE"""),210.07)</f>
        <v>210.07</v>
      </c>
      <c r="K124" s="1">
        <f>IFERROR(__xludf.DUMMYFUNCTION("""COMPUTED_VALUE"""),500.0)</f>
        <v>500</v>
      </c>
      <c r="L124" s="2">
        <f>IFERROR(__xludf.DUMMYFUNCTION("""COMPUTED_VALUE"""),0.42014)</f>
        <v>0.42014</v>
      </c>
      <c r="M124" s="1">
        <f>IFERROR(__xludf.DUMMYFUNCTION("""COMPUTED_VALUE"""),36.0)</f>
        <v>36</v>
      </c>
      <c r="N124" s="1">
        <f>IFERROR(__xludf.DUMMYFUNCTION("""COMPUTED_VALUE"""),52.0)</f>
        <v>52</v>
      </c>
      <c r="O124" s="2">
        <f>IFERROR(__xludf.DUMMYFUNCTION("""COMPUTED_VALUE"""),0.6923076923076923)</f>
        <v>0.6923076923</v>
      </c>
      <c r="P124" s="1">
        <f>IFERROR(__xludf.DUMMYFUNCTION("""COMPUTED_VALUE"""),1.0)</f>
        <v>1</v>
      </c>
      <c r="Q124" s="1">
        <f>IFERROR(__xludf.DUMMYFUNCTION("""COMPUTED_VALUE"""),1.0)</f>
        <v>1</v>
      </c>
      <c r="R124" s="2">
        <f>IFERROR(__xludf.DUMMYFUNCTION("""COMPUTED_VALUE"""),1.0)</f>
        <v>1</v>
      </c>
      <c r="S124" s="1">
        <f>IFERROR(__xludf.DUMMYFUNCTION("""COMPUTED_VALUE"""),1.0)</f>
        <v>1</v>
      </c>
      <c r="T124" s="1">
        <f>IFERROR(__xludf.DUMMYFUNCTION("""COMPUTED_VALUE"""),1.0)</f>
        <v>1</v>
      </c>
      <c r="U124" s="2">
        <f>IFERROR(__xludf.DUMMYFUNCTION("""COMPUTED_VALUE"""),1.0)</f>
        <v>1</v>
      </c>
      <c r="V124" s="1">
        <f>IFERROR(__xludf.DUMMYFUNCTION("""COMPUTED_VALUE"""),0.0)</f>
        <v>0</v>
      </c>
      <c r="W124" s="1">
        <f>IFERROR(__xludf.DUMMYFUNCTION("""COMPUTED_VALUE"""),1.0)</f>
        <v>1</v>
      </c>
      <c r="X124" s="2">
        <f>IFERROR(__xludf.DUMMYFUNCTION("""COMPUTED_VALUE"""),0.0)</f>
        <v>0</v>
      </c>
      <c r="Y124" s="1">
        <f>IFERROR(__xludf.DUMMYFUNCTION("""COMPUTED_VALUE"""),52.87)</f>
        <v>52.87</v>
      </c>
      <c r="Z124" s="1">
        <f>IFERROR(__xludf.DUMMYFUNCTION("""COMPUTED_VALUE"""),0.0)</f>
        <v>0</v>
      </c>
      <c r="AA124" s="2" t="str">
        <f>IFERROR(__xludf.DUMMYFUNCTION("""COMPUTED_VALUE"""),"")</f>
        <v/>
      </c>
      <c r="AB124" s="1">
        <f>IFERROR(__xludf.DUMMYFUNCTION("""COMPUTED_VALUE"""),40.0)</f>
        <v>40</v>
      </c>
      <c r="AC124" s="1">
        <f>IFERROR(__xludf.DUMMYFUNCTION("""COMPUTED_VALUE"""),416.67)</f>
        <v>416.67</v>
      </c>
      <c r="AD124" s="2">
        <f>IFERROR(__xludf.DUMMYFUNCTION("""COMPUTED_VALUE"""),0.09599923200614395)</f>
        <v>0.09599923201</v>
      </c>
      <c r="AE124" s="1">
        <f>IFERROR(__xludf.DUMMYFUNCTION("""COMPUTED_VALUE"""),33.05)</f>
        <v>33.05</v>
      </c>
      <c r="AF124" s="1">
        <f>IFERROR(__xludf.DUMMYFUNCTION("""COMPUTED_VALUE"""),416.67)</f>
        <v>416.67</v>
      </c>
      <c r="AG124" s="2">
        <f>IFERROR(__xludf.DUMMYFUNCTION("""COMPUTED_VALUE"""),0.07931936544507642)</f>
        <v>0.07931936545</v>
      </c>
      <c r="AH124" s="1">
        <f>IFERROR(__xludf.DUMMYFUNCTION("""COMPUTED_VALUE"""),538.2)</f>
        <v>538.2</v>
      </c>
      <c r="AI124" s="1">
        <f>IFERROR(__xludf.DUMMYFUNCTION("""COMPUTED_VALUE"""),416.67)</f>
        <v>416.67</v>
      </c>
      <c r="AJ124" s="2">
        <f>IFERROR(__xludf.DUMMYFUNCTION("""COMPUTED_VALUE"""),1.291669666642667)</f>
        <v>1.291669667</v>
      </c>
      <c r="AK124" s="1">
        <f>IFERROR(__xludf.DUMMYFUNCTION("""COMPUTED_VALUE"""),664.12)</f>
        <v>664.12</v>
      </c>
      <c r="AL124" s="1">
        <f>IFERROR(__xludf.DUMMYFUNCTION("""COMPUTED_VALUE"""),1250.01)</f>
        <v>1250.01</v>
      </c>
      <c r="AM124" s="2">
        <f>IFERROR(__xludf.DUMMYFUNCTION("""COMPUTED_VALUE"""),0.5312917496660027)</f>
        <v>0.5312917497</v>
      </c>
      <c r="AN124" s="1">
        <f>IFERROR(__xludf.DUMMYFUNCTION("""COMPUTED_VALUE"""),850.16)</f>
        <v>850.16</v>
      </c>
      <c r="AO124" s="1">
        <f>IFERROR(__xludf.DUMMYFUNCTION("""COMPUTED_VALUE"""),0.0)</f>
        <v>0</v>
      </c>
      <c r="AP124" s="2" t="str">
        <f>IFERROR(__xludf.DUMMYFUNCTION("""COMPUTED_VALUE"""),"")</f>
        <v/>
      </c>
      <c r="AQ124" s="1">
        <f>IFERROR(__xludf.DUMMYFUNCTION("""COMPUTED_VALUE"""),2.55)</f>
        <v>2.55</v>
      </c>
      <c r="AR124" s="1">
        <f>IFERROR(__xludf.DUMMYFUNCTION("""COMPUTED_VALUE"""),0.0)</f>
        <v>0</v>
      </c>
      <c r="AS124" s="2" t="str">
        <f>IFERROR(__xludf.DUMMYFUNCTION("""COMPUTED_VALUE"""),"")</f>
        <v/>
      </c>
      <c r="AT124" s="1">
        <f>IFERROR(__xludf.DUMMYFUNCTION("""COMPUTED_VALUE"""),6.72)</f>
        <v>6.72</v>
      </c>
      <c r="AU124" s="1">
        <f>IFERROR(__xludf.DUMMYFUNCTION("""COMPUTED_VALUE"""),0.0)</f>
        <v>0</v>
      </c>
      <c r="AV124" s="2" t="str">
        <f>IFERROR(__xludf.DUMMYFUNCTION("""COMPUTED_VALUE"""),"")</f>
        <v/>
      </c>
      <c r="AW124" s="1">
        <f>IFERROR(__xludf.DUMMYFUNCTION("""COMPUTED_VALUE"""),2841.4)</f>
        <v>2841.4</v>
      </c>
      <c r="AX124" s="1">
        <f>IFERROR(__xludf.DUMMYFUNCTION("""COMPUTED_VALUE"""),0.0)</f>
        <v>0</v>
      </c>
      <c r="AY124" s="2" t="str">
        <f>IFERROR(__xludf.DUMMYFUNCTION("""COMPUTED_VALUE"""),"")</f>
        <v/>
      </c>
      <c r="AZ124" s="1">
        <f>IFERROR(__xludf.DUMMYFUNCTION("""COMPUTED_VALUE"""),3700.83)</f>
        <v>3700.83</v>
      </c>
      <c r="BA124" s="1">
        <f>IFERROR(__xludf.DUMMYFUNCTION("""COMPUTED_VALUE"""),0.0)</f>
        <v>0</v>
      </c>
      <c r="BB124" s="2" t="str">
        <f>IFERROR(__xludf.DUMMYFUNCTION("""COMPUTED_VALUE"""),"")</f>
        <v/>
      </c>
    </row>
    <row r="125">
      <c r="A125" s="1" t="str">
        <f>IFERROR(__xludf.DUMMYFUNCTION("""COMPUTED_VALUE"""),"63ced848c5c820531c268d4d")</f>
        <v>63ced848c5c820531c268d4d</v>
      </c>
      <c r="B125" s="1" t="str">
        <f>IFERROR(__xludf.DUMMYFUNCTION("""COMPUTED_VALUE"""),"provoicecom GmbH")</f>
        <v>provoicecom GmbH</v>
      </c>
      <c r="C125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125" s="1" t="str">
        <f>IFERROR(__xludf.DUMMYFUNCTION("""COMPUTED_VALUE"""),"germany")</f>
        <v>germany</v>
      </c>
      <c r="E125" s="1" t="str">
        <f>IFERROR(__xludf.DUMMYFUNCTION("""COMPUTED_VALUE"""),"DE")</f>
        <v>DE</v>
      </c>
      <c r="F125" s="1" t="str">
        <f>IFERROR(__xludf.DUMMYFUNCTION("""COMPUTED_VALUE"""),"expert_200")</f>
        <v>expert_200</v>
      </c>
      <c r="G125" s="1">
        <f>IFERROR(__xludf.DUMMYFUNCTION("""COMPUTED_VALUE"""),1.0)</f>
        <v>1</v>
      </c>
      <c r="H125" s="1">
        <f>IFERROR(__xludf.DUMMYFUNCTION("""COMPUTED_VALUE"""),1.0)</f>
        <v>1</v>
      </c>
      <c r="I125" s="2">
        <f>IFERROR(__xludf.DUMMYFUNCTION("""COMPUTED_VALUE"""),1.0)</f>
        <v>1</v>
      </c>
      <c r="J125" s="1">
        <f>IFERROR(__xludf.DUMMYFUNCTION("""COMPUTED_VALUE"""),419.36)</f>
        <v>419.36</v>
      </c>
      <c r="K125" s="1">
        <f>IFERROR(__xludf.DUMMYFUNCTION("""COMPUTED_VALUE"""),900.0)</f>
        <v>900</v>
      </c>
      <c r="L125" s="2">
        <f>IFERROR(__xludf.DUMMYFUNCTION("""COMPUTED_VALUE"""),0.46595555555555557)</f>
        <v>0.4659555556</v>
      </c>
      <c r="M125" s="1">
        <f>IFERROR(__xludf.DUMMYFUNCTION("""COMPUTED_VALUE"""),49.0)</f>
        <v>49</v>
      </c>
      <c r="N125" s="1">
        <f>IFERROR(__xludf.DUMMYFUNCTION("""COMPUTED_VALUE"""),52.0)</f>
        <v>52</v>
      </c>
      <c r="O125" s="2">
        <f>IFERROR(__xludf.DUMMYFUNCTION("""COMPUTED_VALUE"""),0.9423076923076923)</f>
        <v>0.9423076923</v>
      </c>
      <c r="P125" s="1">
        <f>IFERROR(__xludf.DUMMYFUNCTION("""COMPUTED_VALUE"""),1.0)</f>
        <v>1</v>
      </c>
      <c r="Q125" s="1">
        <f>IFERROR(__xludf.DUMMYFUNCTION("""COMPUTED_VALUE"""),1.0)</f>
        <v>1</v>
      </c>
      <c r="R125" s="2">
        <f>IFERROR(__xludf.DUMMYFUNCTION("""COMPUTED_VALUE"""),1.0)</f>
        <v>1</v>
      </c>
      <c r="S125" s="1">
        <f>IFERROR(__xludf.DUMMYFUNCTION("""COMPUTED_VALUE"""),0.0)</f>
        <v>0</v>
      </c>
      <c r="T125" s="1">
        <f>IFERROR(__xludf.DUMMYFUNCTION("""COMPUTED_VALUE"""),1.0)</f>
        <v>1</v>
      </c>
      <c r="U125" s="2">
        <f>IFERROR(__xludf.DUMMYFUNCTION("""COMPUTED_VALUE"""),0.0)</f>
        <v>0</v>
      </c>
      <c r="V125" s="1">
        <f>IFERROR(__xludf.DUMMYFUNCTION("""COMPUTED_VALUE"""),1.0)</f>
        <v>1</v>
      </c>
      <c r="W125" s="1">
        <f>IFERROR(__xludf.DUMMYFUNCTION("""COMPUTED_VALUE"""),1.0)</f>
        <v>1</v>
      </c>
      <c r="X125" s="2">
        <f>IFERROR(__xludf.DUMMYFUNCTION("""COMPUTED_VALUE"""),1.0)</f>
        <v>1</v>
      </c>
      <c r="Y125" s="1">
        <f>IFERROR(__xludf.DUMMYFUNCTION("""COMPUTED_VALUE"""),0.13)</f>
        <v>0.13</v>
      </c>
      <c r="Z125" s="1">
        <f>IFERROR(__xludf.DUMMYFUNCTION("""COMPUTED_VALUE"""),0.0)</f>
        <v>0</v>
      </c>
      <c r="AA125" s="2" t="str">
        <f>IFERROR(__xludf.DUMMYFUNCTION("""COMPUTED_VALUE"""),"")</f>
        <v/>
      </c>
      <c r="AB125" s="1">
        <f>IFERROR(__xludf.DUMMYFUNCTION("""COMPUTED_VALUE"""),0.27)</f>
        <v>0.27</v>
      </c>
      <c r="AC125" s="1">
        <f>IFERROR(__xludf.DUMMYFUNCTION("""COMPUTED_VALUE"""),233.77)</f>
        <v>233.77</v>
      </c>
      <c r="AD125" s="2">
        <f>IFERROR(__xludf.DUMMYFUNCTION("""COMPUTED_VALUE"""),0.0011549813919664628)</f>
        <v>0.001154981392</v>
      </c>
      <c r="AE125" s="1">
        <f>IFERROR(__xludf.DUMMYFUNCTION("""COMPUTED_VALUE"""),117.66)</f>
        <v>117.66</v>
      </c>
      <c r="AF125" s="1">
        <f>IFERROR(__xludf.DUMMYFUNCTION("""COMPUTED_VALUE"""),349.35)</f>
        <v>349.35</v>
      </c>
      <c r="AG125" s="2">
        <f>IFERROR(__xludf.DUMMYFUNCTION("""COMPUTED_VALUE"""),0.33679690854443967)</f>
        <v>0.3367969085</v>
      </c>
      <c r="AH125" s="1">
        <f>IFERROR(__xludf.DUMMYFUNCTION("""COMPUTED_VALUE"""),234.58)</f>
        <v>234.58</v>
      </c>
      <c r="AI125" s="1">
        <f>IFERROR(__xludf.DUMMYFUNCTION("""COMPUTED_VALUE"""),351.95)</f>
        <v>351.95</v>
      </c>
      <c r="AJ125" s="2">
        <f>IFERROR(__xludf.DUMMYFUNCTION("""COMPUTED_VALUE"""),0.6665151299900555)</f>
        <v>0.66651513</v>
      </c>
      <c r="AK125" s="1">
        <f>IFERROR(__xludf.DUMMYFUNCTION("""COMPUTED_VALUE"""),352.64)</f>
        <v>352.64</v>
      </c>
      <c r="AL125" s="1">
        <f>IFERROR(__xludf.DUMMYFUNCTION("""COMPUTED_VALUE"""),935.0699999999999)</f>
        <v>935.07</v>
      </c>
      <c r="AM125" s="2">
        <f>IFERROR(__xludf.DUMMYFUNCTION("""COMPUTED_VALUE"""),0.3771268461184724)</f>
        <v>0.3771268461</v>
      </c>
      <c r="AN125" s="1">
        <f>IFERROR(__xludf.DUMMYFUNCTION("""COMPUTED_VALUE"""),252.68)</f>
        <v>252.68</v>
      </c>
      <c r="AO125" s="1">
        <f>IFERROR(__xludf.DUMMYFUNCTION("""COMPUTED_VALUE"""),0.0)</f>
        <v>0</v>
      </c>
      <c r="AP125" s="2" t="str">
        <f>IFERROR(__xludf.DUMMYFUNCTION("""COMPUTED_VALUE"""),"")</f>
        <v/>
      </c>
      <c r="AQ125" s="1">
        <f>IFERROR(__xludf.DUMMYFUNCTION("""COMPUTED_VALUE"""),0.0)</f>
        <v>0</v>
      </c>
      <c r="AR125" s="1">
        <f>IFERROR(__xludf.DUMMYFUNCTION("""COMPUTED_VALUE"""),0.0)</f>
        <v>0</v>
      </c>
      <c r="AS125" s="2" t="str">
        <f>IFERROR(__xludf.DUMMYFUNCTION("""COMPUTED_VALUE"""),"")</f>
        <v/>
      </c>
      <c r="AT125" s="1">
        <f>IFERROR(__xludf.DUMMYFUNCTION("""COMPUTED_VALUE"""),34.61)</f>
        <v>34.61</v>
      </c>
      <c r="AU125" s="1">
        <f>IFERROR(__xludf.DUMMYFUNCTION("""COMPUTED_VALUE"""),0.0)</f>
        <v>0</v>
      </c>
      <c r="AV125" s="2" t="str">
        <f>IFERROR(__xludf.DUMMYFUNCTION("""COMPUTED_VALUE"""),"")</f>
        <v/>
      </c>
      <c r="AW125" s="1">
        <f>IFERROR(__xludf.DUMMYFUNCTION("""COMPUTED_VALUE"""),128.66)</f>
        <v>128.66</v>
      </c>
      <c r="AX125" s="1">
        <f>IFERROR(__xludf.DUMMYFUNCTION("""COMPUTED_VALUE"""),0.0)</f>
        <v>0</v>
      </c>
      <c r="AY125" s="2" t="str">
        <f>IFERROR(__xludf.DUMMYFUNCTION("""COMPUTED_VALUE"""),"")</f>
        <v/>
      </c>
      <c r="AZ125" s="1">
        <f>IFERROR(__xludf.DUMMYFUNCTION("""COMPUTED_VALUE"""),415.95000000000005)</f>
        <v>415.95</v>
      </c>
      <c r="BA125" s="1">
        <f>IFERROR(__xludf.DUMMYFUNCTION("""COMPUTED_VALUE"""),0.0)</f>
        <v>0</v>
      </c>
      <c r="BB125" s="2" t="str">
        <f>IFERROR(__xludf.DUMMYFUNCTION("""COMPUTED_VALUE"""),"")</f>
        <v/>
      </c>
    </row>
    <row r="126">
      <c r="A126" s="1" t="str">
        <f>IFERROR(__xludf.DUMMYFUNCTION("""COMPUTED_VALUE"""),"633dbe22ec522e697b5af958")</f>
        <v>633dbe22ec522e697b5af958</v>
      </c>
      <c r="B126" s="1" t="str">
        <f>IFERROR(__xludf.DUMMYFUNCTION("""COMPUTED_VALUE"""),"REDNET GmbH")</f>
        <v>REDNET GmbH</v>
      </c>
      <c r="C126" s="1" t="str">
        <f>IFERROR(__xludf.DUMMYFUNCTION("""COMPUTED_VALUE"""),"rui.silva@al-enterprise.com, marius.istel@al-enterprise.com, katrin.pfeiffer@al-enterprise.com, sibylle.klopfer@al-enterprise.com, igor.leko@al-enterprise.com, philipp.bode@al-enterprise.com")</f>
        <v>rui.silva@al-enterprise.com, marius.istel@al-enterprise.com, katrin.pfeiffer@al-enterprise.com, sibylle.klopfer@al-enterprise.com, igor.leko@al-enterprise.com, philipp.bode@al-enterprise.com</v>
      </c>
      <c r="D126" s="1" t="str">
        <f>IFERROR(__xludf.DUMMYFUNCTION("""COMPUTED_VALUE"""),"germany")</f>
        <v>germany</v>
      </c>
      <c r="E126" s="1" t="str">
        <f>IFERROR(__xludf.DUMMYFUNCTION("""COMPUTED_VALUE"""),"DE")</f>
        <v>DE</v>
      </c>
      <c r="F126" s="1" t="str">
        <f>IFERROR(__xludf.DUMMYFUNCTION("""COMPUTED_VALUE"""),"expert_1000")</f>
        <v>expert_1000</v>
      </c>
      <c r="G126" s="1">
        <f>IFERROR(__xludf.DUMMYFUNCTION("""COMPUTED_VALUE"""),1.0)</f>
        <v>1</v>
      </c>
      <c r="H126" s="1">
        <f>IFERROR(__xludf.DUMMYFUNCTION("""COMPUTED_VALUE"""),1.0)</f>
        <v>1</v>
      </c>
      <c r="I126" s="2">
        <f>IFERROR(__xludf.DUMMYFUNCTION("""COMPUTED_VALUE"""),1.0)</f>
        <v>1</v>
      </c>
      <c r="J126" s="1">
        <f>IFERROR(__xludf.DUMMYFUNCTION("""COMPUTED_VALUE"""),41.91)</f>
        <v>41.91</v>
      </c>
      <c r="K126" s="1">
        <f>IFERROR(__xludf.DUMMYFUNCTION("""COMPUTED_VALUE"""),1000.0)</f>
        <v>1000</v>
      </c>
      <c r="L126" s="2">
        <f>IFERROR(__xludf.DUMMYFUNCTION("""COMPUTED_VALUE"""),0.041909999999999996)</f>
        <v>0.04191</v>
      </c>
      <c r="M126" s="1">
        <f>IFERROR(__xludf.DUMMYFUNCTION("""COMPUTED_VALUE"""),20.0)</f>
        <v>20</v>
      </c>
      <c r="N126" s="1">
        <f>IFERROR(__xludf.DUMMYFUNCTION("""COMPUTED_VALUE"""),62.0)</f>
        <v>62</v>
      </c>
      <c r="O126" s="2">
        <f>IFERROR(__xludf.DUMMYFUNCTION("""COMPUTED_VALUE"""),0.3225806451612903)</f>
        <v>0.3225806452</v>
      </c>
      <c r="P126" s="1">
        <f>IFERROR(__xludf.DUMMYFUNCTION("""COMPUTED_VALUE"""),0.0)</f>
        <v>0</v>
      </c>
      <c r="Q126" s="1">
        <f>IFERROR(__xludf.DUMMYFUNCTION("""COMPUTED_VALUE"""),1.0)</f>
        <v>1</v>
      </c>
      <c r="R126" s="2">
        <f>IFERROR(__xludf.DUMMYFUNCTION("""COMPUTED_VALUE"""),0.0)</f>
        <v>0</v>
      </c>
      <c r="S126" s="1">
        <f>IFERROR(__xludf.DUMMYFUNCTION("""COMPUTED_VALUE"""),1.0)</f>
        <v>1</v>
      </c>
      <c r="T126" s="1">
        <f>IFERROR(__xludf.DUMMYFUNCTION("""COMPUTED_VALUE"""),1.0)</f>
        <v>1</v>
      </c>
      <c r="U126" s="2">
        <f>IFERROR(__xludf.DUMMYFUNCTION("""COMPUTED_VALUE"""),1.0)</f>
        <v>1</v>
      </c>
      <c r="V126" s="1">
        <f>IFERROR(__xludf.DUMMYFUNCTION("""COMPUTED_VALUE"""),0.0)</f>
        <v>0</v>
      </c>
      <c r="W126" s="1">
        <f>IFERROR(__xludf.DUMMYFUNCTION("""COMPUTED_VALUE"""),1.0)</f>
        <v>1</v>
      </c>
      <c r="X126" s="2">
        <f>IFERROR(__xludf.DUMMYFUNCTION("""COMPUTED_VALUE"""),0.0)</f>
        <v>0</v>
      </c>
      <c r="Y126" s="1">
        <f>IFERROR(__xludf.DUMMYFUNCTION("""COMPUTED_VALUE"""),80.0)</f>
        <v>80</v>
      </c>
      <c r="Z126" s="1">
        <f>IFERROR(__xludf.DUMMYFUNCTION("""COMPUTED_VALUE"""),0.0)</f>
        <v>0</v>
      </c>
      <c r="AA126" s="2" t="str">
        <f>IFERROR(__xludf.DUMMYFUNCTION("""COMPUTED_VALUE"""),"")</f>
        <v/>
      </c>
      <c r="AB126" s="1">
        <f>IFERROR(__xludf.DUMMYFUNCTION("""COMPUTED_VALUE"""),15.0)</f>
        <v>15</v>
      </c>
      <c r="AC126" s="1">
        <f>IFERROR(__xludf.DUMMYFUNCTION("""COMPUTED_VALUE"""),250.0)</f>
        <v>250</v>
      </c>
      <c r="AD126" s="2">
        <f>IFERROR(__xludf.DUMMYFUNCTION("""COMPUTED_VALUE"""),0.06)</f>
        <v>0.06</v>
      </c>
      <c r="AE126" s="1">
        <f>IFERROR(__xludf.DUMMYFUNCTION("""COMPUTED_VALUE"""),414.1)</f>
        <v>414.1</v>
      </c>
      <c r="AF126" s="1">
        <f>IFERROR(__xludf.DUMMYFUNCTION("""COMPUTED_VALUE"""),375.0)</f>
        <v>375</v>
      </c>
      <c r="AG126" s="2">
        <f>IFERROR(__xludf.DUMMYFUNCTION("""COMPUTED_VALUE"""),1.1042666666666667)</f>
        <v>1.104266667</v>
      </c>
      <c r="AH126" s="1">
        <f>IFERROR(__xludf.DUMMYFUNCTION("""COMPUTED_VALUE"""),1297.4)</f>
        <v>1297.4</v>
      </c>
      <c r="AI126" s="1">
        <f>IFERROR(__xludf.DUMMYFUNCTION("""COMPUTED_VALUE"""),375.0)</f>
        <v>375</v>
      </c>
      <c r="AJ126" s="2">
        <f>IFERROR(__xludf.DUMMYFUNCTION("""COMPUTED_VALUE"""),3.4597333333333338)</f>
        <v>3.459733333</v>
      </c>
      <c r="AK126" s="1">
        <f>IFERROR(__xludf.DUMMYFUNCTION("""COMPUTED_VALUE"""),1806.5)</f>
        <v>1806.5</v>
      </c>
      <c r="AL126" s="1">
        <f>IFERROR(__xludf.DUMMYFUNCTION("""COMPUTED_VALUE"""),1000.0)</f>
        <v>1000</v>
      </c>
      <c r="AM126" s="2">
        <f>IFERROR(__xludf.DUMMYFUNCTION("""COMPUTED_VALUE"""),1.8065)</f>
        <v>1.8065</v>
      </c>
      <c r="AN126" s="1">
        <f>IFERROR(__xludf.DUMMYFUNCTION("""COMPUTED_VALUE"""),475.0)</f>
        <v>475</v>
      </c>
      <c r="AO126" s="1">
        <f>IFERROR(__xludf.DUMMYFUNCTION("""COMPUTED_VALUE"""),0.0)</f>
        <v>0</v>
      </c>
      <c r="AP126" s="2" t="str">
        <f>IFERROR(__xludf.DUMMYFUNCTION("""COMPUTED_VALUE"""),"")</f>
        <v/>
      </c>
      <c r="AQ126" s="1">
        <f>IFERROR(__xludf.DUMMYFUNCTION("""COMPUTED_VALUE"""),0.0)</f>
        <v>0</v>
      </c>
      <c r="AR126" s="1">
        <f>IFERROR(__xludf.DUMMYFUNCTION("""COMPUTED_VALUE"""),0.0)</f>
        <v>0</v>
      </c>
      <c r="AS126" s="2" t="str">
        <f>IFERROR(__xludf.DUMMYFUNCTION("""COMPUTED_VALUE"""),"")</f>
        <v/>
      </c>
      <c r="AT126" s="1">
        <f>IFERROR(__xludf.DUMMYFUNCTION("""COMPUTED_VALUE"""),0.0)</f>
        <v>0</v>
      </c>
      <c r="AU126" s="1">
        <f>IFERROR(__xludf.DUMMYFUNCTION("""COMPUTED_VALUE"""),0.0)</f>
        <v>0</v>
      </c>
      <c r="AV126" s="2" t="str">
        <f>IFERROR(__xludf.DUMMYFUNCTION("""COMPUTED_VALUE"""),"")</f>
        <v/>
      </c>
      <c r="AW126" s="1">
        <f>IFERROR(__xludf.DUMMYFUNCTION("""COMPUTED_VALUE"""),800.0)</f>
        <v>800</v>
      </c>
      <c r="AX126" s="1">
        <f>IFERROR(__xludf.DUMMYFUNCTION("""COMPUTED_VALUE"""),0.0)</f>
        <v>0</v>
      </c>
      <c r="AY126" s="2" t="str">
        <f>IFERROR(__xludf.DUMMYFUNCTION("""COMPUTED_VALUE"""),"")</f>
        <v/>
      </c>
      <c r="AZ126" s="1">
        <f>IFERROR(__xludf.DUMMYFUNCTION("""COMPUTED_VALUE"""),1275.0)</f>
        <v>1275</v>
      </c>
      <c r="BA126" s="1">
        <f>IFERROR(__xludf.DUMMYFUNCTION("""COMPUTED_VALUE"""),0.0)</f>
        <v>0</v>
      </c>
      <c r="BB126" s="2" t="str">
        <f>IFERROR(__xludf.DUMMYFUNCTION("""COMPUTED_VALUE"""),"")</f>
        <v/>
      </c>
    </row>
    <row r="127">
      <c r="A127" s="1" t="str">
        <f>IFERROR(__xludf.DUMMYFUNCTION("""COMPUTED_VALUE"""),"63ced843c5c820531c2682df")</f>
        <v>63ced843c5c820531c2682df</v>
      </c>
      <c r="B127" s="1" t="str">
        <f>IFERROR(__xludf.DUMMYFUNCTION("""COMPUTED_VALUE"""),"REVOLUTION TECHNOLOGIES REVTEC, S.A")</f>
        <v>REVOLUTION TECHNOLOGIES REVTEC, S.A</v>
      </c>
      <c r="C127" s="1" t="str">
        <f>IFERROR(__xludf.DUMMYFUNCTION("""COMPUTED_VALUE"""),"jorge.silva@al-enterprise.com")</f>
        <v>jorge.silva@al-enterprise.com</v>
      </c>
      <c r="D127" s="1" t="str">
        <f>IFERROR(__xludf.DUMMYFUNCTION("""COMPUTED_VALUE"""),"americas")</f>
        <v>americas</v>
      </c>
      <c r="E127" s="1" t="str">
        <f>IFERROR(__xludf.DUMMYFUNCTION("""COMPUTED_VALUE"""),"GT")</f>
        <v>GT</v>
      </c>
      <c r="F127" s="1" t="str">
        <f>IFERROR(__xludf.DUMMYFUNCTION("""COMPUTED_VALUE"""),"expert_200")</f>
        <v>expert_200</v>
      </c>
      <c r="G127" s="1">
        <f>IFERROR(__xludf.DUMMYFUNCTION("""COMPUTED_VALUE"""),0.0)</f>
        <v>0</v>
      </c>
      <c r="H127" s="1">
        <f>IFERROR(__xludf.DUMMYFUNCTION("""COMPUTED_VALUE"""),1.0)</f>
        <v>1</v>
      </c>
      <c r="I127" s="2">
        <f>IFERROR(__xludf.DUMMYFUNCTION("""COMPUTED_VALUE"""),0.0)</f>
        <v>0</v>
      </c>
      <c r="J127" s="1">
        <f>IFERROR(__xludf.DUMMYFUNCTION("""COMPUTED_VALUE"""),151.49)</f>
        <v>151.49</v>
      </c>
      <c r="K127" s="1">
        <f>IFERROR(__xludf.DUMMYFUNCTION("""COMPUTED_VALUE"""),450.0)</f>
        <v>450</v>
      </c>
      <c r="L127" s="2">
        <f>IFERROR(__xludf.DUMMYFUNCTION("""COMPUTED_VALUE"""),0.33664444444444447)</f>
        <v>0.3366444444</v>
      </c>
      <c r="M127" s="1">
        <f>IFERROR(__xludf.DUMMYFUNCTION("""COMPUTED_VALUE"""),80.0)</f>
        <v>80</v>
      </c>
      <c r="N127" s="1">
        <f>IFERROR(__xludf.DUMMYFUNCTION("""COMPUTED_VALUE"""),52.0)</f>
        <v>52</v>
      </c>
      <c r="O127" s="2">
        <f>IFERROR(__xludf.DUMMYFUNCTION("""COMPUTED_VALUE"""),1.5384615384615385)</f>
        <v>1.538461538</v>
      </c>
      <c r="P127" s="1">
        <f>IFERROR(__xludf.DUMMYFUNCTION("""COMPUTED_VALUE"""),1.0)</f>
        <v>1</v>
      </c>
      <c r="Q127" s="1">
        <f>IFERROR(__xludf.DUMMYFUNCTION("""COMPUTED_VALUE"""),1.0)</f>
        <v>1</v>
      </c>
      <c r="R127" s="2">
        <f>IFERROR(__xludf.DUMMYFUNCTION("""COMPUTED_VALUE"""),1.0)</f>
        <v>1</v>
      </c>
      <c r="S127" s="1">
        <f>IFERROR(__xludf.DUMMYFUNCTION("""COMPUTED_VALUE"""),1.0)</f>
        <v>1</v>
      </c>
      <c r="T127" s="1">
        <f>IFERROR(__xludf.DUMMYFUNCTION("""COMPUTED_VALUE"""),1.0)</f>
        <v>1</v>
      </c>
      <c r="U127" s="2">
        <f>IFERROR(__xludf.DUMMYFUNCTION("""COMPUTED_VALUE"""),1.0)</f>
        <v>1</v>
      </c>
      <c r="V127" s="1">
        <f>IFERROR(__xludf.DUMMYFUNCTION("""COMPUTED_VALUE"""),0.0)</f>
        <v>0</v>
      </c>
      <c r="W127" s="1">
        <f>IFERROR(__xludf.DUMMYFUNCTION("""COMPUTED_VALUE"""),1.0)</f>
        <v>1</v>
      </c>
      <c r="X127" s="2">
        <f>IFERROR(__xludf.DUMMYFUNCTION("""COMPUTED_VALUE"""),0.0)</f>
        <v>0</v>
      </c>
      <c r="Y127" s="1">
        <f>IFERROR(__xludf.DUMMYFUNCTION("""COMPUTED_VALUE"""),4.69)</f>
        <v>4.69</v>
      </c>
      <c r="Z127" s="1">
        <f>IFERROR(__xludf.DUMMYFUNCTION("""COMPUTED_VALUE"""),0.0)</f>
        <v>0</v>
      </c>
      <c r="AA127" s="2" t="str">
        <f>IFERROR(__xludf.DUMMYFUNCTION("""COMPUTED_VALUE"""),"")</f>
        <v/>
      </c>
      <c r="AB127" s="1">
        <f>IFERROR(__xludf.DUMMYFUNCTION("""COMPUTED_VALUE"""),4.43)</f>
        <v>4.43</v>
      </c>
      <c r="AC127" s="1">
        <f>IFERROR(__xludf.DUMMYFUNCTION("""COMPUTED_VALUE"""),304.89)</f>
        <v>304.89</v>
      </c>
      <c r="AD127" s="2">
        <f>IFERROR(__xludf.DUMMYFUNCTION("""COMPUTED_VALUE"""),0.01452983043064712)</f>
        <v>0.01452983043</v>
      </c>
      <c r="AE127" s="1">
        <f>IFERROR(__xludf.DUMMYFUNCTION("""COMPUTED_VALUE"""),153.71)</f>
        <v>153.71</v>
      </c>
      <c r="AF127" s="1">
        <f>IFERROR(__xludf.DUMMYFUNCTION("""COMPUTED_VALUE"""),341.47)</f>
        <v>341.47</v>
      </c>
      <c r="AG127" s="2">
        <f>IFERROR(__xludf.DUMMYFUNCTION("""COMPUTED_VALUE"""),0.4501420329750783)</f>
        <v>0.450142033</v>
      </c>
      <c r="AH127" s="1">
        <f>IFERROR(__xludf.DUMMYFUNCTION("""COMPUTED_VALUE"""),66.64)</f>
        <v>66.64</v>
      </c>
      <c r="AI127" s="1">
        <f>IFERROR(__xludf.DUMMYFUNCTION("""COMPUTED_VALUE"""),280.48)</f>
        <v>280.48</v>
      </c>
      <c r="AJ127" s="2">
        <f>IFERROR(__xludf.DUMMYFUNCTION("""COMPUTED_VALUE"""),0.23759269823160295)</f>
        <v>0.2375926982</v>
      </c>
      <c r="AK127" s="1">
        <f>IFERROR(__xludf.DUMMYFUNCTION("""COMPUTED_VALUE"""),229.47000000000003)</f>
        <v>229.47</v>
      </c>
      <c r="AL127" s="1">
        <f>IFERROR(__xludf.DUMMYFUNCTION("""COMPUTED_VALUE"""),926.84)</f>
        <v>926.84</v>
      </c>
      <c r="AM127" s="2">
        <f>IFERROR(__xludf.DUMMYFUNCTION("""COMPUTED_VALUE"""),0.24758318587890038)</f>
        <v>0.2475831859</v>
      </c>
      <c r="AN127" s="1">
        <f>IFERROR(__xludf.DUMMYFUNCTION("""COMPUTED_VALUE"""),6.5)</f>
        <v>6.5</v>
      </c>
      <c r="AO127" s="1">
        <f>IFERROR(__xludf.DUMMYFUNCTION("""COMPUTED_VALUE"""),0.0)</f>
        <v>0</v>
      </c>
      <c r="AP127" s="2" t="str">
        <f>IFERROR(__xludf.DUMMYFUNCTION("""COMPUTED_VALUE"""),"")</f>
        <v/>
      </c>
      <c r="AQ127" s="1">
        <f>IFERROR(__xludf.DUMMYFUNCTION("""COMPUTED_VALUE"""),6.62)</f>
        <v>6.62</v>
      </c>
      <c r="AR127" s="1">
        <f>IFERROR(__xludf.DUMMYFUNCTION("""COMPUTED_VALUE"""),0.0)</f>
        <v>0</v>
      </c>
      <c r="AS127" s="2" t="str">
        <f>IFERROR(__xludf.DUMMYFUNCTION("""COMPUTED_VALUE"""),"")</f>
        <v/>
      </c>
      <c r="AT127" s="1">
        <f>IFERROR(__xludf.DUMMYFUNCTION("""COMPUTED_VALUE"""),3.38)</f>
        <v>3.38</v>
      </c>
      <c r="AU127" s="1">
        <f>IFERROR(__xludf.DUMMYFUNCTION("""COMPUTED_VALUE"""),0.0)</f>
        <v>0</v>
      </c>
      <c r="AV127" s="2" t="str">
        <f>IFERROR(__xludf.DUMMYFUNCTION("""COMPUTED_VALUE"""),"")</f>
        <v/>
      </c>
      <c r="AW127" s="1">
        <f>IFERROR(__xludf.DUMMYFUNCTION("""COMPUTED_VALUE"""),0.86)</f>
        <v>0.86</v>
      </c>
      <c r="AX127" s="1">
        <f>IFERROR(__xludf.DUMMYFUNCTION("""COMPUTED_VALUE"""),0.0)</f>
        <v>0</v>
      </c>
      <c r="AY127" s="2" t="str">
        <f>IFERROR(__xludf.DUMMYFUNCTION("""COMPUTED_VALUE"""),"")</f>
        <v/>
      </c>
      <c r="AZ127" s="1">
        <f>IFERROR(__xludf.DUMMYFUNCTION("""COMPUTED_VALUE"""),17.36)</f>
        <v>17.36</v>
      </c>
      <c r="BA127" s="1">
        <f>IFERROR(__xludf.DUMMYFUNCTION("""COMPUTED_VALUE"""),0.0)</f>
        <v>0</v>
      </c>
      <c r="BB127" s="2" t="str">
        <f>IFERROR(__xludf.DUMMYFUNCTION("""COMPUTED_VALUE"""),"")</f>
        <v/>
      </c>
    </row>
    <row r="128">
      <c r="A128" s="1" t="str">
        <f>IFERROR(__xludf.DUMMYFUNCTION("""COMPUTED_VALUE"""),"63ced843c5c820531c2682d0")</f>
        <v>63ced843c5c820531c2682d0</v>
      </c>
      <c r="B128" s="1" t="str">
        <f>IFERROR(__xludf.DUMMYFUNCTION("""COMPUTED_VALUE"""),"REVOLUTION TECHNOLOGIES REVTEC, SA")</f>
        <v>REVOLUTION TECHNOLOGIES REVTEC, SA</v>
      </c>
      <c r="C128" s="1" t="str">
        <f>IFERROR(__xludf.DUMMYFUNCTION("""COMPUTED_VALUE"""),"jorge.silva@al-enterprise.com")</f>
        <v>jorge.silva@al-enterprise.com</v>
      </c>
      <c r="D128" s="1" t="str">
        <f>IFERROR(__xludf.DUMMYFUNCTION("""COMPUTED_VALUE"""),"americas")</f>
        <v>americas</v>
      </c>
      <c r="E128" s="1" t="str">
        <f>IFERROR(__xludf.DUMMYFUNCTION("""COMPUTED_VALUE"""),"CR")</f>
        <v>CR</v>
      </c>
      <c r="F128" s="1"/>
      <c r="G128" s="1">
        <f>IFERROR(__xludf.DUMMYFUNCTION("""COMPUTED_VALUE"""),0.0)</f>
        <v>0</v>
      </c>
      <c r="H128" s="1">
        <f>IFERROR(__xludf.DUMMYFUNCTION("""COMPUTED_VALUE"""),1.0)</f>
        <v>1</v>
      </c>
      <c r="I128" s="2">
        <f>IFERROR(__xludf.DUMMYFUNCTION("""COMPUTED_VALUE"""),0.0)</f>
        <v>0</v>
      </c>
      <c r="J128" s="1">
        <f>IFERROR(__xludf.DUMMYFUNCTION("""COMPUTED_VALUE"""),48.5)</f>
        <v>48.5</v>
      </c>
      <c r="K128" s="1">
        <f>IFERROR(__xludf.DUMMYFUNCTION("""COMPUTED_VALUE"""),200.0)</f>
        <v>200</v>
      </c>
      <c r="L128" s="2">
        <f>IFERROR(__xludf.DUMMYFUNCTION("""COMPUTED_VALUE"""),0.2425)</f>
        <v>0.2425</v>
      </c>
      <c r="M128" s="1">
        <f>IFERROR(__xludf.DUMMYFUNCTION("""COMPUTED_VALUE"""),26.0)</f>
        <v>26</v>
      </c>
      <c r="N128" s="1">
        <f>IFERROR(__xludf.DUMMYFUNCTION("""COMPUTED_VALUE"""),52.0)</f>
        <v>52</v>
      </c>
      <c r="O128" s="2">
        <f>IFERROR(__xludf.DUMMYFUNCTION("""COMPUTED_VALUE"""),0.5)</f>
        <v>0.5</v>
      </c>
      <c r="P128" s="1">
        <f>IFERROR(__xludf.DUMMYFUNCTION("""COMPUTED_VALUE"""),1.0)</f>
        <v>1</v>
      </c>
      <c r="Q128" s="1">
        <f>IFERROR(__xludf.DUMMYFUNCTION("""COMPUTED_VALUE"""),1.0)</f>
        <v>1</v>
      </c>
      <c r="R128" s="2">
        <f>IFERROR(__xludf.DUMMYFUNCTION("""COMPUTED_VALUE"""),1.0)</f>
        <v>1</v>
      </c>
      <c r="S128" s="1">
        <f>IFERROR(__xludf.DUMMYFUNCTION("""COMPUTED_VALUE"""),1.0)</f>
        <v>1</v>
      </c>
      <c r="T128" s="1">
        <f>IFERROR(__xludf.DUMMYFUNCTION("""COMPUTED_VALUE"""),1.0)</f>
        <v>1</v>
      </c>
      <c r="U128" s="2">
        <f>IFERROR(__xludf.DUMMYFUNCTION("""COMPUTED_VALUE"""),1.0)</f>
        <v>1</v>
      </c>
      <c r="V128" s="1">
        <f>IFERROR(__xludf.DUMMYFUNCTION("""COMPUTED_VALUE"""),0.0)</f>
        <v>0</v>
      </c>
      <c r="W128" s="1">
        <f>IFERROR(__xludf.DUMMYFUNCTION("""COMPUTED_VALUE"""),1.0)</f>
        <v>1</v>
      </c>
      <c r="X128" s="2">
        <f>IFERROR(__xludf.DUMMYFUNCTION("""COMPUTED_VALUE"""),0.0)</f>
        <v>0</v>
      </c>
      <c r="Y128" s="1">
        <f>IFERROR(__xludf.DUMMYFUNCTION("""COMPUTED_VALUE"""),0.0)</f>
        <v>0</v>
      </c>
      <c r="Z128" s="1">
        <f>IFERROR(__xludf.DUMMYFUNCTION("""COMPUTED_VALUE"""),0.0)</f>
        <v>0</v>
      </c>
      <c r="AA128" s="2" t="str">
        <f>IFERROR(__xludf.DUMMYFUNCTION("""COMPUTED_VALUE"""),"")</f>
        <v/>
      </c>
      <c r="AB128" s="1">
        <f>IFERROR(__xludf.DUMMYFUNCTION("""COMPUTED_VALUE"""),25.0)</f>
        <v>25</v>
      </c>
      <c r="AC128" s="1">
        <f>IFERROR(__xludf.DUMMYFUNCTION("""COMPUTED_VALUE"""),0.0)</f>
        <v>0</v>
      </c>
      <c r="AD128" s="2" t="str">
        <f>IFERROR(__xludf.DUMMYFUNCTION("""COMPUTED_VALUE"""),"")</f>
        <v/>
      </c>
      <c r="AE128" s="1">
        <f>IFERROR(__xludf.DUMMYFUNCTION("""COMPUTED_VALUE"""),40.0)</f>
        <v>40</v>
      </c>
      <c r="AF128" s="1">
        <f>IFERROR(__xludf.DUMMYFUNCTION("""COMPUTED_VALUE"""),176.67)</f>
        <v>176.67</v>
      </c>
      <c r="AG128" s="2">
        <f>IFERROR(__xludf.DUMMYFUNCTION("""COMPUTED_VALUE"""),0.22641082243731253)</f>
        <v>0.2264108224</v>
      </c>
      <c r="AH128" s="1">
        <f>IFERROR(__xludf.DUMMYFUNCTION("""COMPUTED_VALUE"""),90.0)</f>
        <v>90</v>
      </c>
      <c r="AI128" s="1">
        <f>IFERROR(__xludf.DUMMYFUNCTION("""COMPUTED_VALUE"""),176.67)</f>
        <v>176.67</v>
      </c>
      <c r="AJ128" s="2">
        <f>IFERROR(__xludf.DUMMYFUNCTION("""COMPUTED_VALUE"""),0.5094243504839532)</f>
        <v>0.5094243505</v>
      </c>
      <c r="AK128" s="1">
        <f>IFERROR(__xludf.DUMMYFUNCTION("""COMPUTED_VALUE"""),155.0)</f>
        <v>155</v>
      </c>
      <c r="AL128" s="1">
        <f>IFERROR(__xludf.DUMMYFUNCTION("""COMPUTED_VALUE"""),353.34)</f>
        <v>353.34</v>
      </c>
      <c r="AM128" s="2">
        <f>IFERROR(__xludf.DUMMYFUNCTION("""COMPUTED_VALUE"""),0.43867096847229303)</f>
        <v>0.4386709685</v>
      </c>
      <c r="AN128" s="1">
        <f>IFERROR(__xludf.DUMMYFUNCTION("""COMPUTED_VALUE"""),5.11)</f>
        <v>5.11</v>
      </c>
      <c r="AO128" s="1">
        <f>IFERROR(__xludf.DUMMYFUNCTION("""COMPUTED_VALUE"""),0.0)</f>
        <v>0</v>
      </c>
      <c r="AP128" s="2" t="str">
        <f>IFERROR(__xludf.DUMMYFUNCTION("""COMPUTED_VALUE"""),"")</f>
        <v/>
      </c>
      <c r="AQ128" s="1">
        <f>IFERROR(__xludf.DUMMYFUNCTION("""COMPUTED_VALUE"""),0.0)</f>
        <v>0</v>
      </c>
      <c r="AR128" s="1">
        <f>IFERROR(__xludf.DUMMYFUNCTION("""COMPUTED_VALUE"""),0.0)</f>
        <v>0</v>
      </c>
      <c r="AS128" s="2" t="str">
        <f>IFERROR(__xludf.DUMMYFUNCTION("""COMPUTED_VALUE"""),"")</f>
        <v/>
      </c>
      <c r="AT128" s="1">
        <f>IFERROR(__xludf.DUMMYFUNCTION("""COMPUTED_VALUE"""),0.0)</f>
        <v>0</v>
      </c>
      <c r="AU128" s="1">
        <f>IFERROR(__xludf.DUMMYFUNCTION("""COMPUTED_VALUE"""),0.0)</f>
        <v>0</v>
      </c>
      <c r="AV128" s="2" t="str">
        <f>IFERROR(__xludf.DUMMYFUNCTION("""COMPUTED_VALUE"""),"")</f>
        <v/>
      </c>
      <c r="AW128" s="1">
        <f>IFERROR(__xludf.DUMMYFUNCTION("""COMPUTED_VALUE"""),3.0)</f>
        <v>3</v>
      </c>
      <c r="AX128" s="1">
        <f>IFERROR(__xludf.DUMMYFUNCTION("""COMPUTED_VALUE"""),0.0)</f>
        <v>0</v>
      </c>
      <c r="AY128" s="2" t="str">
        <f>IFERROR(__xludf.DUMMYFUNCTION("""COMPUTED_VALUE"""),"")</f>
        <v/>
      </c>
      <c r="AZ128" s="1">
        <f>IFERROR(__xludf.DUMMYFUNCTION("""COMPUTED_VALUE"""),8.11)</f>
        <v>8.11</v>
      </c>
      <c r="BA128" s="1">
        <f>IFERROR(__xludf.DUMMYFUNCTION("""COMPUTED_VALUE"""),0.0)</f>
        <v>0</v>
      </c>
      <c r="BB128" s="2" t="str">
        <f>IFERROR(__xludf.DUMMYFUNCTION("""COMPUTED_VALUE"""),"")</f>
        <v/>
      </c>
    </row>
    <row r="129">
      <c r="A129" s="1" t="str">
        <f>IFERROR(__xludf.DUMMYFUNCTION("""COMPUTED_VALUE"""),"63ced84ec5c820531c26986f")</f>
        <v>63ced84ec5c820531c26986f</v>
      </c>
      <c r="B129" s="1" t="str">
        <f>IFERROR(__xludf.DUMMYFUNCTION("""COMPUTED_VALUE"""),"RFP Solutions, Inc.")</f>
        <v>RFP Solutions, Inc.</v>
      </c>
      <c r="C129" s="1" t="str">
        <f>IFERROR(__xludf.DUMMYFUNCTION("""COMPUTED_VALUE"""),"brendan.flaherty@al-enterprise.com, robert.ewell@al-enterprise.com, jack.jachner@al-enterprise.com")</f>
        <v>brendan.flaherty@al-enterprise.com, robert.ewell@al-enterprise.com, jack.jachner@al-enterprise.com</v>
      </c>
      <c r="D129" s="1" t="str">
        <f>IFERROR(__xludf.DUMMYFUNCTION("""COMPUTED_VALUE"""),"americas")</f>
        <v>americas</v>
      </c>
      <c r="E129" s="1" t="str">
        <f>IFERROR(__xludf.DUMMYFUNCTION("""COMPUTED_VALUE"""),"US")</f>
        <v>US</v>
      </c>
      <c r="F129" s="1" t="str">
        <f>IFERROR(__xludf.DUMMYFUNCTION("""COMPUTED_VALUE"""),"expert_1000")</f>
        <v>expert_1000</v>
      </c>
      <c r="G129" s="1">
        <f>IFERROR(__xludf.DUMMYFUNCTION("""COMPUTED_VALUE"""),1.0)</f>
        <v>1</v>
      </c>
      <c r="H129" s="1">
        <f>IFERROR(__xludf.DUMMYFUNCTION("""COMPUTED_VALUE"""),1.0)</f>
        <v>1</v>
      </c>
      <c r="I129" s="2">
        <f>IFERROR(__xludf.DUMMYFUNCTION("""COMPUTED_VALUE"""),1.0)</f>
        <v>1</v>
      </c>
      <c r="J129" s="1">
        <f>IFERROR(__xludf.DUMMYFUNCTION("""COMPUTED_VALUE"""),881.6)</f>
        <v>881.6</v>
      </c>
      <c r="K129" s="1">
        <f>IFERROR(__xludf.DUMMYFUNCTION("""COMPUTED_VALUE"""),1213.99)</f>
        <v>1213.99</v>
      </c>
      <c r="L129" s="2">
        <f>IFERROR(__xludf.DUMMYFUNCTION("""COMPUTED_VALUE"""),0.7262003805632666)</f>
        <v>0.7262003806</v>
      </c>
      <c r="M129" s="1">
        <f>IFERROR(__xludf.DUMMYFUNCTION("""COMPUTED_VALUE"""),19.0)</f>
        <v>19</v>
      </c>
      <c r="N129" s="1">
        <f>IFERROR(__xludf.DUMMYFUNCTION("""COMPUTED_VALUE"""),52.0)</f>
        <v>52</v>
      </c>
      <c r="O129" s="2">
        <f>IFERROR(__xludf.DUMMYFUNCTION("""COMPUTED_VALUE"""),0.36538461538461536)</f>
        <v>0.3653846154</v>
      </c>
      <c r="P129" s="1">
        <f>IFERROR(__xludf.DUMMYFUNCTION("""COMPUTED_VALUE"""),0.0)</f>
        <v>0</v>
      </c>
      <c r="Q129" s="1">
        <f>IFERROR(__xludf.DUMMYFUNCTION("""COMPUTED_VALUE"""),1.0)</f>
        <v>1</v>
      </c>
      <c r="R129" s="2">
        <f>IFERROR(__xludf.DUMMYFUNCTION("""COMPUTED_VALUE"""),0.0)</f>
        <v>0</v>
      </c>
      <c r="S129" s="1">
        <f>IFERROR(__xludf.DUMMYFUNCTION("""COMPUTED_VALUE"""),1.0)</f>
        <v>1</v>
      </c>
      <c r="T129" s="1">
        <f>IFERROR(__xludf.DUMMYFUNCTION("""COMPUTED_VALUE"""),1.0)</f>
        <v>1</v>
      </c>
      <c r="U129" s="2">
        <f>IFERROR(__xludf.DUMMYFUNCTION("""COMPUTED_VALUE"""),1.0)</f>
        <v>1</v>
      </c>
      <c r="V129" s="1">
        <f>IFERROR(__xludf.DUMMYFUNCTION("""COMPUTED_VALUE"""),0.0)</f>
        <v>0</v>
      </c>
      <c r="W129" s="1">
        <f>IFERROR(__xludf.DUMMYFUNCTION("""COMPUTED_VALUE"""),1.0)</f>
        <v>1</v>
      </c>
      <c r="X129" s="2">
        <f>IFERROR(__xludf.DUMMYFUNCTION("""COMPUTED_VALUE"""),0.0)</f>
        <v>0</v>
      </c>
      <c r="Y129" s="1">
        <f>IFERROR(__xludf.DUMMYFUNCTION("""COMPUTED_VALUE"""),13.29)</f>
        <v>13.29</v>
      </c>
      <c r="Z129" s="1">
        <f>IFERROR(__xludf.DUMMYFUNCTION("""COMPUTED_VALUE"""),0.0)</f>
        <v>0</v>
      </c>
      <c r="AA129" s="2" t="str">
        <f>IFERROR(__xludf.DUMMYFUNCTION("""COMPUTED_VALUE"""),"")</f>
        <v/>
      </c>
      <c r="AB129" s="1">
        <f>IFERROR(__xludf.DUMMYFUNCTION("""COMPUTED_VALUE"""),54.92)</f>
        <v>54.92</v>
      </c>
      <c r="AC129" s="1">
        <f>IFERROR(__xludf.DUMMYFUNCTION("""COMPUTED_VALUE"""),255.15)</f>
        <v>255.15</v>
      </c>
      <c r="AD129" s="2">
        <f>IFERROR(__xludf.DUMMYFUNCTION("""COMPUTED_VALUE"""),0.21524593376445228)</f>
        <v>0.2152459338</v>
      </c>
      <c r="AE129" s="1">
        <f>IFERROR(__xludf.DUMMYFUNCTION("""COMPUTED_VALUE"""),379.85)</f>
        <v>379.85</v>
      </c>
      <c r="AF129" s="1">
        <f>IFERROR(__xludf.DUMMYFUNCTION("""COMPUTED_VALUE"""),383.79)</f>
        <v>383.79</v>
      </c>
      <c r="AG129" s="2">
        <f>IFERROR(__xludf.DUMMYFUNCTION("""COMPUTED_VALUE"""),0.9897339690976836)</f>
        <v>0.9897339691</v>
      </c>
      <c r="AH129" s="1">
        <f>IFERROR(__xludf.DUMMYFUNCTION("""COMPUTED_VALUE"""),201.37)</f>
        <v>201.37</v>
      </c>
      <c r="AI129" s="1">
        <f>IFERROR(__xludf.DUMMYFUNCTION("""COMPUTED_VALUE"""),383.79)</f>
        <v>383.79</v>
      </c>
      <c r="AJ129" s="2">
        <f>IFERROR(__xludf.DUMMYFUNCTION("""COMPUTED_VALUE"""),0.5246879804059511)</f>
        <v>0.5246879804</v>
      </c>
      <c r="AK129" s="1">
        <f>IFERROR(__xludf.DUMMYFUNCTION("""COMPUTED_VALUE"""),649.4300000000001)</f>
        <v>649.43</v>
      </c>
      <c r="AL129" s="1">
        <f>IFERROR(__xludf.DUMMYFUNCTION("""COMPUTED_VALUE"""),1022.73)</f>
        <v>1022.73</v>
      </c>
      <c r="AM129" s="2">
        <f>IFERROR(__xludf.DUMMYFUNCTION("""COMPUTED_VALUE"""),0.6349965288981452)</f>
        <v>0.6349965289</v>
      </c>
      <c r="AN129" s="1">
        <f>IFERROR(__xludf.DUMMYFUNCTION("""COMPUTED_VALUE"""),32.96)</f>
        <v>32.96</v>
      </c>
      <c r="AO129" s="1">
        <f>IFERROR(__xludf.DUMMYFUNCTION("""COMPUTED_VALUE"""),0.0)</f>
        <v>0</v>
      </c>
      <c r="AP129" s="2" t="str">
        <f>IFERROR(__xludf.DUMMYFUNCTION("""COMPUTED_VALUE"""),"")</f>
        <v/>
      </c>
      <c r="AQ129" s="1">
        <f>IFERROR(__xludf.DUMMYFUNCTION("""COMPUTED_VALUE"""),143.25)</f>
        <v>143.25</v>
      </c>
      <c r="AR129" s="1">
        <f>IFERROR(__xludf.DUMMYFUNCTION("""COMPUTED_VALUE"""),0.0)</f>
        <v>0</v>
      </c>
      <c r="AS129" s="2" t="str">
        <f>IFERROR(__xludf.DUMMYFUNCTION("""COMPUTED_VALUE"""),"")</f>
        <v/>
      </c>
      <c r="AT129" s="1">
        <f>IFERROR(__xludf.DUMMYFUNCTION("""COMPUTED_VALUE"""),0.0)</f>
        <v>0</v>
      </c>
      <c r="AU129" s="1">
        <f>IFERROR(__xludf.DUMMYFUNCTION("""COMPUTED_VALUE"""),0.0)</f>
        <v>0</v>
      </c>
      <c r="AV129" s="2" t="str">
        <f>IFERROR(__xludf.DUMMYFUNCTION("""COMPUTED_VALUE"""),"")</f>
        <v/>
      </c>
      <c r="AW129" s="1">
        <f>IFERROR(__xludf.DUMMYFUNCTION("""COMPUTED_VALUE"""),0.0)</f>
        <v>0</v>
      </c>
      <c r="AX129" s="1">
        <f>IFERROR(__xludf.DUMMYFUNCTION("""COMPUTED_VALUE"""),0.0)</f>
        <v>0</v>
      </c>
      <c r="AY129" s="2" t="str">
        <f>IFERROR(__xludf.DUMMYFUNCTION("""COMPUTED_VALUE"""),"")</f>
        <v/>
      </c>
      <c r="AZ129" s="1">
        <f>IFERROR(__xludf.DUMMYFUNCTION("""COMPUTED_VALUE"""),176.21)</f>
        <v>176.21</v>
      </c>
      <c r="BA129" s="1">
        <f>IFERROR(__xludf.DUMMYFUNCTION("""COMPUTED_VALUE"""),0.0)</f>
        <v>0</v>
      </c>
      <c r="BB129" s="2" t="str">
        <f>IFERROR(__xludf.DUMMYFUNCTION("""COMPUTED_VALUE"""),"")</f>
        <v/>
      </c>
    </row>
    <row r="130">
      <c r="A130" s="1" t="str">
        <f>IFERROR(__xludf.DUMMYFUNCTION("""COMPUTED_VALUE"""),"63ea6e9452ad6968805ceba5")</f>
        <v>63ea6e9452ad6968805ceba5</v>
      </c>
      <c r="B130" s="1" t="str">
        <f>IFERROR(__xludf.DUMMYFUNCTION("""COMPUTED_VALUE"""),"Rud.Otto Meyer Technik GmbH &amp; Co.KG")</f>
        <v>Rud.Otto Meyer Technik GmbH &amp; Co.KG</v>
      </c>
      <c r="C130" s="1" t="str">
        <f>IFERROR(__xludf.DUMMYFUNCTION("""COMPUTED_VALUE"""),"andreas.grossheimann@al-enterprise.com, gunther.hahn@al-enterprise.com, samantha.hunt@al-enterprise.com, katrin.pfeiffer@al-enterprise.com, sibylle.klopfer@al-enterprise.com, igor.leko@al-enterprise.com")</f>
        <v>andreas.grossheimann@al-enterprise.com, gunther.hahn@al-enterprise.com, samantha.hunt@al-enterprise.com, katrin.pfeiffer@al-enterprise.com, sibylle.klopfer@al-enterprise.com, igor.leko@al-enterprise.com</v>
      </c>
      <c r="D130" s="1" t="str">
        <f>IFERROR(__xludf.DUMMYFUNCTION("""COMPUTED_VALUE"""),"germany")</f>
        <v>germany</v>
      </c>
      <c r="E130" s="1" t="str">
        <f>IFERROR(__xludf.DUMMYFUNCTION("""COMPUTED_VALUE"""),"DE")</f>
        <v>DE</v>
      </c>
      <c r="F130" s="1" t="str">
        <f>IFERROR(__xludf.DUMMYFUNCTION("""COMPUTED_VALUE"""),"expert_200")</f>
        <v>expert_200</v>
      </c>
      <c r="G130" s="1">
        <f>IFERROR(__xludf.DUMMYFUNCTION("""COMPUTED_VALUE"""),0.0)</f>
        <v>0</v>
      </c>
      <c r="H130" s="1">
        <f>IFERROR(__xludf.DUMMYFUNCTION("""COMPUTED_VALUE"""),1.0)</f>
        <v>1</v>
      </c>
      <c r="I130" s="2">
        <f>IFERROR(__xludf.DUMMYFUNCTION("""COMPUTED_VALUE"""),0.0)</f>
        <v>0</v>
      </c>
      <c r="J130" s="1">
        <f>IFERROR(__xludf.DUMMYFUNCTION("""COMPUTED_VALUE"""),47.38)</f>
        <v>47.38</v>
      </c>
      <c r="K130" s="1">
        <f>IFERROR(__xludf.DUMMYFUNCTION("""COMPUTED_VALUE"""),351.3)</f>
        <v>351.3</v>
      </c>
      <c r="L130" s="2">
        <f>IFERROR(__xludf.DUMMYFUNCTION("""COMPUTED_VALUE"""),0.13487048107031027)</f>
        <v>0.1348704811</v>
      </c>
      <c r="M130" s="1">
        <f>IFERROR(__xludf.DUMMYFUNCTION("""COMPUTED_VALUE"""),0.0)</f>
        <v>0</v>
      </c>
      <c r="N130" s="1">
        <f>IFERROR(__xludf.DUMMYFUNCTION("""COMPUTED_VALUE"""),0.0)</f>
        <v>0</v>
      </c>
      <c r="O130" s="2" t="str">
        <f>IFERROR(__xludf.DUMMYFUNCTION("""COMPUTED_VALUE"""),"")</f>
        <v/>
      </c>
      <c r="P130" s="1">
        <f>IFERROR(__xludf.DUMMYFUNCTION("""COMPUTED_VALUE"""),0.0)</f>
        <v>0</v>
      </c>
      <c r="Q130" s="1">
        <f>IFERROR(__xludf.DUMMYFUNCTION("""COMPUTED_VALUE"""),1.0)</f>
        <v>1</v>
      </c>
      <c r="R130" s="2">
        <f>IFERROR(__xludf.DUMMYFUNCTION("""COMPUTED_VALUE"""),0.0)</f>
        <v>0</v>
      </c>
      <c r="S130" s="1">
        <f>IFERROR(__xludf.DUMMYFUNCTION("""COMPUTED_VALUE"""),0.0)</f>
        <v>0</v>
      </c>
      <c r="T130" s="1">
        <f>IFERROR(__xludf.DUMMYFUNCTION("""COMPUTED_VALUE"""),1.0)</f>
        <v>1</v>
      </c>
      <c r="U130" s="2">
        <f>IFERROR(__xludf.DUMMYFUNCTION("""COMPUTED_VALUE"""),0.0)</f>
        <v>0</v>
      </c>
      <c r="V130" s="1">
        <f>IFERROR(__xludf.DUMMYFUNCTION("""COMPUTED_VALUE"""),0.0)</f>
        <v>0</v>
      </c>
      <c r="W130" s="1">
        <f>IFERROR(__xludf.DUMMYFUNCTION("""COMPUTED_VALUE"""),1.0)</f>
        <v>1</v>
      </c>
      <c r="X130" s="2">
        <f>IFERROR(__xludf.DUMMYFUNCTION("""COMPUTED_VALUE"""),0.0)</f>
        <v>0</v>
      </c>
      <c r="Y130" s="1">
        <f>IFERROR(__xludf.DUMMYFUNCTION("""COMPUTED_VALUE"""),12.87)</f>
        <v>12.87</v>
      </c>
      <c r="Z130" s="1">
        <f>IFERROR(__xludf.DUMMYFUNCTION("""COMPUTED_VALUE"""),0.0)</f>
        <v>0</v>
      </c>
      <c r="AA130" s="2" t="str">
        <f>IFERROR(__xludf.DUMMYFUNCTION("""COMPUTED_VALUE"""),"")</f>
        <v/>
      </c>
      <c r="AB130" s="1">
        <f>IFERROR(__xludf.DUMMYFUNCTION("""COMPUTED_VALUE"""),16.72)</f>
        <v>16.72</v>
      </c>
      <c r="AC130" s="1">
        <f>IFERROR(__xludf.DUMMYFUNCTION("""COMPUTED_VALUE"""),270.0)</f>
        <v>270</v>
      </c>
      <c r="AD130" s="2">
        <f>IFERROR(__xludf.DUMMYFUNCTION("""COMPUTED_VALUE"""),0.06192592592592592)</f>
        <v>0.06192592593</v>
      </c>
      <c r="AE130" s="1">
        <f>IFERROR(__xludf.DUMMYFUNCTION("""COMPUTED_VALUE"""),14.6)</f>
        <v>14.6</v>
      </c>
      <c r="AF130" s="1">
        <f>IFERROR(__xludf.DUMMYFUNCTION("""COMPUTED_VALUE"""),316.67)</f>
        <v>316.67</v>
      </c>
      <c r="AG130" s="2">
        <f>IFERROR(__xludf.DUMMYFUNCTION("""COMPUTED_VALUE"""),0.04610477784444374)</f>
        <v>0.04610477784</v>
      </c>
      <c r="AH130" s="1">
        <f>IFERROR(__xludf.DUMMYFUNCTION("""COMPUTED_VALUE"""),29.0)</f>
        <v>29</v>
      </c>
      <c r="AI130" s="1">
        <f>IFERROR(__xludf.DUMMYFUNCTION("""COMPUTED_VALUE"""),317.67)</f>
        <v>317.67</v>
      </c>
      <c r="AJ130" s="2">
        <f>IFERROR(__xludf.DUMMYFUNCTION("""COMPUTED_VALUE"""),0.09128970315106871)</f>
        <v>0.09128970315</v>
      </c>
      <c r="AK130" s="1">
        <f>IFERROR(__xludf.DUMMYFUNCTION("""COMPUTED_VALUE"""),73.19)</f>
        <v>73.19</v>
      </c>
      <c r="AL130" s="1">
        <f>IFERROR(__xludf.DUMMYFUNCTION("""COMPUTED_VALUE"""),904.3400000000001)</f>
        <v>904.34</v>
      </c>
      <c r="AM130" s="2">
        <f>IFERROR(__xludf.DUMMYFUNCTION("""COMPUTED_VALUE"""),0.08093195037264744)</f>
        <v>0.08093195037</v>
      </c>
      <c r="AN130" s="1">
        <f>IFERROR(__xludf.DUMMYFUNCTION("""COMPUTED_VALUE"""),0.0)</f>
        <v>0</v>
      </c>
      <c r="AO130" s="1">
        <f>IFERROR(__xludf.DUMMYFUNCTION("""COMPUTED_VALUE"""),0.0)</f>
        <v>0</v>
      </c>
      <c r="AP130" s="2" t="str">
        <f>IFERROR(__xludf.DUMMYFUNCTION("""COMPUTED_VALUE"""),"")</f>
        <v/>
      </c>
      <c r="AQ130" s="1">
        <f>IFERROR(__xludf.DUMMYFUNCTION("""COMPUTED_VALUE"""),0.0)</f>
        <v>0</v>
      </c>
      <c r="AR130" s="1">
        <f>IFERROR(__xludf.DUMMYFUNCTION("""COMPUTED_VALUE"""),0.0)</f>
        <v>0</v>
      </c>
      <c r="AS130" s="2" t="str">
        <f>IFERROR(__xludf.DUMMYFUNCTION("""COMPUTED_VALUE"""),"")</f>
        <v/>
      </c>
      <c r="AT130" s="1">
        <f>IFERROR(__xludf.DUMMYFUNCTION("""COMPUTED_VALUE"""),0.0)</f>
        <v>0</v>
      </c>
      <c r="AU130" s="1">
        <f>IFERROR(__xludf.DUMMYFUNCTION("""COMPUTED_VALUE"""),0.0)</f>
        <v>0</v>
      </c>
      <c r="AV130" s="2" t="str">
        <f>IFERROR(__xludf.DUMMYFUNCTION("""COMPUTED_VALUE"""),"")</f>
        <v/>
      </c>
      <c r="AW130" s="1">
        <f>IFERROR(__xludf.DUMMYFUNCTION("""COMPUTED_VALUE"""),0.0)</f>
        <v>0</v>
      </c>
      <c r="AX130" s="1">
        <f>IFERROR(__xludf.DUMMYFUNCTION("""COMPUTED_VALUE"""),0.0)</f>
        <v>0</v>
      </c>
      <c r="AY130" s="2" t="str">
        <f>IFERROR(__xludf.DUMMYFUNCTION("""COMPUTED_VALUE"""),"")</f>
        <v/>
      </c>
      <c r="AZ130" s="1">
        <f>IFERROR(__xludf.DUMMYFUNCTION("""COMPUTED_VALUE"""),0.0)</f>
        <v>0</v>
      </c>
      <c r="BA130" s="1">
        <f>IFERROR(__xludf.DUMMYFUNCTION("""COMPUTED_VALUE"""),0.0)</f>
        <v>0</v>
      </c>
      <c r="BB130" s="2" t="str">
        <f>IFERROR(__xludf.DUMMYFUNCTION("""COMPUTED_VALUE"""),"")</f>
        <v/>
      </c>
    </row>
    <row r="131">
      <c r="A131" s="1" t="str">
        <f>IFERROR(__xludf.DUMMYFUNCTION("""COMPUTED_VALUE"""),"63ced841c5c820531c267e6b")</f>
        <v>63ced841c5c820531c267e6b</v>
      </c>
      <c r="B131" s="1" t="str">
        <f>IFERROR(__xludf.DUMMYFUNCTION("""COMPUTED_VALUE"""),"S.S.P. TELECOMMUNICATIONS")</f>
        <v>S.S.P. TELECOMMUNICATIONS</v>
      </c>
      <c r="C131" s="1" t="str">
        <f>IFERROR(__xludf.DUMMYFUNCTION("""COMPUTED_VALUE"""),"margret.moyle@al-enterprise.com, charlotte.holtzer@al-enterprise.com, michael-j.francis@al-enterprise.com, tracy.dupree@al-enterprise.com")</f>
        <v>margret.moyle@al-enterprise.com, charlotte.holtzer@al-enterprise.com, michael-j.francis@al-enterprise.com, tracy.dupree@al-enterprise.com</v>
      </c>
      <c r="D131" s="1" t="str">
        <f>IFERROR(__xludf.DUMMYFUNCTION("""COMPUTED_VALUE"""),"americas")</f>
        <v>americas</v>
      </c>
      <c r="E131" s="1" t="str">
        <f>IFERROR(__xludf.DUMMYFUNCTION("""COMPUTED_VALUE"""),"CA")</f>
        <v>CA</v>
      </c>
      <c r="F131" s="1" t="str">
        <f>IFERROR(__xludf.DUMMYFUNCTION("""COMPUTED_VALUE"""),"expert_1000")</f>
        <v>expert_1000</v>
      </c>
      <c r="G131" s="1">
        <f>IFERROR(__xludf.DUMMYFUNCTION("""COMPUTED_VALUE"""),0.0)</f>
        <v>0</v>
      </c>
      <c r="H131" s="1">
        <f>IFERROR(__xludf.DUMMYFUNCTION("""COMPUTED_VALUE"""),1.0)</f>
        <v>1</v>
      </c>
      <c r="I131" s="2">
        <f>IFERROR(__xludf.DUMMYFUNCTION("""COMPUTED_VALUE"""),0.0)</f>
        <v>0</v>
      </c>
      <c r="J131" s="1">
        <f>IFERROR(__xludf.DUMMYFUNCTION("""COMPUTED_VALUE"""),1282.13)</f>
        <v>1282.13</v>
      </c>
      <c r="K131" s="1">
        <f>IFERROR(__xludf.DUMMYFUNCTION("""COMPUTED_VALUE"""),2800.78)</f>
        <v>2800.78</v>
      </c>
      <c r="L131" s="2">
        <f>IFERROR(__xludf.DUMMYFUNCTION("""COMPUTED_VALUE"""),0.4577760481008862)</f>
        <v>0.4577760481</v>
      </c>
      <c r="M131" s="1">
        <f>IFERROR(__xludf.DUMMYFUNCTION("""COMPUTED_VALUE"""),143.0)</f>
        <v>143</v>
      </c>
      <c r="N131" s="1">
        <f>IFERROR(__xludf.DUMMYFUNCTION("""COMPUTED_VALUE"""),59.0)</f>
        <v>59</v>
      </c>
      <c r="O131" s="2">
        <f>IFERROR(__xludf.DUMMYFUNCTION("""COMPUTED_VALUE"""),2.4237288135593222)</f>
        <v>2.423728814</v>
      </c>
      <c r="P131" s="1">
        <f>IFERROR(__xludf.DUMMYFUNCTION("""COMPUTED_VALUE"""),1.0)</f>
        <v>1</v>
      </c>
      <c r="Q131" s="1">
        <f>IFERROR(__xludf.DUMMYFUNCTION("""COMPUTED_VALUE"""),1.0)</f>
        <v>1</v>
      </c>
      <c r="R131" s="2">
        <f>IFERROR(__xludf.DUMMYFUNCTION("""COMPUTED_VALUE"""),1.0)</f>
        <v>1</v>
      </c>
      <c r="S131" s="1">
        <f>IFERROR(__xludf.DUMMYFUNCTION("""COMPUTED_VALUE"""),1.0)</f>
        <v>1</v>
      </c>
      <c r="T131" s="1">
        <f>IFERROR(__xludf.DUMMYFUNCTION("""COMPUTED_VALUE"""),1.0)</f>
        <v>1</v>
      </c>
      <c r="U131" s="2">
        <f>IFERROR(__xludf.DUMMYFUNCTION("""COMPUTED_VALUE"""),1.0)</f>
        <v>1</v>
      </c>
      <c r="V131" s="1">
        <f>IFERROR(__xludf.DUMMYFUNCTION("""COMPUTED_VALUE"""),0.0)</f>
        <v>0</v>
      </c>
      <c r="W131" s="1">
        <f>IFERROR(__xludf.DUMMYFUNCTION("""COMPUTED_VALUE"""),1.0)</f>
        <v>1</v>
      </c>
      <c r="X131" s="2">
        <f>IFERROR(__xludf.DUMMYFUNCTION("""COMPUTED_VALUE"""),0.0)</f>
        <v>0</v>
      </c>
      <c r="Y131" s="1">
        <f>IFERROR(__xludf.DUMMYFUNCTION("""COMPUTED_VALUE"""),19.17)</f>
        <v>19.17</v>
      </c>
      <c r="Z131" s="1">
        <f>IFERROR(__xludf.DUMMYFUNCTION("""COMPUTED_VALUE"""),0.0)</f>
        <v>0</v>
      </c>
      <c r="AA131" s="2" t="str">
        <f>IFERROR(__xludf.DUMMYFUNCTION("""COMPUTED_VALUE"""),"")</f>
        <v/>
      </c>
      <c r="AB131" s="1">
        <f>IFERROR(__xludf.DUMMYFUNCTION("""COMPUTED_VALUE"""),13.19)</f>
        <v>13.19</v>
      </c>
      <c r="AC131" s="1">
        <f>IFERROR(__xludf.DUMMYFUNCTION("""COMPUTED_VALUE"""),2336.66)</f>
        <v>2336.66</v>
      </c>
      <c r="AD131" s="2">
        <f>IFERROR(__xludf.DUMMYFUNCTION("""COMPUTED_VALUE"""),0.0056448092576583675)</f>
        <v>0.005644809258</v>
      </c>
      <c r="AE131" s="1">
        <f>IFERROR(__xludf.DUMMYFUNCTION("""COMPUTED_VALUE"""),6370.78)</f>
        <v>6370.78</v>
      </c>
      <c r="AF131" s="1">
        <f>IFERROR(__xludf.DUMMYFUNCTION("""COMPUTED_VALUE"""),1400.0)</f>
        <v>1400</v>
      </c>
      <c r="AG131" s="2">
        <f>IFERROR(__xludf.DUMMYFUNCTION("""COMPUTED_VALUE"""),4.5505571428571425)</f>
        <v>4.550557143</v>
      </c>
      <c r="AH131" s="1">
        <f>IFERROR(__xludf.DUMMYFUNCTION("""COMPUTED_VALUE"""),280.83)</f>
        <v>280.83</v>
      </c>
      <c r="AI131" s="1">
        <f>IFERROR(__xludf.DUMMYFUNCTION("""COMPUTED_VALUE"""),1716.67)</f>
        <v>1716.67</v>
      </c>
      <c r="AJ131" s="2">
        <f>IFERROR(__xludf.DUMMYFUNCTION("""COMPUTED_VALUE"""),0.16358997361170172)</f>
        <v>0.1635899736</v>
      </c>
      <c r="AK131" s="1">
        <f>IFERROR(__xludf.DUMMYFUNCTION("""COMPUTED_VALUE"""),6683.969999999999)</f>
        <v>6683.97</v>
      </c>
      <c r="AL131" s="1">
        <f>IFERROR(__xludf.DUMMYFUNCTION("""COMPUTED_VALUE"""),5453.33)</f>
        <v>5453.33</v>
      </c>
      <c r="AM131" s="2">
        <f>IFERROR(__xludf.DUMMYFUNCTION("""COMPUTED_VALUE"""),1.2256676196012344)</f>
        <v>1.22566762</v>
      </c>
      <c r="AN131" s="1">
        <f>IFERROR(__xludf.DUMMYFUNCTION("""COMPUTED_VALUE"""),186.71)</f>
        <v>186.71</v>
      </c>
      <c r="AO131" s="1">
        <f>IFERROR(__xludf.DUMMYFUNCTION("""COMPUTED_VALUE"""),0.0)</f>
        <v>0</v>
      </c>
      <c r="AP131" s="2" t="str">
        <f>IFERROR(__xludf.DUMMYFUNCTION("""COMPUTED_VALUE"""),"")</f>
        <v/>
      </c>
      <c r="AQ131" s="1">
        <f>IFERROR(__xludf.DUMMYFUNCTION("""COMPUTED_VALUE"""),125.66)</f>
        <v>125.66</v>
      </c>
      <c r="AR131" s="1">
        <f>IFERROR(__xludf.DUMMYFUNCTION("""COMPUTED_VALUE"""),0.0)</f>
        <v>0</v>
      </c>
      <c r="AS131" s="2" t="str">
        <f>IFERROR(__xludf.DUMMYFUNCTION("""COMPUTED_VALUE"""),"")</f>
        <v/>
      </c>
      <c r="AT131" s="1">
        <f>IFERROR(__xludf.DUMMYFUNCTION("""COMPUTED_VALUE"""),0.38)</f>
        <v>0.38</v>
      </c>
      <c r="AU131" s="1">
        <f>IFERROR(__xludf.DUMMYFUNCTION("""COMPUTED_VALUE"""),0.0)</f>
        <v>0</v>
      </c>
      <c r="AV131" s="2" t="str">
        <f>IFERROR(__xludf.DUMMYFUNCTION("""COMPUTED_VALUE"""),"")</f>
        <v/>
      </c>
      <c r="AW131" s="1">
        <f>IFERROR(__xludf.DUMMYFUNCTION("""COMPUTED_VALUE"""),15.82)</f>
        <v>15.82</v>
      </c>
      <c r="AX131" s="1">
        <f>IFERROR(__xludf.DUMMYFUNCTION("""COMPUTED_VALUE"""),0.0)</f>
        <v>0</v>
      </c>
      <c r="AY131" s="2" t="str">
        <f>IFERROR(__xludf.DUMMYFUNCTION("""COMPUTED_VALUE"""),"")</f>
        <v/>
      </c>
      <c r="AZ131" s="1">
        <f>IFERROR(__xludf.DUMMYFUNCTION("""COMPUTED_VALUE"""),328.57)</f>
        <v>328.57</v>
      </c>
      <c r="BA131" s="1">
        <f>IFERROR(__xludf.DUMMYFUNCTION("""COMPUTED_VALUE"""),0.0)</f>
        <v>0</v>
      </c>
      <c r="BB131" s="2" t="str">
        <f>IFERROR(__xludf.DUMMYFUNCTION("""COMPUTED_VALUE"""),"")</f>
        <v/>
      </c>
    </row>
    <row r="132">
      <c r="A132" s="1" t="str">
        <f>IFERROR(__xludf.DUMMYFUNCTION("""COMPUTED_VALUE"""),"6552303b4da000b9ba0cd0b3")</f>
        <v>6552303b4da000b9ba0cd0b3</v>
      </c>
      <c r="B132" s="1" t="str">
        <f>IFERROR(__xludf.DUMMYFUNCTION("""COMPUTED_VALUE"""),"Seal telecom comercio e servicos")</f>
        <v>Seal telecom comercio e servicos</v>
      </c>
      <c r="C132" s="1" t="str">
        <f>IFERROR(__xludf.DUMMYFUNCTION("""COMPUTED_VALUE"""),"philippe.girard@al-enterprise.com, rui.silva@al-enterprise.com, paola.sa@al-enterprise.com, nuno.ribas@al-enterprise.com, carolina.rodriguez@al-enterprise.com")</f>
        <v>philippe.girard@al-enterprise.com, rui.silva@al-enterprise.com, paola.sa@al-enterprise.com, nuno.ribas@al-enterprise.com, carolina.rodriguez@al-enterprise.com</v>
      </c>
      <c r="D132" s="1" t="str">
        <f>IFERROR(__xludf.DUMMYFUNCTION("""COMPUTED_VALUE"""),"americas")</f>
        <v>americas</v>
      </c>
      <c r="E132" s="1" t="str">
        <f>IFERROR(__xludf.DUMMYFUNCTION("""COMPUTED_VALUE"""),"PE")</f>
        <v>PE</v>
      </c>
      <c r="F132" s="1" t="str">
        <f>IFERROR(__xludf.DUMMYFUNCTION("""COMPUTED_VALUE"""),"expert_200")</f>
        <v>expert_200</v>
      </c>
      <c r="G132" s="1">
        <f>IFERROR(__xludf.DUMMYFUNCTION("""COMPUTED_VALUE"""),0.0)</f>
        <v>0</v>
      </c>
      <c r="H132" s="1">
        <f>IFERROR(__xludf.DUMMYFUNCTION("""COMPUTED_VALUE"""),1.0)</f>
        <v>1</v>
      </c>
      <c r="I132" s="2">
        <f>IFERROR(__xludf.DUMMYFUNCTION("""COMPUTED_VALUE"""),0.0)</f>
        <v>0</v>
      </c>
      <c r="J132" s="1">
        <f>IFERROR(__xludf.DUMMYFUNCTION("""COMPUTED_VALUE"""),0.0)</f>
        <v>0</v>
      </c>
      <c r="K132" s="1">
        <f>IFERROR(__xludf.DUMMYFUNCTION("""COMPUTED_VALUE"""),0.0)</f>
        <v>0</v>
      </c>
      <c r="L132" s="2" t="str">
        <f>IFERROR(__xludf.DUMMYFUNCTION("""COMPUTED_VALUE"""),"")</f>
        <v/>
      </c>
      <c r="M132" s="1">
        <f>IFERROR(__xludf.DUMMYFUNCTION("""COMPUTED_VALUE"""),5.0)</f>
        <v>5</v>
      </c>
      <c r="N132" s="1">
        <f>IFERROR(__xludf.DUMMYFUNCTION("""COMPUTED_VALUE"""),62.0)</f>
        <v>62</v>
      </c>
      <c r="O132" s="2">
        <f>IFERROR(__xludf.DUMMYFUNCTION("""COMPUTED_VALUE"""),0.08064516129032258)</f>
        <v>0.08064516129</v>
      </c>
      <c r="P132" s="1">
        <f>IFERROR(__xludf.DUMMYFUNCTION("""COMPUTED_VALUE"""),0.0)</f>
        <v>0</v>
      </c>
      <c r="Q132" s="1">
        <f>IFERROR(__xludf.DUMMYFUNCTION("""COMPUTED_VALUE"""),1.0)</f>
        <v>1</v>
      </c>
      <c r="R132" s="2">
        <f>IFERROR(__xludf.DUMMYFUNCTION("""COMPUTED_VALUE"""),0.0)</f>
        <v>0</v>
      </c>
      <c r="S132" s="1">
        <f>IFERROR(__xludf.DUMMYFUNCTION("""COMPUTED_VALUE"""),0.0)</f>
        <v>0</v>
      </c>
      <c r="T132" s="1">
        <f>IFERROR(__xludf.DUMMYFUNCTION("""COMPUTED_VALUE"""),1.0)</f>
        <v>1</v>
      </c>
      <c r="U132" s="2">
        <f>IFERROR(__xludf.DUMMYFUNCTION("""COMPUTED_VALUE"""),0.0)</f>
        <v>0</v>
      </c>
      <c r="V132" s="1">
        <f>IFERROR(__xludf.DUMMYFUNCTION("""COMPUTED_VALUE"""),0.0)</f>
        <v>0</v>
      </c>
      <c r="W132" s="1">
        <f>IFERROR(__xludf.DUMMYFUNCTION("""COMPUTED_VALUE"""),1.0)</f>
        <v>1</v>
      </c>
      <c r="X132" s="2">
        <f>IFERROR(__xludf.DUMMYFUNCTION("""COMPUTED_VALUE"""),0.0)</f>
        <v>0</v>
      </c>
      <c r="Y132" s="1">
        <f>IFERROR(__xludf.DUMMYFUNCTION("""COMPUTED_VALUE"""),5.19)</f>
        <v>5.19</v>
      </c>
      <c r="Z132" s="1">
        <f>IFERROR(__xludf.DUMMYFUNCTION("""COMPUTED_VALUE"""),0.0)</f>
        <v>0</v>
      </c>
      <c r="AA132" s="2" t="str">
        <f>IFERROR(__xludf.DUMMYFUNCTION("""COMPUTED_VALUE"""),"")</f>
        <v/>
      </c>
      <c r="AB132" s="1">
        <f>IFERROR(__xludf.DUMMYFUNCTION("""COMPUTED_VALUE"""),5.19)</f>
        <v>5.19</v>
      </c>
      <c r="AC132" s="1">
        <f>IFERROR(__xludf.DUMMYFUNCTION("""COMPUTED_VALUE"""),0.0)</f>
        <v>0</v>
      </c>
      <c r="AD132" s="2" t="str">
        <f>IFERROR(__xludf.DUMMYFUNCTION("""COMPUTED_VALUE"""),"")</f>
        <v/>
      </c>
      <c r="AE132" s="1">
        <f>IFERROR(__xludf.DUMMYFUNCTION("""COMPUTED_VALUE"""),5.19)</f>
        <v>5.19</v>
      </c>
      <c r="AF132" s="1">
        <f>IFERROR(__xludf.DUMMYFUNCTION("""COMPUTED_VALUE"""),0.0)</f>
        <v>0</v>
      </c>
      <c r="AG132" s="2" t="str">
        <f>IFERROR(__xludf.DUMMYFUNCTION("""COMPUTED_VALUE"""),"")</f>
        <v/>
      </c>
      <c r="AH132" s="1">
        <f>IFERROR(__xludf.DUMMYFUNCTION("""COMPUTED_VALUE"""),0.0)</f>
        <v>0</v>
      </c>
      <c r="AI132" s="1">
        <f>IFERROR(__xludf.DUMMYFUNCTION("""COMPUTED_VALUE"""),0.0)</f>
        <v>0</v>
      </c>
      <c r="AJ132" s="2" t="str">
        <f>IFERROR(__xludf.DUMMYFUNCTION("""COMPUTED_VALUE"""),"")</f>
        <v/>
      </c>
      <c r="AK132" s="1">
        <f>IFERROR(__xludf.DUMMYFUNCTION("""COMPUTED_VALUE"""),15.57)</f>
        <v>15.57</v>
      </c>
      <c r="AL132" s="1">
        <f>IFERROR(__xludf.DUMMYFUNCTION("""COMPUTED_VALUE"""),0.0)</f>
        <v>0</v>
      </c>
      <c r="AM132" s="2" t="str">
        <f>IFERROR(__xludf.DUMMYFUNCTION("""COMPUTED_VALUE"""),"")</f>
        <v/>
      </c>
      <c r="AN132" s="1">
        <f>IFERROR(__xludf.DUMMYFUNCTION("""COMPUTED_VALUE"""),0.0)</f>
        <v>0</v>
      </c>
      <c r="AO132" s="1">
        <f>IFERROR(__xludf.DUMMYFUNCTION("""COMPUTED_VALUE"""),0.0)</f>
        <v>0</v>
      </c>
      <c r="AP132" s="2" t="str">
        <f>IFERROR(__xludf.DUMMYFUNCTION("""COMPUTED_VALUE"""),"")</f>
        <v/>
      </c>
      <c r="AQ132" s="1">
        <f>IFERROR(__xludf.DUMMYFUNCTION("""COMPUTED_VALUE"""),0.0)</f>
        <v>0</v>
      </c>
      <c r="AR132" s="1">
        <f>IFERROR(__xludf.DUMMYFUNCTION("""COMPUTED_VALUE"""),0.0)</f>
        <v>0</v>
      </c>
      <c r="AS132" s="2" t="str">
        <f>IFERROR(__xludf.DUMMYFUNCTION("""COMPUTED_VALUE"""),"")</f>
        <v/>
      </c>
      <c r="AT132" s="1">
        <f>IFERROR(__xludf.DUMMYFUNCTION("""COMPUTED_VALUE"""),0.0)</f>
        <v>0</v>
      </c>
      <c r="AU132" s="1">
        <f>IFERROR(__xludf.DUMMYFUNCTION("""COMPUTED_VALUE"""),0.0)</f>
        <v>0</v>
      </c>
      <c r="AV132" s="2" t="str">
        <f>IFERROR(__xludf.DUMMYFUNCTION("""COMPUTED_VALUE"""),"")</f>
        <v/>
      </c>
      <c r="AW132" s="1">
        <f>IFERROR(__xludf.DUMMYFUNCTION("""COMPUTED_VALUE"""),0.0)</f>
        <v>0</v>
      </c>
      <c r="AX132" s="1">
        <f>IFERROR(__xludf.DUMMYFUNCTION("""COMPUTED_VALUE"""),0.0)</f>
        <v>0</v>
      </c>
      <c r="AY132" s="2" t="str">
        <f>IFERROR(__xludf.DUMMYFUNCTION("""COMPUTED_VALUE"""),"")</f>
        <v/>
      </c>
      <c r="AZ132" s="1">
        <f>IFERROR(__xludf.DUMMYFUNCTION("""COMPUTED_VALUE"""),0.0)</f>
        <v>0</v>
      </c>
      <c r="BA132" s="1">
        <f>IFERROR(__xludf.DUMMYFUNCTION("""COMPUTED_VALUE"""),0.0)</f>
        <v>0</v>
      </c>
      <c r="BB132" s="2" t="str">
        <f>IFERROR(__xludf.DUMMYFUNCTION("""COMPUTED_VALUE"""),"")</f>
        <v/>
      </c>
    </row>
    <row r="133">
      <c r="A133" s="1" t="str">
        <f>IFERROR(__xludf.DUMMYFUNCTION("""COMPUTED_VALUE"""),"65dcd9b9019929778f07c46d")</f>
        <v>65dcd9b9019929778f07c46d</v>
      </c>
      <c r="B133" s="1" t="str">
        <f>IFERROR(__xludf.DUMMYFUNCTION("""COMPUTED_VALUE"""),"SEAL TELECOM SOLUCIONES DE INTEGRACION CHILE SPA")</f>
        <v>SEAL TELECOM SOLUCIONES DE INTEGRACION CHILE SPA</v>
      </c>
      <c r="C133" s="1" t="str">
        <f>IFERROR(__xludf.DUMMYFUNCTION("""COMPUTED_VALUE"""),"philippe.girard@al-enterprise.com, rui.silva@al-enterprise.com, luis.arriagada@al-enterprise.com")</f>
        <v>philippe.girard@al-enterprise.com, rui.silva@al-enterprise.com, luis.arriagada@al-enterprise.com</v>
      </c>
      <c r="D133" s="1" t="str">
        <f>IFERROR(__xludf.DUMMYFUNCTION("""COMPUTED_VALUE"""),"americas")</f>
        <v>americas</v>
      </c>
      <c r="E133" s="1" t="str">
        <f>IFERROR(__xludf.DUMMYFUNCTION("""COMPUTED_VALUE"""),"CL")</f>
        <v>CL</v>
      </c>
      <c r="F133" s="1" t="str">
        <f>IFERROR(__xludf.DUMMYFUNCTION("""COMPUTED_VALUE"""),"expert_200")</f>
        <v>expert_200</v>
      </c>
      <c r="G133" s="1">
        <f>IFERROR(__xludf.DUMMYFUNCTION("""COMPUTED_VALUE"""),0.0)</f>
        <v>0</v>
      </c>
      <c r="H133" s="1">
        <f>IFERROR(__xludf.DUMMYFUNCTION("""COMPUTED_VALUE"""),1.0)</f>
        <v>1</v>
      </c>
      <c r="I133" s="2">
        <f>IFERROR(__xludf.DUMMYFUNCTION("""COMPUTED_VALUE"""),0.0)</f>
        <v>0</v>
      </c>
      <c r="J133" s="1">
        <f>IFERROR(__xludf.DUMMYFUNCTION("""COMPUTED_VALUE"""),0.0)</f>
        <v>0</v>
      </c>
      <c r="K133" s="1">
        <f>IFERROR(__xludf.DUMMYFUNCTION("""COMPUTED_VALUE"""),0.0)</f>
        <v>0</v>
      </c>
      <c r="L133" s="2" t="str">
        <f>IFERROR(__xludf.DUMMYFUNCTION("""COMPUTED_VALUE"""),"")</f>
        <v/>
      </c>
      <c r="M133" s="1">
        <f>IFERROR(__xludf.DUMMYFUNCTION("""COMPUTED_VALUE"""),0.0)</f>
        <v>0</v>
      </c>
      <c r="N133" s="1">
        <f>IFERROR(__xludf.DUMMYFUNCTION("""COMPUTED_VALUE"""),0.0)</f>
        <v>0</v>
      </c>
      <c r="O133" s="2" t="str">
        <f>IFERROR(__xludf.DUMMYFUNCTION("""COMPUTED_VALUE"""),"")</f>
        <v/>
      </c>
      <c r="P133" s="1">
        <f>IFERROR(__xludf.DUMMYFUNCTION("""COMPUTED_VALUE"""),0.0)</f>
        <v>0</v>
      </c>
      <c r="Q133" s="1">
        <f>IFERROR(__xludf.DUMMYFUNCTION("""COMPUTED_VALUE"""),1.0)</f>
        <v>1</v>
      </c>
      <c r="R133" s="2">
        <f>IFERROR(__xludf.DUMMYFUNCTION("""COMPUTED_VALUE"""),0.0)</f>
        <v>0</v>
      </c>
      <c r="S133" s="1">
        <f>IFERROR(__xludf.DUMMYFUNCTION("""COMPUTED_VALUE"""),0.0)</f>
        <v>0</v>
      </c>
      <c r="T133" s="1">
        <f>IFERROR(__xludf.DUMMYFUNCTION("""COMPUTED_VALUE"""),1.0)</f>
        <v>1</v>
      </c>
      <c r="U133" s="2">
        <f>IFERROR(__xludf.DUMMYFUNCTION("""COMPUTED_VALUE"""),0.0)</f>
        <v>0</v>
      </c>
      <c r="V133" s="1">
        <f>IFERROR(__xludf.DUMMYFUNCTION("""COMPUTED_VALUE"""),0.0)</f>
        <v>0</v>
      </c>
      <c r="W133" s="1">
        <f>IFERROR(__xludf.DUMMYFUNCTION("""COMPUTED_VALUE"""),1.0)</f>
        <v>1</v>
      </c>
      <c r="X133" s="2">
        <f>IFERROR(__xludf.DUMMYFUNCTION("""COMPUTED_VALUE"""),0.0)</f>
        <v>0</v>
      </c>
      <c r="Y133" s="1">
        <f>IFERROR(__xludf.DUMMYFUNCTION("""COMPUTED_VALUE"""),0.0)</f>
        <v>0</v>
      </c>
      <c r="Z133" s="1">
        <f>IFERROR(__xludf.DUMMYFUNCTION("""COMPUTED_VALUE"""),0.0)</f>
        <v>0</v>
      </c>
      <c r="AA133" s="2" t="str">
        <f>IFERROR(__xludf.DUMMYFUNCTION("""COMPUTED_VALUE"""),"")</f>
        <v/>
      </c>
      <c r="AB133" s="1">
        <f>IFERROR(__xludf.DUMMYFUNCTION("""COMPUTED_VALUE"""),0.0)</f>
        <v>0</v>
      </c>
      <c r="AC133" s="1">
        <f>IFERROR(__xludf.DUMMYFUNCTION("""COMPUTED_VALUE"""),0.0)</f>
        <v>0</v>
      </c>
      <c r="AD133" s="2" t="str">
        <f>IFERROR(__xludf.DUMMYFUNCTION("""COMPUTED_VALUE"""),"")</f>
        <v/>
      </c>
      <c r="AE133" s="1">
        <f>IFERROR(__xludf.DUMMYFUNCTION("""COMPUTED_VALUE"""),0.0)</f>
        <v>0</v>
      </c>
      <c r="AF133" s="1">
        <f>IFERROR(__xludf.DUMMYFUNCTION("""COMPUTED_VALUE"""),0.0)</f>
        <v>0</v>
      </c>
      <c r="AG133" s="2" t="str">
        <f>IFERROR(__xludf.DUMMYFUNCTION("""COMPUTED_VALUE"""),"")</f>
        <v/>
      </c>
      <c r="AH133" s="1">
        <f>IFERROR(__xludf.DUMMYFUNCTION("""COMPUTED_VALUE"""),0.0)</f>
        <v>0</v>
      </c>
      <c r="AI133" s="1">
        <f>IFERROR(__xludf.DUMMYFUNCTION("""COMPUTED_VALUE"""),0.0)</f>
        <v>0</v>
      </c>
      <c r="AJ133" s="2" t="str">
        <f>IFERROR(__xludf.DUMMYFUNCTION("""COMPUTED_VALUE"""),"")</f>
        <v/>
      </c>
      <c r="AK133" s="1">
        <f>IFERROR(__xludf.DUMMYFUNCTION("""COMPUTED_VALUE"""),0.0)</f>
        <v>0</v>
      </c>
      <c r="AL133" s="1">
        <f>IFERROR(__xludf.DUMMYFUNCTION("""COMPUTED_VALUE"""),0.0)</f>
        <v>0</v>
      </c>
      <c r="AM133" s="2" t="str">
        <f>IFERROR(__xludf.DUMMYFUNCTION("""COMPUTED_VALUE"""),"")</f>
        <v/>
      </c>
      <c r="AN133" s="1">
        <f>IFERROR(__xludf.DUMMYFUNCTION("""COMPUTED_VALUE"""),0.0)</f>
        <v>0</v>
      </c>
      <c r="AO133" s="1">
        <f>IFERROR(__xludf.DUMMYFUNCTION("""COMPUTED_VALUE"""),0.0)</f>
        <v>0</v>
      </c>
      <c r="AP133" s="2" t="str">
        <f>IFERROR(__xludf.DUMMYFUNCTION("""COMPUTED_VALUE"""),"")</f>
        <v/>
      </c>
      <c r="AQ133" s="1">
        <f>IFERROR(__xludf.DUMMYFUNCTION("""COMPUTED_VALUE"""),0.0)</f>
        <v>0</v>
      </c>
      <c r="AR133" s="1">
        <f>IFERROR(__xludf.DUMMYFUNCTION("""COMPUTED_VALUE"""),0.0)</f>
        <v>0</v>
      </c>
      <c r="AS133" s="2" t="str">
        <f>IFERROR(__xludf.DUMMYFUNCTION("""COMPUTED_VALUE"""),"")</f>
        <v/>
      </c>
      <c r="AT133" s="1">
        <f>IFERROR(__xludf.DUMMYFUNCTION("""COMPUTED_VALUE"""),0.0)</f>
        <v>0</v>
      </c>
      <c r="AU133" s="1">
        <f>IFERROR(__xludf.DUMMYFUNCTION("""COMPUTED_VALUE"""),0.0)</f>
        <v>0</v>
      </c>
      <c r="AV133" s="2" t="str">
        <f>IFERROR(__xludf.DUMMYFUNCTION("""COMPUTED_VALUE"""),"")</f>
        <v/>
      </c>
      <c r="AW133" s="1">
        <f>IFERROR(__xludf.DUMMYFUNCTION("""COMPUTED_VALUE"""),0.0)</f>
        <v>0</v>
      </c>
      <c r="AX133" s="1">
        <f>IFERROR(__xludf.DUMMYFUNCTION("""COMPUTED_VALUE"""),0.0)</f>
        <v>0</v>
      </c>
      <c r="AY133" s="2" t="str">
        <f>IFERROR(__xludf.DUMMYFUNCTION("""COMPUTED_VALUE"""),"")</f>
        <v/>
      </c>
      <c r="AZ133" s="1">
        <f>IFERROR(__xludf.DUMMYFUNCTION("""COMPUTED_VALUE"""),0.0)</f>
        <v>0</v>
      </c>
      <c r="BA133" s="1">
        <f>IFERROR(__xludf.DUMMYFUNCTION("""COMPUTED_VALUE"""),0.0)</f>
        <v>0</v>
      </c>
      <c r="BB133" s="2" t="str">
        <f>IFERROR(__xludf.DUMMYFUNCTION("""COMPUTED_VALUE"""),"")</f>
        <v/>
      </c>
    </row>
    <row r="134">
      <c r="A134" s="1" t="str">
        <f>IFERROR(__xludf.DUMMYFUNCTION("""COMPUTED_VALUE"""),"63ea6e9352ad6968805ceb43")</f>
        <v>63ea6e9352ad6968805ceb43</v>
      </c>
      <c r="B134" s="1" t="str">
        <f>IFERROR(__xludf.DUMMYFUNCTION("""COMPUTED_VALUE"""),"SIEVERS-SNC Computer &amp;")</f>
        <v>SIEVERS-SNC Computer &amp;</v>
      </c>
      <c r="C134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134" s="1" t="str">
        <f>IFERROR(__xludf.DUMMYFUNCTION("""COMPUTED_VALUE"""),"germany")</f>
        <v>germany</v>
      </c>
      <c r="E134" s="1" t="str">
        <f>IFERROR(__xludf.DUMMYFUNCTION("""COMPUTED_VALUE"""),"DE")</f>
        <v>DE</v>
      </c>
      <c r="F134" s="1" t="str">
        <f>IFERROR(__xludf.DUMMYFUNCTION("""COMPUTED_VALUE"""),"expert_200")</f>
        <v>expert_200</v>
      </c>
      <c r="G134" s="1">
        <f>IFERROR(__xludf.DUMMYFUNCTION("""COMPUTED_VALUE"""),1.0)</f>
        <v>1</v>
      </c>
      <c r="H134" s="1">
        <f>IFERROR(__xludf.DUMMYFUNCTION("""COMPUTED_VALUE"""),1.0)</f>
        <v>1</v>
      </c>
      <c r="I134" s="2">
        <f>IFERROR(__xludf.DUMMYFUNCTION("""COMPUTED_VALUE"""),1.0)</f>
        <v>1</v>
      </c>
      <c r="J134" s="1">
        <f>IFERROR(__xludf.DUMMYFUNCTION("""COMPUTED_VALUE"""),110.87)</f>
        <v>110.87</v>
      </c>
      <c r="K134" s="1">
        <f>IFERROR(__xludf.DUMMYFUNCTION("""COMPUTED_VALUE"""),248.0)</f>
        <v>248</v>
      </c>
      <c r="L134" s="2">
        <f>IFERROR(__xludf.DUMMYFUNCTION("""COMPUTED_VALUE"""),0.44705645161290325)</f>
        <v>0.4470564516</v>
      </c>
      <c r="M134" s="1">
        <f>IFERROR(__xludf.DUMMYFUNCTION("""COMPUTED_VALUE"""),11.0)</f>
        <v>11</v>
      </c>
      <c r="N134" s="1">
        <f>IFERROR(__xludf.DUMMYFUNCTION("""COMPUTED_VALUE"""),52.0)</f>
        <v>52</v>
      </c>
      <c r="O134" s="2">
        <f>IFERROR(__xludf.DUMMYFUNCTION("""COMPUTED_VALUE"""),0.21153846153846154)</f>
        <v>0.2115384615</v>
      </c>
      <c r="P134" s="1">
        <f>IFERROR(__xludf.DUMMYFUNCTION("""COMPUTED_VALUE"""),0.0)</f>
        <v>0</v>
      </c>
      <c r="Q134" s="1">
        <f>IFERROR(__xludf.DUMMYFUNCTION("""COMPUTED_VALUE"""),1.0)</f>
        <v>1</v>
      </c>
      <c r="R134" s="2">
        <f>IFERROR(__xludf.DUMMYFUNCTION("""COMPUTED_VALUE"""),0.0)</f>
        <v>0</v>
      </c>
      <c r="S134" s="1">
        <f>IFERROR(__xludf.DUMMYFUNCTION("""COMPUTED_VALUE"""),0.0)</f>
        <v>0</v>
      </c>
      <c r="T134" s="1">
        <f>IFERROR(__xludf.DUMMYFUNCTION("""COMPUTED_VALUE"""),1.0)</f>
        <v>1</v>
      </c>
      <c r="U134" s="2">
        <f>IFERROR(__xludf.DUMMYFUNCTION("""COMPUTED_VALUE"""),0.0)</f>
        <v>0</v>
      </c>
      <c r="V134" s="1">
        <f>IFERROR(__xludf.DUMMYFUNCTION("""COMPUTED_VALUE"""),0.0)</f>
        <v>0</v>
      </c>
      <c r="W134" s="1">
        <f>IFERROR(__xludf.DUMMYFUNCTION("""COMPUTED_VALUE"""),1.0)</f>
        <v>1</v>
      </c>
      <c r="X134" s="2">
        <f>IFERROR(__xludf.DUMMYFUNCTION("""COMPUTED_VALUE"""),0.0)</f>
        <v>0</v>
      </c>
      <c r="Y134" s="1">
        <f>IFERROR(__xludf.DUMMYFUNCTION("""COMPUTED_VALUE"""),7.67)</f>
        <v>7.67</v>
      </c>
      <c r="Z134" s="1">
        <f>IFERROR(__xludf.DUMMYFUNCTION("""COMPUTED_VALUE"""),0.0)</f>
        <v>0</v>
      </c>
      <c r="AA134" s="2" t="str">
        <f>IFERROR(__xludf.DUMMYFUNCTION("""COMPUTED_VALUE"""),"")</f>
        <v/>
      </c>
      <c r="AB134" s="1">
        <f>IFERROR(__xludf.DUMMYFUNCTION("""COMPUTED_VALUE"""),16.79)</f>
        <v>16.79</v>
      </c>
      <c r="AC134" s="1">
        <f>IFERROR(__xludf.DUMMYFUNCTION("""COMPUTED_VALUE"""),58.35)</f>
        <v>58.35</v>
      </c>
      <c r="AD134" s="2">
        <f>IFERROR(__xludf.DUMMYFUNCTION("""COMPUTED_VALUE"""),0.2877463581833762)</f>
        <v>0.2877463582</v>
      </c>
      <c r="AE134" s="1">
        <f>IFERROR(__xludf.DUMMYFUNCTION("""COMPUTED_VALUE"""),0.95)</f>
        <v>0.95</v>
      </c>
      <c r="AF134" s="1">
        <f>IFERROR(__xludf.DUMMYFUNCTION("""COMPUTED_VALUE"""),87.53)</f>
        <v>87.53</v>
      </c>
      <c r="AG134" s="2">
        <f>IFERROR(__xludf.DUMMYFUNCTION("""COMPUTED_VALUE"""),0.010853421683994058)</f>
        <v>0.01085342168</v>
      </c>
      <c r="AH134" s="1">
        <f>IFERROR(__xludf.DUMMYFUNCTION("""COMPUTED_VALUE"""),64.0)</f>
        <v>64</v>
      </c>
      <c r="AI134" s="1">
        <f>IFERROR(__xludf.DUMMYFUNCTION("""COMPUTED_VALUE"""),87.53)</f>
        <v>87.53</v>
      </c>
      <c r="AJ134" s="2">
        <f>IFERROR(__xludf.DUMMYFUNCTION("""COMPUTED_VALUE"""),0.7311778818690734)</f>
        <v>0.7311778819</v>
      </c>
      <c r="AK134" s="1">
        <f>IFERROR(__xludf.DUMMYFUNCTION("""COMPUTED_VALUE"""),89.41)</f>
        <v>89.41</v>
      </c>
      <c r="AL134" s="1">
        <f>IFERROR(__xludf.DUMMYFUNCTION("""COMPUTED_VALUE"""),233.41)</f>
        <v>233.41</v>
      </c>
      <c r="AM134" s="2">
        <f>IFERROR(__xludf.DUMMYFUNCTION("""COMPUTED_VALUE"""),0.3830598517629922)</f>
        <v>0.3830598518</v>
      </c>
      <c r="AN134" s="1">
        <f>IFERROR(__xludf.DUMMYFUNCTION("""COMPUTED_VALUE"""),0.0)</f>
        <v>0</v>
      </c>
      <c r="AO134" s="1">
        <f>IFERROR(__xludf.DUMMYFUNCTION("""COMPUTED_VALUE"""),0.0)</f>
        <v>0</v>
      </c>
      <c r="AP134" s="2" t="str">
        <f>IFERROR(__xludf.DUMMYFUNCTION("""COMPUTED_VALUE"""),"")</f>
        <v/>
      </c>
      <c r="AQ134" s="1">
        <f>IFERROR(__xludf.DUMMYFUNCTION("""COMPUTED_VALUE"""),0.0)</f>
        <v>0</v>
      </c>
      <c r="AR134" s="1">
        <f>IFERROR(__xludf.DUMMYFUNCTION("""COMPUTED_VALUE"""),0.0)</f>
        <v>0</v>
      </c>
      <c r="AS134" s="2" t="str">
        <f>IFERROR(__xludf.DUMMYFUNCTION("""COMPUTED_VALUE"""),"")</f>
        <v/>
      </c>
      <c r="AT134" s="1">
        <f>IFERROR(__xludf.DUMMYFUNCTION("""COMPUTED_VALUE"""),0.0)</f>
        <v>0</v>
      </c>
      <c r="AU134" s="1">
        <f>IFERROR(__xludf.DUMMYFUNCTION("""COMPUTED_VALUE"""),0.0)</f>
        <v>0</v>
      </c>
      <c r="AV134" s="2" t="str">
        <f>IFERROR(__xludf.DUMMYFUNCTION("""COMPUTED_VALUE"""),"")</f>
        <v/>
      </c>
      <c r="AW134" s="1">
        <f>IFERROR(__xludf.DUMMYFUNCTION("""COMPUTED_VALUE"""),0.0)</f>
        <v>0</v>
      </c>
      <c r="AX134" s="1">
        <f>IFERROR(__xludf.DUMMYFUNCTION("""COMPUTED_VALUE"""),0.0)</f>
        <v>0</v>
      </c>
      <c r="AY134" s="2" t="str">
        <f>IFERROR(__xludf.DUMMYFUNCTION("""COMPUTED_VALUE"""),"")</f>
        <v/>
      </c>
      <c r="AZ134" s="1">
        <f>IFERROR(__xludf.DUMMYFUNCTION("""COMPUTED_VALUE"""),0.0)</f>
        <v>0</v>
      </c>
      <c r="BA134" s="1">
        <f>IFERROR(__xludf.DUMMYFUNCTION("""COMPUTED_VALUE"""),0.0)</f>
        <v>0</v>
      </c>
      <c r="BB134" s="2" t="str">
        <f>IFERROR(__xludf.DUMMYFUNCTION("""COMPUTED_VALUE"""),"")</f>
        <v/>
      </c>
    </row>
    <row r="135">
      <c r="A135" s="1" t="str">
        <f>IFERROR(__xludf.DUMMYFUNCTION("""COMPUTED_VALUE"""),"679a293af8dc798a050b9592")</f>
        <v>679a293af8dc798a050b9592</v>
      </c>
      <c r="B135" s="1" t="str">
        <f>IFERROR(__xludf.DUMMYFUNCTION("""COMPUTED_VALUE"""),"Sistemas Avanzados de Tecnologia,")</f>
        <v>Sistemas Avanzados de Tecnologia,</v>
      </c>
      <c r="C135" s="1" t="str">
        <f>IFERROR(__xludf.DUMMYFUNCTION("""COMPUTED_VALUE"""),"mario.madrid-bustos@al-enterprise.com")</f>
        <v>mario.madrid-bustos@al-enterprise.com</v>
      </c>
      <c r="D135" s="1" t="str">
        <f>IFERROR(__xludf.DUMMYFUNCTION("""COMPUTED_VALUE"""),"emea")</f>
        <v>emea</v>
      </c>
      <c r="E135" s="1" t="str">
        <f>IFERROR(__xludf.DUMMYFUNCTION("""COMPUTED_VALUE"""),"ES")</f>
        <v>ES</v>
      </c>
      <c r="F135" s="1" t="str">
        <f>IFERROR(__xludf.DUMMYFUNCTION("""COMPUTED_VALUE"""),"expert_200")</f>
        <v>expert_200</v>
      </c>
      <c r="G135" s="1">
        <f>IFERROR(__xludf.DUMMYFUNCTION("""COMPUTED_VALUE"""),1.0)</f>
        <v>1</v>
      </c>
      <c r="H135" s="1">
        <f>IFERROR(__xludf.DUMMYFUNCTION("""COMPUTED_VALUE"""),1.0)</f>
        <v>1</v>
      </c>
      <c r="I135" s="2">
        <f>IFERROR(__xludf.DUMMYFUNCTION("""COMPUTED_VALUE"""),1.0)</f>
        <v>1</v>
      </c>
      <c r="J135" s="1">
        <f>IFERROR(__xludf.DUMMYFUNCTION("""COMPUTED_VALUE"""),30.5)</f>
        <v>30.5</v>
      </c>
      <c r="K135" s="1">
        <f>IFERROR(__xludf.DUMMYFUNCTION("""COMPUTED_VALUE"""),300.0)</f>
        <v>300</v>
      </c>
      <c r="L135" s="2">
        <f>IFERROR(__xludf.DUMMYFUNCTION("""COMPUTED_VALUE"""),0.10166666666666667)</f>
        <v>0.1016666667</v>
      </c>
      <c r="M135" s="1">
        <f>IFERROR(__xludf.DUMMYFUNCTION("""COMPUTED_VALUE"""),0.0)</f>
        <v>0</v>
      </c>
      <c r="N135" s="1">
        <f>IFERROR(__xludf.DUMMYFUNCTION("""COMPUTED_VALUE"""),0.0)</f>
        <v>0</v>
      </c>
      <c r="O135" s="2" t="str">
        <f>IFERROR(__xludf.DUMMYFUNCTION("""COMPUTED_VALUE"""),"")</f>
        <v/>
      </c>
      <c r="P135" s="1">
        <f>IFERROR(__xludf.DUMMYFUNCTION("""COMPUTED_VALUE"""),0.0)</f>
        <v>0</v>
      </c>
      <c r="Q135" s="1">
        <f>IFERROR(__xludf.DUMMYFUNCTION("""COMPUTED_VALUE"""),1.0)</f>
        <v>1</v>
      </c>
      <c r="R135" s="2">
        <f>IFERROR(__xludf.DUMMYFUNCTION("""COMPUTED_VALUE"""),0.0)</f>
        <v>0</v>
      </c>
      <c r="S135" s="1">
        <f>IFERROR(__xludf.DUMMYFUNCTION("""COMPUTED_VALUE"""),1.0)</f>
        <v>1</v>
      </c>
      <c r="T135" s="1">
        <f>IFERROR(__xludf.DUMMYFUNCTION("""COMPUTED_VALUE"""),1.0)</f>
        <v>1</v>
      </c>
      <c r="U135" s="2">
        <f>IFERROR(__xludf.DUMMYFUNCTION("""COMPUTED_VALUE"""),1.0)</f>
        <v>1</v>
      </c>
      <c r="V135" s="1">
        <f>IFERROR(__xludf.DUMMYFUNCTION("""COMPUTED_VALUE"""),0.0)</f>
        <v>0</v>
      </c>
      <c r="W135" s="1">
        <f>IFERROR(__xludf.DUMMYFUNCTION("""COMPUTED_VALUE"""),1.0)</f>
        <v>1</v>
      </c>
      <c r="X135" s="2">
        <f>IFERROR(__xludf.DUMMYFUNCTION("""COMPUTED_VALUE"""),0.0)</f>
        <v>0</v>
      </c>
      <c r="Y135" s="1">
        <f>IFERROR(__xludf.DUMMYFUNCTION("""COMPUTED_VALUE"""),2.0)</f>
        <v>2</v>
      </c>
      <c r="Z135" s="1">
        <f>IFERROR(__xludf.DUMMYFUNCTION("""COMPUTED_VALUE"""),0.0)</f>
        <v>0</v>
      </c>
      <c r="AA135" s="2" t="str">
        <f>IFERROR(__xludf.DUMMYFUNCTION("""COMPUTED_VALUE"""),"")</f>
        <v/>
      </c>
      <c r="AB135" s="1">
        <f>IFERROR(__xludf.DUMMYFUNCTION("""COMPUTED_VALUE"""),3.0)</f>
        <v>3</v>
      </c>
      <c r="AC135" s="1">
        <f>IFERROR(__xludf.DUMMYFUNCTION("""COMPUTED_VALUE"""),250.0)</f>
        <v>250</v>
      </c>
      <c r="AD135" s="2">
        <f>IFERROR(__xludf.DUMMYFUNCTION("""COMPUTED_VALUE"""),0.012)</f>
        <v>0.012</v>
      </c>
      <c r="AE135" s="1">
        <f>IFERROR(__xludf.DUMMYFUNCTION("""COMPUTED_VALUE"""),8.0)</f>
        <v>8</v>
      </c>
      <c r="AF135" s="1">
        <f>IFERROR(__xludf.DUMMYFUNCTION("""COMPUTED_VALUE"""),250.0)</f>
        <v>250</v>
      </c>
      <c r="AG135" s="2">
        <f>IFERROR(__xludf.DUMMYFUNCTION("""COMPUTED_VALUE"""),0.032)</f>
        <v>0.032</v>
      </c>
      <c r="AH135" s="1">
        <f>IFERROR(__xludf.DUMMYFUNCTION("""COMPUTED_VALUE"""),256.2)</f>
        <v>256.2</v>
      </c>
      <c r="AI135" s="1">
        <f>IFERROR(__xludf.DUMMYFUNCTION("""COMPUTED_VALUE"""),250.0)</f>
        <v>250</v>
      </c>
      <c r="AJ135" s="2">
        <f>IFERROR(__xludf.DUMMYFUNCTION("""COMPUTED_VALUE"""),1.0248)</f>
        <v>1.0248</v>
      </c>
      <c r="AK135" s="1">
        <f>IFERROR(__xludf.DUMMYFUNCTION("""COMPUTED_VALUE"""),269.2)</f>
        <v>269.2</v>
      </c>
      <c r="AL135" s="1">
        <f>IFERROR(__xludf.DUMMYFUNCTION("""COMPUTED_VALUE"""),750.0)</f>
        <v>750</v>
      </c>
      <c r="AM135" s="2">
        <f>IFERROR(__xludf.DUMMYFUNCTION("""COMPUTED_VALUE"""),0.3589333333333333)</f>
        <v>0.3589333333</v>
      </c>
      <c r="AN135" s="1">
        <f>IFERROR(__xludf.DUMMYFUNCTION("""COMPUTED_VALUE"""),0.0)</f>
        <v>0</v>
      </c>
      <c r="AO135" s="1">
        <f>IFERROR(__xludf.DUMMYFUNCTION("""COMPUTED_VALUE"""),0.0)</f>
        <v>0</v>
      </c>
      <c r="AP135" s="2" t="str">
        <f>IFERROR(__xludf.DUMMYFUNCTION("""COMPUTED_VALUE"""),"")</f>
        <v/>
      </c>
      <c r="AQ135" s="1">
        <f>IFERROR(__xludf.DUMMYFUNCTION("""COMPUTED_VALUE"""),0.0)</f>
        <v>0</v>
      </c>
      <c r="AR135" s="1">
        <f>IFERROR(__xludf.DUMMYFUNCTION("""COMPUTED_VALUE"""),0.0)</f>
        <v>0</v>
      </c>
      <c r="AS135" s="2" t="str">
        <f>IFERROR(__xludf.DUMMYFUNCTION("""COMPUTED_VALUE"""),"")</f>
        <v/>
      </c>
      <c r="AT135" s="1">
        <f>IFERROR(__xludf.DUMMYFUNCTION("""COMPUTED_VALUE"""),0.0)</f>
        <v>0</v>
      </c>
      <c r="AU135" s="1">
        <f>IFERROR(__xludf.DUMMYFUNCTION("""COMPUTED_VALUE"""),0.0)</f>
        <v>0</v>
      </c>
      <c r="AV135" s="2" t="str">
        <f>IFERROR(__xludf.DUMMYFUNCTION("""COMPUTED_VALUE"""),"")</f>
        <v/>
      </c>
      <c r="AW135" s="1">
        <f>IFERROR(__xludf.DUMMYFUNCTION("""COMPUTED_VALUE"""),0.0)</f>
        <v>0</v>
      </c>
      <c r="AX135" s="1">
        <f>IFERROR(__xludf.DUMMYFUNCTION("""COMPUTED_VALUE"""),0.0)</f>
        <v>0</v>
      </c>
      <c r="AY135" s="2" t="str">
        <f>IFERROR(__xludf.DUMMYFUNCTION("""COMPUTED_VALUE"""),"")</f>
        <v/>
      </c>
      <c r="AZ135" s="1">
        <f>IFERROR(__xludf.DUMMYFUNCTION("""COMPUTED_VALUE"""),0.0)</f>
        <v>0</v>
      </c>
      <c r="BA135" s="1">
        <f>IFERROR(__xludf.DUMMYFUNCTION("""COMPUTED_VALUE"""),0.0)</f>
        <v>0</v>
      </c>
      <c r="BB135" s="2" t="str">
        <f>IFERROR(__xludf.DUMMYFUNCTION("""COMPUTED_VALUE"""),"")</f>
        <v/>
      </c>
    </row>
    <row r="136">
      <c r="A136" s="1" t="str">
        <f>IFERROR(__xludf.DUMMYFUNCTION("""COMPUTED_VALUE"""),"63ea6e9452ad6968805cebc1")</f>
        <v>63ea6e9452ad6968805cebc1</v>
      </c>
      <c r="B136" s="1" t="str">
        <f>IFERROR(__xludf.DUMMYFUNCTION("""COMPUTED_VALUE"""),"SKC Seiler &amp; Klimpel Communication")</f>
        <v>SKC Seiler &amp; Klimpel Communication</v>
      </c>
      <c r="C136" s="1" t="str">
        <f>IFERROR(__xludf.DUMMYFUNCTION("""COMPUTED_VALUE"""),"silke.fraedrich@al-enterprise.com, andreas.grossheimann@al-enterprise.com, samantha.hunt@al-enterprise.com, katrin.pfeiffer@al-enterprise.com, sibylle.klopfer@al-enterprise.com, igor.leko@al-enterprise.com")</f>
        <v>silke.fraedrich@al-enterprise.com, andreas.grossheimann@al-enterprise.com, samantha.hunt@al-enterprise.com, katrin.pfeiffer@al-enterprise.com, sibylle.klopfer@al-enterprise.com, igor.leko@al-enterprise.com</v>
      </c>
      <c r="D136" s="1" t="str">
        <f>IFERROR(__xludf.DUMMYFUNCTION("""COMPUTED_VALUE"""),"germany")</f>
        <v>germany</v>
      </c>
      <c r="E136" s="1" t="str">
        <f>IFERROR(__xludf.DUMMYFUNCTION("""COMPUTED_VALUE"""),"DE")</f>
        <v>DE</v>
      </c>
      <c r="F136" s="1" t="str">
        <f>IFERROR(__xludf.DUMMYFUNCTION("""COMPUTED_VALUE"""),"expert_200")</f>
        <v>expert_200</v>
      </c>
      <c r="G136" s="1">
        <f>IFERROR(__xludf.DUMMYFUNCTION("""COMPUTED_VALUE"""),1.0)</f>
        <v>1</v>
      </c>
      <c r="H136" s="1">
        <f>IFERROR(__xludf.DUMMYFUNCTION("""COMPUTED_VALUE"""),1.0)</f>
        <v>1</v>
      </c>
      <c r="I136" s="2">
        <f>IFERROR(__xludf.DUMMYFUNCTION("""COMPUTED_VALUE"""),1.0)</f>
        <v>1</v>
      </c>
      <c r="J136" s="1">
        <f>IFERROR(__xludf.DUMMYFUNCTION("""COMPUTED_VALUE"""),204.54)</f>
        <v>204.54</v>
      </c>
      <c r="K136" s="1">
        <f>IFERROR(__xludf.DUMMYFUNCTION("""COMPUTED_VALUE"""),401.0)</f>
        <v>401</v>
      </c>
      <c r="L136" s="2">
        <f>IFERROR(__xludf.DUMMYFUNCTION("""COMPUTED_VALUE"""),0.5100748129675811)</f>
        <v>0.510074813</v>
      </c>
      <c r="M136" s="1">
        <f>IFERROR(__xludf.DUMMYFUNCTION("""COMPUTED_VALUE"""),29.0)</f>
        <v>29</v>
      </c>
      <c r="N136" s="1">
        <f>IFERROR(__xludf.DUMMYFUNCTION("""COMPUTED_VALUE"""),52.0)</f>
        <v>52</v>
      </c>
      <c r="O136" s="2">
        <f>IFERROR(__xludf.DUMMYFUNCTION("""COMPUTED_VALUE"""),0.5576923076923077)</f>
        <v>0.5576923077</v>
      </c>
      <c r="P136" s="1">
        <f>IFERROR(__xludf.DUMMYFUNCTION("""COMPUTED_VALUE"""),1.0)</f>
        <v>1</v>
      </c>
      <c r="Q136" s="1">
        <f>IFERROR(__xludf.DUMMYFUNCTION("""COMPUTED_VALUE"""),1.0)</f>
        <v>1</v>
      </c>
      <c r="R136" s="2">
        <f>IFERROR(__xludf.DUMMYFUNCTION("""COMPUTED_VALUE"""),1.0)</f>
        <v>1</v>
      </c>
      <c r="S136" s="1">
        <f>IFERROR(__xludf.DUMMYFUNCTION("""COMPUTED_VALUE"""),0.0)</f>
        <v>0</v>
      </c>
      <c r="T136" s="1">
        <f>IFERROR(__xludf.DUMMYFUNCTION("""COMPUTED_VALUE"""),1.0)</f>
        <v>1</v>
      </c>
      <c r="U136" s="2">
        <f>IFERROR(__xludf.DUMMYFUNCTION("""COMPUTED_VALUE"""),0.0)</f>
        <v>0</v>
      </c>
      <c r="V136" s="1">
        <f>IFERROR(__xludf.DUMMYFUNCTION("""COMPUTED_VALUE"""),1.0)</f>
        <v>1</v>
      </c>
      <c r="W136" s="1">
        <f>IFERROR(__xludf.DUMMYFUNCTION("""COMPUTED_VALUE"""),1.0)</f>
        <v>1</v>
      </c>
      <c r="X136" s="2">
        <f>IFERROR(__xludf.DUMMYFUNCTION("""COMPUTED_VALUE"""),1.0)</f>
        <v>1</v>
      </c>
      <c r="Y136" s="1">
        <f>IFERROR(__xludf.DUMMYFUNCTION("""COMPUTED_VALUE"""),0.0)</f>
        <v>0</v>
      </c>
      <c r="Z136" s="1">
        <f>IFERROR(__xludf.DUMMYFUNCTION("""COMPUTED_VALUE"""),0.0)</f>
        <v>0</v>
      </c>
      <c r="AA136" s="2" t="str">
        <f>IFERROR(__xludf.DUMMYFUNCTION("""COMPUTED_VALUE"""),"")</f>
        <v/>
      </c>
      <c r="AB136" s="1">
        <f>IFERROR(__xludf.DUMMYFUNCTION("""COMPUTED_VALUE"""),65.0)</f>
        <v>65</v>
      </c>
      <c r="AC136" s="1">
        <f>IFERROR(__xludf.DUMMYFUNCTION("""COMPUTED_VALUE"""),150.94)</f>
        <v>150.94</v>
      </c>
      <c r="AD136" s="2">
        <f>IFERROR(__xludf.DUMMYFUNCTION("""COMPUTED_VALUE"""),0.4306346892805088)</f>
        <v>0.4306346893</v>
      </c>
      <c r="AE136" s="1">
        <f>IFERROR(__xludf.DUMMYFUNCTION("""COMPUTED_VALUE"""),65.0)</f>
        <v>65</v>
      </c>
      <c r="AF136" s="1">
        <f>IFERROR(__xludf.DUMMYFUNCTION("""COMPUTED_VALUE"""),227.36)</f>
        <v>227.36</v>
      </c>
      <c r="AG136" s="2">
        <f>IFERROR(__xludf.DUMMYFUNCTION("""COMPUTED_VALUE"""),0.285890218156228)</f>
        <v>0.2858902182</v>
      </c>
      <c r="AH136" s="1">
        <f>IFERROR(__xludf.DUMMYFUNCTION("""COMPUTED_VALUE"""),0.0)</f>
        <v>0</v>
      </c>
      <c r="AI136" s="1">
        <f>IFERROR(__xludf.DUMMYFUNCTION("""COMPUTED_VALUE"""),227.36)</f>
        <v>227.36</v>
      </c>
      <c r="AJ136" s="2">
        <f>IFERROR(__xludf.DUMMYFUNCTION("""COMPUTED_VALUE"""),0.0)</f>
        <v>0</v>
      </c>
      <c r="AK136" s="1">
        <f>IFERROR(__xludf.DUMMYFUNCTION("""COMPUTED_VALUE"""),130.0)</f>
        <v>130</v>
      </c>
      <c r="AL136" s="1">
        <f>IFERROR(__xludf.DUMMYFUNCTION("""COMPUTED_VALUE"""),605.6600000000001)</f>
        <v>605.66</v>
      </c>
      <c r="AM136" s="2">
        <f>IFERROR(__xludf.DUMMYFUNCTION("""COMPUTED_VALUE"""),0.21464187828154407)</f>
        <v>0.2146418783</v>
      </c>
      <c r="AN136" s="1">
        <f>IFERROR(__xludf.DUMMYFUNCTION("""COMPUTED_VALUE"""),0.0)</f>
        <v>0</v>
      </c>
      <c r="AO136" s="1">
        <f>IFERROR(__xludf.DUMMYFUNCTION("""COMPUTED_VALUE"""),0.0)</f>
        <v>0</v>
      </c>
      <c r="AP136" s="2" t="str">
        <f>IFERROR(__xludf.DUMMYFUNCTION("""COMPUTED_VALUE"""),"")</f>
        <v/>
      </c>
      <c r="AQ136" s="1">
        <f>IFERROR(__xludf.DUMMYFUNCTION("""COMPUTED_VALUE"""),0.0)</f>
        <v>0</v>
      </c>
      <c r="AR136" s="1">
        <f>IFERROR(__xludf.DUMMYFUNCTION("""COMPUTED_VALUE"""),0.0)</f>
        <v>0</v>
      </c>
      <c r="AS136" s="2" t="str">
        <f>IFERROR(__xludf.DUMMYFUNCTION("""COMPUTED_VALUE"""),"")</f>
        <v/>
      </c>
      <c r="AT136" s="1">
        <f>IFERROR(__xludf.DUMMYFUNCTION("""COMPUTED_VALUE"""),0.0)</f>
        <v>0</v>
      </c>
      <c r="AU136" s="1">
        <f>IFERROR(__xludf.DUMMYFUNCTION("""COMPUTED_VALUE"""),0.0)</f>
        <v>0</v>
      </c>
      <c r="AV136" s="2" t="str">
        <f>IFERROR(__xludf.DUMMYFUNCTION("""COMPUTED_VALUE"""),"")</f>
        <v/>
      </c>
      <c r="AW136" s="1">
        <f>IFERROR(__xludf.DUMMYFUNCTION("""COMPUTED_VALUE"""),0.0)</f>
        <v>0</v>
      </c>
      <c r="AX136" s="1">
        <f>IFERROR(__xludf.DUMMYFUNCTION("""COMPUTED_VALUE"""),0.0)</f>
        <v>0</v>
      </c>
      <c r="AY136" s="2" t="str">
        <f>IFERROR(__xludf.DUMMYFUNCTION("""COMPUTED_VALUE"""),"")</f>
        <v/>
      </c>
      <c r="AZ136" s="1">
        <f>IFERROR(__xludf.DUMMYFUNCTION("""COMPUTED_VALUE"""),0.0)</f>
        <v>0</v>
      </c>
      <c r="BA136" s="1">
        <f>IFERROR(__xludf.DUMMYFUNCTION("""COMPUTED_VALUE"""),0.0)</f>
        <v>0</v>
      </c>
      <c r="BB136" s="2" t="str">
        <f>IFERROR(__xludf.DUMMYFUNCTION("""COMPUTED_VALUE"""),"")</f>
        <v/>
      </c>
    </row>
    <row r="137">
      <c r="A137" s="1" t="str">
        <f>IFERROR(__xludf.DUMMYFUNCTION("""COMPUTED_VALUE"""),"63fcbb7ea107c871cf5647b1")</f>
        <v>63fcbb7ea107c871cf5647b1</v>
      </c>
      <c r="B137" s="1" t="str">
        <f>IFERROR(__xludf.DUMMYFUNCTION("""COMPUTED_VALUE"""),"Skyhelm Technology")</f>
        <v>Skyhelm Technology</v>
      </c>
      <c r="C137" s="1" t="str">
        <f>IFERROR(__xludf.DUMMYFUNCTION("""COMPUTED_VALUE"""),"bill.rademacher@al-enterprise.com")</f>
        <v>bill.rademacher@al-enterprise.com</v>
      </c>
      <c r="D137" s="1" t="str">
        <f>IFERROR(__xludf.DUMMYFUNCTION("""COMPUTED_VALUE"""),"americas")</f>
        <v>americas</v>
      </c>
      <c r="E137" s="1" t="str">
        <f>IFERROR(__xludf.DUMMYFUNCTION("""COMPUTED_VALUE"""),"US")</f>
        <v>US</v>
      </c>
      <c r="F137" s="1" t="str">
        <f>IFERROR(__xludf.DUMMYFUNCTION("""COMPUTED_VALUE"""),"expert_200")</f>
        <v>expert_200</v>
      </c>
      <c r="G137" s="1">
        <f>IFERROR(__xludf.DUMMYFUNCTION("""COMPUTED_VALUE"""),0.0)</f>
        <v>0</v>
      </c>
      <c r="H137" s="1">
        <f>IFERROR(__xludf.DUMMYFUNCTION("""COMPUTED_VALUE"""),1.0)</f>
        <v>1</v>
      </c>
      <c r="I137" s="2">
        <f>IFERROR(__xludf.DUMMYFUNCTION("""COMPUTED_VALUE"""),0.0)</f>
        <v>0</v>
      </c>
      <c r="J137" s="1">
        <f>IFERROR(__xludf.DUMMYFUNCTION("""COMPUTED_VALUE"""),37.86)</f>
        <v>37.86</v>
      </c>
      <c r="K137" s="1">
        <f>IFERROR(__xludf.DUMMYFUNCTION("""COMPUTED_VALUE"""),0.0)</f>
        <v>0</v>
      </c>
      <c r="L137" s="2" t="str">
        <f>IFERROR(__xludf.DUMMYFUNCTION("""COMPUTED_VALUE"""),"")</f>
        <v/>
      </c>
      <c r="M137" s="1">
        <f>IFERROR(__xludf.DUMMYFUNCTION("""COMPUTED_VALUE"""),0.0)</f>
        <v>0</v>
      </c>
      <c r="N137" s="1">
        <f>IFERROR(__xludf.DUMMYFUNCTION("""COMPUTED_VALUE"""),0.0)</f>
        <v>0</v>
      </c>
      <c r="O137" s="2" t="str">
        <f>IFERROR(__xludf.DUMMYFUNCTION("""COMPUTED_VALUE"""),"")</f>
        <v/>
      </c>
      <c r="P137" s="1">
        <f>IFERROR(__xludf.DUMMYFUNCTION("""COMPUTED_VALUE"""),0.0)</f>
        <v>0</v>
      </c>
      <c r="Q137" s="1">
        <f>IFERROR(__xludf.DUMMYFUNCTION("""COMPUTED_VALUE"""),1.0)</f>
        <v>1</v>
      </c>
      <c r="R137" s="2">
        <f>IFERROR(__xludf.DUMMYFUNCTION("""COMPUTED_VALUE"""),0.0)</f>
        <v>0</v>
      </c>
      <c r="S137" s="1">
        <f>IFERROR(__xludf.DUMMYFUNCTION("""COMPUTED_VALUE"""),0.0)</f>
        <v>0</v>
      </c>
      <c r="T137" s="1">
        <f>IFERROR(__xludf.DUMMYFUNCTION("""COMPUTED_VALUE"""),1.0)</f>
        <v>1</v>
      </c>
      <c r="U137" s="2">
        <f>IFERROR(__xludf.DUMMYFUNCTION("""COMPUTED_VALUE"""),0.0)</f>
        <v>0</v>
      </c>
      <c r="V137" s="1">
        <f>IFERROR(__xludf.DUMMYFUNCTION("""COMPUTED_VALUE"""),0.0)</f>
        <v>0</v>
      </c>
      <c r="W137" s="1">
        <f>IFERROR(__xludf.DUMMYFUNCTION("""COMPUTED_VALUE"""),1.0)</f>
        <v>1</v>
      </c>
      <c r="X137" s="2">
        <f>IFERROR(__xludf.DUMMYFUNCTION("""COMPUTED_VALUE"""),0.0)</f>
        <v>0</v>
      </c>
      <c r="Y137" s="1">
        <f>IFERROR(__xludf.DUMMYFUNCTION("""COMPUTED_VALUE"""),2.73)</f>
        <v>2.73</v>
      </c>
      <c r="Z137" s="1">
        <f>IFERROR(__xludf.DUMMYFUNCTION("""COMPUTED_VALUE"""),0.0)</f>
        <v>0</v>
      </c>
      <c r="AA137" s="2" t="str">
        <f>IFERROR(__xludf.DUMMYFUNCTION("""COMPUTED_VALUE"""),"")</f>
        <v/>
      </c>
      <c r="AB137" s="1">
        <f>IFERROR(__xludf.DUMMYFUNCTION("""COMPUTED_VALUE"""),19.16)</f>
        <v>19.16</v>
      </c>
      <c r="AC137" s="1">
        <f>IFERROR(__xludf.DUMMYFUNCTION("""COMPUTED_VALUE"""),0.0)</f>
        <v>0</v>
      </c>
      <c r="AD137" s="2" t="str">
        <f>IFERROR(__xludf.DUMMYFUNCTION("""COMPUTED_VALUE"""),"")</f>
        <v/>
      </c>
      <c r="AE137" s="1">
        <f>IFERROR(__xludf.DUMMYFUNCTION("""COMPUTED_VALUE"""),6.82)</f>
        <v>6.82</v>
      </c>
      <c r="AF137" s="1">
        <f>IFERROR(__xludf.DUMMYFUNCTION("""COMPUTED_VALUE"""),0.0)</f>
        <v>0</v>
      </c>
      <c r="AG137" s="2" t="str">
        <f>IFERROR(__xludf.DUMMYFUNCTION("""COMPUTED_VALUE"""),"")</f>
        <v/>
      </c>
      <c r="AH137" s="1">
        <f>IFERROR(__xludf.DUMMYFUNCTION("""COMPUTED_VALUE"""),181.84)</f>
        <v>181.84</v>
      </c>
      <c r="AI137" s="1">
        <f>IFERROR(__xludf.DUMMYFUNCTION("""COMPUTED_VALUE"""),0.0)</f>
        <v>0</v>
      </c>
      <c r="AJ137" s="2" t="str">
        <f>IFERROR(__xludf.DUMMYFUNCTION("""COMPUTED_VALUE"""),"")</f>
        <v/>
      </c>
      <c r="AK137" s="1">
        <f>IFERROR(__xludf.DUMMYFUNCTION("""COMPUTED_VALUE"""),210.55)</f>
        <v>210.55</v>
      </c>
      <c r="AL137" s="1">
        <f>IFERROR(__xludf.DUMMYFUNCTION("""COMPUTED_VALUE"""),0.0)</f>
        <v>0</v>
      </c>
      <c r="AM137" s="2" t="str">
        <f>IFERROR(__xludf.DUMMYFUNCTION("""COMPUTED_VALUE"""),"")</f>
        <v/>
      </c>
      <c r="AN137" s="1">
        <f>IFERROR(__xludf.DUMMYFUNCTION("""COMPUTED_VALUE"""),20.0)</f>
        <v>20</v>
      </c>
      <c r="AO137" s="1">
        <f>IFERROR(__xludf.DUMMYFUNCTION("""COMPUTED_VALUE"""),0.0)</f>
        <v>0</v>
      </c>
      <c r="AP137" s="2" t="str">
        <f>IFERROR(__xludf.DUMMYFUNCTION("""COMPUTED_VALUE"""),"")</f>
        <v/>
      </c>
      <c r="AQ137" s="1">
        <f>IFERROR(__xludf.DUMMYFUNCTION("""COMPUTED_VALUE"""),0.0)</f>
        <v>0</v>
      </c>
      <c r="AR137" s="1">
        <f>IFERROR(__xludf.DUMMYFUNCTION("""COMPUTED_VALUE"""),0.0)</f>
        <v>0</v>
      </c>
      <c r="AS137" s="2" t="str">
        <f>IFERROR(__xludf.DUMMYFUNCTION("""COMPUTED_VALUE"""),"")</f>
        <v/>
      </c>
      <c r="AT137" s="1">
        <f>IFERROR(__xludf.DUMMYFUNCTION("""COMPUTED_VALUE"""),0.0)</f>
        <v>0</v>
      </c>
      <c r="AU137" s="1">
        <f>IFERROR(__xludf.DUMMYFUNCTION("""COMPUTED_VALUE"""),0.0)</f>
        <v>0</v>
      </c>
      <c r="AV137" s="2" t="str">
        <f>IFERROR(__xludf.DUMMYFUNCTION("""COMPUTED_VALUE"""),"")</f>
        <v/>
      </c>
      <c r="AW137" s="1">
        <f>IFERROR(__xludf.DUMMYFUNCTION("""COMPUTED_VALUE"""),0.0)</f>
        <v>0</v>
      </c>
      <c r="AX137" s="1">
        <f>IFERROR(__xludf.DUMMYFUNCTION("""COMPUTED_VALUE"""),0.0)</f>
        <v>0</v>
      </c>
      <c r="AY137" s="2" t="str">
        <f>IFERROR(__xludf.DUMMYFUNCTION("""COMPUTED_VALUE"""),"")</f>
        <v/>
      </c>
      <c r="AZ137" s="1">
        <f>IFERROR(__xludf.DUMMYFUNCTION("""COMPUTED_VALUE"""),20.0)</f>
        <v>20</v>
      </c>
      <c r="BA137" s="1">
        <f>IFERROR(__xludf.DUMMYFUNCTION("""COMPUTED_VALUE"""),0.0)</f>
        <v>0</v>
      </c>
      <c r="BB137" s="2" t="str">
        <f>IFERROR(__xludf.DUMMYFUNCTION("""COMPUTED_VALUE"""),"")</f>
        <v/>
      </c>
    </row>
    <row r="138">
      <c r="A138" s="1" t="str">
        <f>IFERROR(__xludf.DUMMYFUNCTION("""COMPUTED_VALUE"""),"63ef9d58384f27260c1ba413")</f>
        <v>63ef9d58384f27260c1ba413</v>
      </c>
      <c r="B138" s="1" t="str">
        <f>IFERROR(__xludf.DUMMYFUNCTION("""COMPUTED_VALUE"""),"SMC ELECTRIC SUPPLY")</f>
        <v>SMC ELECTRIC SUPPLY</v>
      </c>
      <c r="C138" s="1" t="str">
        <f>IFERROR(__xludf.DUMMYFUNCTION("""COMPUTED_VALUE"""),"gene.hawks@al-enterprise.com, bill.rademacher@al-enterprise.com, jack.jachner@al-enterprise.com")</f>
        <v>gene.hawks@al-enterprise.com, bill.rademacher@al-enterprise.com, jack.jachner@al-enterprise.com</v>
      </c>
      <c r="D138" s="1" t="str">
        <f>IFERROR(__xludf.DUMMYFUNCTION("""COMPUTED_VALUE"""),"americas")</f>
        <v>americas</v>
      </c>
      <c r="E138" s="1" t="str">
        <f>IFERROR(__xludf.DUMMYFUNCTION("""COMPUTED_VALUE"""),"US")</f>
        <v>US</v>
      </c>
      <c r="F138" s="1" t="str">
        <f>IFERROR(__xludf.DUMMYFUNCTION("""COMPUTED_VALUE"""),"expert_200")</f>
        <v>expert_200</v>
      </c>
      <c r="G138" s="1">
        <f>IFERROR(__xludf.DUMMYFUNCTION("""COMPUTED_VALUE"""),0.0)</f>
        <v>0</v>
      </c>
      <c r="H138" s="1">
        <f>IFERROR(__xludf.DUMMYFUNCTION("""COMPUTED_VALUE"""),1.0)</f>
        <v>1</v>
      </c>
      <c r="I138" s="2">
        <f>IFERROR(__xludf.DUMMYFUNCTION("""COMPUTED_VALUE"""),0.0)</f>
        <v>0</v>
      </c>
      <c r="J138" s="1">
        <f>IFERROR(__xludf.DUMMYFUNCTION("""COMPUTED_VALUE"""),114.27)</f>
        <v>114.27</v>
      </c>
      <c r="K138" s="1">
        <f>IFERROR(__xludf.DUMMYFUNCTION("""COMPUTED_VALUE"""),581.39)</f>
        <v>581.39</v>
      </c>
      <c r="L138" s="2">
        <f>IFERROR(__xludf.DUMMYFUNCTION("""COMPUTED_VALUE"""),0.19654620822511568)</f>
        <v>0.1965462082</v>
      </c>
      <c r="M138" s="1">
        <f>IFERROR(__xludf.DUMMYFUNCTION("""COMPUTED_VALUE"""),0.0)</f>
        <v>0</v>
      </c>
      <c r="N138" s="1">
        <f>IFERROR(__xludf.DUMMYFUNCTION("""COMPUTED_VALUE"""),0.0)</f>
        <v>0</v>
      </c>
      <c r="O138" s="2" t="str">
        <f>IFERROR(__xludf.DUMMYFUNCTION("""COMPUTED_VALUE"""),"")</f>
        <v/>
      </c>
      <c r="P138" s="1">
        <f>IFERROR(__xludf.DUMMYFUNCTION("""COMPUTED_VALUE"""),0.0)</f>
        <v>0</v>
      </c>
      <c r="Q138" s="1">
        <f>IFERROR(__xludf.DUMMYFUNCTION("""COMPUTED_VALUE"""),1.0)</f>
        <v>1</v>
      </c>
      <c r="R138" s="2">
        <f>IFERROR(__xludf.DUMMYFUNCTION("""COMPUTED_VALUE"""),0.0)</f>
        <v>0</v>
      </c>
      <c r="S138" s="1">
        <f>IFERROR(__xludf.DUMMYFUNCTION("""COMPUTED_VALUE"""),0.0)</f>
        <v>0</v>
      </c>
      <c r="T138" s="1">
        <f>IFERROR(__xludf.DUMMYFUNCTION("""COMPUTED_VALUE"""),1.0)</f>
        <v>1</v>
      </c>
      <c r="U138" s="2">
        <f>IFERROR(__xludf.DUMMYFUNCTION("""COMPUTED_VALUE"""),0.0)</f>
        <v>0</v>
      </c>
      <c r="V138" s="1">
        <f>IFERROR(__xludf.DUMMYFUNCTION("""COMPUTED_VALUE"""),0.0)</f>
        <v>0</v>
      </c>
      <c r="W138" s="1">
        <f>IFERROR(__xludf.DUMMYFUNCTION("""COMPUTED_VALUE"""),1.0)</f>
        <v>1</v>
      </c>
      <c r="X138" s="2">
        <f>IFERROR(__xludf.DUMMYFUNCTION("""COMPUTED_VALUE"""),0.0)</f>
        <v>0</v>
      </c>
      <c r="Y138" s="1">
        <f>IFERROR(__xludf.DUMMYFUNCTION("""COMPUTED_VALUE"""),20.55)</f>
        <v>20.55</v>
      </c>
      <c r="Z138" s="1">
        <f>IFERROR(__xludf.DUMMYFUNCTION("""COMPUTED_VALUE"""),0.0)</f>
        <v>0</v>
      </c>
      <c r="AA138" s="2" t="str">
        <f>IFERROR(__xludf.DUMMYFUNCTION("""COMPUTED_VALUE"""),"")</f>
        <v/>
      </c>
      <c r="AB138" s="1">
        <f>IFERROR(__xludf.DUMMYFUNCTION("""COMPUTED_VALUE"""),53.04)</f>
        <v>53.04</v>
      </c>
      <c r="AC138" s="1">
        <f>IFERROR(__xludf.DUMMYFUNCTION("""COMPUTED_VALUE"""),387.66)</f>
        <v>387.66</v>
      </c>
      <c r="AD138" s="2">
        <f>IFERROR(__xludf.DUMMYFUNCTION("""COMPUTED_VALUE"""),0.1368209255533199)</f>
        <v>0.1368209256</v>
      </c>
      <c r="AE138" s="1">
        <f>IFERROR(__xludf.DUMMYFUNCTION("""COMPUTED_VALUE"""),47.18)</f>
        <v>47.18</v>
      </c>
      <c r="AF138" s="1">
        <f>IFERROR(__xludf.DUMMYFUNCTION("""COMPUTED_VALUE"""),581.32)</f>
        <v>581.32</v>
      </c>
      <c r="AG138" s="2">
        <f>IFERROR(__xludf.DUMMYFUNCTION("""COMPUTED_VALUE"""),0.08116011835133832)</f>
        <v>0.08116011835</v>
      </c>
      <c r="AH138" s="1">
        <f>IFERROR(__xludf.DUMMYFUNCTION("""COMPUTED_VALUE"""),44.9)</f>
        <v>44.9</v>
      </c>
      <c r="AI138" s="1">
        <f>IFERROR(__xludf.DUMMYFUNCTION("""COMPUTED_VALUE"""),581.32)</f>
        <v>581.32</v>
      </c>
      <c r="AJ138" s="2">
        <f>IFERROR(__xludf.DUMMYFUNCTION("""COMPUTED_VALUE"""),0.07723801004610197)</f>
        <v>0.07723801005</v>
      </c>
      <c r="AK138" s="1">
        <f>IFERROR(__xludf.DUMMYFUNCTION("""COMPUTED_VALUE"""),165.67000000000002)</f>
        <v>165.67</v>
      </c>
      <c r="AL138" s="1">
        <f>IFERROR(__xludf.DUMMYFUNCTION("""COMPUTED_VALUE"""),1550.3000000000002)</f>
        <v>1550.3</v>
      </c>
      <c r="AM138" s="2">
        <f>IFERROR(__xludf.DUMMYFUNCTION("""COMPUTED_VALUE"""),0.106863187770109)</f>
        <v>0.1068631878</v>
      </c>
      <c r="AN138" s="1">
        <f>IFERROR(__xludf.DUMMYFUNCTION("""COMPUTED_VALUE"""),66.61)</f>
        <v>66.61</v>
      </c>
      <c r="AO138" s="1">
        <f>IFERROR(__xludf.DUMMYFUNCTION("""COMPUTED_VALUE"""),0.0)</f>
        <v>0</v>
      </c>
      <c r="AP138" s="2" t="str">
        <f>IFERROR(__xludf.DUMMYFUNCTION("""COMPUTED_VALUE"""),"")</f>
        <v/>
      </c>
      <c r="AQ138" s="1">
        <f>IFERROR(__xludf.DUMMYFUNCTION("""COMPUTED_VALUE"""),0.0)</f>
        <v>0</v>
      </c>
      <c r="AR138" s="1">
        <f>IFERROR(__xludf.DUMMYFUNCTION("""COMPUTED_VALUE"""),0.0)</f>
        <v>0</v>
      </c>
      <c r="AS138" s="2" t="str">
        <f>IFERROR(__xludf.DUMMYFUNCTION("""COMPUTED_VALUE"""),"")</f>
        <v/>
      </c>
      <c r="AT138" s="1">
        <f>IFERROR(__xludf.DUMMYFUNCTION("""COMPUTED_VALUE"""),0.0)</f>
        <v>0</v>
      </c>
      <c r="AU138" s="1">
        <f>IFERROR(__xludf.DUMMYFUNCTION("""COMPUTED_VALUE"""),0.0)</f>
        <v>0</v>
      </c>
      <c r="AV138" s="2" t="str">
        <f>IFERROR(__xludf.DUMMYFUNCTION("""COMPUTED_VALUE"""),"")</f>
        <v/>
      </c>
      <c r="AW138" s="1">
        <f>IFERROR(__xludf.DUMMYFUNCTION("""COMPUTED_VALUE"""),0.0)</f>
        <v>0</v>
      </c>
      <c r="AX138" s="1">
        <f>IFERROR(__xludf.DUMMYFUNCTION("""COMPUTED_VALUE"""),0.0)</f>
        <v>0</v>
      </c>
      <c r="AY138" s="2" t="str">
        <f>IFERROR(__xludf.DUMMYFUNCTION("""COMPUTED_VALUE"""),"")</f>
        <v/>
      </c>
      <c r="AZ138" s="1">
        <f>IFERROR(__xludf.DUMMYFUNCTION("""COMPUTED_VALUE"""),66.61)</f>
        <v>66.61</v>
      </c>
      <c r="BA138" s="1">
        <f>IFERROR(__xludf.DUMMYFUNCTION("""COMPUTED_VALUE"""),0.0)</f>
        <v>0</v>
      </c>
      <c r="BB138" s="2" t="str">
        <f>IFERROR(__xludf.DUMMYFUNCTION("""COMPUTED_VALUE"""),"")</f>
        <v/>
      </c>
    </row>
    <row r="139">
      <c r="A139" s="1" t="str">
        <f>IFERROR(__xludf.DUMMYFUNCTION("""COMPUTED_VALUE"""),"63ea6e9352ad6968805cea9b")</f>
        <v>63ea6e9352ad6968805cea9b</v>
      </c>
      <c r="B139" s="1" t="str">
        <f>IFERROR(__xludf.DUMMYFUNCTION("""COMPUTED_VALUE"""),"SPIE BTAT")</f>
        <v>SPIE BTAT</v>
      </c>
      <c r="C139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139" s="1" t="str">
        <f>IFERROR(__xludf.DUMMYFUNCTION("""COMPUTED_VALUE"""),"germany")</f>
        <v>germany</v>
      </c>
      <c r="E139" s="1" t="str">
        <f>IFERROR(__xludf.DUMMYFUNCTION("""COMPUTED_VALUE"""),"DE")</f>
        <v>DE</v>
      </c>
      <c r="F139" s="1" t="str">
        <f>IFERROR(__xludf.DUMMYFUNCTION("""COMPUTED_VALUE"""),"expert_1000")</f>
        <v>expert_1000</v>
      </c>
      <c r="G139" s="1">
        <f>IFERROR(__xludf.DUMMYFUNCTION("""COMPUTED_VALUE"""),1.0)</f>
        <v>1</v>
      </c>
      <c r="H139" s="1">
        <f>IFERROR(__xludf.DUMMYFUNCTION("""COMPUTED_VALUE"""),1.0)</f>
        <v>1</v>
      </c>
      <c r="I139" s="2">
        <f>IFERROR(__xludf.DUMMYFUNCTION("""COMPUTED_VALUE"""),1.0)</f>
        <v>1</v>
      </c>
      <c r="J139" s="1">
        <f>IFERROR(__xludf.DUMMYFUNCTION("""COMPUTED_VALUE"""),628.63)</f>
        <v>628.63</v>
      </c>
      <c r="K139" s="1">
        <f>IFERROR(__xludf.DUMMYFUNCTION("""COMPUTED_VALUE"""),1400.0)</f>
        <v>1400</v>
      </c>
      <c r="L139" s="2">
        <f>IFERROR(__xludf.DUMMYFUNCTION("""COMPUTED_VALUE"""),0.44902142857142857)</f>
        <v>0.4490214286</v>
      </c>
      <c r="M139" s="1">
        <f>IFERROR(__xludf.DUMMYFUNCTION("""COMPUTED_VALUE"""),59.0)</f>
        <v>59</v>
      </c>
      <c r="N139" s="1">
        <f>IFERROR(__xludf.DUMMYFUNCTION("""COMPUTED_VALUE"""),52.0)</f>
        <v>52</v>
      </c>
      <c r="O139" s="2">
        <f>IFERROR(__xludf.DUMMYFUNCTION("""COMPUTED_VALUE"""),1.1346153846153846)</f>
        <v>1.134615385</v>
      </c>
      <c r="P139" s="1">
        <f>IFERROR(__xludf.DUMMYFUNCTION("""COMPUTED_VALUE"""),1.0)</f>
        <v>1</v>
      </c>
      <c r="Q139" s="1">
        <f>IFERROR(__xludf.DUMMYFUNCTION("""COMPUTED_VALUE"""),1.0)</f>
        <v>1</v>
      </c>
      <c r="R139" s="2">
        <f>IFERROR(__xludf.DUMMYFUNCTION("""COMPUTED_VALUE"""),1.0)</f>
        <v>1</v>
      </c>
      <c r="S139" s="1">
        <f>IFERROR(__xludf.DUMMYFUNCTION("""COMPUTED_VALUE"""),0.0)</f>
        <v>0</v>
      </c>
      <c r="T139" s="1">
        <f>IFERROR(__xludf.DUMMYFUNCTION("""COMPUTED_VALUE"""),1.0)</f>
        <v>1</v>
      </c>
      <c r="U139" s="2">
        <f>IFERROR(__xludf.DUMMYFUNCTION("""COMPUTED_VALUE"""),0.0)</f>
        <v>0</v>
      </c>
      <c r="V139" s="1">
        <f>IFERROR(__xludf.DUMMYFUNCTION("""COMPUTED_VALUE"""),0.0)</f>
        <v>0</v>
      </c>
      <c r="W139" s="1">
        <f>IFERROR(__xludf.DUMMYFUNCTION("""COMPUTED_VALUE"""),1.0)</f>
        <v>1</v>
      </c>
      <c r="X139" s="2">
        <f>IFERROR(__xludf.DUMMYFUNCTION("""COMPUTED_VALUE"""),0.0)</f>
        <v>0</v>
      </c>
      <c r="Y139" s="1">
        <f>IFERROR(__xludf.DUMMYFUNCTION("""COMPUTED_VALUE"""),15.28)</f>
        <v>15.28</v>
      </c>
      <c r="Z139" s="1">
        <f>IFERROR(__xludf.DUMMYFUNCTION("""COMPUTED_VALUE"""),0.0)</f>
        <v>0</v>
      </c>
      <c r="AA139" s="2" t="str">
        <f>IFERROR(__xludf.DUMMYFUNCTION("""COMPUTED_VALUE"""),"")</f>
        <v/>
      </c>
      <c r="AB139" s="1">
        <f>IFERROR(__xludf.DUMMYFUNCTION("""COMPUTED_VALUE"""),8.72)</f>
        <v>8.72</v>
      </c>
      <c r="AC139" s="1">
        <f>IFERROR(__xludf.DUMMYFUNCTION("""COMPUTED_VALUE"""),551.43)</f>
        <v>551.43</v>
      </c>
      <c r="AD139" s="2">
        <f>IFERROR(__xludf.DUMMYFUNCTION("""COMPUTED_VALUE"""),0.015813430535154056)</f>
        <v>0.01581343054</v>
      </c>
      <c r="AE139" s="1">
        <f>IFERROR(__xludf.DUMMYFUNCTION("""COMPUTED_VALUE"""),337.21)</f>
        <v>337.21</v>
      </c>
      <c r="AF139" s="1">
        <f>IFERROR(__xludf.DUMMYFUNCTION("""COMPUTED_VALUE"""),1028.57)</f>
        <v>1028.57</v>
      </c>
      <c r="AG139" s="2">
        <f>IFERROR(__xludf.DUMMYFUNCTION("""COMPUTED_VALUE"""),0.3278435108937651)</f>
        <v>0.3278435109</v>
      </c>
      <c r="AH139" s="1">
        <f>IFERROR(__xludf.DUMMYFUNCTION("""COMPUTED_VALUE"""),443.1)</f>
        <v>443.1</v>
      </c>
      <c r="AI139" s="1">
        <f>IFERROR(__xludf.DUMMYFUNCTION("""COMPUTED_VALUE"""),1348.57)</f>
        <v>1348.57</v>
      </c>
      <c r="AJ139" s="2">
        <f>IFERROR(__xludf.DUMMYFUNCTION("""COMPUTED_VALUE"""),0.32857026331595696)</f>
        <v>0.3285702633</v>
      </c>
      <c r="AK139" s="1">
        <f>IFERROR(__xludf.DUMMYFUNCTION("""COMPUTED_VALUE"""),804.31)</f>
        <v>804.31</v>
      </c>
      <c r="AL139" s="1">
        <f>IFERROR(__xludf.DUMMYFUNCTION("""COMPUTED_VALUE"""),2928.5699999999997)</f>
        <v>2928.57</v>
      </c>
      <c r="AM139" s="2">
        <f>IFERROR(__xludf.DUMMYFUNCTION("""COMPUTED_VALUE"""),0.27464257299637707)</f>
        <v>0.274642573</v>
      </c>
      <c r="AN139" s="1">
        <f>IFERROR(__xludf.DUMMYFUNCTION("""COMPUTED_VALUE"""),16.0)</f>
        <v>16</v>
      </c>
      <c r="AO139" s="1">
        <f>IFERROR(__xludf.DUMMYFUNCTION("""COMPUTED_VALUE"""),0.0)</f>
        <v>0</v>
      </c>
      <c r="AP139" s="2" t="str">
        <f>IFERROR(__xludf.DUMMYFUNCTION("""COMPUTED_VALUE"""),"")</f>
        <v/>
      </c>
      <c r="AQ139" s="1">
        <f>IFERROR(__xludf.DUMMYFUNCTION("""COMPUTED_VALUE"""),125.0)</f>
        <v>125</v>
      </c>
      <c r="AR139" s="1">
        <f>IFERROR(__xludf.DUMMYFUNCTION("""COMPUTED_VALUE"""),0.0)</f>
        <v>0</v>
      </c>
      <c r="AS139" s="2" t="str">
        <f>IFERROR(__xludf.DUMMYFUNCTION("""COMPUTED_VALUE"""),"")</f>
        <v/>
      </c>
      <c r="AT139" s="1">
        <f>IFERROR(__xludf.DUMMYFUNCTION("""COMPUTED_VALUE"""),0.0)</f>
        <v>0</v>
      </c>
      <c r="AU139" s="1">
        <f>IFERROR(__xludf.DUMMYFUNCTION("""COMPUTED_VALUE"""),0.0)</f>
        <v>0</v>
      </c>
      <c r="AV139" s="2" t="str">
        <f>IFERROR(__xludf.DUMMYFUNCTION("""COMPUTED_VALUE"""),"")</f>
        <v/>
      </c>
      <c r="AW139" s="1">
        <f>IFERROR(__xludf.DUMMYFUNCTION("""COMPUTED_VALUE"""),0.0)</f>
        <v>0</v>
      </c>
      <c r="AX139" s="1">
        <f>IFERROR(__xludf.DUMMYFUNCTION("""COMPUTED_VALUE"""),0.0)</f>
        <v>0</v>
      </c>
      <c r="AY139" s="2" t="str">
        <f>IFERROR(__xludf.DUMMYFUNCTION("""COMPUTED_VALUE"""),"")</f>
        <v/>
      </c>
      <c r="AZ139" s="1">
        <f>IFERROR(__xludf.DUMMYFUNCTION("""COMPUTED_VALUE"""),141.0)</f>
        <v>141</v>
      </c>
      <c r="BA139" s="1">
        <f>IFERROR(__xludf.DUMMYFUNCTION("""COMPUTED_VALUE"""),0.0)</f>
        <v>0</v>
      </c>
      <c r="BB139" s="2" t="str">
        <f>IFERROR(__xludf.DUMMYFUNCTION("""COMPUTED_VALUE"""),"")</f>
        <v/>
      </c>
    </row>
    <row r="140">
      <c r="A140" s="1" t="str">
        <f>IFERROR(__xludf.DUMMYFUNCTION("""COMPUTED_VALUE"""),"63fcbb83a107c871cf5650b7")</f>
        <v>63fcbb83a107c871cf5650b7</v>
      </c>
      <c r="B140" s="1" t="str">
        <f>IFERROR(__xludf.DUMMYFUNCTION("""COMPUTED_VALUE"""),"SPIE Buchmann GmbH")</f>
        <v>SPIE Buchmann GmbH</v>
      </c>
      <c r="C140" s="1" t="str">
        <f>IFERROR(__xludf.DUMMYFUNCTION("""COMPUTED_VALUE"""),"andreas.grossheimann@al-enterprise.com, niels.hass@al-enterprise.com, gunther.hahn@al-enterprise.com")</f>
        <v>andreas.grossheimann@al-enterprise.com, niels.hass@al-enterprise.com, gunther.hahn@al-enterprise.com</v>
      </c>
      <c r="D140" s="1" t="str">
        <f>IFERROR(__xludf.DUMMYFUNCTION("""COMPUTED_VALUE"""),"germany")</f>
        <v>germany</v>
      </c>
      <c r="E140" s="1" t="str">
        <f>IFERROR(__xludf.DUMMYFUNCTION("""COMPUTED_VALUE"""),"DE")</f>
        <v>DE</v>
      </c>
      <c r="F140" s="1"/>
      <c r="G140" s="1">
        <f>IFERROR(__xludf.DUMMYFUNCTION("""COMPUTED_VALUE"""),0.0)</f>
        <v>0</v>
      </c>
      <c r="H140" s="1">
        <f>IFERROR(__xludf.DUMMYFUNCTION("""COMPUTED_VALUE"""),1.0)</f>
        <v>1</v>
      </c>
      <c r="I140" s="2">
        <f>IFERROR(__xludf.DUMMYFUNCTION("""COMPUTED_VALUE"""),0.0)</f>
        <v>0</v>
      </c>
      <c r="J140" s="1">
        <f>IFERROR(__xludf.DUMMYFUNCTION("""COMPUTED_VALUE"""),18.73)</f>
        <v>18.73</v>
      </c>
      <c r="K140" s="1">
        <f>IFERROR(__xludf.DUMMYFUNCTION("""COMPUTED_VALUE"""),0.0)</f>
        <v>0</v>
      </c>
      <c r="L140" s="2" t="str">
        <f>IFERROR(__xludf.DUMMYFUNCTION("""COMPUTED_VALUE"""),"")</f>
        <v/>
      </c>
      <c r="M140" s="1">
        <f>IFERROR(__xludf.DUMMYFUNCTION("""COMPUTED_VALUE"""),0.0)</f>
        <v>0</v>
      </c>
      <c r="N140" s="1">
        <f>IFERROR(__xludf.DUMMYFUNCTION("""COMPUTED_VALUE"""),0.0)</f>
        <v>0</v>
      </c>
      <c r="O140" s="2" t="str">
        <f>IFERROR(__xludf.DUMMYFUNCTION("""COMPUTED_VALUE"""),"")</f>
        <v/>
      </c>
      <c r="P140" s="1">
        <f>IFERROR(__xludf.DUMMYFUNCTION("""COMPUTED_VALUE"""),1.0)</f>
        <v>1</v>
      </c>
      <c r="Q140" s="1">
        <f>IFERROR(__xludf.DUMMYFUNCTION("""COMPUTED_VALUE"""),1.0)</f>
        <v>1</v>
      </c>
      <c r="R140" s="2">
        <f>IFERROR(__xludf.DUMMYFUNCTION("""COMPUTED_VALUE"""),1.0)</f>
        <v>1</v>
      </c>
      <c r="S140" s="1">
        <f>IFERROR(__xludf.DUMMYFUNCTION("""COMPUTED_VALUE"""),0.0)</f>
        <v>0</v>
      </c>
      <c r="T140" s="1">
        <f>IFERROR(__xludf.DUMMYFUNCTION("""COMPUTED_VALUE"""),1.0)</f>
        <v>1</v>
      </c>
      <c r="U140" s="2">
        <f>IFERROR(__xludf.DUMMYFUNCTION("""COMPUTED_VALUE"""),0.0)</f>
        <v>0</v>
      </c>
      <c r="V140" s="1">
        <f>IFERROR(__xludf.DUMMYFUNCTION("""COMPUTED_VALUE"""),0.0)</f>
        <v>0</v>
      </c>
      <c r="W140" s="1">
        <f>IFERROR(__xludf.DUMMYFUNCTION("""COMPUTED_VALUE"""),1.0)</f>
        <v>1</v>
      </c>
      <c r="X140" s="2">
        <f>IFERROR(__xludf.DUMMYFUNCTION("""COMPUTED_VALUE"""),0.0)</f>
        <v>0</v>
      </c>
      <c r="Y140" s="1">
        <f>IFERROR(__xludf.DUMMYFUNCTION("""COMPUTED_VALUE"""),7.09)</f>
        <v>7.09</v>
      </c>
      <c r="Z140" s="1">
        <f>IFERROR(__xludf.DUMMYFUNCTION("""COMPUTED_VALUE"""),0.0)</f>
        <v>0</v>
      </c>
      <c r="AA140" s="2" t="str">
        <f>IFERROR(__xludf.DUMMYFUNCTION("""COMPUTED_VALUE"""),"")</f>
        <v/>
      </c>
      <c r="AB140" s="1">
        <f>IFERROR(__xludf.DUMMYFUNCTION("""COMPUTED_VALUE"""),7.09)</f>
        <v>7.09</v>
      </c>
      <c r="AC140" s="1">
        <f>IFERROR(__xludf.DUMMYFUNCTION("""COMPUTED_VALUE"""),0.0)</f>
        <v>0</v>
      </c>
      <c r="AD140" s="2" t="str">
        <f>IFERROR(__xludf.DUMMYFUNCTION("""COMPUTED_VALUE"""),"")</f>
        <v/>
      </c>
      <c r="AE140" s="1">
        <f>IFERROR(__xludf.DUMMYFUNCTION("""COMPUTED_VALUE"""),7.09)</f>
        <v>7.09</v>
      </c>
      <c r="AF140" s="1">
        <f>IFERROR(__xludf.DUMMYFUNCTION("""COMPUTED_VALUE"""),0.0)</f>
        <v>0</v>
      </c>
      <c r="AG140" s="2" t="str">
        <f>IFERROR(__xludf.DUMMYFUNCTION("""COMPUTED_VALUE"""),"")</f>
        <v/>
      </c>
      <c r="AH140" s="1">
        <f>IFERROR(__xludf.DUMMYFUNCTION("""COMPUTED_VALUE"""),39.74)</f>
        <v>39.74</v>
      </c>
      <c r="AI140" s="1">
        <f>IFERROR(__xludf.DUMMYFUNCTION("""COMPUTED_VALUE"""),0.0)</f>
        <v>0</v>
      </c>
      <c r="AJ140" s="2" t="str">
        <f>IFERROR(__xludf.DUMMYFUNCTION("""COMPUTED_VALUE"""),"")</f>
        <v/>
      </c>
      <c r="AK140" s="1">
        <f>IFERROR(__xludf.DUMMYFUNCTION("""COMPUTED_VALUE"""),61.010000000000005)</f>
        <v>61.01</v>
      </c>
      <c r="AL140" s="1">
        <f>IFERROR(__xludf.DUMMYFUNCTION("""COMPUTED_VALUE"""),0.0)</f>
        <v>0</v>
      </c>
      <c r="AM140" s="2" t="str">
        <f>IFERROR(__xludf.DUMMYFUNCTION("""COMPUTED_VALUE"""),"")</f>
        <v/>
      </c>
      <c r="AN140" s="1">
        <f>IFERROR(__xludf.DUMMYFUNCTION("""COMPUTED_VALUE"""),0.0)</f>
        <v>0</v>
      </c>
      <c r="AO140" s="1">
        <f>IFERROR(__xludf.DUMMYFUNCTION("""COMPUTED_VALUE"""),0.0)</f>
        <v>0</v>
      </c>
      <c r="AP140" s="2" t="str">
        <f>IFERROR(__xludf.DUMMYFUNCTION("""COMPUTED_VALUE"""),"")</f>
        <v/>
      </c>
      <c r="AQ140" s="1">
        <f>IFERROR(__xludf.DUMMYFUNCTION("""COMPUTED_VALUE"""),0.0)</f>
        <v>0</v>
      </c>
      <c r="AR140" s="1">
        <f>IFERROR(__xludf.DUMMYFUNCTION("""COMPUTED_VALUE"""),0.0)</f>
        <v>0</v>
      </c>
      <c r="AS140" s="2" t="str">
        <f>IFERROR(__xludf.DUMMYFUNCTION("""COMPUTED_VALUE"""),"")</f>
        <v/>
      </c>
      <c r="AT140" s="1">
        <f>IFERROR(__xludf.DUMMYFUNCTION("""COMPUTED_VALUE"""),0.0)</f>
        <v>0</v>
      </c>
      <c r="AU140" s="1">
        <f>IFERROR(__xludf.DUMMYFUNCTION("""COMPUTED_VALUE"""),0.0)</f>
        <v>0</v>
      </c>
      <c r="AV140" s="2" t="str">
        <f>IFERROR(__xludf.DUMMYFUNCTION("""COMPUTED_VALUE"""),"")</f>
        <v/>
      </c>
      <c r="AW140" s="1">
        <f>IFERROR(__xludf.DUMMYFUNCTION("""COMPUTED_VALUE"""),0.0)</f>
        <v>0</v>
      </c>
      <c r="AX140" s="1">
        <f>IFERROR(__xludf.DUMMYFUNCTION("""COMPUTED_VALUE"""),0.0)</f>
        <v>0</v>
      </c>
      <c r="AY140" s="2" t="str">
        <f>IFERROR(__xludf.DUMMYFUNCTION("""COMPUTED_VALUE"""),"")</f>
        <v/>
      </c>
      <c r="AZ140" s="1">
        <f>IFERROR(__xludf.DUMMYFUNCTION("""COMPUTED_VALUE"""),0.0)</f>
        <v>0</v>
      </c>
      <c r="BA140" s="1">
        <f>IFERROR(__xludf.DUMMYFUNCTION("""COMPUTED_VALUE"""),0.0)</f>
        <v>0</v>
      </c>
      <c r="BB140" s="2" t="str">
        <f>IFERROR(__xludf.DUMMYFUNCTION("""COMPUTED_VALUE"""),"")</f>
        <v/>
      </c>
    </row>
    <row r="141">
      <c r="A141" s="1" t="str">
        <f>IFERROR(__xludf.DUMMYFUNCTION("""COMPUTED_VALUE"""),"63ced842c5c820531c267fc4")</f>
        <v>63ced842c5c820531c267fc4</v>
      </c>
      <c r="B141" s="1" t="str">
        <f>IFERROR(__xludf.DUMMYFUNCTION("""COMPUTED_VALUE"""),"SPIE Information &amp; Communication Services GmbH")</f>
        <v>SPIE Information &amp; Communication Services GmbH</v>
      </c>
      <c r="C141" s="1" t="str">
        <f>IFERROR(__xludf.DUMMYFUNCTION("""COMPUTED_VALUE"""),"andreas.grossheimann@al-enterprise.com, niels.hass@al-enterprise.com, gunther.hahn@al-enterprise.com, katrin.pfeiffer@al-enterprise.com, sibylle.klopfer@al-enterprise.com, igor.leko@al-enterprise.com")</f>
        <v>andreas.grossheimann@al-enterprise.com, niels.hass@al-enterprise.com, gunther.hahn@al-enterprise.com, katrin.pfeiffer@al-enterprise.com, sibylle.klopfer@al-enterprise.com, igor.leko@al-enterprise.com</v>
      </c>
      <c r="D141" s="1" t="str">
        <f>IFERROR(__xludf.DUMMYFUNCTION("""COMPUTED_VALUE"""),"germany")</f>
        <v>germany</v>
      </c>
      <c r="E141" s="1" t="str">
        <f>IFERROR(__xludf.DUMMYFUNCTION("""COMPUTED_VALUE"""),"DE")</f>
        <v>DE</v>
      </c>
      <c r="F141" s="1" t="str">
        <f>IFERROR(__xludf.DUMMYFUNCTION("""COMPUTED_VALUE"""),"yes")</f>
        <v>yes</v>
      </c>
      <c r="G141" s="1">
        <f>IFERROR(__xludf.DUMMYFUNCTION("""COMPUTED_VALUE"""),1.0)</f>
        <v>1</v>
      </c>
      <c r="H141" s="1">
        <f>IFERROR(__xludf.DUMMYFUNCTION("""COMPUTED_VALUE"""),1.0)</f>
        <v>1</v>
      </c>
      <c r="I141" s="2">
        <f>IFERROR(__xludf.DUMMYFUNCTION("""COMPUTED_VALUE"""),1.0)</f>
        <v>1</v>
      </c>
      <c r="J141" s="1">
        <f>IFERROR(__xludf.DUMMYFUNCTION("""COMPUTED_VALUE"""),1185.13)</f>
        <v>1185.13</v>
      </c>
      <c r="K141" s="1">
        <f>IFERROR(__xludf.DUMMYFUNCTION("""COMPUTED_VALUE"""),5170.0)</f>
        <v>5170</v>
      </c>
      <c r="L141" s="2">
        <f>IFERROR(__xludf.DUMMYFUNCTION("""COMPUTED_VALUE"""),0.22923210831721472)</f>
        <v>0.2292321083</v>
      </c>
      <c r="M141" s="1">
        <f>IFERROR(__xludf.DUMMYFUNCTION("""COMPUTED_VALUE"""),98.0)</f>
        <v>98</v>
      </c>
      <c r="N141" s="1">
        <f>IFERROR(__xludf.DUMMYFUNCTION("""COMPUTED_VALUE"""),54.0)</f>
        <v>54</v>
      </c>
      <c r="O141" s="2">
        <f>IFERROR(__xludf.DUMMYFUNCTION("""COMPUTED_VALUE"""),1.8148148148148149)</f>
        <v>1.814814815</v>
      </c>
      <c r="P141" s="1">
        <f>IFERROR(__xludf.DUMMYFUNCTION("""COMPUTED_VALUE"""),1.0)</f>
        <v>1</v>
      </c>
      <c r="Q141" s="1">
        <f>IFERROR(__xludf.DUMMYFUNCTION("""COMPUTED_VALUE"""),1.0)</f>
        <v>1</v>
      </c>
      <c r="R141" s="2">
        <f>IFERROR(__xludf.DUMMYFUNCTION("""COMPUTED_VALUE"""),1.0)</f>
        <v>1</v>
      </c>
      <c r="S141" s="1">
        <f>IFERROR(__xludf.DUMMYFUNCTION("""COMPUTED_VALUE"""),1.0)</f>
        <v>1</v>
      </c>
      <c r="T141" s="1">
        <f>IFERROR(__xludf.DUMMYFUNCTION("""COMPUTED_VALUE"""),1.0)</f>
        <v>1</v>
      </c>
      <c r="U141" s="2">
        <f>IFERROR(__xludf.DUMMYFUNCTION("""COMPUTED_VALUE"""),1.0)</f>
        <v>1</v>
      </c>
      <c r="V141" s="1">
        <f>IFERROR(__xludf.DUMMYFUNCTION("""COMPUTED_VALUE"""),0.0)</f>
        <v>0</v>
      </c>
      <c r="W141" s="1">
        <f>IFERROR(__xludf.DUMMYFUNCTION("""COMPUTED_VALUE"""),1.0)</f>
        <v>1</v>
      </c>
      <c r="X141" s="2">
        <f>IFERROR(__xludf.DUMMYFUNCTION("""COMPUTED_VALUE"""),0.0)</f>
        <v>0</v>
      </c>
      <c r="Y141" s="1">
        <f>IFERROR(__xludf.DUMMYFUNCTION("""COMPUTED_VALUE"""),3.54)</f>
        <v>3.54</v>
      </c>
      <c r="Z141" s="1">
        <f>IFERROR(__xludf.DUMMYFUNCTION("""COMPUTED_VALUE"""),0.0)</f>
        <v>0</v>
      </c>
      <c r="AA141" s="2" t="str">
        <f>IFERROR(__xludf.DUMMYFUNCTION("""COMPUTED_VALUE"""),"")</f>
        <v/>
      </c>
      <c r="AB141" s="1">
        <f>IFERROR(__xludf.DUMMYFUNCTION("""COMPUTED_VALUE"""),0.08)</f>
        <v>0.08</v>
      </c>
      <c r="AC141" s="1">
        <f>IFERROR(__xludf.DUMMYFUNCTION("""COMPUTED_VALUE"""),0.0)</f>
        <v>0</v>
      </c>
      <c r="AD141" s="2" t="str">
        <f>IFERROR(__xludf.DUMMYFUNCTION("""COMPUTED_VALUE"""),"")</f>
        <v/>
      </c>
      <c r="AE141" s="1">
        <f>IFERROR(__xludf.DUMMYFUNCTION("""COMPUTED_VALUE"""),2459.29)</f>
        <v>2459.29</v>
      </c>
      <c r="AF141" s="1">
        <f>IFERROR(__xludf.DUMMYFUNCTION("""COMPUTED_VALUE"""),5166.67)</f>
        <v>5166.67</v>
      </c>
      <c r="AG141" s="2">
        <f>IFERROR(__xludf.DUMMYFUNCTION("""COMPUTED_VALUE"""),0.4759913058120607)</f>
        <v>0.4759913058</v>
      </c>
      <c r="AH141" s="1">
        <f>IFERROR(__xludf.DUMMYFUNCTION("""COMPUTED_VALUE"""),4570.15)</f>
        <v>4570.15</v>
      </c>
      <c r="AI141" s="1">
        <f>IFERROR(__xludf.DUMMYFUNCTION("""COMPUTED_VALUE"""),5166.67)</f>
        <v>5166.67</v>
      </c>
      <c r="AJ141" s="2">
        <f>IFERROR(__xludf.DUMMYFUNCTION("""COMPUTED_VALUE"""),0.8845445906163931)</f>
        <v>0.8845445906</v>
      </c>
      <c r="AK141" s="1">
        <f>IFERROR(__xludf.DUMMYFUNCTION("""COMPUTED_VALUE"""),7033.0599999999995)</f>
        <v>7033.06</v>
      </c>
      <c r="AL141" s="1">
        <f>IFERROR(__xludf.DUMMYFUNCTION("""COMPUTED_VALUE"""),10333.34)</f>
        <v>10333.34</v>
      </c>
      <c r="AM141" s="2">
        <f>IFERROR(__xludf.DUMMYFUNCTION("""COMPUTED_VALUE"""),0.6806182705688576)</f>
        <v>0.6806182706</v>
      </c>
      <c r="AN141" s="1">
        <f>IFERROR(__xludf.DUMMYFUNCTION("""COMPUTED_VALUE"""),447.49)</f>
        <v>447.49</v>
      </c>
      <c r="AO141" s="1">
        <f>IFERROR(__xludf.DUMMYFUNCTION("""COMPUTED_VALUE"""),0.0)</f>
        <v>0</v>
      </c>
      <c r="AP141" s="2" t="str">
        <f>IFERROR(__xludf.DUMMYFUNCTION("""COMPUTED_VALUE"""),"")</f>
        <v/>
      </c>
      <c r="AQ141" s="1">
        <f>IFERROR(__xludf.DUMMYFUNCTION("""COMPUTED_VALUE"""),1487.34)</f>
        <v>1487.34</v>
      </c>
      <c r="AR141" s="1">
        <f>IFERROR(__xludf.DUMMYFUNCTION("""COMPUTED_VALUE"""),0.0)</f>
        <v>0</v>
      </c>
      <c r="AS141" s="2" t="str">
        <f>IFERROR(__xludf.DUMMYFUNCTION("""COMPUTED_VALUE"""),"")</f>
        <v/>
      </c>
      <c r="AT141" s="1">
        <f>IFERROR(__xludf.DUMMYFUNCTION("""COMPUTED_VALUE"""),508.91)</f>
        <v>508.91</v>
      </c>
      <c r="AU141" s="1">
        <f>IFERROR(__xludf.DUMMYFUNCTION("""COMPUTED_VALUE"""),0.0)</f>
        <v>0</v>
      </c>
      <c r="AV141" s="2" t="str">
        <f>IFERROR(__xludf.DUMMYFUNCTION("""COMPUTED_VALUE"""),"")</f>
        <v/>
      </c>
      <c r="AW141" s="1">
        <f>IFERROR(__xludf.DUMMYFUNCTION("""COMPUTED_VALUE"""),548.88)</f>
        <v>548.88</v>
      </c>
      <c r="AX141" s="1">
        <f>IFERROR(__xludf.DUMMYFUNCTION("""COMPUTED_VALUE"""),0.0)</f>
        <v>0</v>
      </c>
      <c r="AY141" s="2" t="str">
        <f>IFERROR(__xludf.DUMMYFUNCTION("""COMPUTED_VALUE"""),"")</f>
        <v/>
      </c>
      <c r="AZ141" s="1">
        <f>IFERROR(__xludf.DUMMYFUNCTION("""COMPUTED_VALUE"""),2992.62)</f>
        <v>2992.62</v>
      </c>
      <c r="BA141" s="1">
        <f>IFERROR(__xludf.DUMMYFUNCTION("""COMPUTED_VALUE"""),0.0)</f>
        <v>0</v>
      </c>
      <c r="BB141" s="2" t="str">
        <f>IFERROR(__xludf.DUMMYFUNCTION("""COMPUTED_VALUE"""),"")</f>
        <v/>
      </c>
    </row>
    <row r="142">
      <c r="A142" s="1" t="str">
        <f>IFERROR(__xludf.DUMMYFUNCTION("""COMPUTED_VALUE"""),"63ea6e9452ad6968805cec07")</f>
        <v>63ea6e9452ad6968805cec07</v>
      </c>
      <c r="B142" s="1" t="str">
        <f>IFERROR(__xludf.DUMMYFUNCTION("""COMPUTED_VALUE"""),"steep GmbH")</f>
        <v>steep GmbH</v>
      </c>
      <c r="C142" s="1" t="str">
        <f>IFERROR(__xludf.DUMMYFUNCTION("""COMPUTED_VALUE"""),"philippe.girard@al-enterprise.com, rui.silva@al-enterprise.com, ralf.kloeppels@al-enterprise.com, andreas.grossheimann@al-enterprise.com, katrin.pfeiffer@al-enterprise.com, sibylle.klopfer@al-enterprise.com, igor.leko@al-enterprise.com")</f>
        <v>philippe.girard@al-enterprise.com, rui.silva@al-enterprise.com, ralf.kloeppels@al-enterprise.com, andreas.grossheimann@al-enterprise.com, katrin.pfeiffer@al-enterprise.com, sibylle.klopfer@al-enterprise.com, igor.leko@al-enterprise.com</v>
      </c>
      <c r="D142" s="1" t="str">
        <f>IFERROR(__xludf.DUMMYFUNCTION("""COMPUTED_VALUE"""),"germany")</f>
        <v>germany</v>
      </c>
      <c r="E142" s="1" t="str">
        <f>IFERROR(__xludf.DUMMYFUNCTION("""COMPUTED_VALUE"""),"DE")</f>
        <v>DE</v>
      </c>
      <c r="F142" s="1" t="str">
        <f>IFERROR(__xludf.DUMMYFUNCTION("""COMPUTED_VALUE"""),"expert_200")</f>
        <v>expert_200</v>
      </c>
      <c r="G142" s="1">
        <f>IFERROR(__xludf.DUMMYFUNCTION("""COMPUTED_VALUE"""),0.0)</f>
        <v>0</v>
      </c>
      <c r="H142" s="1">
        <f>IFERROR(__xludf.DUMMYFUNCTION("""COMPUTED_VALUE"""),1.0)</f>
        <v>1</v>
      </c>
      <c r="I142" s="2">
        <f>IFERROR(__xludf.DUMMYFUNCTION("""COMPUTED_VALUE"""),0.0)</f>
        <v>0</v>
      </c>
      <c r="J142" s="1">
        <f>IFERROR(__xludf.DUMMYFUNCTION("""COMPUTED_VALUE"""),28.17)</f>
        <v>28.17</v>
      </c>
      <c r="K142" s="1">
        <f>IFERROR(__xludf.DUMMYFUNCTION("""COMPUTED_VALUE"""),0.0)</f>
        <v>0</v>
      </c>
      <c r="L142" s="2" t="str">
        <f>IFERROR(__xludf.DUMMYFUNCTION("""COMPUTED_VALUE"""),"")</f>
        <v/>
      </c>
      <c r="M142" s="1">
        <f>IFERROR(__xludf.DUMMYFUNCTION("""COMPUTED_VALUE"""),17.0)</f>
        <v>17</v>
      </c>
      <c r="N142" s="1">
        <f>IFERROR(__xludf.DUMMYFUNCTION("""COMPUTED_VALUE"""),52.0)</f>
        <v>52</v>
      </c>
      <c r="O142" s="2">
        <f>IFERROR(__xludf.DUMMYFUNCTION("""COMPUTED_VALUE"""),0.3269230769230769)</f>
        <v>0.3269230769</v>
      </c>
      <c r="P142" s="1">
        <f>IFERROR(__xludf.DUMMYFUNCTION("""COMPUTED_VALUE"""),0.0)</f>
        <v>0</v>
      </c>
      <c r="Q142" s="1">
        <f>IFERROR(__xludf.DUMMYFUNCTION("""COMPUTED_VALUE"""),1.0)</f>
        <v>1</v>
      </c>
      <c r="R142" s="2">
        <f>IFERROR(__xludf.DUMMYFUNCTION("""COMPUTED_VALUE"""),0.0)</f>
        <v>0</v>
      </c>
      <c r="S142" s="1">
        <f>IFERROR(__xludf.DUMMYFUNCTION("""COMPUTED_VALUE"""),1.0)</f>
        <v>1</v>
      </c>
      <c r="T142" s="1">
        <f>IFERROR(__xludf.DUMMYFUNCTION("""COMPUTED_VALUE"""),1.0)</f>
        <v>1</v>
      </c>
      <c r="U142" s="2">
        <f>IFERROR(__xludf.DUMMYFUNCTION("""COMPUTED_VALUE"""),1.0)</f>
        <v>1</v>
      </c>
      <c r="V142" s="1">
        <f>IFERROR(__xludf.DUMMYFUNCTION("""COMPUTED_VALUE"""),0.0)</f>
        <v>0</v>
      </c>
      <c r="W142" s="1">
        <f>IFERROR(__xludf.DUMMYFUNCTION("""COMPUTED_VALUE"""),1.0)</f>
        <v>1</v>
      </c>
      <c r="X142" s="2">
        <f>IFERROR(__xludf.DUMMYFUNCTION("""COMPUTED_VALUE"""),0.0)</f>
        <v>0</v>
      </c>
      <c r="Y142" s="1">
        <f>IFERROR(__xludf.DUMMYFUNCTION("""COMPUTED_VALUE"""),12.0)</f>
        <v>12</v>
      </c>
      <c r="Z142" s="1">
        <f>IFERROR(__xludf.DUMMYFUNCTION("""COMPUTED_VALUE"""),0.0)</f>
        <v>0</v>
      </c>
      <c r="AA142" s="2" t="str">
        <f>IFERROR(__xludf.DUMMYFUNCTION("""COMPUTED_VALUE"""),"")</f>
        <v/>
      </c>
      <c r="AB142" s="1">
        <f>IFERROR(__xludf.DUMMYFUNCTION("""COMPUTED_VALUE"""),21.0)</f>
        <v>21</v>
      </c>
      <c r="AC142" s="1">
        <f>IFERROR(__xludf.DUMMYFUNCTION("""COMPUTED_VALUE"""),0.0)</f>
        <v>0</v>
      </c>
      <c r="AD142" s="2" t="str">
        <f>IFERROR(__xludf.DUMMYFUNCTION("""COMPUTED_VALUE"""),"")</f>
        <v/>
      </c>
      <c r="AE142" s="1">
        <f>IFERROR(__xludf.DUMMYFUNCTION("""COMPUTED_VALUE"""),12.0)</f>
        <v>12</v>
      </c>
      <c r="AF142" s="1">
        <f>IFERROR(__xludf.DUMMYFUNCTION("""COMPUTED_VALUE"""),0.0)</f>
        <v>0</v>
      </c>
      <c r="AG142" s="2" t="str">
        <f>IFERROR(__xludf.DUMMYFUNCTION("""COMPUTED_VALUE"""),"")</f>
        <v/>
      </c>
      <c r="AH142" s="1">
        <f>IFERROR(__xludf.DUMMYFUNCTION("""COMPUTED_VALUE"""),249.0)</f>
        <v>249</v>
      </c>
      <c r="AI142" s="1">
        <f>IFERROR(__xludf.DUMMYFUNCTION("""COMPUTED_VALUE"""),0.0)</f>
        <v>0</v>
      </c>
      <c r="AJ142" s="2" t="str">
        <f>IFERROR(__xludf.DUMMYFUNCTION("""COMPUTED_VALUE"""),"")</f>
        <v/>
      </c>
      <c r="AK142" s="1">
        <f>IFERROR(__xludf.DUMMYFUNCTION("""COMPUTED_VALUE"""),294.0)</f>
        <v>294</v>
      </c>
      <c r="AL142" s="1">
        <f>IFERROR(__xludf.DUMMYFUNCTION("""COMPUTED_VALUE"""),0.0)</f>
        <v>0</v>
      </c>
      <c r="AM142" s="2" t="str">
        <f>IFERROR(__xludf.DUMMYFUNCTION("""COMPUTED_VALUE"""),"")</f>
        <v/>
      </c>
      <c r="AN142" s="1">
        <f>IFERROR(__xludf.DUMMYFUNCTION("""COMPUTED_VALUE"""),0.0)</f>
        <v>0</v>
      </c>
      <c r="AO142" s="1">
        <f>IFERROR(__xludf.DUMMYFUNCTION("""COMPUTED_VALUE"""),0.0)</f>
        <v>0</v>
      </c>
      <c r="AP142" s="2" t="str">
        <f>IFERROR(__xludf.DUMMYFUNCTION("""COMPUTED_VALUE"""),"")</f>
        <v/>
      </c>
      <c r="AQ142" s="1">
        <f>IFERROR(__xludf.DUMMYFUNCTION("""COMPUTED_VALUE"""),620.0)</f>
        <v>620</v>
      </c>
      <c r="AR142" s="1">
        <f>IFERROR(__xludf.DUMMYFUNCTION("""COMPUTED_VALUE"""),0.0)</f>
        <v>0</v>
      </c>
      <c r="AS142" s="2" t="str">
        <f>IFERROR(__xludf.DUMMYFUNCTION("""COMPUTED_VALUE"""),"")</f>
        <v/>
      </c>
      <c r="AT142" s="1">
        <f>IFERROR(__xludf.DUMMYFUNCTION("""COMPUTED_VALUE"""),0.0)</f>
        <v>0</v>
      </c>
      <c r="AU142" s="1">
        <f>IFERROR(__xludf.DUMMYFUNCTION("""COMPUTED_VALUE"""),0.0)</f>
        <v>0</v>
      </c>
      <c r="AV142" s="2" t="str">
        <f>IFERROR(__xludf.DUMMYFUNCTION("""COMPUTED_VALUE"""),"")</f>
        <v/>
      </c>
      <c r="AW142" s="1">
        <f>IFERROR(__xludf.DUMMYFUNCTION("""COMPUTED_VALUE"""),8000.0)</f>
        <v>8000</v>
      </c>
      <c r="AX142" s="1">
        <f>IFERROR(__xludf.DUMMYFUNCTION("""COMPUTED_VALUE"""),0.0)</f>
        <v>0</v>
      </c>
      <c r="AY142" s="2" t="str">
        <f>IFERROR(__xludf.DUMMYFUNCTION("""COMPUTED_VALUE"""),"")</f>
        <v/>
      </c>
      <c r="AZ142" s="1">
        <f>IFERROR(__xludf.DUMMYFUNCTION("""COMPUTED_VALUE"""),8620.0)</f>
        <v>8620</v>
      </c>
      <c r="BA142" s="1">
        <f>IFERROR(__xludf.DUMMYFUNCTION("""COMPUTED_VALUE"""),0.0)</f>
        <v>0</v>
      </c>
      <c r="BB142" s="2" t="str">
        <f>IFERROR(__xludf.DUMMYFUNCTION("""COMPUTED_VALUE"""),"")</f>
        <v/>
      </c>
    </row>
    <row r="143">
      <c r="A143" s="1" t="str">
        <f>IFERROR(__xludf.DUMMYFUNCTION("""COMPUTED_VALUE"""),"63ea6e9452ad6968805cec31")</f>
        <v>63ea6e9452ad6968805cec31</v>
      </c>
      <c r="B143" s="1" t="str">
        <f>IFERROR(__xludf.DUMMYFUNCTION("""COMPUTED_VALUE"""),"SYBCOM Gesellschaft fur Netzwerke")</f>
        <v>SYBCOM Gesellschaft fur Netzwerke</v>
      </c>
      <c r="C143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143" s="1" t="str">
        <f>IFERROR(__xludf.DUMMYFUNCTION("""COMPUTED_VALUE"""),"germany")</f>
        <v>germany</v>
      </c>
      <c r="E143" s="1" t="str">
        <f>IFERROR(__xludf.DUMMYFUNCTION("""COMPUTED_VALUE"""),"DE")</f>
        <v>DE</v>
      </c>
      <c r="F143" s="1" t="str">
        <f>IFERROR(__xludf.DUMMYFUNCTION("""COMPUTED_VALUE"""),"expert_200")</f>
        <v>expert_200</v>
      </c>
      <c r="G143" s="1">
        <f>IFERROR(__xludf.DUMMYFUNCTION("""COMPUTED_VALUE"""),1.0)</f>
        <v>1</v>
      </c>
      <c r="H143" s="1">
        <f>IFERROR(__xludf.DUMMYFUNCTION("""COMPUTED_VALUE"""),1.0)</f>
        <v>1</v>
      </c>
      <c r="I143" s="2">
        <f>IFERROR(__xludf.DUMMYFUNCTION("""COMPUTED_VALUE"""),1.0)</f>
        <v>1</v>
      </c>
      <c r="J143" s="1">
        <f>IFERROR(__xludf.DUMMYFUNCTION("""COMPUTED_VALUE"""),52.52)</f>
        <v>52.52</v>
      </c>
      <c r="K143" s="1">
        <f>IFERROR(__xludf.DUMMYFUNCTION("""COMPUTED_VALUE"""),264.0)</f>
        <v>264</v>
      </c>
      <c r="L143" s="2">
        <f>IFERROR(__xludf.DUMMYFUNCTION("""COMPUTED_VALUE"""),0.19893939393939394)</f>
        <v>0.1989393939</v>
      </c>
      <c r="M143" s="1">
        <f>IFERROR(__xludf.DUMMYFUNCTION("""COMPUTED_VALUE"""),43.0)</f>
        <v>43</v>
      </c>
      <c r="N143" s="1">
        <f>IFERROR(__xludf.DUMMYFUNCTION("""COMPUTED_VALUE"""),52.0)</f>
        <v>52</v>
      </c>
      <c r="O143" s="2">
        <f>IFERROR(__xludf.DUMMYFUNCTION("""COMPUTED_VALUE"""),0.8269230769230769)</f>
        <v>0.8269230769</v>
      </c>
      <c r="P143" s="1">
        <f>IFERROR(__xludf.DUMMYFUNCTION("""COMPUTED_VALUE"""),1.0)</f>
        <v>1</v>
      </c>
      <c r="Q143" s="1">
        <f>IFERROR(__xludf.DUMMYFUNCTION("""COMPUTED_VALUE"""),1.0)</f>
        <v>1</v>
      </c>
      <c r="R143" s="2">
        <f>IFERROR(__xludf.DUMMYFUNCTION("""COMPUTED_VALUE"""),1.0)</f>
        <v>1</v>
      </c>
      <c r="S143" s="1">
        <f>IFERROR(__xludf.DUMMYFUNCTION("""COMPUTED_VALUE"""),1.0)</f>
        <v>1</v>
      </c>
      <c r="T143" s="1">
        <f>IFERROR(__xludf.DUMMYFUNCTION("""COMPUTED_VALUE"""),1.0)</f>
        <v>1</v>
      </c>
      <c r="U143" s="2">
        <f>IFERROR(__xludf.DUMMYFUNCTION("""COMPUTED_VALUE"""),1.0)</f>
        <v>1</v>
      </c>
      <c r="V143" s="1">
        <f>IFERROR(__xludf.DUMMYFUNCTION("""COMPUTED_VALUE"""),1.0)</f>
        <v>1</v>
      </c>
      <c r="W143" s="1">
        <f>IFERROR(__xludf.DUMMYFUNCTION("""COMPUTED_VALUE"""),1.0)</f>
        <v>1</v>
      </c>
      <c r="X143" s="2">
        <f>IFERROR(__xludf.DUMMYFUNCTION("""COMPUTED_VALUE"""),1.0)</f>
        <v>1</v>
      </c>
      <c r="Y143" s="1">
        <f>IFERROR(__xludf.DUMMYFUNCTION("""COMPUTED_VALUE"""),0.0)</f>
        <v>0</v>
      </c>
      <c r="Z143" s="1">
        <f>IFERROR(__xludf.DUMMYFUNCTION("""COMPUTED_VALUE"""),0.0)</f>
        <v>0</v>
      </c>
      <c r="AA143" s="2" t="str">
        <f>IFERROR(__xludf.DUMMYFUNCTION("""COMPUTED_VALUE"""),"")</f>
        <v/>
      </c>
      <c r="AB143" s="1">
        <f>IFERROR(__xludf.DUMMYFUNCTION("""COMPUTED_VALUE"""),0.0)</f>
        <v>0</v>
      </c>
      <c r="AC143" s="1">
        <f>IFERROR(__xludf.DUMMYFUNCTION("""COMPUTED_VALUE"""),176.67)</f>
        <v>176.67</v>
      </c>
      <c r="AD143" s="2">
        <f>IFERROR(__xludf.DUMMYFUNCTION("""COMPUTED_VALUE"""),0.0)</f>
        <v>0</v>
      </c>
      <c r="AE143" s="1">
        <f>IFERROR(__xludf.DUMMYFUNCTION("""COMPUTED_VALUE"""),10.0)</f>
        <v>10</v>
      </c>
      <c r="AF143" s="1">
        <f>IFERROR(__xludf.DUMMYFUNCTION("""COMPUTED_VALUE"""),263.33)</f>
        <v>263.33</v>
      </c>
      <c r="AG143" s="2">
        <f>IFERROR(__xludf.DUMMYFUNCTION("""COMPUTED_VALUE"""),0.03797516424258535)</f>
        <v>0.03797516424</v>
      </c>
      <c r="AH143" s="1">
        <f>IFERROR(__xludf.DUMMYFUNCTION("""COMPUTED_VALUE"""),85.0)</f>
        <v>85</v>
      </c>
      <c r="AI143" s="1">
        <f>IFERROR(__xludf.DUMMYFUNCTION("""COMPUTED_VALUE"""),263.33)</f>
        <v>263.33</v>
      </c>
      <c r="AJ143" s="2">
        <f>IFERROR(__xludf.DUMMYFUNCTION("""COMPUTED_VALUE"""),0.32278889606197547)</f>
        <v>0.3227888961</v>
      </c>
      <c r="AK143" s="1">
        <f>IFERROR(__xludf.DUMMYFUNCTION("""COMPUTED_VALUE"""),95.0)</f>
        <v>95</v>
      </c>
      <c r="AL143" s="1">
        <f>IFERROR(__xludf.DUMMYFUNCTION("""COMPUTED_VALUE"""),703.3299999999999)</f>
        <v>703.33</v>
      </c>
      <c r="AM143" s="2">
        <f>IFERROR(__xludf.DUMMYFUNCTION("""COMPUTED_VALUE"""),0.13507173019777347)</f>
        <v>0.1350717302</v>
      </c>
      <c r="AN143" s="1">
        <f>IFERROR(__xludf.DUMMYFUNCTION("""COMPUTED_VALUE"""),0.0)</f>
        <v>0</v>
      </c>
      <c r="AO143" s="1">
        <f>IFERROR(__xludf.DUMMYFUNCTION("""COMPUTED_VALUE"""),0.0)</f>
        <v>0</v>
      </c>
      <c r="AP143" s="2" t="str">
        <f>IFERROR(__xludf.DUMMYFUNCTION("""COMPUTED_VALUE"""),"")</f>
        <v/>
      </c>
      <c r="AQ143" s="1">
        <f>IFERROR(__xludf.DUMMYFUNCTION("""COMPUTED_VALUE"""),0.0)</f>
        <v>0</v>
      </c>
      <c r="AR143" s="1">
        <f>IFERROR(__xludf.DUMMYFUNCTION("""COMPUTED_VALUE"""),0.0)</f>
        <v>0</v>
      </c>
      <c r="AS143" s="2" t="str">
        <f>IFERROR(__xludf.DUMMYFUNCTION("""COMPUTED_VALUE"""),"")</f>
        <v/>
      </c>
      <c r="AT143" s="1">
        <f>IFERROR(__xludf.DUMMYFUNCTION("""COMPUTED_VALUE"""),0.0)</f>
        <v>0</v>
      </c>
      <c r="AU143" s="1">
        <f>IFERROR(__xludf.DUMMYFUNCTION("""COMPUTED_VALUE"""),0.0)</f>
        <v>0</v>
      </c>
      <c r="AV143" s="2" t="str">
        <f>IFERROR(__xludf.DUMMYFUNCTION("""COMPUTED_VALUE"""),"")</f>
        <v/>
      </c>
      <c r="AW143" s="1">
        <f>IFERROR(__xludf.DUMMYFUNCTION("""COMPUTED_VALUE"""),0.0)</f>
        <v>0</v>
      </c>
      <c r="AX143" s="1">
        <f>IFERROR(__xludf.DUMMYFUNCTION("""COMPUTED_VALUE"""),0.0)</f>
        <v>0</v>
      </c>
      <c r="AY143" s="2" t="str">
        <f>IFERROR(__xludf.DUMMYFUNCTION("""COMPUTED_VALUE"""),"")</f>
        <v/>
      </c>
      <c r="AZ143" s="1">
        <f>IFERROR(__xludf.DUMMYFUNCTION("""COMPUTED_VALUE"""),0.0)</f>
        <v>0</v>
      </c>
      <c r="BA143" s="1">
        <f>IFERROR(__xludf.DUMMYFUNCTION("""COMPUTED_VALUE"""),0.0)</f>
        <v>0</v>
      </c>
      <c r="BB143" s="2" t="str">
        <f>IFERROR(__xludf.DUMMYFUNCTION("""COMPUTED_VALUE"""),"")</f>
        <v/>
      </c>
    </row>
    <row r="144">
      <c r="A144" s="1" t="str">
        <f>IFERROR(__xludf.DUMMYFUNCTION("""COMPUTED_VALUE"""),"63ced849c5c820531c268e88")</f>
        <v>63ced849c5c820531c268e88</v>
      </c>
      <c r="B144" s="1" t="str">
        <f>IFERROR(__xludf.DUMMYFUNCTION("""COMPUTED_VALUE"""),"sysob IT-Distribution GmbH &amp; Co.KG")</f>
        <v>sysob IT-Distribution GmbH &amp; Co.KG</v>
      </c>
      <c r="C144" s="1" t="str">
        <f>IFERROR(__xludf.DUMMYFUNCTION("""COMPUTED_VALUE"""),"marcel.marx@al-enterprise.com")</f>
        <v>marcel.marx@al-enterprise.com</v>
      </c>
      <c r="D144" s="1" t="str">
        <f>IFERROR(__xludf.DUMMYFUNCTION("""COMPUTED_VALUE"""),"germany")</f>
        <v>germany</v>
      </c>
      <c r="E144" s="1" t="str">
        <f>IFERROR(__xludf.DUMMYFUNCTION("""COMPUTED_VALUE"""),"DE")</f>
        <v>DE</v>
      </c>
      <c r="F144" s="1" t="str">
        <f>IFERROR(__xludf.DUMMYFUNCTION("""COMPUTED_VALUE"""),"distributor")</f>
        <v>distributor</v>
      </c>
      <c r="G144" s="1">
        <f>IFERROR(__xludf.DUMMYFUNCTION("""COMPUTED_VALUE"""),0.0)</f>
        <v>0</v>
      </c>
      <c r="H144" s="1">
        <f>IFERROR(__xludf.DUMMYFUNCTION("""COMPUTED_VALUE"""),1.0)</f>
        <v>1</v>
      </c>
      <c r="I144" s="2">
        <f>IFERROR(__xludf.DUMMYFUNCTION("""COMPUTED_VALUE"""),0.0)</f>
        <v>0</v>
      </c>
      <c r="J144" s="1">
        <f>IFERROR(__xludf.DUMMYFUNCTION("""COMPUTED_VALUE"""),18.41)</f>
        <v>18.41</v>
      </c>
      <c r="K144" s="1">
        <f>IFERROR(__xludf.DUMMYFUNCTION("""COMPUTED_VALUE"""),500.0)</f>
        <v>500</v>
      </c>
      <c r="L144" s="2">
        <f>IFERROR(__xludf.DUMMYFUNCTION("""COMPUTED_VALUE"""),0.03682)</f>
        <v>0.03682</v>
      </c>
      <c r="M144" s="1">
        <f>IFERROR(__xludf.DUMMYFUNCTION("""COMPUTED_VALUE"""),0.0)</f>
        <v>0</v>
      </c>
      <c r="N144" s="1">
        <f>IFERROR(__xludf.DUMMYFUNCTION("""COMPUTED_VALUE"""),0.0)</f>
        <v>0</v>
      </c>
      <c r="O144" s="2" t="str">
        <f>IFERROR(__xludf.DUMMYFUNCTION("""COMPUTED_VALUE"""),"")</f>
        <v/>
      </c>
      <c r="P144" s="1">
        <f>IFERROR(__xludf.DUMMYFUNCTION("""COMPUTED_VALUE"""),0.0)</f>
        <v>0</v>
      </c>
      <c r="Q144" s="1">
        <f>IFERROR(__xludf.DUMMYFUNCTION("""COMPUTED_VALUE"""),1.0)</f>
        <v>1</v>
      </c>
      <c r="R144" s="2">
        <f>IFERROR(__xludf.DUMMYFUNCTION("""COMPUTED_VALUE"""),0.0)</f>
        <v>0</v>
      </c>
      <c r="S144" s="1">
        <f>IFERROR(__xludf.DUMMYFUNCTION("""COMPUTED_VALUE"""),0.0)</f>
        <v>0</v>
      </c>
      <c r="T144" s="1">
        <f>IFERROR(__xludf.DUMMYFUNCTION("""COMPUTED_VALUE"""),1.0)</f>
        <v>1</v>
      </c>
      <c r="U144" s="2">
        <f>IFERROR(__xludf.DUMMYFUNCTION("""COMPUTED_VALUE"""),0.0)</f>
        <v>0</v>
      </c>
      <c r="V144" s="1">
        <f>IFERROR(__xludf.DUMMYFUNCTION("""COMPUTED_VALUE"""),0.0)</f>
        <v>0</v>
      </c>
      <c r="W144" s="1">
        <f>IFERROR(__xludf.DUMMYFUNCTION("""COMPUTED_VALUE"""),1.0)</f>
        <v>1</v>
      </c>
      <c r="X144" s="2">
        <f>IFERROR(__xludf.DUMMYFUNCTION("""COMPUTED_VALUE"""),0.0)</f>
        <v>0</v>
      </c>
      <c r="Y144" s="1">
        <f>IFERROR(__xludf.DUMMYFUNCTION("""COMPUTED_VALUE"""),0.0)</f>
        <v>0</v>
      </c>
      <c r="Z144" s="1">
        <f>IFERROR(__xludf.DUMMYFUNCTION("""COMPUTED_VALUE"""),0.0)</f>
        <v>0</v>
      </c>
      <c r="AA144" s="2" t="str">
        <f>IFERROR(__xludf.DUMMYFUNCTION("""COMPUTED_VALUE"""),"")</f>
        <v/>
      </c>
      <c r="AB144" s="1">
        <f>IFERROR(__xludf.DUMMYFUNCTION("""COMPUTED_VALUE"""),0.0)</f>
        <v>0</v>
      </c>
      <c r="AC144" s="1">
        <f>IFERROR(__xludf.DUMMYFUNCTION("""COMPUTED_VALUE"""),416.67)</f>
        <v>416.67</v>
      </c>
      <c r="AD144" s="2">
        <f>IFERROR(__xludf.DUMMYFUNCTION("""COMPUTED_VALUE"""),0.0)</f>
        <v>0</v>
      </c>
      <c r="AE144" s="1">
        <f>IFERROR(__xludf.DUMMYFUNCTION("""COMPUTED_VALUE"""),0.0)</f>
        <v>0</v>
      </c>
      <c r="AF144" s="1">
        <f>IFERROR(__xludf.DUMMYFUNCTION("""COMPUTED_VALUE"""),416.67)</f>
        <v>416.67</v>
      </c>
      <c r="AG144" s="2">
        <f>IFERROR(__xludf.DUMMYFUNCTION("""COMPUTED_VALUE"""),0.0)</f>
        <v>0</v>
      </c>
      <c r="AH144" s="1">
        <f>IFERROR(__xludf.DUMMYFUNCTION("""COMPUTED_VALUE"""),40.4)</f>
        <v>40.4</v>
      </c>
      <c r="AI144" s="1">
        <f>IFERROR(__xludf.DUMMYFUNCTION("""COMPUTED_VALUE"""),416.67)</f>
        <v>416.67</v>
      </c>
      <c r="AJ144" s="2">
        <f>IFERROR(__xludf.DUMMYFUNCTION("""COMPUTED_VALUE"""),0.09695922432620538)</f>
        <v>0.09695922433</v>
      </c>
      <c r="AK144" s="1">
        <f>IFERROR(__xludf.DUMMYFUNCTION("""COMPUTED_VALUE"""),40.4)</f>
        <v>40.4</v>
      </c>
      <c r="AL144" s="1">
        <f>IFERROR(__xludf.DUMMYFUNCTION("""COMPUTED_VALUE"""),1250.01)</f>
        <v>1250.01</v>
      </c>
      <c r="AM144" s="2">
        <f>IFERROR(__xludf.DUMMYFUNCTION("""COMPUTED_VALUE"""),0.032319741442068464)</f>
        <v>0.03231974144</v>
      </c>
      <c r="AN144" s="1">
        <f>IFERROR(__xludf.DUMMYFUNCTION("""COMPUTED_VALUE"""),0.0)</f>
        <v>0</v>
      </c>
      <c r="AO144" s="1">
        <f>IFERROR(__xludf.DUMMYFUNCTION("""COMPUTED_VALUE"""),0.0)</f>
        <v>0</v>
      </c>
      <c r="AP144" s="2" t="str">
        <f>IFERROR(__xludf.DUMMYFUNCTION("""COMPUTED_VALUE"""),"")</f>
        <v/>
      </c>
      <c r="AQ144" s="1">
        <f>IFERROR(__xludf.DUMMYFUNCTION("""COMPUTED_VALUE"""),0.0)</f>
        <v>0</v>
      </c>
      <c r="AR144" s="1">
        <f>IFERROR(__xludf.DUMMYFUNCTION("""COMPUTED_VALUE"""),0.0)</f>
        <v>0</v>
      </c>
      <c r="AS144" s="2" t="str">
        <f>IFERROR(__xludf.DUMMYFUNCTION("""COMPUTED_VALUE"""),"")</f>
        <v/>
      </c>
      <c r="AT144" s="1">
        <f>IFERROR(__xludf.DUMMYFUNCTION("""COMPUTED_VALUE"""),0.0)</f>
        <v>0</v>
      </c>
      <c r="AU144" s="1">
        <f>IFERROR(__xludf.DUMMYFUNCTION("""COMPUTED_VALUE"""),0.0)</f>
        <v>0</v>
      </c>
      <c r="AV144" s="2" t="str">
        <f>IFERROR(__xludf.DUMMYFUNCTION("""COMPUTED_VALUE"""),"")</f>
        <v/>
      </c>
      <c r="AW144" s="1">
        <f>IFERROR(__xludf.DUMMYFUNCTION("""COMPUTED_VALUE"""),0.0)</f>
        <v>0</v>
      </c>
      <c r="AX144" s="1">
        <f>IFERROR(__xludf.DUMMYFUNCTION("""COMPUTED_VALUE"""),0.0)</f>
        <v>0</v>
      </c>
      <c r="AY144" s="2" t="str">
        <f>IFERROR(__xludf.DUMMYFUNCTION("""COMPUTED_VALUE"""),"")</f>
        <v/>
      </c>
      <c r="AZ144" s="1">
        <f>IFERROR(__xludf.DUMMYFUNCTION("""COMPUTED_VALUE"""),0.0)</f>
        <v>0</v>
      </c>
      <c r="BA144" s="1">
        <f>IFERROR(__xludf.DUMMYFUNCTION("""COMPUTED_VALUE"""),0.0)</f>
        <v>0</v>
      </c>
      <c r="BB144" s="2" t="str">
        <f>IFERROR(__xludf.DUMMYFUNCTION("""COMPUTED_VALUE"""),"")</f>
        <v/>
      </c>
    </row>
    <row r="145">
      <c r="A145" s="1" t="str">
        <f>IFERROR(__xludf.DUMMYFUNCTION("""COMPUTED_VALUE"""),"63ea6e9352ad6968805ceae1")</f>
        <v>63ea6e9352ad6968805ceae1</v>
      </c>
      <c r="B145" s="1" t="str">
        <f>IFERROR(__xludf.DUMMYFUNCTION("""COMPUTED_VALUE"""),"systel GmbH")</f>
        <v>systel GmbH</v>
      </c>
      <c r="C145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145" s="1" t="str">
        <f>IFERROR(__xludf.DUMMYFUNCTION("""COMPUTED_VALUE"""),"germany")</f>
        <v>germany</v>
      </c>
      <c r="E145" s="1" t="str">
        <f>IFERROR(__xludf.DUMMYFUNCTION("""COMPUTED_VALUE"""),"DE")</f>
        <v>DE</v>
      </c>
      <c r="F145" s="1" t="str">
        <f>IFERROR(__xludf.DUMMYFUNCTION("""COMPUTED_VALUE"""),"expert_200")</f>
        <v>expert_200</v>
      </c>
      <c r="G145" s="1">
        <f>IFERROR(__xludf.DUMMYFUNCTION("""COMPUTED_VALUE"""),1.0)</f>
        <v>1</v>
      </c>
      <c r="H145" s="1">
        <f>IFERROR(__xludf.DUMMYFUNCTION("""COMPUTED_VALUE"""),1.0)</f>
        <v>1</v>
      </c>
      <c r="I145" s="2">
        <f>IFERROR(__xludf.DUMMYFUNCTION("""COMPUTED_VALUE"""),1.0)</f>
        <v>1</v>
      </c>
      <c r="J145" s="1">
        <f>IFERROR(__xludf.DUMMYFUNCTION("""COMPUTED_VALUE"""),338.3)</f>
        <v>338.3</v>
      </c>
      <c r="K145" s="1">
        <f>IFERROR(__xludf.DUMMYFUNCTION("""COMPUTED_VALUE"""),650.0)</f>
        <v>650</v>
      </c>
      <c r="L145" s="2">
        <f>IFERROR(__xludf.DUMMYFUNCTION("""COMPUTED_VALUE"""),0.5204615384615385)</f>
        <v>0.5204615385</v>
      </c>
      <c r="M145" s="1">
        <f>IFERROR(__xludf.DUMMYFUNCTION("""COMPUTED_VALUE"""),18.0)</f>
        <v>18</v>
      </c>
      <c r="N145" s="1">
        <f>IFERROR(__xludf.DUMMYFUNCTION("""COMPUTED_VALUE"""),52.0)</f>
        <v>52</v>
      </c>
      <c r="O145" s="2">
        <f>IFERROR(__xludf.DUMMYFUNCTION("""COMPUTED_VALUE"""),0.34615384615384615)</f>
        <v>0.3461538462</v>
      </c>
      <c r="P145" s="1">
        <f>IFERROR(__xludf.DUMMYFUNCTION("""COMPUTED_VALUE"""),0.0)</f>
        <v>0</v>
      </c>
      <c r="Q145" s="1">
        <f>IFERROR(__xludf.DUMMYFUNCTION("""COMPUTED_VALUE"""),1.0)</f>
        <v>1</v>
      </c>
      <c r="R145" s="2">
        <f>IFERROR(__xludf.DUMMYFUNCTION("""COMPUTED_VALUE"""),0.0)</f>
        <v>0</v>
      </c>
      <c r="S145" s="1">
        <f>IFERROR(__xludf.DUMMYFUNCTION("""COMPUTED_VALUE"""),0.0)</f>
        <v>0</v>
      </c>
      <c r="T145" s="1">
        <f>IFERROR(__xludf.DUMMYFUNCTION("""COMPUTED_VALUE"""),1.0)</f>
        <v>1</v>
      </c>
      <c r="U145" s="2">
        <f>IFERROR(__xludf.DUMMYFUNCTION("""COMPUTED_VALUE"""),0.0)</f>
        <v>0</v>
      </c>
      <c r="V145" s="1">
        <f>IFERROR(__xludf.DUMMYFUNCTION("""COMPUTED_VALUE"""),0.0)</f>
        <v>0</v>
      </c>
      <c r="W145" s="1">
        <f>IFERROR(__xludf.DUMMYFUNCTION("""COMPUTED_VALUE"""),1.0)</f>
        <v>1</v>
      </c>
      <c r="X145" s="2">
        <f>IFERROR(__xludf.DUMMYFUNCTION("""COMPUTED_VALUE"""),0.0)</f>
        <v>0</v>
      </c>
      <c r="Y145" s="1">
        <f>IFERROR(__xludf.DUMMYFUNCTION("""COMPUTED_VALUE"""),2.3)</f>
        <v>2.3</v>
      </c>
      <c r="Z145" s="1">
        <f>IFERROR(__xludf.DUMMYFUNCTION("""COMPUTED_VALUE"""),0.0)</f>
        <v>0</v>
      </c>
      <c r="AA145" s="2" t="str">
        <f>IFERROR(__xludf.DUMMYFUNCTION("""COMPUTED_VALUE"""),"")</f>
        <v/>
      </c>
      <c r="AB145" s="1">
        <f>IFERROR(__xludf.DUMMYFUNCTION("""COMPUTED_VALUE"""),2.46)</f>
        <v>2.46</v>
      </c>
      <c r="AC145" s="1">
        <f>IFERROR(__xludf.DUMMYFUNCTION("""COMPUTED_VALUE"""),213.11)</f>
        <v>213.11</v>
      </c>
      <c r="AD145" s="2">
        <f>IFERROR(__xludf.DUMMYFUNCTION("""COMPUTED_VALUE"""),0.011543334428229551)</f>
        <v>0.01154333443</v>
      </c>
      <c r="AE145" s="1">
        <f>IFERROR(__xludf.DUMMYFUNCTION("""COMPUTED_VALUE"""),482.67)</f>
        <v>482.67</v>
      </c>
      <c r="AF145" s="1">
        <f>IFERROR(__xludf.DUMMYFUNCTION("""COMPUTED_VALUE"""),318.03)</f>
        <v>318.03</v>
      </c>
      <c r="AG145" s="2">
        <f>IFERROR(__xludf.DUMMYFUNCTION("""COMPUTED_VALUE"""),1.5176870106593718)</f>
        <v>1.517687011</v>
      </c>
      <c r="AH145" s="1">
        <f>IFERROR(__xludf.DUMMYFUNCTION("""COMPUTED_VALUE"""),102.29)</f>
        <v>102.29</v>
      </c>
      <c r="AI145" s="1">
        <f>IFERROR(__xludf.DUMMYFUNCTION("""COMPUTED_VALUE"""),321.31)</f>
        <v>321.31</v>
      </c>
      <c r="AJ145" s="2">
        <f>IFERROR(__xludf.DUMMYFUNCTION("""COMPUTED_VALUE"""),0.3183529924372102)</f>
        <v>0.3183529924</v>
      </c>
      <c r="AK145" s="1">
        <f>IFERROR(__xludf.DUMMYFUNCTION("""COMPUTED_VALUE"""),589.72)</f>
        <v>589.72</v>
      </c>
      <c r="AL145" s="1">
        <f>IFERROR(__xludf.DUMMYFUNCTION("""COMPUTED_VALUE"""),852.45)</f>
        <v>852.45</v>
      </c>
      <c r="AM145" s="2">
        <f>IFERROR(__xludf.DUMMYFUNCTION("""COMPUTED_VALUE"""),0.691794240131386)</f>
        <v>0.6917942401</v>
      </c>
      <c r="AN145" s="1">
        <f>IFERROR(__xludf.DUMMYFUNCTION("""COMPUTED_VALUE"""),25.0)</f>
        <v>25</v>
      </c>
      <c r="AO145" s="1">
        <f>IFERROR(__xludf.DUMMYFUNCTION("""COMPUTED_VALUE"""),0.0)</f>
        <v>0</v>
      </c>
      <c r="AP145" s="2" t="str">
        <f>IFERROR(__xludf.DUMMYFUNCTION("""COMPUTED_VALUE"""),"")</f>
        <v/>
      </c>
      <c r="AQ145" s="1">
        <f>IFERROR(__xludf.DUMMYFUNCTION("""COMPUTED_VALUE"""),0.0)</f>
        <v>0</v>
      </c>
      <c r="AR145" s="1">
        <f>IFERROR(__xludf.DUMMYFUNCTION("""COMPUTED_VALUE"""),0.0)</f>
        <v>0</v>
      </c>
      <c r="AS145" s="2" t="str">
        <f>IFERROR(__xludf.DUMMYFUNCTION("""COMPUTED_VALUE"""),"")</f>
        <v/>
      </c>
      <c r="AT145" s="1">
        <f>IFERROR(__xludf.DUMMYFUNCTION("""COMPUTED_VALUE"""),0.0)</f>
        <v>0</v>
      </c>
      <c r="AU145" s="1">
        <f>IFERROR(__xludf.DUMMYFUNCTION("""COMPUTED_VALUE"""),0.0)</f>
        <v>0</v>
      </c>
      <c r="AV145" s="2" t="str">
        <f>IFERROR(__xludf.DUMMYFUNCTION("""COMPUTED_VALUE"""),"")</f>
        <v/>
      </c>
      <c r="AW145" s="1">
        <f>IFERROR(__xludf.DUMMYFUNCTION("""COMPUTED_VALUE"""),0.0)</f>
        <v>0</v>
      </c>
      <c r="AX145" s="1">
        <f>IFERROR(__xludf.DUMMYFUNCTION("""COMPUTED_VALUE"""),0.0)</f>
        <v>0</v>
      </c>
      <c r="AY145" s="2" t="str">
        <f>IFERROR(__xludf.DUMMYFUNCTION("""COMPUTED_VALUE"""),"")</f>
        <v/>
      </c>
      <c r="AZ145" s="1">
        <f>IFERROR(__xludf.DUMMYFUNCTION("""COMPUTED_VALUE"""),25.0)</f>
        <v>25</v>
      </c>
      <c r="BA145" s="1">
        <f>IFERROR(__xludf.DUMMYFUNCTION("""COMPUTED_VALUE"""),0.0)</f>
        <v>0</v>
      </c>
      <c r="BB145" s="2" t="str">
        <f>IFERROR(__xludf.DUMMYFUNCTION("""COMPUTED_VALUE"""),"")</f>
        <v/>
      </c>
    </row>
    <row r="146">
      <c r="A146" s="1" t="str">
        <f>IFERROR(__xludf.DUMMYFUNCTION("""COMPUTED_VALUE"""),"6299ff38f5acbb30cc0bd2d7")</f>
        <v>6299ff38f5acbb30cc0bd2d7</v>
      </c>
      <c r="B146" s="1" t="str">
        <f>IFERROR(__xludf.DUMMYFUNCTION("""COMPUTED_VALUE"""),"TD Synnex Canada ULC")</f>
        <v>TD Synnex Canada ULC</v>
      </c>
      <c r="C146" s="1" t="str">
        <f>IFERROR(__xludf.DUMMYFUNCTION("""COMPUTED_VALUE"""),"philippe.girard@al-enterprise.com, rui.silva@al-enterprise.com, margret.moyle@al-enterprise.com, charlotte.holtzer@al-enterprise.com")</f>
        <v>philippe.girard@al-enterprise.com, rui.silva@al-enterprise.com, margret.moyle@al-enterprise.com, charlotte.holtzer@al-enterprise.com</v>
      </c>
      <c r="D146" s="1" t="str">
        <f>IFERROR(__xludf.DUMMYFUNCTION("""COMPUTED_VALUE"""),"americas")</f>
        <v>americas</v>
      </c>
      <c r="E146" s="1" t="str">
        <f>IFERROR(__xludf.DUMMYFUNCTION("""COMPUTED_VALUE"""),"CA")</f>
        <v>CA</v>
      </c>
      <c r="F146" s="1" t="str">
        <f>IFERROR(__xludf.DUMMYFUNCTION("""COMPUTED_VALUE"""),"distributor")</f>
        <v>distributor</v>
      </c>
      <c r="G146" s="1">
        <f>IFERROR(__xludf.DUMMYFUNCTION("""COMPUTED_VALUE"""),0.0)</f>
        <v>0</v>
      </c>
      <c r="H146" s="1">
        <f>IFERROR(__xludf.DUMMYFUNCTION("""COMPUTED_VALUE"""),1.0)</f>
        <v>1</v>
      </c>
      <c r="I146" s="2">
        <f>IFERROR(__xludf.DUMMYFUNCTION("""COMPUTED_VALUE"""),0.0)</f>
        <v>0</v>
      </c>
      <c r="J146" s="1">
        <f>IFERROR(__xludf.DUMMYFUNCTION("""COMPUTED_VALUE"""),234.26)</f>
        <v>234.26</v>
      </c>
      <c r="K146" s="1">
        <f>IFERROR(__xludf.DUMMYFUNCTION("""COMPUTED_VALUE"""),0.0)</f>
        <v>0</v>
      </c>
      <c r="L146" s="2" t="str">
        <f>IFERROR(__xludf.DUMMYFUNCTION("""COMPUTED_VALUE"""),"")</f>
        <v/>
      </c>
      <c r="M146" s="1">
        <f>IFERROR(__xludf.DUMMYFUNCTION("""COMPUTED_VALUE"""),4.0)</f>
        <v>4</v>
      </c>
      <c r="N146" s="1">
        <f>IFERROR(__xludf.DUMMYFUNCTION("""COMPUTED_VALUE"""),57.0)</f>
        <v>57</v>
      </c>
      <c r="O146" s="2">
        <f>IFERROR(__xludf.DUMMYFUNCTION("""COMPUTED_VALUE"""),0.07017543859649122)</f>
        <v>0.0701754386</v>
      </c>
      <c r="P146" s="1">
        <f>IFERROR(__xludf.DUMMYFUNCTION("""COMPUTED_VALUE"""),0.0)</f>
        <v>0</v>
      </c>
      <c r="Q146" s="1">
        <f>IFERROR(__xludf.DUMMYFUNCTION("""COMPUTED_VALUE"""),1.0)</f>
        <v>1</v>
      </c>
      <c r="R146" s="2">
        <f>IFERROR(__xludf.DUMMYFUNCTION("""COMPUTED_VALUE"""),0.0)</f>
        <v>0</v>
      </c>
      <c r="S146" s="1">
        <f>IFERROR(__xludf.DUMMYFUNCTION("""COMPUTED_VALUE"""),1.0)</f>
        <v>1</v>
      </c>
      <c r="T146" s="1">
        <f>IFERROR(__xludf.DUMMYFUNCTION("""COMPUTED_VALUE"""),1.0)</f>
        <v>1</v>
      </c>
      <c r="U146" s="2">
        <f>IFERROR(__xludf.DUMMYFUNCTION("""COMPUTED_VALUE"""),1.0)</f>
        <v>1</v>
      </c>
      <c r="V146" s="1">
        <f>IFERROR(__xludf.DUMMYFUNCTION("""COMPUTED_VALUE"""),0.0)</f>
        <v>0</v>
      </c>
      <c r="W146" s="1">
        <f>IFERROR(__xludf.DUMMYFUNCTION("""COMPUTED_VALUE"""),1.0)</f>
        <v>1</v>
      </c>
      <c r="X146" s="2">
        <f>IFERROR(__xludf.DUMMYFUNCTION("""COMPUTED_VALUE"""),0.0)</f>
        <v>0</v>
      </c>
      <c r="Y146" s="1">
        <f>IFERROR(__xludf.DUMMYFUNCTION("""COMPUTED_VALUE"""),2.82)</f>
        <v>2.82</v>
      </c>
      <c r="Z146" s="1">
        <f>IFERROR(__xludf.DUMMYFUNCTION("""COMPUTED_VALUE"""),0.0)</f>
        <v>0</v>
      </c>
      <c r="AA146" s="2" t="str">
        <f>IFERROR(__xludf.DUMMYFUNCTION("""COMPUTED_VALUE"""),"")</f>
        <v/>
      </c>
      <c r="AB146" s="1">
        <f>IFERROR(__xludf.DUMMYFUNCTION("""COMPUTED_VALUE"""),0.8)</f>
        <v>0.8</v>
      </c>
      <c r="AC146" s="1">
        <f>IFERROR(__xludf.DUMMYFUNCTION("""COMPUTED_VALUE"""),114.94)</f>
        <v>114.94</v>
      </c>
      <c r="AD146" s="2">
        <f>IFERROR(__xludf.DUMMYFUNCTION("""COMPUTED_VALUE"""),0.006960153123368715)</f>
        <v>0.006960153123</v>
      </c>
      <c r="AE146" s="1">
        <f>IFERROR(__xludf.DUMMYFUNCTION("""COMPUTED_VALUE"""),0.8)</f>
        <v>0.8</v>
      </c>
      <c r="AF146" s="1">
        <f>IFERROR(__xludf.DUMMYFUNCTION("""COMPUTED_VALUE"""),499.98)</f>
        <v>499.98</v>
      </c>
      <c r="AG146" s="2">
        <f>IFERROR(__xludf.DUMMYFUNCTION("""COMPUTED_VALUE"""),0.0016000640025601025)</f>
        <v>0.001600064003</v>
      </c>
      <c r="AH146" s="1">
        <f>IFERROR(__xludf.DUMMYFUNCTION("""COMPUTED_VALUE"""),0.0)</f>
        <v>0</v>
      </c>
      <c r="AI146" s="1">
        <f>IFERROR(__xludf.DUMMYFUNCTION("""COMPUTED_VALUE"""),499.98)</f>
        <v>499.98</v>
      </c>
      <c r="AJ146" s="2">
        <f>IFERROR(__xludf.DUMMYFUNCTION("""COMPUTED_VALUE"""),0.0)</f>
        <v>0</v>
      </c>
      <c r="AK146" s="1">
        <f>IFERROR(__xludf.DUMMYFUNCTION("""COMPUTED_VALUE"""),4.42)</f>
        <v>4.42</v>
      </c>
      <c r="AL146" s="1">
        <f>IFERROR(__xludf.DUMMYFUNCTION("""COMPUTED_VALUE"""),1114.9)</f>
        <v>1114.9</v>
      </c>
      <c r="AM146" s="2">
        <f>IFERROR(__xludf.DUMMYFUNCTION("""COMPUTED_VALUE"""),0.003964481119382904)</f>
        <v>0.003964481119</v>
      </c>
      <c r="AN146" s="1">
        <f>IFERROR(__xludf.DUMMYFUNCTION("""COMPUTED_VALUE"""),2.82)</f>
        <v>2.82</v>
      </c>
      <c r="AO146" s="1">
        <f>IFERROR(__xludf.DUMMYFUNCTION("""COMPUTED_VALUE"""),0.0)</f>
        <v>0</v>
      </c>
      <c r="AP146" s="2" t="str">
        <f>IFERROR(__xludf.DUMMYFUNCTION("""COMPUTED_VALUE"""),"")</f>
        <v/>
      </c>
      <c r="AQ146" s="1">
        <f>IFERROR(__xludf.DUMMYFUNCTION("""COMPUTED_VALUE"""),5.7)</f>
        <v>5.7</v>
      </c>
      <c r="AR146" s="1">
        <f>IFERROR(__xludf.DUMMYFUNCTION("""COMPUTED_VALUE"""),0.0)</f>
        <v>0</v>
      </c>
      <c r="AS146" s="2" t="str">
        <f>IFERROR(__xludf.DUMMYFUNCTION("""COMPUTED_VALUE"""),"")</f>
        <v/>
      </c>
      <c r="AT146" s="1">
        <f>IFERROR(__xludf.DUMMYFUNCTION("""COMPUTED_VALUE"""),0.0)</f>
        <v>0</v>
      </c>
      <c r="AU146" s="1">
        <f>IFERROR(__xludf.DUMMYFUNCTION("""COMPUTED_VALUE"""),0.0)</f>
        <v>0</v>
      </c>
      <c r="AV146" s="2" t="str">
        <f>IFERROR(__xludf.DUMMYFUNCTION("""COMPUTED_VALUE"""),"")</f>
        <v/>
      </c>
      <c r="AW146" s="1">
        <f>IFERROR(__xludf.DUMMYFUNCTION("""COMPUTED_VALUE"""),0.0)</f>
        <v>0</v>
      </c>
      <c r="AX146" s="1">
        <f>IFERROR(__xludf.DUMMYFUNCTION("""COMPUTED_VALUE"""),0.0)</f>
        <v>0</v>
      </c>
      <c r="AY146" s="2" t="str">
        <f>IFERROR(__xludf.DUMMYFUNCTION("""COMPUTED_VALUE"""),"")</f>
        <v/>
      </c>
      <c r="AZ146" s="1">
        <f>IFERROR(__xludf.DUMMYFUNCTION("""COMPUTED_VALUE"""),8.52)</f>
        <v>8.52</v>
      </c>
      <c r="BA146" s="1">
        <f>IFERROR(__xludf.DUMMYFUNCTION("""COMPUTED_VALUE"""),0.0)</f>
        <v>0</v>
      </c>
      <c r="BB146" s="2" t="str">
        <f>IFERROR(__xludf.DUMMYFUNCTION("""COMPUTED_VALUE"""),"")</f>
        <v/>
      </c>
    </row>
    <row r="147">
      <c r="A147" s="1" t="str">
        <f>IFERROR(__xludf.DUMMYFUNCTION("""COMPUTED_VALUE"""),"63ced84cc5c820531c2694a0")</f>
        <v>63ced84cc5c820531c2694a0</v>
      </c>
      <c r="B147" s="1" t="str">
        <f>IFERROR(__xludf.DUMMYFUNCTION("""COMPUTED_VALUE"""),"TD SYNNEX Corporation (CA)")</f>
        <v>TD SYNNEX Corporation (CA)</v>
      </c>
      <c r="C147" s="1" t="str">
        <f>IFERROR(__xludf.DUMMYFUNCTION("""COMPUTED_VALUE"""),"holly.berger@al-enterprise.com")</f>
        <v>holly.berger@al-enterprise.com</v>
      </c>
      <c r="D147" s="1" t="str">
        <f>IFERROR(__xludf.DUMMYFUNCTION("""COMPUTED_VALUE"""),"americas")</f>
        <v>americas</v>
      </c>
      <c r="E147" s="1" t="str">
        <f>IFERROR(__xludf.DUMMYFUNCTION("""COMPUTED_VALUE"""),"US")</f>
        <v>US</v>
      </c>
      <c r="F147" s="1" t="str">
        <f>IFERROR(__xludf.DUMMYFUNCTION("""COMPUTED_VALUE"""),"distributor_1000")</f>
        <v>distributor_1000</v>
      </c>
      <c r="G147" s="1">
        <f>IFERROR(__xludf.DUMMYFUNCTION("""COMPUTED_VALUE"""),0.0)</f>
        <v>0</v>
      </c>
      <c r="H147" s="1">
        <f>IFERROR(__xludf.DUMMYFUNCTION("""COMPUTED_VALUE"""),1.0)</f>
        <v>1</v>
      </c>
      <c r="I147" s="2">
        <f>IFERROR(__xludf.DUMMYFUNCTION("""COMPUTED_VALUE"""),0.0)</f>
        <v>0</v>
      </c>
      <c r="J147" s="1">
        <f>IFERROR(__xludf.DUMMYFUNCTION("""COMPUTED_VALUE"""),3234.44)</f>
        <v>3234.44</v>
      </c>
      <c r="K147" s="1">
        <f>IFERROR(__xludf.DUMMYFUNCTION("""COMPUTED_VALUE"""),4279.96)</f>
        <v>4279.96</v>
      </c>
      <c r="L147" s="2">
        <f>IFERROR(__xludf.DUMMYFUNCTION("""COMPUTED_VALUE"""),0.7557173431527398)</f>
        <v>0.7557173432</v>
      </c>
      <c r="M147" s="1">
        <f>IFERROR(__xludf.DUMMYFUNCTION("""COMPUTED_VALUE"""),4.0)</f>
        <v>4</v>
      </c>
      <c r="N147" s="1">
        <f>IFERROR(__xludf.DUMMYFUNCTION("""COMPUTED_VALUE"""),56.0)</f>
        <v>56</v>
      </c>
      <c r="O147" s="2">
        <f>IFERROR(__xludf.DUMMYFUNCTION("""COMPUTED_VALUE"""),0.07142857142857142)</f>
        <v>0.07142857143</v>
      </c>
      <c r="P147" s="1">
        <f>IFERROR(__xludf.DUMMYFUNCTION("""COMPUTED_VALUE"""),0.0)</f>
        <v>0</v>
      </c>
      <c r="Q147" s="1">
        <f>IFERROR(__xludf.DUMMYFUNCTION("""COMPUTED_VALUE"""),1.0)</f>
        <v>1</v>
      </c>
      <c r="R147" s="2">
        <f>IFERROR(__xludf.DUMMYFUNCTION("""COMPUTED_VALUE"""),0.0)</f>
        <v>0</v>
      </c>
      <c r="S147" s="1">
        <f>IFERROR(__xludf.DUMMYFUNCTION("""COMPUTED_VALUE"""),1.0)</f>
        <v>1</v>
      </c>
      <c r="T147" s="1">
        <f>IFERROR(__xludf.DUMMYFUNCTION("""COMPUTED_VALUE"""),1.0)</f>
        <v>1</v>
      </c>
      <c r="U147" s="2">
        <f>IFERROR(__xludf.DUMMYFUNCTION("""COMPUTED_VALUE"""),1.0)</f>
        <v>1</v>
      </c>
      <c r="V147" s="1">
        <f>IFERROR(__xludf.DUMMYFUNCTION("""COMPUTED_VALUE"""),0.0)</f>
        <v>0</v>
      </c>
      <c r="W147" s="1">
        <f>IFERROR(__xludf.DUMMYFUNCTION("""COMPUTED_VALUE"""),1.0)</f>
        <v>1</v>
      </c>
      <c r="X147" s="2">
        <f>IFERROR(__xludf.DUMMYFUNCTION("""COMPUTED_VALUE"""),0.0)</f>
        <v>0</v>
      </c>
      <c r="Y147" s="1">
        <f>IFERROR(__xludf.DUMMYFUNCTION("""COMPUTED_VALUE"""),1.02)</f>
        <v>1.02</v>
      </c>
      <c r="Z147" s="1">
        <f>IFERROR(__xludf.DUMMYFUNCTION("""COMPUTED_VALUE"""),0.0)</f>
        <v>0</v>
      </c>
      <c r="AA147" s="2" t="str">
        <f>IFERROR(__xludf.DUMMYFUNCTION("""COMPUTED_VALUE"""),"")</f>
        <v/>
      </c>
      <c r="AB147" s="1">
        <f>IFERROR(__xludf.DUMMYFUNCTION("""COMPUTED_VALUE"""),19.12)</f>
        <v>19.12</v>
      </c>
      <c r="AC147" s="1">
        <f>IFERROR(__xludf.DUMMYFUNCTION("""COMPUTED_VALUE"""),1208.44)</f>
        <v>1208.44</v>
      </c>
      <c r="AD147" s="2">
        <f>IFERROR(__xludf.DUMMYFUNCTION("""COMPUTED_VALUE"""),0.01582205157061997)</f>
        <v>0.01582205157</v>
      </c>
      <c r="AE147" s="1">
        <f>IFERROR(__xludf.DUMMYFUNCTION("""COMPUTED_VALUE"""),82.56)</f>
        <v>82.56</v>
      </c>
      <c r="AF147" s="1">
        <f>IFERROR(__xludf.DUMMYFUNCTION("""COMPUTED_VALUE"""),1807.03)</f>
        <v>1807.03</v>
      </c>
      <c r="AG147" s="2">
        <f>IFERROR(__xludf.DUMMYFUNCTION("""COMPUTED_VALUE"""),0.045688228751044536)</f>
        <v>0.04568822875</v>
      </c>
      <c r="AH147" s="1">
        <f>IFERROR(__xludf.DUMMYFUNCTION("""COMPUTED_VALUE"""),32.02)</f>
        <v>32.02</v>
      </c>
      <c r="AI147" s="1">
        <f>IFERROR(__xludf.DUMMYFUNCTION("""COMPUTED_VALUE"""),1807.03)</f>
        <v>1807.03</v>
      </c>
      <c r="AJ147" s="2">
        <f>IFERROR(__xludf.DUMMYFUNCTION("""COMPUTED_VALUE"""),0.017719683679850363)</f>
        <v>0.01771968368</v>
      </c>
      <c r="AK147" s="1">
        <f>IFERROR(__xludf.DUMMYFUNCTION("""COMPUTED_VALUE"""),134.72)</f>
        <v>134.72</v>
      </c>
      <c r="AL147" s="1">
        <f>IFERROR(__xludf.DUMMYFUNCTION("""COMPUTED_VALUE"""),4822.5)</f>
        <v>4822.5</v>
      </c>
      <c r="AM147" s="2">
        <f>IFERROR(__xludf.DUMMYFUNCTION("""COMPUTED_VALUE"""),0.027935717988595128)</f>
        <v>0.02793571799</v>
      </c>
      <c r="AN147" s="1">
        <f>IFERROR(__xludf.DUMMYFUNCTION("""COMPUTED_VALUE"""),76.77)</f>
        <v>76.77</v>
      </c>
      <c r="AO147" s="1">
        <f>IFERROR(__xludf.DUMMYFUNCTION("""COMPUTED_VALUE"""),0.0)</f>
        <v>0</v>
      </c>
      <c r="AP147" s="2" t="str">
        <f>IFERROR(__xludf.DUMMYFUNCTION("""COMPUTED_VALUE"""),"")</f>
        <v/>
      </c>
      <c r="AQ147" s="1">
        <f>IFERROR(__xludf.DUMMYFUNCTION("""COMPUTED_VALUE"""),52.55)</f>
        <v>52.55</v>
      </c>
      <c r="AR147" s="1">
        <f>IFERROR(__xludf.DUMMYFUNCTION("""COMPUTED_VALUE"""),0.0)</f>
        <v>0</v>
      </c>
      <c r="AS147" s="2" t="str">
        <f>IFERROR(__xludf.DUMMYFUNCTION("""COMPUTED_VALUE"""),"")</f>
        <v/>
      </c>
      <c r="AT147" s="1">
        <f>IFERROR(__xludf.DUMMYFUNCTION("""COMPUTED_VALUE"""),6.28)</f>
        <v>6.28</v>
      </c>
      <c r="AU147" s="1">
        <f>IFERROR(__xludf.DUMMYFUNCTION("""COMPUTED_VALUE"""),0.0)</f>
        <v>0</v>
      </c>
      <c r="AV147" s="2" t="str">
        <f>IFERROR(__xludf.DUMMYFUNCTION("""COMPUTED_VALUE"""),"")</f>
        <v/>
      </c>
      <c r="AW147" s="1">
        <f>IFERROR(__xludf.DUMMYFUNCTION("""COMPUTED_VALUE"""),33.9)</f>
        <v>33.9</v>
      </c>
      <c r="AX147" s="1">
        <f>IFERROR(__xludf.DUMMYFUNCTION("""COMPUTED_VALUE"""),0.0)</f>
        <v>0</v>
      </c>
      <c r="AY147" s="2" t="str">
        <f>IFERROR(__xludf.DUMMYFUNCTION("""COMPUTED_VALUE"""),"")</f>
        <v/>
      </c>
      <c r="AZ147" s="1">
        <f>IFERROR(__xludf.DUMMYFUNCTION("""COMPUTED_VALUE"""),169.5)</f>
        <v>169.5</v>
      </c>
      <c r="BA147" s="1">
        <f>IFERROR(__xludf.DUMMYFUNCTION("""COMPUTED_VALUE"""),0.0)</f>
        <v>0</v>
      </c>
      <c r="BB147" s="2" t="str">
        <f>IFERROR(__xludf.DUMMYFUNCTION("""COMPUTED_VALUE"""),"")</f>
        <v/>
      </c>
    </row>
    <row r="148">
      <c r="A148" s="1" t="str">
        <f>IFERROR(__xludf.DUMMYFUNCTION("""COMPUTED_VALUE"""),"6643796fda88cedd7d0edad2")</f>
        <v>6643796fda88cedd7d0edad2</v>
      </c>
      <c r="B148" s="1" t="str">
        <f>IFERROR(__xludf.DUMMYFUNCTION("""COMPUTED_VALUE"""),"TDL Canada")</f>
        <v>TDL Canada</v>
      </c>
      <c r="C148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148" s="1" t="str">
        <f>IFERROR(__xludf.DUMMYFUNCTION("""COMPUTED_VALUE"""),"americas")</f>
        <v>americas</v>
      </c>
      <c r="E148" s="1" t="str">
        <f>IFERROR(__xludf.DUMMYFUNCTION("""COMPUTED_VALUE"""),"CA")</f>
        <v>CA</v>
      </c>
      <c r="F148" s="1" t="str">
        <f>IFERROR(__xludf.DUMMYFUNCTION("""COMPUTED_VALUE"""),"distributor")</f>
        <v>distributor</v>
      </c>
      <c r="G148" s="1">
        <f>IFERROR(__xludf.DUMMYFUNCTION("""COMPUTED_VALUE"""),0.0)</f>
        <v>0</v>
      </c>
      <c r="H148" s="1">
        <f>IFERROR(__xludf.DUMMYFUNCTION("""COMPUTED_VALUE"""),1.0)</f>
        <v>1</v>
      </c>
      <c r="I148" s="2">
        <f>IFERROR(__xludf.DUMMYFUNCTION("""COMPUTED_VALUE"""),0.0)</f>
        <v>0</v>
      </c>
      <c r="J148" s="1">
        <f>IFERROR(__xludf.DUMMYFUNCTION("""COMPUTED_VALUE"""),0.6)</f>
        <v>0.6</v>
      </c>
      <c r="K148" s="1">
        <f>IFERROR(__xludf.DUMMYFUNCTION("""COMPUTED_VALUE"""),250.0)</f>
        <v>250</v>
      </c>
      <c r="L148" s="2">
        <f>IFERROR(__xludf.DUMMYFUNCTION("""COMPUTED_VALUE"""),0.0024)</f>
        <v>0.0024</v>
      </c>
      <c r="M148" s="1">
        <f>IFERROR(__xludf.DUMMYFUNCTION("""COMPUTED_VALUE"""),0.0)</f>
        <v>0</v>
      </c>
      <c r="N148" s="1">
        <f>IFERROR(__xludf.DUMMYFUNCTION("""COMPUTED_VALUE"""),3.0)</f>
        <v>3</v>
      </c>
      <c r="O148" s="2">
        <f>IFERROR(__xludf.DUMMYFUNCTION("""COMPUTED_VALUE"""),0.0)</f>
        <v>0</v>
      </c>
      <c r="P148" s="1">
        <f>IFERROR(__xludf.DUMMYFUNCTION("""COMPUTED_VALUE"""),0.0)</f>
        <v>0</v>
      </c>
      <c r="Q148" s="1">
        <f>IFERROR(__xludf.DUMMYFUNCTION("""COMPUTED_VALUE"""),1.0)</f>
        <v>1</v>
      </c>
      <c r="R148" s="2">
        <f>IFERROR(__xludf.DUMMYFUNCTION("""COMPUTED_VALUE"""),0.0)</f>
        <v>0</v>
      </c>
      <c r="S148" s="1">
        <f>IFERROR(__xludf.DUMMYFUNCTION("""COMPUTED_VALUE"""),0.0)</f>
        <v>0</v>
      </c>
      <c r="T148" s="1">
        <f>IFERROR(__xludf.DUMMYFUNCTION("""COMPUTED_VALUE"""),1.0)</f>
        <v>1</v>
      </c>
      <c r="U148" s="2">
        <f>IFERROR(__xludf.DUMMYFUNCTION("""COMPUTED_VALUE"""),0.0)</f>
        <v>0</v>
      </c>
      <c r="V148" s="1">
        <f>IFERROR(__xludf.DUMMYFUNCTION("""COMPUTED_VALUE"""),0.0)</f>
        <v>0</v>
      </c>
      <c r="W148" s="1">
        <f>IFERROR(__xludf.DUMMYFUNCTION("""COMPUTED_VALUE"""),1.0)</f>
        <v>1</v>
      </c>
      <c r="X148" s="2">
        <f>IFERROR(__xludf.DUMMYFUNCTION("""COMPUTED_VALUE"""),0.0)</f>
        <v>0</v>
      </c>
      <c r="Y148" s="1">
        <f>IFERROR(__xludf.DUMMYFUNCTION("""COMPUTED_VALUE"""),0.0)</f>
        <v>0</v>
      </c>
      <c r="Z148" s="1">
        <f>IFERROR(__xludf.DUMMYFUNCTION("""COMPUTED_VALUE"""),0.0)</f>
        <v>0</v>
      </c>
      <c r="AA148" s="2" t="str">
        <f>IFERROR(__xludf.DUMMYFUNCTION("""COMPUTED_VALUE"""),"")</f>
        <v/>
      </c>
      <c r="AB148" s="1">
        <f>IFERROR(__xludf.DUMMYFUNCTION("""COMPUTED_VALUE"""),0.0)</f>
        <v>0</v>
      </c>
      <c r="AC148" s="1">
        <f>IFERROR(__xludf.DUMMYFUNCTION("""COMPUTED_VALUE"""),6.67)</f>
        <v>6.67</v>
      </c>
      <c r="AD148" s="2">
        <f>IFERROR(__xludf.DUMMYFUNCTION("""COMPUTED_VALUE"""),0.0)</f>
        <v>0</v>
      </c>
      <c r="AE148" s="1">
        <f>IFERROR(__xludf.DUMMYFUNCTION("""COMPUTED_VALUE"""),0.0)</f>
        <v>0</v>
      </c>
      <c r="AF148" s="1">
        <f>IFERROR(__xludf.DUMMYFUNCTION("""COMPUTED_VALUE"""),223.33)</f>
        <v>223.33</v>
      </c>
      <c r="AG148" s="2">
        <f>IFERROR(__xludf.DUMMYFUNCTION("""COMPUTED_VALUE"""),0.0)</f>
        <v>0</v>
      </c>
      <c r="AH148" s="1">
        <f>IFERROR(__xludf.DUMMYFUNCTION("""COMPUTED_VALUE"""),0.0)</f>
        <v>0</v>
      </c>
      <c r="AI148" s="1">
        <f>IFERROR(__xludf.DUMMYFUNCTION("""COMPUTED_VALUE"""),599.98)</f>
        <v>599.98</v>
      </c>
      <c r="AJ148" s="2">
        <f>IFERROR(__xludf.DUMMYFUNCTION("""COMPUTED_VALUE"""),0.0)</f>
        <v>0</v>
      </c>
      <c r="AK148" s="1">
        <f>IFERROR(__xludf.DUMMYFUNCTION("""COMPUTED_VALUE"""),0.0)</f>
        <v>0</v>
      </c>
      <c r="AL148" s="1">
        <f>IFERROR(__xludf.DUMMYFUNCTION("""COMPUTED_VALUE"""),829.98)</f>
        <v>829.98</v>
      </c>
      <c r="AM148" s="2">
        <f>IFERROR(__xludf.DUMMYFUNCTION("""COMPUTED_VALUE"""),0.0)</f>
        <v>0</v>
      </c>
      <c r="AN148" s="1">
        <f>IFERROR(__xludf.DUMMYFUNCTION("""COMPUTED_VALUE"""),0.0)</f>
        <v>0</v>
      </c>
      <c r="AO148" s="1">
        <f>IFERROR(__xludf.DUMMYFUNCTION("""COMPUTED_VALUE"""),0.0)</f>
        <v>0</v>
      </c>
      <c r="AP148" s="2" t="str">
        <f>IFERROR(__xludf.DUMMYFUNCTION("""COMPUTED_VALUE"""),"")</f>
        <v/>
      </c>
      <c r="AQ148" s="1">
        <f>IFERROR(__xludf.DUMMYFUNCTION("""COMPUTED_VALUE"""),0.0)</f>
        <v>0</v>
      </c>
      <c r="AR148" s="1">
        <f>IFERROR(__xludf.DUMMYFUNCTION("""COMPUTED_VALUE"""),0.0)</f>
        <v>0</v>
      </c>
      <c r="AS148" s="2" t="str">
        <f>IFERROR(__xludf.DUMMYFUNCTION("""COMPUTED_VALUE"""),"")</f>
        <v/>
      </c>
      <c r="AT148" s="1">
        <f>IFERROR(__xludf.DUMMYFUNCTION("""COMPUTED_VALUE"""),0.0)</f>
        <v>0</v>
      </c>
      <c r="AU148" s="1">
        <f>IFERROR(__xludf.DUMMYFUNCTION("""COMPUTED_VALUE"""),0.0)</f>
        <v>0</v>
      </c>
      <c r="AV148" s="2" t="str">
        <f>IFERROR(__xludf.DUMMYFUNCTION("""COMPUTED_VALUE"""),"")</f>
        <v/>
      </c>
      <c r="AW148" s="1">
        <f>IFERROR(__xludf.DUMMYFUNCTION("""COMPUTED_VALUE"""),0.0)</f>
        <v>0</v>
      </c>
      <c r="AX148" s="1">
        <f>IFERROR(__xludf.DUMMYFUNCTION("""COMPUTED_VALUE"""),0.0)</f>
        <v>0</v>
      </c>
      <c r="AY148" s="2" t="str">
        <f>IFERROR(__xludf.DUMMYFUNCTION("""COMPUTED_VALUE"""),"")</f>
        <v/>
      </c>
      <c r="AZ148" s="1">
        <f>IFERROR(__xludf.DUMMYFUNCTION("""COMPUTED_VALUE"""),0.0)</f>
        <v>0</v>
      </c>
      <c r="BA148" s="1">
        <f>IFERROR(__xludf.DUMMYFUNCTION("""COMPUTED_VALUE"""),0.0)</f>
        <v>0</v>
      </c>
      <c r="BB148" s="2" t="str">
        <f>IFERROR(__xludf.DUMMYFUNCTION("""COMPUTED_VALUE"""),"")</f>
        <v/>
      </c>
    </row>
    <row r="149">
      <c r="A149" s="1" t="str">
        <f>IFERROR(__xludf.DUMMYFUNCTION("""COMPUTED_VALUE"""),"63ced845c5c820531c2686cc")</f>
        <v>63ced845c5c820531c2686cc</v>
      </c>
      <c r="B149" s="1" t="str">
        <f>IFERROR(__xludf.DUMMYFUNCTION("""COMPUTED_VALUE"""),"technology experts GmbH &amp; Co. KG")</f>
        <v>technology experts GmbH &amp; Co. KG</v>
      </c>
      <c r="C149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149" s="1" t="str">
        <f>IFERROR(__xludf.DUMMYFUNCTION("""COMPUTED_VALUE"""),"germany")</f>
        <v>germany</v>
      </c>
      <c r="E149" s="1" t="str">
        <f>IFERROR(__xludf.DUMMYFUNCTION("""COMPUTED_VALUE"""),"DE")</f>
        <v>DE</v>
      </c>
      <c r="F149" s="1" t="str">
        <f>IFERROR(__xludf.DUMMYFUNCTION("""COMPUTED_VALUE"""),"expert_1000")</f>
        <v>expert_1000</v>
      </c>
      <c r="G149" s="1">
        <f>IFERROR(__xludf.DUMMYFUNCTION("""COMPUTED_VALUE"""),1.0)</f>
        <v>1</v>
      </c>
      <c r="H149" s="1">
        <f>IFERROR(__xludf.DUMMYFUNCTION("""COMPUTED_VALUE"""),1.0)</f>
        <v>1</v>
      </c>
      <c r="I149" s="2">
        <f>IFERROR(__xludf.DUMMYFUNCTION("""COMPUTED_VALUE"""),1.0)</f>
        <v>1</v>
      </c>
      <c r="J149" s="1">
        <f>IFERROR(__xludf.DUMMYFUNCTION("""COMPUTED_VALUE"""),717.92)</f>
        <v>717.92</v>
      </c>
      <c r="K149" s="1">
        <f>IFERROR(__xludf.DUMMYFUNCTION("""COMPUTED_VALUE"""),1500.0)</f>
        <v>1500</v>
      </c>
      <c r="L149" s="2">
        <f>IFERROR(__xludf.DUMMYFUNCTION("""COMPUTED_VALUE"""),0.4786133333333333)</f>
        <v>0.4786133333</v>
      </c>
      <c r="M149" s="1">
        <f>IFERROR(__xludf.DUMMYFUNCTION("""COMPUTED_VALUE"""),58.0)</f>
        <v>58</v>
      </c>
      <c r="N149" s="1">
        <f>IFERROR(__xludf.DUMMYFUNCTION("""COMPUTED_VALUE"""),52.0)</f>
        <v>52</v>
      </c>
      <c r="O149" s="2">
        <f>IFERROR(__xludf.DUMMYFUNCTION("""COMPUTED_VALUE"""),1.1153846153846154)</f>
        <v>1.115384615</v>
      </c>
      <c r="P149" s="1">
        <f>IFERROR(__xludf.DUMMYFUNCTION("""COMPUTED_VALUE"""),1.0)</f>
        <v>1</v>
      </c>
      <c r="Q149" s="1">
        <f>IFERROR(__xludf.DUMMYFUNCTION("""COMPUTED_VALUE"""),1.0)</f>
        <v>1</v>
      </c>
      <c r="R149" s="2">
        <f>IFERROR(__xludf.DUMMYFUNCTION("""COMPUTED_VALUE"""),1.0)</f>
        <v>1</v>
      </c>
      <c r="S149" s="1">
        <f>IFERROR(__xludf.DUMMYFUNCTION("""COMPUTED_VALUE"""),1.0)</f>
        <v>1</v>
      </c>
      <c r="T149" s="1">
        <f>IFERROR(__xludf.DUMMYFUNCTION("""COMPUTED_VALUE"""),1.0)</f>
        <v>1</v>
      </c>
      <c r="U149" s="2">
        <f>IFERROR(__xludf.DUMMYFUNCTION("""COMPUTED_VALUE"""),1.0)</f>
        <v>1</v>
      </c>
      <c r="V149" s="1">
        <f>IFERROR(__xludf.DUMMYFUNCTION("""COMPUTED_VALUE"""),0.0)</f>
        <v>0</v>
      </c>
      <c r="W149" s="1">
        <f>IFERROR(__xludf.DUMMYFUNCTION("""COMPUTED_VALUE"""),1.0)</f>
        <v>1</v>
      </c>
      <c r="X149" s="2">
        <f>IFERROR(__xludf.DUMMYFUNCTION("""COMPUTED_VALUE"""),0.0)</f>
        <v>0</v>
      </c>
      <c r="Y149" s="1">
        <f>IFERROR(__xludf.DUMMYFUNCTION("""COMPUTED_VALUE"""),7.38)</f>
        <v>7.38</v>
      </c>
      <c r="Z149" s="1">
        <f>IFERROR(__xludf.DUMMYFUNCTION("""COMPUTED_VALUE"""),0.0)</f>
        <v>0</v>
      </c>
      <c r="AA149" s="2" t="str">
        <f>IFERROR(__xludf.DUMMYFUNCTION("""COMPUTED_VALUE"""),"")</f>
        <v/>
      </c>
      <c r="AB149" s="1">
        <f>IFERROR(__xludf.DUMMYFUNCTION("""COMPUTED_VALUE"""),12.67)</f>
        <v>12.67</v>
      </c>
      <c r="AC149" s="1">
        <f>IFERROR(__xludf.DUMMYFUNCTION("""COMPUTED_VALUE"""),814.89)</f>
        <v>814.89</v>
      </c>
      <c r="AD149" s="2">
        <f>IFERROR(__xludf.DUMMYFUNCTION("""COMPUTED_VALUE"""),0.015548110787959112)</f>
        <v>0.01554811079</v>
      </c>
      <c r="AE149" s="1">
        <f>IFERROR(__xludf.DUMMYFUNCTION("""COMPUTED_VALUE"""),453.5)</f>
        <v>453.5</v>
      </c>
      <c r="AF149" s="1">
        <f>IFERROR(__xludf.DUMMYFUNCTION("""COMPUTED_VALUE"""),772.34)</f>
        <v>772.34</v>
      </c>
      <c r="AG149" s="2">
        <f>IFERROR(__xludf.DUMMYFUNCTION("""COMPUTED_VALUE"""),0.5871766320532408)</f>
        <v>0.5871766321</v>
      </c>
      <c r="AH149" s="1">
        <f>IFERROR(__xludf.DUMMYFUNCTION("""COMPUTED_VALUE"""),1334.62)</f>
        <v>1334.62</v>
      </c>
      <c r="AI149" s="1">
        <f>IFERROR(__xludf.DUMMYFUNCTION("""COMPUTED_VALUE"""),893.62)</f>
        <v>893.62</v>
      </c>
      <c r="AJ149" s="2">
        <f>IFERROR(__xludf.DUMMYFUNCTION("""COMPUTED_VALUE"""),1.4934983550054832)</f>
        <v>1.493498355</v>
      </c>
      <c r="AK149" s="1">
        <f>IFERROR(__xludf.DUMMYFUNCTION("""COMPUTED_VALUE"""),1808.1699999999998)</f>
        <v>1808.17</v>
      </c>
      <c r="AL149" s="1">
        <f>IFERROR(__xludf.DUMMYFUNCTION("""COMPUTED_VALUE"""),2480.85)</f>
        <v>2480.85</v>
      </c>
      <c r="AM149" s="2">
        <f>IFERROR(__xludf.DUMMYFUNCTION("""COMPUTED_VALUE"""),0.7288509986496563)</f>
        <v>0.7288509986</v>
      </c>
      <c r="AN149" s="1">
        <f>IFERROR(__xludf.DUMMYFUNCTION("""COMPUTED_VALUE"""),261.21)</f>
        <v>261.21</v>
      </c>
      <c r="AO149" s="1">
        <f>IFERROR(__xludf.DUMMYFUNCTION("""COMPUTED_VALUE"""),0.0)</f>
        <v>0</v>
      </c>
      <c r="AP149" s="2" t="str">
        <f>IFERROR(__xludf.DUMMYFUNCTION("""COMPUTED_VALUE"""),"")</f>
        <v/>
      </c>
      <c r="AQ149" s="1">
        <f>IFERROR(__xludf.DUMMYFUNCTION("""COMPUTED_VALUE"""),780.41)</f>
        <v>780.41</v>
      </c>
      <c r="AR149" s="1">
        <f>IFERROR(__xludf.DUMMYFUNCTION("""COMPUTED_VALUE"""),0.0)</f>
        <v>0</v>
      </c>
      <c r="AS149" s="2" t="str">
        <f>IFERROR(__xludf.DUMMYFUNCTION("""COMPUTED_VALUE"""),"")</f>
        <v/>
      </c>
      <c r="AT149" s="1">
        <f>IFERROR(__xludf.DUMMYFUNCTION("""COMPUTED_VALUE"""),0.0)</f>
        <v>0</v>
      </c>
      <c r="AU149" s="1">
        <f>IFERROR(__xludf.DUMMYFUNCTION("""COMPUTED_VALUE"""),0.0)</f>
        <v>0</v>
      </c>
      <c r="AV149" s="2" t="str">
        <f>IFERROR(__xludf.DUMMYFUNCTION("""COMPUTED_VALUE"""),"")</f>
        <v/>
      </c>
      <c r="AW149" s="1">
        <f>IFERROR(__xludf.DUMMYFUNCTION("""COMPUTED_VALUE"""),525.14)</f>
        <v>525.14</v>
      </c>
      <c r="AX149" s="1">
        <f>IFERROR(__xludf.DUMMYFUNCTION("""COMPUTED_VALUE"""),0.0)</f>
        <v>0</v>
      </c>
      <c r="AY149" s="2" t="str">
        <f>IFERROR(__xludf.DUMMYFUNCTION("""COMPUTED_VALUE"""),"")</f>
        <v/>
      </c>
      <c r="AZ149" s="1">
        <f>IFERROR(__xludf.DUMMYFUNCTION("""COMPUTED_VALUE"""),1566.7599999999998)</f>
        <v>1566.76</v>
      </c>
      <c r="BA149" s="1">
        <f>IFERROR(__xludf.DUMMYFUNCTION("""COMPUTED_VALUE"""),0.0)</f>
        <v>0</v>
      </c>
      <c r="BB149" s="2" t="str">
        <f>IFERROR(__xludf.DUMMYFUNCTION("""COMPUTED_VALUE"""),"")</f>
        <v/>
      </c>
    </row>
    <row r="150">
      <c r="A150" s="1" t="str">
        <f>IFERROR(__xludf.DUMMYFUNCTION("""COMPUTED_VALUE"""),"63ef9d55384f27260c1b9fc5")</f>
        <v>63ef9d55384f27260c1b9fc5</v>
      </c>
      <c r="B150" s="1" t="str">
        <f>IFERROR(__xludf.DUMMYFUNCTION("""COMPUTED_VALUE"""),"TECNIMART SL")</f>
        <v>TECNIMART SL</v>
      </c>
      <c r="C150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50" s="1" t="str">
        <f>IFERROR(__xludf.DUMMYFUNCTION("""COMPUTED_VALUE"""),"emea")</f>
        <v>emea</v>
      </c>
      <c r="E150" s="1" t="str">
        <f>IFERROR(__xludf.DUMMYFUNCTION("""COMPUTED_VALUE"""),"ES")</f>
        <v>ES</v>
      </c>
      <c r="F150" s="1" t="str">
        <f>IFERROR(__xludf.DUMMYFUNCTION("""COMPUTED_VALUE"""),"expert_1000")</f>
        <v>expert_1000</v>
      </c>
      <c r="G150" s="1">
        <f>IFERROR(__xludf.DUMMYFUNCTION("""COMPUTED_VALUE"""),1.0)</f>
        <v>1</v>
      </c>
      <c r="H150" s="1">
        <f>IFERROR(__xludf.DUMMYFUNCTION("""COMPUTED_VALUE"""),1.0)</f>
        <v>1</v>
      </c>
      <c r="I150" s="2">
        <f>IFERROR(__xludf.DUMMYFUNCTION("""COMPUTED_VALUE"""),1.0)</f>
        <v>1</v>
      </c>
      <c r="J150" s="1">
        <f>IFERROR(__xludf.DUMMYFUNCTION("""COMPUTED_VALUE"""),562.97)</f>
        <v>562.97</v>
      </c>
      <c r="K150" s="1">
        <f>IFERROR(__xludf.DUMMYFUNCTION("""COMPUTED_VALUE"""),1000.0)</f>
        <v>1000</v>
      </c>
      <c r="L150" s="2">
        <f>IFERROR(__xludf.DUMMYFUNCTION("""COMPUTED_VALUE"""),0.5629700000000001)</f>
        <v>0.56297</v>
      </c>
      <c r="M150" s="1">
        <f>IFERROR(__xludf.DUMMYFUNCTION("""COMPUTED_VALUE"""),30.0)</f>
        <v>30</v>
      </c>
      <c r="N150" s="1">
        <f>IFERROR(__xludf.DUMMYFUNCTION("""COMPUTED_VALUE"""),52.0)</f>
        <v>52</v>
      </c>
      <c r="O150" s="2">
        <f>IFERROR(__xludf.DUMMYFUNCTION("""COMPUTED_VALUE"""),0.5769230769230769)</f>
        <v>0.5769230769</v>
      </c>
      <c r="P150" s="1">
        <f>IFERROR(__xludf.DUMMYFUNCTION("""COMPUTED_VALUE"""),0.0)</f>
        <v>0</v>
      </c>
      <c r="Q150" s="1">
        <f>IFERROR(__xludf.DUMMYFUNCTION("""COMPUTED_VALUE"""),1.0)</f>
        <v>1</v>
      </c>
      <c r="R150" s="2">
        <f>IFERROR(__xludf.DUMMYFUNCTION("""COMPUTED_VALUE"""),0.0)</f>
        <v>0</v>
      </c>
      <c r="S150" s="1">
        <f>IFERROR(__xludf.DUMMYFUNCTION("""COMPUTED_VALUE"""),0.0)</f>
        <v>0</v>
      </c>
      <c r="T150" s="1">
        <f>IFERROR(__xludf.DUMMYFUNCTION("""COMPUTED_VALUE"""),1.0)</f>
        <v>1</v>
      </c>
      <c r="U150" s="2">
        <f>IFERROR(__xludf.DUMMYFUNCTION("""COMPUTED_VALUE"""),0.0)</f>
        <v>0</v>
      </c>
      <c r="V150" s="1">
        <f>IFERROR(__xludf.DUMMYFUNCTION("""COMPUTED_VALUE"""),0.0)</f>
        <v>0</v>
      </c>
      <c r="W150" s="1">
        <f>IFERROR(__xludf.DUMMYFUNCTION("""COMPUTED_VALUE"""),1.0)</f>
        <v>1</v>
      </c>
      <c r="X150" s="2">
        <f>IFERROR(__xludf.DUMMYFUNCTION("""COMPUTED_VALUE"""),0.0)</f>
        <v>0</v>
      </c>
      <c r="Y150" s="1">
        <f>IFERROR(__xludf.DUMMYFUNCTION("""COMPUTED_VALUE"""),2.75)</f>
        <v>2.75</v>
      </c>
      <c r="Z150" s="1">
        <f>IFERROR(__xludf.DUMMYFUNCTION("""COMPUTED_VALUE"""),0.0)</f>
        <v>0</v>
      </c>
      <c r="AA150" s="2" t="str">
        <f>IFERROR(__xludf.DUMMYFUNCTION("""COMPUTED_VALUE"""),"")</f>
        <v/>
      </c>
      <c r="AB150" s="1">
        <f>IFERROR(__xludf.DUMMYFUNCTION("""COMPUTED_VALUE"""),0.52)</f>
        <v>0.52</v>
      </c>
      <c r="AC150" s="1">
        <f>IFERROR(__xludf.DUMMYFUNCTION("""COMPUTED_VALUE"""),471.7)</f>
        <v>471.7</v>
      </c>
      <c r="AD150" s="2">
        <f>IFERROR(__xludf.DUMMYFUNCTION("""COMPUTED_VALUE"""),0.0011023955904176383)</f>
        <v>0.00110239559</v>
      </c>
      <c r="AE150" s="1">
        <f>IFERROR(__xludf.DUMMYFUNCTION("""COMPUTED_VALUE"""),98.48)</f>
        <v>98.48</v>
      </c>
      <c r="AF150" s="1">
        <f>IFERROR(__xludf.DUMMYFUNCTION("""COMPUTED_VALUE"""),471.7)</f>
        <v>471.7</v>
      </c>
      <c r="AG150" s="2">
        <f>IFERROR(__xludf.DUMMYFUNCTION("""COMPUTED_VALUE"""),0.20877676489294045)</f>
        <v>0.2087767649</v>
      </c>
      <c r="AH150" s="1">
        <f>IFERROR(__xludf.DUMMYFUNCTION("""COMPUTED_VALUE"""),1109.98)</f>
        <v>1109.98</v>
      </c>
      <c r="AI150" s="1">
        <f>IFERROR(__xludf.DUMMYFUNCTION("""COMPUTED_VALUE"""),471.7)</f>
        <v>471.7</v>
      </c>
      <c r="AJ150" s="2">
        <f>IFERROR(__xludf.DUMMYFUNCTION("""COMPUTED_VALUE"""),2.3531481874072506)</f>
        <v>2.353148187</v>
      </c>
      <c r="AK150" s="1">
        <f>IFERROR(__xludf.DUMMYFUNCTION("""COMPUTED_VALUE"""),1211.73)</f>
        <v>1211.73</v>
      </c>
      <c r="AL150" s="1">
        <f>IFERROR(__xludf.DUMMYFUNCTION("""COMPUTED_VALUE"""),1415.1)</f>
        <v>1415.1</v>
      </c>
      <c r="AM150" s="2">
        <f>IFERROR(__xludf.DUMMYFUNCTION("""COMPUTED_VALUE"""),0.8562857748569006)</f>
        <v>0.8562857749</v>
      </c>
      <c r="AN150" s="1">
        <f>IFERROR(__xludf.DUMMYFUNCTION("""COMPUTED_VALUE"""),22.53)</f>
        <v>22.53</v>
      </c>
      <c r="AO150" s="1">
        <f>IFERROR(__xludf.DUMMYFUNCTION("""COMPUTED_VALUE"""),0.0)</f>
        <v>0</v>
      </c>
      <c r="AP150" s="2" t="str">
        <f>IFERROR(__xludf.DUMMYFUNCTION("""COMPUTED_VALUE"""),"")</f>
        <v/>
      </c>
      <c r="AQ150" s="1">
        <f>IFERROR(__xludf.DUMMYFUNCTION("""COMPUTED_VALUE"""),87.24)</f>
        <v>87.24</v>
      </c>
      <c r="AR150" s="1">
        <f>IFERROR(__xludf.DUMMYFUNCTION("""COMPUTED_VALUE"""),0.0)</f>
        <v>0</v>
      </c>
      <c r="AS150" s="2" t="str">
        <f>IFERROR(__xludf.DUMMYFUNCTION("""COMPUTED_VALUE"""),"")</f>
        <v/>
      </c>
      <c r="AT150" s="1">
        <f>IFERROR(__xludf.DUMMYFUNCTION("""COMPUTED_VALUE"""),5114.5)</f>
        <v>5114.5</v>
      </c>
      <c r="AU150" s="1">
        <f>IFERROR(__xludf.DUMMYFUNCTION("""COMPUTED_VALUE"""),0.0)</f>
        <v>0</v>
      </c>
      <c r="AV150" s="2" t="str">
        <f>IFERROR(__xludf.DUMMYFUNCTION("""COMPUTED_VALUE"""),"")</f>
        <v/>
      </c>
      <c r="AW150" s="1">
        <f>IFERROR(__xludf.DUMMYFUNCTION("""COMPUTED_VALUE"""),1.39)</f>
        <v>1.39</v>
      </c>
      <c r="AX150" s="1">
        <f>IFERROR(__xludf.DUMMYFUNCTION("""COMPUTED_VALUE"""),0.0)</f>
        <v>0</v>
      </c>
      <c r="AY150" s="2" t="str">
        <f>IFERROR(__xludf.DUMMYFUNCTION("""COMPUTED_VALUE"""),"")</f>
        <v/>
      </c>
      <c r="AZ150" s="1">
        <f>IFERROR(__xludf.DUMMYFUNCTION("""COMPUTED_VALUE"""),5225.660000000001)</f>
        <v>5225.66</v>
      </c>
      <c r="BA150" s="1">
        <f>IFERROR(__xludf.DUMMYFUNCTION("""COMPUTED_VALUE"""),0.0)</f>
        <v>0</v>
      </c>
      <c r="BB150" s="2" t="str">
        <f>IFERROR(__xludf.DUMMYFUNCTION("""COMPUTED_VALUE"""),"")</f>
        <v/>
      </c>
    </row>
    <row r="151">
      <c r="A151" s="1" t="str">
        <f>IFERROR(__xludf.DUMMYFUNCTION("""COMPUTED_VALUE"""),"63ef9d58384f27260c1ba501")</f>
        <v>63ef9d58384f27260c1ba501</v>
      </c>
      <c r="B151" s="1" t="str">
        <f>IFERROR(__xludf.DUMMYFUNCTION("""COMPUTED_VALUE"""),"Telecommunications Unlimited, Inc.")</f>
        <v>Telecommunications Unlimited, Inc.</v>
      </c>
      <c r="C151" s="1" t="str">
        <f>IFERROR(__xludf.DUMMYFUNCTION("""COMPUTED_VALUE"""),"gene.hawks@al-enterprise.com, steve.mcglasson@al-enterprise.com, bill.rademacher@al-enterprise.com")</f>
        <v>gene.hawks@al-enterprise.com, steve.mcglasson@al-enterprise.com, bill.rademacher@al-enterprise.com</v>
      </c>
      <c r="D151" s="1" t="str">
        <f>IFERROR(__xludf.DUMMYFUNCTION("""COMPUTED_VALUE"""),"americas")</f>
        <v>americas</v>
      </c>
      <c r="E151" s="1" t="str">
        <f>IFERROR(__xludf.DUMMYFUNCTION("""COMPUTED_VALUE"""),"US")</f>
        <v>US</v>
      </c>
      <c r="F151" s="1" t="str">
        <f>IFERROR(__xludf.DUMMYFUNCTION("""COMPUTED_VALUE"""),"expert_200")</f>
        <v>expert_200</v>
      </c>
      <c r="G151" s="1">
        <f>IFERROR(__xludf.DUMMYFUNCTION("""COMPUTED_VALUE"""),0.0)</f>
        <v>0</v>
      </c>
      <c r="H151" s="1">
        <f>IFERROR(__xludf.DUMMYFUNCTION("""COMPUTED_VALUE"""),1.0)</f>
        <v>1</v>
      </c>
      <c r="I151" s="2">
        <f>IFERROR(__xludf.DUMMYFUNCTION("""COMPUTED_VALUE"""),0.0)</f>
        <v>0</v>
      </c>
      <c r="J151" s="1">
        <f>IFERROR(__xludf.DUMMYFUNCTION("""COMPUTED_VALUE"""),45.81)</f>
        <v>45.81</v>
      </c>
      <c r="K151" s="1">
        <f>IFERROR(__xludf.DUMMYFUNCTION("""COMPUTED_VALUE"""),0.0)</f>
        <v>0</v>
      </c>
      <c r="L151" s="2" t="str">
        <f>IFERROR(__xludf.DUMMYFUNCTION("""COMPUTED_VALUE"""),"")</f>
        <v/>
      </c>
      <c r="M151" s="1">
        <f>IFERROR(__xludf.DUMMYFUNCTION("""COMPUTED_VALUE"""),0.0)</f>
        <v>0</v>
      </c>
      <c r="N151" s="1">
        <f>IFERROR(__xludf.DUMMYFUNCTION("""COMPUTED_VALUE"""),0.0)</f>
        <v>0</v>
      </c>
      <c r="O151" s="2" t="str">
        <f>IFERROR(__xludf.DUMMYFUNCTION("""COMPUTED_VALUE"""),"")</f>
        <v/>
      </c>
      <c r="P151" s="1">
        <f>IFERROR(__xludf.DUMMYFUNCTION("""COMPUTED_VALUE"""),1.0)</f>
        <v>1</v>
      </c>
      <c r="Q151" s="1">
        <f>IFERROR(__xludf.DUMMYFUNCTION("""COMPUTED_VALUE"""),1.0)</f>
        <v>1</v>
      </c>
      <c r="R151" s="2">
        <f>IFERROR(__xludf.DUMMYFUNCTION("""COMPUTED_VALUE"""),1.0)</f>
        <v>1</v>
      </c>
      <c r="S151" s="1">
        <f>IFERROR(__xludf.DUMMYFUNCTION("""COMPUTED_VALUE"""),0.0)</f>
        <v>0</v>
      </c>
      <c r="T151" s="1">
        <f>IFERROR(__xludf.DUMMYFUNCTION("""COMPUTED_VALUE"""),1.0)</f>
        <v>1</v>
      </c>
      <c r="U151" s="2">
        <f>IFERROR(__xludf.DUMMYFUNCTION("""COMPUTED_VALUE"""),0.0)</f>
        <v>0</v>
      </c>
      <c r="V151" s="1">
        <f>IFERROR(__xludf.DUMMYFUNCTION("""COMPUTED_VALUE"""),0.0)</f>
        <v>0</v>
      </c>
      <c r="W151" s="1">
        <f>IFERROR(__xludf.DUMMYFUNCTION("""COMPUTED_VALUE"""),1.0)</f>
        <v>1</v>
      </c>
      <c r="X151" s="2">
        <f>IFERROR(__xludf.DUMMYFUNCTION("""COMPUTED_VALUE"""),0.0)</f>
        <v>0</v>
      </c>
      <c r="Y151" s="1">
        <f>IFERROR(__xludf.DUMMYFUNCTION("""COMPUTED_VALUE"""),9.14)</f>
        <v>9.14</v>
      </c>
      <c r="Z151" s="1">
        <f>IFERROR(__xludf.DUMMYFUNCTION("""COMPUTED_VALUE"""),0.0)</f>
        <v>0</v>
      </c>
      <c r="AA151" s="2" t="str">
        <f>IFERROR(__xludf.DUMMYFUNCTION("""COMPUTED_VALUE"""),"")</f>
        <v/>
      </c>
      <c r="AB151" s="1">
        <f>IFERROR(__xludf.DUMMYFUNCTION("""COMPUTED_VALUE"""),1.54)</f>
        <v>1.54</v>
      </c>
      <c r="AC151" s="1">
        <f>IFERROR(__xludf.DUMMYFUNCTION("""COMPUTED_VALUE"""),0.0)</f>
        <v>0</v>
      </c>
      <c r="AD151" s="2" t="str">
        <f>IFERROR(__xludf.DUMMYFUNCTION("""COMPUTED_VALUE"""),"")</f>
        <v/>
      </c>
      <c r="AE151" s="1">
        <f>IFERROR(__xludf.DUMMYFUNCTION("""COMPUTED_VALUE"""),761.04)</f>
        <v>761.04</v>
      </c>
      <c r="AF151" s="1">
        <f>IFERROR(__xludf.DUMMYFUNCTION("""COMPUTED_VALUE"""),0.0)</f>
        <v>0</v>
      </c>
      <c r="AG151" s="2" t="str">
        <f>IFERROR(__xludf.DUMMYFUNCTION("""COMPUTED_VALUE"""),"")</f>
        <v/>
      </c>
      <c r="AH151" s="1">
        <f>IFERROR(__xludf.DUMMYFUNCTION("""COMPUTED_VALUE"""),97.25)</f>
        <v>97.25</v>
      </c>
      <c r="AI151" s="1">
        <f>IFERROR(__xludf.DUMMYFUNCTION("""COMPUTED_VALUE"""),0.0)</f>
        <v>0</v>
      </c>
      <c r="AJ151" s="2" t="str">
        <f>IFERROR(__xludf.DUMMYFUNCTION("""COMPUTED_VALUE"""),"")</f>
        <v/>
      </c>
      <c r="AK151" s="1">
        <f>IFERROR(__xludf.DUMMYFUNCTION("""COMPUTED_VALUE"""),868.9699999999999)</f>
        <v>868.97</v>
      </c>
      <c r="AL151" s="1">
        <f>IFERROR(__xludf.DUMMYFUNCTION("""COMPUTED_VALUE"""),0.0)</f>
        <v>0</v>
      </c>
      <c r="AM151" s="2" t="str">
        <f>IFERROR(__xludf.DUMMYFUNCTION("""COMPUTED_VALUE"""),"")</f>
        <v/>
      </c>
      <c r="AN151" s="1">
        <f>IFERROR(__xludf.DUMMYFUNCTION("""COMPUTED_VALUE"""),0.0)</f>
        <v>0</v>
      </c>
      <c r="AO151" s="1">
        <f>IFERROR(__xludf.DUMMYFUNCTION("""COMPUTED_VALUE"""),0.0)</f>
        <v>0</v>
      </c>
      <c r="AP151" s="2" t="str">
        <f>IFERROR(__xludf.DUMMYFUNCTION("""COMPUTED_VALUE"""),"")</f>
        <v/>
      </c>
      <c r="AQ151" s="1">
        <f>IFERROR(__xludf.DUMMYFUNCTION("""COMPUTED_VALUE"""),0.0)</f>
        <v>0</v>
      </c>
      <c r="AR151" s="1">
        <f>IFERROR(__xludf.DUMMYFUNCTION("""COMPUTED_VALUE"""),0.0)</f>
        <v>0</v>
      </c>
      <c r="AS151" s="2" t="str">
        <f>IFERROR(__xludf.DUMMYFUNCTION("""COMPUTED_VALUE"""),"")</f>
        <v/>
      </c>
      <c r="AT151" s="1">
        <f>IFERROR(__xludf.DUMMYFUNCTION("""COMPUTED_VALUE"""),0.0)</f>
        <v>0</v>
      </c>
      <c r="AU151" s="1">
        <f>IFERROR(__xludf.DUMMYFUNCTION("""COMPUTED_VALUE"""),0.0)</f>
        <v>0</v>
      </c>
      <c r="AV151" s="2" t="str">
        <f>IFERROR(__xludf.DUMMYFUNCTION("""COMPUTED_VALUE"""),"")</f>
        <v/>
      </c>
      <c r="AW151" s="1">
        <f>IFERROR(__xludf.DUMMYFUNCTION("""COMPUTED_VALUE"""),0.0)</f>
        <v>0</v>
      </c>
      <c r="AX151" s="1">
        <f>IFERROR(__xludf.DUMMYFUNCTION("""COMPUTED_VALUE"""),0.0)</f>
        <v>0</v>
      </c>
      <c r="AY151" s="2" t="str">
        <f>IFERROR(__xludf.DUMMYFUNCTION("""COMPUTED_VALUE"""),"")</f>
        <v/>
      </c>
      <c r="AZ151" s="1">
        <f>IFERROR(__xludf.DUMMYFUNCTION("""COMPUTED_VALUE"""),0.0)</f>
        <v>0</v>
      </c>
      <c r="BA151" s="1">
        <f>IFERROR(__xludf.DUMMYFUNCTION("""COMPUTED_VALUE"""),0.0)</f>
        <v>0</v>
      </c>
      <c r="BB151" s="2" t="str">
        <f>IFERROR(__xludf.DUMMYFUNCTION("""COMPUTED_VALUE"""),"")</f>
        <v/>
      </c>
    </row>
    <row r="152">
      <c r="A152" s="1" t="str">
        <f>IFERROR(__xludf.DUMMYFUNCTION("""COMPUTED_VALUE"""),"6836f39029bec4e5550a0662")</f>
        <v>6836f39029bec4e5550a0662</v>
      </c>
      <c r="B152" s="1" t="str">
        <f>IFERROR(__xludf.DUMMYFUNCTION("""COMPUTED_VALUE"""),"Telefax S.A.")</f>
        <v>Telefax S.A.</v>
      </c>
      <c r="C152" s="1" t="str">
        <f>IFERROR(__xludf.DUMMYFUNCTION("""COMPUTED_VALUE"""),"philippe.girard@al-enterprise.com, rui.silva@al-enterprise.com, luis.arriagada@al-enterprise.com")</f>
        <v>philippe.girard@al-enterprise.com, rui.silva@al-enterprise.com, luis.arriagada@al-enterprise.com</v>
      </c>
      <c r="D152" s="1" t="str">
        <f>IFERROR(__xludf.DUMMYFUNCTION("""COMPUTED_VALUE"""),"americas")</f>
        <v>americas</v>
      </c>
      <c r="E152" s="1" t="str">
        <f>IFERROR(__xludf.DUMMYFUNCTION("""COMPUTED_VALUE"""),"UY")</f>
        <v>UY</v>
      </c>
      <c r="F152" s="1"/>
      <c r="G152" s="1">
        <f>IFERROR(__xludf.DUMMYFUNCTION("""COMPUTED_VALUE"""),0.0)</f>
        <v>0</v>
      </c>
      <c r="H152" s="1">
        <f>IFERROR(__xludf.DUMMYFUNCTION("""COMPUTED_VALUE"""),1.0)</f>
        <v>1</v>
      </c>
      <c r="I152" s="2">
        <f>IFERROR(__xludf.DUMMYFUNCTION("""COMPUTED_VALUE"""),0.0)</f>
        <v>0</v>
      </c>
      <c r="J152" s="1">
        <f>IFERROR(__xludf.DUMMYFUNCTION("""COMPUTED_VALUE"""),2.82)</f>
        <v>2.82</v>
      </c>
      <c r="K152" s="1">
        <f>IFERROR(__xludf.DUMMYFUNCTION("""COMPUTED_VALUE"""),220.0)</f>
        <v>220</v>
      </c>
      <c r="L152" s="2">
        <f>IFERROR(__xludf.DUMMYFUNCTION("""COMPUTED_VALUE"""),0.012818181818181817)</f>
        <v>0.01281818182</v>
      </c>
      <c r="M152" s="1">
        <f>IFERROR(__xludf.DUMMYFUNCTION("""COMPUTED_VALUE"""),0.0)</f>
        <v>0</v>
      </c>
      <c r="N152" s="1">
        <f>IFERROR(__xludf.DUMMYFUNCTION("""COMPUTED_VALUE"""),0.0)</f>
        <v>0</v>
      </c>
      <c r="O152" s="2" t="str">
        <f>IFERROR(__xludf.DUMMYFUNCTION("""COMPUTED_VALUE"""),"")</f>
        <v/>
      </c>
      <c r="P152" s="1">
        <f>IFERROR(__xludf.DUMMYFUNCTION("""COMPUTED_VALUE"""),1.0)</f>
        <v>1</v>
      </c>
      <c r="Q152" s="1">
        <f>IFERROR(__xludf.DUMMYFUNCTION("""COMPUTED_VALUE"""),1.0)</f>
        <v>1</v>
      </c>
      <c r="R152" s="2">
        <f>IFERROR(__xludf.DUMMYFUNCTION("""COMPUTED_VALUE"""),1.0)</f>
        <v>1</v>
      </c>
      <c r="S152" s="1">
        <f>IFERROR(__xludf.DUMMYFUNCTION("""COMPUTED_VALUE"""),0.0)</f>
        <v>0</v>
      </c>
      <c r="T152" s="1">
        <f>IFERROR(__xludf.DUMMYFUNCTION("""COMPUTED_VALUE"""),1.0)</f>
        <v>1</v>
      </c>
      <c r="U152" s="2">
        <f>IFERROR(__xludf.DUMMYFUNCTION("""COMPUTED_VALUE"""),0.0)</f>
        <v>0</v>
      </c>
      <c r="V152" s="1">
        <f>IFERROR(__xludf.DUMMYFUNCTION("""COMPUTED_VALUE"""),0.0)</f>
        <v>0</v>
      </c>
      <c r="W152" s="1">
        <f>IFERROR(__xludf.DUMMYFUNCTION("""COMPUTED_VALUE"""),1.0)</f>
        <v>1</v>
      </c>
      <c r="X152" s="2">
        <f>IFERROR(__xludf.DUMMYFUNCTION("""COMPUTED_VALUE"""),0.0)</f>
        <v>0</v>
      </c>
      <c r="Y152" s="1">
        <f>IFERROR(__xludf.DUMMYFUNCTION("""COMPUTED_VALUE"""),0.0)</f>
        <v>0</v>
      </c>
      <c r="Z152" s="1">
        <f>IFERROR(__xludf.DUMMYFUNCTION("""COMPUTED_VALUE"""),0.0)</f>
        <v>0</v>
      </c>
      <c r="AA152" s="2" t="str">
        <f>IFERROR(__xludf.DUMMYFUNCTION("""COMPUTED_VALUE"""),"")</f>
        <v/>
      </c>
      <c r="AB152" s="1">
        <f>IFERROR(__xludf.DUMMYFUNCTION("""COMPUTED_VALUE"""),0.0)</f>
        <v>0</v>
      </c>
      <c r="AC152" s="1">
        <f>IFERROR(__xludf.DUMMYFUNCTION("""COMPUTED_VALUE"""),0.0)</f>
        <v>0</v>
      </c>
      <c r="AD152" s="2" t="str">
        <f>IFERROR(__xludf.DUMMYFUNCTION("""COMPUTED_VALUE"""),"")</f>
        <v/>
      </c>
      <c r="AE152" s="1">
        <f>IFERROR(__xludf.DUMMYFUNCTION("""COMPUTED_VALUE"""),332.0)</f>
        <v>332</v>
      </c>
      <c r="AF152" s="1">
        <f>IFERROR(__xludf.DUMMYFUNCTION("""COMPUTED_VALUE"""),413.34)</f>
        <v>413.34</v>
      </c>
      <c r="AG152" s="2">
        <f>IFERROR(__xludf.DUMMYFUNCTION("""COMPUTED_VALUE"""),0.8032128514056225)</f>
        <v>0.8032128514</v>
      </c>
      <c r="AH152" s="1">
        <f>IFERROR(__xludf.DUMMYFUNCTION("""COMPUTED_VALUE"""),5.0)</f>
        <v>5</v>
      </c>
      <c r="AI152" s="1">
        <f>IFERROR(__xludf.DUMMYFUNCTION("""COMPUTED_VALUE"""),0.0)</f>
        <v>0</v>
      </c>
      <c r="AJ152" s="2" t="str">
        <f>IFERROR(__xludf.DUMMYFUNCTION("""COMPUTED_VALUE"""),"")</f>
        <v/>
      </c>
      <c r="AK152" s="1">
        <f>IFERROR(__xludf.DUMMYFUNCTION("""COMPUTED_VALUE"""),337.0)</f>
        <v>337</v>
      </c>
      <c r="AL152" s="1">
        <f>IFERROR(__xludf.DUMMYFUNCTION("""COMPUTED_VALUE"""),413.34)</f>
        <v>413.34</v>
      </c>
      <c r="AM152" s="2">
        <f>IFERROR(__xludf.DUMMYFUNCTION("""COMPUTED_VALUE"""),0.8153094304930566)</f>
        <v>0.8153094305</v>
      </c>
      <c r="AN152" s="1">
        <f>IFERROR(__xludf.DUMMYFUNCTION("""COMPUTED_VALUE"""),0.0)</f>
        <v>0</v>
      </c>
      <c r="AO152" s="1">
        <f>IFERROR(__xludf.DUMMYFUNCTION("""COMPUTED_VALUE"""),0.0)</f>
        <v>0</v>
      </c>
      <c r="AP152" s="2" t="str">
        <f>IFERROR(__xludf.DUMMYFUNCTION("""COMPUTED_VALUE"""),"")</f>
        <v/>
      </c>
      <c r="AQ152" s="1">
        <f>IFERROR(__xludf.DUMMYFUNCTION("""COMPUTED_VALUE"""),0.0)</f>
        <v>0</v>
      </c>
      <c r="AR152" s="1">
        <f>IFERROR(__xludf.DUMMYFUNCTION("""COMPUTED_VALUE"""),0.0)</f>
        <v>0</v>
      </c>
      <c r="AS152" s="2" t="str">
        <f>IFERROR(__xludf.DUMMYFUNCTION("""COMPUTED_VALUE"""),"")</f>
        <v/>
      </c>
      <c r="AT152" s="1">
        <f>IFERROR(__xludf.DUMMYFUNCTION("""COMPUTED_VALUE"""),0.0)</f>
        <v>0</v>
      </c>
      <c r="AU152" s="1">
        <f>IFERROR(__xludf.DUMMYFUNCTION("""COMPUTED_VALUE"""),0.0)</f>
        <v>0</v>
      </c>
      <c r="AV152" s="2" t="str">
        <f>IFERROR(__xludf.DUMMYFUNCTION("""COMPUTED_VALUE"""),"")</f>
        <v/>
      </c>
      <c r="AW152" s="1">
        <f>IFERROR(__xludf.DUMMYFUNCTION("""COMPUTED_VALUE"""),0.0)</f>
        <v>0</v>
      </c>
      <c r="AX152" s="1">
        <f>IFERROR(__xludf.DUMMYFUNCTION("""COMPUTED_VALUE"""),0.0)</f>
        <v>0</v>
      </c>
      <c r="AY152" s="2" t="str">
        <f>IFERROR(__xludf.DUMMYFUNCTION("""COMPUTED_VALUE"""),"")</f>
        <v/>
      </c>
      <c r="AZ152" s="1">
        <f>IFERROR(__xludf.DUMMYFUNCTION("""COMPUTED_VALUE"""),0.0)</f>
        <v>0</v>
      </c>
      <c r="BA152" s="1">
        <f>IFERROR(__xludf.DUMMYFUNCTION("""COMPUTED_VALUE"""),0.0)</f>
        <v>0</v>
      </c>
      <c r="BB152" s="2" t="str">
        <f>IFERROR(__xludf.DUMMYFUNCTION("""COMPUTED_VALUE"""),"")</f>
        <v/>
      </c>
    </row>
    <row r="153">
      <c r="A153" s="1" t="str">
        <f>IFERROR(__xludf.DUMMYFUNCTION("""COMPUTED_VALUE"""),"63ea6e9352ad6968805cea47")</f>
        <v>63ea6e9352ad6968805cea47</v>
      </c>
      <c r="B153" s="1" t="str">
        <f>IFERROR(__xludf.DUMMYFUNCTION("""COMPUTED_VALUE"""),"TELEFOMATIC SYSTEMHAUS GMBH")</f>
        <v>TELEFOMATIC SYSTEMHAUS GMBH</v>
      </c>
      <c r="C153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153" s="1" t="str">
        <f>IFERROR(__xludf.DUMMYFUNCTION("""COMPUTED_VALUE"""),"germany")</f>
        <v>germany</v>
      </c>
      <c r="E153" s="1" t="str">
        <f>IFERROR(__xludf.DUMMYFUNCTION("""COMPUTED_VALUE"""),"DE")</f>
        <v>DE</v>
      </c>
      <c r="F153" s="1" t="str">
        <f>IFERROR(__xludf.DUMMYFUNCTION("""COMPUTED_VALUE"""),"expert_200")</f>
        <v>expert_200</v>
      </c>
      <c r="G153" s="1">
        <f>IFERROR(__xludf.DUMMYFUNCTION("""COMPUTED_VALUE"""),1.0)</f>
        <v>1</v>
      </c>
      <c r="H153" s="1">
        <f>IFERROR(__xludf.DUMMYFUNCTION("""COMPUTED_VALUE"""),1.0)</f>
        <v>1</v>
      </c>
      <c r="I153" s="2">
        <f>IFERROR(__xludf.DUMMYFUNCTION("""COMPUTED_VALUE"""),1.0)</f>
        <v>1</v>
      </c>
      <c r="J153" s="1">
        <f>IFERROR(__xludf.DUMMYFUNCTION("""COMPUTED_VALUE"""),207.3)</f>
        <v>207.3</v>
      </c>
      <c r="K153" s="1">
        <f>IFERROR(__xludf.DUMMYFUNCTION("""COMPUTED_VALUE"""),653.0)</f>
        <v>653</v>
      </c>
      <c r="L153" s="2">
        <f>IFERROR(__xludf.DUMMYFUNCTION("""COMPUTED_VALUE"""),0.31745788667687597)</f>
        <v>0.3174578867</v>
      </c>
      <c r="M153" s="1">
        <f>IFERROR(__xludf.DUMMYFUNCTION("""COMPUTED_VALUE"""),20.0)</f>
        <v>20</v>
      </c>
      <c r="N153" s="1">
        <f>IFERROR(__xludf.DUMMYFUNCTION("""COMPUTED_VALUE"""),52.0)</f>
        <v>52</v>
      </c>
      <c r="O153" s="2">
        <f>IFERROR(__xludf.DUMMYFUNCTION("""COMPUTED_VALUE"""),0.38461538461538464)</f>
        <v>0.3846153846</v>
      </c>
      <c r="P153" s="1">
        <f>IFERROR(__xludf.DUMMYFUNCTION("""COMPUTED_VALUE"""),1.0)</f>
        <v>1</v>
      </c>
      <c r="Q153" s="1">
        <f>IFERROR(__xludf.DUMMYFUNCTION("""COMPUTED_VALUE"""),1.0)</f>
        <v>1</v>
      </c>
      <c r="R153" s="2">
        <f>IFERROR(__xludf.DUMMYFUNCTION("""COMPUTED_VALUE"""),1.0)</f>
        <v>1</v>
      </c>
      <c r="S153" s="1">
        <f>IFERROR(__xludf.DUMMYFUNCTION("""COMPUTED_VALUE"""),0.0)</f>
        <v>0</v>
      </c>
      <c r="T153" s="1">
        <f>IFERROR(__xludf.DUMMYFUNCTION("""COMPUTED_VALUE"""),1.0)</f>
        <v>1</v>
      </c>
      <c r="U153" s="2">
        <f>IFERROR(__xludf.DUMMYFUNCTION("""COMPUTED_VALUE"""),0.0)</f>
        <v>0</v>
      </c>
      <c r="V153" s="1">
        <f>IFERROR(__xludf.DUMMYFUNCTION("""COMPUTED_VALUE"""),1.0)</f>
        <v>1</v>
      </c>
      <c r="W153" s="1">
        <f>IFERROR(__xludf.DUMMYFUNCTION("""COMPUTED_VALUE"""),1.0)</f>
        <v>1</v>
      </c>
      <c r="X153" s="2">
        <f>IFERROR(__xludf.DUMMYFUNCTION("""COMPUTED_VALUE"""),1.0)</f>
        <v>1</v>
      </c>
      <c r="Y153" s="1">
        <f>IFERROR(__xludf.DUMMYFUNCTION("""COMPUTED_VALUE"""),2.88)</f>
        <v>2.88</v>
      </c>
      <c r="Z153" s="1">
        <f>IFERROR(__xludf.DUMMYFUNCTION("""COMPUTED_VALUE"""),0.0)</f>
        <v>0</v>
      </c>
      <c r="AA153" s="2" t="str">
        <f>IFERROR(__xludf.DUMMYFUNCTION("""COMPUTED_VALUE"""),"")</f>
        <v/>
      </c>
      <c r="AB153" s="1">
        <f>IFERROR(__xludf.DUMMYFUNCTION("""COMPUTED_VALUE"""),76.87)</f>
        <v>76.87</v>
      </c>
      <c r="AC153" s="1">
        <f>IFERROR(__xludf.DUMMYFUNCTION("""COMPUTED_VALUE"""),393.94)</f>
        <v>393.94</v>
      </c>
      <c r="AD153" s="2">
        <f>IFERROR(__xludf.DUMMYFUNCTION("""COMPUTED_VALUE"""),0.19513123825963347)</f>
        <v>0.1951312383</v>
      </c>
      <c r="AE153" s="1">
        <f>IFERROR(__xludf.DUMMYFUNCTION("""COMPUTED_VALUE"""),145.58)</f>
        <v>145.58</v>
      </c>
      <c r="AF153" s="1">
        <f>IFERROR(__xludf.DUMMYFUNCTION("""COMPUTED_VALUE"""),557.58)</f>
        <v>557.58</v>
      </c>
      <c r="AG153" s="2">
        <f>IFERROR(__xludf.DUMMYFUNCTION("""COMPUTED_VALUE"""),0.2610925786434234)</f>
        <v>0.2610925786</v>
      </c>
      <c r="AH153" s="1">
        <f>IFERROR(__xludf.DUMMYFUNCTION("""COMPUTED_VALUE"""),179.93)</f>
        <v>179.93</v>
      </c>
      <c r="AI153" s="1">
        <f>IFERROR(__xludf.DUMMYFUNCTION("""COMPUTED_VALUE"""),630.3)</f>
        <v>630.3</v>
      </c>
      <c r="AJ153" s="2">
        <f>IFERROR(__xludf.DUMMYFUNCTION("""COMPUTED_VALUE"""),0.2854672378232588)</f>
        <v>0.2854672378</v>
      </c>
      <c r="AK153" s="1">
        <f>IFERROR(__xludf.DUMMYFUNCTION("""COMPUTED_VALUE"""),405.26)</f>
        <v>405.26</v>
      </c>
      <c r="AL153" s="1">
        <f>IFERROR(__xludf.DUMMYFUNCTION("""COMPUTED_VALUE"""),1581.82)</f>
        <v>1581.82</v>
      </c>
      <c r="AM153" s="2">
        <f>IFERROR(__xludf.DUMMYFUNCTION("""COMPUTED_VALUE"""),0.2561985560936137)</f>
        <v>0.2561985561</v>
      </c>
      <c r="AN153" s="1">
        <f>IFERROR(__xludf.DUMMYFUNCTION("""COMPUTED_VALUE"""),7.81)</f>
        <v>7.81</v>
      </c>
      <c r="AO153" s="1">
        <f>IFERROR(__xludf.DUMMYFUNCTION("""COMPUTED_VALUE"""),0.0)</f>
        <v>0</v>
      </c>
      <c r="AP153" s="2" t="str">
        <f>IFERROR(__xludf.DUMMYFUNCTION("""COMPUTED_VALUE"""),"")</f>
        <v/>
      </c>
      <c r="AQ153" s="1">
        <f>IFERROR(__xludf.DUMMYFUNCTION("""COMPUTED_VALUE"""),54.99)</f>
        <v>54.99</v>
      </c>
      <c r="AR153" s="1">
        <f>IFERROR(__xludf.DUMMYFUNCTION("""COMPUTED_VALUE"""),0.0)</f>
        <v>0</v>
      </c>
      <c r="AS153" s="2" t="str">
        <f>IFERROR(__xludf.DUMMYFUNCTION("""COMPUTED_VALUE"""),"")</f>
        <v/>
      </c>
      <c r="AT153" s="1">
        <f>IFERROR(__xludf.DUMMYFUNCTION("""COMPUTED_VALUE"""),1.8)</f>
        <v>1.8</v>
      </c>
      <c r="AU153" s="1">
        <f>IFERROR(__xludf.DUMMYFUNCTION("""COMPUTED_VALUE"""),0.0)</f>
        <v>0</v>
      </c>
      <c r="AV153" s="2" t="str">
        <f>IFERROR(__xludf.DUMMYFUNCTION("""COMPUTED_VALUE"""),"")</f>
        <v/>
      </c>
      <c r="AW153" s="1">
        <f>IFERROR(__xludf.DUMMYFUNCTION("""COMPUTED_VALUE"""),22.82)</f>
        <v>22.82</v>
      </c>
      <c r="AX153" s="1">
        <f>IFERROR(__xludf.DUMMYFUNCTION("""COMPUTED_VALUE"""),0.0)</f>
        <v>0</v>
      </c>
      <c r="AY153" s="2" t="str">
        <f>IFERROR(__xludf.DUMMYFUNCTION("""COMPUTED_VALUE"""),"")</f>
        <v/>
      </c>
      <c r="AZ153" s="1">
        <f>IFERROR(__xludf.DUMMYFUNCTION("""COMPUTED_VALUE"""),87.42000000000002)</f>
        <v>87.42</v>
      </c>
      <c r="BA153" s="1">
        <f>IFERROR(__xludf.DUMMYFUNCTION("""COMPUTED_VALUE"""),0.0)</f>
        <v>0</v>
      </c>
      <c r="BB153" s="2" t="str">
        <f>IFERROR(__xludf.DUMMYFUNCTION("""COMPUTED_VALUE"""),"")</f>
        <v/>
      </c>
    </row>
    <row r="154">
      <c r="A154" s="1" t="str">
        <f>IFERROR(__xludf.DUMMYFUNCTION("""COMPUTED_VALUE"""),"63ea6e9352ad6968805ceb51")</f>
        <v>63ea6e9352ad6968805ceb51</v>
      </c>
      <c r="B154" s="1" t="str">
        <f>IFERROR(__xludf.DUMMYFUNCTION("""COMPUTED_VALUE"""),"Telefon-Systeme Ernst Schmid GmbH")</f>
        <v>Telefon-Systeme Ernst Schmid GmbH</v>
      </c>
      <c r="C154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154" s="1" t="str">
        <f>IFERROR(__xludf.DUMMYFUNCTION("""COMPUTED_VALUE"""),"germany")</f>
        <v>germany</v>
      </c>
      <c r="E154" s="1" t="str">
        <f>IFERROR(__xludf.DUMMYFUNCTION("""COMPUTED_VALUE"""),"DE")</f>
        <v>DE</v>
      </c>
      <c r="F154" s="1" t="str">
        <f>IFERROR(__xludf.DUMMYFUNCTION("""COMPUTED_VALUE"""),"expert_200")</f>
        <v>expert_200</v>
      </c>
      <c r="G154" s="1">
        <f>IFERROR(__xludf.DUMMYFUNCTION("""COMPUTED_VALUE"""),1.0)</f>
        <v>1</v>
      </c>
      <c r="H154" s="1">
        <f>IFERROR(__xludf.DUMMYFUNCTION("""COMPUTED_VALUE"""),1.0)</f>
        <v>1</v>
      </c>
      <c r="I154" s="2">
        <f>IFERROR(__xludf.DUMMYFUNCTION("""COMPUTED_VALUE"""),1.0)</f>
        <v>1</v>
      </c>
      <c r="J154" s="1">
        <f>IFERROR(__xludf.DUMMYFUNCTION("""COMPUTED_VALUE"""),63.53)</f>
        <v>63.53</v>
      </c>
      <c r="K154" s="1">
        <f>IFERROR(__xludf.DUMMYFUNCTION("""COMPUTED_VALUE"""),200.0)</f>
        <v>200</v>
      </c>
      <c r="L154" s="2">
        <f>IFERROR(__xludf.DUMMYFUNCTION("""COMPUTED_VALUE"""),0.31765)</f>
        <v>0.31765</v>
      </c>
      <c r="M154" s="1">
        <f>IFERROR(__xludf.DUMMYFUNCTION("""COMPUTED_VALUE"""),15.0)</f>
        <v>15</v>
      </c>
      <c r="N154" s="1">
        <f>IFERROR(__xludf.DUMMYFUNCTION("""COMPUTED_VALUE"""),52.0)</f>
        <v>52</v>
      </c>
      <c r="O154" s="2">
        <f>IFERROR(__xludf.DUMMYFUNCTION("""COMPUTED_VALUE"""),0.28846153846153844)</f>
        <v>0.2884615385</v>
      </c>
      <c r="P154" s="1">
        <f>IFERROR(__xludf.DUMMYFUNCTION("""COMPUTED_VALUE"""),1.0)</f>
        <v>1</v>
      </c>
      <c r="Q154" s="1">
        <f>IFERROR(__xludf.DUMMYFUNCTION("""COMPUTED_VALUE"""),1.0)</f>
        <v>1</v>
      </c>
      <c r="R154" s="2">
        <f>IFERROR(__xludf.DUMMYFUNCTION("""COMPUTED_VALUE"""),1.0)</f>
        <v>1</v>
      </c>
      <c r="S154" s="1">
        <f>IFERROR(__xludf.DUMMYFUNCTION("""COMPUTED_VALUE"""),0.0)</f>
        <v>0</v>
      </c>
      <c r="T154" s="1">
        <f>IFERROR(__xludf.DUMMYFUNCTION("""COMPUTED_VALUE"""),1.0)</f>
        <v>1</v>
      </c>
      <c r="U154" s="2">
        <f>IFERROR(__xludf.DUMMYFUNCTION("""COMPUTED_VALUE"""),0.0)</f>
        <v>0</v>
      </c>
      <c r="V154" s="1">
        <f>IFERROR(__xludf.DUMMYFUNCTION("""COMPUTED_VALUE"""),0.0)</f>
        <v>0</v>
      </c>
      <c r="W154" s="1">
        <f>IFERROR(__xludf.DUMMYFUNCTION("""COMPUTED_VALUE"""),1.0)</f>
        <v>1</v>
      </c>
      <c r="X154" s="2">
        <f>IFERROR(__xludf.DUMMYFUNCTION("""COMPUTED_VALUE"""),0.0)</f>
        <v>0</v>
      </c>
      <c r="Y154" s="1">
        <f>IFERROR(__xludf.DUMMYFUNCTION("""COMPUTED_VALUE"""),0.0)</f>
        <v>0</v>
      </c>
      <c r="Z154" s="1">
        <f>IFERROR(__xludf.DUMMYFUNCTION("""COMPUTED_VALUE"""),0.0)</f>
        <v>0</v>
      </c>
      <c r="AA154" s="2" t="str">
        <f>IFERROR(__xludf.DUMMYFUNCTION("""COMPUTED_VALUE"""),"")</f>
        <v/>
      </c>
      <c r="AB154" s="1">
        <f>IFERROR(__xludf.DUMMYFUNCTION("""COMPUTED_VALUE"""),54.0)</f>
        <v>54</v>
      </c>
      <c r="AC154" s="1">
        <f>IFERROR(__xludf.DUMMYFUNCTION("""COMPUTED_VALUE"""),47.19)</f>
        <v>47.19</v>
      </c>
      <c r="AD154" s="2">
        <f>IFERROR(__xludf.DUMMYFUNCTION("""COMPUTED_VALUE"""),1.1443102352193262)</f>
        <v>1.144310235</v>
      </c>
      <c r="AE154" s="1">
        <f>IFERROR(__xludf.DUMMYFUNCTION("""COMPUTED_VALUE"""),54.0)</f>
        <v>54</v>
      </c>
      <c r="AF154" s="1">
        <f>IFERROR(__xludf.DUMMYFUNCTION("""COMPUTED_VALUE"""),65.17)</f>
        <v>65.17</v>
      </c>
      <c r="AG154" s="2">
        <f>IFERROR(__xludf.DUMMYFUNCTION("""COMPUTED_VALUE"""),0.8286021175387448)</f>
        <v>0.8286021175</v>
      </c>
      <c r="AH154" s="1">
        <f>IFERROR(__xludf.DUMMYFUNCTION("""COMPUTED_VALUE"""),54.0)</f>
        <v>54</v>
      </c>
      <c r="AI154" s="1">
        <f>IFERROR(__xludf.DUMMYFUNCTION("""COMPUTED_VALUE"""),65.17)</f>
        <v>65.17</v>
      </c>
      <c r="AJ154" s="2">
        <f>IFERROR(__xludf.DUMMYFUNCTION("""COMPUTED_VALUE"""),0.8286021175387448)</f>
        <v>0.8286021175</v>
      </c>
      <c r="AK154" s="1">
        <f>IFERROR(__xludf.DUMMYFUNCTION("""COMPUTED_VALUE"""),162.0)</f>
        <v>162</v>
      </c>
      <c r="AL154" s="1">
        <f>IFERROR(__xludf.DUMMYFUNCTION("""COMPUTED_VALUE"""),177.53)</f>
        <v>177.53</v>
      </c>
      <c r="AM154" s="2">
        <f>IFERROR(__xludf.DUMMYFUNCTION("""COMPUTED_VALUE"""),0.9125218272967949)</f>
        <v>0.9125218273</v>
      </c>
      <c r="AN154" s="1">
        <f>IFERROR(__xludf.DUMMYFUNCTION("""COMPUTED_VALUE"""),293.03)</f>
        <v>293.03</v>
      </c>
      <c r="AO154" s="1">
        <f>IFERROR(__xludf.DUMMYFUNCTION("""COMPUTED_VALUE"""),0.0)</f>
        <v>0</v>
      </c>
      <c r="AP154" s="2" t="str">
        <f>IFERROR(__xludf.DUMMYFUNCTION("""COMPUTED_VALUE"""),"")</f>
        <v/>
      </c>
      <c r="AQ154" s="1">
        <f>IFERROR(__xludf.DUMMYFUNCTION("""COMPUTED_VALUE"""),0.0)</f>
        <v>0</v>
      </c>
      <c r="AR154" s="1">
        <f>IFERROR(__xludf.DUMMYFUNCTION("""COMPUTED_VALUE"""),0.0)</f>
        <v>0</v>
      </c>
      <c r="AS154" s="2" t="str">
        <f>IFERROR(__xludf.DUMMYFUNCTION("""COMPUTED_VALUE"""),"")</f>
        <v/>
      </c>
      <c r="AT154" s="1">
        <f>IFERROR(__xludf.DUMMYFUNCTION("""COMPUTED_VALUE"""),0.0)</f>
        <v>0</v>
      </c>
      <c r="AU154" s="1">
        <f>IFERROR(__xludf.DUMMYFUNCTION("""COMPUTED_VALUE"""),0.0)</f>
        <v>0</v>
      </c>
      <c r="AV154" s="2" t="str">
        <f>IFERROR(__xludf.DUMMYFUNCTION("""COMPUTED_VALUE"""),"")</f>
        <v/>
      </c>
      <c r="AW154" s="1">
        <f>IFERROR(__xludf.DUMMYFUNCTION("""COMPUTED_VALUE"""),12.5)</f>
        <v>12.5</v>
      </c>
      <c r="AX154" s="1">
        <f>IFERROR(__xludf.DUMMYFUNCTION("""COMPUTED_VALUE"""),0.0)</f>
        <v>0</v>
      </c>
      <c r="AY154" s="2" t="str">
        <f>IFERROR(__xludf.DUMMYFUNCTION("""COMPUTED_VALUE"""),"")</f>
        <v/>
      </c>
      <c r="AZ154" s="1">
        <f>IFERROR(__xludf.DUMMYFUNCTION("""COMPUTED_VALUE"""),305.53)</f>
        <v>305.53</v>
      </c>
      <c r="BA154" s="1">
        <f>IFERROR(__xludf.DUMMYFUNCTION("""COMPUTED_VALUE"""),0.0)</f>
        <v>0</v>
      </c>
      <c r="BB154" s="2" t="str">
        <f>IFERROR(__xludf.DUMMYFUNCTION("""COMPUTED_VALUE"""),"")</f>
        <v/>
      </c>
    </row>
    <row r="155">
      <c r="A155" s="1" t="str">
        <f>IFERROR(__xludf.DUMMYFUNCTION("""COMPUTED_VALUE"""),"63ef9d60384f27260c1bb10d")</f>
        <v>63ef9d60384f27260c1bb10d</v>
      </c>
      <c r="B155" s="1" t="str">
        <f>IFERROR(__xludf.DUMMYFUNCTION("""COMPUTED_VALUE"""),"TELEFONICA SOLUCIONES INFORMATICA Y COMUNICACIONES DE ESPANA S.A.U.")</f>
        <v>TELEFONICA SOLUCIONES INFORMATICA Y COMUNICACIONES DE ESPANA S.A.U.</v>
      </c>
      <c r="C155" s="1" t="str">
        <f>IFERROR(__xludf.DUMMYFUNCTION("""COMPUTED_VALUE"""),"astrid.savorani@al-enterprise.com, rafael.andreo@al-enterprise.com, esther.alonso@al-enterprise.com, angel.montoya@al-enterprise.com, marcos.rodriguez@al-enterprise.com")</f>
        <v>astrid.savorani@al-enterprise.com, rafael.andreo@al-enterprise.com, esther.alonso@al-enterprise.com, angel.montoya@al-enterprise.com, marcos.rodriguez@al-enterprise.com</v>
      </c>
      <c r="D155" s="1" t="str">
        <f>IFERROR(__xludf.DUMMYFUNCTION("""COMPUTED_VALUE"""),"emea")</f>
        <v>emea</v>
      </c>
      <c r="E155" s="1" t="str">
        <f>IFERROR(__xludf.DUMMYFUNCTION("""COMPUTED_VALUE"""),"ES")</f>
        <v>ES</v>
      </c>
      <c r="F155" s="1" t="str">
        <f>IFERROR(__xludf.DUMMYFUNCTION("""COMPUTED_VALUE"""),"expert_1000")</f>
        <v>expert_1000</v>
      </c>
      <c r="G155" s="1">
        <f>IFERROR(__xludf.DUMMYFUNCTION("""COMPUTED_VALUE"""),0.0)</f>
        <v>0</v>
      </c>
      <c r="H155" s="1">
        <f>IFERROR(__xludf.DUMMYFUNCTION("""COMPUTED_VALUE"""),1.0)</f>
        <v>1</v>
      </c>
      <c r="I155" s="2">
        <f>IFERROR(__xludf.DUMMYFUNCTION("""COMPUTED_VALUE"""),0.0)</f>
        <v>0</v>
      </c>
      <c r="J155" s="1">
        <f>IFERROR(__xludf.DUMMYFUNCTION("""COMPUTED_VALUE"""),1804.04)</f>
        <v>1804.04</v>
      </c>
      <c r="K155" s="1">
        <f>IFERROR(__xludf.DUMMYFUNCTION("""COMPUTED_VALUE"""),0.0)</f>
        <v>0</v>
      </c>
      <c r="L155" s="2" t="str">
        <f>IFERROR(__xludf.DUMMYFUNCTION("""COMPUTED_VALUE"""),"")</f>
        <v/>
      </c>
      <c r="M155" s="1">
        <f>IFERROR(__xludf.DUMMYFUNCTION("""COMPUTED_VALUE"""),55.0)</f>
        <v>55</v>
      </c>
      <c r="N155" s="1">
        <f>IFERROR(__xludf.DUMMYFUNCTION("""COMPUTED_VALUE"""),0.0)</f>
        <v>0</v>
      </c>
      <c r="O155" s="2" t="str">
        <f>IFERROR(__xludf.DUMMYFUNCTION("""COMPUTED_VALUE"""),"")</f>
        <v/>
      </c>
      <c r="P155" s="1">
        <f>IFERROR(__xludf.DUMMYFUNCTION("""COMPUTED_VALUE"""),0.0)</f>
        <v>0</v>
      </c>
      <c r="Q155" s="1">
        <f>IFERROR(__xludf.DUMMYFUNCTION("""COMPUTED_VALUE"""),1.0)</f>
        <v>1</v>
      </c>
      <c r="R155" s="2">
        <f>IFERROR(__xludf.DUMMYFUNCTION("""COMPUTED_VALUE"""),0.0)</f>
        <v>0</v>
      </c>
      <c r="S155" s="1">
        <f>IFERROR(__xludf.DUMMYFUNCTION("""COMPUTED_VALUE"""),1.0)</f>
        <v>1</v>
      </c>
      <c r="T155" s="1">
        <f>IFERROR(__xludf.DUMMYFUNCTION("""COMPUTED_VALUE"""),1.0)</f>
        <v>1</v>
      </c>
      <c r="U155" s="2">
        <f>IFERROR(__xludf.DUMMYFUNCTION("""COMPUTED_VALUE"""),1.0)</f>
        <v>1</v>
      </c>
      <c r="V155" s="1">
        <f>IFERROR(__xludf.DUMMYFUNCTION("""COMPUTED_VALUE"""),0.0)</f>
        <v>0</v>
      </c>
      <c r="W155" s="1">
        <f>IFERROR(__xludf.DUMMYFUNCTION("""COMPUTED_VALUE"""),1.0)</f>
        <v>1</v>
      </c>
      <c r="X155" s="2">
        <f>IFERROR(__xludf.DUMMYFUNCTION("""COMPUTED_VALUE"""),0.0)</f>
        <v>0</v>
      </c>
      <c r="Y155" s="1">
        <f>IFERROR(__xludf.DUMMYFUNCTION("""COMPUTED_VALUE"""),0.0)</f>
        <v>0</v>
      </c>
      <c r="Z155" s="1">
        <f>IFERROR(__xludf.DUMMYFUNCTION("""COMPUTED_VALUE"""),0.0)</f>
        <v>0</v>
      </c>
      <c r="AA155" s="2" t="str">
        <f>IFERROR(__xludf.DUMMYFUNCTION("""COMPUTED_VALUE"""),"")</f>
        <v/>
      </c>
      <c r="AB155" s="1">
        <f>IFERROR(__xludf.DUMMYFUNCTION("""COMPUTED_VALUE"""),2.0)</f>
        <v>2</v>
      </c>
      <c r="AC155" s="1">
        <f>IFERROR(__xludf.DUMMYFUNCTION("""COMPUTED_VALUE"""),0.0)</f>
        <v>0</v>
      </c>
      <c r="AD155" s="2" t="str">
        <f>IFERROR(__xludf.DUMMYFUNCTION("""COMPUTED_VALUE"""),"")</f>
        <v/>
      </c>
      <c r="AE155" s="1">
        <f>IFERROR(__xludf.DUMMYFUNCTION("""COMPUTED_VALUE"""),55.19)</f>
        <v>55.19</v>
      </c>
      <c r="AF155" s="1">
        <f>IFERROR(__xludf.DUMMYFUNCTION("""COMPUTED_VALUE"""),0.0)</f>
        <v>0</v>
      </c>
      <c r="AG155" s="2" t="str">
        <f>IFERROR(__xludf.DUMMYFUNCTION("""COMPUTED_VALUE"""),"")</f>
        <v/>
      </c>
      <c r="AH155" s="1">
        <f>IFERROR(__xludf.DUMMYFUNCTION("""COMPUTED_VALUE"""),7.4)</f>
        <v>7.4</v>
      </c>
      <c r="AI155" s="1">
        <f>IFERROR(__xludf.DUMMYFUNCTION("""COMPUTED_VALUE"""),0.0)</f>
        <v>0</v>
      </c>
      <c r="AJ155" s="2" t="str">
        <f>IFERROR(__xludf.DUMMYFUNCTION("""COMPUTED_VALUE"""),"")</f>
        <v/>
      </c>
      <c r="AK155" s="1">
        <f>IFERROR(__xludf.DUMMYFUNCTION("""COMPUTED_VALUE"""),64.59)</f>
        <v>64.59</v>
      </c>
      <c r="AL155" s="1">
        <f>IFERROR(__xludf.DUMMYFUNCTION("""COMPUTED_VALUE"""),0.0)</f>
        <v>0</v>
      </c>
      <c r="AM155" s="2" t="str">
        <f>IFERROR(__xludf.DUMMYFUNCTION("""COMPUTED_VALUE"""),"")</f>
        <v/>
      </c>
      <c r="AN155" s="1">
        <f>IFERROR(__xludf.DUMMYFUNCTION("""COMPUTED_VALUE"""),0.0)</f>
        <v>0</v>
      </c>
      <c r="AO155" s="1">
        <f>IFERROR(__xludf.DUMMYFUNCTION("""COMPUTED_VALUE"""),0.0)</f>
        <v>0</v>
      </c>
      <c r="AP155" s="2" t="str">
        <f>IFERROR(__xludf.DUMMYFUNCTION("""COMPUTED_VALUE"""),"")</f>
        <v/>
      </c>
      <c r="AQ155" s="1">
        <f>IFERROR(__xludf.DUMMYFUNCTION("""COMPUTED_VALUE"""),0.0)</f>
        <v>0</v>
      </c>
      <c r="AR155" s="1">
        <f>IFERROR(__xludf.DUMMYFUNCTION("""COMPUTED_VALUE"""),0.0)</f>
        <v>0</v>
      </c>
      <c r="AS155" s="2" t="str">
        <f>IFERROR(__xludf.DUMMYFUNCTION("""COMPUTED_VALUE"""),"")</f>
        <v/>
      </c>
      <c r="AT155" s="1">
        <f>IFERROR(__xludf.DUMMYFUNCTION("""COMPUTED_VALUE"""),0.0)</f>
        <v>0</v>
      </c>
      <c r="AU155" s="1">
        <f>IFERROR(__xludf.DUMMYFUNCTION("""COMPUTED_VALUE"""),0.0)</f>
        <v>0</v>
      </c>
      <c r="AV155" s="2" t="str">
        <f>IFERROR(__xludf.DUMMYFUNCTION("""COMPUTED_VALUE"""),"")</f>
        <v/>
      </c>
      <c r="AW155" s="1">
        <f>IFERROR(__xludf.DUMMYFUNCTION("""COMPUTED_VALUE"""),0.0)</f>
        <v>0</v>
      </c>
      <c r="AX155" s="1">
        <f>IFERROR(__xludf.DUMMYFUNCTION("""COMPUTED_VALUE"""),0.0)</f>
        <v>0</v>
      </c>
      <c r="AY155" s="2" t="str">
        <f>IFERROR(__xludf.DUMMYFUNCTION("""COMPUTED_VALUE"""),"")</f>
        <v/>
      </c>
      <c r="AZ155" s="1">
        <f>IFERROR(__xludf.DUMMYFUNCTION("""COMPUTED_VALUE"""),0.0)</f>
        <v>0</v>
      </c>
      <c r="BA155" s="1">
        <f>IFERROR(__xludf.DUMMYFUNCTION("""COMPUTED_VALUE"""),0.0)</f>
        <v>0</v>
      </c>
      <c r="BB155" s="2" t="str">
        <f>IFERROR(__xludf.DUMMYFUNCTION("""COMPUTED_VALUE"""),"")</f>
        <v/>
      </c>
    </row>
    <row r="156">
      <c r="A156" s="1" t="str">
        <f>IFERROR(__xludf.DUMMYFUNCTION("""COMPUTED_VALUE"""),"63ced841c5c820531c267e4d")</f>
        <v>63ced841c5c820531c267e4d</v>
      </c>
      <c r="B156" s="1" t="str">
        <f>IFERROR(__xludf.DUMMYFUNCTION("""COMPUTED_VALUE"""),"Teleinformatica en Servicios")</f>
        <v>Teleinformatica en Servicios</v>
      </c>
      <c r="C156" s="1" t="str">
        <f>IFERROR(__xludf.DUMMYFUNCTION("""COMPUTED_VALUE"""),"joaquin.flores@al-enterprise.com")</f>
        <v>joaquin.flores@al-enterprise.com</v>
      </c>
      <c r="D156" s="1" t="str">
        <f>IFERROR(__xludf.DUMMYFUNCTION("""COMPUTED_VALUE"""),"americas")</f>
        <v>americas</v>
      </c>
      <c r="E156" s="1" t="str">
        <f>IFERROR(__xludf.DUMMYFUNCTION("""COMPUTED_VALUE"""),"MX")</f>
        <v>MX</v>
      </c>
      <c r="F156" s="1" t="str">
        <f>IFERROR(__xludf.DUMMYFUNCTION("""COMPUTED_VALUE"""),"expert_1000")</f>
        <v>expert_1000</v>
      </c>
      <c r="G156" s="1">
        <f>IFERROR(__xludf.DUMMYFUNCTION("""COMPUTED_VALUE"""),0.0)</f>
        <v>0</v>
      </c>
      <c r="H156" s="1">
        <f>IFERROR(__xludf.DUMMYFUNCTION("""COMPUTED_VALUE"""),1.0)</f>
        <v>1</v>
      </c>
      <c r="I156" s="2">
        <f>IFERROR(__xludf.DUMMYFUNCTION("""COMPUTED_VALUE"""),0.0)</f>
        <v>0</v>
      </c>
      <c r="J156" s="1">
        <f>IFERROR(__xludf.DUMMYFUNCTION("""COMPUTED_VALUE"""),7.83)</f>
        <v>7.83</v>
      </c>
      <c r="K156" s="1">
        <f>IFERROR(__xludf.DUMMYFUNCTION("""COMPUTED_VALUE"""),0.0)</f>
        <v>0</v>
      </c>
      <c r="L156" s="2" t="str">
        <f>IFERROR(__xludf.DUMMYFUNCTION("""COMPUTED_VALUE"""),"")</f>
        <v/>
      </c>
      <c r="M156" s="1">
        <f>IFERROR(__xludf.DUMMYFUNCTION("""COMPUTED_VALUE"""),23.0)</f>
        <v>23</v>
      </c>
      <c r="N156" s="1">
        <f>IFERROR(__xludf.DUMMYFUNCTION("""COMPUTED_VALUE"""),52.0)</f>
        <v>52</v>
      </c>
      <c r="O156" s="2">
        <f>IFERROR(__xludf.DUMMYFUNCTION("""COMPUTED_VALUE"""),0.4423076923076923)</f>
        <v>0.4423076923</v>
      </c>
      <c r="P156" s="1">
        <f>IFERROR(__xludf.DUMMYFUNCTION("""COMPUTED_VALUE"""),1.0)</f>
        <v>1</v>
      </c>
      <c r="Q156" s="1">
        <f>IFERROR(__xludf.DUMMYFUNCTION("""COMPUTED_VALUE"""),1.0)</f>
        <v>1</v>
      </c>
      <c r="R156" s="2">
        <f>IFERROR(__xludf.DUMMYFUNCTION("""COMPUTED_VALUE"""),1.0)</f>
        <v>1</v>
      </c>
      <c r="S156" s="1">
        <f>IFERROR(__xludf.DUMMYFUNCTION("""COMPUTED_VALUE"""),0.0)</f>
        <v>0</v>
      </c>
      <c r="T156" s="1">
        <f>IFERROR(__xludf.DUMMYFUNCTION("""COMPUTED_VALUE"""),1.0)</f>
        <v>1</v>
      </c>
      <c r="U156" s="2">
        <f>IFERROR(__xludf.DUMMYFUNCTION("""COMPUTED_VALUE"""),0.0)</f>
        <v>0</v>
      </c>
      <c r="V156" s="1">
        <f>IFERROR(__xludf.DUMMYFUNCTION("""COMPUTED_VALUE"""),0.0)</f>
        <v>0</v>
      </c>
      <c r="W156" s="1">
        <f>IFERROR(__xludf.DUMMYFUNCTION("""COMPUTED_VALUE"""),1.0)</f>
        <v>1</v>
      </c>
      <c r="X156" s="2">
        <f>IFERROR(__xludf.DUMMYFUNCTION("""COMPUTED_VALUE"""),0.0)</f>
        <v>0</v>
      </c>
      <c r="Y156" s="1">
        <f>IFERROR(__xludf.DUMMYFUNCTION("""COMPUTED_VALUE"""),23.33)</f>
        <v>23.33</v>
      </c>
      <c r="Z156" s="1">
        <f>IFERROR(__xludf.DUMMYFUNCTION("""COMPUTED_VALUE"""),0.0)</f>
        <v>0</v>
      </c>
      <c r="AA156" s="2" t="str">
        <f>IFERROR(__xludf.DUMMYFUNCTION("""COMPUTED_VALUE"""),"")</f>
        <v/>
      </c>
      <c r="AB156" s="1">
        <f>IFERROR(__xludf.DUMMYFUNCTION("""COMPUTED_VALUE"""),27.85)</f>
        <v>27.85</v>
      </c>
      <c r="AC156" s="1">
        <f>IFERROR(__xludf.DUMMYFUNCTION("""COMPUTED_VALUE"""),0.0)</f>
        <v>0</v>
      </c>
      <c r="AD156" s="2" t="str">
        <f>IFERROR(__xludf.DUMMYFUNCTION("""COMPUTED_VALUE"""),"")</f>
        <v/>
      </c>
      <c r="AE156" s="1">
        <f>IFERROR(__xludf.DUMMYFUNCTION("""COMPUTED_VALUE"""),65.86)</f>
        <v>65.86</v>
      </c>
      <c r="AF156" s="1">
        <f>IFERROR(__xludf.DUMMYFUNCTION("""COMPUTED_VALUE"""),0.0)</f>
        <v>0</v>
      </c>
      <c r="AG156" s="2" t="str">
        <f>IFERROR(__xludf.DUMMYFUNCTION("""COMPUTED_VALUE"""),"")</f>
        <v/>
      </c>
      <c r="AH156" s="1">
        <f>IFERROR(__xludf.DUMMYFUNCTION("""COMPUTED_VALUE"""),14.94)</f>
        <v>14.94</v>
      </c>
      <c r="AI156" s="1">
        <f>IFERROR(__xludf.DUMMYFUNCTION("""COMPUTED_VALUE"""),0.0)</f>
        <v>0</v>
      </c>
      <c r="AJ156" s="2" t="str">
        <f>IFERROR(__xludf.DUMMYFUNCTION("""COMPUTED_VALUE"""),"")</f>
        <v/>
      </c>
      <c r="AK156" s="1">
        <f>IFERROR(__xludf.DUMMYFUNCTION("""COMPUTED_VALUE"""),131.98)</f>
        <v>131.98</v>
      </c>
      <c r="AL156" s="1">
        <f>IFERROR(__xludf.DUMMYFUNCTION("""COMPUTED_VALUE"""),0.0)</f>
        <v>0</v>
      </c>
      <c r="AM156" s="2" t="str">
        <f>IFERROR(__xludf.DUMMYFUNCTION("""COMPUTED_VALUE"""),"")</f>
        <v/>
      </c>
      <c r="AN156" s="1">
        <f>IFERROR(__xludf.DUMMYFUNCTION("""COMPUTED_VALUE"""),0.0)</f>
        <v>0</v>
      </c>
      <c r="AO156" s="1">
        <f>IFERROR(__xludf.DUMMYFUNCTION("""COMPUTED_VALUE"""),0.0)</f>
        <v>0</v>
      </c>
      <c r="AP156" s="2" t="str">
        <f>IFERROR(__xludf.DUMMYFUNCTION("""COMPUTED_VALUE"""),"")</f>
        <v/>
      </c>
      <c r="AQ156" s="1">
        <f>IFERROR(__xludf.DUMMYFUNCTION("""COMPUTED_VALUE"""),0.0)</f>
        <v>0</v>
      </c>
      <c r="AR156" s="1">
        <f>IFERROR(__xludf.DUMMYFUNCTION("""COMPUTED_VALUE"""),0.0)</f>
        <v>0</v>
      </c>
      <c r="AS156" s="2" t="str">
        <f>IFERROR(__xludf.DUMMYFUNCTION("""COMPUTED_VALUE"""),"")</f>
        <v/>
      </c>
      <c r="AT156" s="1">
        <f>IFERROR(__xludf.DUMMYFUNCTION("""COMPUTED_VALUE"""),0.0)</f>
        <v>0</v>
      </c>
      <c r="AU156" s="1">
        <f>IFERROR(__xludf.DUMMYFUNCTION("""COMPUTED_VALUE"""),0.0)</f>
        <v>0</v>
      </c>
      <c r="AV156" s="2" t="str">
        <f>IFERROR(__xludf.DUMMYFUNCTION("""COMPUTED_VALUE"""),"")</f>
        <v/>
      </c>
      <c r="AW156" s="1">
        <f>IFERROR(__xludf.DUMMYFUNCTION("""COMPUTED_VALUE"""),0.0)</f>
        <v>0</v>
      </c>
      <c r="AX156" s="1">
        <f>IFERROR(__xludf.DUMMYFUNCTION("""COMPUTED_VALUE"""),0.0)</f>
        <v>0</v>
      </c>
      <c r="AY156" s="2" t="str">
        <f>IFERROR(__xludf.DUMMYFUNCTION("""COMPUTED_VALUE"""),"")</f>
        <v/>
      </c>
      <c r="AZ156" s="1">
        <f>IFERROR(__xludf.DUMMYFUNCTION("""COMPUTED_VALUE"""),0.0)</f>
        <v>0</v>
      </c>
      <c r="BA156" s="1">
        <f>IFERROR(__xludf.DUMMYFUNCTION("""COMPUTED_VALUE"""),0.0)</f>
        <v>0</v>
      </c>
      <c r="BB156" s="2" t="str">
        <f>IFERROR(__xludf.DUMMYFUNCTION("""COMPUTED_VALUE"""),"")</f>
        <v/>
      </c>
    </row>
    <row r="157">
      <c r="A157" s="1" t="str">
        <f>IFERROR(__xludf.DUMMYFUNCTION("""COMPUTED_VALUE"""),"63ea6e9652ad6968805ceedf")</f>
        <v>63ea6e9652ad6968805ceedf</v>
      </c>
      <c r="B157" s="1" t="str">
        <f>IFERROR(__xludf.DUMMYFUNCTION("""COMPUTED_VALUE"""),"TELENETWORK AG")</f>
        <v>TELENETWORK AG</v>
      </c>
      <c r="C157" s="1" t="str">
        <f>IFERROR(__xludf.DUMMYFUNCTION("""COMPUTED_VALUE"""),"rui.silva@al-enterprise.com, robert.weinberger@al-enterprise.com")</f>
        <v>rui.silva@al-enterprise.com, robert.weinberger@al-enterprise.com</v>
      </c>
      <c r="D157" s="1" t="str">
        <f>IFERROR(__xludf.DUMMYFUNCTION("""COMPUTED_VALUE"""),"germany")</f>
        <v>germany</v>
      </c>
      <c r="E157" s="1" t="str">
        <f>IFERROR(__xludf.DUMMYFUNCTION("""COMPUTED_VALUE"""),"DE")</f>
        <v>DE</v>
      </c>
      <c r="F157" s="1" t="str">
        <f>IFERROR(__xludf.DUMMYFUNCTION("""COMPUTED_VALUE"""),"expert_200")</f>
        <v>expert_200</v>
      </c>
      <c r="G157" s="1">
        <f>IFERROR(__xludf.DUMMYFUNCTION("""COMPUTED_VALUE"""),0.0)</f>
        <v>0</v>
      </c>
      <c r="H157" s="1">
        <f>IFERROR(__xludf.DUMMYFUNCTION("""COMPUTED_VALUE"""),1.0)</f>
        <v>1</v>
      </c>
      <c r="I157" s="2">
        <f>IFERROR(__xludf.DUMMYFUNCTION("""COMPUTED_VALUE"""),0.0)</f>
        <v>0</v>
      </c>
      <c r="J157" s="1">
        <f>IFERROR(__xludf.DUMMYFUNCTION("""COMPUTED_VALUE"""),10.37)</f>
        <v>10.37</v>
      </c>
      <c r="K157" s="1">
        <f>IFERROR(__xludf.DUMMYFUNCTION("""COMPUTED_VALUE"""),200.0)</f>
        <v>200</v>
      </c>
      <c r="L157" s="2">
        <f>IFERROR(__xludf.DUMMYFUNCTION("""COMPUTED_VALUE"""),0.05184999999999999)</f>
        <v>0.05185</v>
      </c>
      <c r="M157" s="1">
        <f>IFERROR(__xludf.DUMMYFUNCTION("""COMPUTED_VALUE"""),18.0)</f>
        <v>18</v>
      </c>
      <c r="N157" s="1">
        <f>IFERROR(__xludf.DUMMYFUNCTION("""COMPUTED_VALUE"""),0.0)</f>
        <v>0</v>
      </c>
      <c r="O157" s="2" t="str">
        <f>IFERROR(__xludf.DUMMYFUNCTION("""COMPUTED_VALUE"""),"")</f>
        <v/>
      </c>
      <c r="P157" s="1">
        <f>IFERROR(__xludf.DUMMYFUNCTION("""COMPUTED_VALUE"""),0.0)</f>
        <v>0</v>
      </c>
      <c r="Q157" s="1">
        <f>IFERROR(__xludf.DUMMYFUNCTION("""COMPUTED_VALUE"""),1.0)</f>
        <v>1</v>
      </c>
      <c r="R157" s="2">
        <f>IFERROR(__xludf.DUMMYFUNCTION("""COMPUTED_VALUE"""),0.0)</f>
        <v>0</v>
      </c>
      <c r="S157" s="1">
        <f>IFERROR(__xludf.DUMMYFUNCTION("""COMPUTED_VALUE"""),1.0)</f>
        <v>1</v>
      </c>
      <c r="T157" s="1">
        <f>IFERROR(__xludf.DUMMYFUNCTION("""COMPUTED_VALUE"""),1.0)</f>
        <v>1</v>
      </c>
      <c r="U157" s="2">
        <f>IFERROR(__xludf.DUMMYFUNCTION("""COMPUTED_VALUE"""),1.0)</f>
        <v>1</v>
      </c>
      <c r="V157" s="1">
        <f>IFERROR(__xludf.DUMMYFUNCTION("""COMPUTED_VALUE"""),0.0)</f>
        <v>0</v>
      </c>
      <c r="W157" s="1">
        <f>IFERROR(__xludf.DUMMYFUNCTION("""COMPUTED_VALUE"""),1.0)</f>
        <v>1</v>
      </c>
      <c r="X157" s="2">
        <f>IFERROR(__xludf.DUMMYFUNCTION("""COMPUTED_VALUE"""),0.0)</f>
        <v>0</v>
      </c>
      <c r="Y157" s="1">
        <f>IFERROR(__xludf.DUMMYFUNCTION("""COMPUTED_VALUE"""),27.0)</f>
        <v>27</v>
      </c>
      <c r="Z157" s="1">
        <f>IFERROR(__xludf.DUMMYFUNCTION("""COMPUTED_VALUE"""),0.0)</f>
        <v>0</v>
      </c>
      <c r="AA157" s="2" t="str">
        <f>IFERROR(__xludf.DUMMYFUNCTION("""COMPUTED_VALUE"""),"")</f>
        <v/>
      </c>
      <c r="AB157" s="1">
        <f>IFERROR(__xludf.DUMMYFUNCTION("""COMPUTED_VALUE"""),1.24)</f>
        <v>1.24</v>
      </c>
      <c r="AC157" s="1">
        <f>IFERROR(__xludf.DUMMYFUNCTION("""COMPUTED_VALUE"""),41.24)</f>
        <v>41.24</v>
      </c>
      <c r="AD157" s="2">
        <f>IFERROR(__xludf.DUMMYFUNCTION("""COMPUTED_VALUE"""),0.030067895247332686)</f>
        <v>0.03006789525</v>
      </c>
      <c r="AE157" s="1">
        <f>IFERROR(__xludf.DUMMYFUNCTION("""COMPUTED_VALUE"""),30.0)</f>
        <v>30</v>
      </c>
      <c r="AF157" s="1">
        <f>IFERROR(__xludf.DUMMYFUNCTION("""COMPUTED_VALUE"""),61.86)</f>
        <v>61.86</v>
      </c>
      <c r="AG157" s="2">
        <f>IFERROR(__xludf.DUMMYFUNCTION("""COMPUTED_VALUE"""),0.48496605237633367)</f>
        <v>0.4849660524</v>
      </c>
      <c r="AH157" s="1">
        <f>IFERROR(__xludf.DUMMYFUNCTION("""COMPUTED_VALUE"""),150.0)</f>
        <v>150</v>
      </c>
      <c r="AI157" s="1">
        <f>IFERROR(__xludf.DUMMYFUNCTION("""COMPUTED_VALUE"""),61.86)</f>
        <v>61.86</v>
      </c>
      <c r="AJ157" s="2">
        <f>IFERROR(__xludf.DUMMYFUNCTION("""COMPUTED_VALUE"""),2.4248302618816684)</f>
        <v>2.424830262</v>
      </c>
      <c r="AK157" s="1">
        <f>IFERROR(__xludf.DUMMYFUNCTION("""COMPUTED_VALUE"""),208.24)</f>
        <v>208.24</v>
      </c>
      <c r="AL157" s="1">
        <f>IFERROR(__xludf.DUMMYFUNCTION("""COMPUTED_VALUE"""),164.95999999999998)</f>
        <v>164.96</v>
      </c>
      <c r="AM157" s="2">
        <f>IFERROR(__xludf.DUMMYFUNCTION("""COMPUTED_VALUE"""),1.2623666343355968)</f>
        <v>1.262366634</v>
      </c>
      <c r="AN157" s="1">
        <f>IFERROR(__xludf.DUMMYFUNCTION("""COMPUTED_VALUE"""),0.0)</f>
        <v>0</v>
      </c>
      <c r="AO157" s="1">
        <f>IFERROR(__xludf.DUMMYFUNCTION("""COMPUTED_VALUE"""),0.0)</f>
        <v>0</v>
      </c>
      <c r="AP157" s="2" t="str">
        <f>IFERROR(__xludf.DUMMYFUNCTION("""COMPUTED_VALUE"""),"")</f>
        <v/>
      </c>
      <c r="AQ157" s="1">
        <f>IFERROR(__xludf.DUMMYFUNCTION("""COMPUTED_VALUE"""),0.0)</f>
        <v>0</v>
      </c>
      <c r="AR157" s="1">
        <f>IFERROR(__xludf.DUMMYFUNCTION("""COMPUTED_VALUE"""),0.0)</f>
        <v>0</v>
      </c>
      <c r="AS157" s="2" t="str">
        <f>IFERROR(__xludf.DUMMYFUNCTION("""COMPUTED_VALUE"""),"")</f>
        <v/>
      </c>
      <c r="AT157" s="1">
        <f>IFERROR(__xludf.DUMMYFUNCTION("""COMPUTED_VALUE"""),0.0)</f>
        <v>0</v>
      </c>
      <c r="AU157" s="1">
        <f>IFERROR(__xludf.DUMMYFUNCTION("""COMPUTED_VALUE"""),0.0)</f>
        <v>0</v>
      </c>
      <c r="AV157" s="2" t="str">
        <f>IFERROR(__xludf.DUMMYFUNCTION("""COMPUTED_VALUE"""),"")</f>
        <v/>
      </c>
      <c r="AW157" s="1">
        <f>IFERROR(__xludf.DUMMYFUNCTION("""COMPUTED_VALUE"""),0.0)</f>
        <v>0</v>
      </c>
      <c r="AX157" s="1">
        <f>IFERROR(__xludf.DUMMYFUNCTION("""COMPUTED_VALUE"""),0.0)</f>
        <v>0</v>
      </c>
      <c r="AY157" s="2" t="str">
        <f>IFERROR(__xludf.DUMMYFUNCTION("""COMPUTED_VALUE"""),"")</f>
        <v/>
      </c>
      <c r="AZ157" s="1">
        <f>IFERROR(__xludf.DUMMYFUNCTION("""COMPUTED_VALUE"""),0.0)</f>
        <v>0</v>
      </c>
      <c r="BA157" s="1">
        <f>IFERROR(__xludf.DUMMYFUNCTION("""COMPUTED_VALUE"""),0.0)</f>
        <v>0</v>
      </c>
      <c r="BB157" s="2" t="str">
        <f>IFERROR(__xludf.DUMMYFUNCTION("""COMPUTED_VALUE"""),"")</f>
        <v/>
      </c>
    </row>
    <row r="158">
      <c r="A158" s="1" t="str">
        <f>IFERROR(__xludf.DUMMYFUNCTION("""COMPUTED_VALUE"""),"63ced842c5c820531c26802d")</f>
        <v>63ced842c5c820531c26802d</v>
      </c>
      <c r="B158" s="1" t="str">
        <f>IFERROR(__xludf.DUMMYFUNCTION("""COMPUTED_VALUE"""),"TeleSys Kommunikationstechnik GmbH")</f>
        <v>TeleSys Kommunikationstechnik GmbH</v>
      </c>
      <c r="C158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158" s="1" t="str">
        <f>IFERROR(__xludf.DUMMYFUNCTION("""COMPUTED_VALUE"""),"germany")</f>
        <v>germany</v>
      </c>
      <c r="E158" s="1" t="str">
        <f>IFERROR(__xludf.DUMMYFUNCTION("""COMPUTED_VALUE"""),"DE")</f>
        <v>DE</v>
      </c>
      <c r="F158" s="1" t="str">
        <f>IFERROR(__xludf.DUMMYFUNCTION("""COMPUTED_VALUE"""),"expert_1000")</f>
        <v>expert_1000</v>
      </c>
      <c r="G158" s="1">
        <f>IFERROR(__xludf.DUMMYFUNCTION("""COMPUTED_VALUE"""),1.0)</f>
        <v>1</v>
      </c>
      <c r="H158" s="1">
        <f>IFERROR(__xludf.DUMMYFUNCTION("""COMPUTED_VALUE"""),1.0)</f>
        <v>1</v>
      </c>
      <c r="I158" s="2">
        <f>IFERROR(__xludf.DUMMYFUNCTION("""COMPUTED_VALUE"""),1.0)</f>
        <v>1</v>
      </c>
      <c r="J158" s="1">
        <f>IFERROR(__xludf.DUMMYFUNCTION("""COMPUTED_VALUE"""),574.44)</f>
        <v>574.44</v>
      </c>
      <c r="K158" s="1">
        <f>IFERROR(__xludf.DUMMYFUNCTION("""COMPUTED_VALUE"""),2239.0)</f>
        <v>2239</v>
      </c>
      <c r="L158" s="2">
        <f>IFERROR(__xludf.DUMMYFUNCTION("""COMPUTED_VALUE"""),0.2565609647163913)</f>
        <v>0.2565609647</v>
      </c>
      <c r="M158" s="1">
        <f>IFERROR(__xludf.DUMMYFUNCTION("""COMPUTED_VALUE"""),71.0)</f>
        <v>71</v>
      </c>
      <c r="N158" s="1">
        <f>IFERROR(__xludf.DUMMYFUNCTION("""COMPUTED_VALUE"""),52.0)</f>
        <v>52</v>
      </c>
      <c r="O158" s="2">
        <f>IFERROR(__xludf.DUMMYFUNCTION("""COMPUTED_VALUE"""),1.3653846153846154)</f>
        <v>1.365384615</v>
      </c>
      <c r="P158" s="1">
        <f>IFERROR(__xludf.DUMMYFUNCTION("""COMPUTED_VALUE"""),1.0)</f>
        <v>1</v>
      </c>
      <c r="Q158" s="1">
        <f>IFERROR(__xludf.DUMMYFUNCTION("""COMPUTED_VALUE"""),1.0)</f>
        <v>1</v>
      </c>
      <c r="R158" s="2">
        <f>IFERROR(__xludf.DUMMYFUNCTION("""COMPUTED_VALUE"""),1.0)</f>
        <v>1</v>
      </c>
      <c r="S158" s="1">
        <f>IFERROR(__xludf.DUMMYFUNCTION("""COMPUTED_VALUE"""),1.0)</f>
        <v>1</v>
      </c>
      <c r="T158" s="1">
        <f>IFERROR(__xludf.DUMMYFUNCTION("""COMPUTED_VALUE"""),1.0)</f>
        <v>1</v>
      </c>
      <c r="U158" s="2">
        <f>IFERROR(__xludf.DUMMYFUNCTION("""COMPUTED_VALUE"""),1.0)</f>
        <v>1</v>
      </c>
      <c r="V158" s="1">
        <f>IFERROR(__xludf.DUMMYFUNCTION("""COMPUTED_VALUE"""),0.0)</f>
        <v>0</v>
      </c>
      <c r="W158" s="1">
        <f>IFERROR(__xludf.DUMMYFUNCTION("""COMPUTED_VALUE"""),1.0)</f>
        <v>1</v>
      </c>
      <c r="X158" s="2">
        <f>IFERROR(__xludf.DUMMYFUNCTION("""COMPUTED_VALUE"""),0.0)</f>
        <v>0</v>
      </c>
      <c r="Y158" s="1">
        <f>IFERROR(__xludf.DUMMYFUNCTION("""COMPUTED_VALUE"""),3.55)</f>
        <v>3.55</v>
      </c>
      <c r="Z158" s="1">
        <f>IFERROR(__xludf.DUMMYFUNCTION("""COMPUTED_VALUE"""),0.0)</f>
        <v>0</v>
      </c>
      <c r="AA158" s="2" t="str">
        <f>IFERROR(__xludf.DUMMYFUNCTION("""COMPUTED_VALUE"""),"")</f>
        <v/>
      </c>
      <c r="AB158" s="1">
        <f>IFERROR(__xludf.DUMMYFUNCTION("""COMPUTED_VALUE"""),11.77)</f>
        <v>11.77</v>
      </c>
      <c r="AC158" s="1">
        <f>IFERROR(__xludf.DUMMYFUNCTION("""COMPUTED_VALUE"""),952.77)</f>
        <v>952.77</v>
      </c>
      <c r="AD158" s="2">
        <f>IFERROR(__xludf.DUMMYFUNCTION("""COMPUTED_VALUE"""),0.0123534536141986)</f>
        <v>0.01235345361</v>
      </c>
      <c r="AE158" s="1">
        <f>IFERROR(__xludf.DUMMYFUNCTION("""COMPUTED_VALUE"""),927.86)</f>
        <v>927.86</v>
      </c>
      <c r="AF158" s="1">
        <f>IFERROR(__xludf.DUMMYFUNCTION("""COMPUTED_VALUE"""),1429.15)</f>
        <v>1429.15</v>
      </c>
      <c r="AG158" s="2">
        <f>IFERROR(__xludf.DUMMYFUNCTION("""COMPUTED_VALUE"""),0.6492390581814365)</f>
        <v>0.6492390582</v>
      </c>
      <c r="AH158" s="1">
        <f>IFERROR(__xludf.DUMMYFUNCTION("""COMPUTED_VALUE"""),860.75)</f>
        <v>860.75</v>
      </c>
      <c r="AI158" s="1">
        <f>IFERROR(__xludf.DUMMYFUNCTION("""COMPUTED_VALUE"""),1429.15)</f>
        <v>1429.15</v>
      </c>
      <c r="AJ158" s="2">
        <f>IFERROR(__xludf.DUMMYFUNCTION("""COMPUTED_VALUE"""),0.6022810761641535)</f>
        <v>0.6022810762</v>
      </c>
      <c r="AK158" s="1">
        <f>IFERROR(__xludf.DUMMYFUNCTION("""COMPUTED_VALUE"""),1803.93)</f>
        <v>1803.93</v>
      </c>
      <c r="AL158" s="1">
        <f>IFERROR(__xludf.DUMMYFUNCTION("""COMPUTED_VALUE"""),3811.07)</f>
        <v>3811.07</v>
      </c>
      <c r="AM158" s="2">
        <f>IFERROR(__xludf.DUMMYFUNCTION("""COMPUTED_VALUE"""),0.47333950832705773)</f>
        <v>0.4733395083</v>
      </c>
      <c r="AN158" s="1">
        <f>IFERROR(__xludf.DUMMYFUNCTION("""COMPUTED_VALUE"""),212.09)</f>
        <v>212.09</v>
      </c>
      <c r="AO158" s="1">
        <f>IFERROR(__xludf.DUMMYFUNCTION("""COMPUTED_VALUE"""),0.0)</f>
        <v>0</v>
      </c>
      <c r="AP158" s="2" t="str">
        <f>IFERROR(__xludf.DUMMYFUNCTION("""COMPUTED_VALUE"""),"")</f>
        <v/>
      </c>
      <c r="AQ158" s="1">
        <f>IFERROR(__xludf.DUMMYFUNCTION("""COMPUTED_VALUE"""),465.62)</f>
        <v>465.62</v>
      </c>
      <c r="AR158" s="1">
        <f>IFERROR(__xludf.DUMMYFUNCTION("""COMPUTED_VALUE"""),0.0)</f>
        <v>0</v>
      </c>
      <c r="AS158" s="2" t="str">
        <f>IFERROR(__xludf.DUMMYFUNCTION("""COMPUTED_VALUE"""),"")</f>
        <v/>
      </c>
      <c r="AT158" s="1">
        <f>IFERROR(__xludf.DUMMYFUNCTION("""COMPUTED_VALUE"""),154.69)</f>
        <v>154.69</v>
      </c>
      <c r="AU158" s="1">
        <f>IFERROR(__xludf.DUMMYFUNCTION("""COMPUTED_VALUE"""),0.0)</f>
        <v>0</v>
      </c>
      <c r="AV158" s="2" t="str">
        <f>IFERROR(__xludf.DUMMYFUNCTION("""COMPUTED_VALUE"""),"")</f>
        <v/>
      </c>
      <c r="AW158" s="1">
        <f>IFERROR(__xludf.DUMMYFUNCTION("""COMPUTED_VALUE"""),40.88)</f>
        <v>40.88</v>
      </c>
      <c r="AX158" s="1">
        <f>IFERROR(__xludf.DUMMYFUNCTION("""COMPUTED_VALUE"""),0.0)</f>
        <v>0</v>
      </c>
      <c r="AY158" s="2" t="str">
        <f>IFERROR(__xludf.DUMMYFUNCTION("""COMPUTED_VALUE"""),"")</f>
        <v/>
      </c>
      <c r="AZ158" s="1">
        <f>IFERROR(__xludf.DUMMYFUNCTION("""COMPUTED_VALUE"""),873.2800000000001)</f>
        <v>873.28</v>
      </c>
      <c r="BA158" s="1">
        <f>IFERROR(__xludf.DUMMYFUNCTION("""COMPUTED_VALUE"""),0.0)</f>
        <v>0</v>
      </c>
      <c r="BB158" s="2" t="str">
        <f>IFERROR(__xludf.DUMMYFUNCTION("""COMPUTED_VALUE"""),"")</f>
        <v/>
      </c>
    </row>
    <row r="159">
      <c r="A159" s="1" t="str">
        <f>IFERROR(__xludf.DUMMYFUNCTION("""COMPUTED_VALUE"""),"63ced845c5c820531c2686ae")</f>
        <v>63ced845c5c820531c2686ae</v>
      </c>
      <c r="B159" s="1" t="str">
        <f>IFERROR(__xludf.DUMMYFUNCTION("""COMPUTED_VALUE"""),"TeleTech GmbH")</f>
        <v>TeleTech GmbH</v>
      </c>
      <c r="C159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159" s="1" t="str">
        <f>IFERROR(__xludf.DUMMYFUNCTION("""COMPUTED_VALUE"""),"germany")</f>
        <v>germany</v>
      </c>
      <c r="E159" s="1" t="str">
        <f>IFERROR(__xludf.DUMMYFUNCTION("""COMPUTED_VALUE"""),"DE")</f>
        <v>DE</v>
      </c>
      <c r="F159" s="1" t="str">
        <f>IFERROR(__xludf.DUMMYFUNCTION("""COMPUTED_VALUE"""),"expert_1000")</f>
        <v>expert_1000</v>
      </c>
      <c r="G159" s="1">
        <f>IFERROR(__xludf.DUMMYFUNCTION("""COMPUTED_VALUE"""),1.0)</f>
        <v>1</v>
      </c>
      <c r="H159" s="1">
        <f>IFERROR(__xludf.DUMMYFUNCTION("""COMPUTED_VALUE"""),1.0)</f>
        <v>1</v>
      </c>
      <c r="I159" s="2">
        <f>IFERROR(__xludf.DUMMYFUNCTION("""COMPUTED_VALUE"""),1.0)</f>
        <v>1</v>
      </c>
      <c r="J159" s="1">
        <f>IFERROR(__xludf.DUMMYFUNCTION("""COMPUTED_VALUE"""),778.89)</f>
        <v>778.89</v>
      </c>
      <c r="K159" s="1">
        <f>IFERROR(__xludf.DUMMYFUNCTION("""COMPUTED_VALUE"""),1883.0)</f>
        <v>1883</v>
      </c>
      <c r="L159" s="2">
        <f>IFERROR(__xludf.DUMMYFUNCTION("""COMPUTED_VALUE"""),0.41364312267657993)</f>
        <v>0.4136431227</v>
      </c>
      <c r="M159" s="1">
        <f>IFERROR(__xludf.DUMMYFUNCTION("""COMPUTED_VALUE"""),87.0)</f>
        <v>87</v>
      </c>
      <c r="N159" s="1">
        <f>IFERROR(__xludf.DUMMYFUNCTION("""COMPUTED_VALUE"""),52.0)</f>
        <v>52</v>
      </c>
      <c r="O159" s="2">
        <f>IFERROR(__xludf.DUMMYFUNCTION("""COMPUTED_VALUE"""),1.6730769230769231)</f>
        <v>1.673076923</v>
      </c>
      <c r="P159" s="1">
        <f>IFERROR(__xludf.DUMMYFUNCTION("""COMPUTED_VALUE"""),1.0)</f>
        <v>1</v>
      </c>
      <c r="Q159" s="1">
        <f>IFERROR(__xludf.DUMMYFUNCTION("""COMPUTED_VALUE"""),1.0)</f>
        <v>1</v>
      </c>
      <c r="R159" s="2">
        <f>IFERROR(__xludf.DUMMYFUNCTION("""COMPUTED_VALUE"""),1.0)</f>
        <v>1</v>
      </c>
      <c r="S159" s="1">
        <f>IFERROR(__xludf.DUMMYFUNCTION("""COMPUTED_VALUE"""),1.0)</f>
        <v>1</v>
      </c>
      <c r="T159" s="1">
        <f>IFERROR(__xludf.DUMMYFUNCTION("""COMPUTED_VALUE"""),1.0)</f>
        <v>1</v>
      </c>
      <c r="U159" s="2">
        <f>IFERROR(__xludf.DUMMYFUNCTION("""COMPUTED_VALUE"""),1.0)</f>
        <v>1</v>
      </c>
      <c r="V159" s="1">
        <f>IFERROR(__xludf.DUMMYFUNCTION("""COMPUTED_VALUE"""),0.0)</f>
        <v>0</v>
      </c>
      <c r="W159" s="1">
        <f>IFERROR(__xludf.DUMMYFUNCTION("""COMPUTED_VALUE"""),1.0)</f>
        <v>1</v>
      </c>
      <c r="X159" s="2">
        <f>IFERROR(__xludf.DUMMYFUNCTION("""COMPUTED_VALUE"""),0.0)</f>
        <v>0</v>
      </c>
      <c r="Y159" s="1">
        <f>IFERROR(__xludf.DUMMYFUNCTION("""COMPUTED_VALUE"""),2.32)</f>
        <v>2.32</v>
      </c>
      <c r="Z159" s="1">
        <f>IFERROR(__xludf.DUMMYFUNCTION("""COMPUTED_VALUE"""),0.0)</f>
        <v>0</v>
      </c>
      <c r="AA159" s="2" t="str">
        <f>IFERROR(__xludf.DUMMYFUNCTION("""COMPUTED_VALUE"""),"")</f>
        <v/>
      </c>
      <c r="AB159" s="1">
        <f>IFERROR(__xludf.DUMMYFUNCTION("""COMPUTED_VALUE"""),6.24)</f>
        <v>6.24</v>
      </c>
      <c r="AC159" s="1">
        <f>IFERROR(__xludf.DUMMYFUNCTION("""COMPUTED_VALUE"""),1255.33)</f>
        <v>1255.33</v>
      </c>
      <c r="AD159" s="2">
        <f>IFERROR(__xludf.DUMMYFUNCTION("""COMPUTED_VALUE"""),0.004970804489656107)</f>
        <v>0.00497080449</v>
      </c>
      <c r="AE159" s="1">
        <f>IFERROR(__xludf.DUMMYFUNCTION("""COMPUTED_VALUE"""),310.3)</f>
        <v>310.3</v>
      </c>
      <c r="AF159" s="1">
        <f>IFERROR(__xludf.DUMMYFUNCTION("""COMPUTED_VALUE"""),1883.0)</f>
        <v>1883</v>
      </c>
      <c r="AG159" s="2">
        <f>IFERROR(__xludf.DUMMYFUNCTION("""COMPUTED_VALUE"""),0.1647902283590016)</f>
        <v>0.1647902284</v>
      </c>
      <c r="AH159" s="1">
        <f>IFERROR(__xludf.DUMMYFUNCTION("""COMPUTED_VALUE"""),3142.28)</f>
        <v>3142.28</v>
      </c>
      <c r="AI159" s="1">
        <f>IFERROR(__xludf.DUMMYFUNCTION("""COMPUTED_VALUE"""),1883.0)</f>
        <v>1883</v>
      </c>
      <c r="AJ159" s="2">
        <f>IFERROR(__xludf.DUMMYFUNCTION("""COMPUTED_VALUE"""),1.6687626128518322)</f>
        <v>1.668762613</v>
      </c>
      <c r="AK159" s="1">
        <f>IFERROR(__xludf.DUMMYFUNCTION("""COMPUTED_VALUE"""),3461.1400000000003)</f>
        <v>3461.14</v>
      </c>
      <c r="AL159" s="1">
        <f>IFERROR(__xludf.DUMMYFUNCTION("""COMPUTED_VALUE"""),5021.33)</f>
        <v>5021.33</v>
      </c>
      <c r="AM159" s="2">
        <f>IFERROR(__xludf.DUMMYFUNCTION("""COMPUTED_VALUE"""),0.6892874995270178)</f>
        <v>0.6892874995</v>
      </c>
      <c r="AN159" s="1">
        <f>IFERROR(__xludf.DUMMYFUNCTION("""COMPUTED_VALUE"""),238.96)</f>
        <v>238.96</v>
      </c>
      <c r="AO159" s="1">
        <f>IFERROR(__xludf.DUMMYFUNCTION("""COMPUTED_VALUE"""),0.0)</f>
        <v>0</v>
      </c>
      <c r="AP159" s="2" t="str">
        <f>IFERROR(__xludf.DUMMYFUNCTION("""COMPUTED_VALUE"""),"")</f>
        <v/>
      </c>
      <c r="AQ159" s="1">
        <f>IFERROR(__xludf.DUMMYFUNCTION("""COMPUTED_VALUE"""),777.32)</f>
        <v>777.32</v>
      </c>
      <c r="AR159" s="1">
        <f>IFERROR(__xludf.DUMMYFUNCTION("""COMPUTED_VALUE"""),0.0)</f>
        <v>0</v>
      </c>
      <c r="AS159" s="2" t="str">
        <f>IFERROR(__xludf.DUMMYFUNCTION("""COMPUTED_VALUE"""),"")</f>
        <v/>
      </c>
      <c r="AT159" s="1">
        <f>IFERROR(__xludf.DUMMYFUNCTION("""COMPUTED_VALUE"""),56.16)</f>
        <v>56.16</v>
      </c>
      <c r="AU159" s="1">
        <f>IFERROR(__xludf.DUMMYFUNCTION("""COMPUTED_VALUE"""),0.0)</f>
        <v>0</v>
      </c>
      <c r="AV159" s="2" t="str">
        <f>IFERROR(__xludf.DUMMYFUNCTION("""COMPUTED_VALUE"""),"")</f>
        <v/>
      </c>
      <c r="AW159" s="1">
        <f>IFERROR(__xludf.DUMMYFUNCTION("""COMPUTED_VALUE"""),76.87)</f>
        <v>76.87</v>
      </c>
      <c r="AX159" s="1">
        <f>IFERROR(__xludf.DUMMYFUNCTION("""COMPUTED_VALUE"""),0.0)</f>
        <v>0</v>
      </c>
      <c r="AY159" s="2" t="str">
        <f>IFERROR(__xludf.DUMMYFUNCTION("""COMPUTED_VALUE"""),"")</f>
        <v/>
      </c>
      <c r="AZ159" s="1">
        <f>IFERROR(__xludf.DUMMYFUNCTION("""COMPUTED_VALUE"""),1149.31)</f>
        <v>1149.31</v>
      </c>
      <c r="BA159" s="1">
        <f>IFERROR(__xludf.DUMMYFUNCTION("""COMPUTED_VALUE"""),0.0)</f>
        <v>0</v>
      </c>
      <c r="BB159" s="2" t="str">
        <f>IFERROR(__xludf.DUMMYFUNCTION("""COMPUTED_VALUE"""),"")</f>
        <v/>
      </c>
    </row>
    <row r="160">
      <c r="A160" s="1" t="str">
        <f>IFERROR(__xludf.DUMMYFUNCTION("""COMPUTED_VALUE"""),"63ced845c5c820531c2686bd")</f>
        <v>63ced845c5c820531c2686bd</v>
      </c>
      <c r="B160" s="1" t="str">
        <f>IFERROR(__xludf.DUMMYFUNCTION("""COMPUTED_VALUE"""),"TELKO GmbH Saalfeld")</f>
        <v>TELKO GmbH Saalfeld</v>
      </c>
      <c r="C160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160" s="1" t="str">
        <f>IFERROR(__xludf.DUMMYFUNCTION("""COMPUTED_VALUE"""),"germany")</f>
        <v>germany</v>
      </c>
      <c r="E160" s="1" t="str">
        <f>IFERROR(__xludf.DUMMYFUNCTION("""COMPUTED_VALUE"""),"DE")</f>
        <v>DE</v>
      </c>
      <c r="F160" s="1" t="str">
        <f>IFERROR(__xludf.DUMMYFUNCTION("""COMPUTED_VALUE"""),"expert_200")</f>
        <v>expert_200</v>
      </c>
      <c r="G160" s="1">
        <f>IFERROR(__xludf.DUMMYFUNCTION("""COMPUTED_VALUE"""),1.0)</f>
        <v>1</v>
      </c>
      <c r="H160" s="1">
        <f>IFERROR(__xludf.DUMMYFUNCTION("""COMPUTED_VALUE"""),1.0)</f>
        <v>1</v>
      </c>
      <c r="I160" s="2">
        <f>IFERROR(__xludf.DUMMYFUNCTION("""COMPUTED_VALUE"""),1.0)</f>
        <v>1</v>
      </c>
      <c r="J160" s="1">
        <f>IFERROR(__xludf.DUMMYFUNCTION("""COMPUTED_VALUE"""),127.44)</f>
        <v>127.44</v>
      </c>
      <c r="K160" s="1">
        <f>IFERROR(__xludf.DUMMYFUNCTION("""COMPUTED_VALUE"""),525.0)</f>
        <v>525</v>
      </c>
      <c r="L160" s="2">
        <f>IFERROR(__xludf.DUMMYFUNCTION("""COMPUTED_VALUE"""),0.24274285714285715)</f>
        <v>0.2427428571</v>
      </c>
      <c r="M160" s="1">
        <f>IFERROR(__xludf.DUMMYFUNCTION("""COMPUTED_VALUE"""),23.0)</f>
        <v>23</v>
      </c>
      <c r="N160" s="1">
        <f>IFERROR(__xludf.DUMMYFUNCTION("""COMPUTED_VALUE"""),52.0)</f>
        <v>52</v>
      </c>
      <c r="O160" s="2">
        <f>IFERROR(__xludf.DUMMYFUNCTION("""COMPUTED_VALUE"""),0.4423076923076923)</f>
        <v>0.4423076923</v>
      </c>
      <c r="P160" s="1">
        <f>IFERROR(__xludf.DUMMYFUNCTION("""COMPUTED_VALUE"""),1.0)</f>
        <v>1</v>
      </c>
      <c r="Q160" s="1">
        <f>IFERROR(__xludf.DUMMYFUNCTION("""COMPUTED_VALUE"""),1.0)</f>
        <v>1</v>
      </c>
      <c r="R160" s="2">
        <f>IFERROR(__xludf.DUMMYFUNCTION("""COMPUTED_VALUE"""),1.0)</f>
        <v>1</v>
      </c>
      <c r="S160" s="1">
        <f>IFERROR(__xludf.DUMMYFUNCTION("""COMPUTED_VALUE"""),0.0)</f>
        <v>0</v>
      </c>
      <c r="T160" s="1">
        <f>IFERROR(__xludf.DUMMYFUNCTION("""COMPUTED_VALUE"""),1.0)</f>
        <v>1</v>
      </c>
      <c r="U160" s="2">
        <f>IFERROR(__xludf.DUMMYFUNCTION("""COMPUTED_VALUE"""),0.0)</f>
        <v>0</v>
      </c>
      <c r="V160" s="1">
        <f>IFERROR(__xludf.DUMMYFUNCTION("""COMPUTED_VALUE"""),0.0)</f>
        <v>0</v>
      </c>
      <c r="W160" s="1">
        <f>IFERROR(__xludf.DUMMYFUNCTION("""COMPUTED_VALUE"""),1.0)</f>
        <v>1</v>
      </c>
      <c r="X160" s="2">
        <f>IFERROR(__xludf.DUMMYFUNCTION("""COMPUTED_VALUE"""),0.0)</f>
        <v>0</v>
      </c>
      <c r="Y160" s="1">
        <f>IFERROR(__xludf.DUMMYFUNCTION("""COMPUTED_VALUE"""),1.15)</f>
        <v>1.15</v>
      </c>
      <c r="Z160" s="1">
        <f>IFERROR(__xludf.DUMMYFUNCTION("""COMPUTED_VALUE"""),0.0)</f>
        <v>0</v>
      </c>
      <c r="AA160" s="2" t="str">
        <f>IFERROR(__xludf.DUMMYFUNCTION("""COMPUTED_VALUE"""),"")</f>
        <v/>
      </c>
      <c r="AB160" s="1">
        <f>IFERROR(__xludf.DUMMYFUNCTION("""COMPUTED_VALUE"""),13.26)</f>
        <v>13.26</v>
      </c>
      <c r="AC160" s="1">
        <f>IFERROR(__xludf.DUMMYFUNCTION("""COMPUTED_VALUE"""),181.03)</f>
        <v>181.03</v>
      </c>
      <c r="AD160" s="2">
        <f>IFERROR(__xludf.DUMMYFUNCTION("""COMPUTED_VALUE"""),0.07324752803402751)</f>
        <v>0.07324752803</v>
      </c>
      <c r="AE160" s="1">
        <f>IFERROR(__xludf.DUMMYFUNCTION("""COMPUTED_VALUE"""),227.08)</f>
        <v>227.08</v>
      </c>
      <c r="AF160" s="1">
        <f>IFERROR(__xludf.DUMMYFUNCTION("""COMPUTED_VALUE"""),271.55)</f>
        <v>271.55</v>
      </c>
      <c r="AG160" s="2">
        <f>IFERROR(__xludf.DUMMYFUNCTION("""COMPUTED_VALUE"""),0.836236420548702)</f>
        <v>0.8362364205</v>
      </c>
      <c r="AH160" s="1">
        <f>IFERROR(__xludf.DUMMYFUNCTION("""COMPUTED_VALUE"""),128.8)</f>
        <v>128.8</v>
      </c>
      <c r="AI160" s="1">
        <f>IFERROR(__xludf.DUMMYFUNCTION("""COMPUTED_VALUE"""),271.55)</f>
        <v>271.55</v>
      </c>
      <c r="AJ160" s="2">
        <f>IFERROR(__xludf.DUMMYFUNCTION("""COMPUTED_VALUE"""),0.4743141226293501)</f>
        <v>0.4743141226</v>
      </c>
      <c r="AK160" s="1">
        <f>IFERROR(__xludf.DUMMYFUNCTION("""COMPUTED_VALUE"""),370.29)</f>
        <v>370.29</v>
      </c>
      <c r="AL160" s="1">
        <f>IFERROR(__xludf.DUMMYFUNCTION("""COMPUTED_VALUE"""),724.1300000000001)</f>
        <v>724.13</v>
      </c>
      <c r="AM160" s="2">
        <f>IFERROR(__xludf.DUMMYFUNCTION("""COMPUTED_VALUE"""),0.5113584577354894)</f>
        <v>0.5113584577</v>
      </c>
      <c r="AN160" s="1">
        <f>IFERROR(__xludf.DUMMYFUNCTION("""COMPUTED_VALUE"""),137.74)</f>
        <v>137.74</v>
      </c>
      <c r="AO160" s="1">
        <f>IFERROR(__xludf.DUMMYFUNCTION("""COMPUTED_VALUE"""),0.0)</f>
        <v>0</v>
      </c>
      <c r="AP160" s="2" t="str">
        <f>IFERROR(__xludf.DUMMYFUNCTION("""COMPUTED_VALUE"""),"")</f>
        <v/>
      </c>
      <c r="AQ160" s="1">
        <f>IFERROR(__xludf.DUMMYFUNCTION("""COMPUTED_VALUE"""),77.54)</f>
        <v>77.54</v>
      </c>
      <c r="AR160" s="1">
        <f>IFERROR(__xludf.DUMMYFUNCTION("""COMPUTED_VALUE"""),0.0)</f>
        <v>0</v>
      </c>
      <c r="AS160" s="2" t="str">
        <f>IFERROR(__xludf.DUMMYFUNCTION("""COMPUTED_VALUE"""),"")</f>
        <v/>
      </c>
      <c r="AT160" s="1">
        <f>IFERROR(__xludf.DUMMYFUNCTION("""COMPUTED_VALUE"""),139.33)</f>
        <v>139.33</v>
      </c>
      <c r="AU160" s="1">
        <f>IFERROR(__xludf.DUMMYFUNCTION("""COMPUTED_VALUE"""),0.0)</f>
        <v>0</v>
      </c>
      <c r="AV160" s="2" t="str">
        <f>IFERROR(__xludf.DUMMYFUNCTION("""COMPUTED_VALUE"""),"")</f>
        <v/>
      </c>
      <c r="AW160" s="1">
        <f>IFERROR(__xludf.DUMMYFUNCTION("""COMPUTED_VALUE"""),29.41)</f>
        <v>29.41</v>
      </c>
      <c r="AX160" s="1">
        <f>IFERROR(__xludf.DUMMYFUNCTION("""COMPUTED_VALUE"""),0.0)</f>
        <v>0</v>
      </c>
      <c r="AY160" s="2" t="str">
        <f>IFERROR(__xludf.DUMMYFUNCTION("""COMPUTED_VALUE"""),"")</f>
        <v/>
      </c>
      <c r="AZ160" s="1">
        <f>IFERROR(__xludf.DUMMYFUNCTION("""COMPUTED_VALUE"""),384.02000000000004)</f>
        <v>384.02</v>
      </c>
      <c r="BA160" s="1">
        <f>IFERROR(__xludf.DUMMYFUNCTION("""COMPUTED_VALUE"""),0.0)</f>
        <v>0</v>
      </c>
      <c r="BB160" s="2" t="str">
        <f>IFERROR(__xludf.DUMMYFUNCTION("""COMPUTED_VALUE"""),"")</f>
        <v/>
      </c>
    </row>
    <row r="161">
      <c r="A161" s="1" t="str">
        <f>IFERROR(__xludf.DUMMYFUNCTION("""COMPUTED_VALUE"""),"63ea6e9352ad6968805cea7f")</f>
        <v>63ea6e9352ad6968805cea7f</v>
      </c>
      <c r="B161" s="1" t="str">
        <f>IFERROR(__xludf.DUMMYFUNCTION("""COMPUTED_VALUE"""),"Telonic GmbH")</f>
        <v>Telonic GmbH</v>
      </c>
      <c r="C161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161" s="1" t="str">
        <f>IFERROR(__xludf.DUMMYFUNCTION("""COMPUTED_VALUE"""),"germany")</f>
        <v>germany</v>
      </c>
      <c r="E161" s="1" t="str">
        <f>IFERROR(__xludf.DUMMYFUNCTION("""COMPUTED_VALUE"""),"DE")</f>
        <v>DE</v>
      </c>
      <c r="F161" s="1" t="str">
        <f>IFERROR(__xludf.DUMMYFUNCTION("""COMPUTED_VALUE"""),"expert_1000")</f>
        <v>expert_1000</v>
      </c>
      <c r="G161" s="1">
        <f>IFERROR(__xludf.DUMMYFUNCTION("""COMPUTED_VALUE"""),1.0)</f>
        <v>1</v>
      </c>
      <c r="H161" s="1">
        <f>IFERROR(__xludf.DUMMYFUNCTION("""COMPUTED_VALUE"""),1.0)</f>
        <v>1</v>
      </c>
      <c r="I161" s="2">
        <f>IFERROR(__xludf.DUMMYFUNCTION("""COMPUTED_VALUE"""),1.0)</f>
        <v>1</v>
      </c>
      <c r="J161" s="1">
        <f>IFERROR(__xludf.DUMMYFUNCTION("""COMPUTED_VALUE"""),737.74)</f>
        <v>737.74</v>
      </c>
      <c r="K161" s="1">
        <f>IFERROR(__xludf.DUMMYFUNCTION("""COMPUTED_VALUE"""),1601.0)</f>
        <v>1601</v>
      </c>
      <c r="L161" s="2">
        <f>IFERROR(__xludf.DUMMYFUNCTION("""COMPUTED_VALUE"""),0.4607995003123048)</f>
        <v>0.4607995003</v>
      </c>
      <c r="M161" s="1">
        <f>IFERROR(__xludf.DUMMYFUNCTION("""COMPUTED_VALUE"""),27.0)</f>
        <v>27</v>
      </c>
      <c r="N161" s="1">
        <f>IFERROR(__xludf.DUMMYFUNCTION("""COMPUTED_VALUE"""),52.0)</f>
        <v>52</v>
      </c>
      <c r="O161" s="2">
        <f>IFERROR(__xludf.DUMMYFUNCTION("""COMPUTED_VALUE"""),0.5192307692307693)</f>
        <v>0.5192307692</v>
      </c>
      <c r="P161" s="1">
        <f>IFERROR(__xludf.DUMMYFUNCTION("""COMPUTED_VALUE"""),0.0)</f>
        <v>0</v>
      </c>
      <c r="Q161" s="1">
        <f>IFERROR(__xludf.DUMMYFUNCTION("""COMPUTED_VALUE"""),1.0)</f>
        <v>1</v>
      </c>
      <c r="R161" s="2">
        <f>IFERROR(__xludf.DUMMYFUNCTION("""COMPUTED_VALUE"""),0.0)</f>
        <v>0</v>
      </c>
      <c r="S161" s="1">
        <f>IFERROR(__xludf.DUMMYFUNCTION("""COMPUTED_VALUE"""),1.0)</f>
        <v>1</v>
      </c>
      <c r="T161" s="1">
        <f>IFERROR(__xludf.DUMMYFUNCTION("""COMPUTED_VALUE"""),1.0)</f>
        <v>1</v>
      </c>
      <c r="U161" s="2">
        <f>IFERROR(__xludf.DUMMYFUNCTION("""COMPUTED_VALUE"""),1.0)</f>
        <v>1</v>
      </c>
      <c r="V161" s="1">
        <f>IFERROR(__xludf.DUMMYFUNCTION("""COMPUTED_VALUE"""),1.0)</f>
        <v>1</v>
      </c>
      <c r="W161" s="1">
        <f>IFERROR(__xludf.DUMMYFUNCTION("""COMPUTED_VALUE"""),1.0)</f>
        <v>1</v>
      </c>
      <c r="X161" s="2">
        <f>IFERROR(__xludf.DUMMYFUNCTION("""COMPUTED_VALUE"""),1.0)</f>
        <v>1</v>
      </c>
      <c r="Y161" s="1">
        <f>IFERROR(__xludf.DUMMYFUNCTION("""COMPUTED_VALUE"""),65.0)</f>
        <v>65</v>
      </c>
      <c r="Z161" s="1">
        <f>IFERROR(__xludf.DUMMYFUNCTION("""COMPUTED_VALUE"""),0.0)</f>
        <v>0</v>
      </c>
      <c r="AA161" s="2" t="str">
        <f>IFERROR(__xludf.DUMMYFUNCTION("""COMPUTED_VALUE"""),"")</f>
        <v/>
      </c>
      <c r="AB161" s="1">
        <f>IFERROR(__xludf.DUMMYFUNCTION("""COMPUTED_VALUE"""),30.0)</f>
        <v>30</v>
      </c>
      <c r="AC161" s="1">
        <f>IFERROR(__xludf.DUMMYFUNCTION("""COMPUTED_VALUE"""),1066.67)</f>
        <v>1066.67</v>
      </c>
      <c r="AD161" s="2">
        <f>IFERROR(__xludf.DUMMYFUNCTION("""COMPUTED_VALUE"""),0.028124912109649656)</f>
        <v>0.02812491211</v>
      </c>
      <c r="AE161" s="1">
        <f>IFERROR(__xludf.DUMMYFUNCTION("""COMPUTED_VALUE"""),136.0)</f>
        <v>136</v>
      </c>
      <c r="AF161" s="1">
        <f>IFERROR(__xludf.DUMMYFUNCTION("""COMPUTED_VALUE"""),1600.0)</f>
        <v>1600</v>
      </c>
      <c r="AG161" s="2">
        <f>IFERROR(__xludf.DUMMYFUNCTION("""COMPUTED_VALUE"""),0.085)</f>
        <v>0.085</v>
      </c>
      <c r="AH161" s="1">
        <f>IFERROR(__xludf.DUMMYFUNCTION("""COMPUTED_VALUE"""),1282.2)</f>
        <v>1282.2</v>
      </c>
      <c r="AI161" s="1">
        <f>IFERROR(__xludf.DUMMYFUNCTION("""COMPUTED_VALUE"""),1603.33)</f>
        <v>1603.33</v>
      </c>
      <c r="AJ161" s="2">
        <f>IFERROR(__xludf.DUMMYFUNCTION("""COMPUTED_VALUE"""),0.7997106023089445)</f>
        <v>0.7997106023</v>
      </c>
      <c r="AK161" s="1">
        <f>IFERROR(__xludf.DUMMYFUNCTION("""COMPUTED_VALUE"""),1513.2)</f>
        <v>1513.2</v>
      </c>
      <c r="AL161" s="1">
        <f>IFERROR(__xludf.DUMMYFUNCTION("""COMPUTED_VALUE"""),4270.0)</f>
        <v>4270</v>
      </c>
      <c r="AM161" s="2">
        <f>IFERROR(__xludf.DUMMYFUNCTION("""COMPUTED_VALUE"""),0.3543793911007026)</f>
        <v>0.3543793911</v>
      </c>
      <c r="AN161" s="1">
        <f>IFERROR(__xludf.DUMMYFUNCTION("""COMPUTED_VALUE"""),150.0)</f>
        <v>150</v>
      </c>
      <c r="AO161" s="1">
        <f>IFERROR(__xludf.DUMMYFUNCTION("""COMPUTED_VALUE"""),0.0)</f>
        <v>0</v>
      </c>
      <c r="AP161" s="2" t="str">
        <f>IFERROR(__xludf.DUMMYFUNCTION("""COMPUTED_VALUE"""),"")</f>
        <v/>
      </c>
      <c r="AQ161" s="1">
        <f>IFERROR(__xludf.DUMMYFUNCTION("""COMPUTED_VALUE"""),10.0)</f>
        <v>10</v>
      </c>
      <c r="AR161" s="1">
        <f>IFERROR(__xludf.DUMMYFUNCTION("""COMPUTED_VALUE"""),0.0)</f>
        <v>0</v>
      </c>
      <c r="AS161" s="2" t="str">
        <f>IFERROR(__xludf.DUMMYFUNCTION("""COMPUTED_VALUE"""),"")</f>
        <v/>
      </c>
      <c r="AT161" s="1">
        <f>IFERROR(__xludf.DUMMYFUNCTION("""COMPUTED_VALUE"""),0.0)</f>
        <v>0</v>
      </c>
      <c r="AU161" s="1">
        <f>IFERROR(__xludf.DUMMYFUNCTION("""COMPUTED_VALUE"""),0.0)</f>
        <v>0</v>
      </c>
      <c r="AV161" s="2" t="str">
        <f>IFERROR(__xludf.DUMMYFUNCTION("""COMPUTED_VALUE"""),"")</f>
        <v/>
      </c>
      <c r="AW161" s="1">
        <f>IFERROR(__xludf.DUMMYFUNCTION("""COMPUTED_VALUE"""),200.0)</f>
        <v>200</v>
      </c>
      <c r="AX161" s="1">
        <f>IFERROR(__xludf.DUMMYFUNCTION("""COMPUTED_VALUE"""),0.0)</f>
        <v>0</v>
      </c>
      <c r="AY161" s="2" t="str">
        <f>IFERROR(__xludf.DUMMYFUNCTION("""COMPUTED_VALUE"""),"")</f>
        <v/>
      </c>
      <c r="AZ161" s="1">
        <f>IFERROR(__xludf.DUMMYFUNCTION("""COMPUTED_VALUE"""),360.0)</f>
        <v>360</v>
      </c>
      <c r="BA161" s="1">
        <f>IFERROR(__xludf.DUMMYFUNCTION("""COMPUTED_VALUE"""),0.0)</f>
        <v>0</v>
      </c>
      <c r="BB161" s="2" t="str">
        <f>IFERROR(__xludf.DUMMYFUNCTION("""COMPUTED_VALUE"""),"")</f>
        <v/>
      </c>
    </row>
    <row r="162">
      <c r="A162" s="1" t="str">
        <f>IFERROR(__xludf.DUMMYFUNCTION("""COMPUTED_VALUE"""),"63ef9d5d384f27260c1baca7")</f>
        <v>63ef9d5d384f27260c1baca7</v>
      </c>
      <c r="B162" s="1" t="str">
        <f>IFERROR(__xludf.DUMMYFUNCTION("""COMPUTED_VALUE"""),"TELYCAL S.L.")</f>
        <v>TELYCAL S.L.</v>
      </c>
      <c r="C162" s="1" t="str">
        <f>IFERROR(__xludf.DUMMYFUNCTION("""COMPUTED_VALUE"""),"astrid.savorani@al-enterprise.com, rafael.andreo@al-enterprise.com, esther.alonso@al-enterprise.com, marcos.rodriguez@al-enterprise.com, borja.gonzalvez@al-enterprise.com")</f>
        <v>astrid.savorani@al-enterprise.com, rafael.andreo@al-enterprise.com, esther.alonso@al-enterprise.com, marcos.rodriguez@al-enterprise.com, borja.gonzalvez@al-enterprise.com</v>
      </c>
      <c r="D162" s="1" t="str">
        <f>IFERROR(__xludf.DUMMYFUNCTION("""COMPUTED_VALUE"""),"emea")</f>
        <v>emea</v>
      </c>
      <c r="E162" s="1" t="str">
        <f>IFERROR(__xludf.DUMMYFUNCTION("""COMPUTED_VALUE"""),"ES")</f>
        <v>ES</v>
      </c>
      <c r="F162" s="1"/>
      <c r="G162" s="1">
        <f>IFERROR(__xludf.DUMMYFUNCTION("""COMPUTED_VALUE"""),0.0)</f>
        <v>0</v>
      </c>
      <c r="H162" s="1">
        <f>IFERROR(__xludf.DUMMYFUNCTION("""COMPUTED_VALUE"""),1.0)</f>
        <v>1</v>
      </c>
      <c r="I162" s="2">
        <f>IFERROR(__xludf.DUMMYFUNCTION("""COMPUTED_VALUE"""),0.0)</f>
        <v>0</v>
      </c>
      <c r="J162" s="1">
        <f>IFERROR(__xludf.DUMMYFUNCTION("""COMPUTED_VALUE"""),33.16)</f>
        <v>33.16</v>
      </c>
      <c r="K162" s="1">
        <f>IFERROR(__xludf.DUMMYFUNCTION("""COMPUTED_VALUE"""),200.0)</f>
        <v>200</v>
      </c>
      <c r="L162" s="2">
        <f>IFERROR(__xludf.DUMMYFUNCTION("""COMPUTED_VALUE"""),0.16579999999999998)</f>
        <v>0.1658</v>
      </c>
      <c r="M162" s="1">
        <f>IFERROR(__xludf.DUMMYFUNCTION("""COMPUTED_VALUE"""),0.0)</f>
        <v>0</v>
      </c>
      <c r="N162" s="1">
        <f>IFERROR(__xludf.DUMMYFUNCTION("""COMPUTED_VALUE"""),0.0)</f>
        <v>0</v>
      </c>
      <c r="O162" s="2" t="str">
        <f>IFERROR(__xludf.DUMMYFUNCTION("""COMPUTED_VALUE"""),"")</f>
        <v/>
      </c>
      <c r="P162" s="1">
        <f>IFERROR(__xludf.DUMMYFUNCTION("""COMPUTED_VALUE"""),0.0)</f>
        <v>0</v>
      </c>
      <c r="Q162" s="1">
        <f>IFERROR(__xludf.DUMMYFUNCTION("""COMPUTED_VALUE"""),1.0)</f>
        <v>1</v>
      </c>
      <c r="R162" s="2">
        <f>IFERROR(__xludf.DUMMYFUNCTION("""COMPUTED_VALUE"""),0.0)</f>
        <v>0</v>
      </c>
      <c r="S162" s="1">
        <f>IFERROR(__xludf.DUMMYFUNCTION("""COMPUTED_VALUE"""),0.0)</f>
        <v>0</v>
      </c>
      <c r="T162" s="1">
        <f>IFERROR(__xludf.DUMMYFUNCTION("""COMPUTED_VALUE"""),1.0)</f>
        <v>1</v>
      </c>
      <c r="U162" s="2">
        <f>IFERROR(__xludf.DUMMYFUNCTION("""COMPUTED_VALUE"""),0.0)</f>
        <v>0</v>
      </c>
      <c r="V162" s="1">
        <f>IFERROR(__xludf.DUMMYFUNCTION("""COMPUTED_VALUE"""),0.0)</f>
        <v>0</v>
      </c>
      <c r="W162" s="1">
        <f>IFERROR(__xludf.DUMMYFUNCTION("""COMPUTED_VALUE"""),1.0)</f>
        <v>1</v>
      </c>
      <c r="X162" s="2">
        <f>IFERROR(__xludf.DUMMYFUNCTION("""COMPUTED_VALUE"""),0.0)</f>
        <v>0</v>
      </c>
      <c r="Y162" s="1">
        <f>IFERROR(__xludf.DUMMYFUNCTION("""COMPUTED_VALUE"""),0.0)</f>
        <v>0</v>
      </c>
      <c r="Z162" s="1">
        <f>IFERROR(__xludf.DUMMYFUNCTION("""COMPUTED_VALUE"""),0.0)</f>
        <v>0</v>
      </c>
      <c r="AA162" s="2" t="str">
        <f>IFERROR(__xludf.DUMMYFUNCTION("""COMPUTED_VALUE"""),"")</f>
        <v/>
      </c>
      <c r="AB162" s="1">
        <f>IFERROR(__xludf.DUMMYFUNCTION("""COMPUTED_VALUE"""),4.77)</f>
        <v>4.77</v>
      </c>
      <c r="AC162" s="1">
        <f>IFERROR(__xludf.DUMMYFUNCTION("""COMPUTED_VALUE"""),0.0)</f>
        <v>0</v>
      </c>
      <c r="AD162" s="2" t="str">
        <f>IFERROR(__xludf.DUMMYFUNCTION("""COMPUTED_VALUE"""),"")</f>
        <v/>
      </c>
      <c r="AE162" s="1">
        <f>IFERROR(__xludf.DUMMYFUNCTION("""COMPUTED_VALUE"""),7.1)</f>
        <v>7.1</v>
      </c>
      <c r="AF162" s="1">
        <f>IFERROR(__xludf.DUMMYFUNCTION("""COMPUTED_VALUE"""),166.67)</f>
        <v>166.67</v>
      </c>
      <c r="AG162" s="2">
        <f>IFERROR(__xludf.DUMMYFUNCTION("""COMPUTED_VALUE"""),0.04259914801703966)</f>
        <v>0.04259914802</v>
      </c>
      <c r="AH162" s="1">
        <f>IFERROR(__xludf.DUMMYFUNCTION("""COMPUTED_VALUE"""),38.8)</f>
        <v>38.8</v>
      </c>
      <c r="AI162" s="1">
        <f>IFERROR(__xludf.DUMMYFUNCTION("""COMPUTED_VALUE"""),166.67)</f>
        <v>166.67</v>
      </c>
      <c r="AJ162" s="2">
        <f>IFERROR(__xludf.DUMMYFUNCTION("""COMPUTED_VALUE"""),0.23279534409311814)</f>
        <v>0.2327953441</v>
      </c>
      <c r="AK162" s="1">
        <f>IFERROR(__xludf.DUMMYFUNCTION("""COMPUTED_VALUE"""),50.669999999999995)</f>
        <v>50.67</v>
      </c>
      <c r="AL162" s="1">
        <f>IFERROR(__xludf.DUMMYFUNCTION("""COMPUTED_VALUE"""),333.34)</f>
        <v>333.34</v>
      </c>
      <c r="AM162" s="2">
        <f>IFERROR(__xludf.DUMMYFUNCTION("""COMPUTED_VALUE"""),0.1520069598608028)</f>
        <v>0.1520069599</v>
      </c>
      <c r="AN162" s="1">
        <f>IFERROR(__xludf.DUMMYFUNCTION("""COMPUTED_VALUE"""),0.0)</f>
        <v>0</v>
      </c>
      <c r="AO162" s="1">
        <f>IFERROR(__xludf.DUMMYFUNCTION("""COMPUTED_VALUE"""),0.0)</f>
        <v>0</v>
      </c>
      <c r="AP162" s="2" t="str">
        <f>IFERROR(__xludf.DUMMYFUNCTION("""COMPUTED_VALUE"""),"")</f>
        <v/>
      </c>
      <c r="AQ162" s="1">
        <f>IFERROR(__xludf.DUMMYFUNCTION("""COMPUTED_VALUE"""),0.0)</f>
        <v>0</v>
      </c>
      <c r="AR162" s="1">
        <f>IFERROR(__xludf.DUMMYFUNCTION("""COMPUTED_VALUE"""),0.0)</f>
        <v>0</v>
      </c>
      <c r="AS162" s="2" t="str">
        <f>IFERROR(__xludf.DUMMYFUNCTION("""COMPUTED_VALUE"""),"")</f>
        <v/>
      </c>
      <c r="AT162" s="1">
        <f>IFERROR(__xludf.DUMMYFUNCTION("""COMPUTED_VALUE"""),0.0)</f>
        <v>0</v>
      </c>
      <c r="AU162" s="1">
        <f>IFERROR(__xludf.DUMMYFUNCTION("""COMPUTED_VALUE"""),0.0)</f>
        <v>0</v>
      </c>
      <c r="AV162" s="2" t="str">
        <f>IFERROR(__xludf.DUMMYFUNCTION("""COMPUTED_VALUE"""),"")</f>
        <v/>
      </c>
      <c r="AW162" s="1">
        <f>IFERROR(__xludf.DUMMYFUNCTION("""COMPUTED_VALUE"""),0.0)</f>
        <v>0</v>
      </c>
      <c r="AX162" s="1">
        <f>IFERROR(__xludf.DUMMYFUNCTION("""COMPUTED_VALUE"""),0.0)</f>
        <v>0</v>
      </c>
      <c r="AY162" s="2" t="str">
        <f>IFERROR(__xludf.DUMMYFUNCTION("""COMPUTED_VALUE"""),"")</f>
        <v/>
      </c>
      <c r="AZ162" s="1">
        <f>IFERROR(__xludf.DUMMYFUNCTION("""COMPUTED_VALUE"""),0.0)</f>
        <v>0</v>
      </c>
      <c r="BA162" s="1">
        <f>IFERROR(__xludf.DUMMYFUNCTION("""COMPUTED_VALUE"""),0.0)</f>
        <v>0</v>
      </c>
      <c r="BB162" s="2" t="str">
        <f>IFERROR(__xludf.DUMMYFUNCTION("""COMPUTED_VALUE"""),"")</f>
        <v/>
      </c>
    </row>
    <row r="163">
      <c r="A163" s="1" t="str">
        <f>IFERROR(__xludf.DUMMYFUNCTION("""COMPUTED_VALUE"""),"63ea6e9752ad6968805cf163")</f>
        <v>63ea6e9752ad6968805cf163</v>
      </c>
      <c r="B163" s="1" t="str">
        <f>IFERROR(__xludf.DUMMYFUNCTION("""COMPUTED_VALUE"""),"think about IT GmbH")</f>
        <v>think about IT GmbH</v>
      </c>
      <c r="C163" s="1" t="str">
        <f>IFERROR(__xludf.DUMMYFUNCTION("""COMPUTED_VALUE"""),"andreas.grossheimann@al-enterprise.com, andre.ramm@al-enterprise.com")</f>
        <v>andreas.grossheimann@al-enterprise.com, andre.ramm@al-enterprise.com</v>
      </c>
      <c r="D163" s="1" t="str">
        <f>IFERROR(__xludf.DUMMYFUNCTION("""COMPUTED_VALUE"""),"germany")</f>
        <v>germany</v>
      </c>
      <c r="E163" s="1" t="str">
        <f>IFERROR(__xludf.DUMMYFUNCTION("""COMPUTED_VALUE"""),"DE")</f>
        <v>DE</v>
      </c>
      <c r="F163" s="1" t="str">
        <f>IFERROR(__xludf.DUMMYFUNCTION("""COMPUTED_VALUE"""),"expert_200")</f>
        <v>expert_200</v>
      </c>
      <c r="G163" s="1">
        <f>IFERROR(__xludf.DUMMYFUNCTION("""COMPUTED_VALUE"""),0.0)</f>
        <v>0</v>
      </c>
      <c r="H163" s="1">
        <f>IFERROR(__xludf.DUMMYFUNCTION("""COMPUTED_VALUE"""),1.0)</f>
        <v>1</v>
      </c>
      <c r="I163" s="2">
        <f>IFERROR(__xludf.DUMMYFUNCTION("""COMPUTED_VALUE"""),0.0)</f>
        <v>0</v>
      </c>
      <c r="J163" s="1">
        <f>IFERROR(__xludf.DUMMYFUNCTION("""COMPUTED_VALUE"""),3.81)</f>
        <v>3.81</v>
      </c>
      <c r="K163" s="1">
        <f>IFERROR(__xludf.DUMMYFUNCTION("""COMPUTED_VALUE"""),0.0)</f>
        <v>0</v>
      </c>
      <c r="L163" s="2" t="str">
        <f>IFERROR(__xludf.DUMMYFUNCTION("""COMPUTED_VALUE"""),"")</f>
        <v/>
      </c>
      <c r="M163" s="1">
        <f>IFERROR(__xludf.DUMMYFUNCTION("""COMPUTED_VALUE"""),0.0)</f>
        <v>0</v>
      </c>
      <c r="N163" s="1">
        <f>IFERROR(__xludf.DUMMYFUNCTION("""COMPUTED_VALUE"""),0.0)</f>
        <v>0</v>
      </c>
      <c r="O163" s="2" t="str">
        <f>IFERROR(__xludf.DUMMYFUNCTION("""COMPUTED_VALUE"""),"")</f>
        <v/>
      </c>
      <c r="P163" s="1">
        <f>IFERROR(__xludf.DUMMYFUNCTION("""COMPUTED_VALUE"""),0.0)</f>
        <v>0</v>
      </c>
      <c r="Q163" s="1">
        <f>IFERROR(__xludf.DUMMYFUNCTION("""COMPUTED_VALUE"""),1.0)</f>
        <v>1</v>
      </c>
      <c r="R163" s="2">
        <f>IFERROR(__xludf.DUMMYFUNCTION("""COMPUTED_VALUE"""),0.0)</f>
        <v>0</v>
      </c>
      <c r="S163" s="1">
        <f>IFERROR(__xludf.DUMMYFUNCTION("""COMPUTED_VALUE"""),0.0)</f>
        <v>0</v>
      </c>
      <c r="T163" s="1">
        <f>IFERROR(__xludf.DUMMYFUNCTION("""COMPUTED_VALUE"""),1.0)</f>
        <v>1</v>
      </c>
      <c r="U163" s="2">
        <f>IFERROR(__xludf.DUMMYFUNCTION("""COMPUTED_VALUE"""),0.0)</f>
        <v>0</v>
      </c>
      <c r="V163" s="1">
        <f>IFERROR(__xludf.DUMMYFUNCTION("""COMPUTED_VALUE"""),0.0)</f>
        <v>0</v>
      </c>
      <c r="W163" s="1">
        <f>IFERROR(__xludf.DUMMYFUNCTION("""COMPUTED_VALUE"""),1.0)</f>
        <v>1</v>
      </c>
      <c r="X163" s="2">
        <f>IFERROR(__xludf.DUMMYFUNCTION("""COMPUTED_VALUE"""),0.0)</f>
        <v>0</v>
      </c>
      <c r="Y163" s="1">
        <f>IFERROR(__xludf.DUMMYFUNCTION("""COMPUTED_VALUE"""),0.0)</f>
        <v>0</v>
      </c>
      <c r="Z163" s="1">
        <f>IFERROR(__xludf.DUMMYFUNCTION("""COMPUTED_VALUE"""),0.0)</f>
        <v>0</v>
      </c>
      <c r="AA163" s="2" t="str">
        <f>IFERROR(__xludf.DUMMYFUNCTION("""COMPUTED_VALUE"""),"")</f>
        <v/>
      </c>
      <c r="AB163" s="1">
        <f>IFERROR(__xludf.DUMMYFUNCTION("""COMPUTED_VALUE"""),0.0)</f>
        <v>0</v>
      </c>
      <c r="AC163" s="1">
        <f>IFERROR(__xludf.DUMMYFUNCTION("""COMPUTED_VALUE"""),0.0)</f>
        <v>0</v>
      </c>
      <c r="AD163" s="2" t="str">
        <f>IFERROR(__xludf.DUMMYFUNCTION("""COMPUTED_VALUE"""),"")</f>
        <v/>
      </c>
      <c r="AE163" s="1">
        <f>IFERROR(__xludf.DUMMYFUNCTION("""COMPUTED_VALUE"""),0.0)</f>
        <v>0</v>
      </c>
      <c r="AF163" s="1">
        <f>IFERROR(__xludf.DUMMYFUNCTION("""COMPUTED_VALUE"""),0.0)</f>
        <v>0</v>
      </c>
      <c r="AG163" s="2" t="str">
        <f>IFERROR(__xludf.DUMMYFUNCTION("""COMPUTED_VALUE"""),"")</f>
        <v/>
      </c>
      <c r="AH163" s="1">
        <f>IFERROR(__xludf.DUMMYFUNCTION("""COMPUTED_VALUE"""),0.0)</f>
        <v>0</v>
      </c>
      <c r="AI163" s="1">
        <f>IFERROR(__xludf.DUMMYFUNCTION("""COMPUTED_VALUE"""),0.0)</f>
        <v>0</v>
      </c>
      <c r="AJ163" s="2" t="str">
        <f>IFERROR(__xludf.DUMMYFUNCTION("""COMPUTED_VALUE"""),"")</f>
        <v/>
      </c>
      <c r="AK163" s="1">
        <f>IFERROR(__xludf.DUMMYFUNCTION("""COMPUTED_VALUE"""),0.0)</f>
        <v>0</v>
      </c>
      <c r="AL163" s="1">
        <f>IFERROR(__xludf.DUMMYFUNCTION("""COMPUTED_VALUE"""),0.0)</f>
        <v>0</v>
      </c>
      <c r="AM163" s="2" t="str">
        <f>IFERROR(__xludf.DUMMYFUNCTION("""COMPUTED_VALUE"""),"")</f>
        <v/>
      </c>
      <c r="AN163" s="1">
        <f>IFERROR(__xludf.DUMMYFUNCTION("""COMPUTED_VALUE"""),0.0)</f>
        <v>0</v>
      </c>
      <c r="AO163" s="1">
        <f>IFERROR(__xludf.DUMMYFUNCTION("""COMPUTED_VALUE"""),0.0)</f>
        <v>0</v>
      </c>
      <c r="AP163" s="2" t="str">
        <f>IFERROR(__xludf.DUMMYFUNCTION("""COMPUTED_VALUE"""),"")</f>
        <v/>
      </c>
      <c r="AQ163" s="1">
        <f>IFERROR(__xludf.DUMMYFUNCTION("""COMPUTED_VALUE"""),0.0)</f>
        <v>0</v>
      </c>
      <c r="AR163" s="1">
        <f>IFERROR(__xludf.DUMMYFUNCTION("""COMPUTED_VALUE"""),0.0)</f>
        <v>0</v>
      </c>
      <c r="AS163" s="2" t="str">
        <f>IFERROR(__xludf.DUMMYFUNCTION("""COMPUTED_VALUE"""),"")</f>
        <v/>
      </c>
      <c r="AT163" s="1">
        <f>IFERROR(__xludf.DUMMYFUNCTION("""COMPUTED_VALUE"""),0.0)</f>
        <v>0</v>
      </c>
      <c r="AU163" s="1">
        <f>IFERROR(__xludf.DUMMYFUNCTION("""COMPUTED_VALUE"""),0.0)</f>
        <v>0</v>
      </c>
      <c r="AV163" s="2" t="str">
        <f>IFERROR(__xludf.DUMMYFUNCTION("""COMPUTED_VALUE"""),"")</f>
        <v/>
      </c>
      <c r="AW163" s="1">
        <f>IFERROR(__xludf.DUMMYFUNCTION("""COMPUTED_VALUE"""),0.0)</f>
        <v>0</v>
      </c>
      <c r="AX163" s="1">
        <f>IFERROR(__xludf.DUMMYFUNCTION("""COMPUTED_VALUE"""),0.0)</f>
        <v>0</v>
      </c>
      <c r="AY163" s="2" t="str">
        <f>IFERROR(__xludf.DUMMYFUNCTION("""COMPUTED_VALUE"""),"")</f>
        <v/>
      </c>
      <c r="AZ163" s="1">
        <f>IFERROR(__xludf.DUMMYFUNCTION("""COMPUTED_VALUE"""),0.0)</f>
        <v>0</v>
      </c>
      <c r="BA163" s="1">
        <f>IFERROR(__xludf.DUMMYFUNCTION("""COMPUTED_VALUE"""),0.0)</f>
        <v>0</v>
      </c>
      <c r="BB163" s="2" t="str">
        <f>IFERROR(__xludf.DUMMYFUNCTION("""COMPUTED_VALUE"""),"")</f>
        <v/>
      </c>
    </row>
    <row r="164">
      <c r="A164" s="1" t="str">
        <f>IFERROR(__xludf.DUMMYFUNCTION("""COMPUTED_VALUE"""),"63ea6e9452ad6968805cebdd")</f>
        <v>63ea6e9452ad6968805cebdd</v>
      </c>
      <c r="B164" s="1" t="str">
        <f>IFERROR(__xludf.DUMMYFUNCTION("""COMPUTED_VALUE"""),"TK Netzwerktechnik GmbH")</f>
        <v>TK Netzwerktechnik GmbH</v>
      </c>
      <c r="C164" s="1" t="str">
        <f>IFERROR(__xludf.DUMMYFUNCTION("""COMPUTED_VALUE"""),"andreas.grossheimann@al-enterprise.com, katrin.pfeiffer@al-enterprise.com, andre.ramm@al-enterprise.com, holger.viktor@al-enterprise.com, sibylle.klopfer@al-enterprise.com, igor.leko@al-enterprise.com")</f>
        <v>andreas.grossheimann@al-enterprise.com, katrin.pfeiffer@al-enterprise.com, andre.ramm@al-enterprise.com, holger.viktor@al-enterprise.com, sibylle.klopfer@al-enterprise.com, igor.leko@al-enterprise.com</v>
      </c>
      <c r="D164" s="1" t="str">
        <f>IFERROR(__xludf.DUMMYFUNCTION("""COMPUTED_VALUE"""),"germany")</f>
        <v>germany</v>
      </c>
      <c r="E164" s="1" t="str">
        <f>IFERROR(__xludf.DUMMYFUNCTION("""COMPUTED_VALUE"""),"DE")</f>
        <v>DE</v>
      </c>
      <c r="F164" s="1" t="str">
        <f>IFERROR(__xludf.DUMMYFUNCTION("""COMPUTED_VALUE"""),"expert_200")</f>
        <v>expert_200</v>
      </c>
      <c r="G164" s="1">
        <f>IFERROR(__xludf.DUMMYFUNCTION("""COMPUTED_VALUE"""),1.0)</f>
        <v>1</v>
      </c>
      <c r="H164" s="1">
        <f>IFERROR(__xludf.DUMMYFUNCTION("""COMPUTED_VALUE"""),1.0)</f>
        <v>1</v>
      </c>
      <c r="I164" s="2">
        <f>IFERROR(__xludf.DUMMYFUNCTION("""COMPUTED_VALUE"""),1.0)</f>
        <v>1</v>
      </c>
      <c r="J164" s="1">
        <f>IFERROR(__xludf.DUMMYFUNCTION("""COMPUTED_VALUE"""),56.26)</f>
        <v>56.26</v>
      </c>
      <c r="K164" s="1">
        <f>IFERROR(__xludf.DUMMYFUNCTION("""COMPUTED_VALUE"""),333.0)</f>
        <v>333</v>
      </c>
      <c r="L164" s="2">
        <f>IFERROR(__xludf.DUMMYFUNCTION("""COMPUTED_VALUE"""),0.16894894894894893)</f>
        <v>0.1689489489</v>
      </c>
      <c r="M164" s="1">
        <f>IFERROR(__xludf.DUMMYFUNCTION("""COMPUTED_VALUE"""),5.0)</f>
        <v>5</v>
      </c>
      <c r="N164" s="1">
        <f>IFERROR(__xludf.DUMMYFUNCTION("""COMPUTED_VALUE"""),52.0)</f>
        <v>52</v>
      </c>
      <c r="O164" s="2">
        <f>IFERROR(__xludf.DUMMYFUNCTION("""COMPUTED_VALUE"""),0.09615384615384616)</f>
        <v>0.09615384615</v>
      </c>
      <c r="P164" s="1">
        <f>IFERROR(__xludf.DUMMYFUNCTION("""COMPUTED_VALUE"""),0.0)</f>
        <v>0</v>
      </c>
      <c r="Q164" s="1">
        <f>IFERROR(__xludf.DUMMYFUNCTION("""COMPUTED_VALUE"""),1.0)</f>
        <v>1</v>
      </c>
      <c r="R164" s="2">
        <f>IFERROR(__xludf.DUMMYFUNCTION("""COMPUTED_VALUE"""),0.0)</f>
        <v>0</v>
      </c>
      <c r="S164" s="1">
        <f>IFERROR(__xludf.DUMMYFUNCTION("""COMPUTED_VALUE"""),0.0)</f>
        <v>0</v>
      </c>
      <c r="T164" s="1">
        <f>IFERROR(__xludf.DUMMYFUNCTION("""COMPUTED_VALUE"""),1.0)</f>
        <v>1</v>
      </c>
      <c r="U164" s="2">
        <f>IFERROR(__xludf.DUMMYFUNCTION("""COMPUTED_VALUE"""),0.0)</f>
        <v>0</v>
      </c>
      <c r="V164" s="1">
        <f>IFERROR(__xludf.DUMMYFUNCTION("""COMPUTED_VALUE"""),0.0)</f>
        <v>0</v>
      </c>
      <c r="W164" s="1">
        <f>IFERROR(__xludf.DUMMYFUNCTION("""COMPUTED_VALUE"""),1.0)</f>
        <v>1</v>
      </c>
      <c r="X164" s="2">
        <f>IFERROR(__xludf.DUMMYFUNCTION("""COMPUTED_VALUE"""),0.0)</f>
        <v>0</v>
      </c>
      <c r="Y164" s="1">
        <f>IFERROR(__xludf.DUMMYFUNCTION("""COMPUTED_VALUE"""),7.38)</f>
        <v>7.38</v>
      </c>
      <c r="Z164" s="1">
        <f>IFERROR(__xludf.DUMMYFUNCTION("""COMPUTED_VALUE"""),0.0)</f>
        <v>0</v>
      </c>
      <c r="AA164" s="2" t="str">
        <f>IFERROR(__xludf.DUMMYFUNCTION("""COMPUTED_VALUE"""),"")</f>
        <v/>
      </c>
      <c r="AB164" s="1">
        <f>IFERROR(__xludf.DUMMYFUNCTION("""COMPUTED_VALUE"""),12.5)</f>
        <v>12.5</v>
      </c>
      <c r="AC164" s="1">
        <f>IFERROR(__xludf.DUMMYFUNCTION("""COMPUTED_VALUE"""),116.22)</f>
        <v>116.22</v>
      </c>
      <c r="AD164" s="2">
        <f>IFERROR(__xludf.DUMMYFUNCTION("""COMPUTED_VALUE"""),0.10755463775598004)</f>
        <v>0.1075546378</v>
      </c>
      <c r="AE164" s="1">
        <f>IFERROR(__xludf.DUMMYFUNCTION("""COMPUTED_VALUE"""),29.38)</f>
        <v>29.38</v>
      </c>
      <c r="AF164" s="1">
        <f>IFERROR(__xludf.DUMMYFUNCTION("""COMPUTED_VALUE"""),109.46)</f>
        <v>109.46</v>
      </c>
      <c r="AG164" s="2">
        <f>IFERROR(__xludf.DUMMYFUNCTION("""COMPUTED_VALUE"""),0.2684085510688836)</f>
        <v>0.2684085511</v>
      </c>
      <c r="AH164" s="1">
        <f>IFERROR(__xludf.DUMMYFUNCTION("""COMPUTED_VALUE"""),263.79)</f>
        <v>263.79</v>
      </c>
      <c r="AI164" s="1">
        <f>IFERROR(__xludf.DUMMYFUNCTION("""COMPUTED_VALUE"""),124.32)</f>
        <v>124.32</v>
      </c>
      <c r="AJ164" s="2">
        <f>IFERROR(__xludf.DUMMYFUNCTION("""COMPUTED_VALUE"""),2.1218629343629347)</f>
        <v>2.121862934</v>
      </c>
      <c r="AK164" s="1">
        <f>IFERROR(__xludf.DUMMYFUNCTION("""COMPUTED_VALUE"""),313.05)</f>
        <v>313.05</v>
      </c>
      <c r="AL164" s="1">
        <f>IFERROR(__xludf.DUMMYFUNCTION("""COMPUTED_VALUE"""),350.0)</f>
        <v>350</v>
      </c>
      <c r="AM164" s="2">
        <f>IFERROR(__xludf.DUMMYFUNCTION("""COMPUTED_VALUE"""),0.8944285714285715)</f>
        <v>0.8944285714</v>
      </c>
      <c r="AN164" s="1">
        <f>IFERROR(__xludf.DUMMYFUNCTION("""COMPUTED_VALUE"""),50.0)</f>
        <v>50</v>
      </c>
      <c r="AO164" s="1">
        <f>IFERROR(__xludf.DUMMYFUNCTION("""COMPUTED_VALUE"""),0.0)</f>
        <v>0</v>
      </c>
      <c r="AP164" s="2" t="str">
        <f>IFERROR(__xludf.DUMMYFUNCTION("""COMPUTED_VALUE"""),"")</f>
        <v/>
      </c>
      <c r="AQ164" s="1">
        <f>IFERROR(__xludf.DUMMYFUNCTION("""COMPUTED_VALUE"""),20.0)</f>
        <v>20</v>
      </c>
      <c r="AR164" s="1">
        <f>IFERROR(__xludf.DUMMYFUNCTION("""COMPUTED_VALUE"""),0.0)</f>
        <v>0</v>
      </c>
      <c r="AS164" s="2" t="str">
        <f>IFERROR(__xludf.DUMMYFUNCTION("""COMPUTED_VALUE"""),"")</f>
        <v/>
      </c>
      <c r="AT164" s="1">
        <f>IFERROR(__xludf.DUMMYFUNCTION("""COMPUTED_VALUE"""),0.0)</f>
        <v>0</v>
      </c>
      <c r="AU164" s="1">
        <f>IFERROR(__xludf.DUMMYFUNCTION("""COMPUTED_VALUE"""),0.0)</f>
        <v>0</v>
      </c>
      <c r="AV164" s="2" t="str">
        <f>IFERROR(__xludf.DUMMYFUNCTION("""COMPUTED_VALUE"""),"")</f>
        <v/>
      </c>
      <c r="AW164" s="1">
        <f>IFERROR(__xludf.DUMMYFUNCTION("""COMPUTED_VALUE"""),0.0)</f>
        <v>0</v>
      </c>
      <c r="AX164" s="1">
        <f>IFERROR(__xludf.DUMMYFUNCTION("""COMPUTED_VALUE"""),0.0)</f>
        <v>0</v>
      </c>
      <c r="AY164" s="2" t="str">
        <f>IFERROR(__xludf.DUMMYFUNCTION("""COMPUTED_VALUE"""),"")</f>
        <v/>
      </c>
      <c r="AZ164" s="1">
        <f>IFERROR(__xludf.DUMMYFUNCTION("""COMPUTED_VALUE"""),70.0)</f>
        <v>70</v>
      </c>
      <c r="BA164" s="1">
        <f>IFERROR(__xludf.DUMMYFUNCTION("""COMPUTED_VALUE"""),0.0)</f>
        <v>0</v>
      </c>
      <c r="BB164" s="2" t="str">
        <f>IFERROR(__xludf.DUMMYFUNCTION("""COMPUTED_VALUE"""),"")</f>
        <v/>
      </c>
    </row>
    <row r="165">
      <c r="A165" s="1" t="str">
        <f>IFERROR(__xludf.DUMMYFUNCTION("""COMPUTED_VALUE"""),"67a5d5f929aefced430db0b2")</f>
        <v>67a5d5f929aefced430db0b2</v>
      </c>
      <c r="B165" s="1" t="str">
        <f>IFERROR(__xludf.DUMMYFUNCTION("""COMPUTED_VALUE"""),"Transcore North America")</f>
        <v>Transcore North America</v>
      </c>
      <c r="C165" s="1" t="str">
        <f>IFERROR(__xludf.DUMMYFUNCTION("""COMPUTED_VALUE"""),"brendan.flaherty@al-enterprise.com")</f>
        <v>brendan.flaherty@al-enterprise.com</v>
      </c>
      <c r="D165" s="1" t="str">
        <f>IFERROR(__xludf.DUMMYFUNCTION("""COMPUTED_VALUE"""),"americas")</f>
        <v>americas</v>
      </c>
      <c r="E165" s="1" t="str">
        <f>IFERROR(__xludf.DUMMYFUNCTION("""COMPUTED_VALUE"""),"US")</f>
        <v>US</v>
      </c>
      <c r="F165" s="1" t="str">
        <f>IFERROR(__xludf.DUMMYFUNCTION("""COMPUTED_VALUE"""),"expert_200")</f>
        <v>expert_200</v>
      </c>
      <c r="G165" s="1">
        <f>IFERROR(__xludf.DUMMYFUNCTION("""COMPUTED_VALUE"""),0.0)</f>
        <v>0</v>
      </c>
      <c r="H165" s="1">
        <f>IFERROR(__xludf.DUMMYFUNCTION("""COMPUTED_VALUE"""),1.0)</f>
        <v>1</v>
      </c>
      <c r="I165" s="2">
        <f>IFERROR(__xludf.DUMMYFUNCTION("""COMPUTED_VALUE"""),0.0)</f>
        <v>0</v>
      </c>
      <c r="J165" s="1">
        <f>IFERROR(__xludf.DUMMYFUNCTION("""COMPUTED_VALUE"""),0.0)</f>
        <v>0</v>
      </c>
      <c r="K165" s="1">
        <f>IFERROR(__xludf.DUMMYFUNCTION("""COMPUTED_VALUE"""),0.0)</f>
        <v>0</v>
      </c>
      <c r="L165" s="2" t="str">
        <f>IFERROR(__xludf.DUMMYFUNCTION("""COMPUTED_VALUE"""),"")</f>
        <v/>
      </c>
      <c r="M165" s="1">
        <f>IFERROR(__xludf.DUMMYFUNCTION("""COMPUTED_VALUE"""),0.0)</f>
        <v>0</v>
      </c>
      <c r="N165" s="1">
        <f>IFERROR(__xludf.DUMMYFUNCTION("""COMPUTED_VALUE"""),0.0)</f>
        <v>0</v>
      </c>
      <c r="O165" s="2" t="str">
        <f>IFERROR(__xludf.DUMMYFUNCTION("""COMPUTED_VALUE"""),"")</f>
        <v/>
      </c>
      <c r="P165" s="1">
        <f>IFERROR(__xludf.DUMMYFUNCTION("""COMPUTED_VALUE"""),0.0)</f>
        <v>0</v>
      </c>
      <c r="Q165" s="1">
        <f>IFERROR(__xludf.DUMMYFUNCTION("""COMPUTED_VALUE"""),1.0)</f>
        <v>1</v>
      </c>
      <c r="R165" s="2">
        <f>IFERROR(__xludf.DUMMYFUNCTION("""COMPUTED_VALUE"""),0.0)</f>
        <v>0</v>
      </c>
      <c r="S165" s="1">
        <f>IFERROR(__xludf.DUMMYFUNCTION("""COMPUTED_VALUE"""),0.0)</f>
        <v>0</v>
      </c>
      <c r="T165" s="1">
        <f>IFERROR(__xludf.DUMMYFUNCTION("""COMPUTED_VALUE"""),1.0)</f>
        <v>1</v>
      </c>
      <c r="U165" s="2">
        <f>IFERROR(__xludf.DUMMYFUNCTION("""COMPUTED_VALUE"""),0.0)</f>
        <v>0</v>
      </c>
      <c r="V165" s="1">
        <f>IFERROR(__xludf.DUMMYFUNCTION("""COMPUTED_VALUE"""),0.0)</f>
        <v>0</v>
      </c>
      <c r="W165" s="1">
        <f>IFERROR(__xludf.DUMMYFUNCTION("""COMPUTED_VALUE"""),1.0)</f>
        <v>1</v>
      </c>
      <c r="X165" s="2">
        <f>IFERROR(__xludf.DUMMYFUNCTION("""COMPUTED_VALUE"""),0.0)</f>
        <v>0</v>
      </c>
      <c r="Y165" s="1">
        <f>IFERROR(__xludf.DUMMYFUNCTION("""COMPUTED_VALUE"""),0.0)</f>
        <v>0</v>
      </c>
      <c r="Z165" s="1">
        <f>IFERROR(__xludf.DUMMYFUNCTION("""COMPUTED_VALUE"""),0.0)</f>
        <v>0</v>
      </c>
      <c r="AA165" s="2" t="str">
        <f>IFERROR(__xludf.DUMMYFUNCTION("""COMPUTED_VALUE"""),"")</f>
        <v/>
      </c>
      <c r="AB165" s="1">
        <f>IFERROR(__xludf.DUMMYFUNCTION("""COMPUTED_VALUE"""),0.0)</f>
        <v>0</v>
      </c>
      <c r="AC165" s="1">
        <f>IFERROR(__xludf.DUMMYFUNCTION("""COMPUTED_VALUE"""),0.0)</f>
        <v>0</v>
      </c>
      <c r="AD165" s="2" t="str">
        <f>IFERROR(__xludf.DUMMYFUNCTION("""COMPUTED_VALUE"""),"")</f>
        <v/>
      </c>
      <c r="AE165" s="1">
        <f>IFERROR(__xludf.DUMMYFUNCTION("""COMPUTED_VALUE"""),0.0)</f>
        <v>0</v>
      </c>
      <c r="AF165" s="1">
        <f>IFERROR(__xludf.DUMMYFUNCTION("""COMPUTED_VALUE"""),0.0)</f>
        <v>0</v>
      </c>
      <c r="AG165" s="2" t="str">
        <f>IFERROR(__xludf.DUMMYFUNCTION("""COMPUTED_VALUE"""),"")</f>
        <v/>
      </c>
      <c r="AH165" s="1">
        <f>IFERROR(__xludf.DUMMYFUNCTION("""COMPUTED_VALUE"""),2119.98)</f>
        <v>2119.98</v>
      </c>
      <c r="AI165" s="1">
        <f>IFERROR(__xludf.DUMMYFUNCTION("""COMPUTED_VALUE"""),0.0)</f>
        <v>0</v>
      </c>
      <c r="AJ165" s="2" t="str">
        <f>IFERROR(__xludf.DUMMYFUNCTION("""COMPUTED_VALUE"""),"")</f>
        <v/>
      </c>
      <c r="AK165" s="1">
        <f>IFERROR(__xludf.DUMMYFUNCTION("""COMPUTED_VALUE"""),2119.98)</f>
        <v>2119.98</v>
      </c>
      <c r="AL165" s="1">
        <f>IFERROR(__xludf.DUMMYFUNCTION("""COMPUTED_VALUE"""),0.0)</f>
        <v>0</v>
      </c>
      <c r="AM165" s="2" t="str">
        <f>IFERROR(__xludf.DUMMYFUNCTION("""COMPUTED_VALUE"""),"")</f>
        <v/>
      </c>
      <c r="AN165" s="1">
        <f>IFERROR(__xludf.DUMMYFUNCTION("""COMPUTED_VALUE"""),0.0)</f>
        <v>0</v>
      </c>
      <c r="AO165" s="1">
        <f>IFERROR(__xludf.DUMMYFUNCTION("""COMPUTED_VALUE"""),0.0)</f>
        <v>0</v>
      </c>
      <c r="AP165" s="2" t="str">
        <f>IFERROR(__xludf.DUMMYFUNCTION("""COMPUTED_VALUE"""),"")</f>
        <v/>
      </c>
      <c r="AQ165" s="1">
        <f>IFERROR(__xludf.DUMMYFUNCTION("""COMPUTED_VALUE"""),0.0)</f>
        <v>0</v>
      </c>
      <c r="AR165" s="1">
        <f>IFERROR(__xludf.DUMMYFUNCTION("""COMPUTED_VALUE"""),0.0)</f>
        <v>0</v>
      </c>
      <c r="AS165" s="2" t="str">
        <f>IFERROR(__xludf.DUMMYFUNCTION("""COMPUTED_VALUE"""),"")</f>
        <v/>
      </c>
      <c r="AT165" s="1">
        <f>IFERROR(__xludf.DUMMYFUNCTION("""COMPUTED_VALUE"""),0.0)</f>
        <v>0</v>
      </c>
      <c r="AU165" s="1">
        <f>IFERROR(__xludf.DUMMYFUNCTION("""COMPUTED_VALUE"""),0.0)</f>
        <v>0</v>
      </c>
      <c r="AV165" s="2" t="str">
        <f>IFERROR(__xludf.DUMMYFUNCTION("""COMPUTED_VALUE"""),"")</f>
        <v/>
      </c>
      <c r="AW165" s="1">
        <f>IFERROR(__xludf.DUMMYFUNCTION("""COMPUTED_VALUE"""),0.0)</f>
        <v>0</v>
      </c>
      <c r="AX165" s="1">
        <f>IFERROR(__xludf.DUMMYFUNCTION("""COMPUTED_VALUE"""),0.0)</f>
        <v>0</v>
      </c>
      <c r="AY165" s="2" t="str">
        <f>IFERROR(__xludf.DUMMYFUNCTION("""COMPUTED_VALUE"""),"")</f>
        <v/>
      </c>
      <c r="AZ165" s="1">
        <f>IFERROR(__xludf.DUMMYFUNCTION("""COMPUTED_VALUE"""),0.0)</f>
        <v>0</v>
      </c>
      <c r="BA165" s="1">
        <f>IFERROR(__xludf.DUMMYFUNCTION("""COMPUTED_VALUE"""),0.0)</f>
        <v>0</v>
      </c>
      <c r="BB165" s="2" t="str">
        <f>IFERROR(__xludf.DUMMYFUNCTION("""COMPUTED_VALUE"""),"")</f>
        <v/>
      </c>
    </row>
    <row r="166">
      <c r="A166" s="1" t="str">
        <f>IFERROR(__xludf.DUMMYFUNCTION("""COMPUTED_VALUE"""),"63ced849c5c820531c268e6a")</f>
        <v>63ced849c5c820531c268e6a</v>
      </c>
      <c r="B166" s="1" t="str">
        <f>IFERROR(__xludf.DUMMYFUNCTION("""COMPUTED_VALUE"""),"Transource Computers")</f>
        <v>Transource Computers</v>
      </c>
      <c r="C166" s="1" t="str">
        <f>IFERROR(__xludf.DUMMYFUNCTION("""COMPUTED_VALUE"""),"bill.rademacher@al-enterprise.com")</f>
        <v>bill.rademacher@al-enterprise.com</v>
      </c>
      <c r="D166" s="1" t="str">
        <f>IFERROR(__xludf.DUMMYFUNCTION("""COMPUTED_VALUE"""),"americas")</f>
        <v>americas</v>
      </c>
      <c r="E166" s="1" t="str">
        <f>IFERROR(__xludf.DUMMYFUNCTION("""COMPUTED_VALUE"""),"US")</f>
        <v>US</v>
      </c>
      <c r="F166" s="1" t="str">
        <f>IFERROR(__xludf.DUMMYFUNCTION("""COMPUTED_VALUE"""),"distributor")</f>
        <v>distributor</v>
      </c>
      <c r="G166" s="1">
        <f>IFERROR(__xludf.DUMMYFUNCTION("""COMPUTED_VALUE"""),0.0)</f>
        <v>0</v>
      </c>
      <c r="H166" s="1">
        <f>IFERROR(__xludf.DUMMYFUNCTION("""COMPUTED_VALUE"""),1.0)</f>
        <v>1</v>
      </c>
      <c r="I166" s="2">
        <f>IFERROR(__xludf.DUMMYFUNCTION("""COMPUTED_VALUE"""),0.0)</f>
        <v>0</v>
      </c>
      <c r="J166" s="1">
        <f>IFERROR(__xludf.DUMMYFUNCTION("""COMPUTED_VALUE"""),0.0)</f>
        <v>0</v>
      </c>
      <c r="K166" s="1">
        <f>IFERROR(__xludf.DUMMYFUNCTION("""COMPUTED_VALUE"""),0.0)</f>
        <v>0</v>
      </c>
      <c r="L166" s="2" t="str">
        <f>IFERROR(__xludf.DUMMYFUNCTION("""COMPUTED_VALUE"""),"")</f>
        <v/>
      </c>
      <c r="M166" s="1">
        <f>IFERROR(__xludf.DUMMYFUNCTION("""COMPUTED_VALUE"""),0.0)</f>
        <v>0</v>
      </c>
      <c r="N166" s="1">
        <f>IFERROR(__xludf.DUMMYFUNCTION("""COMPUTED_VALUE"""),0.0)</f>
        <v>0</v>
      </c>
      <c r="O166" s="2" t="str">
        <f>IFERROR(__xludf.DUMMYFUNCTION("""COMPUTED_VALUE"""),"")</f>
        <v/>
      </c>
      <c r="P166" s="1">
        <f>IFERROR(__xludf.DUMMYFUNCTION("""COMPUTED_VALUE"""),0.0)</f>
        <v>0</v>
      </c>
      <c r="Q166" s="1">
        <f>IFERROR(__xludf.DUMMYFUNCTION("""COMPUTED_VALUE"""),1.0)</f>
        <v>1</v>
      </c>
      <c r="R166" s="2">
        <f>IFERROR(__xludf.DUMMYFUNCTION("""COMPUTED_VALUE"""),0.0)</f>
        <v>0</v>
      </c>
      <c r="S166" s="1">
        <f>IFERROR(__xludf.DUMMYFUNCTION("""COMPUTED_VALUE"""),0.0)</f>
        <v>0</v>
      </c>
      <c r="T166" s="1">
        <f>IFERROR(__xludf.DUMMYFUNCTION("""COMPUTED_VALUE"""),1.0)</f>
        <v>1</v>
      </c>
      <c r="U166" s="2">
        <f>IFERROR(__xludf.DUMMYFUNCTION("""COMPUTED_VALUE"""),0.0)</f>
        <v>0</v>
      </c>
      <c r="V166" s="1">
        <f>IFERROR(__xludf.DUMMYFUNCTION("""COMPUTED_VALUE"""),0.0)</f>
        <v>0</v>
      </c>
      <c r="W166" s="1">
        <f>IFERROR(__xludf.DUMMYFUNCTION("""COMPUTED_VALUE"""),1.0)</f>
        <v>1</v>
      </c>
      <c r="X166" s="2">
        <f>IFERROR(__xludf.DUMMYFUNCTION("""COMPUTED_VALUE"""),0.0)</f>
        <v>0</v>
      </c>
      <c r="Y166" s="1">
        <f>IFERROR(__xludf.DUMMYFUNCTION("""COMPUTED_VALUE"""),229.35)</f>
        <v>229.35</v>
      </c>
      <c r="Z166" s="1">
        <f>IFERROR(__xludf.DUMMYFUNCTION("""COMPUTED_VALUE"""),0.0)</f>
        <v>0</v>
      </c>
      <c r="AA166" s="2" t="str">
        <f>IFERROR(__xludf.DUMMYFUNCTION("""COMPUTED_VALUE"""),"")</f>
        <v/>
      </c>
      <c r="AB166" s="1">
        <f>IFERROR(__xludf.DUMMYFUNCTION("""COMPUTED_VALUE"""),42.65)</f>
        <v>42.65</v>
      </c>
      <c r="AC166" s="1">
        <f>IFERROR(__xludf.DUMMYFUNCTION("""COMPUTED_VALUE"""),0.0)</f>
        <v>0</v>
      </c>
      <c r="AD166" s="2" t="str">
        <f>IFERROR(__xludf.DUMMYFUNCTION("""COMPUTED_VALUE"""),"")</f>
        <v/>
      </c>
      <c r="AE166" s="1">
        <f>IFERROR(__xludf.DUMMYFUNCTION("""COMPUTED_VALUE"""),203.57)</f>
        <v>203.57</v>
      </c>
      <c r="AF166" s="1">
        <f>IFERROR(__xludf.DUMMYFUNCTION("""COMPUTED_VALUE"""),0.0)</f>
        <v>0</v>
      </c>
      <c r="AG166" s="2" t="str">
        <f>IFERROR(__xludf.DUMMYFUNCTION("""COMPUTED_VALUE"""),"")</f>
        <v/>
      </c>
      <c r="AH166" s="1">
        <f>IFERROR(__xludf.DUMMYFUNCTION("""COMPUTED_VALUE"""),386.29)</f>
        <v>386.29</v>
      </c>
      <c r="AI166" s="1">
        <f>IFERROR(__xludf.DUMMYFUNCTION("""COMPUTED_VALUE"""),0.0)</f>
        <v>0</v>
      </c>
      <c r="AJ166" s="2" t="str">
        <f>IFERROR(__xludf.DUMMYFUNCTION("""COMPUTED_VALUE"""),"")</f>
        <v/>
      </c>
      <c r="AK166" s="1">
        <f>IFERROR(__xludf.DUMMYFUNCTION("""COMPUTED_VALUE"""),861.86)</f>
        <v>861.86</v>
      </c>
      <c r="AL166" s="1">
        <f>IFERROR(__xludf.DUMMYFUNCTION("""COMPUTED_VALUE"""),0.0)</f>
        <v>0</v>
      </c>
      <c r="AM166" s="2" t="str">
        <f>IFERROR(__xludf.DUMMYFUNCTION("""COMPUTED_VALUE"""),"")</f>
        <v/>
      </c>
      <c r="AN166" s="1">
        <f>IFERROR(__xludf.DUMMYFUNCTION("""COMPUTED_VALUE"""),0.0)</f>
        <v>0</v>
      </c>
      <c r="AO166" s="1">
        <f>IFERROR(__xludf.DUMMYFUNCTION("""COMPUTED_VALUE"""),0.0)</f>
        <v>0</v>
      </c>
      <c r="AP166" s="2" t="str">
        <f>IFERROR(__xludf.DUMMYFUNCTION("""COMPUTED_VALUE"""),"")</f>
        <v/>
      </c>
      <c r="AQ166" s="1">
        <f>IFERROR(__xludf.DUMMYFUNCTION("""COMPUTED_VALUE"""),0.0)</f>
        <v>0</v>
      </c>
      <c r="AR166" s="1">
        <f>IFERROR(__xludf.DUMMYFUNCTION("""COMPUTED_VALUE"""),0.0)</f>
        <v>0</v>
      </c>
      <c r="AS166" s="2" t="str">
        <f>IFERROR(__xludf.DUMMYFUNCTION("""COMPUTED_VALUE"""),"")</f>
        <v/>
      </c>
      <c r="AT166" s="1">
        <f>IFERROR(__xludf.DUMMYFUNCTION("""COMPUTED_VALUE"""),589.85)</f>
        <v>589.85</v>
      </c>
      <c r="AU166" s="1">
        <f>IFERROR(__xludf.DUMMYFUNCTION("""COMPUTED_VALUE"""),0.0)</f>
        <v>0</v>
      </c>
      <c r="AV166" s="2" t="str">
        <f>IFERROR(__xludf.DUMMYFUNCTION("""COMPUTED_VALUE"""),"")</f>
        <v/>
      </c>
      <c r="AW166" s="1">
        <f>IFERROR(__xludf.DUMMYFUNCTION("""COMPUTED_VALUE"""),0.0)</f>
        <v>0</v>
      </c>
      <c r="AX166" s="1">
        <f>IFERROR(__xludf.DUMMYFUNCTION("""COMPUTED_VALUE"""),0.0)</f>
        <v>0</v>
      </c>
      <c r="AY166" s="2" t="str">
        <f>IFERROR(__xludf.DUMMYFUNCTION("""COMPUTED_VALUE"""),"")</f>
        <v/>
      </c>
      <c r="AZ166" s="1">
        <f>IFERROR(__xludf.DUMMYFUNCTION("""COMPUTED_VALUE"""),589.85)</f>
        <v>589.85</v>
      </c>
      <c r="BA166" s="1">
        <f>IFERROR(__xludf.DUMMYFUNCTION("""COMPUTED_VALUE"""),0.0)</f>
        <v>0</v>
      </c>
      <c r="BB166" s="2" t="str">
        <f>IFERROR(__xludf.DUMMYFUNCTION("""COMPUTED_VALUE"""),"")</f>
        <v/>
      </c>
    </row>
    <row r="167">
      <c r="A167" s="1" t="str">
        <f>IFERROR(__xludf.DUMMYFUNCTION("""COMPUTED_VALUE"""),"67696ca3559b05e1b3063c22")</f>
        <v>67696ca3559b05e1b3063c22</v>
      </c>
      <c r="B167" s="1" t="str">
        <f>IFERROR(__xludf.DUMMYFUNCTION("""COMPUTED_VALUE"""),"Tridon")</f>
        <v>Tridon</v>
      </c>
      <c r="C167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167" s="1" t="str">
        <f>IFERROR(__xludf.DUMMYFUNCTION("""COMPUTED_VALUE"""),"americas")</f>
        <v>americas</v>
      </c>
      <c r="E167" s="1" t="str">
        <f>IFERROR(__xludf.DUMMYFUNCTION("""COMPUTED_VALUE"""),"CA")</f>
        <v>CA</v>
      </c>
      <c r="F167" s="1" t="str">
        <f>IFERROR(__xludf.DUMMYFUNCTION("""COMPUTED_VALUE"""),"expert_200")</f>
        <v>expert_200</v>
      </c>
      <c r="G167" s="1">
        <f>IFERROR(__xludf.DUMMYFUNCTION("""COMPUTED_VALUE"""),0.0)</f>
        <v>0</v>
      </c>
      <c r="H167" s="1">
        <f>IFERROR(__xludf.DUMMYFUNCTION("""COMPUTED_VALUE"""),1.0)</f>
        <v>1</v>
      </c>
      <c r="I167" s="2">
        <f>IFERROR(__xludf.DUMMYFUNCTION("""COMPUTED_VALUE"""),0.0)</f>
        <v>0</v>
      </c>
      <c r="J167" s="1">
        <f>IFERROR(__xludf.DUMMYFUNCTION("""COMPUTED_VALUE"""),0.0)</f>
        <v>0</v>
      </c>
      <c r="K167" s="1">
        <f>IFERROR(__xludf.DUMMYFUNCTION("""COMPUTED_VALUE"""),100.0)</f>
        <v>100</v>
      </c>
      <c r="L167" s="2">
        <f>IFERROR(__xludf.DUMMYFUNCTION("""COMPUTED_VALUE"""),0.0)</f>
        <v>0</v>
      </c>
      <c r="M167" s="1">
        <f>IFERROR(__xludf.DUMMYFUNCTION("""COMPUTED_VALUE"""),0.0)</f>
        <v>0</v>
      </c>
      <c r="N167" s="1">
        <f>IFERROR(__xludf.DUMMYFUNCTION("""COMPUTED_VALUE"""),0.0)</f>
        <v>0</v>
      </c>
      <c r="O167" s="2" t="str">
        <f>IFERROR(__xludf.DUMMYFUNCTION("""COMPUTED_VALUE"""),"")</f>
        <v/>
      </c>
      <c r="P167" s="1">
        <f>IFERROR(__xludf.DUMMYFUNCTION("""COMPUTED_VALUE"""),0.0)</f>
        <v>0</v>
      </c>
      <c r="Q167" s="1">
        <f>IFERROR(__xludf.DUMMYFUNCTION("""COMPUTED_VALUE"""),1.0)</f>
        <v>1</v>
      </c>
      <c r="R167" s="2">
        <f>IFERROR(__xludf.DUMMYFUNCTION("""COMPUTED_VALUE"""),0.0)</f>
        <v>0</v>
      </c>
      <c r="S167" s="1">
        <f>IFERROR(__xludf.DUMMYFUNCTION("""COMPUTED_VALUE"""),0.0)</f>
        <v>0</v>
      </c>
      <c r="T167" s="1">
        <f>IFERROR(__xludf.DUMMYFUNCTION("""COMPUTED_VALUE"""),1.0)</f>
        <v>1</v>
      </c>
      <c r="U167" s="2">
        <f>IFERROR(__xludf.DUMMYFUNCTION("""COMPUTED_VALUE"""),0.0)</f>
        <v>0</v>
      </c>
      <c r="V167" s="1">
        <f>IFERROR(__xludf.DUMMYFUNCTION("""COMPUTED_VALUE"""),0.0)</f>
        <v>0</v>
      </c>
      <c r="W167" s="1">
        <f>IFERROR(__xludf.DUMMYFUNCTION("""COMPUTED_VALUE"""),1.0)</f>
        <v>1</v>
      </c>
      <c r="X167" s="2">
        <f>IFERROR(__xludf.DUMMYFUNCTION("""COMPUTED_VALUE"""),0.0)</f>
        <v>0</v>
      </c>
      <c r="Y167" s="1">
        <f>IFERROR(__xludf.DUMMYFUNCTION("""COMPUTED_VALUE"""),209.7)</f>
        <v>209.7</v>
      </c>
      <c r="Z167" s="1">
        <f>IFERROR(__xludf.DUMMYFUNCTION("""COMPUTED_VALUE"""),0.0)</f>
        <v>0</v>
      </c>
      <c r="AA167" s="2" t="str">
        <f>IFERROR(__xludf.DUMMYFUNCTION("""COMPUTED_VALUE"""),"")</f>
        <v/>
      </c>
      <c r="AB167" s="1">
        <f>IFERROR(__xludf.DUMMYFUNCTION("""COMPUTED_VALUE"""),1599.98)</f>
        <v>1599.98</v>
      </c>
      <c r="AC167" s="1">
        <f>IFERROR(__xludf.DUMMYFUNCTION("""COMPUTED_VALUE"""),116.64)</f>
        <v>116.64</v>
      </c>
      <c r="AD167" s="2">
        <f>IFERROR(__xludf.DUMMYFUNCTION("""COMPUTED_VALUE"""),13.717249657064473)</f>
        <v>13.71724966</v>
      </c>
      <c r="AE167" s="1">
        <f>IFERROR(__xludf.DUMMYFUNCTION("""COMPUTED_VALUE"""),1929.65)</f>
        <v>1929.65</v>
      </c>
      <c r="AF167" s="1">
        <f>IFERROR(__xludf.DUMMYFUNCTION("""COMPUTED_VALUE"""),83.34)</f>
        <v>83.34</v>
      </c>
      <c r="AG167" s="2">
        <f>IFERROR(__xludf.DUMMYFUNCTION("""COMPUTED_VALUE"""),23.153947684185265)</f>
        <v>23.15394768</v>
      </c>
      <c r="AH167" s="1">
        <f>IFERROR(__xludf.DUMMYFUNCTION("""COMPUTED_VALUE"""),1599.98)</f>
        <v>1599.98</v>
      </c>
      <c r="AI167" s="1">
        <f>IFERROR(__xludf.DUMMYFUNCTION("""COMPUTED_VALUE"""),133.32)</f>
        <v>133.32</v>
      </c>
      <c r="AJ167" s="2">
        <f>IFERROR(__xludf.DUMMYFUNCTION("""COMPUTED_VALUE"""),12.001050105010501)</f>
        <v>12.00105011</v>
      </c>
      <c r="AK167" s="1">
        <f>IFERROR(__xludf.DUMMYFUNCTION("""COMPUTED_VALUE"""),5339.3099999999995)</f>
        <v>5339.31</v>
      </c>
      <c r="AL167" s="1">
        <f>IFERROR(__xludf.DUMMYFUNCTION("""COMPUTED_VALUE"""),333.3)</f>
        <v>333.3</v>
      </c>
      <c r="AM167" s="2">
        <f>IFERROR(__xludf.DUMMYFUNCTION("""COMPUTED_VALUE"""),16.01953195319532)</f>
        <v>16.01953195</v>
      </c>
      <c r="AN167" s="1">
        <f>IFERROR(__xludf.DUMMYFUNCTION("""COMPUTED_VALUE"""),0.0)</f>
        <v>0</v>
      </c>
      <c r="AO167" s="1">
        <f>IFERROR(__xludf.DUMMYFUNCTION("""COMPUTED_VALUE"""),0.0)</f>
        <v>0</v>
      </c>
      <c r="AP167" s="2" t="str">
        <f>IFERROR(__xludf.DUMMYFUNCTION("""COMPUTED_VALUE"""),"")</f>
        <v/>
      </c>
      <c r="AQ167" s="1">
        <f>IFERROR(__xludf.DUMMYFUNCTION("""COMPUTED_VALUE"""),0.0)</f>
        <v>0</v>
      </c>
      <c r="AR167" s="1">
        <f>IFERROR(__xludf.DUMMYFUNCTION("""COMPUTED_VALUE"""),0.0)</f>
        <v>0</v>
      </c>
      <c r="AS167" s="2" t="str">
        <f>IFERROR(__xludf.DUMMYFUNCTION("""COMPUTED_VALUE"""),"")</f>
        <v/>
      </c>
      <c r="AT167" s="1">
        <f>IFERROR(__xludf.DUMMYFUNCTION("""COMPUTED_VALUE"""),0.0)</f>
        <v>0</v>
      </c>
      <c r="AU167" s="1">
        <f>IFERROR(__xludf.DUMMYFUNCTION("""COMPUTED_VALUE"""),0.0)</f>
        <v>0</v>
      </c>
      <c r="AV167" s="2" t="str">
        <f>IFERROR(__xludf.DUMMYFUNCTION("""COMPUTED_VALUE"""),"")</f>
        <v/>
      </c>
      <c r="AW167" s="1">
        <f>IFERROR(__xludf.DUMMYFUNCTION("""COMPUTED_VALUE"""),0.0)</f>
        <v>0</v>
      </c>
      <c r="AX167" s="1">
        <f>IFERROR(__xludf.DUMMYFUNCTION("""COMPUTED_VALUE"""),0.0)</f>
        <v>0</v>
      </c>
      <c r="AY167" s="2" t="str">
        <f>IFERROR(__xludf.DUMMYFUNCTION("""COMPUTED_VALUE"""),"")</f>
        <v/>
      </c>
      <c r="AZ167" s="1">
        <f>IFERROR(__xludf.DUMMYFUNCTION("""COMPUTED_VALUE"""),0.0)</f>
        <v>0</v>
      </c>
      <c r="BA167" s="1">
        <f>IFERROR(__xludf.DUMMYFUNCTION("""COMPUTED_VALUE"""),0.0)</f>
        <v>0</v>
      </c>
      <c r="BB167" s="2" t="str">
        <f>IFERROR(__xludf.DUMMYFUNCTION("""COMPUTED_VALUE"""),"")</f>
        <v/>
      </c>
    </row>
    <row r="168">
      <c r="A168" s="1" t="str">
        <f>IFERROR(__xludf.DUMMYFUNCTION("""COMPUTED_VALUE"""),"67a4e49bb05936bb7003d3eb")</f>
        <v>67a4e49bb05936bb7003d3eb</v>
      </c>
      <c r="B168" s="1" t="str">
        <f>IFERROR(__xludf.DUMMYFUNCTION("""COMPUTED_VALUE"""),"TRL Systems, Inc.")</f>
        <v>TRL Systems, Inc.</v>
      </c>
      <c r="C168" s="1" t="str">
        <f>IFERROR(__xludf.DUMMYFUNCTION("""COMPUTED_VALUE"""),"bill.rademacher@al-enterprise.com")</f>
        <v>bill.rademacher@al-enterprise.com</v>
      </c>
      <c r="D168" s="1" t="str">
        <f>IFERROR(__xludf.DUMMYFUNCTION("""COMPUTED_VALUE"""),"americas")</f>
        <v>americas</v>
      </c>
      <c r="E168" s="1" t="str">
        <f>IFERROR(__xludf.DUMMYFUNCTION("""COMPUTED_VALUE"""),"US")</f>
        <v>US</v>
      </c>
      <c r="F168" s="1" t="str">
        <f>IFERROR(__xludf.DUMMYFUNCTION("""COMPUTED_VALUE"""),"expert_200")</f>
        <v>expert_200</v>
      </c>
      <c r="G168" s="1">
        <f>IFERROR(__xludf.DUMMYFUNCTION("""COMPUTED_VALUE"""),0.0)</f>
        <v>0</v>
      </c>
      <c r="H168" s="1">
        <f>IFERROR(__xludf.DUMMYFUNCTION("""COMPUTED_VALUE"""),1.0)</f>
        <v>1</v>
      </c>
      <c r="I168" s="2">
        <f>IFERROR(__xludf.DUMMYFUNCTION("""COMPUTED_VALUE"""),0.0)</f>
        <v>0</v>
      </c>
      <c r="J168" s="1">
        <f>IFERROR(__xludf.DUMMYFUNCTION("""COMPUTED_VALUE"""),0.0)</f>
        <v>0</v>
      </c>
      <c r="K168" s="1">
        <f>IFERROR(__xludf.DUMMYFUNCTION("""COMPUTED_VALUE"""),0.0)</f>
        <v>0</v>
      </c>
      <c r="L168" s="2" t="str">
        <f>IFERROR(__xludf.DUMMYFUNCTION("""COMPUTED_VALUE"""),"")</f>
        <v/>
      </c>
      <c r="M168" s="1">
        <f>IFERROR(__xludf.DUMMYFUNCTION("""COMPUTED_VALUE"""),0.0)</f>
        <v>0</v>
      </c>
      <c r="N168" s="1">
        <f>IFERROR(__xludf.DUMMYFUNCTION("""COMPUTED_VALUE"""),0.0)</f>
        <v>0</v>
      </c>
      <c r="O168" s="2" t="str">
        <f>IFERROR(__xludf.DUMMYFUNCTION("""COMPUTED_VALUE"""),"")</f>
        <v/>
      </c>
      <c r="P168" s="1">
        <f>IFERROR(__xludf.DUMMYFUNCTION("""COMPUTED_VALUE"""),0.0)</f>
        <v>0</v>
      </c>
      <c r="Q168" s="1">
        <f>IFERROR(__xludf.DUMMYFUNCTION("""COMPUTED_VALUE"""),1.0)</f>
        <v>1</v>
      </c>
      <c r="R168" s="2">
        <f>IFERROR(__xludf.DUMMYFUNCTION("""COMPUTED_VALUE"""),0.0)</f>
        <v>0</v>
      </c>
      <c r="S168" s="1">
        <f>IFERROR(__xludf.DUMMYFUNCTION("""COMPUTED_VALUE"""),0.0)</f>
        <v>0</v>
      </c>
      <c r="T168" s="1">
        <f>IFERROR(__xludf.DUMMYFUNCTION("""COMPUTED_VALUE"""),1.0)</f>
        <v>1</v>
      </c>
      <c r="U168" s="2">
        <f>IFERROR(__xludf.DUMMYFUNCTION("""COMPUTED_VALUE"""),0.0)</f>
        <v>0</v>
      </c>
      <c r="V168" s="1">
        <f>IFERROR(__xludf.DUMMYFUNCTION("""COMPUTED_VALUE"""),0.0)</f>
        <v>0</v>
      </c>
      <c r="W168" s="1">
        <f>IFERROR(__xludf.DUMMYFUNCTION("""COMPUTED_VALUE"""),1.0)</f>
        <v>1</v>
      </c>
      <c r="X168" s="2">
        <f>IFERROR(__xludf.DUMMYFUNCTION("""COMPUTED_VALUE"""),0.0)</f>
        <v>0</v>
      </c>
      <c r="Y168" s="1">
        <f>IFERROR(__xludf.DUMMYFUNCTION("""COMPUTED_VALUE"""),30.0)</f>
        <v>30</v>
      </c>
      <c r="Z168" s="1">
        <f>IFERROR(__xludf.DUMMYFUNCTION("""COMPUTED_VALUE"""),0.0)</f>
        <v>0</v>
      </c>
      <c r="AA168" s="2" t="str">
        <f>IFERROR(__xludf.DUMMYFUNCTION("""COMPUTED_VALUE"""),"")</f>
        <v/>
      </c>
      <c r="AB168" s="1">
        <f>IFERROR(__xludf.DUMMYFUNCTION("""COMPUTED_VALUE"""),11.13)</f>
        <v>11.13</v>
      </c>
      <c r="AC168" s="1">
        <f>IFERROR(__xludf.DUMMYFUNCTION("""COMPUTED_VALUE"""),0.0)</f>
        <v>0</v>
      </c>
      <c r="AD168" s="2" t="str">
        <f>IFERROR(__xludf.DUMMYFUNCTION("""COMPUTED_VALUE"""),"")</f>
        <v/>
      </c>
      <c r="AE168" s="1">
        <f>IFERROR(__xludf.DUMMYFUNCTION("""COMPUTED_VALUE"""),30.0)</f>
        <v>30</v>
      </c>
      <c r="AF168" s="1">
        <f>IFERROR(__xludf.DUMMYFUNCTION("""COMPUTED_VALUE"""),0.0)</f>
        <v>0</v>
      </c>
      <c r="AG168" s="2" t="str">
        <f>IFERROR(__xludf.DUMMYFUNCTION("""COMPUTED_VALUE"""),"")</f>
        <v/>
      </c>
      <c r="AH168" s="1">
        <f>IFERROR(__xludf.DUMMYFUNCTION("""COMPUTED_VALUE"""),11.13)</f>
        <v>11.13</v>
      </c>
      <c r="AI168" s="1">
        <f>IFERROR(__xludf.DUMMYFUNCTION("""COMPUTED_VALUE"""),0.0)</f>
        <v>0</v>
      </c>
      <c r="AJ168" s="2" t="str">
        <f>IFERROR(__xludf.DUMMYFUNCTION("""COMPUTED_VALUE"""),"")</f>
        <v/>
      </c>
      <c r="AK168" s="1">
        <f>IFERROR(__xludf.DUMMYFUNCTION("""COMPUTED_VALUE"""),82.25999999999999)</f>
        <v>82.26</v>
      </c>
      <c r="AL168" s="1">
        <f>IFERROR(__xludf.DUMMYFUNCTION("""COMPUTED_VALUE"""),0.0)</f>
        <v>0</v>
      </c>
      <c r="AM168" s="2" t="str">
        <f>IFERROR(__xludf.DUMMYFUNCTION("""COMPUTED_VALUE"""),"")</f>
        <v/>
      </c>
      <c r="AN168" s="1">
        <f>IFERROR(__xludf.DUMMYFUNCTION("""COMPUTED_VALUE"""),0.0)</f>
        <v>0</v>
      </c>
      <c r="AO168" s="1">
        <f>IFERROR(__xludf.DUMMYFUNCTION("""COMPUTED_VALUE"""),0.0)</f>
        <v>0</v>
      </c>
      <c r="AP168" s="2" t="str">
        <f>IFERROR(__xludf.DUMMYFUNCTION("""COMPUTED_VALUE"""),"")</f>
        <v/>
      </c>
      <c r="AQ168" s="1">
        <f>IFERROR(__xludf.DUMMYFUNCTION("""COMPUTED_VALUE"""),0.0)</f>
        <v>0</v>
      </c>
      <c r="AR168" s="1">
        <f>IFERROR(__xludf.DUMMYFUNCTION("""COMPUTED_VALUE"""),0.0)</f>
        <v>0</v>
      </c>
      <c r="AS168" s="2" t="str">
        <f>IFERROR(__xludf.DUMMYFUNCTION("""COMPUTED_VALUE"""),"")</f>
        <v/>
      </c>
      <c r="AT168" s="1">
        <f>IFERROR(__xludf.DUMMYFUNCTION("""COMPUTED_VALUE"""),0.0)</f>
        <v>0</v>
      </c>
      <c r="AU168" s="1">
        <f>IFERROR(__xludf.DUMMYFUNCTION("""COMPUTED_VALUE"""),0.0)</f>
        <v>0</v>
      </c>
      <c r="AV168" s="2" t="str">
        <f>IFERROR(__xludf.DUMMYFUNCTION("""COMPUTED_VALUE"""),"")</f>
        <v/>
      </c>
      <c r="AW168" s="1">
        <f>IFERROR(__xludf.DUMMYFUNCTION("""COMPUTED_VALUE"""),0.0)</f>
        <v>0</v>
      </c>
      <c r="AX168" s="1">
        <f>IFERROR(__xludf.DUMMYFUNCTION("""COMPUTED_VALUE"""),0.0)</f>
        <v>0</v>
      </c>
      <c r="AY168" s="2" t="str">
        <f>IFERROR(__xludf.DUMMYFUNCTION("""COMPUTED_VALUE"""),"")</f>
        <v/>
      </c>
      <c r="AZ168" s="1">
        <f>IFERROR(__xludf.DUMMYFUNCTION("""COMPUTED_VALUE"""),0.0)</f>
        <v>0</v>
      </c>
      <c r="BA168" s="1">
        <f>IFERROR(__xludf.DUMMYFUNCTION("""COMPUTED_VALUE"""),0.0)</f>
        <v>0</v>
      </c>
      <c r="BB168" s="2" t="str">
        <f>IFERROR(__xludf.DUMMYFUNCTION("""COMPUTED_VALUE"""),"")</f>
        <v/>
      </c>
    </row>
    <row r="169">
      <c r="A169" s="1" t="str">
        <f>IFERROR(__xludf.DUMMYFUNCTION("""COMPUTED_VALUE"""),"63ef9d58384f27260c1ba479")</f>
        <v>63ef9d58384f27260c1ba479</v>
      </c>
      <c r="B169" s="1" t="str">
        <f>IFERROR(__xludf.DUMMYFUNCTION("""COMPUTED_VALUE"""),"Twotrees Technologies")</f>
        <v>Twotrees Technologies</v>
      </c>
      <c r="C169" s="1" t="str">
        <f>IFERROR(__xludf.DUMMYFUNCTION("""COMPUTED_VALUE"""),"gene.hawks@al-enterprise.com, bill.rademacher@al-enterprise.com, jack.jachner@al-enterprise.com")</f>
        <v>gene.hawks@al-enterprise.com, bill.rademacher@al-enterprise.com, jack.jachner@al-enterprise.com</v>
      </c>
      <c r="D169" s="1" t="str">
        <f>IFERROR(__xludf.DUMMYFUNCTION("""COMPUTED_VALUE"""),"americas")</f>
        <v>americas</v>
      </c>
      <c r="E169" s="1" t="str">
        <f>IFERROR(__xludf.DUMMYFUNCTION("""COMPUTED_VALUE"""),"US")</f>
        <v>US</v>
      </c>
      <c r="F169" s="1" t="str">
        <f>IFERROR(__xludf.DUMMYFUNCTION("""COMPUTED_VALUE"""),"expert_1000")</f>
        <v>expert_1000</v>
      </c>
      <c r="G169" s="1">
        <f>IFERROR(__xludf.DUMMYFUNCTION("""COMPUTED_VALUE"""),1.0)</f>
        <v>1</v>
      </c>
      <c r="H169" s="1">
        <f>IFERROR(__xludf.DUMMYFUNCTION("""COMPUTED_VALUE"""),1.0)</f>
        <v>1</v>
      </c>
      <c r="I169" s="2">
        <f>IFERROR(__xludf.DUMMYFUNCTION("""COMPUTED_VALUE"""),1.0)</f>
        <v>1</v>
      </c>
      <c r="J169" s="1">
        <f>IFERROR(__xludf.DUMMYFUNCTION("""COMPUTED_VALUE"""),182.37)</f>
        <v>182.37</v>
      </c>
      <c r="K169" s="1">
        <f>IFERROR(__xludf.DUMMYFUNCTION("""COMPUTED_VALUE"""),1743.38)</f>
        <v>1743.38</v>
      </c>
      <c r="L169" s="2">
        <f>IFERROR(__xludf.DUMMYFUNCTION("""COMPUTED_VALUE"""),0.1046071424474297)</f>
        <v>0.1046071424</v>
      </c>
      <c r="M169" s="1">
        <f>IFERROR(__xludf.DUMMYFUNCTION("""COMPUTED_VALUE"""),18.0)</f>
        <v>18</v>
      </c>
      <c r="N169" s="1">
        <f>IFERROR(__xludf.DUMMYFUNCTION("""COMPUTED_VALUE"""),52.0)</f>
        <v>52</v>
      </c>
      <c r="O169" s="2">
        <f>IFERROR(__xludf.DUMMYFUNCTION("""COMPUTED_VALUE"""),0.34615384615384615)</f>
        <v>0.3461538462</v>
      </c>
      <c r="P169" s="1">
        <f>IFERROR(__xludf.DUMMYFUNCTION("""COMPUTED_VALUE"""),0.0)</f>
        <v>0</v>
      </c>
      <c r="Q169" s="1">
        <f>IFERROR(__xludf.DUMMYFUNCTION("""COMPUTED_VALUE"""),1.0)</f>
        <v>1</v>
      </c>
      <c r="R169" s="2">
        <f>IFERROR(__xludf.DUMMYFUNCTION("""COMPUTED_VALUE"""),0.0)</f>
        <v>0</v>
      </c>
      <c r="S169" s="1">
        <f>IFERROR(__xludf.DUMMYFUNCTION("""COMPUTED_VALUE"""),1.0)</f>
        <v>1</v>
      </c>
      <c r="T169" s="1">
        <f>IFERROR(__xludf.DUMMYFUNCTION("""COMPUTED_VALUE"""),1.0)</f>
        <v>1</v>
      </c>
      <c r="U169" s="2">
        <f>IFERROR(__xludf.DUMMYFUNCTION("""COMPUTED_VALUE"""),1.0)</f>
        <v>1</v>
      </c>
      <c r="V169" s="1">
        <f>IFERROR(__xludf.DUMMYFUNCTION("""COMPUTED_VALUE"""),0.0)</f>
        <v>0</v>
      </c>
      <c r="W169" s="1">
        <f>IFERROR(__xludf.DUMMYFUNCTION("""COMPUTED_VALUE"""),1.0)</f>
        <v>1</v>
      </c>
      <c r="X169" s="2">
        <f>IFERROR(__xludf.DUMMYFUNCTION("""COMPUTED_VALUE"""),0.0)</f>
        <v>0</v>
      </c>
      <c r="Y169" s="1">
        <f>IFERROR(__xludf.DUMMYFUNCTION("""COMPUTED_VALUE"""),2.32)</f>
        <v>2.32</v>
      </c>
      <c r="Z169" s="1">
        <f>IFERROR(__xludf.DUMMYFUNCTION("""COMPUTED_VALUE"""),0.0)</f>
        <v>0</v>
      </c>
      <c r="AA169" s="2" t="str">
        <f>IFERROR(__xludf.DUMMYFUNCTION("""COMPUTED_VALUE"""),"")</f>
        <v/>
      </c>
      <c r="AB169" s="1">
        <f>IFERROR(__xludf.DUMMYFUNCTION("""COMPUTED_VALUE"""),8.67)</f>
        <v>8.67</v>
      </c>
      <c r="AC169" s="1">
        <f>IFERROR(__xludf.DUMMYFUNCTION("""COMPUTED_VALUE"""),1162.33)</f>
        <v>1162.33</v>
      </c>
      <c r="AD169" s="2">
        <f>IFERROR(__xludf.DUMMYFUNCTION("""COMPUTED_VALUE"""),0.007459155317336729)</f>
        <v>0.007459155317</v>
      </c>
      <c r="AE169" s="1">
        <f>IFERROR(__xludf.DUMMYFUNCTION("""COMPUTED_VALUE"""),272.55)</f>
        <v>272.55</v>
      </c>
      <c r="AF169" s="1">
        <f>IFERROR(__xludf.DUMMYFUNCTION("""COMPUTED_VALUE"""),1743.3)</f>
        <v>1743.3</v>
      </c>
      <c r="AG169" s="2">
        <f>IFERROR(__xludf.DUMMYFUNCTION("""COMPUTED_VALUE"""),0.1563414214420926)</f>
        <v>0.1563414214</v>
      </c>
      <c r="AH169" s="1">
        <f>IFERROR(__xludf.DUMMYFUNCTION("""COMPUTED_VALUE"""),1934.1)</f>
        <v>1934.1</v>
      </c>
      <c r="AI169" s="1">
        <f>IFERROR(__xludf.DUMMYFUNCTION("""COMPUTED_VALUE"""),1743.3)</f>
        <v>1743.3</v>
      </c>
      <c r="AJ169" s="2">
        <f>IFERROR(__xludf.DUMMYFUNCTION("""COMPUTED_VALUE"""),1.1094475993804853)</f>
        <v>1.109447599</v>
      </c>
      <c r="AK169" s="1">
        <f>IFERROR(__xludf.DUMMYFUNCTION("""COMPUTED_VALUE"""),2217.64)</f>
        <v>2217.64</v>
      </c>
      <c r="AL169" s="1">
        <f>IFERROR(__xludf.DUMMYFUNCTION("""COMPUTED_VALUE"""),4648.93)</f>
        <v>4648.93</v>
      </c>
      <c r="AM169" s="2">
        <f>IFERROR(__xludf.DUMMYFUNCTION("""COMPUTED_VALUE"""),0.47702159421630347)</f>
        <v>0.4770215942</v>
      </c>
      <c r="AN169" s="1">
        <f>IFERROR(__xludf.DUMMYFUNCTION("""COMPUTED_VALUE"""),0.0)</f>
        <v>0</v>
      </c>
      <c r="AO169" s="1">
        <f>IFERROR(__xludf.DUMMYFUNCTION("""COMPUTED_VALUE"""),0.0)</f>
        <v>0</v>
      </c>
      <c r="AP169" s="2" t="str">
        <f>IFERROR(__xludf.DUMMYFUNCTION("""COMPUTED_VALUE"""),"")</f>
        <v/>
      </c>
      <c r="AQ169" s="1">
        <f>IFERROR(__xludf.DUMMYFUNCTION("""COMPUTED_VALUE"""),42.27)</f>
        <v>42.27</v>
      </c>
      <c r="AR169" s="1">
        <f>IFERROR(__xludf.DUMMYFUNCTION("""COMPUTED_VALUE"""),0.0)</f>
        <v>0</v>
      </c>
      <c r="AS169" s="2" t="str">
        <f>IFERROR(__xludf.DUMMYFUNCTION("""COMPUTED_VALUE"""),"")</f>
        <v/>
      </c>
      <c r="AT169" s="1">
        <f>IFERROR(__xludf.DUMMYFUNCTION("""COMPUTED_VALUE"""),50.0)</f>
        <v>50</v>
      </c>
      <c r="AU169" s="1">
        <f>IFERROR(__xludf.DUMMYFUNCTION("""COMPUTED_VALUE"""),0.0)</f>
        <v>0</v>
      </c>
      <c r="AV169" s="2" t="str">
        <f>IFERROR(__xludf.DUMMYFUNCTION("""COMPUTED_VALUE"""),"")</f>
        <v/>
      </c>
      <c r="AW169" s="1">
        <f>IFERROR(__xludf.DUMMYFUNCTION("""COMPUTED_VALUE"""),0.0)</f>
        <v>0</v>
      </c>
      <c r="AX169" s="1">
        <f>IFERROR(__xludf.DUMMYFUNCTION("""COMPUTED_VALUE"""),0.0)</f>
        <v>0</v>
      </c>
      <c r="AY169" s="2" t="str">
        <f>IFERROR(__xludf.DUMMYFUNCTION("""COMPUTED_VALUE"""),"")</f>
        <v/>
      </c>
      <c r="AZ169" s="1">
        <f>IFERROR(__xludf.DUMMYFUNCTION("""COMPUTED_VALUE"""),92.27000000000001)</f>
        <v>92.27</v>
      </c>
      <c r="BA169" s="1">
        <f>IFERROR(__xludf.DUMMYFUNCTION("""COMPUTED_VALUE"""),0.0)</f>
        <v>0</v>
      </c>
      <c r="BB169" s="2" t="str">
        <f>IFERROR(__xludf.DUMMYFUNCTION("""COMPUTED_VALUE"""),"")</f>
        <v/>
      </c>
    </row>
    <row r="170">
      <c r="A170" s="1" t="str">
        <f>IFERROR(__xludf.DUMMYFUNCTION("""COMPUTED_VALUE"""),"63ea6e9352ad6968805ceb27")</f>
        <v>63ea6e9352ad6968805ceb27</v>
      </c>
      <c r="B170" s="1" t="str">
        <f>IFERROR(__xludf.DUMMYFUNCTION("""COMPUTED_VALUE"""),"UP Data Systems GmbH")</f>
        <v>UP Data Systems GmbH</v>
      </c>
      <c r="C170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170" s="1" t="str">
        <f>IFERROR(__xludf.DUMMYFUNCTION("""COMPUTED_VALUE"""),"germany")</f>
        <v>germany</v>
      </c>
      <c r="E170" s="1" t="str">
        <f>IFERROR(__xludf.DUMMYFUNCTION("""COMPUTED_VALUE"""),"DE")</f>
        <v>DE</v>
      </c>
      <c r="F170" s="1" t="str">
        <f>IFERROR(__xludf.DUMMYFUNCTION("""COMPUTED_VALUE"""),"expert_200")</f>
        <v>expert_200</v>
      </c>
      <c r="G170" s="1">
        <f>IFERROR(__xludf.DUMMYFUNCTION("""COMPUTED_VALUE"""),1.0)</f>
        <v>1</v>
      </c>
      <c r="H170" s="1">
        <f>IFERROR(__xludf.DUMMYFUNCTION("""COMPUTED_VALUE"""),1.0)</f>
        <v>1</v>
      </c>
      <c r="I170" s="2">
        <f>IFERROR(__xludf.DUMMYFUNCTION("""COMPUTED_VALUE"""),1.0)</f>
        <v>1</v>
      </c>
      <c r="J170" s="1">
        <f>IFERROR(__xludf.DUMMYFUNCTION("""COMPUTED_VALUE"""),318.53)</f>
        <v>318.53</v>
      </c>
      <c r="K170" s="1">
        <f>IFERROR(__xludf.DUMMYFUNCTION("""COMPUTED_VALUE"""),460.0)</f>
        <v>460</v>
      </c>
      <c r="L170" s="2">
        <f>IFERROR(__xludf.DUMMYFUNCTION("""COMPUTED_VALUE"""),0.6924565217391304)</f>
        <v>0.6924565217</v>
      </c>
      <c r="M170" s="1">
        <f>IFERROR(__xludf.DUMMYFUNCTION("""COMPUTED_VALUE"""),31.0)</f>
        <v>31</v>
      </c>
      <c r="N170" s="1">
        <f>IFERROR(__xludf.DUMMYFUNCTION("""COMPUTED_VALUE"""),52.0)</f>
        <v>52</v>
      </c>
      <c r="O170" s="2">
        <f>IFERROR(__xludf.DUMMYFUNCTION("""COMPUTED_VALUE"""),0.5961538461538461)</f>
        <v>0.5961538462</v>
      </c>
      <c r="P170" s="1">
        <f>IFERROR(__xludf.DUMMYFUNCTION("""COMPUTED_VALUE"""),1.0)</f>
        <v>1</v>
      </c>
      <c r="Q170" s="1">
        <f>IFERROR(__xludf.DUMMYFUNCTION("""COMPUTED_VALUE"""),1.0)</f>
        <v>1</v>
      </c>
      <c r="R170" s="2">
        <f>IFERROR(__xludf.DUMMYFUNCTION("""COMPUTED_VALUE"""),1.0)</f>
        <v>1</v>
      </c>
      <c r="S170" s="1">
        <f>IFERROR(__xludf.DUMMYFUNCTION("""COMPUTED_VALUE"""),1.0)</f>
        <v>1</v>
      </c>
      <c r="T170" s="1">
        <f>IFERROR(__xludf.DUMMYFUNCTION("""COMPUTED_VALUE"""),1.0)</f>
        <v>1</v>
      </c>
      <c r="U170" s="2">
        <f>IFERROR(__xludf.DUMMYFUNCTION("""COMPUTED_VALUE"""),1.0)</f>
        <v>1</v>
      </c>
      <c r="V170" s="1">
        <f>IFERROR(__xludf.DUMMYFUNCTION("""COMPUTED_VALUE"""),1.0)</f>
        <v>1</v>
      </c>
      <c r="W170" s="1">
        <f>IFERROR(__xludf.DUMMYFUNCTION("""COMPUTED_VALUE"""),1.0)</f>
        <v>1</v>
      </c>
      <c r="X170" s="2">
        <f>IFERROR(__xludf.DUMMYFUNCTION("""COMPUTED_VALUE"""),1.0)</f>
        <v>1</v>
      </c>
      <c r="Y170" s="1">
        <f>IFERROR(__xludf.DUMMYFUNCTION("""COMPUTED_VALUE"""),11.67)</f>
        <v>11.67</v>
      </c>
      <c r="Z170" s="1">
        <f>IFERROR(__xludf.DUMMYFUNCTION("""COMPUTED_VALUE"""),0.0)</f>
        <v>0</v>
      </c>
      <c r="AA170" s="2" t="str">
        <f>IFERROR(__xludf.DUMMYFUNCTION("""COMPUTED_VALUE"""),"")</f>
        <v/>
      </c>
      <c r="AB170" s="1">
        <f>IFERROR(__xludf.DUMMYFUNCTION("""COMPUTED_VALUE"""),1.67)</f>
        <v>1.67</v>
      </c>
      <c r="AC170" s="1">
        <f>IFERROR(__xludf.DUMMYFUNCTION("""COMPUTED_VALUE"""),155.93)</f>
        <v>155.93</v>
      </c>
      <c r="AD170" s="2">
        <f>IFERROR(__xludf.DUMMYFUNCTION("""COMPUTED_VALUE"""),0.010709933944718784)</f>
        <v>0.01070993394</v>
      </c>
      <c r="AE170" s="1">
        <f>IFERROR(__xludf.DUMMYFUNCTION("""COMPUTED_VALUE"""),106.67)</f>
        <v>106.67</v>
      </c>
      <c r="AF170" s="1">
        <f>IFERROR(__xludf.DUMMYFUNCTION("""COMPUTED_VALUE"""),233.9)</f>
        <v>233.9</v>
      </c>
      <c r="AG170" s="2">
        <f>IFERROR(__xludf.DUMMYFUNCTION("""COMPUTED_VALUE"""),0.4560495938435229)</f>
        <v>0.4560495938</v>
      </c>
      <c r="AH170" s="1">
        <f>IFERROR(__xludf.DUMMYFUNCTION("""COMPUTED_VALUE"""),200.84)</f>
        <v>200.84</v>
      </c>
      <c r="AI170" s="1">
        <f>IFERROR(__xludf.DUMMYFUNCTION("""COMPUTED_VALUE"""),233.9)</f>
        <v>233.9</v>
      </c>
      <c r="AJ170" s="2">
        <f>IFERROR(__xludf.DUMMYFUNCTION("""COMPUTED_VALUE"""),0.8586575459598119)</f>
        <v>0.858657546</v>
      </c>
      <c r="AK170" s="1">
        <f>IFERROR(__xludf.DUMMYFUNCTION("""COMPUTED_VALUE"""),320.85)</f>
        <v>320.85</v>
      </c>
      <c r="AL170" s="1">
        <f>IFERROR(__xludf.DUMMYFUNCTION("""COMPUTED_VALUE"""),623.73)</f>
        <v>623.73</v>
      </c>
      <c r="AM170" s="2">
        <f>IFERROR(__xludf.DUMMYFUNCTION("""COMPUTED_VALUE"""),0.5144052715117118)</f>
        <v>0.5144052715</v>
      </c>
      <c r="AN170" s="1">
        <f>IFERROR(__xludf.DUMMYFUNCTION("""COMPUTED_VALUE"""),250.0)</f>
        <v>250</v>
      </c>
      <c r="AO170" s="1">
        <f>IFERROR(__xludf.DUMMYFUNCTION("""COMPUTED_VALUE"""),0.0)</f>
        <v>0</v>
      </c>
      <c r="AP170" s="2" t="str">
        <f>IFERROR(__xludf.DUMMYFUNCTION("""COMPUTED_VALUE"""),"")</f>
        <v/>
      </c>
      <c r="AQ170" s="1">
        <f>IFERROR(__xludf.DUMMYFUNCTION("""COMPUTED_VALUE"""),1000.0)</f>
        <v>1000</v>
      </c>
      <c r="AR170" s="1">
        <f>IFERROR(__xludf.DUMMYFUNCTION("""COMPUTED_VALUE"""),0.0)</f>
        <v>0</v>
      </c>
      <c r="AS170" s="2" t="str">
        <f>IFERROR(__xludf.DUMMYFUNCTION("""COMPUTED_VALUE"""),"")</f>
        <v/>
      </c>
      <c r="AT170" s="1">
        <f>IFERROR(__xludf.DUMMYFUNCTION("""COMPUTED_VALUE"""),0.0)</f>
        <v>0</v>
      </c>
      <c r="AU170" s="1">
        <f>IFERROR(__xludf.DUMMYFUNCTION("""COMPUTED_VALUE"""),0.0)</f>
        <v>0</v>
      </c>
      <c r="AV170" s="2" t="str">
        <f>IFERROR(__xludf.DUMMYFUNCTION("""COMPUTED_VALUE"""),"")</f>
        <v/>
      </c>
      <c r="AW170" s="1">
        <f>IFERROR(__xludf.DUMMYFUNCTION("""COMPUTED_VALUE"""),0.0)</f>
        <v>0</v>
      </c>
      <c r="AX170" s="1">
        <f>IFERROR(__xludf.DUMMYFUNCTION("""COMPUTED_VALUE"""),0.0)</f>
        <v>0</v>
      </c>
      <c r="AY170" s="2" t="str">
        <f>IFERROR(__xludf.DUMMYFUNCTION("""COMPUTED_VALUE"""),"")</f>
        <v/>
      </c>
      <c r="AZ170" s="1">
        <f>IFERROR(__xludf.DUMMYFUNCTION("""COMPUTED_VALUE"""),1250.0)</f>
        <v>1250</v>
      </c>
      <c r="BA170" s="1">
        <f>IFERROR(__xludf.DUMMYFUNCTION("""COMPUTED_VALUE"""),0.0)</f>
        <v>0</v>
      </c>
      <c r="BB170" s="2" t="str">
        <f>IFERROR(__xludf.DUMMYFUNCTION("""COMPUTED_VALUE"""),"")</f>
        <v/>
      </c>
    </row>
    <row r="171">
      <c r="A171" s="1" t="str">
        <f>IFERROR(__xludf.DUMMYFUNCTION("""COMPUTED_VALUE"""),"63ef9d59384f27260c1ba523")</f>
        <v>63ef9d59384f27260c1ba523</v>
      </c>
      <c r="B171" s="1" t="str">
        <f>IFERROR(__xludf.DUMMYFUNCTION("""COMPUTED_VALUE"""),"UTM Tech19, Inc.")</f>
        <v>UTM Tech19, Inc.</v>
      </c>
      <c r="C171" s="1" t="str">
        <f>IFERROR(__xludf.DUMMYFUNCTION("""COMPUTED_VALUE"""),"gene.hawks@al-enterprise.com, bill.rademacher@al-enterprise.com")</f>
        <v>gene.hawks@al-enterprise.com, bill.rademacher@al-enterprise.com</v>
      </c>
      <c r="D171" s="1" t="str">
        <f>IFERROR(__xludf.DUMMYFUNCTION("""COMPUTED_VALUE"""),"americas")</f>
        <v>americas</v>
      </c>
      <c r="E171" s="1" t="str">
        <f>IFERROR(__xludf.DUMMYFUNCTION("""COMPUTED_VALUE"""),"US")</f>
        <v>US</v>
      </c>
      <c r="F171" s="1" t="str">
        <f>IFERROR(__xludf.DUMMYFUNCTION("""COMPUTED_VALUE"""),"expert_200")</f>
        <v>expert_200</v>
      </c>
      <c r="G171" s="1">
        <f>IFERROR(__xludf.DUMMYFUNCTION("""COMPUTED_VALUE"""),0.0)</f>
        <v>0</v>
      </c>
      <c r="H171" s="1">
        <f>IFERROR(__xludf.DUMMYFUNCTION("""COMPUTED_VALUE"""),1.0)</f>
        <v>1</v>
      </c>
      <c r="I171" s="2">
        <f>IFERROR(__xludf.DUMMYFUNCTION("""COMPUTED_VALUE"""),0.0)</f>
        <v>0</v>
      </c>
      <c r="J171" s="1">
        <f>IFERROR(__xludf.DUMMYFUNCTION("""COMPUTED_VALUE"""),0.0)</f>
        <v>0</v>
      </c>
      <c r="K171" s="1">
        <f>IFERROR(__xludf.DUMMYFUNCTION("""COMPUTED_VALUE"""),0.0)</f>
        <v>0</v>
      </c>
      <c r="L171" s="2" t="str">
        <f>IFERROR(__xludf.DUMMYFUNCTION("""COMPUTED_VALUE"""),"")</f>
        <v/>
      </c>
      <c r="M171" s="1">
        <f>IFERROR(__xludf.DUMMYFUNCTION("""COMPUTED_VALUE"""),0.0)</f>
        <v>0</v>
      </c>
      <c r="N171" s="1">
        <f>IFERROR(__xludf.DUMMYFUNCTION("""COMPUTED_VALUE"""),0.0)</f>
        <v>0</v>
      </c>
      <c r="O171" s="2" t="str">
        <f>IFERROR(__xludf.DUMMYFUNCTION("""COMPUTED_VALUE"""),"")</f>
        <v/>
      </c>
      <c r="P171" s="1">
        <f>IFERROR(__xludf.DUMMYFUNCTION("""COMPUTED_VALUE"""),0.0)</f>
        <v>0</v>
      </c>
      <c r="Q171" s="1">
        <f>IFERROR(__xludf.DUMMYFUNCTION("""COMPUTED_VALUE"""),1.0)</f>
        <v>1</v>
      </c>
      <c r="R171" s="2">
        <f>IFERROR(__xludf.DUMMYFUNCTION("""COMPUTED_VALUE"""),0.0)</f>
        <v>0</v>
      </c>
      <c r="S171" s="1">
        <f>IFERROR(__xludf.DUMMYFUNCTION("""COMPUTED_VALUE"""),0.0)</f>
        <v>0</v>
      </c>
      <c r="T171" s="1">
        <f>IFERROR(__xludf.DUMMYFUNCTION("""COMPUTED_VALUE"""),1.0)</f>
        <v>1</v>
      </c>
      <c r="U171" s="2">
        <f>IFERROR(__xludf.DUMMYFUNCTION("""COMPUTED_VALUE"""),0.0)</f>
        <v>0</v>
      </c>
      <c r="V171" s="1">
        <f>IFERROR(__xludf.DUMMYFUNCTION("""COMPUTED_VALUE"""),0.0)</f>
        <v>0</v>
      </c>
      <c r="W171" s="1">
        <f>IFERROR(__xludf.DUMMYFUNCTION("""COMPUTED_VALUE"""),1.0)</f>
        <v>1</v>
      </c>
      <c r="X171" s="2">
        <f>IFERROR(__xludf.DUMMYFUNCTION("""COMPUTED_VALUE"""),0.0)</f>
        <v>0</v>
      </c>
      <c r="Y171" s="1">
        <f>IFERROR(__xludf.DUMMYFUNCTION("""COMPUTED_VALUE"""),0.92)</f>
        <v>0.92</v>
      </c>
      <c r="Z171" s="1">
        <f>IFERROR(__xludf.DUMMYFUNCTION("""COMPUTED_VALUE"""),0.0)</f>
        <v>0</v>
      </c>
      <c r="AA171" s="2" t="str">
        <f>IFERROR(__xludf.DUMMYFUNCTION("""COMPUTED_VALUE"""),"")</f>
        <v/>
      </c>
      <c r="AB171" s="1">
        <f>IFERROR(__xludf.DUMMYFUNCTION("""COMPUTED_VALUE"""),0.92)</f>
        <v>0.92</v>
      </c>
      <c r="AC171" s="1">
        <f>IFERROR(__xludf.DUMMYFUNCTION("""COMPUTED_VALUE"""),0.0)</f>
        <v>0</v>
      </c>
      <c r="AD171" s="2" t="str">
        <f>IFERROR(__xludf.DUMMYFUNCTION("""COMPUTED_VALUE"""),"")</f>
        <v/>
      </c>
      <c r="AE171" s="1">
        <f>IFERROR(__xludf.DUMMYFUNCTION("""COMPUTED_VALUE"""),0.0)</f>
        <v>0</v>
      </c>
      <c r="AF171" s="1">
        <f>IFERROR(__xludf.DUMMYFUNCTION("""COMPUTED_VALUE"""),0.0)</f>
        <v>0</v>
      </c>
      <c r="AG171" s="2" t="str">
        <f>IFERROR(__xludf.DUMMYFUNCTION("""COMPUTED_VALUE"""),"")</f>
        <v/>
      </c>
      <c r="AH171" s="1">
        <f>IFERROR(__xludf.DUMMYFUNCTION("""COMPUTED_VALUE"""),0.0)</f>
        <v>0</v>
      </c>
      <c r="AI171" s="1">
        <f>IFERROR(__xludf.DUMMYFUNCTION("""COMPUTED_VALUE"""),0.0)</f>
        <v>0</v>
      </c>
      <c r="AJ171" s="2" t="str">
        <f>IFERROR(__xludf.DUMMYFUNCTION("""COMPUTED_VALUE"""),"")</f>
        <v/>
      </c>
      <c r="AK171" s="1">
        <f>IFERROR(__xludf.DUMMYFUNCTION("""COMPUTED_VALUE"""),1.84)</f>
        <v>1.84</v>
      </c>
      <c r="AL171" s="1">
        <f>IFERROR(__xludf.DUMMYFUNCTION("""COMPUTED_VALUE"""),0.0)</f>
        <v>0</v>
      </c>
      <c r="AM171" s="2" t="str">
        <f>IFERROR(__xludf.DUMMYFUNCTION("""COMPUTED_VALUE"""),"")</f>
        <v/>
      </c>
      <c r="AN171" s="1">
        <f>IFERROR(__xludf.DUMMYFUNCTION("""COMPUTED_VALUE"""),0.0)</f>
        <v>0</v>
      </c>
      <c r="AO171" s="1">
        <f>IFERROR(__xludf.DUMMYFUNCTION("""COMPUTED_VALUE"""),0.0)</f>
        <v>0</v>
      </c>
      <c r="AP171" s="2" t="str">
        <f>IFERROR(__xludf.DUMMYFUNCTION("""COMPUTED_VALUE"""),"")</f>
        <v/>
      </c>
      <c r="AQ171" s="1">
        <f>IFERROR(__xludf.DUMMYFUNCTION("""COMPUTED_VALUE"""),0.0)</f>
        <v>0</v>
      </c>
      <c r="AR171" s="1">
        <f>IFERROR(__xludf.DUMMYFUNCTION("""COMPUTED_VALUE"""),0.0)</f>
        <v>0</v>
      </c>
      <c r="AS171" s="2" t="str">
        <f>IFERROR(__xludf.DUMMYFUNCTION("""COMPUTED_VALUE"""),"")</f>
        <v/>
      </c>
      <c r="AT171" s="1">
        <f>IFERROR(__xludf.DUMMYFUNCTION("""COMPUTED_VALUE"""),0.0)</f>
        <v>0</v>
      </c>
      <c r="AU171" s="1">
        <f>IFERROR(__xludf.DUMMYFUNCTION("""COMPUTED_VALUE"""),0.0)</f>
        <v>0</v>
      </c>
      <c r="AV171" s="2" t="str">
        <f>IFERROR(__xludf.DUMMYFUNCTION("""COMPUTED_VALUE"""),"")</f>
        <v/>
      </c>
      <c r="AW171" s="1">
        <f>IFERROR(__xludf.DUMMYFUNCTION("""COMPUTED_VALUE"""),0.0)</f>
        <v>0</v>
      </c>
      <c r="AX171" s="1">
        <f>IFERROR(__xludf.DUMMYFUNCTION("""COMPUTED_VALUE"""),0.0)</f>
        <v>0</v>
      </c>
      <c r="AY171" s="2" t="str">
        <f>IFERROR(__xludf.DUMMYFUNCTION("""COMPUTED_VALUE"""),"")</f>
        <v/>
      </c>
      <c r="AZ171" s="1">
        <f>IFERROR(__xludf.DUMMYFUNCTION("""COMPUTED_VALUE"""),0.0)</f>
        <v>0</v>
      </c>
      <c r="BA171" s="1">
        <f>IFERROR(__xludf.DUMMYFUNCTION("""COMPUTED_VALUE"""),0.0)</f>
        <v>0</v>
      </c>
      <c r="BB171" s="2" t="str">
        <f>IFERROR(__xludf.DUMMYFUNCTION("""COMPUTED_VALUE"""),"")</f>
        <v/>
      </c>
    </row>
    <row r="172">
      <c r="A172" s="1" t="str">
        <f>IFERROR(__xludf.DUMMYFUNCTION("""COMPUTED_VALUE"""),"63ced843c5c820531c268177")</f>
        <v>63ced843c5c820531c268177</v>
      </c>
      <c r="B172" s="1" t="str">
        <f>IFERROR(__xludf.DUMMYFUNCTION("""COMPUTED_VALUE"""),"VS TELECOM LTDA")</f>
        <v>VS TELECOM LTDA</v>
      </c>
      <c r="C172" s="1" t="str">
        <f>IFERROR(__xludf.DUMMYFUNCTION("""COMPUTED_VALUE"""),"renato-takashi.yoshizako@al-enterprise.com")</f>
        <v>renato-takashi.yoshizako@al-enterprise.com</v>
      </c>
      <c r="D172" s="1" t="str">
        <f>IFERROR(__xludf.DUMMYFUNCTION("""COMPUTED_VALUE"""),"americas")</f>
        <v>americas</v>
      </c>
      <c r="E172" s="1" t="str">
        <f>IFERROR(__xludf.DUMMYFUNCTION("""COMPUTED_VALUE"""),"BR")</f>
        <v>BR</v>
      </c>
      <c r="F172" s="1" t="str">
        <f>IFERROR(__xludf.DUMMYFUNCTION("""COMPUTED_VALUE"""),"expert_1000")</f>
        <v>expert_1000</v>
      </c>
      <c r="G172" s="1">
        <f>IFERROR(__xludf.DUMMYFUNCTION("""COMPUTED_VALUE"""),1.0)</f>
        <v>1</v>
      </c>
      <c r="H172" s="1">
        <f>IFERROR(__xludf.DUMMYFUNCTION("""COMPUTED_VALUE"""),1.0)</f>
        <v>1</v>
      </c>
      <c r="I172" s="2">
        <f>IFERROR(__xludf.DUMMYFUNCTION("""COMPUTED_VALUE"""),1.0)</f>
        <v>1</v>
      </c>
      <c r="J172" s="1">
        <f>IFERROR(__xludf.DUMMYFUNCTION("""COMPUTED_VALUE"""),232.93)</f>
        <v>232.93</v>
      </c>
      <c r="K172" s="1">
        <f>IFERROR(__xludf.DUMMYFUNCTION("""COMPUTED_VALUE"""),1349.99)</f>
        <v>1349.99</v>
      </c>
      <c r="L172" s="2">
        <f>IFERROR(__xludf.DUMMYFUNCTION("""COMPUTED_VALUE"""),0.1725420188297691)</f>
        <v>0.1725420188</v>
      </c>
      <c r="M172" s="1">
        <f>IFERROR(__xludf.DUMMYFUNCTION("""COMPUTED_VALUE"""),80.0)</f>
        <v>80</v>
      </c>
      <c r="N172" s="1">
        <f>IFERROR(__xludf.DUMMYFUNCTION("""COMPUTED_VALUE"""),52.0)</f>
        <v>52</v>
      </c>
      <c r="O172" s="2">
        <f>IFERROR(__xludf.DUMMYFUNCTION("""COMPUTED_VALUE"""),1.5384615384615385)</f>
        <v>1.538461538</v>
      </c>
      <c r="P172" s="1">
        <f>IFERROR(__xludf.DUMMYFUNCTION("""COMPUTED_VALUE"""),1.0)</f>
        <v>1</v>
      </c>
      <c r="Q172" s="1">
        <f>IFERROR(__xludf.DUMMYFUNCTION("""COMPUTED_VALUE"""),1.0)</f>
        <v>1</v>
      </c>
      <c r="R172" s="2">
        <f>IFERROR(__xludf.DUMMYFUNCTION("""COMPUTED_VALUE"""),1.0)</f>
        <v>1</v>
      </c>
      <c r="S172" s="1">
        <f>IFERROR(__xludf.DUMMYFUNCTION("""COMPUTED_VALUE"""),1.0)</f>
        <v>1</v>
      </c>
      <c r="T172" s="1">
        <f>IFERROR(__xludf.DUMMYFUNCTION("""COMPUTED_VALUE"""),1.0)</f>
        <v>1</v>
      </c>
      <c r="U172" s="2">
        <f>IFERROR(__xludf.DUMMYFUNCTION("""COMPUTED_VALUE"""),1.0)</f>
        <v>1</v>
      </c>
      <c r="V172" s="1">
        <f>IFERROR(__xludf.DUMMYFUNCTION("""COMPUTED_VALUE"""),0.0)</f>
        <v>0</v>
      </c>
      <c r="W172" s="1">
        <f>IFERROR(__xludf.DUMMYFUNCTION("""COMPUTED_VALUE"""),1.0)</f>
        <v>1</v>
      </c>
      <c r="X172" s="2">
        <f>IFERROR(__xludf.DUMMYFUNCTION("""COMPUTED_VALUE"""),0.0)</f>
        <v>0</v>
      </c>
      <c r="Y172" s="1">
        <f>IFERROR(__xludf.DUMMYFUNCTION("""COMPUTED_VALUE"""),16.27)</f>
        <v>16.27</v>
      </c>
      <c r="Z172" s="1">
        <f>IFERROR(__xludf.DUMMYFUNCTION("""COMPUTED_VALUE"""),0.0)</f>
        <v>0</v>
      </c>
      <c r="AA172" s="2" t="str">
        <f>IFERROR(__xludf.DUMMYFUNCTION("""COMPUTED_VALUE"""),"")</f>
        <v/>
      </c>
      <c r="AB172" s="1">
        <f>IFERROR(__xludf.DUMMYFUNCTION("""COMPUTED_VALUE"""),8.37)</f>
        <v>8.37</v>
      </c>
      <c r="AC172" s="1">
        <f>IFERROR(__xludf.DUMMYFUNCTION("""COMPUTED_VALUE"""),1125.0)</f>
        <v>1125</v>
      </c>
      <c r="AD172" s="2">
        <f>IFERROR(__xludf.DUMMYFUNCTION("""COMPUTED_VALUE"""),0.0074399999999999996)</f>
        <v>0.00744</v>
      </c>
      <c r="AE172" s="1">
        <f>IFERROR(__xludf.DUMMYFUNCTION("""COMPUTED_VALUE"""),1904.02)</f>
        <v>1904.02</v>
      </c>
      <c r="AF172" s="1">
        <f>IFERROR(__xludf.DUMMYFUNCTION("""COMPUTED_VALUE"""),1125.0)</f>
        <v>1125</v>
      </c>
      <c r="AG172" s="2">
        <f>IFERROR(__xludf.DUMMYFUNCTION("""COMPUTED_VALUE"""),1.6924622222222223)</f>
        <v>1.692462222</v>
      </c>
      <c r="AH172" s="1">
        <f>IFERROR(__xludf.DUMMYFUNCTION("""COMPUTED_VALUE"""),2446.58)</f>
        <v>2446.58</v>
      </c>
      <c r="AI172" s="1">
        <f>IFERROR(__xludf.DUMMYFUNCTION("""COMPUTED_VALUE"""),1125.0)</f>
        <v>1125</v>
      </c>
      <c r="AJ172" s="2">
        <f>IFERROR(__xludf.DUMMYFUNCTION("""COMPUTED_VALUE"""),2.1747377777777777)</f>
        <v>2.174737778</v>
      </c>
      <c r="AK172" s="1">
        <f>IFERROR(__xludf.DUMMYFUNCTION("""COMPUTED_VALUE"""),4375.24)</f>
        <v>4375.24</v>
      </c>
      <c r="AL172" s="1">
        <f>IFERROR(__xludf.DUMMYFUNCTION("""COMPUTED_VALUE"""),3375.0)</f>
        <v>3375</v>
      </c>
      <c r="AM172" s="2">
        <f>IFERROR(__xludf.DUMMYFUNCTION("""COMPUTED_VALUE"""),1.2963674074074074)</f>
        <v>1.296367407</v>
      </c>
      <c r="AN172" s="1">
        <f>IFERROR(__xludf.DUMMYFUNCTION("""COMPUTED_VALUE"""),628.24)</f>
        <v>628.24</v>
      </c>
      <c r="AO172" s="1">
        <f>IFERROR(__xludf.DUMMYFUNCTION("""COMPUTED_VALUE"""),0.0)</f>
        <v>0</v>
      </c>
      <c r="AP172" s="2" t="str">
        <f>IFERROR(__xludf.DUMMYFUNCTION("""COMPUTED_VALUE"""),"")</f>
        <v/>
      </c>
      <c r="AQ172" s="1">
        <f>IFERROR(__xludf.DUMMYFUNCTION("""COMPUTED_VALUE"""),7.22)</f>
        <v>7.22</v>
      </c>
      <c r="AR172" s="1">
        <f>IFERROR(__xludf.DUMMYFUNCTION("""COMPUTED_VALUE"""),0.0)</f>
        <v>0</v>
      </c>
      <c r="AS172" s="2" t="str">
        <f>IFERROR(__xludf.DUMMYFUNCTION("""COMPUTED_VALUE"""),"")</f>
        <v/>
      </c>
      <c r="AT172" s="1">
        <f>IFERROR(__xludf.DUMMYFUNCTION("""COMPUTED_VALUE"""),0.0)</f>
        <v>0</v>
      </c>
      <c r="AU172" s="1">
        <f>IFERROR(__xludf.DUMMYFUNCTION("""COMPUTED_VALUE"""),0.0)</f>
        <v>0</v>
      </c>
      <c r="AV172" s="2" t="str">
        <f>IFERROR(__xludf.DUMMYFUNCTION("""COMPUTED_VALUE"""),"")</f>
        <v/>
      </c>
      <c r="AW172" s="1">
        <f>IFERROR(__xludf.DUMMYFUNCTION("""COMPUTED_VALUE"""),10.45)</f>
        <v>10.45</v>
      </c>
      <c r="AX172" s="1">
        <f>IFERROR(__xludf.DUMMYFUNCTION("""COMPUTED_VALUE"""),0.0)</f>
        <v>0</v>
      </c>
      <c r="AY172" s="2" t="str">
        <f>IFERROR(__xludf.DUMMYFUNCTION("""COMPUTED_VALUE"""),"")</f>
        <v/>
      </c>
      <c r="AZ172" s="1">
        <f>IFERROR(__xludf.DUMMYFUNCTION("""COMPUTED_VALUE"""),645.9100000000001)</f>
        <v>645.91</v>
      </c>
      <c r="BA172" s="1">
        <f>IFERROR(__xludf.DUMMYFUNCTION("""COMPUTED_VALUE"""),0.0)</f>
        <v>0</v>
      </c>
      <c r="BB172" s="2" t="str">
        <f>IFERROR(__xludf.DUMMYFUNCTION("""COMPUTED_VALUE"""),"")</f>
        <v/>
      </c>
    </row>
    <row r="173">
      <c r="A173" s="1" t="str">
        <f>IFERROR(__xludf.DUMMYFUNCTION("""COMPUTED_VALUE"""),"63ea6e9452ad6968805cebeb")</f>
        <v>63ea6e9452ad6968805cebeb</v>
      </c>
      <c r="B173" s="1" t="str">
        <f>IFERROR(__xludf.DUMMYFUNCTION("""COMPUTED_VALUE"""),"Walter Rehdanz GmbH &amp; Co. KG")</f>
        <v>Walter Rehdanz GmbH &amp; Co. KG</v>
      </c>
      <c r="C173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173" s="1" t="str">
        <f>IFERROR(__xludf.DUMMYFUNCTION("""COMPUTED_VALUE"""),"germany")</f>
        <v>germany</v>
      </c>
      <c r="E173" s="1" t="str">
        <f>IFERROR(__xludf.DUMMYFUNCTION("""COMPUTED_VALUE"""),"DE")</f>
        <v>DE</v>
      </c>
      <c r="F173" s="1"/>
      <c r="G173" s="1">
        <f>IFERROR(__xludf.DUMMYFUNCTION("""COMPUTED_VALUE"""),1.0)</f>
        <v>1</v>
      </c>
      <c r="H173" s="1">
        <f>IFERROR(__xludf.DUMMYFUNCTION("""COMPUTED_VALUE"""),1.0)</f>
        <v>1</v>
      </c>
      <c r="I173" s="2">
        <f>IFERROR(__xludf.DUMMYFUNCTION("""COMPUTED_VALUE"""),1.0)</f>
        <v>1</v>
      </c>
      <c r="J173" s="1">
        <f>IFERROR(__xludf.DUMMYFUNCTION("""COMPUTED_VALUE"""),30.94)</f>
        <v>30.94</v>
      </c>
      <c r="K173" s="1">
        <f>IFERROR(__xludf.DUMMYFUNCTION("""COMPUTED_VALUE"""),200.1)</f>
        <v>200.1</v>
      </c>
      <c r="L173" s="2">
        <f>IFERROR(__xludf.DUMMYFUNCTION("""COMPUTED_VALUE"""),0.15462268865567216)</f>
        <v>0.1546226887</v>
      </c>
      <c r="M173" s="1">
        <f>IFERROR(__xludf.DUMMYFUNCTION("""COMPUTED_VALUE"""),15.0)</f>
        <v>15</v>
      </c>
      <c r="N173" s="1">
        <f>IFERROR(__xludf.DUMMYFUNCTION("""COMPUTED_VALUE"""),0.0)</f>
        <v>0</v>
      </c>
      <c r="O173" s="2" t="str">
        <f>IFERROR(__xludf.DUMMYFUNCTION("""COMPUTED_VALUE"""),"")</f>
        <v/>
      </c>
      <c r="P173" s="1">
        <f>IFERROR(__xludf.DUMMYFUNCTION("""COMPUTED_VALUE"""),1.0)</f>
        <v>1</v>
      </c>
      <c r="Q173" s="1">
        <f>IFERROR(__xludf.DUMMYFUNCTION("""COMPUTED_VALUE"""),1.0)</f>
        <v>1</v>
      </c>
      <c r="R173" s="2">
        <f>IFERROR(__xludf.DUMMYFUNCTION("""COMPUTED_VALUE"""),1.0)</f>
        <v>1</v>
      </c>
      <c r="S173" s="1">
        <f>IFERROR(__xludf.DUMMYFUNCTION("""COMPUTED_VALUE"""),0.0)</f>
        <v>0</v>
      </c>
      <c r="T173" s="1">
        <f>IFERROR(__xludf.DUMMYFUNCTION("""COMPUTED_VALUE"""),1.0)</f>
        <v>1</v>
      </c>
      <c r="U173" s="2">
        <f>IFERROR(__xludf.DUMMYFUNCTION("""COMPUTED_VALUE"""),0.0)</f>
        <v>0</v>
      </c>
      <c r="V173" s="1">
        <f>IFERROR(__xludf.DUMMYFUNCTION("""COMPUTED_VALUE"""),0.0)</f>
        <v>0</v>
      </c>
      <c r="W173" s="1">
        <f>IFERROR(__xludf.DUMMYFUNCTION("""COMPUTED_VALUE"""),1.0)</f>
        <v>1</v>
      </c>
      <c r="X173" s="2">
        <f>IFERROR(__xludf.DUMMYFUNCTION("""COMPUTED_VALUE"""),0.0)</f>
        <v>0</v>
      </c>
      <c r="Y173" s="1">
        <f>IFERROR(__xludf.DUMMYFUNCTION("""COMPUTED_VALUE"""),0.0)</f>
        <v>0</v>
      </c>
      <c r="Z173" s="1">
        <f>IFERROR(__xludf.DUMMYFUNCTION("""COMPUTED_VALUE"""),0.0)</f>
        <v>0</v>
      </c>
      <c r="AA173" s="2" t="str">
        <f>IFERROR(__xludf.DUMMYFUNCTION("""COMPUTED_VALUE"""),"")</f>
        <v/>
      </c>
      <c r="AB173" s="1">
        <f>IFERROR(__xludf.DUMMYFUNCTION("""COMPUTED_VALUE"""),0.0)</f>
        <v>0</v>
      </c>
      <c r="AC173" s="1">
        <f>IFERROR(__xludf.DUMMYFUNCTION("""COMPUTED_VALUE"""),83.33)</f>
        <v>83.33</v>
      </c>
      <c r="AD173" s="2">
        <f>IFERROR(__xludf.DUMMYFUNCTION("""COMPUTED_VALUE"""),0.0)</f>
        <v>0</v>
      </c>
      <c r="AE173" s="1">
        <f>IFERROR(__xludf.DUMMYFUNCTION("""COMPUTED_VALUE"""),0.0)</f>
        <v>0</v>
      </c>
      <c r="AF173" s="1">
        <f>IFERROR(__xludf.DUMMYFUNCTION("""COMPUTED_VALUE"""),125.0)</f>
        <v>125</v>
      </c>
      <c r="AG173" s="2">
        <f>IFERROR(__xludf.DUMMYFUNCTION("""COMPUTED_VALUE"""),0.0)</f>
        <v>0</v>
      </c>
      <c r="AH173" s="1">
        <f>IFERROR(__xludf.DUMMYFUNCTION("""COMPUTED_VALUE"""),65.0)</f>
        <v>65</v>
      </c>
      <c r="AI173" s="1">
        <f>IFERROR(__xludf.DUMMYFUNCTION("""COMPUTED_VALUE"""),125.0)</f>
        <v>125</v>
      </c>
      <c r="AJ173" s="2">
        <f>IFERROR(__xludf.DUMMYFUNCTION("""COMPUTED_VALUE"""),0.52)</f>
        <v>0.52</v>
      </c>
      <c r="AK173" s="1">
        <f>IFERROR(__xludf.DUMMYFUNCTION("""COMPUTED_VALUE"""),65.0)</f>
        <v>65</v>
      </c>
      <c r="AL173" s="1">
        <f>IFERROR(__xludf.DUMMYFUNCTION("""COMPUTED_VALUE"""),333.33)</f>
        <v>333.33</v>
      </c>
      <c r="AM173" s="2">
        <f>IFERROR(__xludf.DUMMYFUNCTION("""COMPUTED_VALUE"""),0.19500195001950021)</f>
        <v>0.19500195</v>
      </c>
      <c r="AN173" s="1">
        <f>IFERROR(__xludf.DUMMYFUNCTION("""COMPUTED_VALUE"""),46.5)</f>
        <v>46.5</v>
      </c>
      <c r="AO173" s="1">
        <f>IFERROR(__xludf.DUMMYFUNCTION("""COMPUTED_VALUE"""),0.0)</f>
        <v>0</v>
      </c>
      <c r="AP173" s="2" t="str">
        <f>IFERROR(__xludf.DUMMYFUNCTION("""COMPUTED_VALUE"""),"")</f>
        <v/>
      </c>
      <c r="AQ173" s="1">
        <f>IFERROR(__xludf.DUMMYFUNCTION("""COMPUTED_VALUE"""),0.0)</f>
        <v>0</v>
      </c>
      <c r="AR173" s="1">
        <f>IFERROR(__xludf.DUMMYFUNCTION("""COMPUTED_VALUE"""),0.0)</f>
        <v>0</v>
      </c>
      <c r="AS173" s="2" t="str">
        <f>IFERROR(__xludf.DUMMYFUNCTION("""COMPUTED_VALUE"""),"")</f>
        <v/>
      </c>
      <c r="AT173" s="1">
        <f>IFERROR(__xludf.DUMMYFUNCTION("""COMPUTED_VALUE"""),0.0)</f>
        <v>0</v>
      </c>
      <c r="AU173" s="1">
        <f>IFERROR(__xludf.DUMMYFUNCTION("""COMPUTED_VALUE"""),0.0)</f>
        <v>0</v>
      </c>
      <c r="AV173" s="2" t="str">
        <f>IFERROR(__xludf.DUMMYFUNCTION("""COMPUTED_VALUE"""),"")</f>
        <v/>
      </c>
      <c r="AW173" s="1">
        <f>IFERROR(__xludf.DUMMYFUNCTION("""COMPUTED_VALUE"""),0.0)</f>
        <v>0</v>
      </c>
      <c r="AX173" s="1">
        <f>IFERROR(__xludf.DUMMYFUNCTION("""COMPUTED_VALUE"""),0.0)</f>
        <v>0</v>
      </c>
      <c r="AY173" s="2" t="str">
        <f>IFERROR(__xludf.DUMMYFUNCTION("""COMPUTED_VALUE"""),"")</f>
        <v/>
      </c>
      <c r="AZ173" s="1">
        <f>IFERROR(__xludf.DUMMYFUNCTION("""COMPUTED_VALUE"""),46.5)</f>
        <v>46.5</v>
      </c>
      <c r="BA173" s="1">
        <f>IFERROR(__xludf.DUMMYFUNCTION("""COMPUTED_VALUE"""),0.0)</f>
        <v>0</v>
      </c>
      <c r="BB173" s="2" t="str">
        <f>IFERROR(__xludf.DUMMYFUNCTION("""COMPUTED_VALUE"""),"")</f>
        <v/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3" width="38.86"/>
    <col customWidth="1" min="4" max="4" width="22.71"/>
    <col customWidth="1" min="5" max="6" width="46.14"/>
    <col customWidth="1" min="7" max="7" width="23.43"/>
    <col customWidth="1" min="8" max="9" width="50.86"/>
    <col customWidth="1" min="10" max="10" width="21.43"/>
    <col customWidth="1" min="11" max="11" width="60.29"/>
    <col customWidth="1" min="12" max="12" width="58.86"/>
    <col customWidth="1" min="13" max="13" width="71.86"/>
    <col customWidth="1" min="14" max="14" width="68.57"/>
  </cols>
  <sheetData>
    <row r="1">
      <c r="K1" s="8" t="s">
        <v>11</v>
      </c>
      <c r="L1" s="9" t="s">
        <v>12</v>
      </c>
      <c r="M1" s="9" t="s">
        <v>13</v>
      </c>
      <c r="N1" s="9" t="s">
        <v>14</v>
      </c>
    </row>
    <row r="2">
      <c r="K2" s="4">
        <f>IFERROR((SUMIFS('Filtered result'!G:G, 'Filtered result'!D:D, A2, 'Filtered result'!F:F, "yes") + 
SUMIFS('Filtered result'!G:G, 'Filtered result'!D:D, A2, 'Filtered result'!F:F, "expert_1000"))/
(COUNTIFS('Filtered result'!D:D, A2, 'Filtered result'!F:F, "yes") + 
COUNTIFS('Filtered result'!D:D, A2, 'Filtered result'!F:F, "expert_1000")), 0)</f>
        <v>0.5789473684</v>
      </c>
      <c r="L2" s="6">
        <f>IFERROR((SUMIFS('Filtered result'!M:M, 'Filtered result'!D:D, A2, 'Filtered result'!F:F, "yes") + 
SUMIFS('Filtered result'!M:M, 'Filtered result'!D:D, A2, 'Filtered result'!F:F, "expert_1000"))/(SUMIFS('Filtered result'!N:N, 'Filtered result'!D:D, A2, 'Filtered result'!F:F, "yes") + 
SUMIFS('Filtered result'!N:N, 'Filtered result'!D:D, A2, 'Filtered result'!F:F, "expert_1000"))
,"")</f>
        <v>1.156884876</v>
      </c>
      <c r="M2" s="6">
        <f>IFERROR((SUMIFS('Filtered result'!P:P, 'Filtered result'!D:D, A2, 'Filtered result'!F:F, "yes") + 
SUMIFS('Filtered result'!P:P, 'Filtered result'!D:D, A2, 'Filtered result'!F:F, "expert_1000"))/(SUMIFS('Filtered result'!Q:Q, 'Filtered result'!D:D, A2, 'Filtered result'!F:F, "yes") + 
SUMIFS('Filtered result'!Q:Q, 'Filtered result'!D:D, A2, 'Filtered result'!F:F, "expert_1000"))
,"")</f>
        <v>0.6315789474</v>
      </c>
      <c r="N2" s="6">
        <f>IFERROR((SUMIFS('Filtered result'!S:S, 'Filtered result'!D:D, A2, 'Filtered result'!F:F, "yes") + 
SUMIFS('Filtered result'!S:S, 'Filtered result'!D:D, A2, 'Filtered result'!F:F, "expert_1000"))/(SUMIFS('Filtered result'!T:T, 'Filtered result'!D:D, A2, 'Filtered result'!F:F, "yes") + 
SUMIFS('Filtered result'!T:T, 'Filtered result'!D:D, A2, 'Filtered result'!F:F, "expert_1000"))
,"")</f>
        <v>0.6315789474</v>
      </c>
    </row>
    <row r="3">
      <c r="K3" s="4">
        <f>IFERROR((SUMIFS('Filtered result'!G:G, 'Filtered result'!D:D, A3, 'Filtered result'!F:F, "yes") + 
SUMIFS('Filtered result'!G:G, 'Filtered result'!D:D, A3, 'Filtered result'!F:F, "expert_1000"))/
(COUNTIFS('Filtered result'!D:D, A3, 'Filtered result'!F:F, "yes") + 
COUNTIFS('Filtered result'!D:D, A3, 'Filtered result'!F:F, "expert_1000")), 0)</f>
        <v>0.75</v>
      </c>
      <c r="L3" s="6">
        <f>IFERROR((SUMIFS('Filtered result'!M:M, 'Filtered result'!D:D, A3, 'Filtered result'!F:F, "yes") + 
SUMIFS('Filtered result'!M:M, 'Filtered result'!D:D, A3, 'Filtered result'!F:F, "expert_1000"))/(SUMIFS('Filtered result'!N:N, 'Filtered result'!D:D, A3, 'Filtered result'!F:F, "yes") + 
SUMIFS('Filtered result'!N:N, 'Filtered result'!D:D, A3, 'Filtered result'!F:F, "expert_1000"))
,"")</f>
        <v>1.579617834</v>
      </c>
      <c r="M3" s="6">
        <f>IFERROR((SUMIFS('Filtered result'!P:P, 'Filtered result'!D:D, A3, 'Filtered result'!F:F, "yes") + 
SUMIFS('Filtered result'!P:P, 'Filtered result'!D:D, A3, 'Filtered result'!F:F, "expert_1000"))/(SUMIFS('Filtered result'!Q:Q, 'Filtered result'!D:D, A3, 'Filtered result'!F:F, "yes") + 
SUMIFS('Filtered result'!Q:Q, 'Filtered result'!D:D, A3, 'Filtered result'!F:F, "expert_1000"))
,"")</f>
        <v>0.5</v>
      </c>
      <c r="N3" s="6">
        <f>IFERROR((SUMIFS('Filtered result'!S:S, 'Filtered result'!D:D, A3, 'Filtered result'!F:F, "yes") + 
SUMIFS('Filtered result'!S:S, 'Filtered result'!D:D, A3, 'Filtered result'!F:F, "expert_1000"))/(SUMIFS('Filtered result'!T:T, 'Filtered result'!D:D, A3, 'Filtered result'!F:F, "yes") + 
SUMIFS('Filtered result'!T:T, 'Filtered result'!D:D, A3, 'Filtered result'!F:F, "expert_1000"))
,"")</f>
        <v>0.75</v>
      </c>
    </row>
    <row r="4">
      <c r="K4" s="4">
        <f>IFERROR((SUMIFS('Filtered result'!G:G, 'Filtered result'!D:D, A4, 'Filtered result'!F:F, "yes") + 
SUMIFS('Filtered result'!G:G, 'Filtered result'!D:D, A4, 'Filtered result'!F:F, "expert_1000"))/
(COUNTIFS('Filtered result'!D:D, A4, 'Filtered result'!F:F, "yes") + 
COUNTIFS('Filtered result'!D:D, A4, 'Filtered result'!F:F, "expert_1000")), 0)</f>
        <v>0.8260869565</v>
      </c>
      <c r="L4" s="6">
        <f>IFERROR((SUMIFS('Filtered result'!M:M, 'Filtered result'!D:D, A4, 'Filtered result'!F:F, "yes") + 
SUMIFS('Filtered result'!M:M, 'Filtered result'!D:D, A4, 'Filtered result'!F:F, "expert_1000"))/(SUMIFS('Filtered result'!N:N, 'Filtered result'!D:D, A4, 'Filtered result'!F:F, "yes") + 
SUMIFS('Filtered result'!N:N, 'Filtered result'!D:D, A4, 'Filtered result'!F:F, "expert_1000"))
,"")</f>
        <v>1.298141892</v>
      </c>
      <c r="M4" s="6">
        <f>IFERROR((SUMIFS('Filtered result'!P:P, 'Filtered result'!D:D, A4, 'Filtered result'!F:F, "yes") + 
SUMIFS('Filtered result'!P:P, 'Filtered result'!D:D, A4, 'Filtered result'!F:F, "expert_1000"))/(SUMIFS('Filtered result'!Q:Q, 'Filtered result'!D:D, A4, 'Filtered result'!F:F, "yes") + 
SUMIFS('Filtered result'!Q:Q, 'Filtered result'!D:D, A4, 'Filtered result'!F:F, "expert_1000"))
,"")</f>
        <v>0.7391304348</v>
      </c>
      <c r="N4" s="6">
        <f>IFERROR((SUMIFS('Filtered result'!S:S, 'Filtered result'!D:D, A4, 'Filtered result'!F:F, "yes") + 
SUMIFS('Filtered result'!S:S, 'Filtered result'!D:D, A4, 'Filtered result'!F:F, "expert_1000"))/(SUMIFS('Filtered result'!T:T, 'Filtered result'!D:D, A4, 'Filtered result'!F:F, "yes") + 
SUMIFS('Filtered result'!T:T, 'Filtered result'!D:D, A4, 'Filtered result'!F:F, "expert_1000"))
,"")</f>
        <v>0.6956521739</v>
      </c>
    </row>
    <row r="5">
      <c r="B5" s="10"/>
      <c r="C5" s="10"/>
      <c r="D5" s="11"/>
      <c r="E5" s="12"/>
      <c r="F5" s="12"/>
      <c r="G5" s="11"/>
      <c r="H5" s="10"/>
      <c r="I5" s="10"/>
      <c r="J5" s="10"/>
      <c r="K5" s="2"/>
      <c r="L5" s="11"/>
    </row>
    <row r="6">
      <c r="B6" s="2"/>
      <c r="C6" s="10"/>
      <c r="D6" s="11"/>
      <c r="E6" s="12"/>
      <c r="F6" s="12"/>
      <c r="I6" s="12"/>
      <c r="J6" s="11"/>
      <c r="K6" s="2"/>
    </row>
    <row r="7">
      <c r="B7" s="2"/>
      <c r="C7" s="10"/>
      <c r="D7" s="11"/>
      <c r="E7" s="12"/>
      <c r="F7" s="12"/>
      <c r="I7" s="12"/>
      <c r="J7" s="11"/>
    </row>
    <row r="8">
      <c r="B8" s="2"/>
      <c r="C8" s="10"/>
      <c r="D8" s="11"/>
      <c r="E8" s="12"/>
      <c r="F8" s="12"/>
      <c r="I8" s="12"/>
      <c r="J8" s="11"/>
    </row>
    <row r="9">
      <c r="B9" s="2"/>
      <c r="C9" s="10"/>
      <c r="D9" s="11"/>
      <c r="E9" s="12"/>
      <c r="F9" s="12"/>
      <c r="I9" s="12"/>
      <c r="J9" s="11"/>
    </row>
    <row r="10">
      <c r="B10" s="2"/>
      <c r="C10" s="10"/>
      <c r="D10" s="11"/>
      <c r="E10" s="12"/>
      <c r="F10" s="12"/>
      <c r="I10" s="12"/>
      <c r="J10" s="11"/>
    </row>
    <row r="11">
      <c r="B11" s="2"/>
      <c r="C11" s="10"/>
      <c r="D11" s="11"/>
      <c r="E11" s="12"/>
      <c r="F11" s="12"/>
      <c r="I11" s="12"/>
      <c r="J11" s="11"/>
    </row>
    <row r="12">
      <c r="B12" s="2"/>
      <c r="C12" s="10"/>
      <c r="D12" s="11"/>
      <c r="E12" s="12"/>
      <c r="F12" s="12"/>
      <c r="I12" s="12"/>
      <c r="J12" s="11"/>
    </row>
    <row r="13">
      <c r="B13" s="2"/>
      <c r="C13" s="10"/>
      <c r="D13" s="11"/>
      <c r="E13" s="12"/>
      <c r="F13" s="12"/>
      <c r="I13" s="12"/>
      <c r="J13" s="11"/>
    </row>
    <row r="14">
      <c r="A14" s="1" t="str">
        <f t="shared" ref="A14:A18" si="2">A1</f>
        <v>Region</v>
      </c>
      <c r="B14" s="2" t="str">
        <f t="shared" ref="B14:B18" si="3">K1</f>
        <v>Business Plan Acceptance Rate (only "Premium" and "Expert 1000" partners)</v>
      </c>
      <c r="C14" s="2" t="str">
        <f t="shared" ref="C14:C17" si="4">D1</f>
        <v>Sales Revenue Achievement</v>
      </c>
      <c r="D14" s="11" t="str">
        <f t="shared" ref="D14:E14" si="1">B1</f>
        <v>SUM of Sales IN Revenues vs Sales target - Result</v>
      </c>
      <c r="E14" s="12" t="str">
        <f t="shared" si="1"/>
        <v>SUM of Sales IN Revenues vs Sales target - Target</v>
      </c>
      <c r="F14" s="12" t="str">
        <f>J1</f>
        <v>Total Pipeline 2025 + 2026</v>
      </c>
      <c r="I14" s="12"/>
      <c r="J14" s="11"/>
    </row>
    <row r="15">
      <c r="A15" s="1" t="str">
        <f t="shared" si="2"/>
        <v>americas</v>
      </c>
      <c r="B15" s="2">
        <f t="shared" si="3"/>
        <v>0.5789473684</v>
      </c>
      <c r="C15" s="2">
        <f t="shared" si="4"/>
        <v>0.4521358646</v>
      </c>
      <c r="D15" s="10">
        <f t="shared" ref="D15:E15" si="5">B2*1000</f>
        <v>36322190</v>
      </c>
      <c r="E15" s="10">
        <f t="shared" si="5"/>
        <v>80334680</v>
      </c>
      <c r="F15" s="10">
        <f t="shared" ref="F15:F17" si="7">H2*1000</f>
        <v>90208540</v>
      </c>
      <c r="I15" s="12"/>
      <c r="J15" s="11"/>
    </row>
    <row r="16">
      <c r="A16" s="1" t="str">
        <f t="shared" si="2"/>
        <v>emea</v>
      </c>
      <c r="B16" s="2">
        <f t="shared" si="3"/>
        <v>0.75</v>
      </c>
      <c r="C16" s="2">
        <f t="shared" si="4"/>
        <v>0.5129657338</v>
      </c>
      <c r="D16" s="10">
        <f t="shared" ref="D16:E16" si="6">B3*1000</f>
        <v>11793390</v>
      </c>
      <c r="E16" s="10">
        <f t="shared" si="6"/>
        <v>22990600</v>
      </c>
      <c r="F16" s="10">
        <f t="shared" si="7"/>
        <v>27187450</v>
      </c>
      <c r="I16" s="12"/>
      <c r="J16" s="11"/>
    </row>
    <row r="17">
      <c r="A17" s="1" t="str">
        <f t="shared" si="2"/>
        <v>germany</v>
      </c>
      <c r="B17" s="2">
        <f t="shared" si="3"/>
        <v>0.8260869565</v>
      </c>
      <c r="C17" s="2">
        <f t="shared" si="4"/>
        <v>0.4124407412</v>
      </c>
      <c r="D17" s="10">
        <f t="shared" ref="D17:E17" si="8">B4*1000</f>
        <v>42470710</v>
      </c>
      <c r="E17" s="10">
        <f t="shared" si="8"/>
        <v>102974090</v>
      </c>
      <c r="F17" s="10">
        <f t="shared" si="7"/>
        <v>109103930</v>
      </c>
      <c r="I17" s="12"/>
      <c r="J17" s="11"/>
    </row>
    <row r="18">
      <c r="A18" s="1" t="str">
        <f t="shared" si="2"/>
        <v/>
      </c>
      <c r="B18" s="2" t="str">
        <f t="shared" si="3"/>
        <v/>
      </c>
      <c r="C18" s="2"/>
      <c r="D18" s="10"/>
      <c r="E18" s="10"/>
      <c r="F18" s="12"/>
      <c r="I18" s="12"/>
      <c r="J18" s="11"/>
    </row>
    <row r="19">
      <c r="B19" s="2"/>
      <c r="C19" s="2"/>
      <c r="D19" s="11"/>
      <c r="E19" s="12"/>
      <c r="F19" s="12"/>
      <c r="I19" s="12"/>
      <c r="J19" s="11"/>
    </row>
    <row r="20">
      <c r="B20" s="2"/>
      <c r="C20" s="2"/>
      <c r="D20" s="11"/>
      <c r="E20" s="12"/>
      <c r="F20" s="12"/>
      <c r="I20" s="12"/>
      <c r="J20" s="11"/>
    </row>
    <row r="21">
      <c r="B21" s="2"/>
      <c r="C21" s="2"/>
      <c r="D21" s="11"/>
      <c r="E21" s="12"/>
      <c r="F21" s="12"/>
      <c r="I21" s="12"/>
      <c r="J21" s="11"/>
    </row>
    <row r="22">
      <c r="B22" s="2"/>
      <c r="C22" s="10"/>
      <c r="D22" s="11"/>
      <c r="E22" s="12"/>
      <c r="F22" s="12"/>
      <c r="I22" s="12"/>
      <c r="J22" s="11"/>
    </row>
    <row r="23">
      <c r="B23" s="2"/>
      <c r="C23" s="10"/>
      <c r="D23" s="11"/>
      <c r="E23" s="12"/>
      <c r="F23" s="12"/>
      <c r="I23" s="12"/>
      <c r="J23" s="11"/>
    </row>
    <row r="24">
      <c r="B24" s="2"/>
      <c r="C24" s="10"/>
      <c r="D24" s="11"/>
      <c r="E24" s="12"/>
      <c r="F24" s="12"/>
      <c r="I24" s="12"/>
      <c r="J24" s="11"/>
    </row>
    <row r="25">
      <c r="B25" s="2"/>
      <c r="C25" s="10"/>
      <c r="D25" s="11"/>
      <c r="E25" s="12"/>
      <c r="F25" s="12"/>
      <c r="I25" s="12"/>
      <c r="J25" s="11"/>
    </row>
    <row r="26">
      <c r="B26" s="2"/>
      <c r="C26" s="10"/>
      <c r="D26" s="11"/>
      <c r="E26" s="12"/>
      <c r="F26" s="12"/>
      <c r="I26" s="12"/>
      <c r="J26" s="11"/>
    </row>
    <row r="27">
      <c r="B27" s="2"/>
      <c r="C27" s="10"/>
      <c r="D27" s="11"/>
      <c r="E27" s="12"/>
      <c r="F27" s="12"/>
      <c r="I27" s="12"/>
      <c r="J27" s="11"/>
    </row>
    <row r="28">
      <c r="B28" s="2"/>
      <c r="C28" s="10"/>
      <c r="D28" s="11"/>
      <c r="E28" s="12"/>
      <c r="F28" s="12"/>
      <c r="I28" s="12"/>
      <c r="J28" s="11"/>
    </row>
    <row r="29">
      <c r="B29" s="2"/>
      <c r="C29" s="10"/>
      <c r="D29" s="11"/>
      <c r="E29" s="12"/>
      <c r="F29" s="12"/>
      <c r="I29" s="12"/>
      <c r="J29" s="11"/>
    </row>
    <row r="30">
      <c r="B30" s="2"/>
      <c r="C30" s="10"/>
      <c r="D30" s="11"/>
      <c r="E30" s="12"/>
      <c r="F30" s="12"/>
      <c r="I30" s="12"/>
      <c r="J30" s="11"/>
    </row>
    <row r="31">
      <c r="B31" s="2"/>
      <c r="C31" s="10"/>
      <c r="D31" s="11"/>
      <c r="E31" s="12"/>
      <c r="F31" s="12"/>
      <c r="I31" s="12"/>
      <c r="J31" s="11"/>
    </row>
    <row r="32">
      <c r="B32" s="2"/>
      <c r="C32" s="10"/>
      <c r="D32" s="11"/>
      <c r="E32" s="12"/>
      <c r="F32" s="12"/>
      <c r="I32" s="12"/>
      <c r="J32" s="11"/>
    </row>
    <row r="33">
      <c r="B33" s="2"/>
      <c r="C33" s="10"/>
      <c r="D33" s="11"/>
      <c r="E33" s="12"/>
      <c r="F33" s="12"/>
      <c r="I33" s="12"/>
      <c r="J33" s="11"/>
    </row>
    <row r="34">
      <c r="B34" s="2"/>
      <c r="C34" s="10"/>
      <c r="D34" s="11"/>
      <c r="E34" s="12"/>
      <c r="F34" s="12"/>
      <c r="I34" s="12"/>
      <c r="J34" s="11"/>
    </row>
    <row r="35">
      <c r="B35" s="2"/>
      <c r="C35" s="10"/>
      <c r="D35" s="11"/>
      <c r="E35" s="12"/>
      <c r="F35" s="12"/>
      <c r="I35" s="12"/>
      <c r="J35" s="11"/>
    </row>
    <row r="36">
      <c r="B36" s="2"/>
      <c r="C36" s="10"/>
      <c r="D36" s="11"/>
      <c r="E36" s="12"/>
      <c r="F36" s="12"/>
      <c r="I36" s="12"/>
      <c r="J36" s="11"/>
    </row>
    <row r="37">
      <c r="B37" s="2"/>
      <c r="C37" s="10"/>
      <c r="D37" s="11"/>
      <c r="E37" s="12"/>
      <c r="F37" s="12"/>
      <c r="I37" s="12"/>
      <c r="J37" s="11"/>
    </row>
    <row r="38">
      <c r="B38" s="2"/>
      <c r="C38" s="10"/>
      <c r="D38" s="11"/>
      <c r="E38" s="12"/>
      <c r="F38" s="12"/>
      <c r="I38" s="12"/>
      <c r="J38" s="11"/>
    </row>
    <row r="39">
      <c r="B39" s="2"/>
      <c r="C39" s="10"/>
      <c r="D39" s="11"/>
      <c r="E39" s="12"/>
      <c r="F39" s="12"/>
      <c r="I39" s="12"/>
      <c r="J39" s="11"/>
    </row>
    <row r="40">
      <c r="B40" s="2"/>
      <c r="C40" s="10"/>
      <c r="D40" s="11"/>
      <c r="E40" s="12"/>
      <c r="F40" s="12"/>
      <c r="I40" s="12"/>
      <c r="J40" s="11"/>
    </row>
    <row r="41">
      <c r="B41" s="2"/>
      <c r="C41" s="10"/>
      <c r="D41" s="11"/>
      <c r="E41" s="12"/>
      <c r="F41" s="12"/>
      <c r="I41" s="12"/>
      <c r="J41" s="11"/>
    </row>
    <row r="42">
      <c r="B42" s="2"/>
      <c r="C42" s="10"/>
      <c r="D42" s="11"/>
      <c r="E42" s="12"/>
      <c r="F42" s="12"/>
      <c r="I42" s="12"/>
      <c r="J42" s="11"/>
    </row>
    <row r="43">
      <c r="B43" s="2"/>
      <c r="C43" s="10"/>
      <c r="D43" s="11"/>
      <c r="E43" s="12"/>
      <c r="F43" s="12"/>
      <c r="I43" s="12"/>
      <c r="J43" s="11"/>
    </row>
    <row r="44">
      <c r="B44" s="2"/>
      <c r="C44" s="10"/>
      <c r="D44" s="11"/>
      <c r="E44" s="12"/>
      <c r="F44" s="12"/>
      <c r="I44" s="12"/>
      <c r="J44" s="11"/>
    </row>
    <row r="45">
      <c r="B45" s="2"/>
      <c r="C45" s="10"/>
      <c r="D45" s="11"/>
      <c r="E45" s="12"/>
      <c r="F45" s="12"/>
      <c r="I45" s="12"/>
      <c r="J45" s="11"/>
    </row>
    <row r="46">
      <c r="B46" s="2"/>
      <c r="C46" s="10"/>
      <c r="D46" s="11"/>
      <c r="E46" s="12"/>
      <c r="F46" s="12"/>
      <c r="I46" s="12"/>
      <c r="J46" s="11"/>
    </row>
    <row r="47">
      <c r="B47" s="2"/>
      <c r="C47" s="10"/>
      <c r="D47" s="11"/>
      <c r="E47" s="12"/>
      <c r="F47" s="12"/>
      <c r="I47" s="12"/>
      <c r="J47" s="11"/>
    </row>
    <row r="48">
      <c r="B48" s="2"/>
      <c r="C48" s="10"/>
      <c r="D48" s="11"/>
      <c r="E48" s="12"/>
      <c r="F48" s="12"/>
      <c r="I48" s="12"/>
      <c r="J48" s="11"/>
    </row>
    <row r="49">
      <c r="B49" s="2"/>
      <c r="C49" s="10"/>
      <c r="D49" s="11"/>
      <c r="E49" s="12"/>
      <c r="F49" s="12"/>
      <c r="I49" s="12"/>
      <c r="J49" s="11"/>
    </row>
    <row r="50">
      <c r="B50" s="2"/>
      <c r="C50" s="10"/>
      <c r="D50" s="11"/>
      <c r="E50" s="12"/>
      <c r="F50" s="12"/>
      <c r="I50" s="12"/>
      <c r="J50" s="11"/>
    </row>
    <row r="51">
      <c r="B51" s="2"/>
      <c r="C51" s="10"/>
      <c r="D51" s="11"/>
      <c r="E51" s="12"/>
      <c r="F51" s="12"/>
      <c r="I51" s="12"/>
      <c r="J51" s="11"/>
    </row>
    <row r="52">
      <c r="B52" s="2"/>
      <c r="C52" s="10"/>
      <c r="D52" s="11"/>
      <c r="E52" s="12"/>
      <c r="F52" s="12"/>
      <c r="I52" s="12"/>
      <c r="J52" s="11"/>
    </row>
    <row r="53">
      <c r="B53" s="2"/>
      <c r="C53" s="10"/>
      <c r="D53" s="11"/>
      <c r="E53" s="12"/>
      <c r="F53" s="12"/>
      <c r="I53" s="12"/>
      <c r="J53" s="11"/>
    </row>
    <row r="54">
      <c r="B54" s="2"/>
      <c r="C54" s="10"/>
      <c r="D54" s="11"/>
      <c r="E54" s="12"/>
      <c r="F54" s="12"/>
      <c r="I54" s="12"/>
      <c r="J54" s="11"/>
    </row>
    <row r="55">
      <c r="B55" s="2"/>
      <c r="C55" s="10"/>
      <c r="D55" s="11"/>
      <c r="E55" s="12"/>
      <c r="F55" s="12"/>
      <c r="I55" s="12"/>
      <c r="J55" s="11"/>
    </row>
    <row r="56">
      <c r="B56" s="2"/>
      <c r="C56" s="10"/>
      <c r="D56" s="11"/>
      <c r="E56" s="12"/>
      <c r="F56" s="12"/>
      <c r="I56" s="12"/>
      <c r="J56" s="11"/>
    </row>
    <row r="57">
      <c r="B57" s="2"/>
      <c r="C57" s="10"/>
      <c r="D57" s="11"/>
      <c r="E57" s="12"/>
      <c r="F57" s="12"/>
      <c r="I57" s="12"/>
      <c r="J57" s="11"/>
    </row>
    <row r="58">
      <c r="B58" s="2"/>
      <c r="C58" s="10"/>
      <c r="D58" s="11"/>
      <c r="E58" s="12"/>
      <c r="F58" s="12"/>
      <c r="I58" s="12"/>
      <c r="J58" s="11"/>
    </row>
    <row r="59">
      <c r="B59" s="2"/>
      <c r="C59" s="10"/>
      <c r="D59" s="11"/>
      <c r="E59" s="12"/>
      <c r="F59" s="12"/>
      <c r="I59" s="12"/>
      <c r="J59" s="11"/>
    </row>
    <row r="60">
      <c r="B60" s="2"/>
      <c r="C60" s="10"/>
      <c r="D60" s="11"/>
      <c r="E60" s="12"/>
      <c r="F60" s="12"/>
      <c r="I60" s="12"/>
      <c r="J60" s="11"/>
    </row>
    <row r="61">
      <c r="B61" s="2"/>
      <c r="C61" s="10"/>
      <c r="D61" s="11"/>
      <c r="E61" s="12"/>
      <c r="F61" s="12"/>
      <c r="I61" s="12"/>
      <c r="J61" s="11"/>
    </row>
    <row r="62">
      <c r="B62" s="2"/>
      <c r="C62" s="10"/>
      <c r="D62" s="11"/>
      <c r="E62" s="12"/>
      <c r="F62" s="12"/>
      <c r="I62" s="12"/>
      <c r="J62" s="11"/>
    </row>
    <row r="63">
      <c r="B63" s="2"/>
      <c r="C63" s="10"/>
      <c r="D63" s="11"/>
      <c r="E63" s="12"/>
      <c r="F63" s="12"/>
      <c r="I63" s="12"/>
      <c r="J63" s="11"/>
    </row>
    <row r="64">
      <c r="B64" s="2"/>
      <c r="C64" s="10"/>
      <c r="D64" s="11"/>
      <c r="E64" s="12"/>
      <c r="F64" s="12"/>
      <c r="I64" s="12"/>
      <c r="J64" s="11"/>
    </row>
    <row r="65">
      <c r="B65" s="2"/>
      <c r="C65" s="10"/>
      <c r="D65" s="11"/>
      <c r="E65" s="12"/>
      <c r="F65" s="12"/>
      <c r="I65" s="12"/>
      <c r="J65" s="11"/>
    </row>
    <row r="66">
      <c r="B66" s="2"/>
      <c r="C66" s="10"/>
      <c r="D66" s="11"/>
      <c r="E66" s="12"/>
      <c r="F66" s="12"/>
      <c r="I66" s="12"/>
      <c r="J66" s="11"/>
    </row>
    <row r="67">
      <c r="B67" s="2"/>
      <c r="C67" s="10"/>
      <c r="D67" s="11"/>
      <c r="E67" s="12"/>
      <c r="F67" s="12"/>
      <c r="I67" s="12"/>
      <c r="J67" s="11"/>
    </row>
    <row r="68">
      <c r="B68" s="2"/>
      <c r="C68" s="10"/>
      <c r="D68" s="11"/>
      <c r="E68" s="12"/>
      <c r="F68" s="12"/>
      <c r="I68" s="12"/>
      <c r="J68" s="11"/>
    </row>
    <row r="69">
      <c r="B69" s="2"/>
      <c r="C69" s="10"/>
      <c r="D69" s="11"/>
      <c r="E69" s="12"/>
      <c r="F69" s="12"/>
      <c r="I69" s="12"/>
      <c r="J69" s="11"/>
    </row>
    <row r="70">
      <c r="B70" s="2"/>
      <c r="C70" s="10"/>
      <c r="D70" s="11"/>
      <c r="E70" s="12"/>
      <c r="F70" s="12"/>
      <c r="I70" s="12"/>
      <c r="J70" s="11"/>
    </row>
    <row r="71">
      <c r="B71" s="2"/>
      <c r="C71" s="10"/>
      <c r="D71" s="11"/>
      <c r="E71" s="12"/>
      <c r="F71" s="12"/>
      <c r="I71" s="12"/>
      <c r="J71" s="11"/>
    </row>
    <row r="72">
      <c r="B72" s="2"/>
      <c r="C72" s="10"/>
      <c r="D72" s="11"/>
      <c r="E72" s="12"/>
      <c r="F72" s="12"/>
      <c r="I72" s="12"/>
      <c r="J72" s="11"/>
    </row>
    <row r="73">
      <c r="B73" s="2"/>
      <c r="C73" s="10"/>
      <c r="D73" s="11"/>
      <c r="E73" s="12"/>
      <c r="F73" s="12"/>
      <c r="I73" s="12"/>
      <c r="J73" s="11"/>
    </row>
    <row r="74">
      <c r="B74" s="2"/>
      <c r="C74" s="10"/>
      <c r="D74" s="11"/>
      <c r="E74" s="12"/>
      <c r="F74" s="12"/>
      <c r="I74" s="12"/>
      <c r="J74" s="11"/>
    </row>
    <row r="75">
      <c r="B75" s="2"/>
      <c r="C75" s="10"/>
      <c r="D75" s="11"/>
      <c r="E75" s="12"/>
      <c r="F75" s="12"/>
      <c r="I75" s="12"/>
      <c r="J75" s="11"/>
    </row>
    <row r="76">
      <c r="B76" s="2"/>
      <c r="C76" s="10"/>
      <c r="D76" s="11"/>
      <c r="E76" s="12"/>
      <c r="F76" s="12"/>
      <c r="I76" s="12"/>
      <c r="J76" s="11"/>
    </row>
    <row r="77">
      <c r="B77" s="2"/>
      <c r="C77" s="10"/>
      <c r="D77" s="11"/>
      <c r="E77" s="12"/>
      <c r="F77" s="12"/>
      <c r="I77" s="12"/>
      <c r="J77" s="11"/>
    </row>
    <row r="78">
      <c r="B78" s="2"/>
      <c r="C78" s="10"/>
      <c r="D78" s="11"/>
      <c r="E78" s="12"/>
      <c r="F78" s="12"/>
      <c r="I78" s="12"/>
      <c r="J78" s="11"/>
    </row>
    <row r="79">
      <c r="B79" s="2"/>
      <c r="C79" s="10"/>
      <c r="D79" s="11"/>
      <c r="E79" s="12"/>
      <c r="F79" s="12"/>
      <c r="I79" s="12"/>
      <c r="J79" s="11"/>
    </row>
    <row r="80">
      <c r="B80" s="2"/>
      <c r="C80" s="10"/>
      <c r="D80" s="11"/>
      <c r="E80" s="12"/>
      <c r="F80" s="12"/>
      <c r="I80" s="12"/>
      <c r="J80" s="11"/>
    </row>
    <row r="81">
      <c r="B81" s="2"/>
      <c r="C81" s="10"/>
      <c r="D81" s="11"/>
      <c r="E81" s="12"/>
      <c r="F81" s="12"/>
      <c r="I81" s="12"/>
      <c r="J81" s="11"/>
    </row>
    <row r="82">
      <c r="B82" s="2"/>
      <c r="C82" s="10"/>
      <c r="D82" s="11"/>
      <c r="E82" s="12"/>
      <c r="F82" s="12"/>
      <c r="I82" s="12"/>
      <c r="J82" s="11"/>
    </row>
    <row r="83">
      <c r="B83" s="2"/>
      <c r="C83" s="10"/>
      <c r="D83" s="11"/>
      <c r="E83" s="12"/>
      <c r="F83" s="12"/>
      <c r="I83" s="12"/>
      <c r="J83" s="11"/>
    </row>
    <row r="84">
      <c r="B84" s="2"/>
      <c r="C84" s="10"/>
      <c r="D84" s="11"/>
      <c r="E84" s="12"/>
      <c r="F84" s="12"/>
      <c r="I84" s="12"/>
      <c r="J84" s="11"/>
    </row>
    <row r="85">
      <c r="B85" s="2"/>
      <c r="C85" s="10"/>
      <c r="D85" s="11"/>
      <c r="E85" s="12"/>
      <c r="F85" s="12"/>
      <c r="I85" s="12"/>
      <c r="J85" s="11"/>
    </row>
    <row r="86">
      <c r="B86" s="2"/>
      <c r="C86" s="10"/>
      <c r="D86" s="11"/>
      <c r="E86" s="12"/>
      <c r="F86" s="12"/>
      <c r="I86" s="12"/>
      <c r="J86" s="11"/>
    </row>
    <row r="87">
      <c r="B87" s="2"/>
      <c r="C87" s="10"/>
      <c r="D87" s="11"/>
      <c r="E87" s="12"/>
      <c r="F87" s="12"/>
      <c r="I87" s="12"/>
      <c r="J87" s="11"/>
    </row>
    <row r="88">
      <c r="B88" s="2"/>
      <c r="C88" s="10"/>
      <c r="D88" s="11"/>
      <c r="E88" s="12"/>
      <c r="F88" s="12"/>
      <c r="I88" s="12"/>
      <c r="J88" s="11"/>
    </row>
    <row r="89">
      <c r="B89" s="2"/>
      <c r="C89" s="10"/>
      <c r="D89" s="11"/>
      <c r="E89" s="12"/>
      <c r="F89" s="12"/>
      <c r="I89" s="12"/>
      <c r="J89" s="11"/>
    </row>
    <row r="90">
      <c r="B90" s="2"/>
      <c r="C90" s="10"/>
      <c r="D90" s="11"/>
      <c r="E90" s="12"/>
      <c r="F90" s="12"/>
      <c r="I90" s="12"/>
      <c r="J90" s="11"/>
    </row>
    <row r="91">
      <c r="B91" s="2"/>
      <c r="C91" s="10"/>
      <c r="D91" s="11"/>
      <c r="E91" s="12"/>
      <c r="F91" s="12"/>
      <c r="I91" s="12"/>
      <c r="J91" s="11"/>
    </row>
    <row r="92">
      <c r="B92" s="2"/>
      <c r="C92" s="10"/>
      <c r="D92" s="11"/>
      <c r="E92" s="12"/>
      <c r="F92" s="12"/>
      <c r="I92" s="12"/>
      <c r="J92" s="11"/>
    </row>
    <row r="93">
      <c r="B93" s="2"/>
      <c r="C93" s="10"/>
      <c r="D93" s="11"/>
      <c r="E93" s="12"/>
      <c r="F93" s="12"/>
      <c r="I93" s="12"/>
      <c r="J93" s="11"/>
    </row>
    <row r="94">
      <c r="B94" s="2"/>
      <c r="C94" s="10"/>
      <c r="D94" s="11"/>
      <c r="E94" s="12"/>
      <c r="F94" s="12"/>
      <c r="I94" s="12"/>
      <c r="J94" s="11"/>
    </row>
    <row r="95">
      <c r="B95" s="2"/>
      <c r="C95" s="10"/>
      <c r="D95" s="11"/>
      <c r="E95" s="12"/>
      <c r="F95" s="12"/>
      <c r="I95" s="12"/>
      <c r="J95" s="11"/>
    </row>
    <row r="96">
      <c r="B96" s="2"/>
      <c r="C96" s="10"/>
      <c r="D96" s="11"/>
      <c r="E96" s="12"/>
      <c r="F96" s="12"/>
      <c r="I96" s="12"/>
      <c r="J96" s="11"/>
    </row>
    <row r="97">
      <c r="B97" s="2"/>
      <c r="C97" s="10"/>
      <c r="D97" s="11"/>
      <c r="E97" s="12"/>
      <c r="F97" s="12"/>
      <c r="I97" s="12"/>
      <c r="J97" s="11"/>
    </row>
    <row r="98">
      <c r="B98" s="2"/>
      <c r="C98" s="10"/>
      <c r="D98" s="11"/>
      <c r="E98" s="12"/>
      <c r="F98" s="12"/>
      <c r="I98" s="12"/>
      <c r="J98" s="11"/>
    </row>
    <row r="99">
      <c r="B99" s="2"/>
      <c r="C99" s="10"/>
      <c r="D99" s="11"/>
      <c r="E99" s="12"/>
      <c r="F99" s="12"/>
      <c r="I99" s="12"/>
      <c r="J99" s="11"/>
    </row>
    <row r="100">
      <c r="B100" s="2"/>
      <c r="C100" s="10"/>
      <c r="D100" s="11"/>
      <c r="E100" s="12"/>
      <c r="F100" s="12"/>
      <c r="I100" s="12"/>
      <c r="J100" s="11"/>
    </row>
    <row r="101">
      <c r="B101" s="2"/>
      <c r="C101" s="10"/>
      <c r="D101" s="11"/>
      <c r="E101" s="12"/>
      <c r="F101" s="12"/>
      <c r="I101" s="12"/>
      <c r="J101" s="11"/>
    </row>
    <row r="102">
      <c r="B102" s="2"/>
      <c r="C102" s="10"/>
      <c r="D102" s="11"/>
      <c r="E102" s="12"/>
      <c r="F102" s="12"/>
      <c r="I102" s="12"/>
      <c r="J102" s="11"/>
    </row>
    <row r="103">
      <c r="B103" s="2"/>
      <c r="C103" s="10"/>
      <c r="D103" s="11"/>
      <c r="E103" s="12"/>
      <c r="F103" s="12"/>
      <c r="I103" s="12"/>
      <c r="J103" s="11"/>
    </row>
    <row r="104">
      <c r="B104" s="2"/>
      <c r="C104" s="10"/>
      <c r="D104" s="11"/>
      <c r="E104" s="12"/>
      <c r="F104" s="12"/>
      <c r="I104" s="12"/>
      <c r="J104" s="11"/>
    </row>
    <row r="105">
      <c r="B105" s="2"/>
      <c r="C105" s="10"/>
      <c r="D105" s="11"/>
      <c r="E105" s="12"/>
      <c r="F105" s="12"/>
      <c r="I105" s="12"/>
      <c r="J105" s="11"/>
    </row>
    <row r="106">
      <c r="B106" s="2"/>
      <c r="C106" s="10"/>
      <c r="D106" s="11"/>
      <c r="E106" s="12"/>
      <c r="F106" s="12"/>
      <c r="I106" s="12"/>
      <c r="J106" s="11"/>
    </row>
    <row r="107">
      <c r="B107" s="2"/>
      <c r="C107" s="10"/>
      <c r="D107" s="11"/>
      <c r="E107" s="12"/>
      <c r="F107" s="12"/>
      <c r="I107" s="12"/>
      <c r="J107" s="11"/>
    </row>
    <row r="108">
      <c r="B108" s="2"/>
      <c r="C108" s="10"/>
      <c r="D108" s="11"/>
      <c r="E108" s="12"/>
      <c r="F108" s="12"/>
      <c r="I108" s="12"/>
      <c r="J108" s="11"/>
    </row>
    <row r="109">
      <c r="B109" s="2"/>
      <c r="C109" s="10"/>
      <c r="D109" s="11"/>
      <c r="E109" s="12"/>
      <c r="F109" s="12"/>
      <c r="I109" s="12"/>
      <c r="J109" s="11"/>
    </row>
    <row r="110">
      <c r="B110" s="2"/>
      <c r="C110" s="10"/>
      <c r="D110" s="11"/>
      <c r="E110" s="12"/>
      <c r="F110" s="12"/>
      <c r="I110" s="12"/>
      <c r="J110" s="11"/>
    </row>
    <row r="111">
      <c r="B111" s="2"/>
      <c r="C111" s="10"/>
      <c r="D111" s="11"/>
      <c r="E111" s="12"/>
      <c r="F111" s="12"/>
      <c r="I111" s="12"/>
      <c r="J111" s="11"/>
    </row>
    <row r="112">
      <c r="B112" s="2"/>
      <c r="C112" s="10"/>
      <c r="D112" s="11"/>
      <c r="E112" s="12"/>
      <c r="F112" s="12"/>
      <c r="I112" s="12"/>
      <c r="J112" s="11"/>
    </row>
    <row r="113">
      <c r="B113" s="2"/>
      <c r="C113" s="10"/>
      <c r="D113" s="11"/>
      <c r="E113" s="12"/>
      <c r="F113" s="12"/>
      <c r="I113" s="12"/>
      <c r="J113" s="11"/>
    </row>
    <row r="114">
      <c r="B114" s="2"/>
      <c r="C114" s="10"/>
      <c r="D114" s="11"/>
      <c r="E114" s="12"/>
      <c r="F114" s="12"/>
      <c r="I114" s="12"/>
      <c r="J114" s="11"/>
    </row>
    <row r="115">
      <c r="B115" s="2"/>
      <c r="C115" s="10"/>
      <c r="D115" s="11"/>
      <c r="E115" s="12"/>
      <c r="F115" s="12"/>
      <c r="I115" s="12"/>
      <c r="J115" s="11"/>
    </row>
    <row r="116">
      <c r="B116" s="2"/>
      <c r="C116" s="10"/>
      <c r="D116" s="11"/>
      <c r="E116" s="12"/>
      <c r="F116" s="12"/>
      <c r="I116" s="12"/>
      <c r="J116" s="11"/>
    </row>
    <row r="117">
      <c r="B117" s="2"/>
      <c r="C117" s="10"/>
      <c r="D117" s="11"/>
      <c r="E117" s="12"/>
      <c r="F117" s="12"/>
      <c r="I117" s="12"/>
      <c r="J117" s="11"/>
    </row>
    <row r="118">
      <c r="B118" s="2"/>
      <c r="C118" s="10"/>
      <c r="D118" s="11"/>
      <c r="E118" s="12"/>
      <c r="F118" s="12"/>
      <c r="I118" s="12"/>
      <c r="J118" s="11"/>
    </row>
    <row r="119">
      <c r="B119" s="2"/>
      <c r="C119" s="10"/>
      <c r="D119" s="11"/>
      <c r="E119" s="12"/>
      <c r="F119" s="12"/>
      <c r="I119" s="12"/>
      <c r="J119" s="11"/>
    </row>
    <row r="120">
      <c r="B120" s="2"/>
      <c r="C120" s="10"/>
      <c r="D120" s="11"/>
      <c r="E120" s="12"/>
      <c r="F120" s="12"/>
      <c r="I120" s="12"/>
      <c r="J120" s="11"/>
    </row>
    <row r="121">
      <c r="B121" s="2"/>
      <c r="C121" s="10"/>
      <c r="D121" s="11"/>
      <c r="E121" s="12"/>
      <c r="F121" s="12"/>
      <c r="I121" s="12"/>
      <c r="J121" s="11"/>
    </row>
    <row r="122">
      <c r="B122" s="2"/>
      <c r="C122" s="10"/>
      <c r="D122" s="11"/>
      <c r="E122" s="12"/>
      <c r="F122" s="12"/>
      <c r="I122" s="12"/>
      <c r="J122" s="11"/>
    </row>
    <row r="123">
      <c r="B123" s="2"/>
      <c r="C123" s="10"/>
      <c r="D123" s="11"/>
      <c r="E123" s="12"/>
      <c r="F123" s="12"/>
      <c r="I123" s="12"/>
      <c r="J123" s="11"/>
    </row>
    <row r="124">
      <c r="B124" s="2"/>
      <c r="C124" s="10"/>
      <c r="D124" s="11"/>
      <c r="E124" s="12"/>
      <c r="F124" s="12"/>
      <c r="I124" s="12"/>
      <c r="J124" s="11"/>
    </row>
    <row r="125">
      <c r="B125" s="2"/>
      <c r="C125" s="10"/>
      <c r="D125" s="11"/>
      <c r="E125" s="12"/>
      <c r="F125" s="12"/>
      <c r="I125" s="12"/>
      <c r="J125" s="11"/>
    </row>
    <row r="126">
      <c r="B126" s="2"/>
      <c r="C126" s="10"/>
      <c r="D126" s="11"/>
      <c r="E126" s="12"/>
      <c r="F126" s="12"/>
      <c r="I126" s="12"/>
      <c r="J126" s="11"/>
    </row>
    <row r="127">
      <c r="B127" s="2"/>
      <c r="C127" s="10"/>
      <c r="D127" s="11"/>
      <c r="E127" s="12"/>
      <c r="F127" s="12"/>
      <c r="I127" s="12"/>
      <c r="J127" s="11"/>
    </row>
    <row r="128">
      <c r="B128" s="2"/>
      <c r="C128" s="10"/>
      <c r="D128" s="11"/>
      <c r="E128" s="12"/>
      <c r="F128" s="12"/>
      <c r="I128" s="12"/>
      <c r="J128" s="11"/>
    </row>
    <row r="129">
      <c r="B129" s="2"/>
      <c r="C129" s="10"/>
      <c r="D129" s="11"/>
      <c r="E129" s="12"/>
      <c r="F129" s="12"/>
      <c r="I129" s="12"/>
      <c r="J129" s="11"/>
    </row>
    <row r="130">
      <c r="B130" s="2"/>
      <c r="C130" s="10"/>
      <c r="D130" s="11"/>
      <c r="E130" s="12"/>
      <c r="F130" s="12"/>
      <c r="I130" s="12"/>
      <c r="J130" s="11"/>
    </row>
    <row r="131">
      <c r="B131" s="2"/>
      <c r="C131" s="10"/>
      <c r="D131" s="11"/>
      <c r="E131" s="12"/>
      <c r="F131" s="12"/>
      <c r="I131" s="12"/>
      <c r="J131" s="11"/>
    </row>
    <row r="132">
      <c r="B132" s="2"/>
      <c r="C132" s="10"/>
      <c r="D132" s="11"/>
      <c r="E132" s="12"/>
      <c r="F132" s="12"/>
      <c r="I132" s="12"/>
      <c r="J132" s="11"/>
    </row>
    <row r="133">
      <c r="B133" s="2"/>
      <c r="C133" s="10"/>
      <c r="D133" s="11"/>
      <c r="E133" s="12"/>
      <c r="F133" s="12"/>
      <c r="I133" s="12"/>
      <c r="J133" s="11"/>
    </row>
    <row r="134">
      <c r="B134" s="2"/>
      <c r="C134" s="10"/>
      <c r="D134" s="11"/>
      <c r="E134" s="12"/>
      <c r="F134" s="12"/>
      <c r="I134" s="12"/>
      <c r="J134" s="11"/>
    </row>
    <row r="135">
      <c r="B135" s="2"/>
      <c r="C135" s="10"/>
      <c r="D135" s="11"/>
      <c r="E135" s="12"/>
      <c r="F135" s="12"/>
      <c r="I135" s="12"/>
      <c r="J135" s="11"/>
    </row>
    <row r="136">
      <c r="B136" s="2"/>
      <c r="C136" s="10"/>
      <c r="D136" s="11"/>
      <c r="E136" s="12"/>
      <c r="F136" s="12"/>
      <c r="I136" s="12"/>
      <c r="J136" s="11"/>
    </row>
    <row r="137">
      <c r="B137" s="2"/>
      <c r="C137" s="10"/>
      <c r="D137" s="11"/>
      <c r="E137" s="12"/>
      <c r="F137" s="12"/>
      <c r="I137" s="12"/>
      <c r="J137" s="11"/>
    </row>
    <row r="138">
      <c r="B138" s="2"/>
      <c r="C138" s="10"/>
      <c r="D138" s="11"/>
      <c r="E138" s="12"/>
      <c r="F138" s="12"/>
      <c r="I138" s="12"/>
      <c r="J138" s="11"/>
    </row>
    <row r="139">
      <c r="B139" s="2"/>
      <c r="C139" s="10"/>
      <c r="D139" s="11"/>
      <c r="E139" s="12"/>
      <c r="F139" s="12"/>
      <c r="I139" s="12"/>
      <c r="J139" s="11"/>
    </row>
    <row r="140">
      <c r="B140" s="2"/>
      <c r="C140" s="10"/>
      <c r="D140" s="11"/>
      <c r="E140" s="12"/>
      <c r="F140" s="12"/>
      <c r="I140" s="12"/>
      <c r="J140" s="11"/>
    </row>
    <row r="141">
      <c r="B141" s="2"/>
      <c r="C141" s="10"/>
      <c r="D141" s="11"/>
      <c r="E141" s="12"/>
      <c r="F141" s="12"/>
      <c r="I141" s="12"/>
      <c r="J141" s="11"/>
    </row>
    <row r="142">
      <c r="B142" s="2"/>
      <c r="C142" s="10"/>
      <c r="D142" s="11"/>
      <c r="E142" s="12"/>
      <c r="F142" s="12"/>
      <c r="I142" s="12"/>
      <c r="J142" s="11"/>
    </row>
    <row r="143">
      <c r="B143" s="2"/>
      <c r="C143" s="10"/>
      <c r="D143" s="11"/>
      <c r="E143" s="12"/>
      <c r="F143" s="12"/>
      <c r="I143" s="12"/>
      <c r="J143" s="11"/>
    </row>
    <row r="144">
      <c r="B144" s="2"/>
      <c r="C144" s="10"/>
      <c r="D144" s="11"/>
      <c r="E144" s="12"/>
      <c r="F144" s="12"/>
      <c r="I144" s="12"/>
      <c r="J144" s="11"/>
    </row>
    <row r="145">
      <c r="B145" s="2"/>
      <c r="C145" s="10"/>
      <c r="D145" s="11"/>
      <c r="E145" s="12"/>
      <c r="F145" s="12"/>
      <c r="I145" s="12"/>
      <c r="J145" s="11"/>
    </row>
    <row r="146">
      <c r="B146" s="2"/>
      <c r="C146" s="10"/>
      <c r="D146" s="11"/>
      <c r="E146" s="12"/>
      <c r="F146" s="12"/>
      <c r="I146" s="12"/>
      <c r="J146" s="11"/>
    </row>
    <row r="147">
      <c r="B147" s="2"/>
      <c r="C147" s="10"/>
      <c r="D147" s="11"/>
      <c r="E147" s="12"/>
      <c r="F147" s="12"/>
      <c r="I147" s="12"/>
      <c r="J147" s="11"/>
    </row>
    <row r="148">
      <c r="B148" s="2"/>
      <c r="C148" s="10"/>
      <c r="D148" s="11"/>
      <c r="E148" s="12"/>
      <c r="F148" s="12"/>
      <c r="I148" s="12"/>
      <c r="J148" s="11"/>
    </row>
    <row r="149">
      <c r="B149" s="2"/>
      <c r="C149" s="10"/>
      <c r="D149" s="11"/>
      <c r="E149" s="12"/>
      <c r="F149" s="12"/>
      <c r="I149" s="12"/>
      <c r="J149" s="11"/>
    </row>
    <row r="150">
      <c r="B150" s="2"/>
      <c r="C150" s="10"/>
      <c r="D150" s="11"/>
      <c r="E150" s="12"/>
      <c r="F150" s="12"/>
      <c r="I150" s="12"/>
      <c r="J150" s="11"/>
    </row>
    <row r="151">
      <c r="B151" s="2"/>
      <c r="C151" s="10"/>
      <c r="D151" s="11"/>
      <c r="E151" s="12"/>
      <c r="F151" s="12"/>
      <c r="I151" s="12"/>
      <c r="J151" s="11"/>
    </row>
    <row r="152">
      <c r="B152" s="2"/>
      <c r="C152" s="10"/>
      <c r="D152" s="11"/>
      <c r="E152" s="12"/>
      <c r="F152" s="12"/>
      <c r="I152" s="12"/>
      <c r="J152" s="11"/>
    </row>
    <row r="153">
      <c r="B153" s="2"/>
      <c r="C153" s="10"/>
      <c r="D153" s="11"/>
      <c r="E153" s="12"/>
      <c r="F153" s="12"/>
      <c r="I153" s="12"/>
      <c r="J153" s="11"/>
    </row>
    <row r="154">
      <c r="B154" s="2"/>
      <c r="C154" s="10"/>
      <c r="D154" s="11"/>
      <c r="E154" s="12"/>
      <c r="F154" s="12"/>
      <c r="I154" s="12"/>
      <c r="J154" s="11"/>
    </row>
    <row r="155">
      <c r="B155" s="2"/>
      <c r="C155" s="10"/>
      <c r="D155" s="11"/>
      <c r="E155" s="12"/>
      <c r="F155" s="12"/>
      <c r="I155" s="12"/>
      <c r="J155" s="11"/>
    </row>
    <row r="156">
      <c r="B156" s="2"/>
      <c r="C156" s="10"/>
      <c r="D156" s="11"/>
      <c r="E156" s="12"/>
      <c r="F156" s="12"/>
      <c r="I156" s="12"/>
      <c r="J156" s="11"/>
    </row>
    <row r="157">
      <c r="B157" s="2"/>
      <c r="C157" s="10"/>
      <c r="D157" s="11"/>
      <c r="E157" s="12"/>
      <c r="F157" s="12"/>
      <c r="I157" s="12"/>
      <c r="J157" s="11"/>
    </row>
    <row r="158">
      <c r="B158" s="2"/>
      <c r="C158" s="10"/>
      <c r="D158" s="11"/>
      <c r="E158" s="12"/>
      <c r="F158" s="12"/>
      <c r="I158" s="12"/>
      <c r="J158" s="11"/>
    </row>
    <row r="159">
      <c r="B159" s="2"/>
      <c r="C159" s="10"/>
      <c r="D159" s="11"/>
      <c r="E159" s="12"/>
      <c r="F159" s="12"/>
      <c r="I159" s="12"/>
      <c r="J159" s="11"/>
    </row>
    <row r="160">
      <c r="B160" s="2"/>
      <c r="C160" s="10"/>
      <c r="D160" s="11"/>
      <c r="E160" s="12"/>
      <c r="F160" s="12"/>
      <c r="I160" s="12"/>
      <c r="J160" s="11"/>
    </row>
    <row r="161">
      <c r="B161" s="2"/>
      <c r="C161" s="10"/>
      <c r="D161" s="11"/>
      <c r="E161" s="12"/>
      <c r="F161" s="12"/>
      <c r="I161" s="12"/>
      <c r="J161" s="11"/>
    </row>
    <row r="162">
      <c r="B162" s="2"/>
      <c r="C162" s="10"/>
      <c r="D162" s="11"/>
      <c r="E162" s="12"/>
      <c r="F162" s="12"/>
      <c r="I162" s="12"/>
      <c r="J162" s="11"/>
    </row>
    <row r="163">
      <c r="B163" s="2"/>
      <c r="C163" s="10"/>
      <c r="D163" s="11"/>
      <c r="E163" s="12"/>
      <c r="F163" s="12"/>
      <c r="I163" s="12"/>
      <c r="J163" s="11"/>
    </row>
    <row r="164">
      <c r="B164" s="2"/>
      <c r="C164" s="10"/>
      <c r="D164" s="11"/>
      <c r="E164" s="12"/>
      <c r="F164" s="12"/>
      <c r="I164" s="12"/>
      <c r="J164" s="11"/>
    </row>
    <row r="165">
      <c r="B165" s="2"/>
      <c r="C165" s="10"/>
      <c r="D165" s="11"/>
      <c r="E165" s="12"/>
      <c r="F165" s="12"/>
      <c r="I165" s="12"/>
      <c r="J165" s="11"/>
    </row>
    <row r="166">
      <c r="B166" s="2"/>
      <c r="C166" s="10"/>
      <c r="D166" s="11"/>
      <c r="E166" s="12"/>
      <c r="F166" s="12"/>
      <c r="I166" s="12"/>
      <c r="J166" s="11"/>
    </row>
    <row r="167">
      <c r="B167" s="2"/>
      <c r="C167" s="10"/>
      <c r="D167" s="11"/>
      <c r="E167" s="12"/>
      <c r="F167" s="12"/>
      <c r="I167" s="12"/>
      <c r="J167" s="11"/>
    </row>
    <row r="168">
      <c r="B168" s="2"/>
      <c r="C168" s="10"/>
      <c r="D168" s="11"/>
      <c r="E168" s="12"/>
      <c r="F168" s="12"/>
      <c r="I168" s="12"/>
      <c r="J168" s="11"/>
    </row>
    <row r="169">
      <c r="B169" s="2"/>
      <c r="C169" s="10"/>
      <c r="D169" s="11"/>
      <c r="E169" s="12"/>
      <c r="F169" s="12"/>
      <c r="I169" s="12"/>
      <c r="J169" s="11"/>
    </row>
    <row r="170">
      <c r="B170" s="2"/>
      <c r="C170" s="10"/>
      <c r="D170" s="11"/>
      <c r="E170" s="12"/>
      <c r="F170" s="12"/>
      <c r="I170" s="12"/>
      <c r="J170" s="11"/>
    </row>
    <row r="171">
      <c r="B171" s="2"/>
      <c r="C171" s="10"/>
      <c r="D171" s="11"/>
      <c r="E171" s="12"/>
      <c r="F171" s="12"/>
      <c r="I171" s="12"/>
      <c r="J171" s="11"/>
    </row>
    <row r="172">
      <c r="B172" s="2"/>
      <c r="C172" s="10"/>
      <c r="D172" s="11"/>
      <c r="E172" s="12"/>
      <c r="F172" s="12"/>
      <c r="I172" s="12"/>
      <c r="J172" s="11"/>
    </row>
    <row r="173">
      <c r="B173" s="2"/>
      <c r="C173" s="10"/>
      <c r="D173" s="11"/>
      <c r="E173" s="12"/>
      <c r="F173" s="12"/>
      <c r="I173" s="12"/>
      <c r="J173" s="11"/>
    </row>
    <row r="174">
      <c r="B174" s="2"/>
      <c r="C174" s="10"/>
      <c r="D174" s="11"/>
      <c r="E174" s="12"/>
      <c r="F174" s="12"/>
      <c r="I174" s="12"/>
      <c r="J174" s="11"/>
    </row>
    <row r="175">
      <c r="B175" s="2"/>
      <c r="C175" s="10"/>
      <c r="D175" s="11"/>
      <c r="E175" s="12"/>
      <c r="F175" s="12"/>
      <c r="I175" s="12"/>
      <c r="J175" s="11"/>
    </row>
    <row r="176">
      <c r="B176" s="2"/>
      <c r="C176" s="10"/>
      <c r="D176" s="11"/>
      <c r="E176" s="12"/>
      <c r="F176" s="12"/>
      <c r="I176" s="12"/>
      <c r="J176" s="11"/>
    </row>
    <row r="177">
      <c r="B177" s="2"/>
      <c r="C177" s="10"/>
      <c r="D177" s="11"/>
      <c r="E177" s="12"/>
      <c r="F177" s="12"/>
      <c r="I177" s="12"/>
      <c r="J177" s="11"/>
    </row>
    <row r="178">
      <c r="B178" s="2"/>
      <c r="C178" s="10"/>
      <c r="D178" s="11"/>
      <c r="E178" s="12"/>
      <c r="F178" s="12"/>
      <c r="I178" s="12"/>
      <c r="J178" s="11"/>
    </row>
    <row r="179">
      <c r="B179" s="2"/>
      <c r="C179" s="10"/>
      <c r="D179" s="11"/>
      <c r="E179" s="12"/>
      <c r="F179" s="12"/>
      <c r="I179" s="12"/>
      <c r="J179" s="11"/>
    </row>
    <row r="180">
      <c r="B180" s="2"/>
      <c r="C180" s="10"/>
      <c r="D180" s="11"/>
      <c r="E180" s="12"/>
      <c r="F180" s="12"/>
      <c r="I180" s="12"/>
      <c r="J180" s="11"/>
    </row>
    <row r="181">
      <c r="B181" s="2"/>
      <c r="C181" s="10"/>
      <c r="D181" s="11"/>
      <c r="E181" s="12"/>
      <c r="F181" s="12"/>
      <c r="I181" s="12"/>
      <c r="J181" s="11"/>
    </row>
    <row r="182">
      <c r="B182" s="2"/>
      <c r="C182" s="10"/>
      <c r="D182" s="11"/>
      <c r="E182" s="12"/>
      <c r="F182" s="12"/>
      <c r="I182" s="12"/>
      <c r="J182" s="11"/>
    </row>
    <row r="183">
      <c r="B183" s="2"/>
      <c r="C183" s="10"/>
      <c r="D183" s="11"/>
      <c r="E183" s="12"/>
      <c r="F183" s="12"/>
      <c r="I183" s="12"/>
      <c r="J183" s="11"/>
    </row>
    <row r="184">
      <c r="B184" s="2"/>
      <c r="C184" s="10"/>
      <c r="D184" s="11"/>
      <c r="E184" s="12"/>
      <c r="F184" s="12"/>
      <c r="I184" s="12"/>
      <c r="J184" s="11"/>
    </row>
    <row r="185">
      <c r="B185" s="2"/>
      <c r="C185" s="10"/>
      <c r="D185" s="11"/>
      <c r="E185" s="12"/>
      <c r="F185" s="12"/>
      <c r="I185" s="12"/>
      <c r="J185" s="11"/>
    </row>
    <row r="186">
      <c r="B186" s="2"/>
      <c r="C186" s="10"/>
      <c r="D186" s="11"/>
      <c r="E186" s="12"/>
      <c r="F186" s="12"/>
      <c r="I186" s="12"/>
      <c r="J186" s="11"/>
    </row>
    <row r="187">
      <c r="B187" s="2"/>
      <c r="C187" s="10"/>
      <c r="D187" s="11"/>
      <c r="E187" s="12"/>
      <c r="F187" s="12"/>
      <c r="I187" s="12"/>
      <c r="J187" s="11"/>
    </row>
    <row r="188">
      <c r="B188" s="2"/>
      <c r="C188" s="10"/>
      <c r="D188" s="11"/>
      <c r="E188" s="12"/>
      <c r="F188" s="12"/>
      <c r="I188" s="12"/>
      <c r="J188" s="11"/>
    </row>
    <row r="189">
      <c r="B189" s="2"/>
      <c r="C189" s="10"/>
      <c r="D189" s="11"/>
      <c r="E189" s="12"/>
      <c r="F189" s="12"/>
      <c r="I189" s="12"/>
      <c r="J189" s="11"/>
    </row>
    <row r="190">
      <c r="B190" s="2"/>
      <c r="C190" s="10"/>
      <c r="D190" s="11"/>
      <c r="E190" s="12"/>
      <c r="F190" s="12"/>
      <c r="I190" s="12"/>
      <c r="J190" s="11"/>
    </row>
    <row r="191">
      <c r="B191" s="2"/>
      <c r="C191" s="10"/>
      <c r="D191" s="11"/>
      <c r="E191" s="12"/>
      <c r="F191" s="12"/>
      <c r="I191" s="12"/>
      <c r="J191" s="11"/>
    </row>
    <row r="192">
      <c r="B192" s="2"/>
      <c r="C192" s="10"/>
      <c r="D192" s="11"/>
      <c r="E192" s="12"/>
      <c r="F192" s="12"/>
      <c r="I192" s="12"/>
      <c r="J192" s="11"/>
    </row>
    <row r="193">
      <c r="B193" s="2"/>
      <c r="C193" s="10"/>
      <c r="D193" s="11"/>
      <c r="E193" s="12"/>
      <c r="F193" s="12"/>
      <c r="I193" s="12"/>
      <c r="J193" s="11"/>
    </row>
    <row r="194">
      <c r="B194" s="2"/>
      <c r="C194" s="10"/>
      <c r="D194" s="11"/>
      <c r="E194" s="12"/>
      <c r="F194" s="12"/>
      <c r="I194" s="12"/>
      <c r="J194" s="11"/>
    </row>
    <row r="195">
      <c r="B195" s="2"/>
      <c r="C195" s="10"/>
      <c r="D195" s="11"/>
      <c r="E195" s="12"/>
      <c r="F195" s="12"/>
      <c r="I195" s="12"/>
      <c r="J195" s="11"/>
    </row>
    <row r="196">
      <c r="B196" s="2"/>
      <c r="C196" s="10"/>
      <c r="D196" s="11"/>
      <c r="E196" s="12"/>
      <c r="F196" s="12"/>
      <c r="I196" s="12"/>
      <c r="J196" s="11"/>
    </row>
    <row r="197">
      <c r="B197" s="2"/>
      <c r="C197" s="10"/>
      <c r="D197" s="11"/>
      <c r="E197" s="12"/>
      <c r="F197" s="12"/>
      <c r="I197" s="12"/>
      <c r="J197" s="11"/>
    </row>
    <row r="198">
      <c r="B198" s="2"/>
      <c r="C198" s="10"/>
      <c r="D198" s="11"/>
      <c r="E198" s="12"/>
      <c r="F198" s="12"/>
      <c r="I198" s="12"/>
      <c r="J198" s="11"/>
    </row>
    <row r="199">
      <c r="B199" s="2"/>
      <c r="C199" s="10"/>
      <c r="D199" s="11"/>
      <c r="E199" s="12"/>
      <c r="F199" s="12"/>
      <c r="I199" s="12"/>
      <c r="J199" s="11"/>
    </row>
    <row r="200">
      <c r="B200" s="2"/>
      <c r="C200" s="10"/>
      <c r="D200" s="11"/>
      <c r="E200" s="12"/>
      <c r="F200" s="12"/>
      <c r="I200" s="12"/>
      <c r="J200" s="11"/>
    </row>
    <row r="201">
      <c r="B201" s="2"/>
      <c r="C201" s="10"/>
      <c r="D201" s="11"/>
      <c r="E201" s="12"/>
      <c r="F201" s="12"/>
      <c r="I201" s="12"/>
      <c r="J201" s="11"/>
    </row>
    <row r="202">
      <c r="B202" s="2"/>
      <c r="C202" s="10"/>
      <c r="D202" s="11"/>
      <c r="E202" s="12"/>
      <c r="F202" s="12"/>
      <c r="I202" s="12"/>
      <c r="J202" s="11"/>
    </row>
    <row r="203">
      <c r="B203" s="2"/>
      <c r="C203" s="10"/>
      <c r="D203" s="11"/>
      <c r="E203" s="12"/>
      <c r="F203" s="12"/>
      <c r="I203" s="12"/>
      <c r="J203" s="11"/>
    </row>
    <row r="204">
      <c r="B204" s="2"/>
      <c r="C204" s="10"/>
      <c r="D204" s="11"/>
      <c r="E204" s="12"/>
      <c r="F204" s="12"/>
      <c r="I204" s="12"/>
      <c r="J204" s="11"/>
    </row>
    <row r="205">
      <c r="B205" s="2"/>
      <c r="C205" s="10"/>
      <c r="D205" s="11"/>
      <c r="E205" s="12"/>
      <c r="F205" s="12"/>
      <c r="I205" s="12"/>
      <c r="J205" s="11"/>
    </row>
    <row r="206">
      <c r="B206" s="2"/>
      <c r="C206" s="10"/>
      <c r="D206" s="11"/>
      <c r="E206" s="12"/>
      <c r="F206" s="12"/>
      <c r="I206" s="12"/>
      <c r="J206" s="11"/>
    </row>
    <row r="207">
      <c r="B207" s="2"/>
      <c r="C207" s="10"/>
      <c r="D207" s="11"/>
      <c r="E207" s="12"/>
      <c r="F207" s="12"/>
      <c r="I207" s="12"/>
      <c r="J207" s="11"/>
    </row>
    <row r="208">
      <c r="B208" s="2"/>
      <c r="C208" s="10"/>
      <c r="D208" s="11"/>
      <c r="E208" s="12"/>
      <c r="F208" s="12"/>
      <c r="I208" s="12"/>
      <c r="J208" s="11"/>
    </row>
    <row r="209">
      <c r="B209" s="2"/>
      <c r="C209" s="10"/>
      <c r="D209" s="11"/>
      <c r="E209" s="12"/>
      <c r="F209" s="12"/>
      <c r="I209" s="12"/>
      <c r="J209" s="11"/>
    </row>
    <row r="210">
      <c r="B210" s="2"/>
      <c r="C210" s="10"/>
      <c r="D210" s="11"/>
      <c r="E210" s="12"/>
      <c r="F210" s="12"/>
      <c r="I210" s="12"/>
      <c r="J210" s="11"/>
    </row>
    <row r="211">
      <c r="B211" s="2"/>
      <c r="C211" s="10"/>
      <c r="D211" s="11"/>
      <c r="E211" s="12"/>
      <c r="F211" s="12"/>
      <c r="I211" s="12"/>
      <c r="J211" s="11"/>
    </row>
    <row r="212">
      <c r="B212" s="2"/>
      <c r="C212" s="10"/>
      <c r="D212" s="11"/>
      <c r="E212" s="12"/>
      <c r="F212" s="12"/>
      <c r="I212" s="12"/>
      <c r="J212" s="11"/>
    </row>
    <row r="213">
      <c r="B213" s="2"/>
      <c r="C213" s="10"/>
      <c r="D213" s="11"/>
      <c r="E213" s="12"/>
      <c r="F213" s="12"/>
      <c r="I213" s="12"/>
      <c r="J213" s="11"/>
    </row>
    <row r="214">
      <c r="B214" s="2"/>
      <c r="C214" s="10"/>
      <c r="D214" s="11"/>
      <c r="E214" s="12"/>
      <c r="F214" s="12"/>
      <c r="I214" s="12"/>
      <c r="J214" s="11"/>
    </row>
    <row r="215">
      <c r="B215" s="2"/>
      <c r="C215" s="10"/>
      <c r="D215" s="11"/>
      <c r="E215" s="12"/>
      <c r="F215" s="12"/>
      <c r="I215" s="12"/>
      <c r="J215" s="11"/>
    </row>
    <row r="216">
      <c r="B216" s="2"/>
      <c r="C216" s="10"/>
      <c r="D216" s="11"/>
      <c r="E216" s="12"/>
      <c r="F216" s="12"/>
      <c r="I216" s="12"/>
      <c r="J216" s="11"/>
    </row>
    <row r="217">
      <c r="B217" s="2"/>
      <c r="C217" s="10"/>
      <c r="D217" s="11"/>
      <c r="E217" s="12"/>
      <c r="F217" s="12"/>
      <c r="I217" s="12"/>
      <c r="J217" s="11"/>
    </row>
    <row r="218">
      <c r="B218" s="2"/>
      <c r="C218" s="10"/>
      <c r="D218" s="11"/>
      <c r="E218" s="12"/>
      <c r="F218" s="12"/>
      <c r="I218" s="12"/>
      <c r="J218" s="11"/>
    </row>
    <row r="219">
      <c r="B219" s="2"/>
      <c r="C219" s="10"/>
      <c r="D219" s="11"/>
      <c r="E219" s="12"/>
      <c r="F219" s="12"/>
      <c r="I219" s="12"/>
      <c r="J219" s="11"/>
    </row>
    <row r="220">
      <c r="B220" s="2"/>
      <c r="C220" s="10"/>
      <c r="D220" s="11"/>
      <c r="E220" s="12"/>
      <c r="F220" s="12"/>
      <c r="I220" s="12"/>
      <c r="J220" s="11"/>
    </row>
    <row r="221">
      <c r="B221" s="2"/>
      <c r="C221" s="10"/>
      <c r="D221" s="11"/>
      <c r="E221" s="12"/>
      <c r="F221" s="12"/>
      <c r="I221" s="12"/>
      <c r="J221" s="11"/>
    </row>
    <row r="222">
      <c r="B222" s="2"/>
      <c r="C222" s="10"/>
      <c r="D222" s="11"/>
      <c r="E222" s="12"/>
      <c r="F222" s="12"/>
      <c r="I222" s="12"/>
      <c r="J222" s="11"/>
    </row>
    <row r="223">
      <c r="B223" s="2"/>
      <c r="C223" s="10"/>
      <c r="D223" s="11"/>
      <c r="E223" s="12"/>
      <c r="F223" s="12"/>
      <c r="I223" s="12"/>
      <c r="J223" s="11"/>
    </row>
    <row r="224">
      <c r="B224" s="2"/>
      <c r="C224" s="10"/>
      <c r="D224" s="11"/>
      <c r="E224" s="12"/>
      <c r="F224" s="12"/>
      <c r="I224" s="12"/>
      <c r="J224" s="11"/>
    </row>
    <row r="225">
      <c r="B225" s="2"/>
      <c r="C225" s="10"/>
      <c r="D225" s="11"/>
      <c r="E225" s="12"/>
      <c r="F225" s="12"/>
      <c r="I225" s="12"/>
      <c r="J225" s="11"/>
    </row>
    <row r="226">
      <c r="B226" s="2"/>
      <c r="C226" s="10"/>
      <c r="D226" s="11"/>
      <c r="E226" s="12"/>
      <c r="F226" s="12"/>
      <c r="I226" s="12"/>
      <c r="J226" s="11"/>
    </row>
    <row r="227">
      <c r="B227" s="2"/>
      <c r="C227" s="10"/>
      <c r="D227" s="11"/>
      <c r="E227" s="12"/>
      <c r="F227" s="12"/>
      <c r="I227" s="12"/>
      <c r="J227" s="11"/>
    </row>
    <row r="228">
      <c r="B228" s="2"/>
      <c r="C228" s="10"/>
      <c r="D228" s="11"/>
      <c r="E228" s="12"/>
      <c r="F228" s="12"/>
      <c r="I228" s="12"/>
      <c r="J228" s="11"/>
    </row>
    <row r="229">
      <c r="B229" s="2"/>
      <c r="C229" s="10"/>
      <c r="D229" s="11"/>
      <c r="E229" s="12"/>
      <c r="F229" s="12"/>
      <c r="I229" s="12"/>
      <c r="J229" s="11"/>
    </row>
    <row r="230">
      <c r="B230" s="2"/>
      <c r="C230" s="10"/>
      <c r="D230" s="11"/>
      <c r="E230" s="12"/>
      <c r="F230" s="12"/>
      <c r="I230" s="12"/>
      <c r="J230" s="11"/>
    </row>
    <row r="231">
      <c r="B231" s="2"/>
      <c r="C231" s="10"/>
      <c r="D231" s="11"/>
      <c r="E231" s="12"/>
      <c r="F231" s="12"/>
      <c r="I231" s="12"/>
      <c r="J231" s="11"/>
    </row>
    <row r="232">
      <c r="B232" s="2"/>
      <c r="C232" s="10"/>
      <c r="D232" s="11"/>
      <c r="E232" s="12"/>
      <c r="F232" s="12"/>
      <c r="I232" s="12"/>
      <c r="J232" s="11"/>
    </row>
    <row r="233">
      <c r="B233" s="2"/>
      <c r="C233" s="10"/>
      <c r="D233" s="11"/>
      <c r="E233" s="12"/>
      <c r="F233" s="12"/>
      <c r="I233" s="12"/>
      <c r="J233" s="11"/>
    </row>
    <row r="234">
      <c r="B234" s="2"/>
      <c r="C234" s="10"/>
      <c r="D234" s="11"/>
      <c r="E234" s="12"/>
      <c r="F234" s="12"/>
      <c r="I234" s="12"/>
      <c r="J234" s="11"/>
    </row>
    <row r="235">
      <c r="B235" s="2"/>
      <c r="C235" s="10"/>
      <c r="D235" s="11"/>
      <c r="E235" s="12"/>
      <c r="F235" s="12"/>
      <c r="I235" s="12"/>
      <c r="J235" s="11"/>
    </row>
    <row r="236">
      <c r="B236" s="2"/>
      <c r="C236" s="10"/>
      <c r="D236" s="11"/>
      <c r="E236" s="12"/>
      <c r="F236" s="12"/>
      <c r="I236" s="12"/>
      <c r="J236" s="11"/>
    </row>
    <row r="237">
      <c r="B237" s="2"/>
      <c r="C237" s="10"/>
      <c r="D237" s="11"/>
      <c r="E237" s="12"/>
      <c r="F237" s="12"/>
      <c r="I237" s="12"/>
      <c r="J237" s="11"/>
    </row>
    <row r="238">
      <c r="B238" s="2"/>
      <c r="C238" s="10"/>
      <c r="D238" s="11"/>
      <c r="E238" s="12"/>
      <c r="F238" s="12"/>
      <c r="I238" s="12"/>
      <c r="J238" s="11"/>
    </row>
    <row r="239">
      <c r="B239" s="2"/>
      <c r="C239" s="10"/>
      <c r="D239" s="11"/>
      <c r="E239" s="12"/>
      <c r="F239" s="12"/>
      <c r="I239" s="12"/>
      <c r="J239" s="11"/>
    </row>
    <row r="240">
      <c r="B240" s="2"/>
      <c r="C240" s="10"/>
      <c r="D240" s="11"/>
      <c r="E240" s="12"/>
      <c r="F240" s="12"/>
      <c r="I240" s="12"/>
      <c r="J240" s="11"/>
    </row>
    <row r="241">
      <c r="B241" s="2"/>
      <c r="C241" s="10"/>
      <c r="D241" s="11"/>
      <c r="E241" s="12"/>
      <c r="F241" s="12"/>
      <c r="I241" s="12"/>
      <c r="J241" s="11"/>
    </row>
    <row r="242">
      <c r="B242" s="2"/>
      <c r="C242" s="10"/>
      <c r="D242" s="11"/>
      <c r="E242" s="12"/>
      <c r="F242" s="12"/>
      <c r="I242" s="12"/>
      <c r="J242" s="11"/>
    </row>
    <row r="243">
      <c r="B243" s="2"/>
      <c r="C243" s="10"/>
      <c r="D243" s="11"/>
      <c r="E243" s="12"/>
      <c r="F243" s="12"/>
      <c r="I243" s="12"/>
      <c r="J243" s="11"/>
    </row>
    <row r="244">
      <c r="B244" s="2"/>
      <c r="C244" s="10"/>
      <c r="D244" s="11"/>
      <c r="E244" s="12"/>
      <c r="F244" s="12"/>
      <c r="I244" s="12"/>
      <c r="J244" s="11"/>
    </row>
    <row r="245">
      <c r="B245" s="2"/>
      <c r="C245" s="10"/>
      <c r="D245" s="11"/>
      <c r="E245" s="12"/>
      <c r="F245" s="12"/>
      <c r="I245" s="12"/>
      <c r="J245" s="11"/>
    </row>
    <row r="246">
      <c r="B246" s="2"/>
      <c r="C246" s="10"/>
      <c r="D246" s="11"/>
      <c r="E246" s="12"/>
      <c r="F246" s="12"/>
      <c r="I246" s="12"/>
      <c r="J246" s="11"/>
    </row>
    <row r="247">
      <c r="B247" s="2"/>
      <c r="C247" s="10"/>
      <c r="D247" s="11"/>
      <c r="E247" s="12"/>
      <c r="F247" s="12"/>
      <c r="I247" s="12"/>
      <c r="J247" s="11"/>
    </row>
    <row r="248">
      <c r="B248" s="2"/>
      <c r="C248" s="10"/>
      <c r="D248" s="11"/>
      <c r="E248" s="12"/>
      <c r="F248" s="12"/>
      <c r="I248" s="12"/>
      <c r="J248" s="11"/>
    </row>
    <row r="249">
      <c r="B249" s="2"/>
      <c r="C249" s="10"/>
      <c r="D249" s="11"/>
      <c r="E249" s="12"/>
      <c r="F249" s="12"/>
      <c r="I249" s="12"/>
      <c r="J249" s="11"/>
    </row>
    <row r="250">
      <c r="B250" s="2"/>
      <c r="C250" s="10"/>
      <c r="D250" s="11"/>
      <c r="E250" s="12"/>
      <c r="F250" s="12"/>
      <c r="I250" s="12"/>
      <c r="J250" s="11"/>
    </row>
    <row r="251">
      <c r="B251" s="2"/>
      <c r="C251" s="10"/>
      <c r="D251" s="11"/>
      <c r="E251" s="12"/>
      <c r="F251" s="12"/>
      <c r="I251" s="12"/>
      <c r="J251" s="11"/>
    </row>
    <row r="252">
      <c r="B252" s="2"/>
      <c r="C252" s="10"/>
      <c r="D252" s="11"/>
      <c r="E252" s="12"/>
      <c r="F252" s="12"/>
      <c r="I252" s="12"/>
      <c r="J252" s="11"/>
    </row>
    <row r="253">
      <c r="B253" s="2"/>
      <c r="C253" s="10"/>
      <c r="D253" s="11"/>
      <c r="E253" s="12"/>
      <c r="F253" s="12"/>
      <c r="I253" s="12"/>
      <c r="J253" s="11"/>
    </row>
    <row r="254">
      <c r="B254" s="2"/>
      <c r="C254" s="10"/>
      <c r="D254" s="11"/>
      <c r="E254" s="12"/>
      <c r="F254" s="12"/>
      <c r="I254" s="12"/>
      <c r="J254" s="11"/>
    </row>
    <row r="255">
      <c r="B255" s="2"/>
      <c r="C255" s="10"/>
      <c r="D255" s="11"/>
      <c r="E255" s="12"/>
      <c r="F255" s="12"/>
      <c r="I255" s="12"/>
      <c r="J255" s="11"/>
    </row>
    <row r="256">
      <c r="B256" s="2"/>
      <c r="C256" s="10"/>
      <c r="D256" s="11"/>
      <c r="E256" s="12"/>
      <c r="F256" s="12"/>
      <c r="I256" s="12"/>
      <c r="J256" s="11"/>
    </row>
    <row r="257">
      <c r="B257" s="2"/>
      <c r="C257" s="10"/>
      <c r="D257" s="11"/>
      <c r="E257" s="12"/>
      <c r="F257" s="12"/>
      <c r="I257" s="12"/>
      <c r="J257" s="11"/>
    </row>
    <row r="258">
      <c r="B258" s="2"/>
      <c r="C258" s="10"/>
      <c r="D258" s="11"/>
      <c r="E258" s="12"/>
      <c r="F258" s="12"/>
      <c r="I258" s="12"/>
      <c r="J258" s="11"/>
    </row>
    <row r="259">
      <c r="B259" s="2"/>
      <c r="C259" s="10"/>
      <c r="D259" s="11"/>
      <c r="E259" s="12"/>
      <c r="F259" s="12"/>
      <c r="I259" s="12"/>
      <c r="J259" s="11"/>
    </row>
    <row r="260">
      <c r="B260" s="2"/>
      <c r="C260" s="10"/>
      <c r="D260" s="11"/>
      <c r="E260" s="12"/>
      <c r="F260" s="12"/>
      <c r="I260" s="12"/>
      <c r="J260" s="11"/>
    </row>
    <row r="261">
      <c r="B261" s="2"/>
      <c r="C261" s="10"/>
      <c r="D261" s="11"/>
      <c r="E261" s="12"/>
      <c r="F261" s="12"/>
      <c r="I261" s="12"/>
      <c r="J261" s="11"/>
    </row>
    <row r="262">
      <c r="B262" s="2"/>
      <c r="C262" s="10"/>
      <c r="D262" s="11"/>
      <c r="E262" s="12"/>
      <c r="F262" s="12"/>
      <c r="I262" s="12"/>
      <c r="J262" s="11"/>
    </row>
    <row r="263">
      <c r="B263" s="2"/>
      <c r="C263" s="10"/>
      <c r="D263" s="11"/>
      <c r="E263" s="12"/>
      <c r="F263" s="12"/>
      <c r="I263" s="12"/>
      <c r="J263" s="11"/>
    </row>
    <row r="264">
      <c r="B264" s="2"/>
      <c r="C264" s="10"/>
      <c r="D264" s="11"/>
      <c r="E264" s="12"/>
      <c r="F264" s="12"/>
      <c r="I264" s="12"/>
      <c r="J264" s="11"/>
    </row>
    <row r="265">
      <c r="B265" s="2"/>
      <c r="C265" s="10"/>
      <c r="D265" s="11"/>
      <c r="E265" s="12"/>
      <c r="F265" s="12"/>
      <c r="I265" s="12"/>
      <c r="J265" s="11"/>
    </row>
    <row r="266">
      <c r="B266" s="2"/>
      <c r="C266" s="10"/>
      <c r="D266" s="11"/>
      <c r="E266" s="12"/>
      <c r="F266" s="12"/>
      <c r="I266" s="12"/>
      <c r="J266" s="11"/>
    </row>
    <row r="267">
      <c r="B267" s="2"/>
      <c r="C267" s="10"/>
      <c r="D267" s="11"/>
      <c r="E267" s="12"/>
      <c r="F267" s="12"/>
      <c r="I267" s="12"/>
      <c r="J267" s="11"/>
    </row>
    <row r="268">
      <c r="B268" s="2"/>
      <c r="C268" s="10"/>
      <c r="D268" s="11"/>
      <c r="E268" s="12"/>
      <c r="F268" s="12"/>
      <c r="I268" s="12"/>
      <c r="J268" s="11"/>
    </row>
    <row r="269">
      <c r="B269" s="2"/>
      <c r="C269" s="10"/>
      <c r="D269" s="11"/>
      <c r="E269" s="12"/>
      <c r="F269" s="12"/>
      <c r="I269" s="12"/>
      <c r="J269" s="11"/>
    </row>
    <row r="270">
      <c r="B270" s="2"/>
      <c r="C270" s="10"/>
      <c r="D270" s="11"/>
      <c r="E270" s="12"/>
      <c r="F270" s="12"/>
      <c r="I270" s="12"/>
      <c r="J270" s="11"/>
    </row>
    <row r="271">
      <c r="B271" s="2"/>
      <c r="C271" s="10"/>
      <c r="D271" s="11"/>
      <c r="E271" s="12"/>
      <c r="F271" s="12"/>
      <c r="I271" s="12"/>
      <c r="J271" s="11"/>
    </row>
    <row r="272">
      <c r="B272" s="2"/>
      <c r="C272" s="10"/>
      <c r="D272" s="11"/>
      <c r="E272" s="12"/>
      <c r="F272" s="12"/>
      <c r="I272" s="12"/>
      <c r="J272" s="11"/>
    </row>
    <row r="273">
      <c r="B273" s="2"/>
      <c r="C273" s="10"/>
      <c r="D273" s="11"/>
      <c r="E273" s="12"/>
      <c r="F273" s="12"/>
      <c r="I273" s="12"/>
      <c r="J273" s="11"/>
    </row>
    <row r="274">
      <c r="B274" s="2"/>
      <c r="C274" s="10"/>
      <c r="D274" s="11"/>
      <c r="E274" s="12"/>
      <c r="F274" s="12"/>
      <c r="I274" s="12"/>
      <c r="J274" s="11"/>
    </row>
    <row r="275">
      <c r="B275" s="2"/>
      <c r="C275" s="10"/>
      <c r="D275" s="11"/>
      <c r="E275" s="12"/>
      <c r="F275" s="12"/>
      <c r="I275" s="12"/>
      <c r="J275" s="11"/>
    </row>
    <row r="276">
      <c r="B276" s="2"/>
      <c r="C276" s="10"/>
      <c r="D276" s="11"/>
      <c r="E276" s="12"/>
      <c r="F276" s="12"/>
      <c r="I276" s="12"/>
      <c r="J276" s="11"/>
    </row>
    <row r="277">
      <c r="B277" s="2"/>
      <c r="C277" s="10"/>
      <c r="D277" s="11"/>
      <c r="E277" s="12"/>
      <c r="F277" s="12"/>
      <c r="I277" s="12"/>
      <c r="J277" s="11"/>
    </row>
    <row r="278">
      <c r="B278" s="2"/>
      <c r="C278" s="10"/>
      <c r="D278" s="11"/>
      <c r="E278" s="12"/>
      <c r="F278" s="12"/>
      <c r="I278" s="12"/>
      <c r="J278" s="11"/>
    </row>
    <row r="279">
      <c r="B279" s="2"/>
      <c r="C279" s="10"/>
      <c r="D279" s="11"/>
      <c r="E279" s="12"/>
      <c r="F279" s="12"/>
      <c r="I279" s="12"/>
      <c r="J279" s="11"/>
    </row>
    <row r="280">
      <c r="B280" s="2"/>
      <c r="C280" s="10"/>
      <c r="D280" s="11"/>
      <c r="E280" s="12"/>
      <c r="F280" s="12"/>
      <c r="I280" s="12"/>
      <c r="J280" s="11"/>
    </row>
    <row r="281">
      <c r="B281" s="2"/>
      <c r="C281" s="10"/>
      <c r="D281" s="11"/>
      <c r="E281" s="12"/>
      <c r="F281" s="12"/>
      <c r="I281" s="12"/>
      <c r="J281" s="11"/>
    </row>
    <row r="282">
      <c r="B282" s="2"/>
      <c r="C282" s="10"/>
      <c r="D282" s="11"/>
      <c r="E282" s="12"/>
      <c r="F282" s="12"/>
      <c r="I282" s="12"/>
      <c r="J282" s="11"/>
    </row>
    <row r="283">
      <c r="B283" s="2"/>
      <c r="C283" s="10"/>
      <c r="D283" s="11"/>
      <c r="E283" s="12"/>
      <c r="F283" s="12"/>
      <c r="I283" s="12"/>
      <c r="J283" s="11"/>
    </row>
    <row r="284">
      <c r="B284" s="2"/>
      <c r="C284" s="10"/>
      <c r="D284" s="11"/>
      <c r="E284" s="12"/>
      <c r="F284" s="12"/>
      <c r="I284" s="12"/>
      <c r="J284" s="11"/>
    </row>
    <row r="285">
      <c r="B285" s="2"/>
      <c r="C285" s="10"/>
      <c r="D285" s="11"/>
      <c r="E285" s="12"/>
      <c r="F285" s="12"/>
      <c r="I285" s="12"/>
      <c r="J285" s="11"/>
    </row>
    <row r="286">
      <c r="B286" s="2"/>
      <c r="C286" s="10"/>
      <c r="D286" s="11"/>
      <c r="E286" s="12"/>
      <c r="F286" s="12"/>
      <c r="I286" s="12"/>
      <c r="J286" s="11"/>
    </row>
    <row r="287">
      <c r="B287" s="2"/>
      <c r="C287" s="10"/>
      <c r="D287" s="11"/>
      <c r="E287" s="12"/>
      <c r="F287" s="12"/>
      <c r="I287" s="12"/>
      <c r="J287" s="11"/>
    </row>
    <row r="288">
      <c r="B288" s="2"/>
      <c r="C288" s="10"/>
      <c r="D288" s="11"/>
      <c r="E288" s="12"/>
      <c r="F288" s="12"/>
      <c r="I288" s="12"/>
      <c r="J288" s="11"/>
    </row>
    <row r="289">
      <c r="B289" s="2"/>
      <c r="C289" s="10"/>
      <c r="D289" s="11"/>
      <c r="E289" s="12"/>
      <c r="F289" s="12"/>
      <c r="I289" s="12"/>
      <c r="J289" s="11"/>
    </row>
    <row r="290">
      <c r="B290" s="2"/>
      <c r="C290" s="10"/>
      <c r="D290" s="11"/>
      <c r="E290" s="12"/>
      <c r="F290" s="12"/>
      <c r="I290" s="12"/>
      <c r="J290" s="11"/>
    </row>
    <row r="291">
      <c r="B291" s="2"/>
      <c r="C291" s="10"/>
      <c r="D291" s="11"/>
      <c r="E291" s="12"/>
      <c r="F291" s="12"/>
      <c r="I291" s="12"/>
      <c r="J291" s="11"/>
    </row>
    <row r="292">
      <c r="B292" s="2"/>
      <c r="C292" s="10"/>
      <c r="D292" s="11"/>
      <c r="E292" s="12"/>
      <c r="F292" s="12"/>
      <c r="I292" s="12"/>
      <c r="J292" s="11"/>
    </row>
    <row r="293">
      <c r="B293" s="2"/>
      <c r="C293" s="10"/>
      <c r="D293" s="11"/>
      <c r="E293" s="12"/>
      <c r="F293" s="12"/>
      <c r="I293" s="12"/>
      <c r="J293" s="11"/>
    </row>
    <row r="294">
      <c r="B294" s="2"/>
      <c r="C294" s="10"/>
      <c r="D294" s="11"/>
      <c r="E294" s="12"/>
      <c r="F294" s="12"/>
      <c r="I294" s="12"/>
      <c r="J294" s="11"/>
    </row>
    <row r="295">
      <c r="B295" s="2"/>
      <c r="C295" s="10"/>
      <c r="D295" s="11"/>
      <c r="E295" s="12"/>
      <c r="F295" s="12"/>
      <c r="I295" s="12"/>
      <c r="J295" s="11"/>
    </row>
    <row r="296">
      <c r="B296" s="2"/>
      <c r="C296" s="10"/>
      <c r="D296" s="11"/>
      <c r="E296" s="12"/>
      <c r="F296" s="12"/>
      <c r="I296" s="12"/>
      <c r="J296" s="11"/>
    </row>
    <row r="297">
      <c r="B297" s="2"/>
      <c r="C297" s="10"/>
      <c r="D297" s="11"/>
      <c r="E297" s="12"/>
      <c r="F297" s="12"/>
      <c r="I297" s="12"/>
      <c r="J297" s="11"/>
    </row>
    <row r="298">
      <c r="B298" s="2"/>
      <c r="C298" s="10"/>
      <c r="D298" s="11"/>
      <c r="E298" s="12"/>
      <c r="F298" s="12"/>
      <c r="I298" s="12"/>
      <c r="J298" s="11"/>
    </row>
    <row r="299">
      <c r="B299" s="2"/>
      <c r="C299" s="10"/>
      <c r="D299" s="11"/>
      <c r="E299" s="12"/>
      <c r="F299" s="12"/>
      <c r="I299" s="12"/>
      <c r="J299" s="11"/>
    </row>
    <row r="300">
      <c r="B300" s="2"/>
      <c r="C300" s="10"/>
      <c r="D300" s="11"/>
      <c r="E300" s="12"/>
      <c r="F300" s="12"/>
      <c r="I300" s="12"/>
      <c r="J300" s="11"/>
    </row>
    <row r="301">
      <c r="B301" s="2"/>
      <c r="C301" s="10"/>
      <c r="D301" s="11"/>
      <c r="E301" s="12"/>
      <c r="F301" s="12"/>
      <c r="I301" s="12"/>
      <c r="J301" s="11"/>
    </row>
    <row r="302">
      <c r="B302" s="2"/>
      <c r="C302" s="10"/>
      <c r="D302" s="11"/>
      <c r="E302" s="12"/>
      <c r="F302" s="12"/>
      <c r="I302" s="12"/>
      <c r="J302" s="11"/>
    </row>
    <row r="303">
      <c r="B303" s="2"/>
      <c r="C303" s="10"/>
      <c r="D303" s="11"/>
      <c r="E303" s="12"/>
      <c r="F303" s="12"/>
      <c r="I303" s="12"/>
      <c r="J303" s="11"/>
    </row>
    <row r="304">
      <c r="B304" s="2"/>
      <c r="C304" s="10"/>
      <c r="D304" s="11"/>
      <c r="E304" s="12"/>
      <c r="F304" s="12"/>
      <c r="I304" s="12"/>
      <c r="J304" s="11"/>
    </row>
    <row r="305">
      <c r="B305" s="2"/>
      <c r="C305" s="10"/>
      <c r="D305" s="11"/>
      <c r="E305" s="12"/>
      <c r="F305" s="12"/>
      <c r="I305" s="12"/>
      <c r="J305" s="11"/>
    </row>
    <row r="306">
      <c r="B306" s="2"/>
      <c r="C306" s="10"/>
      <c r="D306" s="11"/>
      <c r="E306" s="12"/>
      <c r="F306" s="12"/>
      <c r="I306" s="12"/>
      <c r="J306" s="11"/>
    </row>
    <row r="307">
      <c r="B307" s="2"/>
      <c r="C307" s="10"/>
      <c r="D307" s="11"/>
      <c r="E307" s="12"/>
      <c r="F307" s="12"/>
      <c r="I307" s="12"/>
      <c r="J307" s="11"/>
    </row>
    <row r="308">
      <c r="B308" s="2"/>
      <c r="C308" s="10"/>
      <c r="D308" s="11"/>
      <c r="E308" s="12"/>
      <c r="F308" s="12"/>
      <c r="I308" s="12"/>
      <c r="J308" s="11"/>
    </row>
    <row r="309">
      <c r="B309" s="2"/>
      <c r="C309" s="10"/>
      <c r="D309" s="11"/>
      <c r="E309" s="12"/>
      <c r="F309" s="12"/>
      <c r="I309" s="12"/>
      <c r="J309" s="11"/>
    </row>
    <row r="310">
      <c r="B310" s="2"/>
      <c r="C310" s="10"/>
      <c r="D310" s="11"/>
      <c r="E310" s="12"/>
      <c r="F310" s="12"/>
      <c r="I310" s="12"/>
      <c r="J310" s="11"/>
    </row>
    <row r="311">
      <c r="B311" s="2"/>
      <c r="C311" s="10"/>
      <c r="D311" s="11"/>
      <c r="E311" s="12"/>
      <c r="F311" s="12"/>
      <c r="I311" s="12"/>
      <c r="J311" s="11"/>
    </row>
    <row r="312">
      <c r="B312" s="2"/>
      <c r="C312" s="10"/>
      <c r="D312" s="11"/>
      <c r="E312" s="12"/>
      <c r="F312" s="12"/>
      <c r="I312" s="12"/>
      <c r="J312" s="11"/>
    </row>
    <row r="313">
      <c r="B313" s="2"/>
      <c r="C313" s="10"/>
      <c r="D313" s="11"/>
      <c r="E313" s="12"/>
      <c r="F313" s="12"/>
      <c r="I313" s="12"/>
      <c r="J313" s="11"/>
    </row>
    <row r="314">
      <c r="B314" s="2"/>
      <c r="C314" s="10"/>
      <c r="D314" s="11"/>
      <c r="E314" s="12"/>
      <c r="F314" s="12"/>
      <c r="I314" s="12"/>
      <c r="J314" s="11"/>
    </row>
    <row r="315">
      <c r="B315" s="2"/>
      <c r="C315" s="10"/>
      <c r="D315" s="11"/>
      <c r="E315" s="12"/>
      <c r="F315" s="12"/>
      <c r="I315" s="12"/>
      <c r="J315" s="11"/>
    </row>
    <row r="316">
      <c r="B316" s="2"/>
      <c r="C316" s="10"/>
      <c r="D316" s="11"/>
      <c r="E316" s="12"/>
      <c r="F316" s="12"/>
      <c r="I316" s="12"/>
      <c r="J316" s="11"/>
    </row>
    <row r="317">
      <c r="B317" s="2"/>
      <c r="C317" s="10"/>
      <c r="D317" s="11"/>
      <c r="E317" s="12"/>
      <c r="F317" s="12"/>
      <c r="I317" s="12"/>
      <c r="J317" s="11"/>
    </row>
    <row r="318">
      <c r="B318" s="2"/>
      <c r="C318" s="10"/>
      <c r="D318" s="11"/>
      <c r="E318" s="12"/>
      <c r="F318" s="12"/>
      <c r="I318" s="12"/>
      <c r="J318" s="11"/>
    </row>
    <row r="319">
      <c r="B319" s="2"/>
      <c r="C319" s="10"/>
      <c r="D319" s="11"/>
      <c r="E319" s="12"/>
      <c r="F319" s="12"/>
      <c r="I319" s="12"/>
      <c r="J319" s="11"/>
    </row>
    <row r="320">
      <c r="B320" s="2"/>
      <c r="C320" s="10"/>
      <c r="D320" s="11"/>
      <c r="E320" s="12"/>
      <c r="F320" s="12"/>
      <c r="I320" s="12"/>
      <c r="J320" s="11"/>
    </row>
    <row r="321">
      <c r="B321" s="2"/>
      <c r="C321" s="10"/>
      <c r="D321" s="11"/>
      <c r="E321" s="12"/>
      <c r="F321" s="12"/>
      <c r="I321" s="12"/>
      <c r="J321" s="11"/>
    </row>
    <row r="322">
      <c r="B322" s="2"/>
      <c r="C322" s="10"/>
      <c r="D322" s="11"/>
      <c r="E322" s="12"/>
      <c r="F322" s="12"/>
      <c r="I322" s="12"/>
      <c r="J322" s="11"/>
    </row>
    <row r="323">
      <c r="B323" s="2"/>
      <c r="C323" s="10"/>
      <c r="D323" s="11"/>
      <c r="E323" s="12"/>
      <c r="F323" s="12"/>
      <c r="I323" s="12"/>
      <c r="J323" s="11"/>
    </row>
    <row r="324">
      <c r="B324" s="2"/>
      <c r="C324" s="10"/>
      <c r="D324" s="11"/>
      <c r="E324" s="12"/>
      <c r="F324" s="12"/>
      <c r="I324" s="12"/>
      <c r="J324" s="11"/>
    </row>
    <row r="325">
      <c r="B325" s="2"/>
      <c r="C325" s="10"/>
      <c r="D325" s="11"/>
      <c r="E325" s="12"/>
      <c r="F325" s="12"/>
      <c r="I325" s="12"/>
      <c r="J325" s="11"/>
    </row>
    <row r="326">
      <c r="B326" s="2"/>
      <c r="C326" s="10"/>
      <c r="D326" s="11"/>
      <c r="E326" s="12"/>
      <c r="F326" s="12"/>
      <c r="I326" s="12"/>
      <c r="J326" s="11"/>
    </row>
    <row r="327">
      <c r="B327" s="2"/>
      <c r="C327" s="10"/>
      <c r="D327" s="11"/>
      <c r="E327" s="12"/>
      <c r="F327" s="12"/>
      <c r="I327" s="12"/>
      <c r="J327" s="11"/>
    </row>
    <row r="328">
      <c r="B328" s="2"/>
      <c r="C328" s="10"/>
      <c r="D328" s="11"/>
      <c r="E328" s="12"/>
      <c r="F328" s="12"/>
      <c r="I328" s="12"/>
      <c r="J328" s="11"/>
    </row>
    <row r="329">
      <c r="B329" s="2"/>
      <c r="C329" s="10"/>
      <c r="D329" s="11"/>
      <c r="E329" s="12"/>
      <c r="F329" s="12"/>
      <c r="I329" s="12"/>
      <c r="J329" s="11"/>
    </row>
    <row r="330">
      <c r="B330" s="2"/>
      <c r="C330" s="10"/>
      <c r="D330" s="11"/>
      <c r="E330" s="12"/>
      <c r="F330" s="12"/>
      <c r="I330" s="12"/>
      <c r="J330" s="11"/>
    </row>
    <row r="331">
      <c r="B331" s="2"/>
      <c r="C331" s="10"/>
      <c r="D331" s="11"/>
      <c r="E331" s="12"/>
      <c r="F331" s="12"/>
      <c r="I331" s="12"/>
      <c r="J331" s="11"/>
    </row>
    <row r="332">
      <c r="B332" s="2"/>
      <c r="C332" s="10"/>
      <c r="D332" s="11"/>
      <c r="E332" s="12"/>
      <c r="F332" s="12"/>
      <c r="I332" s="12"/>
      <c r="J332" s="11"/>
    </row>
    <row r="333">
      <c r="B333" s="2"/>
      <c r="C333" s="10"/>
      <c r="D333" s="11"/>
      <c r="E333" s="12"/>
      <c r="F333" s="12"/>
      <c r="I333" s="12"/>
      <c r="J333" s="11"/>
    </row>
    <row r="334">
      <c r="B334" s="2"/>
      <c r="C334" s="10"/>
      <c r="D334" s="11"/>
      <c r="E334" s="12"/>
      <c r="F334" s="12"/>
      <c r="I334" s="12"/>
      <c r="J334" s="11"/>
    </row>
    <row r="335">
      <c r="B335" s="2"/>
      <c r="C335" s="10"/>
      <c r="D335" s="11"/>
      <c r="E335" s="12"/>
      <c r="F335" s="12"/>
      <c r="I335" s="12"/>
      <c r="J335" s="11"/>
    </row>
    <row r="336">
      <c r="B336" s="2"/>
      <c r="C336" s="10"/>
      <c r="D336" s="11"/>
      <c r="E336" s="12"/>
      <c r="F336" s="12"/>
      <c r="I336" s="12"/>
      <c r="J336" s="11"/>
    </row>
    <row r="337">
      <c r="B337" s="2"/>
      <c r="C337" s="10"/>
      <c r="D337" s="11"/>
      <c r="E337" s="12"/>
      <c r="F337" s="12"/>
      <c r="I337" s="12"/>
      <c r="J337" s="11"/>
    </row>
    <row r="338">
      <c r="B338" s="2"/>
      <c r="C338" s="10"/>
      <c r="D338" s="11"/>
      <c r="E338" s="12"/>
      <c r="F338" s="12"/>
      <c r="I338" s="12"/>
      <c r="J338" s="11"/>
    </row>
    <row r="339">
      <c r="B339" s="2"/>
      <c r="C339" s="10"/>
      <c r="D339" s="11"/>
      <c r="E339" s="12"/>
      <c r="F339" s="12"/>
      <c r="I339" s="12"/>
      <c r="J339" s="11"/>
    </row>
    <row r="340">
      <c r="B340" s="2"/>
      <c r="C340" s="10"/>
      <c r="D340" s="11"/>
      <c r="E340" s="12"/>
      <c r="F340" s="12"/>
      <c r="I340" s="12"/>
      <c r="J340" s="11"/>
    </row>
    <row r="341">
      <c r="B341" s="2"/>
      <c r="C341" s="10"/>
      <c r="D341" s="11"/>
      <c r="E341" s="12"/>
      <c r="F341" s="12"/>
      <c r="I341" s="12"/>
      <c r="J341" s="11"/>
    </row>
    <row r="342">
      <c r="B342" s="2"/>
      <c r="C342" s="10"/>
      <c r="D342" s="11"/>
      <c r="E342" s="12"/>
      <c r="F342" s="12"/>
      <c r="I342" s="12"/>
      <c r="J342" s="11"/>
    </row>
    <row r="343">
      <c r="B343" s="2"/>
      <c r="C343" s="10"/>
      <c r="D343" s="11"/>
      <c r="E343" s="12"/>
      <c r="F343" s="12"/>
      <c r="I343" s="12"/>
      <c r="J343" s="11"/>
    </row>
    <row r="344">
      <c r="B344" s="2"/>
      <c r="C344" s="10"/>
      <c r="D344" s="11"/>
      <c r="E344" s="12"/>
      <c r="F344" s="12"/>
      <c r="I344" s="12"/>
      <c r="J344" s="11"/>
    </row>
    <row r="345">
      <c r="B345" s="2"/>
      <c r="C345" s="10"/>
      <c r="D345" s="11"/>
      <c r="E345" s="12"/>
      <c r="F345" s="12"/>
      <c r="I345" s="12"/>
      <c r="J345" s="11"/>
    </row>
    <row r="346">
      <c r="B346" s="2"/>
      <c r="C346" s="10"/>
      <c r="D346" s="11"/>
      <c r="E346" s="12"/>
      <c r="F346" s="12"/>
      <c r="I346" s="12"/>
      <c r="J346" s="11"/>
    </row>
    <row r="347">
      <c r="B347" s="2"/>
      <c r="C347" s="10"/>
      <c r="D347" s="11"/>
      <c r="E347" s="12"/>
      <c r="F347" s="12"/>
      <c r="I347" s="12"/>
      <c r="J347" s="11"/>
    </row>
    <row r="348">
      <c r="B348" s="2"/>
      <c r="C348" s="10"/>
      <c r="D348" s="11"/>
      <c r="E348" s="12"/>
      <c r="F348" s="12"/>
      <c r="I348" s="12"/>
      <c r="J348" s="11"/>
    </row>
    <row r="349">
      <c r="B349" s="2"/>
      <c r="C349" s="10"/>
      <c r="D349" s="11"/>
      <c r="E349" s="12"/>
      <c r="F349" s="12"/>
      <c r="I349" s="12"/>
      <c r="J349" s="11"/>
    </row>
    <row r="350">
      <c r="B350" s="2"/>
      <c r="C350" s="10"/>
      <c r="D350" s="11"/>
      <c r="E350" s="12"/>
      <c r="F350" s="12"/>
      <c r="I350" s="12"/>
      <c r="J350" s="11"/>
    </row>
    <row r="351">
      <c r="B351" s="2"/>
      <c r="C351" s="10"/>
      <c r="D351" s="11"/>
      <c r="E351" s="12"/>
      <c r="F351" s="12"/>
      <c r="I351" s="12"/>
      <c r="J351" s="11"/>
    </row>
    <row r="352">
      <c r="B352" s="2"/>
      <c r="C352" s="10"/>
      <c r="D352" s="11"/>
      <c r="E352" s="12"/>
      <c r="F352" s="12"/>
      <c r="I352" s="12"/>
      <c r="J352" s="11"/>
    </row>
    <row r="353">
      <c r="B353" s="2"/>
      <c r="C353" s="10"/>
      <c r="D353" s="11"/>
      <c r="E353" s="12"/>
      <c r="F353" s="12"/>
      <c r="I353" s="12"/>
      <c r="J353" s="11"/>
    </row>
    <row r="354">
      <c r="B354" s="2"/>
      <c r="C354" s="10"/>
      <c r="D354" s="11"/>
      <c r="E354" s="12"/>
      <c r="F354" s="12"/>
      <c r="I354" s="12"/>
      <c r="J354" s="11"/>
    </row>
    <row r="355">
      <c r="B355" s="2"/>
      <c r="C355" s="10"/>
      <c r="D355" s="11"/>
      <c r="E355" s="12"/>
      <c r="F355" s="12"/>
      <c r="I355" s="12"/>
      <c r="J355" s="11"/>
    </row>
    <row r="356">
      <c r="B356" s="2"/>
      <c r="C356" s="10"/>
      <c r="D356" s="11"/>
      <c r="E356" s="12"/>
      <c r="F356" s="12"/>
      <c r="I356" s="12"/>
      <c r="J356" s="11"/>
    </row>
    <row r="357">
      <c r="B357" s="2"/>
      <c r="C357" s="10"/>
      <c r="D357" s="11"/>
      <c r="E357" s="12"/>
      <c r="F357" s="12"/>
      <c r="I357" s="12"/>
      <c r="J357" s="11"/>
    </row>
    <row r="358">
      <c r="B358" s="2"/>
      <c r="C358" s="10"/>
      <c r="D358" s="11"/>
      <c r="E358" s="12"/>
      <c r="F358" s="12"/>
      <c r="I358" s="12"/>
      <c r="J358" s="11"/>
    </row>
    <row r="359">
      <c r="B359" s="2"/>
      <c r="C359" s="10"/>
      <c r="D359" s="11"/>
      <c r="E359" s="12"/>
      <c r="F359" s="12"/>
      <c r="I359" s="12"/>
      <c r="J359" s="11"/>
    </row>
    <row r="360">
      <c r="B360" s="2"/>
      <c r="C360" s="10"/>
      <c r="D360" s="11"/>
      <c r="E360" s="12"/>
      <c r="F360" s="12"/>
      <c r="I360" s="12"/>
      <c r="J360" s="11"/>
    </row>
    <row r="361">
      <c r="B361" s="2"/>
      <c r="C361" s="10"/>
      <c r="D361" s="11"/>
      <c r="E361" s="12"/>
      <c r="F361" s="12"/>
      <c r="I361" s="12"/>
      <c r="J361" s="11"/>
    </row>
    <row r="362">
      <c r="B362" s="2"/>
      <c r="C362" s="10"/>
      <c r="D362" s="11"/>
      <c r="E362" s="12"/>
      <c r="F362" s="12"/>
      <c r="I362" s="12"/>
      <c r="J362" s="11"/>
    </row>
    <row r="363">
      <c r="B363" s="2"/>
      <c r="C363" s="10"/>
      <c r="D363" s="11"/>
      <c r="E363" s="12"/>
      <c r="F363" s="12"/>
      <c r="I363" s="12"/>
      <c r="J363" s="11"/>
    </row>
    <row r="364">
      <c r="B364" s="2"/>
      <c r="C364" s="10"/>
      <c r="D364" s="11"/>
      <c r="E364" s="12"/>
      <c r="F364" s="12"/>
      <c r="I364" s="12"/>
      <c r="J364" s="11"/>
    </row>
    <row r="365">
      <c r="B365" s="2"/>
      <c r="C365" s="10"/>
      <c r="D365" s="11"/>
      <c r="E365" s="12"/>
      <c r="F365" s="12"/>
      <c r="I365" s="12"/>
      <c r="J365" s="11"/>
    </row>
    <row r="366">
      <c r="B366" s="2"/>
      <c r="C366" s="10"/>
      <c r="D366" s="11"/>
      <c r="E366" s="12"/>
      <c r="F366" s="12"/>
      <c r="I366" s="12"/>
      <c r="J366" s="11"/>
    </row>
    <row r="367">
      <c r="B367" s="2"/>
      <c r="C367" s="10"/>
      <c r="D367" s="11"/>
      <c r="E367" s="12"/>
      <c r="F367" s="12"/>
      <c r="I367" s="12"/>
      <c r="J367" s="11"/>
    </row>
    <row r="368">
      <c r="B368" s="2"/>
      <c r="C368" s="10"/>
      <c r="D368" s="11"/>
      <c r="E368" s="12"/>
      <c r="F368" s="12"/>
      <c r="I368" s="12"/>
      <c r="J368" s="11"/>
    </row>
    <row r="369">
      <c r="B369" s="2"/>
      <c r="C369" s="10"/>
      <c r="D369" s="11"/>
      <c r="E369" s="12"/>
      <c r="F369" s="12"/>
      <c r="I369" s="12"/>
      <c r="J369" s="11"/>
    </row>
    <row r="370">
      <c r="B370" s="2"/>
      <c r="C370" s="10"/>
      <c r="D370" s="11"/>
      <c r="E370" s="12"/>
      <c r="F370" s="12"/>
      <c r="I370" s="12"/>
      <c r="J370" s="11"/>
    </row>
    <row r="371">
      <c r="B371" s="2"/>
      <c r="C371" s="10"/>
      <c r="D371" s="11"/>
      <c r="E371" s="12"/>
      <c r="F371" s="12"/>
      <c r="I371" s="12"/>
      <c r="J371" s="11"/>
    </row>
    <row r="372">
      <c r="B372" s="2"/>
      <c r="C372" s="10"/>
      <c r="D372" s="11"/>
      <c r="E372" s="12"/>
      <c r="F372" s="12"/>
      <c r="I372" s="12"/>
      <c r="J372" s="11"/>
    </row>
    <row r="373">
      <c r="B373" s="2"/>
      <c r="C373" s="10"/>
      <c r="D373" s="11"/>
      <c r="E373" s="12"/>
      <c r="F373" s="12"/>
      <c r="I373" s="12"/>
      <c r="J373" s="11"/>
    </row>
    <row r="374">
      <c r="B374" s="2"/>
      <c r="C374" s="10"/>
      <c r="D374" s="11"/>
      <c r="E374" s="12"/>
      <c r="F374" s="12"/>
      <c r="I374" s="12"/>
      <c r="J374" s="11"/>
    </row>
    <row r="375">
      <c r="B375" s="2"/>
      <c r="C375" s="10"/>
      <c r="D375" s="11"/>
      <c r="E375" s="12"/>
      <c r="F375" s="12"/>
      <c r="I375" s="12"/>
      <c r="J375" s="11"/>
    </row>
    <row r="376">
      <c r="B376" s="2"/>
      <c r="C376" s="10"/>
      <c r="D376" s="11"/>
      <c r="E376" s="12"/>
      <c r="F376" s="12"/>
      <c r="I376" s="12"/>
      <c r="J376" s="11"/>
    </row>
    <row r="377">
      <c r="B377" s="2"/>
      <c r="C377" s="10"/>
      <c r="D377" s="11"/>
      <c r="E377" s="12"/>
      <c r="F377" s="12"/>
      <c r="I377" s="12"/>
      <c r="J377" s="11"/>
    </row>
    <row r="378">
      <c r="B378" s="2"/>
      <c r="C378" s="10"/>
      <c r="D378" s="11"/>
      <c r="E378" s="12"/>
      <c r="F378" s="12"/>
      <c r="I378" s="12"/>
      <c r="J378" s="11"/>
    </row>
    <row r="379">
      <c r="B379" s="2"/>
      <c r="C379" s="10"/>
      <c r="D379" s="11"/>
      <c r="E379" s="12"/>
      <c r="F379" s="12"/>
      <c r="I379" s="12"/>
      <c r="J379" s="11"/>
    </row>
    <row r="380">
      <c r="B380" s="2"/>
      <c r="C380" s="10"/>
      <c r="D380" s="11"/>
      <c r="E380" s="12"/>
      <c r="F380" s="12"/>
      <c r="I380" s="12"/>
      <c r="J380" s="11"/>
    </row>
    <row r="381">
      <c r="B381" s="2"/>
      <c r="C381" s="10"/>
      <c r="D381" s="11"/>
      <c r="E381" s="12"/>
      <c r="F381" s="12"/>
      <c r="I381" s="12"/>
      <c r="J381" s="11"/>
    </row>
    <row r="382">
      <c r="B382" s="2"/>
      <c r="C382" s="10"/>
      <c r="D382" s="11"/>
      <c r="E382" s="12"/>
      <c r="F382" s="12"/>
      <c r="I382" s="12"/>
      <c r="J382" s="11"/>
    </row>
    <row r="383">
      <c r="B383" s="2"/>
      <c r="C383" s="10"/>
      <c r="D383" s="11"/>
      <c r="E383" s="12"/>
      <c r="F383" s="12"/>
      <c r="I383" s="12"/>
      <c r="J383" s="11"/>
    </row>
    <row r="384">
      <c r="B384" s="2"/>
      <c r="C384" s="10"/>
      <c r="D384" s="11"/>
      <c r="E384" s="12"/>
      <c r="F384" s="12"/>
      <c r="I384" s="12"/>
      <c r="J384" s="11"/>
    </row>
    <row r="385">
      <c r="B385" s="2"/>
      <c r="C385" s="10"/>
      <c r="D385" s="11"/>
      <c r="E385" s="12"/>
      <c r="F385" s="12"/>
      <c r="I385" s="12"/>
      <c r="J385" s="11"/>
    </row>
    <row r="386">
      <c r="B386" s="2"/>
      <c r="C386" s="10"/>
      <c r="D386" s="11"/>
      <c r="E386" s="12"/>
      <c r="F386" s="12"/>
      <c r="I386" s="12"/>
      <c r="J386" s="11"/>
    </row>
    <row r="387">
      <c r="B387" s="2"/>
      <c r="C387" s="10"/>
      <c r="D387" s="11"/>
      <c r="E387" s="12"/>
      <c r="F387" s="12"/>
      <c r="I387" s="12"/>
      <c r="J387" s="11"/>
    </row>
    <row r="388">
      <c r="B388" s="2"/>
      <c r="C388" s="10"/>
      <c r="D388" s="11"/>
      <c r="E388" s="12"/>
      <c r="F388" s="12"/>
      <c r="I388" s="12"/>
      <c r="J388" s="11"/>
    </row>
    <row r="389">
      <c r="B389" s="2"/>
      <c r="C389" s="10"/>
      <c r="D389" s="11"/>
      <c r="E389" s="12"/>
      <c r="F389" s="12"/>
      <c r="I389" s="12"/>
      <c r="J389" s="11"/>
    </row>
    <row r="390">
      <c r="B390" s="2"/>
      <c r="C390" s="10"/>
      <c r="D390" s="11"/>
      <c r="E390" s="12"/>
      <c r="F390" s="12"/>
      <c r="I390" s="12"/>
      <c r="J390" s="11"/>
    </row>
    <row r="391">
      <c r="B391" s="2"/>
      <c r="C391" s="10"/>
      <c r="D391" s="11"/>
      <c r="E391" s="12"/>
      <c r="F391" s="12"/>
      <c r="I391" s="12"/>
      <c r="J391" s="11"/>
    </row>
    <row r="392">
      <c r="B392" s="2"/>
      <c r="C392" s="10"/>
      <c r="D392" s="11"/>
      <c r="E392" s="12"/>
      <c r="F392" s="12"/>
      <c r="I392" s="12"/>
      <c r="J392" s="11"/>
    </row>
    <row r="393">
      <c r="B393" s="2"/>
      <c r="C393" s="10"/>
      <c r="D393" s="11"/>
      <c r="E393" s="12"/>
      <c r="F393" s="12"/>
      <c r="I393" s="12"/>
      <c r="J393" s="11"/>
    </row>
    <row r="394">
      <c r="B394" s="2"/>
      <c r="C394" s="10"/>
      <c r="D394" s="11"/>
      <c r="E394" s="12"/>
      <c r="F394" s="12"/>
      <c r="I394" s="12"/>
      <c r="J394" s="11"/>
    </row>
    <row r="395">
      <c r="B395" s="2"/>
      <c r="C395" s="10"/>
      <c r="D395" s="11"/>
      <c r="E395" s="12"/>
      <c r="F395" s="12"/>
      <c r="I395" s="12"/>
      <c r="J395" s="11"/>
    </row>
    <row r="396">
      <c r="B396" s="2"/>
      <c r="C396" s="10"/>
      <c r="D396" s="11"/>
      <c r="E396" s="12"/>
      <c r="F396" s="12"/>
      <c r="I396" s="12"/>
      <c r="J396" s="11"/>
    </row>
    <row r="397">
      <c r="B397" s="2"/>
      <c r="C397" s="10"/>
      <c r="D397" s="11"/>
      <c r="E397" s="12"/>
      <c r="F397" s="12"/>
      <c r="I397" s="12"/>
      <c r="J397" s="11"/>
    </row>
    <row r="398">
      <c r="B398" s="2"/>
      <c r="C398" s="10"/>
      <c r="D398" s="11"/>
      <c r="E398" s="12"/>
      <c r="F398" s="12"/>
      <c r="I398" s="12"/>
      <c r="J398" s="11"/>
    </row>
    <row r="399">
      <c r="B399" s="2"/>
      <c r="C399" s="10"/>
      <c r="D399" s="11"/>
      <c r="E399" s="12"/>
      <c r="F399" s="12"/>
      <c r="I399" s="12"/>
      <c r="J399" s="11"/>
    </row>
    <row r="400">
      <c r="B400" s="2"/>
      <c r="C400" s="10"/>
      <c r="D400" s="11"/>
      <c r="E400" s="12"/>
      <c r="F400" s="12"/>
      <c r="I400" s="12"/>
      <c r="J400" s="11"/>
    </row>
    <row r="401">
      <c r="B401" s="2"/>
      <c r="C401" s="10"/>
      <c r="D401" s="11"/>
      <c r="E401" s="12"/>
      <c r="F401" s="12"/>
      <c r="I401" s="12"/>
      <c r="J401" s="11"/>
    </row>
    <row r="402">
      <c r="B402" s="2"/>
      <c r="C402" s="10"/>
      <c r="D402" s="11"/>
      <c r="E402" s="12"/>
      <c r="F402" s="12"/>
      <c r="I402" s="12"/>
      <c r="J402" s="11"/>
    </row>
    <row r="403">
      <c r="B403" s="2"/>
      <c r="C403" s="10"/>
      <c r="D403" s="11"/>
      <c r="E403" s="12"/>
      <c r="F403" s="12"/>
      <c r="I403" s="12"/>
      <c r="J403" s="11"/>
    </row>
    <row r="404">
      <c r="B404" s="2"/>
      <c r="C404" s="10"/>
      <c r="D404" s="11"/>
      <c r="E404" s="12"/>
      <c r="F404" s="12"/>
      <c r="I404" s="12"/>
      <c r="J404" s="11"/>
    </row>
    <row r="405">
      <c r="B405" s="2"/>
      <c r="C405" s="10"/>
      <c r="D405" s="11"/>
      <c r="E405" s="12"/>
      <c r="F405" s="12"/>
      <c r="I405" s="12"/>
      <c r="J405" s="11"/>
    </row>
    <row r="406">
      <c r="B406" s="2"/>
      <c r="C406" s="10"/>
      <c r="D406" s="11"/>
      <c r="E406" s="12"/>
      <c r="F406" s="12"/>
      <c r="I406" s="12"/>
      <c r="J406" s="11"/>
    </row>
    <row r="407">
      <c r="B407" s="2"/>
      <c r="C407" s="10"/>
      <c r="D407" s="11"/>
      <c r="E407" s="12"/>
      <c r="F407" s="12"/>
      <c r="I407" s="12"/>
      <c r="J407" s="11"/>
    </row>
    <row r="408">
      <c r="B408" s="2"/>
      <c r="C408" s="10"/>
      <c r="D408" s="11"/>
      <c r="E408" s="12"/>
      <c r="F408" s="12"/>
      <c r="I408" s="12"/>
      <c r="J408" s="11"/>
    </row>
    <row r="409">
      <c r="B409" s="2"/>
      <c r="C409" s="10"/>
      <c r="D409" s="11"/>
      <c r="E409" s="12"/>
      <c r="F409" s="12"/>
      <c r="I409" s="12"/>
      <c r="J409" s="11"/>
    </row>
    <row r="410">
      <c r="B410" s="2"/>
      <c r="C410" s="10"/>
      <c r="D410" s="11"/>
      <c r="E410" s="12"/>
      <c r="F410" s="12"/>
      <c r="I410" s="12"/>
      <c r="J410" s="11"/>
    </row>
    <row r="411">
      <c r="B411" s="2"/>
      <c r="C411" s="10"/>
      <c r="D411" s="11"/>
      <c r="E411" s="12"/>
      <c r="F411" s="12"/>
      <c r="I411" s="12"/>
      <c r="J411" s="11"/>
    </row>
    <row r="412">
      <c r="B412" s="2"/>
      <c r="C412" s="10"/>
      <c r="D412" s="11"/>
      <c r="E412" s="12"/>
      <c r="F412" s="12"/>
      <c r="I412" s="12"/>
      <c r="J412" s="11"/>
    </row>
    <row r="413">
      <c r="B413" s="2"/>
      <c r="C413" s="10"/>
      <c r="D413" s="11"/>
      <c r="E413" s="12"/>
      <c r="F413" s="12"/>
      <c r="I413" s="12"/>
      <c r="J413" s="11"/>
    </row>
    <row r="414">
      <c r="B414" s="2"/>
      <c r="C414" s="10"/>
      <c r="D414" s="11"/>
      <c r="E414" s="12"/>
      <c r="F414" s="12"/>
      <c r="I414" s="12"/>
      <c r="J414" s="11"/>
    </row>
    <row r="415">
      <c r="B415" s="2"/>
      <c r="C415" s="10"/>
      <c r="D415" s="11"/>
      <c r="E415" s="12"/>
      <c r="F415" s="12"/>
      <c r="I415" s="12"/>
      <c r="J415" s="11"/>
    </row>
    <row r="416">
      <c r="B416" s="2"/>
      <c r="C416" s="10"/>
      <c r="D416" s="11"/>
      <c r="E416" s="12"/>
      <c r="F416" s="12"/>
      <c r="I416" s="12"/>
      <c r="J416" s="11"/>
    </row>
    <row r="417">
      <c r="B417" s="2"/>
      <c r="C417" s="10"/>
      <c r="D417" s="11"/>
      <c r="E417" s="12"/>
      <c r="F417" s="12"/>
      <c r="I417" s="12"/>
      <c r="J417" s="11"/>
    </row>
    <row r="418">
      <c r="B418" s="2"/>
      <c r="C418" s="10"/>
      <c r="D418" s="11"/>
      <c r="E418" s="12"/>
      <c r="F418" s="12"/>
      <c r="I418" s="12"/>
      <c r="J418" s="11"/>
    </row>
    <row r="419">
      <c r="B419" s="2"/>
      <c r="C419" s="10"/>
      <c r="D419" s="11"/>
      <c r="E419" s="12"/>
      <c r="F419" s="12"/>
      <c r="I419" s="12"/>
      <c r="J419" s="11"/>
    </row>
    <row r="420">
      <c r="B420" s="2"/>
      <c r="C420" s="10"/>
      <c r="D420" s="11"/>
      <c r="E420" s="12"/>
      <c r="F420" s="12"/>
      <c r="I420" s="12"/>
      <c r="J420" s="11"/>
    </row>
    <row r="421">
      <c r="B421" s="2"/>
      <c r="C421" s="10"/>
      <c r="D421" s="11"/>
      <c r="E421" s="12"/>
      <c r="F421" s="12"/>
      <c r="I421" s="12"/>
      <c r="J421" s="11"/>
    </row>
    <row r="422">
      <c r="B422" s="2"/>
      <c r="C422" s="10"/>
      <c r="D422" s="11"/>
      <c r="E422" s="12"/>
      <c r="F422" s="12"/>
      <c r="I422" s="12"/>
      <c r="J422" s="11"/>
    </row>
    <row r="423">
      <c r="B423" s="2"/>
      <c r="C423" s="10"/>
      <c r="D423" s="11"/>
      <c r="E423" s="12"/>
      <c r="F423" s="12"/>
      <c r="I423" s="12"/>
      <c r="J423" s="11"/>
    </row>
    <row r="424">
      <c r="B424" s="2"/>
      <c r="C424" s="10"/>
      <c r="D424" s="11"/>
      <c r="E424" s="12"/>
      <c r="F424" s="12"/>
      <c r="I424" s="12"/>
      <c r="J424" s="11"/>
    </row>
    <row r="425">
      <c r="B425" s="2"/>
      <c r="C425" s="10"/>
      <c r="D425" s="11"/>
      <c r="E425" s="12"/>
      <c r="F425" s="12"/>
      <c r="I425" s="12"/>
      <c r="J425" s="11"/>
    </row>
    <row r="426">
      <c r="B426" s="2"/>
      <c r="C426" s="10"/>
      <c r="D426" s="11"/>
      <c r="E426" s="12"/>
      <c r="F426" s="12"/>
      <c r="I426" s="12"/>
      <c r="J426" s="11"/>
    </row>
    <row r="427">
      <c r="B427" s="2"/>
      <c r="C427" s="10"/>
      <c r="D427" s="11"/>
      <c r="E427" s="12"/>
      <c r="F427" s="12"/>
      <c r="I427" s="12"/>
      <c r="J427" s="11"/>
    </row>
    <row r="428">
      <c r="B428" s="2"/>
      <c r="C428" s="10"/>
      <c r="D428" s="11"/>
      <c r="E428" s="12"/>
      <c r="F428" s="12"/>
      <c r="I428" s="12"/>
      <c r="J428" s="11"/>
    </row>
    <row r="429">
      <c r="B429" s="2"/>
      <c r="C429" s="10"/>
      <c r="D429" s="11"/>
      <c r="E429" s="12"/>
      <c r="F429" s="12"/>
      <c r="I429" s="12"/>
      <c r="J429" s="11"/>
    </row>
    <row r="430">
      <c r="B430" s="2"/>
      <c r="C430" s="10"/>
      <c r="D430" s="11"/>
      <c r="E430" s="12"/>
      <c r="F430" s="12"/>
      <c r="I430" s="12"/>
      <c r="J430" s="11"/>
    </row>
    <row r="431">
      <c r="B431" s="2"/>
      <c r="C431" s="10"/>
      <c r="D431" s="11"/>
      <c r="E431" s="12"/>
      <c r="F431" s="12"/>
      <c r="I431" s="12"/>
      <c r="J431" s="11"/>
    </row>
    <row r="432">
      <c r="B432" s="2"/>
      <c r="C432" s="10"/>
      <c r="D432" s="11"/>
      <c r="E432" s="12"/>
      <c r="F432" s="12"/>
      <c r="I432" s="12"/>
      <c r="J432" s="11"/>
    </row>
    <row r="433">
      <c r="B433" s="2"/>
      <c r="C433" s="10"/>
      <c r="D433" s="11"/>
      <c r="E433" s="12"/>
      <c r="F433" s="12"/>
      <c r="I433" s="12"/>
      <c r="J433" s="11"/>
    </row>
    <row r="434">
      <c r="B434" s="2"/>
      <c r="C434" s="10"/>
      <c r="D434" s="11"/>
      <c r="E434" s="12"/>
      <c r="F434" s="12"/>
      <c r="I434" s="12"/>
      <c r="J434" s="11"/>
    </row>
    <row r="435">
      <c r="B435" s="2"/>
      <c r="C435" s="10"/>
      <c r="D435" s="11"/>
      <c r="E435" s="12"/>
      <c r="F435" s="12"/>
      <c r="I435" s="12"/>
      <c r="J435" s="11"/>
    </row>
    <row r="436">
      <c r="B436" s="2"/>
      <c r="C436" s="10"/>
      <c r="D436" s="11"/>
      <c r="E436" s="12"/>
      <c r="F436" s="12"/>
      <c r="I436" s="12"/>
      <c r="J436" s="11"/>
    </row>
    <row r="437">
      <c r="B437" s="2"/>
      <c r="C437" s="10"/>
      <c r="D437" s="11"/>
      <c r="E437" s="12"/>
      <c r="F437" s="12"/>
      <c r="I437" s="12"/>
      <c r="J437" s="11"/>
    </row>
    <row r="438">
      <c r="B438" s="2"/>
      <c r="C438" s="10"/>
      <c r="D438" s="11"/>
      <c r="E438" s="12"/>
      <c r="F438" s="12"/>
      <c r="I438" s="12"/>
      <c r="J438" s="11"/>
    </row>
    <row r="439">
      <c r="B439" s="2"/>
      <c r="C439" s="10"/>
      <c r="D439" s="11"/>
      <c r="E439" s="12"/>
      <c r="F439" s="12"/>
      <c r="I439" s="12"/>
      <c r="J439" s="11"/>
    </row>
    <row r="440">
      <c r="B440" s="2"/>
      <c r="C440" s="10"/>
      <c r="D440" s="11"/>
      <c r="E440" s="12"/>
      <c r="F440" s="12"/>
      <c r="I440" s="12"/>
      <c r="J440" s="11"/>
    </row>
    <row r="441">
      <c r="B441" s="2"/>
      <c r="C441" s="10"/>
      <c r="D441" s="11"/>
      <c r="E441" s="12"/>
      <c r="F441" s="12"/>
      <c r="I441" s="12"/>
      <c r="J441" s="11"/>
    </row>
    <row r="442">
      <c r="B442" s="2"/>
      <c r="C442" s="10"/>
      <c r="D442" s="11"/>
      <c r="E442" s="12"/>
      <c r="F442" s="12"/>
      <c r="I442" s="12"/>
      <c r="J442" s="11"/>
    </row>
    <row r="443">
      <c r="B443" s="2"/>
      <c r="C443" s="10"/>
      <c r="D443" s="11"/>
      <c r="E443" s="12"/>
      <c r="F443" s="12"/>
      <c r="I443" s="12"/>
      <c r="J443" s="11"/>
    </row>
    <row r="444">
      <c r="B444" s="2"/>
      <c r="C444" s="10"/>
      <c r="D444" s="11"/>
      <c r="E444" s="12"/>
      <c r="F444" s="12"/>
      <c r="I444" s="12"/>
      <c r="J444" s="11"/>
    </row>
    <row r="445">
      <c r="B445" s="2"/>
      <c r="C445" s="10"/>
      <c r="D445" s="11"/>
      <c r="E445" s="12"/>
      <c r="F445" s="12"/>
      <c r="I445" s="12"/>
      <c r="J445" s="11"/>
    </row>
    <row r="446">
      <c r="B446" s="2"/>
      <c r="C446" s="10"/>
      <c r="D446" s="11"/>
      <c r="E446" s="12"/>
      <c r="F446" s="12"/>
      <c r="I446" s="12"/>
      <c r="J446" s="11"/>
    </row>
    <row r="447">
      <c r="B447" s="2"/>
      <c r="C447" s="10"/>
      <c r="D447" s="11"/>
      <c r="E447" s="12"/>
      <c r="F447" s="12"/>
      <c r="I447" s="12"/>
      <c r="J447" s="11"/>
    </row>
    <row r="448">
      <c r="B448" s="2"/>
      <c r="C448" s="10"/>
      <c r="D448" s="11"/>
      <c r="E448" s="12"/>
      <c r="F448" s="12"/>
      <c r="I448" s="12"/>
      <c r="J448" s="11"/>
    </row>
    <row r="449">
      <c r="B449" s="2"/>
      <c r="C449" s="10"/>
      <c r="D449" s="11"/>
      <c r="E449" s="12"/>
      <c r="F449" s="12"/>
      <c r="I449" s="12"/>
      <c r="J449" s="11"/>
    </row>
    <row r="450">
      <c r="B450" s="2"/>
      <c r="C450" s="10"/>
      <c r="D450" s="11"/>
      <c r="E450" s="12"/>
      <c r="F450" s="12"/>
      <c r="I450" s="12"/>
      <c r="J450" s="11"/>
    </row>
    <row r="451">
      <c r="B451" s="2"/>
      <c r="C451" s="10"/>
      <c r="D451" s="11"/>
      <c r="E451" s="12"/>
      <c r="F451" s="12"/>
      <c r="I451" s="12"/>
      <c r="J451" s="11"/>
    </row>
    <row r="452">
      <c r="B452" s="2"/>
      <c r="C452" s="10"/>
      <c r="D452" s="11"/>
      <c r="E452" s="12"/>
      <c r="F452" s="12"/>
      <c r="I452" s="12"/>
      <c r="J452" s="11"/>
    </row>
    <row r="453">
      <c r="B453" s="2"/>
      <c r="C453" s="10"/>
      <c r="D453" s="11"/>
      <c r="E453" s="12"/>
      <c r="F453" s="12"/>
      <c r="I453" s="12"/>
      <c r="J453" s="11"/>
    </row>
    <row r="454">
      <c r="B454" s="2"/>
      <c r="C454" s="10"/>
      <c r="D454" s="11"/>
      <c r="E454" s="12"/>
      <c r="F454" s="12"/>
      <c r="I454" s="12"/>
      <c r="J454" s="11"/>
    </row>
    <row r="455">
      <c r="B455" s="2"/>
      <c r="C455" s="10"/>
      <c r="D455" s="11"/>
      <c r="E455" s="12"/>
      <c r="F455" s="12"/>
      <c r="I455" s="12"/>
      <c r="J455" s="11"/>
    </row>
    <row r="456">
      <c r="B456" s="2"/>
      <c r="C456" s="10"/>
      <c r="D456" s="11"/>
      <c r="E456" s="12"/>
      <c r="F456" s="12"/>
      <c r="I456" s="12"/>
      <c r="J456" s="11"/>
    </row>
    <row r="457">
      <c r="B457" s="2"/>
      <c r="C457" s="10"/>
      <c r="D457" s="11"/>
      <c r="E457" s="12"/>
      <c r="F457" s="12"/>
      <c r="I457" s="12"/>
      <c r="J457" s="11"/>
    </row>
    <row r="458">
      <c r="B458" s="2"/>
      <c r="C458" s="10"/>
      <c r="D458" s="11"/>
      <c r="E458" s="12"/>
      <c r="F458" s="12"/>
      <c r="I458" s="12"/>
      <c r="J458" s="11"/>
    </row>
    <row r="459">
      <c r="B459" s="2"/>
      <c r="C459" s="10"/>
      <c r="D459" s="11"/>
      <c r="E459" s="12"/>
      <c r="F459" s="12"/>
      <c r="I459" s="12"/>
      <c r="J459" s="11"/>
    </row>
    <row r="460">
      <c r="B460" s="2"/>
      <c r="C460" s="10"/>
      <c r="D460" s="11"/>
      <c r="E460" s="12"/>
      <c r="F460" s="12"/>
      <c r="I460" s="12"/>
      <c r="J460" s="11"/>
    </row>
    <row r="461">
      <c r="B461" s="2"/>
      <c r="C461" s="10"/>
      <c r="D461" s="11"/>
      <c r="E461" s="12"/>
      <c r="F461" s="12"/>
      <c r="I461" s="12"/>
      <c r="J461" s="11"/>
    </row>
    <row r="462">
      <c r="B462" s="2"/>
      <c r="C462" s="10"/>
      <c r="D462" s="11"/>
      <c r="E462" s="12"/>
      <c r="F462" s="12"/>
      <c r="I462" s="12"/>
      <c r="J462" s="11"/>
    </row>
    <row r="463">
      <c r="B463" s="2"/>
      <c r="C463" s="10"/>
      <c r="D463" s="11"/>
      <c r="E463" s="12"/>
      <c r="F463" s="12"/>
      <c r="I463" s="12"/>
      <c r="J463" s="11"/>
    </row>
    <row r="464">
      <c r="B464" s="2"/>
      <c r="C464" s="10"/>
      <c r="D464" s="11"/>
      <c r="E464" s="12"/>
      <c r="F464" s="12"/>
      <c r="I464" s="12"/>
      <c r="J464" s="11"/>
    </row>
    <row r="465">
      <c r="B465" s="2"/>
      <c r="C465" s="10"/>
      <c r="D465" s="11"/>
      <c r="E465" s="12"/>
      <c r="F465" s="12"/>
      <c r="I465" s="12"/>
      <c r="J465" s="11"/>
    </row>
    <row r="466">
      <c r="B466" s="2"/>
      <c r="C466" s="10"/>
      <c r="D466" s="11"/>
      <c r="E466" s="12"/>
      <c r="F466" s="12"/>
      <c r="I466" s="12"/>
      <c r="J466" s="11"/>
    </row>
    <row r="467">
      <c r="B467" s="2"/>
      <c r="C467" s="10"/>
      <c r="D467" s="11"/>
      <c r="E467" s="12"/>
      <c r="F467" s="12"/>
      <c r="I467" s="12"/>
      <c r="J467" s="11"/>
    </row>
    <row r="468">
      <c r="B468" s="2"/>
      <c r="C468" s="10"/>
      <c r="D468" s="11"/>
      <c r="E468" s="12"/>
      <c r="F468" s="12"/>
      <c r="I468" s="12"/>
      <c r="J468" s="11"/>
    </row>
    <row r="469">
      <c r="B469" s="2"/>
      <c r="C469" s="10"/>
      <c r="D469" s="11"/>
      <c r="E469" s="12"/>
      <c r="F469" s="12"/>
      <c r="I469" s="12"/>
      <c r="J469" s="11"/>
    </row>
    <row r="470">
      <c r="B470" s="2"/>
      <c r="C470" s="10"/>
      <c r="D470" s="11"/>
      <c r="E470" s="12"/>
      <c r="F470" s="12"/>
      <c r="I470" s="12"/>
      <c r="J470" s="11"/>
    </row>
    <row r="471">
      <c r="B471" s="2"/>
      <c r="C471" s="10"/>
      <c r="D471" s="11"/>
      <c r="E471" s="12"/>
      <c r="F471" s="12"/>
      <c r="I471" s="12"/>
      <c r="J471" s="11"/>
    </row>
    <row r="472">
      <c r="B472" s="2"/>
      <c r="C472" s="10"/>
      <c r="D472" s="11"/>
      <c r="E472" s="12"/>
      <c r="F472" s="12"/>
      <c r="I472" s="12"/>
      <c r="J472" s="11"/>
    </row>
    <row r="473">
      <c r="B473" s="2"/>
      <c r="C473" s="10"/>
      <c r="D473" s="11"/>
      <c r="E473" s="12"/>
      <c r="F473" s="12"/>
      <c r="I473" s="12"/>
      <c r="J473" s="11"/>
    </row>
    <row r="474">
      <c r="B474" s="2"/>
      <c r="C474" s="10"/>
      <c r="D474" s="11"/>
      <c r="E474" s="12"/>
      <c r="F474" s="12"/>
      <c r="I474" s="12"/>
      <c r="J474" s="11"/>
    </row>
    <row r="475">
      <c r="B475" s="2"/>
      <c r="C475" s="10"/>
      <c r="D475" s="11"/>
      <c r="E475" s="12"/>
      <c r="F475" s="12"/>
      <c r="I475" s="12"/>
      <c r="J475" s="11"/>
    </row>
    <row r="476">
      <c r="B476" s="2"/>
      <c r="C476" s="10"/>
      <c r="D476" s="11"/>
      <c r="E476" s="12"/>
      <c r="F476" s="12"/>
      <c r="I476" s="12"/>
      <c r="J476" s="11"/>
    </row>
    <row r="477">
      <c r="B477" s="2"/>
      <c r="C477" s="10"/>
      <c r="D477" s="11"/>
      <c r="E477" s="12"/>
      <c r="F477" s="12"/>
      <c r="I477" s="12"/>
      <c r="J477" s="11"/>
    </row>
    <row r="478">
      <c r="B478" s="2"/>
      <c r="C478" s="10"/>
      <c r="D478" s="11"/>
      <c r="E478" s="12"/>
      <c r="F478" s="12"/>
      <c r="I478" s="12"/>
      <c r="J478" s="11"/>
    </row>
    <row r="479">
      <c r="B479" s="2"/>
      <c r="C479" s="10"/>
      <c r="D479" s="11"/>
      <c r="E479" s="12"/>
      <c r="F479" s="12"/>
      <c r="I479" s="12"/>
      <c r="J479" s="11"/>
    </row>
    <row r="480">
      <c r="B480" s="2"/>
      <c r="C480" s="10"/>
      <c r="D480" s="11"/>
      <c r="E480" s="12"/>
      <c r="F480" s="12"/>
      <c r="I480" s="12"/>
      <c r="J480" s="11"/>
    </row>
    <row r="481">
      <c r="B481" s="2"/>
      <c r="C481" s="10"/>
      <c r="D481" s="11"/>
      <c r="E481" s="12"/>
      <c r="F481" s="12"/>
      <c r="I481" s="12"/>
      <c r="J481" s="11"/>
    </row>
    <row r="482">
      <c r="B482" s="2"/>
      <c r="C482" s="10"/>
      <c r="D482" s="11"/>
      <c r="E482" s="12"/>
      <c r="F482" s="12"/>
      <c r="I482" s="12"/>
      <c r="J482" s="11"/>
    </row>
    <row r="483">
      <c r="B483" s="2"/>
      <c r="C483" s="10"/>
      <c r="D483" s="11"/>
      <c r="E483" s="12"/>
      <c r="F483" s="12"/>
      <c r="I483" s="12"/>
      <c r="J483" s="11"/>
    </row>
    <row r="484">
      <c r="B484" s="2"/>
      <c r="C484" s="10"/>
      <c r="D484" s="11"/>
      <c r="E484" s="12"/>
      <c r="F484" s="12"/>
      <c r="I484" s="12"/>
      <c r="J484" s="11"/>
    </row>
    <row r="485">
      <c r="B485" s="2"/>
      <c r="C485" s="10"/>
      <c r="D485" s="11"/>
      <c r="E485" s="12"/>
      <c r="F485" s="12"/>
      <c r="I485" s="12"/>
      <c r="J485" s="11"/>
    </row>
    <row r="486">
      <c r="B486" s="2"/>
      <c r="C486" s="10"/>
      <c r="D486" s="11"/>
      <c r="E486" s="12"/>
      <c r="F486" s="12"/>
      <c r="I486" s="12"/>
      <c r="J486" s="11"/>
    </row>
    <row r="487">
      <c r="B487" s="2"/>
      <c r="C487" s="10"/>
      <c r="D487" s="11"/>
      <c r="E487" s="12"/>
      <c r="F487" s="12"/>
      <c r="I487" s="12"/>
      <c r="J487" s="11"/>
    </row>
    <row r="488">
      <c r="B488" s="2"/>
      <c r="C488" s="10"/>
      <c r="D488" s="11"/>
      <c r="E488" s="12"/>
      <c r="F488" s="12"/>
      <c r="I488" s="12"/>
      <c r="J488" s="11"/>
    </row>
    <row r="489">
      <c r="B489" s="2"/>
      <c r="C489" s="10"/>
      <c r="D489" s="11"/>
      <c r="E489" s="12"/>
      <c r="F489" s="12"/>
      <c r="I489" s="12"/>
      <c r="J489" s="11"/>
    </row>
    <row r="490">
      <c r="B490" s="2"/>
      <c r="C490" s="10"/>
      <c r="D490" s="11"/>
      <c r="E490" s="12"/>
      <c r="F490" s="12"/>
      <c r="I490" s="12"/>
      <c r="J490" s="11"/>
    </row>
    <row r="491">
      <c r="B491" s="2"/>
      <c r="C491" s="10"/>
      <c r="D491" s="11"/>
      <c r="E491" s="12"/>
      <c r="F491" s="12"/>
      <c r="I491" s="12"/>
      <c r="J491" s="11"/>
    </row>
    <row r="492">
      <c r="B492" s="2"/>
      <c r="C492" s="10"/>
      <c r="D492" s="11"/>
      <c r="E492" s="12"/>
      <c r="F492" s="12"/>
      <c r="I492" s="12"/>
      <c r="J492" s="11"/>
    </row>
    <row r="493">
      <c r="B493" s="2"/>
      <c r="C493" s="10"/>
      <c r="D493" s="11"/>
      <c r="E493" s="12"/>
      <c r="F493" s="12"/>
      <c r="I493" s="12"/>
      <c r="J493" s="11"/>
    </row>
    <row r="494">
      <c r="B494" s="2"/>
      <c r="C494" s="10"/>
      <c r="D494" s="11"/>
      <c r="E494" s="12"/>
      <c r="F494" s="12"/>
      <c r="I494" s="12"/>
      <c r="J494" s="11"/>
    </row>
    <row r="495">
      <c r="B495" s="2"/>
      <c r="C495" s="10"/>
      <c r="D495" s="11"/>
      <c r="E495" s="12"/>
      <c r="F495" s="12"/>
      <c r="I495" s="12"/>
      <c r="J495" s="11"/>
    </row>
    <row r="496">
      <c r="B496" s="2"/>
      <c r="C496" s="10"/>
      <c r="D496" s="11"/>
      <c r="E496" s="12"/>
      <c r="F496" s="12"/>
      <c r="I496" s="12"/>
      <c r="J496" s="11"/>
    </row>
    <row r="497">
      <c r="B497" s="2"/>
      <c r="C497" s="10"/>
      <c r="D497" s="11"/>
      <c r="E497" s="12"/>
      <c r="F497" s="12"/>
      <c r="I497" s="12"/>
      <c r="J497" s="11"/>
    </row>
    <row r="498">
      <c r="B498" s="2"/>
      <c r="C498" s="10"/>
      <c r="D498" s="11"/>
      <c r="E498" s="12"/>
      <c r="F498" s="12"/>
      <c r="I498" s="12"/>
      <c r="J498" s="11"/>
    </row>
    <row r="499">
      <c r="B499" s="2"/>
      <c r="C499" s="10"/>
      <c r="D499" s="11"/>
      <c r="E499" s="12"/>
      <c r="F499" s="12"/>
      <c r="I499" s="12"/>
      <c r="J499" s="11"/>
    </row>
    <row r="500">
      <c r="B500" s="2"/>
      <c r="C500" s="10"/>
      <c r="D500" s="11"/>
      <c r="E500" s="12"/>
      <c r="F500" s="12"/>
      <c r="I500" s="12"/>
      <c r="J500" s="11"/>
    </row>
    <row r="501">
      <c r="B501" s="2"/>
      <c r="C501" s="10"/>
      <c r="D501" s="11"/>
      <c r="E501" s="12"/>
      <c r="F501" s="12"/>
      <c r="I501" s="12"/>
      <c r="J501" s="11"/>
    </row>
    <row r="502">
      <c r="B502" s="2"/>
      <c r="C502" s="10"/>
      <c r="D502" s="11"/>
      <c r="E502" s="12"/>
      <c r="F502" s="12"/>
      <c r="I502" s="12"/>
      <c r="J502" s="11"/>
    </row>
    <row r="503">
      <c r="B503" s="2"/>
      <c r="C503" s="10"/>
      <c r="D503" s="11"/>
      <c r="E503" s="12"/>
      <c r="F503" s="12"/>
      <c r="I503" s="12"/>
      <c r="J503" s="11"/>
    </row>
    <row r="504">
      <c r="B504" s="2"/>
      <c r="C504" s="10"/>
      <c r="D504" s="11"/>
      <c r="E504" s="12"/>
      <c r="F504" s="12"/>
      <c r="I504" s="12"/>
      <c r="J504" s="11"/>
    </row>
    <row r="505">
      <c r="B505" s="2"/>
      <c r="C505" s="10"/>
      <c r="D505" s="11"/>
      <c r="E505" s="12"/>
      <c r="F505" s="12"/>
      <c r="I505" s="12"/>
      <c r="J505" s="11"/>
    </row>
    <row r="506">
      <c r="B506" s="2"/>
      <c r="C506" s="10"/>
      <c r="D506" s="11"/>
      <c r="E506" s="12"/>
      <c r="F506" s="12"/>
      <c r="I506" s="12"/>
      <c r="J506" s="11"/>
    </row>
    <row r="507">
      <c r="B507" s="2"/>
      <c r="C507" s="10"/>
      <c r="D507" s="11"/>
      <c r="E507" s="12"/>
      <c r="F507" s="12"/>
      <c r="I507" s="12"/>
      <c r="J507" s="11"/>
    </row>
    <row r="508">
      <c r="B508" s="2"/>
      <c r="C508" s="10"/>
      <c r="D508" s="11"/>
      <c r="E508" s="12"/>
      <c r="F508" s="12"/>
      <c r="I508" s="12"/>
      <c r="J508" s="11"/>
    </row>
    <row r="509">
      <c r="B509" s="2"/>
      <c r="C509" s="10"/>
      <c r="D509" s="11"/>
      <c r="E509" s="12"/>
      <c r="F509" s="12"/>
      <c r="I509" s="12"/>
      <c r="J509" s="11"/>
    </row>
    <row r="510">
      <c r="B510" s="2"/>
      <c r="C510" s="10"/>
      <c r="D510" s="11"/>
      <c r="E510" s="12"/>
      <c r="F510" s="12"/>
      <c r="I510" s="12"/>
      <c r="J510" s="11"/>
    </row>
    <row r="511">
      <c r="B511" s="2"/>
      <c r="C511" s="10"/>
      <c r="D511" s="11"/>
      <c r="E511" s="12"/>
      <c r="F511" s="12"/>
      <c r="I511" s="12"/>
      <c r="J511" s="11"/>
    </row>
    <row r="512">
      <c r="B512" s="2"/>
      <c r="C512" s="10"/>
      <c r="D512" s="11"/>
      <c r="E512" s="12"/>
      <c r="F512" s="12"/>
      <c r="I512" s="12"/>
      <c r="J512" s="11"/>
    </row>
    <row r="513">
      <c r="B513" s="2"/>
      <c r="C513" s="10"/>
      <c r="D513" s="11"/>
      <c r="E513" s="12"/>
      <c r="F513" s="12"/>
      <c r="I513" s="12"/>
      <c r="J513" s="11"/>
    </row>
    <row r="514">
      <c r="B514" s="2"/>
      <c r="C514" s="10"/>
      <c r="D514" s="11"/>
      <c r="E514" s="12"/>
      <c r="F514" s="12"/>
      <c r="I514" s="12"/>
      <c r="J514" s="11"/>
    </row>
    <row r="515">
      <c r="B515" s="2"/>
      <c r="C515" s="10"/>
      <c r="D515" s="11"/>
      <c r="E515" s="12"/>
      <c r="F515" s="12"/>
      <c r="I515" s="12"/>
      <c r="J515" s="11"/>
    </row>
    <row r="516">
      <c r="B516" s="2"/>
      <c r="C516" s="10"/>
      <c r="D516" s="11"/>
      <c r="E516" s="12"/>
      <c r="F516" s="12"/>
      <c r="I516" s="12"/>
      <c r="J516" s="11"/>
    </row>
    <row r="517">
      <c r="B517" s="2"/>
      <c r="C517" s="10"/>
      <c r="D517" s="11"/>
      <c r="E517" s="12"/>
      <c r="F517" s="12"/>
      <c r="I517" s="12"/>
      <c r="J517" s="11"/>
    </row>
    <row r="518">
      <c r="B518" s="2"/>
      <c r="C518" s="10"/>
      <c r="D518" s="11"/>
      <c r="E518" s="12"/>
      <c r="F518" s="12"/>
      <c r="I518" s="12"/>
      <c r="J518" s="11"/>
    </row>
    <row r="519">
      <c r="B519" s="2"/>
      <c r="C519" s="10"/>
      <c r="D519" s="11"/>
      <c r="E519" s="12"/>
      <c r="F519" s="12"/>
      <c r="I519" s="12"/>
      <c r="J519" s="11"/>
    </row>
    <row r="520">
      <c r="B520" s="2"/>
      <c r="C520" s="10"/>
      <c r="D520" s="11"/>
      <c r="E520" s="12"/>
      <c r="F520" s="12"/>
      <c r="I520" s="12"/>
      <c r="J520" s="11"/>
    </row>
    <row r="521">
      <c r="B521" s="2"/>
      <c r="C521" s="10"/>
      <c r="D521" s="11"/>
      <c r="E521" s="12"/>
      <c r="F521" s="12"/>
      <c r="I521" s="12"/>
      <c r="J521" s="11"/>
    </row>
    <row r="522">
      <c r="B522" s="2"/>
      <c r="C522" s="10"/>
      <c r="D522" s="11"/>
      <c r="E522" s="12"/>
      <c r="F522" s="12"/>
      <c r="I522" s="12"/>
      <c r="J522" s="11"/>
    </row>
    <row r="523">
      <c r="B523" s="2"/>
      <c r="C523" s="10"/>
      <c r="D523" s="11"/>
      <c r="E523" s="12"/>
      <c r="F523" s="12"/>
      <c r="I523" s="12"/>
      <c r="J523" s="11"/>
    </row>
    <row r="524">
      <c r="B524" s="2"/>
      <c r="C524" s="10"/>
      <c r="D524" s="11"/>
      <c r="E524" s="12"/>
      <c r="F524" s="12"/>
      <c r="I524" s="12"/>
      <c r="J524" s="11"/>
    </row>
    <row r="525">
      <c r="B525" s="2"/>
      <c r="C525" s="10"/>
      <c r="D525" s="11"/>
      <c r="E525" s="12"/>
      <c r="F525" s="12"/>
      <c r="I525" s="12"/>
      <c r="J525" s="11"/>
    </row>
    <row r="526">
      <c r="B526" s="2"/>
      <c r="C526" s="10"/>
      <c r="D526" s="11"/>
      <c r="E526" s="12"/>
      <c r="F526" s="12"/>
      <c r="I526" s="12"/>
      <c r="J526" s="11"/>
    </row>
    <row r="527">
      <c r="B527" s="2"/>
      <c r="C527" s="10"/>
      <c r="D527" s="11"/>
      <c r="E527" s="12"/>
      <c r="F527" s="12"/>
      <c r="I527" s="12"/>
      <c r="J527" s="11"/>
    </row>
    <row r="528">
      <c r="B528" s="2"/>
      <c r="C528" s="10"/>
      <c r="D528" s="11"/>
      <c r="E528" s="12"/>
      <c r="F528" s="12"/>
      <c r="I528" s="12"/>
      <c r="J528" s="11"/>
    </row>
    <row r="529">
      <c r="B529" s="2"/>
      <c r="C529" s="10"/>
      <c r="D529" s="11"/>
      <c r="E529" s="12"/>
      <c r="F529" s="12"/>
      <c r="I529" s="12"/>
      <c r="J529" s="11"/>
    </row>
    <row r="530">
      <c r="B530" s="2"/>
      <c r="C530" s="10"/>
      <c r="D530" s="11"/>
      <c r="E530" s="12"/>
      <c r="F530" s="12"/>
      <c r="I530" s="12"/>
      <c r="J530" s="11"/>
    </row>
    <row r="531">
      <c r="B531" s="2"/>
      <c r="C531" s="10"/>
      <c r="D531" s="11"/>
      <c r="E531" s="12"/>
      <c r="F531" s="12"/>
      <c r="I531" s="12"/>
      <c r="J531" s="11"/>
    </row>
    <row r="532">
      <c r="B532" s="2"/>
      <c r="C532" s="10"/>
      <c r="D532" s="11"/>
      <c r="E532" s="12"/>
      <c r="F532" s="12"/>
      <c r="I532" s="12"/>
      <c r="J532" s="11"/>
    </row>
    <row r="533">
      <c r="B533" s="2"/>
      <c r="C533" s="10"/>
      <c r="D533" s="11"/>
      <c r="E533" s="12"/>
      <c r="F533" s="12"/>
      <c r="I533" s="12"/>
      <c r="J533" s="11"/>
    </row>
    <row r="534">
      <c r="B534" s="2"/>
      <c r="C534" s="10"/>
      <c r="D534" s="11"/>
      <c r="E534" s="12"/>
      <c r="F534" s="12"/>
      <c r="I534" s="12"/>
      <c r="J534" s="11"/>
    </row>
    <row r="535">
      <c r="B535" s="2"/>
      <c r="C535" s="10"/>
      <c r="D535" s="11"/>
      <c r="E535" s="12"/>
      <c r="F535" s="12"/>
      <c r="I535" s="12"/>
      <c r="J535" s="11"/>
    </row>
    <row r="536">
      <c r="B536" s="2"/>
      <c r="C536" s="10"/>
      <c r="D536" s="11"/>
      <c r="E536" s="12"/>
      <c r="F536" s="12"/>
      <c r="I536" s="12"/>
      <c r="J536" s="11"/>
    </row>
    <row r="537">
      <c r="B537" s="2"/>
      <c r="C537" s="10"/>
      <c r="D537" s="11"/>
      <c r="E537" s="12"/>
      <c r="F537" s="12"/>
      <c r="I537" s="12"/>
      <c r="J537" s="11"/>
    </row>
    <row r="538">
      <c r="B538" s="2"/>
      <c r="C538" s="10"/>
      <c r="D538" s="11"/>
      <c r="E538" s="12"/>
      <c r="F538" s="12"/>
      <c r="I538" s="12"/>
      <c r="J538" s="11"/>
    </row>
    <row r="539">
      <c r="B539" s="2"/>
      <c r="C539" s="10"/>
      <c r="D539" s="11"/>
      <c r="E539" s="12"/>
      <c r="F539" s="12"/>
      <c r="I539" s="12"/>
      <c r="J539" s="11"/>
    </row>
    <row r="540">
      <c r="B540" s="2"/>
      <c r="C540" s="10"/>
      <c r="D540" s="11"/>
      <c r="E540" s="12"/>
      <c r="F540" s="12"/>
      <c r="I540" s="12"/>
      <c r="J540" s="11"/>
    </row>
    <row r="541">
      <c r="B541" s="2"/>
      <c r="C541" s="10"/>
      <c r="D541" s="11"/>
      <c r="E541" s="12"/>
      <c r="F541" s="12"/>
      <c r="I541" s="12"/>
      <c r="J541" s="11"/>
    </row>
    <row r="542">
      <c r="B542" s="2"/>
      <c r="C542" s="10"/>
      <c r="D542" s="11"/>
      <c r="E542" s="12"/>
      <c r="F542" s="12"/>
      <c r="I542" s="12"/>
      <c r="J542" s="11"/>
    </row>
    <row r="543">
      <c r="B543" s="2"/>
      <c r="C543" s="10"/>
      <c r="D543" s="11"/>
      <c r="E543" s="12"/>
      <c r="F543" s="12"/>
      <c r="I543" s="12"/>
      <c r="J543" s="11"/>
    </row>
    <row r="544">
      <c r="B544" s="2"/>
      <c r="C544" s="10"/>
      <c r="D544" s="11"/>
      <c r="E544" s="12"/>
      <c r="F544" s="12"/>
      <c r="I544" s="12"/>
      <c r="J544" s="11"/>
    </row>
    <row r="545">
      <c r="B545" s="2"/>
      <c r="C545" s="10"/>
      <c r="D545" s="11"/>
      <c r="E545" s="12"/>
      <c r="F545" s="12"/>
      <c r="I545" s="12"/>
      <c r="J545" s="11"/>
    </row>
    <row r="546">
      <c r="B546" s="2"/>
      <c r="C546" s="10"/>
      <c r="D546" s="11"/>
      <c r="E546" s="12"/>
      <c r="F546" s="12"/>
      <c r="I546" s="12"/>
      <c r="J546" s="11"/>
    </row>
    <row r="547">
      <c r="B547" s="2"/>
      <c r="C547" s="10"/>
      <c r="D547" s="11"/>
      <c r="E547" s="12"/>
      <c r="F547" s="12"/>
      <c r="I547" s="12"/>
      <c r="J547" s="11"/>
    </row>
    <row r="548">
      <c r="B548" s="2"/>
      <c r="C548" s="10"/>
      <c r="D548" s="11"/>
      <c r="E548" s="12"/>
      <c r="F548" s="12"/>
      <c r="I548" s="12"/>
      <c r="J548" s="11"/>
    </row>
    <row r="549">
      <c r="B549" s="2"/>
      <c r="C549" s="10"/>
      <c r="D549" s="11"/>
      <c r="E549" s="12"/>
      <c r="F549" s="12"/>
      <c r="I549" s="12"/>
      <c r="J549" s="11"/>
    </row>
    <row r="550">
      <c r="B550" s="2"/>
      <c r="C550" s="10"/>
      <c r="D550" s="11"/>
      <c r="E550" s="12"/>
      <c r="F550" s="12"/>
      <c r="I550" s="12"/>
      <c r="J550" s="11"/>
    </row>
    <row r="551">
      <c r="B551" s="2"/>
      <c r="C551" s="10"/>
      <c r="D551" s="11"/>
      <c r="E551" s="12"/>
      <c r="F551" s="12"/>
      <c r="I551" s="12"/>
      <c r="J551" s="11"/>
    </row>
    <row r="552">
      <c r="B552" s="2"/>
      <c r="C552" s="10"/>
      <c r="D552" s="11"/>
      <c r="E552" s="12"/>
      <c r="F552" s="12"/>
      <c r="I552" s="12"/>
      <c r="J552" s="11"/>
    </row>
    <row r="553">
      <c r="B553" s="2"/>
      <c r="C553" s="10"/>
      <c r="D553" s="11"/>
      <c r="E553" s="12"/>
      <c r="F553" s="12"/>
      <c r="I553" s="12"/>
      <c r="J553" s="11"/>
    </row>
    <row r="554">
      <c r="B554" s="2"/>
      <c r="C554" s="10"/>
      <c r="D554" s="11"/>
      <c r="E554" s="12"/>
      <c r="F554" s="12"/>
      <c r="I554" s="12"/>
      <c r="J554" s="11"/>
    </row>
    <row r="555">
      <c r="B555" s="2"/>
      <c r="C555" s="10"/>
      <c r="D555" s="11"/>
      <c r="E555" s="12"/>
      <c r="F555" s="12"/>
      <c r="I555" s="12"/>
      <c r="J555" s="11"/>
    </row>
    <row r="556">
      <c r="B556" s="2"/>
      <c r="C556" s="10"/>
      <c r="D556" s="11"/>
      <c r="E556" s="12"/>
      <c r="F556" s="12"/>
      <c r="I556" s="12"/>
      <c r="J556" s="11"/>
    </row>
    <row r="557">
      <c r="B557" s="2"/>
      <c r="C557" s="10"/>
      <c r="D557" s="11"/>
      <c r="E557" s="12"/>
      <c r="F557" s="12"/>
      <c r="I557" s="12"/>
      <c r="J557" s="11"/>
    </row>
    <row r="558">
      <c r="B558" s="2"/>
      <c r="C558" s="10"/>
      <c r="D558" s="11"/>
      <c r="E558" s="12"/>
      <c r="F558" s="12"/>
      <c r="I558" s="12"/>
      <c r="J558" s="11"/>
    </row>
    <row r="559">
      <c r="B559" s="2"/>
      <c r="C559" s="10"/>
      <c r="D559" s="11"/>
      <c r="E559" s="12"/>
      <c r="F559" s="12"/>
      <c r="I559" s="12"/>
      <c r="J559" s="11"/>
    </row>
    <row r="560">
      <c r="B560" s="2"/>
      <c r="C560" s="10"/>
      <c r="D560" s="11"/>
      <c r="E560" s="12"/>
      <c r="F560" s="12"/>
      <c r="I560" s="12"/>
      <c r="J560" s="11"/>
    </row>
    <row r="561">
      <c r="B561" s="2"/>
      <c r="C561" s="10"/>
      <c r="D561" s="11"/>
      <c r="E561" s="12"/>
      <c r="F561" s="12"/>
      <c r="I561" s="12"/>
      <c r="J561" s="11"/>
    </row>
    <row r="562">
      <c r="B562" s="2"/>
      <c r="C562" s="10"/>
      <c r="D562" s="11"/>
      <c r="E562" s="12"/>
      <c r="F562" s="12"/>
      <c r="I562" s="12"/>
      <c r="J562" s="11"/>
    </row>
    <row r="563">
      <c r="B563" s="2"/>
      <c r="C563" s="10"/>
      <c r="D563" s="11"/>
      <c r="E563" s="12"/>
      <c r="F563" s="12"/>
      <c r="I563" s="12"/>
      <c r="J563" s="11"/>
    </row>
    <row r="564">
      <c r="B564" s="2"/>
      <c r="C564" s="10"/>
      <c r="D564" s="11"/>
      <c r="E564" s="12"/>
      <c r="F564" s="12"/>
      <c r="I564" s="12"/>
      <c r="J564" s="11"/>
    </row>
    <row r="565">
      <c r="B565" s="2"/>
      <c r="C565" s="10"/>
      <c r="D565" s="11"/>
      <c r="E565" s="12"/>
      <c r="F565" s="12"/>
      <c r="I565" s="12"/>
      <c r="J565" s="11"/>
    </row>
    <row r="566">
      <c r="B566" s="2"/>
      <c r="C566" s="10"/>
      <c r="D566" s="11"/>
      <c r="E566" s="12"/>
      <c r="F566" s="12"/>
      <c r="I566" s="12"/>
      <c r="J566" s="11"/>
    </row>
    <row r="567">
      <c r="B567" s="2"/>
      <c r="C567" s="10"/>
      <c r="D567" s="11"/>
      <c r="E567" s="12"/>
      <c r="F567" s="12"/>
      <c r="I567" s="12"/>
      <c r="J567" s="11"/>
    </row>
    <row r="568">
      <c r="B568" s="2"/>
      <c r="C568" s="10"/>
      <c r="D568" s="11"/>
      <c r="E568" s="12"/>
      <c r="F568" s="12"/>
      <c r="I568" s="12"/>
      <c r="J568" s="11"/>
    </row>
    <row r="569">
      <c r="B569" s="2"/>
      <c r="C569" s="10"/>
      <c r="D569" s="11"/>
      <c r="E569" s="12"/>
      <c r="F569" s="12"/>
      <c r="I569" s="12"/>
      <c r="J569" s="11"/>
    </row>
    <row r="570">
      <c r="B570" s="2"/>
      <c r="C570" s="10"/>
      <c r="D570" s="11"/>
      <c r="E570" s="12"/>
      <c r="F570" s="12"/>
      <c r="I570" s="12"/>
      <c r="J570" s="11"/>
    </row>
    <row r="571">
      <c r="B571" s="2"/>
      <c r="C571" s="10"/>
      <c r="D571" s="11"/>
      <c r="E571" s="12"/>
      <c r="F571" s="12"/>
      <c r="I571" s="12"/>
      <c r="J571" s="11"/>
    </row>
    <row r="572">
      <c r="B572" s="2"/>
      <c r="C572" s="10"/>
      <c r="D572" s="11"/>
      <c r="E572" s="12"/>
      <c r="F572" s="12"/>
      <c r="I572" s="12"/>
      <c r="J572" s="11"/>
    </row>
    <row r="573">
      <c r="B573" s="2"/>
      <c r="C573" s="10"/>
      <c r="D573" s="11"/>
      <c r="E573" s="12"/>
      <c r="F573" s="12"/>
      <c r="I573" s="12"/>
      <c r="J573" s="11"/>
    </row>
    <row r="574">
      <c r="B574" s="2"/>
      <c r="C574" s="10"/>
      <c r="D574" s="11"/>
      <c r="E574" s="12"/>
      <c r="F574" s="12"/>
      <c r="I574" s="12"/>
      <c r="J574" s="11"/>
    </row>
    <row r="575">
      <c r="B575" s="2"/>
      <c r="C575" s="10"/>
      <c r="D575" s="11"/>
      <c r="E575" s="12"/>
      <c r="F575" s="12"/>
      <c r="I575" s="12"/>
      <c r="J575" s="11"/>
    </row>
    <row r="576">
      <c r="B576" s="2"/>
      <c r="C576" s="10"/>
      <c r="D576" s="11"/>
      <c r="E576" s="12"/>
      <c r="F576" s="12"/>
      <c r="I576" s="12"/>
      <c r="J576" s="11"/>
    </row>
    <row r="577">
      <c r="B577" s="2"/>
      <c r="C577" s="10"/>
      <c r="D577" s="11"/>
      <c r="E577" s="12"/>
      <c r="F577" s="12"/>
      <c r="I577" s="12"/>
      <c r="J577" s="11"/>
    </row>
    <row r="578">
      <c r="B578" s="2"/>
      <c r="C578" s="10"/>
      <c r="D578" s="11"/>
      <c r="E578" s="12"/>
      <c r="F578" s="12"/>
      <c r="I578" s="12"/>
      <c r="J578" s="11"/>
    </row>
    <row r="579">
      <c r="B579" s="2"/>
      <c r="C579" s="10"/>
      <c r="D579" s="11"/>
      <c r="E579" s="12"/>
      <c r="F579" s="12"/>
      <c r="I579" s="12"/>
      <c r="J579" s="11"/>
    </row>
    <row r="580">
      <c r="B580" s="2"/>
      <c r="C580" s="10"/>
      <c r="D580" s="11"/>
      <c r="E580" s="12"/>
      <c r="F580" s="12"/>
      <c r="I580" s="12"/>
      <c r="J580" s="11"/>
    </row>
    <row r="581">
      <c r="B581" s="2"/>
      <c r="C581" s="10"/>
      <c r="D581" s="11"/>
      <c r="E581" s="12"/>
      <c r="F581" s="12"/>
      <c r="I581" s="12"/>
      <c r="J581" s="11"/>
    </row>
    <row r="582">
      <c r="B582" s="2"/>
      <c r="C582" s="10"/>
      <c r="D582" s="11"/>
      <c r="E582" s="12"/>
      <c r="F582" s="12"/>
      <c r="I582" s="12"/>
      <c r="J582" s="11"/>
    </row>
    <row r="583">
      <c r="B583" s="2"/>
      <c r="C583" s="10"/>
      <c r="D583" s="11"/>
      <c r="E583" s="12"/>
      <c r="F583" s="12"/>
      <c r="I583" s="12"/>
      <c r="J583" s="11"/>
    </row>
    <row r="584">
      <c r="B584" s="2"/>
      <c r="C584" s="10"/>
      <c r="D584" s="11"/>
      <c r="E584" s="12"/>
      <c r="F584" s="12"/>
      <c r="I584" s="12"/>
      <c r="J584" s="11"/>
    </row>
    <row r="585">
      <c r="B585" s="2"/>
      <c r="C585" s="10"/>
      <c r="D585" s="11"/>
      <c r="E585" s="12"/>
      <c r="F585" s="12"/>
      <c r="I585" s="12"/>
      <c r="J585" s="11"/>
    </row>
    <row r="586">
      <c r="B586" s="2"/>
      <c r="C586" s="10"/>
      <c r="D586" s="11"/>
      <c r="E586" s="12"/>
      <c r="F586" s="12"/>
      <c r="I586" s="12"/>
      <c r="J586" s="11"/>
    </row>
    <row r="587">
      <c r="B587" s="2"/>
      <c r="C587" s="10"/>
      <c r="D587" s="11"/>
      <c r="E587" s="12"/>
      <c r="F587" s="12"/>
      <c r="I587" s="12"/>
      <c r="J587" s="11"/>
    </row>
    <row r="588">
      <c r="B588" s="2"/>
      <c r="C588" s="10"/>
      <c r="D588" s="11"/>
      <c r="E588" s="12"/>
      <c r="F588" s="12"/>
      <c r="I588" s="12"/>
      <c r="J588" s="11"/>
    </row>
    <row r="589">
      <c r="B589" s="2"/>
      <c r="C589" s="10"/>
      <c r="D589" s="11"/>
      <c r="E589" s="12"/>
      <c r="F589" s="12"/>
      <c r="I589" s="12"/>
      <c r="J589" s="11"/>
    </row>
    <row r="590">
      <c r="B590" s="2"/>
      <c r="C590" s="10"/>
      <c r="D590" s="11"/>
      <c r="E590" s="12"/>
      <c r="F590" s="12"/>
      <c r="I590" s="12"/>
      <c r="J590" s="11"/>
    </row>
    <row r="591">
      <c r="B591" s="2"/>
      <c r="C591" s="10"/>
      <c r="D591" s="11"/>
      <c r="E591" s="12"/>
      <c r="F591" s="12"/>
      <c r="I591" s="12"/>
      <c r="J591" s="11"/>
    </row>
    <row r="592">
      <c r="B592" s="2"/>
      <c r="C592" s="10"/>
      <c r="D592" s="11"/>
      <c r="E592" s="12"/>
      <c r="F592" s="12"/>
      <c r="I592" s="12"/>
      <c r="J592" s="11"/>
    </row>
    <row r="593">
      <c r="B593" s="2"/>
      <c r="C593" s="10"/>
      <c r="D593" s="11"/>
      <c r="E593" s="12"/>
      <c r="F593" s="12"/>
      <c r="I593" s="12"/>
      <c r="J593" s="11"/>
    </row>
    <row r="594">
      <c r="B594" s="2"/>
      <c r="C594" s="10"/>
      <c r="D594" s="11"/>
      <c r="E594" s="12"/>
      <c r="F594" s="12"/>
      <c r="I594" s="12"/>
      <c r="J594" s="11"/>
    </row>
    <row r="595">
      <c r="B595" s="2"/>
      <c r="C595" s="10"/>
      <c r="D595" s="11"/>
      <c r="E595" s="12"/>
      <c r="F595" s="12"/>
      <c r="I595" s="12"/>
      <c r="J595" s="11"/>
    </row>
    <row r="596">
      <c r="B596" s="2"/>
      <c r="C596" s="10"/>
      <c r="D596" s="11"/>
      <c r="E596" s="12"/>
      <c r="F596" s="12"/>
      <c r="I596" s="12"/>
      <c r="J596" s="11"/>
    </row>
    <row r="597">
      <c r="B597" s="2"/>
      <c r="C597" s="10"/>
      <c r="D597" s="11"/>
      <c r="E597" s="12"/>
      <c r="F597" s="12"/>
      <c r="I597" s="12"/>
      <c r="J597" s="11"/>
    </row>
    <row r="598">
      <c r="B598" s="2"/>
      <c r="C598" s="10"/>
      <c r="D598" s="11"/>
      <c r="E598" s="12"/>
      <c r="F598" s="12"/>
      <c r="I598" s="12"/>
      <c r="J598" s="11"/>
    </row>
    <row r="599">
      <c r="B599" s="2"/>
      <c r="C599" s="10"/>
      <c r="D599" s="11"/>
      <c r="E599" s="12"/>
      <c r="F599" s="12"/>
      <c r="I599" s="12"/>
      <c r="J599" s="11"/>
    </row>
    <row r="600">
      <c r="B600" s="2"/>
      <c r="C600" s="10"/>
      <c r="D600" s="11"/>
      <c r="E600" s="12"/>
      <c r="F600" s="12"/>
      <c r="I600" s="12"/>
      <c r="J600" s="11"/>
    </row>
    <row r="601">
      <c r="B601" s="2"/>
      <c r="C601" s="10"/>
      <c r="D601" s="11"/>
      <c r="E601" s="12"/>
      <c r="F601" s="12"/>
      <c r="I601" s="12"/>
      <c r="J601" s="11"/>
    </row>
    <row r="602">
      <c r="B602" s="2"/>
      <c r="C602" s="10"/>
      <c r="D602" s="11"/>
      <c r="E602" s="12"/>
      <c r="F602" s="12"/>
      <c r="I602" s="12"/>
      <c r="J602" s="11"/>
    </row>
    <row r="603">
      <c r="B603" s="2"/>
      <c r="C603" s="10"/>
      <c r="D603" s="11"/>
      <c r="E603" s="12"/>
      <c r="F603" s="12"/>
      <c r="I603" s="12"/>
      <c r="J603" s="11"/>
    </row>
    <row r="604">
      <c r="B604" s="2"/>
      <c r="C604" s="10"/>
      <c r="D604" s="11"/>
      <c r="E604" s="12"/>
      <c r="F604" s="12"/>
      <c r="I604" s="12"/>
      <c r="J604" s="11"/>
    </row>
    <row r="605">
      <c r="B605" s="2"/>
      <c r="C605" s="10"/>
      <c r="D605" s="11"/>
      <c r="E605" s="12"/>
      <c r="F605" s="12"/>
      <c r="I605" s="12"/>
      <c r="J605" s="11"/>
    </row>
    <row r="606">
      <c r="B606" s="2"/>
      <c r="C606" s="10"/>
      <c r="D606" s="11"/>
      <c r="E606" s="12"/>
      <c r="F606" s="12"/>
      <c r="I606" s="12"/>
      <c r="J606" s="11"/>
    </row>
    <row r="607">
      <c r="B607" s="2"/>
      <c r="C607" s="10"/>
      <c r="D607" s="11"/>
      <c r="E607" s="12"/>
      <c r="F607" s="12"/>
      <c r="I607" s="12"/>
      <c r="J607" s="11"/>
    </row>
    <row r="608">
      <c r="B608" s="2"/>
      <c r="C608" s="10"/>
      <c r="D608" s="11"/>
      <c r="E608" s="12"/>
      <c r="F608" s="12"/>
      <c r="I608" s="12"/>
      <c r="J608" s="11"/>
    </row>
    <row r="609">
      <c r="B609" s="2"/>
      <c r="C609" s="10"/>
      <c r="D609" s="11"/>
      <c r="E609" s="12"/>
      <c r="F609" s="12"/>
      <c r="I609" s="12"/>
      <c r="J609" s="11"/>
    </row>
    <row r="610">
      <c r="B610" s="2"/>
      <c r="C610" s="10"/>
      <c r="D610" s="11"/>
      <c r="E610" s="12"/>
      <c r="F610" s="12"/>
      <c r="I610" s="12"/>
      <c r="J610" s="11"/>
    </row>
    <row r="611">
      <c r="B611" s="2"/>
      <c r="C611" s="10"/>
      <c r="D611" s="11"/>
      <c r="E611" s="12"/>
      <c r="F611" s="12"/>
      <c r="I611" s="12"/>
      <c r="J611" s="11"/>
    </row>
    <row r="612">
      <c r="B612" s="2"/>
      <c r="C612" s="10"/>
      <c r="D612" s="11"/>
      <c r="E612" s="12"/>
      <c r="F612" s="12"/>
      <c r="I612" s="12"/>
      <c r="J612" s="11"/>
    </row>
    <row r="613">
      <c r="B613" s="2"/>
      <c r="C613" s="10"/>
      <c r="D613" s="11"/>
      <c r="E613" s="12"/>
      <c r="F613" s="12"/>
      <c r="I613" s="12"/>
      <c r="J613" s="11"/>
    </row>
    <row r="614">
      <c r="B614" s="2"/>
      <c r="C614" s="10"/>
      <c r="D614" s="11"/>
      <c r="E614" s="12"/>
      <c r="F614" s="12"/>
      <c r="I614" s="12"/>
      <c r="J614" s="11"/>
    </row>
    <row r="615">
      <c r="B615" s="2"/>
      <c r="C615" s="10"/>
      <c r="D615" s="11"/>
      <c r="E615" s="12"/>
      <c r="F615" s="12"/>
      <c r="I615" s="12"/>
      <c r="J615" s="11"/>
    </row>
    <row r="616">
      <c r="B616" s="2"/>
      <c r="C616" s="10"/>
      <c r="D616" s="11"/>
      <c r="E616" s="12"/>
      <c r="F616" s="12"/>
      <c r="I616" s="12"/>
      <c r="J616" s="11"/>
    </row>
    <row r="617">
      <c r="B617" s="2"/>
      <c r="C617" s="10"/>
      <c r="D617" s="11"/>
      <c r="E617" s="12"/>
      <c r="F617" s="12"/>
      <c r="I617" s="12"/>
      <c r="J617" s="11"/>
    </row>
    <row r="618">
      <c r="B618" s="2"/>
      <c r="C618" s="10"/>
      <c r="D618" s="11"/>
      <c r="E618" s="12"/>
      <c r="F618" s="12"/>
      <c r="I618" s="12"/>
      <c r="J618" s="11"/>
    </row>
    <row r="619">
      <c r="B619" s="2"/>
      <c r="C619" s="10"/>
      <c r="D619" s="11"/>
      <c r="E619" s="12"/>
      <c r="F619" s="12"/>
      <c r="I619" s="12"/>
      <c r="J619" s="11"/>
    </row>
    <row r="620">
      <c r="B620" s="2"/>
      <c r="C620" s="10"/>
      <c r="D620" s="11"/>
      <c r="E620" s="12"/>
      <c r="F620" s="12"/>
      <c r="I620" s="12"/>
      <c r="J620" s="11"/>
    </row>
    <row r="621">
      <c r="B621" s="2"/>
      <c r="C621" s="10"/>
      <c r="D621" s="11"/>
      <c r="E621" s="12"/>
      <c r="F621" s="12"/>
      <c r="I621" s="12"/>
      <c r="J621" s="11"/>
    </row>
    <row r="622">
      <c r="B622" s="2"/>
      <c r="C622" s="10"/>
      <c r="D622" s="11"/>
      <c r="E622" s="12"/>
      <c r="F622" s="12"/>
      <c r="I622" s="12"/>
      <c r="J622" s="11"/>
    </row>
    <row r="623">
      <c r="B623" s="2"/>
      <c r="C623" s="10"/>
      <c r="D623" s="11"/>
      <c r="E623" s="12"/>
      <c r="F623" s="12"/>
      <c r="I623" s="12"/>
      <c r="J623" s="11"/>
    </row>
    <row r="624">
      <c r="B624" s="2"/>
      <c r="C624" s="10"/>
      <c r="D624" s="11"/>
      <c r="E624" s="12"/>
      <c r="F624" s="12"/>
      <c r="I624" s="12"/>
      <c r="J624" s="11"/>
    </row>
    <row r="625">
      <c r="B625" s="2"/>
      <c r="C625" s="10"/>
      <c r="D625" s="11"/>
      <c r="E625" s="12"/>
      <c r="F625" s="12"/>
      <c r="I625" s="12"/>
      <c r="J625" s="11"/>
    </row>
    <row r="626">
      <c r="B626" s="2"/>
      <c r="C626" s="10"/>
      <c r="D626" s="11"/>
      <c r="E626" s="12"/>
      <c r="F626" s="12"/>
      <c r="I626" s="12"/>
      <c r="J626" s="11"/>
    </row>
    <row r="627">
      <c r="B627" s="2"/>
      <c r="C627" s="10"/>
      <c r="D627" s="11"/>
      <c r="E627" s="12"/>
      <c r="F627" s="12"/>
      <c r="I627" s="12"/>
      <c r="J627" s="11"/>
    </row>
    <row r="628">
      <c r="B628" s="2"/>
      <c r="C628" s="10"/>
      <c r="D628" s="11"/>
      <c r="E628" s="12"/>
      <c r="F628" s="12"/>
      <c r="I628" s="12"/>
      <c r="J628" s="11"/>
    </row>
    <row r="629">
      <c r="B629" s="2"/>
      <c r="C629" s="10"/>
      <c r="D629" s="11"/>
      <c r="E629" s="12"/>
      <c r="F629" s="12"/>
      <c r="I629" s="12"/>
      <c r="J629" s="11"/>
    </row>
    <row r="630">
      <c r="B630" s="2"/>
      <c r="C630" s="10"/>
      <c r="D630" s="11"/>
      <c r="E630" s="12"/>
      <c r="F630" s="12"/>
      <c r="I630" s="12"/>
      <c r="J630" s="11"/>
    </row>
    <row r="631">
      <c r="B631" s="2"/>
      <c r="C631" s="10"/>
      <c r="D631" s="11"/>
      <c r="E631" s="12"/>
      <c r="F631" s="12"/>
      <c r="I631" s="12"/>
      <c r="J631" s="11"/>
    </row>
    <row r="632">
      <c r="B632" s="2"/>
      <c r="C632" s="10"/>
      <c r="D632" s="11"/>
      <c r="E632" s="12"/>
      <c r="F632" s="12"/>
      <c r="I632" s="12"/>
      <c r="J632" s="11"/>
    </row>
    <row r="633">
      <c r="B633" s="2"/>
      <c r="C633" s="10"/>
      <c r="D633" s="11"/>
      <c r="E633" s="12"/>
      <c r="F633" s="12"/>
      <c r="I633" s="12"/>
      <c r="J633" s="11"/>
    </row>
    <row r="634">
      <c r="B634" s="2"/>
      <c r="C634" s="10"/>
      <c r="D634" s="11"/>
      <c r="E634" s="12"/>
      <c r="F634" s="12"/>
      <c r="I634" s="12"/>
      <c r="J634" s="11"/>
    </row>
    <row r="635">
      <c r="B635" s="2"/>
      <c r="C635" s="10"/>
      <c r="D635" s="11"/>
      <c r="E635" s="12"/>
      <c r="F635" s="12"/>
      <c r="I635" s="12"/>
      <c r="J635" s="11"/>
    </row>
    <row r="636">
      <c r="B636" s="2"/>
      <c r="C636" s="10"/>
      <c r="D636" s="11"/>
      <c r="E636" s="12"/>
      <c r="F636" s="12"/>
      <c r="I636" s="12"/>
      <c r="J636" s="11"/>
    </row>
    <row r="637">
      <c r="B637" s="2"/>
      <c r="C637" s="10"/>
      <c r="D637" s="11"/>
      <c r="E637" s="12"/>
      <c r="F637" s="12"/>
      <c r="I637" s="12"/>
      <c r="J637" s="11"/>
    </row>
    <row r="638">
      <c r="B638" s="2"/>
      <c r="C638" s="10"/>
      <c r="D638" s="11"/>
      <c r="E638" s="12"/>
      <c r="F638" s="12"/>
      <c r="I638" s="12"/>
      <c r="J638" s="11"/>
    </row>
    <row r="639">
      <c r="B639" s="2"/>
      <c r="C639" s="10"/>
      <c r="D639" s="11"/>
      <c r="E639" s="12"/>
      <c r="F639" s="12"/>
      <c r="I639" s="12"/>
      <c r="J639" s="11"/>
    </row>
    <row r="640">
      <c r="B640" s="2"/>
      <c r="C640" s="10"/>
      <c r="D640" s="11"/>
      <c r="E640" s="12"/>
      <c r="F640" s="12"/>
      <c r="I640" s="12"/>
      <c r="J640" s="11"/>
    </row>
    <row r="641">
      <c r="B641" s="2"/>
      <c r="C641" s="10"/>
      <c r="D641" s="11"/>
      <c r="E641" s="12"/>
      <c r="F641" s="12"/>
      <c r="I641" s="12"/>
      <c r="J641" s="11"/>
    </row>
    <row r="642">
      <c r="B642" s="2"/>
      <c r="C642" s="10"/>
      <c r="D642" s="11"/>
      <c r="E642" s="12"/>
      <c r="F642" s="12"/>
      <c r="I642" s="12"/>
      <c r="J642" s="11"/>
    </row>
    <row r="643">
      <c r="B643" s="2"/>
      <c r="C643" s="10"/>
      <c r="D643" s="11"/>
      <c r="E643" s="12"/>
      <c r="F643" s="12"/>
      <c r="I643" s="12"/>
      <c r="J643" s="11"/>
    </row>
    <row r="644">
      <c r="B644" s="2"/>
      <c r="C644" s="10"/>
      <c r="D644" s="11"/>
      <c r="E644" s="12"/>
      <c r="F644" s="12"/>
      <c r="I644" s="12"/>
      <c r="J644" s="11"/>
    </row>
    <row r="645">
      <c r="B645" s="2"/>
      <c r="C645" s="10"/>
      <c r="D645" s="11"/>
      <c r="E645" s="12"/>
      <c r="F645" s="12"/>
      <c r="I645" s="12"/>
      <c r="J645" s="11"/>
    </row>
    <row r="646">
      <c r="B646" s="2"/>
      <c r="C646" s="10"/>
      <c r="D646" s="11"/>
      <c r="E646" s="12"/>
      <c r="F646" s="12"/>
      <c r="I646" s="12"/>
      <c r="J646" s="11"/>
    </row>
    <row r="647">
      <c r="B647" s="2"/>
      <c r="C647" s="10"/>
      <c r="D647" s="11"/>
      <c r="E647" s="12"/>
      <c r="F647" s="12"/>
      <c r="I647" s="12"/>
      <c r="J647" s="11"/>
    </row>
    <row r="648">
      <c r="B648" s="2"/>
      <c r="C648" s="10"/>
      <c r="D648" s="11"/>
      <c r="E648" s="12"/>
      <c r="F648" s="12"/>
      <c r="I648" s="12"/>
      <c r="J648" s="11"/>
    </row>
    <row r="649">
      <c r="B649" s="2"/>
      <c r="C649" s="10"/>
      <c r="D649" s="11"/>
      <c r="E649" s="12"/>
      <c r="F649" s="12"/>
      <c r="I649" s="12"/>
      <c r="J649" s="11"/>
    </row>
    <row r="650">
      <c r="B650" s="2"/>
      <c r="C650" s="10"/>
      <c r="D650" s="11"/>
      <c r="E650" s="12"/>
      <c r="F650" s="12"/>
      <c r="I650" s="12"/>
      <c r="J650" s="11"/>
    </row>
    <row r="651">
      <c r="B651" s="2"/>
      <c r="C651" s="10"/>
      <c r="D651" s="11"/>
      <c r="E651" s="12"/>
      <c r="F651" s="12"/>
      <c r="I651" s="12"/>
      <c r="J651" s="11"/>
    </row>
    <row r="652">
      <c r="B652" s="2"/>
      <c r="C652" s="10"/>
      <c r="D652" s="11"/>
      <c r="E652" s="12"/>
      <c r="F652" s="12"/>
      <c r="I652" s="12"/>
      <c r="J652" s="11"/>
    </row>
    <row r="653">
      <c r="B653" s="2"/>
      <c r="C653" s="10"/>
      <c r="D653" s="11"/>
      <c r="E653" s="12"/>
      <c r="F653" s="12"/>
      <c r="I653" s="12"/>
      <c r="J653" s="11"/>
    </row>
    <row r="654">
      <c r="B654" s="2"/>
      <c r="C654" s="10"/>
      <c r="D654" s="11"/>
      <c r="E654" s="12"/>
      <c r="F654" s="12"/>
      <c r="I654" s="12"/>
      <c r="J654" s="11"/>
    </row>
    <row r="655">
      <c r="B655" s="2"/>
      <c r="C655" s="10"/>
      <c r="D655" s="11"/>
      <c r="E655" s="12"/>
      <c r="F655" s="12"/>
      <c r="I655" s="12"/>
      <c r="J655" s="11"/>
    </row>
    <row r="656">
      <c r="B656" s="2"/>
      <c r="C656" s="10"/>
      <c r="D656" s="11"/>
      <c r="E656" s="12"/>
      <c r="F656" s="12"/>
      <c r="I656" s="12"/>
      <c r="J656" s="11"/>
    </row>
    <row r="657">
      <c r="B657" s="2"/>
      <c r="C657" s="10"/>
      <c r="D657" s="11"/>
      <c r="E657" s="12"/>
      <c r="F657" s="12"/>
      <c r="I657" s="12"/>
      <c r="J657" s="11"/>
    </row>
    <row r="658">
      <c r="B658" s="2"/>
      <c r="C658" s="10"/>
      <c r="D658" s="11"/>
      <c r="E658" s="12"/>
      <c r="F658" s="12"/>
      <c r="I658" s="12"/>
      <c r="J658" s="11"/>
    </row>
    <row r="659">
      <c r="B659" s="2"/>
      <c r="C659" s="10"/>
      <c r="D659" s="11"/>
      <c r="E659" s="12"/>
      <c r="F659" s="12"/>
      <c r="I659" s="12"/>
      <c r="J659" s="11"/>
    </row>
    <row r="660">
      <c r="B660" s="2"/>
      <c r="C660" s="10"/>
      <c r="D660" s="11"/>
      <c r="E660" s="12"/>
      <c r="F660" s="12"/>
      <c r="I660" s="12"/>
      <c r="J660" s="11"/>
    </row>
    <row r="661">
      <c r="B661" s="2"/>
      <c r="C661" s="10"/>
      <c r="D661" s="11"/>
      <c r="E661" s="12"/>
      <c r="F661" s="12"/>
      <c r="I661" s="12"/>
      <c r="J661" s="11"/>
    </row>
    <row r="662">
      <c r="B662" s="2"/>
      <c r="C662" s="10"/>
      <c r="D662" s="11"/>
      <c r="E662" s="12"/>
      <c r="F662" s="12"/>
      <c r="I662" s="12"/>
      <c r="J662" s="11"/>
    </row>
    <row r="663">
      <c r="B663" s="2"/>
      <c r="C663" s="10"/>
      <c r="D663" s="11"/>
      <c r="E663" s="12"/>
      <c r="F663" s="12"/>
      <c r="I663" s="12"/>
      <c r="J663" s="11"/>
    </row>
    <row r="664">
      <c r="B664" s="2"/>
      <c r="C664" s="10"/>
      <c r="D664" s="11"/>
      <c r="E664" s="12"/>
      <c r="F664" s="12"/>
      <c r="I664" s="12"/>
      <c r="J664" s="11"/>
    </row>
    <row r="665">
      <c r="B665" s="2"/>
      <c r="C665" s="10"/>
      <c r="D665" s="11"/>
      <c r="E665" s="12"/>
      <c r="F665" s="12"/>
      <c r="I665" s="12"/>
      <c r="J665" s="11"/>
    </row>
    <row r="666">
      <c r="B666" s="2"/>
      <c r="C666" s="10"/>
      <c r="D666" s="11"/>
      <c r="E666" s="12"/>
      <c r="F666" s="12"/>
      <c r="I666" s="12"/>
      <c r="J666" s="11"/>
    </row>
    <row r="667">
      <c r="B667" s="2"/>
      <c r="C667" s="10"/>
      <c r="D667" s="11"/>
      <c r="E667" s="12"/>
      <c r="F667" s="12"/>
      <c r="I667" s="12"/>
      <c r="J667" s="11"/>
    </row>
    <row r="668">
      <c r="B668" s="2"/>
      <c r="C668" s="10"/>
      <c r="D668" s="11"/>
      <c r="E668" s="12"/>
      <c r="F668" s="12"/>
      <c r="I668" s="12"/>
      <c r="J668" s="11"/>
    </row>
    <row r="669">
      <c r="B669" s="2"/>
      <c r="C669" s="10"/>
      <c r="D669" s="11"/>
      <c r="E669" s="12"/>
      <c r="F669" s="12"/>
      <c r="I669" s="12"/>
      <c r="J669" s="11"/>
    </row>
    <row r="670">
      <c r="B670" s="2"/>
      <c r="C670" s="10"/>
      <c r="D670" s="11"/>
      <c r="E670" s="12"/>
      <c r="F670" s="12"/>
      <c r="I670" s="12"/>
      <c r="J670" s="11"/>
    </row>
    <row r="671">
      <c r="B671" s="2"/>
      <c r="C671" s="10"/>
      <c r="D671" s="11"/>
      <c r="E671" s="12"/>
      <c r="F671" s="12"/>
      <c r="I671" s="12"/>
      <c r="J671" s="11"/>
    </row>
    <row r="672">
      <c r="B672" s="2"/>
      <c r="C672" s="10"/>
      <c r="D672" s="11"/>
      <c r="E672" s="12"/>
      <c r="F672" s="12"/>
      <c r="I672" s="12"/>
      <c r="J672" s="11"/>
    </row>
    <row r="673">
      <c r="B673" s="2"/>
      <c r="C673" s="10"/>
      <c r="D673" s="11"/>
      <c r="E673" s="12"/>
      <c r="F673" s="12"/>
      <c r="I673" s="12"/>
      <c r="J673" s="11"/>
    </row>
    <row r="674">
      <c r="B674" s="2"/>
      <c r="C674" s="10"/>
      <c r="D674" s="11"/>
      <c r="E674" s="12"/>
      <c r="F674" s="12"/>
      <c r="I674" s="12"/>
      <c r="J674" s="11"/>
    </row>
    <row r="675">
      <c r="B675" s="2"/>
      <c r="C675" s="10"/>
      <c r="D675" s="11"/>
      <c r="E675" s="12"/>
      <c r="F675" s="12"/>
      <c r="I675" s="12"/>
      <c r="J675" s="11"/>
    </row>
    <row r="676">
      <c r="B676" s="2"/>
      <c r="C676" s="10"/>
      <c r="D676" s="11"/>
      <c r="E676" s="12"/>
      <c r="F676" s="12"/>
      <c r="I676" s="12"/>
      <c r="J676" s="11"/>
    </row>
    <row r="677">
      <c r="B677" s="2"/>
      <c r="C677" s="10"/>
      <c r="D677" s="11"/>
      <c r="E677" s="12"/>
      <c r="F677" s="12"/>
      <c r="I677" s="12"/>
      <c r="J677" s="11"/>
    </row>
    <row r="678">
      <c r="B678" s="2"/>
      <c r="C678" s="10"/>
      <c r="D678" s="11"/>
      <c r="E678" s="12"/>
      <c r="F678" s="12"/>
      <c r="I678" s="12"/>
      <c r="J678" s="11"/>
    </row>
    <row r="679">
      <c r="B679" s="2"/>
      <c r="C679" s="10"/>
      <c r="D679" s="11"/>
      <c r="E679" s="12"/>
      <c r="F679" s="12"/>
      <c r="I679" s="12"/>
      <c r="J679" s="11"/>
    </row>
    <row r="680">
      <c r="B680" s="2"/>
      <c r="C680" s="10"/>
      <c r="D680" s="11"/>
      <c r="E680" s="12"/>
      <c r="F680" s="12"/>
      <c r="I680" s="12"/>
      <c r="J680" s="11"/>
    </row>
    <row r="681">
      <c r="B681" s="2"/>
      <c r="C681" s="10"/>
      <c r="D681" s="11"/>
      <c r="E681" s="12"/>
      <c r="F681" s="12"/>
      <c r="I681" s="12"/>
      <c r="J681" s="11"/>
    </row>
    <row r="682">
      <c r="B682" s="2"/>
      <c r="C682" s="10"/>
      <c r="D682" s="11"/>
      <c r="E682" s="12"/>
      <c r="F682" s="12"/>
      <c r="I682" s="12"/>
      <c r="J682" s="11"/>
    </row>
    <row r="683">
      <c r="B683" s="2"/>
      <c r="C683" s="10"/>
      <c r="D683" s="11"/>
      <c r="E683" s="12"/>
      <c r="F683" s="12"/>
      <c r="I683" s="12"/>
      <c r="J683" s="11"/>
    </row>
    <row r="684">
      <c r="B684" s="2"/>
      <c r="C684" s="10"/>
      <c r="D684" s="11"/>
      <c r="E684" s="12"/>
      <c r="F684" s="12"/>
      <c r="I684" s="12"/>
      <c r="J684" s="11"/>
    </row>
    <row r="685">
      <c r="B685" s="2"/>
      <c r="C685" s="10"/>
      <c r="D685" s="11"/>
      <c r="E685" s="12"/>
      <c r="F685" s="12"/>
      <c r="I685" s="12"/>
      <c r="J685" s="11"/>
    </row>
    <row r="686">
      <c r="B686" s="2"/>
      <c r="C686" s="10"/>
      <c r="D686" s="11"/>
      <c r="E686" s="12"/>
      <c r="F686" s="12"/>
      <c r="I686" s="12"/>
      <c r="J686" s="11"/>
    </row>
    <row r="687">
      <c r="B687" s="2"/>
      <c r="C687" s="10"/>
      <c r="D687" s="11"/>
      <c r="E687" s="12"/>
      <c r="F687" s="12"/>
      <c r="I687" s="12"/>
      <c r="J687" s="11"/>
    </row>
    <row r="688">
      <c r="B688" s="2"/>
      <c r="C688" s="10"/>
      <c r="D688" s="11"/>
      <c r="E688" s="12"/>
      <c r="F688" s="12"/>
      <c r="I688" s="12"/>
      <c r="J688" s="11"/>
    </row>
    <row r="689">
      <c r="B689" s="2"/>
      <c r="C689" s="10"/>
      <c r="D689" s="11"/>
      <c r="E689" s="12"/>
      <c r="F689" s="12"/>
      <c r="I689" s="12"/>
      <c r="J689" s="11"/>
    </row>
    <row r="690">
      <c r="B690" s="2"/>
      <c r="C690" s="10"/>
      <c r="D690" s="11"/>
      <c r="E690" s="12"/>
      <c r="F690" s="12"/>
      <c r="I690" s="12"/>
      <c r="J690" s="11"/>
    </row>
    <row r="691">
      <c r="B691" s="2"/>
      <c r="C691" s="10"/>
      <c r="D691" s="11"/>
      <c r="E691" s="12"/>
      <c r="F691" s="12"/>
      <c r="I691" s="12"/>
      <c r="J691" s="11"/>
    </row>
    <row r="692">
      <c r="B692" s="2"/>
      <c r="C692" s="10"/>
      <c r="D692" s="11"/>
      <c r="E692" s="12"/>
      <c r="F692" s="12"/>
      <c r="I692" s="12"/>
      <c r="J692" s="11"/>
    </row>
    <row r="693">
      <c r="B693" s="2"/>
      <c r="C693" s="10"/>
      <c r="D693" s="11"/>
      <c r="E693" s="12"/>
      <c r="F693" s="12"/>
      <c r="I693" s="12"/>
      <c r="J693" s="11"/>
    </row>
    <row r="694">
      <c r="B694" s="2"/>
      <c r="C694" s="10"/>
      <c r="D694" s="11"/>
      <c r="E694" s="12"/>
      <c r="F694" s="12"/>
      <c r="I694" s="12"/>
      <c r="J694" s="11"/>
    </row>
    <row r="695">
      <c r="B695" s="2"/>
      <c r="C695" s="10"/>
      <c r="D695" s="11"/>
      <c r="E695" s="12"/>
      <c r="F695" s="12"/>
      <c r="I695" s="12"/>
      <c r="J695" s="11"/>
    </row>
    <row r="696">
      <c r="B696" s="2"/>
      <c r="C696" s="10"/>
      <c r="D696" s="11"/>
      <c r="E696" s="12"/>
      <c r="F696" s="12"/>
      <c r="I696" s="12"/>
      <c r="J696" s="11"/>
    </row>
    <row r="697">
      <c r="B697" s="2"/>
      <c r="C697" s="10"/>
      <c r="D697" s="11"/>
      <c r="E697" s="12"/>
      <c r="F697" s="12"/>
      <c r="I697" s="12"/>
      <c r="J697" s="11"/>
    </row>
    <row r="698">
      <c r="B698" s="2"/>
      <c r="C698" s="10"/>
      <c r="D698" s="11"/>
      <c r="E698" s="12"/>
      <c r="F698" s="12"/>
      <c r="I698" s="12"/>
      <c r="J698" s="11"/>
    </row>
    <row r="699">
      <c r="B699" s="2"/>
      <c r="C699" s="10"/>
      <c r="D699" s="11"/>
      <c r="E699" s="12"/>
      <c r="F699" s="12"/>
      <c r="I699" s="12"/>
      <c r="J699" s="11"/>
    </row>
    <row r="700">
      <c r="B700" s="2"/>
      <c r="C700" s="10"/>
      <c r="D700" s="11"/>
      <c r="E700" s="12"/>
      <c r="F700" s="12"/>
      <c r="I700" s="12"/>
      <c r="J700" s="11"/>
    </row>
    <row r="701">
      <c r="B701" s="2"/>
      <c r="C701" s="10"/>
      <c r="D701" s="11"/>
      <c r="E701" s="12"/>
      <c r="F701" s="12"/>
      <c r="I701" s="12"/>
      <c r="J701" s="11"/>
    </row>
    <row r="702">
      <c r="B702" s="2"/>
      <c r="C702" s="10"/>
      <c r="D702" s="11"/>
      <c r="E702" s="12"/>
      <c r="F702" s="12"/>
      <c r="I702" s="12"/>
      <c r="J702" s="11"/>
    </row>
    <row r="703">
      <c r="B703" s="2"/>
      <c r="C703" s="10"/>
      <c r="D703" s="11"/>
      <c r="E703" s="12"/>
      <c r="F703" s="12"/>
      <c r="I703" s="12"/>
      <c r="J703" s="11"/>
    </row>
    <row r="704">
      <c r="B704" s="2"/>
      <c r="C704" s="10"/>
      <c r="D704" s="11"/>
      <c r="E704" s="12"/>
      <c r="F704" s="12"/>
      <c r="I704" s="12"/>
      <c r="J704" s="11"/>
    </row>
    <row r="705">
      <c r="B705" s="2"/>
      <c r="C705" s="10"/>
      <c r="D705" s="11"/>
      <c r="E705" s="12"/>
      <c r="F705" s="12"/>
      <c r="I705" s="12"/>
      <c r="J705" s="11"/>
    </row>
    <row r="706">
      <c r="B706" s="2"/>
      <c r="C706" s="10"/>
      <c r="D706" s="11"/>
      <c r="E706" s="12"/>
      <c r="F706" s="12"/>
      <c r="I706" s="12"/>
      <c r="J706" s="11"/>
    </row>
    <row r="707">
      <c r="B707" s="2"/>
      <c r="C707" s="10"/>
      <c r="D707" s="11"/>
      <c r="E707" s="12"/>
      <c r="F707" s="12"/>
      <c r="I707" s="12"/>
      <c r="J707" s="11"/>
    </row>
    <row r="708">
      <c r="B708" s="2"/>
      <c r="C708" s="10"/>
      <c r="D708" s="11"/>
      <c r="E708" s="12"/>
      <c r="F708" s="12"/>
      <c r="I708" s="12"/>
      <c r="J708" s="11"/>
    </row>
    <row r="709">
      <c r="B709" s="2"/>
      <c r="C709" s="10"/>
      <c r="D709" s="11"/>
      <c r="E709" s="12"/>
      <c r="F709" s="12"/>
      <c r="I709" s="12"/>
      <c r="J709" s="11"/>
    </row>
    <row r="710">
      <c r="B710" s="2"/>
      <c r="C710" s="10"/>
      <c r="D710" s="11"/>
      <c r="E710" s="12"/>
      <c r="F710" s="12"/>
      <c r="I710" s="12"/>
      <c r="J710" s="11"/>
    </row>
    <row r="711">
      <c r="B711" s="2"/>
      <c r="C711" s="10"/>
      <c r="D711" s="11"/>
      <c r="E711" s="12"/>
      <c r="F711" s="12"/>
      <c r="I711" s="12"/>
      <c r="J711" s="11"/>
    </row>
    <row r="712">
      <c r="B712" s="2"/>
      <c r="C712" s="10"/>
      <c r="D712" s="11"/>
      <c r="E712" s="12"/>
      <c r="F712" s="12"/>
      <c r="I712" s="12"/>
      <c r="J712" s="11"/>
    </row>
    <row r="713">
      <c r="B713" s="2"/>
      <c r="C713" s="10"/>
      <c r="D713" s="11"/>
      <c r="E713" s="12"/>
      <c r="F713" s="12"/>
      <c r="I713" s="12"/>
      <c r="J713" s="11"/>
    </row>
    <row r="714">
      <c r="B714" s="2"/>
      <c r="C714" s="10"/>
      <c r="D714" s="11"/>
      <c r="E714" s="12"/>
      <c r="F714" s="12"/>
      <c r="I714" s="12"/>
      <c r="J714" s="11"/>
    </row>
    <row r="715">
      <c r="B715" s="2"/>
      <c r="C715" s="10"/>
      <c r="D715" s="11"/>
      <c r="E715" s="12"/>
      <c r="F715" s="12"/>
      <c r="I715" s="12"/>
      <c r="J715" s="11"/>
    </row>
    <row r="716">
      <c r="B716" s="2"/>
      <c r="C716" s="10"/>
      <c r="D716" s="11"/>
      <c r="E716" s="12"/>
      <c r="F716" s="12"/>
      <c r="I716" s="12"/>
      <c r="J716" s="11"/>
    </row>
    <row r="717">
      <c r="B717" s="2"/>
      <c r="C717" s="10"/>
      <c r="D717" s="11"/>
      <c r="E717" s="12"/>
      <c r="F717" s="12"/>
      <c r="I717" s="12"/>
      <c r="J717" s="11"/>
    </row>
    <row r="718">
      <c r="B718" s="2"/>
      <c r="C718" s="10"/>
      <c r="D718" s="11"/>
      <c r="E718" s="12"/>
      <c r="F718" s="12"/>
      <c r="I718" s="12"/>
      <c r="J718" s="11"/>
    </row>
    <row r="719">
      <c r="B719" s="2"/>
      <c r="C719" s="10"/>
      <c r="D719" s="11"/>
      <c r="E719" s="12"/>
      <c r="F719" s="12"/>
      <c r="I719" s="12"/>
      <c r="J719" s="11"/>
    </row>
    <row r="720">
      <c r="B720" s="2"/>
      <c r="C720" s="10"/>
      <c r="D720" s="11"/>
      <c r="E720" s="12"/>
      <c r="F720" s="12"/>
      <c r="I720" s="12"/>
      <c r="J720" s="11"/>
    </row>
    <row r="721">
      <c r="B721" s="2"/>
      <c r="C721" s="10"/>
      <c r="D721" s="11"/>
      <c r="E721" s="12"/>
      <c r="F721" s="12"/>
      <c r="I721" s="12"/>
      <c r="J721" s="11"/>
    </row>
    <row r="722">
      <c r="B722" s="2"/>
      <c r="C722" s="10"/>
      <c r="D722" s="11"/>
      <c r="E722" s="12"/>
      <c r="F722" s="12"/>
      <c r="I722" s="12"/>
      <c r="J722" s="11"/>
    </row>
    <row r="723">
      <c r="B723" s="2"/>
      <c r="C723" s="10"/>
      <c r="D723" s="11"/>
      <c r="E723" s="12"/>
      <c r="F723" s="12"/>
      <c r="I723" s="12"/>
      <c r="J723" s="11"/>
    </row>
    <row r="724">
      <c r="B724" s="2"/>
      <c r="C724" s="10"/>
      <c r="D724" s="11"/>
      <c r="E724" s="12"/>
      <c r="F724" s="12"/>
      <c r="I724" s="12"/>
      <c r="J724" s="11"/>
    </row>
    <row r="725">
      <c r="B725" s="2"/>
      <c r="C725" s="10"/>
      <c r="D725" s="11"/>
      <c r="E725" s="12"/>
      <c r="F725" s="12"/>
      <c r="I725" s="12"/>
      <c r="J725" s="11"/>
    </row>
    <row r="726">
      <c r="B726" s="2"/>
      <c r="C726" s="10"/>
      <c r="D726" s="11"/>
      <c r="E726" s="12"/>
      <c r="F726" s="12"/>
      <c r="I726" s="12"/>
      <c r="J726" s="11"/>
    </row>
    <row r="727">
      <c r="B727" s="2"/>
      <c r="C727" s="10"/>
      <c r="D727" s="11"/>
      <c r="E727" s="12"/>
      <c r="F727" s="12"/>
      <c r="I727" s="12"/>
      <c r="J727" s="11"/>
    </row>
    <row r="728">
      <c r="B728" s="2"/>
      <c r="C728" s="10"/>
      <c r="D728" s="11"/>
      <c r="E728" s="12"/>
      <c r="F728" s="12"/>
      <c r="I728" s="12"/>
      <c r="J728" s="11"/>
    </row>
    <row r="729">
      <c r="B729" s="2"/>
      <c r="C729" s="10"/>
      <c r="D729" s="11"/>
      <c r="E729" s="12"/>
      <c r="F729" s="12"/>
      <c r="I729" s="12"/>
      <c r="J729" s="11"/>
    </row>
    <row r="730">
      <c r="B730" s="2"/>
      <c r="C730" s="10"/>
      <c r="D730" s="11"/>
      <c r="E730" s="12"/>
      <c r="F730" s="12"/>
      <c r="I730" s="12"/>
      <c r="J730" s="11"/>
    </row>
    <row r="731">
      <c r="B731" s="2"/>
      <c r="C731" s="10"/>
      <c r="D731" s="11"/>
      <c r="E731" s="12"/>
      <c r="F731" s="12"/>
      <c r="I731" s="12"/>
      <c r="J731" s="11"/>
    </row>
    <row r="732">
      <c r="B732" s="2"/>
      <c r="C732" s="10"/>
      <c r="D732" s="11"/>
      <c r="E732" s="12"/>
      <c r="F732" s="12"/>
      <c r="I732" s="12"/>
      <c r="J732" s="11"/>
    </row>
    <row r="733">
      <c r="B733" s="2"/>
      <c r="C733" s="10"/>
      <c r="D733" s="11"/>
      <c r="E733" s="12"/>
      <c r="F733" s="12"/>
      <c r="I733" s="12"/>
      <c r="J733" s="11"/>
    </row>
    <row r="734">
      <c r="B734" s="2"/>
      <c r="C734" s="10"/>
      <c r="D734" s="11"/>
      <c r="E734" s="12"/>
      <c r="F734" s="12"/>
      <c r="I734" s="12"/>
      <c r="J734" s="11"/>
    </row>
    <row r="735">
      <c r="B735" s="2"/>
      <c r="C735" s="10"/>
      <c r="D735" s="11"/>
      <c r="E735" s="12"/>
      <c r="F735" s="12"/>
      <c r="I735" s="12"/>
      <c r="J735" s="11"/>
    </row>
    <row r="736">
      <c r="B736" s="2"/>
      <c r="C736" s="10"/>
      <c r="D736" s="11"/>
      <c r="E736" s="12"/>
      <c r="F736" s="12"/>
      <c r="I736" s="12"/>
      <c r="J736" s="11"/>
    </row>
    <row r="737">
      <c r="B737" s="2"/>
      <c r="C737" s="10"/>
      <c r="D737" s="11"/>
      <c r="E737" s="12"/>
      <c r="F737" s="12"/>
      <c r="I737" s="12"/>
      <c r="J737" s="11"/>
    </row>
    <row r="738">
      <c r="B738" s="2"/>
      <c r="C738" s="10"/>
      <c r="D738" s="11"/>
      <c r="E738" s="12"/>
      <c r="F738" s="12"/>
      <c r="I738" s="12"/>
      <c r="J738" s="11"/>
    </row>
    <row r="739">
      <c r="B739" s="2"/>
      <c r="C739" s="10"/>
      <c r="D739" s="11"/>
      <c r="E739" s="12"/>
      <c r="F739" s="12"/>
      <c r="I739" s="12"/>
      <c r="J739" s="11"/>
    </row>
    <row r="740">
      <c r="B740" s="2"/>
      <c r="C740" s="10"/>
      <c r="D740" s="11"/>
      <c r="E740" s="12"/>
      <c r="F740" s="12"/>
      <c r="I740" s="12"/>
      <c r="J740" s="11"/>
    </row>
    <row r="741">
      <c r="B741" s="2"/>
      <c r="C741" s="10"/>
      <c r="D741" s="11"/>
      <c r="E741" s="12"/>
      <c r="F741" s="12"/>
      <c r="I741" s="12"/>
      <c r="J741" s="11"/>
    </row>
    <row r="742">
      <c r="B742" s="2"/>
      <c r="C742" s="10"/>
      <c r="D742" s="11"/>
      <c r="E742" s="12"/>
      <c r="F742" s="12"/>
      <c r="I742" s="12"/>
      <c r="J742" s="11"/>
    </row>
    <row r="743">
      <c r="B743" s="2"/>
      <c r="C743" s="10"/>
      <c r="D743" s="11"/>
      <c r="E743" s="12"/>
      <c r="F743" s="12"/>
      <c r="I743" s="12"/>
      <c r="J743" s="11"/>
    </row>
    <row r="744">
      <c r="B744" s="2"/>
      <c r="C744" s="10"/>
      <c r="D744" s="11"/>
      <c r="E744" s="12"/>
      <c r="F744" s="12"/>
      <c r="I744" s="12"/>
      <c r="J744" s="11"/>
    </row>
    <row r="745">
      <c r="B745" s="2"/>
      <c r="C745" s="10"/>
      <c r="D745" s="11"/>
      <c r="E745" s="12"/>
      <c r="F745" s="12"/>
      <c r="I745" s="12"/>
      <c r="J745" s="11"/>
    </row>
    <row r="746">
      <c r="B746" s="2"/>
      <c r="C746" s="10"/>
      <c r="D746" s="11"/>
      <c r="E746" s="12"/>
      <c r="F746" s="12"/>
      <c r="I746" s="12"/>
      <c r="J746" s="11"/>
    </row>
    <row r="747">
      <c r="B747" s="2"/>
      <c r="C747" s="10"/>
      <c r="D747" s="11"/>
      <c r="E747" s="12"/>
      <c r="F747" s="12"/>
      <c r="I747" s="12"/>
      <c r="J747" s="11"/>
    </row>
    <row r="748">
      <c r="B748" s="2"/>
      <c r="C748" s="10"/>
      <c r="D748" s="11"/>
      <c r="E748" s="12"/>
      <c r="F748" s="12"/>
      <c r="I748" s="12"/>
      <c r="J748" s="11"/>
    </row>
    <row r="749">
      <c r="B749" s="2"/>
      <c r="C749" s="10"/>
      <c r="D749" s="11"/>
      <c r="E749" s="12"/>
      <c r="F749" s="12"/>
      <c r="I749" s="12"/>
      <c r="J749" s="11"/>
    </row>
    <row r="750">
      <c r="B750" s="2"/>
      <c r="C750" s="10"/>
      <c r="D750" s="11"/>
      <c r="E750" s="12"/>
      <c r="F750" s="12"/>
      <c r="I750" s="12"/>
      <c r="J750" s="11"/>
    </row>
    <row r="751">
      <c r="B751" s="2"/>
      <c r="C751" s="10"/>
      <c r="D751" s="11"/>
      <c r="E751" s="12"/>
      <c r="F751" s="12"/>
      <c r="I751" s="12"/>
      <c r="J751" s="11"/>
    </row>
    <row r="752">
      <c r="B752" s="2"/>
      <c r="C752" s="10"/>
      <c r="D752" s="11"/>
      <c r="E752" s="12"/>
      <c r="F752" s="12"/>
      <c r="I752" s="12"/>
      <c r="J752" s="11"/>
    </row>
    <row r="753">
      <c r="B753" s="2"/>
      <c r="C753" s="10"/>
      <c r="D753" s="11"/>
      <c r="E753" s="12"/>
      <c r="F753" s="12"/>
      <c r="I753" s="12"/>
      <c r="J753" s="11"/>
    </row>
    <row r="754">
      <c r="B754" s="2"/>
      <c r="C754" s="10"/>
      <c r="D754" s="11"/>
      <c r="E754" s="12"/>
      <c r="F754" s="12"/>
      <c r="I754" s="12"/>
      <c r="J754" s="11"/>
    </row>
    <row r="755">
      <c r="B755" s="2"/>
      <c r="C755" s="10"/>
      <c r="D755" s="11"/>
      <c r="E755" s="12"/>
      <c r="F755" s="12"/>
      <c r="I755" s="12"/>
      <c r="J755" s="11"/>
    </row>
    <row r="756">
      <c r="B756" s="2"/>
      <c r="C756" s="10"/>
      <c r="D756" s="11"/>
      <c r="E756" s="12"/>
      <c r="F756" s="12"/>
      <c r="I756" s="12"/>
      <c r="J756" s="11"/>
    </row>
    <row r="757">
      <c r="B757" s="2"/>
      <c r="C757" s="10"/>
      <c r="D757" s="11"/>
      <c r="E757" s="12"/>
      <c r="F757" s="12"/>
      <c r="I757" s="12"/>
      <c r="J757" s="11"/>
    </row>
    <row r="758">
      <c r="B758" s="2"/>
      <c r="C758" s="10"/>
      <c r="D758" s="11"/>
      <c r="E758" s="12"/>
      <c r="F758" s="12"/>
      <c r="I758" s="12"/>
      <c r="J758" s="11"/>
    </row>
    <row r="759">
      <c r="B759" s="2"/>
      <c r="C759" s="10"/>
      <c r="D759" s="11"/>
      <c r="E759" s="12"/>
      <c r="F759" s="12"/>
      <c r="I759" s="12"/>
      <c r="J759" s="11"/>
    </row>
    <row r="760">
      <c r="B760" s="2"/>
      <c r="C760" s="10"/>
      <c r="D760" s="11"/>
      <c r="E760" s="12"/>
      <c r="F760" s="12"/>
      <c r="I760" s="12"/>
      <c r="J760" s="11"/>
    </row>
    <row r="761">
      <c r="B761" s="2"/>
      <c r="C761" s="10"/>
      <c r="D761" s="11"/>
      <c r="E761" s="12"/>
      <c r="F761" s="12"/>
      <c r="I761" s="12"/>
      <c r="J761" s="11"/>
    </row>
    <row r="762">
      <c r="B762" s="2"/>
      <c r="C762" s="10"/>
      <c r="D762" s="11"/>
      <c r="E762" s="12"/>
      <c r="F762" s="12"/>
      <c r="I762" s="12"/>
      <c r="J762" s="11"/>
    </row>
    <row r="763">
      <c r="B763" s="2"/>
      <c r="C763" s="10"/>
      <c r="D763" s="11"/>
      <c r="E763" s="12"/>
      <c r="F763" s="12"/>
      <c r="I763" s="12"/>
      <c r="J763" s="11"/>
    </row>
    <row r="764">
      <c r="B764" s="2"/>
      <c r="C764" s="10"/>
      <c r="D764" s="11"/>
      <c r="E764" s="12"/>
      <c r="F764" s="12"/>
      <c r="I764" s="12"/>
      <c r="J764" s="11"/>
    </row>
    <row r="765">
      <c r="B765" s="2"/>
      <c r="C765" s="10"/>
      <c r="D765" s="11"/>
      <c r="E765" s="12"/>
      <c r="F765" s="12"/>
      <c r="I765" s="12"/>
      <c r="J765" s="11"/>
    </row>
    <row r="766">
      <c r="B766" s="2"/>
      <c r="C766" s="10"/>
      <c r="D766" s="11"/>
      <c r="E766" s="12"/>
      <c r="F766" s="12"/>
      <c r="I766" s="12"/>
      <c r="J766" s="11"/>
    </row>
    <row r="767">
      <c r="B767" s="2"/>
      <c r="C767" s="10"/>
      <c r="D767" s="11"/>
      <c r="E767" s="12"/>
      <c r="F767" s="12"/>
      <c r="I767" s="12"/>
      <c r="J767" s="11"/>
    </row>
    <row r="768">
      <c r="B768" s="2"/>
      <c r="C768" s="10"/>
      <c r="D768" s="11"/>
      <c r="E768" s="12"/>
      <c r="F768" s="12"/>
      <c r="I768" s="12"/>
      <c r="J768" s="11"/>
    </row>
    <row r="769">
      <c r="B769" s="2"/>
      <c r="C769" s="10"/>
      <c r="D769" s="11"/>
      <c r="E769" s="12"/>
      <c r="F769" s="12"/>
      <c r="I769" s="12"/>
      <c r="J769" s="11"/>
    </row>
    <row r="770">
      <c r="B770" s="2"/>
      <c r="C770" s="10"/>
      <c r="D770" s="11"/>
      <c r="E770" s="12"/>
      <c r="F770" s="12"/>
      <c r="I770" s="12"/>
      <c r="J770" s="11"/>
    </row>
    <row r="771">
      <c r="B771" s="2"/>
      <c r="C771" s="10"/>
      <c r="D771" s="11"/>
      <c r="E771" s="12"/>
      <c r="F771" s="12"/>
      <c r="I771" s="12"/>
      <c r="J771" s="11"/>
    </row>
    <row r="772">
      <c r="B772" s="2"/>
      <c r="C772" s="10"/>
      <c r="D772" s="11"/>
      <c r="E772" s="12"/>
      <c r="F772" s="12"/>
      <c r="I772" s="12"/>
      <c r="J772" s="11"/>
    </row>
    <row r="773">
      <c r="B773" s="2"/>
      <c r="C773" s="10"/>
      <c r="D773" s="11"/>
      <c r="E773" s="12"/>
      <c r="F773" s="12"/>
      <c r="I773" s="12"/>
      <c r="J773" s="11"/>
    </row>
    <row r="774">
      <c r="B774" s="2"/>
      <c r="C774" s="10"/>
      <c r="D774" s="11"/>
      <c r="E774" s="12"/>
      <c r="F774" s="12"/>
      <c r="I774" s="12"/>
      <c r="J774" s="11"/>
    </row>
    <row r="775">
      <c r="B775" s="2"/>
      <c r="C775" s="10"/>
      <c r="D775" s="11"/>
      <c r="E775" s="12"/>
      <c r="F775" s="12"/>
      <c r="I775" s="12"/>
      <c r="J775" s="11"/>
    </row>
    <row r="776">
      <c r="B776" s="2"/>
      <c r="C776" s="10"/>
      <c r="D776" s="11"/>
      <c r="E776" s="12"/>
      <c r="F776" s="12"/>
      <c r="I776" s="12"/>
      <c r="J776" s="11"/>
    </row>
    <row r="777">
      <c r="B777" s="2"/>
      <c r="C777" s="10"/>
      <c r="D777" s="11"/>
      <c r="E777" s="12"/>
      <c r="F777" s="12"/>
      <c r="I777" s="12"/>
      <c r="J777" s="11"/>
    </row>
    <row r="778">
      <c r="B778" s="2"/>
      <c r="C778" s="10"/>
      <c r="D778" s="11"/>
      <c r="E778" s="12"/>
      <c r="F778" s="12"/>
      <c r="I778" s="12"/>
      <c r="J778" s="11"/>
    </row>
    <row r="779">
      <c r="B779" s="2"/>
      <c r="C779" s="10"/>
      <c r="D779" s="11"/>
      <c r="E779" s="12"/>
      <c r="F779" s="12"/>
      <c r="I779" s="12"/>
      <c r="J779" s="11"/>
    </row>
    <row r="780">
      <c r="B780" s="2"/>
      <c r="C780" s="10"/>
      <c r="D780" s="11"/>
      <c r="E780" s="12"/>
      <c r="F780" s="12"/>
      <c r="I780" s="12"/>
      <c r="J780" s="11"/>
    </row>
    <row r="781">
      <c r="B781" s="2"/>
      <c r="C781" s="10"/>
      <c r="D781" s="11"/>
      <c r="E781" s="12"/>
      <c r="F781" s="12"/>
      <c r="I781" s="12"/>
      <c r="J781" s="11"/>
    </row>
    <row r="782">
      <c r="B782" s="2"/>
      <c r="C782" s="10"/>
      <c r="D782" s="11"/>
      <c r="E782" s="12"/>
      <c r="F782" s="12"/>
      <c r="I782" s="12"/>
      <c r="J782" s="11"/>
    </row>
    <row r="783">
      <c r="B783" s="2"/>
      <c r="C783" s="10"/>
      <c r="D783" s="11"/>
      <c r="E783" s="12"/>
      <c r="F783" s="12"/>
      <c r="I783" s="12"/>
      <c r="J783" s="11"/>
    </row>
    <row r="784">
      <c r="B784" s="2"/>
      <c r="C784" s="10"/>
      <c r="D784" s="11"/>
      <c r="E784" s="12"/>
      <c r="F784" s="12"/>
      <c r="I784" s="12"/>
      <c r="J784" s="11"/>
    </row>
    <row r="785">
      <c r="B785" s="2"/>
      <c r="C785" s="10"/>
      <c r="D785" s="11"/>
      <c r="E785" s="12"/>
      <c r="F785" s="12"/>
      <c r="I785" s="12"/>
      <c r="J785" s="11"/>
    </row>
    <row r="786">
      <c r="B786" s="2"/>
      <c r="C786" s="10"/>
      <c r="D786" s="11"/>
      <c r="E786" s="12"/>
      <c r="F786" s="12"/>
      <c r="I786" s="12"/>
      <c r="J786" s="11"/>
    </row>
    <row r="787">
      <c r="B787" s="2"/>
      <c r="C787" s="10"/>
      <c r="D787" s="11"/>
      <c r="E787" s="12"/>
      <c r="F787" s="12"/>
      <c r="I787" s="12"/>
      <c r="J787" s="11"/>
    </row>
    <row r="788">
      <c r="B788" s="2"/>
      <c r="C788" s="10"/>
      <c r="D788" s="11"/>
      <c r="E788" s="12"/>
      <c r="F788" s="12"/>
      <c r="I788" s="12"/>
      <c r="J788" s="11"/>
    </row>
    <row r="789">
      <c r="B789" s="2"/>
      <c r="C789" s="10"/>
      <c r="D789" s="11"/>
      <c r="E789" s="12"/>
      <c r="F789" s="12"/>
      <c r="I789" s="12"/>
      <c r="J789" s="11"/>
    </row>
    <row r="790">
      <c r="B790" s="2"/>
      <c r="C790" s="10"/>
      <c r="D790" s="11"/>
      <c r="E790" s="12"/>
      <c r="F790" s="12"/>
      <c r="I790" s="12"/>
      <c r="J790" s="11"/>
    </row>
    <row r="791">
      <c r="B791" s="2"/>
      <c r="C791" s="10"/>
      <c r="D791" s="11"/>
      <c r="E791" s="12"/>
      <c r="F791" s="12"/>
      <c r="I791" s="12"/>
      <c r="J791" s="11"/>
    </row>
    <row r="792">
      <c r="B792" s="2"/>
      <c r="C792" s="10"/>
      <c r="D792" s="11"/>
      <c r="E792" s="12"/>
      <c r="F792" s="12"/>
      <c r="I792" s="12"/>
      <c r="J792" s="11"/>
    </row>
    <row r="793">
      <c r="B793" s="2"/>
      <c r="C793" s="10"/>
      <c r="D793" s="11"/>
      <c r="E793" s="12"/>
      <c r="F793" s="12"/>
      <c r="I793" s="12"/>
      <c r="J793" s="11"/>
    </row>
    <row r="794">
      <c r="B794" s="2"/>
      <c r="C794" s="10"/>
      <c r="D794" s="11"/>
      <c r="E794" s="12"/>
      <c r="F794" s="12"/>
      <c r="I794" s="12"/>
      <c r="J794" s="11"/>
    </row>
    <row r="795">
      <c r="B795" s="2"/>
      <c r="C795" s="10"/>
      <c r="D795" s="11"/>
      <c r="E795" s="12"/>
      <c r="F795" s="12"/>
      <c r="I795" s="12"/>
      <c r="J795" s="11"/>
    </row>
    <row r="796">
      <c r="B796" s="2"/>
      <c r="C796" s="10"/>
      <c r="D796" s="11"/>
      <c r="E796" s="12"/>
      <c r="F796" s="12"/>
      <c r="I796" s="12"/>
      <c r="J796" s="11"/>
    </row>
    <row r="797">
      <c r="B797" s="2"/>
      <c r="C797" s="10"/>
      <c r="D797" s="11"/>
      <c r="E797" s="12"/>
      <c r="F797" s="12"/>
      <c r="I797" s="12"/>
      <c r="J797" s="11"/>
    </row>
    <row r="798">
      <c r="B798" s="2"/>
      <c r="C798" s="10"/>
      <c r="D798" s="11"/>
      <c r="E798" s="12"/>
      <c r="F798" s="12"/>
      <c r="I798" s="12"/>
      <c r="J798" s="11"/>
    </row>
    <row r="799">
      <c r="B799" s="2"/>
      <c r="C799" s="10"/>
      <c r="D799" s="11"/>
      <c r="E799" s="12"/>
      <c r="F799" s="12"/>
      <c r="I799" s="12"/>
      <c r="J799" s="11"/>
    </row>
    <row r="800">
      <c r="B800" s="2"/>
      <c r="C800" s="10"/>
      <c r="D800" s="11"/>
      <c r="E800" s="12"/>
      <c r="F800" s="12"/>
      <c r="I800" s="12"/>
      <c r="J800" s="11"/>
    </row>
    <row r="801">
      <c r="B801" s="2"/>
      <c r="C801" s="10"/>
      <c r="D801" s="11"/>
      <c r="E801" s="12"/>
      <c r="F801" s="12"/>
      <c r="I801" s="12"/>
      <c r="J801" s="11"/>
    </row>
    <row r="802">
      <c r="B802" s="2"/>
      <c r="C802" s="10"/>
      <c r="D802" s="11"/>
      <c r="E802" s="12"/>
      <c r="F802" s="12"/>
      <c r="I802" s="12"/>
      <c r="J802" s="11"/>
    </row>
    <row r="803">
      <c r="B803" s="2"/>
      <c r="C803" s="10"/>
      <c r="D803" s="11"/>
      <c r="E803" s="12"/>
      <c r="F803" s="12"/>
      <c r="I803" s="12"/>
      <c r="J803" s="11"/>
    </row>
    <row r="804">
      <c r="B804" s="2"/>
      <c r="C804" s="10"/>
      <c r="D804" s="11"/>
      <c r="E804" s="12"/>
      <c r="F804" s="12"/>
      <c r="I804" s="12"/>
      <c r="J804" s="11"/>
    </row>
    <row r="805">
      <c r="B805" s="2"/>
      <c r="C805" s="10"/>
      <c r="D805" s="11"/>
      <c r="E805" s="12"/>
      <c r="F805" s="12"/>
      <c r="I805" s="12"/>
      <c r="J805" s="11"/>
    </row>
    <row r="806">
      <c r="B806" s="2"/>
      <c r="C806" s="10"/>
      <c r="D806" s="11"/>
      <c r="E806" s="12"/>
      <c r="F806" s="12"/>
      <c r="I806" s="12"/>
      <c r="J806" s="11"/>
    </row>
    <row r="807">
      <c r="B807" s="2"/>
      <c r="C807" s="10"/>
      <c r="D807" s="11"/>
      <c r="E807" s="12"/>
      <c r="F807" s="12"/>
      <c r="I807" s="12"/>
      <c r="J807" s="11"/>
    </row>
    <row r="808">
      <c r="B808" s="2"/>
      <c r="C808" s="10"/>
      <c r="D808" s="11"/>
      <c r="E808" s="12"/>
      <c r="F808" s="12"/>
      <c r="I808" s="12"/>
      <c r="J808" s="11"/>
    </row>
    <row r="809">
      <c r="B809" s="2"/>
      <c r="C809" s="10"/>
      <c r="D809" s="11"/>
      <c r="E809" s="12"/>
      <c r="F809" s="12"/>
      <c r="I809" s="12"/>
      <c r="J809" s="11"/>
    </row>
    <row r="810">
      <c r="B810" s="2"/>
      <c r="C810" s="10"/>
      <c r="D810" s="11"/>
      <c r="E810" s="12"/>
      <c r="F810" s="12"/>
      <c r="I810" s="12"/>
      <c r="J810" s="11"/>
    </row>
    <row r="811">
      <c r="B811" s="2"/>
      <c r="C811" s="10"/>
      <c r="D811" s="11"/>
      <c r="E811" s="12"/>
      <c r="F811" s="12"/>
      <c r="I811" s="12"/>
      <c r="J811" s="11"/>
    </row>
    <row r="812">
      <c r="B812" s="2"/>
      <c r="C812" s="10"/>
      <c r="D812" s="11"/>
      <c r="E812" s="12"/>
      <c r="F812" s="12"/>
      <c r="I812" s="12"/>
      <c r="J812" s="11"/>
    </row>
    <row r="813">
      <c r="B813" s="2"/>
      <c r="C813" s="10"/>
      <c r="D813" s="11"/>
      <c r="E813" s="12"/>
      <c r="F813" s="12"/>
      <c r="I813" s="12"/>
      <c r="J813" s="11"/>
    </row>
    <row r="814">
      <c r="B814" s="2"/>
      <c r="C814" s="10"/>
      <c r="D814" s="11"/>
      <c r="E814" s="12"/>
      <c r="F814" s="12"/>
      <c r="I814" s="12"/>
      <c r="J814" s="11"/>
    </row>
    <row r="815">
      <c r="B815" s="2"/>
      <c r="C815" s="10"/>
      <c r="D815" s="11"/>
      <c r="E815" s="12"/>
      <c r="F815" s="12"/>
      <c r="I815" s="12"/>
      <c r="J815" s="11"/>
    </row>
    <row r="816">
      <c r="B816" s="2"/>
      <c r="C816" s="10"/>
      <c r="D816" s="11"/>
      <c r="E816" s="12"/>
      <c r="F816" s="12"/>
      <c r="I816" s="12"/>
      <c r="J816" s="11"/>
    </row>
    <row r="817">
      <c r="B817" s="2"/>
      <c r="C817" s="10"/>
      <c r="D817" s="11"/>
      <c r="E817" s="12"/>
      <c r="F817" s="12"/>
      <c r="I817" s="12"/>
      <c r="J817" s="11"/>
    </row>
    <row r="818">
      <c r="B818" s="2"/>
      <c r="C818" s="10"/>
      <c r="D818" s="11"/>
      <c r="E818" s="12"/>
      <c r="F818" s="12"/>
      <c r="I818" s="12"/>
      <c r="J818" s="11"/>
    </row>
    <row r="819">
      <c r="B819" s="2"/>
      <c r="C819" s="10"/>
      <c r="D819" s="11"/>
      <c r="E819" s="12"/>
      <c r="F819" s="12"/>
      <c r="I819" s="12"/>
      <c r="J819" s="11"/>
    </row>
    <row r="820">
      <c r="B820" s="2"/>
      <c r="C820" s="10"/>
      <c r="D820" s="11"/>
      <c r="E820" s="12"/>
      <c r="F820" s="12"/>
      <c r="I820" s="12"/>
      <c r="J820" s="11"/>
    </row>
    <row r="821">
      <c r="B821" s="2"/>
      <c r="C821" s="10"/>
      <c r="D821" s="11"/>
      <c r="E821" s="12"/>
      <c r="F821" s="12"/>
      <c r="I821" s="12"/>
      <c r="J821" s="11"/>
    </row>
    <row r="822">
      <c r="B822" s="2"/>
      <c r="C822" s="10"/>
      <c r="D822" s="11"/>
      <c r="E822" s="12"/>
      <c r="F822" s="12"/>
      <c r="I822" s="12"/>
      <c r="J822" s="11"/>
    </row>
    <row r="823">
      <c r="B823" s="2"/>
      <c r="C823" s="10"/>
      <c r="D823" s="11"/>
      <c r="E823" s="12"/>
      <c r="F823" s="12"/>
      <c r="I823" s="12"/>
      <c r="J823" s="11"/>
    </row>
    <row r="824">
      <c r="B824" s="2"/>
      <c r="C824" s="10"/>
      <c r="D824" s="11"/>
      <c r="E824" s="12"/>
      <c r="F824" s="12"/>
      <c r="I824" s="12"/>
      <c r="J824" s="11"/>
    </row>
    <row r="825">
      <c r="B825" s="2"/>
      <c r="C825" s="10"/>
      <c r="D825" s="11"/>
      <c r="E825" s="12"/>
      <c r="F825" s="12"/>
      <c r="I825" s="12"/>
      <c r="J825" s="11"/>
    </row>
    <row r="826">
      <c r="B826" s="2"/>
      <c r="C826" s="10"/>
      <c r="D826" s="11"/>
      <c r="E826" s="12"/>
      <c r="F826" s="12"/>
      <c r="I826" s="12"/>
      <c r="J826" s="11"/>
    </row>
    <row r="827">
      <c r="B827" s="2"/>
      <c r="C827" s="10"/>
      <c r="D827" s="11"/>
      <c r="E827" s="12"/>
      <c r="F827" s="12"/>
      <c r="I827" s="12"/>
      <c r="J827" s="11"/>
    </row>
    <row r="828">
      <c r="B828" s="2"/>
      <c r="C828" s="10"/>
      <c r="D828" s="11"/>
      <c r="E828" s="12"/>
      <c r="F828" s="12"/>
      <c r="I828" s="12"/>
      <c r="J828" s="11"/>
    </row>
    <row r="829">
      <c r="B829" s="2"/>
      <c r="C829" s="10"/>
      <c r="D829" s="11"/>
      <c r="E829" s="12"/>
      <c r="F829" s="12"/>
      <c r="I829" s="12"/>
      <c r="J829" s="11"/>
    </row>
    <row r="830">
      <c r="B830" s="2"/>
      <c r="C830" s="10"/>
      <c r="D830" s="11"/>
      <c r="E830" s="12"/>
      <c r="F830" s="12"/>
      <c r="I830" s="12"/>
      <c r="J830" s="11"/>
    </row>
    <row r="831">
      <c r="B831" s="2"/>
      <c r="C831" s="10"/>
      <c r="D831" s="11"/>
      <c r="E831" s="12"/>
      <c r="F831" s="12"/>
      <c r="I831" s="12"/>
      <c r="J831" s="11"/>
    </row>
    <row r="832">
      <c r="B832" s="2"/>
      <c r="C832" s="10"/>
      <c r="D832" s="11"/>
      <c r="E832" s="12"/>
      <c r="F832" s="12"/>
      <c r="I832" s="12"/>
      <c r="J832" s="11"/>
    </row>
    <row r="833">
      <c r="B833" s="2"/>
      <c r="C833" s="10"/>
      <c r="D833" s="11"/>
      <c r="E833" s="12"/>
      <c r="F833" s="12"/>
      <c r="I833" s="12"/>
      <c r="J833" s="11"/>
    </row>
    <row r="834">
      <c r="B834" s="2"/>
      <c r="C834" s="10"/>
      <c r="D834" s="11"/>
      <c r="E834" s="12"/>
      <c r="F834" s="12"/>
      <c r="I834" s="12"/>
      <c r="J834" s="11"/>
    </row>
    <row r="835">
      <c r="B835" s="2"/>
      <c r="C835" s="10"/>
      <c r="D835" s="11"/>
      <c r="E835" s="12"/>
      <c r="F835" s="12"/>
      <c r="I835" s="12"/>
      <c r="J835" s="11"/>
    </row>
    <row r="836">
      <c r="B836" s="2"/>
      <c r="C836" s="10"/>
      <c r="D836" s="11"/>
      <c r="E836" s="12"/>
      <c r="F836" s="12"/>
      <c r="I836" s="12"/>
      <c r="J836" s="11"/>
    </row>
    <row r="837">
      <c r="B837" s="2"/>
      <c r="C837" s="10"/>
      <c r="D837" s="11"/>
      <c r="E837" s="12"/>
      <c r="F837" s="12"/>
      <c r="I837" s="12"/>
      <c r="J837" s="11"/>
    </row>
    <row r="838">
      <c r="B838" s="2"/>
      <c r="C838" s="10"/>
      <c r="D838" s="11"/>
      <c r="E838" s="12"/>
      <c r="F838" s="12"/>
      <c r="I838" s="12"/>
      <c r="J838" s="11"/>
    </row>
    <row r="839">
      <c r="B839" s="2"/>
      <c r="C839" s="10"/>
      <c r="D839" s="11"/>
      <c r="E839" s="12"/>
      <c r="F839" s="12"/>
      <c r="I839" s="12"/>
      <c r="J839" s="11"/>
    </row>
    <row r="840">
      <c r="B840" s="2"/>
      <c r="C840" s="10"/>
      <c r="D840" s="11"/>
      <c r="E840" s="12"/>
      <c r="F840" s="12"/>
      <c r="I840" s="12"/>
      <c r="J840" s="11"/>
    </row>
    <row r="841">
      <c r="B841" s="2"/>
      <c r="C841" s="10"/>
      <c r="D841" s="11"/>
      <c r="E841" s="12"/>
      <c r="F841" s="12"/>
      <c r="I841" s="12"/>
      <c r="J841" s="11"/>
    </row>
    <row r="842">
      <c r="B842" s="2"/>
      <c r="C842" s="10"/>
      <c r="D842" s="11"/>
      <c r="E842" s="12"/>
      <c r="F842" s="12"/>
      <c r="I842" s="12"/>
      <c r="J842" s="11"/>
    </row>
    <row r="843">
      <c r="B843" s="2"/>
      <c r="C843" s="10"/>
      <c r="D843" s="11"/>
      <c r="E843" s="12"/>
      <c r="F843" s="12"/>
      <c r="I843" s="12"/>
      <c r="J843" s="11"/>
    </row>
    <row r="844">
      <c r="B844" s="2"/>
      <c r="C844" s="10"/>
      <c r="D844" s="11"/>
      <c r="E844" s="12"/>
      <c r="F844" s="12"/>
      <c r="I844" s="12"/>
      <c r="J844" s="11"/>
    </row>
    <row r="845">
      <c r="B845" s="2"/>
      <c r="C845" s="10"/>
      <c r="D845" s="11"/>
      <c r="E845" s="12"/>
      <c r="F845" s="12"/>
      <c r="I845" s="12"/>
      <c r="J845" s="11"/>
    </row>
    <row r="846">
      <c r="B846" s="2"/>
      <c r="C846" s="10"/>
      <c r="D846" s="11"/>
      <c r="E846" s="12"/>
      <c r="F846" s="12"/>
      <c r="I846" s="12"/>
      <c r="J846" s="11"/>
    </row>
    <row r="847">
      <c r="B847" s="2"/>
      <c r="C847" s="10"/>
      <c r="D847" s="11"/>
      <c r="E847" s="12"/>
      <c r="F847" s="12"/>
      <c r="I847" s="12"/>
      <c r="J847" s="11"/>
    </row>
    <row r="848">
      <c r="B848" s="2"/>
      <c r="C848" s="10"/>
      <c r="D848" s="11"/>
      <c r="E848" s="12"/>
      <c r="F848" s="12"/>
      <c r="I848" s="12"/>
      <c r="J848" s="11"/>
    </row>
    <row r="849">
      <c r="B849" s="2"/>
      <c r="C849" s="10"/>
      <c r="D849" s="11"/>
      <c r="E849" s="12"/>
      <c r="F849" s="12"/>
      <c r="I849" s="12"/>
      <c r="J849" s="11"/>
    </row>
    <row r="850">
      <c r="B850" s="2"/>
      <c r="C850" s="10"/>
      <c r="D850" s="11"/>
      <c r="E850" s="12"/>
      <c r="F850" s="12"/>
      <c r="I850" s="12"/>
      <c r="J850" s="11"/>
    </row>
    <row r="851">
      <c r="B851" s="2"/>
      <c r="C851" s="10"/>
      <c r="D851" s="11"/>
      <c r="E851" s="12"/>
      <c r="F851" s="12"/>
      <c r="I851" s="12"/>
      <c r="J851" s="11"/>
    </row>
    <row r="852">
      <c r="B852" s="2"/>
      <c r="C852" s="10"/>
      <c r="D852" s="11"/>
      <c r="E852" s="12"/>
      <c r="F852" s="12"/>
      <c r="I852" s="12"/>
      <c r="J852" s="11"/>
    </row>
    <row r="853">
      <c r="B853" s="2"/>
      <c r="C853" s="10"/>
      <c r="D853" s="11"/>
      <c r="E853" s="12"/>
      <c r="F853" s="12"/>
      <c r="I853" s="12"/>
      <c r="J853" s="11"/>
    </row>
    <row r="854">
      <c r="B854" s="2"/>
      <c r="C854" s="10"/>
      <c r="D854" s="11"/>
      <c r="E854" s="12"/>
      <c r="F854" s="12"/>
      <c r="I854" s="12"/>
      <c r="J854" s="11"/>
    </row>
    <row r="855">
      <c r="B855" s="2"/>
      <c r="C855" s="10"/>
      <c r="D855" s="11"/>
      <c r="E855" s="12"/>
      <c r="F855" s="12"/>
      <c r="I855" s="12"/>
      <c r="J855" s="11"/>
    </row>
    <row r="856">
      <c r="B856" s="2"/>
      <c r="C856" s="10"/>
      <c r="D856" s="11"/>
      <c r="E856" s="12"/>
      <c r="F856" s="12"/>
      <c r="I856" s="12"/>
      <c r="J856" s="11"/>
    </row>
    <row r="857">
      <c r="B857" s="2"/>
      <c r="C857" s="10"/>
      <c r="D857" s="11"/>
      <c r="E857" s="12"/>
      <c r="F857" s="12"/>
      <c r="I857" s="12"/>
      <c r="J857" s="11"/>
    </row>
    <row r="858">
      <c r="B858" s="2"/>
      <c r="C858" s="10"/>
      <c r="D858" s="11"/>
      <c r="E858" s="12"/>
      <c r="F858" s="12"/>
      <c r="I858" s="12"/>
      <c r="J858" s="11"/>
    </row>
    <row r="859">
      <c r="B859" s="2"/>
      <c r="C859" s="10"/>
      <c r="D859" s="11"/>
      <c r="E859" s="12"/>
      <c r="F859" s="12"/>
      <c r="I859" s="12"/>
      <c r="J859" s="11"/>
    </row>
    <row r="860">
      <c r="B860" s="2"/>
      <c r="C860" s="10"/>
      <c r="D860" s="11"/>
      <c r="E860" s="12"/>
      <c r="F860" s="12"/>
      <c r="I860" s="12"/>
      <c r="J860" s="11"/>
    </row>
    <row r="861">
      <c r="B861" s="2"/>
      <c r="C861" s="10"/>
      <c r="D861" s="11"/>
      <c r="E861" s="12"/>
      <c r="F861" s="12"/>
      <c r="I861" s="12"/>
      <c r="J861" s="11"/>
    </row>
    <row r="862">
      <c r="B862" s="2"/>
      <c r="C862" s="10"/>
      <c r="D862" s="11"/>
      <c r="E862" s="12"/>
      <c r="F862" s="12"/>
      <c r="I862" s="12"/>
      <c r="J862" s="11"/>
    </row>
    <row r="863">
      <c r="B863" s="2"/>
      <c r="C863" s="10"/>
      <c r="D863" s="11"/>
      <c r="E863" s="12"/>
      <c r="F863" s="12"/>
      <c r="I863" s="12"/>
      <c r="J863" s="11"/>
    </row>
    <row r="864">
      <c r="B864" s="2"/>
      <c r="C864" s="10"/>
      <c r="D864" s="11"/>
      <c r="E864" s="12"/>
      <c r="F864" s="12"/>
      <c r="I864" s="12"/>
      <c r="J864" s="11"/>
    </row>
    <row r="865">
      <c r="B865" s="2"/>
      <c r="C865" s="10"/>
      <c r="D865" s="11"/>
      <c r="E865" s="12"/>
      <c r="F865" s="12"/>
      <c r="I865" s="12"/>
      <c r="J865" s="11"/>
    </row>
    <row r="866">
      <c r="B866" s="2"/>
      <c r="C866" s="10"/>
      <c r="D866" s="11"/>
      <c r="E866" s="12"/>
      <c r="F866" s="12"/>
      <c r="I866" s="12"/>
      <c r="J866" s="11"/>
    </row>
    <row r="867">
      <c r="B867" s="2"/>
      <c r="C867" s="10"/>
      <c r="D867" s="11"/>
      <c r="E867" s="12"/>
      <c r="F867" s="12"/>
      <c r="I867" s="12"/>
      <c r="J867" s="11"/>
    </row>
    <row r="868">
      <c r="B868" s="2"/>
      <c r="C868" s="10"/>
      <c r="D868" s="11"/>
      <c r="E868" s="12"/>
      <c r="F868" s="12"/>
      <c r="I868" s="12"/>
      <c r="J868" s="11"/>
    </row>
    <row r="869">
      <c r="B869" s="2"/>
      <c r="C869" s="10"/>
      <c r="D869" s="11"/>
      <c r="E869" s="12"/>
      <c r="F869" s="12"/>
      <c r="I869" s="12"/>
      <c r="J869" s="11"/>
    </row>
    <row r="870">
      <c r="B870" s="2"/>
      <c r="C870" s="10"/>
      <c r="D870" s="11"/>
      <c r="E870" s="12"/>
      <c r="F870" s="12"/>
      <c r="I870" s="12"/>
      <c r="J870" s="11"/>
    </row>
    <row r="871">
      <c r="B871" s="2"/>
      <c r="C871" s="10"/>
      <c r="D871" s="11"/>
      <c r="E871" s="12"/>
      <c r="F871" s="12"/>
      <c r="I871" s="12"/>
      <c r="J871" s="11"/>
    </row>
    <row r="872">
      <c r="B872" s="2"/>
      <c r="C872" s="10"/>
      <c r="D872" s="11"/>
      <c r="E872" s="12"/>
      <c r="F872" s="12"/>
      <c r="I872" s="12"/>
      <c r="J872" s="11"/>
    </row>
    <row r="873">
      <c r="B873" s="2"/>
      <c r="C873" s="10"/>
      <c r="D873" s="11"/>
      <c r="E873" s="12"/>
      <c r="F873" s="12"/>
      <c r="I873" s="12"/>
      <c r="J873" s="11"/>
    </row>
    <row r="874">
      <c r="B874" s="2"/>
      <c r="C874" s="10"/>
      <c r="D874" s="11"/>
      <c r="E874" s="12"/>
      <c r="F874" s="12"/>
      <c r="I874" s="12"/>
      <c r="J874" s="11"/>
    </row>
    <row r="875">
      <c r="B875" s="2"/>
      <c r="C875" s="10"/>
      <c r="D875" s="11"/>
      <c r="E875" s="12"/>
      <c r="F875" s="12"/>
      <c r="I875" s="12"/>
      <c r="J875" s="11"/>
    </row>
    <row r="876">
      <c r="B876" s="2"/>
      <c r="C876" s="10"/>
      <c r="D876" s="11"/>
      <c r="E876" s="12"/>
      <c r="F876" s="12"/>
      <c r="I876" s="12"/>
      <c r="J876" s="11"/>
    </row>
    <row r="877">
      <c r="B877" s="2"/>
      <c r="C877" s="10"/>
      <c r="D877" s="11"/>
      <c r="E877" s="12"/>
      <c r="F877" s="12"/>
      <c r="I877" s="12"/>
      <c r="J877" s="11"/>
    </row>
    <row r="878">
      <c r="B878" s="2"/>
      <c r="C878" s="10"/>
      <c r="D878" s="11"/>
      <c r="E878" s="12"/>
      <c r="F878" s="12"/>
      <c r="I878" s="12"/>
      <c r="J878" s="11"/>
    </row>
    <row r="879">
      <c r="B879" s="2"/>
      <c r="C879" s="10"/>
      <c r="D879" s="11"/>
      <c r="E879" s="12"/>
      <c r="F879" s="12"/>
      <c r="I879" s="12"/>
      <c r="J879" s="11"/>
    </row>
    <row r="880">
      <c r="B880" s="2"/>
      <c r="C880" s="10"/>
      <c r="D880" s="11"/>
      <c r="E880" s="12"/>
      <c r="F880" s="12"/>
      <c r="I880" s="12"/>
      <c r="J880" s="11"/>
    </row>
    <row r="881">
      <c r="B881" s="2"/>
      <c r="C881" s="10"/>
      <c r="D881" s="11"/>
      <c r="E881" s="12"/>
      <c r="F881" s="12"/>
      <c r="I881" s="12"/>
      <c r="J881" s="11"/>
    </row>
    <row r="882">
      <c r="B882" s="2"/>
      <c r="C882" s="10"/>
      <c r="D882" s="11"/>
      <c r="E882" s="12"/>
      <c r="F882" s="12"/>
      <c r="I882" s="12"/>
      <c r="J882" s="11"/>
    </row>
    <row r="883">
      <c r="B883" s="2"/>
      <c r="C883" s="10"/>
      <c r="D883" s="11"/>
      <c r="E883" s="12"/>
      <c r="F883" s="12"/>
      <c r="I883" s="12"/>
      <c r="J883" s="11"/>
    </row>
    <row r="884">
      <c r="B884" s="2"/>
      <c r="C884" s="10"/>
      <c r="D884" s="11"/>
      <c r="E884" s="12"/>
      <c r="F884" s="12"/>
      <c r="I884" s="12"/>
      <c r="J884" s="11"/>
    </row>
    <row r="885">
      <c r="B885" s="2"/>
      <c r="C885" s="10"/>
      <c r="D885" s="11"/>
      <c r="E885" s="12"/>
      <c r="F885" s="12"/>
      <c r="I885" s="12"/>
      <c r="J885" s="11"/>
    </row>
    <row r="886">
      <c r="B886" s="2"/>
      <c r="C886" s="10"/>
      <c r="D886" s="11"/>
      <c r="E886" s="12"/>
      <c r="F886" s="12"/>
      <c r="I886" s="12"/>
      <c r="J886" s="11"/>
    </row>
    <row r="887">
      <c r="B887" s="2"/>
      <c r="C887" s="10"/>
      <c r="D887" s="11"/>
      <c r="E887" s="12"/>
      <c r="F887" s="12"/>
      <c r="I887" s="12"/>
      <c r="J887" s="11"/>
    </row>
    <row r="888">
      <c r="B888" s="2"/>
      <c r="C888" s="10"/>
      <c r="D888" s="11"/>
      <c r="E888" s="12"/>
      <c r="F888" s="12"/>
      <c r="I888" s="12"/>
      <c r="J888" s="11"/>
    </row>
    <row r="889">
      <c r="B889" s="2"/>
      <c r="C889" s="10"/>
      <c r="D889" s="11"/>
      <c r="E889" s="12"/>
      <c r="F889" s="12"/>
      <c r="I889" s="12"/>
      <c r="J889" s="11"/>
    </row>
    <row r="890">
      <c r="B890" s="2"/>
      <c r="C890" s="10"/>
      <c r="D890" s="11"/>
      <c r="E890" s="12"/>
      <c r="F890" s="12"/>
      <c r="I890" s="12"/>
      <c r="J890" s="11"/>
    </row>
    <row r="891">
      <c r="B891" s="2"/>
      <c r="C891" s="10"/>
      <c r="D891" s="11"/>
      <c r="E891" s="12"/>
      <c r="F891" s="12"/>
      <c r="I891" s="12"/>
      <c r="J891" s="11"/>
    </row>
    <row r="892">
      <c r="B892" s="2"/>
      <c r="C892" s="10"/>
      <c r="D892" s="11"/>
      <c r="E892" s="12"/>
      <c r="F892" s="12"/>
      <c r="I892" s="12"/>
      <c r="J892" s="11"/>
    </row>
    <row r="893">
      <c r="B893" s="2"/>
      <c r="C893" s="10"/>
      <c r="D893" s="11"/>
      <c r="E893" s="12"/>
      <c r="F893" s="12"/>
      <c r="I893" s="12"/>
      <c r="J893" s="11"/>
    </row>
    <row r="894">
      <c r="B894" s="2"/>
      <c r="C894" s="10"/>
      <c r="D894" s="11"/>
      <c r="E894" s="12"/>
      <c r="F894" s="12"/>
      <c r="I894" s="12"/>
      <c r="J894" s="11"/>
    </row>
    <row r="895">
      <c r="B895" s="2"/>
      <c r="C895" s="10"/>
      <c r="D895" s="11"/>
      <c r="E895" s="12"/>
      <c r="F895" s="12"/>
      <c r="I895" s="12"/>
      <c r="J895" s="11"/>
    </row>
    <row r="896">
      <c r="B896" s="2"/>
      <c r="C896" s="10"/>
      <c r="D896" s="11"/>
      <c r="E896" s="12"/>
      <c r="F896" s="12"/>
      <c r="I896" s="12"/>
      <c r="J896" s="11"/>
    </row>
    <row r="897">
      <c r="B897" s="2"/>
      <c r="C897" s="10"/>
      <c r="D897" s="11"/>
      <c r="E897" s="12"/>
      <c r="F897" s="12"/>
      <c r="I897" s="12"/>
      <c r="J897" s="11"/>
    </row>
    <row r="898">
      <c r="B898" s="2"/>
      <c r="C898" s="10"/>
      <c r="D898" s="11"/>
      <c r="E898" s="12"/>
      <c r="F898" s="12"/>
      <c r="I898" s="12"/>
      <c r="J898" s="11"/>
    </row>
    <row r="899">
      <c r="B899" s="2"/>
      <c r="C899" s="10"/>
      <c r="D899" s="11"/>
      <c r="E899" s="12"/>
      <c r="F899" s="12"/>
      <c r="I899" s="12"/>
      <c r="J899" s="11"/>
    </row>
    <row r="900">
      <c r="B900" s="2"/>
      <c r="C900" s="10"/>
      <c r="D900" s="11"/>
      <c r="E900" s="12"/>
      <c r="F900" s="12"/>
      <c r="I900" s="12"/>
      <c r="J900" s="11"/>
    </row>
    <row r="901">
      <c r="B901" s="2"/>
      <c r="C901" s="10"/>
      <c r="D901" s="11"/>
      <c r="E901" s="12"/>
      <c r="F901" s="12"/>
      <c r="I901" s="12"/>
      <c r="J901" s="11"/>
    </row>
    <row r="902">
      <c r="B902" s="2"/>
      <c r="C902" s="10"/>
      <c r="D902" s="11"/>
      <c r="E902" s="12"/>
      <c r="F902" s="12"/>
      <c r="I902" s="12"/>
      <c r="J902" s="11"/>
    </row>
    <row r="903">
      <c r="B903" s="2"/>
      <c r="C903" s="10"/>
      <c r="D903" s="11"/>
      <c r="E903" s="12"/>
      <c r="F903" s="12"/>
      <c r="I903" s="12"/>
      <c r="J903" s="11"/>
    </row>
    <row r="904">
      <c r="B904" s="2"/>
      <c r="C904" s="10"/>
      <c r="D904" s="11"/>
      <c r="E904" s="12"/>
      <c r="F904" s="12"/>
      <c r="I904" s="12"/>
      <c r="J904" s="11"/>
    </row>
    <row r="905">
      <c r="B905" s="2"/>
      <c r="C905" s="10"/>
      <c r="D905" s="11"/>
      <c r="E905" s="12"/>
      <c r="F905" s="12"/>
      <c r="I905" s="12"/>
      <c r="J905" s="11"/>
    </row>
    <row r="906">
      <c r="B906" s="2"/>
      <c r="C906" s="10"/>
      <c r="D906" s="11"/>
      <c r="E906" s="12"/>
      <c r="F906" s="12"/>
      <c r="I906" s="12"/>
      <c r="J906" s="11"/>
    </row>
    <row r="907">
      <c r="B907" s="2"/>
      <c r="C907" s="10"/>
      <c r="D907" s="11"/>
      <c r="E907" s="12"/>
      <c r="F907" s="12"/>
      <c r="I907" s="12"/>
      <c r="J907" s="11"/>
    </row>
    <row r="908">
      <c r="B908" s="2"/>
      <c r="C908" s="10"/>
      <c r="D908" s="11"/>
      <c r="E908" s="12"/>
      <c r="F908" s="12"/>
      <c r="I908" s="12"/>
      <c r="J908" s="11"/>
    </row>
    <row r="909">
      <c r="B909" s="2"/>
      <c r="C909" s="10"/>
      <c r="D909" s="11"/>
      <c r="E909" s="12"/>
      <c r="F909" s="12"/>
      <c r="I909" s="12"/>
      <c r="J909" s="11"/>
    </row>
    <row r="910">
      <c r="B910" s="2"/>
      <c r="C910" s="10"/>
      <c r="D910" s="11"/>
      <c r="E910" s="12"/>
      <c r="F910" s="12"/>
      <c r="I910" s="12"/>
      <c r="J910" s="11"/>
    </row>
    <row r="911">
      <c r="B911" s="2"/>
      <c r="C911" s="10"/>
      <c r="D911" s="11"/>
      <c r="E911" s="12"/>
      <c r="F911" s="12"/>
      <c r="I911" s="12"/>
      <c r="J911" s="11"/>
    </row>
    <row r="912">
      <c r="B912" s="2"/>
      <c r="C912" s="10"/>
      <c r="D912" s="11"/>
      <c r="E912" s="12"/>
      <c r="F912" s="12"/>
      <c r="I912" s="12"/>
      <c r="J912" s="11"/>
    </row>
    <row r="913">
      <c r="B913" s="2"/>
      <c r="C913" s="10"/>
      <c r="D913" s="11"/>
      <c r="E913" s="12"/>
      <c r="F913" s="12"/>
      <c r="I913" s="12"/>
      <c r="J913" s="11"/>
    </row>
    <row r="914">
      <c r="B914" s="2"/>
      <c r="C914" s="10"/>
      <c r="D914" s="11"/>
      <c r="E914" s="12"/>
      <c r="F914" s="12"/>
      <c r="I914" s="12"/>
      <c r="J914" s="11"/>
    </row>
    <row r="915">
      <c r="B915" s="2"/>
      <c r="C915" s="10"/>
      <c r="D915" s="11"/>
      <c r="E915" s="12"/>
      <c r="F915" s="12"/>
      <c r="I915" s="12"/>
      <c r="J915" s="11"/>
    </row>
    <row r="916">
      <c r="B916" s="2"/>
      <c r="C916" s="10"/>
      <c r="D916" s="11"/>
      <c r="E916" s="12"/>
      <c r="F916" s="12"/>
      <c r="I916" s="12"/>
      <c r="J916" s="11"/>
    </row>
    <row r="917">
      <c r="B917" s="2"/>
      <c r="C917" s="10"/>
      <c r="D917" s="11"/>
      <c r="E917" s="12"/>
      <c r="F917" s="12"/>
      <c r="I917" s="12"/>
      <c r="J917" s="11"/>
    </row>
    <row r="918">
      <c r="B918" s="2"/>
      <c r="C918" s="10"/>
      <c r="D918" s="11"/>
      <c r="E918" s="12"/>
      <c r="F918" s="12"/>
      <c r="I918" s="12"/>
      <c r="J918" s="11"/>
    </row>
    <row r="919">
      <c r="B919" s="2"/>
      <c r="C919" s="10"/>
      <c r="D919" s="11"/>
      <c r="E919" s="12"/>
      <c r="F919" s="12"/>
      <c r="I919" s="12"/>
      <c r="J919" s="11"/>
    </row>
    <row r="920">
      <c r="B920" s="2"/>
      <c r="C920" s="10"/>
      <c r="D920" s="11"/>
      <c r="E920" s="12"/>
      <c r="F920" s="12"/>
      <c r="I920" s="12"/>
      <c r="J920" s="11"/>
    </row>
    <row r="921">
      <c r="B921" s="2"/>
      <c r="C921" s="10"/>
      <c r="D921" s="11"/>
      <c r="E921" s="12"/>
      <c r="F921" s="12"/>
      <c r="I921" s="12"/>
      <c r="J921" s="11"/>
    </row>
    <row r="922">
      <c r="B922" s="2"/>
      <c r="C922" s="10"/>
      <c r="D922" s="11"/>
      <c r="E922" s="12"/>
      <c r="F922" s="12"/>
      <c r="I922" s="12"/>
      <c r="J922" s="11"/>
    </row>
    <row r="923">
      <c r="B923" s="2"/>
      <c r="C923" s="10"/>
      <c r="D923" s="11"/>
      <c r="E923" s="12"/>
      <c r="F923" s="12"/>
      <c r="I923" s="12"/>
      <c r="J923" s="11"/>
    </row>
    <row r="924">
      <c r="B924" s="2"/>
      <c r="C924" s="10"/>
      <c r="D924" s="11"/>
      <c r="E924" s="12"/>
      <c r="F924" s="12"/>
      <c r="I924" s="12"/>
      <c r="J924" s="11"/>
    </row>
    <row r="925">
      <c r="B925" s="2"/>
      <c r="C925" s="10"/>
      <c r="D925" s="11"/>
      <c r="E925" s="12"/>
      <c r="F925" s="12"/>
      <c r="I925" s="12"/>
      <c r="J925" s="11"/>
    </row>
    <row r="926">
      <c r="B926" s="2"/>
      <c r="C926" s="10"/>
      <c r="D926" s="11"/>
      <c r="E926" s="12"/>
      <c r="F926" s="12"/>
      <c r="I926" s="12"/>
      <c r="J926" s="11"/>
    </row>
    <row r="927">
      <c r="B927" s="2"/>
      <c r="C927" s="10"/>
      <c r="D927" s="11"/>
      <c r="E927" s="12"/>
      <c r="F927" s="12"/>
      <c r="I927" s="12"/>
      <c r="J927" s="11"/>
    </row>
    <row r="928">
      <c r="B928" s="2"/>
      <c r="C928" s="10"/>
      <c r="D928" s="11"/>
      <c r="E928" s="12"/>
      <c r="F928" s="12"/>
      <c r="I928" s="12"/>
      <c r="J928" s="11"/>
    </row>
    <row r="929">
      <c r="B929" s="2"/>
      <c r="C929" s="10"/>
      <c r="D929" s="11"/>
      <c r="E929" s="12"/>
      <c r="F929" s="12"/>
      <c r="I929" s="12"/>
      <c r="J929" s="11"/>
    </row>
    <row r="930">
      <c r="B930" s="2"/>
      <c r="C930" s="10"/>
      <c r="D930" s="11"/>
      <c r="E930" s="12"/>
      <c r="F930" s="12"/>
      <c r="I930" s="12"/>
      <c r="J930" s="11"/>
    </row>
    <row r="931">
      <c r="B931" s="2"/>
      <c r="C931" s="10"/>
      <c r="D931" s="11"/>
      <c r="E931" s="12"/>
      <c r="F931" s="12"/>
      <c r="I931" s="12"/>
      <c r="J931" s="11"/>
    </row>
    <row r="932">
      <c r="B932" s="2"/>
      <c r="C932" s="10"/>
      <c r="D932" s="11"/>
      <c r="E932" s="12"/>
      <c r="F932" s="12"/>
      <c r="I932" s="12"/>
      <c r="J932" s="11"/>
    </row>
    <row r="933">
      <c r="B933" s="2"/>
      <c r="C933" s="10"/>
      <c r="D933" s="11"/>
      <c r="E933" s="12"/>
      <c r="F933" s="12"/>
      <c r="I933" s="12"/>
      <c r="J933" s="11"/>
    </row>
    <row r="934">
      <c r="B934" s="2"/>
      <c r="C934" s="10"/>
      <c r="D934" s="11"/>
      <c r="E934" s="12"/>
      <c r="F934" s="12"/>
      <c r="I934" s="12"/>
      <c r="J934" s="11"/>
    </row>
    <row r="935">
      <c r="B935" s="2"/>
      <c r="C935" s="10"/>
      <c r="D935" s="11"/>
      <c r="E935" s="12"/>
      <c r="F935" s="12"/>
      <c r="I935" s="12"/>
      <c r="J935" s="11"/>
    </row>
    <row r="936">
      <c r="B936" s="2"/>
      <c r="C936" s="10"/>
      <c r="D936" s="11"/>
      <c r="E936" s="12"/>
      <c r="F936" s="12"/>
      <c r="I936" s="12"/>
      <c r="J936" s="11"/>
    </row>
    <row r="937">
      <c r="B937" s="2"/>
      <c r="C937" s="10"/>
      <c r="D937" s="11"/>
      <c r="E937" s="12"/>
      <c r="F937" s="12"/>
      <c r="I937" s="12"/>
      <c r="J937" s="11"/>
    </row>
    <row r="938">
      <c r="B938" s="2"/>
      <c r="C938" s="10"/>
      <c r="D938" s="11"/>
      <c r="E938" s="12"/>
      <c r="F938" s="12"/>
      <c r="I938" s="12"/>
      <c r="J938" s="11"/>
    </row>
    <row r="939">
      <c r="B939" s="2"/>
      <c r="C939" s="10"/>
      <c r="D939" s="11"/>
      <c r="E939" s="12"/>
      <c r="F939" s="12"/>
      <c r="I939" s="12"/>
      <c r="J939" s="11"/>
    </row>
    <row r="940">
      <c r="B940" s="2"/>
      <c r="C940" s="10"/>
      <c r="D940" s="11"/>
      <c r="E940" s="12"/>
      <c r="F940" s="12"/>
      <c r="I940" s="12"/>
      <c r="J940" s="11"/>
    </row>
    <row r="941">
      <c r="B941" s="2"/>
      <c r="C941" s="10"/>
      <c r="D941" s="11"/>
      <c r="E941" s="12"/>
      <c r="F941" s="12"/>
      <c r="I941" s="12"/>
      <c r="J941" s="11"/>
    </row>
    <row r="942">
      <c r="B942" s="2"/>
      <c r="C942" s="10"/>
      <c r="D942" s="11"/>
      <c r="E942" s="12"/>
      <c r="F942" s="12"/>
      <c r="I942" s="12"/>
      <c r="J942" s="11"/>
    </row>
    <row r="943">
      <c r="B943" s="2"/>
      <c r="C943" s="10"/>
      <c r="D943" s="11"/>
      <c r="E943" s="12"/>
      <c r="F943" s="12"/>
      <c r="I943" s="12"/>
      <c r="J943" s="11"/>
    </row>
    <row r="944">
      <c r="B944" s="2"/>
      <c r="C944" s="10"/>
      <c r="D944" s="11"/>
      <c r="E944" s="12"/>
      <c r="F944" s="12"/>
      <c r="I944" s="12"/>
      <c r="J944" s="11"/>
    </row>
    <row r="945">
      <c r="B945" s="2"/>
      <c r="C945" s="10"/>
      <c r="D945" s="11"/>
      <c r="E945" s="12"/>
      <c r="F945" s="12"/>
      <c r="I945" s="12"/>
      <c r="J945" s="11"/>
    </row>
    <row r="946">
      <c r="B946" s="2"/>
      <c r="C946" s="10"/>
      <c r="D946" s="11"/>
      <c r="E946" s="12"/>
      <c r="F946" s="12"/>
      <c r="I946" s="12"/>
      <c r="J946" s="11"/>
    </row>
    <row r="947">
      <c r="B947" s="2"/>
      <c r="C947" s="10"/>
      <c r="D947" s="11"/>
      <c r="E947" s="12"/>
      <c r="F947" s="12"/>
      <c r="I947" s="12"/>
      <c r="J947" s="11"/>
    </row>
    <row r="948">
      <c r="B948" s="2"/>
      <c r="C948" s="10"/>
      <c r="D948" s="11"/>
      <c r="E948" s="12"/>
      <c r="F948" s="12"/>
      <c r="I948" s="12"/>
      <c r="J948" s="11"/>
    </row>
    <row r="949">
      <c r="B949" s="2"/>
      <c r="C949" s="10"/>
      <c r="D949" s="11"/>
      <c r="E949" s="12"/>
      <c r="F949" s="12"/>
      <c r="I949" s="12"/>
      <c r="J949" s="11"/>
    </row>
    <row r="950">
      <c r="B950" s="2"/>
      <c r="C950" s="10"/>
      <c r="D950" s="11"/>
      <c r="E950" s="12"/>
      <c r="F950" s="12"/>
      <c r="I950" s="12"/>
      <c r="J950" s="11"/>
    </row>
    <row r="951">
      <c r="B951" s="2"/>
      <c r="C951" s="10"/>
      <c r="D951" s="11"/>
      <c r="E951" s="12"/>
      <c r="F951" s="12"/>
      <c r="I951" s="12"/>
      <c r="J951" s="11"/>
    </row>
    <row r="952">
      <c r="B952" s="2"/>
      <c r="C952" s="10"/>
      <c r="D952" s="11"/>
      <c r="E952" s="12"/>
      <c r="F952" s="12"/>
      <c r="I952" s="12"/>
      <c r="J952" s="11"/>
    </row>
    <row r="953">
      <c r="B953" s="2"/>
      <c r="C953" s="10"/>
      <c r="D953" s="11"/>
      <c r="E953" s="12"/>
      <c r="F953" s="12"/>
      <c r="I953" s="12"/>
      <c r="J953" s="11"/>
    </row>
    <row r="954">
      <c r="B954" s="2"/>
      <c r="C954" s="10"/>
      <c r="D954" s="11"/>
      <c r="E954" s="12"/>
      <c r="F954" s="12"/>
      <c r="I954" s="12"/>
      <c r="J954" s="11"/>
    </row>
    <row r="955">
      <c r="B955" s="2"/>
      <c r="C955" s="10"/>
      <c r="D955" s="11"/>
      <c r="E955" s="12"/>
      <c r="F955" s="12"/>
      <c r="I955" s="12"/>
      <c r="J955" s="11"/>
    </row>
    <row r="956">
      <c r="B956" s="2"/>
      <c r="C956" s="10"/>
      <c r="D956" s="11"/>
      <c r="E956" s="12"/>
      <c r="F956" s="12"/>
      <c r="I956" s="12"/>
      <c r="J956" s="11"/>
    </row>
    <row r="957">
      <c r="B957" s="2"/>
      <c r="C957" s="10"/>
      <c r="D957" s="11"/>
      <c r="E957" s="12"/>
      <c r="F957" s="12"/>
      <c r="I957" s="12"/>
      <c r="J957" s="11"/>
    </row>
    <row r="958">
      <c r="B958" s="2"/>
      <c r="C958" s="10"/>
      <c r="D958" s="11"/>
      <c r="E958" s="12"/>
      <c r="F958" s="12"/>
      <c r="I958" s="12"/>
      <c r="J958" s="11"/>
    </row>
    <row r="959">
      <c r="B959" s="2"/>
      <c r="C959" s="10"/>
      <c r="D959" s="11"/>
      <c r="E959" s="12"/>
      <c r="F959" s="12"/>
      <c r="I959" s="12"/>
      <c r="J959" s="11"/>
    </row>
    <row r="960">
      <c r="B960" s="2"/>
      <c r="C960" s="10"/>
      <c r="D960" s="11"/>
      <c r="E960" s="12"/>
      <c r="F960" s="12"/>
      <c r="I960" s="12"/>
      <c r="J960" s="11"/>
    </row>
    <row r="961">
      <c r="B961" s="2"/>
      <c r="C961" s="10"/>
      <c r="D961" s="11"/>
      <c r="E961" s="12"/>
      <c r="F961" s="12"/>
      <c r="I961" s="12"/>
      <c r="J961" s="11"/>
    </row>
    <row r="962">
      <c r="B962" s="2"/>
      <c r="C962" s="10"/>
      <c r="D962" s="11"/>
      <c r="E962" s="12"/>
      <c r="F962" s="12"/>
      <c r="I962" s="12"/>
      <c r="J962" s="11"/>
    </row>
    <row r="963">
      <c r="B963" s="2"/>
      <c r="C963" s="10"/>
      <c r="D963" s="11"/>
      <c r="E963" s="12"/>
      <c r="F963" s="12"/>
      <c r="I963" s="12"/>
      <c r="J963" s="11"/>
    </row>
    <row r="964">
      <c r="B964" s="2"/>
      <c r="C964" s="10"/>
      <c r="D964" s="11"/>
      <c r="E964" s="12"/>
      <c r="F964" s="12"/>
      <c r="I964" s="12"/>
      <c r="J964" s="11"/>
    </row>
    <row r="965">
      <c r="B965" s="2"/>
      <c r="C965" s="10"/>
      <c r="D965" s="11"/>
      <c r="E965" s="12"/>
      <c r="F965" s="12"/>
      <c r="I965" s="12"/>
      <c r="J965" s="11"/>
    </row>
    <row r="966">
      <c r="B966" s="2"/>
      <c r="C966" s="10"/>
      <c r="D966" s="11"/>
      <c r="E966" s="12"/>
      <c r="F966" s="12"/>
      <c r="I966" s="12"/>
      <c r="J966" s="11"/>
    </row>
    <row r="967">
      <c r="B967" s="2"/>
      <c r="C967" s="10"/>
      <c r="D967" s="11"/>
      <c r="E967" s="12"/>
      <c r="F967" s="12"/>
      <c r="I967" s="12"/>
      <c r="J967" s="11"/>
    </row>
    <row r="968">
      <c r="B968" s="2"/>
      <c r="C968" s="10"/>
      <c r="D968" s="11"/>
      <c r="E968" s="12"/>
      <c r="F968" s="12"/>
      <c r="I968" s="12"/>
      <c r="J968" s="11"/>
    </row>
    <row r="969">
      <c r="B969" s="2"/>
      <c r="C969" s="10"/>
      <c r="D969" s="11"/>
      <c r="E969" s="12"/>
      <c r="F969" s="12"/>
      <c r="I969" s="12"/>
      <c r="J969" s="11"/>
    </row>
    <row r="970">
      <c r="B970" s="2"/>
      <c r="C970" s="10"/>
      <c r="D970" s="11"/>
      <c r="E970" s="12"/>
      <c r="F970" s="12"/>
      <c r="I970" s="12"/>
      <c r="J970" s="11"/>
    </row>
    <row r="971">
      <c r="B971" s="2"/>
      <c r="C971" s="10"/>
      <c r="D971" s="11"/>
      <c r="E971" s="12"/>
      <c r="F971" s="12"/>
      <c r="I971" s="12"/>
      <c r="J971" s="11"/>
    </row>
    <row r="972">
      <c r="B972" s="2"/>
      <c r="C972" s="10"/>
      <c r="D972" s="11"/>
      <c r="E972" s="12"/>
      <c r="F972" s="12"/>
      <c r="I972" s="12"/>
      <c r="J972" s="11"/>
    </row>
    <row r="973">
      <c r="B973" s="2"/>
      <c r="C973" s="10"/>
      <c r="D973" s="11"/>
      <c r="E973" s="12"/>
      <c r="F973" s="12"/>
      <c r="I973" s="12"/>
      <c r="J973" s="11"/>
    </row>
    <row r="974">
      <c r="B974" s="2"/>
      <c r="C974" s="10"/>
      <c r="D974" s="11"/>
      <c r="E974" s="12"/>
      <c r="F974" s="12"/>
      <c r="I974" s="12"/>
      <c r="J974" s="11"/>
    </row>
    <row r="975">
      <c r="B975" s="2"/>
      <c r="C975" s="10"/>
      <c r="D975" s="11"/>
      <c r="E975" s="12"/>
      <c r="F975" s="12"/>
      <c r="I975" s="12"/>
      <c r="J975" s="11"/>
    </row>
    <row r="976">
      <c r="B976" s="2"/>
      <c r="C976" s="10"/>
      <c r="D976" s="11"/>
      <c r="E976" s="12"/>
      <c r="F976" s="12"/>
      <c r="I976" s="12"/>
      <c r="J976" s="11"/>
    </row>
    <row r="977">
      <c r="B977" s="2"/>
      <c r="C977" s="10"/>
      <c r="D977" s="11"/>
      <c r="E977" s="12"/>
      <c r="F977" s="12"/>
      <c r="I977" s="12"/>
      <c r="J977" s="11"/>
    </row>
    <row r="978">
      <c r="B978" s="2"/>
      <c r="C978" s="10"/>
      <c r="D978" s="11"/>
      <c r="E978" s="12"/>
      <c r="F978" s="12"/>
      <c r="I978" s="12"/>
      <c r="J978" s="11"/>
    </row>
    <row r="979">
      <c r="B979" s="2"/>
      <c r="C979" s="10"/>
      <c r="D979" s="11"/>
      <c r="E979" s="12"/>
      <c r="F979" s="12"/>
      <c r="I979" s="12"/>
      <c r="J979" s="11"/>
    </row>
    <row r="980">
      <c r="B980" s="2"/>
      <c r="C980" s="10"/>
      <c r="D980" s="11"/>
      <c r="E980" s="12"/>
      <c r="F980" s="12"/>
      <c r="I980" s="12"/>
      <c r="J980" s="11"/>
    </row>
    <row r="981">
      <c r="B981" s="2"/>
      <c r="C981" s="10"/>
      <c r="D981" s="11"/>
      <c r="E981" s="12"/>
      <c r="F981" s="12"/>
      <c r="I981" s="12"/>
      <c r="J981" s="11"/>
    </row>
    <row r="982">
      <c r="B982" s="2"/>
      <c r="C982" s="10"/>
      <c r="D982" s="11"/>
      <c r="E982" s="12"/>
      <c r="F982" s="12"/>
      <c r="I982" s="12"/>
      <c r="J982" s="11"/>
    </row>
    <row r="983">
      <c r="B983" s="2"/>
      <c r="C983" s="10"/>
      <c r="D983" s="11"/>
      <c r="E983" s="12"/>
      <c r="F983" s="12"/>
      <c r="I983" s="12"/>
      <c r="J983" s="11"/>
    </row>
    <row r="984">
      <c r="B984" s="2"/>
      <c r="C984" s="10"/>
      <c r="D984" s="11"/>
      <c r="E984" s="12"/>
      <c r="F984" s="12"/>
      <c r="I984" s="12"/>
      <c r="J984" s="11"/>
    </row>
    <row r="985">
      <c r="B985" s="2"/>
      <c r="C985" s="10"/>
      <c r="D985" s="11"/>
      <c r="E985" s="12"/>
      <c r="F985" s="12"/>
      <c r="I985" s="12"/>
      <c r="J985" s="11"/>
    </row>
    <row r="986">
      <c r="B986" s="2"/>
      <c r="C986" s="10"/>
      <c r="D986" s="11"/>
      <c r="E986" s="12"/>
      <c r="F986" s="12"/>
      <c r="I986" s="12"/>
      <c r="J986" s="11"/>
    </row>
    <row r="987">
      <c r="B987" s="2"/>
      <c r="C987" s="10"/>
      <c r="D987" s="11"/>
      <c r="E987" s="12"/>
      <c r="F987" s="12"/>
      <c r="I987" s="12"/>
      <c r="J987" s="11"/>
    </row>
    <row r="988">
      <c r="B988" s="2"/>
      <c r="C988" s="10"/>
      <c r="D988" s="11"/>
      <c r="E988" s="12"/>
      <c r="F988" s="12"/>
      <c r="I988" s="12"/>
      <c r="J988" s="11"/>
    </row>
    <row r="989">
      <c r="B989" s="2"/>
      <c r="C989" s="10"/>
      <c r="D989" s="11"/>
      <c r="E989" s="12"/>
      <c r="F989" s="12"/>
      <c r="I989" s="12"/>
      <c r="J989" s="11"/>
    </row>
    <row r="990">
      <c r="B990" s="2"/>
      <c r="C990" s="10"/>
      <c r="D990" s="11"/>
      <c r="E990" s="12"/>
      <c r="F990" s="12"/>
      <c r="I990" s="12"/>
      <c r="J990" s="11"/>
    </row>
    <row r="991">
      <c r="B991" s="2"/>
      <c r="C991" s="10"/>
      <c r="D991" s="11"/>
      <c r="E991" s="12"/>
      <c r="F991" s="12"/>
      <c r="I991" s="12"/>
      <c r="J991" s="11"/>
    </row>
    <row r="992">
      <c r="B992" s="2"/>
      <c r="C992" s="10"/>
      <c r="D992" s="11"/>
      <c r="E992" s="12"/>
      <c r="F992" s="12"/>
      <c r="I992" s="12"/>
      <c r="J992" s="11"/>
    </row>
    <row r="993">
      <c r="B993" s="2"/>
      <c r="C993" s="10"/>
      <c r="D993" s="11"/>
      <c r="E993" s="12"/>
      <c r="F993" s="12"/>
      <c r="I993" s="12"/>
      <c r="J993" s="11"/>
    </row>
    <row r="994">
      <c r="B994" s="2"/>
      <c r="C994" s="10"/>
      <c r="D994" s="11"/>
      <c r="E994" s="12"/>
      <c r="F994" s="12"/>
      <c r="I994" s="12"/>
      <c r="J994" s="11"/>
    </row>
    <row r="995">
      <c r="B995" s="2"/>
      <c r="C995" s="10"/>
      <c r="D995" s="11"/>
      <c r="E995" s="12"/>
      <c r="F995" s="12"/>
      <c r="I995" s="12"/>
      <c r="J995" s="11"/>
    </row>
    <row r="996">
      <c r="B996" s="2"/>
      <c r="C996" s="10"/>
      <c r="D996" s="11"/>
      <c r="E996" s="12"/>
      <c r="F996" s="12"/>
      <c r="I996" s="12"/>
      <c r="J996" s="11"/>
    </row>
    <row r="997">
      <c r="B997" s="2"/>
      <c r="C997" s="10"/>
      <c r="D997" s="11"/>
      <c r="E997" s="12"/>
      <c r="F997" s="12"/>
      <c r="I997" s="12"/>
      <c r="J997" s="11"/>
    </row>
    <row r="998">
      <c r="B998" s="2"/>
      <c r="C998" s="10"/>
      <c r="D998" s="11"/>
      <c r="E998" s="12"/>
      <c r="F998" s="12"/>
      <c r="I998" s="12"/>
      <c r="J998" s="11"/>
    </row>
    <row r="999">
      <c r="B999" s="2"/>
      <c r="C999" s="10"/>
      <c r="D999" s="11"/>
      <c r="E999" s="12"/>
      <c r="F999" s="12"/>
      <c r="I999" s="12"/>
      <c r="J999" s="11"/>
    </row>
    <row r="1000">
      <c r="B1000" s="2"/>
      <c r="C1000" s="10"/>
      <c r="D1000" s="11"/>
      <c r="E1000" s="12"/>
      <c r="F1000" s="12"/>
      <c r="I1000" s="12"/>
      <c r="J1000" s="1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29.14"/>
    <col customWidth="1" min="4" max="6" width="26.43"/>
    <col customWidth="1" min="7" max="7" width="36.14"/>
    <col customWidth="1" min="8" max="8" width="36.0"/>
    <col customWidth="1" min="9" max="12" width="36.29"/>
    <col customWidth="1" min="13" max="13" width="43.43"/>
    <col customWidth="1" min="14" max="14" width="43.29"/>
    <col customWidth="1" min="15" max="15" width="36.29"/>
    <col customWidth="1" min="16" max="17" width="41.0"/>
    <col customWidth="1" min="18" max="18" width="63.57"/>
    <col customWidth="1" min="19" max="22" width="41.0"/>
    <col customWidth="1" min="23" max="23" width="40.86"/>
    <col customWidth="1" min="24" max="24" width="36.29"/>
    <col customWidth="1" min="25" max="25" width="39.86"/>
    <col customWidth="1" min="26" max="26" width="39.71"/>
    <col customWidth="1" min="27" max="27" width="45.29"/>
    <col customWidth="1" min="28" max="28" width="39.86"/>
    <col customWidth="1" min="29" max="29" width="39.71"/>
    <col customWidth="1" min="30" max="30" width="45.29"/>
    <col customWidth="1" min="31" max="32" width="39.71"/>
    <col customWidth="1" min="33" max="33" width="45.29"/>
    <col customWidth="1" min="34" max="34" width="39.86"/>
    <col customWidth="1" min="35" max="35" width="39.71"/>
    <col customWidth="1" min="36" max="36" width="45.29"/>
    <col customWidth="1" min="37" max="37" width="39.86"/>
    <col customWidth="1" min="38" max="38" width="39.71"/>
    <col customWidth="1" min="39" max="39" width="45.29"/>
    <col customWidth="1" min="40" max="40" width="44.14"/>
  </cols>
  <sheetData>
    <row r="1">
      <c r="A1" s="13" t="s">
        <v>18</v>
      </c>
      <c r="B1" s="13" t="s">
        <v>19</v>
      </c>
      <c r="C1" s="13" t="s">
        <v>20</v>
      </c>
      <c r="D1" s="13" t="s">
        <v>1</v>
      </c>
      <c r="E1" s="13" t="s">
        <v>21</v>
      </c>
      <c r="F1" s="13" t="s">
        <v>22</v>
      </c>
      <c r="G1" s="13" t="s">
        <v>23</v>
      </c>
      <c r="H1" s="13" t="s">
        <v>24</v>
      </c>
      <c r="I1" s="14" t="s">
        <v>25</v>
      </c>
      <c r="J1" s="13" t="s">
        <v>26</v>
      </c>
      <c r="K1" s="13" t="s">
        <v>27</v>
      </c>
      <c r="L1" s="15" t="s">
        <v>28</v>
      </c>
      <c r="M1" s="13" t="s">
        <v>29</v>
      </c>
      <c r="N1" s="13" t="s">
        <v>30</v>
      </c>
      <c r="O1" s="15" t="s">
        <v>31</v>
      </c>
      <c r="P1" s="13" t="s">
        <v>32</v>
      </c>
      <c r="Q1" s="13" t="s">
        <v>32</v>
      </c>
      <c r="R1" s="15" t="s">
        <v>33</v>
      </c>
      <c r="S1" s="13" t="s">
        <v>34</v>
      </c>
      <c r="T1" s="13" t="s">
        <v>34</v>
      </c>
      <c r="U1" s="15" t="s">
        <v>35</v>
      </c>
      <c r="V1" s="13" t="s">
        <v>36</v>
      </c>
      <c r="W1" s="13" t="s">
        <v>37</v>
      </c>
      <c r="X1" s="15" t="s">
        <v>38</v>
      </c>
      <c r="Y1" s="13" t="s">
        <v>39</v>
      </c>
      <c r="Z1" s="13" t="s">
        <v>40</v>
      </c>
      <c r="AA1" s="15" t="s">
        <v>41</v>
      </c>
      <c r="AB1" s="13" t="s">
        <v>42</v>
      </c>
      <c r="AC1" s="13" t="s">
        <v>43</v>
      </c>
      <c r="AD1" s="16" t="s">
        <v>44</v>
      </c>
      <c r="AE1" s="13" t="s">
        <v>45</v>
      </c>
      <c r="AF1" s="13" t="s">
        <v>46</v>
      </c>
      <c r="AG1" s="16" t="s">
        <v>47</v>
      </c>
      <c r="AH1" s="13" t="s">
        <v>48</v>
      </c>
      <c r="AI1" s="13" t="s">
        <v>49</v>
      </c>
      <c r="AJ1" s="16" t="s">
        <v>50</v>
      </c>
      <c r="AK1" s="13" t="s">
        <v>51</v>
      </c>
      <c r="AL1" s="13" t="s">
        <v>52</v>
      </c>
      <c r="AM1" s="16" t="s">
        <v>53</v>
      </c>
      <c r="AN1" s="13" t="s">
        <v>54</v>
      </c>
      <c r="AO1" s="13" t="s">
        <v>55</v>
      </c>
      <c r="AP1" s="13" t="s">
        <v>56</v>
      </c>
      <c r="AQ1" s="13" t="s">
        <v>57</v>
      </c>
      <c r="AR1" s="13" t="s">
        <v>58</v>
      </c>
      <c r="AS1" s="13" t="s">
        <v>59</v>
      </c>
      <c r="AT1" s="13" t="s">
        <v>60</v>
      </c>
      <c r="AU1" s="13" t="s">
        <v>61</v>
      </c>
      <c r="AV1" s="13" t="s">
        <v>62</v>
      </c>
      <c r="AW1" s="13" t="s">
        <v>63</v>
      </c>
      <c r="AX1" s="13" t="s">
        <v>64</v>
      </c>
      <c r="AY1" s="13" t="s">
        <v>65</v>
      </c>
      <c r="AZ1" s="13" t="s">
        <v>66</v>
      </c>
      <c r="BA1" s="13" t="s">
        <v>67</v>
      </c>
      <c r="BB1" s="13"/>
    </row>
    <row r="2">
      <c r="A2" s="1" t="str">
        <f>IFERROR(__xludf.DUMMYFUNCTION("ARRAYFORMULA(
  FILTER(
    {'Partner List'!A:A, 'Partner List'!B:B,'Partner List'!C:C,'Partner List'!F:F, 'Partner List'!I:I,'Partner List'!W:W},
    COUNTIF(Context!B18:B45, 'Partner List'!I:I)&gt;0
  )
)
"),"67eff1ff22947812f40fa354")</f>
        <v>67eff1ff22947812f40fa354</v>
      </c>
      <c r="B2" s="1" t="str">
        <f>IFERROR(__xludf.DUMMYFUNCTION("""COMPUTED_VALUE"""),"ISTC de Mexico")</f>
        <v>ISTC de Mexico</v>
      </c>
      <c r="C2" s="1" t="str">
        <f>IFERROR(__xludf.DUMMYFUNCTION("""COMPUTED_VALUE"""),"philippe.girard@al-enterprise.com, rui.silva@al-enterprise.com, joaquin.flores@al-enterprise.com")</f>
        <v>philippe.girard@al-enterprise.com, rui.silva@al-enterprise.com, joaquin.flores@al-enterprise.com</v>
      </c>
      <c r="D2" s="1" t="str">
        <f>IFERROR(__xludf.DUMMYFUNCTION("""COMPUTED_VALUE"""),"americas")</f>
        <v>americas</v>
      </c>
      <c r="E2" s="1" t="str">
        <f>IFERROR(__xludf.DUMMYFUNCTION("""COMPUTED_VALUE"""),"MX")</f>
        <v>MX</v>
      </c>
      <c r="F2" s="1" t="str">
        <f>IFERROR(__xludf.DUMMYFUNCTION("""COMPUTED_VALUE"""),"distributor")</f>
        <v>distributor</v>
      </c>
      <c r="G2" s="1">
        <f>iferror(VLOOKUP(A2,'Business Plan Setup and Accepta'!A:G,6,false),"")</f>
        <v>0</v>
      </c>
      <c r="H2" s="1">
        <f>iferror(VLOOKUP(A2,'Business Plan Setup and Accepta'!A:G,7,false),"")</f>
        <v>1</v>
      </c>
      <c r="I2" s="17">
        <f t="shared" ref="I2:I535" si="3">iferror(G2/H2,"")</f>
        <v>0</v>
      </c>
      <c r="J2" s="1">
        <f>IFERROR(VALUE(SUBSTITUTE(VLOOKUP(A2,'Sales IN Revenues vs Sales targ'!A:G,6,false)," $","")), "")
</f>
        <v>0</v>
      </c>
      <c r="K2" s="1">
        <f>IFERROR(VALUE(SUBSTITUTE(VLOOKUP(A2,'Sales IN Revenues vs Sales targ'!A:G,7,false)," $","")), "")
</f>
        <v>500</v>
      </c>
      <c r="L2" s="17">
        <f t="shared" ref="L2:L535" si="4">iferror(J2/K2,"")</f>
        <v>0</v>
      </c>
      <c r="M2" s="1">
        <f>value(SUBSTITUTE(IFERROR(VLOOKUP(A2,'Certifications achievements vs '!A:G,6,false),""),"#","")
)</f>
        <v>0</v>
      </c>
      <c r="N2" s="1">
        <f>value(SUBSTITUTE(IFERROR(VLOOKUP(A2,'Certifications achievements vs '!A:G,7,false),""),"#","")
)</f>
        <v>0</v>
      </c>
      <c r="O2" s="17" t="str">
        <f t="shared" ref="O2:O535" si="5">iferror(M2/N2,"")</f>
        <v/>
      </c>
      <c r="P2" s="1">
        <f>value(SUBSTITUTE(IFERROR(VLOOKUP(A2,'Communications - Solution Speci'!A:G,6,false),""),"#","")
)</f>
        <v>0</v>
      </c>
      <c r="Q2" s="1">
        <f>value(SUBSTITUTE(IFERROR(VLOOKUP(A2,'Communications - Solution Speci'!A:G,7,false),""),"#","")
)</f>
        <v>1</v>
      </c>
      <c r="R2" s="17">
        <f t="shared" ref="R2:R676" si="6">iferror(P2/Q2,"")</f>
        <v>0</v>
      </c>
      <c r="S2" s="1">
        <f>value(SUBSTITUTE(IFERROR(VLOOKUP(A2,'Networking - Solution Specializ'!A:G,6,false),""),"#","")
)</f>
        <v>0</v>
      </c>
      <c r="T2" s="1">
        <f>value(SUBSTITUTE(IFERROR(VLOOKUP(A2,'Networking - Solution Specializ'!A:G,7,false),""),"#","")
)</f>
        <v>1</v>
      </c>
      <c r="U2" s="17">
        <f t="shared" ref="U2:U676" si="7">iferror(S2/T2,"")</f>
        <v>0</v>
      </c>
      <c r="V2" s="1">
        <f>iferror(vlookup(A2,'Marketing Plan (extract summary'!A:G,6,false),"")</f>
        <v>0</v>
      </c>
      <c r="W2" s="1">
        <f>iferror(vlookup(A2,'Marketing Plan (extract summary'!A:G,7,false),"")</f>
        <v>1</v>
      </c>
      <c r="X2" s="17">
        <f t="shared" ref="X2:X535" si="8">iferror(V2/W2,"")</f>
        <v>0</v>
      </c>
      <c r="Y2" s="1">
        <f>value(IFERROR(SUBSTITUTE(SUBSTITUTE(VLOOKUP(A2,'Quarterly Pipeline vs Target Pi'!A:G,6,false)," $","")," €",""), "")
)</f>
        <v>0</v>
      </c>
      <c r="Z2" s="1">
        <f>value(IFERROR(SUBSTITUTE(SUBSTITUTE(VLOOKUP(A2,'Quarterly Pipeline vs Target Pi'!A:G,7,false)," $","")," €",""), "")
)</f>
        <v>0</v>
      </c>
      <c r="AA2" s="17" t="str">
        <f t="shared" ref="AA2:AA708" si="9">iferror(Y2/Z2,"")</f>
        <v/>
      </c>
      <c r="AB2" s="1">
        <f>value(IFERROR(SUBSTITUTE(SUBSTITUTE(VLOOKUP($A2,'Quarterly Pipeline vs Target Pi'!$A:$V,11,false)," $","")," €",""), "")
)</f>
        <v>0</v>
      </c>
      <c r="AC2" s="1">
        <f>value(IFERROR(SUBSTITUTE(SUBSTITUTE(VLOOKUP($A2,'Quarterly Pipeline vs Target Pi'!$A:$V,12,false)," $","")," €",""), "")
)</f>
        <v>383.33</v>
      </c>
      <c r="AD2" s="17">
        <f t="shared" ref="AD2:AD708" si="10">iferror(AB2/AC2,"")</f>
        <v>0</v>
      </c>
      <c r="AE2" s="1">
        <f>value(IFERROR(SUBSTITUTE(SUBSTITUTE(VLOOKUP($A2,'Quarterly Pipeline vs Target Pi'!$A:$V,16,false)," $","")," €",""), "")
)</f>
        <v>49.55</v>
      </c>
      <c r="AF2" s="1">
        <f>value(IFERROR(SUBSTITUTE(SUBSTITUTE(VLOOKUP($A2,'Quarterly Pipeline vs Target Pi'!$A:$V,17,false)," $","")," €",""), "")
)</f>
        <v>449.99</v>
      </c>
      <c r="AG2" s="17">
        <f t="shared" ref="AG2:AG708" si="11">iferror(AE2/AF2,"")</f>
        <v>0.1101135581</v>
      </c>
      <c r="AH2" s="1">
        <f>value(IFERROR(SUBSTITUTE(SUBSTITUTE(VLOOKUP($A2,'Quarterly Pipeline vs Target Pi'!$A:$V,21,false)," $","")," €",""), "")
)</f>
        <v>45.83</v>
      </c>
      <c r="AI2" s="1">
        <f>value(IFERROR(SUBSTITUTE(SUBSTITUTE(VLOOKUP($A2,'Quarterly Pipeline vs Target Pi'!$A:$V,22,false)," $","")," €",""), "")
)</f>
        <v>483.34</v>
      </c>
      <c r="AJ2" s="17">
        <f t="shared" ref="AJ2:AJ708" si="12">iferror(AH2/AI2,"")</f>
        <v>0.0948193818</v>
      </c>
      <c r="AK2" s="1">
        <f t="shared" ref="AK2:AL2" si="1">sum(Y2,AB2,AE2,AH2)</f>
        <v>95.38</v>
      </c>
      <c r="AL2" s="1">
        <f t="shared" si="1"/>
        <v>1316.66</v>
      </c>
      <c r="AM2" s="17">
        <f t="shared" ref="AM2:AM708" si="14">iferror(AK2/AL2,"")</f>
        <v>0.07244087312</v>
      </c>
      <c r="AN2" s="1">
        <f>value(IFERROR(SUBSTITUTE(SUBSTITUTE(VLOOKUP($A2,'Quarterly Pipeline vs Target Pi'!$A:$AP,26,false)," $","")," €",""), "")
)</f>
        <v>0</v>
      </c>
      <c r="AO2" s="1">
        <f>value(IFERROR(SUBSTITUTE(SUBSTITUTE(VLOOKUP($A2,'Quarterly Pipeline vs Target Pi'!$A:$AP,27,false)," $","")," €",""), "")
)</f>
        <v>0</v>
      </c>
      <c r="AP2" s="17" t="str">
        <f t="shared" ref="AP2:AP874" si="15">iferror(AN2/AO2,"")</f>
        <v/>
      </c>
      <c r="AQ2" s="1">
        <f>value(IFERROR(SUBSTITUTE(SUBSTITUTE(VLOOKUP($A2,'Quarterly Pipeline vs Target Pi'!$A:$AP,31,false)," $","")," €",""), "")
)</f>
        <v>0</v>
      </c>
      <c r="AR2" s="1">
        <f>value(IFERROR(SUBSTITUTE(SUBSTITUTE(VLOOKUP($A2,'Quarterly Pipeline vs Target Pi'!$A:$AP,32,false)," $","")," €",""), "")
)</f>
        <v>0</v>
      </c>
      <c r="AS2" s="17" t="str">
        <f t="shared" ref="AS2:AS874" si="16">iferror(AQ2/AR2,"")</f>
        <v/>
      </c>
      <c r="AT2" s="1">
        <f>value(IFERROR(SUBSTITUTE(SUBSTITUTE(VLOOKUP($A2,'Quarterly Pipeline vs Target Pi'!$A:$AP,36,false)," $","")," €",""), "")
)</f>
        <v>0</v>
      </c>
      <c r="AU2" s="1">
        <f>value(IFERROR(SUBSTITUTE(SUBSTITUTE(VLOOKUP($A2,'Quarterly Pipeline vs Target Pi'!$A:$AP,37,false)," $","")," €",""), "")
)</f>
        <v>0</v>
      </c>
      <c r="AV2" s="17" t="str">
        <f t="shared" ref="AV2:AV874" si="17">iferror(AT2/AU2,"")</f>
        <v/>
      </c>
      <c r="AW2" s="1">
        <f>value(IFERROR(SUBSTITUTE(SUBSTITUTE(VLOOKUP($A2,'Quarterly Pipeline vs Target Pi'!$A:$AP,41,false)," $","")," €",""), "")
)</f>
        <v>0</v>
      </c>
      <c r="AX2" s="1">
        <f>value(IFERROR(SUBSTITUTE(SUBSTITUTE(VLOOKUP($A2,'Quarterly Pipeline vs Target Pi'!$A:$AP,42,false)," $","")," €",""), "")
)</f>
        <v>0</v>
      </c>
      <c r="AY2" s="17" t="str">
        <f t="shared" ref="AY2:AY874" si="18">iferror(AW2/AX2,"")</f>
        <v/>
      </c>
      <c r="AZ2" s="1">
        <f t="shared" ref="AZ2:BA2" si="2">sum(AN2,AQ2,AT2,AW2)</f>
        <v>0</v>
      </c>
      <c r="BA2" s="1">
        <f t="shared" si="2"/>
        <v>0</v>
      </c>
      <c r="BB2" s="17" t="str">
        <f t="shared" ref="BB2:BB874" si="20">iferror(AZ2/BA2,"")</f>
        <v/>
      </c>
    </row>
    <row r="3">
      <c r="A3" s="1" t="str">
        <f>IFERROR(__xludf.DUMMYFUNCTION("""COMPUTED_VALUE"""),"65f1c0a04b86f221530d41c2")</f>
        <v>65f1c0a04b86f221530d41c2</v>
      </c>
      <c r="B3" s="1" t="str">
        <f>IFERROR(__xludf.DUMMYFUNCTION("""COMPUTED_VALUE"""),"Serverli Inc")</f>
        <v>Serverli Inc</v>
      </c>
      <c r="C3" s="1" t="str">
        <f>IFERROR(__xludf.DUMMYFUNCTION("""COMPUTED_VALUE"""),"rui.silva@al-enterprise.com, michael-j.francis@al-enterprise.com, luigy.estevanell@al-enterprise.com")</f>
        <v>rui.silva@al-enterprise.com, michael-j.francis@al-enterprise.com, luigy.estevanell@al-enterprise.com</v>
      </c>
      <c r="D3" s="1" t="str">
        <f>IFERROR(__xludf.DUMMYFUNCTION("""COMPUTED_VALUE"""),"americas")</f>
        <v>americas</v>
      </c>
      <c r="E3" s="1" t="str">
        <f>IFERROR(__xludf.DUMMYFUNCTION("""COMPUTED_VALUE"""),"US")</f>
        <v>US</v>
      </c>
      <c r="F3" s="1" t="str">
        <f>IFERROR(__xludf.DUMMYFUNCTION("""COMPUTED_VALUE"""),"expert_200")</f>
        <v>expert_200</v>
      </c>
      <c r="G3" s="1">
        <f>iferror(VLOOKUP(A3,'Business Plan Setup and Accepta'!A:G,6,false),"")</f>
        <v>0</v>
      </c>
      <c r="H3" s="1">
        <f>iferror(VLOOKUP(A3,'Business Plan Setup and Accepta'!A:G,7,false),"")</f>
        <v>1</v>
      </c>
      <c r="I3" s="17">
        <f t="shared" si="3"/>
        <v>0</v>
      </c>
      <c r="J3" s="1">
        <f>IFERROR(VALUE(SUBSTITUTE(VLOOKUP(A3,'Sales IN Revenues vs Sales targ'!A:G,6,false)," $","")), "")
</f>
        <v>0</v>
      </c>
      <c r="K3" s="1">
        <f>IFERROR(VALUE(SUBSTITUTE(VLOOKUP(A3,'Sales IN Revenues vs Sales targ'!A:G,7,false)," $","")), "")
</f>
        <v>99.2</v>
      </c>
      <c r="L3" s="17">
        <f t="shared" si="4"/>
        <v>0</v>
      </c>
      <c r="M3" s="1">
        <f>value(SUBSTITUTE(IFERROR(VLOOKUP(A3,'Certifications achievements vs '!A:G,6,false),""),"#","")
)</f>
        <v>1</v>
      </c>
      <c r="N3" s="1">
        <f>value(SUBSTITUTE(IFERROR(VLOOKUP(A3,'Certifications achievements vs '!A:G,7,false),""),"#","")
)</f>
        <v>0</v>
      </c>
      <c r="O3" s="17" t="str">
        <f t="shared" si="5"/>
        <v/>
      </c>
      <c r="P3" s="1">
        <f>value(SUBSTITUTE(IFERROR(VLOOKUP(A3,'Communications - Solution Speci'!A:G,6,false),""),"#","")
)</f>
        <v>0</v>
      </c>
      <c r="Q3" s="1">
        <f>value(SUBSTITUTE(IFERROR(VLOOKUP(A3,'Communications - Solution Speci'!A:G,7,false),""),"#","")
)</f>
        <v>1</v>
      </c>
      <c r="R3" s="17">
        <f t="shared" si="6"/>
        <v>0</v>
      </c>
      <c r="S3" s="1">
        <f>value(SUBSTITUTE(IFERROR(VLOOKUP(A3,'Networking - Solution Specializ'!A:G,6,false),""),"#","")
)</f>
        <v>0</v>
      </c>
      <c r="T3" s="1">
        <f>value(SUBSTITUTE(IFERROR(VLOOKUP(A3,'Networking - Solution Specializ'!A:G,7,false),""),"#","")
)</f>
        <v>1</v>
      </c>
      <c r="U3" s="17">
        <f t="shared" si="7"/>
        <v>0</v>
      </c>
      <c r="V3" s="1">
        <f>iferror(vlookup(A3,'Marketing Plan (extract summary'!A:G,6,false),"")</f>
        <v>0</v>
      </c>
      <c r="W3" s="1">
        <f>iferror(vlookup(A3,'Marketing Plan (extract summary'!A:G,7,false),"")</f>
        <v>1</v>
      </c>
      <c r="X3" s="17">
        <f t="shared" si="8"/>
        <v>0</v>
      </c>
      <c r="Y3" s="1">
        <f>value(IFERROR(SUBSTITUTE(SUBSTITUTE(VLOOKUP(A3,'Quarterly Pipeline vs Target Pi'!A:G,6,false)," $","")," €",""), "")
)</f>
        <v>0</v>
      </c>
      <c r="Z3" s="1">
        <f>value(IFERROR(SUBSTITUTE(SUBSTITUTE(VLOOKUP(A3,'Quarterly Pipeline vs Target Pi'!A:G,7,false)," $","")," €",""), "")
)</f>
        <v>0</v>
      </c>
      <c r="AA3" s="17" t="str">
        <f t="shared" si="9"/>
        <v/>
      </c>
      <c r="AB3" s="1">
        <f>value(IFERROR(SUBSTITUTE(SUBSTITUTE(VLOOKUP($A3,'Quarterly Pipeline vs Target Pi'!$A:$V,11,false)," $","")," €",""), "")
)</f>
        <v>44.27</v>
      </c>
      <c r="AC3" s="1">
        <f>value(IFERROR(SUBSTITUTE(SUBSTITUTE(VLOOKUP($A3,'Quarterly Pipeline vs Target Pi'!$A:$V,12,false)," $","")," €",""), "")
)</f>
        <v>66.01</v>
      </c>
      <c r="AD3" s="17">
        <f t="shared" si="10"/>
        <v>0.6706559612</v>
      </c>
      <c r="AE3" s="1">
        <f>value(IFERROR(SUBSTITUTE(SUBSTITUTE(VLOOKUP($A3,'Quarterly Pipeline vs Target Pi'!$A:$V,16,false)," $","")," €",""), "")
)</f>
        <v>30</v>
      </c>
      <c r="AF3" s="1">
        <f>value(IFERROR(SUBSTITUTE(SUBSTITUTE(VLOOKUP($A3,'Quarterly Pipeline vs Target Pi'!$A:$V,17,false)," $","")," €",""), "")
)</f>
        <v>99.32</v>
      </c>
      <c r="AG3" s="17">
        <f t="shared" si="11"/>
        <v>0.302053967</v>
      </c>
      <c r="AH3" s="1">
        <f>value(IFERROR(SUBSTITUTE(SUBSTITUTE(VLOOKUP($A3,'Quarterly Pipeline vs Target Pi'!$A:$V,21,false)," $","")," €",""), "")
)</f>
        <v>301</v>
      </c>
      <c r="AI3" s="1">
        <f>value(IFERROR(SUBSTITUTE(SUBSTITUTE(VLOOKUP($A3,'Quarterly Pipeline vs Target Pi'!$A:$V,22,false)," $","")," €",""), "")
)</f>
        <v>99.32</v>
      </c>
      <c r="AJ3" s="17">
        <f t="shared" si="12"/>
        <v>3.030608135</v>
      </c>
      <c r="AK3" s="1">
        <f t="shared" ref="AK3:AL3" si="13">sum(Y3,AB3,AE3,AH3)</f>
        <v>375.27</v>
      </c>
      <c r="AL3" s="1">
        <f t="shared" si="13"/>
        <v>264.65</v>
      </c>
      <c r="AM3" s="17">
        <f t="shared" si="14"/>
        <v>1.417986019</v>
      </c>
      <c r="AN3" s="1">
        <f>value(IFERROR(SUBSTITUTE(SUBSTITUTE(VLOOKUP($A3,'Quarterly Pipeline vs Target Pi'!$A:$AP,26,false)," $","")," €",""), "")
)</f>
        <v>301</v>
      </c>
      <c r="AO3" s="1">
        <f>value(IFERROR(SUBSTITUTE(SUBSTITUTE(VLOOKUP($A3,'Quarterly Pipeline vs Target Pi'!$A:$AP,27,false)," $","")," €",""), "")
)</f>
        <v>0</v>
      </c>
      <c r="AP3" s="17" t="str">
        <f t="shared" si="15"/>
        <v/>
      </c>
      <c r="AQ3" s="1">
        <f>value(IFERROR(SUBSTITUTE(SUBSTITUTE(VLOOKUP($A3,'Quarterly Pipeline vs Target Pi'!$A:$AP,31,false)," $","")," €",""), "")
)</f>
        <v>0</v>
      </c>
      <c r="AR3" s="1">
        <f>value(IFERROR(SUBSTITUTE(SUBSTITUTE(VLOOKUP($A3,'Quarterly Pipeline vs Target Pi'!$A:$AP,32,false)," $","")," €",""), "")
)</f>
        <v>0</v>
      </c>
      <c r="AS3" s="17" t="str">
        <f t="shared" si="16"/>
        <v/>
      </c>
      <c r="AT3" s="1">
        <f>value(IFERROR(SUBSTITUTE(SUBSTITUTE(VLOOKUP($A3,'Quarterly Pipeline vs Target Pi'!$A:$AP,36,false)," $","")," €",""), "")
)</f>
        <v>0</v>
      </c>
      <c r="AU3" s="1">
        <f>value(IFERROR(SUBSTITUTE(SUBSTITUTE(VLOOKUP($A3,'Quarterly Pipeline vs Target Pi'!$A:$AP,37,false)," $","")," €",""), "")
)</f>
        <v>0</v>
      </c>
      <c r="AV3" s="17" t="str">
        <f t="shared" si="17"/>
        <v/>
      </c>
      <c r="AW3" s="1">
        <f>value(IFERROR(SUBSTITUTE(SUBSTITUTE(VLOOKUP($A3,'Quarterly Pipeline vs Target Pi'!$A:$AP,41,false)," $","")," €",""), "")
)</f>
        <v>0</v>
      </c>
      <c r="AX3" s="1">
        <f>value(IFERROR(SUBSTITUTE(SUBSTITUTE(VLOOKUP($A3,'Quarterly Pipeline vs Target Pi'!$A:$AP,42,false)," $","")," €",""), "")
)</f>
        <v>0</v>
      </c>
      <c r="AY3" s="17" t="str">
        <f t="shared" si="18"/>
        <v/>
      </c>
      <c r="AZ3" s="1">
        <f t="shared" ref="AZ3:BA3" si="19">sum(AN3,AQ3,AT3,AW3)</f>
        <v>301</v>
      </c>
      <c r="BA3" s="1">
        <f t="shared" si="19"/>
        <v>0</v>
      </c>
      <c r="BB3" s="17" t="str">
        <f t="shared" si="20"/>
        <v/>
      </c>
    </row>
    <row r="4">
      <c r="A4" s="1" t="str">
        <f>IFERROR(__xludf.DUMMYFUNCTION("""COMPUTED_VALUE"""),"63fcbb87a107c871cf5657e1")</f>
        <v>63fcbb87a107c871cf5657e1</v>
      </c>
      <c r="B4" s="1" t="str">
        <f>IFERROR(__xludf.DUMMYFUNCTION("""COMPUTED_VALUE"""),"3CORP SERVICOS DE TECNOLOGIA LTDA.")</f>
        <v>3CORP SERVICOS DE TECNOLOGIA LTDA.</v>
      </c>
      <c r="C4" s="1" t="str">
        <f>IFERROR(__xludf.DUMMYFUNCTION("""COMPUTED_VALUE"""),"renato-takashi.yoshizako@al-enterprise.com")</f>
        <v>renato-takashi.yoshizako@al-enterprise.com</v>
      </c>
      <c r="D4" s="1" t="str">
        <f>IFERROR(__xludf.DUMMYFUNCTION("""COMPUTED_VALUE"""),"americas")</f>
        <v>americas</v>
      </c>
      <c r="E4" s="1" t="str">
        <f>IFERROR(__xludf.DUMMYFUNCTION("""COMPUTED_VALUE"""),"BR")</f>
        <v>BR</v>
      </c>
      <c r="F4" s="1"/>
      <c r="G4" s="1" t="str">
        <f>iferror(VLOOKUP(A4,'Business Plan Setup and Accepta'!A:G,6,false),"")</f>
        <v/>
      </c>
      <c r="H4" s="1" t="str">
        <f>iferror(VLOOKUP(A4,'Business Plan Setup and Accepta'!A:G,7,false),"")</f>
        <v/>
      </c>
      <c r="I4" s="17" t="str">
        <f t="shared" si="3"/>
        <v/>
      </c>
      <c r="J4" s="1" t="str">
        <f>IFERROR(VALUE(SUBSTITUTE(VLOOKUP(A4,'Sales IN Revenues vs Sales targ'!A:G,6,false)," $","")), "")
</f>
        <v/>
      </c>
      <c r="K4" s="1" t="str">
        <f>IFERROR(VALUE(SUBSTITUTE(VLOOKUP(A4,'Sales IN Revenues vs Sales targ'!A:G,7,false)," $","")), "")
</f>
        <v/>
      </c>
      <c r="L4" s="17" t="str">
        <f t="shared" si="4"/>
        <v/>
      </c>
      <c r="M4" s="1">
        <f>value(SUBSTITUTE(IFERROR(VLOOKUP(A4,'Certifications achievements vs '!A:G,6,false),""),"#","")
)</f>
        <v>0</v>
      </c>
      <c r="N4" s="1">
        <f>value(SUBSTITUTE(IFERROR(VLOOKUP(A4,'Certifications achievements vs '!A:G,7,false),""),"#","")
)</f>
        <v>0</v>
      </c>
      <c r="O4" s="17" t="str">
        <f t="shared" si="5"/>
        <v/>
      </c>
      <c r="P4" s="1">
        <f>value(SUBSTITUTE(IFERROR(VLOOKUP(A4,'Communications - Solution Speci'!A:G,6,false),""),"#","")
)</f>
        <v>0</v>
      </c>
      <c r="Q4" s="1">
        <f>value(SUBSTITUTE(IFERROR(VLOOKUP(A4,'Communications - Solution Speci'!A:G,7,false),""),"#","")
)</f>
        <v>0</v>
      </c>
      <c r="R4" s="17" t="str">
        <f t="shared" si="6"/>
        <v/>
      </c>
      <c r="S4" s="1">
        <f>value(SUBSTITUTE(IFERROR(VLOOKUP(A4,'Networking - Solution Specializ'!A:G,6,false),""),"#","")
)</f>
        <v>0</v>
      </c>
      <c r="T4" s="1">
        <f>value(SUBSTITUTE(IFERROR(VLOOKUP(A4,'Networking - Solution Specializ'!A:G,7,false),""),"#","")
)</f>
        <v>0</v>
      </c>
      <c r="U4" s="17" t="str">
        <f t="shared" si="7"/>
        <v/>
      </c>
      <c r="V4" s="1" t="str">
        <f>iferror(vlookup(A4,'Marketing Plan (extract summary'!A:G,6,false),"")</f>
        <v/>
      </c>
      <c r="W4" s="1" t="str">
        <f>iferror(vlookup(A4,'Marketing Plan (extract summary'!A:G,7,false),"")</f>
        <v/>
      </c>
      <c r="X4" s="17" t="str">
        <f t="shared" si="8"/>
        <v/>
      </c>
      <c r="Y4" s="1">
        <f>value(IFERROR(SUBSTITUTE(SUBSTITUTE(VLOOKUP(A4,'Quarterly Pipeline vs Target Pi'!A:G,6,false)," $","")," €",""), "")
)</f>
        <v>0</v>
      </c>
      <c r="Z4" s="1">
        <f>value(IFERROR(SUBSTITUTE(SUBSTITUTE(VLOOKUP(A4,'Quarterly Pipeline vs Target Pi'!A:G,7,false)," $","")," €",""), "")
)</f>
        <v>0</v>
      </c>
      <c r="AA4" s="17" t="str">
        <f t="shared" si="9"/>
        <v/>
      </c>
      <c r="AB4" s="1">
        <f>value(IFERROR(SUBSTITUTE(SUBSTITUTE(VLOOKUP($A4,'Quarterly Pipeline vs Target Pi'!$A:$V,11,false)," $","")," €",""), "")
)</f>
        <v>0</v>
      </c>
      <c r="AC4" s="1">
        <f>value(IFERROR(SUBSTITUTE(SUBSTITUTE(VLOOKUP($A4,'Quarterly Pipeline vs Target Pi'!$A:$V,12,false)," $","")," €",""), "")
)</f>
        <v>0</v>
      </c>
      <c r="AD4" s="17" t="str">
        <f t="shared" si="10"/>
        <v/>
      </c>
      <c r="AE4" s="1">
        <f>value(IFERROR(SUBSTITUTE(SUBSTITUTE(VLOOKUP($A4,'Quarterly Pipeline vs Target Pi'!$A:$V,16,false)," $","")," €",""), "")
)</f>
        <v>0</v>
      </c>
      <c r="AF4" s="1">
        <f>value(IFERROR(SUBSTITUTE(SUBSTITUTE(VLOOKUP($A4,'Quarterly Pipeline vs Target Pi'!$A:$V,17,false)," $","")," €",""), "")
)</f>
        <v>0</v>
      </c>
      <c r="AG4" s="17" t="str">
        <f t="shared" si="11"/>
        <v/>
      </c>
      <c r="AH4" s="1">
        <f>value(IFERROR(SUBSTITUTE(SUBSTITUTE(VLOOKUP($A4,'Quarterly Pipeline vs Target Pi'!$A:$V,21,false)," $","")," €",""), "")
)</f>
        <v>0</v>
      </c>
      <c r="AI4" s="1">
        <f>value(IFERROR(SUBSTITUTE(SUBSTITUTE(VLOOKUP($A4,'Quarterly Pipeline vs Target Pi'!$A:$V,22,false)," $","")," €",""), "")
)</f>
        <v>0</v>
      </c>
      <c r="AJ4" s="17" t="str">
        <f t="shared" si="12"/>
        <v/>
      </c>
      <c r="AK4" s="1">
        <f t="shared" ref="AK4:AL4" si="21">sum(Y4,AB4,AE4,AH4)</f>
        <v>0</v>
      </c>
      <c r="AL4" s="1">
        <f t="shared" si="21"/>
        <v>0</v>
      </c>
      <c r="AM4" s="17" t="str">
        <f t="shared" si="14"/>
        <v/>
      </c>
      <c r="AN4" s="1">
        <f>value(IFERROR(SUBSTITUTE(SUBSTITUTE(VLOOKUP($A4,'Quarterly Pipeline vs Target Pi'!$A:$AP,26,false)," $","")," €",""), "")
)</f>
        <v>0</v>
      </c>
      <c r="AO4" s="1">
        <f>value(IFERROR(SUBSTITUTE(SUBSTITUTE(VLOOKUP($A4,'Quarterly Pipeline vs Target Pi'!$A:$AP,27,false)," $","")," €",""), "")
)</f>
        <v>0</v>
      </c>
      <c r="AP4" s="17" t="str">
        <f t="shared" si="15"/>
        <v/>
      </c>
      <c r="AQ4" s="1">
        <f>value(IFERROR(SUBSTITUTE(SUBSTITUTE(VLOOKUP($A4,'Quarterly Pipeline vs Target Pi'!$A:$AP,31,false)," $","")," €",""), "")
)</f>
        <v>0</v>
      </c>
      <c r="AR4" s="1">
        <f>value(IFERROR(SUBSTITUTE(SUBSTITUTE(VLOOKUP($A4,'Quarterly Pipeline vs Target Pi'!$A:$AP,32,false)," $","")," €",""), "")
)</f>
        <v>0</v>
      </c>
      <c r="AS4" s="17" t="str">
        <f t="shared" si="16"/>
        <v/>
      </c>
      <c r="AT4" s="1">
        <f>value(IFERROR(SUBSTITUTE(SUBSTITUTE(VLOOKUP($A4,'Quarterly Pipeline vs Target Pi'!$A:$AP,36,false)," $","")," €",""), "")
)</f>
        <v>0</v>
      </c>
      <c r="AU4" s="1">
        <f>value(IFERROR(SUBSTITUTE(SUBSTITUTE(VLOOKUP($A4,'Quarterly Pipeline vs Target Pi'!$A:$AP,37,false)," $","")," €",""), "")
)</f>
        <v>0</v>
      </c>
      <c r="AV4" s="17" t="str">
        <f t="shared" si="17"/>
        <v/>
      </c>
      <c r="AW4" s="1">
        <f>value(IFERROR(SUBSTITUTE(SUBSTITUTE(VLOOKUP($A4,'Quarterly Pipeline vs Target Pi'!$A:$AP,41,false)," $","")," €",""), "")
)</f>
        <v>0</v>
      </c>
      <c r="AX4" s="1">
        <f>value(IFERROR(SUBSTITUTE(SUBSTITUTE(VLOOKUP($A4,'Quarterly Pipeline vs Target Pi'!$A:$AP,42,false)," $","")," €",""), "")
)</f>
        <v>0</v>
      </c>
      <c r="AY4" s="17" t="str">
        <f t="shared" si="18"/>
        <v/>
      </c>
      <c r="AZ4" s="1">
        <f t="shared" ref="AZ4:BA4" si="22">sum(AN4,AQ4,AT4,AW4)</f>
        <v>0</v>
      </c>
      <c r="BA4" s="1">
        <f t="shared" si="22"/>
        <v>0</v>
      </c>
      <c r="BB4" s="17" t="str">
        <f t="shared" si="20"/>
        <v/>
      </c>
    </row>
    <row r="5">
      <c r="A5" s="1" t="str">
        <f>IFERROR(__xludf.DUMMYFUNCTION("""COMPUTED_VALUE"""),"63ced843c5c820531c268186")</f>
        <v>63ced843c5c820531c268186</v>
      </c>
      <c r="B5" s="1" t="str">
        <f>IFERROR(__xludf.DUMMYFUNCTION("""COMPUTED_VALUE"""),"3CORP TECHNOLOGY INFRAESTRUTURA DE")</f>
        <v>3CORP TECHNOLOGY INFRAESTRUTURA DE</v>
      </c>
      <c r="C5" s="1" t="str">
        <f>IFERROR(__xludf.DUMMYFUNCTION("""COMPUTED_VALUE"""),"renato-takashi.yoshizako@al-enterprise.com")</f>
        <v>renato-takashi.yoshizako@al-enterprise.com</v>
      </c>
      <c r="D5" s="1" t="str">
        <f>IFERROR(__xludf.DUMMYFUNCTION("""COMPUTED_VALUE"""),"americas")</f>
        <v>americas</v>
      </c>
      <c r="E5" s="1" t="str">
        <f>IFERROR(__xludf.DUMMYFUNCTION("""COMPUTED_VALUE"""),"BR")</f>
        <v>BR</v>
      </c>
      <c r="F5" s="1" t="str">
        <f>IFERROR(__xludf.DUMMYFUNCTION("""COMPUTED_VALUE"""),"yes")</f>
        <v>yes</v>
      </c>
      <c r="G5" s="1">
        <f>iferror(VLOOKUP(A5,'Business Plan Setup and Accepta'!A:G,6,false),"")</f>
        <v>1</v>
      </c>
      <c r="H5" s="1">
        <f>iferror(VLOOKUP(A5,'Business Plan Setup and Accepta'!A:G,7,false),"")</f>
        <v>1</v>
      </c>
      <c r="I5" s="17">
        <f t="shared" si="3"/>
        <v>1</v>
      </c>
      <c r="J5" s="1">
        <f>IFERROR(VALUE(SUBSTITUTE(VLOOKUP(A5,'Sales IN Revenues vs Sales targ'!A:G,6,false)," $","")), "")
</f>
        <v>219.99</v>
      </c>
      <c r="K5" s="1">
        <f>IFERROR(VALUE(SUBSTITUTE(VLOOKUP(A5,'Sales IN Revenues vs Sales targ'!A:G,7,false)," $","")), "")
</f>
        <v>4099.96</v>
      </c>
      <c r="L5" s="17">
        <f t="shared" si="4"/>
        <v>0.05365662104</v>
      </c>
      <c r="M5" s="1">
        <f>value(SUBSTITUTE(IFERROR(VLOOKUP(A5,'Certifications achievements vs '!A:G,6,false),""),"#","")
)</f>
        <v>267</v>
      </c>
      <c r="N5" s="1">
        <f>value(SUBSTITUTE(IFERROR(VLOOKUP(A5,'Certifications achievements vs '!A:G,7,false),""),"#","")
)</f>
        <v>52</v>
      </c>
      <c r="O5" s="17">
        <f t="shared" si="5"/>
        <v>5.134615385</v>
      </c>
      <c r="P5" s="1">
        <f>value(SUBSTITUTE(IFERROR(VLOOKUP(A5,'Communications - Solution Speci'!A:G,6,false),""),"#","")
)</f>
        <v>1</v>
      </c>
      <c r="Q5" s="1">
        <f>value(SUBSTITUTE(IFERROR(VLOOKUP(A5,'Communications - Solution Speci'!A:G,7,false),""),"#","")
)</f>
        <v>1</v>
      </c>
      <c r="R5" s="17">
        <f t="shared" si="6"/>
        <v>1</v>
      </c>
      <c r="S5" s="1">
        <f>value(SUBSTITUTE(IFERROR(VLOOKUP(A5,'Networking - Solution Specializ'!A:G,6,false),""),"#","")
)</f>
        <v>0</v>
      </c>
      <c r="T5" s="1">
        <f>value(SUBSTITUTE(IFERROR(VLOOKUP(A5,'Networking - Solution Specializ'!A:G,7,false),""),"#","")
)</f>
        <v>1</v>
      </c>
      <c r="U5" s="17">
        <f t="shared" si="7"/>
        <v>0</v>
      </c>
      <c r="V5" s="1">
        <f>iferror(vlookup(A5,'Marketing Plan (extract summary'!A:G,6,false),"")</f>
        <v>0</v>
      </c>
      <c r="W5" s="1">
        <f>iferror(vlookup(A5,'Marketing Plan (extract summary'!A:G,7,false),"")</f>
        <v>1</v>
      </c>
      <c r="X5" s="17">
        <f t="shared" si="8"/>
        <v>0</v>
      </c>
      <c r="Y5" s="1">
        <f>value(IFERROR(SUBSTITUTE(SUBSTITUTE(VLOOKUP(A5,'Quarterly Pipeline vs Target Pi'!A:G,6,false)," $","")," €",""), "")
)</f>
        <v>44</v>
      </c>
      <c r="Z5" s="1">
        <f>value(IFERROR(SUBSTITUTE(SUBSTITUTE(VLOOKUP(A5,'Quarterly Pipeline vs Target Pi'!A:G,7,false)," $","")," €",""), "")
)</f>
        <v>0</v>
      </c>
      <c r="AA5" s="17" t="str">
        <f t="shared" si="9"/>
        <v/>
      </c>
      <c r="AB5" s="1">
        <f>value(IFERROR(SUBSTITUTE(SUBSTITUTE(VLOOKUP($A5,'Quarterly Pipeline vs Target Pi'!$A:$V,11,false)," $","")," €",""), "")
)</f>
        <v>29</v>
      </c>
      <c r="AC5" s="1">
        <f>value(IFERROR(SUBSTITUTE(SUBSTITUTE(VLOOKUP($A5,'Quarterly Pipeline vs Target Pi'!$A:$V,12,false)," $","")," €",""), "")
)</f>
        <v>3416.62</v>
      </c>
      <c r="AD5" s="17">
        <f t="shared" si="10"/>
        <v>0.008487920811</v>
      </c>
      <c r="AE5" s="1">
        <f>value(IFERROR(SUBSTITUTE(SUBSTITUTE(VLOOKUP($A5,'Quarterly Pipeline vs Target Pi'!$A:$V,16,false)," $","")," €",""), "")
)</f>
        <v>1788.03</v>
      </c>
      <c r="AF5" s="1">
        <f>value(IFERROR(SUBSTITUTE(SUBSTITUTE(VLOOKUP($A5,'Quarterly Pipeline vs Target Pi'!$A:$V,17,false)," $","")," €",""), "")
)</f>
        <v>3416.97</v>
      </c>
      <c r="AG5" s="17">
        <f t="shared" si="11"/>
        <v>0.5232793967</v>
      </c>
      <c r="AH5" s="1">
        <f>value(IFERROR(SUBSTITUTE(SUBSTITUTE(VLOOKUP($A5,'Quarterly Pipeline vs Target Pi'!$A:$V,21,false)," $","")," €",""), "")
)</f>
        <v>542.99</v>
      </c>
      <c r="AI5" s="1">
        <f>value(IFERROR(SUBSTITUTE(SUBSTITUTE(VLOOKUP($A5,'Quarterly Pipeline vs Target Pi'!$A:$V,22,false)," $","")," €",""), "")
)</f>
        <v>3416.97</v>
      </c>
      <c r="AJ5" s="17">
        <f t="shared" si="12"/>
        <v>0.1589097943</v>
      </c>
      <c r="AK5" s="1">
        <f t="shared" ref="AK5:AL5" si="23">sum(Y5,AB5,AE5,AH5)</f>
        <v>2404.02</v>
      </c>
      <c r="AL5" s="1">
        <f t="shared" si="23"/>
        <v>10250.56</v>
      </c>
      <c r="AM5" s="17">
        <f t="shared" si="14"/>
        <v>0.2345257235</v>
      </c>
      <c r="AN5" s="1">
        <f>value(IFERROR(SUBSTITUTE(SUBSTITUTE(VLOOKUP($A5,'Quarterly Pipeline vs Target Pi'!$A:$AP,26,false)," $","")," €",""), "")
)</f>
        <v>56.8</v>
      </c>
      <c r="AO5" s="1">
        <f>value(IFERROR(SUBSTITUTE(SUBSTITUTE(VLOOKUP($A5,'Quarterly Pipeline vs Target Pi'!$A:$AP,27,false)," $","")," €",""), "")
)</f>
        <v>0</v>
      </c>
      <c r="AP5" s="17" t="str">
        <f t="shared" si="15"/>
        <v/>
      </c>
      <c r="AQ5" s="1">
        <f>value(IFERROR(SUBSTITUTE(SUBSTITUTE(VLOOKUP($A5,'Quarterly Pipeline vs Target Pi'!$A:$AP,31,false)," $","")," €",""), "")
)</f>
        <v>79</v>
      </c>
      <c r="AR5" s="1">
        <f>value(IFERROR(SUBSTITUTE(SUBSTITUTE(VLOOKUP($A5,'Quarterly Pipeline vs Target Pi'!$A:$AP,32,false)," $","")," €",""), "")
)</f>
        <v>0</v>
      </c>
      <c r="AS5" s="17" t="str">
        <f t="shared" si="16"/>
        <v/>
      </c>
      <c r="AT5" s="1">
        <f>value(IFERROR(SUBSTITUTE(SUBSTITUTE(VLOOKUP($A5,'Quarterly Pipeline vs Target Pi'!$A:$AP,36,false)," $","")," €",""), "")
)</f>
        <v>0</v>
      </c>
      <c r="AU5" s="1">
        <f>value(IFERROR(SUBSTITUTE(SUBSTITUTE(VLOOKUP($A5,'Quarterly Pipeline vs Target Pi'!$A:$AP,37,false)," $","")," €",""), "")
)</f>
        <v>0</v>
      </c>
      <c r="AV5" s="17" t="str">
        <f t="shared" si="17"/>
        <v/>
      </c>
      <c r="AW5" s="1">
        <f>value(IFERROR(SUBSTITUTE(SUBSTITUTE(VLOOKUP($A5,'Quarterly Pipeline vs Target Pi'!$A:$AP,41,false)," $","")," €",""), "")
)</f>
        <v>0</v>
      </c>
      <c r="AX5" s="1">
        <f>value(IFERROR(SUBSTITUTE(SUBSTITUTE(VLOOKUP($A5,'Quarterly Pipeline vs Target Pi'!$A:$AP,42,false)," $","")," €",""), "")
)</f>
        <v>0</v>
      </c>
      <c r="AY5" s="17" t="str">
        <f t="shared" si="18"/>
        <v/>
      </c>
      <c r="AZ5" s="1">
        <f t="shared" ref="AZ5:BA5" si="24">sum(AN5,AQ5,AT5,AW5)</f>
        <v>135.8</v>
      </c>
      <c r="BA5" s="1">
        <f t="shared" si="24"/>
        <v>0</v>
      </c>
      <c r="BB5" s="17" t="str">
        <f t="shared" si="20"/>
        <v/>
      </c>
    </row>
    <row r="6">
      <c r="A6" s="1" t="str">
        <f>IFERROR(__xludf.DUMMYFUNCTION("""COMPUTED_VALUE"""),"67a5dc38617ada49240d92c2")</f>
        <v>67a5dc38617ada49240d92c2</v>
      </c>
      <c r="B6" s="1" t="str">
        <f>IFERROR(__xludf.DUMMYFUNCTION("""COMPUTED_VALUE"""),"9 to 5 Computer")</f>
        <v>9 to 5 Computer</v>
      </c>
      <c r="C6" s="1" t="str">
        <f>IFERROR(__xludf.DUMMYFUNCTION("""COMPUTED_VALUE"""),"michael-j.francis@al-enterprise.com, luigy.estevanell@al-enterprise.com")</f>
        <v>michael-j.francis@al-enterprise.com, luigy.estevanell@al-enterprise.com</v>
      </c>
      <c r="D6" s="1" t="str">
        <f>IFERROR(__xludf.DUMMYFUNCTION("""COMPUTED_VALUE"""),"americas")</f>
        <v>americas</v>
      </c>
      <c r="E6" s="1" t="str">
        <f>IFERROR(__xludf.DUMMYFUNCTION("""COMPUTED_VALUE"""),"US")</f>
        <v>US</v>
      </c>
      <c r="F6" s="1" t="str">
        <f>IFERROR(__xludf.DUMMYFUNCTION("""COMPUTED_VALUE"""),"expert_200")</f>
        <v>expert_200</v>
      </c>
      <c r="G6" s="1">
        <f>iferror(VLOOKUP(A6,'Business Plan Setup and Accepta'!A:G,6,false),"")</f>
        <v>0</v>
      </c>
      <c r="H6" s="1">
        <f>iferror(VLOOKUP(A6,'Business Plan Setup and Accepta'!A:G,7,false),"")</f>
        <v>1</v>
      </c>
      <c r="I6" s="17">
        <f t="shared" si="3"/>
        <v>0</v>
      </c>
      <c r="J6" s="1">
        <f>IFERROR(VALUE(SUBSTITUTE(VLOOKUP(A6,'Sales IN Revenues vs Sales targ'!A:G,6,false)," $","")), "")
</f>
        <v>15.12</v>
      </c>
      <c r="K6" s="1">
        <f>IFERROR(VALUE(SUBSTITUTE(VLOOKUP(A6,'Sales IN Revenues vs Sales targ'!A:G,7,false)," $","")), "")
</f>
        <v>155</v>
      </c>
      <c r="L6" s="17">
        <f t="shared" si="4"/>
        <v>0.0975483871</v>
      </c>
      <c r="M6" s="1">
        <f>value(SUBSTITUTE(IFERROR(VLOOKUP(A6,'Certifications achievements vs '!A:G,6,false),""),"#","")
)</f>
        <v>0</v>
      </c>
      <c r="N6" s="1">
        <f>value(SUBSTITUTE(IFERROR(VLOOKUP(A6,'Certifications achievements vs '!A:G,7,false),""),"#","")
)</f>
        <v>0</v>
      </c>
      <c r="O6" s="17" t="str">
        <f t="shared" si="5"/>
        <v/>
      </c>
      <c r="P6" s="1">
        <f>value(SUBSTITUTE(IFERROR(VLOOKUP(A6,'Communications - Solution Speci'!A:G,6,false),""),"#","")
)</f>
        <v>0</v>
      </c>
      <c r="Q6" s="1">
        <f>value(SUBSTITUTE(IFERROR(VLOOKUP(A6,'Communications - Solution Speci'!A:G,7,false),""),"#","")
)</f>
        <v>1</v>
      </c>
      <c r="R6" s="17">
        <f t="shared" si="6"/>
        <v>0</v>
      </c>
      <c r="S6" s="1">
        <f>value(SUBSTITUTE(IFERROR(VLOOKUP(A6,'Networking - Solution Specializ'!A:G,6,false),""),"#","")
)</f>
        <v>0</v>
      </c>
      <c r="T6" s="1">
        <f>value(SUBSTITUTE(IFERROR(VLOOKUP(A6,'Networking - Solution Specializ'!A:G,7,false),""),"#","")
)</f>
        <v>1</v>
      </c>
      <c r="U6" s="17">
        <f t="shared" si="7"/>
        <v>0</v>
      </c>
      <c r="V6" s="1">
        <f>iferror(vlookup(A6,'Marketing Plan (extract summary'!A:G,6,false),"")</f>
        <v>0</v>
      </c>
      <c r="W6" s="1">
        <f>iferror(vlookup(A6,'Marketing Plan (extract summary'!A:G,7,false),"")</f>
        <v>1</v>
      </c>
      <c r="X6" s="17">
        <f t="shared" si="8"/>
        <v>0</v>
      </c>
      <c r="Y6" s="1">
        <f>value(IFERROR(SUBSTITUTE(SUBSTITUTE(VLOOKUP(A6,'Quarterly Pipeline vs Target Pi'!A:G,6,false)," $","")," €",""), "")
)</f>
        <v>0</v>
      </c>
      <c r="Z6" s="1">
        <f>value(IFERROR(SUBSTITUTE(SUBSTITUTE(VLOOKUP(A6,'Quarterly Pipeline vs Target Pi'!A:G,7,false)," $","")," €",""), "")
)</f>
        <v>0</v>
      </c>
      <c r="AA6" s="17" t="str">
        <f t="shared" si="9"/>
        <v/>
      </c>
      <c r="AB6" s="1">
        <f>value(IFERROR(SUBSTITUTE(SUBSTITUTE(VLOOKUP($A6,'Quarterly Pipeline vs Target Pi'!$A:$V,11,false)," $","")," €",""), "")
)</f>
        <v>0</v>
      </c>
      <c r="AC6" s="1">
        <f>value(IFERROR(SUBSTITUTE(SUBSTITUTE(VLOOKUP($A6,'Quarterly Pipeline vs Target Pi'!$A:$V,12,false)," $","")," €",""), "")
)</f>
        <v>0</v>
      </c>
      <c r="AD6" s="17" t="str">
        <f t="shared" si="10"/>
        <v/>
      </c>
      <c r="AE6" s="1">
        <f>value(IFERROR(SUBSTITUTE(SUBSTITUTE(VLOOKUP($A6,'Quarterly Pipeline vs Target Pi'!$A:$V,16,false)," $","")," €",""), "")
)</f>
        <v>0</v>
      </c>
      <c r="AF6" s="1">
        <f>value(IFERROR(SUBSTITUTE(SUBSTITUTE(VLOOKUP($A6,'Quarterly Pipeline vs Target Pi'!$A:$V,17,false)," $","")," €",""), "")
)</f>
        <v>154.98</v>
      </c>
      <c r="AG6" s="17">
        <f t="shared" si="11"/>
        <v>0</v>
      </c>
      <c r="AH6" s="1">
        <f>value(IFERROR(SUBSTITUTE(SUBSTITUTE(VLOOKUP($A6,'Quarterly Pipeline vs Target Pi'!$A:$V,21,false)," $","")," €",""), "")
)</f>
        <v>0</v>
      </c>
      <c r="AI6" s="1">
        <f>value(IFERROR(SUBSTITUTE(SUBSTITUTE(VLOOKUP($A6,'Quarterly Pipeline vs Target Pi'!$A:$V,22,false)," $","")," €",""), "")
)</f>
        <v>154.98</v>
      </c>
      <c r="AJ6" s="17">
        <f t="shared" si="12"/>
        <v>0</v>
      </c>
      <c r="AK6" s="1">
        <f t="shared" ref="AK6:AL6" si="25">sum(Y6,AB6,AE6,AH6)</f>
        <v>0</v>
      </c>
      <c r="AL6" s="1">
        <f t="shared" si="25"/>
        <v>309.96</v>
      </c>
      <c r="AM6" s="17">
        <f t="shared" si="14"/>
        <v>0</v>
      </c>
      <c r="AN6" s="1">
        <f>value(IFERROR(SUBSTITUTE(SUBSTITUTE(VLOOKUP($A6,'Quarterly Pipeline vs Target Pi'!$A:$AP,26,false)," $","")," €",""), "")
)</f>
        <v>0</v>
      </c>
      <c r="AO6" s="1">
        <f>value(IFERROR(SUBSTITUTE(SUBSTITUTE(VLOOKUP($A6,'Quarterly Pipeline vs Target Pi'!$A:$AP,27,false)," $","")," €",""), "")
)</f>
        <v>0</v>
      </c>
      <c r="AP6" s="17" t="str">
        <f t="shared" si="15"/>
        <v/>
      </c>
      <c r="AQ6" s="1">
        <f>value(IFERROR(SUBSTITUTE(SUBSTITUTE(VLOOKUP($A6,'Quarterly Pipeline vs Target Pi'!$A:$AP,31,false)," $","")," €",""), "")
)</f>
        <v>0</v>
      </c>
      <c r="AR6" s="1">
        <f>value(IFERROR(SUBSTITUTE(SUBSTITUTE(VLOOKUP($A6,'Quarterly Pipeline vs Target Pi'!$A:$AP,32,false)," $","")," €",""), "")
)</f>
        <v>0</v>
      </c>
      <c r="AS6" s="17" t="str">
        <f t="shared" si="16"/>
        <v/>
      </c>
      <c r="AT6" s="1">
        <f>value(IFERROR(SUBSTITUTE(SUBSTITUTE(VLOOKUP($A6,'Quarterly Pipeline vs Target Pi'!$A:$AP,36,false)," $","")," €",""), "")
)</f>
        <v>0</v>
      </c>
      <c r="AU6" s="1">
        <f>value(IFERROR(SUBSTITUTE(SUBSTITUTE(VLOOKUP($A6,'Quarterly Pipeline vs Target Pi'!$A:$AP,37,false)," $","")," €",""), "")
)</f>
        <v>0</v>
      </c>
      <c r="AV6" s="17" t="str">
        <f t="shared" si="17"/>
        <v/>
      </c>
      <c r="AW6" s="1">
        <f>value(IFERROR(SUBSTITUTE(SUBSTITUTE(VLOOKUP($A6,'Quarterly Pipeline vs Target Pi'!$A:$AP,41,false)," $","")," €",""), "")
)</f>
        <v>0</v>
      </c>
      <c r="AX6" s="1">
        <f>value(IFERROR(SUBSTITUTE(SUBSTITUTE(VLOOKUP($A6,'Quarterly Pipeline vs Target Pi'!$A:$AP,42,false)," $","")," €",""), "")
)</f>
        <v>0</v>
      </c>
      <c r="AY6" s="17" t="str">
        <f t="shared" si="18"/>
        <v/>
      </c>
      <c r="AZ6" s="1">
        <f t="shared" ref="AZ6:BA6" si="26">sum(AN6,AQ6,AT6,AW6)</f>
        <v>0</v>
      </c>
      <c r="BA6" s="1">
        <f t="shared" si="26"/>
        <v>0</v>
      </c>
      <c r="BB6" s="17" t="str">
        <f t="shared" si="20"/>
        <v/>
      </c>
    </row>
    <row r="7">
      <c r="A7" s="1" t="str">
        <f>IFERROR(__xludf.DUMMYFUNCTION("""COMPUTED_VALUE"""),"6488e1eb863dcd5166276b7b")</f>
        <v>6488e1eb863dcd5166276b7b</v>
      </c>
      <c r="B7" s="1" t="str">
        <f>IFERROR(__xludf.DUMMYFUNCTION("""COMPUTED_VALUE"""),"A &amp; R Solutions")</f>
        <v>A &amp; R Solutions</v>
      </c>
      <c r="C7" s="1" t="str">
        <f>IFERROR(__xludf.DUMMYFUNCTION("""COMPUTED_VALUE"""),"margret.moyle@al-enterprise.com, charlotte.holtzer@al-enterprise.com")</f>
        <v>margret.moyle@al-enterprise.com, charlotte.holtzer@al-enterprise.com</v>
      </c>
      <c r="D7" s="1" t="str">
        <f>IFERROR(__xludf.DUMMYFUNCTION("""COMPUTED_VALUE"""),"americas")</f>
        <v>americas</v>
      </c>
      <c r="E7" s="1" t="str">
        <f>IFERROR(__xludf.DUMMYFUNCTION("""COMPUTED_VALUE"""),"CA")</f>
        <v>CA</v>
      </c>
      <c r="F7" s="1"/>
      <c r="G7" s="1" t="str">
        <f>iferror(VLOOKUP(A7,'Business Plan Setup and Accepta'!A:G,6,false),"")</f>
        <v/>
      </c>
      <c r="H7" s="1" t="str">
        <f>iferror(VLOOKUP(A7,'Business Plan Setup and Accepta'!A:G,7,false),"")</f>
        <v/>
      </c>
      <c r="I7" s="17" t="str">
        <f t="shared" si="3"/>
        <v/>
      </c>
      <c r="J7" s="1" t="str">
        <f>IFERROR(VALUE(SUBSTITUTE(VLOOKUP(A7,'Sales IN Revenues vs Sales targ'!A:G,6,false)," $","")), "")
</f>
        <v/>
      </c>
      <c r="K7" s="1" t="str">
        <f>IFERROR(VALUE(SUBSTITUTE(VLOOKUP(A7,'Sales IN Revenues vs Sales targ'!A:G,7,false)," $","")), "")
</f>
        <v/>
      </c>
      <c r="L7" s="17" t="str">
        <f t="shared" si="4"/>
        <v/>
      </c>
      <c r="M7" s="1">
        <f>value(SUBSTITUTE(IFERROR(VLOOKUP(A7,'Certifications achievements vs '!A:G,6,false),""),"#","")
)</f>
        <v>0</v>
      </c>
      <c r="N7" s="1">
        <f>value(SUBSTITUTE(IFERROR(VLOOKUP(A7,'Certifications achievements vs '!A:G,7,false),""),"#","")
)</f>
        <v>0</v>
      </c>
      <c r="O7" s="17" t="str">
        <f t="shared" si="5"/>
        <v/>
      </c>
      <c r="P7" s="1">
        <f>value(SUBSTITUTE(IFERROR(VLOOKUP(A7,'Communications - Solution Speci'!A:G,6,false),""),"#","")
)</f>
        <v>0</v>
      </c>
      <c r="Q7" s="1">
        <f>value(SUBSTITUTE(IFERROR(VLOOKUP(A7,'Communications - Solution Speci'!A:G,7,false),""),"#","")
)</f>
        <v>0</v>
      </c>
      <c r="R7" s="17" t="str">
        <f t="shared" si="6"/>
        <v/>
      </c>
      <c r="S7" s="1">
        <f>value(SUBSTITUTE(IFERROR(VLOOKUP(A7,'Networking - Solution Specializ'!A:G,6,false),""),"#","")
)</f>
        <v>0</v>
      </c>
      <c r="T7" s="1">
        <f>value(SUBSTITUTE(IFERROR(VLOOKUP(A7,'Networking - Solution Specializ'!A:G,7,false),""),"#","")
)</f>
        <v>0</v>
      </c>
      <c r="U7" s="17" t="str">
        <f t="shared" si="7"/>
        <v/>
      </c>
      <c r="V7" s="1" t="str">
        <f>iferror(vlookup(A7,'Marketing Plan (extract summary'!A:G,6,false),"")</f>
        <v/>
      </c>
      <c r="W7" s="1" t="str">
        <f>iferror(vlookup(A7,'Marketing Plan (extract summary'!A:G,7,false),"")</f>
        <v/>
      </c>
      <c r="X7" s="17" t="str">
        <f t="shared" si="8"/>
        <v/>
      </c>
      <c r="Y7" s="1">
        <f>value(IFERROR(SUBSTITUTE(SUBSTITUTE(VLOOKUP(A7,'Quarterly Pipeline vs Target Pi'!A:G,6,false)," $","")," €",""), "")
)</f>
        <v>0</v>
      </c>
      <c r="Z7" s="1">
        <f>value(IFERROR(SUBSTITUTE(SUBSTITUTE(VLOOKUP(A7,'Quarterly Pipeline vs Target Pi'!A:G,7,false)," $","")," €",""), "")
)</f>
        <v>0</v>
      </c>
      <c r="AA7" s="17" t="str">
        <f t="shared" si="9"/>
        <v/>
      </c>
      <c r="AB7" s="1">
        <f>value(IFERROR(SUBSTITUTE(SUBSTITUTE(VLOOKUP($A7,'Quarterly Pipeline vs Target Pi'!$A:$V,11,false)," $","")," €",""), "")
)</f>
        <v>0</v>
      </c>
      <c r="AC7" s="1">
        <f>value(IFERROR(SUBSTITUTE(SUBSTITUTE(VLOOKUP($A7,'Quarterly Pipeline vs Target Pi'!$A:$V,12,false)," $","")," €",""), "")
)</f>
        <v>0</v>
      </c>
      <c r="AD7" s="17" t="str">
        <f t="shared" si="10"/>
        <v/>
      </c>
      <c r="AE7" s="1">
        <f>value(IFERROR(SUBSTITUTE(SUBSTITUTE(VLOOKUP($A7,'Quarterly Pipeline vs Target Pi'!$A:$V,16,false)," $","")," €",""), "")
)</f>
        <v>0</v>
      </c>
      <c r="AF7" s="1">
        <f>value(IFERROR(SUBSTITUTE(SUBSTITUTE(VLOOKUP($A7,'Quarterly Pipeline vs Target Pi'!$A:$V,17,false)," $","")," €",""), "")
)</f>
        <v>0</v>
      </c>
      <c r="AG7" s="17" t="str">
        <f t="shared" si="11"/>
        <v/>
      </c>
      <c r="AH7" s="1">
        <f>value(IFERROR(SUBSTITUTE(SUBSTITUTE(VLOOKUP($A7,'Quarterly Pipeline vs Target Pi'!$A:$V,21,false)," $","")," €",""), "")
)</f>
        <v>0</v>
      </c>
      <c r="AI7" s="1">
        <f>value(IFERROR(SUBSTITUTE(SUBSTITUTE(VLOOKUP($A7,'Quarterly Pipeline vs Target Pi'!$A:$V,22,false)," $","")," €",""), "")
)</f>
        <v>0</v>
      </c>
      <c r="AJ7" s="17" t="str">
        <f t="shared" si="12"/>
        <v/>
      </c>
      <c r="AK7" s="1">
        <f t="shared" ref="AK7:AL7" si="27">sum(Y7,AB7,AE7,AH7)</f>
        <v>0</v>
      </c>
      <c r="AL7" s="1">
        <f t="shared" si="27"/>
        <v>0</v>
      </c>
      <c r="AM7" s="17" t="str">
        <f t="shared" si="14"/>
        <v/>
      </c>
      <c r="AN7" s="1">
        <f>value(IFERROR(SUBSTITUTE(SUBSTITUTE(VLOOKUP($A7,'Quarterly Pipeline vs Target Pi'!$A:$AP,26,false)," $","")," €",""), "")
)</f>
        <v>0</v>
      </c>
      <c r="AO7" s="1">
        <f>value(IFERROR(SUBSTITUTE(SUBSTITUTE(VLOOKUP($A7,'Quarterly Pipeline vs Target Pi'!$A:$AP,27,false)," $","")," €",""), "")
)</f>
        <v>0</v>
      </c>
      <c r="AP7" s="17" t="str">
        <f t="shared" si="15"/>
        <v/>
      </c>
      <c r="AQ7" s="1">
        <f>value(IFERROR(SUBSTITUTE(SUBSTITUTE(VLOOKUP($A7,'Quarterly Pipeline vs Target Pi'!$A:$AP,31,false)," $","")," €",""), "")
)</f>
        <v>0</v>
      </c>
      <c r="AR7" s="1">
        <f>value(IFERROR(SUBSTITUTE(SUBSTITUTE(VLOOKUP($A7,'Quarterly Pipeline vs Target Pi'!$A:$AP,32,false)," $","")," €",""), "")
)</f>
        <v>0</v>
      </c>
      <c r="AS7" s="17" t="str">
        <f t="shared" si="16"/>
        <v/>
      </c>
      <c r="AT7" s="1">
        <f>value(IFERROR(SUBSTITUTE(SUBSTITUTE(VLOOKUP($A7,'Quarterly Pipeline vs Target Pi'!$A:$AP,36,false)," $","")," €",""), "")
)</f>
        <v>0</v>
      </c>
      <c r="AU7" s="1">
        <f>value(IFERROR(SUBSTITUTE(SUBSTITUTE(VLOOKUP($A7,'Quarterly Pipeline vs Target Pi'!$A:$AP,37,false)," $","")," €",""), "")
)</f>
        <v>0</v>
      </c>
      <c r="AV7" s="17" t="str">
        <f t="shared" si="17"/>
        <v/>
      </c>
      <c r="AW7" s="1">
        <f>value(IFERROR(SUBSTITUTE(SUBSTITUTE(VLOOKUP($A7,'Quarterly Pipeline vs Target Pi'!$A:$AP,41,false)," $","")," €",""), "")
)</f>
        <v>0</v>
      </c>
      <c r="AX7" s="1">
        <f>value(IFERROR(SUBSTITUTE(SUBSTITUTE(VLOOKUP($A7,'Quarterly Pipeline vs Target Pi'!$A:$AP,42,false)," $","")," €",""), "")
)</f>
        <v>0</v>
      </c>
      <c r="AY7" s="17" t="str">
        <f t="shared" si="18"/>
        <v/>
      </c>
      <c r="AZ7" s="1">
        <f t="shared" ref="AZ7:BA7" si="28">sum(AN7,AQ7,AT7,AW7)</f>
        <v>0</v>
      </c>
      <c r="BA7" s="1">
        <f t="shared" si="28"/>
        <v>0</v>
      </c>
      <c r="BB7" s="17" t="str">
        <f t="shared" si="20"/>
        <v/>
      </c>
    </row>
    <row r="8">
      <c r="A8" s="1" t="str">
        <f>IFERROR(__xludf.DUMMYFUNCTION("""COMPUTED_VALUE"""),"63ced84dc5c820531c2696ad")</f>
        <v>63ced84dc5c820531c2696ad</v>
      </c>
      <c r="B8" s="1" t="str">
        <f>IFERROR(__xludf.DUMMYFUNCTION("""COMPUTED_VALUE"""),"A Plus Technology &amp; Security")</f>
        <v>A Plus Technology &amp; Security</v>
      </c>
      <c r="C8" s="1" t="str">
        <f>IFERROR(__xludf.DUMMYFUNCTION("""COMPUTED_VALUE"""),"brendan.flaherty@al-enterprise.com")</f>
        <v>brendan.flaherty@al-enterprise.com</v>
      </c>
      <c r="D8" s="1" t="str">
        <f>IFERROR(__xludf.DUMMYFUNCTION("""COMPUTED_VALUE"""),"americas")</f>
        <v>americas</v>
      </c>
      <c r="E8" s="1" t="str">
        <f>IFERROR(__xludf.DUMMYFUNCTION("""COMPUTED_VALUE"""),"US")</f>
        <v>US</v>
      </c>
      <c r="F8" s="1"/>
      <c r="G8" s="1" t="str">
        <f>iferror(VLOOKUP(A8,'Business Plan Setup and Accepta'!A:G,6,false),"")</f>
        <v/>
      </c>
      <c r="H8" s="1" t="str">
        <f>iferror(VLOOKUP(A8,'Business Plan Setup and Accepta'!A:G,7,false),"")</f>
        <v/>
      </c>
      <c r="I8" s="17" t="str">
        <f t="shared" si="3"/>
        <v/>
      </c>
      <c r="J8" s="1" t="str">
        <f>IFERROR(VALUE(SUBSTITUTE(VLOOKUP(A8,'Sales IN Revenues vs Sales targ'!A:G,6,false)," $","")), "")
</f>
        <v/>
      </c>
      <c r="K8" s="1" t="str">
        <f>IFERROR(VALUE(SUBSTITUTE(VLOOKUP(A8,'Sales IN Revenues vs Sales targ'!A:G,7,false)," $","")), "")
</f>
        <v/>
      </c>
      <c r="L8" s="17" t="str">
        <f t="shared" si="4"/>
        <v/>
      </c>
      <c r="M8" s="1">
        <f>value(SUBSTITUTE(IFERROR(VLOOKUP(A8,'Certifications achievements vs '!A:G,6,false),""),"#","")
)</f>
        <v>0</v>
      </c>
      <c r="N8" s="1">
        <f>value(SUBSTITUTE(IFERROR(VLOOKUP(A8,'Certifications achievements vs '!A:G,7,false),""),"#","")
)</f>
        <v>0</v>
      </c>
      <c r="O8" s="17" t="str">
        <f t="shared" si="5"/>
        <v/>
      </c>
      <c r="P8" s="1">
        <f>value(SUBSTITUTE(IFERROR(VLOOKUP(A8,'Communications - Solution Speci'!A:G,6,false),""),"#","")
)</f>
        <v>0</v>
      </c>
      <c r="Q8" s="1">
        <f>value(SUBSTITUTE(IFERROR(VLOOKUP(A8,'Communications - Solution Speci'!A:G,7,false),""),"#","")
)</f>
        <v>0</v>
      </c>
      <c r="R8" s="17" t="str">
        <f t="shared" si="6"/>
        <v/>
      </c>
      <c r="S8" s="1">
        <f>value(SUBSTITUTE(IFERROR(VLOOKUP(A8,'Networking - Solution Specializ'!A:G,6,false),""),"#","")
)</f>
        <v>0</v>
      </c>
      <c r="T8" s="1">
        <f>value(SUBSTITUTE(IFERROR(VLOOKUP(A8,'Networking - Solution Specializ'!A:G,7,false),""),"#","")
)</f>
        <v>0</v>
      </c>
      <c r="U8" s="17" t="str">
        <f t="shared" si="7"/>
        <v/>
      </c>
      <c r="V8" s="1" t="str">
        <f>iferror(vlookup(A8,'Marketing Plan (extract summary'!A:G,6,false),"")</f>
        <v/>
      </c>
      <c r="W8" s="1" t="str">
        <f>iferror(vlookup(A8,'Marketing Plan (extract summary'!A:G,7,false),"")</f>
        <v/>
      </c>
      <c r="X8" s="17" t="str">
        <f t="shared" si="8"/>
        <v/>
      </c>
      <c r="Y8" s="1">
        <f>value(IFERROR(SUBSTITUTE(SUBSTITUTE(VLOOKUP(A8,'Quarterly Pipeline vs Target Pi'!A:G,6,false)," $","")," €",""), "")
)</f>
        <v>0</v>
      </c>
      <c r="Z8" s="1">
        <f>value(IFERROR(SUBSTITUTE(SUBSTITUTE(VLOOKUP(A8,'Quarterly Pipeline vs Target Pi'!A:G,7,false)," $","")," €",""), "")
)</f>
        <v>0</v>
      </c>
      <c r="AA8" s="17" t="str">
        <f t="shared" si="9"/>
        <v/>
      </c>
      <c r="AB8" s="1">
        <f>value(IFERROR(SUBSTITUTE(SUBSTITUTE(VLOOKUP($A8,'Quarterly Pipeline vs Target Pi'!$A:$V,11,false)," $","")," €",""), "")
)</f>
        <v>0</v>
      </c>
      <c r="AC8" s="1">
        <f>value(IFERROR(SUBSTITUTE(SUBSTITUTE(VLOOKUP($A8,'Quarterly Pipeline vs Target Pi'!$A:$V,12,false)," $","")," €",""), "")
)</f>
        <v>0</v>
      </c>
      <c r="AD8" s="17" t="str">
        <f t="shared" si="10"/>
        <v/>
      </c>
      <c r="AE8" s="1">
        <f>value(IFERROR(SUBSTITUTE(SUBSTITUTE(VLOOKUP($A8,'Quarterly Pipeline vs Target Pi'!$A:$V,16,false)," $","")," €",""), "")
)</f>
        <v>0</v>
      </c>
      <c r="AF8" s="1">
        <f>value(IFERROR(SUBSTITUTE(SUBSTITUTE(VLOOKUP($A8,'Quarterly Pipeline vs Target Pi'!$A:$V,17,false)," $","")," €",""), "")
)</f>
        <v>0</v>
      </c>
      <c r="AG8" s="17" t="str">
        <f t="shared" si="11"/>
        <v/>
      </c>
      <c r="AH8" s="1">
        <f>value(IFERROR(SUBSTITUTE(SUBSTITUTE(VLOOKUP($A8,'Quarterly Pipeline vs Target Pi'!$A:$V,21,false)," $","")," €",""), "")
)</f>
        <v>0</v>
      </c>
      <c r="AI8" s="1">
        <f>value(IFERROR(SUBSTITUTE(SUBSTITUTE(VLOOKUP($A8,'Quarterly Pipeline vs Target Pi'!$A:$V,22,false)," $","")," €",""), "")
)</f>
        <v>0</v>
      </c>
      <c r="AJ8" s="17" t="str">
        <f t="shared" si="12"/>
        <v/>
      </c>
      <c r="AK8" s="1">
        <f t="shared" ref="AK8:AL8" si="29">sum(Y8,AB8,AE8,AH8)</f>
        <v>0</v>
      </c>
      <c r="AL8" s="1">
        <f t="shared" si="29"/>
        <v>0</v>
      </c>
      <c r="AM8" s="17" t="str">
        <f t="shared" si="14"/>
        <v/>
      </c>
      <c r="AN8" s="1">
        <f>value(IFERROR(SUBSTITUTE(SUBSTITUTE(VLOOKUP($A8,'Quarterly Pipeline vs Target Pi'!$A:$AP,26,false)," $","")," €",""), "")
)</f>
        <v>0</v>
      </c>
      <c r="AO8" s="1">
        <f>value(IFERROR(SUBSTITUTE(SUBSTITUTE(VLOOKUP($A8,'Quarterly Pipeline vs Target Pi'!$A:$AP,27,false)," $","")," €",""), "")
)</f>
        <v>0</v>
      </c>
      <c r="AP8" s="17" t="str">
        <f t="shared" si="15"/>
        <v/>
      </c>
      <c r="AQ8" s="1">
        <f>value(IFERROR(SUBSTITUTE(SUBSTITUTE(VLOOKUP($A8,'Quarterly Pipeline vs Target Pi'!$A:$AP,31,false)," $","")," €",""), "")
)</f>
        <v>0</v>
      </c>
      <c r="AR8" s="1">
        <f>value(IFERROR(SUBSTITUTE(SUBSTITUTE(VLOOKUP($A8,'Quarterly Pipeline vs Target Pi'!$A:$AP,32,false)," $","")," €",""), "")
)</f>
        <v>0</v>
      </c>
      <c r="AS8" s="17" t="str">
        <f t="shared" si="16"/>
        <v/>
      </c>
      <c r="AT8" s="1">
        <f>value(IFERROR(SUBSTITUTE(SUBSTITUTE(VLOOKUP($A8,'Quarterly Pipeline vs Target Pi'!$A:$AP,36,false)," $","")," €",""), "")
)</f>
        <v>0</v>
      </c>
      <c r="AU8" s="1">
        <f>value(IFERROR(SUBSTITUTE(SUBSTITUTE(VLOOKUP($A8,'Quarterly Pipeline vs Target Pi'!$A:$AP,37,false)," $","")," €",""), "")
)</f>
        <v>0</v>
      </c>
      <c r="AV8" s="17" t="str">
        <f t="shared" si="17"/>
        <v/>
      </c>
      <c r="AW8" s="1">
        <f>value(IFERROR(SUBSTITUTE(SUBSTITUTE(VLOOKUP($A8,'Quarterly Pipeline vs Target Pi'!$A:$AP,41,false)," $","")," €",""), "")
)</f>
        <v>0</v>
      </c>
      <c r="AX8" s="1">
        <f>value(IFERROR(SUBSTITUTE(SUBSTITUTE(VLOOKUP($A8,'Quarterly Pipeline vs Target Pi'!$A:$AP,42,false)," $","")," €",""), "")
)</f>
        <v>0</v>
      </c>
      <c r="AY8" s="17" t="str">
        <f t="shared" si="18"/>
        <v/>
      </c>
      <c r="AZ8" s="1">
        <f t="shared" ref="AZ8:BA8" si="30">sum(AN8,AQ8,AT8,AW8)</f>
        <v>0</v>
      </c>
      <c r="BA8" s="1">
        <f t="shared" si="30"/>
        <v>0</v>
      </c>
      <c r="BB8" s="17" t="str">
        <f t="shared" si="20"/>
        <v/>
      </c>
    </row>
    <row r="9">
      <c r="A9" s="1" t="str">
        <f>IFERROR(__xludf.DUMMYFUNCTION("""COMPUTED_VALUE"""),"66a75f819d5f4ed144040ad2")</f>
        <v>66a75f819d5f4ed144040ad2</v>
      </c>
      <c r="B9" s="1" t="str">
        <f>IFERROR(__xludf.DUMMYFUNCTION("""COMPUTED_VALUE"""),"A&amp;O TEC GmbH")</f>
        <v>A&amp;O TEC GmbH</v>
      </c>
      <c r="C9" s="1" t="str">
        <f>IFERROR(__xludf.DUMMYFUNCTION("""COMPUTED_VALUE"""),"thomas.ullmann@al-enterprise.com, andreas.grossheimann@al-enterprise.com")</f>
        <v>thomas.ullmann@al-enterprise.com, andreas.grossheimann@al-enterprise.com</v>
      </c>
      <c r="D9" s="1" t="str">
        <f>IFERROR(__xludf.DUMMYFUNCTION("""COMPUTED_VALUE"""),"germany")</f>
        <v>germany</v>
      </c>
      <c r="E9" s="1" t="str">
        <f>IFERROR(__xludf.DUMMYFUNCTION("""COMPUTED_VALUE"""),"DE")</f>
        <v>DE</v>
      </c>
      <c r="F9" s="1" t="str">
        <f>IFERROR(__xludf.DUMMYFUNCTION("""COMPUTED_VALUE"""),"expert_200")</f>
        <v>expert_200</v>
      </c>
      <c r="G9" s="1">
        <f>iferror(VLOOKUP(A9,'Business Plan Setup and Accepta'!A:G,6,false),"")</f>
        <v>1</v>
      </c>
      <c r="H9" s="1">
        <f>iferror(VLOOKUP(A9,'Business Plan Setup and Accepta'!A:G,7,false),"")</f>
        <v>1</v>
      </c>
      <c r="I9" s="17">
        <f t="shared" si="3"/>
        <v>1</v>
      </c>
      <c r="J9" s="1">
        <f>IFERROR(VALUE(SUBSTITUTE(VLOOKUP(A9,'Sales IN Revenues vs Sales targ'!A:G,6,false)," $","")), "")
</f>
        <v>0</v>
      </c>
      <c r="K9" s="1">
        <f>IFERROR(VALUE(SUBSTITUTE(VLOOKUP(A9,'Sales IN Revenues vs Sales targ'!A:G,7,false)," $","")), "")
</f>
        <v>753</v>
      </c>
      <c r="L9" s="17">
        <f t="shared" si="4"/>
        <v>0</v>
      </c>
      <c r="M9" s="1">
        <f>value(SUBSTITUTE(IFERROR(VLOOKUP(A9,'Certifications achievements vs '!A:G,6,false),""),"#","")
)</f>
        <v>0</v>
      </c>
      <c r="N9" s="1">
        <f>value(SUBSTITUTE(IFERROR(VLOOKUP(A9,'Certifications achievements vs '!A:G,7,false),""),"#","")
)</f>
        <v>0</v>
      </c>
      <c r="O9" s="17" t="str">
        <f t="shared" si="5"/>
        <v/>
      </c>
      <c r="P9" s="1">
        <f>value(SUBSTITUTE(IFERROR(VLOOKUP(A9,'Communications - Solution Speci'!A:G,6,false),""),"#","")
)</f>
        <v>0</v>
      </c>
      <c r="Q9" s="1">
        <f>value(SUBSTITUTE(IFERROR(VLOOKUP(A9,'Communications - Solution Speci'!A:G,7,false),""),"#","")
)</f>
        <v>1</v>
      </c>
      <c r="R9" s="17">
        <f t="shared" si="6"/>
        <v>0</v>
      </c>
      <c r="S9" s="1">
        <f>value(SUBSTITUTE(IFERROR(VLOOKUP(A9,'Networking - Solution Specializ'!A:G,6,false),""),"#","")
)</f>
        <v>0</v>
      </c>
      <c r="T9" s="1">
        <f>value(SUBSTITUTE(IFERROR(VLOOKUP(A9,'Networking - Solution Specializ'!A:G,7,false),""),"#","")
)</f>
        <v>1</v>
      </c>
      <c r="U9" s="17">
        <f t="shared" si="7"/>
        <v>0</v>
      </c>
      <c r="V9" s="1">
        <f>iferror(vlookup(A9,'Marketing Plan (extract summary'!A:G,6,false),"")</f>
        <v>0</v>
      </c>
      <c r="W9" s="1">
        <f>iferror(vlookup(A9,'Marketing Plan (extract summary'!A:G,7,false),"")</f>
        <v>1</v>
      </c>
      <c r="X9" s="17">
        <f t="shared" si="8"/>
        <v>0</v>
      </c>
      <c r="Y9" s="1">
        <f>value(IFERROR(SUBSTITUTE(SUBSTITUTE(VLOOKUP(A9,'Quarterly Pipeline vs Target Pi'!A:G,6,false)," $","")," €",""), "")
)</f>
        <v>32.4</v>
      </c>
      <c r="Z9" s="1">
        <f>value(IFERROR(SUBSTITUTE(SUBSTITUTE(VLOOKUP(A9,'Quarterly Pipeline vs Target Pi'!A:G,7,false)," $","")," €",""), "")
)</f>
        <v>0</v>
      </c>
      <c r="AA9" s="17" t="str">
        <f t="shared" si="9"/>
        <v/>
      </c>
      <c r="AB9" s="1">
        <f>value(IFERROR(SUBSTITUTE(SUBSTITUTE(VLOOKUP($A9,'Quarterly Pipeline vs Target Pi'!$A:$V,11,false)," $","")," €",""), "")
)</f>
        <v>34.44</v>
      </c>
      <c r="AC9" s="1">
        <f>value(IFERROR(SUBSTITUTE(SUBSTITUTE(VLOOKUP($A9,'Quarterly Pipeline vs Target Pi'!$A:$V,12,false)," $","")," €",""), "")
)</f>
        <v>502</v>
      </c>
      <c r="AD9" s="17">
        <f t="shared" si="10"/>
        <v>0.06860557769</v>
      </c>
      <c r="AE9" s="1">
        <f>value(IFERROR(SUBSTITUTE(SUBSTITUTE(VLOOKUP($A9,'Quarterly Pipeline vs Target Pi'!$A:$V,16,false)," $","")," €",""), "")
)</f>
        <v>119.34</v>
      </c>
      <c r="AF9" s="1">
        <f>value(IFERROR(SUBSTITUTE(SUBSTITUTE(VLOOKUP($A9,'Quarterly Pipeline vs Target Pi'!$A:$V,17,false)," $","")," €",""), "")
)</f>
        <v>753</v>
      </c>
      <c r="AG9" s="17">
        <f t="shared" si="11"/>
        <v>0.1584860558</v>
      </c>
      <c r="AH9" s="1">
        <f>value(IFERROR(SUBSTITUTE(SUBSTITUTE(VLOOKUP($A9,'Quarterly Pipeline vs Target Pi'!$A:$V,21,false)," $","")," €",""), "")
)</f>
        <v>196.84</v>
      </c>
      <c r="AI9" s="1">
        <f>value(IFERROR(SUBSTITUTE(SUBSTITUTE(VLOOKUP($A9,'Quarterly Pipeline vs Target Pi'!$A:$V,22,false)," $","")," €",""), "")
)</f>
        <v>753</v>
      </c>
      <c r="AJ9" s="17">
        <f t="shared" si="12"/>
        <v>0.2614077025</v>
      </c>
      <c r="AK9" s="1">
        <f t="shared" ref="AK9:AL9" si="31">sum(Y9,AB9,AE9,AH9)</f>
        <v>383.02</v>
      </c>
      <c r="AL9" s="1">
        <f t="shared" si="31"/>
        <v>2008</v>
      </c>
      <c r="AM9" s="17">
        <f t="shared" si="14"/>
        <v>0.190747012</v>
      </c>
      <c r="AN9" s="1">
        <f>value(IFERROR(SUBSTITUTE(SUBSTITUTE(VLOOKUP($A9,'Quarterly Pipeline vs Target Pi'!$A:$AP,26,false)," $","")," €",""), "")
)</f>
        <v>32.4</v>
      </c>
      <c r="AO9" s="1">
        <f>value(IFERROR(SUBSTITUTE(SUBSTITUTE(VLOOKUP($A9,'Quarterly Pipeline vs Target Pi'!$A:$AP,27,false)," $","")," €",""), "")
)</f>
        <v>0</v>
      </c>
      <c r="AP9" s="17" t="str">
        <f t="shared" si="15"/>
        <v/>
      </c>
      <c r="AQ9" s="1">
        <f>value(IFERROR(SUBSTITUTE(SUBSTITUTE(VLOOKUP($A9,'Quarterly Pipeline vs Target Pi'!$A:$AP,31,false)," $","")," €",""), "")
)</f>
        <v>0</v>
      </c>
      <c r="AR9" s="1">
        <f>value(IFERROR(SUBSTITUTE(SUBSTITUTE(VLOOKUP($A9,'Quarterly Pipeline vs Target Pi'!$A:$AP,32,false)," $","")," €",""), "")
)</f>
        <v>0</v>
      </c>
      <c r="AS9" s="17" t="str">
        <f t="shared" si="16"/>
        <v/>
      </c>
      <c r="AT9" s="1">
        <f>value(IFERROR(SUBSTITUTE(SUBSTITUTE(VLOOKUP($A9,'Quarterly Pipeline vs Target Pi'!$A:$AP,36,false)," $","")," €",""), "")
)</f>
        <v>0</v>
      </c>
      <c r="AU9" s="1">
        <f>value(IFERROR(SUBSTITUTE(SUBSTITUTE(VLOOKUP($A9,'Quarterly Pipeline vs Target Pi'!$A:$AP,37,false)," $","")," €",""), "")
)</f>
        <v>0</v>
      </c>
      <c r="AV9" s="17" t="str">
        <f t="shared" si="17"/>
        <v/>
      </c>
      <c r="AW9" s="1">
        <f>value(IFERROR(SUBSTITUTE(SUBSTITUTE(VLOOKUP($A9,'Quarterly Pipeline vs Target Pi'!$A:$AP,41,false)," $","")," €",""), "")
)</f>
        <v>0</v>
      </c>
      <c r="AX9" s="1">
        <f>value(IFERROR(SUBSTITUTE(SUBSTITUTE(VLOOKUP($A9,'Quarterly Pipeline vs Target Pi'!$A:$AP,42,false)," $","")," €",""), "")
)</f>
        <v>0</v>
      </c>
      <c r="AY9" s="17" t="str">
        <f t="shared" si="18"/>
        <v/>
      </c>
      <c r="AZ9" s="1">
        <f t="shared" ref="AZ9:BA9" si="32">sum(AN9,AQ9,AT9,AW9)</f>
        <v>32.4</v>
      </c>
      <c r="BA9" s="1">
        <f t="shared" si="32"/>
        <v>0</v>
      </c>
      <c r="BB9" s="17" t="str">
        <f t="shared" si="20"/>
        <v/>
      </c>
    </row>
    <row r="10">
      <c r="A10" s="1" t="str">
        <f>IFERROR(__xludf.DUMMYFUNCTION("""COMPUTED_VALUE"""),"63ea6e9452ad6968805ced03")</f>
        <v>63ea6e9452ad6968805ced03</v>
      </c>
      <c r="B10" s="1" t="str">
        <f>IFERROR(__xludf.DUMMYFUNCTION("""COMPUTED_VALUE"""),"A+G connect GmbH")</f>
        <v>A+G connect GmbH</v>
      </c>
      <c r="C10" s="1" t="str">
        <f>IFERROR(__xludf.DUMMYFUNCTION("""COMPUTED_VALUE"""),"andreas.grossheimann@al-enterprise.com")</f>
        <v>andreas.grossheimann@al-enterprise.com</v>
      </c>
      <c r="D10" s="1" t="str">
        <f>IFERROR(__xludf.DUMMYFUNCTION("""COMPUTED_VALUE"""),"germany")</f>
        <v>germany</v>
      </c>
      <c r="E10" s="1" t="str">
        <f>IFERROR(__xludf.DUMMYFUNCTION("""COMPUTED_VALUE"""),"DE")</f>
        <v>DE</v>
      </c>
      <c r="F10" s="1"/>
      <c r="G10" s="1" t="str">
        <f>iferror(VLOOKUP(A10,'Business Plan Setup and Accepta'!A:G,6,false),"")</f>
        <v/>
      </c>
      <c r="H10" s="1" t="str">
        <f>iferror(VLOOKUP(A10,'Business Plan Setup and Accepta'!A:G,7,false),"")</f>
        <v/>
      </c>
      <c r="I10" s="17" t="str">
        <f t="shared" si="3"/>
        <v/>
      </c>
      <c r="J10" s="1" t="str">
        <f>IFERROR(VALUE(SUBSTITUTE(VLOOKUP(A10,'Sales IN Revenues vs Sales targ'!A:G,6,false)," $","")), "")
</f>
        <v/>
      </c>
      <c r="K10" s="1" t="str">
        <f>IFERROR(VALUE(SUBSTITUTE(VLOOKUP(A10,'Sales IN Revenues vs Sales targ'!A:G,7,false)," $","")), "")
</f>
        <v/>
      </c>
      <c r="L10" s="17" t="str">
        <f t="shared" si="4"/>
        <v/>
      </c>
      <c r="M10" s="1">
        <f>value(SUBSTITUTE(IFERROR(VLOOKUP(A10,'Certifications achievements vs '!A:G,6,false),""),"#","")
)</f>
        <v>0</v>
      </c>
      <c r="N10" s="1">
        <f>value(SUBSTITUTE(IFERROR(VLOOKUP(A10,'Certifications achievements vs '!A:G,7,false),""),"#","")
)</f>
        <v>0</v>
      </c>
      <c r="O10" s="17" t="str">
        <f t="shared" si="5"/>
        <v/>
      </c>
      <c r="P10" s="1">
        <f>value(SUBSTITUTE(IFERROR(VLOOKUP(A10,'Communications - Solution Speci'!A:G,6,false),""),"#","")
)</f>
        <v>0</v>
      </c>
      <c r="Q10" s="1">
        <f>value(SUBSTITUTE(IFERROR(VLOOKUP(A10,'Communications - Solution Speci'!A:G,7,false),""),"#","")
)</f>
        <v>0</v>
      </c>
      <c r="R10" s="17" t="str">
        <f t="shared" si="6"/>
        <v/>
      </c>
      <c r="S10" s="1">
        <f>value(SUBSTITUTE(IFERROR(VLOOKUP(A10,'Networking - Solution Specializ'!A:G,6,false),""),"#","")
)</f>
        <v>0</v>
      </c>
      <c r="T10" s="1">
        <f>value(SUBSTITUTE(IFERROR(VLOOKUP(A10,'Networking - Solution Specializ'!A:G,7,false),""),"#","")
)</f>
        <v>0</v>
      </c>
      <c r="U10" s="17" t="str">
        <f t="shared" si="7"/>
        <v/>
      </c>
      <c r="V10" s="1" t="str">
        <f>iferror(vlookup(A10,'Marketing Plan (extract summary'!A:G,6,false),"")</f>
        <v/>
      </c>
      <c r="W10" s="1" t="str">
        <f>iferror(vlookup(A10,'Marketing Plan (extract summary'!A:G,7,false),"")</f>
        <v/>
      </c>
      <c r="X10" s="17" t="str">
        <f t="shared" si="8"/>
        <v/>
      </c>
      <c r="Y10" s="1">
        <f>value(IFERROR(SUBSTITUTE(SUBSTITUTE(VLOOKUP(A10,'Quarterly Pipeline vs Target Pi'!A:G,6,false)," $","")," €",""), "")
)</f>
        <v>0</v>
      </c>
      <c r="Z10" s="1">
        <f>value(IFERROR(SUBSTITUTE(SUBSTITUTE(VLOOKUP(A10,'Quarterly Pipeline vs Target Pi'!A:G,7,false)," $","")," €",""), "")
)</f>
        <v>0</v>
      </c>
      <c r="AA10" s="17" t="str">
        <f t="shared" si="9"/>
        <v/>
      </c>
      <c r="AB10" s="1">
        <f>value(IFERROR(SUBSTITUTE(SUBSTITUTE(VLOOKUP($A10,'Quarterly Pipeline vs Target Pi'!$A:$V,11,false)," $","")," €",""), "")
)</f>
        <v>0</v>
      </c>
      <c r="AC10" s="1">
        <f>value(IFERROR(SUBSTITUTE(SUBSTITUTE(VLOOKUP($A10,'Quarterly Pipeline vs Target Pi'!$A:$V,12,false)," $","")," €",""), "")
)</f>
        <v>0</v>
      </c>
      <c r="AD10" s="17" t="str">
        <f t="shared" si="10"/>
        <v/>
      </c>
      <c r="AE10" s="1">
        <f>value(IFERROR(SUBSTITUTE(SUBSTITUTE(VLOOKUP($A10,'Quarterly Pipeline vs Target Pi'!$A:$V,16,false)," $","")," €",""), "")
)</f>
        <v>0</v>
      </c>
      <c r="AF10" s="1">
        <f>value(IFERROR(SUBSTITUTE(SUBSTITUTE(VLOOKUP($A10,'Quarterly Pipeline vs Target Pi'!$A:$V,17,false)," $","")," €",""), "")
)</f>
        <v>0</v>
      </c>
      <c r="AG10" s="17" t="str">
        <f t="shared" si="11"/>
        <v/>
      </c>
      <c r="AH10" s="1">
        <f>value(IFERROR(SUBSTITUTE(SUBSTITUTE(VLOOKUP($A10,'Quarterly Pipeline vs Target Pi'!$A:$V,21,false)," $","")," €",""), "")
)</f>
        <v>0</v>
      </c>
      <c r="AI10" s="1">
        <f>value(IFERROR(SUBSTITUTE(SUBSTITUTE(VLOOKUP($A10,'Quarterly Pipeline vs Target Pi'!$A:$V,22,false)," $","")," €",""), "")
)</f>
        <v>0</v>
      </c>
      <c r="AJ10" s="17" t="str">
        <f t="shared" si="12"/>
        <v/>
      </c>
      <c r="AK10" s="1">
        <f t="shared" ref="AK10:AL10" si="33">sum(Y10,AB10,AE10,AH10)</f>
        <v>0</v>
      </c>
      <c r="AL10" s="1">
        <f t="shared" si="33"/>
        <v>0</v>
      </c>
      <c r="AM10" s="17" t="str">
        <f t="shared" si="14"/>
        <v/>
      </c>
      <c r="AN10" s="1">
        <f>value(IFERROR(SUBSTITUTE(SUBSTITUTE(VLOOKUP($A10,'Quarterly Pipeline vs Target Pi'!$A:$AP,26,false)," $","")," €",""), "")
)</f>
        <v>0</v>
      </c>
      <c r="AO10" s="1">
        <f>value(IFERROR(SUBSTITUTE(SUBSTITUTE(VLOOKUP($A10,'Quarterly Pipeline vs Target Pi'!$A:$AP,27,false)," $","")," €",""), "")
)</f>
        <v>0</v>
      </c>
      <c r="AP10" s="17" t="str">
        <f t="shared" si="15"/>
        <v/>
      </c>
      <c r="AQ10" s="1">
        <f>value(IFERROR(SUBSTITUTE(SUBSTITUTE(VLOOKUP($A10,'Quarterly Pipeline vs Target Pi'!$A:$AP,31,false)," $","")," €",""), "")
)</f>
        <v>0</v>
      </c>
      <c r="AR10" s="1">
        <f>value(IFERROR(SUBSTITUTE(SUBSTITUTE(VLOOKUP($A10,'Quarterly Pipeline vs Target Pi'!$A:$AP,32,false)," $","")," €",""), "")
)</f>
        <v>0</v>
      </c>
      <c r="AS10" s="17" t="str">
        <f t="shared" si="16"/>
        <v/>
      </c>
      <c r="AT10" s="1">
        <f>value(IFERROR(SUBSTITUTE(SUBSTITUTE(VLOOKUP($A10,'Quarterly Pipeline vs Target Pi'!$A:$AP,36,false)," $","")," €",""), "")
)</f>
        <v>0</v>
      </c>
      <c r="AU10" s="1">
        <f>value(IFERROR(SUBSTITUTE(SUBSTITUTE(VLOOKUP($A10,'Quarterly Pipeline vs Target Pi'!$A:$AP,37,false)," $","")," €",""), "")
)</f>
        <v>0</v>
      </c>
      <c r="AV10" s="17" t="str">
        <f t="shared" si="17"/>
        <v/>
      </c>
      <c r="AW10" s="1">
        <f>value(IFERROR(SUBSTITUTE(SUBSTITUTE(VLOOKUP($A10,'Quarterly Pipeline vs Target Pi'!$A:$AP,41,false)," $","")," €",""), "")
)</f>
        <v>0</v>
      </c>
      <c r="AX10" s="1">
        <f>value(IFERROR(SUBSTITUTE(SUBSTITUTE(VLOOKUP($A10,'Quarterly Pipeline vs Target Pi'!$A:$AP,42,false)," $","")," €",""), "")
)</f>
        <v>0</v>
      </c>
      <c r="AY10" s="17" t="str">
        <f t="shared" si="18"/>
        <v/>
      </c>
      <c r="AZ10" s="1">
        <f t="shared" ref="AZ10:BA10" si="34">sum(AN10,AQ10,AT10,AW10)</f>
        <v>0</v>
      </c>
      <c r="BA10" s="1">
        <f t="shared" si="34"/>
        <v>0</v>
      </c>
      <c r="BB10" s="17" t="str">
        <f t="shared" si="20"/>
        <v/>
      </c>
    </row>
    <row r="11">
      <c r="A11" s="1" t="str">
        <f>IFERROR(__xludf.DUMMYFUNCTION("""COMPUTED_VALUE"""),"63ef9d58384f27260c1ba49b")</f>
        <v>63ef9d58384f27260c1ba49b</v>
      </c>
      <c r="B11" s="1" t="str">
        <f>IFERROR(__xludf.DUMMYFUNCTION("""COMPUTED_VALUE"""),"AAA Solar Electric, Inc.")</f>
        <v>AAA Solar Electric, Inc.</v>
      </c>
      <c r="C11" s="1" t="str">
        <f>IFERROR(__xludf.DUMMYFUNCTION("""COMPUTED_VALUE"""),"gene.hawks@al-enterprise.com, bill.rademacher@al-enterprise.com")</f>
        <v>gene.hawks@al-enterprise.com, bill.rademacher@al-enterprise.com</v>
      </c>
      <c r="D11" s="1" t="str">
        <f>IFERROR(__xludf.DUMMYFUNCTION("""COMPUTED_VALUE"""),"americas")</f>
        <v>americas</v>
      </c>
      <c r="E11" s="1" t="str">
        <f>IFERROR(__xludf.DUMMYFUNCTION("""COMPUTED_VALUE"""),"US")</f>
        <v>US</v>
      </c>
      <c r="F11" s="1" t="str">
        <f>IFERROR(__xludf.DUMMYFUNCTION("""COMPUTED_VALUE"""),"expert_200")</f>
        <v>expert_200</v>
      </c>
      <c r="G11" s="1">
        <f>iferror(VLOOKUP(A11,'Business Plan Setup and Accepta'!A:G,6,false),"")</f>
        <v>0</v>
      </c>
      <c r="H11" s="1">
        <f>iferror(VLOOKUP(A11,'Business Plan Setup and Accepta'!A:G,7,false),"")</f>
        <v>1</v>
      </c>
      <c r="I11" s="17">
        <f t="shared" si="3"/>
        <v>0</v>
      </c>
      <c r="J11" s="1">
        <f>IFERROR(VALUE(SUBSTITUTE(VLOOKUP(A11,'Sales IN Revenues vs Sales targ'!A:G,6,false)," $","")), "")
</f>
        <v>34.12</v>
      </c>
      <c r="K11" s="1">
        <f>IFERROR(VALUE(SUBSTITUTE(VLOOKUP(A11,'Sales IN Revenues vs Sales targ'!A:G,7,false)," $","")), "")
</f>
        <v>0</v>
      </c>
      <c r="L11" s="17" t="str">
        <f t="shared" si="4"/>
        <v/>
      </c>
      <c r="M11" s="1">
        <f>value(SUBSTITUTE(IFERROR(VLOOKUP(A11,'Certifications achievements vs '!A:G,6,false),""),"#","")
)</f>
        <v>0</v>
      </c>
      <c r="N11" s="1">
        <f>value(SUBSTITUTE(IFERROR(VLOOKUP(A11,'Certifications achievements vs '!A:G,7,false),""),"#","")
)</f>
        <v>56</v>
      </c>
      <c r="O11" s="17">
        <f t="shared" si="5"/>
        <v>0</v>
      </c>
      <c r="P11" s="1">
        <f>value(SUBSTITUTE(IFERROR(VLOOKUP(A11,'Communications - Solution Speci'!A:G,6,false),""),"#","")
)</f>
        <v>0</v>
      </c>
      <c r="Q11" s="1">
        <f>value(SUBSTITUTE(IFERROR(VLOOKUP(A11,'Communications - Solution Speci'!A:G,7,false),""),"#","")
)</f>
        <v>1</v>
      </c>
      <c r="R11" s="17">
        <f t="shared" si="6"/>
        <v>0</v>
      </c>
      <c r="S11" s="1">
        <f>value(SUBSTITUTE(IFERROR(VLOOKUP(A11,'Networking - Solution Specializ'!A:G,6,false),""),"#","")
)</f>
        <v>0</v>
      </c>
      <c r="T11" s="1">
        <f>value(SUBSTITUTE(IFERROR(VLOOKUP(A11,'Networking - Solution Specializ'!A:G,7,false),""),"#","")
)</f>
        <v>1</v>
      </c>
      <c r="U11" s="17">
        <f t="shared" si="7"/>
        <v>0</v>
      </c>
      <c r="V11" s="1">
        <f>iferror(vlookup(A11,'Marketing Plan (extract summary'!A:G,6,false),"")</f>
        <v>0</v>
      </c>
      <c r="W11" s="1">
        <f>iferror(vlookup(A11,'Marketing Plan (extract summary'!A:G,7,false),"")</f>
        <v>1</v>
      </c>
      <c r="X11" s="17">
        <f t="shared" si="8"/>
        <v>0</v>
      </c>
      <c r="Y11" s="1">
        <f>value(IFERROR(SUBSTITUTE(SUBSTITUTE(VLOOKUP(A11,'Quarterly Pipeline vs Target Pi'!A:G,6,false)," $","")," €",""), "")
)</f>
        <v>20.84</v>
      </c>
      <c r="Z11" s="1">
        <f>value(IFERROR(SUBSTITUTE(SUBSTITUTE(VLOOKUP(A11,'Quarterly Pipeline vs Target Pi'!A:G,7,false)," $","")," €",""), "")
)</f>
        <v>0</v>
      </c>
      <c r="AA11" s="17" t="str">
        <f t="shared" si="9"/>
        <v/>
      </c>
      <c r="AB11" s="1">
        <f>value(IFERROR(SUBSTITUTE(SUBSTITUTE(VLOOKUP($A11,'Quarterly Pipeline vs Target Pi'!$A:$V,11,false)," $","")," €",""), "")
)</f>
        <v>0</v>
      </c>
      <c r="AC11" s="1">
        <f>value(IFERROR(SUBSTITUTE(SUBSTITUTE(VLOOKUP($A11,'Quarterly Pipeline vs Target Pi'!$A:$V,12,false)," $","")," €",""), "")
)</f>
        <v>0</v>
      </c>
      <c r="AD11" s="17" t="str">
        <f t="shared" si="10"/>
        <v/>
      </c>
      <c r="AE11" s="1">
        <f>value(IFERROR(SUBSTITUTE(SUBSTITUTE(VLOOKUP($A11,'Quarterly Pipeline vs Target Pi'!$A:$V,16,false)," $","")," €",""), "")
)</f>
        <v>0</v>
      </c>
      <c r="AF11" s="1">
        <f>value(IFERROR(SUBSTITUTE(SUBSTITUTE(VLOOKUP($A11,'Quarterly Pipeline vs Target Pi'!$A:$V,17,false)," $","")," €",""), "")
)</f>
        <v>0</v>
      </c>
      <c r="AG11" s="17" t="str">
        <f t="shared" si="11"/>
        <v/>
      </c>
      <c r="AH11" s="1">
        <f>value(IFERROR(SUBSTITUTE(SUBSTITUTE(VLOOKUP($A11,'Quarterly Pipeline vs Target Pi'!$A:$V,21,false)," $","")," €",""), "")
)</f>
        <v>0</v>
      </c>
      <c r="AI11" s="1">
        <f>value(IFERROR(SUBSTITUTE(SUBSTITUTE(VLOOKUP($A11,'Quarterly Pipeline vs Target Pi'!$A:$V,22,false)," $","")," €",""), "")
)</f>
        <v>0</v>
      </c>
      <c r="AJ11" s="17" t="str">
        <f t="shared" si="12"/>
        <v/>
      </c>
      <c r="AK11" s="1">
        <f t="shared" ref="AK11:AL11" si="35">sum(Y11,AB11,AE11,AH11)</f>
        <v>20.84</v>
      </c>
      <c r="AL11" s="1">
        <f t="shared" si="35"/>
        <v>0</v>
      </c>
      <c r="AM11" s="17" t="str">
        <f t="shared" si="14"/>
        <v/>
      </c>
      <c r="AN11" s="1">
        <f>value(IFERROR(SUBSTITUTE(SUBSTITUTE(VLOOKUP($A11,'Quarterly Pipeline vs Target Pi'!$A:$AP,26,false)," $","")," €",""), "")
)</f>
        <v>0</v>
      </c>
      <c r="AO11" s="1">
        <f>value(IFERROR(SUBSTITUTE(SUBSTITUTE(VLOOKUP($A11,'Quarterly Pipeline vs Target Pi'!$A:$AP,27,false)," $","")," €",""), "")
)</f>
        <v>0</v>
      </c>
      <c r="AP11" s="17" t="str">
        <f t="shared" si="15"/>
        <v/>
      </c>
      <c r="AQ11" s="1">
        <f>value(IFERROR(SUBSTITUTE(SUBSTITUTE(VLOOKUP($A11,'Quarterly Pipeline vs Target Pi'!$A:$AP,31,false)," $","")," €",""), "")
)</f>
        <v>0</v>
      </c>
      <c r="AR11" s="1">
        <f>value(IFERROR(SUBSTITUTE(SUBSTITUTE(VLOOKUP($A11,'Quarterly Pipeline vs Target Pi'!$A:$AP,32,false)," $","")," €",""), "")
)</f>
        <v>0</v>
      </c>
      <c r="AS11" s="17" t="str">
        <f t="shared" si="16"/>
        <v/>
      </c>
      <c r="AT11" s="1">
        <f>value(IFERROR(SUBSTITUTE(SUBSTITUTE(VLOOKUP($A11,'Quarterly Pipeline vs Target Pi'!$A:$AP,36,false)," $","")," €",""), "")
)</f>
        <v>0</v>
      </c>
      <c r="AU11" s="1">
        <f>value(IFERROR(SUBSTITUTE(SUBSTITUTE(VLOOKUP($A11,'Quarterly Pipeline vs Target Pi'!$A:$AP,37,false)," $","")," €",""), "")
)</f>
        <v>0</v>
      </c>
      <c r="AV11" s="17" t="str">
        <f t="shared" si="17"/>
        <v/>
      </c>
      <c r="AW11" s="1">
        <f>value(IFERROR(SUBSTITUTE(SUBSTITUTE(VLOOKUP($A11,'Quarterly Pipeline vs Target Pi'!$A:$AP,41,false)," $","")," €",""), "")
)</f>
        <v>0</v>
      </c>
      <c r="AX11" s="1">
        <f>value(IFERROR(SUBSTITUTE(SUBSTITUTE(VLOOKUP($A11,'Quarterly Pipeline vs Target Pi'!$A:$AP,42,false)," $","")," €",""), "")
)</f>
        <v>0</v>
      </c>
      <c r="AY11" s="17" t="str">
        <f t="shared" si="18"/>
        <v/>
      </c>
      <c r="AZ11" s="1">
        <f t="shared" ref="AZ11:BA11" si="36">sum(AN11,AQ11,AT11,AW11)</f>
        <v>0</v>
      </c>
      <c r="BA11" s="1">
        <f t="shared" si="36"/>
        <v>0</v>
      </c>
      <c r="BB11" s="17" t="str">
        <f t="shared" si="20"/>
        <v/>
      </c>
    </row>
    <row r="12">
      <c r="A12" s="1" t="str">
        <f>IFERROR(__xludf.DUMMYFUNCTION("""COMPUTED_VALUE"""),"6299fef42acbb9510b5e178a")</f>
        <v>6299fef42acbb9510b5e178a</v>
      </c>
      <c r="B12" s="1" t="str">
        <f>IFERROR(__xludf.DUMMYFUNCTION("""COMPUTED_VALUE"""),"abl social federation GmbH")</f>
        <v>abl social federation GmbH</v>
      </c>
      <c r="C12" s="1" t="str">
        <f>IFERROR(__xludf.DUMMYFUNCTION("""COMPUTED_VALUE"""),"olivier.ravel@al-enterprise.com, rui.silva@al-enterprise.com, thomas.ullmann@al-enterprise.com, andreas.grossheimann@al-enterprise.com, katrin.pfeiffer@al-enterprise.com, sibylle.klopfer@al-enterprise.com, igor.leko@al-enterprise.com, daniel.scheidl@al-en"&amp;"terprise.com, hakan.adiguezel@al-enterprise.com")</f>
        <v>olivier.ravel@al-enterprise.com, rui.silva@al-enterprise.com, thomas.ullmann@al-enterprise.com, andreas.grossheimann@al-enterprise.com, katrin.pfeiffer@al-enterprise.com, sibylle.klopfer@al-enterprise.com, igor.leko@al-enterprise.com, daniel.scheidl@al-enterprise.com, hakan.adiguezel@al-enterprise.com</v>
      </c>
      <c r="D12" s="1" t="str">
        <f>IFERROR(__xludf.DUMMYFUNCTION("""COMPUTED_VALUE"""),"germany")</f>
        <v>germany</v>
      </c>
      <c r="E12" s="1" t="str">
        <f>IFERROR(__xludf.DUMMYFUNCTION("""COMPUTED_VALUE"""),"DE")</f>
        <v>DE</v>
      </c>
      <c r="F12" s="1" t="str">
        <f>IFERROR(__xludf.DUMMYFUNCTION("""COMPUTED_VALUE"""),"expert_200")</f>
        <v>expert_200</v>
      </c>
      <c r="G12" s="1">
        <f>iferror(VLOOKUP(A12,'Business Plan Setup and Accepta'!A:G,6,false),"")</f>
        <v>0</v>
      </c>
      <c r="H12" s="1">
        <f>iferror(VLOOKUP(A12,'Business Plan Setup and Accepta'!A:G,7,false),"")</f>
        <v>1</v>
      </c>
      <c r="I12" s="17">
        <f t="shared" si="3"/>
        <v>0</v>
      </c>
      <c r="J12" s="1">
        <f>IFERROR(VALUE(SUBSTITUTE(VLOOKUP(A12,'Sales IN Revenues vs Sales targ'!A:G,6,false)," $","")), "")
</f>
        <v>0</v>
      </c>
      <c r="K12" s="1">
        <f>IFERROR(VALUE(SUBSTITUTE(VLOOKUP(A12,'Sales IN Revenues vs Sales targ'!A:G,7,false)," $","")), "")
</f>
        <v>0</v>
      </c>
      <c r="L12" s="17" t="str">
        <f t="shared" si="4"/>
        <v/>
      </c>
      <c r="M12" s="1">
        <f>value(SUBSTITUTE(IFERROR(VLOOKUP(A12,'Certifications achievements vs '!A:G,6,false),""),"#","")
)</f>
        <v>6</v>
      </c>
      <c r="N12" s="1">
        <f>value(SUBSTITUTE(IFERROR(VLOOKUP(A12,'Certifications achievements vs '!A:G,7,false),""),"#","")
)</f>
        <v>0</v>
      </c>
      <c r="O12" s="17" t="str">
        <f t="shared" si="5"/>
        <v/>
      </c>
      <c r="P12" s="1">
        <f>value(SUBSTITUTE(IFERROR(VLOOKUP(A12,'Communications - Solution Speci'!A:G,6,false),""),"#","")
)</f>
        <v>0</v>
      </c>
      <c r="Q12" s="1">
        <f>value(SUBSTITUTE(IFERROR(VLOOKUP(A12,'Communications - Solution Speci'!A:G,7,false),""),"#","")
)</f>
        <v>1</v>
      </c>
      <c r="R12" s="17">
        <f t="shared" si="6"/>
        <v>0</v>
      </c>
      <c r="S12" s="1">
        <f>value(SUBSTITUTE(IFERROR(VLOOKUP(A12,'Networking - Solution Specializ'!A:G,6,false),""),"#","")
)</f>
        <v>1</v>
      </c>
      <c r="T12" s="1">
        <f>value(SUBSTITUTE(IFERROR(VLOOKUP(A12,'Networking - Solution Specializ'!A:G,7,false),""),"#","")
)</f>
        <v>1</v>
      </c>
      <c r="U12" s="17">
        <f t="shared" si="7"/>
        <v>1</v>
      </c>
      <c r="V12" s="1">
        <f>iferror(vlookup(A12,'Marketing Plan (extract summary'!A:G,6,false),"")</f>
        <v>0</v>
      </c>
      <c r="W12" s="1">
        <f>iferror(vlookup(A12,'Marketing Plan (extract summary'!A:G,7,false),"")</f>
        <v>1</v>
      </c>
      <c r="X12" s="17">
        <f t="shared" si="8"/>
        <v>0</v>
      </c>
      <c r="Y12" s="1">
        <f>value(IFERROR(SUBSTITUTE(SUBSTITUTE(VLOOKUP(A12,'Quarterly Pipeline vs Target Pi'!A:G,6,false)," $","")," €",""), "")
)</f>
        <v>0</v>
      </c>
      <c r="Z12" s="1">
        <f>value(IFERROR(SUBSTITUTE(SUBSTITUTE(VLOOKUP(A12,'Quarterly Pipeline vs Target Pi'!A:G,7,false)," $","")," €",""), "")
)</f>
        <v>0</v>
      </c>
      <c r="AA12" s="17" t="str">
        <f t="shared" si="9"/>
        <v/>
      </c>
      <c r="AB12" s="1">
        <f>value(IFERROR(SUBSTITUTE(SUBSTITUTE(VLOOKUP($A12,'Quarterly Pipeline vs Target Pi'!$A:$V,11,false)," $","")," €",""), "")
)</f>
        <v>0</v>
      </c>
      <c r="AC12" s="1">
        <f>value(IFERROR(SUBSTITUTE(SUBSTITUTE(VLOOKUP($A12,'Quarterly Pipeline vs Target Pi'!$A:$V,12,false)," $","")," €",""), "")
)</f>
        <v>0</v>
      </c>
      <c r="AD12" s="17" t="str">
        <f t="shared" si="10"/>
        <v/>
      </c>
      <c r="AE12" s="1">
        <f>value(IFERROR(SUBSTITUTE(SUBSTITUTE(VLOOKUP($A12,'Quarterly Pipeline vs Target Pi'!$A:$V,16,false)," $","")," €",""), "")
)</f>
        <v>0</v>
      </c>
      <c r="AF12" s="1">
        <f>value(IFERROR(SUBSTITUTE(SUBSTITUTE(VLOOKUP($A12,'Quarterly Pipeline vs Target Pi'!$A:$V,17,false)," $","")," €",""), "")
)</f>
        <v>0</v>
      </c>
      <c r="AG12" s="17" t="str">
        <f t="shared" si="11"/>
        <v/>
      </c>
      <c r="AH12" s="1">
        <f>value(IFERROR(SUBSTITUTE(SUBSTITUTE(VLOOKUP($A12,'Quarterly Pipeline vs Target Pi'!$A:$V,21,false)," $","")," €",""), "")
)</f>
        <v>0</v>
      </c>
      <c r="AI12" s="1">
        <f>value(IFERROR(SUBSTITUTE(SUBSTITUTE(VLOOKUP($A12,'Quarterly Pipeline vs Target Pi'!$A:$V,22,false)," $","")," €",""), "")
)</f>
        <v>0</v>
      </c>
      <c r="AJ12" s="17" t="str">
        <f t="shared" si="12"/>
        <v/>
      </c>
      <c r="AK12" s="1">
        <f t="shared" ref="AK12:AL12" si="37">sum(Y12,AB12,AE12,AH12)</f>
        <v>0</v>
      </c>
      <c r="AL12" s="1">
        <f t="shared" si="37"/>
        <v>0</v>
      </c>
      <c r="AM12" s="17" t="str">
        <f t="shared" si="14"/>
        <v/>
      </c>
      <c r="AN12" s="1">
        <f>value(IFERROR(SUBSTITUTE(SUBSTITUTE(VLOOKUP($A12,'Quarterly Pipeline vs Target Pi'!$A:$AP,26,false)," $","")," €",""), "")
)</f>
        <v>0</v>
      </c>
      <c r="AO12" s="1">
        <f>value(IFERROR(SUBSTITUTE(SUBSTITUTE(VLOOKUP($A12,'Quarterly Pipeline vs Target Pi'!$A:$AP,27,false)," $","")," €",""), "")
)</f>
        <v>0</v>
      </c>
      <c r="AP12" s="17" t="str">
        <f t="shared" si="15"/>
        <v/>
      </c>
      <c r="AQ12" s="1">
        <f>value(IFERROR(SUBSTITUTE(SUBSTITUTE(VLOOKUP($A12,'Quarterly Pipeline vs Target Pi'!$A:$AP,31,false)," $","")," €",""), "")
)</f>
        <v>0</v>
      </c>
      <c r="AR12" s="1">
        <f>value(IFERROR(SUBSTITUTE(SUBSTITUTE(VLOOKUP($A12,'Quarterly Pipeline vs Target Pi'!$A:$AP,32,false)," $","")," €",""), "")
)</f>
        <v>0</v>
      </c>
      <c r="AS12" s="17" t="str">
        <f t="shared" si="16"/>
        <v/>
      </c>
      <c r="AT12" s="1">
        <f>value(IFERROR(SUBSTITUTE(SUBSTITUTE(VLOOKUP($A12,'Quarterly Pipeline vs Target Pi'!$A:$AP,36,false)," $","")," €",""), "")
)</f>
        <v>0</v>
      </c>
      <c r="AU12" s="1">
        <f>value(IFERROR(SUBSTITUTE(SUBSTITUTE(VLOOKUP($A12,'Quarterly Pipeline vs Target Pi'!$A:$AP,37,false)," $","")," €",""), "")
)</f>
        <v>0</v>
      </c>
      <c r="AV12" s="17" t="str">
        <f t="shared" si="17"/>
        <v/>
      </c>
      <c r="AW12" s="1">
        <f>value(IFERROR(SUBSTITUTE(SUBSTITUTE(VLOOKUP($A12,'Quarterly Pipeline vs Target Pi'!$A:$AP,41,false)," $","")," €",""), "")
)</f>
        <v>0</v>
      </c>
      <c r="AX12" s="1">
        <f>value(IFERROR(SUBSTITUTE(SUBSTITUTE(VLOOKUP($A12,'Quarterly Pipeline vs Target Pi'!$A:$AP,42,false)," $","")," €",""), "")
)</f>
        <v>0</v>
      </c>
      <c r="AY12" s="17" t="str">
        <f t="shared" si="18"/>
        <v/>
      </c>
      <c r="AZ12" s="1">
        <f t="shared" ref="AZ12:BA12" si="38">sum(AN12,AQ12,AT12,AW12)</f>
        <v>0</v>
      </c>
      <c r="BA12" s="1">
        <f t="shared" si="38"/>
        <v>0</v>
      </c>
      <c r="BB12" s="17" t="str">
        <f t="shared" si="20"/>
        <v/>
      </c>
    </row>
    <row r="13">
      <c r="A13" s="1" t="str">
        <f>IFERROR(__xludf.DUMMYFUNCTION("""COMPUTED_VALUE"""),"63fcbb7ea107c871cf564741")</f>
        <v>63fcbb7ea107c871cf564741</v>
      </c>
      <c r="B13" s="1" t="str">
        <f>IFERROR(__xludf.DUMMYFUNCTION("""COMPUTED_VALUE"""),"ABX Telecom Ltda")</f>
        <v>ABX Telecom Ltda</v>
      </c>
      <c r="C13" s="1" t="str">
        <f>IFERROR(__xludf.DUMMYFUNCTION("""COMPUTED_VALUE"""),"gabriel.pires@al-enterprise.com")</f>
        <v>gabriel.pires@al-enterprise.com</v>
      </c>
      <c r="D13" s="1" t="str">
        <f>IFERROR(__xludf.DUMMYFUNCTION("""COMPUTED_VALUE"""),"americas")</f>
        <v>americas</v>
      </c>
      <c r="E13" s="1" t="str">
        <f>IFERROR(__xludf.DUMMYFUNCTION("""COMPUTED_VALUE"""),"BR")</f>
        <v>BR</v>
      </c>
      <c r="F13" s="1"/>
      <c r="G13" s="1" t="str">
        <f>iferror(VLOOKUP(A13,'Business Plan Setup and Accepta'!A:G,6,false),"")</f>
        <v/>
      </c>
      <c r="H13" s="1" t="str">
        <f>iferror(VLOOKUP(A13,'Business Plan Setup and Accepta'!A:G,7,false),"")</f>
        <v/>
      </c>
      <c r="I13" s="17" t="str">
        <f t="shared" si="3"/>
        <v/>
      </c>
      <c r="J13" s="1" t="str">
        <f>IFERROR(VALUE(SUBSTITUTE(VLOOKUP(A13,'Sales IN Revenues vs Sales targ'!A:G,6,false)," $","")), "")
</f>
        <v/>
      </c>
      <c r="K13" s="1" t="str">
        <f>IFERROR(VALUE(SUBSTITUTE(VLOOKUP(A13,'Sales IN Revenues vs Sales targ'!A:G,7,false)," $","")), "")
</f>
        <v/>
      </c>
      <c r="L13" s="17" t="str">
        <f t="shared" si="4"/>
        <v/>
      </c>
      <c r="M13" s="1">
        <f>value(SUBSTITUTE(IFERROR(VLOOKUP(A13,'Certifications achievements vs '!A:G,6,false),""),"#","")
)</f>
        <v>0</v>
      </c>
      <c r="N13" s="1">
        <f>value(SUBSTITUTE(IFERROR(VLOOKUP(A13,'Certifications achievements vs '!A:G,7,false),""),"#","")
)</f>
        <v>0</v>
      </c>
      <c r="O13" s="17" t="str">
        <f t="shared" si="5"/>
        <v/>
      </c>
      <c r="P13" s="1">
        <f>value(SUBSTITUTE(IFERROR(VLOOKUP(A13,'Communications - Solution Speci'!A:G,6,false),""),"#","")
)</f>
        <v>0</v>
      </c>
      <c r="Q13" s="1">
        <f>value(SUBSTITUTE(IFERROR(VLOOKUP(A13,'Communications - Solution Speci'!A:G,7,false),""),"#","")
)</f>
        <v>0</v>
      </c>
      <c r="R13" s="17" t="str">
        <f t="shared" si="6"/>
        <v/>
      </c>
      <c r="S13" s="1">
        <f>value(SUBSTITUTE(IFERROR(VLOOKUP(A13,'Networking - Solution Specializ'!A:G,6,false),""),"#","")
)</f>
        <v>0</v>
      </c>
      <c r="T13" s="1">
        <f>value(SUBSTITUTE(IFERROR(VLOOKUP(A13,'Networking - Solution Specializ'!A:G,7,false),""),"#","")
)</f>
        <v>0</v>
      </c>
      <c r="U13" s="17" t="str">
        <f t="shared" si="7"/>
        <v/>
      </c>
      <c r="V13" s="1" t="str">
        <f>iferror(vlookup(A13,'Marketing Plan (extract summary'!A:G,6,false),"")</f>
        <v/>
      </c>
      <c r="W13" s="1" t="str">
        <f>iferror(vlookup(A13,'Marketing Plan (extract summary'!A:G,7,false),"")</f>
        <v/>
      </c>
      <c r="X13" s="17" t="str">
        <f t="shared" si="8"/>
        <v/>
      </c>
      <c r="Y13" s="1">
        <f>value(IFERROR(SUBSTITUTE(SUBSTITUTE(VLOOKUP(A13,'Quarterly Pipeline vs Target Pi'!A:G,6,false)," $","")," €",""), "")
)</f>
        <v>0</v>
      </c>
      <c r="Z13" s="1">
        <f>value(IFERROR(SUBSTITUTE(SUBSTITUTE(VLOOKUP(A13,'Quarterly Pipeline vs Target Pi'!A:G,7,false)," $","")," €",""), "")
)</f>
        <v>0</v>
      </c>
      <c r="AA13" s="17" t="str">
        <f t="shared" si="9"/>
        <v/>
      </c>
      <c r="AB13" s="1">
        <f>value(IFERROR(SUBSTITUTE(SUBSTITUTE(VLOOKUP($A13,'Quarterly Pipeline vs Target Pi'!$A:$V,11,false)," $","")," €",""), "")
)</f>
        <v>0</v>
      </c>
      <c r="AC13" s="1">
        <f>value(IFERROR(SUBSTITUTE(SUBSTITUTE(VLOOKUP($A13,'Quarterly Pipeline vs Target Pi'!$A:$V,12,false)," $","")," €",""), "")
)</f>
        <v>0</v>
      </c>
      <c r="AD13" s="17" t="str">
        <f t="shared" si="10"/>
        <v/>
      </c>
      <c r="AE13" s="1">
        <f>value(IFERROR(SUBSTITUTE(SUBSTITUTE(VLOOKUP($A13,'Quarterly Pipeline vs Target Pi'!$A:$V,16,false)," $","")," €",""), "")
)</f>
        <v>0</v>
      </c>
      <c r="AF13" s="1">
        <f>value(IFERROR(SUBSTITUTE(SUBSTITUTE(VLOOKUP($A13,'Quarterly Pipeline vs Target Pi'!$A:$V,17,false)," $","")," €",""), "")
)</f>
        <v>0</v>
      </c>
      <c r="AG13" s="17" t="str">
        <f t="shared" si="11"/>
        <v/>
      </c>
      <c r="AH13" s="1">
        <f>value(IFERROR(SUBSTITUTE(SUBSTITUTE(VLOOKUP($A13,'Quarterly Pipeline vs Target Pi'!$A:$V,21,false)," $","")," €",""), "")
)</f>
        <v>0</v>
      </c>
      <c r="AI13" s="1">
        <f>value(IFERROR(SUBSTITUTE(SUBSTITUTE(VLOOKUP($A13,'Quarterly Pipeline vs Target Pi'!$A:$V,22,false)," $","")," €",""), "")
)</f>
        <v>0</v>
      </c>
      <c r="AJ13" s="17" t="str">
        <f t="shared" si="12"/>
        <v/>
      </c>
      <c r="AK13" s="1">
        <f t="shared" ref="AK13:AL13" si="39">sum(Y13,AB13,AE13,AH13)</f>
        <v>0</v>
      </c>
      <c r="AL13" s="1">
        <f t="shared" si="39"/>
        <v>0</v>
      </c>
      <c r="AM13" s="17" t="str">
        <f t="shared" si="14"/>
        <v/>
      </c>
      <c r="AN13" s="1">
        <f>value(IFERROR(SUBSTITUTE(SUBSTITUTE(VLOOKUP($A13,'Quarterly Pipeline vs Target Pi'!$A:$AP,26,false)," $","")," €",""), "")
)</f>
        <v>0</v>
      </c>
      <c r="AO13" s="1">
        <f>value(IFERROR(SUBSTITUTE(SUBSTITUTE(VLOOKUP($A13,'Quarterly Pipeline vs Target Pi'!$A:$AP,27,false)," $","")," €",""), "")
)</f>
        <v>0</v>
      </c>
      <c r="AP13" s="17" t="str">
        <f t="shared" si="15"/>
        <v/>
      </c>
      <c r="AQ13" s="1">
        <f>value(IFERROR(SUBSTITUTE(SUBSTITUTE(VLOOKUP($A13,'Quarterly Pipeline vs Target Pi'!$A:$AP,31,false)," $","")," €",""), "")
)</f>
        <v>0</v>
      </c>
      <c r="AR13" s="1">
        <f>value(IFERROR(SUBSTITUTE(SUBSTITUTE(VLOOKUP($A13,'Quarterly Pipeline vs Target Pi'!$A:$AP,32,false)," $","")," €",""), "")
)</f>
        <v>0</v>
      </c>
      <c r="AS13" s="17" t="str">
        <f t="shared" si="16"/>
        <v/>
      </c>
      <c r="AT13" s="1">
        <f>value(IFERROR(SUBSTITUTE(SUBSTITUTE(VLOOKUP($A13,'Quarterly Pipeline vs Target Pi'!$A:$AP,36,false)," $","")," €",""), "")
)</f>
        <v>0</v>
      </c>
      <c r="AU13" s="1">
        <f>value(IFERROR(SUBSTITUTE(SUBSTITUTE(VLOOKUP($A13,'Quarterly Pipeline vs Target Pi'!$A:$AP,37,false)," $","")," €",""), "")
)</f>
        <v>0</v>
      </c>
      <c r="AV13" s="17" t="str">
        <f t="shared" si="17"/>
        <v/>
      </c>
      <c r="AW13" s="1">
        <f>value(IFERROR(SUBSTITUTE(SUBSTITUTE(VLOOKUP($A13,'Quarterly Pipeline vs Target Pi'!$A:$AP,41,false)," $","")," €",""), "")
)</f>
        <v>0</v>
      </c>
      <c r="AX13" s="1">
        <f>value(IFERROR(SUBSTITUTE(SUBSTITUTE(VLOOKUP($A13,'Quarterly Pipeline vs Target Pi'!$A:$AP,42,false)," $","")," €",""), "")
)</f>
        <v>0</v>
      </c>
      <c r="AY13" s="17" t="str">
        <f t="shared" si="18"/>
        <v/>
      </c>
      <c r="AZ13" s="1">
        <f t="shared" ref="AZ13:BA13" si="40">sum(AN13,AQ13,AT13,AW13)</f>
        <v>0</v>
      </c>
      <c r="BA13" s="1">
        <f t="shared" si="40"/>
        <v>0</v>
      </c>
      <c r="BB13" s="17" t="str">
        <f t="shared" si="20"/>
        <v/>
      </c>
    </row>
    <row r="14">
      <c r="A14" s="1" t="str">
        <f>IFERROR(__xludf.DUMMYFUNCTION("""COMPUTED_VALUE"""),"63ef9d5f384f27260c1bb00d")</f>
        <v>63ef9d5f384f27260c1bb00d</v>
      </c>
      <c r="B14" s="1" t="str">
        <f>IFERROR(__xludf.DUMMYFUNCTION("""COMPUTED_VALUE"""),"ACUNTIA, S.A.")</f>
        <v>ACUNTIA, S.A.</v>
      </c>
      <c r="C14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4" s="1" t="str">
        <f>IFERROR(__xludf.DUMMYFUNCTION("""COMPUTED_VALUE"""),"emea")</f>
        <v>emea</v>
      </c>
      <c r="E14" s="1" t="str">
        <f>IFERROR(__xludf.DUMMYFUNCTION("""COMPUTED_VALUE"""),"ES")</f>
        <v>ES</v>
      </c>
      <c r="F14" s="1" t="str">
        <f>IFERROR(__xludf.DUMMYFUNCTION("""COMPUTED_VALUE"""),"expert_200")</f>
        <v>expert_200</v>
      </c>
      <c r="G14" s="1">
        <f>iferror(VLOOKUP(A14,'Business Plan Setup and Accepta'!A:G,6,false),"")</f>
        <v>1</v>
      </c>
      <c r="H14" s="1">
        <f>iferror(VLOOKUP(A14,'Business Plan Setup and Accepta'!A:G,7,false),"")</f>
        <v>1</v>
      </c>
      <c r="I14" s="17">
        <f t="shared" si="3"/>
        <v>1</v>
      </c>
      <c r="J14" s="1">
        <f>IFERROR(VALUE(SUBSTITUTE(VLOOKUP(A14,'Sales IN Revenues vs Sales targ'!A:G,6,false)," $","")), "")
</f>
        <v>72.79</v>
      </c>
      <c r="K14" s="1">
        <f>IFERROR(VALUE(SUBSTITUTE(VLOOKUP(A14,'Sales IN Revenues vs Sales targ'!A:G,7,false)," $","")), "")
</f>
        <v>500</v>
      </c>
      <c r="L14" s="17">
        <f t="shared" si="4"/>
        <v>0.14558</v>
      </c>
      <c r="M14" s="1">
        <f>value(SUBSTITUTE(IFERROR(VLOOKUP(A14,'Certifications achievements vs '!A:G,6,false),""),"#","")
)</f>
        <v>19</v>
      </c>
      <c r="N14" s="1">
        <f>value(SUBSTITUTE(IFERROR(VLOOKUP(A14,'Certifications achievements vs '!A:G,7,false),""),"#","")
)</f>
        <v>52</v>
      </c>
      <c r="O14" s="17">
        <f t="shared" si="5"/>
        <v>0.3653846154</v>
      </c>
      <c r="P14" s="1">
        <f>value(SUBSTITUTE(IFERROR(VLOOKUP(A14,'Communications - Solution Speci'!A:G,6,false),""),"#","")
)</f>
        <v>0</v>
      </c>
      <c r="Q14" s="1">
        <f>value(SUBSTITUTE(IFERROR(VLOOKUP(A14,'Communications - Solution Speci'!A:G,7,false),""),"#","")
)</f>
        <v>1</v>
      </c>
      <c r="R14" s="17">
        <f t="shared" si="6"/>
        <v>0</v>
      </c>
      <c r="S14" s="1">
        <f>value(SUBSTITUTE(IFERROR(VLOOKUP(A14,'Networking - Solution Specializ'!A:G,6,false),""),"#","")
)</f>
        <v>1</v>
      </c>
      <c r="T14" s="1">
        <f>value(SUBSTITUTE(IFERROR(VLOOKUP(A14,'Networking - Solution Specializ'!A:G,7,false),""),"#","")
)</f>
        <v>1</v>
      </c>
      <c r="U14" s="17">
        <f t="shared" si="7"/>
        <v>1</v>
      </c>
      <c r="V14" s="1">
        <f>iferror(vlookup(A14,'Marketing Plan (extract summary'!A:G,6,false),"")</f>
        <v>0</v>
      </c>
      <c r="W14" s="1">
        <f>iferror(vlookup(A14,'Marketing Plan (extract summary'!A:G,7,false),"")</f>
        <v>1</v>
      </c>
      <c r="X14" s="17">
        <f t="shared" si="8"/>
        <v>0</v>
      </c>
      <c r="Y14" s="1">
        <f>value(IFERROR(SUBSTITUTE(SUBSTITUTE(VLOOKUP(A14,'Quarterly Pipeline vs Target Pi'!A:G,6,false)," $","")," €",""), "")
)</f>
        <v>0</v>
      </c>
      <c r="Z14" s="1">
        <f>value(IFERROR(SUBSTITUTE(SUBSTITUTE(VLOOKUP(A14,'Quarterly Pipeline vs Target Pi'!A:G,7,false)," $","")," €",""), "")
)</f>
        <v>0</v>
      </c>
      <c r="AA14" s="17" t="str">
        <f t="shared" si="9"/>
        <v/>
      </c>
      <c r="AB14" s="1">
        <f>value(IFERROR(SUBSTITUTE(SUBSTITUTE(VLOOKUP($A14,'Quarterly Pipeline vs Target Pi'!$A:$V,11,false)," $","")," €",""), "")
)</f>
        <v>230</v>
      </c>
      <c r="AC14" s="1">
        <f>value(IFERROR(SUBSTITUTE(SUBSTITUTE(VLOOKUP($A14,'Quarterly Pipeline vs Target Pi'!$A:$V,12,false)," $","")," €",""), "")
)</f>
        <v>357.14</v>
      </c>
      <c r="AD14" s="17">
        <f t="shared" si="10"/>
        <v>0.644005152</v>
      </c>
      <c r="AE14" s="1">
        <f>value(IFERROR(SUBSTITUTE(SUBSTITUTE(VLOOKUP($A14,'Quarterly Pipeline vs Target Pi'!$A:$V,16,false)," $","")," €",""), "")
)</f>
        <v>85</v>
      </c>
      <c r="AF14" s="1">
        <f>value(IFERROR(SUBSTITUTE(SUBSTITUTE(VLOOKUP($A14,'Quarterly Pipeline vs Target Pi'!$A:$V,17,false)," $","")," €",""), "")
)</f>
        <v>357.14</v>
      </c>
      <c r="AG14" s="17">
        <f t="shared" si="11"/>
        <v>0.238001904</v>
      </c>
      <c r="AH14" s="1">
        <f>value(IFERROR(SUBSTITUTE(SUBSTITUTE(VLOOKUP($A14,'Quarterly Pipeline vs Target Pi'!$A:$V,21,false)," $","")," €",""), "")
)</f>
        <v>400</v>
      </c>
      <c r="AI14" s="1">
        <f>value(IFERROR(SUBSTITUTE(SUBSTITUTE(VLOOKUP($A14,'Quarterly Pipeline vs Target Pi'!$A:$V,22,false)," $","")," €",""), "")
)</f>
        <v>357.14</v>
      </c>
      <c r="AJ14" s="17">
        <f t="shared" si="12"/>
        <v>1.12000896</v>
      </c>
      <c r="AK14" s="1">
        <f t="shared" ref="AK14:AL14" si="41">sum(Y14,AB14,AE14,AH14)</f>
        <v>715</v>
      </c>
      <c r="AL14" s="1">
        <f t="shared" si="41"/>
        <v>1071.42</v>
      </c>
      <c r="AM14" s="17">
        <f t="shared" si="14"/>
        <v>0.667338672</v>
      </c>
      <c r="AN14" s="1">
        <f>value(IFERROR(SUBSTITUTE(SUBSTITUTE(VLOOKUP($A14,'Quarterly Pipeline vs Target Pi'!$A:$AP,26,false)," $","")," €",""), "")
)</f>
        <v>780</v>
      </c>
      <c r="AO14" s="1">
        <f>value(IFERROR(SUBSTITUTE(SUBSTITUTE(VLOOKUP($A14,'Quarterly Pipeline vs Target Pi'!$A:$AP,27,false)," $","")," €",""), "")
)</f>
        <v>0</v>
      </c>
      <c r="AP14" s="17" t="str">
        <f t="shared" si="15"/>
        <v/>
      </c>
      <c r="AQ14" s="1">
        <f>value(IFERROR(SUBSTITUTE(SUBSTITUTE(VLOOKUP($A14,'Quarterly Pipeline vs Target Pi'!$A:$AP,31,false)," $","")," €",""), "")
)</f>
        <v>900</v>
      </c>
      <c r="AR14" s="1">
        <f>value(IFERROR(SUBSTITUTE(SUBSTITUTE(VLOOKUP($A14,'Quarterly Pipeline vs Target Pi'!$A:$AP,32,false)," $","")," €",""), "")
)</f>
        <v>0</v>
      </c>
      <c r="AS14" s="17" t="str">
        <f t="shared" si="16"/>
        <v/>
      </c>
      <c r="AT14" s="1">
        <f>value(IFERROR(SUBSTITUTE(SUBSTITUTE(VLOOKUP($A14,'Quarterly Pipeline vs Target Pi'!$A:$AP,36,false)," $","")," €",""), "")
)</f>
        <v>0</v>
      </c>
      <c r="AU14" s="1">
        <f>value(IFERROR(SUBSTITUTE(SUBSTITUTE(VLOOKUP($A14,'Quarterly Pipeline vs Target Pi'!$A:$AP,37,false)," $","")," €",""), "")
)</f>
        <v>0</v>
      </c>
      <c r="AV14" s="17" t="str">
        <f t="shared" si="17"/>
        <v/>
      </c>
      <c r="AW14" s="1">
        <f>value(IFERROR(SUBSTITUTE(SUBSTITUTE(VLOOKUP($A14,'Quarterly Pipeline vs Target Pi'!$A:$AP,41,false)," $","")," €",""), "")
)</f>
        <v>0</v>
      </c>
      <c r="AX14" s="1">
        <f>value(IFERROR(SUBSTITUTE(SUBSTITUTE(VLOOKUP($A14,'Quarterly Pipeline vs Target Pi'!$A:$AP,42,false)," $","")," €",""), "")
)</f>
        <v>0</v>
      </c>
      <c r="AY14" s="17" t="str">
        <f t="shared" si="18"/>
        <v/>
      </c>
      <c r="AZ14" s="1">
        <f t="shared" ref="AZ14:BA14" si="42">sum(AN14,AQ14,AT14,AW14)</f>
        <v>1680</v>
      </c>
      <c r="BA14" s="1">
        <f t="shared" si="42"/>
        <v>0</v>
      </c>
      <c r="BB14" s="17" t="str">
        <f t="shared" si="20"/>
        <v/>
      </c>
    </row>
    <row r="15">
      <c r="A15" s="1" t="str">
        <f>IFERROR(__xludf.DUMMYFUNCTION("""COMPUTED_VALUE"""),"63ced84dc5c820531c2696bc")</f>
        <v>63ced84dc5c820531c2696bc</v>
      </c>
      <c r="B15" s="1" t="str">
        <f>IFERROR(__xludf.DUMMYFUNCTION("""COMPUTED_VALUE"""),"ADVANCE 2000, Inc.")</f>
        <v>ADVANCE 2000, Inc.</v>
      </c>
      <c r="C15" s="1" t="str">
        <f>IFERROR(__xludf.DUMMYFUNCTION("""COMPUTED_VALUE"""),"brendan.flaherty@al-enterprise.com, michael-j.francis@al-enterprise.com, Steve.roos@al-enterprise.com")</f>
        <v>brendan.flaherty@al-enterprise.com, michael-j.francis@al-enterprise.com, Steve.roos@al-enterprise.com</v>
      </c>
      <c r="D15" s="1" t="str">
        <f>IFERROR(__xludf.DUMMYFUNCTION("""COMPUTED_VALUE"""),"americas")</f>
        <v>americas</v>
      </c>
      <c r="E15" s="1" t="str">
        <f>IFERROR(__xludf.DUMMYFUNCTION("""COMPUTED_VALUE"""),"US")</f>
        <v>US</v>
      </c>
      <c r="F15" s="1" t="str">
        <f>IFERROR(__xludf.DUMMYFUNCTION("""COMPUTED_VALUE"""),"expert_200")</f>
        <v>expert_200</v>
      </c>
      <c r="G15" s="1">
        <f>iferror(VLOOKUP(A15,'Business Plan Setup and Accepta'!A:G,6,false),"")</f>
        <v>0</v>
      </c>
      <c r="H15" s="1">
        <f>iferror(VLOOKUP(A15,'Business Plan Setup and Accepta'!A:G,7,false),"")</f>
        <v>1</v>
      </c>
      <c r="I15" s="17">
        <f t="shared" si="3"/>
        <v>0</v>
      </c>
      <c r="J15" s="1">
        <f>IFERROR(VALUE(SUBSTITUTE(VLOOKUP(A15,'Sales IN Revenues vs Sales targ'!A:G,6,false)," $","")), "")
</f>
        <v>270.47</v>
      </c>
      <c r="K15" s="1">
        <f>IFERROR(VALUE(SUBSTITUTE(VLOOKUP(A15,'Sales IN Revenues vs Sales targ'!A:G,7,false)," $","")), "")
</f>
        <v>897.99</v>
      </c>
      <c r="L15" s="17">
        <f t="shared" si="4"/>
        <v>0.3011948908</v>
      </c>
      <c r="M15" s="1">
        <f>value(SUBSTITUTE(IFERROR(VLOOKUP(A15,'Certifications achievements vs '!A:G,6,false),""),"#","")
)</f>
        <v>20</v>
      </c>
      <c r="N15" s="1">
        <f>value(SUBSTITUTE(IFERROR(VLOOKUP(A15,'Certifications achievements vs '!A:G,7,false),""),"#","")
)</f>
        <v>0</v>
      </c>
      <c r="O15" s="17" t="str">
        <f t="shared" si="5"/>
        <v/>
      </c>
      <c r="P15" s="1">
        <f>value(SUBSTITUTE(IFERROR(VLOOKUP(A15,'Communications - Solution Speci'!A:G,6,false),""),"#","")
)</f>
        <v>0</v>
      </c>
      <c r="Q15" s="1">
        <f>value(SUBSTITUTE(IFERROR(VLOOKUP(A15,'Communications - Solution Speci'!A:G,7,false),""),"#","")
)</f>
        <v>1</v>
      </c>
      <c r="R15" s="17">
        <f t="shared" si="6"/>
        <v>0</v>
      </c>
      <c r="S15" s="1">
        <f>value(SUBSTITUTE(IFERROR(VLOOKUP(A15,'Networking - Solution Specializ'!A:G,6,false),""),"#","")
)</f>
        <v>0</v>
      </c>
      <c r="T15" s="1">
        <f>value(SUBSTITUTE(IFERROR(VLOOKUP(A15,'Networking - Solution Specializ'!A:G,7,false),""),"#","")
)</f>
        <v>1</v>
      </c>
      <c r="U15" s="17">
        <f t="shared" si="7"/>
        <v>0</v>
      </c>
      <c r="V15" s="1">
        <f>iferror(vlookup(A15,'Marketing Plan (extract summary'!A:G,6,false),"")</f>
        <v>0</v>
      </c>
      <c r="W15" s="1">
        <f>iferror(vlookup(A15,'Marketing Plan (extract summary'!A:G,7,false),"")</f>
        <v>1</v>
      </c>
      <c r="X15" s="17">
        <f t="shared" si="8"/>
        <v>0</v>
      </c>
      <c r="Y15" s="1">
        <f>value(IFERROR(SUBSTITUTE(SUBSTITUTE(VLOOKUP(A15,'Quarterly Pipeline vs Target Pi'!A:G,6,false)," $","")," €",""), "")
)</f>
        <v>23.32</v>
      </c>
      <c r="Z15" s="1">
        <f>value(IFERROR(SUBSTITUTE(SUBSTITUTE(VLOOKUP(A15,'Quarterly Pipeline vs Target Pi'!A:G,7,false)," $","")," €",""), "")
)</f>
        <v>0</v>
      </c>
      <c r="AA15" s="17" t="str">
        <f t="shared" si="9"/>
        <v/>
      </c>
      <c r="AB15" s="1">
        <f>value(IFERROR(SUBSTITUTE(SUBSTITUTE(VLOOKUP($A15,'Quarterly Pipeline vs Target Pi'!$A:$V,11,false)," $","")," €",""), "")
)</f>
        <v>6.87</v>
      </c>
      <c r="AC15" s="1">
        <f>value(IFERROR(SUBSTITUTE(SUBSTITUTE(VLOOKUP($A15,'Quarterly Pipeline vs Target Pi'!$A:$V,12,false)," $","")," €",""), "")
)</f>
        <v>279.68</v>
      </c>
      <c r="AD15" s="17">
        <f t="shared" si="10"/>
        <v>0.02456378719</v>
      </c>
      <c r="AE15" s="1">
        <f>value(IFERROR(SUBSTITUTE(SUBSTITUTE(VLOOKUP($A15,'Quarterly Pipeline vs Target Pi'!$A:$V,16,false)," $","")," €",""), "")
)</f>
        <v>80.05</v>
      </c>
      <c r="AF15" s="1">
        <f>value(IFERROR(SUBSTITUTE(SUBSTITUTE(VLOOKUP($A15,'Quarterly Pipeline vs Target Pi'!$A:$V,17,false)," $","")," €",""), "")
)</f>
        <v>421.86</v>
      </c>
      <c r="AG15" s="17">
        <f t="shared" si="11"/>
        <v>0.189754895</v>
      </c>
      <c r="AH15" s="1">
        <f>value(IFERROR(SUBSTITUTE(SUBSTITUTE(VLOOKUP($A15,'Quarterly Pipeline vs Target Pi'!$A:$V,21,false)," $","")," €",""), "")
)</f>
        <v>190.48</v>
      </c>
      <c r="AI15" s="1">
        <f>value(IFERROR(SUBSTITUTE(SUBSTITUTE(VLOOKUP($A15,'Quarterly Pipeline vs Target Pi'!$A:$V,22,false)," $","")," €",""), "")
)</f>
        <v>421.86</v>
      </c>
      <c r="AJ15" s="17">
        <f t="shared" si="12"/>
        <v>0.4515242023</v>
      </c>
      <c r="AK15" s="1">
        <f t="shared" ref="AK15:AL15" si="43">sum(Y15,AB15,AE15,AH15)</f>
        <v>300.72</v>
      </c>
      <c r="AL15" s="1">
        <f t="shared" si="43"/>
        <v>1123.4</v>
      </c>
      <c r="AM15" s="17">
        <f t="shared" si="14"/>
        <v>0.2676873776</v>
      </c>
      <c r="AN15" s="1">
        <f>value(IFERROR(SUBSTITUTE(SUBSTITUTE(VLOOKUP($A15,'Quarterly Pipeline vs Target Pi'!$A:$AP,26,false)," $","")," €",""), "")
)</f>
        <v>204.24</v>
      </c>
      <c r="AO15" s="1">
        <f>value(IFERROR(SUBSTITUTE(SUBSTITUTE(VLOOKUP($A15,'Quarterly Pipeline vs Target Pi'!$A:$AP,27,false)," $","")," €",""), "")
)</f>
        <v>0</v>
      </c>
      <c r="AP15" s="17" t="str">
        <f t="shared" si="15"/>
        <v/>
      </c>
      <c r="AQ15" s="1">
        <f>value(IFERROR(SUBSTITUTE(SUBSTITUTE(VLOOKUP($A15,'Quarterly Pipeline vs Target Pi'!$A:$AP,31,false)," $","")," €",""), "")
)</f>
        <v>280</v>
      </c>
      <c r="AR15" s="1">
        <f>value(IFERROR(SUBSTITUTE(SUBSTITUTE(VLOOKUP($A15,'Quarterly Pipeline vs Target Pi'!$A:$AP,32,false)," $","")," €",""), "")
)</f>
        <v>0</v>
      </c>
      <c r="AS15" s="17" t="str">
        <f t="shared" si="16"/>
        <v/>
      </c>
      <c r="AT15" s="1">
        <f>value(IFERROR(SUBSTITUTE(SUBSTITUTE(VLOOKUP($A15,'Quarterly Pipeline vs Target Pi'!$A:$AP,36,false)," $","")," €",""), "")
)</f>
        <v>4.51</v>
      </c>
      <c r="AU15" s="1">
        <f>value(IFERROR(SUBSTITUTE(SUBSTITUTE(VLOOKUP($A15,'Quarterly Pipeline vs Target Pi'!$A:$AP,37,false)," $","")," €",""), "")
)</f>
        <v>0</v>
      </c>
      <c r="AV15" s="17" t="str">
        <f t="shared" si="17"/>
        <v/>
      </c>
      <c r="AW15" s="1">
        <f>value(IFERROR(SUBSTITUTE(SUBSTITUTE(VLOOKUP($A15,'Quarterly Pipeline vs Target Pi'!$A:$AP,41,false)," $","")," €",""), "")
)</f>
        <v>0</v>
      </c>
      <c r="AX15" s="1">
        <f>value(IFERROR(SUBSTITUTE(SUBSTITUTE(VLOOKUP($A15,'Quarterly Pipeline vs Target Pi'!$A:$AP,42,false)," $","")," €",""), "")
)</f>
        <v>0</v>
      </c>
      <c r="AY15" s="17" t="str">
        <f t="shared" si="18"/>
        <v/>
      </c>
      <c r="AZ15" s="1">
        <f t="shared" ref="AZ15:BA15" si="44">sum(AN15,AQ15,AT15,AW15)</f>
        <v>488.75</v>
      </c>
      <c r="BA15" s="1">
        <f t="shared" si="44"/>
        <v>0</v>
      </c>
      <c r="BB15" s="17" t="str">
        <f t="shared" si="20"/>
        <v/>
      </c>
    </row>
    <row r="16">
      <c r="A16" s="1" t="str">
        <f>IFERROR(__xludf.DUMMYFUNCTION("""COMPUTED_VALUE"""),"63ced84ec5c820531c2699e6")</f>
        <v>63ced84ec5c820531c2699e6</v>
      </c>
      <c r="B16" s="1" t="str">
        <f>IFERROR(__xludf.DUMMYFUNCTION("""COMPUTED_VALUE"""),"Advance Technologies Group")</f>
        <v>Advance Technologies Group</v>
      </c>
      <c r="C16" s="1" t="str">
        <f>IFERROR(__xludf.DUMMYFUNCTION("""COMPUTED_VALUE"""),"brendan.flaherty@al-enterprise.com")</f>
        <v>brendan.flaherty@al-enterprise.com</v>
      </c>
      <c r="D16" s="1" t="str">
        <f>IFERROR(__xludf.DUMMYFUNCTION("""COMPUTED_VALUE"""),"americas")</f>
        <v>americas</v>
      </c>
      <c r="E16" s="1" t="str">
        <f>IFERROR(__xludf.DUMMYFUNCTION("""COMPUTED_VALUE"""),"US")</f>
        <v>US</v>
      </c>
      <c r="F16" s="1"/>
      <c r="G16" s="1" t="str">
        <f>iferror(VLOOKUP(A16,'Business Plan Setup and Accepta'!A:G,6,false),"")</f>
        <v/>
      </c>
      <c r="H16" s="1" t="str">
        <f>iferror(VLOOKUP(A16,'Business Plan Setup and Accepta'!A:G,7,false),"")</f>
        <v/>
      </c>
      <c r="I16" s="17" t="str">
        <f t="shared" si="3"/>
        <v/>
      </c>
      <c r="J16" s="1" t="str">
        <f>IFERROR(VALUE(SUBSTITUTE(VLOOKUP(A16,'Sales IN Revenues vs Sales targ'!A:G,6,false)," $","")), "")
</f>
        <v/>
      </c>
      <c r="K16" s="1" t="str">
        <f>IFERROR(VALUE(SUBSTITUTE(VLOOKUP(A16,'Sales IN Revenues vs Sales targ'!A:G,7,false)," $","")), "")
</f>
        <v/>
      </c>
      <c r="L16" s="17" t="str">
        <f t="shared" si="4"/>
        <v/>
      </c>
      <c r="M16" s="1">
        <f>value(SUBSTITUTE(IFERROR(VLOOKUP(A16,'Certifications achievements vs '!A:G,6,false),""),"#","")
)</f>
        <v>0</v>
      </c>
      <c r="N16" s="1">
        <f>value(SUBSTITUTE(IFERROR(VLOOKUP(A16,'Certifications achievements vs '!A:G,7,false),""),"#","")
)</f>
        <v>0</v>
      </c>
      <c r="O16" s="17" t="str">
        <f t="shared" si="5"/>
        <v/>
      </c>
      <c r="P16" s="1">
        <f>value(SUBSTITUTE(IFERROR(VLOOKUP(A16,'Communications - Solution Speci'!A:G,6,false),""),"#","")
)</f>
        <v>0</v>
      </c>
      <c r="Q16" s="1">
        <f>value(SUBSTITUTE(IFERROR(VLOOKUP(A16,'Communications - Solution Speci'!A:G,7,false),""),"#","")
)</f>
        <v>0</v>
      </c>
      <c r="R16" s="17" t="str">
        <f t="shared" si="6"/>
        <v/>
      </c>
      <c r="S16" s="1">
        <f>value(SUBSTITUTE(IFERROR(VLOOKUP(A16,'Networking - Solution Specializ'!A:G,6,false),""),"#","")
)</f>
        <v>0</v>
      </c>
      <c r="T16" s="1">
        <f>value(SUBSTITUTE(IFERROR(VLOOKUP(A16,'Networking - Solution Specializ'!A:G,7,false),""),"#","")
)</f>
        <v>0</v>
      </c>
      <c r="U16" s="17" t="str">
        <f t="shared" si="7"/>
        <v/>
      </c>
      <c r="V16" s="1" t="str">
        <f>iferror(vlookup(A16,'Marketing Plan (extract summary'!A:G,6,false),"")</f>
        <v/>
      </c>
      <c r="W16" s="1" t="str">
        <f>iferror(vlookup(A16,'Marketing Plan (extract summary'!A:G,7,false),"")</f>
        <v/>
      </c>
      <c r="X16" s="17" t="str">
        <f t="shared" si="8"/>
        <v/>
      </c>
      <c r="Y16" s="1">
        <f>value(IFERROR(SUBSTITUTE(SUBSTITUTE(VLOOKUP(A16,'Quarterly Pipeline vs Target Pi'!A:G,6,false)," $","")," €",""), "")
)</f>
        <v>0</v>
      </c>
      <c r="Z16" s="1">
        <f>value(IFERROR(SUBSTITUTE(SUBSTITUTE(VLOOKUP(A16,'Quarterly Pipeline vs Target Pi'!A:G,7,false)," $","")," €",""), "")
)</f>
        <v>0</v>
      </c>
      <c r="AA16" s="17" t="str">
        <f t="shared" si="9"/>
        <v/>
      </c>
      <c r="AB16" s="1">
        <f>value(IFERROR(SUBSTITUTE(SUBSTITUTE(VLOOKUP($A16,'Quarterly Pipeline vs Target Pi'!$A:$V,11,false)," $","")," €",""), "")
)</f>
        <v>0</v>
      </c>
      <c r="AC16" s="1">
        <f>value(IFERROR(SUBSTITUTE(SUBSTITUTE(VLOOKUP($A16,'Quarterly Pipeline vs Target Pi'!$A:$V,12,false)," $","")," €",""), "")
)</f>
        <v>0</v>
      </c>
      <c r="AD16" s="17" t="str">
        <f t="shared" si="10"/>
        <v/>
      </c>
      <c r="AE16" s="1">
        <f>value(IFERROR(SUBSTITUTE(SUBSTITUTE(VLOOKUP($A16,'Quarterly Pipeline vs Target Pi'!$A:$V,16,false)," $","")," €",""), "")
)</f>
        <v>0</v>
      </c>
      <c r="AF16" s="1">
        <f>value(IFERROR(SUBSTITUTE(SUBSTITUTE(VLOOKUP($A16,'Quarterly Pipeline vs Target Pi'!$A:$V,17,false)," $","")," €",""), "")
)</f>
        <v>0</v>
      </c>
      <c r="AG16" s="17" t="str">
        <f t="shared" si="11"/>
        <v/>
      </c>
      <c r="AH16" s="1">
        <f>value(IFERROR(SUBSTITUTE(SUBSTITUTE(VLOOKUP($A16,'Quarterly Pipeline vs Target Pi'!$A:$V,21,false)," $","")," €",""), "")
)</f>
        <v>0</v>
      </c>
      <c r="AI16" s="1">
        <f>value(IFERROR(SUBSTITUTE(SUBSTITUTE(VLOOKUP($A16,'Quarterly Pipeline vs Target Pi'!$A:$V,22,false)," $","")," €",""), "")
)</f>
        <v>0</v>
      </c>
      <c r="AJ16" s="17" t="str">
        <f t="shared" si="12"/>
        <v/>
      </c>
      <c r="AK16" s="1">
        <f t="shared" ref="AK16:AL16" si="45">sum(Y16,AB16,AE16,AH16)</f>
        <v>0</v>
      </c>
      <c r="AL16" s="1">
        <f t="shared" si="45"/>
        <v>0</v>
      </c>
      <c r="AM16" s="17" t="str">
        <f t="shared" si="14"/>
        <v/>
      </c>
      <c r="AN16" s="1">
        <f>value(IFERROR(SUBSTITUTE(SUBSTITUTE(VLOOKUP($A16,'Quarterly Pipeline vs Target Pi'!$A:$AP,26,false)," $","")," €",""), "")
)</f>
        <v>0</v>
      </c>
      <c r="AO16" s="1">
        <f>value(IFERROR(SUBSTITUTE(SUBSTITUTE(VLOOKUP($A16,'Quarterly Pipeline vs Target Pi'!$A:$AP,27,false)," $","")," €",""), "")
)</f>
        <v>0</v>
      </c>
      <c r="AP16" s="17" t="str">
        <f t="shared" si="15"/>
        <v/>
      </c>
      <c r="AQ16" s="1">
        <f>value(IFERROR(SUBSTITUTE(SUBSTITUTE(VLOOKUP($A16,'Quarterly Pipeline vs Target Pi'!$A:$AP,31,false)," $","")," €",""), "")
)</f>
        <v>0</v>
      </c>
      <c r="AR16" s="1">
        <f>value(IFERROR(SUBSTITUTE(SUBSTITUTE(VLOOKUP($A16,'Quarterly Pipeline vs Target Pi'!$A:$AP,32,false)," $","")," €",""), "")
)</f>
        <v>0</v>
      </c>
      <c r="AS16" s="17" t="str">
        <f t="shared" si="16"/>
        <v/>
      </c>
      <c r="AT16" s="1">
        <f>value(IFERROR(SUBSTITUTE(SUBSTITUTE(VLOOKUP($A16,'Quarterly Pipeline vs Target Pi'!$A:$AP,36,false)," $","")," €",""), "")
)</f>
        <v>0</v>
      </c>
      <c r="AU16" s="1">
        <f>value(IFERROR(SUBSTITUTE(SUBSTITUTE(VLOOKUP($A16,'Quarterly Pipeline vs Target Pi'!$A:$AP,37,false)," $","")," €",""), "")
)</f>
        <v>0</v>
      </c>
      <c r="AV16" s="17" t="str">
        <f t="shared" si="17"/>
        <v/>
      </c>
      <c r="AW16" s="1">
        <f>value(IFERROR(SUBSTITUTE(SUBSTITUTE(VLOOKUP($A16,'Quarterly Pipeline vs Target Pi'!$A:$AP,41,false)," $","")," €",""), "")
)</f>
        <v>0</v>
      </c>
      <c r="AX16" s="1">
        <f>value(IFERROR(SUBSTITUTE(SUBSTITUTE(VLOOKUP($A16,'Quarterly Pipeline vs Target Pi'!$A:$AP,42,false)," $","")," €",""), "")
)</f>
        <v>0</v>
      </c>
      <c r="AY16" s="17" t="str">
        <f t="shared" si="18"/>
        <v/>
      </c>
      <c r="AZ16" s="1">
        <f t="shared" ref="AZ16:BA16" si="46">sum(AN16,AQ16,AT16,AW16)</f>
        <v>0</v>
      </c>
      <c r="BA16" s="1">
        <f t="shared" si="46"/>
        <v>0</v>
      </c>
      <c r="BB16" s="17" t="str">
        <f t="shared" si="20"/>
        <v/>
      </c>
    </row>
    <row r="17">
      <c r="A17" s="1" t="str">
        <f>IFERROR(__xludf.DUMMYFUNCTION("""COMPUTED_VALUE"""),"6488e1ea863dcd5166276ac7")</f>
        <v>6488e1ea863dcd5166276ac7</v>
      </c>
      <c r="B17" s="1" t="str">
        <f>IFERROR(__xludf.DUMMYFUNCTION("""COMPUTED_VALUE"""),"Advance2000 Canada, Inc")</f>
        <v>Advance2000 Canada, Inc</v>
      </c>
      <c r="C17" s="1" t="str">
        <f>IFERROR(__xludf.DUMMYFUNCTION("""COMPUTED_VALUE"""),"margret.moyle@al-enterprise.com, charlotte.holtzer@al-enterprise.com")</f>
        <v>margret.moyle@al-enterprise.com, charlotte.holtzer@al-enterprise.com</v>
      </c>
      <c r="D17" s="1" t="str">
        <f>IFERROR(__xludf.DUMMYFUNCTION("""COMPUTED_VALUE"""),"americas")</f>
        <v>americas</v>
      </c>
      <c r="E17" s="1" t="str">
        <f>IFERROR(__xludf.DUMMYFUNCTION("""COMPUTED_VALUE"""),"CA")</f>
        <v>CA</v>
      </c>
      <c r="F17" s="1"/>
      <c r="G17" s="1" t="str">
        <f>iferror(VLOOKUP(A17,'Business Plan Setup and Accepta'!A:G,6,false),"")</f>
        <v/>
      </c>
      <c r="H17" s="1" t="str">
        <f>iferror(VLOOKUP(A17,'Business Plan Setup and Accepta'!A:G,7,false),"")</f>
        <v/>
      </c>
      <c r="I17" s="17" t="str">
        <f t="shared" si="3"/>
        <v/>
      </c>
      <c r="J17" s="1" t="str">
        <f>IFERROR(VALUE(SUBSTITUTE(VLOOKUP(A17,'Sales IN Revenues vs Sales targ'!A:G,6,false)," $","")), "")
</f>
        <v/>
      </c>
      <c r="K17" s="1" t="str">
        <f>IFERROR(VALUE(SUBSTITUTE(VLOOKUP(A17,'Sales IN Revenues vs Sales targ'!A:G,7,false)," $","")), "")
</f>
        <v/>
      </c>
      <c r="L17" s="17" t="str">
        <f t="shared" si="4"/>
        <v/>
      </c>
      <c r="M17" s="1">
        <f>value(SUBSTITUTE(IFERROR(VLOOKUP(A17,'Certifications achievements vs '!A:G,6,false),""),"#","")
)</f>
        <v>0</v>
      </c>
      <c r="N17" s="1">
        <f>value(SUBSTITUTE(IFERROR(VLOOKUP(A17,'Certifications achievements vs '!A:G,7,false),""),"#","")
)</f>
        <v>0</v>
      </c>
      <c r="O17" s="17" t="str">
        <f t="shared" si="5"/>
        <v/>
      </c>
      <c r="P17" s="1">
        <f>value(SUBSTITUTE(IFERROR(VLOOKUP(A17,'Communications - Solution Speci'!A:G,6,false),""),"#","")
)</f>
        <v>0</v>
      </c>
      <c r="Q17" s="1">
        <f>value(SUBSTITUTE(IFERROR(VLOOKUP(A17,'Communications - Solution Speci'!A:G,7,false),""),"#","")
)</f>
        <v>0</v>
      </c>
      <c r="R17" s="17" t="str">
        <f t="shared" si="6"/>
        <v/>
      </c>
      <c r="S17" s="1">
        <f>value(SUBSTITUTE(IFERROR(VLOOKUP(A17,'Networking - Solution Specializ'!A:G,6,false),""),"#","")
)</f>
        <v>0</v>
      </c>
      <c r="T17" s="1">
        <f>value(SUBSTITUTE(IFERROR(VLOOKUP(A17,'Networking - Solution Specializ'!A:G,7,false),""),"#","")
)</f>
        <v>0</v>
      </c>
      <c r="U17" s="17" t="str">
        <f t="shared" si="7"/>
        <v/>
      </c>
      <c r="V17" s="1" t="str">
        <f>iferror(vlookup(A17,'Marketing Plan (extract summary'!A:G,6,false),"")</f>
        <v/>
      </c>
      <c r="W17" s="1" t="str">
        <f>iferror(vlookup(A17,'Marketing Plan (extract summary'!A:G,7,false),"")</f>
        <v/>
      </c>
      <c r="X17" s="17" t="str">
        <f t="shared" si="8"/>
        <v/>
      </c>
      <c r="Y17" s="1">
        <f>value(IFERROR(SUBSTITUTE(SUBSTITUTE(VLOOKUP(A17,'Quarterly Pipeline vs Target Pi'!A:G,6,false)," $","")," €",""), "")
)</f>
        <v>0</v>
      </c>
      <c r="Z17" s="1">
        <f>value(IFERROR(SUBSTITUTE(SUBSTITUTE(VLOOKUP(A17,'Quarterly Pipeline vs Target Pi'!A:G,7,false)," $","")," €",""), "")
)</f>
        <v>0</v>
      </c>
      <c r="AA17" s="17" t="str">
        <f t="shared" si="9"/>
        <v/>
      </c>
      <c r="AB17" s="1">
        <f>value(IFERROR(SUBSTITUTE(SUBSTITUTE(VLOOKUP($A17,'Quarterly Pipeline vs Target Pi'!$A:$V,11,false)," $","")," €",""), "")
)</f>
        <v>0</v>
      </c>
      <c r="AC17" s="1">
        <f>value(IFERROR(SUBSTITUTE(SUBSTITUTE(VLOOKUP($A17,'Quarterly Pipeline vs Target Pi'!$A:$V,12,false)," $","")," €",""), "")
)</f>
        <v>0</v>
      </c>
      <c r="AD17" s="17" t="str">
        <f t="shared" si="10"/>
        <v/>
      </c>
      <c r="AE17" s="1">
        <f>value(IFERROR(SUBSTITUTE(SUBSTITUTE(VLOOKUP($A17,'Quarterly Pipeline vs Target Pi'!$A:$V,16,false)," $","")," €",""), "")
)</f>
        <v>0</v>
      </c>
      <c r="AF17" s="1">
        <f>value(IFERROR(SUBSTITUTE(SUBSTITUTE(VLOOKUP($A17,'Quarterly Pipeline vs Target Pi'!$A:$V,17,false)," $","")," €",""), "")
)</f>
        <v>0</v>
      </c>
      <c r="AG17" s="17" t="str">
        <f t="shared" si="11"/>
        <v/>
      </c>
      <c r="AH17" s="1">
        <f>value(IFERROR(SUBSTITUTE(SUBSTITUTE(VLOOKUP($A17,'Quarterly Pipeline vs Target Pi'!$A:$V,21,false)," $","")," €",""), "")
)</f>
        <v>0</v>
      </c>
      <c r="AI17" s="1">
        <f>value(IFERROR(SUBSTITUTE(SUBSTITUTE(VLOOKUP($A17,'Quarterly Pipeline vs Target Pi'!$A:$V,22,false)," $","")," €",""), "")
)</f>
        <v>0</v>
      </c>
      <c r="AJ17" s="17" t="str">
        <f t="shared" si="12"/>
        <v/>
      </c>
      <c r="AK17" s="1">
        <f t="shared" ref="AK17:AL17" si="47">sum(Y17,AB17,AE17,AH17)</f>
        <v>0</v>
      </c>
      <c r="AL17" s="1">
        <f t="shared" si="47"/>
        <v>0</v>
      </c>
      <c r="AM17" s="17" t="str">
        <f t="shared" si="14"/>
        <v/>
      </c>
      <c r="AN17" s="1">
        <f>value(IFERROR(SUBSTITUTE(SUBSTITUTE(VLOOKUP($A17,'Quarterly Pipeline vs Target Pi'!$A:$AP,26,false)," $","")," €",""), "")
)</f>
        <v>0</v>
      </c>
      <c r="AO17" s="1">
        <f>value(IFERROR(SUBSTITUTE(SUBSTITUTE(VLOOKUP($A17,'Quarterly Pipeline vs Target Pi'!$A:$AP,27,false)," $","")," €",""), "")
)</f>
        <v>0</v>
      </c>
      <c r="AP17" s="17" t="str">
        <f t="shared" si="15"/>
        <v/>
      </c>
      <c r="AQ17" s="1">
        <f>value(IFERROR(SUBSTITUTE(SUBSTITUTE(VLOOKUP($A17,'Quarterly Pipeline vs Target Pi'!$A:$AP,31,false)," $","")," €",""), "")
)</f>
        <v>0</v>
      </c>
      <c r="AR17" s="1">
        <f>value(IFERROR(SUBSTITUTE(SUBSTITUTE(VLOOKUP($A17,'Quarterly Pipeline vs Target Pi'!$A:$AP,32,false)," $","")," €",""), "")
)</f>
        <v>0</v>
      </c>
      <c r="AS17" s="17" t="str">
        <f t="shared" si="16"/>
        <v/>
      </c>
      <c r="AT17" s="1">
        <f>value(IFERROR(SUBSTITUTE(SUBSTITUTE(VLOOKUP($A17,'Quarterly Pipeline vs Target Pi'!$A:$AP,36,false)," $","")," €",""), "")
)</f>
        <v>0</v>
      </c>
      <c r="AU17" s="1">
        <f>value(IFERROR(SUBSTITUTE(SUBSTITUTE(VLOOKUP($A17,'Quarterly Pipeline vs Target Pi'!$A:$AP,37,false)," $","")," €",""), "")
)</f>
        <v>0</v>
      </c>
      <c r="AV17" s="17" t="str">
        <f t="shared" si="17"/>
        <v/>
      </c>
      <c r="AW17" s="1">
        <f>value(IFERROR(SUBSTITUTE(SUBSTITUTE(VLOOKUP($A17,'Quarterly Pipeline vs Target Pi'!$A:$AP,41,false)," $","")," €",""), "")
)</f>
        <v>0</v>
      </c>
      <c r="AX17" s="1">
        <f>value(IFERROR(SUBSTITUTE(SUBSTITUTE(VLOOKUP($A17,'Quarterly Pipeline vs Target Pi'!$A:$AP,42,false)," $","")," €",""), "")
)</f>
        <v>0</v>
      </c>
      <c r="AY17" s="17" t="str">
        <f t="shared" si="18"/>
        <v/>
      </c>
      <c r="AZ17" s="1">
        <f t="shared" ref="AZ17:BA17" si="48">sum(AN17,AQ17,AT17,AW17)</f>
        <v>0</v>
      </c>
      <c r="BA17" s="1">
        <f t="shared" si="48"/>
        <v>0</v>
      </c>
      <c r="BB17" s="17" t="str">
        <f t="shared" si="20"/>
        <v/>
      </c>
    </row>
    <row r="18">
      <c r="A18" s="1" t="str">
        <f>IFERROR(__xludf.DUMMYFUNCTION("""COMPUTED_VALUE"""),"63fcbb82a107c871cf564f91")</f>
        <v>63fcbb82a107c871cf564f91</v>
      </c>
      <c r="B18" s="1" t="str">
        <f>IFERROR(__xludf.DUMMYFUNCTION("""COMPUTED_VALUE"""),"Advanced Computer Concepts")</f>
        <v>Advanced Computer Concepts</v>
      </c>
      <c r="C18" s="1" t="str">
        <f>IFERROR(__xludf.DUMMYFUNCTION("""COMPUTED_VALUE"""),"skleinpe@al-enterprise.com")</f>
        <v>skleinpe@al-enterprise.com</v>
      </c>
      <c r="D18" s="1" t="str">
        <f>IFERROR(__xludf.DUMMYFUNCTION("""COMPUTED_VALUE"""),"americas")</f>
        <v>americas</v>
      </c>
      <c r="E18" s="1" t="str">
        <f>IFERROR(__xludf.DUMMYFUNCTION("""COMPUTED_VALUE"""),"US")</f>
        <v>US</v>
      </c>
      <c r="F18" s="1"/>
      <c r="G18" s="1" t="str">
        <f>iferror(VLOOKUP(A18,'Business Plan Setup and Accepta'!A:G,6,false),"")</f>
        <v/>
      </c>
      <c r="H18" s="1" t="str">
        <f>iferror(VLOOKUP(A18,'Business Plan Setup and Accepta'!A:G,7,false),"")</f>
        <v/>
      </c>
      <c r="I18" s="17" t="str">
        <f t="shared" si="3"/>
        <v/>
      </c>
      <c r="J18" s="1" t="str">
        <f>IFERROR(VALUE(SUBSTITUTE(VLOOKUP(A18,'Sales IN Revenues vs Sales targ'!A:G,6,false)," $","")), "")
</f>
        <v/>
      </c>
      <c r="K18" s="1" t="str">
        <f>IFERROR(VALUE(SUBSTITUTE(VLOOKUP(A18,'Sales IN Revenues vs Sales targ'!A:G,7,false)," $","")), "")
</f>
        <v/>
      </c>
      <c r="L18" s="17" t="str">
        <f t="shared" si="4"/>
        <v/>
      </c>
      <c r="M18" s="1">
        <f>value(SUBSTITUTE(IFERROR(VLOOKUP(A18,'Certifications achievements vs '!A:G,6,false),""),"#","")
)</f>
        <v>0</v>
      </c>
      <c r="N18" s="1">
        <f>value(SUBSTITUTE(IFERROR(VLOOKUP(A18,'Certifications achievements vs '!A:G,7,false),""),"#","")
)</f>
        <v>0</v>
      </c>
      <c r="O18" s="17" t="str">
        <f t="shared" si="5"/>
        <v/>
      </c>
      <c r="P18" s="1">
        <f>value(SUBSTITUTE(IFERROR(VLOOKUP(A18,'Communications - Solution Speci'!A:G,6,false),""),"#","")
)</f>
        <v>0</v>
      </c>
      <c r="Q18" s="1">
        <f>value(SUBSTITUTE(IFERROR(VLOOKUP(A18,'Communications - Solution Speci'!A:G,7,false),""),"#","")
)</f>
        <v>0</v>
      </c>
      <c r="R18" s="17" t="str">
        <f t="shared" si="6"/>
        <v/>
      </c>
      <c r="S18" s="1">
        <f>value(SUBSTITUTE(IFERROR(VLOOKUP(A18,'Networking - Solution Specializ'!A:G,6,false),""),"#","")
)</f>
        <v>0</v>
      </c>
      <c r="T18" s="1">
        <f>value(SUBSTITUTE(IFERROR(VLOOKUP(A18,'Networking - Solution Specializ'!A:G,7,false),""),"#","")
)</f>
        <v>0</v>
      </c>
      <c r="U18" s="17" t="str">
        <f t="shared" si="7"/>
        <v/>
      </c>
      <c r="V18" s="1" t="str">
        <f>iferror(vlookup(A18,'Marketing Plan (extract summary'!A:G,6,false),"")</f>
        <v/>
      </c>
      <c r="W18" s="1" t="str">
        <f>iferror(vlookup(A18,'Marketing Plan (extract summary'!A:G,7,false),"")</f>
        <v/>
      </c>
      <c r="X18" s="17" t="str">
        <f t="shared" si="8"/>
        <v/>
      </c>
      <c r="Y18" s="1">
        <f>value(IFERROR(SUBSTITUTE(SUBSTITUTE(VLOOKUP(A18,'Quarterly Pipeline vs Target Pi'!A:G,6,false)," $","")," €",""), "")
)</f>
        <v>0</v>
      </c>
      <c r="Z18" s="1">
        <f>value(IFERROR(SUBSTITUTE(SUBSTITUTE(VLOOKUP(A18,'Quarterly Pipeline vs Target Pi'!A:G,7,false)," $","")," €",""), "")
)</f>
        <v>0</v>
      </c>
      <c r="AA18" s="17" t="str">
        <f t="shared" si="9"/>
        <v/>
      </c>
      <c r="AB18" s="1">
        <f>value(IFERROR(SUBSTITUTE(SUBSTITUTE(VLOOKUP($A18,'Quarterly Pipeline vs Target Pi'!$A:$V,11,false)," $","")," €",""), "")
)</f>
        <v>0</v>
      </c>
      <c r="AC18" s="1">
        <f>value(IFERROR(SUBSTITUTE(SUBSTITUTE(VLOOKUP($A18,'Quarterly Pipeline vs Target Pi'!$A:$V,12,false)," $","")," €",""), "")
)</f>
        <v>0</v>
      </c>
      <c r="AD18" s="17" t="str">
        <f t="shared" si="10"/>
        <v/>
      </c>
      <c r="AE18" s="1">
        <f>value(IFERROR(SUBSTITUTE(SUBSTITUTE(VLOOKUP($A18,'Quarterly Pipeline vs Target Pi'!$A:$V,16,false)," $","")," €",""), "")
)</f>
        <v>0</v>
      </c>
      <c r="AF18" s="1">
        <f>value(IFERROR(SUBSTITUTE(SUBSTITUTE(VLOOKUP($A18,'Quarterly Pipeline vs Target Pi'!$A:$V,17,false)," $","")," €",""), "")
)</f>
        <v>0</v>
      </c>
      <c r="AG18" s="17" t="str">
        <f t="shared" si="11"/>
        <v/>
      </c>
      <c r="AH18" s="1">
        <f>value(IFERROR(SUBSTITUTE(SUBSTITUTE(VLOOKUP($A18,'Quarterly Pipeline vs Target Pi'!$A:$V,21,false)," $","")," €",""), "")
)</f>
        <v>0</v>
      </c>
      <c r="AI18" s="1">
        <f>value(IFERROR(SUBSTITUTE(SUBSTITUTE(VLOOKUP($A18,'Quarterly Pipeline vs Target Pi'!$A:$V,22,false)," $","")," €",""), "")
)</f>
        <v>0</v>
      </c>
      <c r="AJ18" s="17" t="str">
        <f t="shared" si="12"/>
        <v/>
      </c>
      <c r="AK18" s="1">
        <f t="shared" ref="AK18:AL18" si="49">sum(Y18,AB18,AE18,AH18)</f>
        <v>0</v>
      </c>
      <c r="AL18" s="1">
        <f t="shared" si="49"/>
        <v>0</v>
      </c>
      <c r="AM18" s="17" t="str">
        <f t="shared" si="14"/>
        <v/>
      </c>
      <c r="AN18" s="1">
        <f>value(IFERROR(SUBSTITUTE(SUBSTITUTE(VLOOKUP($A18,'Quarterly Pipeline vs Target Pi'!$A:$AP,26,false)," $","")," €",""), "")
)</f>
        <v>0</v>
      </c>
      <c r="AO18" s="1">
        <f>value(IFERROR(SUBSTITUTE(SUBSTITUTE(VLOOKUP($A18,'Quarterly Pipeline vs Target Pi'!$A:$AP,27,false)," $","")," €",""), "")
)</f>
        <v>0</v>
      </c>
      <c r="AP18" s="17" t="str">
        <f t="shared" si="15"/>
        <v/>
      </c>
      <c r="AQ18" s="1">
        <f>value(IFERROR(SUBSTITUTE(SUBSTITUTE(VLOOKUP($A18,'Quarterly Pipeline vs Target Pi'!$A:$AP,31,false)," $","")," €",""), "")
)</f>
        <v>0</v>
      </c>
      <c r="AR18" s="1">
        <f>value(IFERROR(SUBSTITUTE(SUBSTITUTE(VLOOKUP($A18,'Quarterly Pipeline vs Target Pi'!$A:$AP,32,false)," $","")," €",""), "")
)</f>
        <v>0</v>
      </c>
      <c r="AS18" s="17" t="str">
        <f t="shared" si="16"/>
        <v/>
      </c>
      <c r="AT18" s="1">
        <f>value(IFERROR(SUBSTITUTE(SUBSTITUTE(VLOOKUP($A18,'Quarterly Pipeline vs Target Pi'!$A:$AP,36,false)," $","")," €",""), "")
)</f>
        <v>0</v>
      </c>
      <c r="AU18" s="1">
        <f>value(IFERROR(SUBSTITUTE(SUBSTITUTE(VLOOKUP($A18,'Quarterly Pipeline vs Target Pi'!$A:$AP,37,false)," $","")," €",""), "")
)</f>
        <v>0</v>
      </c>
      <c r="AV18" s="17" t="str">
        <f t="shared" si="17"/>
        <v/>
      </c>
      <c r="AW18" s="1">
        <f>value(IFERROR(SUBSTITUTE(SUBSTITUTE(VLOOKUP($A18,'Quarterly Pipeline vs Target Pi'!$A:$AP,41,false)," $","")," €",""), "")
)</f>
        <v>0</v>
      </c>
      <c r="AX18" s="1">
        <f>value(IFERROR(SUBSTITUTE(SUBSTITUTE(VLOOKUP($A18,'Quarterly Pipeline vs Target Pi'!$A:$AP,42,false)," $","")," €",""), "")
)</f>
        <v>0</v>
      </c>
      <c r="AY18" s="17" t="str">
        <f t="shared" si="18"/>
        <v/>
      </c>
      <c r="AZ18" s="1">
        <f t="shared" ref="AZ18:BA18" si="50">sum(AN18,AQ18,AT18,AW18)</f>
        <v>0</v>
      </c>
      <c r="BA18" s="1">
        <f t="shared" si="50"/>
        <v>0</v>
      </c>
      <c r="BB18" s="17" t="str">
        <f t="shared" si="20"/>
        <v/>
      </c>
    </row>
    <row r="19">
      <c r="A19" s="1" t="str">
        <f>IFERROR(__xludf.DUMMYFUNCTION("""COMPUTED_VALUE"""),"67eff15de0c0fe4c300b74f2")</f>
        <v>67eff15de0c0fe4c300b74f2</v>
      </c>
      <c r="B19" s="1" t="str">
        <f>IFERROR(__xludf.DUMMYFUNCTION("""COMPUTED_VALUE"""),"AGORA SOLUCOES EM TECNOLOGIA DA INFORMACAO E COMUNICACAO S.A(DF)")</f>
        <v>AGORA SOLUCOES EM TECNOLOGIA DA INFORMACAO E COMUNICACAO S.A(DF)</v>
      </c>
      <c r="C19" s="1" t="str">
        <f>IFERROR(__xludf.DUMMYFUNCTION("""COMPUTED_VALUE"""),"gabriel.pires@al-enterprise.com")</f>
        <v>gabriel.pires@al-enterprise.com</v>
      </c>
      <c r="D19" s="1" t="str">
        <f>IFERROR(__xludf.DUMMYFUNCTION("""COMPUTED_VALUE"""),"americas")</f>
        <v>americas</v>
      </c>
      <c r="E19" s="1" t="str">
        <f>IFERROR(__xludf.DUMMYFUNCTION("""COMPUTED_VALUE"""),"BR")</f>
        <v>BR</v>
      </c>
      <c r="F19" s="1" t="str">
        <f>IFERROR(__xludf.DUMMYFUNCTION("""COMPUTED_VALUE"""),"distributor_1000")</f>
        <v>distributor_1000</v>
      </c>
      <c r="G19" s="1">
        <f>iferror(VLOOKUP(A19,'Business Plan Setup and Accepta'!A:G,6,false),"")</f>
        <v>1</v>
      </c>
      <c r="H19" s="1">
        <f>iferror(VLOOKUP(A19,'Business Plan Setup and Accepta'!A:G,7,false),"")</f>
        <v>1</v>
      </c>
      <c r="I19" s="17">
        <f t="shared" si="3"/>
        <v>1</v>
      </c>
      <c r="J19" s="1">
        <f>IFERROR(VALUE(SUBSTITUTE(VLOOKUP(A19,'Sales IN Revenues vs Sales targ'!A:G,6,false)," $","")), "")
</f>
        <v>0</v>
      </c>
      <c r="K19" s="1">
        <f>IFERROR(VALUE(SUBSTITUTE(VLOOKUP(A19,'Sales IN Revenues vs Sales targ'!A:G,7,false)," $","")), "")
</f>
        <v>2399.98</v>
      </c>
      <c r="L19" s="17">
        <f t="shared" si="4"/>
        <v>0</v>
      </c>
      <c r="M19" s="1">
        <f>value(SUBSTITUTE(IFERROR(VLOOKUP(A19,'Certifications achievements vs '!A:G,6,false),""),"#","")
)</f>
        <v>0</v>
      </c>
      <c r="N19" s="1">
        <f>value(SUBSTITUTE(IFERROR(VLOOKUP(A19,'Certifications achievements vs '!A:G,7,false),""),"#","")
)</f>
        <v>0</v>
      </c>
      <c r="O19" s="17" t="str">
        <f t="shared" si="5"/>
        <v/>
      </c>
      <c r="P19" s="1">
        <f>value(SUBSTITUTE(IFERROR(VLOOKUP(A19,'Communications - Solution Speci'!A:G,6,false),""),"#","")
)</f>
        <v>0</v>
      </c>
      <c r="Q19" s="1">
        <f>value(SUBSTITUTE(IFERROR(VLOOKUP(A19,'Communications - Solution Speci'!A:G,7,false),""),"#","")
)</f>
        <v>1</v>
      </c>
      <c r="R19" s="17">
        <f t="shared" si="6"/>
        <v>0</v>
      </c>
      <c r="S19" s="1">
        <f>value(SUBSTITUTE(IFERROR(VLOOKUP(A19,'Networking - Solution Specializ'!A:G,6,false),""),"#","")
)</f>
        <v>0</v>
      </c>
      <c r="T19" s="1">
        <f>value(SUBSTITUTE(IFERROR(VLOOKUP(A19,'Networking - Solution Specializ'!A:G,7,false),""),"#","")
)</f>
        <v>1</v>
      </c>
      <c r="U19" s="17">
        <f t="shared" si="7"/>
        <v>0</v>
      </c>
      <c r="V19" s="1">
        <f>iferror(vlookup(A19,'Marketing Plan (extract summary'!A:G,6,false),"")</f>
        <v>1</v>
      </c>
      <c r="W19" s="1">
        <f>iferror(vlookup(A19,'Marketing Plan (extract summary'!A:G,7,false),"")</f>
        <v>1</v>
      </c>
      <c r="X19" s="17">
        <f t="shared" si="8"/>
        <v>1</v>
      </c>
      <c r="Y19" s="1">
        <f>value(IFERROR(SUBSTITUTE(SUBSTITUTE(VLOOKUP(A19,'Quarterly Pipeline vs Target Pi'!A:G,6,false)," $","")," €",""), "")
)</f>
        <v>0</v>
      </c>
      <c r="Z19" s="1">
        <f>value(IFERROR(SUBSTITUTE(SUBSTITUTE(VLOOKUP(A19,'Quarterly Pipeline vs Target Pi'!A:G,7,false)," $","")," €",""), "")
)</f>
        <v>0</v>
      </c>
      <c r="AA19" s="17" t="str">
        <f t="shared" si="9"/>
        <v/>
      </c>
      <c r="AB19" s="1">
        <f>value(IFERROR(SUBSTITUTE(SUBSTITUTE(VLOOKUP($A19,'Quarterly Pipeline vs Target Pi'!$A:$V,11,false)," $","")," €",""), "")
)</f>
        <v>440</v>
      </c>
      <c r="AC19" s="1">
        <f>value(IFERROR(SUBSTITUTE(SUBSTITUTE(VLOOKUP($A19,'Quarterly Pipeline vs Target Pi'!$A:$V,12,false)," $","")," €",""), "")
)</f>
        <v>733.31</v>
      </c>
      <c r="AD19" s="17">
        <f t="shared" si="10"/>
        <v>0.6000190915</v>
      </c>
      <c r="AE19" s="1">
        <f>value(IFERROR(SUBSTITUTE(SUBSTITUTE(VLOOKUP($A19,'Quarterly Pipeline vs Target Pi'!$A:$V,16,false)," $","")," €",""), "")
)</f>
        <v>440</v>
      </c>
      <c r="AF19" s="1">
        <f>value(IFERROR(SUBSTITUTE(SUBSTITUTE(VLOOKUP($A19,'Quarterly Pipeline vs Target Pi'!$A:$V,17,false)," $","")," €",""), "")
)</f>
        <v>2499.96</v>
      </c>
      <c r="AG19" s="17">
        <f t="shared" si="11"/>
        <v>0.176002816</v>
      </c>
      <c r="AH19" s="1">
        <f>value(IFERROR(SUBSTITUTE(SUBSTITUTE(VLOOKUP($A19,'Quarterly Pipeline vs Target Pi'!$A:$V,21,false)," $","")," €",""), "")
)</f>
        <v>1339.99</v>
      </c>
      <c r="AI19" s="1">
        <f>value(IFERROR(SUBSTITUTE(SUBSTITUTE(VLOOKUP($A19,'Quarterly Pipeline vs Target Pi'!$A:$V,22,false)," $","")," €",""), "")
)</f>
        <v>4033.28</v>
      </c>
      <c r="AJ19" s="17">
        <f t="shared" si="12"/>
        <v>0.3322333188</v>
      </c>
      <c r="AK19" s="1">
        <f t="shared" ref="AK19:AL19" si="51">sum(Y19,AB19,AE19,AH19)</f>
        <v>2219.99</v>
      </c>
      <c r="AL19" s="1">
        <f t="shared" si="51"/>
        <v>7266.55</v>
      </c>
      <c r="AM19" s="17">
        <f t="shared" si="14"/>
        <v>0.305508116</v>
      </c>
      <c r="AN19" s="1">
        <f>value(IFERROR(SUBSTITUTE(SUBSTITUTE(VLOOKUP($A19,'Quarterly Pipeline vs Target Pi'!$A:$AP,26,false)," $","")," €",""), "")
)</f>
        <v>0</v>
      </c>
      <c r="AO19" s="1">
        <f>value(IFERROR(SUBSTITUTE(SUBSTITUTE(VLOOKUP($A19,'Quarterly Pipeline vs Target Pi'!$A:$AP,27,false)," $","")," €",""), "")
)</f>
        <v>0</v>
      </c>
      <c r="AP19" s="17" t="str">
        <f t="shared" si="15"/>
        <v/>
      </c>
      <c r="AQ19" s="1">
        <f>value(IFERROR(SUBSTITUTE(SUBSTITUTE(VLOOKUP($A19,'Quarterly Pipeline vs Target Pi'!$A:$AP,31,false)," $","")," €",""), "")
)</f>
        <v>0</v>
      </c>
      <c r="AR19" s="1">
        <f>value(IFERROR(SUBSTITUTE(SUBSTITUTE(VLOOKUP($A19,'Quarterly Pipeline vs Target Pi'!$A:$AP,32,false)," $","")," €",""), "")
)</f>
        <v>0</v>
      </c>
      <c r="AS19" s="17" t="str">
        <f t="shared" si="16"/>
        <v/>
      </c>
      <c r="AT19" s="1">
        <f>value(IFERROR(SUBSTITUTE(SUBSTITUTE(VLOOKUP($A19,'Quarterly Pipeline vs Target Pi'!$A:$AP,36,false)," $","")," €",""), "")
)</f>
        <v>0</v>
      </c>
      <c r="AU19" s="1">
        <f>value(IFERROR(SUBSTITUTE(SUBSTITUTE(VLOOKUP($A19,'Quarterly Pipeline vs Target Pi'!$A:$AP,37,false)," $","")," €",""), "")
)</f>
        <v>0</v>
      </c>
      <c r="AV19" s="17" t="str">
        <f t="shared" si="17"/>
        <v/>
      </c>
      <c r="AW19" s="1">
        <f>value(IFERROR(SUBSTITUTE(SUBSTITUTE(VLOOKUP($A19,'Quarterly Pipeline vs Target Pi'!$A:$AP,41,false)," $","")," €",""), "")
)</f>
        <v>0</v>
      </c>
      <c r="AX19" s="1">
        <f>value(IFERROR(SUBSTITUTE(SUBSTITUTE(VLOOKUP($A19,'Quarterly Pipeline vs Target Pi'!$A:$AP,42,false)," $","")," €",""), "")
)</f>
        <v>0</v>
      </c>
      <c r="AY19" s="17" t="str">
        <f t="shared" si="18"/>
        <v/>
      </c>
      <c r="AZ19" s="1">
        <f t="shared" ref="AZ19:BA19" si="52">sum(AN19,AQ19,AT19,AW19)</f>
        <v>0</v>
      </c>
      <c r="BA19" s="1">
        <f t="shared" si="52"/>
        <v>0</v>
      </c>
      <c r="BB19" s="17" t="str">
        <f t="shared" si="20"/>
        <v/>
      </c>
    </row>
    <row r="20">
      <c r="A20" s="1" t="str">
        <f>IFERROR(__xludf.DUMMYFUNCTION("""COMPUTED_VALUE"""),"63ced845c5c820531c268663")</f>
        <v>63ced845c5c820531c268663</v>
      </c>
      <c r="B20" s="1" t="str">
        <f>IFERROR(__xludf.DUMMYFUNCTION("""COMPUTED_VALUE"""),"ALBETA GmbH")</f>
        <v>ALBETA GmbH</v>
      </c>
      <c r="C20" s="1" t="str">
        <f>IFERROR(__xludf.DUMMYFUNCTION("""COMPUTED_VALUE"""),"katrin.pfeiffer@al-enterprise.com, krystian.sokalski@al-enterprise.com, alena.charnaokaya@al-enterprise.com, sibylle.klopfer@al-enterprise.com, igor.leko@al-enterprise.com")</f>
        <v>katrin.pfeiffer@al-enterprise.com, krystian.sokalski@al-enterprise.com, alena.charnaokaya@al-enterprise.com, sibylle.klopfer@al-enterprise.com, igor.leko@al-enterprise.com</v>
      </c>
      <c r="D20" s="1" t="str">
        <f>IFERROR(__xludf.DUMMYFUNCTION("""COMPUTED_VALUE"""),"germany")</f>
        <v>germany</v>
      </c>
      <c r="E20" s="1" t="str">
        <f>IFERROR(__xludf.DUMMYFUNCTION("""COMPUTED_VALUE"""),"DE")</f>
        <v>DE</v>
      </c>
      <c r="F20" s="1" t="str">
        <f>IFERROR(__xludf.DUMMYFUNCTION("""COMPUTED_VALUE"""),"expert_1000")</f>
        <v>expert_1000</v>
      </c>
      <c r="G20" s="1">
        <f>iferror(VLOOKUP(A20,'Business Plan Setup and Accepta'!A:G,6,false),"")</f>
        <v>1</v>
      </c>
      <c r="H20" s="1">
        <f>iferror(VLOOKUP(A20,'Business Plan Setup and Accepta'!A:G,7,false),"")</f>
        <v>1</v>
      </c>
      <c r="I20" s="17">
        <f t="shared" si="3"/>
        <v>1</v>
      </c>
      <c r="J20" s="1">
        <f>IFERROR(VALUE(SUBSTITUTE(VLOOKUP(A20,'Sales IN Revenues vs Sales targ'!A:G,6,false)," $","")), "")
</f>
        <v>100.36</v>
      </c>
      <c r="K20" s="1">
        <f>IFERROR(VALUE(SUBSTITUTE(VLOOKUP(A20,'Sales IN Revenues vs Sales targ'!A:G,7,false)," $","")), "")
</f>
        <v>1145.99</v>
      </c>
      <c r="L20" s="17">
        <f t="shared" si="4"/>
        <v>0.08757493521</v>
      </c>
      <c r="M20" s="1">
        <f>value(SUBSTITUTE(IFERROR(VLOOKUP(A20,'Certifications achievements vs '!A:G,6,false),""),"#","")
)</f>
        <v>29</v>
      </c>
      <c r="N20" s="1">
        <f>value(SUBSTITUTE(IFERROR(VLOOKUP(A20,'Certifications achievements vs '!A:G,7,false),""),"#","")
)</f>
        <v>52</v>
      </c>
      <c r="O20" s="17">
        <f t="shared" si="5"/>
        <v>0.5576923077</v>
      </c>
      <c r="P20" s="1">
        <f>value(SUBSTITUTE(IFERROR(VLOOKUP(A20,'Communications - Solution Speci'!A:G,6,false),""),"#","")
)</f>
        <v>1</v>
      </c>
      <c r="Q20" s="1">
        <f>value(SUBSTITUTE(IFERROR(VLOOKUP(A20,'Communications - Solution Speci'!A:G,7,false),""),"#","")
)</f>
        <v>1</v>
      </c>
      <c r="R20" s="17">
        <f t="shared" si="6"/>
        <v>1</v>
      </c>
      <c r="S20" s="1">
        <f>value(SUBSTITUTE(IFERROR(VLOOKUP(A20,'Networking - Solution Specializ'!A:G,6,false),""),"#","")
)</f>
        <v>0</v>
      </c>
      <c r="T20" s="1">
        <f>value(SUBSTITUTE(IFERROR(VLOOKUP(A20,'Networking - Solution Specializ'!A:G,7,false),""),"#","")
)</f>
        <v>1</v>
      </c>
      <c r="U20" s="17">
        <f t="shared" si="7"/>
        <v>0</v>
      </c>
      <c r="V20" s="1">
        <f>iferror(vlookup(A20,'Marketing Plan (extract summary'!A:G,6,false),"")</f>
        <v>0</v>
      </c>
      <c r="W20" s="1">
        <f>iferror(vlookup(A20,'Marketing Plan (extract summary'!A:G,7,false),"")</f>
        <v>1</v>
      </c>
      <c r="X20" s="17">
        <f t="shared" si="8"/>
        <v>0</v>
      </c>
      <c r="Y20" s="1">
        <f>value(IFERROR(SUBSTITUTE(SUBSTITUTE(VLOOKUP(A20,'Quarterly Pipeline vs Target Pi'!A:G,6,false)," $","")," €",""), "")
)</f>
        <v>5.58</v>
      </c>
      <c r="Z20" s="1">
        <f>value(IFERROR(SUBSTITUTE(SUBSTITUTE(VLOOKUP(A20,'Quarterly Pipeline vs Target Pi'!A:G,7,false)," $","")," €",""), "")
)</f>
        <v>0</v>
      </c>
      <c r="AA20" s="17" t="str">
        <f t="shared" si="9"/>
        <v/>
      </c>
      <c r="AB20" s="1">
        <f>value(IFERROR(SUBSTITUTE(SUBSTITUTE(VLOOKUP($A20,'Quarterly Pipeline vs Target Pi'!$A:$V,11,false)," $","")," €",""), "")
)</f>
        <v>2.77</v>
      </c>
      <c r="AC20" s="1">
        <f>value(IFERROR(SUBSTITUTE(SUBSTITUTE(VLOOKUP($A20,'Quarterly Pipeline vs Target Pi'!$A:$V,12,false)," $","")," €",""), "")
)</f>
        <v>177.95</v>
      </c>
      <c r="AD20" s="17">
        <f t="shared" si="10"/>
        <v>0.01556617027</v>
      </c>
      <c r="AE20" s="1">
        <f>value(IFERROR(SUBSTITUTE(SUBSTITUTE(VLOOKUP($A20,'Quarterly Pipeline vs Target Pi'!$A:$V,16,false)," $","")," €",""), "")
)</f>
        <v>527.96</v>
      </c>
      <c r="AF20" s="1">
        <f>value(IFERROR(SUBSTITUTE(SUBSTITUTE(VLOOKUP($A20,'Quarterly Pipeline vs Target Pi'!$A:$V,17,false)," $","")," €",""), "")
)</f>
        <v>376.35</v>
      </c>
      <c r="AG20" s="17">
        <f t="shared" si="11"/>
        <v>1.402843098</v>
      </c>
      <c r="AH20" s="1">
        <f>value(IFERROR(SUBSTITUTE(SUBSTITUTE(VLOOKUP($A20,'Quarterly Pipeline vs Target Pi'!$A:$V,21,false)," $","")," €",""), "")
)</f>
        <v>432.44</v>
      </c>
      <c r="AI20" s="1">
        <f>value(IFERROR(SUBSTITUTE(SUBSTITUTE(VLOOKUP($A20,'Quarterly Pipeline vs Target Pi'!$A:$V,22,false)," $","")," €",""), "")
)</f>
        <v>629.03</v>
      </c>
      <c r="AJ20" s="17">
        <f t="shared" si="12"/>
        <v>0.6874711858</v>
      </c>
      <c r="AK20" s="1">
        <f t="shared" ref="AK20:AL20" si="53">sum(Y20,AB20,AE20,AH20)</f>
        <v>968.75</v>
      </c>
      <c r="AL20" s="1">
        <f t="shared" si="53"/>
        <v>1183.33</v>
      </c>
      <c r="AM20" s="17">
        <f t="shared" si="14"/>
        <v>0.8186642779</v>
      </c>
      <c r="AN20" s="1">
        <f>value(IFERROR(SUBSTITUTE(SUBSTITUTE(VLOOKUP($A20,'Quarterly Pipeline vs Target Pi'!$A:$AP,26,false)," $","")," €",""), "")
)</f>
        <v>1.48</v>
      </c>
      <c r="AO20" s="1">
        <f>value(IFERROR(SUBSTITUTE(SUBSTITUTE(VLOOKUP($A20,'Quarterly Pipeline vs Target Pi'!$A:$AP,27,false)," $","")," €",""), "")
)</f>
        <v>0</v>
      </c>
      <c r="AP20" s="17" t="str">
        <f t="shared" si="15"/>
        <v/>
      </c>
      <c r="AQ20" s="1">
        <f>value(IFERROR(SUBSTITUTE(SUBSTITUTE(VLOOKUP($A20,'Quarterly Pipeline vs Target Pi'!$A:$AP,31,false)," $","")," €",""), "")
)</f>
        <v>59.47</v>
      </c>
      <c r="AR20" s="1">
        <f>value(IFERROR(SUBSTITUTE(SUBSTITUTE(VLOOKUP($A20,'Quarterly Pipeline vs Target Pi'!$A:$AP,32,false)," $","")," €",""), "")
)</f>
        <v>0</v>
      </c>
      <c r="AS20" s="17" t="str">
        <f t="shared" si="16"/>
        <v/>
      </c>
      <c r="AT20" s="1">
        <f>value(IFERROR(SUBSTITUTE(SUBSTITUTE(VLOOKUP($A20,'Quarterly Pipeline vs Target Pi'!$A:$AP,36,false)," $","")," €",""), "")
)</f>
        <v>0</v>
      </c>
      <c r="AU20" s="1">
        <f>value(IFERROR(SUBSTITUTE(SUBSTITUTE(VLOOKUP($A20,'Quarterly Pipeline vs Target Pi'!$A:$AP,37,false)," $","")," €",""), "")
)</f>
        <v>0</v>
      </c>
      <c r="AV20" s="17" t="str">
        <f t="shared" si="17"/>
        <v/>
      </c>
      <c r="AW20" s="1">
        <f>value(IFERROR(SUBSTITUTE(SUBSTITUTE(VLOOKUP($A20,'Quarterly Pipeline vs Target Pi'!$A:$AP,41,false)," $","")," €",""), "")
)</f>
        <v>38.12</v>
      </c>
      <c r="AX20" s="1">
        <f>value(IFERROR(SUBSTITUTE(SUBSTITUTE(VLOOKUP($A20,'Quarterly Pipeline vs Target Pi'!$A:$AP,42,false)," $","")," €",""), "")
)</f>
        <v>0</v>
      </c>
      <c r="AY20" s="17" t="str">
        <f t="shared" si="18"/>
        <v/>
      </c>
      <c r="AZ20" s="1">
        <f t="shared" ref="AZ20:BA20" si="54">sum(AN20,AQ20,AT20,AW20)</f>
        <v>99.07</v>
      </c>
      <c r="BA20" s="1">
        <f t="shared" si="54"/>
        <v>0</v>
      </c>
      <c r="BB20" s="17" t="str">
        <f t="shared" si="20"/>
        <v/>
      </c>
    </row>
    <row r="21">
      <c r="A21" s="1" t="str">
        <f>IFERROR(__xludf.DUMMYFUNCTION("""COMPUTED_VALUE"""),"63ced84ac5c820531c2690e0")</f>
        <v>63ced84ac5c820531c2690e0</v>
      </c>
      <c r="B21" s="1" t="str">
        <f>IFERROR(__xludf.DUMMYFUNCTION("""COMPUTED_VALUE"""),"Alca Enterprise, Corp.")</f>
        <v>Alca Enterprise, Corp.</v>
      </c>
      <c r="C21" s="1" t="str">
        <f>IFERROR(__xludf.DUMMYFUNCTION("""COMPUTED_VALUE"""),"jorge.silva@al-enterprise.com")</f>
        <v>jorge.silva@al-enterprise.com</v>
      </c>
      <c r="D21" s="1" t="str">
        <f>IFERROR(__xludf.DUMMYFUNCTION("""COMPUTED_VALUE"""),"americas")</f>
        <v>americas</v>
      </c>
      <c r="E21" s="1" t="str">
        <f>IFERROR(__xludf.DUMMYFUNCTION("""COMPUTED_VALUE"""),"PA")</f>
        <v>PA</v>
      </c>
      <c r="F21" s="1" t="str">
        <f>IFERROR(__xludf.DUMMYFUNCTION("""COMPUTED_VALUE"""),"distributor")</f>
        <v>distributor</v>
      </c>
      <c r="G21" s="1">
        <f>iferror(VLOOKUP(A21,'Business Plan Setup and Accepta'!A:G,6,false),"")</f>
        <v>0</v>
      </c>
      <c r="H21" s="1">
        <f>iferror(VLOOKUP(A21,'Business Plan Setup and Accepta'!A:G,7,false),"")</f>
        <v>1</v>
      </c>
      <c r="I21" s="17">
        <f t="shared" si="3"/>
        <v>0</v>
      </c>
      <c r="J21" s="1">
        <f>IFERROR(VALUE(SUBSTITUTE(VLOOKUP(A21,'Sales IN Revenues vs Sales targ'!A:G,6,false)," $","")), "")
</f>
        <v>139.59</v>
      </c>
      <c r="K21" s="1">
        <f>IFERROR(VALUE(SUBSTITUTE(VLOOKUP(A21,'Sales IN Revenues vs Sales targ'!A:G,7,false)," $","")), "")
</f>
        <v>434</v>
      </c>
      <c r="L21" s="17">
        <f t="shared" si="4"/>
        <v>0.3216359447</v>
      </c>
      <c r="M21" s="1">
        <f>value(SUBSTITUTE(IFERROR(VLOOKUP(A21,'Certifications achievements vs '!A:G,6,false),""),"#","")
)</f>
        <v>2</v>
      </c>
      <c r="N21" s="1">
        <f>value(SUBSTITUTE(IFERROR(VLOOKUP(A21,'Certifications achievements vs '!A:G,7,false),""),"#","")
)</f>
        <v>56</v>
      </c>
      <c r="O21" s="17">
        <f t="shared" si="5"/>
        <v>0.03571428571</v>
      </c>
      <c r="P21" s="1">
        <f>value(SUBSTITUTE(IFERROR(VLOOKUP(A21,'Communications - Solution Speci'!A:G,6,false),""),"#","")
)</f>
        <v>0</v>
      </c>
      <c r="Q21" s="1">
        <f>value(SUBSTITUTE(IFERROR(VLOOKUP(A21,'Communications - Solution Speci'!A:G,7,false),""),"#","")
)</f>
        <v>1</v>
      </c>
      <c r="R21" s="17">
        <f t="shared" si="6"/>
        <v>0</v>
      </c>
      <c r="S21" s="1">
        <f>value(SUBSTITUTE(IFERROR(VLOOKUP(A21,'Networking - Solution Specializ'!A:G,6,false),""),"#","")
)</f>
        <v>0</v>
      </c>
      <c r="T21" s="1">
        <f>value(SUBSTITUTE(IFERROR(VLOOKUP(A21,'Networking - Solution Specializ'!A:G,7,false),""),"#","")
)</f>
        <v>1</v>
      </c>
      <c r="U21" s="17">
        <f t="shared" si="7"/>
        <v>0</v>
      </c>
      <c r="V21" s="1">
        <f>iferror(vlookup(A21,'Marketing Plan (extract summary'!A:G,6,false),"")</f>
        <v>0</v>
      </c>
      <c r="W21" s="1">
        <f>iferror(vlookup(A21,'Marketing Plan (extract summary'!A:G,7,false),"")</f>
        <v>1</v>
      </c>
      <c r="X21" s="17">
        <f t="shared" si="8"/>
        <v>0</v>
      </c>
      <c r="Y21" s="1">
        <f>value(IFERROR(SUBSTITUTE(SUBSTITUTE(VLOOKUP(A21,'Quarterly Pipeline vs Target Pi'!A:G,6,false)," $","")," €",""), "")
)</f>
        <v>2.2</v>
      </c>
      <c r="Z21" s="1">
        <f>value(IFERROR(SUBSTITUTE(SUBSTITUTE(VLOOKUP(A21,'Quarterly Pipeline vs Target Pi'!A:G,7,false)," $","")," €",""), "")
)</f>
        <v>0</v>
      </c>
      <c r="AA21" s="17" t="str">
        <f t="shared" si="9"/>
        <v/>
      </c>
      <c r="AB21" s="1">
        <f>value(IFERROR(SUBSTITUTE(SUBSTITUTE(VLOOKUP($A21,'Quarterly Pipeline vs Target Pi'!$A:$V,11,false)," $","")," €",""), "")
)</f>
        <v>2.2</v>
      </c>
      <c r="AC21" s="1">
        <f>value(IFERROR(SUBSTITUTE(SUBSTITUTE(VLOOKUP($A21,'Quarterly Pipeline vs Target Pi'!$A:$V,12,false)," $","")," €",""), "")
)</f>
        <v>885.73</v>
      </c>
      <c r="AD21" s="17">
        <f t="shared" si="10"/>
        <v>0.0024838269</v>
      </c>
      <c r="AE21" s="1">
        <f>value(IFERROR(SUBSTITUTE(SUBSTITUTE(VLOOKUP($A21,'Quarterly Pipeline vs Target Pi'!$A:$V,16,false)," $","")," €",""), "")
)</f>
        <v>15.39</v>
      </c>
      <c r="AF21" s="1">
        <f>value(IFERROR(SUBSTITUTE(SUBSTITUTE(VLOOKUP($A21,'Quarterly Pipeline vs Target Pi'!$A:$V,17,false)," $","")," €",""), "")
)</f>
        <v>921.38</v>
      </c>
      <c r="AG21" s="17">
        <f t="shared" si="11"/>
        <v>0.01670320606</v>
      </c>
      <c r="AH21" s="1">
        <f>value(IFERROR(SUBSTITUTE(SUBSTITUTE(VLOOKUP($A21,'Quarterly Pipeline vs Target Pi'!$A:$V,21,false)," $","")," €",""), "")
)</f>
        <v>3.53</v>
      </c>
      <c r="AI21" s="1">
        <f>value(IFERROR(SUBSTITUTE(SUBSTITUTE(VLOOKUP($A21,'Quarterly Pipeline vs Target Pi'!$A:$V,22,false)," $","")," €",""), "")
)</f>
        <v>935.68</v>
      </c>
      <c r="AJ21" s="17">
        <f t="shared" si="12"/>
        <v>0.003772657319</v>
      </c>
      <c r="AK21" s="1">
        <f t="shared" ref="AK21:AL21" si="55">sum(Y21,AB21,AE21,AH21)</f>
        <v>23.32</v>
      </c>
      <c r="AL21" s="1">
        <f t="shared" si="55"/>
        <v>2742.79</v>
      </c>
      <c r="AM21" s="17">
        <f t="shared" si="14"/>
        <v>0.008502291462</v>
      </c>
      <c r="AN21" s="1">
        <f>value(IFERROR(SUBSTITUTE(SUBSTITUTE(VLOOKUP($A21,'Quarterly Pipeline vs Target Pi'!$A:$AP,26,false)," $","")," €",""), "")
)</f>
        <v>0</v>
      </c>
      <c r="AO21" s="1">
        <f>value(IFERROR(SUBSTITUTE(SUBSTITUTE(VLOOKUP($A21,'Quarterly Pipeline vs Target Pi'!$A:$AP,27,false)," $","")," €",""), "")
)</f>
        <v>0</v>
      </c>
      <c r="AP21" s="17" t="str">
        <f t="shared" si="15"/>
        <v/>
      </c>
      <c r="AQ21" s="1">
        <f>value(IFERROR(SUBSTITUTE(SUBSTITUTE(VLOOKUP($A21,'Quarterly Pipeline vs Target Pi'!$A:$AP,31,false)," $","")," €",""), "")
)</f>
        <v>0</v>
      </c>
      <c r="AR21" s="1">
        <f>value(IFERROR(SUBSTITUTE(SUBSTITUTE(VLOOKUP($A21,'Quarterly Pipeline vs Target Pi'!$A:$AP,32,false)," $","")," €",""), "")
)</f>
        <v>0</v>
      </c>
      <c r="AS21" s="17" t="str">
        <f t="shared" si="16"/>
        <v/>
      </c>
      <c r="AT21" s="1">
        <f>value(IFERROR(SUBSTITUTE(SUBSTITUTE(VLOOKUP($A21,'Quarterly Pipeline vs Target Pi'!$A:$AP,36,false)," $","")," €",""), "")
)</f>
        <v>0</v>
      </c>
      <c r="AU21" s="1">
        <f>value(IFERROR(SUBSTITUTE(SUBSTITUTE(VLOOKUP($A21,'Quarterly Pipeline vs Target Pi'!$A:$AP,37,false)," $","")," €",""), "")
)</f>
        <v>0</v>
      </c>
      <c r="AV21" s="17" t="str">
        <f t="shared" si="17"/>
        <v/>
      </c>
      <c r="AW21" s="1">
        <f>value(IFERROR(SUBSTITUTE(SUBSTITUTE(VLOOKUP($A21,'Quarterly Pipeline vs Target Pi'!$A:$AP,41,false)," $","")," €",""), "")
)</f>
        <v>0</v>
      </c>
      <c r="AX21" s="1">
        <f>value(IFERROR(SUBSTITUTE(SUBSTITUTE(VLOOKUP($A21,'Quarterly Pipeline vs Target Pi'!$A:$AP,42,false)," $","")," €",""), "")
)</f>
        <v>0</v>
      </c>
      <c r="AY21" s="17" t="str">
        <f t="shared" si="18"/>
        <v/>
      </c>
      <c r="AZ21" s="1">
        <f t="shared" ref="AZ21:BA21" si="56">sum(AN21,AQ21,AT21,AW21)</f>
        <v>0</v>
      </c>
      <c r="BA21" s="1">
        <f t="shared" si="56"/>
        <v>0</v>
      </c>
      <c r="BB21" s="17" t="str">
        <f t="shared" si="20"/>
        <v/>
      </c>
    </row>
    <row r="22">
      <c r="A22" s="1" t="str">
        <f>IFERROR(__xludf.DUMMYFUNCTION("""COMPUTED_VALUE"""),"63ced843c5c820531c268168")</f>
        <v>63ced843c5c820531c268168</v>
      </c>
      <c r="B22" s="1" t="str">
        <f>IFERROR(__xludf.DUMMYFUNCTION("""COMPUTED_VALUE"""),"ALCTEL TELECOM")</f>
        <v>ALCTEL TELECOM</v>
      </c>
      <c r="C22" s="1" t="str">
        <f>IFERROR(__xludf.DUMMYFUNCTION("""COMPUTED_VALUE"""),"renato-takashi.yoshizako@al-enterprise.com")</f>
        <v>renato-takashi.yoshizako@al-enterprise.com</v>
      </c>
      <c r="D22" s="1" t="str">
        <f>IFERROR(__xludf.DUMMYFUNCTION("""COMPUTED_VALUE"""),"americas")</f>
        <v>americas</v>
      </c>
      <c r="E22" s="1" t="str">
        <f>IFERROR(__xludf.DUMMYFUNCTION("""COMPUTED_VALUE"""),"BR")</f>
        <v>BR</v>
      </c>
      <c r="F22" s="1" t="str">
        <f>IFERROR(__xludf.DUMMYFUNCTION("""COMPUTED_VALUE"""),"expert_1000")</f>
        <v>expert_1000</v>
      </c>
      <c r="G22" s="1">
        <f>iferror(VLOOKUP(A22,'Business Plan Setup and Accepta'!A:G,6,false),"")</f>
        <v>1</v>
      </c>
      <c r="H22" s="1">
        <f>iferror(VLOOKUP(A22,'Business Plan Setup and Accepta'!A:G,7,false),"")</f>
        <v>1</v>
      </c>
      <c r="I22" s="17">
        <f t="shared" si="3"/>
        <v>1</v>
      </c>
      <c r="J22" s="1">
        <f>IFERROR(VALUE(SUBSTITUTE(VLOOKUP(A22,'Sales IN Revenues vs Sales targ'!A:G,6,false)," $","")), "")
</f>
        <v>65.65</v>
      </c>
      <c r="K22" s="1">
        <f>IFERROR(VALUE(SUBSTITUTE(VLOOKUP(A22,'Sales IN Revenues vs Sales targ'!A:G,7,false)," $","")), "")
</f>
        <v>1549.99</v>
      </c>
      <c r="L22" s="17">
        <f t="shared" si="4"/>
        <v>0.04235511197</v>
      </c>
      <c r="M22" s="1">
        <f>value(SUBSTITUTE(IFERROR(VLOOKUP(A22,'Certifications achievements vs '!A:G,6,false),""),"#","")
)</f>
        <v>48</v>
      </c>
      <c r="N22" s="1">
        <f>value(SUBSTITUTE(IFERROR(VLOOKUP(A22,'Certifications achievements vs '!A:G,7,false),""),"#","")
)</f>
        <v>40</v>
      </c>
      <c r="O22" s="17">
        <f t="shared" si="5"/>
        <v>1.2</v>
      </c>
      <c r="P22" s="1">
        <f>value(SUBSTITUTE(IFERROR(VLOOKUP(A22,'Communications - Solution Speci'!A:G,6,false),""),"#","")
)</f>
        <v>1</v>
      </c>
      <c r="Q22" s="1">
        <f>value(SUBSTITUTE(IFERROR(VLOOKUP(A22,'Communications - Solution Speci'!A:G,7,false),""),"#","")
)</f>
        <v>1</v>
      </c>
      <c r="R22" s="17">
        <f t="shared" si="6"/>
        <v>1</v>
      </c>
      <c r="S22" s="1">
        <f>value(SUBSTITUTE(IFERROR(VLOOKUP(A22,'Networking - Solution Specializ'!A:G,6,false),""),"#","")
)</f>
        <v>1</v>
      </c>
      <c r="T22" s="1">
        <f>value(SUBSTITUTE(IFERROR(VLOOKUP(A22,'Networking - Solution Specializ'!A:G,7,false),""),"#","")
)</f>
        <v>1</v>
      </c>
      <c r="U22" s="17">
        <f t="shared" si="7"/>
        <v>1</v>
      </c>
      <c r="V22" s="1">
        <f>iferror(vlookup(A22,'Marketing Plan (extract summary'!A:G,6,false),"")</f>
        <v>0</v>
      </c>
      <c r="W22" s="1">
        <f>iferror(vlookup(A22,'Marketing Plan (extract summary'!A:G,7,false),"")</f>
        <v>1</v>
      </c>
      <c r="X22" s="17">
        <f t="shared" si="8"/>
        <v>0</v>
      </c>
      <c r="Y22" s="1">
        <f>value(IFERROR(SUBSTITUTE(SUBSTITUTE(VLOOKUP(A22,'Quarterly Pipeline vs Target Pi'!A:G,6,false)," $","")," €",""), "")
)</f>
        <v>13.85</v>
      </c>
      <c r="Z22" s="1">
        <f>value(IFERROR(SUBSTITUTE(SUBSTITUTE(VLOOKUP(A22,'Quarterly Pipeline vs Target Pi'!A:G,7,false)," $","")," €",""), "")
)</f>
        <v>0</v>
      </c>
      <c r="AA22" s="17" t="str">
        <f t="shared" si="9"/>
        <v/>
      </c>
      <c r="AB22" s="1">
        <f>value(IFERROR(SUBSTITUTE(SUBSTITUTE(VLOOKUP($A22,'Quarterly Pipeline vs Target Pi'!$A:$V,11,false)," $","")," €",""), "")
)</f>
        <v>6.13</v>
      </c>
      <c r="AC22" s="1">
        <f>value(IFERROR(SUBSTITUTE(SUBSTITUTE(VLOOKUP($A22,'Quarterly Pipeline vs Target Pi'!$A:$V,12,false)," $","")," €",""), "")
)</f>
        <v>1291.67</v>
      </c>
      <c r="AD22" s="17">
        <f t="shared" si="10"/>
        <v>0.004745794204</v>
      </c>
      <c r="AE22" s="1">
        <f>value(IFERROR(SUBSTITUTE(SUBSTITUTE(VLOOKUP($A22,'Quarterly Pipeline vs Target Pi'!$A:$V,16,false)," $","")," €",""), "")
)</f>
        <v>229.14</v>
      </c>
      <c r="AF22" s="1">
        <f>value(IFERROR(SUBSTITUTE(SUBSTITUTE(VLOOKUP($A22,'Quarterly Pipeline vs Target Pi'!$A:$V,17,false)," $","")," €",""), "")
)</f>
        <v>1291.67</v>
      </c>
      <c r="AG22" s="17">
        <f t="shared" si="11"/>
        <v>0.1773982519</v>
      </c>
      <c r="AH22" s="1">
        <f>value(IFERROR(SUBSTITUTE(SUBSTITUTE(VLOOKUP($A22,'Quarterly Pipeline vs Target Pi'!$A:$V,21,false)," $","")," €",""), "")
)</f>
        <v>1124.39</v>
      </c>
      <c r="AI22" s="1">
        <f>value(IFERROR(SUBSTITUTE(SUBSTITUTE(VLOOKUP($A22,'Quarterly Pipeline vs Target Pi'!$A:$V,22,false)," $","")," €",""), "")
)</f>
        <v>1291.67</v>
      </c>
      <c r="AJ22" s="17">
        <f t="shared" si="12"/>
        <v>0.8704932374</v>
      </c>
      <c r="AK22" s="1">
        <f t="shared" ref="AK22:AL22" si="57">sum(Y22,AB22,AE22,AH22)</f>
        <v>1373.51</v>
      </c>
      <c r="AL22" s="1">
        <f t="shared" si="57"/>
        <v>3875.01</v>
      </c>
      <c r="AM22" s="17">
        <f t="shared" si="14"/>
        <v>0.3544532788</v>
      </c>
      <c r="AN22" s="1">
        <f>value(IFERROR(SUBSTITUTE(SUBSTITUTE(VLOOKUP($A22,'Quarterly Pipeline vs Target Pi'!$A:$AP,26,false)," $","")," €",""), "")
)</f>
        <v>1.47</v>
      </c>
      <c r="AO22" s="1">
        <f>value(IFERROR(SUBSTITUTE(SUBSTITUTE(VLOOKUP($A22,'Quarterly Pipeline vs Target Pi'!$A:$AP,27,false)," $","")," €",""), "")
)</f>
        <v>0</v>
      </c>
      <c r="AP22" s="17" t="str">
        <f t="shared" si="15"/>
        <v/>
      </c>
      <c r="AQ22" s="1">
        <f>value(IFERROR(SUBSTITUTE(SUBSTITUTE(VLOOKUP($A22,'Quarterly Pipeline vs Target Pi'!$A:$AP,31,false)," $","")," €",""), "")
)</f>
        <v>110</v>
      </c>
      <c r="AR22" s="1">
        <f>value(IFERROR(SUBSTITUTE(SUBSTITUTE(VLOOKUP($A22,'Quarterly Pipeline vs Target Pi'!$A:$AP,32,false)," $","")," €",""), "")
)</f>
        <v>0</v>
      </c>
      <c r="AS22" s="17" t="str">
        <f t="shared" si="16"/>
        <v/>
      </c>
      <c r="AT22" s="1">
        <f>value(IFERROR(SUBSTITUTE(SUBSTITUTE(VLOOKUP($A22,'Quarterly Pipeline vs Target Pi'!$A:$AP,36,false)," $","")," €",""), "")
)</f>
        <v>0</v>
      </c>
      <c r="AU22" s="1">
        <f>value(IFERROR(SUBSTITUTE(SUBSTITUTE(VLOOKUP($A22,'Quarterly Pipeline vs Target Pi'!$A:$AP,37,false)," $","")," €",""), "")
)</f>
        <v>0</v>
      </c>
      <c r="AV22" s="17" t="str">
        <f t="shared" si="17"/>
        <v/>
      </c>
      <c r="AW22" s="1">
        <f>value(IFERROR(SUBSTITUTE(SUBSTITUTE(VLOOKUP($A22,'Quarterly Pipeline vs Target Pi'!$A:$AP,41,false)," $","")," €",""), "")
)</f>
        <v>0</v>
      </c>
      <c r="AX22" s="1">
        <f>value(IFERROR(SUBSTITUTE(SUBSTITUTE(VLOOKUP($A22,'Quarterly Pipeline vs Target Pi'!$A:$AP,42,false)," $","")," €",""), "")
)</f>
        <v>0</v>
      </c>
      <c r="AY22" s="17" t="str">
        <f t="shared" si="18"/>
        <v/>
      </c>
      <c r="AZ22" s="1">
        <f t="shared" ref="AZ22:BA22" si="58">sum(AN22,AQ22,AT22,AW22)</f>
        <v>111.47</v>
      </c>
      <c r="BA22" s="1">
        <f t="shared" si="58"/>
        <v>0</v>
      </c>
      <c r="BB22" s="17" t="str">
        <f t="shared" si="20"/>
        <v/>
      </c>
    </row>
    <row r="23">
      <c r="A23" s="1" t="str">
        <f>IFERROR(__xludf.DUMMYFUNCTION("""COMPUTED_VALUE"""),"63ced842c5c820531c268069")</f>
        <v>63ced842c5c820531c268069</v>
      </c>
      <c r="B23" s="1" t="str">
        <f>IFERROR(__xludf.DUMMYFUNCTION("""COMPUTED_VALUE"""),"ALE Argentina S.R.L.")</f>
        <v>ALE Argentina S.R.L.</v>
      </c>
      <c r="C23" s="1" t="str">
        <f>IFERROR(__xludf.DUMMYFUNCTION("""COMPUTED_VALUE"""),"carlos.casco@al-enterprise.com")</f>
        <v>carlos.casco@al-enterprise.com</v>
      </c>
      <c r="D23" s="1" t="str">
        <f>IFERROR(__xludf.DUMMYFUNCTION("""COMPUTED_VALUE"""),"americas")</f>
        <v>americas</v>
      </c>
      <c r="E23" s="1" t="str">
        <f>IFERROR(__xludf.DUMMYFUNCTION("""COMPUTED_VALUE"""),"AR")</f>
        <v>AR</v>
      </c>
      <c r="F23" s="1"/>
      <c r="G23" s="1" t="str">
        <f>iferror(VLOOKUP(A23,'Business Plan Setup and Accepta'!A:G,6,false),"")</f>
        <v/>
      </c>
      <c r="H23" s="1" t="str">
        <f>iferror(VLOOKUP(A23,'Business Plan Setup and Accepta'!A:G,7,false),"")</f>
        <v/>
      </c>
      <c r="I23" s="17" t="str">
        <f t="shared" si="3"/>
        <v/>
      </c>
      <c r="J23" s="1" t="str">
        <f>IFERROR(VALUE(SUBSTITUTE(VLOOKUP(A23,'Sales IN Revenues vs Sales targ'!A:G,6,false)," $","")), "")
</f>
        <v/>
      </c>
      <c r="K23" s="1" t="str">
        <f>IFERROR(VALUE(SUBSTITUTE(VLOOKUP(A23,'Sales IN Revenues vs Sales targ'!A:G,7,false)," $","")), "")
</f>
        <v/>
      </c>
      <c r="L23" s="17" t="str">
        <f t="shared" si="4"/>
        <v/>
      </c>
      <c r="M23" s="1">
        <f>value(SUBSTITUTE(IFERROR(VLOOKUP(A23,'Certifications achievements vs '!A:G,6,false),""),"#","")
)</f>
        <v>0</v>
      </c>
      <c r="N23" s="1">
        <f>value(SUBSTITUTE(IFERROR(VLOOKUP(A23,'Certifications achievements vs '!A:G,7,false),""),"#","")
)</f>
        <v>0</v>
      </c>
      <c r="O23" s="17" t="str">
        <f t="shared" si="5"/>
        <v/>
      </c>
      <c r="P23" s="1">
        <f>value(SUBSTITUTE(IFERROR(VLOOKUP(A23,'Communications - Solution Speci'!A:G,6,false),""),"#","")
)</f>
        <v>0</v>
      </c>
      <c r="Q23" s="1">
        <f>value(SUBSTITUTE(IFERROR(VLOOKUP(A23,'Communications - Solution Speci'!A:G,7,false),""),"#","")
)</f>
        <v>0</v>
      </c>
      <c r="R23" s="17" t="str">
        <f t="shared" si="6"/>
        <v/>
      </c>
      <c r="S23" s="1">
        <f>value(SUBSTITUTE(IFERROR(VLOOKUP(A23,'Networking - Solution Specializ'!A:G,6,false),""),"#","")
)</f>
        <v>0</v>
      </c>
      <c r="T23" s="1">
        <f>value(SUBSTITUTE(IFERROR(VLOOKUP(A23,'Networking - Solution Specializ'!A:G,7,false),""),"#","")
)</f>
        <v>0</v>
      </c>
      <c r="U23" s="17" t="str">
        <f t="shared" si="7"/>
        <v/>
      </c>
      <c r="V23" s="1" t="str">
        <f>iferror(vlookup(A23,'Marketing Plan (extract summary'!A:G,6,false),"")</f>
        <v/>
      </c>
      <c r="W23" s="1" t="str">
        <f>iferror(vlookup(A23,'Marketing Plan (extract summary'!A:G,7,false),"")</f>
        <v/>
      </c>
      <c r="X23" s="17" t="str">
        <f t="shared" si="8"/>
        <v/>
      </c>
      <c r="Y23" s="1">
        <f>value(IFERROR(SUBSTITUTE(SUBSTITUTE(VLOOKUP(A23,'Quarterly Pipeline vs Target Pi'!A:G,6,false)," $","")," €",""), "")
)</f>
        <v>0</v>
      </c>
      <c r="Z23" s="1">
        <f>value(IFERROR(SUBSTITUTE(SUBSTITUTE(VLOOKUP(A23,'Quarterly Pipeline vs Target Pi'!A:G,7,false)," $","")," €",""), "")
)</f>
        <v>0</v>
      </c>
      <c r="AA23" s="17" t="str">
        <f t="shared" si="9"/>
        <v/>
      </c>
      <c r="AB23" s="1">
        <f>value(IFERROR(SUBSTITUTE(SUBSTITUTE(VLOOKUP($A23,'Quarterly Pipeline vs Target Pi'!$A:$V,11,false)," $","")," €",""), "")
)</f>
        <v>0</v>
      </c>
      <c r="AC23" s="1">
        <f>value(IFERROR(SUBSTITUTE(SUBSTITUTE(VLOOKUP($A23,'Quarterly Pipeline vs Target Pi'!$A:$V,12,false)," $","")," €",""), "")
)</f>
        <v>0</v>
      </c>
      <c r="AD23" s="17" t="str">
        <f t="shared" si="10"/>
        <v/>
      </c>
      <c r="AE23" s="1">
        <f>value(IFERROR(SUBSTITUTE(SUBSTITUTE(VLOOKUP($A23,'Quarterly Pipeline vs Target Pi'!$A:$V,16,false)," $","")," €",""), "")
)</f>
        <v>0</v>
      </c>
      <c r="AF23" s="1">
        <f>value(IFERROR(SUBSTITUTE(SUBSTITUTE(VLOOKUP($A23,'Quarterly Pipeline vs Target Pi'!$A:$V,17,false)," $","")," €",""), "")
)</f>
        <v>0</v>
      </c>
      <c r="AG23" s="17" t="str">
        <f t="shared" si="11"/>
        <v/>
      </c>
      <c r="AH23" s="1">
        <f>value(IFERROR(SUBSTITUTE(SUBSTITUTE(VLOOKUP($A23,'Quarterly Pipeline vs Target Pi'!$A:$V,21,false)," $","")," €",""), "")
)</f>
        <v>0</v>
      </c>
      <c r="AI23" s="1">
        <f>value(IFERROR(SUBSTITUTE(SUBSTITUTE(VLOOKUP($A23,'Quarterly Pipeline vs Target Pi'!$A:$V,22,false)," $","")," €",""), "")
)</f>
        <v>0</v>
      </c>
      <c r="AJ23" s="17" t="str">
        <f t="shared" si="12"/>
        <v/>
      </c>
      <c r="AK23" s="1">
        <f t="shared" ref="AK23:AL23" si="59">sum(Y23,AB23,AE23,AH23)</f>
        <v>0</v>
      </c>
      <c r="AL23" s="1">
        <f t="shared" si="59"/>
        <v>0</v>
      </c>
      <c r="AM23" s="17" t="str">
        <f t="shared" si="14"/>
        <v/>
      </c>
      <c r="AN23" s="1">
        <f>value(IFERROR(SUBSTITUTE(SUBSTITUTE(VLOOKUP($A23,'Quarterly Pipeline vs Target Pi'!$A:$AP,26,false)," $","")," €",""), "")
)</f>
        <v>0</v>
      </c>
      <c r="AO23" s="1">
        <f>value(IFERROR(SUBSTITUTE(SUBSTITUTE(VLOOKUP($A23,'Quarterly Pipeline vs Target Pi'!$A:$AP,27,false)," $","")," €",""), "")
)</f>
        <v>0</v>
      </c>
      <c r="AP23" s="17" t="str">
        <f t="shared" si="15"/>
        <v/>
      </c>
      <c r="AQ23" s="1">
        <f>value(IFERROR(SUBSTITUTE(SUBSTITUTE(VLOOKUP($A23,'Quarterly Pipeline vs Target Pi'!$A:$AP,31,false)," $","")," €",""), "")
)</f>
        <v>0</v>
      </c>
      <c r="AR23" s="1">
        <f>value(IFERROR(SUBSTITUTE(SUBSTITUTE(VLOOKUP($A23,'Quarterly Pipeline vs Target Pi'!$A:$AP,32,false)," $","")," €",""), "")
)</f>
        <v>0</v>
      </c>
      <c r="AS23" s="17" t="str">
        <f t="shared" si="16"/>
        <v/>
      </c>
      <c r="AT23" s="1">
        <f>value(IFERROR(SUBSTITUTE(SUBSTITUTE(VLOOKUP($A23,'Quarterly Pipeline vs Target Pi'!$A:$AP,36,false)," $","")," €",""), "")
)</f>
        <v>0</v>
      </c>
      <c r="AU23" s="1">
        <f>value(IFERROR(SUBSTITUTE(SUBSTITUTE(VLOOKUP($A23,'Quarterly Pipeline vs Target Pi'!$A:$AP,37,false)," $","")," €",""), "")
)</f>
        <v>0</v>
      </c>
      <c r="AV23" s="17" t="str">
        <f t="shared" si="17"/>
        <v/>
      </c>
      <c r="AW23" s="1">
        <f>value(IFERROR(SUBSTITUTE(SUBSTITUTE(VLOOKUP($A23,'Quarterly Pipeline vs Target Pi'!$A:$AP,41,false)," $","")," €",""), "")
)</f>
        <v>0</v>
      </c>
      <c r="AX23" s="1">
        <f>value(IFERROR(SUBSTITUTE(SUBSTITUTE(VLOOKUP($A23,'Quarterly Pipeline vs Target Pi'!$A:$AP,42,false)," $","")," €",""), "")
)</f>
        <v>0</v>
      </c>
      <c r="AY23" s="17" t="str">
        <f t="shared" si="18"/>
        <v/>
      </c>
      <c r="AZ23" s="1">
        <f t="shared" ref="AZ23:BA23" si="60">sum(AN23,AQ23,AT23,AW23)</f>
        <v>0</v>
      </c>
      <c r="BA23" s="1">
        <f t="shared" si="60"/>
        <v>0</v>
      </c>
      <c r="BB23" s="17" t="str">
        <f t="shared" si="20"/>
        <v/>
      </c>
    </row>
    <row r="24">
      <c r="A24" s="1" t="str">
        <f>IFERROR(__xludf.DUMMYFUNCTION("""COMPUTED_VALUE"""),"63ced848c5c820531c268dc5")</f>
        <v>63ced848c5c820531c268dc5</v>
      </c>
      <c r="B24" s="1" t="str">
        <f>IFERROR(__xludf.DUMMYFUNCTION("""COMPUTED_VALUE"""),"ALE PS NAR")</f>
        <v>ALE PS NAR</v>
      </c>
      <c r="C24" s="1" t="str">
        <f>IFERROR(__xludf.DUMMYFUNCTION("""COMPUTED_VALUE"""),"steve.mcglasson@al-enterprise.com")</f>
        <v>steve.mcglasson@al-enterprise.com</v>
      </c>
      <c r="D24" s="1" t="str">
        <f>IFERROR(__xludf.DUMMYFUNCTION("""COMPUTED_VALUE"""),"americas")</f>
        <v>americas</v>
      </c>
      <c r="E24" s="1" t="str">
        <f>IFERROR(__xludf.DUMMYFUNCTION("""COMPUTED_VALUE"""),"US")</f>
        <v>US</v>
      </c>
      <c r="F24" s="1"/>
      <c r="G24" s="1" t="str">
        <f>iferror(VLOOKUP(A24,'Business Plan Setup and Accepta'!A:G,6,false),"")</f>
        <v/>
      </c>
      <c r="H24" s="1" t="str">
        <f>iferror(VLOOKUP(A24,'Business Plan Setup and Accepta'!A:G,7,false),"")</f>
        <v/>
      </c>
      <c r="I24" s="17" t="str">
        <f t="shared" si="3"/>
        <v/>
      </c>
      <c r="J24" s="1" t="str">
        <f>IFERROR(VALUE(SUBSTITUTE(VLOOKUP(A24,'Sales IN Revenues vs Sales targ'!A:G,6,false)," $","")), "")
</f>
        <v/>
      </c>
      <c r="K24" s="1" t="str">
        <f>IFERROR(VALUE(SUBSTITUTE(VLOOKUP(A24,'Sales IN Revenues vs Sales targ'!A:G,7,false)," $","")), "")
</f>
        <v/>
      </c>
      <c r="L24" s="17" t="str">
        <f t="shared" si="4"/>
        <v/>
      </c>
      <c r="M24" s="1">
        <f>value(SUBSTITUTE(IFERROR(VLOOKUP(A24,'Certifications achievements vs '!A:G,6,false),""),"#","")
)</f>
        <v>0</v>
      </c>
      <c r="N24" s="1">
        <f>value(SUBSTITUTE(IFERROR(VLOOKUP(A24,'Certifications achievements vs '!A:G,7,false),""),"#","")
)</f>
        <v>0</v>
      </c>
      <c r="O24" s="17" t="str">
        <f t="shared" si="5"/>
        <v/>
      </c>
      <c r="P24" s="1">
        <f>value(SUBSTITUTE(IFERROR(VLOOKUP(A24,'Communications - Solution Speci'!A:G,6,false),""),"#","")
)</f>
        <v>0</v>
      </c>
      <c r="Q24" s="1">
        <f>value(SUBSTITUTE(IFERROR(VLOOKUP(A24,'Communications - Solution Speci'!A:G,7,false),""),"#","")
)</f>
        <v>0</v>
      </c>
      <c r="R24" s="17" t="str">
        <f t="shared" si="6"/>
        <v/>
      </c>
      <c r="S24" s="1">
        <f>value(SUBSTITUTE(IFERROR(VLOOKUP(A24,'Networking - Solution Specializ'!A:G,6,false),""),"#","")
)</f>
        <v>0</v>
      </c>
      <c r="T24" s="1">
        <f>value(SUBSTITUTE(IFERROR(VLOOKUP(A24,'Networking - Solution Specializ'!A:G,7,false),""),"#","")
)</f>
        <v>0</v>
      </c>
      <c r="U24" s="17" t="str">
        <f t="shared" si="7"/>
        <v/>
      </c>
      <c r="V24" s="1" t="str">
        <f>iferror(vlookup(A24,'Marketing Plan (extract summary'!A:G,6,false),"")</f>
        <v/>
      </c>
      <c r="W24" s="1" t="str">
        <f>iferror(vlookup(A24,'Marketing Plan (extract summary'!A:G,7,false),"")</f>
        <v/>
      </c>
      <c r="X24" s="17" t="str">
        <f t="shared" si="8"/>
        <v/>
      </c>
      <c r="Y24" s="1">
        <f>value(IFERROR(SUBSTITUTE(SUBSTITUTE(VLOOKUP(A24,'Quarterly Pipeline vs Target Pi'!A:G,6,false)," $","")," €",""), "")
)</f>
        <v>0</v>
      </c>
      <c r="Z24" s="1">
        <f>value(IFERROR(SUBSTITUTE(SUBSTITUTE(VLOOKUP(A24,'Quarterly Pipeline vs Target Pi'!A:G,7,false)," $","")," €",""), "")
)</f>
        <v>0</v>
      </c>
      <c r="AA24" s="17" t="str">
        <f t="shared" si="9"/>
        <v/>
      </c>
      <c r="AB24" s="1">
        <f>value(IFERROR(SUBSTITUTE(SUBSTITUTE(VLOOKUP($A24,'Quarterly Pipeline vs Target Pi'!$A:$V,11,false)," $","")," €",""), "")
)</f>
        <v>0</v>
      </c>
      <c r="AC24" s="1">
        <f>value(IFERROR(SUBSTITUTE(SUBSTITUTE(VLOOKUP($A24,'Quarterly Pipeline vs Target Pi'!$A:$V,12,false)," $","")," €",""), "")
)</f>
        <v>0</v>
      </c>
      <c r="AD24" s="17" t="str">
        <f t="shared" si="10"/>
        <v/>
      </c>
      <c r="AE24" s="1">
        <f>value(IFERROR(SUBSTITUTE(SUBSTITUTE(VLOOKUP($A24,'Quarterly Pipeline vs Target Pi'!$A:$V,16,false)," $","")," €",""), "")
)</f>
        <v>0</v>
      </c>
      <c r="AF24" s="1">
        <f>value(IFERROR(SUBSTITUTE(SUBSTITUTE(VLOOKUP($A24,'Quarterly Pipeline vs Target Pi'!$A:$V,17,false)," $","")," €",""), "")
)</f>
        <v>0</v>
      </c>
      <c r="AG24" s="17" t="str">
        <f t="shared" si="11"/>
        <v/>
      </c>
      <c r="AH24" s="1">
        <f>value(IFERROR(SUBSTITUTE(SUBSTITUTE(VLOOKUP($A24,'Quarterly Pipeline vs Target Pi'!$A:$V,21,false)," $","")," €",""), "")
)</f>
        <v>0</v>
      </c>
      <c r="AI24" s="1">
        <f>value(IFERROR(SUBSTITUTE(SUBSTITUTE(VLOOKUP($A24,'Quarterly Pipeline vs Target Pi'!$A:$V,22,false)," $","")," €",""), "")
)</f>
        <v>0</v>
      </c>
      <c r="AJ24" s="17" t="str">
        <f t="shared" si="12"/>
        <v/>
      </c>
      <c r="AK24" s="1">
        <f t="shared" ref="AK24:AL24" si="61">sum(Y24,AB24,AE24,AH24)</f>
        <v>0</v>
      </c>
      <c r="AL24" s="1">
        <f t="shared" si="61"/>
        <v>0</v>
      </c>
      <c r="AM24" s="17" t="str">
        <f t="shared" si="14"/>
        <v/>
      </c>
      <c r="AN24" s="1">
        <f>value(IFERROR(SUBSTITUTE(SUBSTITUTE(VLOOKUP($A24,'Quarterly Pipeline vs Target Pi'!$A:$AP,26,false)," $","")," €",""), "")
)</f>
        <v>0</v>
      </c>
      <c r="AO24" s="1">
        <f>value(IFERROR(SUBSTITUTE(SUBSTITUTE(VLOOKUP($A24,'Quarterly Pipeline vs Target Pi'!$A:$AP,27,false)," $","")," €",""), "")
)</f>
        <v>0</v>
      </c>
      <c r="AP24" s="17" t="str">
        <f t="shared" si="15"/>
        <v/>
      </c>
      <c r="AQ24" s="1">
        <f>value(IFERROR(SUBSTITUTE(SUBSTITUTE(VLOOKUP($A24,'Quarterly Pipeline vs Target Pi'!$A:$AP,31,false)," $","")," €",""), "")
)</f>
        <v>0</v>
      </c>
      <c r="AR24" s="1">
        <f>value(IFERROR(SUBSTITUTE(SUBSTITUTE(VLOOKUP($A24,'Quarterly Pipeline vs Target Pi'!$A:$AP,32,false)," $","")," €",""), "")
)</f>
        <v>0</v>
      </c>
      <c r="AS24" s="17" t="str">
        <f t="shared" si="16"/>
        <v/>
      </c>
      <c r="AT24" s="1">
        <f>value(IFERROR(SUBSTITUTE(SUBSTITUTE(VLOOKUP($A24,'Quarterly Pipeline vs Target Pi'!$A:$AP,36,false)," $","")," €",""), "")
)</f>
        <v>0</v>
      </c>
      <c r="AU24" s="1">
        <f>value(IFERROR(SUBSTITUTE(SUBSTITUTE(VLOOKUP($A24,'Quarterly Pipeline vs Target Pi'!$A:$AP,37,false)," $","")," €",""), "")
)</f>
        <v>0</v>
      </c>
      <c r="AV24" s="17" t="str">
        <f t="shared" si="17"/>
        <v/>
      </c>
      <c r="AW24" s="1">
        <f>value(IFERROR(SUBSTITUTE(SUBSTITUTE(VLOOKUP($A24,'Quarterly Pipeline vs Target Pi'!$A:$AP,41,false)," $","")," €",""), "")
)</f>
        <v>0</v>
      </c>
      <c r="AX24" s="1">
        <f>value(IFERROR(SUBSTITUTE(SUBSTITUTE(VLOOKUP($A24,'Quarterly Pipeline vs Target Pi'!$A:$AP,42,false)," $","")," €",""), "")
)</f>
        <v>0</v>
      </c>
      <c r="AY24" s="17" t="str">
        <f t="shared" si="18"/>
        <v/>
      </c>
      <c r="AZ24" s="1">
        <f t="shared" ref="AZ24:BA24" si="62">sum(AN24,AQ24,AT24,AW24)</f>
        <v>0</v>
      </c>
      <c r="BA24" s="1">
        <f t="shared" si="62"/>
        <v>0</v>
      </c>
      <c r="BB24" s="17" t="str">
        <f t="shared" si="20"/>
        <v/>
      </c>
    </row>
    <row r="25">
      <c r="A25" s="1" t="str">
        <f>IFERROR(__xludf.DUMMYFUNCTION("""COMPUTED_VALUE"""),"63ced840c5c820531c267d21")</f>
        <v>63ced840c5c820531c267d21</v>
      </c>
      <c r="B25" s="1" t="str">
        <f>IFERROR(__xludf.DUMMYFUNCTION("""COMPUTED_VALUE"""),"ALE USA Inc. orders administration")</f>
        <v>ALE USA Inc. orders administration</v>
      </c>
      <c r="C25" s="1" t="str">
        <f>IFERROR(__xludf.DUMMYFUNCTION("""COMPUTED_VALUE"""),"brendan.flaherty@al-enterprise.com, luigy.estevanell@al-enterprise.com")</f>
        <v>brendan.flaherty@al-enterprise.com, luigy.estevanell@al-enterprise.com</v>
      </c>
      <c r="D25" s="1" t="str">
        <f>IFERROR(__xludf.DUMMYFUNCTION("""COMPUTED_VALUE"""),"americas")</f>
        <v>americas</v>
      </c>
      <c r="E25" s="1" t="str">
        <f>IFERROR(__xludf.DUMMYFUNCTION("""COMPUTED_VALUE"""),"US")</f>
        <v>US</v>
      </c>
      <c r="F25" s="1"/>
      <c r="G25" s="1" t="str">
        <f>iferror(VLOOKUP(A25,'Business Plan Setup and Accepta'!A:G,6,false),"")</f>
        <v/>
      </c>
      <c r="H25" s="1" t="str">
        <f>iferror(VLOOKUP(A25,'Business Plan Setup and Accepta'!A:G,7,false),"")</f>
        <v/>
      </c>
      <c r="I25" s="17" t="str">
        <f t="shared" si="3"/>
        <v/>
      </c>
      <c r="J25" s="1" t="str">
        <f>IFERROR(VALUE(SUBSTITUTE(VLOOKUP(A25,'Sales IN Revenues vs Sales targ'!A:G,6,false)," $","")), "")
</f>
        <v/>
      </c>
      <c r="K25" s="1" t="str">
        <f>IFERROR(VALUE(SUBSTITUTE(VLOOKUP(A25,'Sales IN Revenues vs Sales targ'!A:G,7,false)," $","")), "")
</f>
        <v/>
      </c>
      <c r="L25" s="17" t="str">
        <f t="shared" si="4"/>
        <v/>
      </c>
      <c r="M25" s="1">
        <f>value(SUBSTITUTE(IFERROR(VLOOKUP(A25,'Certifications achievements vs '!A:G,6,false),""),"#","")
)</f>
        <v>0</v>
      </c>
      <c r="N25" s="1">
        <f>value(SUBSTITUTE(IFERROR(VLOOKUP(A25,'Certifications achievements vs '!A:G,7,false),""),"#","")
)</f>
        <v>0</v>
      </c>
      <c r="O25" s="17" t="str">
        <f t="shared" si="5"/>
        <v/>
      </c>
      <c r="P25" s="1">
        <f>value(SUBSTITUTE(IFERROR(VLOOKUP(A25,'Communications - Solution Speci'!A:G,6,false),""),"#","")
)</f>
        <v>0</v>
      </c>
      <c r="Q25" s="1">
        <f>value(SUBSTITUTE(IFERROR(VLOOKUP(A25,'Communications - Solution Speci'!A:G,7,false),""),"#","")
)</f>
        <v>0</v>
      </c>
      <c r="R25" s="17" t="str">
        <f t="shared" si="6"/>
        <v/>
      </c>
      <c r="S25" s="1">
        <f>value(SUBSTITUTE(IFERROR(VLOOKUP(A25,'Networking - Solution Specializ'!A:G,6,false),""),"#","")
)</f>
        <v>0</v>
      </c>
      <c r="T25" s="1">
        <f>value(SUBSTITUTE(IFERROR(VLOOKUP(A25,'Networking - Solution Specializ'!A:G,7,false),""),"#","")
)</f>
        <v>0</v>
      </c>
      <c r="U25" s="17" t="str">
        <f t="shared" si="7"/>
        <v/>
      </c>
      <c r="V25" s="1" t="str">
        <f>iferror(vlookup(A25,'Marketing Plan (extract summary'!A:G,6,false),"")</f>
        <v/>
      </c>
      <c r="W25" s="1" t="str">
        <f>iferror(vlookup(A25,'Marketing Plan (extract summary'!A:G,7,false),"")</f>
        <v/>
      </c>
      <c r="X25" s="17" t="str">
        <f t="shared" si="8"/>
        <v/>
      </c>
      <c r="Y25" s="1">
        <f>value(IFERROR(SUBSTITUTE(SUBSTITUTE(VLOOKUP(A25,'Quarterly Pipeline vs Target Pi'!A:G,6,false)," $","")," €",""), "")
)</f>
        <v>0</v>
      </c>
      <c r="Z25" s="1">
        <f>value(IFERROR(SUBSTITUTE(SUBSTITUTE(VLOOKUP(A25,'Quarterly Pipeline vs Target Pi'!A:G,7,false)," $","")," €",""), "")
)</f>
        <v>0</v>
      </c>
      <c r="AA25" s="17" t="str">
        <f t="shared" si="9"/>
        <v/>
      </c>
      <c r="AB25" s="1">
        <f>value(IFERROR(SUBSTITUTE(SUBSTITUTE(VLOOKUP($A25,'Quarterly Pipeline vs Target Pi'!$A:$V,11,false)," $","")," €",""), "")
)</f>
        <v>0</v>
      </c>
      <c r="AC25" s="1">
        <f>value(IFERROR(SUBSTITUTE(SUBSTITUTE(VLOOKUP($A25,'Quarterly Pipeline vs Target Pi'!$A:$V,12,false)," $","")," €",""), "")
)</f>
        <v>0</v>
      </c>
      <c r="AD25" s="17" t="str">
        <f t="shared" si="10"/>
        <v/>
      </c>
      <c r="AE25" s="1">
        <f>value(IFERROR(SUBSTITUTE(SUBSTITUTE(VLOOKUP($A25,'Quarterly Pipeline vs Target Pi'!$A:$V,16,false)," $","")," €",""), "")
)</f>
        <v>0</v>
      </c>
      <c r="AF25" s="1">
        <f>value(IFERROR(SUBSTITUTE(SUBSTITUTE(VLOOKUP($A25,'Quarterly Pipeline vs Target Pi'!$A:$V,17,false)," $","")," €",""), "")
)</f>
        <v>0</v>
      </c>
      <c r="AG25" s="17" t="str">
        <f t="shared" si="11"/>
        <v/>
      </c>
      <c r="AH25" s="1">
        <f>value(IFERROR(SUBSTITUTE(SUBSTITUTE(VLOOKUP($A25,'Quarterly Pipeline vs Target Pi'!$A:$V,21,false)," $","")," €",""), "")
)</f>
        <v>0</v>
      </c>
      <c r="AI25" s="1">
        <f>value(IFERROR(SUBSTITUTE(SUBSTITUTE(VLOOKUP($A25,'Quarterly Pipeline vs Target Pi'!$A:$V,22,false)," $","")," €",""), "")
)</f>
        <v>0</v>
      </c>
      <c r="AJ25" s="17" t="str">
        <f t="shared" si="12"/>
        <v/>
      </c>
      <c r="AK25" s="1">
        <f t="shared" ref="AK25:AL25" si="63">sum(Y25,AB25,AE25,AH25)</f>
        <v>0</v>
      </c>
      <c r="AL25" s="1">
        <f t="shared" si="63"/>
        <v>0</v>
      </c>
      <c r="AM25" s="17" t="str">
        <f t="shared" si="14"/>
        <v/>
      </c>
      <c r="AN25" s="1">
        <f>value(IFERROR(SUBSTITUTE(SUBSTITUTE(VLOOKUP($A25,'Quarterly Pipeline vs Target Pi'!$A:$AP,26,false)," $","")," €",""), "")
)</f>
        <v>0</v>
      </c>
      <c r="AO25" s="1">
        <f>value(IFERROR(SUBSTITUTE(SUBSTITUTE(VLOOKUP($A25,'Quarterly Pipeline vs Target Pi'!$A:$AP,27,false)," $","")," €",""), "")
)</f>
        <v>0</v>
      </c>
      <c r="AP25" s="17" t="str">
        <f t="shared" si="15"/>
        <v/>
      </c>
      <c r="AQ25" s="1">
        <f>value(IFERROR(SUBSTITUTE(SUBSTITUTE(VLOOKUP($A25,'Quarterly Pipeline vs Target Pi'!$A:$AP,31,false)," $","")," €",""), "")
)</f>
        <v>0</v>
      </c>
      <c r="AR25" s="1">
        <f>value(IFERROR(SUBSTITUTE(SUBSTITUTE(VLOOKUP($A25,'Quarterly Pipeline vs Target Pi'!$A:$AP,32,false)," $","")," €",""), "")
)</f>
        <v>0</v>
      </c>
      <c r="AS25" s="17" t="str">
        <f t="shared" si="16"/>
        <v/>
      </c>
      <c r="AT25" s="1">
        <f>value(IFERROR(SUBSTITUTE(SUBSTITUTE(VLOOKUP($A25,'Quarterly Pipeline vs Target Pi'!$A:$AP,36,false)," $","")," €",""), "")
)</f>
        <v>0</v>
      </c>
      <c r="AU25" s="1">
        <f>value(IFERROR(SUBSTITUTE(SUBSTITUTE(VLOOKUP($A25,'Quarterly Pipeline vs Target Pi'!$A:$AP,37,false)," $","")," €",""), "")
)</f>
        <v>0</v>
      </c>
      <c r="AV25" s="17" t="str">
        <f t="shared" si="17"/>
        <v/>
      </c>
      <c r="AW25" s="1">
        <f>value(IFERROR(SUBSTITUTE(SUBSTITUTE(VLOOKUP($A25,'Quarterly Pipeline vs Target Pi'!$A:$AP,41,false)," $","")," €",""), "")
)</f>
        <v>0</v>
      </c>
      <c r="AX25" s="1">
        <f>value(IFERROR(SUBSTITUTE(SUBSTITUTE(VLOOKUP($A25,'Quarterly Pipeline vs Target Pi'!$A:$AP,42,false)," $","")," €",""), "")
)</f>
        <v>0</v>
      </c>
      <c r="AY25" s="17" t="str">
        <f t="shared" si="18"/>
        <v/>
      </c>
      <c r="AZ25" s="1">
        <f t="shared" ref="AZ25:BA25" si="64">sum(AN25,AQ25,AT25,AW25)</f>
        <v>0</v>
      </c>
      <c r="BA25" s="1">
        <f t="shared" si="64"/>
        <v>0</v>
      </c>
      <c r="BB25" s="17" t="str">
        <f t="shared" si="20"/>
        <v/>
      </c>
    </row>
    <row r="26">
      <c r="A26" s="1" t="str">
        <f>IFERROR(__xludf.DUMMYFUNCTION("""COMPUTED_VALUE"""),"63ced841c5c820531c267e7a")</f>
        <v>63ced841c5c820531c267e7a</v>
      </c>
      <c r="B26" s="1" t="str">
        <f>IFERROR(__xludf.DUMMYFUNCTION("""COMPUTED_VALUE"""),"ALE USA Inc. orders administration")</f>
        <v>ALE USA Inc. orders administration</v>
      </c>
      <c r="C26" s="1" t="str">
        <f>IFERROR(__xludf.DUMMYFUNCTION("""COMPUTED_VALUE"""),"steve.mcglasson@al-enterprise.com")</f>
        <v>steve.mcglasson@al-enterprise.com</v>
      </c>
      <c r="D26" s="1" t="str">
        <f>IFERROR(__xludf.DUMMYFUNCTION("""COMPUTED_VALUE"""),"americas")</f>
        <v>americas</v>
      </c>
      <c r="E26" s="1" t="str">
        <f>IFERROR(__xludf.DUMMYFUNCTION("""COMPUTED_VALUE"""),"US")</f>
        <v>US</v>
      </c>
      <c r="F26" s="1"/>
      <c r="G26" s="1" t="str">
        <f>iferror(VLOOKUP(A26,'Business Plan Setup and Accepta'!A:G,6,false),"")</f>
        <v/>
      </c>
      <c r="H26" s="1" t="str">
        <f>iferror(VLOOKUP(A26,'Business Plan Setup and Accepta'!A:G,7,false),"")</f>
        <v/>
      </c>
      <c r="I26" s="17" t="str">
        <f t="shared" si="3"/>
        <v/>
      </c>
      <c r="J26" s="1" t="str">
        <f>IFERROR(VALUE(SUBSTITUTE(VLOOKUP(A26,'Sales IN Revenues vs Sales targ'!A:G,6,false)," $","")), "")
</f>
        <v/>
      </c>
      <c r="K26" s="1" t="str">
        <f>IFERROR(VALUE(SUBSTITUTE(VLOOKUP(A26,'Sales IN Revenues vs Sales targ'!A:G,7,false)," $","")), "")
</f>
        <v/>
      </c>
      <c r="L26" s="17" t="str">
        <f t="shared" si="4"/>
        <v/>
      </c>
      <c r="M26" s="1">
        <f>value(SUBSTITUTE(IFERROR(VLOOKUP(A26,'Certifications achievements vs '!A:G,6,false),""),"#","")
)</f>
        <v>0</v>
      </c>
      <c r="N26" s="1">
        <f>value(SUBSTITUTE(IFERROR(VLOOKUP(A26,'Certifications achievements vs '!A:G,7,false),""),"#","")
)</f>
        <v>0</v>
      </c>
      <c r="O26" s="17" t="str">
        <f t="shared" si="5"/>
        <v/>
      </c>
      <c r="P26" s="1">
        <f>value(SUBSTITUTE(IFERROR(VLOOKUP(A26,'Communications - Solution Speci'!A:G,6,false),""),"#","")
)</f>
        <v>0</v>
      </c>
      <c r="Q26" s="1">
        <f>value(SUBSTITUTE(IFERROR(VLOOKUP(A26,'Communications - Solution Speci'!A:G,7,false),""),"#","")
)</f>
        <v>0</v>
      </c>
      <c r="R26" s="17" t="str">
        <f t="shared" si="6"/>
        <v/>
      </c>
      <c r="S26" s="1">
        <f>value(SUBSTITUTE(IFERROR(VLOOKUP(A26,'Networking - Solution Specializ'!A:G,6,false),""),"#","")
)</f>
        <v>0</v>
      </c>
      <c r="T26" s="1">
        <f>value(SUBSTITUTE(IFERROR(VLOOKUP(A26,'Networking - Solution Specializ'!A:G,7,false),""),"#","")
)</f>
        <v>0</v>
      </c>
      <c r="U26" s="17" t="str">
        <f t="shared" si="7"/>
        <v/>
      </c>
      <c r="V26" s="1" t="str">
        <f>iferror(vlookup(A26,'Marketing Plan (extract summary'!A:G,6,false),"")</f>
        <v/>
      </c>
      <c r="W26" s="1" t="str">
        <f>iferror(vlookup(A26,'Marketing Plan (extract summary'!A:G,7,false),"")</f>
        <v/>
      </c>
      <c r="X26" s="17" t="str">
        <f t="shared" si="8"/>
        <v/>
      </c>
      <c r="Y26" s="1">
        <f>value(IFERROR(SUBSTITUTE(SUBSTITUTE(VLOOKUP(A26,'Quarterly Pipeline vs Target Pi'!A:G,6,false)," $","")," €",""), "")
)</f>
        <v>0</v>
      </c>
      <c r="Z26" s="1">
        <f>value(IFERROR(SUBSTITUTE(SUBSTITUTE(VLOOKUP(A26,'Quarterly Pipeline vs Target Pi'!A:G,7,false)," $","")," €",""), "")
)</f>
        <v>0</v>
      </c>
      <c r="AA26" s="17" t="str">
        <f t="shared" si="9"/>
        <v/>
      </c>
      <c r="AB26" s="1">
        <f>value(IFERROR(SUBSTITUTE(SUBSTITUTE(VLOOKUP($A26,'Quarterly Pipeline vs Target Pi'!$A:$V,11,false)," $","")," €",""), "")
)</f>
        <v>0</v>
      </c>
      <c r="AC26" s="1">
        <f>value(IFERROR(SUBSTITUTE(SUBSTITUTE(VLOOKUP($A26,'Quarterly Pipeline vs Target Pi'!$A:$V,12,false)," $","")," €",""), "")
)</f>
        <v>0</v>
      </c>
      <c r="AD26" s="17" t="str">
        <f t="shared" si="10"/>
        <v/>
      </c>
      <c r="AE26" s="1">
        <f>value(IFERROR(SUBSTITUTE(SUBSTITUTE(VLOOKUP($A26,'Quarterly Pipeline vs Target Pi'!$A:$V,16,false)," $","")," €",""), "")
)</f>
        <v>0</v>
      </c>
      <c r="AF26" s="1">
        <f>value(IFERROR(SUBSTITUTE(SUBSTITUTE(VLOOKUP($A26,'Quarterly Pipeline vs Target Pi'!$A:$V,17,false)," $","")," €",""), "")
)</f>
        <v>0</v>
      </c>
      <c r="AG26" s="17" t="str">
        <f t="shared" si="11"/>
        <v/>
      </c>
      <c r="AH26" s="1">
        <f>value(IFERROR(SUBSTITUTE(SUBSTITUTE(VLOOKUP($A26,'Quarterly Pipeline vs Target Pi'!$A:$V,21,false)," $","")," €",""), "")
)</f>
        <v>0</v>
      </c>
      <c r="AI26" s="1">
        <f>value(IFERROR(SUBSTITUTE(SUBSTITUTE(VLOOKUP($A26,'Quarterly Pipeline vs Target Pi'!$A:$V,22,false)," $","")," €",""), "")
)</f>
        <v>0</v>
      </c>
      <c r="AJ26" s="17" t="str">
        <f t="shared" si="12"/>
        <v/>
      </c>
      <c r="AK26" s="1">
        <f t="shared" ref="AK26:AL26" si="65">sum(Y26,AB26,AE26,AH26)</f>
        <v>0</v>
      </c>
      <c r="AL26" s="1">
        <f t="shared" si="65"/>
        <v>0</v>
      </c>
      <c r="AM26" s="17" t="str">
        <f t="shared" si="14"/>
        <v/>
      </c>
      <c r="AN26" s="1">
        <f>value(IFERROR(SUBSTITUTE(SUBSTITUTE(VLOOKUP($A26,'Quarterly Pipeline vs Target Pi'!$A:$AP,26,false)," $","")," €",""), "")
)</f>
        <v>0</v>
      </c>
      <c r="AO26" s="1">
        <f>value(IFERROR(SUBSTITUTE(SUBSTITUTE(VLOOKUP($A26,'Quarterly Pipeline vs Target Pi'!$A:$AP,27,false)," $","")," €",""), "")
)</f>
        <v>0</v>
      </c>
      <c r="AP26" s="17" t="str">
        <f t="shared" si="15"/>
        <v/>
      </c>
      <c r="AQ26" s="1">
        <f>value(IFERROR(SUBSTITUTE(SUBSTITUTE(VLOOKUP($A26,'Quarterly Pipeline vs Target Pi'!$A:$AP,31,false)," $","")," €",""), "")
)</f>
        <v>0</v>
      </c>
      <c r="AR26" s="1">
        <f>value(IFERROR(SUBSTITUTE(SUBSTITUTE(VLOOKUP($A26,'Quarterly Pipeline vs Target Pi'!$A:$AP,32,false)," $","")," €",""), "")
)</f>
        <v>0</v>
      </c>
      <c r="AS26" s="17" t="str">
        <f t="shared" si="16"/>
        <v/>
      </c>
      <c r="AT26" s="1">
        <f>value(IFERROR(SUBSTITUTE(SUBSTITUTE(VLOOKUP($A26,'Quarterly Pipeline vs Target Pi'!$A:$AP,36,false)," $","")," €",""), "")
)</f>
        <v>0</v>
      </c>
      <c r="AU26" s="1">
        <f>value(IFERROR(SUBSTITUTE(SUBSTITUTE(VLOOKUP($A26,'Quarterly Pipeline vs Target Pi'!$A:$AP,37,false)," $","")," €",""), "")
)</f>
        <v>0</v>
      </c>
      <c r="AV26" s="17" t="str">
        <f t="shared" si="17"/>
        <v/>
      </c>
      <c r="AW26" s="1">
        <f>value(IFERROR(SUBSTITUTE(SUBSTITUTE(VLOOKUP($A26,'Quarterly Pipeline vs Target Pi'!$A:$AP,41,false)," $","")," €",""), "")
)</f>
        <v>0</v>
      </c>
      <c r="AX26" s="1">
        <f>value(IFERROR(SUBSTITUTE(SUBSTITUTE(VLOOKUP($A26,'Quarterly Pipeline vs Target Pi'!$A:$AP,42,false)," $","")," €",""), "")
)</f>
        <v>0</v>
      </c>
      <c r="AY26" s="17" t="str">
        <f t="shared" si="18"/>
        <v/>
      </c>
      <c r="AZ26" s="1">
        <f t="shared" ref="AZ26:BA26" si="66">sum(AN26,AQ26,AT26,AW26)</f>
        <v>0</v>
      </c>
      <c r="BA26" s="1">
        <f t="shared" si="66"/>
        <v>0</v>
      </c>
      <c r="BB26" s="17" t="str">
        <f t="shared" si="20"/>
        <v/>
      </c>
    </row>
    <row r="27">
      <c r="A27" s="1" t="str">
        <f>IFERROR(__xludf.DUMMYFUNCTION("""COMPUTED_VALUE"""),"63fcbb86a107c871cf5655e9")</f>
        <v>63fcbb86a107c871cf5655e9</v>
      </c>
      <c r="B27" s="1" t="str">
        <f>IFERROR(__xludf.DUMMYFUNCTION("""COMPUTED_VALUE"""),"Alfa Comercial de Telecomunicacione")</f>
        <v>Alfa Comercial de Telecomunicacione</v>
      </c>
      <c r="C27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27" s="1" t="str">
        <f>IFERROR(__xludf.DUMMYFUNCTION("""COMPUTED_VALUE"""),"emea")</f>
        <v>emea</v>
      </c>
      <c r="E27" s="1" t="str">
        <f>IFERROR(__xludf.DUMMYFUNCTION("""COMPUTED_VALUE"""),"ES")</f>
        <v>ES</v>
      </c>
      <c r="F27" s="1"/>
      <c r="G27" s="1" t="str">
        <f>iferror(VLOOKUP(A27,'Business Plan Setup and Accepta'!A:G,6,false),"")</f>
        <v/>
      </c>
      <c r="H27" s="1" t="str">
        <f>iferror(VLOOKUP(A27,'Business Plan Setup and Accepta'!A:G,7,false),"")</f>
        <v/>
      </c>
      <c r="I27" s="17" t="str">
        <f t="shared" si="3"/>
        <v/>
      </c>
      <c r="J27" s="1" t="str">
        <f>IFERROR(VALUE(SUBSTITUTE(VLOOKUP(A27,'Sales IN Revenues vs Sales targ'!A:G,6,false)," $","")), "")
</f>
        <v/>
      </c>
      <c r="K27" s="1" t="str">
        <f>IFERROR(VALUE(SUBSTITUTE(VLOOKUP(A27,'Sales IN Revenues vs Sales targ'!A:G,7,false)," $","")), "")
</f>
        <v/>
      </c>
      <c r="L27" s="17" t="str">
        <f t="shared" si="4"/>
        <v/>
      </c>
      <c r="M27" s="1">
        <f>value(SUBSTITUTE(IFERROR(VLOOKUP(A27,'Certifications achievements vs '!A:G,6,false),""),"#","")
)</f>
        <v>0</v>
      </c>
      <c r="N27" s="1">
        <f>value(SUBSTITUTE(IFERROR(VLOOKUP(A27,'Certifications achievements vs '!A:G,7,false),""),"#","")
)</f>
        <v>0</v>
      </c>
      <c r="O27" s="17" t="str">
        <f t="shared" si="5"/>
        <v/>
      </c>
      <c r="P27" s="1">
        <f>value(SUBSTITUTE(IFERROR(VLOOKUP(A27,'Communications - Solution Speci'!A:G,6,false),""),"#","")
)</f>
        <v>0</v>
      </c>
      <c r="Q27" s="1">
        <f>value(SUBSTITUTE(IFERROR(VLOOKUP(A27,'Communications - Solution Speci'!A:G,7,false),""),"#","")
)</f>
        <v>0</v>
      </c>
      <c r="R27" s="17" t="str">
        <f t="shared" si="6"/>
        <v/>
      </c>
      <c r="S27" s="1">
        <f>value(SUBSTITUTE(IFERROR(VLOOKUP(A27,'Networking - Solution Specializ'!A:G,6,false),""),"#","")
)</f>
        <v>0</v>
      </c>
      <c r="T27" s="1">
        <f>value(SUBSTITUTE(IFERROR(VLOOKUP(A27,'Networking - Solution Specializ'!A:G,7,false),""),"#","")
)</f>
        <v>0</v>
      </c>
      <c r="U27" s="17" t="str">
        <f t="shared" si="7"/>
        <v/>
      </c>
      <c r="V27" s="1" t="str">
        <f>iferror(vlookup(A27,'Marketing Plan (extract summary'!A:G,6,false),"")</f>
        <v/>
      </c>
      <c r="W27" s="1" t="str">
        <f>iferror(vlookup(A27,'Marketing Plan (extract summary'!A:G,7,false),"")</f>
        <v/>
      </c>
      <c r="X27" s="17" t="str">
        <f t="shared" si="8"/>
        <v/>
      </c>
      <c r="Y27" s="1">
        <f>value(IFERROR(SUBSTITUTE(SUBSTITUTE(VLOOKUP(A27,'Quarterly Pipeline vs Target Pi'!A:G,6,false)," $","")," €",""), "")
)</f>
        <v>0</v>
      </c>
      <c r="Z27" s="1">
        <f>value(IFERROR(SUBSTITUTE(SUBSTITUTE(VLOOKUP(A27,'Quarterly Pipeline vs Target Pi'!A:G,7,false)," $","")," €",""), "")
)</f>
        <v>0</v>
      </c>
      <c r="AA27" s="17" t="str">
        <f t="shared" si="9"/>
        <v/>
      </c>
      <c r="AB27" s="1">
        <f>value(IFERROR(SUBSTITUTE(SUBSTITUTE(VLOOKUP($A27,'Quarterly Pipeline vs Target Pi'!$A:$V,11,false)," $","")," €",""), "")
)</f>
        <v>0</v>
      </c>
      <c r="AC27" s="1">
        <f>value(IFERROR(SUBSTITUTE(SUBSTITUTE(VLOOKUP($A27,'Quarterly Pipeline vs Target Pi'!$A:$V,12,false)," $","")," €",""), "")
)</f>
        <v>0</v>
      </c>
      <c r="AD27" s="17" t="str">
        <f t="shared" si="10"/>
        <v/>
      </c>
      <c r="AE27" s="1">
        <f>value(IFERROR(SUBSTITUTE(SUBSTITUTE(VLOOKUP($A27,'Quarterly Pipeline vs Target Pi'!$A:$V,16,false)," $","")," €",""), "")
)</f>
        <v>0</v>
      </c>
      <c r="AF27" s="1">
        <f>value(IFERROR(SUBSTITUTE(SUBSTITUTE(VLOOKUP($A27,'Quarterly Pipeline vs Target Pi'!$A:$V,17,false)," $","")," €",""), "")
)</f>
        <v>0</v>
      </c>
      <c r="AG27" s="17" t="str">
        <f t="shared" si="11"/>
        <v/>
      </c>
      <c r="AH27" s="1">
        <f>value(IFERROR(SUBSTITUTE(SUBSTITUTE(VLOOKUP($A27,'Quarterly Pipeline vs Target Pi'!$A:$V,21,false)," $","")," €",""), "")
)</f>
        <v>0</v>
      </c>
      <c r="AI27" s="1">
        <f>value(IFERROR(SUBSTITUTE(SUBSTITUTE(VLOOKUP($A27,'Quarterly Pipeline vs Target Pi'!$A:$V,22,false)," $","")," €",""), "")
)</f>
        <v>0</v>
      </c>
      <c r="AJ27" s="17" t="str">
        <f t="shared" si="12"/>
        <v/>
      </c>
      <c r="AK27" s="1">
        <f t="shared" ref="AK27:AL27" si="67">sum(Y27,AB27,AE27,AH27)</f>
        <v>0</v>
      </c>
      <c r="AL27" s="1">
        <f t="shared" si="67"/>
        <v>0</v>
      </c>
      <c r="AM27" s="17" t="str">
        <f t="shared" si="14"/>
        <v/>
      </c>
      <c r="AN27" s="1">
        <f>value(IFERROR(SUBSTITUTE(SUBSTITUTE(VLOOKUP($A27,'Quarterly Pipeline vs Target Pi'!$A:$AP,26,false)," $","")," €",""), "")
)</f>
        <v>0</v>
      </c>
      <c r="AO27" s="1">
        <f>value(IFERROR(SUBSTITUTE(SUBSTITUTE(VLOOKUP($A27,'Quarterly Pipeline vs Target Pi'!$A:$AP,27,false)," $","")," €",""), "")
)</f>
        <v>0</v>
      </c>
      <c r="AP27" s="17" t="str">
        <f t="shared" si="15"/>
        <v/>
      </c>
      <c r="AQ27" s="1">
        <f>value(IFERROR(SUBSTITUTE(SUBSTITUTE(VLOOKUP($A27,'Quarterly Pipeline vs Target Pi'!$A:$AP,31,false)," $","")," €",""), "")
)</f>
        <v>0</v>
      </c>
      <c r="AR27" s="1">
        <f>value(IFERROR(SUBSTITUTE(SUBSTITUTE(VLOOKUP($A27,'Quarterly Pipeline vs Target Pi'!$A:$AP,32,false)," $","")," €",""), "")
)</f>
        <v>0</v>
      </c>
      <c r="AS27" s="17" t="str">
        <f t="shared" si="16"/>
        <v/>
      </c>
      <c r="AT27" s="1">
        <f>value(IFERROR(SUBSTITUTE(SUBSTITUTE(VLOOKUP($A27,'Quarterly Pipeline vs Target Pi'!$A:$AP,36,false)," $","")," €",""), "")
)</f>
        <v>0</v>
      </c>
      <c r="AU27" s="1">
        <f>value(IFERROR(SUBSTITUTE(SUBSTITUTE(VLOOKUP($A27,'Quarterly Pipeline vs Target Pi'!$A:$AP,37,false)," $","")," €",""), "")
)</f>
        <v>0</v>
      </c>
      <c r="AV27" s="17" t="str">
        <f t="shared" si="17"/>
        <v/>
      </c>
      <c r="AW27" s="1">
        <f>value(IFERROR(SUBSTITUTE(SUBSTITUTE(VLOOKUP($A27,'Quarterly Pipeline vs Target Pi'!$A:$AP,41,false)," $","")," €",""), "")
)</f>
        <v>0</v>
      </c>
      <c r="AX27" s="1">
        <f>value(IFERROR(SUBSTITUTE(SUBSTITUTE(VLOOKUP($A27,'Quarterly Pipeline vs Target Pi'!$A:$AP,42,false)," $","")," €",""), "")
)</f>
        <v>0</v>
      </c>
      <c r="AY27" s="17" t="str">
        <f t="shared" si="18"/>
        <v/>
      </c>
      <c r="AZ27" s="1">
        <f t="shared" ref="AZ27:BA27" si="68">sum(AN27,AQ27,AT27,AW27)</f>
        <v>0</v>
      </c>
      <c r="BA27" s="1">
        <f t="shared" si="68"/>
        <v>0</v>
      </c>
      <c r="BB27" s="17" t="str">
        <f t="shared" si="20"/>
        <v/>
      </c>
    </row>
    <row r="28">
      <c r="A28" s="1" t="str">
        <f>IFERROR(__xludf.DUMMYFUNCTION("""COMPUTED_VALUE"""),"63ced84dc5c820531c2696cb")</f>
        <v>63ced84dc5c820531c2696cb</v>
      </c>
      <c r="B28" s="1" t="str">
        <f>IFERROR(__xludf.DUMMYFUNCTION("""COMPUTED_VALUE"""),"Alliance Telecommunications")</f>
        <v>Alliance Telecommunications</v>
      </c>
      <c r="C28" s="1" t="str">
        <f>IFERROR(__xludf.DUMMYFUNCTION("""COMPUTED_VALUE"""),"brendan.flaherty@al-enterprise.com")</f>
        <v>brendan.flaherty@al-enterprise.com</v>
      </c>
      <c r="D28" s="1" t="str">
        <f>IFERROR(__xludf.DUMMYFUNCTION("""COMPUTED_VALUE"""),"americas")</f>
        <v>americas</v>
      </c>
      <c r="E28" s="1" t="str">
        <f>IFERROR(__xludf.DUMMYFUNCTION("""COMPUTED_VALUE"""),"US")</f>
        <v>US</v>
      </c>
      <c r="F28" s="1"/>
      <c r="G28" s="1" t="str">
        <f>iferror(VLOOKUP(A28,'Business Plan Setup and Accepta'!A:G,6,false),"")</f>
        <v/>
      </c>
      <c r="H28" s="1" t="str">
        <f>iferror(VLOOKUP(A28,'Business Plan Setup and Accepta'!A:G,7,false),"")</f>
        <v/>
      </c>
      <c r="I28" s="17" t="str">
        <f t="shared" si="3"/>
        <v/>
      </c>
      <c r="J28" s="1" t="str">
        <f>IFERROR(VALUE(SUBSTITUTE(VLOOKUP(A28,'Sales IN Revenues vs Sales targ'!A:G,6,false)," $","")), "")
</f>
        <v/>
      </c>
      <c r="K28" s="1" t="str">
        <f>IFERROR(VALUE(SUBSTITUTE(VLOOKUP(A28,'Sales IN Revenues vs Sales targ'!A:G,7,false)," $","")), "")
</f>
        <v/>
      </c>
      <c r="L28" s="17" t="str">
        <f t="shared" si="4"/>
        <v/>
      </c>
      <c r="M28" s="1">
        <f>value(SUBSTITUTE(IFERROR(VLOOKUP(A28,'Certifications achievements vs '!A:G,6,false),""),"#","")
)</f>
        <v>0</v>
      </c>
      <c r="N28" s="1">
        <f>value(SUBSTITUTE(IFERROR(VLOOKUP(A28,'Certifications achievements vs '!A:G,7,false),""),"#","")
)</f>
        <v>0</v>
      </c>
      <c r="O28" s="17" t="str">
        <f t="shared" si="5"/>
        <v/>
      </c>
      <c r="P28" s="1">
        <f>value(SUBSTITUTE(IFERROR(VLOOKUP(A28,'Communications - Solution Speci'!A:G,6,false),""),"#","")
)</f>
        <v>0</v>
      </c>
      <c r="Q28" s="1">
        <f>value(SUBSTITUTE(IFERROR(VLOOKUP(A28,'Communications - Solution Speci'!A:G,7,false),""),"#","")
)</f>
        <v>0</v>
      </c>
      <c r="R28" s="17" t="str">
        <f t="shared" si="6"/>
        <v/>
      </c>
      <c r="S28" s="1">
        <f>value(SUBSTITUTE(IFERROR(VLOOKUP(A28,'Networking - Solution Specializ'!A:G,6,false),""),"#","")
)</f>
        <v>0</v>
      </c>
      <c r="T28" s="1">
        <f>value(SUBSTITUTE(IFERROR(VLOOKUP(A28,'Networking - Solution Specializ'!A:G,7,false),""),"#","")
)</f>
        <v>0</v>
      </c>
      <c r="U28" s="17" t="str">
        <f t="shared" si="7"/>
        <v/>
      </c>
      <c r="V28" s="1" t="str">
        <f>iferror(vlookup(A28,'Marketing Plan (extract summary'!A:G,6,false),"")</f>
        <v/>
      </c>
      <c r="W28" s="1" t="str">
        <f>iferror(vlookup(A28,'Marketing Plan (extract summary'!A:G,7,false),"")</f>
        <v/>
      </c>
      <c r="X28" s="17" t="str">
        <f t="shared" si="8"/>
        <v/>
      </c>
      <c r="Y28" s="1">
        <f>value(IFERROR(SUBSTITUTE(SUBSTITUTE(VLOOKUP(A28,'Quarterly Pipeline vs Target Pi'!A:G,6,false)," $","")," €",""), "")
)</f>
        <v>0</v>
      </c>
      <c r="Z28" s="1">
        <f>value(IFERROR(SUBSTITUTE(SUBSTITUTE(VLOOKUP(A28,'Quarterly Pipeline vs Target Pi'!A:G,7,false)," $","")," €",""), "")
)</f>
        <v>0</v>
      </c>
      <c r="AA28" s="17" t="str">
        <f t="shared" si="9"/>
        <v/>
      </c>
      <c r="AB28" s="1">
        <f>value(IFERROR(SUBSTITUTE(SUBSTITUTE(VLOOKUP($A28,'Quarterly Pipeline vs Target Pi'!$A:$V,11,false)," $","")," €",""), "")
)</f>
        <v>0</v>
      </c>
      <c r="AC28" s="1">
        <f>value(IFERROR(SUBSTITUTE(SUBSTITUTE(VLOOKUP($A28,'Quarterly Pipeline vs Target Pi'!$A:$V,12,false)," $","")," €",""), "")
)</f>
        <v>0</v>
      </c>
      <c r="AD28" s="17" t="str">
        <f t="shared" si="10"/>
        <v/>
      </c>
      <c r="AE28" s="1">
        <f>value(IFERROR(SUBSTITUTE(SUBSTITUTE(VLOOKUP($A28,'Quarterly Pipeline vs Target Pi'!$A:$V,16,false)," $","")," €",""), "")
)</f>
        <v>0</v>
      </c>
      <c r="AF28" s="1">
        <f>value(IFERROR(SUBSTITUTE(SUBSTITUTE(VLOOKUP($A28,'Quarterly Pipeline vs Target Pi'!$A:$V,17,false)," $","")," €",""), "")
)</f>
        <v>0</v>
      </c>
      <c r="AG28" s="17" t="str">
        <f t="shared" si="11"/>
        <v/>
      </c>
      <c r="AH28" s="1">
        <f>value(IFERROR(SUBSTITUTE(SUBSTITUTE(VLOOKUP($A28,'Quarterly Pipeline vs Target Pi'!$A:$V,21,false)," $","")," €",""), "")
)</f>
        <v>0</v>
      </c>
      <c r="AI28" s="1">
        <f>value(IFERROR(SUBSTITUTE(SUBSTITUTE(VLOOKUP($A28,'Quarterly Pipeline vs Target Pi'!$A:$V,22,false)," $","")," €",""), "")
)</f>
        <v>0</v>
      </c>
      <c r="AJ28" s="17" t="str">
        <f t="shared" si="12"/>
        <v/>
      </c>
      <c r="AK28" s="1">
        <f t="shared" ref="AK28:AL28" si="69">sum(Y28,AB28,AE28,AH28)</f>
        <v>0</v>
      </c>
      <c r="AL28" s="1">
        <f t="shared" si="69"/>
        <v>0</v>
      </c>
      <c r="AM28" s="17" t="str">
        <f t="shared" si="14"/>
        <v/>
      </c>
      <c r="AN28" s="1">
        <f>value(IFERROR(SUBSTITUTE(SUBSTITUTE(VLOOKUP($A28,'Quarterly Pipeline vs Target Pi'!$A:$AP,26,false)," $","")," €",""), "")
)</f>
        <v>0</v>
      </c>
      <c r="AO28" s="1">
        <f>value(IFERROR(SUBSTITUTE(SUBSTITUTE(VLOOKUP($A28,'Quarterly Pipeline vs Target Pi'!$A:$AP,27,false)," $","")," €",""), "")
)</f>
        <v>0</v>
      </c>
      <c r="AP28" s="17" t="str">
        <f t="shared" si="15"/>
        <v/>
      </c>
      <c r="AQ28" s="1">
        <f>value(IFERROR(SUBSTITUTE(SUBSTITUTE(VLOOKUP($A28,'Quarterly Pipeline vs Target Pi'!$A:$AP,31,false)," $","")," €",""), "")
)</f>
        <v>0</v>
      </c>
      <c r="AR28" s="1">
        <f>value(IFERROR(SUBSTITUTE(SUBSTITUTE(VLOOKUP($A28,'Quarterly Pipeline vs Target Pi'!$A:$AP,32,false)," $","")," €",""), "")
)</f>
        <v>0</v>
      </c>
      <c r="AS28" s="17" t="str">
        <f t="shared" si="16"/>
        <v/>
      </c>
      <c r="AT28" s="1">
        <f>value(IFERROR(SUBSTITUTE(SUBSTITUTE(VLOOKUP($A28,'Quarterly Pipeline vs Target Pi'!$A:$AP,36,false)," $","")," €",""), "")
)</f>
        <v>0</v>
      </c>
      <c r="AU28" s="1">
        <f>value(IFERROR(SUBSTITUTE(SUBSTITUTE(VLOOKUP($A28,'Quarterly Pipeline vs Target Pi'!$A:$AP,37,false)," $","")," €",""), "")
)</f>
        <v>0</v>
      </c>
      <c r="AV28" s="17" t="str">
        <f t="shared" si="17"/>
        <v/>
      </c>
      <c r="AW28" s="1">
        <f>value(IFERROR(SUBSTITUTE(SUBSTITUTE(VLOOKUP($A28,'Quarterly Pipeline vs Target Pi'!$A:$AP,41,false)," $","")," €",""), "")
)</f>
        <v>0</v>
      </c>
      <c r="AX28" s="1">
        <f>value(IFERROR(SUBSTITUTE(SUBSTITUTE(VLOOKUP($A28,'Quarterly Pipeline vs Target Pi'!$A:$AP,42,false)," $","")," €",""), "")
)</f>
        <v>0</v>
      </c>
      <c r="AY28" s="17" t="str">
        <f t="shared" si="18"/>
        <v/>
      </c>
      <c r="AZ28" s="1">
        <f t="shared" ref="AZ28:BA28" si="70">sum(AN28,AQ28,AT28,AW28)</f>
        <v>0</v>
      </c>
      <c r="BA28" s="1">
        <f t="shared" si="70"/>
        <v>0</v>
      </c>
      <c r="BB28" s="17" t="str">
        <f t="shared" si="20"/>
        <v/>
      </c>
    </row>
    <row r="29">
      <c r="A29" s="1" t="str">
        <f>IFERROR(__xludf.DUMMYFUNCTION("""COMPUTED_VALUE"""),"63ced84cc5c820531c2694be")</f>
        <v>63ced84cc5c820531c2694be</v>
      </c>
      <c r="B29" s="1" t="str">
        <f>IFERROR(__xludf.DUMMYFUNCTION("""COMPUTED_VALUE"""),"ALLNET GmbH Computersysteme")</f>
        <v>ALLNET GmbH Computersysteme</v>
      </c>
      <c r="C29" s="1" t="str">
        <f>IFERROR(__xludf.DUMMYFUNCTION("""COMPUTED_VALUE"""),"michael.moog@al-enterprise.com")</f>
        <v>michael.moog@al-enterprise.com</v>
      </c>
      <c r="D29" s="1" t="str">
        <f>IFERROR(__xludf.DUMMYFUNCTION("""COMPUTED_VALUE"""),"germany")</f>
        <v>germany</v>
      </c>
      <c r="E29" s="1" t="str">
        <f>IFERROR(__xludf.DUMMYFUNCTION("""COMPUTED_VALUE"""),"DE")</f>
        <v>DE</v>
      </c>
      <c r="F29" s="1"/>
      <c r="G29" s="1" t="str">
        <f>iferror(VLOOKUP(A29,'Business Plan Setup and Accepta'!A:G,6,false),"")</f>
        <v/>
      </c>
      <c r="H29" s="1" t="str">
        <f>iferror(VLOOKUP(A29,'Business Plan Setup and Accepta'!A:G,7,false),"")</f>
        <v/>
      </c>
      <c r="I29" s="17" t="str">
        <f t="shared" si="3"/>
        <v/>
      </c>
      <c r="J29" s="1" t="str">
        <f>IFERROR(VALUE(SUBSTITUTE(VLOOKUP(A29,'Sales IN Revenues vs Sales targ'!A:G,6,false)," $","")), "")
</f>
        <v/>
      </c>
      <c r="K29" s="1" t="str">
        <f>IFERROR(VALUE(SUBSTITUTE(VLOOKUP(A29,'Sales IN Revenues vs Sales targ'!A:G,7,false)," $","")), "")
</f>
        <v/>
      </c>
      <c r="L29" s="17" t="str">
        <f t="shared" si="4"/>
        <v/>
      </c>
      <c r="M29" s="1">
        <f>value(SUBSTITUTE(IFERROR(VLOOKUP(A29,'Certifications achievements vs '!A:G,6,false),""),"#","")
)</f>
        <v>0</v>
      </c>
      <c r="N29" s="1">
        <f>value(SUBSTITUTE(IFERROR(VLOOKUP(A29,'Certifications achievements vs '!A:G,7,false),""),"#","")
)</f>
        <v>0</v>
      </c>
      <c r="O29" s="17" t="str">
        <f t="shared" si="5"/>
        <v/>
      </c>
      <c r="P29" s="1">
        <f>value(SUBSTITUTE(IFERROR(VLOOKUP(A29,'Communications - Solution Speci'!A:G,6,false),""),"#","")
)</f>
        <v>0</v>
      </c>
      <c r="Q29" s="1">
        <f>value(SUBSTITUTE(IFERROR(VLOOKUP(A29,'Communications - Solution Speci'!A:G,7,false),""),"#","")
)</f>
        <v>0</v>
      </c>
      <c r="R29" s="17" t="str">
        <f t="shared" si="6"/>
        <v/>
      </c>
      <c r="S29" s="1">
        <f>value(SUBSTITUTE(IFERROR(VLOOKUP(A29,'Networking - Solution Specializ'!A:G,6,false),""),"#","")
)</f>
        <v>0</v>
      </c>
      <c r="T29" s="1">
        <f>value(SUBSTITUTE(IFERROR(VLOOKUP(A29,'Networking - Solution Specializ'!A:G,7,false),""),"#","")
)</f>
        <v>0</v>
      </c>
      <c r="U29" s="17" t="str">
        <f t="shared" si="7"/>
        <v/>
      </c>
      <c r="V29" s="1" t="str">
        <f>iferror(vlookup(A29,'Marketing Plan (extract summary'!A:G,6,false),"")</f>
        <v/>
      </c>
      <c r="W29" s="1" t="str">
        <f>iferror(vlookup(A29,'Marketing Plan (extract summary'!A:G,7,false),"")</f>
        <v/>
      </c>
      <c r="X29" s="17" t="str">
        <f t="shared" si="8"/>
        <v/>
      </c>
      <c r="Y29" s="1">
        <f>value(IFERROR(SUBSTITUTE(SUBSTITUTE(VLOOKUP(A29,'Quarterly Pipeline vs Target Pi'!A:G,6,false)," $","")," €",""), "")
)</f>
        <v>0</v>
      </c>
      <c r="Z29" s="1">
        <f>value(IFERROR(SUBSTITUTE(SUBSTITUTE(VLOOKUP(A29,'Quarterly Pipeline vs Target Pi'!A:G,7,false)," $","")," €",""), "")
)</f>
        <v>0</v>
      </c>
      <c r="AA29" s="17" t="str">
        <f t="shared" si="9"/>
        <v/>
      </c>
      <c r="AB29" s="1">
        <f>value(IFERROR(SUBSTITUTE(SUBSTITUTE(VLOOKUP($A29,'Quarterly Pipeline vs Target Pi'!$A:$V,11,false)," $","")," €",""), "")
)</f>
        <v>0</v>
      </c>
      <c r="AC29" s="1">
        <f>value(IFERROR(SUBSTITUTE(SUBSTITUTE(VLOOKUP($A29,'Quarterly Pipeline vs Target Pi'!$A:$V,12,false)," $","")," €",""), "")
)</f>
        <v>0</v>
      </c>
      <c r="AD29" s="17" t="str">
        <f t="shared" si="10"/>
        <v/>
      </c>
      <c r="AE29" s="1">
        <f>value(IFERROR(SUBSTITUTE(SUBSTITUTE(VLOOKUP($A29,'Quarterly Pipeline vs Target Pi'!$A:$V,16,false)," $","")," €",""), "")
)</f>
        <v>0</v>
      </c>
      <c r="AF29" s="1">
        <f>value(IFERROR(SUBSTITUTE(SUBSTITUTE(VLOOKUP($A29,'Quarterly Pipeline vs Target Pi'!$A:$V,17,false)," $","")," €",""), "")
)</f>
        <v>0</v>
      </c>
      <c r="AG29" s="17" t="str">
        <f t="shared" si="11"/>
        <v/>
      </c>
      <c r="AH29" s="1">
        <f>value(IFERROR(SUBSTITUTE(SUBSTITUTE(VLOOKUP($A29,'Quarterly Pipeline vs Target Pi'!$A:$V,21,false)," $","")," €",""), "")
)</f>
        <v>0</v>
      </c>
      <c r="AI29" s="1">
        <f>value(IFERROR(SUBSTITUTE(SUBSTITUTE(VLOOKUP($A29,'Quarterly Pipeline vs Target Pi'!$A:$V,22,false)," $","")," €",""), "")
)</f>
        <v>0</v>
      </c>
      <c r="AJ29" s="17" t="str">
        <f t="shared" si="12"/>
        <v/>
      </c>
      <c r="AK29" s="1">
        <f t="shared" ref="AK29:AL29" si="71">sum(Y29,AB29,AE29,AH29)</f>
        <v>0</v>
      </c>
      <c r="AL29" s="1">
        <f t="shared" si="71"/>
        <v>0</v>
      </c>
      <c r="AM29" s="17" t="str">
        <f t="shared" si="14"/>
        <v/>
      </c>
      <c r="AN29" s="1">
        <f>value(IFERROR(SUBSTITUTE(SUBSTITUTE(VLOOKUP($A29,'Quarterly Pipeline vs Target Pi'!$A:$AP,26,false)," $","")," €",""), "")
)</f>
        <v>0</v>
      </c>
      <c r="AO29" s="1">
        <f>value(IFERROR(SUBSTITUTE(SUBSTITUTE(VLOOKUP($A29,'Quarterly Pipeline vs Target Pi'!$A:$AP,27,false)," $","")," €",""), "")
)</f>
        <v>0</v>
      </c>
      <c r="AP29" s="17" t="str">
        <f t="shared" si="15"/>
        <v/>
      </c>
      <c r="AQ29" s="1">
        <f>value(IFERROR(SUBSTITUTE(SUBSTITUTE(VLOOKUP($A29,'Quarterly Pipeline vs Target Pi'!$A:$AP,31,false)," $","")," €",""), "")
)</f>
        <v>0</v>
      </c>
      <c r="AR29" s="1">
        <f>value(IFERROR(SUBSTITUTE(SUBSTITUTE(VLOOKUP($A29,'Quarterly Pipeline vs Target Pi'!$A:$AP,32,false)," $","")," €",""), "")
)</f>
        <v>0</v>
      </c>
      <c r="AS29" s="17" t="str">
        <f t="shared" si="16"/>
        <v/>
      </c>
      <c r="AT29" s="1">
        <f>value(IFERROR(SUBSTITUTE(SUBSTITUTE(VLOOKUP($A29,'Quarterly Pipeline vs Target Pi'!$A:$AP,36,false)," $","")," €",""), "")
)</f>
        <v>0</v>
      </c>
      <c r="AU29" s="1">
        <f>value(IFERROR(SUBSTITUTE(SUBSTITUTE(VLOOKUP($A29,'Quarterly Pipeline vs Target Pi'!$A:$AP,37,false)," $","")," €",""), "")
)</f>
        <v>0</v>
      </c>
      <c r="AV29" s="17" t="str">
        <f t="shared" si="17"/>
        <v/>
      </c>
      <c r="AW29" s="1">
        <f>value(IFERROR(SUBSTITUTE(SUBSTITUTE(VLOOKUP($A29,'Quarterly Pipeline vs Target Pi'!$A:$AP,41,false)," $","")," €",""), "")
)</f>
        <v>0</v>
      </c>
      <c r="AX29" s="1">
        <f>value(IFERROR(SUBSTITUTE(SUBSTITUTE(VLOOKUP($A29,'Quarterly Pipeline vs Target Pi'!$A:$AP,42,false)," $","")," €",""), "")
)</f>
        <v>0</v>
      </c>
      <c r="AY29" s="17" t="str">
        <f t="shared" si="18"/>
        <v/>
      </c>
      <c r="AZ29" s="1">
        <f t="shared" ref="AZ29:BA29" si="72">sum(AN29,AQ29,AT29,AW29)</f>
        <v>0</v>
      </c>
      <c r="BA29" s="1">
        <f t="shared" si="72"/>
        <v>0</v>
      </c>
      <c r="BB29" s="17" t="str">
        <f t="shared" si="20"/>
        <v/>
      </c>
    </row>
    <row r="30">
      <c r="A30" s="1" t="str">
        <f>IFERROR(__xludf.DUMMYFUNCTION("""COMPUTED_VALUE"""),"63ef9d56384f27260c1ba16b")</f>
        <v>63ef9d56384f27260c1ba16b</v>
      </c>
      <c r="B30" s="1" t="str">
        <f>IFERROR(__xludf.DUMMYFUNCTION("""COMPUTED_VALUE"""),"ALLOWAY NETWORKS DISTRIBUICAO DE PRODUTOS E SOFTWARE LTDA")</f>
        <v>ALLOWAY NETWORKS DISTRIBUICAO DE PRODUTOS E SOFTWARE LTDA</v>
      </c>
      <c r="C30" s="1" t="str">
        <f>IFERROR(__xludf.DUMMYFUNCTION("""COMPUTED_VALUE"""),"sinclair.fidelis@al-enterprise.com, renato-takashi.yoshizako@al-enterprise.com")</f>
        <v>sinclair.fidelis@al-enterprise.com, renato-takashi.yoshizako@al-enterprise.com</v>
      </c>
      <c r="D30" s="1" t="str">
        <f>IFERROR(__xludf.DUMMYFUNCTION("""COMPUTED_VALUE"""),"americas")</f>
        <v>americas</v>
      </c>
      <c r="E30" s="1" t="str">
        <f>IFERROR(__xludf.DUMMYFUNCTION("""COMPUTED_VALUE"""),"BR")</f>
        <v>BR</v>
      </c>
      <c r="F30" s="1"/>
      <c r="G30" s="1" t="str">
        <f>iferror(VLOOKUP(A30,'Business Plan Setup and Accepta'!A:G,6,false),"")</f>
        <v/>
      </c>
      <c r="H30" s="1" t="str">
        <f>iferror(VLOOKUP(A30,'Business Plan Setup and Accepta'!A:G,7,false),"")</f>
        <v/>
      </c>
      <c r="I30" s="17" t="str">
        <f t="shared" si="3"/>
        <v/>
      </c>
      <c r="J30" s="1" t="str">
        <f>IFERROR(VALUE(SUBSTITUTE(VLOOKUP(A30,'Sales IN Revenues vs Sales targ'!A:G,6,false)," $","")), "")
</f>
        <v/>
      </c>
      <c r="K30" s="1" t="str">
        <f>IFERROR(VALUE(SUBSTITUTE(VLOOKUP(A30,'Sales IN Revenues vs Sales targ'!A:G,7,false)," $","")), "")
</f>
        <v/>
      </c>
      <c r="L30" s="17" t="str">
        <f t="shared" si="4"/>
        <v/>
      </c>
      <c r="M30" s="1">
        <f>value(SUBSTITUTE(IFERROR(VLOOKUP(A30,'Certifications achievements vs '!A:G,6,false),""),"#","")
)</f>
        <v>0</v>
      </c>
      <c r="N30" s="1">
        <f>value(SUBSTITUTE(IFERROR(VLOOKUP(A30,'Certifications achievements vs '!A:G,7,false),""),"#","")
)</f>
        <v>0</v>
      </c>
      <c r="O30" s="17" t="str">
        <f t="shared" si="5"/>
        <v/>
      </c>
      <c r="P30" s="1">
        <f>value(SUBSTITUTE(IFERROR(VLOOKUP(A30,'Communications - Solution Speci'!A:G,6,false),""),"#","")
)</f>
        <v>0</v>
      </c>
      <c r="Q30" s="1">
        <f>value(SUBSTITUTE(IFERROR(VLOOKUP(A30,'Communications - Solution Speci'!A:G,7,false),""),"#","")
)</f>
        <v>0</v>
      </c>
      <c r="R30" s="17" t="str">
        <f t="shared" si="6"/>
        <v/>
      </c>
      <c r="S30" s="1">
        <f>value(SUBSTITUTE(IFERROR(VLOOKUP(A30,'Networking - Solution Specializ'!A:G,6,false),""),"#","")
)</f>
        <v>0</v>
      </c>
      <c r="T30" s="1">
        <f>value(SUBSTITUTE(IFERROR(VLOOKUP(A30,'Networking - Solution Specializ'!A:G,7,false),""),"#","")
)</f>
        <v>0</v>
      </c>
      <c r="U30" s="17" t="str">
        <f t="shared" si="7"/>
        <v/>
      </c>
      <c r="V30" s="1" t="str">
        <f>iferror(vlookup(A30,'Marketing Plan (extract summary'!A:G,6,false),"")</f>
        <v/>
      </c>
      <c r="W30" s="1" t="str">
        <f>iferror(vlookup(A30,'Marketing Plan (extract summary'!A:G,7,false),"")</f>
        <v/>
      </c>
      <c r="X30" s="17" t="str">
        <f t="shared" si="8"/>
        <v/>
      </c>
      <c r="Y30" s="1">
        <f>value(IFERROR(SUBSTITUTE(SUBSTITUTE(VLOOKUP(A30,'Quarterly Pipeline vs Target Pi'!A:G,6,false)," $","")," €",""), "")
)</f>
        <v>0</v>
      </c>
      <c r="Z30" s="1">
        <f>value(IFERROR(SUBSTITUTE(SUBSTITUTE(VLOOKUP(A30,'Quarterly Pipeline vs Target Pi'!A:G,7,false)," $","")," €",""), "")
)</f>
        <v>0</v>
      </c>
      <c r="AA30" s="17" t="str">
        <f t="shared" si="9"/>
        <v/>
      </c>
      <c r="AB30" s="1">
        <f>value(IFERROR(SUBSTITUTE(SUBSTITUTE(VLOOKUP($A30,'Quarterly Pipeline vs Target Pi'!$A:$V,11,false)," $","")," €",""), "")
)</f>
        <v>0</v>
      </c>
      <c r="AC30" s="1">
        <f>value(IFERROR(SUBSTITUTE(SUBSTITUTE(VLOOKUP($A30,'Quarterly Pipeline vs Target Pi'!$A:$V,12,false)," $","")," €",""), "")
)</f>
        <v>0</v>
      </c>
      <c r="AD30" s="17" t="str">
        <f t="shared" si="10"/>
        <v/>
      </c>
      <c r="AE30" s="1">
        <f>value(IFERROR(SUBSTITUTE(SUBSTITUTE(VLOOKUP($A30,'Quarterly Pipeline vs Target Pi'!$A:$V,16,false)," $","")," €",""), "")
)</f>
        <v>0</v>
      </c>
      <c r="AF30" s="1">
        <f>value(IFERROR(SUBSTITUTE(SUBSTITUTE(VLOOKUP($A30,'Quarterly Pipeline vs Target Pi'!$A:$V,17,false)," $","")," €",""), "")
)</f>
        <v>0</v>
      </c>
      <c r="AG30" s="17" t="str">
        <f t="shared" si="11"/>
        <v/>
      </c>
      <c r="AH30" s="1">
        <f>value(IFERROR(SUBSTITUTE(SUBSTITUTE(VLOOKUP($A30,'Quarterly Pipeline vs Target Pi'!$A:$V,21,false)," $","")," €",""), "")
)</f>
        <v>0</v>
      </c>
      <c r="AI30" s="1">
        <f>value(IFERROR(SUBSTITUTE(SUBSTITUTE(VLOOKUP($A30,'Quarterly Pipeline vs Target Pi'!$A:$V,22,false)," $","")," €",""), "")
)</f>
        <v>0</v>
      </c>
      <c r="AJ30" s="17" t="str">
        <f t="shared" si="12"/>
        <v/>
      </c>
      <c r="AK30" s="1">
        <f t="shared" ref="AK30:AL30" si="73">sum(Y30,AB30,AE30,AH30)</f>
        <v>0</v>
      </c>
      <c r="AL30" s="1">
        <f t="shared" si="73"/>
        <v>0</v>
      </c>
      <c r="AM30" s="17" t="str">
        <f t="shared" si="14"/>
        <v/>
      </c>
      <c r="AN30" s="1">
        <f>value(IFERROR(SUBSTITUTE(SUBSTITUTE(VLOOKUP($A30,'Quarterly Pipeline vs Target Pi'!$A:$AP,26,false)," $","")," €",""), "")
)</f>
        <v>0</v>
      </c>
      <c r="AO30" s="1">
        <f>value(IFERROR(SUBSTITUTE(SUBSTITUTE(VLOOKUP($A30,'Quarterly Pipeline vs Target Pi'!$A:$AP,27,false)," $","")," €",""), "")
)</f>
        <v>0</v>
      </c>
      <c r="AP30" s="17" t="str">
        <f t="shared" si="15"/>
        <v/>
      </c>
      <c r="AQ30" s="1">
        <f>value(IFERROR(SUBSTITUTE(SUBSTITUTE(VLOOKUP($A30,'Quarterly Pipeline vs Target Pi'!$A:$AP,31,false)," $","")," €",""), "")
)</f>
        <v>0</v>
      </c>
      <c r="AR30" s="1">
        <f>value(IFERROR(SUBSTITUTE(SUBSTITUTE(VLOOKUP($A30,'Quarterly Pipeline vs Target Pi'!$A:$AP,32,false)," $","")," €",""), "")
)</f>
        <v>0</v>
      </c>
      <c r="AS30" s="17" t="str">
        <f t="shared" si="16"/>
        <v/>
      </c>
      <c r="AT30" s="1">
        <f>value(IFERROR(SUBSTITUTE(SUBSTITUTE(VLOOKUP($A30,'Quarterly Pipeline vs Target Pi'!$A:$AP,36,false)," $","")," €",""), "")
)</f>
        <v>0</v>
      </c>
      <c r="AU30" s="1">
        <f>value(IFERROR(SUBSTITUTE(SUBSTITUTE(VLOOKUP($A30,'Quarterly Pipeline vs Target Pi'!$A:$AP,37,false)," $","")," €",""), "")
)</f>
        <v>0</v>
      </c>
      <c r="AV30" s="17" t="str">
        <f t="shared" si="17"/>
        <v/>
      </c>
      <c r="AW30" s="1">
        <f>value(IFERROR(SUBSTITUTE(SUBSTITUTE(VLOOKUP($A30,'Quarterly Pipeline vs Target Pi'!$A:$AP,41,false)," $","")," €",""), "")
)</f>
        <v>0</v>
      </c>
      <c r="AX30" s="1">
        <f>value(IFERROR(SUBSTITUTE(SUBSTITUTE(VLOOKUP($A30,'Quarterly Pipeline vs Target Pi'!$A:$AP,42,false)," $","")," €",""), "")
)</f>
        <v>0</v>
      </c>
      <c r="AY30" s="17" t="str">
        <f t="shared" si="18"/>
        <v/>
      </c>
      <c r="AZ30" s="1">
        <f t="shared" ref="AZ30:BA30" si="74">sum(AN30,AQ30,AT30,AW30)</f>
        <v>0</v>
      </c>
      <c r="BA30" s="1">
        <f t="shared" si="74"/>
        <v>0</v>
      </c>
      <c r="BB30" s="17" t="str">
        <f t="shared" si="20"/>
        <v/>
      </c>
    </row>
    <row r="31">
      <c r="A31" s="1" t="str">
        <f>IFERROR(__xludf.DUMMYFUNCTION("""COMPUTED_VALUE"""),"63ced849c5c820531c268f5a")</f>
        <v>63ced849c5c820531c268f5a</v>
      </c>
      <c r="B31" s="1" t="str">
        <f>IFERROR(__xludf.DUMMYFUNCTION("""COMPUTED_VALUE"""),"ALSO Deutschland GmbH")</f>
        <v>ALSO Deutschland GmbH</v>
      </c>
      <c r="C31" s="1" t="str">
        <f>IFERROR(__xludf.DUMMYFUNCTION("""COMPUTED_VALUE"""),"michael.moog@al-enterprise.com, katrin.pfeiffer@al-enterprise.com, sibylle.klopfer@al-enterprise.com, igor.leko@al-enterprise.com")</f>
        <v>michael.moog@al-enterprise.com, katrin.pfeiffer@al-enterprise.com, sibylle.klopfer@al-enterprise.com, igor.leko@al-enterprise.com</v>
      </c>
      <c r="D31" s="1" t="str">
        <f>IFERROR(__xludf.DUMMYFUNCTION("""COMPUTED_VALUE"""),"germany")</f>
        <v>germany</v>
      </c>
      <c r="E31" s="1" t="str">
        <f>IFERROR(__xludf.DUMMYFUNCTION("""COMPUTED_VALUE"""),"DE")</f>
        <v>DE</v>
      </c>
      <c r="F31" s="1" t="str">
        <f>IFERROR(__xludf.DUMMYFUNCTION("""COMPUTED_VALUE"""),"distributor_1000")</f>
        <v>distributor_1000</v>
      </c>
      <c r="G31" s="1">
        <f>iferror(VLOOKUP(A31,'Business Plan Setup and Accepta'!A:G,6,false),"")</f>
        <v>0</v>
      </c>
      <c r="H31" s="1">
        <f>iferror(VLOOKUP(A31,'Business Plan Setup and Accepta'!A:G,7,false),"")</f>
        <v>1</v>
      </c>
      <c r="I31" s="17">
        <f t="shared" si="3"/>
        <v>0</v>
      </c>
      <c r="J31" s="1">
        <f>IFERROR(VALUE(SUBSTITUTE(VLOOKUP(A31,'Sales IN Revenues vs Sales targ'!A:G,6,false)," $","")), "")
</f>
        <v>2756.73</v>
      </c>
      <c r="K31" s="1">
        <f>IFERROR(VALUE(SUBSTITUTE(VLOOKUP(A31,'Sales IN Revenues vs Sales targ'!A:G,7,false)," $","")), "")
</f>
        <v>5340</v>
      </c>
      <c r="L31" s="17">
        <f t="shared" si="4"/>
        <v>0.516241573</v>
      </c>
      <c r="M31" s="1">
        <f>value(SUBSTITUTE(IFERROR(VLOOKUP(A31,'Certifications achievements vs '!A:G,6,false),""),"#","")
)</f>
        <v>27</v>
      </c>
      <c r="N31" s="1">
        <f>value(SUBSTITUTE(IFERROR(VLOOKUP(A31,'Certifications achievements vs '!A:G,7,false),""),"#","")
)</f>
        <v>52</v>
      </c>
      <c r="O31" s="17">
        <f t="shared" si="5"/>
        <v>0.5192307692</v>
      </c>
      <c r="P31" s="1">
        <f>value(SUBSTITUTE(IFERROR(VLOOKUP(A31,'Communications - Solution Speci'!A:G,6,false),""),"#","")
)</f>
        <v>1</v>
      </c>
      <c r="Q31" s="1">
        <f>value(SUBSTITUTE(IFERROR(VLOOKUP(A31,'Communications - Solution Speci'!A:G,7,false),""),"#","")
)</f>
        <v>1</v>
      </c>
      <c r="R31" s="17">
        <f t="shared" si="6"/>
        <v>1</v>
      </c>
      <c r="S31" s="1">
        <f>value(SUBSTITUTE(IFERROR(VLOOKUP(A31,'Networking - Solution Specializ'!A:G,6,false),""),"#","")
)</f>
        <v>0</v>
      </c>
      <c r="T31" s="1">
        <f>value(SUBSTITUTE(IFERROR(VLOOKUP(A31,'Networking - Solution Specializ'!A:G,7,false),""),"#","")
)</f>
        <v>1</v>
      </c>
      <c r="U31" s="17">
        <f t="shared" si="7"/>
        <v>0</v>
      </c>
      <c r="V31" s="1">
        <f>iferror(vlookup(A31,'Marketing Plan (extract summary'!A:G,6,false),"")</f>
        <v>0</v>
      </c>
      <c r="W31" s="1">
        <f>iferror(vlookup(A31,'Marketing Plan (extract summary'!A:G,7,false),"")</f>
        <v>1</v>
      </c>
      <c r="X31" s="17">
        <f t="shared" si="8"/>
        <v>0</v>
      </c>
      <c r="Y31" s="1">
        <f>value(IFERROR(SUBSTITUTE(SUBSTITUTE(VLOOKUP(A31,'Quarterly Pipeline vs Target Pi'!A:G,6,false)," $","")," €",""), "")
)</f>
        <v>14.52</v>
      </c>
      <c r="Z31" s="1">
        <f>value(IFERROR(SUBSTITUTE(SUBSTITUTE(VLOOKUP(A31,'Quarterly Pipeline vs Target Pi'!A:G,7,false)," $","")," €",""), "")
)</f>
        <v>0</v>
      </c>
      <c r="AA31" s="17" t="str">
        <f t="shared" si="9"/>
        <v/>
      </c>
      <c r="AB31" s="1">
        <f>value(IFERROR(SUBSTITUTE(SUBSTITUTE(VLOOKUP($A31,'Quarterly Pipeline vs Target Pi'!$A:$V,11,false)," $","")," €",""), "")
)</f>
        <v>7.05</v>
      </c>
      <c r="AC31" s="1">
        <f>value(IFERROR(SUBSTITUTE(SUBSTITUTE(VLOOKUP($A31,'Quarterly Pipeline vs Target Pi'!$A:$V,12,false)," $","")," €",""), "")
)</f>
        <v>1066.67</v>
      </c>
      <c r="AD31" s="17">
        <f t="shared" si="10"/>
        <v>0.006609354346</v>
      </c>
      <c r="AE31" s="1">
        <f>value(IFERROR(SUBSTITUTE(SUBSTITUTE(VLOOKUP($A31,'Quarterly Pipeline vs Target Pi'!$A:$V,16,false)," $","")," €",""), "")
)</f>
        <v>318.42</v>
      </c>
      <c r="AF31" s="1">
        <f>value(IFERROR(SUBSTITUTE(SUBSTITUTE(VLOOKUP($A31,'Quarterly Pipeline vs Target Pi'!$A:$V,17,false)," $","")," €",""), "")
)</f>
        <v>1600</v>
      </c>
      <c r="AG31" s="17">
        <f t="shared" si="11"/>
        <v>0.1990125</v>
      </c>
      <c r="AH31" s="1">
        <f>value(IFERROR(SUBSTITUTE(SUBSTITUTE(VLOOKUP($A31,'Quarterly Pipeline vs Target Pi'!$A:$V,21,false)," $","")," €",""), "")
)</f>
        <v>282.09</v>
      </c>
      <c r="AI31" s="1">
        <f>value(IFERROR(SUBSTITUTE(SUBSTITUTE(VLOOKUP($A31,'Quarterly Pipeline vs Target Pi'!$A:$V,22,false)," $","")," €",""), "")
)</f>
        <v>1600</v>
      </c>
      <c r="AJ31" s="17">
        <f t="shared" si="12"/>
        <v>0.17630625</v>
      </c>
      <c r="AK31" s="1">
        <f t="shared" ref="AK31:AL31" si="75">sum(Y31,AB31,AE31,AH31)</f>
        <v>622.08</v>
      </c>
      <c r="AL31" s="1">
        <f t="shared" si="75"/>
        <v>4266.67</v>
      </c>
      <c r="AM31" s="17">
        <f t="shared" si="14"/>
        <v>0.1457998861</v>
      </c>
      <c r="AN31" s="1">
        <f>value(IFERROR(SUBSTITUTE(SUBSTITUTE(VLOOKUP($A31,'Quarterly Pipeline vs Target Pi'!$A:$AP,26,false)," $","")," €",""), "")
)</f>
        <v>17.75</v>
      </c>
      <c r="AO31" s="1">
        <f>value(IFERROR(SUBSTITUTE(SUBSTITUTE(VLOOKUP($A31,'Quarterly Pipeline vs Target Pi'!$A:$AP,27,false)," $","")," €",""), "")
)</f>
        <v>0</v>
      </c>
      <c r="AP31" s="17" t="str">
        <f t="shared" si="15"/>
        <v/>
      </c>
      <c r="AQ31" s="1">
        <f>value(IFERROR(SUBSTITUTE(SUBSTITUTE(VLOOKUP($A31,'Quarterly Pipeline vs Target Pi'!$A:$AP,31,false)," $","")," €",""), "")
)</f>
        <v>114.76</v>
      </c>
      <c r="AR31" s="1">
        <f>value(IFERROR(SUBSTITUTE(SUBSTITUTE(VLOOKUP($A31,'Quarterly Pipeline vs Target Pi'!$A:$AP,32,false)," $","")," €",""), "")
)</f>
        <v>0</v>
      </c>
      <c r="AS31" s="17" t="str">
        <f t="shared" si="16"/>
        <v/>
      </c>
      <c r="AT31" s="1">
        <f>value(IFERROR(SUBSTITUTE(SUBSTITUTE(VLOOKUP($A31,'Quarterly Pipeline vs Target Pi'!$A:$AP,36,false)," $","")," €",""), "")
)</f>
        <v>27.16</v>
      </c>
      <c r="AU31" s="1">
        <f>value(IFERROR(SUBSTITUTE(SUBSTITUTE(VLOOKUP($A31,'Quarterly Pipeline vs Target Pi'!$A:$AP,37,false)," $","")," €",""), "")
)</f>
        <v>0</v>
      </c>
      <c r="AV31" s="17" t="str">
        <f t="shared" si="17"/>
        <v/>
      </c>
      <c r="AW31" s="1">
        <f>value(IFERROR(SUBSTITUTE(SUBSTITUTE(VLOOKUP($A31,'Quarterly Pipeline vs Target Pi'!$A:$AP,41,false)," $","")," €",""), "")
)</f>
        <v>52.99</v>
      </c>
      <c r="AX31" s="1">
        <f>value(IFERROR(SUBSTITUTE(SUBSTITUTE(VLOOKUP($A31,'Quarterly Pipeline vs Target Pi'!$A:$AP,42,false)," $","")," €",""), "")
)</f>
        <v>0</v>
      </c>
      <c r="AY31" s="17" t="str">
        <f t="shared" si="18"/>
        <v/>
      </c>
      <c r="AZ31" s="1">
        <f t="shared" ref="AZ31:BA31" si="76">sum(AN31,AQ31,AT31,AW31)</f>
        <v>212.66</v>
      </c>
      <c r="BA31" s="1">
        <f t="shared" si="76"/>
        <v>0</v>
      </c>
      <c r="BB31" s="17" t="str">
        <f t="shared" si="20"/>
        <v/>
      </c>
    </row>
    <row r="32">
      <c r="A32" s="1" t="str">
        <f>IFERROR(__xludf.DUMMYFUNCTION("""COMPUTED_VALUE"""),"63ced84ec5c820531c269941")</f>
        <v>63ced84ec5c820531c269941</v>
      </c>
      <c r="B32" s="1" t="str">
        <f>IFERROR(__xludf.DUMMYFUNCTION("""COMPUTED_VALUE"""),"ALTVoIP Inc.")</f>
        <v>ALTVoIP Inc.</v>
      </c>
      <c r="C32" s="1" t="str">
        <f>IFERROR(__xludf.DUMMYFUNCTION("""COMPUTED_VALUE"""),"brendan.flaherty@al-enterprise.com")</f>
        <v>brendan.flaherty@al-enterprise.com</v>
      </c>
      <c r="D32" s="1" t="str">
        <f>IFERROR(__xludf.DUMMYFUNCTION("""COMPUTED_VALUE"""),"americas")</f>
        <v>americas</v>
      </c>
      <c r="E32" s="1" t="str">
        <f>IFERROR(__xludf.DUMMYFUNCTION("""COMPUTED_VALUE"""),"US")</f>
        <v>US</v>
      </c>
      <c r="F32" s="1"/>
      <c r="G32" s="1" t="str">
        <f>iferror(VLOOKUP(A32,'Business Plan Setup and Accepta'!A:G,6,false),"")</f>
        <v/>
      </c>
      <c r="H32" s="1" t="str">
        <f>iferror(VLOOKUP(A32,'Business Plan Setup and Accepta'!A:G,7,false),"")</f>
        <v/>
      </c>
      <c r="I32" s="17" t="str">
        <f t="shared" si="3"/>
        <v/>
      </c>
      <c r="J32" s="1" t="str">
        <f>IFERROR(VALUE(SUBSTITUTE(VLOOKUP(A32,'Sales IN Revenues vs Sales targ'!A:G,6,false)," $","")), "")
</f>
        <v/>
      </c>
      <c r="K32" s="1" t="str">
        <f>IFERROR(VALUE(SUBSTITUTE(VLOOKUP(A32,'Sales IN Revenues vs Sales targ'!A:G,7,false)," $","")), "")
</f>
        <v/>
      </c>
      <c r="L32" s="17" t="str">
        <f t="shared" si="4"/>
        <v/>
      </c>
      <c r="M32" s="1">
        <f>value(SUBSTITUTE(IFERROR(VLOOKUP(A32,'Certifications achievements vs '!A:G,6,false),""),"#","")
)</f>
        <v>0</v>
      </c>
      <c r="N32" s="1">
        <f>value(SUBSTITUTE(IFERROR(VLOOKUP(A32,'Certifications achievements vs '!A:G,7,false),""),"#","")
)</f>
        <v>0</v>
      </c>
      <c r="O32" s="17" t="str">
        <f t="shared" si="5"/>
        <v/>
      </c>
      <c r="P32" s="1">
        <f>value(SUBSTITUTE(IFERROR(VLOOKUP(A32,'Communications - Solution Speci'!A:G,6,false),""),"#","")
)</f>
        <v>0</v>
      </c>
      <c r="Q32" s="1">
        <f>value(SUBSTITUTE(IFERROR(VLOOKUP(A32,'Communications - Solution Speci'!A:G,7,false),""),"#","")
)</f>
        <v>0</v>
      </c>
      <c r="R32" s="17" t="str">
        <f t="shared" si="6"/>
        <v/>
      </c>
      <c r="S32" s="1">
        <f>value(SUBSTITUTE(IFERROR(VLOOKUP(A32,'Networking - Solution Specializ'!A:G,6,false),""),"#","")
)</f>
        <v>0</v>
      </c>
      <c r="T32" s="1">
        <f>value(SUBSTITUTE(IFERROR(VLOOKUP(A32,'Networking - Solution Specializ'!A:G,7,false),""),"#","")
)</f>
        <v>0</v>
      </c>
      <c r="U32" s="17" t="str">
        <f t="shared" si="7"/>
        <v/>
      </c>
      <c r="V32" s="1" t="str">
        <f>iferror(vlookup(A32,'Marketing Plan (extract summary'!A:G,6,false),"")</f>
        <v/>
      </c>
      <c r="W32" s="1" t="str">
        <f>iferror(vlookup(A32,'Marketing Plan (extract summary'!A:G,7,false),"")</f>
        <v/>
      </c>
      <c r="X32" s="17" t="str">
        <f t="shared" si="8"/>
        <v/>
      </c>
      <c r="Y32" s="1">
        <f>value(IFERROR(SUBSTITUTE(SUBSTITUTE(VLOOKUP(A32,'Quarterly Pipeline vs Target Pi'!A:G,6,false)," $","")," €",""), "")
)</f>
        <v>0</v>
      </c>
      <c r="Z32" s="1">
        <f>value(IFERROR(SUBSTITUTE(SUBSTITUTE(VLOOKUP(A32,'Quarterly Pipeline vs Target Pi'!A:G,7,false)," $","")," €",""), "")
)</f>
        <v>0</v>
      </c>
      <c r="AA32" s="17" t="str">
        <f t="shared" si="9"/>
        <v/>
      </c>
      <c r="AB32" s="1">
        <f>value(IFERROR(SUBSTITUTE(SUBSTITUTE(VLOOKUP($A32,'Quarterly Pipeline vs Target Pi'!$A:$V,11,false)," $","")," €",""), "")
)</f>
        <v>0</v>
      </c>
      <c r="AC32" s="1">
        <f>value(IFERROR(SUBSTITUTE(SUBSTITUTE(VLOOKUP($A32,'Quarterly Pipeline vs Target Pi'!$A:$V,12,false)," $","")," €",""), "")
)</f>
        <v>0</v>
      </c>
      <c r="AD32" s="17" t="str">
        <f t="shared" si="10"/>
        <v/>
      </c>
      <c r="AE32" s="1">
        <f>value(IFERROR(SUBSTITUTE(SUBSTITUTE(VLOOKUP($A32,'Quarterly Pipeline vs Target Pi'!$A:$V,16,false)," $","")," €",""), "")
)</f>
        <v>0</v>
      </c>
      <c r="AF32" s="1">
        <f>value(IFERROR(SUBSTITUTE(SUBSTITUTE(VLOOKUP($A32,'Quarterly Pipeline vs Target Pi'!$A:$V,17,false)," $","")," €",""), "")
)</f>
        <v>0</v>
      </c>
      <c r="AG32" s="17" t="str">
        <f t="shared" si="11"/>
        <v/>
      </c>
      <c r="AH32" s="1">
        <f>value(IFERROR(SUBSTITUTE(SUBSTITUTE(VLOOKUP($A32,'Quarterly Pipeline vs Target Pi'!$A:$V,21,false)," $","")," €",""), "")
)</f>
        <v>0</v>
      </c>
      <c r="AI32" s="1">
        <f>value(IFERROR(SUBSTITUTE(SUBSTITUTE(VLOOKUP($A32,'Quarterly Pipeline vs Target Pi'!$A:$V,22,false)," $","")," €",""), "")
)</f>
        <v>0</v>
      </c>
      <c r="AJ32" s="17" t="str">
        <f t="shared" si="12"/>
        <v/>
      </c>
      <c r="AK32" s="1">
        <f t="shared" ref="AK32:AL32" si="77">sum(Y32,AB32,AE32,AH32)</f>
        <v>0</v>
      </c>
      <c r="AL32" s="1">
        <f t="shared" si="77"/>
        <v>0</v>
      </c>
      <c r="AM32" s="17" t="str">
        <f t="shared" si="14"/>
        <v/>
      </c>
      <c r="AN32" s="1">
        <f>value(IFERROR(SUBSTITUTE(SUBSTITUTE(VLOOKUP($A32,'Quarterly Pipeline vs Target Pi'!$A:$AP,26,false)," $","")," €",""), "")
)</f>
        <v>0</v>
      </c>
      <c r="AO32" s="1">
        <f>value(IFERROR(SUBSTITUTE(SUBSTITUTE(VLOOKUP($A32,'Quarterly Pipeline vs Target Pi'!$A:$AP,27,false)," $","")," €",""), "")
)</f>
        <v>0</v>
      </c>
      <c r="AP32" s="17" t="str">
        <f t="shared" si="15"/>
        <v/>
      </c>
      <c r="AQ32" s="1">
        <f>value(IFERROR(SUBSTITUTE(SUBSTITUTE(VLOOKUP($A32,'Quarterly Pipeline vs Target Pi'!$A:$AP,31,false)," $","")," €",""), "")
)</f>
        <v>0</v>
      </c>
      <c r="AR32" s="1">
        <f>value(IFERROR(SUBSTITUTE(SUBSTITUTE(VLOOKUP($A32,'Quarterly Pipeline vs Target Pi'!$A:$AP,32,false)," $","")," €",""), "")
)</f>
        <v>0</v>
      </c>
      <c r="AS32" s="17" t="str">
        <f t="shared" si="16"/>
        <v/>
      </c>
      <c r="AT32" s="1">
        <f>value(IFERROR(SUBSTITUTE(SUBSTITUTE(VLOOKUP($A32,'Quarterly Pipeline vs Target Pi'!$A:$AP,36,false)," $","")," €",""), "")
)</f>
        <v>0</v>
      </c>
      <c r="AU32" s="1">
        <f>value(IFERROR(SUBSTITUTE(SUBSTITUTE(VLOOKUP($A32,'Quarterly Pipeline vs Target Pi'!$A:$AP,37,false)," $","")," €",""), "")
)</f>
        <v>0</v>
      </c>
      <c r="AV32" s="17" t="str">
        <f t="shared" si="17"/>
        <v/>
      </c>
      <c r="AW32" s="1">
        <f>value(IFERROR(SUBSTITUTE(SUBSTITUTE(VLOOKUP($A32,'Quarterly Pipeline vs Target Pi'!$A:$AP,41,false)," $","")," €",""), "")
)</f>
        <v>0</v>
      </c>
      <c r="AX32" s="1">
        <f>value(IFERROR(SUBSTITUTE(SUBSTITUTE(VLOOKUP($A32,'Quarterly Pipeline vs Target Pi'!$A:$AP,42,false)," $","")," €",""), "")
)</f>
        <v>0</v>
      </c>
      <c r="AY32" s="17" t="str">
        <f t="shared" si="18"/>
        <v/>
      </c>
      <c r="AZ32" s="1">
        <f t="shared" ref="AZ32:BA32" si="78">sum(AN32,AQ32,AT32,AW32)</f>
        <v>0</v>
      </c>
      <c r="BA32" s="1">
        <f t="shared" si="78"/>
        <v>0</v>
      </c>
      <c r="BB32" s="17" t="str">
        <f t="shared" si="20"/>
        <v/>
      </c>
    </row>
    <row r="33">
      <c r="A33" s="1" t="str">
        <f>IFERROR(__xludf.DUMMYFUNCTION("""COMPUTED_VALUE"""),"63ced846c5c820531c2687f8")</f>
        <v>63ced846c5c820531c2687f8</v>
      </c>
      <c r="B33" s="1" t="str">
        <f>IFERROR(__xludf.DUMMYFUNCTION("""COMPUTED_VALUE"""),"AMBAR TELECOMUNICACIONES SL")</f>
        <v>AMBAR TELECOMUNICACIONES SL</v>
      </c>
      <c r="C33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33" s="1" t="str">
        <f>IFERROR(__xludf.DUMMYFUNCTION("""COMPUTED_VALUE"""),"emea")</f>
        <v>emea</v>
      </c>
      <c r="E33" s="1" t="str">
        <f>IFERROR(__xludf.DUMMYFUNCTION("""COMPUTED_VALUE"""),"ES")</f>
        <v>ES</v>
      </c>
      <c r="F33" s="1" t="str">
        <f>IFERROR(__xludf.DUMMYFUNCTION("""COMPUTED_VALUE"""),"expert_200")</f>
        <v>expert_200</v>
      </c>
      <c r="G33" s="1">
        <f>iferror(VLOOKUP(A33,'Business Plan Setup and Accepta'!A:G,6,false),"")</f>
        <v>1</v>
      </c>
      <c r="H33" s="1">
        <f>iferror(VLOOKUP(A33,'Business Plan Setup and Accepta'!A:G,7,false),"")</f>
        <v>1</v>
      </c>
      <c r="I33" s="17">
        <f t="shared" si="3"/>
        <v>1</v>
      </c>
      <c r="J33" s="1">
        <f>IFERROR(VALUE(SUBSTITUTE(VLOOKUP(A33,'Sales IN Revenues vs Sales targ'!A:G,6,false)," $","")), "")
</f>
        <v>17.22</v>
      </c>
      <c r="K33" s="1">
        <f>IFERROR(VALUE(SUBSTITUTE(VLOOKUP(A33,'Sales IN Revenues vs Sales targ'!A:G,7,false)," $","")), "")
</f>
        <v>550</v>
      </c>
      <c r="L33" s="17">
        <f t="shared" si="4"/>
        <v>0.03130909091</v>
      </c>
      <c r="M33" s="1">
        <f>value(SUBSTITUTE(IFERROR(VLOOKUP(A33,'Certifications achievements vs '!A:G,6,false),""),"#","")
)</f>
        <v>16</v>
      </c>
      <c r="N33" s="1">
        <f>value(SUBSTITUTE(IFERROR(VLOOKUP(A33,'Certifications achievements vs '!A:G,7,false),""),"#","")
)</f>
        <v>52</v>
      </c>
      <c r="O33" s="17">
        <f t="shared" si="5"/>
        <v>0.3076923077</v>
      </c>
      <c r="P33" s="1">
        <f>value(SUBSTITUTE(IFERROR(VLOOKUP(A33,'Communications - Solution Speci'!A:G,6,false),""),"#","")
)</f>
        <v>0</v>
      </c>
      <c r="Q33" s="1">
        <f>value(SUBSTITUTE(IFERROR(VLOOKUP(A33,'Communications - Solution Speci'!A:G,7,false),""),"#","")
)</f>
        <v>1</v>
      </c>
      <c r="R33" s="17">
        <f t="shared" si="6"/>
        <v>0</v>
      </c>
      <c r="S33" s="1">
        <f>value(SUBSTITUTE(IFERROR(VLOOKUP(A33,'Networking - Solution Specializ'!A:G,6,false),""),"#","")
)</f>
        <v>1</v>
      </c>
      <c r="T33" s="1">
        <f>value(SUBSTITUTE(IFERROR(VLOOKUP(A33,'Networking - Solution Specializ'!A:G,7,false),""),"#","")
)</f>
        <v>1</v>
      </c>
      <c r="U33" s="17">
        <f t="shared" si="7"/>
        <v>1</v>
      </c>
      <c r="V33" s="1">
        <f>iferror(vlookup(A33,'Marketing Plan (extract summary'!A:G,6,false),"")</f>
        <v>0</v>
      </c>
      <c r="W33" s="1">
        <f>iferror(vlookup(A33,'Marketing Plan (extract summary'!A:G,7,false),"")</f>
        <v>1</v>
      </c>
      <c r="X33" s="17">
        <f t="shared" si="8"/>
        <v>0</v>
      </c>
      <c r="Y33" s="1">
        <f>value(IFERROR(SUBSTITUTE(SUBSTITUTE(VLOOKUP(A33,'Quarterly Pipeline vs Target Pi'!A:G,6,false)," $","")," €",""), "")
)</f>
        <v>5.7</v>
      </c>
      <c r="Z33" s="1">
        <f>value(IFERROR(SUBSTITUTE(SUBSTITUTE(VLOOKUP(A33,'Quarterly Pipeline vs Target Pi'!A:G,7,false)," $","")," €",""), "")
)</f>
        <v>0</v>
      </c>
      <c r="AA33" s="17" t="str">
        <f t="shared" si="9"/>
        <v/>
      </c>
      <c r="AB33" s="1">
        <f>value(IFERROR(SUBSTITUTE(SUBSTITUTE(VLOOKUP($A33,'Quarterly Pipeline vs Target Pi'!$A:$V,11,false)," $","")," €",""), "")
)</f>
        <v>85</v>
      </c>
      <c r="AC33" s="1">
        <f>value(IFERROR(SUBSTITUTE(SUBSTITUTE(VLOOKUP($A33,'Quarterly Pipeline vs Target Pi'!$A:$V,12,false)," $","")," €",""), "")
)</f>
        <v>327.38</v>
      </c>
      <c r="AD33" s="17">
        <f t="shared" si="10"/>
        <v>0.2596371189</v>
      </c>
      <c r="AE33" s="1">
        <f>value(IFERROR(SUBSTITUTE(SUBSTITUTE(VLOOKUP($A33,'Quarterly Pipeline vs Target Pi'!$A:$V,16,false)," $","")," €",""), "")
)</f>
        <v>111</v>
      </c>
      <c r="AF33" s="1">
        <f>value(IFERROR(SUBSTITUTE(SUBSTITUTE(VLOOKUP($A33,'Quarterly Pipeline vs Target Pi'!$A:$V,17,false)," $","")," €",""), "")
)</f>
        <v>327.38</v>
      </c>
      <c r="AG33" s="17">
        <f t="shared" si="11"/>
        <v>0.3390555318</v>
      </c>
      <c r="AH33" s="1">
        <f>value(IFERROR(SUBSTITUTE(SUBSTITUTE(VLOOKUP($A33,'Quarterly Pipeline vs Target Pi'!$A:$V,21,false)," $","")," €",""), "")
)</f>
        <v>20</v>
      </c>
      <c r="AI33" s="1">
        <f>value(IFERROR(SUBSTITUTE(SUBSTITUTE(VLOOKUP($A33,'Quarterly Pipeline vs Target Pi'!$A:$V,22,false)," $","")," €",""), "")
)</f>
        <v>327.38</v>
      </c>
      <c r="AJ33" s="17">
        <f t="shared" si="12"/>
        <v>0.06109108681</v>
      </c>
      <c r="AK33" s="1">
        <f t="shared" ref="AK33:AL33" si="79">sum(Y33,AB33,AE33,AH33)</f>
        <v>221.7</v>
      </c>
      <c r="AL33" s="1">
        <f t="shared" si="79"/>
        <v>982.14</v>
      </c>
      <c r="AM33" s="17">
        <f t="shared" si="14"/>
        <v>0.2257315658</v>
      </c>
      <c r="AN33" s="1">
        <f>value(IFERROR(SUBSTITUTE(SUBSTITUTE(VLOOKUP($A33,'Quarterly Pipeline vs Target Pi'!$A:$AP,26,false)," $","")," €",""), "")
)</f>
        <v>0</v>
      </c>
      <c r="AO33" s="1">
        <f>value(IFERROR(SUBSTITUTE(SUBSTITUTE(VLOOKUP($A33,'Quarterly Pipeline vs Target Pi'!$A:$AP,27,false)," $","")," €",""), "")
)</f>
        <v>0</v>
      </c>
      <c r="AP33" s="17" t="str">
        <f t="shared" si="15"/>
        <v/>
      </c>
      <c r="AQ33" s="1">
        <f>value(IFERROR(SUBSTITUTE(SUBSTITUTE(VLOOKUP($A33,'Quarterly Pipeline vs Target Pi'!$A:$AP,31,false)," $","")," €",""), "")
)</f>
        <v>0</v>
      </c>
      <c r="AR33" s="1">
        <f>value(IFERROR(SUBSTITUTE(SUBSTITUTE(VLOOKUP($A33,'Quarterly Pipeline vs Target Pi'!$A:$AP,32,false)," $","")," €",""), "")
)</f>
        <v>0</v>
      </c>
      <c r="AS33" s="17" t="str">
        <f t="shared" si="16"/>
        <v/>
      </c>
      <c r="AT33" s="1">
        <f>value(IFERROR(SUBSTITUTE(SUBSTITUTE(VLOOKUP($A33,'Quarterly Pipeline vs Target Pi'!$A:$AP,36,false)," $","")," €",""), "")
)</f>
        <v>0</v>
      </c>
      <c r="AU33" s="1">
        <f>value(IFERROR(SUBSTITUTE(SUBSTITUTE(VLOOKUP($A33,'Quarterly Pipeline vs Target Pi'!$A:$AP,37,false)," $","")," €",""), "")
)</f>
        <v>0</v>
      </c>
      <c r="AV33" s="17" t="str">
        <f t="shared" si="17"/>
        <v/>
      </c>
      <c r="AW33" s="1">
        <f>value(IFERROR(SUBSTITUTE(SUBSTITUTE(VLOOKUP($A33,'Quarterly Pipeline vs Target Pi'!$A:$AP,41,false)," $","")," €",""), "")
)</f>
        <v>0</v>
      </c>
      <c r="AX33" s="1">
        <f>value(IFERROR(SUBSTITUTE(SUBSTITUTE(VLOOKUP($A33,'Quarterly Pipeline vs Target Pi'!$A:$AP,42,false)," $","")," €",""), "")
)</f>
        <v>0</v>
      </c>
      <c r="AY33" s="17" t="str">
        <f t="shared" si="18"/>
        <v/>
      </c>
      <c r="AZ33" s="1">
        <f t="shared" ref="AZ33:BA33" si="80">sum(AN33,AQ33,AT33,AW33)</f>
        <v>0</v>
      </c>
      <c r="BA33" s="1">
        <f t="shared" si="80"/>
        <v>0</v>
      </c>
      <c r="BB33" s="17" t="str">
        <f t="shared" si="20"/>
        <v/>
      </c>
    </row>
    <row r="34">
      <c r="A34" s="1" t="str">
        <f>IFERROR(__xludf.DUMMYFUNCTION("""COMPUTED_VALUE"""),"63ef9d58384f27260c1ba4bd")</f>
        <v>63ef9d58384f27260c1ba4bd</v>
      </c>
      <c r="B34" s="1" t="str">
        <f>IFERROR(__xludf.DUMMYFUNCTION("""COMPUTED_VALUE"""),"Americom Communications Corporation")</f>
        <v>Americom Communications Corporation</v>
      </c>
      <c r="C34" s="1" t="str">
        <f>IFERROR(__xludf.DUMMYFUNCTION("""COMPUTED_VALUE"""),"gene.hawks@al-enterprise.com, steve.mcglasson@al-enterprise.com, bill.rademacher@al-enterprise.com")</f>
        <v>gene.hawks@al-enterprise.com, steve.mcglasson@al-enterprise.com, bill.rademacher@al-enterprise.com</v>
      </c>
      <c r="D34" s="1" t="str">
        <f>IFERROR(__xludf.DUMMYFUNCTION("""COMPUTED_VALUE"""),"americas")</f>
        <v>americas</v>
      </c>
      <c r="E34" s="1" t="str">
        <f>IFERROR(__xludf.DUMMYFUNCTION("""COMPUTED_VALUE"""),"US")</f>
        <v>US</v>
      </c>
      <c r="F34" s="1"/>
      <c r="G34" s="1" t="str">
        <f>iferror(VLOOKUP(A34,'Business Plan Setup and Accepta'!A:G,6,false),"")</f>
        <v/>
      </c>
      <c r="H34" s="1" t="str">
        <f>iferror(VLOOKUP(A34,'Business Plan Setup and Accepta'!A:G,7,false),"")</f>
        <v/>
      </c>
      <c r="I34" s="17" t="str">
        <f t="shared" si="3"/>
        <v/>
      </c>
      <c r="J34" s="1" t="str">
        <f>IFERROR(VALUE(SUBSTITUTE(VLOOKUP(A34,'Sales IN Revenues vs Sales targ'!A:G,6,false)," $","")), "")
</f>
        <v/>
      </c>
      <c r="K34" s="1" t="str">
        <f>IFERROR(VALUE(SUBSTITUTE(VLOOKUP(A34,'Sales IN Revenues vs Sales targ'!A:G,7,false)," $","")), "")
</f>
        <v/>
      </c>
      <c r="L34" s="17" t="str">
        <f t="shared" si="4"/>
        <v/>
      </c>
      <c r="M34" s="1">
        <f>value(SUBSTITUTE(IFERROR(VLOOKUP(A34,'Certifications achievements vs '!A:G,6,false),""),"#","")
)</f>
        <v>0</v>
      </c>
      <c r="N34" s="1">
        <f>value(SUBSTITUTE(IFERROR(VLOOKUP(A34,'Certifications achievements vs '!A:G,7,false),""),"#","")
)</f>
        <v>0</v>
      </c>
      <c r="O34" s="17" t="str">
        <f t="shared" si="5"/>
        <v/>
      </c>
      <c r="P34" s="1">
        <f>value(SUBSTITUTE(IFERROR(VLOOKUP(A34,'Communications - Solution Speci'!A:G,6,false),""),"#","")
)</f>
        <v>0</v>
      </c>
      <c r="Q34" s="1">
        <f>value(SUBSTITUTE(IFERROR(VLOOKUP(A34,'Communications - Solution Speci'!A:G,7,false),""),"#","")
)</f>
        <v>0</v>
      </c>
      <c r="R34" s="17" t="str">
        <f t="shared" si="6"/>
        <v/>
      </c>
      <c r="S34" s="1">
        <f>value(SUBSTITUTE(IFERROR(VLOOKUP(A34,'Networking - Solution Specializ'!A:G,6,false),""),"#","")
)</f>
        <v>0</v>
      </c>
      <c r="T34" s="1">
        <f>value(SUBSTITUTE(IFERROR(VLOOKUP(A34,'Networking - Solution Specializ'!A:G,7,false),""),"#","")
)</f>
        <v>0</v>
      </c>
      <c r="U34" s="17" t="str">
        <f t="shared" si="7"/>
        <v/>
      </c>
      <c r="V34" s="1" t="str">
        <f>iferror(vlookup(A34,'Marketing Plan (extract summary'!A:G,6,false),"")</f>
        <v/>
      </c>
      <c r="W34" s="1" t="str">
        <f>iferror(vlookup(A34,'Marketing Plan (extract summary'!A:G,7,false),"")</f>
        <v/>
      </c>
      <c r="X34" s="17" t="str">
        <f t="shared" si="8"/>
        <v/>
      </c>
      <c r="Y34" s="1">
        <f>value(IFERROR(SUBSTITUTE(SUBSTITUTE(VLOOKUP(A34,'Quarterly Pipeline vs Target Pi'!A:G,6,false)," $","")," €",""), "")
)</f>
        <v>0</v>
      </c>
      <c r="Z34" s="1">
        <f>value(IFERROR(SUBSTITUTE(SUBSTITUTE(VLOOKUP(A34,'Quarterly Pipeline vs Target Pi'!A:G,7,false)," $","")," €",""), "")
)</f>
        <v>0</v>
      </c>
      <c r="AA34" s="17" t="str">
        <f t="shared" si="9"/>
        <v/>
      </c>
      <c r="AB34" s="1">
        <f>value(IFERROR(SUBSTITUTE(SUBSTITUTE(VLOOKUP($A34,'Quarterly Pipeline vs Target Pi'!$A:$V,11,false)," $","")," €",""), "")
)</f>
        <v>0</v>
      </c>
      <c r="AC34" s="1">
        <f>value(IFERROR(SUBSTITUTE(SUBSTITUTE(VLOOKUP($A34,'Quarterly Pipeline vs Target Pi'!$A:$V,12,false)," $","")," €",""), "")
)</f>
        <v>0</v>
      </c>
      <c r="AD34" s="17" t="str">
        <f t="shared" si="10"/>
        <v/>
      </c>
      <c r="AE34" s="1">
        <f>value(IFERROR(SUBSTITUTE(SUBSTITUTE(VLOOKUP($A34,'Quarterly Pipeline vs Target Pi'!$A:$V,16,false)," $","")," €",""), "")
)</f>
        <v>0</v>
      </c>
      <c r="AF34" s="1">
        <f>value(IFERROR(SUBSTITUTE(SUBSTITUTE(VLOOKUP($A34,'Quarterly Pipeline vs Target Pi'!$A:$V,17,false)," $","")," €",""), "")
)</f>
        <v>0</v>
      </c>
      <c r="AG34" s="17" t="str">
        <f t="shared" si="11"/>
        <v/>
      </c>
      <c r="AH34" s="1">
        <f>value(IFERROR(SUBSTITUTE(SUBSTITUTE(VLOOKUP($A34,'Quarterly Pipeline vs Target Pi'!$A:$V,21,false)," $","")," €",""), "")
)</f>
        <v>0</v>
      </c>
      <c r="AI34" s="1">
        <f>value(IFERROR(SUBSTITUTE(SUBSTITUTE(VLOOKUP($A34,'Quarterly Pipeline vs Target Pi'!$A:$V,22,false)," $","")," €",""), "")
)</f>
        <v>0</v>
      </c>
      <c r="AJ34" s="17" t="str">
        <f t="shared" si="12"/>
        <v/>
      </c>
      <c r="AK34" s="1">
        <f t="shared" ref="AK34:AL34" si="81">sum(Y34,AB34,AE34,AH34)</f>
        <v>0</v>
      </c>
      <c r="AL34" s="1">
        <f t="shared" si="81"/>
        <v>0</v>
      </c>
      <c r="AM34" s="17" t="str">
        <f t="shared" si="14"/>
        <v/>
      </c>
      <c r="AN34" s="1">
        <f>value(IFERROR(SUBSTITUTE(SUBSTITUTE(VLOOKUP($A34,'Quarterly Pipeline vs Target Pi'!$A:$AP,26,false)," $","")," €",""), "")
)</f>
        <v>0</v>
      </c>
      <c r="AO34" s="1">
        <f>value(IFERROR(SUBSTITUTE(SUBSTITUTE(VLOOKUP($A34,'Quarterly Pipeline vs Target Pi'!$A:$AP,27,false)," $","")," €",""), "")
)</f>
        <v>0</v>
      </c>
      <c r="AP34" s="17" t="str">
        <f t="shared" si="15"/>
        <v/>
      </c>
      <c r="AQ34" s="1">
        <f>value(IFERROR(SUBSTITUTE(SUBSTITUTE(VLOOKUP($A34,'Quarterly Pipeline vs Target Pi'!$A:$AP,31,false)," $","")," €",""), "")
)</f>
        <v>0</v>
      </c>
      <c r="AR34" s="1">
        <f>value(IFERROR(SUBSTITUTE(SUBSTITUTE(VLOOKUP($A34,'Quarterly Pipeline vs Target Pi'!$A:$AP,32,false)," $","")," €",""), "")
)</f>
        <v>0</v>
      </c>
      <c r="AS34" s="17" t="str">
        <f t="shared" si="16"/>
        <v/>
      </c>
      <c r="AT34" s="1">
        <f>value(IFERROR(SUBSTITUTE(SUBSTITUTE(VLOOKUP($A34,'Quarterly Pipeline vs Target Pi'!$A:$AP,36,false)," $","")," €",""), "")
)</f>
        <v>0</v>
      </c>
      <c r="AU34" s="1">
        <f>value(IFERROR(SUBSTITUTE(SUBSTITUTE(VLOOKUP($A34,'Quarterly Pipeline vs Target Pi'!$A:$AP,37,false)," $","")," €",""), "")
)</f>
        <v>0</v>
      </c>
      <c r="AV34" s="17" t="str">
        <f t="shared" si="17"/>
        <v/>
      </c>
      <c r="AW34" s="1">
        <f>value(IFERROR(SUBSTITUTE(SUBSTITUTE(VLOOKUP($A34,'Quarterly Pipeline vs Target Pi'!$A:$AP,41,false)," $","")," €",""), "")
)</f>
        <v>0</v>
      </c>
      <c r="AX34" s="1">
        <f>value(IFERROR(SUBSTITUTE(SUBSTITUTE(VLOOKUP($A34,'Quarterly Pipeline vs Target Pi'!$A:$AP,42,false)," $","")," €",""), "")
)</f>
        <v>0</v>
      </c>
      <c r="AY34" s="17" t="str">
        <f t="shared" si="18"/>
        <v/>
      </c>
      <c r="AZ34" s="1">
        <f t="shared" ref="AZ34:BA34" si="82">sum(AN34,AQ34,AT34,AW34)</f>
        <v>0</v>
      </c>
      <c r="BA34" s="1">
        <f t="shared" si="82"/>
        <v>0</v>
      </c>
      <c r="BB34" s="17" t="str">
        <f t="shared" si="20"/>
        <v/>
      </c>
    </row>
    <row r="35">
      <c r="A35" s="1" t="str">
        <f>IFERROR(__xludf.DUMMYFUNCTION("""COMPUTED_VALUE"""),"63ea6e9552ad6968805ceeb5")</f>
        <v>63ea6e9552ad6968805ceeb5</v>
      </c>
      <c r="B35" s="1" t="str">
        <f>IFERROR(__xludf.DUMMYFUNCTION("""COMPUTED_VALUE"""),"Andre Wagner T.D.F. Kommunikation")</f>
        <v>Andre Wagner T.D.F. Kommunikation</v>
      </c>
      <c r="C35" s="1" t="str">
        <f>IFERROR(__xludf.DUMMYFUNCTION("""COMPUTED_VALUE"""),"andreas.grossheimann@al-enterprise.com, andre.ramm@al-enterprise.com")</f>
        <v>andreas.grossheimann@al-enterprise.com, andre.ramm@al-enterprise.com</v>
      </c>
      <c r="D35" s="1" t="str">
        <f>IFERROR(__xludf.DUMMYFUNCTION("""COMPUTED_VALUE"""),"germany")</f>
        <v>germany</v>
      </c>
      <c r="E35" s="1" t="str">
        <f>IFERROR(__xludf.DUMMYFUNCTION("""COMPUTED_VALUE"""),"DE")</f>
        <v>DE</v>
      </c>
      <c r="F35" s="1"/>
      <c r="G35" s="1" t="str">
        <f>iferror(VLOOKUP(A35,'Business Plan Setup and Accepta'!A:G,6,false),"")</f>
        <v/>
      </c>
      <c r="H35" s="1" t="str">
        <f>iferror(VLOOKUP(A35,'Business Plan Setup and Accepta'!A:G,7,false),"")</f>
        <v/>
      </c>
      <c r="I35" s="17" t="str">
        <f t="shared" si="3"/>
        <v/>
      </c>
      <c r="J35" s="1" t="str">
        <f>IFERROR(VALUE(SUBSTITUTE(VLOOKUP(A35,'Sales IN Revenues vs Sales targ'!A:G,6,false)," $","")), "")
</f>
        <v/>
      </c>
      <c r="K35" s="1" t="str">
        <f>IFERROR(VALUE(SUBSTITUTE(VLOOKUP(A35,'Sales IN Revenues vs Sales targ'!A:G,7,false)," $","")), "")
</f>
        <v/>
      </c>
      <c r="L35" s="17" t="str">
        <f t="shared" si="4"/>
        <v/>
      </c>
      <c r="M35" s="1">
        <f>value(SUBSTITUTE(IFERROR(VLOOKUP(A35,'Certifications achievements vs '!A:G,6,false),""),"#","")
)</f>
        <v>0</v>
      </c>
      <c r="N35" s="1">
        <f>value(SUBSTITUTE(IFERROR(VLOOKUP(A35,'Certifications achievements vs '!A:G,7,false),""),"#","")
)</f>
        <v>0</v>
      </c>
      <c r="O35" s="17" t="str">
        <f t="shared" si="5"/>
        <v/>
      </c>
      <c r="P35" s="1">
        <f>value(SUBSTITUTE(IFERROR(VLOOKUP(A35,'Communications - Solution Speci'!A:G,6,false),""),"#","")
)</f>
        <v>0</v>
      </c>
      <c r="Q35" s="1">
        <f>value(SUBSTITUTE(IFERROR(VLOOKUP(A35,'Communications - Solution Speci'!A:G,7,false),""),"#","")
)</f>
        <v>0</v>
      </c>
      <c r="R35" s="17" t="str">
        <f t="shared" si="6"/>
        <v/>
      </c>
      <c r="S35" s="1">
        <f>value(SUBSTITUTE(IFERROR(VLOOKUP(A35,'Networking - Solution Specializ'!A:G,6,false),""),"#","")
)</f>
        <v>0</v>
      </c>
      <c r="T35" s="1">
        <f>value(SUBSTITUTE(IFERROR(VLOOKUP(A35,'Networking - Solution Specializ'!A:G,7,false),""),"#","")
)</f>
        <v>0</v>
      </c>
      <c r="U35" s="17" t="str">
        <f t="shared" si="7"/>
        <v/>
      </c>
      <c r="V35" s="1" t="str">
        <f>iferror(vlookup(A35,'Marketing Plan (extract summary'!A:G,6,false),"")</f>
        <v/>
      </c>
      <c r="W35" s="1" t="str">
        <f>iferror(vlookup(A35,'Marketing Plan (extract summary'!A:G,7,false),"")</f>
        <v/>
      </c>
      <c r="X35" s="17" t="str">
        <f t="shared" si="8"/>
        <v/>
      </c>
      <c r="Y35" s="1">
        <f>value(IFERROR(SUBSTITUTE(SUBSTITUTE(VLOOKUP(A35,'Quarterly Pipeline vs Target Pi'!A:G,6,false)," $","")," €",""), "")
)</f>
        <v>0</v>
      </c>
      <c r="Z35" s="1">
        <f>value(IFERROR(SUBSTITUTE(SUBSTITUTE(VLOOKUP(A35,'Quarterly Pipeline vs Target Pi'!A:G,7,false)," $","")," €",""), "")
)</f>
        <v>0</v>
      </c>
      <c r="AA35" s="17" t="str">
        <f t="shared" si="9"/>
        <v/>
      </c>
      <c r="AB35" s="1">
        <f>value(IFERROR(SUBSTITUTE(SUBSTITUTE(VLOOKUP($A35,'Quarterly Pipeline vs Target Pi'!$A:$V,11,false)," $","")," €",""), "")
)</f>
        <v>0</v>
      </c>
      <c r="AC35" s="1">
        <f>value(IFERROR(SUBSTITUTE(SUBSTITUTE(VLOOKUP($A35,'Quarterly Pipeline vs Target Pi'!$A:$V,12,false)," $","")," €",""), "")
)</f>
        <v>0</v>
      </c>
      <c r="AD35" s="17" t="str">
        <f t="shared" si="10"/>
        <v/>
      </c>
      <c r="AE35" s="1">
        <f>value(IFERROR(SUBSTITUTE(SUBSTITUTE(VLOOKUP($A35,'Quarterly Pipeline vs Target Pi'!$A:$V,16,false)," $","")," €",""), "")
)</f>
        <v>0</v>
      </c>
      <c r="AF35" s="1">
        <f>value(IFERROR(SUBSTITUTE(SUBSTITUTE(VLOOKUP($A35,'Quarterly Pipeline vs Target Pi'!$A:$V,17,false)," $","")," €",""), "")
)</f>
        <v>0</v>
      </c>
      <c r="AG35" s="17" t="str">
        <f t="shared" si="11"/>
        <v/>
      </c>
      <c r="AH35" s="1">
        <f>value(IFERROR(SUBSTITUTE(SUBSTITUTE(VLOOKUP($A35,'Quarterly Pipeline vs Target Pi'!$A:$V,21,false)," $","")," €",""), "")
)</f>
        <v>0</v>
      </c>
      <c r="AI35" s="1">
        <f>value(IFERROR(SUBSTITUTE(SUBSTITUTE(VLOOKUP($A35,'Quarterly Pipeline vs Target Pi'!$A:$V,22,false)," $","")," €",""), "")
)</f>
        <v>0</v>
      </c>
      <c r="AJ35" s="17" t="str">
        <f t="shared" si="12"/>
        <v/>
      </c>
      <c r="AK35" s="1">
        <f t="shared" ref="AK35:AL35" si="83">sum(Y35,AB35,AE35,AH35)</f>
        <v>0</v>
      </c>
      <c r="AL35" s="1">
        <f t="shared" si="83"/>
        <v>0</v>
      </c>
      <c r="AM35" s="17" t="str">
        <f t="shared" si="14"/>
        <v/>
      </c>
      <c r="AN35" s="1">
        <f>value(IFERROR(SUBSTITUTE(SUBSTITUTE(VLOOKUP($A35,'Quarterly Pipeline vs Target Pi'!$A:$AP,26,false)," $","")," €",""), "")
)</f>
        <v>0</v>
      </c>
      <c r="AO35" s="1">
        <f>value(IFERROR(SUBSTITUTE(SUBSTITUTE(VLOOKUP($A35,'Quarterly Pipeline vs Target Pi'!$A:$AP,27,false)," $","")," €",""), "")
)</f>
        <v>0</v>
      </c>
      <c r="AP35" s="17" t="str">
        <f t="shared" si="15"/>
        <v/>
      </c>
      <c r="AQ35" s="1">
        <f>value(IFERROR(SUBSTITUTE(SUBSTITUTE(VLOOKUP($A35,'Quarterly Pipeline vs Target Pi'!$A:$AP,31,false)," $","")," €",""), "")
)</f>
        <v>0</v>
      </c>
      <c r="AR35" s="1">
        <f>value(IFERROR(SUBSTITUTE(SUBSTITUTE(VLOOKUP($A35,'Quarterly Pipeline vs Target Pi'!$A:$AP,32,false)," $","")," €",""), "")
)</f>
        <v>0</v>
      </c>
      <c r="AS35" s="17" t="str">
        <f t="shared" si="16"/>
        <v/>
      </c>
      <c r="AT35" s="1">
        <f>value(IFERROR(SUBSTITUTE(SUBSTITUTE(VLOOKUP($A35,'Quarterly Pipeline vs Target Pi'!$A:$AP,36,false)," $","")," €",""), "")
)</f>
        <v>0</v>
      </c>
      <c r="AU35" s="1">
        <f>value(IFERROR(SUBSTITUTE(SUBSTITUTE(VLOOKUP($A35,'Quarterly Pipeline vs Target Pi'!$A:$AP,37,false)," $","")," €",""), "")
)</f>
        <v>0</v>
      </c>
      <c r="AV35" s="17" t="str">
        <f t="shared" si="17"/>
        <v/>
      </c>
      <c r="AW35" s="1">
        <f>value(IFERROR(SUBSTITUTE(SUBSTITUTE(VLOOKUP($A35,'Quarterly Pipeline vs Target Pi'!$A:$AP,41,false)," $","")," €",""), "")
)</f>
        <v>0</v>
      </c>
      <c r="AX35" s="1">
        <f>value(IFERROR(SUBSTITUTE(SUBSTITUTE(VLOOKUP($A35,'Quarterly Pipeline vs Target Pi'!$A:$AP,42,false)," $","")," €",""), "")
)</f>
        <v>0</v>
      </c>
      <c r="AY35" s="17" t="str">
        <f t="shared" si="18"/>
        <v/>
      </c>
      <c r="AZ35" s="1">
        <f t="shared" ref="AZ35:BA35" si="84">sum(AN35,AQ35,AT35,AW35)</f>
        <v>0</v>
      </c>
      <c r="BA35" s="1">
        <f t="shared" si="84"/>
        <v>0</v>
      </c>
      <c r="BB35" s="17" t="str">
        <f t="shared" si="20"/>
        <v/>
      </c>
    </row>
    <row r="36">
      <c r="A36" s="1" t="str">
        <f>IFERROR(__xludf.DUMMYFUNCTION("""COMPUTED_VALUE"""),"63ef9d5c384f27260c1baa7f")</f>
        <v>63ef9d5c384f27260c1baa7f</v>
      </c>
      <c r="B36" s="1" t="str">
        <f>IFERROR(__xludf.DUMMYFUNCTION("""COMPUTED_VALUE"""),"APLICACIONES ELECTRICAS ENE")</f>
        <v>APLICACIONES ELECTRICAS ENE</v>
      </c>
      <c r="C36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36" s="1" t="str">
        <f>IFERROR(__xludf.DUMMYFUNCTION("""COMPUTED_VALUE"""),"emea")</f>
        <v>emea</v>
      </c>
      <c r="E36" s="1" t="str">
        <f>IFERROR(__xludf.DUMMYFUNCTION("""COMPUTED_VALUE"""),"ES")</f>
        <v>ES</v>
      </c>
      <c r="F36" s="1" t="str">
        <f>IFERROR(__xludf.DUMMYFUNCTION("""COMPUTED_VALUE"""),"expert_200")</f>
        <v>expert_200</v>
      </c>
      <c r="G36" s="1">
        <f>iferror(VLOOKUP(A36,'Business Plan Setup and Accepta'!A:G,6,false),"")</f>
        <v>1</v>
      </c>
      <c r="H36" s="1">
        <f>iferror(VLOOKUP(A36,'Business Plan Setup and Accepta'!A:G,7,false),"")</f>
        <v>1</v>
      </c>
      <c r="I36" s="17">
        <f t="shared" si="3"/>
        <v>1</v>
      </c>
      <c r="J36" s="1">
        <f>IFERROR(VALUE(SUBSTITUTE(VLOOKUP(A36,'Sales IN Revenues vs Sales targ'!A:G,6,false)," $","")), "")
</f>
        <v>88.22</v>
      </c>
      <c r="K36" s="1">
        <f>IFERROR(VALUE(SUBSTITUTE(VLOOKUP(A36,'Sales IN Revenues vs Sales targ'!A:G,7,false)," $","")), "")
</f>
        <v>300</v>
      </c>
      <c r="L36" s="17">
        <f t="shared" si="4"/>
        <v>0.2940666667</v>
      </c>
      <c r="M36" s="1">
        <f>value(SUBSTITUTE(IFERROR(VLOOKUP(A36,'Certifications achievements vs '!A:G,6,false),""),"#","")
)</f>
        <v>51</v>
      </c>
      <c r="N36" s="1">
        <f>value(SUBSTITUTE(IFERROR(VLOOKUP(A36,'Certifications achievements vs '!A:G,7,false),""),"#","")
)</f>
        <v>52</v>
      </c>
      <c r="O36" s="17">
        <f t="shared" si="5"/>
        <v>0.9807692308</v>
      </c>
      <c r="P36" s="1">
        <f>value(SUBSTITUTE(IFERROR(VLOOKUP(A36,'Communications - Solution Speci'!A:G,6,false),""),"#","")
)</f>
        <v>1</v>
      </c>
      <c r="Q36" s="1">
        <f>value(SUBSTITUTE(IFERROR(VLOOKUP(A36,'Communications - Solution Speci'!A:G,7,false),""),"#","")
)</f>
        <v>1</v>
      </c>
      <c r="R36" s="17">
        <f t="shared" si="6"/>
        <v>1</v>
      </c>
      <c r="S36" s="1">
        <f>value(SUBSTITUTE(IFERROR(VLOOKUP(A36,'Networking - Solution Specializ'!A:G,6,false),""),"#","")
)</f>
        <v>1</v>
      </c>
      <c r="T36" s="1">
        <f>value(SUBSTITUTE(IFERROR(VLOOKUP(A36,'Networking - Solution Specializ'!A:G,7,false),""),"#","")
)</f>
        <v>1</v>
      </c>
      <c r="U36" s="17">
        <f t="shared" si="7"/>
        <v>1</v>
      </c>
      <c r="V36" s="1">
        <f>iferror(vlookup(A36,'Marketing Plan (extract summary'!A:G,6,false),"")</f>
        <v>0</v>
      </c>
      <c r="W36" s="1">
        <f>iferror(vlookup(A36,'Marketing Plan (extract summary'!A:G,7,false),"")</f>
        <v>1</v>
      </c>
      <c r="X36" s="17">
        <f t="shared" si="8"/>
        <v>0</v>
      </c>
      <c r="Y36" s="1">
        <f>value(IFERROR(SUBSTITUTE(SUBSTITUTE(VLOOKUP(A36,'Quarterly Pipeline vs Target Pi'!A:G,6,false)," $","")," €",""), "")
)</f>
        <v>4.42</v>
      </c>
      <c r="Z36" s="1">
        <f>value(IFERROR(SUBSTITUTE(SUBSTITUTE(VLOOKUP(A36,'Quarterly Pipeline vs Target Pi'!A:G,7,false)," $","")," €",""), "")
)</f>
        <v>0</v>
      </c>
      <c r="AA36" s="17" t="str">
        <f t="shared" si="9"/>
        <v/>
      </c>
      <c r="AB36" s="1">
        <f>value(IFERROR(SUBSTITUTE(SUBSTITUTE(VLOOKUP($A36,'Quarterly Pipeline vs Target Pi'!$A:$V,11,false)," $","")," €",""), "")
)</f>
        <v>1.86</v>
      </c>
      <c r="AC36" s="1">
        <f>value(IFERROR(SUBSTITUTE(SUBSTITUTE(VLOOKUP($A36,'Quarterly Pipeline vs Target Pi'!$A:$V,12,false)," $","")," €",""), "")
)</f>
        <v>147.06</v>
      </c>
      <c r="AD36" s="17">
        <f t="shared" si="10"/>
        <v>0.01264789882</v>
      </c>
      <c r="AE36" s="1">
        <f>value(IFERROR(SUBSTITUTE(SUBSTITUTE(VLOOKUP($A36,'Quarterly Pipeline vs Target Pi'!$A:$V,16,false)," $","")," €",""), "")
)</f>
        <v>54.08</v>
      </c>
      <c r="AF36" s="1">
        <f>value(IFERROR(SUBSTITUTE(SUBSTITUTE(VLOOKUP($A36,'Quarterly Pipeline vs Target Pi'!$A:$V,17,false)," $","")," €",""), "")
)</f>
        <v>147.06</v>
      </c>
      <c r="AG36" s="17">
        <f t="shared" si="11"/>
        <v>0.3677410581</v>
      </c>
      <c r="AH36" s="1">
        <f>value(IFERROR(SUBSTITUTE(SUBSTITUTE(VLOOKUP($A36,'Quarterly Pipeline vs Target Pi'!$A:$V,21,false)," $","")," €",""), "")
)</f>
        <v>108.4</v>
      </c>
      <c r="AI36" s="1">
        <f>value(IFERROR(SUBSTITUTE(SUBSTITUTE(VLOOKUP($A36,'Quarterly Pipeline vs Target Pi'!$A:$V,22,false)," $","")," €",""), "")
)</f>
        <v>147.06</v>
      </c>
      <c r="AJ36" s="17">
        <f t="shared" si="12"/>
        <v>0.7371141031</v>
      </c>
      <c r="AK36" s="1">
        <f t="shared" ref="AK36:AL36" si="85">sum(Y36,AB36,AE36,AH36)</f>
        <v>168.76</v>
      </c>
      <c r="AL36" s="1">
        <f t="shared" si="85"/>
        <v>441.18</v>
      </c>
      <c r="AM36" s="17">
        <f t="shared" si="14"/>
        <v>0.3825196065</v>
      </c>
      <c r="AN36" s="1">
        <f>value(IFERROR(SUBSTITUTE(SUBSTITUTE(VLOOKUP($A36,'Quarterly Pipeline vs Target Pi'!$A:$AP,26,false)," $","")," €",""), "")
)</f>
        <v>0</v>
      </c>
      <c r="AO36" s="1">
        <f>value(IFERROR(SUBSTITUTE(SUBSTITUTE(VLOOKUP($A36,'Quarterly Pipeline vs Target Pi'!$A:$AP,27,false)," $","")," €",""), "")
)</f>
        <v>0</v>
      </c>
      <c r="AP36" s="17" t="str">
        <f t="shared" si="15"/>
        <v/>
      </c>
      <c r="AQ36" s="1">
        <f>value(IFERROR(SUBSTITUTE(SUBSTITUTE(VLOOKUP($A36,'Quarterly Pipeline vs Target Pi'!$A:$AP,31,false)," $","")," €",""), "")
)</f>
        <v>0</v>
      </c>
      <c r="AR36" s="1">
        <f>value(IFERROR(SUBSTITUTE(SUBSTITUTE(VLOOKUP($A36,'Quarterly Pipeline vs Target Pi'!$A:$AP,32,false)," $","")," €",""), "")
)</f>
        <v>0</v>
      </c>
      <c r="AS36" s="17" t="str">
        <f t="shared" si="16"/>
        <v/>
      </c>
      <c r="AT36" s="1">
        <f>value(IFERROR(SUBSTITUTE(SUBSTITUTE(VLOOKUP($A36,'Quarterly Pipeline vs Target Pi'!$A:$AP,36,false)," $","")," €",""), "")
)</f>
        <v>0</v>
      </c>
      <c r="AU36" s="1">
        <f>value(IFERROR(SUBSTITUTE(SUBSTITUTE(VLOOKUP($A36,'Quarterly Pipeline vs Target Pi'!$A:$AP,37,false)," $","")," €",""), "")
)</f>
        <v>0</v>
      </c>
      <c r="AV36" s="17" t="str">
        <f t="shared" si="17"/>
        <v/>
      </c>
      <c r="AW36" s="1">
        <f>value(IFERROR(SUBSTITUTE(SUBSTITUTE(VLOOKUP($A36,'Quarterly Pipeline vs Target Pi'!$A:$AP,41,false)," $","")," €",""), "")
)</f>
        <v>0</v>
      </c>
      <c r="AX36" s="1">
        <f>value(IFERROR(SUBSTITUTE(SUBSTITUTE(VLOOKUP($A36,'Quarterly Pipeline vs Target Pi'!$A:$AP,42,false)," $","")," €",""), "")
)</f>
        <v>0</v>
      </c>
      <c r="AY36" s="17" t="str">
        <f t="shared" si="18"/>
        <v/>
      </c>
      <c r="AZ36" s="1">
        <f t="shared" ref="AZ36:BA36" si="86">sum(AN36,AQ36,AT36,AW36)</f>
        <v>0</v>
      </c>
      <c r="BA36" s="1">
        <f t="shared" si="86"/>
        <v>0</v>
      </c>
      <c r="BB36" s="17" t="str">
        <f t="shared" si="20"/>
        <v/>
      </c>
    </row>
    <row r="37">
      <c r="A37" s="1" t="str">
        <f>IFERROR(__xludf.DUMMYFUNCTION("""COMPUTED_VALUE"""),"63ea6e9452ad6968805cec5b")</f>
        <v>63ea6e9452ad6968805cec5b</v>
      </c>
      <c r="B37" s="1" t="str">
        <f>IFERROR(__xludf.DUMMYFUNCTION("""COMPUTED_VALUE"""),"APM Kommunikations- und")</f>
        <v>APM Kommunikations- und</v>
      </c>
      <c r="C37" s="1" t="str">
        <f>IFERROR(__xludf.DUMMYFUNCTION("""COMPUTED_VALUE"""),"andreas.grossheimann@al-enterprise.com, katrin.pfeiffer@al-enterprise.com, sibylle.klopfer@al-enterprise.com, igor.leko@al-enterprise.com")</f>
        <v>andreas.grossheimann@al-enterprise.com, katrin.pfeiffer@al-enterprise.com, sibylle.klopfer@al-enterprise.com, igor.leko@al-enterprise.com</v>
      </c>
      <c r="D37" s="1" t="str">
        <f>IFERROR(__xludf.DUMMYFUNCTION("""COMPUTED_VALUE"""),"germany")</f>
        <v>germany</v>
      </c>
      <c r="E37" s="1" t="str">
        <f>IFERROR(__xludf.DUMMYFUNCTION("""COMPUTED_VALUE"""),"DE")</f>
        <v>DE</v>
      </c>
      <c r="F37" s="1"/>
      <c r="G37" s="1" t="str">
        <f>iferror(VLOOKUP(A37,'Business Plan Setup and Accepta'!A:G,6,false),"")</f>
        <v/>
      </c>
      <c r="H37" s="1" t="str">
        <f>iferror(VLOOKUP(A37,'Business Plan Setup and Accepta'!A:G,7,false),"")</f>
        <v/>
      </c>
      <c r="I37" s="17" t="str">
        <f t="shared" si="3"/>
        <v/>
      </c>
      <c r="J37" s="1" t="str">
        <f>IFERROR(VALUE(SUBSTITUTE(VLOOKUP(A37,'Sales IN Revenues vs Sales targ'!A:G,6,false)," $","")), "")
</f>
        <v/>
      </c>
      <c r="K37" s="1" t="str">
        <f>IFERROR(VALUE(SUBSTITUTE(VLOOKUP(A37,'Sales IN Revenues vs Sales targ'!A:G,7,false)," $","")), "")
</f>
        <v/>
      </c>
      <c r="L37" s="17" t="str">
        <f t="shared" si="4"/>
        <v/>
      </c>
      <c r="M37" s="1">
        <f>value(SUBSTITUTE(IFERROR(VLOOKUP(A37,'Certifications achievements vs '!A:G,6,false),""),"#","")
)</f>
        <v>3</v>
      </c>
      <c r="N37" s="1">
        <f>value(SUBSTITUTE(IFERROR(VLOOKUP(A37,'Certifications achievements vs '!A:G,7,false),""),"#","")
)</f>
        <v>0</v>
      </c>
      <c r="O37" s="17" t="str">
        <f t="shared" si="5"/>
        <v/>
      </c>
      <c r="P37" s="1">
        <f>value(SUBSTITUTE(IFERROR(VLOOKUP(A37,'Communications - Solution Speci'!A:G,6,false),""),"#","")
)</f>
        <v>0</v>
      </c>
      <c r="Q37" s="1">
        <f>value(SUBSTITUTE(IFERROR(VLOOKUP(A37,'Communications - Solution Speci'!A:G,7,false),""),"#","")
)</f>
        <v>0</v>
      </c>
      <c r="R37" s="17" t="str">
        <f t="shared" si="6"/>
        <v/>
      </c>
      <c r="S37" s="1">
        <f>value(SUBSTITUTE(IFERROR(VLOOKUP(A37,'Networking - Solution Specializ'!A:G,6,false),""),"#","")
)</f>
        <v>0</v>
      </c>
      <c r="T37" s="1">
        <f>value(SUBSTITUTE(IFERROR(VLOOKUP(A37,'Networking - Solution Specializ'!A:G,7,false),""),"#","")
)</f>
        <v>0</v>
      </c>
      <c r="U37" s="17" t="str">
        <f t="shared" si="7"/>
        <v/>
      </c>
      <c r="V37" s="1" t="str">
        <f>iferror(vlookup(A37,'Marketing Plan (extract summary'!A:G,6,false),"")</f>
        <v/>
      </c>
      <c r="W37" s="1" t="str">
        <f>iferror(vlookup(A37,'Marketing Plan (extract summary'!A:G,7,false),"")</f>
        <v/>
      </c>
      <c r="X37" s="17" t="str">
        <f t="shared" si="8"/>
        <v/>
      </c>
      <c r="Y37" s="1">
        <f>value(IFERROR(SUBSTITUTE(SUBSTITUTE(VLOOKUP(A37,'Quarterly Pipeline vs Target Pi'!A:G,6,false)," $","")," €",""), "")
)</f>
        <v>0</v>
      </c>
      <c r="Z37" s="1">
        <f>value(IFERROR(SUBSTITUTE(SUBSTITUTE(VLOOKUP(A37,'Quarterly Pipeline vs Target Pi'!A:G,7,false)," $","")," €",""), "")
)</f>
        <v>0</v>
      </c>
      <c r="AA37" s="17" t="str">
        <f t="shared" si="9"/>
        <v/>
      </c>
      <c r="AB37" s="1">
        <f>value(IFERROR(SUBSTITUTE(SUBSTITUTE(VLOOKUP($A37,'Quarterly Pipeline vs Target Pi'!$A:$V,11,false)," $","")," €",""), "")
)</f>
        <v>0</v>
      </c>
      <c r="AC37" s="1">
        <f>value(IFERROR(SUBSTITUTE(SUBSTITUTE(VLOOKUP($A37,'Quarterly Pipeline vs Target Pi'!$A:$V,12,false)," $","")," €",""), "")
)</f>
        <v>0</v>
      </c>
      <c r="AD37" s="17" t="str">
        <f t="shared" si="10"/>
        <v/>
      </c>
      <c r="AE37" s="1">
        <f>value(IFERROR(SUBSTITUTE(SUBSTITUTE(VLOOKUP($A37,'Quarterly Pipeline vs Target Pi'!$A:$V,16,false)," $","")," €",""), "")
)</f>
        <v>0</v>
      </c>
      <c r="AF37" s="1">
        <f>value(IFERROR(SUBSTITUTE(SUBSTITUTE(VLOOKUP($A37,'Quarterly Pipeline vs Target Pi'!$A:$V,17,false)," $","")," €",""), "")
)</f>
        <v>0</v>
      </c>
      <c r="AG37" s="17" t="str">
        <f t="shared" si="11"/>
        <v/>
      </c>
      <c r="AH37" s="1">
        <f>value(IFERROR(SUBSTITUTE(SUBSTITUTE(VLOOKUP($A37,'Quarterly Pipeline vs Target Pi'!$A:$V,21,false)," $","")," €",""), "")
)</f>
        <v>0</v>
      </c>
      <c r="AI37" s="1">
        <f>value(IFERROR(SUBSTITUTE(SUBSTITUTE(VLOOKUP($A37,'Quarterly Pipeline vs Target Pi'!$A:$V,22,false)," $","")," €",""), "")
)</f>
        <v>0</v>
      </c>
      <c r="AJ37" s="17" t="str">
        <f t="shared" si="12"/>
        <v/>
      </c>
      <c r="AK37" s="1">
        <f t="shared" ref="AK37:AL37" si="87">sum(Y37,AB37,AE37,AH37)</f>
        <v>0</v>
      </c>
      <c r="AL37" s="1">
        <f t="shared" si="87"/>
        <v>0</v>
      </c>
      <c r="AM37" s="17" t="str">
        <f t="shared" si="14"/>
        <v/>
      </c>
      <c r="AN37" s="1">
        <f>value(IFERROR(SUBSTITUTE(SUBSTITUTE(VLOOKUP($A37,'Quarterly Pipeline vs Target Pi'!$A:$AP,26,false)," $","")," €",""), "")
)</f>
        <v>0</v>
      </c>
      <c r="AO37" s="1">
        <f>value(IFERROR(SUBSTITUTE(SUBSTITUTE(VLOOKUP($A37,'Quarterly Pipeline vs Target Pi'!$A:$AP,27,false)," $","")," €",""), "")
)</f>
        <v>0</v>
      </c>
      <c r="AP37" s="17" t="str">
        <f t="shared" si="15"/>
        <v/>
      </c>
      <c r="AQ37" s="1">
        <f>value(IFERROR(SUBSTITUTE(SUBSTITUTE(VLOOKUP($A37,'Quarterly Pipeline vs Target Pi'!$A:$AP,31,false)," $","")," €",""), "")
)</f>
        <v>0</v>
      </c>
      <c r="AR37" s="1">
        <f>value(IFERROR(SUBSTITUTE(SUBSTITUTE(VLOOKUP($A37,'Quarterly Pipeline vs Target Pi'!$A:$AP,32,false)," $","")," €",""), "")
)</f>
        <v>0</v>
      </c>
      <c r="AS37" s="17" t="str">
        <f t="shared" si="16"/>
        <v/>
      </c>
      <c r="AT37" s="1">
        <f>value(IFERROR(SUBSTITUTE(SUBSTITUTE(VLOOKUP($A37,'Quarterly Pipeline vs Target Pi'!$A:$AP,36,false)," $","")," €",""), "")
)</f>
        <v>0</v>
      </c>
      <c r="AU37" s="1">
        <f>value(IFERROR(SUBSTITUTE(SUBSTITUTE(VLOOKUP($A37,'Quarterly Pipeline vs Target Pi'!$A:$AP,37,false)," $","")," €",""), "")
)</f>
        <v>0</v>
      </c>
      <c r="AV37" s="17" t="str">
        <f t="shared" si="17"/>
        <v/>
      </c>
      <c r="AW37" s="1">
        <f>value(IFERROR(SUBSTITUTE(SUBSTITUTE(VLOOKUP($A37,'Quarterly Pipeline vs Target Pi'!$A:$AP,41,false)," $","")," €",""), "")
)</f>
        <v>0</v>
      </c>
      <c r="AX37" s="1">
        <f>value(IFERROR(SUBSTITUTE(SUBSTITUTE(VLOOKUP($A37,'Quarterly Pipeline vs Target Pi'!$A:$AP,42,false)," $","")," €",""), "")
)</f>
        <v>0</v>
      </c>
      <c r="AY37" s="17" t="str">
        <f t="shared" si="18"/>
        <v/>
      </c>
      <c r="AZ37" s="1">
        <f t="shared" ref="AZ37:BA37" si="88">sum(AN37,AQ37,AT37,AW37)</f>
        <v>0</v>
      </c>
      <c r="BA37" s="1">
        <f t="shared" si="88"/>
        <v>0</v>
      </c>
      <c r="BB37" s="17" t="str">
        <f t="shared" si="20"/>
        <v/>
      </c>
    </row>
    <row r="38">
      <c r="A38" s="1" t="str">
        <f>IFERROR(__xludf.DUMMYFUNCTION("""COMPUTED_VALUE"""),"63ef9d60384f27260c1bb0cd")</f>
        <v>63ef9d60384f27260c1bb0cd</v>
      </c>
      <c r="B38" s="1" t="str">
        <f>IFERROR(__xludf.DUMMYFUNCTION("""COMPUTED_VALUE"""),"Arki Management")</f>
        <v>Arki Management</v>
      </c>
      <c r="C38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38" s="1" t="str">
        <f>IFERROR(__xludf.DUMMYFUNCTION("""COMPUTED_VALUE"""),"emea")</f>
        <v>emea</v>
      </c>
      <c r="E38" s="1" t="str">
        <f>IFERROR(__xludf.DUMMYFUNCTION("""COMPUTED_VALUE"""),"ES")</f>
        <v>ES</v>
      </c>
      <c r="F38" s="1" t="str">
        <f>IFERROR(__xludf.DUMMYFUNCTION("""COMPUTED_VALUE"""),"expert_200")</f>
        <v>expert_200</v>
      </c>
      <c r="G38" s="1">
        <f>iferror(VLOOKUP(A38,'Business Plan Setup and Accepta'!A:G,6,false),"")</f>
        <v>0</v>
      </c>
      <c r="H38" s="1">
        <f>iferror(VLOOKUP(A38,'Business Plan Setup and Accepta'!A:G,7,false),"")</f>
        <v>1</v>
      </c>
      <c r="I38" s="17">
        <f t="shared" si="3"/>
        <v>0</v>
      </c>
      <c r="J38" s="1">
        <f>IFERROR(VALUE(SUBSTITUTE(VLOOKUP(A38,'Sales IN Revenues vs Sales targ'!A:G,6,false)," $","")), "")
</f>
        <v>18.39</v>
      </c>
      <c r="K38" s="1">
        <f>IFERROR(VALUE(SUBSTITUTE(VLOOKUP(A38,'Sales IN Revenues vs Sales targ'!A:G,7,false)," $","")), "")
</f>
        <v>0</v>
      </c>
      <c r="L38" s="17" t="str">
        <f t="shared" si="4"/>
        <v/>
      </c>
      <c r="M38" s="1">
        <f>value(SUBSTITUTE(IFERROR(VLOOKUP(A38,'Certifications achievements vs '!A:G,6,false),""),"#","")
)</f>
        <v>0</v>
      </c>
      <c r="N38" s="1">
        <f>value(SUBSTITUTE(IFERROR(VLOOKUP(A38,'Certifications achievements vs '!A:G,7,false),""),"#","")
)</f>
        <v>0</v>
      </c>
      <c r="O38" s="17" t="str">
        <f t="shared" si="5"/>
        <v/>
      </c>
      <c r="P38" s="1">
        <f>value(SUBSTITUTE(IFERROR(VLOOKUP(A38,'Communications - Solution Speci'!A:G,6,false),""),"#","")
)</f>
        <v>0</v>
      </c>
      <c r="Q38" s="1">
        <f>value(SUBSTITUTE(IFERROR(VLOOKUP(A38,'Communications - Solution Speci'!A:G,7,false),""),"#","")
)</f>
        <v>1</v>
      </c>
      <c r="R38" s="17">
        <f t="shared" si="6"/>
        <v>0</v>
      </c>
      <c r="S38" s="1">
        <f>value(SUBSTITUTE(IFERROR(VLOOKUP(A38,'Networking - Solution Specializ'!A:G,6,false),""),"#","")
)</f>
        <v>0</v>
      </c>
      <c r="T38" s="1">
        <f>value(SUBSTITUTE(IFERROR(VLOOKUP(A38,'Networking - Solution Specializ'!A:G,7,false),""),"#","")
)</f>
        <v>1</v>
      </c>
      <c r="U38" s="17">
        <f t="shared" si="7"/>
        <v>0</v>
      </c>
      <c r="V38" s="1">
        <f>iferror(vlookup(A38,'Marketing Plan (extract summary'!A:G,6,false),"")</f>
        <v>0</v>
      </c>
      <c r="W38" s="1">
        <f>iferror(vlookup(A38,'Marketing Plan (extract summary'!A:G,7,false),"")</f>
        <v>1</v>
      </c>
      <c r="X38" s="17">
        <f t="shared" si="8"/>
        <v>0</v>
      </c>
      <c r="Y38" s="1">
        <f>value(IFERROR(SUBSTITUTE(SUBSTITUTE(VLOOKUP(A38,'Quarterly Pipeline vs Target Pi'!A:G,6,false)," $","")," €",""), "")
)</f>
        <v>75</v>
      </c>
      <c r="Z38" s="1">
        <f>value(IFERROR(SUBSTITUTE(SUBSTITUTE(VLOOKUP(A38,'Quarterly Pipeline vs Target Pi'!A:G,7,false)," $","")," €",""), "")
)</f>
        <v>0</v>
      </c>
      <c r="AA38" s="17" t="str">
        <f t="shared" si="9"/>
        <v/>
      </c>
      <c r="AB38" s="1">
        <f>value(IFERROR(SUBSTITUTE(SUBSTITUTE(VLOOKUP($A38,'Quarterly Pipeline vs Target Pi'!$A:$V,11,false)," $","")," €",""), "")
)</f>
        <v>9</v>
      </c>
      <c r="AC38" s="1">
        <f>value(IFERROR(SUBSTITUTE(SUBSTITUTE(VLOOKUP($A38,'Quarterly Pipeline vs Target Pi'!$A:$V,12,false)," $","")," €",""), "")
)</f>
        <v>0</v>
      </c>
      <c r="AD38" s="17" t="str">
        <f t="shared" si="10"/>
        <v/>
      </c>
      <c r="AE38" s="1">
        <f>value(IFERROR(SUBSTITUTE(SUBSTITUTE(VLOOKUP($A38,'Quarterly Pipeline vs Target Pi'!$A:$V,16,false)," $","")," €",""), "")
)</f>
        <v>73.3</v>
      </c>
      <c r="AF38" s="1">
        <f>value(IFERROR(SUBSTITUTE(SUBSTITUTE(VLOOKUP($A38,'Quarterly Pipeline vs Target Pi'!$A:$V,17,false)," $","")," €",""), "")
)</f>
        <v>0</v>
      </c>
      <c r="AG38" s="17" t="str">
        <f t="shared" si="11"/>
        <v/>
      </c>
      <c r="AH38" s="1">
        <f>value(IFERROR(SUBSTITUTE(SUBSTITUTE(VLOOKUP($A38,'Quarterly Pipeline vs Target Pi'!$A:$V,21,false)," $","")," €",""), "")
)</f>
        <v>135.8</v>
      </c>
      <c r="AI38" s="1">
        <f>value(IFERROR(SUBSTITUTE(SUBSTITUTE(VLOOKUP($A38,'Quarterly Pipeline vs Target Pi'!$A:$V,22,false)," $","")," €",""), "")
)</f>
        <v>0</v>
      </c>
      <c r="AJ38" s="17" t="str">
        <f t="shared" si="12"/>
        <v/>
      </c>
      <c r="AK38" s="1">
        <f t="shared" ref="AK38:AL38" si="89">sum(Y38,AB38,AE38,AH38)</f>
        <v>293.1</v>
      </c>
      <c r="AL38" s="1">
        <f t="shared" si="89"/>
        <v>0</v>
      </c>
      <c r="AM38" s="17" t="str">
        <f t="shared" si="14"/>
        <v/>
      </c>
      <c r="AN38" s="1">
        <f>value(IFERROR(SUBSTITUTE(SUBSTITUTE(VLOOKUP($A38,'Quarterly Pipeline vs Target Pi'!$A:$AP,26,false)," $","")," €",""), "")
)</f>
        <v>0</v>
      </c>
      <c r="AO38" s="1">
        <f>value(IFERROR(SUBSTITUTE(SUBSTITUTE(VLOOKUP($A38,'Quarterly Pipeline vs Target Pi'!$A:$AP,27,false)," $","")," €",""), "")
)</f>
        <v>0</v>
      </c>
      <c r="AP38" s="17" t="str">
        <f t="shared" si="15"/>
        <v/>
      </c>
      <c r="AQ38" s="1">
        <f>value(IFERROR(SUBSTITUTE(SUBSTITUTE(VLOOKUP($A38,'Quarterly Pipeline vs Target Pi'!$A:$AP,31,false)," $","")," €",""), "")
)</f>
        <v>0</v>
      </c>
      <c r="AR38" s="1">
        <f>value(IFERROR(SUBSTITUTE(SUBSTITUTE(VLOOKUP($A38,'Quarterly Pipeline vs Target Pi'!$A:$AP,32,false)," $","")," €",""), "")
)</f>
        <v>0</v>
      </c>
      <c r="AS38" s="17" t="str">
        <f t="shared" si="16"/>
        <v/>
      </c>
      <c r="AT38" s="1">
        <f>value(IFERROR(SUBSTITUTE(SUBSTITUTE(VLOOKUP($A38,'Quarterly Pipeline vs Target Pi'!$A:$AP,36,false)," $","")," €",""), "")
)</f>
        <v>0</v>
      </c>
      <c r="AU38" s="1">
        <f>value(IFERROR(SUBSTITUTE(SUBSTITUTE(VLOOKUP($A38,'Quarterly Pipeline vs Target Pi'!$A:$AP,37,false)," $","")," €",""), "")
)</f>
        <v>0</v>
      </c>
      <c r="AV38" s="17" t="str">
        <f t="shared" si="17"/>
        <v/>
      </c>
      <c r="AW38" s="1">
        <f>value(IFERROR(SUBSTITUTE(SUBSTITUTE(VLOOKUP($A38,'Quarterly Pipeline vs Target Pi'!$A:$AP,41,false)," $","")," €",""), "")
)</f>
        <v>0</v>
      </c>
      <c r="AX38" s="1">
        <f>value(IFERROR(SUBSTITUTE(SUBSTITUTE(VLOOKUP($A38,'Quarterly Pipeline vs Target Pi'!$A:$AP,42,false)," $","")," €",""), "")
)</f>
        <v>0</v>
      </c>
      <c r="AY38" s="17" t="str">
        <f t="shared" si="18"/>
        <v/>
      </c>
      <c r="AZ38" s="1">
        <f t="shared" ref="AZ38:BA38" si="90">sum(AN38,AQ38,AT38,AW38)</f>
        <v>0</v>
      </c>
      <c r="BA38" s="1">
        <f t="shared" si="90"/>
        <v>0</v>
      </c>
      <c r="BB38" s="17" t="str">
        <f t="shared" si="20"/>
        <v/>
      </c>
    </row>
    <row r="39">
      <c r="A39" s="1" t="str">
        <f>IFERROR(__xludf.DUMMYFUNCTION("""COMPUTED_VALUE"""),"63ef9d57384f27260c1ba2f1")</f>
        <v>63ef9d57384f27260c1ba2f1</v>
      </c>
      <c r="B39" s="1" t="str">
        <f>IFERROR(__xludf.DUMMYFUNCTION("""COMPUTED_VALUE"""),"ARROW ENTERPRISE COMPUTING SOLUTION")</f>
        <v>ARROW ENTERPRISE COMPUTING SOLUTION</v>
      </c>
      <c r="C39" s="1" t="str">
        <f>IFERROR(__xludf.DUMMYFUNCTION("""COMPUTED_VALUE"""),"holly.berger@al-enterprise.com")</f>
        <v>holly.berger@al-enterprise.com</v>
      </c>
      <c r="D39" s="1" t="str">
        <f>IFERROR(__xludf.DUMMYFUNCTION("""COMPUTED_VALUE"""),"americas")</f>
        <v>americas</v>
      </c>
      <c r="E39" s="1" t="str">
        <f>IFERROR(__xludf.DUMMYFUNCTION("""COMPUTED_VALUE"""),"US")</f>
        <v>US</v>
      </c>
      <c r="F39" s="1" t="str">
        <f>IFERROR(__xludf.DUMMYFUNCTION("""COMPUTED_VALUE"""),"distributor_1000")</f>
        <v>distributor_1000</v>
      </c>
      <c r="G39" s="1">
        <f>iferror(VLOOKUP(A39,'Business Plan Setup and Accepta'!A:G,6,false),"")</f>
        <v>0</v>
      </c>
      <c r="H39" s="1">
        <f>iferror(VLOOKUP(A39,'Business Plan Setup and Accepta'!A:G,7,false),"")</f>
        <v>1</v>
      </c>
      <c r="I39" s="17">
        <f t="shared" si="3"/>
        <v>0</v>
      </c>
      <c r="J39" s="1">
        <f>IFERROR(VALUE(SUBSTITUTE(VLOOKUP(A39,'Sales IN Revenues vs Sales targ'!A:G,6,false)," $","")), "")
</f>
        <v>10554.48</v>
      </c>
      <c r="K39" s="1">
        <f>IFERROR(VALUE(SUBSTITUTE(VLOOKUP(A39,'Sales IN Revenues vs Sales targ'!A:G,7,false)," $","")), "")
</f>
        <v>12725.89</v>
      </c>
      <c r="L39" s="17">
        <f t="shared" si="4"/>
        <v>0.8293706766</v>
      </c>
      <c r="M39" s="1">
        <f>value(SUBSTITUTE(IFERROR(VLOOKUP(A39,'Certifications achievements vs '!A:G,6,false),""),"#","")
)</f>
        <v>16</v>
      </c>
      <c r="N39" s="1">
        <f>value(SUBSTITUTE(IFERROR(VLOOKUP(A39,'Certifications achievements vs '!A:G,7,false),""),"#","")
)</f>
        <v>56</v>
      </c>
      <c r="O39" s="17">
        <f t="shared" si="5"/>
        <v>0.2857142857</v>
      </c>
      <c r="P39" s="1">
        <f>value(SUBSTITUTE(IFERROR(VLOOKUP(A39,'Communications - Solution Speci'!A:G,6,false),""),"#","")
)</f>
        <v>1</v>
      </c>
      <c r="Q39" s="1">
        <f>value(SUBSTITUTE(IFERROR(VLOOKUP(A39,'Communications - Solution Speci'!A:G,7,false),""),"#","")
)</f>
        <v>1</v>
      </c>
      <c r="R39" s="17">
        <f t="shared" si="6"/>
        <v>1</v>
      </c>
      <c r="S39" s="1">
        <f>value(SUBSTITUTE(IFERROR(VLOOKUP(A39,'Networking - Solution Specializ'!A:G,6,false),""),"#","")
)</f>
        <v>1</v>
      </c>
      <c r="T39" s="1">
        <f>value(SUBSTITUTE(IFERROR(VLOOKUP(A39,'Networking - Solution Specializ'!A:G,7,false),""),"#","")
)</f>
        <v>1</v>
      </c>
      <c r="U39" s="17">
        <f t="shared" si="7"/>
        <v>1</v>
      </c>
      <c r="V39" s="1">
        <f>iferror(vlookup(A39,'Marketing Plan (extract summary'!A:G,6,false),"")</f>
        <v>0</v>
      </c>
      <c r="W39" s="1">
        <f>iferror(vlookup(A39,'Marketing Plan (extract summary'!A:G,7,false),"")</f>
        <v>1</v>
      </c>
      <c r="X39" s="17">
        <f t="shared" si="8"/>
        <v>0</v>
      </c>
      <c r="Y39" s="1">
        <f>value(IFERROR(SUBSTITUTE(SUBSTITUTE(VLOOKUP(A39,'Quarterly Pipeline vs Target Pi'!A:G,6,false)," $","")," €",""), "")
)</f>
        <v>3.08</v>
      </c>
      <c r="Z39" s="1">
        <f>value(IFERROR(SUBSTITUTE(SUBSTITUTE(VLOOKUP(A39,'Quarterly Pipeline vs Target Pi'!A:G,7,false)," $","")," €",""), "")
)</f>
        <v>0</v>
      </c>
      <c r="AA39" s="17" t="str">
        <f t="shared" si="9"/>
        <v/>
      </c>
      <c r="AB39" s="1">
        <f>value(IFERROR(SUBSTITUTE(SUBSTITUTE(VLOOKUP($A39,'Quarterly Pipeline vs Target Pi'!$A:$V,11,false)," $","")," €",""), "")
)</f>
        <v>8.97</v>
      </c>
      <c r="AC39" s="1">
        <f>value(IFERROR(SUBSTITUTE(SUBSTITUTE(VLOOKUP($A39,'Quarterly Pipeline vs Target Pi'!$A:$V,12,false)," $","")," €",""), "")
)</f>
        <v>6881.01</v>
      </c>
      <c r="AD39" s="17">
        <f t="shared" si="10"/>
        <v>0.0013035877</v>
      </c>
      <c r="AE39" s="1">
        <f>value(IFERROR(SUBSTITUTE(SUBSTITUTE(VLOOKUP($A39,'Quarterly Pipeline vs Target Pi'!$A:$V,16,false)," $","")," €",""), "")
)</f>
        <v>296.05</v>
      </c>
      <c r="AF39" s="1">
        <f>value(IFERROR(SUBSTITUTE(SUBSTITUTE(VLOOKUP($A39,'Quarterly Pipeline vs Target Pi'!$A:$V,17,false)," $","")," €",""), "")
)</f>
        <v>10318.83</v>
      </c>
      <c r="AG39" s="17">
        <f t="shared" si="11"/>
        <v>0.02869026818</v>
      </c>
      <c r="AH39" s="1">
        <f>value(IFERROR(SUBSTITUTE(SUBSTITUTE(VLOOKUP($A39,'Quarterly Pipeline vs Target Pi'!$A:$V,21,false)," $","")," €",""), "")
)</f>
        <v>18.91</v>
      </c>
      <c r="AI39" s="1">
        <f>value(IFERROR(SUBSTITUTE(SUBSTITUTE(VLOOKUP($A39,'Quarterly Pipeline vs Target Pi'!$A:$V,22,false)," $","")," €",""), "")
)</f>
        <v>10316.12</v>
      </c>
      <c r="AJ39" s="17">
        <f t="shared" si="12"/>
        <v>0.001833053512</v>
      </c>
      <c r="AK39" s="1">
        <f t="shared" ref="AK39:AL39" si="91">sum(Y39,AB39,AE39,AH39)</f>
        <v>327.01</v>
      </c>
      <c r="AL39" s="1">
        <f t="shared" si="91"/>
        <v>27515.96</v>
      </c>
      <c r="AM39" s="17">
        <f t="shared" si="14"/>
        <v>0.01188437547</v>
      </c>
      <c r="AN39" s="1">
        <f>value(IFERROR(SUBSTITUTE(SUBSTITUTE(VLOOKUP($A39,'Quarterly Pipeline vs Target Pi'!$A:$AP,26,false)," $","")," €",""), "")
)</f>
        <v>2.74</v>
      </c>
      <c r="AO39" s="1">
        <f>value(IFERROR(SUBSTITUTE(SUBSTITUTE(VLOOKUP($A39,'Quarterly Pipeline vs Target Pi'!$A:$AP,27,false)," $","")," €",""), "")
)</f>
        <v>0</v>
      </c>
      <c r="AP39" s="17" t="str">
        <f t="shared" si="15"/>
        <v/>
      </c>
      <c r="AQ39" s="1">
        <f>value(IFERROR(SUBSTITUTE(SUBSTITUTE(VLOOKUP($A39,'Quarterly Pipeline vs Target Pi'!$A:$AP,31,false)," $","")," €",""), "")
)</f>
        <v>28.22</v>
      </c>
      <c r="AR39" s="1">
        <f>value(IFERROR(SUBSTITUTE(SUBSTITUTE(VLOOKUP($A39,'Quarterly Pipeline vs Target Pi'!$A:$AP,32,false)," $","")," €",""), "")
)</f>
        <v>0</v>
      </c>
      <c r="AS39" s="17" t="str">
        <f t="shared" si="16"/>
        <v/>
      </c>
      <c r="AT39" s="1">
        <f>value(IFERROR(SUBSTITUTE(SUBSTITUTE(VLOOKUP($A39,'Quarterly Pipeline vs Target Pi'!$A:$AP,36,false)," $","")," €",""), "")
)</f>
        <v>8.38</v>
      </c>
      <c r="AU39" s="1">
        <f>value(IFERROR(SUBSTITUTE(SUBSTITUTE(VLOOKUP($A39,'Quarterly Pipeline vs Target Pi'!$A:$AP,37,false)," $","")," €",""), "")
)</f>
        <v>0</v>
      </c>
      <c r="AV39" s="17" t="str">
        <f t="shared" si="17"/>
        <v/>
      </c>
      <c r="AW39" s="1">
        <f>value(IFERROR(SUBSTITUTE(SUBSTITUTE(VLOOKUP($A39,'Quarterly Pipeline vs Target Pi'!$A:$AP,41,false)," $","")," €",""), "")
)</f>
        <v>0</v>
      </c>
      <c r="AX39" s="1">
        <f>value(IFERROR(SUBSTITUTE(SUBSTITUTE(VLOOKUP($A39,'Quarterly Pipeline vs Target Pi'!$A:$AP,42,false)," $","")," €",""), "")
)</f>
        <v>0</v>
      </c>
      <c r="AY39" s="17" t="str">
        <f t="shared" si="18"/>
        <v/>
      </c>
      <c r="AZ39" s="1">
        <f t="shared" ref="AZ39:BA39" si="92">sum(AN39,AQ39,AT39,AW39)</f>
        <v>39.34</v>
      </c>
      <c r="BA39" s="1">
        <f t="shared" si="92"/>
        <v>0</v>
      </c>
      <c r="BB39" s="17" t="str">
        <f t="shared" si="20"/>
        <v/>
      </c>
    </row>
    <row r="40">
      <c r="A40" s="1" t="str">
        <f>IFERROR(__xludf.DUMMYFUNCTION("""COMPUTED_VALUE"""),"63ced84ec5c820531c2698ba")</f>
        <v>63ced84ec5c820531c2698ba</v>
      </c>
      <c r="B40" s="1" t="str">
        <f>IFERROR(__xludf.DUMMYFUNCTION("""COMPUTED_VALUE"""),"Ascomnorth, Inc.")</f>
        <v>Ascomnorth, Inc.</v>
      </c>
      <c r="C40" s="1" t="str">
        <f>IFERROR(__xludf.DUMMYFUNCTION("""COMPUTED_VALUE"""),"brendan.flaherty@al-enterprise.com")</f>
        <v>brendan.flaherty@al-enterprise.com</v>
      </c>
      <c r="D40" s="1" t="str">
        <f>IFERROR(__xludf.DUMMYFUNCTION("""COMPUTED_VALUE"""),"americas")</f>
        <v>americas</v>
      </c>
      <c r="E40" s="1" t="str">
        <f>IFERROR(__xludf.DUMMYFUNCTION("""COMPUTED_VALUE"""),"US")</f>
        <v>US</v>
      </c>
      <c r="F40" s="1"/>
      <c r="G40" s="1" t="str">
        <f>iferror(VLOOKUP(A40,'Business Plan Setup and Accepta'!A:G,6,false),"")</f>
        <v/>
      </c>
      <c r="H40" s="1" t="str">
        <f>iferror(VLOOKUP(A40,'Business Plan Setup and Accepta'!A:G,7,false),"")</f>
        <v/>
      </c>
      <c r="I40" s="17" t="str">
        <f t="shared" si="3"/>
        <v/>
      </c>
      <c r="J40" s="1" t="str">
        <f>IFERROR(VALUE(SUBSTITUTE(VLOOKUP(A40,'Sales IN Revenues vs Sales targ'!A:G,6,false)," $","")), "")
</f>
        <v/>
      </c>
      <c r="K40" s="1" t="str">
        <f>IFERROR(VALUE(SUBSTITUTE(VLOOKUP(A40,'Sales IN Revenues vs Sales targ'!A:G,7,false)," $","")), "")
</f>
        <v/>
      </c>
      <c r="L40" s="17" t="str">
        <f t="shared" si="4"/>
        <v/>
      </c>
      <c r="M40" s="1">
        <f>value(SUBSTITUTE(IFERROR(VLOOKUP(A40,'Certifications achievements vs '!A:G,6,false),""),"#","")
)</f>
        <v>0</v>
      </c>
      <c r="N40" s="1">
        <f>value(SUBSTITUTE(IFERROR(VLOOKUP(A40,'Certifications achievements vs '!A:G,7,false),""),"#","")
)</f>
        <v>0</v>
      </c>
      <c r="O40" s="17" t="str">
        <f t="shared" si="5"/>
        <v/>
      </c>
      <c r="P40" s="1">
        <f>value(SUBSTITUTE(IFERROR(VLOOKUP(A40,'Communications - Solution Speci'!A:G,6,false),""),"#","")
)</f>
        <v>0</v>
      </c>
      <c r="Q40" s="1">
        <f>value(SUBSTITUTE(IFERROR(VLOOKUP(A40,'Communications - Solution Speci'!A:G,7,false),""),"#","")
)</f>
        <v>0</v>
      </c>
      <c r="R40" s="17" t="str">
        <f t="shared" si="6"/>
        <v/>
      </c>
      <c r="S40" s="1">
        <f>value(SUBSTITUTE(IFERROR(VLOOKUP(A40,'Networking - Solution Specializ'!A:G,6,false),""),"#","")
)</f>
        <v>0</v>
      </c>
      <c r="T40" s="1">
        <f>value(SUBSTITUTE(IFERROR(VLOOKUP(A40,'Networking - Solution Specializ'!A:G,7,false),""),"#","")
)</f>
        <v>0</v>
      </c>
      <c r="U40" s="17" t="str">
        <f t="shared" si="7"/>
        <v/>
      </c>
      <c r="V40" s="1" t="str">
        <f>iferror(vlookup(A40,'Marketing Plan (extract summary'!A:G,6,false),"")</f>
        <v/>
      </c>
      <c r="W40" s="1" t="str">
        <f>iferror(vlookup(A40,'Marketing Plan (extract summary'!A:G,7,false),"")</f>
        <v/>
      </c>
      <c r="X40" s="17" t="str">
        <f t="shared" si="8"/>
        <v/>
      </c>
      <c r="Y40" s="1">
        <f>value(IFERROR(SUBSTITUTE(SUBSTITUTE(VLOOKUP(A40,'Quarterly Pipeline vs Target Pi'!A:G,6,false)," $","")," €",""), "")
)</f>
        <v>0</v>
      </c>
      <c r="Z40" s="1">
        <f>value(IFERROR(SUBSTITUTE(SUBSTITUTE(VLOOKUP(A40,'Quarterly Pipeline vs Target Pi'!A:G,7,false)," $","")," €",""), "")
)</f>
        <v>0</v>
      </c>
      <c r="AA40" s="17" t="str">
        <f t="shared" si="9"/>
        <v/>
      </c>
      <c r="AB40" s="1">
        <f>value(IFERROR(SUBSTITUTE(SUBSTITUTE(VLOOKUP($A40,'Quarterly Pipeline vs Target Pi'!$A:$V,11,false)," $","")," €",""), "")
)</f>
        <v>0</v>
      </c>
      <c r="AC40" s="1">
        <f>value(IFERROR(SUBSTITUTE(SUBSTITUTE(VLOOKUP($A40,'Quarterly Pipeline vs Target Pi'!$A:$V,12,false)," $","")," €",""), "")
)</f>
        <v>0</v>
      </c>
      <c r="AD40" s="17" t="str">
        <f t="shared" si="10"/>
        <v/>
      </c>
      <c r="AE40" s="1">
        <f>value(IFERROR(SUBSTITUTE(SUBSTITUTE(VLOOKUP($A40,'Quarterly Pipeline vs Target Pi'!$A:$V,16,false)," $","")," €",""), "")
)</f>
        <v>0</v>
      </c>
      <c r="AF40" s="1">
        <f>value(IFERROR(SUBSTITUTE(SUBSTITUTE(VLOOKUP($A40,'Quarterly Pipeline vs Target Pi'!$A:$V,17,false)," $","")," €",""), "")
)</f>
        <v>0</v>
      </c>
      <c r="AG40" s="17" t="str">
        <f t="shared" si="11"/>
        <v/>
      </c>
      <c r="AH40" s="1">
        <f>value(IFERROR(SUBSTITUTE(SUBSTITUTE(VLOOKUP($A40,'Quarterly Pipeline vs Target Pi'!$A:$V,21,false)," $","")," €",""), "")
)</f>
        <v>0</v>
      </c>
      <c r="AI40" s="1">
        <f>value(IFERROR(SUBSTITUTE(SUBSTITUTE(VLOOKUP($A40,'Quarterly Pipeline vs Target Pi'!$A:$V,22,false)," $","")," €",""), "")
)</f>
        <v>0</v>
      </c>
      <c r="AJ40" s="17" t="str">
        <f t="shared" si="12"/>
        <v/>
      </c>
      <c r="AK40" s="1">
        <f t="shared" ref="AK40:AL40" si="93">sum(Y40,AB40,AE40,AH40)</f>
        <v>0</v>
      </c>
      <c r="AL40" s="1">
        <f t="shared" si="93"/>
        <v>0</v>
      </c>
      <c r="AM40" s="17" t="str">
        <f t="shared" si="14"/>
        <v/>
      </c>
      <c r="AN40" s="1">
        <f>value(IFERROR(SUBSTITUTE(SUBSTITUTE(VLOOKUP($A40,'Quarterly Pipeline vs Target Pi'!$A:$AP,26,false)," $","")," €",""), "")
)</f>
        <v>0</v>
      </c>
      <c r="AO40" s="1">
        <f>value(IFERROR(SUBSTITUTE(SUBSTITUTE(VLOOKUP($A40,'Quarterly Pipeline vs Target Pi'!$A:$AP,27,false)," $","")," €",""), "")
)</f>
        <v>0</v>
      </c>
      <c r="AP40" s="17" t="str">
        <f t="shared" si="15"/>
        <v/>
      </c>
      <c r="AQ40" s="1">
        <f>value(IFERROR(SUBSTITUTE(SUBSTITUTE(VLOOKUP($A40,'Quarterly Pipeline vs Target Pi'!$A:$AP,31,false)," $","")," €",""), "")
)</f>
        <v>0</v>
      </c>
      <c r="AR40" s="1">
        <f>value(IFERROR(SUBSTITUTE(SUBSTITUTE(VLOOKUP($A40,'Quarterly Pipeline vs Target Pi'!$A:$AP,32,false)," $","")," €",""), "")
)</f>
        <v>0</v>
      </c>
      <c r="AS40" s="17" t="str">
        <f t="shared" si="16"/>
        <v/>
      </c>
      <c r="AT40" s="1">
        <f>value(IFERROR(SUBSTITUTE(SUBSTITUTE(VLOOKUP($A40,'Quarterly Pipeline vs Target Pi'!$A:$AP,36,false)," $","")," €",""), "")
)</f>
        <v>0</v>
      </c>
      <c r="AU40" s="1">
        <f>value(IFERROR(SUBSTITUTE(SUBSTITUTE(VLOOKUP($A40,'Quarterly Pipeline vs Target Pi'!$A:$AP,37,false)," $","")," €",""), "")
)</f>
        <v>0</v>
      </c>
      <c r="AV40" s="17" t="str">
        <f t="shared" si="17"/>
        <v/>
      </c>
      <c r="AW40" s="1">
        <f>value(IFERROR(SUBSTITUTE(SUBSTITUTE(VLOOKUP($A40,'Quarterly Pipeline vs Target Pi'!$A:$AP,41,false)," $","")," €",""), "")
)</f>
        <v>0</v>
      </c>
      <c r="AX40" s="1">
        <f>value(IFERROR(SUBSTITUTE(SUBSTITUTE(VLOOKUP($A40,'Quarterly Pipeline vs Target Pi'!$A:$AP,42,false)," $","")," €",""), "")
)</f>
        <v>0</v>
      </c>
      <c r="AY40" s="17" t="str">
        <f t="shared" si="18"/>
        <v/>
      </c>
      <c r="AZ40" s="1">
        <f t="shared" ref="AZ40:BA40" si="94">sum(AN40,AQ40,AT40,AW40)</f>
        <v>0</v>
      </c>
      <c r="BA40" s="1">
        <f t="shared" si="94"/>
        <v>0</v>
      </c>
      <c r="BB40" s="17" t="str">
        <f t="shared" si="20"/>
        <v/>
      </c>
    </row>
    <row r="41">
      <c r="A41" s="1" t="str">
        <f>IFERROR(__xludf.DUMMYFUNCTION("""COMPUTED_VALUE"""),"63ea6e9752ad6968805cf0f3")</f>
        <v>63ea6e9752ad6968805cf0f3</v>
      </c>
      <c r="B41" s="1" t="str">
        <f>IFERROR(__xludf.DUMMYFUNCTION("""COMPUTED_VALUE"""),"ASTA-PICCA IT-Systeme GmbH")</f>
        <v>ASTA-PICCA IT-Systeme GmbH</v>
      </c>
      <c r="C41" s="1" t="str">
        <f>IFERROR(__xludf.DUMMYFUNCTION("""COMPUTED_VALUE"""),"andreas.grossheimann@al-enterprise.com, andre.ramm@al-enterprise.com")</f>
        <v>andreas.grossheimann@al-enterprise.com, andre.ramm@al-enterprise.com</v>
      </c>
      <c r="D41" s="1" t="str">
        <f>IFERROR(__xludf.DUMMYFUNCTION("""COMPUTED_VALUE"""),"germany")</f>
        <v>germany</v>
      </c>
      <c r="E41" s="1" t="str">
        <f>IFERROR(__xludf.DUMMYFUNCTION("""COMPUTED_VALUE"""),"DE")</f>
        <v>DE</v>
      </c>
      <c r="F41" s="1"/>
      <c r="G41" s="1" t="str">
        <f>iferror(VLOOKUP(A41,'Business Plan Setup and Accepta'!A:G,6,false),"")</f>
        <v/>
      </c>
      <c r="H41" s="1" t="str">
        <f>iferror(VLOOKUP(A41,'Business Plan Setup and Accepta'!A:G,7,false),"")</f>
        <v/>
      </c>
      <c r="I41" s="17" t="str">
        <f t="shared" si="3"/>
        <v/>
      </c>
      <c r="J41" s="1" t="str">
        <f>IFERROR(VALUE(SUBSTITUTE(VLOOKUP(A41,'Sales IN Revenues vs Sales targ'!A:G,6,false)," $","")), "")
</f>
        <v/>
      </c>
      <c r="K41" s="1" t="str">
        <f>IFERROR(VALUE(SUBSTITUTE(VLOOKUP(A41,'Sales IN Revenues vs Sales targ'!A:G,7,false)," $","")), "")
</f>
        <v/>
      </c>
      <c r="L41" s="17" t="str">
        <f t="shared" si="4"/>
        <v/>
      </c>
      <c r="M41" s="1">
        <f>value(SUBSTITUTE(IFERROR(VLOOKUP(A41,'Certifications achievements vs '!A:G,6,false),""),"#","")
)</f>
        <v>0</v>
      </c>
      <c r="N41" s="1">
        <f>value(SUBSTITUTE(IFERROR(VLOOKUP(A41,'Certifications achievements vs '!A:G,7,false),""),"#","")
)</f>
        <v>0</v>
      </c>
      <c r="O41" s="17" t="str">
        <f t="shared" si="5"/>
        <v/>
      </c>
      <c r="P41" s="1">
        <f>value(SUBSTITUTE(IFERROR(VLOOKUP(A41,'Communications - Solution Speci'!A:G,6,false),""),"#","")
)</f>
        <v>0</v>
      </c>
      <c r="Q41" s="1">
        <f>value(SUBSTITUTE(IFERROR(VLOOKUP(A41,'Communications - Solution Speci'!A:G,7,false),""),"#","")
)</f>
        <v>0</v>
      </c>
      <c r="R41" s="17" t="str">
        <f t="shared" si="6"/>
        <v/>
      </c>
      <c r="S41" s="1">
        <f>value(SUBSTITUTE(IFERROR(VLOOKUP(A41,'Networking - Solution Specializ'!A:G,6,false),""),"#","")
)</f>
        <v>0</v>
      </c>
      <c r="T41" s="1">
        <f>value(SUBSTITUTE(IFERROR(VLOOKUP(A41,'Networking - Solution Specializ'!A:G,7,false),""),"#","")
)</f>
        <v>0</v>
      </c>
      <c r="U41" s="17" t="str">
        <f t="shared" si="7"/>
        <v/>
      </c>
      <c r="V41" s="1" t="str">
        <f>iferror(vlookup(A41,'Marketing Plan (extract summary'!A:G,6,false),"")</f>
        <v/>
      </c>
      <c r="W41" s="1" t="str">
        <f>iferror(vlookup(A41,'Marketing Plan (extract summary'!A:G,7,false),"")</f>
        <v/>
      </c>
      <c r="X41" s="17" t="str">
        <f t="shared" si="8"/>
        <v/>
      </c>
      <c r="Y41" s="1">
        <f>value(IFERROR(SUBSTITUTE(SUBSTITUTE(VLOOKUP(A41,'Quarterly Pipeline vs Target Pi'!A:G,6,false)," $","")," €",""), "")
)</f>
        <v>0</v>
      </c>
      <c r="Z41" s="1">
        <f>value(IFERROR(SUBSTITUTE(SUBSTITUTE(VLOOKUP(A41,'Quarterly Pipeline vs Target Pi'!A:G,7,false)," $","")," €",""), "")
)</f>
        <v>0</v>
      </c>
      <c r="AA41" s="17" t="str">
        <f t="shared" si="9"/>
        <v/>
      </c>
      <c r="AB41" s="1">
        <f>value(IFERROR(SUBSTITUTE(SUBSTITUTE(VLOOKUP($A41,'Quarterly Pipeline vs Target Pi'!$A:$V,11,false)," $","")," €",""), "")
)</f>
        <v>0</v>
      </c>
      <c r="AC41" s="1">
        <f>value(IFERROR(SUBSTITUTE(SUBSTITUTE(VLOOKUP($A41,'Quarterly Pipeline vs Target Pi'!$A:$V,12,false)," $","")," €",""), "")
)</f>
        <v>0</v>
      </c>
      <c r="AD41" s="17" t="str">
        <f t="shared" si="10"/>
        <v/>
      </c>
      <c r="AE41" s="1">
        <f>value(IFERROR(SUBSTITUTE(SUBSTITUTE(VLOOKUP($A41,'Quarterly Pipeline vs Target Pi'!$A:$V,16,false)," $","")," €",""), "")
)</f>
        <v>0</v>
      </c>
      <c r="AF41" s="1">
        <f>value(IFERROR(SUBSTITUTE(SUBSTITUTE(VLOOKUP($A41,'Quarterly Pipeline vs Target Pi'!$A:$V,17,false)," $","")," €",""), "")
)</f>
        <v>0</v>
      </c>
      <c r="AG41" s="17" t="str">
        <f t="shared" si="11"/>
        <v/>
      </c>
      <c r="AH41" s="1">
        <f>value(IFERROR(SUBSTITUTE(SUBSTITUTE(VLOOKUP($A41,'Quarterly Pipeline vs Target Pi'!$A:$V,21,false)," $","")," €",""), "")
)</f>
        <v>0</v>
      </c>
      <c r="AI41" s="1">
        <f>value(IFERROR(SUBSTITUTE(SUBSTITUTE(VLOOKUP($A41,'Quarterly Pipeline vs Target Pi'!$A:$V,22,false)," $","")," €",""), "")
)</f>
        <v>0</v>
      </c>
      <c r="AJ41" s="17" t="str">
        <f t="shared" si="12"/>
        <v/>
      </c>
      <c r="AK41" s="1">
        <f t="shared" ref="AK41:AL41" si="95">sum(Y41,AB41,AE41,AH41)</f>
        <v>0</v>
      </c>
      <c r="AL41" s="1">
        <f t="shared" si="95"/>
        <v>0</v>
      </c>
      <c r="AM41" s="17" t="str">
        <f t="shared" si="14"/>
        <v/>
      </c>
      <c r="AN41" s="1">
        <f>value(IFERROR(SUBSTITUTE(SUBSTITUTE(VLOOKUP($A41,'Quarterly Pipeline vs Target Pi'!$A:$AP,26,false)," $","")," €",""), "")
)</f>
        <v>0</v>
      </c>
      <c r="AO41" s="1">
        <f>value(IFERROR(SUBSTITUTE(SUBSTITUTE(VLOOKUP($A41,'Quarterly Pipeline vs Target Pi'!$A:$AP,27,false)," $","")," €",""), "")
)</f>
        <v>0</v>
      </c>
      <c r="AP41" s="17" t="str">
        <f t="shared" si="15"/>
        <v/>
      </c>
      <c r="AQ41" s="1">
        <f>value(IFERROR(SUBSTITUTE(SUBSTITUTE(VLOOKUP($A41,'Quarterly Pipeline vs Target Pi'!$A:$AP,31,false)," $","")," €",""), "")
)</f>
        <v>0</v>
      </c>
      <c r="AR41" s="1">
        <f>value(IFERROR(SUBSTITUTE(SUBSTITUTE(VLOOKUP($A41,'Quarterly Pipeline vs Target Pi'!$A:$AP,32,false)," $","")," €",""), "")
)</f>
        <v>0</v>
      </c>
      <c r="AS41" s="17" t="str">
        <f t="shared" si="16"/>
        <v/>
      </c>
      <c r="AT41" s="1">
        <f>value(IFERROR(SUBSTITUTE(SUBSTITUTE(VLOOKUP($A41,'Quarterly Pipeline vs Target Pi'!$A:$AP,36,false)," $","")," €",""), "")
)</f>
        <v>0</v>
      </c>
      <c r="AU41" s="1">
        <f>value(IFERROR(SUBSTITUTE(SUBSTITUTE(VLOOKUP($A41,'Quarterly Pipeline vs Target Pi'!$A:$AP,37,false)," $","")," €",""), "")
)</f>
        <v>0</v>
      </c>
      <c r="AV41" s="17" t="str">
        <f t="shared" si="17"/>
        <v/>
      </c>
      <c r="AW41" s="1">
        <f>value(IFERROR(SUBSTITUTE(SUBSTITUTE(VLOOKUP($A41,'Quarterly Pipeline vs Target Pi'!$A:$AP,41,false)," $","")," €",""), "")
)</f>
        <v>0</v>
      </c>
      <c r="AX41" s="1">
        <f>value(IFERROR(SUBSTITUTE(SUBSTITUTE(VLOOKUP($A41,'Quarterly Pipeline vs Target Pi'!$A:$AP,42,false)," $","")," €",""), "")
)</f>
        <v>0</v>
      </c>
      <c r="AY41" s="17" t="str">
        <f t="shared" si="18"/>
        <v/>
      </c>
      <c r="AZ41" s="1">
        <f t="shared" ref="AZ41:BA41" si="96">sum(AN41,AQ41,AT41,AW41)</f>
        <v>0</v>
      </c>
      <c r="BA41" s="1">
        <f t="shared" si="96"/>
        <v>0</v>
      </c>
      <c r="BB41" s="17" t="str">
        <f t="shared" si="20"/>
        <v/>
      </c>
    </row>
    <row r="42">
      <c r="A42" s="1" t="str">
        <f>IFERROR(__xludf.DUMMYFUNCTION("""COMPUTED_VALUE"""),"63ced849c5c820531c268e5b")</f>
        <v>63ced849c5c820531c268e5b</v>
      </c>
      <c r="B42" s="1" t="str">
        <f>IFERROR(__xludf.DUMMYFUNCTION("""COMPUTED_VALUE"""),"ASTEL - ADVANCED SOLUCIONES DE")</f>
        <v>ASTEL - ADVANCED SOLUCIONES DE</v>
      </c>
      <c r="C42" s="1" t="str">
        <f>IFERROR(__xludf.DUMMYFUNCTION("""COMPUTED_VALUE"""),"joaquin.flores@al-enterprise.com")</f>
        <v>joaquin.flores@al-enterprise.com</v>
      </c>
      <c r="D42" s="1" t="str">
        <f>IFERROR(__xludf.DUMMYFUNCTION("""COMPUTED_VALUE"""),"americas")</f>
        <v>americas</v>
      </c>
      <c r="E42" s="1" t="str">
        <f>IFERROR(__xludf.DUMMYFUNCTION("""COMPUTED_VALUE"""),"MX")</f>
        <v>MX</v>
      </c>
      <c r="F42" s="1" t="str">
        <f>IFERROR(__xludf.DUMMYFUNCTION("""COMPUTED_VALUE"""),"distributor_1000")</f>
        <v>distributor_1000</v>
      </c>
      <c r="G42" s="1">
        <f>iferror(VLOOKUP(A42,'Business Plan Setup and Accepta'!A:G,6,false),"")</f>
        <v>0</v>
      </c>
      <c r="H42" s="1">
        <f>iferror(VLOOKUP(A42,'Business Plan Setup and Accepta'!A:G,7,false),"")</f>
        <v>1</v>
      </c>
      <c r="I42" s="17">
        <f t="shared" si="3"/>
        <v>0</v>
      </c>
      <c r="J42" s="1">
        <f>IFERROR(VALUE(SUBSTITUTE(VLOOKUP(A42,'Sales IN Revenues vs Sales targ'!A:G,6,false)," $","")), "")
</f>
        <v>785.44</v>
      </c>
      <c r="K42" s="1">
        <f>IFERROR(VALUE(SUBSTITUTE(VLOOKUP(A42,'Sales IN Revenues vs Sales targ'!A:G,7,false)," $","")), "")
</f>
        <v>2875.97</v>
      </c>
      <c r="L42" s="17">
        <f t="shared" si="4"/>
        <v>0.2731043787</v>
      </c>
      <c r="M42" s="1">
        <f>value(SUBSTITUTE(IFERROR(VLOOKUP(A42,'Certifications achievements vs '!A:G,6,false),""),"#","")
)</f>
        <v>81</v>
      </c>
      <c r="N42" s="1">
        <f>value(SUBSTITUTE(IFERROR(VLOOKUP(A42,'Certifications achievements vs '!A:G,7,false),""),"#","")
)</f>
        <v>52</v>
      </c>
      <c r="O42" s="17">
        <f t="shared" si="5"/>
        <v>1.557692308</v>
      </c>
      <c r="P42" s="1">
        <f>value(SUBSTITUTE(IFERROR(VLOOKUP(A42,'Communications - Solution Speci'!A:G,6,false),""),"#","")
)</f>
        <v>1</v>
      </c>
      <c r="Q42" s="1">
        <f>value(SUBSTITUTE(IFERROR(VLOOKUP(A42,'Communications - Solution Speci'!A:G,7,false),""),"#","")
)</f>
        <v>1</v>
      </c>
      <c r="R42" s="17">
        <f t="shared" si="6"/>
        <v>1</v>
      </c>
      <c r="S42" s="1">
        <f>value(SUBSTITUTE(IFERROR(VLOOKUP(A42,'Networking - Solution Specializ'!A:G,6,false),""),"#","")
)</f>
        <v>1</v>
      </c>
      <c r="T42" s="1">
        <f>value(SUBSTITUTE(IFERROR(VLOOKUP(A42,'Networking - Solution Specializ'!A:G,7,false),""),"#","")
)</f>
        <v>1</v>
      </c>
      <c r="U42" s="17">
        <f t="shared" si="7"/>
        <v>1</v>
      </c>
      <c r="V42" s="1">
        <f>iferror(vlookup(A42,'Marketing Plan (extract summary'!A:G,6,false),"")</f>
        <v>0</v>
      </c>
      <c r="W42" s="1">
        <f>iferror(vlookup(A42,'Marketing Plan (extract summary'!A:G,7,false),"")</f>
        <v>1</v>
      </c>
      <c r="X42" s="17">
        <f t="shared" si="8"/>
        <v>0</v>
      </c>
      <c r="Y42" s="1">
        <f>value(IFERROR(SUBSTITUTE(SUBSTITUTE(VLOOKUP(A42,'Quarterly Pipeline vs Target Pi'!A:G,6,false)," $","")," €",""), "")
)</f>
        <v>14.49</v>
      </c>
      <c r="Z42" s="1">
        <f>value(IFERROR(SUBSTITUTE(SUBSTITUTE(VLOOKUP(A42,'Quarterly Pipeline vs Target Pi'!A:G,7,false)," $","")," €",""), "")
)</f>
        <v>0</v>
      </c>
      <c r="AA42" s="17" t="str">
        <f t="shared" si="9"/>
        <v/>
      </c>
      <c r="AB42" s="1">
        <f>value(IFERROR(SUBSTITUTE(SUBSTITUTE(VLOOKUP($A42,'Quarterly Pipeline vs Target Pi'!$A:$V,11,false)," $","")," €",""), "")
)</f>
        <v>17.91</v>
      </c>
      <c r="AC42" s="1">
        <f>value(IFERROR(SUBSTITUTE(SUBSTITUTE(VLOOKUP($A42,'Quarterly Pipeline vs Target Pi'!$A:$V,12,false)," $","")," €",""), "")
)</f>
        <v>845.58</v>
      </c>
      <c r="AD42" s="17">
        <f t="shared" si="10"/>
        <v>0.02118072802</v>
      </c>
      <c r="AE42" s="1">
        <f>value(IFERROR(SUBSTITUTE(SUBSTITUTE(VLOOKUP($A42,'Quarterly Pipeline vs Target Pi'!$A:$V,16,false)," $","")," €",""), "")
)</f>
        <v>93.62</v>
      </c>
      <c r="AF42" s="1">
        <f>value(IFERROR(SUBSTITUTE(SUBSTITUTE(VLOOKUP($A42,'Quarterly Pipeline vs Target Pi'!$A:$V,17,false)," $","")," €",""), "")
)</f>
        <v>1269.09</v>
      </c>
      <c r="AG42" s="17">
        <f t="shared" si="11"/>
        <v>0.07376939382</v>
      </c>
      <c r="AH42" s="1">
        <f>value(IFERROR(SUBSTITUTE(SUBSTITUTE(VLOOKUP($A42,'Quarterly Pipeline vs Target Pi'!$A:$V,21,false)," $","")," €",""), "")
)</f>
        <v>184.87</v>
      </c>
      <c r="AI42" s="1">
        <f>value(IFERROR(SUBSTITUTE(SUBSTITUTE(VLOOKUP($A42,'Quarterly Pipeline vs Target Pi'!$A:$V,22,false)," $","")," €",""), "")
)</f>
        <v>1269.09</v>
      </c>
      <c r="AJ42" s="17">
        <f t="shared" si="12"/>
        <v>0.1456713078</v>
      </c>
      <c r="AK42" s="1">
        <f t="shared" ref="AK42:AL42" si="97">sum(Y42,AB42,AE42,AH42)</f>
        <v>310.89</v>
      </c>
      <c r="AL42" s="1">
        <f t="shared" si="97"/>
        <v>3383.76</v>
      </c>
      <c r="AM42" s="17">
        <f t="shared" si="14"/>
        <v>0.09187708348</v>
      </c>
      <c r="AN42" s="1">
        <f>value(IFERROR(SUBSTITUTE(SUBSTITUTE(VLOOKUP($A42,'Quarterly Pipeline vs Target Pi'!$A:$AP,26,false)," $","")," €",""), "")
)</f>
        <v>41.46</v>
      </c>
      <c r="AO42" s="1">
        <f>value(IFERROR(SUBSTITUTE(SUBSTITUTE(VLOOKUP($A42,'Quarterly Pipeline vs Target Pi'!$A:$AP,27,false)," $","")," €",""), "")
)</f>
        <v>0</v>
      </c>
      <c r="AP42" s="17" t="str">
        <f t="shared" si="15"/>
        <v/>
      </c>
      <c r="AQ42" s="1">
        <f>value(IFERROR(SUBSTITUTE(SUBSTITUTE(VLOOKUP($A42,'Quarterly Pipeline vs Target Pi'!$A:$AP,31,false)," $","")," €",""), "")
)</f>
        <v>64.23</v>
      </c>
      <c r="AR42" s="1">
        <f>value(IFERROR(SUBSTITUTE(SUBSTITUTE(VLOOKUP($A42,'Quarterly Pipeline vs Target Pi'!$A:$AP,32,false)," $","")," €",""), "")
)</f>
        <v>0</v>
      </c>
      <c r="AS42" s="17" t="str">
        <f t="shared" si="16"/>
        <v/>
      </c>
      <c r="AT42" s="1">
        <f>value(IFERROR(SUBSTITUTE(SUBSTITUTE(VLOOKUP($A42,'Quarterly Pipeline vs Target Pi'!$A:$AP,36,false)," $","")," €",""), "")
)</f>
        <v>0</v>
      </c>
      <c r="AU42" s="1">
        <f>value(IFERROR(SUBSTITUTE(SUBSTITUTE(VLOOKUP($A42,'Quarterly Pipeline vs Target Pi'!$A:$AP,37,false)," $","")," €",""), "")
)</f>
        <v>0</v>
      </c>
      <c r="AV42" s="17" t="str">
        <f t="shared" si="17"/>
        <v/>
      </c>
      <c r="AW42" s="1">
        <f>value(IFERROR(SUBSTITUTE(SUBSTITUTE(VLOOKUP($A42,'Quarterly Pipeline vs Target Pi'!$A:$AP,41,false)," $","")," €",""), "")
)</f>
        <v>7.26</v>
      </c>
      <c r="AX42" s="1">
        <f>value(IFERROR(SUBSTITUTE(SUBSTITUTE(VLOOKUP($A42,'Quarterly Pipeline vs Target Pi'!$A:$AP,42,false)," $","")," €",""), "")
)</f>
        <v>0</v>
      </c>
      <c r="AY42" s="17" t="str">
        <f t="shared" si="18"/>
        <v/>
      </c>
      <c r="AZ42" s="1">
        <f t="shared" ref="AZ42:BA42" si="98">sum(AN42,AQ42,AT42,AW42)</f>
        <v>112.95</v>
      </c>
      <c r="BA42" s="1">
        <f t="shared" si="98"/>
        <v>0</v>
      </c>
      <c r="BB42" s="17" t="str">
        <f t="shared" si="20"/>
        <v/>
      </c>
    </row>
    <row r="43">
      <c r="A43" s="1" t="str">
        <f>IFERROR(__xludf.DUMMYFUNCTION("""COMPUTED_VALUE"""),"63ced841c5c820531c267e89")</f>
        <v>63ced841c5c820531c267e89</v>
      </c>
      <c r="B43" s="1" t="str">
        <f>IFERROR(__xludf.DUMMYFUNCTION("""COMPUTED_VALUE"""),"AT&amp;T Datacomm, CSU Program")</f>
        <v>AT&amp;T Datacomm, CSU Program</v>
      </c>
      <c r="C43" s="1" t="str">
        <f>IFERROR(__xludf.DUMMYFUNCTION("""COMPUTED_VALUE"""),"steve.mcglasson@al-enterprise.com")</f>
        <v>steve.mcglasson@al-enterprise.com</v>
      </c>
      <c r="D43" s="1" t="str">
        <f>IFERROR(__xludf.DUMMYFUNCTION("""COMPUTED_VALUE"""),"americas")</f>
        <v>americas</v>
      </c>
      <c r="E43" s="1" t="str">
        <f>IFERROR(__xludf.DUMMYFUNCTION("""COMPUTED_VALUE"""),"US")</f>
        <v>US</v>
      </c>
      <c r="F43" s="1"/>
      <c r="G43" s="1" t="str">
        <f>iferror(VLOOKUP(A43,'Business Plan Setup and Accepta'!A:G,6,false),"")</f>
        <v/>
      </c>
      <c r="H43" s="1" t="str">
        <f>iferror(VLOOKUP(A43,'Business Plan Setup and Accepta'!A:G,7,false),"")</f>
        <v/>
      </c>
      <c r="I43" s="17" t="str">
        <f t="shared" si="3"/>
        <v/>
      </c>
      <c r="J43" s="1" t="str">
        <f>IFERROR(VALUE(SUBSTITUTE(VLOOKUP(A43,'Sales IN Revenues vs Sales targ'!A:G,6,false)," $","")), "")
</f>
        <v/>
      </c>
      <c r="K43" s="1" t="str">
        <f>IFERROR(VALUE(SUBSTITUTE(VLOOKUP(A43,'Sales IN Revenues vs Sales targ'!A:G,7,false)," $","")), "")
</f>
        <v/>
      </c>
      <c r="L43" s="17" t="str">
        <f t="shared" si="4"/>
        <v/>
      </c>
      <c r="M43" s="1">
        <f>value(SUBSTITUTE(IFERROR(VLOOKUP(A43,'Certifications achievements vs '!A:G,6,false),""),"#","")
)</f>
        <v>0</v>
      </c>
      <c r="N43" s="1">
        <f>value(SUBSTITUTE(IFERROR(VLOOKUP(A43,'Certifications achievements vs '!A:G,7,false),""),"#","")
)</f>
        <v>0</v>
      </c>
      <c r="O43" s="17" t="str">
        <f t="shared" si="5"/>
        <v/>
      </c>
      <c r="P43" s="1">
        <f>value(SUBSTITUTE(IFERROR(VLOOKUP(A43,'Communications - Solution Speci'!A:G,6,false),""),"#","")
)</f>
        <v>0</v>
      </c>
      <c r="Q43" s="1">
        <f>value(SUBSTITUTE(IFERROR(VLOOKUP(A43,'Communications - Solution Speci'!A:G,7,false),""),"#","")
)</f>
        <v>0</v>
      </c>
      <c r="R43" s="17" t="str">
        <f t="shared" si="6"/>
        <v/>
      </c>
      <c r="S43" s="1">
        <f>value(SUBSTITUTE(IFERROR(VLOOKUP(A43,'Networking - Solution Specializ'!A:G,6,false),""),"#","")
)</f>
        <v>0</v>
      </c>
      <c r="T43" s="1">
        <f>value(SUBSTITUTE(IFERROR(VLOOKUP(A43,'Networking - Solution Specializ'!A:G,7,false),""),"#","")
)</f>
        <v>0</v>
      </c>
      <c r="U43" s="17" t="str">
        <f t="shared" si="7"/>
        <v/>
      </c>
      <c r="V43" s="1" t="str">
        <f>iferror(vlookup(A43,'Marketing Plan (extract summary'!A:G,6,false),"")</f>
        <v/>
      </c>
      <c r="W43" s="1" t="str">
        <f>iferror(vlookup(A43,'Marketing Plan (extract summary'!A:G,7,false),"")</f>
        <v/>
      </c>
      <c r="X43" s="17" t="str">
        <f t="shared" si="8"/>
        <v/>
      </c>
      <c r="Y43" s="1">
        <f>value(IFERROR(SUBSTITUTE(SUBSTITUTE(VLOOKUP(A43,'Quarterly Pipeline vs Target Pi'!A:G,6,false)," $","")," €",""), "")
)</f>
        <v>0</v>
      </c>
      <c r="Z43" s="1">
        <f>value(IFERROR(SUBSTITUTE(SUBSTITUTE(VLOOKUP(A43,'Quarterly Pipeline vs Target Pi'!A:G,7,false)," $","")," €",""), "")
)</f>
        <v>0</v>
      </c>
      <c r="AA43" s="17" t="str">
        <f t="shared" si="9"/>
        <v/>
      </c>
      <c r="AB43" s="1">
        <f>value(IFERROR(SUBSTITUTE(SUBSTITUTE(VLOOKUP($A43,'Quarterly Pipeline vs Target Pi'!$A:$V,11,false)," $","")," €",""), "")
)</f>
        <v>0</v>
      </c>
      <c r="AC43" s="1">
        <f>value(IFERROR(SUBSTITUTE(SUBSTITUTE(VLOOKUP($A43,'Quarterly Pipeline vs Target Pi'!$A:$V,12,false)," $","")," €",""), "")
)</f>
        <v>0</v>
      </c>
      <c r="AD43" s="17" t="str">
        <f t="shared" si="10"/>
        <v/>
      </c>
      <c r="AE43" s="1">
        <f>value(IFERROR(SUBSTITUTE(SUBSTITUTE(VLOOKUP($A43,'Quarterly Pipeline vs Target Pi'!$A:$V,16,false)," $","")," €",""), "")
)</f>
        <v>0</v>
      </c>
      <c r="AF43" s="1">
        <f>value(IFERROR(SUBSTITUTE(SUBSTITUTE(VLOOKUP($A43,'Quarterly Pipeline vs Target Pi'!$A:$V,17,false)," $","")," €",""), "")
)</f>
        <v>0</v>
      </c>
      <c r="AG43" s="17" t="str">
        <f t="shared" si="11"/>
        <v/>
      </c>
      <c r="AH43" s="1">
        <f>value(IFERROR(SUBSTITUTE(SUBSTITUTE(VLOOKUP($A43,'Quarterly Pipeline vs Target Pi'!$A:$V,21,false)," $","")," €",""), "")
)</f>
        <v>0</v>
      </c>
      <c r="AI43" s="1">
        <f>value(IFERROR(SUBSTITUTE(SUBSTITUTE(VLOOKUP($A43,'Quarterly Pipeline vs Target Pi'!$A:$V,22,false)," $","")," €",""), "")
)</f>
        <v>0</v>
      </c>
      <c r="AJ43" s="17" t="str">
        <f t="shared" si="12"/>
        <v/>
      </c>
      <c r="AK43" s="1">
        <f t="shared" ref="AK43:AL43" si="99">sum(Y43,AB43,AE43,AH43)</f>
        <v>0</v>
      </c>
      <c r="AL43" s="1">
        <f t="shared" si="99"/>
        <v>0</v>
      </c>
      <c r="AM43" s="17" t="str">
        <f t="shared" si="14"/>
        <v/>
      </c>
      <c r="AN43" s="1">
        <f>value(IFERROR(SUBSTITUTE(SUBSTITUTE(VLOOKUP($A43,'Quarterly Pipeline vs Target Pi'!$A:$AP,26,false)," $","")," €",""), "")
)</f>
        <v>0</v>
      </c>
      <c r="AO43" s="1">
        <f>value(IFERROR(SUBSTITUTE(SUBSTITUTE(VLOOKUP($A43,'Quarterly Pipeline vs Target Pi'!$A:$AP,27,false)," $","")," €",""), "")
)</f>
        <v>0</v>
      </c>
      <c r="AP43" s="17" t="str">
        <f t="shared" si="15"/>
        <v/>
      </c>
      <c r="AQ43" s="1">
        <f>value(IFERROR(SUBSTITUTE(SUBSTITUTE(VLOOKUP($A43,'Quarterly Pipeline vs Target Pi'!$A:$AP,31,false)," $","")," €",""), "")
)</f>
        <v>0</v>
      </c>
      <c r="AR43" s="1">
        <f>value(IFERROR(SUBSTITUTE(SUBSTITUTE(VLOOKUP($A43,'Quarterly Pipeline vs Target Pi'!$A:$AP,32,false)," $","")," €",""), "")
)</f>
        <v>0</v>
      </c>
      <c r="AS43" s="17" t="str">
        <f t="shared" si="16"/>
        <v/>
      </c>
      <c r="AT43" s="1">
        <f>value(IFERROR(SUBSTITUTE(SUBSTITUTE(VLOOKUP($A43,'Quarterly Pipeline vs Target Pi'!$A:$AP,36,false)," $","")," €",""), "")
)</f>
        <v>0</v>
      </c>
      <c r="AU43" s="1">
        <f>value(IFERROR(SUBSTITUTE(SUBSTITUTE(VLOOKUP($A43,'Quarterly Pipeline vs Target Pi'!$A:$AP,37,false)," $","")," €",""), "")
)</f>
        <v>0</v>
      </c>
      <c r="AV43" s="17" t="str">
        <f t="shared" si="17"/>
        <v/>
      </c>
      <c r="AW43" s="1">
        <f>value(IFERROR(SUBSTITUTE(SUBSTITUTE(VLOOKUP($A43,'Quarterly Pipeline vs Target Pi'!$A:$AP,41,false)," $","")," €",""), "")
)</f>
        <v>0</v>
      </c>
      <c r="AX43" s="1">
        <f>value(IFERROR(SUBSTITUTE(SUBSTITUTE(VLOOKUP($A43,'Quarterly Pipeline vs Target Pi'!$A:$AP,42,false)," $","")," €",""), "")
)</f>
        <v>0</v>
      </c>
      <c r="AY43" s="17" t="str">
        <f t="shared" si="18"/>
        <v/>
      </c>
      <c r="AZ43" s="1">
        <f t="shared" ref="AZ43:BA43" si="100">sum(AN43,AQ43,AT43,AW43)</f>
        <v>0</v>
      </c>
      <c r="BA43" s="1">
        <f t="shared" si="100"/>
        <v>0</v>
      </c>
      <c r="BB43" s="17" t="str">
        <f t="shared" si="20"/>
        <v/>
      </c>
    </row>
    <row r="44">
      <c r="A44" s="1" t="str">
        <f>IFERROR(__xludf.DUMMYFUNCTION("""COMPUTED_VALUE"""),"63ced846c5c820531c2688ca")</f>
        <v>63ced846c5c820531c2688ca</v>
      </c>
      <c r="B44" s="1" t="str">
        <f>IFERROR(__xludf.DUMMYFUNCTION("""COMPUTED_VALUE"""),"AT&amp;T Services, Inc.")</f>
        <v>AT&amp;T Services, Inc.</v>
      </c>
      <c r="C44" s="1" t="str">
        <f>IFERROR(__xludf.DUMMYFUNCTION("""COMPUTED_VALUE"""),"timothy.payne@al-enterprise.com")</f>
        <v>timothy.payne@al-enterprise.com</v>
      </c>
      <c r="D44" s="1" t="str">
        <f>IFERROR(__xludf.DUMMYFUNCTION("""COMPUTED_VALUE"""),"americas")</f>
        <v>americas</v>
      </c>
      <c r="E44" s="1" t="str">
        <f>IFERROR(__xludf.DUMMYFUNCTION("""COMPUTED_VALUE"""),"US")</f>
        <v>US</v>
      </c>
      <c r="F44" s="1"/>
      <c r="G44" s="1" t="str">
        <f>iferror(VLOOKUP(A44,'Business Plan Setup and Accepta'!A:G,6,false),"")</f>
        <v/>
      </c>
      <c r="H44" s="1" t="str">
        <f>iferror(VLOOKUP(A44,'Business Plan Setup and Accepta'!A:G,7,false),"")</f>
        <v/>
      </c>
      <c r="I44" s="17" t="str">
        <f t="shared" si="3"/>
        <v/>
      </c>
      <c r="J44" s="1" t="str">
        <f>IFERROR(VALUE(SUBSTITUTE(VLOOKUP(A44,'Sales IN Revenues vs Sales targ'!A:G,6,false)," $","")), "")
</f>
        <v/>
      </c>
      <c r="K44" s="1" t="str">
        <f>IFERROR(VALUE(SUBSTITUTE(VLOOKUP(A44,'Sales IN Revenues vs Sales targ'!A:G,7,false)," $","")), "")
</f>
        <v/>
      </c>
      <c r="L44" s="17" t="str">
        <f t="shared" si="4"/>
        <v/>
      </c>
      <c r="M44" s="1">
        <f>value(SUBSTITUTE(IFERROR(VLOOKUP(A44,'Certifications achievements vs '!A:G,6,false),""),"#","")
)</f>
        <v>0</v>
      </c>
      <c r="N44" s="1">
        <f>value(SUBSTITUTE(IFERROR(VLOOKUP(A44,'Certifications achievements vs '!A:G,7,false),""),"#","")
)</f>
        <v>0</v>
      </c>
      <c r="O44" s="17" t="str">
        <f t="shared" si="5"/>
        <v/>
      </c>
      <c r="P44" s="1">
        <f>value(SUBSTITUTE(IFERROR(VLOOKUP(A44,'Communications - Solution Speci'!A:G,6,false),""),"#","")
)</f>
        <v>0</v>
      </c>
      <c r="Q44" s="1">
        <f>value(SUBSTITUTE(IFERROR(VLOOKUP(A44,'Communications - Solution Speci'!A:G,7,false),""),"#","")
)</f>
        <v>0</v>
      </c>
      <c r="R44" s="17" t="str">
        <f t="shared" si="6"/>
        <v/>
      </c>
      <c r="S44" s="1">
        <f>value(SUBSTITUTE(IFERROR(VLOOKUP(A44,'Networking - Solution Specializ'!A:G,6,false),""),"#","")
)</f>
        <v>0</v>
      </c>
      <c r="T44" s="1">
        <f>value(SUBSTITUTE(IFERROR(VLOOKUP(A44,'Networking - Solution Specializ'!A:G,7,false),""),"#","")
)</f>
        <v>0</v>
      </c>
      <c r="U44" s="17" t="str">
        <f t="shared" si="7"/>
        <v/>
      </c>
      <c r="V44" s="1" t="str">
        <f>iferror(vlookup(A44,'Marketing Plan (extract summary'!A:G,6,false),"")</f>
        <v/>
      </c>
      <c r="W44" s="1" t="str">
        <f>iferror(vlookup(A44,'Marketing Plan (extract summary'!A:G,7,false),"")</f>
        <v/>
      </c>
      <c r="X44" s="17" t="str">
        <f t="shared" si="8"/>
        <v/>
      </c>
      <c r="Y44" s="1">
        <f>value(IFERROR(SUBSTITUTE(SUBSTITUTE(VLOOKUP(A44,'Quarterly Pipeline vs Target Pi'!A:G,6,false)," $","")," €",""), "")
)</f>
        <v>0</v>
      </c>
      <c r="Z44" s="1">
        <f>value(IFERROR(SUBSTITUTE(SUBSTITUTE(VLOOKUP(A44,'Quarterly Pipeline vs Target Pi'!A:G,7,false)," $","")," €",""), "")
)</f>
        <v>0</v>
      </c>
      <c r="AA44" s="17" t="str">
        <f t="shared" si="9"/>
        <v/>
      </c>
      <c r="AB44" s="1">
        <f>value(IFERROR(SUBSTITUTE(SUBSTITUTE(VLOOKUP($A44,'Quarterly Pipeline vs Target Pi'!$A:$V,11,false)," $","")," €",""), "")
)</f>
        <v>0</v>
      </c>
      <c r="AC44" s="1">
        <f>value(IFERROR(SUBSTITUTE(SUBSTITUTE(VLOOKUP($A44,'Quarterly Pipeline vs Target Pi'!$A:$V,12,false)," $","")," €",""), "")
)</f>
        <v>0</v>
      </c>
      <c r="AD44" s="17" t="str">
        <f t="shared" si="10"/>
        <v/>
      </c>
      <c r="AE44" s="1">
        <f>value(IFERROR(SUBSTITUTE(SUBSTITUTE(VLOOKUP($A44,'Quarterly Pipeline vs Target Pi'!$A:$V,16,false)," $","")," €",""), "")
)</f>
        <v>0</v>
      </c>
      <c r="AF44" s="1">
        <f>value(IFERROR(SUBSTITUTE(SUBSTITUTE(VLOOKUP($A44,'Quarterly Pipeline vs Target Pi'!$A:$V,17,false)," $","")," €",""), "")
)</f>
        <v>0</v>
      </c>
      <c r="AG44" s="17" t="str">
        <f t="shared" si="11"/>
        <v/>
      </c>
      <c r="AH44" s="1">
        <f>value(IFERROR(SUBSTITUTE(SUBSTITUTE(VLOOKUP($A44,'Quarterly Pipeline vs Target Pi'!$A:$V,21,false)," $","")," €",""), "")
)</f>
        <v>0</v>
      </c>
      <c r="AI44" s="1">
        <f>value(IFERROR(SUBSTITUTE(SUBSTITUTE(VLOOKUP($A44,'Quarterly Pipeline vs Target Pi'!$A:$V,22,false)," $","")," €",""), "")
)</f>
        <v>0</v>
      </c>
      <c r="AJ44" s="17" t="str">
        <f t="shared" si="12"/>
        <v/>
      </c>
      <c r="AK44" s="1">
        <f t="shared" ref="AK44:AL44" si="101">sum(Y44,AB44,AE44,AH44)</f>
        <v>0</v>
      </c>
      <c r="AL44" s="1">
        <f t="shared" si="101"/>
        <v>0</v>
      </c>
      <c r="AM44" s="17" t="str">
        <f t="shared" si="14"/>
        <v/>
      </c>
      <c r="AN44" s="1">
        <f>value(IFERROR(SUBSTITUTE(SUBSTITUTE(VLOOKUP($A44,'Quarterly Pipeline vs Target Pi'!$A:$AP,26,false)," $","")," €",""), "")
)</f>
        <v>0</v>
      </c>
      <c r="AO44" s="1">
        <f>value(IFERROR(SUBSTITUTE(SUBSTITUTE(VLOOKUP($A44,'Quarterly Pipeline vs Target Pi'!$A:$AP,27,false)," $","")," €",""), "")
)</f>
        <v>0</v>
      </c>
      <c r="AP44" s="17" t="str">
        <f t="shared" si="15"/>
        <v/>
      </c>
      <c r="AQ44" s="1">
        <f>value(IFERROR(SUBSTITUTE(SUBSTITUTE(VLOOKUP($A44,'Quarterly Pipeline vs Target Pi'!$A:$AP,31,false)," $","")," €",""), "")
)</f>
        <v>0</v>
      </c>
      <c r="AR44" s="1">
        <f>value(IFERROR(SUBSTITUTE(SUBSTITUTE(VLOOKUP($A44,'Quarterly Pipeline vs Target Pi'!$A:$AP,32,false)," $","")," €",""), "")
)</f>
        <v>0</v>
      </c>
      <c r="AS44" s="17" t="str">
        <f t="shared" si="16"/>
        <v/>
      </c>
      <c r="AT44" s="1">
        <f>value(IFERROR(SUBSTITUTE(SUBSTITUTE(VLOOKUP($A44,'Quarterly Pipeline vs Target Pi'!$A:$AP,36,false)," $","")," €",""), "")
)</f>
        <v>0</v>
      </c>
      <c r="AU44" s="1">
        <f>value(IFERROR(SUBSTITUTE(SUBSTITUTE(VLOOKUP($A44,'Quarterly Pipeline vs Target Pi'!$A:$AP,37,false)," $","")," €",""), "")
)</f>
        <v>0</v>
      </c>
      <c r="AV44" s="17" t="str">
        <f t="shared" si="17"/>
        <v/>
      </c>
      <c r="AW44" s="1">
        <f>value(IFERROR(SUBSTITUTE(SUBSTITUTE(VLOOKUP($A44,'Quarterly Pipeline vs Target Pi'!$A:$AP,41,false)," $","")," €",""), "")
)</f>
        <v>0</v>
      </c>
      <c r="AX44" s="1">
        <f>value(IFERROR(SUBSTITUTE(SUBSTITUTE(VLOOKUP($A44,'Quarterly Pipeline vs Target Pi'!$A:$AP,42,false)," $","")," €",""), "")
)</f>
        <v>0</v>
      </c>
      <c r="AY44" s="17" t="str">
        <f t="shared" si="18"/>
        <v/>
      </c>
      <c r="AZ44" s="1">
        <f t="shared" ref="AZ44:BA44" si="102">sum(AN44,AQ44,AT44,AW44)</f>
        <v>0</v>
      </c>
      <c r="BA44" s="1">
        <f t="shared" si="102"/>
        <v>0</v>
      </c>
      <c r="BB44" s="17" t="str">
        <f t="shared" si="20"/>
        <v/>
      </c>
    </row>
    <row r="45">
      <c r="A45" s="1" t="str">
        <f>IFERROR(__xludf.DUMMYFUNCTION("""COMPUTED_VALUE"""),"63ea6e9452ad6968805cecaf")</f>
        <v>63ea6e9452ad6968805cecaf</v>
      </c>
      <c r="B45" s="1" t="str">
        <f>IFERROR(__xludf.DUMMYFUNCTION("""COMPUTED_VALUE"""),"ATIS systems GmbH")</f>
        <v>ATIS systems GmbH</v>
      </c>
      <c r="C45" s="1" t="str">
        <f>IFERROR(__xludf.DUMMYFUNCTION("""COMPUTED_VALUE"""),"juergen.reintjes@al-enterprise.com, silke.fraedrich@al-enterprise.com, andreas.grossheimann@al-enterprise.com, gunther.hahn@al-enterprise.com, philipp.bode@al-enterprise.com")</f>
        <v>juergen.reintjes@al-enterprise.com, silke.fraedrich@al-enterprise.com, andreas.grossheimann@al-enterprise.com, gunther.hahn@al-enterprise.com, philipp.bode@al-enterprise.com</v>
      </c>
      <c r="D45" s="1" t="str">
        <f>IFERROR(__xludf.DUMMYFUNCTION("""COMPUTED_VALUE"""),"germany")</f>
        <v>germany</v>
      </c>
      <c r="E45" s="1" t="str">
        <f>IFERROR(__xludf.DUMMYFUNCTION("""COMPUTED_VALUE"""),"DE")</f>
        <v>DE</v>
      </c>
      <c r="F45" s="1"/>
      <c r="G45" s="1" t="str">
        <f>iferror(VLOOKUP(A45,'Business Plan Setup and Accepta'!A:G,6,false),"")</f>
        <v/>
      </c>
      <c r="H45" s="1" t="str">
        <f>iferror(VLOOKUP(A45,'Business Plan Setup and Accepta'!A:G,7,false),"")</f>
        <v/>
      </c>
      <c r="I45" s="17" t="str">
        <f t="shared" si="3"/>
        <v/>
      </c>
      <c r="J45" s="1" t="str">
        <f>IFERROR(VALUE(SUBSTITUTE(VLOOKUP(A45,'Sales IN Revenues vs Sales targ'!A:G,6,false)," $","")), "")
</f>
        <v/>
      </c>
      <c r="K45" s="1" t="str">
        <f>IFERROR(VALUE(SUBSTITUTE(VLOOKUP(A45,'Sales IN Revenues vs Sales targ'!A:G,7,false)," $","")), "")
</f>
        <v/>
      </c>
      <c r="L45" s="17" t="str">
        <f t="shared" si="4"/>
        <v/>
      </c>
      <c r="M45" s="1">
        <f>value(SUBSTITUTE(IFERROR(VLOOKUP(A45,'Certifications achievements vs '!A:G,6,false),""),"#","")
)</f>
        <v>0</v>
      </c>
      <c r="N45" s="1">
        <f>value(SUBSTITUTE(IFERROR(VLOOKUP(A45,'Certifications achievements vs '!A:G,7,false),""),"#","")
)</f>
        <v>0</v>
      </c>
      <c r="O45" s="17" t="str">
        <f t="shared" si="5"/>
        <v/>
      </c>
      <c r="P45" s="1">
        <f>value(SUBSTITUTE(IFERROR(VLOOKUP(A45,'Communications - Solution Speci'!A:G,6,false),""),"#","")
)</f>
        <v>0</v>
      </c>
      <c r="Q45" s="1">
        <f>value(SUBSTITUTE(IFERROR(VLOOKUP(A45,'Communications - Solution Speci'!A:G,7,false),""),"#","")
)</f>
        <v>0</v>
      </c>
      <c r="R45" s="17" t="str">
        <f t="shared" si="6"/>
        <v/>
      </c>
      <c r="S45" s="1">
        <f>value(SUBSTITUTE(IFERROR(VLOOKUP(A45,'Networking - Solution Specializ'!A:G,6,false),""),"#","")
)</f>
        <v>0</v>
      </c>
      <c r="T45" s="1">
        <f>value(SUBSTITUTE(IFERROR(VLOOKUP(A45,'Networking - Solution Specializ'!A:G,7,false),""),"#","")
)</f>
        <v>0</v>
      </c>
      <c r="U45" s="17" t="str">
        <f t="shared" si="7"/>
        <v/>
      </c>
      <c r="V45" s="1" t="str">
        <f>iferror(vlookup(A45,'Marketing Plan (extract summary'!A:G,6,false),"")</f>
        <v/>
      </c>
      <c r="W45" s="1" t="str">
        <f>iferror(vlookup(A45,'Marketing Plan (extract summary'!A:G,7,false),"")</f>
        <v/>
      </c>
      <c r="X45" s="17" t="str">
        <f t="shared" si="8"/>
        <v/>
      </c>
      <c r="Y45" s="1">
        <f>value(IFERROR(SUBSTITUTE(SUBSTITUTE(VLOOKUP(A45,'Quarterly Pipeline vs Target Pi'!A:G,6,false)," $","")," €",""), "")
)</f>
        <v>0</v>
      </c>
      <c r="Z45" s="1">
        <f>value(IFERROR(SUBSTITUTE(SUBSTITUTE(VLOOKUP(A45,'Quarterly Pipeline vs Target Pi'!A:G,7,false)," $","")," €",""), "")
)</f>
        <v>0</v>
      </c>
      <c r="AA45" s="17" t="str">
        <f t="shared" si="9"/>
        <v/>
      </c>
      <c r="AB45" s="1">
        <f>value(IFERROR(SUBSTITUTE(SUBSTITUTE(VLOOKUP($A45,'Quarterly Pipeline vs Target Pi'!$A:$V,11,false)," $","")," €",""), "")
)</f>
        <v>0</v>
      </c>
      <c r="AC45" s="1">
        <f>value(IFERROR(SUBSTITUTE(SUBSTITUTE(VLOOKUP($A45,'Quarterly Pipeline vs Target Pi'!$A:$V,12,false)," $","")," €",""), "")
)</f>
        <v>0</v>
      </c>
      <c r="AD45" s="17" t="str">
        <f t="shared" si="10"/>
        <v/>
      </c>
      <c r="AE45" s="1">
        <f>value(IFERROR(SUBSTITUTE(SUBSTITUTE(VLOOKUP($A45,'Quarterly Pipeline vs Target Pi'!$A:$V,16,false)," $","")," €",""), "")
)</f>
        <v>0</v>
      </c>
      <c r="AF45" s="1">
        <f>value(IFERROR(SUBSTITUTE(SUBSTITUTE(VLOOKUP($A45,'Quarterly Pipeline vs Target Pi'!$A:$V,17,false)," $","")," €",""), "")
)</f>
        <v>0</v>
      </c>
      <c r="AG45" s="17" t="str">
        <f t="shared" si="11"/>
        <v/>
      </c>
      <c r="AH45" s="1">
        <f>value(IFERROR(SUBSTITUTE(SUBSTITUTE(VLOOKUP($A45,'Quarterly Pipeline vs Target Pi'!$A:$V,21,false)," $","")," €",""), "")
)</f>
        <v>0</v>
      </c>
      <c r="AI45" s="1">
        <f>value(IFERROR(SUBSTITUTE(SUBSTITUTE(VLOOKUP($A45,'Quarterly Pipeline vs Target Pi'!$A:$V,22,false)," $","")," €",""), "")
)</f>
        <v>0</v>
      </c>
      <c r="AJ45" s="17" t="str">
        <f t="shared" si="12"/>
        <v/>
      </c>
      <c r="AK45" s="1">
        <f t="shared" ref="AK45:AL45" si="103">sum(Y45,AB45,AE45,AH45)</f>
        <v>0</v>
      </c>
      <c r="AL45" s="1">
        <f t="shared" si="103"/>
        <v>0</v>
      </c>
      <c r="AM45" s="17" t="str">
        <f t="shared" si="14"/>
        <v/>
      </c>
      <c r="AN45" s="1">
        <f>value(IFERROR(SUBSTITUTE(SUBSTITUTE(VLOOKUP($A45,'Quarterly Pipeline vs Target Pi'!$A:$AP,26,false)," $","")," €",""), "")
)</f>
        <v>0</v>
      </c>
      <c r="AO45" s="1">
        <f>value(IFERROR(SUBSTITUTE(SUBSTITUTE(VLOOKUP($A45,'Quarterly Pipeline vs Target Pi'!$A:$AP,27,false)," $","")," €",""), "")
)</f>
        <v>0</v>
      </c>
      <c r="AP45" s="17" t="str">
        <f t="shared" si="15"/>
        <v/>
      </c>
      <c r="AQ45" s="1">
        <f>value(IFERROR(SUBSTITUTE(SUBSTITUTE(VLOOKUP($A45,'Quarterly Pipeline vs Target Pi'!$A:$AP,31,false)," $","")," €",""), "")
)</f>
        <v>0</v>
      </c>
      <c r="AR45" s="1">
        <f>value(IFERROR(SUBSTITUTE(SUBSTITUTE(VLOOKUP($A45,'Quarterly Pipeline vs Target Pi'!$A:$AP,32,false)," $","")," €",""), "")
)</f>
        <v>0</v>
      </c>
      <c r="AS45" s="17" t="str">
        <f t="shared" si="16"/>
        <v/>
      </c>
      <c r="AT45" s="1">
        <f>value(IFERROR(SUBSTITUTE(SUBSTITUTE(VLOOKUP($A45,'Quarterly Pipeline vs Target Pi'!$A:$AP,36,false)," $","")," €",""), "")
)</f>
        <v>0</v>
      </c>
      <c r="AU45" s="1">
        <f>value(IFERROR(SUBSTITUTE(SUBSTITUTE(VLOOKUP($A45,'Quarterly Pipeline vs Target Pi'!$A:$AP,37,false)," $","")," €",""), "")
)</f>
        <v>0</v>
      </c>
      <c r="AV45" s="17" t="str">
        <f t="shared" si="17"/>
        <v/>
      </c>
      <c r="AW45" s="1">
        <f>value(IFERROR(SUBSTITUTE(SUBSTITUTE(VLOOKUP($A45,'Quarterly Pipeline vs Target Pi'!$A:$AP,41,false)," $","")," €",""), "")
)</f>
        <v>0</v>
      </c>
      <c r="AX45" s="1">
        <f>value(IFERROR(SUBSTITUTE(SUBSTITUTE(VLOOKUP($A45,'Quarterly Pipeline vs Target Pi'!$A:$AP,42,false)," $","")," €",""), "")
)</f>
        <v>0</v>
      </c>
      <c r="AY45" s="17" t="str">
        <f t="shared" si="18"/>
        <v/>
      </c>
      <c r="AZ45" s="1">
        <f t="shared" ref="AZ45:BA45" si="104">sum(AN45,AQ45,AT45,AW45)</f>
        <v>0</v>
      </c>
      <c r="BA45" s="1">
        <f t="shared" si="104"/>
        <v>0</v>
      </c>
      <c r="BB45" s="17" t="str">
        <f t="shared" si="20"/>
        <v/>
      </c>
    </row>
    <row r="46">
      <c r="A46" s="1" t="str">
        <f>IFERROR(__xludf.DUMMYFUNCTION("""COMPUTED_VALUE"""),"63ced84ec5c820531c2698c9")</f>
        <v>63ced84ec5c820531c2698c9</v>
      </c>
      <c r="B46" s="1" t="str">
        <f>IFERROR(__xludf.DUMMYFUNCTION("""COMPUTED_VALUE"""),"Avanti Technologies LLC")</f>
        <v>Avanti Technologies LLC</v>
      </c>
      <c r="C46" s="1" t="str">
        <f>IFERROR(__xludf.DUMMYFUNCTION("""COMPUTED_VALUE"""),"brendan.flaherty@al-enterprise.com")</f>
        <v>brendan.flaherty@al-enterprise.com</v>
      </c>
      <c r="D46" s="1" t="str">
        <f>IFERROR(__xludf.DUMMYFUNCTION("""COMPUTED_VALUE"""),"americas")</f>
        <v>americas</v>
      </c>
      <c r="E46" s="1" t="str">
        <f>IFERROR(__xludf.DUMMYFUNCTION("""COMPUTED_VALUE"""),"US")</f>
        <v>US</v>
      </c>
      <c r="F46" s="1"/>
      <c r="G46" s="1" t="str">
        <f>iferror(VLOOKUP(A46,'Business Plan Setup and Accepta'!A:G,6,false),"")</f>
        <v/>
      </c>
      <c r="H46" s="1" t="str">
        <f>iferror(VLOOKUP(A46,'Business Plan Setup and Accepta'!A:G,7,false),"")</f>
        <v/>
      </c>
      <c r="I46" s="17" t="str">
        <f t="shared" si="3"/>
        <v/>
      </c>
      <c r="J46" s="1" t="str">
        <f>IFERROR(VALUE(SUBSTITUTE(VLOOKUP(A46,'Sales IN Revenues vs Sales targ'!A:G,6,false)," $","")), "")
</f>
        <v/>
      </c>
      <c r="K46" s="1" t="str">
        <f>IFERROR(VALUE(SUBSTITUTE(VLOOKUP(A46,'Sales IN Revenues vs Sales targ'!A:G,7,false)," $","")), "")
</f>
        <v/>
      </c>
      <c r="L46" s="17" t="str">
        <f t="shared" si="4"/>
        <v/>
      </c>
      <c r="M46" s="1">
        <f>value(SUBSTITUTE(IFERROR(VLOOKUP(A46,'Certifications achievements vs '!A:G,6,false),""),"#","")
)</f>
        <v>0</v>
      </c>
      <c r="N46" s="1">
        <f>value(SUBSTITUTE(IFERROR(VLOOKUP(A46,'Certifications achievements vs '!A:G,7,false),""),"#","")
)</f>
        <v>0</v>
      </c>
      <c r="O46" s="17" t="str">
        <f t="shared" si="5"/>
        <v/>
      </c>
      <c r="P46" s="1">
        <f>value(SUBSTITUTE(IFERROR(VLOOKUP(A46,'Communications - Solution Speci'!A:G,6,false),""),"#","")
)</f>
        <v>0</v>
      </c>
      <c r="Q46" s="1">
        <f>value(SUBSTITUTE(IFERROR(VLOOKUP(A46,'Communications - Solution Speci'!A:G,7,false),""),"#","")
)</f>
        <v>0</v>
      </c>
      <c r="R46" s="17" t="str">
        <f t="shared" si="6"/>
        <v/>
      </c>
      <c r="S46" s="1">
        <f>value(SUBSTITUTE(IFERROR(VLOOKUP(A46,'Networking - Solution Specializ'!A:G,6,false),""),"#","")
)</f>
        <v>0</v>
      </c>
      <c r="T46" s="1">
        <f>value(SUBSTITUTE(IFERROR(VLOOKUP(A46,'Networking - Solution Specializ'!A:G,7,false),""),"#","")
)</f>
        <v>0</v>
      </c>
      <c r="U46" s="17" t="str">
        <f t="shared" si="7"/>
        <v/>
      </c>
      <c r="V46" s="1" t="str">
        <f>iferror(vlookup(A46,'Marketing Plan (extract summary'!A:G,6,false),"")</f>
        <v/>
      </c>
      <c r="W46" s="1" t="str">
        <f>iferror(vlookup(A46,'Marketing Plan (extract summary'!A:G,7,false),"")</f>
        <v/>
      </c>
      <c r="X46" s="17" t="str">
        <f t="shared" si="8"/>
        <v/>
      </c>
      <c r="Y46" s="1">
        <f>value(IFERROR(SUBSTITUTE(SUBSTITUTE(VLOOKUP(A46,'Quarterly Pipeline vs Target Pi'!A:G,6,false)," $","")," €",""), "")
)</f>
        <v>0</v>
      </c>
      <c r="Z46" s="1">
        <f>value(IFERROR(SUBSTITUTE(SUBSTITUTE(VLOOKUP(A46,'Quarterly Pipeline vs Target Pi'!A:G,7,false)," $","")," €",""), "")
)</f>
        <v>0</v>
      </c>
      <c r="AA46" s="17" t="str">
        <f t="shared" si="9"/>
        <v/>
      </c>
      <c r="AB46" s="1">
        <f>value(IFERROR(SUBSTITUTE(SUBSTITUTE(VLOOKUP($A46,'Quarterly Pipeline vs Target Pi'!$A:$V,11,false)," $","")," €",""), "")
)</f>
        <v>0</v>
      </c>
      <c r="AC46" s="1">
        <f>value(IFERROR(SUBSTITUTE(SUBSTITUTE(VLOOKUP($A46,'Quarterly Pipeline vs Target Pi'!$A:$V,12,false)," $","")," €",""), "")
)</f>
        <v>0</v>
      </c>
      <c r="AD46" s="17" t="str">
        <f t="shared" si="10"/>
        <v/>
      </c>
      <c r="AE46" s="1">
        <f>value(IFERROR(SUBSTITUTE(SUBSTITUTE(VLOOKUP($A46,'Quarterly Pipeline vs Target Pi'!$A:$V,16,false)," $","")," €",""), "")
)</f>
        <v>0</v>
      </c>
      <c r="AF46" s="1">
        <f>value(IFERROR(SUBSTITUTE(SUBSTITUTE(VLOOKUP($A46,'Quarterly Pipeline vs Target Pi'!$A:$V,17,false)," $","")," €",""), "")
)</f>
        <v>0</v>
      </c>
      <c r="AG46" s="17" t="str">
        <f t="shared" si="11"/>
        <v/>
      </c>
      <c r="AH46" s="1">
        <f>value(IFERROR(SUBSTITUTE(SUBSTITUTE(VLOOKUP($A46,'Quarterly Pipeline vs Target Pi'!$A:$V,21,false)," $","")," €",""), "")
)</f>
        <v>0</v>
      </c>
      <c r="AI46" s="1">
        <f>value(IFERROR(SUBSTITUTE(SUBSTITUTE(VLOOKUP($A46,'Quarterly Pipeline vs Target Pi'!$A:$V,22,false)," $","")," €",""), "")
)</f>
        <v>0</v>
      </c>
      <c r="AJ46" s="17" t="str">
        <f t="shared" si="12"/>
        <v/>
      </c>
      <c r="AK46" s="1">
        <f t="shared" ref="AK46:AL46" si="105">sum(Y46,AB46,AE46,AH46)</f>
        <v>0</v>
      </c>
      <c r="AL46" s="1">
        <f t="shared" si="105"/>
        <v>0</v>
      </c>
      <c r="AM46" s="17" t="str">
        <f t="shared" si="14"/>
        <v/>
      </c>
      <c r="AN46" s="1">
        <f>value(IFERROR(SUBSTITUTE(SUBSTITUTE(VLOOKUP($A46,'Quarterly Pipeline vs Target Pi'!$A:$AP,26,false)," $","")," €",""), "")
)</f>
        <v>0</v>
      </c>
      <c r="AO46" s="1">
        <f>value(IFERROR(SUBSTITUTE(SUBSTITUTE(VLOOKUP($A46,'Quarterly Pipeline vs Target Pi'!$A:$AP,27,false)," $","")," €",""), "")
)</f>
        <v>0</v>
      </c>
      <c r="AP46" s="17" t="str">
        <f t="shared" si="15"/>
        <v/>
      </c>
      <c r="AQ46" s="1">
        <f>value(IFERROR(SUBSTITUTE(SUBSTITUTE(VLOOKUP($A46,'Quarterly Pipeline vs Target Pi'!$A:$AP,31,false)," $","")," €",""), "")
)</f>
        <v>0</v>
      </c>
      <c r="AR46" s="1">
        <f>value(IFERROR(SUBSTITUTE(SUBSTITUTE(VLOOKUP($A46,'Quarterly Pipeline vs Target Pi'!$A:$AP,32,false)," $","")," €",""), "")
)</f>
        <v>0</v>
      </c>
      <c r="AS46" s="17" t="str">
        <f t="shared" si="16"/>
        <v/>
      </c>
      <c r="AT46" s="1">
        <f>value(IFERROR(SUBSTITUTE(SUBSTITUTE(VLOOKUP($A46,'Quarterly Pipeline vs Target Pi'!$A:$AP,36,false)," $","")," €",""), "")
)</f>
        <v>0</v>
      </c>
      <c r="AU46" s="1">
        <f>value(IFERROR(SUBSTITUTE(SUBSTITUTE(VLOOKUP($A46,'Quarterly Pipeline vs Target Pi'!$A:$AP,37,false)," $","")," €",""), "")
)</f>
        <v>0</v>
      </c>
      <c r="AV46" s="17" t="str">
        <f t="shared" si="17"/>
        <v/>
      </c>
      <c r="AW46" s="1">
        <f>value(IFERROR(SUBSTITUTE(SUBSTITUTE(VLOOKUP($A46,'Quarterly Pipeline vs Target Pi'!$A:$AP,41,false)," $","")," €",""), "")
)</f>
        <v>0</v>
      </c>
      <c r="AX46" s="1">
        <f>value(IFERROR(SUBSTITUTE(SUBSTITUTE(VLOOKUP($A46,'Quarterly Pipeline vs Target Pi'!$A:$AP,42,false)," $","")," €",""), "")
)</f>
        <v>0</v>
      </c>
      <c r="AY46" s="17" t="str">
        <f t="shared" si="18"/>
        <v/>
      </c>
      <c r="AZ46" s="1">
        <f t="shared" ref="AZ46:BA46" si="106">sum(AN46,AQ46,AT46,AW46)</f>
        <v>0</v>
      </c>
      <c r="BA46" s="1">
        <f t="shared" si="106"/>
        <v>0</v>
      </c>
      <c r="BB46" s="17" t="str">
        <f t="shared" si="20"/>
        <v/>
      </c>
    </row>
    <row r="47">
      <c r="A47" s="1" t="str">
        <f>IFERROR(__xludf.DUMMYFUNCTION("""COMPUTED_VALUE"""),"63ced84ac5c820531c26910d")</f>
        <v>63ced84ac5c820531c26910d</v>
      </c>
      <c r="B47" s="1" t="str">
        <f>IFERROR(__xludf.DUMMYFUNCTION("""COMPUTED_VALUE"""),"Avaya Inc.")</f>
        <v>Avaya Inc.</v>
      </c>
      <c r="C47" s="1" t="str">
        <f>IFERROR(__xludf.DUMMYFUNCTION("""COMPUTED_VALUE"""),"maria.pagola@al-enterprise.com")</f>
        <v>maria.pagola@al-enterprise.com</v>
      </c>
      <c r="D47" s="1" t="str">
        <f>IFERROR(__xludf.DUMMYFUNCTION("""COMPUTED_VALUE"""),"americas")</f>
        <v>americas</v>
      </c>
      <c r="E47" s="1" t="str">
        <f>IFERROR(__xludf.DUMMYFUNCTION("""COMPUTED_VALUE"""),"US")</f>
        <v>US</v>
      </c>
      <c r="F47" s="1"/>
      <c r="G47" s="1" t="str">
        <f>iferror(VLOOKUP(A47,'Business Plan Setup and Accepta'!A:G,6,false),"")</f>
        <v/>
      </c>
      <c r="H47" s="1" t="str">
        <f>iferror(VLOOKUP(A47,'Business Plan Setup and Accepta'!A:G,7,false),"")</f>
        <v/>
      </c>
      <c r="I47" s="17" t="str">
        <f t="shared" si="3"/>
        <v/>
      </c>
      <c r="J47" s="1" t="str">
        <f>IFERROR(VALUE(SUBSTITUTE(VLOOKUP(A47,'Sales IN Revenues vs Sales targ'!A:G,6,false)," $","")), "")
</f>
        <v/>
      </c>
      <c r="K47" s="1" t="str">
        <f>IFERROR(VALUE(SUBSTITUTE(VLOOKUP(A47,'Sales IN Revenues vs Sales targ'!A:G,7,false)," $","")), "")
</f>
        <v/>
      </c>
      <c r="L47" s="17" t="str">
        <f t="shared" si="4"/>
        <v/>
      </c>
      <c r="M47" s="1">
        <f>value(SUBSTITUTE(IFERROR(VLOOKUP(A47,'Certifications achievements vs '!A:G,6,false),""),"#","")
)</f>
        <v>0</v>
      </c>
      <c r="N47" s="1">
        <f>value(SUBSTITUTE(IFERROR(VLOOKUP(A47,'Certifications achievements vs '!A:G,7,false),""),"#","")
)</f>
        <v>0</v>
      </c>
      <c r="O47" s="17" t="str">
        <f t="shared" si="5"/>
        <v/>
      </c>
      <c r="P47" s="1">
        <f>value(SUBSTITUTE(IFERROR(VLOOKUP(A47,'Communications - Solution Speci'!A:G,6,false),""),"#","")
)</f>
        <v>0</v>
      </c>
      <c r="Q47" s="1">
        <f>value(SUBSTITUTE(IFERROR(VLOOKUP(A47,'Communications - Solution Speci'!A:G,7,false),""),"#","")
)</f>
        <v>0</v>
      </c>
      <c r="R47" s="17" t="str">
        <f t="shared" si="6"/>
        <v/>
      </c>
      <c r="S47" s="1">
        <f>value(SUBSTITUTE(IFERROR(VLOOKUP(A47,'Networking - Solution Specializ'!A:G,6,false),""),"#","")
)</f>
        <v>0</v>
      </c>
      <c r="T47" s="1">
        <f>value(SUBSTITUTE(IFERROR(VLOOKUP(A47,'Networking - Solution Specializ'!A:G,7,false),""),"#","")
)</f>
        <v>0</v>
      </c>
      <c r="U47" s="17" t="str">
        <f t="shared" si="7"/>
        <v/>
      </c>
      <c r="V47" s="1" t="str">
        <f>iferror(vlookup(A47,'Marketing Plan (extract summary'!A:G,6,false),"")</f>
        <v/>
      </c>
      <c r="W47" s="1" t="str">
        <f>iferror(vlookup(A47,'Marketing Plan (extract summary'!A:G,7,false),"")</f>
        <v/>
      </c>
      <c r="X47" s="17" t="str">
        <f t="shared" si="8"/>
        <v/>
      </c>
      <c r="Y47" s="1">
        <f>value(IFERROR(SUBSTITUTE(SUBSTITUTE(VLOOKUP(A47,'Quarterly Pipeline vs Target Pi'!A:G,6,false)," $","")," €",""), "")
)</f>
        <v>0</v>
      </c>
      <c r="Z47" s="1">
        <f>value(IFERROR(SUBSTITUTE(SUBSTITUTE(VLOOKUP(A47,'Quarterly Pipeline vs Target Pi'!A:G,7,false)," $","")," €",""), "")
)</f>
        <v>0</v>
      </c>
      <c r="AA47" s="17" t="str">
        <f t="shared" si="9"/>
        <v/>
      </c>
      <c r="AB47" s="1">
        <f>value(IFERROR(SUBSTITUTE(SUBSTITUTE(VLOOKUP($A47,'Quarterly Pipeline vs Target Pi'!$A:$V,11,false)," $","")," €",""), "")
)</f>
        <v>0</v>
      </c>
      <c r="AC47" s="1">
        <f>value(IFERROR(SUBSTITUTE(SUBSTITUTE(VLOOKUP($A47,'Quarterly Pipeline vs Target Pi'!$A:$V,12,false)," $","")," €",""), "")
)</f>
        <v>0</v>
      </c>
      <c r="AD47" s="17" t="str">
        <f t="shared" si="10"/>
        <v/>
      </c>
      <c r="AE47" s="1">
        <f>value(IFERROR(SUBSTITUTE(SUBSTITUTE(VLOOKUP($A47,'Quarterly Pipeline vs Target Pi'!$A:$V,16,false)," $","")," €",""), "")
)</f>
        <v>0</v>
      </c>
      <c r="AF47" s="1">
        <f>value(IFERROR(SUBSTITUTE(SUBSTITUTE(VLOOKUP($A47,'Quarterly Pipeline vs Target Pi'!$A:$V,17,false)," $","")," €",""), "")
)</f>
        <v>0</v>
      </c>
      <c r="AG47" s="17" t="str">
        <f t="shared" si="11"/>
        <v/>
      </c>
      <c r="AH47" s="1">
        <f>value(IFERROR(SUBSTITUTE(SUBSTITUTE(VLOOKUP($A47,'Quarterly Pipeline vs Target Pi'!$A:$V,21,false)," $","")," €",""), "")
)</f>
        <v>0</v>
      </c>
      <c r="AI47" s="1">
        <f>value(IFERROR(SUBSTITUTE(SUBSTITUTE(VLOOKUP($A47,'Quarterly Pipeline vs Target Pi'!$A:$V,22,false)," $","")," €",""), "")
)</f>
        <v>0</v>
      </c>
      <c r="AJ47" s="17" t="str">
        <f t="shared" si="12"/>
        <v/>
      </c>
      <c r="AK47" s="1">
        <f t="shared" ref="AK47:AL47" si="107">sum(Y47,AB47,AE47,AH47)</f>
        <v>0</v>
      </c>
      <c r="AL47" s="1">
        <f t="shared" si="107"/>
        <v>0</v>
      </c>
      <c r="AM47" s="17" t="str">
        <f t="shared" si="14"/>
        <v/>
      </c>
      <c r="AN47" s="1">
        <f>value(IFERROR(SUBSTITUTE(SUBSTITUTE(VLOOKUP($A47,'Quarterly Pipeline vs Target Pi'!$A:$AP,26,false)," $","")," €",""), "")
)</f>
        <v>0</v>
      </c>
      <c r="AO47" s="1">
        <f>value(IFERROR(SUBSTITUTE(SUBSTITUTE(VLOOKUP($A47,'Quarterly Pipeline vs Target Pi'!$A:$AP,27,false)," $","")," €",""), "")
)</f>
        <v>0</v>
      </c>
      <c r="AP47" s="17" t="str">
        <f t="shared" si="15"/>
        <v/>
      </c>
      <c r="AQ47" s="1">
        <f>value(IFERROR(SUBSTITUTE(SUBSTITUTE(VLOOKUP($A47,'Quarterly Pipeline vs Target Pi'!$A:$AP,31,false)," $","")," €",""), "")
)</f>
        <v>0</v>
      </c>
      <c r="AR47" s="1">
        <f>value(IFERROR(SUBSTITUTE(SUBSTITUTE(VLOOKUP($A47,'Quarterly Pipeline vs Target Pi'!$A:$AP,32,false)," $","")," €",""), "")
)</f>
        <v>0</v>
      </c>
      <c r="AS47" s="17" t="str">
        <f t="shared" si="16"/>
        <v/>
      </c>
      <c r="AT47" s="1">
        <f>value(IFERROR(SUBSTITUTE(SUBSTITUTE(VLOOKUP($A47,'Quarterly Pipeline vs Target Pi'!$A:$AP,36,false)," $","")," €",""), "")
)</f>
        <v>0</v>
      </c>
      <c r="AU47" s="1">
        <f>value(IFERROR(SUBSTITUTE(SUBSTITUTE(VLOOKUP($A47,'Quarterly Pipeline vs Target Pi'!$A:$AP,37,false)," $","")," €",""), "")
)</f>
        <v>0</v>
      </c>
      <c r="AV47" s="17" t="str">
        <f t="shared" si="17"/>
        <v/>
      </c>
      <c r="AW47" s="1">
        <f>value(IFERROR(SUBSTITUTE(SUBSTITUTE(VLOOKUP($A47,'Quarterly Pipeline vs Target Pi'!$A:$AP,41,false)," $","")," €",""), "")
)</f>
        <v>0</v>
      </c>
      <c r="AX47" s="1">
        <f>value(IFERROR(SUBSTITUTE(SUBSTITUTE(VLOOKUP($A47,'Quarterly Pipeline vs Target Pi'!$A:$AP,42,false)," $","")," €",""), "")
)</f>
        <v>0</v>
      </c>
      <c r="AY47" s="17" t="str">
        <f t="shared" si="18"/>
        <v/>
      </c>
      <c r="AZ47" s="1">
        <f t="shared" ref="AZ47:BA47" si="108">sum(AN47,AQ47,AT47,AW47)</f>
        <v>0</v>
      </c>
      <c r="BA47" s="1">
        <f t="shared" si="108"/>
        <v>0</v>
      </c>
      <c r="BB47" s="17" t="str">
        <f t="shared" si="20"/>
        <v/>
      </c>
    </row>
    <row r="48">
      <c r="A48" s="1" t="str">
        <f>IFERROR(__xludf.DUMMYFUNCTION("""COMPUTED_VALUE"""),"67a5d9f053e26e938a079872")</f>
        <v>67a5d9f053e26e938a079872</v>
      </c>
      <c r="B48" s="1" t="str">
        <f>IFERROR(__xludf.DUMMYFUNCTION("""COMPUTED_VALUE"""),"Axcelerate Networks, Inc.")</f>
        <v>Axcelerate Networks, Inc.</v>
      </c>
      <c r="C48" s="1" t="str">
        <f>IFERROR(__xludf.DUMMYFUNCTION("""COMPUTED_VALUE"""),"bill.rademacher@al-enterprise.com")</f>
        <v>bill.rademacher@al-enterprise.com</v>
      </c>
      <c r="D48" s="1" t="str">
        <f>IFERROR(__xludf.DUMMYFUNCTION("""COMPUTED_VALUE"""),"americas")</f>
        <v>americas</v>
      </c>
      <c r="E48" s="1" t="str">
        <f>IFERROR(__xludf.DUMMYFUNCTION("""COMPUTED_VALUE"""),"US")</f>
        <v>US</v>
      </c>
      <c r="F48" s="1" t="str">
        <f>IFERROR(__xludf.DUMMYFUNCTION("""COMPUTED_VALUE"""),"expert_200")</f>
        <v>expert_200</v>
      </c>
      <c r="G48" s="1">
        <f>iferror(VLOOKUP(A48,'Business Plan Setup and Accepta'!A:G,6,false),"")</f>
        <v>0</v>
      </c>
      <c r="H48" s="1">
        <f>iferror(VLOOKUP(A48,'Business Plan Setup and Accepta'!A:G,7,false),"")</f>
        <v>1</v>
      </c>
      <c r="I48" s="17">
        <f t="shared" si="3"/>
        <v>0</v>
      </c>
      <c r="J48" s="1">
        <f>IFERROR(VALUE(SUBSTITUTE(VLOOKUP(A48,'Sales IN Revenues vs Sales targ'!A:G,6,false)," $","")), "")
</f>
        <v>0</v>
      </c>
      <c r="K48" s="1">
        <f>IFERROR(VALUE(SUBSTITUTE(VLOOKUP(A48,'Sales IN Revenues vs Sales targ'!A:G,7,false)," $","")), "")
</f>
        <v>0</v>
      </c>
      <c r="L48" s="17" t="str">
        <f t="shared" si="4"/>
        <v/>
      </c>
      <c r="M48" s="1">
        <f>value(SUBSTITUTE(IFERROR(VLOOKUP(A48,'Certifications achievements vs '!A:G,6,false),""),"#","")
)</f>
        <v>0</v>
      </c>
      <c r="N48" s="1">
        <f>value(SUBSTITUTE(IFERROR(VLOOKUP(A48,'Certifications achievements vs '!A:G,7,false),""),"#","")
)</f>
        <v>0</v>
      </c>
      <c r="O48" s="17" t="str">
        <f t="shared" si="5"/>
        <v/>
      </c>
      <c r="P48" s="1">
        <f>value(SUBSTITUTE(IFERROR(VLOOKUP(A48,'Communications - Solution Speci'!A:G,6,false),""),"#","")
)</f>
        <v>0</v>
      </c>
      <c r="Q48" s="1">
        <f>value(SUBSTITUTE(IFERROR(VLOOKUP(A48,'Communications - Solution Speci'!A:G,7,false),""),"#","")
)</f>
        <v>1</v>
      </c>
      <c r="R48" s="17">
        <f t="shared" si="6"/>
        <v>0</v>
      </c>
      <c r="S48" s="1">
        <f>value(SUBSTITUTE(IFERROR(VLOOKUP(A48,'Networking - Solution Specializ'!A:G,6,false),""),"#","")
)</f>
        <v>0</v>
      </c>
      <c r="T48" s="1">
        <f>value(SUBSTITUTE(IFERROR(VLOOKUP(A48,'Networking - Solution Specializ'!A:G,7,false),""),"#","")
)</f>
        <v>1</v>
      </c>
      <c r="U48" s="17">
        <f t="shared" si="7"/>
        <v>0</v>
      </c>
      <c r="V48" s="1">
        <f>iferror(vlookup(A48,'Marketing Plan (extract summary'!A:G,6,false),"")</f>
        <v>0</v>
      </c>
      <c r="W48" s="1">
        <f>iferror(vlookup(A48,'Marketing Plan (extract summary'!A:G,7,false),"")</f>
        <v>1</v>
      </c>
      <c r="X48" s="17">
        <f t="shared" si="8"/>
        <v>0</v>
      </c>
      <c r="Y48" s="1">
        <f>value(IFERROR(SUBSTITUTE(SUBSTITUTE(VLOOKUP(A48,'Quarterly Pipeline vs Target Pi'!A:G,6,false)," $","")," €",""), "")
)</f>
        <v>0</v>
      </c>
      <c r="Z48" s="1">
        <f>value(IFERROR(SUBSTITUTE(SUBSTITUTE(VLOOKUP(A48,'Quarterly Pipeline vs Target Pi'!A:G,7,false)," $","")," €",""), "")
)</f>
        <v>0</v>
      </c>
      <c r="AA48" s="17" t="str">
        <f t="shared" si="9"/>
        <v/>
      </c>
      <c r="AB48" s="1">
        <f>value(IFERROR(SUBSTITUTE(SUBSTITUTE(VLOOKUP($A48,'Quarterly Pipeline vs Target Pi'!$A:$V,11,false)," $","")," €",""), "")
)</f>
        <v>0</v>
      </c>
      <c r="AC48" s="1">
        <f>value(IFERROR(SUBSTITUTE(SUBSTITUTE(VLOOKUP($A48,'Quarterly Pipeline vs Target Pi'!$A:$V,12,false)," $","")," €",""), "")
)</f>
        <v>0</v>
      </c>
      <c r="AD48" s="17" t="str">
        <f t="shared" si="10"/>
        <v/>
      </c>
      <c r="AE48" s="1">
        <f>value(IFERROR(SUBSTITUTE(SUBSTITUTE(VLOOKUP($A48,'Quarterly Pipeline vs Target Pi'!$A:$V,16,false)," $","")," €",""), "")
)</f>
        <v>0</v>
      </c>
      <c r="AF48" s="1">
        <f>value(IFERROR(SUBSTITUTE(SUBSTITUTE(VLOOKUP($A48,'Quarterly Pipeline vs Target Pi'!$A:$V,17,false)," $","")," €",""), "")
)</f>
        <v>0</v>
      </c>
      <c r="AG48" s="17" t="str">
        <f t="shared" si="11"/>
        <v/>
      </c>
      <c r="AH48" s="1">
        <f>value(IFERROR(SUBSTITUTE(SUBSTITUTE(VLOOKUP($A48,'Quarterly Pipeline vs Target Pi'!$A:$V,21,false)," $","")," €",""), "")
)</f>
        <v>0</v>
      </c>
      <c r="AI48" s="1">
        <f>value(IFERROR(SUBSTITUTE(SUBSTITUTE(VLOOKUP($A48,'Quarterly Pipeline vs Target Pi'!$A:$V,22,false)," $","")," €",""), "")
)</f>
        <v>0</v>
      </c>
      <c r="AJ48" s="17" t="str">
        <f t="shared" si="12"/>
        <v/>
      </c>
      <c r="AK48" s="1">
        <f t="shared" ref="AK48:AL48" si="109">sum(Y48,AB48,AE48,AH48)</f>
        <v>0</v>
      </c>
      <c r="AL48" s="1">
        <f t="shared" si="109"/>
        <v>0</v>
      </c>
      <c r="AM48" s="17" t="str">
        <f t="shared" si="14"/>
        <v/>
      </c>
      <c r="AN48" s="1">
        <f>value(IFERROR(SUBSTITUTE(SUBSTITUTE(VLOOKUP($A48,'Quarterly Pipeline vs Target Pi'!$A:$AP,26,false)," $","")," €",""), "")
)</f>
        <v>0</v>
      </c>
      <c r="AO48" s="1">
        <f>value(IFERROR(SUBSTITUTE(SUBSTITUTE(VLOOKUP($A48,'Quarterly Pipeline vs Target Pi'!$A:$AP,27,false)," $","")," €",""), "")
)</f>
        <v>0</v>
      </c>
      <c r="AP48" s="17" t="str">
        <f t="shared" si="15"/>
        <v/>
      </c>
      <c r="AQ48" s="1">
        <f>value(IFERROR(SUBSTITUTE(SUBSTITUTE(VLOOKUP($A48,'Quarterly Pipeline vs Target Pi'!$A:$AP,31,false)," $","")," €",""), "")
)</f>
        <v>0</v>
      </c>
      <c r="AR48" s="1">
        <f>value(IFERROR(SUBSTITUTE(SUBSTITUTE(VLOOKUP($A48,'Quarterly Pipeline vs Target Pi'!$A:$AP,32,false)," $","")," €",""), "")
)</f>
        <v>0</v>
      </c>
      <c r="AS48" s="17" t="str">
        <f t="shared" si="16"/>
        <v/>
      </c>
      <c r="AT48" s="1">
        <f>value(IFERROR(SUBSTITUTE(SUBSTITUTE(VLOOKUP($A48,'Quarterly Pipeline vs Target Pi'!$A:$AP,36,false)," $","")," €",""), "")
)</f>
        <v>0</v>
      </c>
      <c r="AU48" s="1">
        <f>value(IFERROR(SUBSTITUTE(SUBSTITUTE(VLOOKUP($A48,'Quarterly Pipeline vs Target Pi'!$A:$AP,37,false)," $","")," €",""), "")
)</f>
        <v>0</v>
      </c>
      <c r="AV48" s="17" t="str">
        <f t="shared" si="17"/>
        <v/>
      </c>
      <c r="AW48" s="1">
        <f>value(IFERROR(SUBSTITUTE(SUBSTITUTE(VLOOKUP($A48,'Quarterly Pipeline vs Target Pi'!$A:$AP,41,false)," $","")," €",""), "")
)</f>
        <v>0</v>
      </c>
      <c r="AX48" s="1">
        <f>value(IFERROR(SUBSTITUTE(SUBSTITUTE(VLOOKUP($A48,'Quarterly Pipeline vs Target Pi'!$A:$AP,42,false)," $","")," €",""), "")
)</f>
        <v>0</v>
      </c>
      <c r="AY48" s="17" t="str">
        <f t="shared" si="18"/>
        <v/>
      </c>
      <c r="AZ48" s="1">
        <f t="shared" ref="AZ48:BA48" si="110">sum(AN48,AQ48,AT48,AW48)</f>
        <v>0</v>
      </c>
      <c r="BA48" s="1">
        <f t="shared" si="110"/>
        <v>0</v>
      </c>
      <c r="BB48" s="17" t="str">
        <f t="shared" si="20"/>
        <v/>
      </c>
    </row>
    <row r="49">
      <c r="A49" s="1" t="str">
        <f>IFERROR(__xludf.DUMMYFUNCTION("""COMPUTED_VALUE"""),"63ced84ec5c820531c2698f6")</f>
        <v>63ced84ec5c820531c2698f6</v>
      </c>
      <c r="B49" s="1" t="str">
        <f>IFERROR(__xludf.DUMMYFUNCTION("""COMPUTED_VALUE"""),"Axcex Media LLC")</f>
        <v>Axcex Media LLC</v>
      </c>
      <c r="C49" s="1" t="str">
        <f>IFERROR(__xludf.DUMMYFUNCTION("""COMPUTED_VALUE"""),"michael-j.francis@al-enterprise.com, luigy.estevanell@al-enterprise.com, robert.stitz@al-enterprise.com")</f>
        <v>michael-j.francis@al-enterprise.com, luigy.estevanell@al-enterprise.com, robert.stitz@al-enterprise.com</v>
      </c>
      <c r="D49" s="1" t="str">
        <f>IFERROR(__xludf.DUMMYFUNCTION("""COMPUTED_VALUE"""),"americas")</f>
        <v>americas</v>
      </c>
      <c r="E49" s="1" t="str">
        <f>IFERROR(__xludf.DUMMYFUNCTION("""COMPUTED_VALUE"""),"US")</f>
        <v>US</v>
      </c>
      <c r="F49" s="1" t="str">
        <f>IFERROR(__xludf.DUMMYFUNCTION("""COMPUTED_VALUE"""),"expert_200")</f>
        <v>expert_200</v>
      </c>
      <c r="G49" s="1">
        <f>iferror(VLOOKUP(A49,'Business Plan Setup and Accepta'!A:G,6,false),"")</f>
        <v>0</v>
      </c>
      <c r="H49" s="1">
        <f>iferror(VLOOKUP(A49,'Business Plan Setup and Accepta'!A:G,7,false),"")</f>
        <v>1</v>
      </c>
      <c r="I49" s="17">
        <f t="shared" si="3"/>
        <v>0</v>
      </c>
      <c r="J49" s="1">
        <f>IFERROR(VALUE(SUBSTITUTE(VLOOKUP(A49,'Sales IN Revenues vs Sales targ'!A:G,6,false)," $","")), "")
</f>
        <v>14.62</v>
      </c>
      <c r="K49" s="1">
        <f>IFERROR(VALUE(SUBSTITUTE(VLOOKUP(A49,'Sales IN Revenues vs Sales targ'!A:G,7,false)," $","")), "")
</f>
        <v>149.6</v>
      </c>
      <c r="L49" s="17">
        <f t="shared" si="4"/>
        <v>0.09772727273</v>
      </c>
      <c r="M49" s="1">
        <f>value(SUBSTITUTE(IFERROR(VLOOKUP(A49,'Certifications achievements vs '!A:G,6,false),""),"#","")
)</f>
        <v>3</v>
      </c>
      <c r="N49" s="1">
        <f>value(SUBSTITUTE(IFERROR(VLOOKUP(A49,'Certifications achievements vs '!A:G,7,false),""),"#","")
)</f>
        <v>0</v>
      </c>
      <c r="O49" s="17" t="str">
        <f t="shared" si="5"/>
        <v/>
      </c>
      <c r="P49" s="1">
        <f>value(SUBSTITUTE(IFERROR(VLOOKUP(A49,'Communications - Solution Speci'!A:G,6,false),""),"#","")
)</f>
        <v>0</v>
      </c>
      <c r="Q49" s="1">
        <f>value(SUBSTITUTE(IFERROR(VLOOKUP(A49,'Communications - Solution Speci'!A:G,7,false),""),"#","")
)</f>
        <v>1</v>
      </c>
      <c r="R49" s="17">
        <f t="shared" si="6"/>
        <v>0</v>
      </c>
      <c r="S49" s="1">
        <f>value(SUBSTITUTE(IFERROR(VLOOKUP(A49,'Networking - Solution Specializ'!A:G,6,false),""),"#","")
)</f>
        <v>0</v>
      </c>
      <c r="T49" s="1">
        <f>value(SUBSTITUTE(IFERROR(VLOOKUP(A49,'Networking - Solution Specializ'!A:G,7,false),""),"#","")
)</f>
        <v>1</v>
      </c>
      <c r="U49" s="17">
        <f t="shared" si="7"/>
        <v>0</v>
      </c>
      <c r="V49" s="1">
        <f>iferror(vlookup(A49,'Marketing Plan (extract summary'!A:G,6,false),"")</f>
        <v>0</v>
      </c>
      <c r="W49" s="1">
        <f>iferror(vlookup(A49,'Marketing Plan (extract summary'!A:G,7,false),"")</f>
        <v>1</v>
      </c>
      <c r="X49" s="17">
        <f t="shared" si="8"/>
        <v>0</v>
      </c>
      <c r="Y49" s="1">
        <f>value(IFERROR(SUBSTITUTE(SUBSTITUTE(VLOOKUP(A49,'Quarterly Pipeline vs Target Pi'!A:G,6,false)," $","")," €",""), "")
)</f>
        <v>0</v>
      </c>
      <c r="Z49" s="1">
        <f>value(IFERROR(SUBSTITUTE(SUBSTITUTE(VLOOKUP(A49,'Quarterly Pipeline vs Target Pi'!A:G,7,false)," $","")," €",""), "")
)</f>
        <v>0</v>
      </c>
      <c r="AA49" s="17" t="str">
        <f t="shared" si="9"/>
        <v/>
      </c>
      <c r="AB49" s="1">
        <f>value(IFERROR(SUBSTITUTE(SUBSTITUTE(VLOOKUP($A49,'Quarterly Pipeline vs Target Pi'!$A:$V,11,false)," $","")," €",""), "")
)</f>
        <v>0</v>
      </c>
      <c r="AC49" s="1">
        <f>value(IFERROR(SUBSTITUTE(SUBSTITUTE(VLOOKUP($A49,'Quarterly Pipeline vs Target Pi'!$A:$V,12,false)," $","")," €",""), "")
)</f>
        <v>99.67</v>
      </c>
      <c r="AD49" s="17">
        <f t="shared" si="10"/>
        <v>0</v>
      </c>
      <c r="AE49" s="1">
        <f>value(IFERROR(SUBSTITUTE(SUBSTITUTE(VLOOKUP($A49,'Quarterly Pipeline vs Target Pi'!$A:$V,16,false)," $","")," €",""), "")
)</f>
        <v>70.61</v>
      </c>
      <c r="AF49" s="1">
        <f>value(IFERROR(SUBSTITUTE(SUBSTITUTE(VLOOKUP($A49,'Quarterly Pipeline vs Target Pi'!$A:$V,17,false)," $","")," €",""), "")
)</f>
        <v>149.65</v>
      </c>
      <c r="AG49" s="17">
        <f t="shared" si="11"/>
        <v>0.47183428</v>
      </c>
      <c r="AH49" s="1">
        <f>value(IFERROR(SUBSTITUTE(SUBSTITUTE(VLOOKUP($A49,'Quarterly Pipeline vs Target Pi'!$A:$V,21,false)," $","")," €",""), "")
)</f>
        <v>100</v>
      </c>
      <c r="AI49" s="1">
        <f>value(IFERROR(SUBSTITUTE(SUBSTITUTE(VLOOKUP($A49,'Quarterly Pipeline vs Target Pi'!$A:$V,22,false)," $","")," €",""), "")
)</f>
        <v>149.65</v>
      </c>
      <c r="AJ49" s="17">
        <f t="shared" si="12"/>
        <v>0.6682258603</v>
      </c>
      <c r="AK49" s="1">
        <f t="shared" ref="AK49:AL49" si="111">sum(Y49,AB49,AE49,AH49)</f>
        <v>170.61</v>
      </c>
      <c r="AL49" s="1">
        <f t="shared" si="111"/>
        <v>398.97</v>
      </c>
      <c r="AM49" s="17">
        <f t="shared" si="14"/>
        <v>0.4276261373</v>
      </c>
      <c r="AN49" s="1">
        <f>value(IFERROR(SUBSTITUTE(SUBSTITUTE(VLOOKUP($A49,'Quarterly Pipeline vs Target Pi'!$A:$AP,26,false)," $","")," €",""), "")
)</f>
        <v>0</v>
      </c>
      <c r="AO49" s="1">
        <f>value(IFERROR(SUBSTITUTE(SUBSTITUTE(VLOOKUP($A49,'Quarterly Pipeline vs Target Pi'!$A:$AP,27,false)," $","")," €",""), "")
)</f>
        <v>0</v>
      </c>
      <c r="AP49" s="17" t="str">
        <f t="shared" si="15"/>
        <v/>
      </c>
      <c r="AQ49" s="1">
        <f>value(IFERROR(SUBSTITUTE(SUBSTITUTE(VLOOKUP($A49,'Quarterly Pipeline vs Target Pi'!$A:$AP,31,false)," $","")," €",""), "")
)</f>
        <v>100</v>
      </c>
      <c r="AR49" s="1">
        <f>value(IFERROR(SUBSTITUTE(SUBSTITUTE(VLOOKUP($A49,'Quarterly Pipeline vs Target Pi'!$A:$AP,32,false)," $","")," €",""), "")
)</f>
        <v>0</v>
      </c>
      <c r="AS49" s="17" t="str">
        <f t="shared" si="16"/>
        <v/>
      </c>
      <c r="AT49" s="1">
        <f>value(IFERROR(SUBSTITUTE(SUBSTITUTE(VLOOKUP($A49,'Quarterly Pipeline vs Target Pi'!$A:$AP,36,false)," $","")," €",""), "")
)</f>
        <v>0</v>
      </c>
      <c r="AU49" s="1">
        <f>value(IFERROR(SUBSTITUTE(SUBSTITUTE(VLOOKUP($A49,'Quarterly Pipeline vs Target Pi'!$A:$AP,37,false)," $","")," €",""), "")
)</f>
        <v>0</v>
      </c>
      <c r="AV49" s="17" t="str">
        <f t="shared" si="17"/>
        <v/>
      </c>
      <c r="AW49" s="1">
        <f>value(IFERROR(SUBSTITUTE(SUBSTITUTE(VLOOKUP($A49,'Quarterly Pipeline vs Target Pi'!$A:$AP,41,false)," $","")," €",""), "")
)</f>
        <v>0</v>
      </c>
      <c r="AX49" s="1">
        <f>value(IFERROR(SUBSTITUTE(SUBSTITUTE(VLOOKUP($A49,'Quarterly Pipeline vs Target Pi'!$A:$AP,42,false)," $","")," €",""), "")
)</f>
        <v>0</v>
      </c>
      <c r="AY49" s="17" t="str">
        <f t="shared" si="18"/>
        <v/>
      </c>
      <c r="AZ49" s="1">
        <f t="shared" ref="AZ49:BA49" si="112">sum(AN49,AQ49,AT49,AW49)</f>
        <v>100</v>
      </c>
      <c r="BA49" s="1">
        <f t="shared" si="112"/>
        <v>0</v>
      </c>
      <c r="BB49" s="17" t="str">
        <f t="shared" si="20"/>
        <v/>
      </c>
    </row>
    <row r="50">
      <c r="A50" s="1" t="str">
        <f>IFERROR(__xludf.DUMMYFUNCTION("""COMPUTED_VALUE"""),"63ced843c5c820531c2681a4")</f>
        <v>63ced843c5c820531c2681a4</v>
      </c>
      <c r="B50" s="1" t="str">
        <f>IFERROR(__xludf.DUMMYFUNCTION("""COMPUTED_VALUE"""),"Axede, S.A.")</f>
        <v>Axede, S.A.</v>
      </c>
      <c r="C50" s="1" t="str">
        <f>IFERROR(__xludf.DUMMYFUNCTION("""COMPUTED_VALUE"""),"javier.largacha@al-enterprise.com")</f>
        <v>javier.largacha@al-enterprise.com</v>
      </c>
      <c r="D50" s="1" t="str">
        <f>IFERROR(__xludf.DUMMYFUNCTION("""COMPUTED_VALUE"""),"americas")</f>
        <v>americas</v>
      </c>
      <c r="E50" s="1" t="str">
        <f>IFERROR(__xludf.DUMMYFUNCTION("""COMPUTED_VALUE"""),"CO")</f>
        <v>CO</v>
      </c>
      <c r="F50" s="1" t="str">
        <f>IFERROR(__xludf.DUMMYFUNCTION("""COMPUTED_VALUE"""),"expert_1000")</f>
        <v>expert_1000</v>
      </c>
      <c r="G50" s="1">
        <f>iferror(VLOOKUP(A50,'Business Plan Setup and Accepta'!A:G,6,false),"")</f>
        <v>0</v>
      </c>
      <c r="H50" s="1">
        <f>iferror(VLOOKUP(A50,'Business Plan Setup and Accepta'!A:G,7,false),"")</f>
        <v>1</v>
      </c>
      <c r="I50" s="17">
        <f t="shared" si="3"/>
        <v>0</v>
      </c>
      <c r="J50" s="1">
        <f>IFERROR(VALUE(SUBSTITUTE(VLOOKUP(A50,'Sales IN Revenues vs Sales targ'!A:G,6,false)," $","")), "")
</f>
        <v>237.1</v>
      </c>
      <c r="K50" s="1">
        <f>IFERROR(VALUE(SUBSTITUTE(VLOOKUP(A50,'Sales IN Revenues vs Sales targ'!A:G,7,false)," $","")), "")
</f>
        <v>1332.99</v>
      </c>
      <c r="L50" s="17">
        <f t="shared" si="4"/>
        <v>0.1778708017</v>
      </c>
      <c r="M50" s="1">
        <f>value(SUBSTITUTE(IFERROR(VLOOKUP(A50,'Certifications achievements vs '!A:G,6,false),""),"#","")
)</f>
        <v>75</v>
      </c>
      <c r="N50" s="1">
        <f>value(SUBSTITUTE(IFERROR(VLOOKUP(A50,'Certifications achievements vs '!A:G,7,false),""),"#","")
)</f>
        <v>52</v>
      </c>
      <c r="O50" s="17">
        <f t="shared" si="5"/>
        <v>1.442307692</v>
      </c>
      <c r="P50" s="1">
        <f>value(SUBSTITUTE(IFERROR(VLOOKUP(A50,'Communications - Solution Speci'!A:G,6,false),""),"#","")
)</f>
        <v>1</v>
      </c>
      <c r="Q50" s="1">
        <f>value(SUBSTITUTE(IFERROR(VLOOKUP(A50,'Communications - Solution Speci'!A:G,7,false),""),"#","")
)</f>
        <v>1</v>
      </c>
      <c r="R50" s="17">
        <f t="shared" si="6"/>
        <v>1</v>
      </c>
      <c r="S50" s="1">
        <f>value(SUBSTITUTE(IFERROR(VLOOKUP(A50,'Networking - Solution Specializ'!A:G,6,false),""),"#","")
)</f>
        <v>1</v>
      </c>
      <c r="T50" s="1">
        <f>value(SUBSTITUTE(IFERROR(VLOOKUP(A50,'Networking - Solution Specializ'!A:G,7,false),""),"#","")
)</f>
        <v>1</v>
      </c>
      <c r="U50" s="17">
        <f t="shared" si="7"/>
        <v>1</v>
      </c>
      <c r="V50" s="1">
        <f>iferror(vlookup(A50,'Marketing Plan (extract summary'!A:G,6,false),"")</f>
        <v>0</v>
      </c>
      <c r="W50" s="1">
        <f>iferror(vlookup(A50,'Marketing Plan (extract summary'!A:G,7,false),"")</f>
        <v>1</v>
      </c>
      <c r="X50" s="17">
        <f t="shared" si="8"/>
        <v>0</v>
      </c>
      <c r="Y50" s="1">
        <f>value(IFERROR(SUBSTITUTE(SUBSTITUTE(VLOOKUP(A50,'Quarterly Pipeline vs Target Pi'!A:G,6,false)," $","")," €",""), "")
)</f>
        <v>2</v>
      </c>
      <c r="Z50" s="1">
        <f>value(IFERROR(SUBSTITUTE(SUBSTITUTE(VLOOKUP(A50,'Quarterly Pipeline vs Target Pi'!A:G,7,false)," $","")," €",""), "")
)</f>
        <v>0</v>
      </c>
      <c r="AA50" s="17" t="str">
        <f t="shared" si="9"/>
        <v/>
      </c>
      <c r="AB50" s="1">
        <f>value(IFERROR(SUBSTITUTE(SUBSTITUTE(VLOOKUP($A50,'Quarterly Pipeline vs Target Pi'!$A:$V,11,false)," $","")," €",""), "")
)</f>
        <v>3.16</v>
      </c>
      <c r="AC50" s="1">
        <f>value(IFERROR(SUBSTITUTE(SUBSTITUTE(VLOOKUP($A50,'Quarterly Pipeline vs Target Pi'!$A:$V,12,false)," $","")," €",""), "")
)</f>
        <v>1260.6</v>
      </c>
      <c r="AD50" s="17">
        <f t="shared" si="10"/>
        <v>0.002506742821</v>
      </c>
      <c r="AE50" s="1">
        <f>value(IFERROR(SUBSTITUTE(SUBSTITUTE(VLOOKUP($A50,'Quarterly Pipeline vs Target Pi'!$A:$V,16,false)," $","")," €",""), "")
)</f>
        <v>972.1</v>
      </c>
      <c r="AF50" s="1">
        <f>value(IFERROR(SUBSTITUTE(SUBSTITUTE(VLOOKUP($A50,'Quarterly Pipeline vs Target Pi'!$A:$V,17,false)," $","")," €",""), "")
)</f>
        <v>1193.93</v>
      </c>
      <c r="AG50" s="17">
        <f t="shared" si="11"/>
        <v>0.8142018376</v>
      </c>
      <c r="AH50" s="1">
        <f>value(IFERROR(SUBSTITUTE(SUBSTITUTE(VLOOKUP($A50,'Quarterly Pipeline vs Target Pi'!$A:$V,21,false)," $","")," €",""), "")
)</f>
        <v>217.97</v>
      </c>
      <c r="AI50" s="1">
        <f>value(IFERROR(SUBSTITUTE(SUBSTITUTE(VLOOKUP($A50,'Quarterly Pipeline vs Target Pi'!$A:$V,22,false)," $","")," €",""), "")
)</f>
        <v>1172.71</v>
      </c>
      <c r="AJ50" s="17">
        <f t="shared" si="12"/>
        <v>0.1858686291</v>
      </c>
      <c r="AK50" s="1">
        <f t="shared" ref="AK50:AL50" si="113">sum(Y50,AB50,AE50,AH50)</f>
        <v>1195.23</v>
      </c>
      <c r="AL50" s="1">
        <f t="shared" si="113"/>
        <v>3627.24</v>
      </c>
      <c r="AM50" s="17">
        <f t="shared" si="14"/>
        <v>0.3295150031</v>
      </c>
      <c r="AN50" s="1">
        <f>value(IFERROR(SUBSTITUTE(SUBSTITUTE(VLOOKUP($A50,'Quarterly Pipeline vs Target Pi'!$A:$AP,26,false)," $","")," €",""), "")
)</f>
        <v>226.72</v>
      </c>
      <c r="AO50" s="1">
        <f>value(IFERROR(SUBSTITUTE(SUBSTITUTE(VLOOKUP($A50,'Quarterly Pipeline vs Target Pi'!$A:$AP,27,false)," $","")," €",""), "")
)</f>
        <v>0</v>
      </c>
      <c r="AP50" s="17" t="str">
        <f t="shared" si="15"/>
        <v/>
      </c>
      <c r="AQ50" s="1">
        <f>value(IFERROR(SUBSTITUTE(SUBSTITUTE(VLOOKUP($A50,'Quarterly Pipeline vs Target Pi'!$A:$AP,31,false)," $","")," €",""), "")
)</f>
        <v>111.89</v>
      </c>
      <c r="AR50" s="1">
        <f>value(IFERROR(SUBSTITUTE(SUBSTITUTE(VLOOKUP($A50,'Quarterly Pipeline vs Target Pi'!$A:$AP,32,false)," $","")," €",""), "")
)</f>
        <v>0</v>
      </c>
      <c r="AS50" s="17" t="str">
        <f t="shared" si="16"/>
        <v/>
      </c>
      <c r="AT50" s="1">
        <f>value(IFERROR(SUBSTITUTE(SUBSTITUTE(VLOOKUP($A50,'Quarterly Pipeline vs Target Pi'!$A:$AP,36,false)," $","")," €",""), "")
)</f>
        <v>3.33</v>
      </c>
      <c r="AU50" s="1">
        <f>value(IFERROR(SUBSTITUTE(SUBSTITUTE(VLOOKUP($A50,'Quarterly Pipeline vs Target Pi'!$A:$AP,37,false)," $","")," €",""), "")
)</f>
        <v>0</v>
      </c>
      <c r="AV50" s="17" t="str">
        <f t="shared" si="17"/>
        <v/>
      </c>
      <c r="AW50" s="1">
        <f>value(IFERROR(SUBSTITUTE(SUBSTITUTE(VLOOKUP($A50,'Quarterly Pipeline vs Target Pi'!$A:$AP,41,false)," $","")," €",""), "")
)</f>
        <v>4.22</v>
      </c>
      <c r="AX50" s="1">
        <f>value(IFERROR(SUBSTITUTE(SUBSTITUTE(VLOOKUP($A50,'Quarterly Pipeline vs Target Pi'!$A:$AP,42,false)," $","")," €",""), "")
)</f>
        <v>0</v>
      </c>
      <c r="AY50" s="17" t="str">
        <f t="shared" si="18"/>
        <v/>
      </c>
      <c r="AZ50" s="1">
        <f t="shared" ref="AZ50:BA50" si="114">sum(AN50,AQ50,AT50,AW50)</f>
        <v>346.16</v>
      </c>
      <c r="BA50" s="1">
        <f t="shared" si="114"/>
        <v>0</v>
      </c>
      <c r="BB50" s="17" t="str">
        <f t="shared" si="20"/>
        <v/>
      </c>
    </row>
    <row r="51">
      <c r="A51" s="1" t="str">
        <f>IFERROR(__xludf.DUMMYFUNCTION("""COMPUTED_VALUE"""),"63fcbb7ea107c871cf564813")</f>
        <v>63fcbb7ea107c871cf564813</v>
      </c>
      <c r="B51" s="1" t="str">
        <f>IFERROR(__xludf.DUMMYFUNCTION("""COMPUTED_VALUE"""),"Aystel Telecomunicaciones S.A de CV")</f>
        <v>Aystel Telecomunicaciones S.A de CV</v>
      </c>
      <c r="C51" s="1" t="str">
        <f>IFERROR(__xludf.DUMMYFUNCTION("""COMPUTED_VALUE"""),"saul.montiel@al-enterprise.com")</f>
        <v>saul.montiel@al-enterprise.com</v>
      </c>
      <c r="D51" s="1" t="str">
        <f>IFERROR(__xludf.DUMMYFUNCTION("""COMPUTED_VALUE"""),"americas")</f>
        <v>americas</v>
      </c>
      <c r="E51" s="1" t="str">
        <f>IFERROR(__xludf.DUMMYFUNCTION("""COMPUTED_VALUE"""),"MX")</f>
        <v>MX</v>
      </c>
      <c r="F51" s="1"/>
      <c r="G51" s="1" t="str">
        <f>iferror(VLOOKUP(A51,'Business Plan Setup and Accepta'!A:G,6,false),"")</f>
        <v/>
      </c>
      <c r="H51" s="1" t="str">
        <f>iferror(VLOOKUP(A51,'Business Plan Setup and Accepta'!A:G,7,false),"")</f>
        <v/>
      </c>
      <c r="I51" s="17" t="str">
        <f t="shared" si="3"/>
        <v/>
      </c>
      <c r="J51" s="1" t="str">
        <f>IFERROR(VALUE(SUBSTITUTE(VLOOKUP(A51,'Sales IN Revenues vs Sales targ'!A:G,6,false)," $","")), "")
</f>
        <v/>
      </c>
      <c r="K51" s="1" t="str">
        <f>IFERROR(VALUE(SUBSTITUTE(VLOOKUP(A51,'Sales IN Revenues vs Sales targ'!A:G,7,false)," $","")), "")
</f>
        <v/>
      </c>
      <c r="L51" s="17" t="str">
        <f t="shared" si="4"/>
        <v/>
      </c>
      <c r="M51" s="1">
        <f>value(SUBSTITUTE(IFERROR(VLOOKUP(A51,'Certifications achievements vs '!A:G,6,false),""),"#","")
)</f>
        <v>0</v>
      </c>
      <c r="N51" s="1">
        <f>value(SUBSTITUTE(IFERROR(VLOOKUP(A51,'Certifications achievements vs '!A:G,7,false),""),"#","")
)</f>
        <v>0</v>
      </c>
      <c r="O51" s="17" t="str">
        <f t="shared" si="5"/>
        <v/>
      </c>
      <c r="P51" s="1">
        <f>value(SUBSTITUTE(IFERROR(VLOOKUP(A51,'Communications - Solution Speci'!A:G,6,false),""),"#","")
)</f>
        <v>0</v>
      </c>
      <c r="Q51" s="1">
        <f>value(SUBSTITUTE(IFERROR(VLOOKUP(A51,'Communications - Solution Speci'!A:G,7,false),""),"#","")
)</f>
        <v>0</v>
      </c>
      <c r="R51" s="17" t="str">
        <f t="shared" si="6"/>
        <v/>
      </c>
      <c r="S51" s="1">
        <f>value(SUBSTITUTE(IFERROR(VLOOKUP(A51,'Networking - Solution Specializ'!A:G,6,false),""),"#","")
)</f>
        <v>0</v>
      </c>
      <c r="T51" s="1">
        <f>value(SUBSTITUTE(IFERROR(VLOOKUP(A51,'Networking - Solution Specializ'!A:G,7,false),""),"#","")
)</f>
        <v>0</v>
      </c>
      <c r="U51" s="17" t="str">
        <f t="shared" si="7"/>
        <v/>
      </c>
      <c r="V51" s="1" t="str">
        <f>iferror(vlookup(A51,'Marketing Plan (extract summary'!A:G,6,false),"")</f>
        <v/>
      </c>
      <c r="W51" s="1" t="str">
        <f>iferror(vlookup(A51,'Marketing Plan (extract summary'!A:G,7,false),"")</f>
        <v/>
      </c>
      <c r="X51" s="17" t="str">
        <f t="shared" si="8"/>
        <v/>
      </c>
      <c r="Y51" s="1">
        <f>value(IFERROR(SUBSTITUTE(SUBSTITUTE(VLOOKUP(A51,'Quarterly Pipeline vs Target Pi'!A:G,6,false)," $","")," €",""), "")
)</f>
        <v>0</v>
      </c>
      <c r="Z51" s="1">
        <f>value(IFERROR(SUBSTITUTE(SUBSTITUTE(VLOOKUP(A51,'Quarterly Pipeline vs Target Pi'!A:G,7,false)," $","")," €",""), "")
)</f>
        <v>0</v>
      </c>
      <c r="AA51" s="17" t="str">
        <f t="shared" si="9"/>
        <v/>
      </c>
      <c r="AB51" s="1">
        <f>value(IFERROR(SUBSTITUTE(SUBSTITUTE(VLOOKUP($A51,'Quarterly Pipeline vs Target Pi'!$A:$V,11,false)," $","")," €",""), "")
)</f>
        <v>0</v>
      </c>
      <c r="AC51" s="1">
        <f>value(IFERROR(SUBSTITUTE(SUBSTITUTE(VLOOKUP($A51,'Quarterly Pipeline vs Target Pi'!$A:$V,12,false)," $","")," €",""), "")
)</f>
        <v>0</v>
      </c>
      <c r="AD51" s="17" t="str">
        <f t="shared" si="10"/>
        <v/>
      </c>
      <c r="AE51" s="1">
        <f>value(IFERROR(SUBSTITUTE(SUBSTITUTE(VLOOKUP($A51,'Quarterly Pipeline vs Target Pi'!$A:$V,16,false)," $","")," €",""), "")
)</f>
        <v>0</v>
      </c>
      <c r="AF51" s="1">
        <f>value(IFERROR(SUBSTITUTE(SUBSTITUTE(VLOOKUP($A51,'Quarterly Pipeline vs Target Pi'!$A:$V,17,false)," $","")," €",""), "")
)</f>
        <v>0</v>
      </c>
      <c r="AG51" s="17" t="str">
        <f t="shared" si="11"/>
        <v/>
      </c>
      <c r="AH51" s="1">
        <f>value(IFERROR(SUBSTITUTE(SUBSTITUTE(VLOOKUP($A51,'Quarterly Pipeline vs Target Pi'!$A:$V,21,false)," $","")," €",""), "")
)</f>
        <v>0</v>
      </c>
      <c r="AI51" s="1">
        <f>value(IFERROR(SUBSTITUTE(SUBSTITUTE(VLOOKUP($A51,'Quarterly Pipeline vs Target Pi'!$A:$V,22,false)," $","")," €",""), "")
)</f>
        <v>0</v>
      </c>
      <c r="AJ51" s="17" t="str">
        <f t="shared" si="12"/>
        <v/>
      </c>
      <c r="AK51" s="1">
        <f t="shared" ref="AK51:AL51" si="115">sum(Y51,AB51,AE51,AH51)</f>
        <v>0</v>
      </c>
      <c r="AL51" s="1">
        <f t="shared" si="115"/>
        <v>0</v>
      </c>
      <c r="AM51" s="17" t="str">
        <f t="shared" si="14"/>
        <v/>
      </c>
      <c r="AN51" s="1">
        <f>value(IFERROR(SUBSTITUTE(SUBSTITUTE(VLOOKUP($A51,'Quarterly Pipeline vs Target Pi'!$A:$AP,26,false)," $","")," €",""), "")
)</f>
        <v>0</v>
      </c>
      <c r="AO51" s="1">
        <f>value(IFERROR(SUBSTITUTE(SUBSTITUTE(VLOOKUP($A51,'Quarterly Pipeline vs Target Pi'!$A:$AP,27,false)," $","")," €",""), "")
)</f>
        <v>0</v>
      </c>
      <c r="AP51" s="17" t="str">
        <f t="shared" si="15"/>
        <v/>
      </c>
      <c r="AQ51" s="1">
        <f>value(IFERROR(SUBSTITUTE(SUBSTITUTE(VLOOKUP($A51,'Quarterly Pipeline vs Target Pi'!$A:$AP,31,false)," $","")," €",""), "")
)</f>
        <v>0</v>
      </c>
      <c r="AR51" s="1">
        <f>value(IFERROR(SUBSTITUTE(SUBSTITUTE(VLOOKUP($A51,'Quarterly Pipeline vs Target Pi'!$A:$AP,32,false)," $","")," €",""), "")
)</f>
        <v>0</v>
      </c>
      <c r="AS51" s="17" t="str">
        <f t="shared" si="16"/>
        <v/>
      </c>
      <c r="AT51" s="1">
        <f>value(IFERROR(SUBSTITUTE(SUBSTITUTE(VLOOKUP($A51,'Quarterly Pipeline vs Target Pi'!$A:$AP,36,false)," $","")," €",""), "")
)</f>
        <v>0</v>
      </c>
      <c r="AU51" s="1">
        <f>value(IFERROR(SUBSTITUTE(SUBSTITUTE(VLOOKUP($A51,'Quarterly Pipeline vs Target Pi'!$A:$AP,37,false)," $","")," €",""), "")
)</f>
        <v>0</v>
      </c>
      <c r="AV51" s="17" t="str">
        <f t="shared" si="17"/>
        <v/>
      </c>
      <c r="AW51" s="1">
        <f>value(IFERROR(SUBSTITUTE(SUBSTITUTE(VLOOKUP($A51,'Quarterly Pipeline vs Target Pi'!$A:$AP,41,false)," $","")," €",""), "")
)</f>
        <v>0</v>
      </c>
      <c r="AX51" s="1">
        <f>value(IFERROR(SUBSTITUTE(SUBSTITUTE(VLOOKUP($A51,'Quarterly Pipeline vs Target Pi'!$A:$AP,42,false)," $","")," €",""), "")
)</f>
        <v>0</v>
      </c>
      <c r="AY51" s="17" t="str">
        <f t="shared" si="18"/>
        <v/>
      </c>
      <c r="AZ51" s="1">
        <f t="shared" ref="AZ51:BA51" si="116">sum(AN51,AQ51,AT51,AW51)</f>
        <v>0</v>
      </c>
      <c r="BA51" s="1">
        <f t="shared" si="116"/>
        <v>0</v>
      </c>
      <c r="BB51" s="17" t="str">
        <f t="shared" si="20"/>
        <v/>
      </c>
    </row>
    <row r="52">
      <c r="A52" s="1" t="str">
        <f>IFERROR(__xludf.DUMMYFUNCTION("""COMPUTED_VALUE"""),"63ea6e9652ad6968805cef6b")</f>
        <v>63ea6e9652ad6968805cef6b</v>
      </c>
      <c r="B52" s="1" t="str">
        <f>IFERROR(__xludf.DUMMYFUNCTION("""COMPUTED_VALUE"""),"B&amp;C Burokommunikation Wilthen")</f>
        <v>B&amp;C Burokommunikation Wilthen</v>
      </c>
      <c r="C52" s="1" t="str">
        <f>IFERROR(__xludf.DUMMYFUNCTION("""COMPUTED_VALUE"""),"andreas.grossheimann@al-enterprise.com, andre.ramm@al-enterprise.com")</f>
        <v>andreas.grossheimann@al-enterprise.com, andre.ramm@al-enterprise.com</v>
      </c>
      <c r="D52" s="1" t="str">
        <f>IFERROR(__xludf.DUMMYFUNCTION("""COMPUTED_VALUE"""),"germany")</f>
        <v>germany</v>
      </c>
      <c r="E52" s="1" t="str">
        <f>IFERROR(__xludf.DUMMYFUNCTION("""COMPUTED_VALUE"""),"DE")</f>
        <v>DE</v>
      </c>
      <c r="F52" s="1"/>
      <c r="G52" s="1" t="str">
        <f>iferror(VLOOKUP(A52,'Business Plan Setup and Accepta'!A:G,6,false),"")</f>
        <v/>
      </c>
      <c r="H52" s="1" t="str">
        <f>iferror(VLOOKUP(A52,'Business Plan Setup and Accepta'!A:G,7,false),"")</f>
        <v/>
      </c>
      <c r="I52" s="17" t="str">
        <f t="shared" si="3"/>
        <v/>
      </c>
      <c r="J52" s="1" t="str">
        <f>IFERROR(VALUE(SUBSTITUTE(VLOOKUP(A52,'Sales IN Revenues vs Sales targ'!A:G,6,false)," $","")), "")
</f>
        <v/>
      </c>
      <c r="K52" s="1" t="str">
        <f>IFERROR(VALUE(SUBSTITUTE(VLOOKUP(A52,'Sales IN Revenues vs Sales targ'!A:G,7,false)," $","")), "")
</f>
        <v/>
      </c>
      <c r="L52" s="17" t="str">
        <f t="shared" si="4"/>
        <v/>
      </c>
      <c r="M52" s="1">
        <f>value(SUBSTITUTE(IFERROR(VLOOKUP(A52,'Certifications achievements vs '!A:G,6,false),""),"#","")
)</f>
        <v>0</v>
      </c>
      <c r="N52" s="1">
        <f>value(SUBSTITUTE(IFERROR(VLOOKUP(A52,'Certifications achievements vs '!A:G,7,false),""),"#","")
)</f>
        <v>0</v>
      </c>
      <c r="O52" s="17" t="str">
        <f t="shared" si="5"/>
        <v/>
      </c>
      <c r="P52" s="1">
        <f>value(SUBSTITUTE(IFERROR(VLOOKUP(A52,'Communications - Solution Speci'!A:G,6,false),""),"#","")
)</f>
        <v>0</v>
      </c>
      <c r="Q52" s="1">
        <f>value(SUBSTITUTE(IFERROR(VLOOKUP(A52,'Communications - Solution Speci'!A:G,7,false),""),"#","")
)</f>
        <v>0</v>
      </c>
      <c r="R52" s="17" t="str">
        <f t="shared" si="6"/>
        <v/>
      </c>
      <c r="S52" s="1">
        <f>value(SUBSTITUTE(IFERROR(VLOOKUP(A52,'Networking - Solution Specializ'!A:G,6,false),""),"#","")
)</f>
        <v>0</v>
      </c>
      <c r="T52" s="1">
        <f>value(SUBSTITUTE(IFERROR(VLOOKUP(A52,'Networking - Solution Specializ'!A:G,7,false),""),"#","")
)</f>
        <v>0</v>
      </c>
      <c r="U52" s="17" t="str">
        <f t="shared" si="7"/>
        <v/>
      </c>
      <c r="V52" s="1" t="str">
        <f>iferror(vlookup(A52,'Marketing Plan (extract summary'!A:G,6,false),"")</f>
        <v/>
      </c>
      <c r="W52" s="1" t="str">
        <f>iferror(vlookup(A52,'Marketing Plan (extract summary'!A:G,7,false),"")</f>
        <v/>
      </c>
      <c r="X52" s="17" t="str">
        <f t="shared" si="8"/>
        <v/>
      </c>
      <c r="Y52" s="1">
        <f>value(IFERROR(SUBSTITUTE(SUBSTITUTE(VLOOKUP(A52,'Quarterly Pipeline vs Target Pi'!A:G,6,false)," $","")," €",""), "")
)</f>
        <v>0</v>
      </c>
      <c r="Z52" s="1">
        <f>value(IFERROR(SUBSTITUTE(SUBSTITUTE(VLOOKUP(A52,'Quarterly Pipeline vs Target Pi'!A:G,7,false)," $","")," €",""), "")
)</f>
        <v>0</v>
      </c>
      <c r="AA52" s="17" t="str">
        <f t="shared" si="9"/>
        <v/>
      </c>
      <c r="AB52" s="1">
        <f>value(IFERROR(SUBSTITUTE(SUBSTITUTE(VLOOKUP($A52,'Quarterly Pipeline vs Target Pi'!$A:$V,11,false)," $","")," €",""), "")
)</f>
        <v>0</v>
      </c>
      <c r="AC52" s="1">
        <f>value(IFERROR(SUBSTITUTE(SUBSTITUTE(VLOOKUP($A52,'Quarterly Pipeline vs Target Pi'!$A:$V,12,false)," $","")," €",""), "")
)</f>
        <v>0</v>
      </c>
      <c r="AD52" s="17" t="str">
        <f t="shared" si="10"/>
        <v/>
      </c>
      <c r="AE52" s="1">
        <f>value(IFERROR(SUBSTITUTE(SUBSTITUTE(VLOOKUP($A52,'Quarterly Pipeline vs Target Pi'!$A:$V,16,false)," $","")," €",""), "")
)</f>
        <v>0</v>
      </c>
      <c r="AF52" s="1">
        <f>value(IFERROR(SUBSTITUTE(SUBSTITUTE(VLOOKUP($A52,'Quarterly Pipeline vs Target Pi'!$A:$V,17,false)," $","")," €",""), "")
)</f>
        <v>0</v>
      </c>
      <c r="AG52" s="17" t="str">
        <f t="shared" si="11"/>
        <v/>
      </c>
      <c r="AH52" s="1">
        <f>value(IFERROR(SUBSTITUTE(SUBSTITUTE(VLOOKUP($A52,'Quarterly Pipeline vs Target Pi'!$A:$V,21,false)," $","")," €",""), "")
)</f>
        <v>0</v>
      </c>
      <c r="AI52" s="1">
        <f>value(IFERROR(SUBSTITUTE(SUBSTITUTE(VLOOKUP($A52,'Quarterly Pipeline vs Target Pi'!$A:$V,22,false)," $","")," €",""), "")
)</f>
        <v>0</v>
      </c>
      <c r="AJ52" s="17" t="str">
        <f t="shared" si="12"/>
        <v/>
      </c>
      <c r="AK52" s="1">
        <f t="shared" ref="AK52:AL52" si="117">sum(Y52,AB52,AE52,AH52)</f>
        <v>0</v>
      </c>
      <c r="AL52" s="1">
        <f t="shared" si="117"/>
        <v>0</v>
      </c>
      <c r="AM52" s="17" t="str">
        <f t="shared" si="14"/>
        <v/>
      </c>
      <c r="AN52" s="1">
        <f>value(IFERROR(SUBSTITUTE(SUBSTITUTE(VLOOKUP($A52,'Quarterly Pipeline vs Target Pi'!$A:$AP,26,false)," $","")," €",""), "")
)</f>
        <v>0</v>
      </c>
      <c r="AO52" s="1">
        <f>value(IFERROR(SUBSTITUTE(SUBSTITUTE(VLOOKUP($A52,'Quarterly Pipeline vs Target Pi'!$A:$AP,27,false)," $","")," €",""), "")
)</f>
        <v>0</v>
      </c>
      <c r="AP52" s="17" t="str">
        <f t="shared" si="15"/>
        <v/>
      </c>
      <c r="AQ52" s="1">
        <f>value(IFERROR(SUBSTITUTE(SUBSTITUTE(VLOOKUP($A52,'Quarterly Pipeline vs Target Pi'!$A:$AP,31,false)," $","")," €",""), "")
)</f>
        <v>0</v>
      </c>
      <c r="AR52" s="1">
        <f>value(IFERROR(SUBSTITUTE(SUBSTITUTE(VLOOKUP($A52,'Quarterly Pipeline vs Target Pi'!$A:$AP,32,false)," $","")," €",""), "")
)</f>
        <v>0</v>
      </c>
      <c r="AS52" s="17" t="str">
        <f t="shared" si="16"/>
        <v/>
      </c>
      <c r="AT52" s="1">
        <f>value(IFERROR(SUBSTITUTE(SUBSTITUTE(VLOOKUP($A52,'Quarterly Pipeline vs Target Pi'!$A:$AP,36,false)," $","")," €",""), "")
)</f>
        <v>0</v>
      </c>
      <c r="AU52" s="1">
        <f>value(IFERROR(SUBSTITUTE(SUBSTITUTE(VLOOKUP($A52,'Quarterly Pipeline vs Target Pi'!$A:$AP,37,false)," $","")," €",""), "")
)</f>
        <v>0</v>
      </c>
      <c r="AV52" s="17" t="str">
        <f t="shared" si="17"/>
        <v/>
      </c>
      <c r="AW52" s="1">
        <f>value(IFERROR(SUBSTITUTE(SUBSTITUTE(VLOOKUP($A52,'Quarterly Pipeline vs Target Pi'!$A:$AP,41,false)," $","")," €",""), "")
)</f>
        <v>0</v>
      </c>
      <c r="AX52" s="1">
        <f>value(IFERROR(SUBSTITUTE(SUBSTITUTE(VLOOKUP($A52,'Quarterly Pipeline vs Target Pi'!$A:$AP,42,false)," $","")," €",""), "")
)</f>
        <v>0</v>
      </c>
      <c r="AY52" s="17" t="str">
        <f t="shared" si="18"/>
        <v/>
      </c>
      <c r="AZ52" s="1">
        <f t="shared" ref="AZ52:BA52" si="118">sum(AN52,AQ52,AT52,AW52)</f>
        <v>0</v>
      </c>
      <c r="BA52" s="1">
        <f t="shared" si="118"/>
        <v>0</v>
      </c>
      <c r="BB52" s="17" t="str">
        <f t="shared" si="20"/>
        <v/>
      </c>
    </row>
    <row r="53">
      <c r="A53" s="1" t="str">
        <f>IFERROR(__xludf.DUMMYFUNCTION("""COMPUTED_VALUE"""),"6488e1eb863dcd5166276b53")</f>
        <v>6488e1eb863dcd5166276b53</v>
      </c>
      <c r="B53" s="1" t="str">
        <f>IFERROR(__xludf.DUMMYFUNCTION("""COMPUTED_VALUE"""),"Best Buy Canada")</f>
        <v>Best Buy Canada</v>
      </c>
      <c r="C53" s="1" t="str">
        <f>IFERROR(__xludf.DUMMYFUNCTION("""COMPUTED_VALUE"""),"margret.moyle@al-enterprise.com, charlotte.holtzer@al-enterprise.com")</f>
        <v>margret.moyle@al-enterprise.com, charlotte.holtzer@al-enterprise.com</v>
      </c>
      <c r="D53" s="1" t="str">
        <f>IFERROR(__xludf.DUMMYFUNCTION("""COMPUTED_VALUE"""),"americas")</f>
        <v>americas</v>
      </c>
      <c r="E53" s="1" t="str">
        <f>IFERROR(__xludf.DUMMYFUNCTION("""COMPUTED_VALUE"""),"CA")</f>
        <v>CA</v>
      </c>
      <c r="F53" s="1"/>
      <c r="G53" s="1" t="str">
        <f>iferror(VLOOKUP(A53,'Business Plan Setup and Accepta'!A:G,6,false),"")</f>
        <v/>
      </c>
      <c r="H53" s="1" t="str">
        <f>iferror(VLOOKUP(A53,'Business Plan Setup and Accepta'!A:G,7,false),"")</f>
        <v/>
      </c>
      <c r="I53" s="17" t="str">
        <f t="shared" si="3"/>
        <v/>
      </c>
      <c r="J53" s="1" t="str">
        <f>IFERROR(VALUE(SUBSTITUTE(VLOOKUP(A53,'Sales IN Revenues vs Sales targ'!A:G,6,false)," $","")), "")
</f>
        <v/>
      </c>
      <c r="K53" s="1" t="str">
        <f>IFERROR(VALUE(SUBSTITUTE(VLOOKUP(A53,'Sales IN Revenues vs Sales targ'!A:G,7,false)," $","")), "")
</f>
        <v/>
      </c>
      <c r="L53" s="17" t="str">
        <f t="shared" si="4"/>
        <v/>
      </c>
      <c r="M53" s="1">
        <f>value(SUBSTITUTE(IFERROR(VLOOKUP(A53,'Certifications achievements vs '!A:G,6,false),""),"#","")
)</f>
        <v>0</v>
      </c>
      <c r="N53" s="1">
        <f>value(SUBSTITUTE(IFERROR(VLOOKUP(A53,'Certifications achievements vs '!A:G,7,false),""),"#","")
)</f>
        <v>0</v>
      </c>
      <c r="O53" s="17" t="str">
        <f t="shared" si="5"/>
        <v/>
      </c>
      <c r="P53" s="1">
        <f>value(SUBSTITUTE(IFERROR(VLOOKUP(A53,'Communications - Solution Speci'!A:G,6,false),""),"#","")
)</f>
        <v>0</v>
      </c>
      <c r="Q53" s="1">
        <f>value(SUBSTITUTE(IFERROR(VLOOKUP(A53,'Communications - Solution Speci'!A:G,7,false),""),"#","")
)</f>
        <v>0</v>
      </c>
      <c r="R53" s="17" t="str">
        <f t="shared" si="6"/>
        <v/>
      </c>
      <c r="S53" s="1">
        <f>value(SUBSTITUTE(IFERROR(VLOOKUP(A53,'Networking - Solution Specializ'!A:G,6,false),""),"#","")
)</f>
        <v>0</v>
      </c>
      <c r="T53" s="1">
        <f>value(SUBSTITUTE(IFERROR(VLOOKUP(A53,'Networking - Solution Specializ'!A:G,7,false),""),"#","")
)</f>
        <v>0</v>
      </c>
      <c r="U53" s="17" t="str">
        <f t="shared" si="7"/>
        <v/>
      </c>
      <c r="V53" s="1" t="str">
        <f>iferror(vlookup(A53,'Marketing Plan (extract summary'!A:G,6,false),"")</f>
        <v/>
      </c>
      <c r="W53" s="1" t="str">
        <f>iferror(vlookup(A53,'Marketing Plan (extract summary'!A:G,7,false),"")</f>
        <v/>
      </c>
      <c r="X53" s="17" t="str">
        <f t="shared" si="8"/>
        <v/>
      </c>
      <c r="Y53" s="1">
        <f>value(IFERROR(SUBSTITUTE(SUBSTITUTE(VLOOKUP(A53,'Quarterly Pipeline vs Target Pi'!A:G,6,false)," $","")," €",""), "")
)</f>
        <v>0</v>
      </c>
      <c r="Z53" s="1">
        <f>value(IFERROR(SUBSTITUTE(SUBSTITUTE(VLOOKUP(A53,'Quarterly Pipeline vs Target Pi'!A:G,7,false)," $","")," €",""), "")
)</f>
        <v>0</v>
      </c>
      <c r="AA53" s="17" t="str">
        <f t="shared" si="9"/>
        <v/>
      </c>
      <c r="AB53" s="1">
        <f>value(IFERROR(SUBSTITUTE(SUBSTITUTE(VLOOKUP($A53,'Quarterly Pipeline vs Target Pi'!$A:$V,11,false)," $","")," €",""), "")
)</f>
        <v>0</v>
      </c>
      <c r="AC53" s="1">
        <f>value(IFERROR(SUBSTITUTE(SUBSTITUTE(VLOOKUP($A53,'Quarterly Pipeline vs Target Pi'!$A:$V,12,false)," $","")," €",""), "")
)</f>
        <v>0</v>
      </c>
      <c r="AD53" s="17" t="str">
        <f t="shared" si="10"/>
        <v/>
      </c>
      <c r="AE53" s="1">
        <f>value(IFERROR(SUBSTITUTE(SUBSTITUTE(VLOOKUP($A53,'Quarterly Pipeline vs Target Pi'!$A:$V,16,false)," $","")," €",""), "")
)</f>
        <v>0</v>
      </c>
      <c r="AF53" s="1">
        <f>value(IFERROR(SUBSTITUTE(SUBSTITUTE(VLOOKUP($A53,'Quarterly Pipeline vs Target Pi'!$A:$V,17,false)," $","")," €",""), "")
)</f>
        <v>0</v>
      </c>
      <c r="AG53" s="17" t="str">
        <f t="shared" si="11"/>
        <v/>
      </c>
      <c r="AH53" s="1">
        <f>value(IFERROR(SUBSTITUTE(SUBSTITUTE(VLOOKUP($A53,'Quarterly Pipeline vs Target Pi'!$A:$V,21,false)," $","")," €",""), "")
)</f>
        <v>0</v>
      </c>
      <c r="AI53" s="1">
        <f>value(IFERROR(SUBSTITUTE(SUBSTITUTE(VLOOKUP($A53,'Quarterly Pipeline vs Target Pi'!$A:$V,22,false)," $","")," €",""), "")
)</f>
        <v>0</v>
      </c>
      <c r="AJ53" s="17" t="str">
        <f t="shared" si="12"/>
        <v/>
      </c>
      <c r="AK53" s="1">
        <f t="shared" ref="AK53:AL53" si="119">sum(Y53,AB53,AE53,AH53)</f>
        <v>0</v>
      </c>
      <c r="AL53" s="1">
        <f t="shared" si="119"/>
        <v>0</v>
      </c>
      <c r="AM53" s="17" t="str">
        <f t="shared" si="14"/>
        <v/>
      </c>
      <c r="AN53" s="1">
        <f>value(IFERROR(SUBSTITUTE(SUBSTITUTE(VLOOKUP($A53,'Quarterly Pipeline vs Target Pi'!$A:$AP,26,false)," $","")," €",""), "")
)</f>
        <v>0</v>
      </c>
      <c r="AO53" s="1">
        <f>value(IFERROR(SUBSTITUTE(SUBSTITUTE(VLOOKUP($A53,'Quarterly Pipeline vs Target Pi'!$A:$AP,27,false)," $","")," €",""), "")
)</f>
        <v>0</v>
      </c>
      <c r="AP53" s="17" t="str">
        <f t="shared" si="15"/>
        <v/>
      </c>
      <c r="AQ53" s="1">
        <f>value(IFERROR(SUBSTITUTE(SUBSTITUTE(VLOOKUP($A53,'Quarterly Pipeline vs Target Pi'!$A:$AP,31,false)," $","")," €",""), "")
)</f>
        <v>0</v>
      </c>
      <c r="AR53" s="1">
        <f>value(IFERROR(SUBSTITUTE(SUBSTITUTE(VLOOKUP($A53,'Quarterly Pipeline vs Target Pi'!$A:$AP,32,false)," $","")," €",""), "")
)</f>
        <v>0</v>
      </c>
      <c r="AS53" s="17" t="str">
        <f t="shared" si="16"/>
        <v/>
      </c>
      <c r="AT53" s="1">
        <f>value(IFERROR(SUBSTITUTE(SUBSTITUTE(VLOOKUP($A53,'Quarterly Pipeline vs Target Pi'!$A:$AP,36,false)," $","")," €",""), "")
)</f>
        <v>0</v>
      </c>
      <c r="AU53" s="1">
        <f>value(IFERROR(SUBSTITUTE(SUBSTITUTE(VLOOKUP($A53,'Quarterly Pipeline vs Target Pi'!$A:$AP,37,false)," $","")," €",""), "")
)</f>
        <v>0</v>
      </c>
      <c r="AV53" s="17" t="str">
        <f t="shared" si="17"/>
        <v/>
      </c>
      <c r="AW53" s="1">
        <f>value(IFERROR(SUBSTITUTE(SUBSTITUTE(VLOOKUP($A53,'Quarterly Pipeline vs Target Pi'!$A:$AP,41,false)," $","")," €",""), "")
)</f>
        <v>0</v>
      </c>
      <c r="AX53" s="1">
        <f>value(IFERROR(SUBSTITUTE(SUBSTITUTE(VLOOKUP($A53,'Quarterly Pipeline vs Target Pi'!$A:$AP,42,false)," $","")," €",""), "")
)</f>
        <v>0</v>
      </c>
      <c r="AY53" s="17" t="str">
        <f t="shared" si="18"/>
        <v/>
      </c>
      <c r="AZ53" s="1">
        <f t="shared" ref="AZ53:BA53" si="120">sum(AN53,AQ53,AT53,AW53)</f>
        <v>0</v>
      </c>
      <c r="BA53" s="1">
        <f t="shared" si="120"/>
        <v>0</v>
      </c>
      <c r="BB53" s="17" t="str">
        <f t="shared" si="20"/>
        <v/>
      </c>
    </row>
    <row r="54">
      <c r="A54" s="1" t="str">
        <f>IFERROR(__xludf.DUMMYFUNCTION("""COMPUTED_VALUE"""),"63ced845c5c820531c26869f")</f>
        <v>63ced845c5c820531c26869f</v>
      </c>
      <c r="B54" s="1" t="str">
        <f>IFERROR(__xludf.DUMMYFUNCTION("""COMPUTED_VALUE"""),"BFW Kommunikationssysteme GmbH")</f>
        <v>BFW Kommunikationssysteme GmbH</v>
      </c>
      <c r="C54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54" s="1" t="str">
        <f>IFERROR(__xludf.DUMMYFUNCTION("""COMPUTED_VALUE"""),"germany")</f>
        <v>germany</v>
      </c>
      <c r="E54" s="1" t="str">
        <f>IFERROR(__xludf.DUMMYFUNCTION("""COMPUTED_VALUE"""),"DE")</f>
        <v>DE</v>
      </c>
      <c r="F54" s="1" t="str">
        <f>IFERROR(__xludf.DUMMYFUNCTION("""COMPUTED_VALUE"""),"expert_200")</f>
        <v>expert_200</v>
      </c>
      <c r="G54" s="1">
        <f>iferror(VLOOKUP(A54,'Business Plan Setup and Accepta'!A:G,6,false),"")</f>
        <v>1</v>
      </c>
      <c r="H54" s="1">
        <f>iferror(VLOOKUP(A54,'Business Plan Setup and Accepta'!A:G,7,false),"")</f>
        <v>1</v>
      </c>
      <c r="I54" s="17">
        <f t="shared" si="3"/>
        <v>1</v>
      </c>
      <c r="J54" s="1">
        <f>IFERROR(VALUE(SUBSTITUTE(VLOOKUP(A54,'Sales IN Revenues vs Sales targ'!A:G,6,false)," $","")), "")
</f>
        <v>235.23</v>
      </c>
      <c r="K54" s="1">
        <f>IFERROR(VALUE(SUBSTITUTE(VLOOKUP(A54,'Sales IN Revenues vs Sales targ'!A:G,7,false)," $","")), "")
</f>
        <v>448</v>
      </c>
      <c r="L54" s="17">
        <f t="shared" si="4"/>
        <v>0.5250669643</v>
      </c>
      <c r="M54" s="1">
        <f>value(SUBSTITUTE(IFERROR(VLOOKUP(A54,'Certifications achievements vs '!A:G,6,false),""),"#","")
)</f>
        <v>36</v>
      </c>
      <c r="N54" s="1">
        <f>value(SUBSTITUTE(IFERROR(VLOOKUP(A54,'Certifications achievements vs '!A:G,7,false),""),"#","")
)</f>
        <v>52</v>
      </c>
      <c r="O54" s="17">
        <f t="shared" si="5"/>
        <v>0.6923076923</v>
      </c>
      <c r="P54" s="1">
        <f>value(SUBSTITUTE(IFERROR(VLOOKUP(A54,'Communications - Solution Speci'!A:G,6,false),""),"#","")
)</f>
        <v>1</v>
      </c>
      <c r="Q54" s="1">
        <f>value(SUBSTITUTE(IFERROR(VLOOKUP(A54,'Communications - Solution Speci'!A:G,7,false),""),"#","")
)</f>
        <v>1</v>
      </c>
      <c r="R54" s="17">
        <f t="shared" si="6"/>
        <v>1</v>
      </c>
      <c r="S54" s="1">
        <f>value(SUBSTITUTE(IFERROR(VLOOKUP(A54,'Networking - Solution Specializ'!A:G,6,false),""),"#","")
)</f>
        <v>1</v>
      </c>
      <c r="T54" s="1">
        <f>value(SUBSTITUTE(IFERROR(VLOOKUP(A54,'Networking - Solution Specializ'!A:G,7,false),""),"#","")
)</f>
        <v>1</v>
      </c>
      <c r="U54" s="17">
        <f t="shared" si="7"/>
        <v>1</v>
      </c>
      <c r="V54" s="1">
        <f>iferror(vlookup(A54,'Marketing Plan (extract summary'!A:G,6,false),"")</f>
        <v>0</v>
      </c>
      <c r="W54" s="1">
        <f>iferror(vlookup(A54,'Marketing Plan (extract summary'!A:G,7,false),"")</f>
        <v>1</v>
      </c>
      <c r="X54" s="17">
        <f t="shared" si="8"/>
        <v>0</v>
      </c>
      <c r="Y54" s="1">
        <f>value(IFERROR(SUBSTITUTE(SUBSTITUTE(VLOOKUP(A54,'Quarterly Pipeline vs Target Pi'!A:G,6,false)," $","")," €",""), "")
)</f>
        <v>8.17</v>
      </c>
      <c r="Z54" s="1">
        <f>value(IFERROR(SUBSTITUTE(SUBSTITUTE(VLOOKUP(A54,'Quarterly Pipeline vs Target Pi'!A:G,7,false)," $","")," €",""), "")
)</f>
        <v>0</v>
      </c>
      <c r="AA54" s="17" t="str">
        <f t="shared" si="9"/>
        <v/>
      </c>
      <c r="AB54" s="1">
        <f>value(IFERROR(SUBSTITUTE(SUBSTITUTE(VLOOKUP($A54,'Quarterly Pipeline vs Target Pi'!$A:$V,11,false)," $","")," €",""), "")
)</f>
        <v>0.76</v>
      </c>
      <c r="AC54" s="1">
        <f>value(IFERROR(SUBSTITUTE(SUBSTITUTE(VLOOKUP($A54,'Quarterly Pipeline vs Target Pi'!$A:$V,12,false)," $","")," €",""), "")
)</f>
        <v>166.67</v>
      </c>
      <c r="AD54" s="17">
        <f t="shared" si="10"/>
        <v>0.004559908802</v>
      </c>
      <c r="AE54" s="1">
        <f>value(IFERROR(SUBSTITUTE(SUBSTITUTE(VLOOKUP($A54,'Quarterly Pipeline vs Target Pi'!$A:$V,16,false)," $","")," €",""), "")
)</f>
        <v>82.47</v>
      </c>
      <c r="AF54" s="1">
        <f>value(IFERROR(SUBSTITUTE(SUBSTITUTE(VLOOKUP($A54,'Quarterly Pipeline vs Target Pi'!$A:$V,17,false)," $","")," €",""), "")
)</f>
        <v>156.52</v>
      </c>
      <c r="AG54" s="17">
        <f t="shared" si="11"/>
        <v>0.5268975211</v>
      </c>
      <c r="AH54" s="1">
        <f>value(IFERROR(SUBSTITUTE(SUBSTITUTE(VLOOKUP($A54,'Quarterly Pipeline vs Target Pi'!$A:$V,21,false)," $","")," €",""), "")
)</f>
        <v>486.22</v>
      </c>
      <c r="AI54" s="1">
        <f>value(IFERROR(SUBSTITUTE(SUBSTITUTE(VLOOKUP($A54,'Quarterly Pipeline vs Target Pi'!$A:$V,22,false)," $","")," €",""), "")
)</f>
        <v>181.16</v>
      </c>
      <c r="AJ54" s="17">
        <f t="shared" si="12"/>
        <v>2.683925811</v>
      </c>
      <c r="AK54" s="1">
        <f t="shared" ref="AK54:AL54" si="121">sum(Y54,AB54,AE54,AH54)</f>
        <v>577.62</v>
      </c>
      <c r="AL54" s="1">
        <f t="shared" si="121"/>
        <v>504.35</v>
      </c>
      <c r="AM54" s="17">
        <f t="shared" si="14"/>
        <v>1.145276098</v>
      </c>
      <c r="AN54" s="1">
        <f>value(IFERROR(SUBSTITUTE(SUBSTITUTE(VLOOKUP($A54,'Quarterly Pipeline vs Target Pi'!$A:$AP,26,false)," $","")," €",""), "")
)</f>
        <v>66.56</v>
      </c>
      <c r="AO54" s="1">
        <f>value(IFERROR(SUBSTITUTE(SUBSTITUTE(VLOOKUP($A54,'Quarterly Pipeline vs Target Pi'!$A:$AP,27,false)," $","")," €",""), "")
)</f>
        <v>0</v>
      </c>
      <c r="AP54" s="17" t="str">
        <f t="shared" si="15"/>
        <v/>
      </c>
      <c r="AQ54" s="1">
        <f>value(IFERROR(SUBSTITUTE(SUBSTITUTE(VLOOKUP($A54,'Quarterly Pipeline vs Target Pi'!$A:$AP,31,false)," $","")," €",""), "")
)</f>
        <v>16.1</v>
      </c>
      <c r="AR54" s="1">
        <f>value(IFERROR(SUBSTITUTE(SUBSTITUTE(VLOOKUP($A54,'Quarterly Pipeline vs Target Pi'!$A:$AP,32,false)," $","")," €",""), "")
)</f>
        <v>0</v>
      </c>
      <c r="AS54" s="17" t="str">
        <f t="shared" si="16"/>
        <v/>
      </c>
      <c r="AT54" s="1">
        <f>value(IFERROR(SUBSTITUTE(SUBSTITUTE(VLOOKUP($A54,'Quarterly Pipeline vs Target Pi'!$A:$AP,36,false)," $","")," €",""), "")
)</f>
        <v>21.35</v>
      </c>
      <c r="AU54" s="1">
        <f>value(IFERROR(SUBSTITUTE(SUBSTITUTE(VLOOKUP($A54,'Quarterly Pipeline vs Target Pi'!$A:$AP,37,false)," $","")," €",""), "")
)</f>
        <v>0</v>
      </c>
      <c r="AV54" s="17" t="str">
        <f t="shared" si="17"/>
        <v/>
      </c>
      <c r="AW54" s="1">
        <f>value(IFERROR(SUBSTITUTE(SUBSTITUTE(VLOOKUP($A54,'Quarterly Pipeline vs Target Pi'!$A:$AP,41,false)," $","")," €",""), "")
)</f>
        <v>3.31</v>
      </c>
      <c r="AX54" s="1">
        <f>value(IFERROR(SUBSTITUTE(SUBSTITUTE(VLOOKUP($A54,'Quarterly Pipeline vs Target Pi'!$A:$AP,42,false)," $","")," €",""), "")
)</f>
        <v>0</v>
      </c>
      <c r="AY54" s="17" t="str">
        <f t="shared" si="18"/>
        <v/>
      </c>
      <c r="AZ54" s="1">
        <f t="shared" ref="AZ54:BA54" si="122">sum(AN54,AQ54,AT54,AW54)</f>
        <v>107.32</v>
      </c>
      <c r="BA54" s="1">
        <f t="shared" si="122"/>
        <v>0</v>
      </c>
      <c r="BB54" s="17" t="str">
        <f t="shared" si="20"/>
        <v/>
      </c>
    </row>
    <row r="55">
      <c r="A55" s="1" t="str">
        <f>IFERROR(__xludf.DUMMYFUNCTION("""COMPUTED_VALUE"""),"63ced848c5c820531c268d3e")</f>
        <v>63ced848c5c820531c268d3e</v>
      </c>
      <c r="B55" s="1" t="str">
        <f>IFERROR(__xludf.DUMMYFUNCTION("""COMPUTED_VALUE"""),"Binder Systemhaus GmbH")</f>
        <v>Binder Systemhaus GmbH</v>
      </c>
      <c r="C55" s="1" t="str">
        <f>IFERROR(__xludf.DUMMYFUNCTION("""COMPUTED_VALUE"""),"robert.weinberger@al-enterprise.com, andreas.grossheimann@al-enterprise.com, katrin.pfeiffer@al-enterprise.com, sibylle.klopfer@al-enterprise.com, igor.leko@al-enterprise.com")</f>
        <v>robert.weinberger@al-enterprise.com, andreas.grossheimann@al-enterprise.com, katrin.pfeiffer@al-enterprise.com, sibylle.klopfer@al-enterprise.com, igor.leko@al-enterprise.com</v>
      </c>
      <c r="D55" s="1" t="str">
        <f>IFERROR(__xludf.DUMMYFUNCTION("""COMPUTED_VALUE"""),"germany")</f>
        <v>germany</v>
      </c>
      <c r="E55" s="1" t="str">
        <f>IFERROR(__xludf.DUMMYFUNCTION("""COMPUTED_VALUE"""),"DE")</f>
        <v>DE</v>
      </c>
      <c r="F55" s="1" t="str">
        <f>IFERROR(__xludf.DUMMYFUNCTION("""COMPUTED_VALUE"""),"expert_1000")</f>
        <v>expert_1000</v>
      </c>
      <c r="G55" s="1">
        <f>iferror(VLOOKUP(A55,'Business Plan Setup and Accepta'!A:G,6,false),"")</f>
        <v>1</v>
      </c>
      <c r="H55" s="1">
        <f>iferror(VLOOKUP(A55,'Business Plan Setup and Accepta'!A:G,7,false),"")</f>
        <v>1</v>
      </c>
      <c r="I55" s="17">
        <f t="shared" si="3"/>
        <v>1</v>
      </c>
      <c r="J55" s="1">
        <f>IFERROR(VALUE(SUBSTITUTE(VLOOKUP(A55,'Sales IN Revenues vs Sales targ'!A:G,6,false)," $","")), "")
</f>
        <v>497.73</v>
      </c>
      <c r="K55" s="1">
        <f>IFERROR(VALUE(SUBSTITUTE(VLOOKUP(A55,'Sales IN Revenues vs Sales targ'!A:G,7,false)," $","")), "")
</f>
        <v>1300</v>
      </c>
      <c r="L55" s="17">
        <f t="shared" si="4"/>
        <v>0.3828692308</v>
      </c>
      <c r="M55" s="1">
        <f>value(SUBSTITUTE(IFERROR(VLOOKUP(A55,'Certifications achievements vs '!A:G,6,false),""),"#","")
)</f>
        <v>27</v>
      </c>
      <c r="N55" s="1">
        <f>value(SUBSTITUTE(IFERROR(VLOOKUP(A55,'Certifications achievements vs '!A:G,7,false),""),"#","")
)</f>
        <v>52</v>
      </c>
      <c r="O55" s="17">
        <f t="shared" si="5"/>
        <v>0.5192307692</v>
      </c>
      <c r="P55" s="1">
        <f>value(SUBSTITUTE(IFERROR(VLOOKUP(A55,'Communications - Solution Speci'!A:G,6,false),""),"#","")
)</f>
        <v>1</v>
      </c>
      <c r="Q55" s="1">
        <f>value(SUBSTITUTE(IFERROR(VLOOKUP(A55,'Communications - Solution Speci'!A:G,7,false),""),"#","")
)</f>
        <v>1</v>
      </c>
      <c r="R55" s="17">
        <f t="shared" si="6"/>
        <v>1</v>
      </c>
      <c r="S55" s="1">
        <f>value(SUBSTITUTE(IFERROR(VLOOKUP(A55,'Networking - Solution Specializ'!A:G,6,false),""),"#","")
)</f>
        <v>0</v>
      </c>
      <c r="T55" s="1">
        <f>value(SUBSTITUTE(IFERROR(VLOOKUP(A55,'Networking - Solution Specializ'!A:G,7,false),""),"#","")
)</f>
        <v>1</v>
      </c>
      <c r="U55" s="17">
        <f t="shared" si="7"/>
        <v>0</v>
      </c>
      <c r="V55" s="1">
        <f>iferror(vlookup(A55,'Marketing Plan (extract summary'!A:G,6,false),"")</f>
        <v>0</v>
      </c>
      <c r="W55" s="1">
        <f>iferror(vlookup(A55,'Marketing Plan (extract summary'!A:G,7,false),"")</f>
        <v>1</v>
      </c>
      <c r="X55" s="17">
        <f t="shared" si="8"/>
        <v>0</v>
      </c>
      <c r="Y55" s="1">
        <f>value(IFERROR(SUBSTITUTE(SUBSTITUTE(VLOOKUP(A55,'Quarterly Pipeline vs Target Pi'!A:G,6,false)," $","")," €",""), "")
)</f>
        <v>4.1</v>
      </c>
      <c r="Z55" s="1">
        <f>value(IFERROR(SUBSTITUTE(SUBSTITUTE(VLOOKUP(A55,'Quarterly Pipeline vs Target Pi'!A:G,7,false)," $","")," €",""), "")
)</f>
        <v>0</v>
      </c>
      <c r="AA55" s="17" t="str">
        <f t="shared" si="9"/>
        <v/>
      </c>
      <c r="AB55" s="1">
        <f>value(IFERROR(SUBSTITUTE(SUBSTITUTE(VLOOKUP($A55,'Quarterly Pipeline vs Target Pi'!$A:$V,11,false)," $","")," €",""), "")
)</f>
        <v>21.09</v>
      </c>
      <c r="AC55" s="1">
        <f>value(IFERROR(SUBSTITUTE(SUBSTITUTE(VLOOKUP($A55,'Quarterly Pipeline vs Target Pi'!$A:$V,12,false)," $","")," €",""), "")
)</f>
        <v>702.7</v>
      </c>
      <c r="AD55" s="17">
        <f t="shared" si="10"/>
        <v>0.03001280774</v>
      </c>
      <c r="AE55" s="1">
        <f>value(IFERROR(SUBSTITUTE(SUBSTITUTE(VLOOKUP($A55,'Quarterly Pipeline vs Target Pi'!$A:$V,16,false)," $","")," €",""), "")
)</f>
        <v>285.01</v>
      </c>
      <c r="AF55" s="1">
        <f>value(IFERROR(SUBSTITUTE(SUBSTITUTE(VLOOKUP($A55,'Quarterly Pipeline vs Target Pi'!$A:$V,17,false)," $","")," €",""), "")
)</f>
        <v>1054.05</v>
      </c>
      <c r="AG55" s="17">
        <f t="shared" si="11"/>
        <v>0.2703951425</v>
      </c>
      <c r="AH55" s="1">
        <f>value(IFERROR(SUBSTITUTE(SUBSTITUTE(VLOOKUP($A55,'Quarterly Pipeline vs Target Pi'!$A:$V,21,false)," $","")," €",""), "")
)</f>
        <v>446.86</v>
      </c>
      <c r="AI55" s="1">
        <f>value(IFERROR(SUBSTITUTE(SUBSTITUTE(VLOOKUP($A55,'Quarterly Pipeline vs Target Pi'!$A:$V,22,false)," $","")," €",""), "")
)</f>
        <v>1054.05</v>
      </c>
      <c r="AJ55" s="17">
        <f t="shared" si="12"/>
        <v>0.4239457331</v>
      </c>
      <c r="AK55" s="1">
        <f t="shared" ref="AK55:AL55" si="123">sum(Y55,AB55,AE55,AH55)</f>
        <v>757.06</v>
      </c>
      <c r="AL55" s="1">
        <f t="shared" si="123"/>
        <v>2810.8</v>
      </c>
      <c r="AM55" s="17">
        <f t="shared" si="14"/>
        <v>0.2693396898</v>
      </c>
      <c r="AN55" s="1">
        <f>value(IFERROR(SUBSTITUTE(SUBSTITUTE(VLOOKUP($A55,'Quarterly Pipeline vs Target Pi'!$A:$AP,26,false)," $","")," €",""), "")
)</f>
        <v>116.21</v>
      </c>
      <c r="AO55" s="1">
        <f>value(IFERROR(SUBSTITUTE(SUBSTITUTE(VLOOKUP($A55,'Quarterly Pipeline vs Target Pi'!$A:$AP,27,false)," $","")," €",""), "")
)</f>
        <v>0</v>
      </c>
      <c r="AP55" s="17" t="str">
        <f t="shared" si="15"/>
        <v/>
      </c>
      <c r="AQ55" s="1">
        <f>value(IFERROR(SUBSTITUTE(SUBSTITUTE(VLOOKUP($A55,'Quarterly Pipeline vs Target Pi'!$A:$AP,31,false)," $","")," €",""), "")
)</f>
        <v>74.66</v>
      </c>
      <c r="AR55" s="1">
        <f>value(IFERROR(SUBSTITUTE(SUBSTITUTE(VLOOKUP($A55,'Quarterly Pipeline vs Target Pi'!$A:$AP,32,false)," $","")," €",""), "")
)</f>
        <v>0</v>
      </c>
      <c r="AS55" s="17" t="str">
        <f t="shared" si="16"/>
        <v/>
      </c>
      <c r="AT55" s="1">
        <f>value(IFERROR(SUBSTITUTE(SUBSTITUTE(VLOOKUP($A55,'Quarterly Pipeline vs Target Pi'!$A:$AP,36,false)," $","")," €",""), "")
)</f>
        <v>18.34</v>
      </c>
      <c r="AU55" s="1">
        <f>value(IFERROR(SUBSTITUTE(SUBSTITUTE(VLOOKUP($A55,'Quarterly Pipeline vs Target Pi'!$A:$AP,37,false)," $","")," €",""), "")
)</f>
        <v>0</v>
      </c>
      <c r="AV55" s="17" t="str">
        <f t="shared" si="17"/>
        <v/>
      </c>
      <c r="AW55" s="1">
        <f>value(IFERROR(SUBSTITUTE(SUBSTITUTE(VLOOKUP($A55,'Quarterly Pipeline vs Target Pi'!$A:$AP,41,false)," $","")," €",""), "")
)</f>
        <v>3.05</v>
      </c>
      <c r="AX55" s="1">
        <f>value(IFERROR(SUBSTITUTE(SUBSTITUTE(VLOOKUP($A55,'Quarterly Pipeline vs Target Pi'!$A:$AP,42,false)," $","")," €",""), "")
)</f>
        <v>0</v>
      </c>
      <c r="AY55" s="17" t="str">
        <f t="shared" si="18"/>
        <v/>
      </c>
      <c r="AZ55" s="1">
        <f t="shared" ref="AZ55:BA55" si="124">sum(AN55,AQ55,AT55,AW55)</f>
        <v>212.26</v>
      </c>
      <c r="BA55" s="1">
        <f t="shared" si="124"/>
        <v>0</v>
      </c>
      <c r="BB55" s="17" t="str">
        <f t="shared" si="20"/>
        <v/>
      </c>
    </row>
    <row r="56">
      <c r="A56" s="1" t="str">
        <f>IFERROR(__xludf.DUMMYFUNCTION("""COMPUTED_VALUE"""),"63ea6e9552ad6968805cede3")</f>
        <v>63ea6e9552ad6968805cede3</v>
      </c>
      <c r="B56" s="1" t="str">
        <f>IFERROR(__xludf.DUMMYFUNCTION("""COMPUTED_VALUE"""),"Blickle Leitstellen &amp; Kommunikation")</f>
        <v>Blickle Leitstellen &amp; Kommunikation</v>
      </c>
      <c r="C56" s="1" t="str">
        <f>IFERROR(__xludf.DUMMYFUNCTION("""COMPUTED_VALUE"""),"andreas.grossheimann@al-enterprise.com, andre.ramm@al-enterprise.com")</f>
        <v>andreas.grossheimann@al-enterprise.com, andre.ramm@al-enterprise.com</v>
      </c>
      <c r="D56" s="1" t="str">
        <f>IFERROR(__xludf.DUMMYFUNCTION("""COMPUTED_VALUE"""),"germany")</f>
        <v>germany</v>
      </c>
      <c r="E56" s="1" t="str">
        <f>IFERROR(__xludf.DUMMYFUNCTION("""COMPUTED_VALUE"""),"DE")</f>
        <v>DE</v>
      </c>
      <c r="F56" s="1"/>
      <c r="G56" s="1" t="str">
        <f>iferror(VLOOKUP(A56,'Business Plan Setup and Accepta'!A:G,6,false),"")</f>
        <v/>
      </c>
      <c r="H56" s="1" t="str">
        <f>iferror(VLOOKUP(A56,'Business Plan Setup and Accepta'!A:G,7,false),"")</f>
        <v/>
      </c>
      <c r="I56" s="17" t="str">
        <f t="shared" si="3"/>
        <v/>
      </c>
      <c r="J56" s="1" t="str">
        <f>IFERROR(VALUE(SUBSTITUTE(VLOOKUP(A56,'Sales IN Revenues vs Sales targ'!A:G,6,false)," $","")), "")
</f>
        <v/>
      </c>
      <c r="K56" s="1" t="str">
        <f>IFERROR(VALUE(SUBSTITUTE(VLOOKUP(A56,'Sales IN Revenues vs Sales targ'!A:G,7,false)," $","")), "")
</f>
        <v/>
      </c>
      <c r="L56" s="17" t="str">
        <f t="shared" si="4"/>
        <v/>
      </c>
      <c r="M56" s="1">
        <f>value(SUBSTITUTE(IFERROR(VLOOKUP(A56,'Certifications achievements vs '!A:G,6,false),""),"#","")
)</f>
        <v>0</v>
      </c>
      <c r="N56" s="1">
        <f>value(SUBSTITUTE(IFERROR(VLOOKUP(A56,'Certifications achievements vs '!A:G,7,false),""),"#","")
)</f>
        <v>0</v>
      </c>
      <c r="O56" s="17" t="str">
        <f t="shared" si="5"/>
        <v/>
      </c>
      <c r="P56" s="1">
        <f>value(SUBSTITUTE(IFERROR(VLOOKUP(A56,'Communications - Solution Speci'!A:G,6,false),""),"#","")
)</f>
        <v>0</v>
      </c>
      <c r="Q56" s="1">
        <f>value(SUBSTITUTE(IFERROR(VLOOKUP(A56,'Communications - Solution Speci'!A:G,7,false),""),"#","")
)</f>
        <v>0</v>
      </c>
      <c r="R56" s="17" t="str">
        <f t="shared" si="6"/>
        <v/>
      </c>
      <c r="S56" s="1">
        <f>value(SUBSTITUTE(IFERROR(VLOOKUP(A56,'Networking - Solution Specializ'!A:G,6,false),""),"#","")
)</f>
        <v>0</v>
      </c>
      <c r="T56" s="1">
        <f>value(SUBSTITUTE(IFERROR(VLOOKUP(A56,'Networking - Solution Specializ'!A:G,7,false),""),"#","")
)</f>
        <v>0</v>
      </c>
      <c r="U56" s="17" t="str">
        <f t="shared" si="7"/>
        <v/>
      </c>
      <c r="V56" s="1" t="str">
        <f>iferror(vlookup(A56,'Marketing Plan (extract summary'!A:G,6,false),"")</f>
        <v/>
      </c>
      <c r="W56" s="1" t="str">
        <f>iferror(vlookup(A56,'Marketing Plan (extract summary'!A:G,7,false),"")</f>
        <v/>
      </c>
      <c r="X56" s="17" t="str">
        <f t="shared" si="8"/>
        <v/>
      </c>
      <c r="Y56" s="1">
        <f>value(IFERROR(SUBSTITUTE(SUBSTITUTE(VLOOKUP(A56,'Quarterly Pipeline vs Target Pi'!A:G,6,false)," $","")," €",""), "")
)</f>
        <v>0</v>
      </c>
      <c r="Z56" s="1">
        <f>value(IFERROR(SUBSTITUTE(SUBSTITUTE(VLOOKUP(A56,'Quarterly Pipeline vs Target Pi'!A:G,7,false)," $","")," €",""), "")
)</f>
        <v>0</v>
      </c>
      <c r="AA56" s="17" t="str">
        <f t="shared" si="9"/>
        <v/>
      </c>
      <c r="AB56" s="1">
        <f>value(IFERROR(SUBSTITUTE(SUBSTITUTE(VLOOKUP($A56,'Quarterly Pipeline vs Target Pi'!$A:$V,11,false)," $","")," €",""), "")
)</f>
        <v>0</v>
      </c>
      <c r="AC56" s="1">
        <f>value(IFERROR(SUBSTITUTE(SUBSTITUTE(VLOOKUP($A56,'Quarterly Pipeline vs Target Pi'!$A:$V,12,false)," $","")," €",""), "")
)</f>
        <v>0</v>
      </c>
      <c r="AD56" s="17" t="str">
        <f t="shared" si="10"/>
        <v/>
      </c>
      <c r="AE56" s="1">
        <f>value(IFERROR(SUBSTITUTE(SUBSTITUTE(VLOOKUP($A56,'Quarterly Pipeline vs Target Pi'!$A:$V,16,false)," $","")," €",""), "")
)</f>
        <v>0</v>
      </c>
      <c r="AF56" s="1">
        <f>value(IFERROR(SUBSTITUTE(SUBSTITUTE(VLOOKUP($A56,'Quarterly Pipeline vs Target Pi'!$A:$V,17,false)," $","")," €",""), "")
)</f>
        <v>0</v>
      </c>
      <c r="AG56" s="17" t="str">
        <f t="shared" si="11"/>
        <v/>
      </c>
      <c r="AH56" s="1">
        <f>value(IFERROR(SUBSTITUTE(SUBSTITUTE(VLOOKUP($A56,'Quarterly Pipeline vs Target Pi'!$A:$V,21,false)," $","")," €",""), "")
)</f>
        <v>0</v>
      </c>
      <c r="AI56" s="1">
        <f>value(IFERROR(SUBSTITUTE(SUBSTITUTE(VLOOKUP($A56,'Quarterly Pipeline vs Target Pi'!$A:$V,22,false)," $","")," €",""), "")
)</f>
        <v>0</v>
      </c>
      <c r="AJ56" s="17" t="str">
        <f t="shared" si="12"/>
        <v/>
      </c>
      <c r="AK56" s="1">
        <f t="shared" ref="AK56:AL56" si="125">sum(Y56,AB56,AE56,AH56)</f>
        <v>0</v>
      </c>
      <c r="AL56" s="1">
        <f t="shared" si="125"/>
        <v>0</v>
      </c>
      <c r="AM56" s="17" t="str">
        <f t="shared" si="14"/>
        <v/>
      </c>
      <c r="AN56" s="1">
        <f>value(IFERROR(SUBSTITUTE(SUBSTITUTE(VLOOKUP($A56,'Quarterly Pipeline vs Target Pi'!$A:$AP,26,false)," $","")," €",""), "")
)</f>
        <v>0</v>
      </c>
      <c r="AO56" s="1">
        <f>value(IFERROR(SUBSTITUTE(SUBSTITUTE(VLOOKUP($A56,'Quarterly Pipeline vs Target Pi'!$A:$AP,27,false)," $","")," €",""), "")
)</f>
        <v>0</v>
      </c>
      <c r="AP56" s="17" t="str">
        <f t="shared" si="15"/>
        <v/>
      </c>
      <c r="AQ56" s="1">
        <f>value(IFERROR(SUBSTITUTE(SUBSTITUTE(VLOOKUP($A56,'Quarterly Pipeline vs Target Pi'!$A:$AP,31,false)," $","")," €",""), "")
)</f>
        <v>0</v>
      </c>
      <c r="AR56" s="1">
        <f>value(IFERROR(SUBSTITUTE(SUBSTITUTE(VLOOKUP($A56,'Quarterly Pipeline vs Target Pi'!$A:$AP,32,false)," $","")," €",""), "")
)</f>
        <v>0</v>
      </c>
      <c r="AS56" s="17" t="str">
        <f t="shared" si="16"/>
        <v/>
      </c>
      <c r="AT56" s="1">
        <f>value(IFERROR(SUBSTITUTE(SUBSTITUTE(VLOOKUP($A56,'Quarterly Pipeline vs Target Pi'!$A:$AP,36,false)," $","")," €",""), "")
)</f>
        <v>0</v>
      </c>
      <c r="AU56" s="1">
        <f>value(IFERROR(SUBSTITUTE(SUBSTITUTE(VLOOKUP($A56,'Quarterly Pipeline vs Target Pi'!$A:$AP,37,false)," $","")," €",""), "")
)</f>
        <v>0</v>
      </c>
      <c r="AV56" s="17" t="str">
        <f t="shared" si="17"/>
        <v/>
      </c>
      <c r="AW56" s="1">
        <f>value(IFERROR(SUBSTITUTE(SUBSTITUTE(VLOOKUP($A56,'Quarterly Pipeline vs Target Pi'!$A:$AP,41,false)," $","")," €",""), "")
)</f>
        <v>0</v>
      </c>
      <c r="AX56" s="1">
        <f>value(IFERROR(SUBSTITUTE(SUBSTITUTE(VLOOKUP($A56,'Quarterly Pipeline vs Target Pi'!$A:$AP,42,false)," $","")," €",""), "")
)</f>
        <v>0</v>
      </c>
      <c r="AY56" s="17" t="str">
        <f t="shared" si="18"/>
        <v/>
      </c>
      <c r="AZ56" s="1">
        <f t="shared" ref="AZ56:BA56" si="126">sum(AN56,AQ56,AT56,AW56)</f>
        <v>0</v>
      </c>
      <c r="BA56" s="1">
        <f t="shared" si="126"/>
        <v>0</v>
      </c>
      <c r="BB56" s="17" t="str">
        <f t="shared" si="20"/>
        <v/>
      </c>
    </row>
    <row r="57">
      <c r="A57" s="1" t="str">
        <f>IFERROR(__xludf.DUMMYFUNCTION("""COMPUTED_VALUE"""),"67a5db6dfa14f2068a0eaf22")</f>
        <v>67a5db6dfa14f2068a0eaf22</v>
      </c>
      <c r="B57" s="1" t="str">
        <f>IFERROR(__xludf.DUMMYFUNCTION("""COMPUTED_VALUE"""),"Blue Spruce Technologies")</f>
        <v>Blue Spruce Technologies</v>
      </c>
      <c r="C57" s="1" t="str">
        <f>IFERROR(__xludf.DUMMYFUNCTION("""COMPUTED_VALUE"""),"brendan.flaherty@al-enterprise.com, michael-j.francis@al-enterprise.com")</f>
        <v>brendan.flaherty@al-enterprise.com, michael-j.francis@al-enterprise.com</v>
      </c>
      <c r="D57" s="1" t="str">
        <f>IFERROR(__xludf.DUMMYFUNCTION("""COMPUTED_VALUE"""),"americas")</f>
        <v>americas</v>
      </c>
      <c r="E57" s="1" t="str">
        <f>IFERROR(__xludf.DUMMYFUNCTION("""COMPUTED_VALUE"""),"US")</f>
        <v>US</v>
      </c>
      <c r="F57" s="1" t="str">
        <f>IFERROR(__xludf.DUMMYFUNCTION("""COMPUTED_VALUE"""),"expert_200")</f>
        <v>expert_200</v>
      </c>
      <c r="G57" s="1">
        <f>iferror(VLOOKUP(A57,'Business Plan Setup and Accepta'!A:G,6,false),"")</f>
        <v>1</v>
      </c>
      <c r="H57" s="1">
        <f>iferror(VLOOKUP(A57,'Business Plan Setup and Accepta'!A:G,7,false),"")</f>
        <v>1</v>
      </c>
      <c r="I57" s="17">
        <f t="shared" si="3"/>
        <v>1</v>
      </c>
      <c r="J57" s="1">
        <f>IFERROR(VALUE(SUBSTITUTE(VLOOKUP(A57,'Sales IN Revenues vs Sales targ'!A:G,6,false)," $","")), "")
</f>
        <v>6.13</v>
      </c>
      <c r="K57" s="1">
        <f>IFERROR(VALUE(SUBSTITUTE(VLOOKUP(A57,'Sales IN Revenues vs Sales targ'!A:G,7,false)," $","")), "")
</f>
        <v>550</v>
      </c>
      <c r="L57" s="17">
        <f t="shared" si="4"/>
        <v>0.01114545455</v>
      </c>
      <c r="M57" s="1">
        <f>value(SUBSTITUTE(IFERROR(VLOOKUP(A57,'Certifications achievements vs '!A:G,6,false),""),"#","")
)</f>
        <v>0</v>
      </c>
      <c r="N57" s="1">
        <f>value(SUBSTITUTE(IFERROR(VLOOKUP(A57,'Certifications achievements vs '!A:G,7,false),""),"#","")
)</f>
        <v>0</v>
      </c>
      <c r="O57" s="17" t="str">
        <f t="shared" si="5"/>
        <v/>
      </c>
      <c r="P57" s="1">
        <f>value(SUBSTITUTE(IFERROR(VLOOKUP(A57,'Communications - Solution Speci'!A:G,6,false),""),"#","")
)</f>
        <v>0</v>
      </c>
      <c r="Q57" s="1">
        <f>value(SUBSTITUTE(IFERROR(VLOOKUP(A57,'Communications - Solution Speci'!A:G,7,false),""),"#","")
)</f>
        <v>1</v>
      </c>
      <c r="R57" s="17">
        <f t="shared" si="6"/>
        <v>0</v>
      </c>
      <c r="S57" s="1">
        <f>value(SUBSTITUTE(IFERROR(VLOOKUP(A57,'Networking - Solution Specializ'!A:G,6,false),""),"#","")
)</f>
        <v>0</v>
      </c>
      <c r="T57" s="1">
        <f>value(SUBSTITUTE(IFERROR(VLOOKUP(A57,'Networking - Solution Specializ'!A:G,7,false),""),"#","")
)</f>
        <v>1</v>
      </c>
      <c r="U57" s="17">
        <f t="shared" si="7"/>
        <v>0</v>
      </c>
      <c r="V57" s="1">
        <f>iferror(vlookup(A57,'Marketing Plan (extract summary'!A:G,6,false),"")</f>
        <v>0</v>
      </c>
      <c r="W57" s="1">
        <f>iferror(vlookup(A57,'Marketing Plan (extract summary'!A:G,7,false),"")</f>
        <v>1</v>
      </c>
      <c r="X57" s="17">
        <f t="shared" si="8"/>
        <v>0</v>
      </c>
      <c r="Y57" s="1">
        <f>value(IFERROR(SUBSTITUTE(SUBSTITUTE(VLOOKUP(A57,'Quarterly Pipeline vs Target Pi'!A:G,6,false)," $","")," €",""), "")
)</f>
        <v>115</v>
      </c>
      <c r="Z57" s="1">
        <f>value(IFERROR(SUBSTITUTE(SUBSTITUTE(VLOOKUP(A57,'Quarterly Pipeline vs Target Pi'!A:G,7,false)," $","")," €",""), "")
)</f>
        <v>0</v>
      </c>
      <c r="AA57" s="17" t="str">
        <f t="shared" si="9"/>
        <v/>
      </c>
      <c r="AB57" s="1">
        <f>value(IFERROR(SUBSTITUTE(SUBSTITUTE(VLOOKUP($A57,'Quarterly Pipeline vs Target Pi'!$A:$V,11,false)," $","")," €",""), "")
)</f>
        <v>66</v>
      </c>
      <c r="AC57" s="1">
        <f>value(IFERROR(SUBSTITUTE(SUBSTITUTE(VLOOKUP($A57,'Quarterly Pipeline vs Target Pi'!$A:$V,12,false)," $","")," €",""), "")
)</f>
        <v>533.33</v>
      </c>
      <c r="AD57" s="17">
        <f t="shared" si="10"/>
        <v>0.1237507734</v>
      </c>
      <c r="AE57" s="1">
        <f>value(IFERROR(SUBSTITUTE(SUBSTITUTE(VLOOKUP($A57,'Quarterly Pipeline vs Target Pi'!$A:$V,16,false)," $","")," €",""), "")
)</f>
        <v>367.93</v>
      </c>
      <c r="AF57" s="1">
        <f>value(IFERROR(SUBSTITUTE(SUBSTITUTE(VLOOKUP($A57,'Quarterly Pipeline vs Target Pi'!$A:$V,17,false)," $","")," €",""), "")
)</f>
        <v>633.33</v>
      </c>
      <c r="AG57" s="17">
        <f t="shared" si="11"/>
        <v>0.5809451629</v>
      </c>
      <c r="AH57" s="1">
        <f>value(IFERROR(SUBSTITUTE(SUBSTITUTE(VLOOKUP($A57,'Quarterly Pipeline vs Target Pi'!$A:$V,21,false)," $","")," €",""), "")
)</f>
        <v>115</v>
      </c>
      <c r="AI57" s="1">
        <f>value(IFERROR(SUBSTITUTE(SUBSTITUTE(VLOOKUP($A57,'Quarterly Pipeline vs Target Pi'!$A:$V,22,false)," $","")," €",""), "")
)</f>
        <v>499.98</v>
      </c>
      <c r="AJ57" s="17">
        <f t="shared" si="12"/>
        <v>0.2300092004</v>
      </c>
      <c r="AK57" s="1">
        <f t="shared" ref="AK57:AL57" si="127">sum(Y57,AB57,AE57,AH57)</f>
        <v>663.93</v>
      </c>
      <c r="AL57" s="1">
        <f t="shared" si="127"/>
        <v>1666.64</v>
      </c>
      <c r="AM57" s="17">
        <f t="shared" si="14"/>
        <v>0.3983643738</v>
      </c>
      <c r="AN57" s="1">
        <f>value(IFERROR(SUBSTITUTE(SUBSTITUTE(VLOOKUP($A57,'Quarterly Pipeline vs Target Pi'!$A:$AP,26,false)," $","")," €",""), "")
)</f>
        <v>0</v>
      </c>
      <c r="AO57" s="1">
        <f>value(IFERROR(SUBSTITUTE(SUBSTITUTE(VLOOKUP($A57,'Quarterly Pipeline vs Target Pi'!$A:$AP,27,false)," $","")," €",""), "")
)</f>
        <v>0</v>
      </c>
      <c r="AP57" s="17" t="str">
        <f t="shared" si="15"/>
        <v/>
      </c>
      <c r="AQ57" s="1">
        <f>value(IFERROR(SUBSTITUTE(SUBSTITUTE(VLOOKUP($A57,'Quarterly Pipeline vs Target Pi'!$A:$AP,31,false)," $","")," €",""), "")
)</f>
        <v>929</v>
      </c>
      <c r="AR57" s="1">
        <f>value(IFERROR(SUBSTITUTE(SUBSTITUTE(VLOOKUP($A57,'Quarterly Pipeline vs Target Pi'!$A:$AP,32,false)," $","")," €",""), "")
)</f>
        <v>0</v>
      </c>
      <c r="AS57" s="17" t="str">
        <f t="shared" si="16"/>
        <v/>
      </c>
      <c r="AT57" s="1">
        <f>value(IFERROR(SUBSTITUTE(SUBSTITUTE(VLOOKUP($A57,'Quarterly Pipeline vs Target Pi'!$A:$AP,36,false)," $","")," €",""), "")
)</f>
        <v>13.55</v>
      </c>
      <c r="AU57" s="1">
        <f>value(IFERROR(SUBSTITUTE(SUBSTITUTE(VLOOKUP($A57,'Quarterly Pipeline vs Target Pi'!$A:$AP,37,false)," $","")," €",""), "")
)</f>
        <v>0</v>
      </c>
      <c r="AV57" s="17" t="str">
        <f t="shared" si="17"/>
        <v/>
      </c>
      <c r="AW57" s="1">
        <f>value(IFERROR(SUBSTITUTE(SUBSTITUTE(VLOOKUP($A57,'Quarterly Pipeline vs Target Pi'!$A:$AP,41,false)," $","")," €",""), "")
)</f>
        <v>40</v>
      </c>
      <c r="AX57" s="1">
        <f>value(IFERROR(SUBSTITUTE(SUBSTITUTE(VLOOKUP($A57,'Quarterly Pipeline vs Target Pi'!$A:$AP,42,false)," $","")," €",""), "")
)</f>
        <v>0</v>
      </c>
      <c r="AY57" s="17" t="str">
        <f t="shared" si="18"/>
        <v/>
      </c>
      <c r="AZ57" s="1">
        <f t="shared" ref="AZ57:BA57" si="128">sum(AN57,AQ57,AT57,AW57)</f>
        <v>982.55</v>
      </c>
      <c r="BA57" s="1">
        <f t="shared" si="128"/>
        <v>0</v>
      </c>
      <c r="BB57" s="17" t="str">
        <f t="shared" si="20"/>
        <v/>
      </c>
    </row>
    <row r="58">
      <c r="A58" s="1" t="str">
        <f>IFERROR(__xludf.DUMMYFUNCTION("""COMPUTED_VALUE"""),"63ea6e9752ad6968805cf083")</f>
        <v>63ea6e9752ad6968805cf083</v>
      </c>
      <c r="B58" s="1" t="str">
        <f>IFERROR(__xludf.DUMMYFUNCTION("""COMPUTED_VALUE"""),"Bormuth-Stumpf Elektrotechnik GmbH")</f>
        <v>Bormuth-Stumpf Elektrotechnik GmbH</v>
      </c>
      <c r="C58" s="1" t="str">
        <f>IFERROR(__xludf.DUMMYFUNCTION("""COMPUTED_VALUE"""),"andreas.grossheimann@al-enterprise.com, andre.ramm@al-enterprise.com")</f>
        <v>andreas.grossheimann@al-enterprise.com, andre.ramm@al-enterprise.com</v>
      </c>
      <c r="D58" s="1" t="str">
        <f>IFERROR(__xludf.DUMMYFUNCTION("""COMPUTED_VALUE"""),"germany")</f>
        <v>germany</v>
      </c>
      <c r="E58" s="1" t="str">
        <f>IFERROR(__xludf.DUMMYFUNCTION("""COMPUTED_VALUE"""),"DE")</f>
        <v>DE</v>
      </c>
      <c r="F58" s="1"/>
      <c r="G58" s="1" t="str">
        <f>iferror(VLOOKUP(A58,'Business Plan Setup and Accepta'!A:G,6,false),"")</f>
        <v/>
      </c>
      <c r="H58" s="1" t="str">
        <f>iferror(VLOOKUP(A58,'Business Plan Setup and Accepta'!A:G,7,false),"")</f>
        <v/>
      </c>
      <c r="I58" s="17" t="str">
        <f t="shared" si="3"/>
        <v/>
      </c>
      <c r="J58" s="1" t="str">
        <f>IFERROR(VALUE(SUBSTITUTE(VLOOKUP(A58,'Sales IN Revenues vs Sales targ'!A:G,6,false)," $","")), "")
</f>
        <v/>
      </c>
      <c r="K58" s="1" t="str">
        <f>IFERROR(VALUE(SUBSTITUTE(VLOOKUP(A58,'Sales IN Revenues vs Sales targ'!A:G,7,false)," $","")), "")
</f>
        <v/>
      </c>
      <c r="L58" s="17" t="str">
        <f t="shared" si="4"/>
        <v/>
      </c>
      <c r="M58" s="1">
        <f>value(SUBSTITUTE(IFERROR(VLOOKUP(A58,'Certifications achievements vs '!A:G,6,false),""),"#","")
)</f>
        <v>0</v>
      </c>
      <c r="N58" s="1">
        <f>value(SUBSTITUTE(IFERROR(VLOOKUP(A58,'Certifications achievements vs '!A:G,7,false),""),"#","")
)</f>
        <v>0</v>
      </c>
      <c r="O58" s="17" t="str">
        <f t="shared" si="5"/>
        <v/>
      </c>
      <c r="P58" s="1">
        <f>value(SUBSTITUTE(IFERROR(VLOOKUP(A58,'Communications - Solution Speci'!A:G,6,false),""),"#","")
)</f>
        <v>0</v>
      </c>
      <c r="Q58" s="1">
        <f>value(SUBSTITUTE(IFERROR(VLOOKUP(A58,'Communications - Solution Speci'!A:G,7,false),""),"#","")
)</f>
        <v>0</v>
      </c>
      <c r="R58" s="17" t="str">
        <f t="shared" si="6"/>
        <v/>
      </c>
      <c r="S58" s="1">
        <f>value(SUBSTITUTE(IFERROR(VLOOKUP(A58,'Networking - Solution Specializ'!A:G,6,false),""),"#","")
)</f>
        <v>0</v>
      </c>
      <c r="T58" s="1">
        <f>value(SUBSTITUTE(IFERROR(VLOOKUP(A58,'Networking - Solution Specializ'!A:G,7,false),""),"#","")
)</f>
        <v>0</v>
      </c>
      <c r="U58" s="17" t="str">
        <f t="shared" si="7"/>
        <v/>
      </c>
      <c r="V58" s="1" t="str">
        <f>iferror(vlookup(A58,'Marketing Plan (extract summary'!A:G,6,false),"")</f>
        <v/>
      </c>
      <c r="W58" s="1" t="str">
        <f>iferror(vlookup(A58,'Marketing Plan (extract summary'!A:G,7,false),"")</f>
        <v/>
      </c>
      <c r="X58" s="17" t="str">
        <f t="shared" si="8"/>
        <v/>
      </c>
      <c r="Y58" s="1">
        <f>value(IFERROR(SUBSTITUTE(SUBSTITUTE(VLOOKUP(A58,'Quarterly Pipeline vs Target Pi'!A:G,6,false)," $","")," €",""), "")
)</f>
        <v>0</v>
      </c>
      <c r="Z58" s="1">
        <f>value(IFERROR(SUBSTITUTE(SUBSTITUTE(VLOOKUP(A58,'Quarterly Pipeline vs Target Pi'!A:G,7,false)," $","")," €",""), "")
)</f>
        <v>0</v>
      </c>
      <c r="AA58" s="17" t="str">
        <f t="shared" si="9"/>
        <v/>
      </c>
      <c r="AB58" s="1">
        <f>value(IFERROR(SUBSTITUTE(SUBSTITUTE(VLOOKUP($A58,'Quarterly Pipeline vs Target Pi'!$A:$V,11,false)," $","")," €",""), "")
)</f>
        <v>0</v>
      </c>
      <c r="AC58" s="1">
        <f>value(IFERROR(SUBSTITUTE(SUBSTITUTE(VLOOKUP($A58,'Quarterly Pipeline vs Target Pi'!$A:$V,12,false)," $","")," €",""), "")
)</f>
        <v>0</v>
      </c>
      <c r="AD58" s="17" t="str">
        <f t="shared" si="10"/>
        <v/>
      </c>
      <c r="AE58" s="1">
        <f>value(IFERROR(SUBSTITUTE(SUBSTITUTE(VLOOKUP($A58,'Quarterly Pipeline vs Target Pi'!$A:$V,16,false)," $","")," €",""), "")
)</f>
        <v>0</v>
      </c>
      <c r="AF58" s="1">
        <f>value(IFERROR(SUBSTITUTE(SUBSTITUTE(VLOOKUP($A58,'Quarterly Pipeline vs Target Pi'!$A:$V,17,false)," $","")," €",""), "")
)</f>
        <v>0</v>
      </c>
      <c r="AG58" s="17" t="str">
        <f t="shared" si="11"/>
        <v/>
      </c>
      <c r="AH58" s="1">
        <f>value(IFERROR(SUBSTITUTE(SUBSTITUTE(VLOOKUP($A58,'Quarterly Pipeline vs Target Pi'!$A:$V,21,false)," $","")," €",""), "")
)</f>
        <v>0</v>
      </c>
      <c r="AI58" s="1">
        <f>value(IFERROR(SUBSTITUTE(SUBSTITUTE(VLOOKUP($A58,'Quarterly Pipeline vs Target Pi'!$A:$V,22,false)," $","")," €",""), "")
)</f>
        <v>0</v>
      </c>
      <c r="AJ58" s="17" t="str">
        <f t="shared" si="12"/>
        <v/>
      </c>
      <c r="AK58" s="1">
        <f t="shared" ref="AK58:AL58" si="129">sum(Y58,AB58,AE58,AH58)</f>
        <v>0</v>
      </c>
      <c r="AL58" s="1">
        <f t="shared" si="129"/>
        <v>0</v>
      </c>
      <c r="AM58" s="17" t="str">
        <f t="shared" si="14"/>
        <v/>
      </c>
      <c r="AN58" s="1">
        <f>value(IFERROR(SUBSTITUTE(SUBSTITUTE(VLOOKUP($A58,'Quarterly Pipeline vs Target Pi'!$A:$AP,26,false)," $","")," €",""), "")
)</f>
        <v>0</v>
      </c>
      <c r="AO58" s="1">
        <f>value(IFERROR(SUBSTITUTE(SUBSTITUTE(VLOOKUP($A58,'Quarterly Pipeline vs Target Pi'!$A:$AP,27,false)," $","")," €",""), "")
)</f>
        <v>0</v>
      </c>
      <c r="AP58" s="17" t="str">
        <f t="shared" si="15"/>
        <v/>
      </c>
      <c r="AQ58" s="1">
        <f>value(IFERROR(SUBSTITUTE(SUBSTITUTE(VLOOKUP($A58,'Quarterly Pipeline vs Target Pi'!$A:$AP,31,false)," $","")," €",""), "")
)</f>
        <v>0</v>
      </c>
      <c r="AR58" s="1">
        <f>value(IFERROR(SUBSTITUTE(SUBSTITUTE(VLOOKUP($A58,'Quarterly Pipeline vs Target Pi'!$A:$AP,32,false)," $","")," €",""), "")
)</f>
        <v>0</v>
      </c>
      <c r="AS58" s="17" t="str">
        <f t="shared" si="16"/>
        <v/>
      </c>
      <c r="AT58" s="1">
        <f>value(IFERROR(SUBSTITUTE(SUBSTITUTE(VLOOKUP($A58,'Quarterly Pipeline vs Target Pi'!$A:$AP,36,false)," $","")," €",""), "")
)</f>
        <v>0</v>
      </c>
      <c r="AU58" s="1">
        <f>value(IFERROR(SUBSTITUTE(SUBSTITUTE(VLOOKUP($A58,'Quarterly Pipeline vs Target Pi'!$A:$AP,37,false)," $","")," €",""), "")
)</f>
        <v>0</v>
      </c>
      <c r="AV58" s="17" t="str">
        <f t="shared" si="17"/>
        <v/>
      </c>
      <c r="AW58" s="1">
        <f>value(IFERROR(SUBSTITUTE(SUBSTITUTE(VLOOKUP($A58,'Quarterly Pipeline vs Target Pi'!$A:$AP,41,false)," $","")," €",""), "")
)</f>
        <v>0</v>
      </c>
      <c r="AX58" s="1">
        <f>value(IFERROR(SUBSTITUTE(SUBSTITUTE(VLOOKUP($A58,'Quarterly Pipeline vs Target Pi'!$A:$AP,42,false)," $","")," €",""), "")
)</f>
        <v>0</v>
      </c>
      <c r="AY58" s="17" t="str">
        <f t="shared" si="18"/>
        <v/>
      </c>
      <c r="AZ58" s="1">
        <f t="shared" ref="AZ58:BA58" si="130">sum(AN58,AQ58,AT58,AW58)</f>
        <v>0</v>
      </c>
      <c r="BA58" s="1">
        <f t="shared" si="130"/>
        <v>0</v>
      </c>
      <c r="BB58" s="17" t="str">
        <f t="shared" si="20"/>
        <v/>
      </c>
    </row>
    <row r="59">
      <c r="A59" s="1" t="str">
        <f>IFERROR(__xludf.DUMMYFUNCTION("""COMPUTED_VALUE"""),"63ced84dc5c820531c269824")</f>
        <v>63ced84dc5c820531c269824</v>
      </c>
      <c r="B59" s="1" t="str">
        <f>IFERROR(__xludf.DUMMYFUNCTION("""COMPUTED_VALUE"""),"Boston Systems &amp; Solutions, LLC")</f>
        <v>Boston Systems &amp; Solutions, LLC</v>
      </c>
      <c r="C59" s="1" t="str">
        <f>IFERROR(__xludf.DUMMYFUNCTION("""COMPUTED_VALUE"""),"brendan.flaherty@al-enterprise.com")</f>
        <v>brendan.flaherty@al-enterprise.com</v>
      </c>
      <c r="D59" s="1" t="str">
        <f>IFERROR(__xludf.DUMMYFUNCTION("""COMPUTED_VALUE"""),"americas")</f>
        <v>americas</v>
      </c>
      <c r="E59" s="1" t="str">
        <f>IFERROR(__xludf.DUMMYFUNCTION("""COMPUTED_VALUE"""),"US")</f>
        <v>US</v>
      </c>
      <c r="F59" s="1"/>
      <c r="G59" s="1" t="str">
        <f>iferror(VLOOKUP(A59,'Business Plan Setup and Accepta'!A:G,6,false),"")</f>
        <v/>
      </c>
      <c r="H59" s="1" t="str">
        <f>iferror(VLOOKUP(A59,'Business Plan Setup and Accepta'!A:G,7,false),"")</f>
        <v/>
      </c>
      <c r="I59" s="17" t="str">
        <f t="shared" si="3"/>
        <v/>
      </c>
      <c r="J59" s="1" t="str">
        <f>IFERROR(VALUE(SUBSTITUTE(VLOOKUP(A59,'Sales IN Revenues vs Sales targ'!A:G,6,false)," $","")), "")
</f>
        <v/>
      </c>
      <c r="K59" s="1" t="str">
        <f>IFERROR(VALUE(SUBSTITUTE(VLOOKUP(A59,'Sales IN Revenues vs Sales targ'!A:G,7,false)," $","")), "")
</f>
        <v/>
      </c>
      <c r="L59" s="17" t="str">
        <f t="shared" si="4"/>
        <v/>
      </c>
      <c r="M59" s="1">
        <f>value(SUBSTITUTE(IFERROR(VLOOKUP(A59,'Certifications achievements vs '!A:G,6,false),""),"#","")
)</f>
        <v>0</v>
      </c>
      <c r="N59" s="1">
        <f>value(SUBSTITUTE(IFERROR(VLOOKUP(A59,'Certifications achievements vs '!A:G,7,false),""),"#","")
)</f>
        <v>0</v>
      </c>
      <c r="O59" s="17" t="str">
        <f t="shared" si="5"/>
        <v/>
      </c>
      <c r="P59" s="1">
        <f>value(SUBSTITUTE(IFERROR(VLOOKUP(A59,'Communications - Solution Speci'!A:G,6,false),""),"#","")
)</f>
        <v>0</v>
      </c>
      <c r="Q59" s="1">
        <f>value(SUBSTITUTE(IFERROR(VLOOKUP(A59,'Communications - Solution Speci'!A:G,7,false),""),"#","")
)</f>
        <v>0</v>
      </c>
      <c r="R59" s="17" t="str">
        <f t="shared" si="6"/>
        <v/>
      </c>
      <c r="S59" s="1">
        <f>value(SUBSTITUTE(IFERROR(VLOOKUP(A59,'Networking - Solution Specializ'!A:G,6,false),""),"#","")
)</f>
        <v>0</v>
      </c>
      <c r="T59" s="1">
        <f>value(SUBSTITUTE(IFERROR(VLOOKUP(A59,'Networking - Solution Specializ'!A:G,7,false),""),"#","")
)</f>
        <v>0</v>
      </c>
      <c r="U59" s="17" t="str">
        <f t="shared" si="7"/>
        <v/>
      </c>
      <c r="V59" s="1" t="str">
        <f>iferror(vlookup(A59,'Marketing Plan (extract summary'!A:G,6,false),"")</f>
        <v/>
      </c>
      <c r="W59" s="1" t="str">
        <f>iferror(vlookup(A59,'Marketing Plan (extract summary'!A:G,7,false),"")</f>
        <v/>
      </c>
      <c r="X59" s="17" t="str">
        <f t="shared" si="8"/>
        <v/>
      </c>
      <c r="Y59" s="1">
        <f>value(IFERROR(SUBSTITUTE(SUBSTITUTE(VLOOKUP(A59,'Quarterly Pipeline vs Target Pi'!A:G,6,false)," $","")," €",""), "")
)</f>
        <v>0</v>
      </c>
      <c r="Z59" s="1">
        <f>value(IFERROR(SUBSTITUTE(SUBSTITUTE(VLOOKUP(A59,'Quarterly Pipeline vs Target Pi'!A:G,7,false)," $","")," €",""), "")
)</f>
        <v>0</v>
      </c>
      <c r="AA59" s="17" t="str">
        <f t="shared" si="9"/>
        <v/>
      </c>
      <c r="AB59" s="1">
        <f>value(IFERROR(SUBSTITUTE(SUBSTITUTE(VLOOKUP($A59,'Quarterly Pipeline vs Target Pi'!$A:$V,11,false)," $","")," €",""), "")
)</f>
        <v>0</v>
      </c>
      <c r="AC59" s="1">
        <f>value(IFERROR(SUBSTITUTE(SUBSTITUTE(VLOOKUP($A59,'Quarterly Pipeline vs Target Pi'!$A:$V,12,false)," $","")," €",""), "")
)</f>
        <v>0</v>
      </c>
      <c r="AD59" s="17" t="str">
        <f t="shared" si="10"/>
        <v/>
      </c>
      <c r="AE59" s="1">
        <f>value(IFERROR(SUBSTITUTE(SUBSTITUTE(VLOOKUP($A59,'Quarterly Pipeline vs Target Pi'!$A:$V,16,false)," $","")," €",""), "")
)</f>
        <v>0</v>
      </c>
      <c r="AF59" s="1">
        <f>value(IFERROR(SUBSTITUTE(SUBSTITUTE(VLOOKUP($A59,'Quarterly Pipeline vs Target Pi'!$A:$V,17,false)," $","")," €",""), "")
)</f>
        <v>0</v>
      </c>
      <c r="AG59" s="17" t="str">
        <f t="shared" si="11"/>
        <v/>
      </c>
      <c r="AH59" s="1">
        <f>value(IFERROR(SUBSTITUTE(SUBSTITUTE(VLOOKUP($A59,'Quarterly Pipeline vs Target Pi'!$A:$V,21,false)," $","")," €",""), "")
)</f>
        <v>0</v>
      </c>
      <c r="AI59" s="1">
        <f>value(IFERROR(SUBSTITUTE(SUBSTITUTE(VLOOKUP($A59,'Quarterly Pipeline vs Target Pi'!$A:$V,22,false)," $","")," €",""), "")
)</f>
        <v>0</v>
      </c>
      <c r="AJ59" s="17" t="str">
        <f t="shared" si="12"/>
        <v/>
      </c>
      <c r="AK59" s="1">
        <f t="shared" ref="AK59:AL59" si="131">sum(Y59,AB59,AE59,AH59)</f>
        <v>0</v>
      </c>
      <c r="AL59" s="1">
        <f t="shared" si="131"/>
        <v>0</v>
      </c>
      <c r="AM59" s="17" t="str">
        <f t="shared" si="14"/>
        <v/>
      </c>
      <c r="AN59" s="1">
        <f>value(IFERROR(SUBSTITUTE(SUBSTITUTE(VLOOKUP($A59,'Quarterly Pipeline vs Target Pi'!$A:$AP,26,false)," $","")," €",""), "")
)</f>
        <v>0</v>
      </c>
      <c r="AO59" s="1">
        <f>value(IFERROR(SUBSTITUTE(SUBSTITUTE(VLOOKUP($A59,'Quarterly Pipeline vs Target Pi'!$A:$AP,27,false)," $","")," €",""), "")
)</f>
        <v>0</v>
      </c>
      <c r="AP59" s="17" t="str">
        <f t="shared" si="15"/>
        <v/>
      </c>
      <c r="AQ59" s="1">
        <f>value(IFERROR(SUBSTITUTE(SUBSTITUTE(VLOOKUP($A59,'Quarterly Pipeline vs Target Pi'!$A:$AP,31,false)," $","")," €",""), "")
)</f>
        <v>0</v>
      </c>
      <c r="AR59" s="1">
        <f>value(IFERROR(SUBSTITUTE(SUBSTITUTE(VLOOKUP($A59,'Quarterly Pipeline vs Target Pi'!$A:$AP,32,false)," $","")," €",""), "")
)</f>
        <v>0</v>
      </c>
      <c r="AS59" s="17" t="str">
        <f t="shared" si="16"/>
        <v/>
      </c>
      <c r="AT59" s="1">
        <f>value(IFERROR(SUBSTITUTE(SUBSTITUTE(VLOOKUP($A59,'Quarterly Pipeline vs Target Pi'!$A:$AP,36,false)," $","")," €",""), "")
)</f>
        <v>0</v>
      </c>
      <c r="AU59" s="1">
        <f>value(IFERROR(SUBSTITUTE(SUBSTITUTE(VLOOKUP($A59,'Quarterly Pipeline vs Target Pi'!$A:$AP,37,false)," $","")," €",""), "")
)</f>
        <v>0</v>
      </c>
      <c r="AV59" s="17" t="str">
        <f t="shared" si="17"/>
        <v/>
      </c>
      <c r="AW59" s="1">
        <f>value(IFERROR(SUBSTITUTE(SUBSTITUTE(VLOOKUP($A59,'Quarterly Pipeline vs Target Pi'!$A:$AP,41,false)," $","")," €",""), "")
)</f>
        <v>0</v>
      </c>
      <c r="AX59" s="1">
        <f>value(IFERROR(SUBSTITUTE(SUBSTITUTE(VLOOKUP($A59,'Quarterly Pipeline vs Target Pi'!$A:$AP,42,false)," $","")," €",""), "")
)</f>
        <v>0</v>
      </c>
      <c r="AY59" s="17" t="str">
        <f t="shared" si="18"/>
        <v/>
      </c>
      <c r="AZ59" s="1">
        <f t="shared" ref="AZ59:BA59" si="132">sum(AN59,AQ59,AT59,AW59)</f>
        <v>0</v>
      </c>
      <c r="BA59" s="1">
        <f t="shared" si="132"/>
        <v>0</v>
      </c>
      <c r="BB59" s="17" t="str">
        <f t="shared" si="20"/>
        <v/>
      </c>
    </row>
    <row r="60">
      <c r="A60" s="1" t="str">
        <f>IFERROR(__xludf.DUMMYFUNCTION("""COMPUTED_VALUE"""),"63fcbb87a107c871cf565739")</f>
        <v>63fcbb87a107c871cf565739</v>
      </c>
      <c r="B60" s="1" t="str">
        <f>IFERROR(__xludf.DUMMYFUNCTION("""COMPUTED_VALUE"""),"Bowhead Manufacturing Technologies")</f>
        <v>Bowhead Manufacturing Technologies</v>
      </c>
      <c r="C60" s="1" t="str">
        <f>IFERROR(__xludf.DUMMYFUNCTION("""COMPUTED_VALUE"""),"skleinpe@al-enterprise.com")</f>
        <v>skleinpe@al-enterprise.com</v>
      </c>
      <c r="D60" s="1" t="str">
        <f>IFERROR(__xludf.DUMMYFUNCTION("""COMPUTED_VALUE"""),"americas")</f>
        <v>americas</v>
      </c>
      <c r="E60" s="1" t="str">
        <f>IFERROR(__xludf.DUMMYFUNCTION("""COMPUTED_VALUE"""),"US")</f>
        <v>US</v>
      </c>
      <c r="F60" s="1"/>
      <c r="G60" s="1" t="str">
        <f>iferror(VLOOKUP(A60,'Business Plan Setup and Accepta'!A:G,6,false),"")</f>
        <v/>
      </c>
      <c r="H60" s="1" t="str">
        <f>iferror(VLOOKUP(A60,'Business Plan Setup and Accepta'!A:G,7,false),"")</f>
        <v/>
      </c>
      <c r="I60" s="17" t="str">
        <f t="shared" si="3"/>
        <v/>
      </c>
      <c r="J60" s="1" t="str">
        <f>IFERROR(VALUE(SUBSTITUTE(VLOOKUP(A60,'Sales IN Revenues vs Sales targ'!A:G,6,false)," $","")), "")
</f>
        <v/>
      </c>
      <c r="K60" s="1" t="str">
        <f>IFERROR(VALUE(SUBSTITUTE(VLOOKUP(A60,'Sales IN Revenues vs Sales targ'!A:G,7,false)," $","")), "")
</f>
        <v/>
      </c>
      <c r="L60" s="17" t="str">
        <f t="shared" si="4"/>
        <v/>
      </c>
      <c r="M60" s="1">
        <f>value(SUBSTITUTE(IFERROR(VLOOKUP(A60,'Certifications achievements vs '!A:G,6,false),""),"#","")
)</f>
        <v>0</v>
      </c>
      <c r="N60" s="1">
        <f>value(SUBSTITUTE(IFERROR(VLOOKUP(A60,'Certifications achievements vs '!A:G,7,false),""),"#","")
)</f>
        <v>0</v>
      </c>
      <c r="O60" s="17" t="str">
        <f t="shared" si="5"/>
        <v/>
      </c>
      <c r="P60" s="1">
        <f>value(SUBSTITUTE(IFERROR(VLOOKUP(A60,'Communications - Solution Speci'!A:G,6,false),""),"#","")
)</f>
        <v>0</v>
      </c>
      <c r="Q60" s="1">
        <f>value(SUBSTITUTE(IFERROR(VLOOKUP(A60,'Communications - Solution Speci'!A:G,7,false),""),"#","")
)</f>
        <v>0</v>
      </c>
      <c r="R60" s="17" t="str">
        <f t="shared" si="6"/>
        <v/>
      </c>
      <c r="S60" s="1">
        <f>value(SUBSTITUTE(IFERROR(VLOOKUP(A60,'Networking - Solution Specializ'!A:G,6,false),""),"#","")
)</f>
        <v>0</v>
      </c>
      <c r="T60" s="1">
        <f>value(SUBSTITUTE(IFERROR(VLOOKUP(A60,'Networking - Solution Specializ'!A:G,7,false),""),"#","")
)</f>
        <v>0</v>
      </c>
      <c r="U60" s="17" t="str">
        <f t="shared" si="7"/>
        <v/>
      </c>
      <c r="V60" s="1" t="str">
        <f>iferror(vlookup(A60,'Marketing Plan (extract summary'!A:G,6,false),"")</f>
        <v/>
      </c>
      <c r="W60" s="1" t="str">
        <f>iferror(vlookup(A60,'Marketing Plan (extract summary'!A:G,7,false),"")</f>
        <v/>
      </c>
      <c r="X60" s="17" t="str">
        <f t="shared" si="8"/>
        <v/>
      </c>
      <c r="Y60" s="1">
        <f>value(IFERROR(SUBSTITUTE(SUBSTITUTE(VLOOKUP(A60,'Quarterly Pipeline vs Target Pi'!A:G,6,false)," $","")," €",""), "")
)</f>
        <v>0</v>
      </c>
      <c r="Z60" s="1">
        <f>value(IFERROR(SUBSTITUTE(SUBSTITUTE(VLOOKUP(A60,'Quarterly Pipeline vs Target Pi'!A:G,7,false)," $","")," €",""), "")
)</f>
        <v>0</v>
      </c>
      <c r="AA60" s="17" t="str">
        <f t="shared" si="9"/>
        <v/>
      </c>
      <c r="AB60" s="1">
        <f>value(IFERROR(SUBSTITUTE(SUBSTITUTE(VLOOKUP($A60,'Quarterly Pipeline vs Target Pi'!$A:$V,11,false)," $","")," €",""), "")
)</f>
        <v>0</v>
      </c>
      <c r="AC60" s="1">
        <f>value(IFERROR(SUBSTITUTE(SUBSTITUTE(VLOOKUP($A60,'Quarterly Pipeline vs Target Pi'!$A:$V,12,false)," $","")," €",""), "")
)</f>
        <v>0</v>
      </c>
      <c r="AD60" s="17" t="str">
        <f t="shared" si="10"/>
        <v/>
      </c>
      <c r="AE60" s="1">
        <f>value(IFERROR(SUBSTITUTE(SUBSTITUTE(VLOOKUP($A60,'Quarterly Pipeline vs Target Pi'!$A:$V,16,false)," $","")," €",""), "")
)</f>
        <v>0</v>
      </c>
      <c r="AF60" s="1">
        <f>value(IFERROR(SUBSTITUTE(SUBSTITUTE(VLOOKUP($A60,'Quarterly Pipeline vs Target Pi'!$A:$V,17,false)," $","")," €",""), "")
)</f>
        <v>0</v>
      </c>
      <c r="AG60" s="17" t="str">
        <f t="shared" si="11"/>
        <v/>
      </c>
      <c r="AH60" s="1">
        <f>value(IFERROR(SUBSTITUTE(SUBSTITUTE(VLOOKUP($A60,'Quarterly Pipeline vs Target Pi'!$A:$V,21,false)," $","")," €",""), "")
)</f>
        <v>0</v>
      </c>
      <c r="AI60" s="1">
        <f>value(IFERROR(SUBSTITUTE(SUBSTITUTE(VLOOKUP($A60,'Quarterly Pipeline vs Target Pi'!$A:$V,22,false)," $","")," €",""), "")
)</f>
        <v>0</v>
      </c>
      <c r="AJ60" s="17" t="str">
        <f t="shared" si="12"/>
        <v/>
      </c>
      <c r="AK60" s="1">
        <f t="shared" ref="AK60:AL60" si="133">sum(Y60,AB60,AE60,AH60)</f>
        <v>0</v>
      </c>
      <c r="AL60" s="1">
        <f t="shared" si="133"/>
        <v>0</v>
      </c>
      <c r="AM60" s="17" t="str">
        <f t="shared" si="14"/>
        <v/>
      </c>
      <c r="AN60" s="1">
        <f>value(IFERROR(SUBSTITUTE(SUBSTITUTE(VLOOKUP($A60,'Quarterly Pipeline vs Target Pi'!$A:$AP,26,false)," $","")," €",""), "")
)</f>
        <v>0</v>
      </c>
      <c r="AO60" s="1">
        <f>value(IFERROR(SUBSTITUTE(SUBSTITUTE(VLOOKUP($A60,'Quarterly Pipeline vs Target Pi'!$A:$AP,27,false)," $","")," €",""), "")
)</f>
        <v>0</v>
      </c>
      <c r="AP60" s="17" t="str">
        <f t="shared" si="15"/>
        <v/>
      </c>
      <c r="AQ60" s="1">
        <f>value(IFERROR(SUBSTITUTE(SUBSTITUTE(VLOOKUP($A60,'Quarterly Pipeline vs Target Pi'!$A:$AP,31,false)," $","")," €",""), "")
)</f>
        <v>0</v>
      </c>
      <c r="AR60" s="1">
        <f>value(IFERROR(SUBSTITUTE(SUBSTITUTE(VLOOKUP($A60,'Quarterly Pipeline vs Target Pi'!$A:$AP,32,false)," $","")," €",""), "")
)</f>
        <v>0</v>
      </c>
      <c r="AS60" s="17" t="str">
        <f t="shared" si="16"/>
        <v/>
      </c>
      <c r="AT60" s="1">
        <f>value(IFERROR(SUBSTITUTE(SUBSTITUTE(VLOOKUP($A60,'Quarterly Pipeline vs Target Pi'!$A:$AP,36,false)," $","")," €",""), "")
)</f>
        <v>0</v>
      </c>
      <c r="AU60" s="1">
        <f>value(IFERROR(SUBSTITUTE(SUBSTITUTE(VLOOKUP($A60,'Quarterly Pipeline vs Target Pi'!$A:$AP,37,false)," $","")," €",""), "")
)</f>
        <v>0</v>
      </c>
      <c r="AV60" s="17" t="str">
        <f t="shared" si="17"/>
        <v/>
      </c>
      <c r="AW60" s="1">
        <f>value(IFERROR(SUBSTITUTE(SUBSTITUTE(VLOOKUP($A60,'Quarterly Pipeline vs Target Pi'!$A:$AP,41,false)," $","")," €",""), "")
)</f>
        <v>0</v>
      </c>
      <c r="AX60" s="1">
        <f>value(IFERROR(SUBSTITUTE(SUBSTITUTE(VLOOKUP($A60,'Quarterly Pipeline vs Target Pi'!$A:$AP,42,false)," $","")," €",""), "")
)</f>
        <v>0</v>
      </c>
      <c r="AY60" s="17" t="str">
        <f t="shared" si="18"/>
        <v/>
      </c>
      <c r="AZ60" s="1">
        <f t="shared" ref="AZ60:BA60" si="134">sum(AN60,AQ60,AT60,AW60)</f>
        <v>0</v>
      </c>
      <c r="BA60" s="1">
        <f t="shared" si="134"/>
        <v>0</v>
      </c>
      <c r="BB60" s="17" t="str">
        <f t="shared" si="20"/>
        <v/>
      </c>
    </row>
    <row r="61">
      <c r="A61" s="1" t="str">
        <f>IFERROR(__xludf.DUMMYFUNCTION("""COMPUTED_VALUE"""),"63ea6e9452ad6968805cece7")</f>
        <v>63ea6e9452ad6968805cece7</v>
      </c>
      <c r="B61" s="1" t="str">
        <f>IFERROR(__xludf.DUMMYFUNCTION("""COMPUTED_VALUE"""),"Braune GmbH")</f>
        <v>Braune GmbH</v>
      </c>
      <c r="C61" s="1" t="str">
        <f>IFERROR(__xludf.DUMMYFUNCTION("""COMPUTED_VALUE"""),"thomas.ullmann@al-enterprise.com, andreas.grossheimann@al-enterprise.com")</f>
        <v>thomas.ullmann@al-enterprise.com, andreas.grossheimann@al-enterprise.com</v>
      </c>
      <c r="D61" s="1" t="str">
        <f>IFERROR(__xludf.DUMMYFUNCTION("""COMPUTED_VALUE"""),"germany")</f>
        <v>germany</v>
      </c>
      <c r="E61" s="1" t="str">
        <f>IFERROR(__xludf.DUMMYFUNCTION("""COMPUTED_VALUE"""),"DE")</f>
        <v>DE</v>
      </c>
      <c r="F61" s="1"/>
      <c r="G61" s="1" t="str">
        <f>iferror(VLOOKUP(A61,'Business Plan Setup and Accepta'!A:G,6,false),"")</f>
        <v/>
      </c>
      <c r="H61" s="1" t="str">
        <f>iferror(VLOOKUP(A61,'Business Plan Setup and Accepta'!A:G,7,false),"")</f>
        <v/>
      </c>
      <c r="I61" s="17" t="str">
        <f t="shared" si="3"/>
        <v/>
      </c>
      <c r="J61" s="1" t="str">
        <f>IFERROR(VALUE(SUBSTITUTE(VLOOKUP(A61,'Sales IN Revenues vs Sales targ'!A:G,6,false)," $","")), "")
</f>
        <v/>
      </c>
      <c r="K61" s="1" t="str">
        <f>IFERROR(VALUE(SUBSTITUTE(VLOOKUP(A61,'Sales IN Revenues vs Sales targ'!A:G,7,false)," $","")), "")
</f>
        <v/>
      </c>
      <c r="L61" s="17" t="str">
        <f t="shared" si="4"/>
        <v/>
      </c>
      <c r="M61" s="1">
        <f>value(SUBSTITUTE(IFERROR(VLOOKUP(A61,'Certifications achievements vs '!A:G,6,false),""),"#","")
)</f>
        <v>0</v>
      </c>
      <c r="N61" s="1">
        <f>value(SUBSTITUTE(IFERROR(VLOOKUP(A61,'Certifications achievements vs '!A:G,7,false),""),"#","")
)</f>
        <v>0</v>
      </c>
      <c r="O61" s="17" t="str">
        <f t="shared" si="5"/>
        <v/>
      </c>
      <c r="P61" s="1">
        <f>value(SUBSTITUTE(IFERROR(VLOOKUP(A61,'Communications - Solution Speci'!A:G,6,false),""),"#","")
)</f>
        <v>0</v>
      </c>
      <c r="Q61" s="1">
        <f>value(SUBSTITUTE(IFERROR(VLOOKUP(A61,'Communications - Solution Speci'!A:G,7,false),""),"#","")
)</f>
        <v>0</v>
      </c>
      <c r="R61" s="17" t="str">
        <f t="shared" si="6"/>
        <v/>
      </c>
      <c r="S61" s="1">
        <f>value(SUBSTITUTE(IFERROR(VLOOKUP(A61,'Networking - Solution Specializ'!A:G,6,false),""),"#","")
)</f>
        <v>0</v>
      </c>
      <c r="T61" s="1">
        <f>value(SUBSTITUTE(IFERROR(VLOOKUP(A61,'Networking - Solution Specializ'!A:G,7,false),""),"#","")
)</f>
        <v>0</v>
      </c>
      <c r="U61" s="17" t="str">
        <f t="shared" si="7"/>
        <v/>
      </c>
      <c r="V61" s="1" t="str">
        <f>iferror(vlookup(A61,'Marketing Plan (extract summary'!A:G,6,false),"")</f>
        <v/>
      </c>
      <c r="W61" s="1" t="str">
        <f>iferror(vlookup(A61,'Marketing Plan (extract summary'!A:G,7,false),"")</f>
        <v/>
      </c>
      <c r="X61" s="17" t="str">
        <f t="shared" si="8"/>
        <v/>
      </c>
      <c r="Y61" s="1">
        <f>value(IFERROR(SUBSTITUTE(SUBSTITUTE(VLOOKUP(A61,'Quarterly Pipeline vs Target Pi'!A:G,6,false)," $","")," €",""), "")
)</f>
        <v>0</v>
      </c>
      <c r="Z61" s="1">
        <f>value(IFERROR(SUBSTITUTE(SUBSTITUTE(VLOOKUP(A61,'Quarterly Pipeline vs Target Pi'!A:G,7,false)," $","")," €",""), "")
)</f>
        <v>0</v>
      </c>
      <c r="AA61" s="17" t="str">
        <f t="shared" si="9"/>
        <v/>
      </c>
      <c r="AB61" s="1">
        <f>value(IFERROR(SUBSTITUTE(SUBSTITUTE(VLOOKUP($A61,'Quarterly Pipeline vs Target Pi'!$A:$V,11,false)," $","")," €",""), "")
)</f>
        <v>0</v>
      </c>
      <c r="AC61" s="1">
        <f>value(IFERROR(SUBSTITUTE(SUBSTITUTE(VLOOKUP($A61,'Quarterly Pipeline vs Target Pi'!$A:$V,12,false)," $","")," €",""), "")
)</f>
        <v>0</v>
      </c>
      <c r="AD61" s="17" t="str">
        <f t="shared" si="10"/>
        <v/>
      </c>
      <c r="AE61" s="1">
        <f>value(IFERROR(SUBSTITUTE(SUBSTITUTE(VLOOKUP($A61,'Quarterly Pipeline vs Target Pi'!$A:$V,16,false)," $","")," €",""), "")
)</f>
        <v>0</v>
      </c>
      <c r="AF61" s="1">
        <f>value(IFERROR(SUBSTITUTE(SUBSTITUTE(VLOOKUP($A61,'Quarterly Pipeline vs Target Pi'!$A:$V,17,false)," $","")," €",""), "")
)</f>
        <v>0</v>
      </c>
      <c r="AG61" s="17" t="str">
        <f t="shared" si="11"/>
        <v/>
      </c>
      <c r="AH61" s="1">
        <f>value(IFERROR(SUBSTITUTE(SUBSTITUTE(VLOOKUP($A61,'Quarterly Pipeline vs Target Pi'!$A:$V,21,false)," $","")," €",""), "")
)</f>
        <v>0</v>
      </c>
      <c r="AI61" s="1">
        <f>value(IFERROR(SUBSTITUTE(SUBSTITUTE(VLOOKUP($A61,'Quarterly Pipeline vs Target Pi'!$A:$V,22,false)," $","")," €",""), "")
)</f>
        <v>0</v>
      </c>
      <c r="AJ61" s="17" t="str">
        <f t="shared" si="12"/>
        <v/>
      </c>
      <c r="AK61" s="1">
        <f t="shared" ref="AK61:AL61" si="135">sum(Y61,AB61,AE61,AH61)</f>
        <v>0</v>
      </c>
      <c r="AL61" s="1">
        <f t="shared" si="135"/>
        <v>0</v>
      </c>
      <c r="AM61" s="17" t="str">
        <f t="shared" si="14"/>
        <v/>
      </c>
      <c r="AN61" s="1">
        <f>value(IFERROR(SUBSTITUTE(SUBSTITUTE(VLOOKUP($A61,'Quarterly Pipeline vs Target Pi'!$A:$AP,26,false)," $","")," €",""), "")
)</f>
        <v>0</v>
      </c>
      <c r="AO61" s="1">
        <f>value(IFERROR(SUBSTITUTE(SUBSTITUTE(VLOOKUP($A61,'Quarterly Pipeline vs Target Pi'!$A:$AP,27,false)," $","")," €",""), "")
)</f>
        <v>0</v>
      </c>
      <c r="AP61" s="17" t="str">
        <f t="shared" si="15"/>
        <v/>
      </c>
      <c r="AQ61" s="1">
        <f>value(IFERROR(SUBSTITUTE(SUBSTITUTE(VLOOKUP($A61,'Quarterly Pipeline vs Target Pi'!$A:$AP,31,false)," $","")," €",""), "")
)</f>
        <v>0</v>
      </c>
      <c r="AR61" s="1">
        <f>value(IFERROR(SUBSTITUTE(SUBSTITUTE(VLOOKUP($A61,'Quarterly Pipeline vs Target Pi'!$A:$AP,32,false)," $","")," €",""), "")
)</f>
        <v>0</v>
      </c>
      <c r="AS61" s="17" t="str">
        <f t="shared" si="16"/>
        <v/>
      </c>
      <c r="AT61" s="1">
        <f>value(IFERROR(SUBSTITUTE(SUBSTITUTE(VLOOKUP($A61,'Quarterly Pipeline vs Target Pi'!$A:$AP,36,false)," $","")," €",""), "")
)</f>
        <v>0</v>
      </c>
      <c r="AU61" s="1">
        <f>value(IFERROR(SUBSTITUTE(SUBSTITUTE(VLOOKUP($A61,'Quarterly Pipeline vs Target Pi'!$A:$AP,37,false)," $","")," €",""), "")
)</f>
        <v>0</v>
      </c>
      <c r="AV61" s="17" t="str">
        <f t="shared" si="17"/>
        <v/>
      </c>
      <c r="AW61" s="1">
        <f>value(IFERROR(SUBSTITUTE(SUBSTITUTE(VLOOKUP($A61,'Quarterly Pipeline vs Target Pi'!$A:$AP,41,false)," $","")," €",""), "")
)</f>
        <v>0</v>
      </c>
      <c r="AX61" s="1">
        <f>value(IFERROR(SUBSTITUTE(SUBSTITUTE(VLOOKUP($A61,'Quarterly Pipeline vs Target Pi'!$A:$AP,42,false)," $","")," €",""), "")
)</f>
        <v>0</v>
      </c>
      <c r="AY61" s="17" t="str">
        <f t="shared" si="18"/>
        <v/>
      </c>
      <c r="AZ61" s="1">
        <f t="shared" ref="AZ61:BA61" si="136">sum(AN61,AQ61,AT61,AW61)</f>
        <v>0</v>
      </c>
      <c r="BA61" s="1">
        <f t="shared" si="136"/>
        <v>0</v>
      </c>
      <c r="BB61" s="17" t="str">
        <f t="shared" si="20"/>
        <v/>
      </c>
    </row>
    <row r="62">
      <c r="A62" s="1" t="str">
        <f>IFERROR(__xludf.DUMMYFUNCTION("""COMPUTED_VALUE"""),"63ea6e9352ad6968805cea1d")</f>
        <v>63ea6e9352ad6968805cea1d</v>
      </c>
      <c r="B62" s="1" t="str">
        <f>IFERROR(__xludf.DUMMYFUNCTION("""COMPUTED_VALUE"""),"Brekom GmbH")</f>
        <v>Brekom GmbH</v>
      </c>
      <c r="C62" s="1" t="str">
        <f>IFERROR(__xludf.DUMMYFUNCTION("""COMPUTED_VALUE"""),"andreas.grossheimann@al-enterprise.com, holger.viktor@al-enterprise.com")</f>
        <v>andreas.grossheimann@al-enterprise.com, holger.viktor@al-enterprise.com</v>
      </c>
      <c r="D62" s="1" t="str">
        <f>IFERROR(__xludf.DUMMYFUNCTION("""COMPUTED_VALUE"""),"germany")</f>
        <v>germany</v>
      </c>
      <c r="E62" s="1" t="str">
        <f>IFERROR(__xludf.DUMMYFUNCTION("""COMPUTED_VALUE"""),"DE")</f>
        <v>DE</v>
      </c>
      <c r="F62" s="1"/>
      <c r="G62" s="1" t="str">
        <f>iferror(VLOOKUP(A62,'Business Plan Setup and Accepta'!A:G,6,false),"")</f>
        <v/>
      </c>
      <c r="H62" s="1" t="str">
        <f>iferror(VLOOKUP(A62,'Business Plan Setup and Accepta'!A:G,7,false),"")</f>
        <v/>
      </c>
      <c r="I62" s="17" t="str">
        <f t="shared" si="3"/>
        <v/>
      </c>
      <c r="J62" s="1" t="str">
        <f>IFERROR(VALUE(SUBSTITUTE(VLOOKUP(A62,'Sales IN Revenues vs Sales targ'!A:G,6,false)," $","")), "")
</f>
        <v/>
      </c>
      <c r="K62" s="1" t="str">
        <f>IFERROR(VALUE(SUBSTITUTE(VLOOKUP(A62,'Sales IN Revenues vs Sales targ'!A:G,7,false)," $","")), "")
</f>
        <v/>
      </c>
      <c r="L62" s="17" t="str">
        <f t="shared" si="4"/>
        <v/>
      </c>
      <c r="M62" s="1">
        <f>value(SUBSTITUTE(IFERROR(VLOOKUP(A62,'Certifications achievements vs '!A:G,6,false),""),"#","")
)</f>
        <v>0</v>
      </c>
      <c r="N62" s="1">
        <f>value(SUBSTITUTE(IFERROR(VLOOKUP(A62,'Certifications achievements vs '!A:G,7,false),""),"#","")
)</f>
        <v>0</v>
      </c>
      <c r="O62" s="17" t="str">
        <f t="shared" si="5"/>
        <v/>
      </c>
      <c r="P62" s="1">
        <f>value(SUBSTITUTE(IFERROR(VLOOKUP(A62,'Communications - Solution Speci'!A:G,6,false),""),"#","")
)</f>
        <v>0</v>
      </c>
      <c r="Q62" s="1">
        <f>value(SUBSTITUTE(IFERROR(VLOOKUP(A62,'Communications - Solution Speci'!A:G,7,false),""),"#","")
)</f>
        <v>0</v>
      </c>
      <c r="R62" s="17" t="str">
        <f t="shared" si="6"/>
        <v/>
      </c>
      <c r="S62" s="1">
        <f>value(SUBSTITUTE(IFERROR(VLOOKUP(A62,'Networking - Solution Specializ'!A:G,6,false),""),"#","")
)</f>
        <v>0</v>
      </c>
      <c r="T62" s="1">
        <f>value(SUBSTITUTE(IFERROR(VLOOKUP(A62,'Networking - Solution Specializ'!A:G,7,false),""),"#","")
)</f>
        <v>0</v>
      </c>
      <c r="U62" s="17" t="str">
        <f t="shared" si="7"/>
        <v/>
      </c>
      <c r="V62" s="1" t="str">
        <f>iferror(vlookup(A62,'Marketing Plan (extract summary'!A:G,6,false),"")</f>
        <v/>
      </c>
      <c r="W62" s="1" t="str">
        <f>iferror(vlookup(A62,'Marketing Plan (extract summary'!A:G,7,false),"")</f>
        <v/>
      </c>
      <c r="X62" s="17" t="str">
        <f t="shared" si="8"/>
        <v/>
      </c>
      <c r="Y62" s="1">
        <f>value(IFERROR(SUBSTITUTE(SUBSTITUTE(VLOOKUP(A62,'Quarterly Pipeline vs Target Pi'!A:G,6,false)," $","")," €",""), "")
)</f>
        <v>0</v>
      </c>
      <c r="Z62" s="1">
        <f>value(IFERROR(SUBSTITUTE(SUBSTITUTE(VLOOKUP(A62,'Quarterly Pipeline vs Target Pi'!A:G,7,false)," $","")," €",""), "")
)</f>
        <v>0</v>
      </c>
      <c r="AA62" s="17" t="str">
        <f t="shared" si="9"/>
        <v/>
      </c>
      <c r="AB62" s="1">
        <f>value(IFERROR(SUBSTITUTE(SUBSTITUTE(VLOOKUP($A62,'Quarterly Pipeline vs Target Pi'!$A:$V,11,false)," $","")," €",""), "")
)</f>
        <v>0</v>
      </c>
      <c r="AC62" s="1">
        <f>value(IFERROR(SUBSTITUTE(SUBSTITUTE(VLOOKUP($A62,'Quarterly Pipeline vs Target Pi'!$A:$V,12,false)," $","")," €",""), "")
)</f>
        <v>0</v>
      </c>
      <c r="AD62" s="17" t="str">
        <f t="shared" si="10"/>
        <v/>
      </c>
      <c r="AE62" s="1">
        <f>value(IFERROR(SUBSTITUTE(SUBSTITUTE(VLOOKUP($A62,'Quarterly Pipeline vs Target Pi'!$A:$V,16,false)," $","")," €",""), "")
)</f>
        <v>0</v>
      </c>
      <c r="AF62" s="1">
        <f>value(IFERROR(SUBSTITUTE(SUBSTITUTE(VLOOKUP($A62,'Quarterly Pipeline vs Target Pi'!$A:$V,17,false)," $","")," €",""), "")
)</f>
        <v>0</v>
      </c>
      <c r="AG62" s="17" t="str">
        <f t="shared" si="11"/>
        <v/>
      </c>
      <c r="AH62" s="1">
        <f>value(IFERROR(SUBSTITUTE(SUBSTITUTE(VLOOKUP($A62,'Quarterly Pipeline vs Target Pi'!$A:$V,21,false)," $","")," €",""), "")
)</f>
        <v>0</v>
      </c>
      <c r="AI62" s="1">
        <f>value(IFERROR(SUBSTITUTE(SUBSTITUTE(VLOOKUP($A62,'Quarterly Pipeline vs Target Pi'!$A:$V,22,false)," $","")," €",""), "")
)</f>
        <v>0</v>
      </c>
      <c r="AJ62" s="17" t="str">
        <f t="shared" si="12"/>
        <v/>
      </c>
      <c r="AK62" s="1">
        <f t="shared" ref="AK62:AL62" si="137">sum(Y62,AB62,AE62,AH62)</f>
        <v>0</v>
      </c>
      <c r="AL62" s="1">
        <f t="shared" si="137"/>
        <v>0</v>
      </c>
      <c r="AM62" s="17" t="str">
        <f t="shared" si="14"/>
        <v/>
      </c>
      <c r="AN62" s="1">
        <f>value(IFERROR(SUBSTITUTE(SUBSTITUTE(VLOOKUP($A62,'Quarterly Pipeline vs Target Pi'!$A:$AP,26,false)," $","")," €",""), "")
)</f>
        <v>0</v>
      </c>
      <c r="AO62" s="1">
        <f>value(IFERROR(SUBSTITUTE(SUBSTITUTE(VLOOKUP($A62,'Quarterly Pipeline vs Target Pi'!$A:$AP,27,false)," $","")," €",""), "")
)</f>
        <v>0</v>
      </c>
      <c r="AP62" s="17" t="str">
        <f t="shared" si="15"/>
        <v/>
      </c>
      <c r="AQ62" s="1">
        <f>value(IFERROR(SUBSTITUTE(SUBSTITUTE(VLOOKUP($A62,'Quarterly Pipeline vs Target Pi'!$A:$AP,31,false)," $","")," €",""), "")
)</f>
        <v>0</v>
      </c>
      <c r="AR62" s="1">
        <f>value(IFERROR(SUBSTITUTE(SUBSTITUTE(VLOOKUP($A62,'Quarterly Pipeline vs Target Pi'!$A:$AP,32,false)," $","")," €",""), "")
)</f>
        <v>0</v>
      </c>
      <c r="AS62" s="17" t="str">
        <f t="shared" si="16"/>
        <v/>
      </c>
      <c r="AT62" s="1">
        <f>value(IFERROR(SUBSTITUTE(SUBSTITUTE(VLOOKUP($A62,'Quarterly Pipeline vs Target Pi'!$A:$AP,36,false)," $","")," €",""), "")
)</f>
        <v>0</v>
      </c>
      <c r="AU62" s="1">
        <f>value(IFERROR(SUBSTITUTE(SUBSTITUTE(VLOOKUP($A62,'Quarterly Pipeline vs Target Pi'!$A:$AP,37,false)," $","")," €",""), "")
)</f>
        <v>0</v>
      </c>
      <c r="AV62" s="17" t="str">
        <f t="shared" si="17"/>
        <v/>
      </c>
      <c r="AW62" s="1">
        <f>value(IFERROR(SUBSTITUTE(SUBSTITUTE(VLOOKUP($A62,'Quarterly Pipeline vs Target Pi'!$A:$AP,41,false)," $","")," €",""), "")
)</f>
        <v>0</v>
      </c>
      <c r="AX62" s="1">
        <f>value(IFERROR(SUBSTITUTE(SUBSTITUTE(VLOOKUP($A62,'Quarterly Pipeline vs Target Pi'!$A:$AP,42,false)," $","")," €",""), "")
)</f>
        <v>0</v>
      </c>
      <c r="AY62" s="17" t="str">
        <f t="shared" si="18"/>
        <v/>
      </c>
      <c r="AZ62" s="1">
        <f t="shared" ref="AZ62:BA62" si="138">sum(AN62,AQ62,AT62,AW62)</f>
        <v>0</v>
      </c>
      <c r="BA62" s="1">
        <f t="shared" si="138"/>
        <v>0</v>
      </c>
      <c r="BB62" s="17" t="str">
        <f t="shared" si="20"/>
        <v/>
      </c>
    </row>
    <row r="63">
      <c r="A63" s="1" t="str">
        <f>IFERROR(__xludf.DUMMYFUNCTION("""COMPUTED_VALUE"""),"63fcbb83a107c871cf565127")</f>
        <v>63fcbb83a107c871cf565127</v>
      </c>
      <c r="B63" s="1" t="str">
        <f>IFERROR(__xludf.DUMMYFUNCTION("""COMPUTED_VALUE"""),"Brockhaus Telekommunikation GmbH &amp;")</f>
        <v>Brockhaus Telekommunikation GmbH &amp;</v>
      </c>
      <c r="C63" s="1" t="str">
        <f>IFERROR(__xludf.DUMMYFUNCTION("""COMPUTED_VALUE"""),"marcel.marx@al-enterprise.com")</f>
        <v>marcel.marx@al-enterprise.com</v>
      </c>
      <c r="D63" s="1" t="str">
        <f>IFERROR(__xludf.DUMMYFUNCTION("""COMPUTED_VALUE"""),"germany")</f>
        <v>germany</v>
      </c>
      <c r="E63" s="1" t="str">
        <f>IFERROR(__xludf.DUMMYFUNCTION("""COMPUTED_VALUE"""),"DE")</f>
        <v>DE</v>
      </c>
      <c r="F63" s="1"/>
      <c r="G63" s="1" t="str">
        <f>iferror(VLOOKUP(A63,'Business Plan Setup and Accepta'!A:G,6,false),"")</f>
        <v/>
      </c>
      <c r="H63" s="1" t="str">
        <f>iferror(VLOOKUP(A63,'Business Plan Setup and Accepta'!A:G,7,false),"")</f>
        <v/>
      </c>
      <c r="I63" s="17" t="str">
        <f t="shared" si="3"/>
        <v/>
      </c>
      <c r="J63" s="1" t="str">
        <f>IFERROR(VALUE(SUBSTITUTE(VLOOKUP(A63,'Sales IN Revenues vs Sales targ'!A:G,6,false)," $","")), "")
</f>
        <v/>
      </c>
      <c r="K63" s="1" t="str">
        <f>IFERROR(VALUE(SUBSTITUTE(VLOOKUP(A63,'Sales IN Revenues vs Sales targ'!A:G,7,false)," $","")), "")
</f>
        <v/>
      </c>
      <c r="L63" s="17" t="str">
        <f t="shared" si="4"/>
        <v/>
      </c>
      <c r="M63" s="1">
        <f>value(SUBSTITUTE(IFERROR(VLOOKUP(A63,'Certifications achievements vs '!A:G,6,false),""),"#","")
)</f>
        <v>0</v>
      </c>
      <c r="N63" s="1">
        <f>value(SUBSTITUTE(IFERROR(VLOOKUP(A63,'Certifications achievements vs '!A:G,7,false),""),"#","")
)</f>
        <v>0</v>
      </c>
      <c r="O63" s="17" t="str">
        <f t="shared" si="5"/>
        <v/>
      </c>
      <c r="P63" s="1">
        <f>value(SUBSTITUTE(IFERROR(VLOOKUP(A63,'Communications - Solution Speci'!A:G,6,false),""),"#","")
)</f>
        <v>0</v>
      </c>
      <c r="Q63" s="1">
        <f>value(SUBSTITUTE(IFERROR(VLOOKUP(A63,'Communications - Solution Speci'!A:G,7,false),""),"#","")
)</f>
        <v>0</v>
      </c>
      <c r="R63" s="17" t="str">
        <f t="shared" si="6"/>
        <v/>
      </c>
      <c r="S63" s="1">
        <f>value(SUBSTITUTE(IFERROR(VLOOKUP(A63,'Networking - Solution Specializ'!A:G,6,false),""),"#","")
)</f>
        <v>0</v>
      </c>
      <c r="T63" s="1">
        <f>value(SUBSTITUTE(IFERROR(VLOOKUP(A63,'Networking - Solution Specializ'!A:G,7,false),""),"#","")
)</f>
        <v>0</v>
      </c>
      <c r="U63" s="17" t="str">
        <f t="shared" si="7"/>
        <v/>
      </c>
      <c r="V63" s="1" t="str">
        <f>iferror(vlookup(A63,'Marketing Plan (extract summary'!A:G,6,false),"")</f>
        <v/>
      </c>
      <c r="W63" s="1" t="str">
        <f>iferror(vlookup(A63,'Marketing Plan (extract summary'!A:G,7,false),"")</f>
        <v/>
      </c>
      <c r="X63" s="17" t="str">
        <f t="shared" si="8"/>
        <v/>
      </c>
      <c r="Y63" s="1">
        <f>value(IFERROR(SUBSTITUTE(SUBSTITUTE(VLOOKUP(A63,'Quarterly Pipeline vs Target Pi'!A:G,6,false)," $","")," €",""), "")
)</f>
        <v>0</v>
      </c>
      <c r="Z63" s="1">
        <f>value(IFERROR(SUBSTITUTE(SUBSTITUTE(VLOOKUP(A63,'Quarterly Pipeline vs Target Pi'!A:G,7,false)," $","")," €",""), "")
)</f>
        <v>0</v>
      </c>
      <c r="AA63" s="17" t="str">
        <f t="shared" si="9"/>
        <v/>
      </c>
      <c r="AB63" s="1">
        <f>value(IFERROR(SUBSTITUTE(SUBSTITUTE(VLOOKUP($A63,'Quarterly Pipeline vs Target Pi'!$A:$V,11,false)," $","")," €",""), "")
)</f>
        <v>0</v>
      </c>
      <c r="AC63" s="1">
        <f>value(IFERROR(SUBSTITUTE(SUBSTITUTE(VLOOKUP($A63,'Quarterly Pipeline vs Target Pi'!$A:$V,12,false)," $","")," €",""), "")
)</f>
        <v>0</v>
      </c>
      <c r="AD63" s="17" t="str">
        <f t="shared" si="10"/>
        <v/>
      </c>
      <c r="AE63" s="1">
        <f>value(IFERROR(SUBSTITUTE(SUBSTITUTE(VLOOKUP($A63,'Quarterly Pipeline vs Target Pi'!$A:$V,16,false)," $","")," €",""), "")
)</f>
        <v>0</v>
      </c>
      <c r="AF63" s="1">
        <f>value(IFERROR(SUBSTITUTE(SUBSTITUTE(VLOOKUP($A63,'Quarterly Pipeline vs Target Pi'!$A:$V,17,false)," $","")," €",""), "")
)</f>
        <v>0</v>
      </c>
      <c r="AG63" s="17" t="str">
        <f t="shared" si="11"/>
        <v/>
      </c>
      <c r="AH63" s="1">
        <f>value(IFERROR(SUBSTITUTE(SUBSTITUTE(VLOOKUP($A63,'Quarterly Pipeline vs Target Pi'!$A:$V,21,false)," $","")," €",""), "")
)</f>
        <v>0</v>
      </c>
      <c r="AI63" s="1">
        <f>value(IFERROR(SUBSTITUTE(SUBSTITUTE(VLOOKUP($A63,'Quarterly Pipeline vs Target Pi'!$A:$V,22,false)," $","")," €",""), "")
)</f>
        <v>0</v>
      </c>
      <c r="AJ63" s="17" t="str">
        <f t="shared" si="12"/>
        <v/>
      </c>
      <c r="AK63" s="1">
        <f t="shared" ref="AK63:AL63" si="139">sum(Y63,AB63,AE63,AH63)</f>
        <v>0</v>
      </c>
      <c r="AL63" s="1">
        <f t="shared" si="139"/>
        <v>0</v>
      </c>
      <c r="AM63" s="17" t="str">
        <f t="shared" si="14"/>
        <v/>
      </c>
      <c r="AN63" s="1">
        <f>value(IFERROR(SUBSTITUTE(SUBSTITUTE(VLOOKUP($A63,'Quarterly Pipeline vs Target Pi'!$A:$AP,26,false)," $","")," €",""), "")
)</f>
        <v>0</v>
      </c>
      <c r="AO63" s="1">
        <f>value(IFERROR(SUBSTITUTE(SUBSTITUTE(VLOOKUP($A63,'Quarterly Pipeline vs Target Pi'!$A:$AP,27,false)," $","")," €",""), "")
)</f>
        <v>0</v>
      </c>
      <c r="AP63" s="17" t="str">
        <f t="shared" si="15"/>
        <v/>
      </c>
      <c r="AQ63" s="1">
        <f>value(IFERROR(SUBSTITUTE(SUBSTITUTE(VLOOKUP($A63,'Quarterly Pipeline vs Target Pi'!$A:$AP,31,false)," $","")," €",""), "")
)</f>
        <v>0</v>
      </c>
      <c r="AR63" s="1">
        <f>value(IFERROR(SUBSTITUTE(SUBSTITUTE(VLOOKUP($A63,'Quarterly Pipeline vs Target Pi'!$A:$AP,32,false)," $","")," €",""), "")
)</f>
        <v>0</v>
      </c>
      <c r="AS63" s="17" t="str">
        <f t="shared" si="16"/>
        <v/>
      </c>
      <c r="AT63" s="1">
        <f>value(IFERROR(SUBSTITUTE(SUBSTITUTE(VLOOKUP($A63,'Quarterly Pipeline vs Target Pi'!$A:$AP,36,false)," $","")," €",""), "")
)</f>
        <v>0</v>
      </c>
      <c r="AU63" s="1">
        <f>value(IFERROR(SUBSTITUTE(SUBSTITUTE(VLOOKUP($A63,'Quarterly Pipeline vs Target Pi'!$A:$AP,37,false)," $","")," €",""), "")
)</f>
        <v>0</v>
      </c>
      <c r="AV63" s="17" t="str">
        <f t="shared" si="17"/>
        <v/>
      </c>
      <c r="AW63" s="1">
        <f>value(IFERROR(SUBSTITUTE(SUBSTITUTE(VLOOKUP($A63,'Quarterly Pipeline vs Target Pi'!$A:$AP,41,false)," $","")," €",""), "")
)</f>
        <v>0</v>
      </c>
      <c r="AX63" s="1">
        <f>value(IFERROR(SUBSTITUTE(SUBSTITUTE(VLOOKUP($A63,'Quarterly Pipeline vs Target Pi'!$A:$AP,42,false)," $","")," €",""), "")
)</f>
        <v>0</v>
      </c>
      <c r="AY63" s="17" t="str">
        <f t="shared" si="18"/>
        <v/>
      </c>
      <c r="AZ63" s="1">
        <f t="shared" ref="AZ63:BA63" si="140">sum(AN63,AQ63,AT63,AW63)</f>
        <v>0</v>
      </c>
      <c r="BA63" s="1">
        <f t="shared" si="140"/>
        <v>0</v>
      </c>
      <c r="BB63" s="17" t="str">
        <f t="shared" si="20"/>
        <v/>
      </c>
    </row>
    <row r="64">
      <c r="A64" s="1" t="str">
        <f>IFERROR(__xludf.DUMMYFUNCTION("""COMPUTED_VALUE"""),"63ea6e9752ad6968805cf0bb")</f>
        <v>63ea6e9752ad6968805cf0bb</v>
      </c>
      <c r="B64" s="1" t="str">
        <f>IFERROR(__xludf.DUMMYFUNCTION("""COMPUTED_VALUE"""),"BS2 Systemhaus GmbH")</f>
        <v>BS2 Systemhaus GmbH</v>
      </c>
      <c r="C64" s="1" t="str">
        <f>IFERROR(__xludf.DUMMYFUNCTION("""COMPUTED_VALUE"""),"andreas.grossheimann@al-enterprise.com, andre.ramm@al-enterprise.com")</f>
        <v>andreas.grossheimann@al-enterprise.com, andre.ramm@al-enterprise.com</v>
      </c>
      <c r="D64" s="1" t="str">
        <f>IFERROR(__xludf.DUMMYFUNCTION("""COMPUTED_VALUE"""),"germany")</f>
        <v>germany</v>
      </c>
      <c r="E64" s="1" t="str">
        <f>IFERROR(__xludf.DUMMYFUNCTION("""COMPUTED_VALUE"""),"DE")</f>
        <v>DE</v>
      </c>
      <c r="F64" s="1"/>
      <c r="G64" s="1" t="str">
        <f>iferror(VLOOKUP(A64,'Business Plan Setup and Accepta'!A:G,6,false),"")</f>
        <v/>
      </c>
      <c r="H64" s="1" t="str">
        <f>iferror(VLOOKUP(A64,'Business Plan Setup and Accepta'!A:G,7,false),"")</f>
        <v/>
      </c>
      <c r="I64" s="17" t="str">
        <f t="shared" si="3"/>
        <v/>
      </c>
      <c r="J64" s="1" t="str">
        <f>IFERROR(VALUE(SUBSTITUTE(VLOOKUP(A64,'Sales IN Revenues vs Sales targ'!A:G,6,false)," $","")), "")
</f>
        <v/>
      </c>
      <c r="K64" s="1" t="str">
        <f>IFERROR(VALUE(SUBSTITUTE(VLOOKUP(A64,'Sales IN Revenues vs Sales targ'!A:G,7,false)," $","")), "")
</f>
        <v/>
      </c>
      <c r="L64" s="17" t="str">
        <f t="shared" si="4"/>
        <v/>
      </c>
      <c r="M64" s="1">
        <f>value(SUBSTITUTE(IFERROR(VLOOKUP(A64,'Certifications achievements vs '!A:G,6,false),""),"#","")
)</f>
        <v>0</v>
      </c>
      <c r="N64" s="1">
        <f>value(SUBSTITUTE(IFERROR(VLOOKUP(A64,'Certifications achievements vs '!A:G,7,false),""),"#","")
)</f>
        <v>0</v>
      </c>
      <c r="O64" s="17" t="str">
        <f t="shared" si="5"/>
        <v/>
      </c>
      <c r="P64" s="1">
        <f>value(SUBSTITUTE(IFERROR(VLOOKUP(A64,'Communications - Solution Speci'!A:G,6,false),""),"#","")
)</f>
        <v>0</v>
      </c>
      <c r="Q64" s="1">
        <f>value(SUBSTITUTE(IFERROR(VLOOKUP(A64,'Communications - Solution Speci'!A:G,7,false),""),"#","")
)</f>
        <v>0</v>
      </c>
      <c r="R64" s="17" t="str">
        <f t="shared" si="6"/>
        <v/>
      </c>
      <c r="S64" s="1">
        <f>value(SUBSTITUTE(IFERROR(VLOOKUP(A64,'Networking - Solution Specializ'!A:G,6,false),""),"#","")
)</f>
        <v>0</v>
      </c>
      <c r="T64" s="1">
        <f>value(SUBSTITUTE(IFERROR(VLOOKUP(A64,'Networking - Solution Specializ'!A:G,7,false),""),"#","")
)</f>
        <v>0</v>
      </c>
      <c r="U64" s="17" t="str">
        <f t="shared" si="7"/>
        <v/>
      </c>
      <c r="V64" s="1" t="str">
        <f>iferror(vlookup(A64,'Marketing Plan (extract summary'!A:G,6,false),"")</f>
        <v/>
      </c>
      <c r="W64" s="1" t="str">
        <f>iferror(vlookup(A64,'Marketing Plan (extract summary'!A:G,7,false),"")</f>
        <v/>
      </c>
      <c r="X64" s="17" t="str">
        <f t="shared" si="8"/>
        <v/>
      </c>
      <c r="Y64" s="1">
        <f>value(IFERROR(SUBSTITUTE(SUBSTITUTE(VLOOKUP(A64,'Quarterly Pipeline vs Target Pi'!A:G,6,false)," $","")," €",""), "")
)</f>
        <v>0</v>
      </c>
      <c r="Z64" s="1">
        <f>value(IFERROR(SUBSTITUTE(SUBSTITUTE(VLOOKUP(A64,'Quarterly Pipeline vs Target Pi'!A:G,7,false)," $","")," €",""), "")
)</f>
        <v>0</v>
      </c>
      <c r="AA64" s="17" t="str">
        <f t="shared" si="9"/>
        <v/>
      </c>
      <c r="AB64" s="1">
        <f>value(IFERROR(SUBSTITUTE(SUBSTITUTE(VLOOKUP($A64,'Quarterly Pipeline vs Target Pi'!$A:$V,11,false)," $","")," €",""), "")
)</f>
        <v>0</v>
      </c>
      <c r="AC64" s="1">
        <f>value(IFERROR(SUBSTITUTE(SUBSTITUTE(VLOOKUP($A64,'Quarterly Pipeline vs Target Pi'!$A:$V,12,false)," $","")," €",""), "")
)</f>
        <v>0</v>
      </c>
      <c r="AD64" s="17" t="str">
        <f t="shared" si="10"/>
        <v/>
      </c>
      <c r="AE64" s="1">
        <f>value(IFERROR(SUBSTITUTE(SUBSTITUTE(VLOOKUP($A64,'Quarterly Pipeline vs Target Pi'!$A:$V,16,false)," $","")," €",""), "")
)</f>
        <v>0</v>
      </c>
      <c r="AF64" s="1">
        <f>value(IFERROR(SUBSTITUTE(SUBSTITUTE(VLOOKUP($A64,'Quarterly Pipeline vs Target Pi'!$A:$V,17,false)," $","")," €",""), "")
)</f>
        <v>0</v>
      </c>
      <c r="AG64" s="17" t="str">
        <f t="shared" si="11"/>
        <v/>
      </c>
      <c r="AH64" s="1">
        <f>value(IFERROR(SUBSTITUTE(SUBSTITUTE(VLOOKUP($A64,'Quarterly Pipeline vs Target Pi'!$A:$V,21,false)," $","")," €",""), "")
)</f>
        <v>0</v>
      </c>
      <c r="AI64" s="1">
        <f>value(IFERROR(SUBSTITUTE(SUBSTITUTE(VLOOKUP($A64,'Quarterly Pipeline vs Target Pi'!$A:$V,22,false)," $","")," €",""), "")
)</f>
        <v>0</v>
      </c>
      <c r="AJ64" s="17" t="str">
        <f t="shared" si="12"/>
        <v/>
      </c>
      <c r="AK64" s="1">
        <f t="shared" ref="AK64:AL64" si="141">sum(Y64,AB64,AE64,AH64)</f>
        <v>0</v>
      </c>
      <c r="AL64" s="1">
        <f t="shared" si="141"/>
        <v>0</v>
      </c>
      <c r="AM64" s="17" t="str">
        <f t="shared" si="14"/>
        <v/>
      </c>
      <c r="AN64" s="1">
        <f>value(IFERROR(SUBSTITUTE(SUBSTITUTE(VLOOKUP($A64,'Quarterly Pipeline vs Target Pi'!$A:$AP,26,false)," $","")," €",""), "")
)</f>
        <v>0</v>
      </c>
      <c r="AO64" s="1">
        <f>value(IFERROR(SUBSTITUTE(SUBSTITUTE(VLOOKUP($A64,'Quarterly Pipeline vs Target Pi'!$A:$AP,27,false)," $","")," €",""), "")
)</f>
        <v>0</v>
      </c>
      <c r="AP64" s="17" t="str">
        <f t="shared" si="15"/>
        <v/>
      </c>
      <c r="AQ64" s="1">
        <f>value(IFERROR(SUBSTITUTE(SUBSTITUTE(VLOOKUP($A64,'Quarterly Pipeline vs Target Pi'!$A:$AP,31,false)," $","")," €",""), "")
)</f>
        <v>0</v>
      </c>
      <c r="AR64" s="1">
        <f>value(IFERROR(SUBSTITUTE(SUBSTITUTE(VLOOKUP($A64,'Quarterly Pipeline vs Target Pi'!$A:$AP,32,false)," $","")," €",""), "")
)</f>
        <v>0</v>
      </c>
      <c r="AS64" s="17" t="str">
        <f t="shared" si="16"/>
        <v/>
      </c>
      <c r="AT64" s="1">
        <f>value(IFERROR(SUBSTITUTE(SUBSTITUTE(VLOOKUP($A64,'Quarterly Pipeline vs Target Pi'!$A:$AP,36,false)," $","")," €",""), "")
)</f>
        <v>0</v>
      </c>
      <c r="AU64" s="1">
        <f>value(IFERROR(SUBSTITUTE(SUBSTITUTE(VLOOKUP($A64,'Quarterly Pipeline vs Target Pi'!$A:$AP,37,false)," $","")," €",""), "")
)</f>
        <v>0</v>
      </c>
      <c r="AV64" s="17" t="str">
        <f t="shared" si="17"/>
        <v/>
      </c>
      <c r="AW64" s="1">
        <f>value(IFERROR(SUBSTITUTE(SUBSTITUTE(VLOOKUP($A64,'Quarterly Pipeline vs Target Pi'!$A:$AP,41,false)," $","")," €",""), "")
)</f>
        <v>0</v>
      </c>
      <c r="AX64" s="1">
        <f>value(IFERROR(SUBSTITUTE(SUBSTITUTE(VLOOKUP($A64,'Quarterly Pipeline vs Target Pi'!$A:$AP,42,false)," $","")," €",""), "")
)</f>
        <v>0</v>
      </c>
      <c r="AY64" s="17" t="str">
        <f t="shared" si="18"/>
        <v/>
      </c>
      <c r="AZ64" s="1">
        <f t="shared" ref="AZ64:BA64" si="142">sum(AN64,AQ64,AT64,AW64)</f>
        <v>0</v>
      </c>
      <c r="BA64" s="1">
        <f t="shared" si="142"/>
        <v>0</v>
      </c>
      <c r="BB64" s="17" t="str">
        <f t="shared" si="20"/>
        <v/>
      </c>
    </row>
    <row r="65">
      <c r="A65" s="1" t="str">
        <f>IFERROR(__xludf.DUMMYFUNCTION("""COMPUTED_VALUE"""),"63ea6e9352ad6968805ceab7")</f>
        <v>63ea6e9352ad6968805ceab7</v>
      </c>
      <c r="B65" s="1" t="str">
        <f>IFERROR(__xludf.DUMMYFUNCTION("""COMPUTED_VALUE"""),"BTD Service GmbH")</f>
        <v>BTD Service GmbH</v>
      </c>
      <c r="C65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65" s="1" t="str">
        <f>IFERROR(__xludf.DUMMYFUNCTION("""COMPUTED_VALUE"""),"germany")</f>
        <v>germany</v>
      </c>
      <c r="E65" s="1" t="str">
        <f>IFERROR(__xludf.DUMMYFUNCTION("""COMPUTED_VALUE"""),"DE")</f>
        <v>DE</v>
      </c>
      <c r="F65" s="1" t="str">
        <f>IFERROR(__xludf.DUMMYFUNCTION("""COMPUTED_VALUE"""),"expert_200")</f>
        <v>expert_200</v>
      </c>
      <c r="G65" s="1">
        <f>iferror(VLOOKUP(A65,'Business Plan Setup and Accepta'!A:G,6,false),"")</f>
        <v>1</v>
      </c>
      <c r="H65" s="1">
        <f>iferror(VLOOKUP(A65,'Business Plan Setup and Accepta'!A:G,7,false),"")</f>
        <v>1</v>
      </c>
      <c r="I65" s="17">
        <f t="shared" si="3"/>
        <v>1</v>
      </c>
      <c r="J65" s="1">
        <f>IFERROR(VALUE(SUBSTITUTE(VLOOKUP(A65,'Sales IN Revenues vs Sales targ'!A:G,6,false)," $","")), "")
</f>
        <v>424.36</v>
      </c>
      <c r="K65" s="1">
        <f>IFERROR(VALUE(SUBSTITUTE(VLOOKUP(A65,'Sales IN Revenues vs Sales targ'!A:G,7,false)," $","")), "")
</f>
        <v>612</v>
      </c>
      <c r="L65" s="17">
        <f t="shared" si="4"/>
        <v>0.6933986928</v>
      </c>
      <c r="M65" s="1">
        <f>value(SUBSTITUTE(IFERROR(VLOOKUP(A65,'Certifications achievements vs '!A:G,6,false),""),"#","")
)</f>
        <v>56</v>
      </c>
      <c r="N65" s="1">
        <f>value(SUBSTITUTE(IFERROR(VLOOKUP(A65,'Certifications achievements vs '!A:G,7,false),""),"#","")
)</f>
        <v>52</v>
      </c>
      <c r="O65" s="17">
        <f t="shared" si="5"/>
        <v>1.076923077</v>
      </c>
      <c r="P65" s="1">
        <f>value(SUBSTITUTE(IFERROR(VLOOKUP(A65,'Communications - Solution Speci'!A:G,6,false),""),"#","")
)</f>
        <v>1</v>
      </c>
      <c r="Q65" s="1">
        <f>value(SUBSTITUTE(IFERROR(VLOOKUP(A65,'Communications - Solution Speci'!A:G,7,false),""),"#","")
)</f>
        <v>1</v>
      </c>
      <c r="R65" s="17">
        <f t="shared" si="6"/>
        <v>1</v>
      </c>
      <c r="S65" s="1">
        <f>value(SUBSTITUTE(IFERROR(VLOOKUP(A65,'Networking - Solution Specializ'!A:G,6,false),""),"#","")
)</f>
        <v>1</v>
      </c>
      <c r="T65" s="1">
        <f>value(SUBSTITUTE(IFERROR(VLOOKUP(A65,'Networking - Solution Specializ'!A:G,7,false),""),"#","")
)</f>
        <v>1</v>
      </c>
      <c r="U65" s="17">
        <f t="shared" si="7"/>
        <v>1</v>
      </c>
      <c r="V65" s="1">
        <f>iferror(vlookup(A65,'Marketing Plan (extract summary'!A:G,6,false),"")</f>
        <v>0</v>
      </c>
      <c r="W65" s="1">
        <f>iferror(vlookup(A65,'Marketing Plan (extract summary'!A:G,7,false),"")</f>
        <v>1</v>
      </c>
      <c r="X65" s="17">
        <f t="shared" si="8"/>
        <v>0</v>
      </c>
      <c r="Y65" s="1">
        <f>value(IFERROR(SUBSTITUTE(SUBSTITUTE(VLOOKUP(A65,'Quarterly Pipeline vs Target Pi'!A:G,6,false)," $","")," €",""), "")
)</f>
        <v>2.49</v>
      </c>
      <c r="Z65" s="1">
        <f>value(IFERROR(SUBSTITUTE(SUBSTITUTE(VLOOKUP(A65,'Quarterly Pipeline vs Target Pi'!A:G,7,false)," $","")," €",""), "")
)</f>
        <v>0</v>
      </c>
      <c r="AA65" s="17" t="str">
        <f t="shared" si="9"/>
        <v/>
      </c>
      <c r="AB65" s="1">
        <f>value(IFERROR(SUBSTITUTE(SUBSTITUTE(VLOOKUP($A65,'Quarterly Pipeline vs Target Pi'!$A:$V,11,false)," $","")," €",""), "")
)</f>
        <v>2.49</v>
      </c>
      <c r="AC65" s="1">
        <f>value(IFERROR(SUBSTITUTE(SUBSTITUTE(VLOOKUP($A65,'Quarterly Pipeline vs Target Pi'!$A:$V,12,false)," $","")," €",""), "")
)</f>
        <v>313.85</v>
      </c>
      <c r="AD65" s="17">
        <f t="shared" si="10"/>
        <v>0.007933726302</v>
      </c>
      <c r="AE65" s="1">
        <f>value(IFERROR(SUBSTITUTE(SUBSTITUTE(VLOOKUP($A65,'Quarterly Pipeline vs Target Pi'!$A:$V,16,false)," $","")," €",""), "")
)</f>
        <v>35.79</v>
      </c>
      <c r="AF65" s="1">
        <f>value(IFERROR(SUBSTITUTE(SUBSTITUTE(VLOOKUP($A65,'Quarterly Pipeline vs Target Pi'!$A:$V,17,false)," $","")," €",""), "")
)</f>
        <v>470.77</v>
      </c>
      <c r="AG65" s="17">
        <f t="shared" si="11"/>
        <v>0.07602438558</v>
      </c>
      <c r="AH65" s="1">
        <f>value(IFERROR(SUBSTITUTE(SUBSTITUTE(VLOOKUP($A65,'Quarterly Pipeline vs Target Pi'!$A:$V,21,false)," $","")," €",""), "")
)</f>
        <v>630</v>
      </c>
      <c r="AI65" s="1">
        <f>value(IFERROR(SUBSTITUTE(SUBSTITUTE(VLOOKUP($A65,'Quarterly Pipeline vs Target Pi'!$A:$V,22,false)," $","")," €",""), "")
)</f>
        <v>470.77</v>
      </c>
      <c r="AJ65" s="17">
        <f t="shared" si="12"/>
        <v>1.338233107</v>
      </c>
      <c r="AK65" s="1">
        <f t="shared" ref="AK65:AL65" si="143">sum(Y65,AB65,AE65,AH65)</f>
        <v>670.77</v>
      </c>
      <c r="AL65" s="1">
        <f t="shared" si="143"/>
        <v>1255.39</v>
      </c>
      <c r="AM65" s="17">
        <f t="shared" si="14"/>
        <v>0.5343120465</v>
      </c>
      <c r="AN65" s="1">
        <f>value(IFERROR(SUBSTITUTE(SUBSTITUTE(VLOOKUP($A65,'Quarterly Pipeline vs Target Pi'!$A:$AP,26,false)," $","")," €",""), "")
)</f>
        <v>300</v>
      </c>
      <c r="AO65" s="1">
        <f>value(IFERROR(SUBSTITUTE(SUBSTITUTE(VLOOKUP($A65,'Quarterly Pipeline vs Target Pi'!$A:$AP,27,false)," $","")," €",""), "")
)</f>
        <v>0</v>
      </c>
      <c r="AP65" s="17" t="str">
        <f t="shared" si="15"/>
        <v/>
      </c>
      <c r="AQ65" s="1">
        <f>value(IFERROR(SUBSTITUTE(SUBSTITUTE(VLOOKUP($A65,'Quarterly Pipeline vs Target Pi'!$A:$AP,31,false)," $","")," €",""), "")
)</f>
        <v>0</v>
      </c>
      <c r="AR65" s="1">
        <f>value(IFERROR(SUBSTITUTE(SUBSTITUTE(VLOOKUP($A65,'Quarterly Pipeline vs Target Pi'!$A:$AP,32,false)," $","")," €",""), "")
)</f>
        <v>0</v>
      </c>
      <c r="AS65" s="17" t="str">
        <f t="shared" si="16"/>
        <v/>
      </c>
      <c r="AT65" s="1">
        <f>value(IFERROR(SUBSTITUTE(SUBSTITUTE(VLOOKUP($A65,'Quarterly Pipeline vs Target Pi'!$A:$AP,36,false)," $","")," €",""), "")
)</f>
        <v>0</v>
      </c>
      <c r="AU65" s="1">
        <f>value(IFERROR(SUBSTITUTE(SUBSTITUTE(VLOOKUP($A65,'Quarterly Pipeline vs Target Pi'!$A:$AP,37,false)," $","")," €",""), "")
)</f>
        <v>0</v>
      </c>
      <c r="AV65" s="17" t="str">
        <f t="shared" si="17"/>
        <v/>
      </c>
      <c r="AW65" s="1">
        <f>value(IFERROR(SUBSTITUTE(SUBSTITUTE(VLOOKUP($A65,'Quarterly Pipeline vs Target Pi'!$A:$AP,41,false)," $","")," €",""), "")
)</f>
        <v>432</v>
      </c>
      <c r="AX65" s="1">
        <f>value(IFERROR(SUBSTITUTE(SUBSTITUTE(VLOOKUP($A65,'Quarterly Pipeline vs Target Pi'!$A:$AP,42,false)," $","")," €",""), "")
)</f>
        <v>0</v>
      </c>
      <c r="AY65" s="17" t="str">
        <f t="shared" si="18"/>
        <v/>
      </c>
      <c r="AZ65" s="1">
        <f t="shared" ref="AZ65:BA65" si="144">sum(AN65,AQ65,AT65,AW65)</f>
        <v>732</v>
      </c>
      <c r="BA65" s="1">
        <f t="shared" si="144"/>
        <v>0</v>
      </c>
      <c r="BB65" s="17" t="str">
        <f t="shared" si="20"/>
        <v/>
      </c>
    </row>
    <row r="66">
      <c r="A66" s="1" t="str">
        <f>IFERROR(__xludf.DUMMYFUNCTION("""COMPUTED_VALUE"""),"63ea6e9352ad6968805ceb0b")</f>
        <v>63ea6e9352ad6968805ceb0b</v>
      </c>
      <c r="B66" s="1" t="str">
        <f>IFERROR(__xludf.DUMMYFUNCTION("""COMPUTED_VALUE"""),"Bunsieck &amp; Partner GmbH")</f>
        <v>Bunsieck &amp; Partner GmbH</v>
      </c>
      <c r="C66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66" s="1" t="str">
        <f>IFERROR(__xludf.DUMMYFUNCTION("""COMPUTED_VALUE"""),"germany")</f>
        <v>germany</v>
      </c>
      <c r="E66" s="1" t="str">
        <f>IFERROR(__xludf.DUMMYFUNCTION("""COMPUTED_VALUE"""),"DE")</f>
        <v>DE</v>
      </c>
      <c r="F66" s="1" t="str">
        <f>IFERROR(__xludf.DUMMYFUNCTION("""COMPUTED_VALUE"""),"expert_200")</f>
        <v>expert_200</v>
      </c>
      <c r="G66" s="1">
        <f>iferror(VLOOKUP(A66,'Business Plan Setup and Accepta'!A:G,6,false),"")</f>
        <v>1</v>
      </c>
      <c r="H66" s="1">
        <f>iferror(VLOOKUP(A66,'Business Plan Setup and Accepta'!A:G,7,false),"")</f>
        <v>1</v>
      </c>
      <c r="I66" s="17">
        <f t="shared" si="3"/>
        <v>1</v>
      </c>
      <c r="J66" s="1">
        <f>IFERROR(VALUE(SUBSTITUTE(VLOOKUP(A66,'Sales IN Revenues vs Sales targ'!A:G,6,false)," $","")), "")
</f>
        <v>128.59</v>
      </c>
      <c r="K66" s="1">
        <f>IFERROR(VALUE(SUBSTITUTE(VLOOKUP(A66,'Sales IN Revenues vs Sales targ'!A:G,7,false)," $","")), "")
</f>
        <v>345</v>
      </c>
      <c r="L66" s="17">
        <f t="shared" si="4"/>
        <v>0.3727246377</v>
      </c>
      <c r="M66" s="1">
        <f>value(SUBSTITUTE(IFERROR(VLOOKUP(A66,'Certifications achievements vs '!A:G,6,false),""),"#","")
)</f>
        <v>31</v>
      </c>
      <c r="N66" s="1">
        <f>value(SUBSTITUTE(IFERROR(VLOOKUP(A66,'Certifications achievements vs '!A:G,7,false),""),"#","")
)</f>
        <v>52</v>
      </c>
      <c r="O66" s="17">
        <f t="shared" si="5"/>
        <v>0.5961538462</v>
      </c>
      <c r="P66" s="1">
        <f>value(SUBSTITUTE(IFERROR(VLOOKUP(A66,'Communications - Solution Speci'!A:G,6,false),""),"#","")
)</f>
        <v>1</v>
      </c>
      <c r="Q66" s="1">
        <f>value(SUBSTITUTE(IFERROR(VLOOKUP(A66,'Communications - Solution Speci'!A:G,7,false),""),"#","")
)</f>
        <v>1</v>
      </c>
      <c r="R66" s="17">
        <f t="shared" si="6"/>
        <v>1</v>
      </c>
      <c r="S66" s="1">
        <f>value(SUBSTITUTE(IFERROR(VLOOKUP(A66,'Networking - Solution Specializ'!A:G,6,false),""),"#","")
)</f>
        <v>1</v>
      </c>
      <c r="T66" s="1">
        <f>value(SUBSTITUTE(IFERROR(VLOOKUP(A66,'Networking - Solution Specializ'!A:G,7,false),""),"#","")
)</f>
        <v>1</v>
      </c>
      <c r="U66" s="17">
        <f t="shared" si="7"/>
        <v>1</v>
      </c>
      <c r="V66" s="1">
        <f>iferror(vlookup(A66,'Marketing Plan (extract summary'!A:G,6,false),"")</f>
        <v>1</v>
      </c>
      <c r="W66" s="1">
        <f>iferror(vlookup(A66,'Marketing Plan (extract summary'!A:G,7,false),"")</f>
        <v>1</v>
      </c>
      <c r="X66" s="17">
        <f t="shared" si="8"/>
        <v>1</v>
      </c>
      <c r="Y66" s="1">
        <f>value(IFERROR(SUBSTITUTE(SUBSTITUTE(VLOOKUP(A66,'Quarterly Pipeline vs Target Pi'!A:G,6,false)," $","")," €",""), "")
)</f>
        <v>21.9</v>
      </c>
      <c r="Z66" s="1">
        <f>value(IFERROR(SUBSTITUTE(SUBSTITUTE(VLOOKUP(A66,'Quarterly Pipeline vs Target Pi'!A:G,7,false)," $","")," €",""), "")
)</f>
        <v>0</v>
      </c>
      <c r="AA66" s="17" t="str">
        <f t="shared" si="9"/>
        <v/>
      </c>
      <c r="AB66" s="1">
        <f>value(IFERROR(SUBSTITUTE(SUBSTITUTE(VLOOKUP($A66,'Quarterly Pipeline vs Target Pi'!$A:$V,11,false)," $","")," €",""), "")
)</f>
        <v>19.83</v>
      </c>
      <c r="AC66" s="1">
        <f>value(IFERROR(SUBSTITUTE(SUBSTITUTE(VLOOKUP($A66,'Quarterly Pipeline vs Target Pi'!$A:$V,12,false)," $","")," €",""), "")
)</f>
        <v>230</v>
      </c>
      <c r="AD66" s="17">
        <f t="shared" si="10"/>
        <v>0.0862173913</v>
      </c>
      <c r="AE66" s="1">
        <f>value(IFERROR(SUBSTITUTE(SUBSTITUTE(VLOOKUP($A66,'Quarterly Pipeline vs Target Pi'!$A:$V,16,false)," $","")," €",""), "")
)</f>
        <v>42.27</v>
      </c>
      <c r="AF66" s="1">
        <f>value(IFERROR(SUBSTITUTE(SUBSTITUTE(VLOOKUP($A66,'Quarterly Pipeline vs Target Pi'!$A:$V,17,false)," $","")," €",""), "")
)</f>
        <v>326.67</v>
      </c>
      <c r="AG66" s="17">
        <f t="shared" si="11"/>
        <v>0.1293966388</v>
      </c>
      <c r="AH66" s="1">
        <f>value(IFERROR(SUBSTITUTE(SUBSTITUTE(VLOOKUP($A66,'Quarterly Pipeline vs Target Pi'!$A:$V,21,false)," $","")," €",""), "")
)</f>
        <v>338.62</v>
      </c>
      <c r="AI66" s="1">
        <f>value(IFERROR(SUBSTITUTE(SUBSTITUTE(VLOOKUP($A66,'Quarterly Pipeline vs Target Pi'!$A:$V,22,false)," $","")," €",""), "")
)</f>
        <v>363.33</v>
      </c>
      <c r="AJ66" s="17">
        <f t="shared" si="12"/>
        <v>0.9319902017</v>
      </c>
      <c r="AK66" s="1">
        <f t="shared" ref="AK66:AL66" si="145">sum(Y66,AB66,AE66,AH66)</f>
        <v>422.62</v>
      </c>
      <c r="AL66" s="1">
        <f t="shared" si="145"/>
        <v>920</v>
      </c>
      <c r="AM66" s="17">
        <f t="shared" si="14"/>
        <v>0.4593695652</v>
      </c>
      <c r="AN66" s="1">
        <f>value(IFERROR(SUBSTITUTE(SUBSTITUTE(VLOOKUP($A66,'Quarterly Pipeline vs Target Pi'!$A:$AP,26,false)," $","")," €",""), "")
)</f>
        <v>0</v>
      </c>
      <c r="AO66" s="1">
        <f>value(IFERROR(SUBSTITUTE(SUBSTITUTE(VLOOKUP($A66,'Quarterly Pipeline vs Target Pi'!$A:$AP,27,false)," $","")," €",""), "")
)</f>
        <v>0</v>
      </c>
      <c r="AP66" s="17" t="str">
        <f t="shared" si="15"/>
        <v/>
      </c>
      <c r="AQ66" s="1">
        <f>value(IFERROR(SUBSTITUTE(SUBSTITUTE(VLOOKUP($A66,'Quarterly Pipeline vs Target Pi'!$A:$AP,31,false)," $","")," €",""), "")
)</f>
        <v>0</v>
      </c>
      <c r="AR66" s="1">
        <f>value(IFERROR(SUBSTITUTE(SUBSTITUTE(VLOOKUP($A66,'Quarterly Pipeline vs Target Pi'!$A:$AP,32,false)," $","")," €",""), "")
)</f>
        <v>0</v>
      </c>
      <c r="AS66" s="17" t="str">
        <f t="shared" si="16"/>
        <v/>
      </c>
      <c r="AT66" s="1">
        <f>value(IFERROR(SUBSTITUTE(SUBSTITUTE(VLOOKUP($A66,'Quarterly Pipeline vs Target Pi'!$A:$AP,36,false)," $","")," €",""), "")
)</f>
        <v>15</v>
      </c>
      <c r="AU66" s="1">
        <f>value(IFERROR(SUBSTITUTE(SUBSTITUTE(VLOOKUP($A66,'Quarterly Pipeline vs Target Pi'!$A:$AP,37,false)," $","")," €",""), "")
)</f>
        <v>0</v>
      </c>
      <c r="AV66" s="17" t="str">
        <f t="shared" si="17"/>
        <v/>
      </c>
      <c r="AW66" s="1">
        <f>value(IFERROR(SUBSTITUTE(SUBSTITUTE(VLOOKUP($A66,'Quarterly Pipeline vs Target Pi'!$A:$AP,41,false)," $","")," €",""), "")
)</f>
        <v>110.3</v>
      </c>
      <c r="AX66" s="1">
        <f>value(IFERROR(SUBSTITUTE(SUBSTITUTE(VLOOKUP($A66,'Quarterly Pipeline vs Target Pi'!$A:$AP,42,false)," $","")," €",""), "")
)</f>
        <v>0</v>
      </c>
      <c r="AY66" s="17" t="str">
        <f t="shared" si="18"/>
        <v/>
      </c>
      <c r="AZ66" s="1">
        <f t="shared" ref="AZ66:BA66" si="146">sum(AN66,AQ66,AT66,AW66)</f>
        <v>125.3</v>
      </c>
      <c r="BA66" s="1">
        <f t="shared" si="146"/>
        <v>0</v>
      </c>
      <c r="BB66" s="17" t="str">
        <f t="shared" si="20"/>
        <v/>
      </c>
    </row>
    <row r="67">
      <c r="A67" s="1" t="str">
        <f>IFERROR(__xludf.DUMMYFUNCTION("""COMPUTED_VALUE"""),"63ced848c5c820531c268d7a")</f>
        <v>63ced848c5c820531c268d7a</v>
      </c>
      <c r="B67" s="1" t="str">
        <f>IFERROR(__xludf.DUMMYFUNCTION("""COMPUTED_VALUE"""),"Burgess Computer Decisions")</f>
        <v>Burgess Computer Decisions</v>
      </c>
      <c r="C67" s="1" t="str">
        <f>IFERROR(__xludf.DUMMYFUNCTION("""COMPUTED_VALUE"""),"holly.berger@al-enterprise.com")</f>
        <v>holly.berger@al-enterprise.com</v>
      </c>
      <c r="D67" s="1" t="str">
        <f>IFERROR(__xludf.DUMMYFUNCTION("""COMPUTED_VALUE"""),"americas")</f>
        <v>americas</v>
      </c>
      <c r="E67" s="1" t="str">
        <f>IFERROR(__xludf.DUMMYFUNCTION("""COMPUTED_VALUE"""),"US")</f>
        <v>US</v>
      </c>
      <c r="F67" s="1" t="str">
        <f>IFERROR(__xludf.DUMMYFUNCTION("""COMPUTED_VALUE"""),"distributor")</f>
        <v>distributor</v>
      </c>
      <c r="G67" s="1">
        <f>iferror(VLOOKUP(A67,'Business Plan Setup and Accepta'!A:G,6,false),"")</f>
        <v>0</v>
      </c>
      <c r="H67" s="1">
        <f>iferror(VLOOKUP(A67,'Business Plan Setup and Accepta'!A:G,7,false),"")</f>
        <v>1</v>
      </c>
      <c r="I67" s="17">
        <f t="shared" si="3"/>
        <v>0</v>
      </c>
      <c r="J67" s="1">
        <f>IFERROR(VALUE(SUBSTITUTE(VLOOKUP(A67,'Sales IN Revenues vs Sales targ'!A:G,6,false)," $","")), "")
</f>
        <v>582.88</v>
      </c>
      <c r="K67" s="1">
        <f>IFERROR(VALUE(SUBSTITUTE(VLOOKUP(A67,'Sales IN Revenues vs Sales targ'!A:G,7,false)," $","")), "")
</f>
        <v>1143.99</v>
      </c>
      <c r="L67" s="17">
        <f t="shared" si="4"/>
        <v>0.5095149433</v>
      </c>
      <c r="M67" s="1">
        <f>value(SUBSTITUTE(IFERROR(VLOOKUP(A67,'Certifications achievements vs '!A:G,6,false),""),"#","")
)</f>
        <v>38</v>
      </c>
      <c r="N67" s="1">
        <f>value(SUBSTITUTE(IFERROR(VLOOKUP(A67,'Certifications achievements vs '!A:G,7,false),""),"#","")
)</f>
        <v>56</v>
      </c>
      <c r="O67" s="17">
        <f t="shared" si="5"/>
        <v>0.6785714286</v>
      </c>
      <c r="P67" s="1">
        <f>value(SUBSTITUTE(IFERROR(VLOOKUP(A67,'Communications - Solution Speci'!A:G,6,false),""),"#","")
)</f>
        <v>0</v>
      </c>
      <c r="Q67" s="1">
        <f>value(SUBSTITUTE(IFERROR(VLOOKUP(A67,'Communications - Solution Speci'!A:G,7,false),""),"#","")
)</f>
        <v>1</v>
      </c>
      <c r="R67" s="17">
        <f t="shared" si="6"/>
        <v>0</v>
      </c>
      <c r="S67" s="1">
        <f>value(SUBSTITUTE(IFERROR(VLOOKUP(A67,'Networking - Solution Specializ'!A:G,6,false),""),"#","")
)</f>
        <v>0</v>
      </c>
      <c r="T67" s="1">
        <f>value(SUBSTITUTE(IFERROR(VLOOKUP(A67,'Networking - Solution Specializ'!A:G,7,false),""),"#","")
)</f>
        <v>1</v>
      </c>
      <c r="U67" s="17">
        <f t="shared" si="7"/>
        <v>0</v>
      </c>
      <c r="V67" s="1">
        <f>iferror(vlookup(A67,'Marketing Plan (extract summary'!A:G,6,false),"")</f>
        <v>0</v>
      </c>
      <c r="W67" s="1">
        <f>iferror(vlookup(A67,'Marketing Plan (extract summary'!A:G,7,false),"")</f>
        <v>1</v>
      </c>
      <c r="X67" s="17">
        <f t="shared" si="8"/>
        <v>0</v>
      </c>
      <c r="Y67" s="1">
        <f>value(IFERROR(SUBSTITUTE(SUBSTITUTE(VLOOKUP(A67,'Quarterly Pipeline vs Target Pi'!A:G,6,false)," $","")," €",""), "")
)</f>
        <v>19.83</v>
      </c>
      <c r="Z67" s="1">
        <f>value(IFERROR(SUBSTITUTE(SUBSTITUTE(VLOOKUP(A67,'Quarterly Pipeline vs Target Pi'!A:G,7,false)," $","")," €",""), "")
)</f>
        <v>0</v>
      </c>
      <c r="AA67" s="17" t="str">
        <f t="shared" si="9"/>
        <v/>
      </c>
      <c r="AB67" s="1">
        <f>value(IFERROR(SUBSTITUTE(SUBSTITUTE(VLOOKUP($A67,'Quarterly Pipeline vs Target Pi'!$A:$V,11,false)," $","")," €",""), "")
)</f>
        <v>56.78</v>
      </c>
      <c r="AC67" s="1">
        <f>value(IFERROR(SUBSTITUTE(SUBSTITUTE(VLOOKUP($A67,'Quarterly Pipeline vs Target Pi'!$A:$V,12,false)," $","")," €",""), "")
)</f>
        <v>759.99</v>
      </c>
      <c r="AD67" s="17">
        <f t="shared" si="10"/>
        <v>0.07471150936</v>
      </c>
      <c r="AE67" s="1">
        <f>value(IFERROR(SUBSTITUTE(SUBSTITUTE(VLOOKUP($A67,'Quarterly Pipeline vs Target Pi'!$A:$V,16,false)," $","")," €",""), "")
)</f>
        <v>157.12</v>
      </c>
      <c r="AF67" s="1">
        <f>value(IFERROR(SUBSTITUTE(SUBSTITUTE(VLOOKUP($A67,'Quarterly Pipeline vs Target Pi'!$A:$V,17,false)," $","")," €",""), "")
)</f>
        <v>1143.32</v>
      </c>
      <c r="AG67" s="17">
        <f t="shared" si="11"/>
        <v>0.1374243431</v>
      </c>
      <c r="AH67" s="1">
        <f>value(IFERROR(SUBSTITUTE(SUBSTITUTE(VLOOKUP($A67,'Quarterly Pipeline vs Target Pi'!$A:$V,21,false)," $","")," €",""), "")
)</f>
        <v>1009.5</v>
      </c>
      <c r="AI67" s="1">
        <f>value(IFERROR(SUBSTITUTE(SUBSTITUTE(VLOOKUP($A67,'Quarterly Pipeline vs Target Pi'!$A:$V,22,false)," $","")," €",""), "")
)</f>
        <v>1146.66</v>
      </c>
      <c r="AJ67" s="17">
        <f t="shared" si="12"/>
        <v>0.8803830255</v>
      </c>
      <c r="AK67" s="1">
        <f t="shared" ref="AK67:AL67" si="147">sum(Y67,AB67,AE67,AH67)</f>
        <v>1243.23</v>
      </c>
      <c r="AL67" s="1">
        <f t="shared" si="147"/>
        <v>3049.97</v>
      </c>
      <c r="AM67" s="17">
        <f t="shared" si="14"/>
        <v>0.4076204028</v>
      </c>
      <c r="AN67" s="1">
        <f>value(IFERROR(SUBSTITUTE(SUBSTITUTE(VLOOKUP($A67,'Quarterly Pipeline vs Target Pi'!$A:$AP,26,false)," $","")," €",""), "")
)</f>
        <v>0</v>
      </c>
      <c r="AO67" s="1">
        <f>value(IFERROR(SUBSTITUTE(SUBSTITUTE(VLOOKUP($A67,'Quarterly Pipeline vs Target Pi'!$A:$AP,27,false)," $","")," €",""), "")
)</f>
        <v>0</v>
      </c>
      <c r="AP67" s="17" t="str">
        <f t="shared" si="15"/>
        <v/>
      </c>
      <c r="AQ67" s="1">
        <f>value(IFERROR(SUBSTITUTE(SUBSTITUTE(VLOOKUP($A67,'Quarterly Pipeline vs Target Pi'!$A:$AP,31,false)," $","")," €",""), "")
)</f>
        <v>0</v>
      </c>
      <c r="AR67" s="1">
        <f>value(IFERROR(SUBSTITUTE(SUBSTITUTE(VLOOKUP($A67,'Quarterly Pipeline vs Target Pi'!$A:$AP,32,false)," $","")," €",""), "")
)</f>
        <v>0</v>
      </c>
      <c r="AS67" s="17" t="str">
        <f t="shared" si="16"/>
        <v/>
      </c>
      <c r="AT67" s="1">
        <f>value(IFERROR(SUBSTITUTE(SUBSTITUTE(VLOOKUP($A67,'Quarterly Pipeline vs Target Pi'!$A:$AP,36,false)," $","")," €",""), "")
)</f>
        <v>0</v>
      </c>
      <c r="AU67" s="1">
        <f>value(IFERROR(SUBSTITUTE(SUBSTITUTE(VLOOKUP($A67,'Quarterly Pipeline vs Target Pi'!$A:$AP,37,false)," $","")," €",""), "")
)</f>
        <v>0</v>
      </c>
      <c r="AV67" s="17" t="str">
        <f t="shared" si="17"/>
        <v/>
      </c>
      <c r="AW67" s="1">
        <f>value(IFERROR(SUBSTITUTE(SUBSTITUTE(VLOOKUP($A67,'Quarterly Pipeline vs Target Pi'!$A:$AP,41,false)," $","")," €",""), "")
)</f>
        <v>0</v>
      </c>
      <c r="AX67" s="1">
        <f>value(IFERROR(SUBSTITUTE(SUBSTITUTE(VLOOKUP($A67,'Quarterly Pipeline vs Target Pi'!$A:$AP,42,false)," $","")," €",""), "")
)</f>
        <v>0</v>
      </c>
      <c r="AY67" s="17" t="str">
        <f t="shared" si="18"/>
        <v/>
      </c>
      <c r="AZ67" s="1">
        <f t="shared" ref="AZ67:BA67" si="148">sum(AN67,AQ67,AT67,AW67)</f>
        <v>0</v>
      </c>
      <c r="BA67" s="1">
        <f t="shared" si="148"/>
        <v>0</v>
      </c>
      <c r="BB67" s="17" t="str">
        <f t="shared" si="20"/>
        <v/>
      </c>
    </row>
    <row r="68">
      <c r="A68" s="1" t="str">
        <f>IFERROR(__xludf.DUMMYFUNCTION("""COMPUTED_VALUE"""),"633dbc6cec522e697b5af915")</f>
        <v>633dbc6cec522e697b5af915</v>
      </c>
      <c r="B68" s="1" t="str">
        <f>IFERROR(__xludf.DUMMYFUNCTION("""COMPUTED_VALUE"""),"C.H.T. Heinemann GmbH")</f>
        <v>C.H.T. Heinemann GmbH</v>
      </c>
      <c r="C68" s="1" t="str">
        <f>IFERROR(__xludf.DUMMYFUNCTION("""COMPUTED_VALUE"""),"philippe.girard@al-enterprise.com, rui.silva@al-enterprise.com, ralf.kloeppels@al-enterprise.com, andreas.grossheimann@al-enterprise.com, katrin.pfeiffer@al-enterprise.com, sibylle.klopfer@al-enterprise.com, igor.leko@al-enterprise.com")</f>
        <v>philippe.girard@al-enterprise.com, rui.silva@al-enterprise.com, ralf.kloeppels@al-enterprise.com, andreas.grossheimann@al-enterprise.com, katrin.pfeiffer@al-enterprise.com, sibylle.klopfer@al-enterprise.com, igor.leko@al-enterprise.com</v>
      </c>
      <c r="D68" s="1" t="str">
        <f>IFERROR(__xludf.DUMMYFUNCTION("""COMPUTED_VALUE"""),"germany")</f>
        <v>germany</v>
      </c>
      <c r="E68" s="1" t="str">
        <f>IFERROR(__xludf.DUMMYFUNCTION("""COMPUTED_VALUE"""),"DE")</f>
        <v>DE</v>
      </c>
      <c r="F68" s="1" t="str">
        <f>IFERROR(__xludf.DUMMYFUNCTION("""COMPUTED_VALUE"""),"expert_200")</f>
        <v>expert_200</v>
      </c>
      <c r="G68" s="1">
        <f>iferror(VLOOKUP(A68,'Business Plan Setup and Accepta'!A:G,6,false),"")</f>
        <v>1</v>
      </c>
      <c r="H68" s="1">
        <f>iferror(VLOOKUP(A68,'Business Plan Setup and Accepta'!A:G,7,false),"")</f>
        <v>1</v>
      </c>
      <c r="I68" s="17">
        <f t="shared" si="3"/>
        <v>1</v>
      </c>
      <c r="J68" s="1">
        <f>IFERROR(VALUE(SUBSTITUTE(VLOOKUP(A68,'Sales IN Revenues vs Sales targ'!A:G,6,false)," $","")), "")
</f>
        <v>153.16</v>
      </c>
      <c r="K68" s="1">
        <f>IFERROR(VALUE(SUBSTITUTE(VLOOKUP(A68,'Sales IN Revenues vs Sales targ'!A:G,7,false)," $","")), "")
</f>
        <v>407</v>
      </c>
      <c r="L68" s="17">
        <f t="shared" si="4"/>
        <v>0.3763144963</v>
      </c>
      <c r="M68" s="1">
        <f>value(SUBSTITUTE(IFERROR(VLOOKUP(A68,'Certifications achievements vs '!A:G,6,false),""),"#","")
)</f>
        <v>42</v>
      </c>
      <c r="N68" s="1">
        <f>value(SUBSTITUTE(IFERROR(VLOOKUP(A68,'Certifications achievements vs '!A:G,7,false),""),"#","")
)</f>
        <v>52</v>
      </c>
      <c r="O68" s="17">
        <f t="shared" si="5"/>
        <v>0.8076923077</v>
      </c>
      <c r="P68" s="1">
        <f>value(SUBSTITUTE(IFERROR(VLOOKUP(A68,'Communications - Solution Speci'!A:G,6,false),""),"#","")
)</f>
        <v>1</v>
      </c>
      <c r="Q68" s="1">
        <f>value(SUBSTITUTE(IFERROR(VLOOKUP(A68,'Communications - Solution Speci'!A:G,7,false),""),"#","")
)</f>
        <v>1</v>
      </c>
      <c r="R68" s="17">
        <f t="shared" si="6"/>
        <v>1</v>
      </c>
      <c r="S68" s="1">
        <f>value(SUBSTITUTE(IFERROR(VLOOKUP(A68,'Networking - Solution Specializ'!A:G,6,false),""),"#","")
)</f>
        <v>1</v>
      </c>
      <c r="T68" s="1">
        <f>value(SUBSTITUTE(IFERROR(VLOOKUP(A68,'Networking - Solution Specializ'!A:G,7,false),""),"#","")
)</f>
        <v>1</v>
      </c>
      <c r="U68" s="17">
        <f t="shared" si="7"/>
        <v>1</v>
      </c>
      <c r="V68" s="1">
        <f>iferror(vlookup(A68,'Marketing Plan (extract summary'!A:G,6,false),"")</f>
        <v>1</v>
      </c>
      <c r="W68" s="1">
        <f>iferror(vlookup(A68,'Marketing Plan (extract summary'!A:G,7,false),"")</f>
        <v>1</v>
      </c>
      <c r="X68" s="17">
        <f t="shared" si="8"/>
        <v>1</v>
      </c>
      <c r="Y68" s="1">
        <f>value(IFERROR(SUBSTITUTE(SUBSTITUTE(VLOOKUP(A68,'Quarterly Pipeline vs Target Pi'!A:G,6,false)," $","")," €",""), "")
)</f>
        <v>4.68</v>
      </c>
      <c r="Z68" s="1">
        <f>value(IFERROR(SUBSTITUTE(SUBSTITUTE(VLOOKUP(A68,'Quarterly Pipeline vs Target Pi'!A:G,7,false)," $","")," €",""), "")
)</f>
        <v>0</v>
      </c>
      <c r="AA68" s="17" t="str">
        <f t="shared" si="9"/>
        <v/>
      </c>
      <c r="AB68" s="1">
        <f>value(IFERROR(SUBSTITUTE(SUBSTITUTE(VLOOKUP($A68,'Quarterly Pipeline vs Target Pi'!$A:$V,11,false)," $","")," €",""), "")
)</f>
        <v>2.42</v>
      </c>
      <c r="AC68" s="1">
        <f>value(IFERROR(SUBSTITUTE(SUBSTITUTE(VLOOKUP($A68,'Quarterly Pipeline vs Target Pi'!$A:$V,12,false)," $","")," €",""), "")
)</f>
        <v>186.36</v>
      </c>
      <c r="AD68" s="17">
        <f t="shared" si="10"/>
        <v>0.01298561923</v>
      </c>
      <c r="AE68" s="1">
        <f>value(IFERROR(SUBSTITUTE(SUBSTITUTE(VLOOKUP($A68,'Quarterly Pipeline vs Target Pi'!$A:$V,16,false)," $","")," €",""), "")
)</f>
        <v>4.68</v>
      </c>
      <c r="AF68" s="1">
        <f>value(IFERROR(SUBSTITUTE(SUBSTITUTE(VLOOKUP($A68,'Quarterly Pipeline vs Target Pi'!$A:$V,17,false)," $","")," €",""), "")
)</f>
        <v>231.82</v>
      </c>
      <c r="AG68" s="17">
        <f t="shared" si="11"/>
        <v>0.02018807696</v>
      </c>
      <c r="AH68" s="1">
        <f>value(IFERROR(SUBSTITUTE(SUBSTITUTE(VLOOKUP($A68,'Quarterly Pipeline vs Target Pi'!$A:$V,21,false)," $","")," €",""), "")
)</f>
        <v>229.03</v>
      </c>
      <c r="AI68" s="1">
        <f>value(IFERROR(SUBSTITUTE(SUBSTITUTE(VLOOKUP($A68,'Quarterly Pipeline vs Target Pi'!$A:$V,22,false)," $","")," €",""), "")
)</f>
        <v>322.73</v>
      </c>
      <c r="AJ68" s="17">
        <f t="shared" si="12"/>
        <v>0.7096644254</v>
      </c>
      <c r="AK68" s="1">
        <f t="shared" ref="AK68:AL68" si="149">sum(Y68,AB68,AE68,AH68)</f>
        <v>240.81</v>
      </c>
      <c r="AL68" s="1">
        <f t="shared" si="149"/>
        <v>740.91</v>
      </c>
      <c r="AM68" s="17">
        <f t="shared" si="14"/>
        <v>0.3250192331</v>
      </c>
      <c r="AN68" s="1">
        <f>value(IFERROR(SUBSTITUTE(SUBSTITUTE(VLOOKUP($A68,'Quarterly Pipeline vs Target Pi'!$A:$AP,26,false)," $","")," €",""), "")
)</f>
        <v>0</v>
      </c>
      <c r="AO68" s="1">
        <f>value(IFERROR(SUBSTITUTE(SUBSTITUTE(VLOOKUP($A68,'Quarterly Pipeline vs Target Pi'!$A:$AP,27,false)," $","")," €",""), "")
)</f>
        <v>0</v>
      </c>
      <c r="AP68" s="17" t="str">
        <f t="shared" si="15"/>
        <v/>
      </c>
      <c r="AQ68" s="1">
        <f>value(IFERROR(SUBSTITUTE(SUBSTITUTE(VLOOKUP($A68,'Quarterly Pipeline vs Target Pi'!$A:$AP,31,false)," $","")," €",""), "")
)</f>
        <v>0</v>
      </c>
      <c r="AR68" s="1">
        <f>value(IFERROR(SUBSTITUTE(SUBSTITUTE(VLOOKUP($A68,'Quarterly Pipeline vs Target Pi'!$A:$AP,32,false)," $","")," €",""), "")
)</f>
        <v>0</v>
      </c>
      <c r="AS68" s="17" t="str">
        <f t="shared" si="16"/>
        <v/>
      </c>
      <c r="AT68" s="1">
        <f>value(IFERROR(SUBSTITUTE(SUBSTITUTE(VLOOKUP($A68,'Quarterly Pipeline vs Target Pi'!$A:$AP,36,false)," $","")," €",""), "")
)</f>
        <v>0</v>
      </c>
      <c r="AU68" s="1">
        <f>value(IFERROR(SUBSTITUTE(SUBSTITUTE(VLOOKUP($A68,'Quarterly Pipeline vs Target Pi'!$A:$AP,37,false)," $","")," €",""), "")
)</f>
        <v>0</v>
      </c>
      <c r="AV68" s="17" t="str">
        <f t="shared" si="17"/>
        <v/>
      </c>
      <c r="AW68" s="1">
        <f>value(IFERROR(SUBSTITUTE(SUBSTITUTE(VLOOKUP($A68,'Quarterly Pipeline vs Target Pi'!$A:$AP,41,false)," $","")," €",""), "")
)</f>
        <v>0</v>
      </c>
      <c r="AX68" s="1">
        <f>value(IFERROR(SUBSTITUTE(SUBSTITUTE(VLOOKUP($A68,'Quarterly Pipeline vs Target Pi'!$A:$AP,42,false)," $","")," €",""), "")
)</f>
        <v>0</v>
      </c>
      <c r="AY68" s="17" t="str">
        <f t="shared" si="18"/>
        <v/>
      </c>
      <c r="AZ68" s="1">
        <f t="shared" ref="AZ68:BA68" si="150">sum(AN68,AQ68,AT68,AW68)</f>
        <v>0</v>
      </c>
      <c r="BA68" s="1">
        <f t="shared" si="150"/>
        <v>0</v>
      </c>
      <c r="BB68" s="17" t="str">
        <f t="shared" si="20"/>
        <v/>
      </c>
    </row>
    <row r="69">
      <c r="A69" s="1" t="str">
        <f>IFERROR(__xludf.DUMMYFUNCTION("""COMPUTED_VALUE"""),"63fcbb81a107c871cf564d8b")</f>
        <v>63fcbb81a107c871cf564d8b</v>
      </c>
      <c r="B69" s="1" t="str">
        <f>IFERROR(__xludf.DUMMYFUNCTION("""COMPUTED_VALUE"""),"Cable Com Inc.")</f>
        <v>Cable Com Inc.</v>
      </c>
      <c r="C69" s="1" t="str">
        <f>IFERROR(__xludf.DUMMYFUNCTION("""COMPUTED_VALUE"""),"steve.mcglasson@al-enterprise.com")</f>
        <v>steve.mcglasson@al-enterprise.com</v>
      </c>
      <c r="D69" s="1" t="str">
        <f>IFERROR(__xludf.DUMMYFUNCTION("""COMPUTED_VALUE"""),"americas")</f>
        <v>americas</v>
      </c>
      <c r="E69" s="1" t="str">
        <f>IFERROR(__xludf.DUMMYFUNCTION("""COMPUTED_VALUE"""),"US")</f>
        <v>US</v>
      </c>
      <c r="F69" s="1"/>
      <c r="G69" s="1" t="str">
        <f>iferror(VLOOKUP(A69,'Business Plan Setup and Accepta'!A:G,6,false),"")</f>
        <v/>
      </c>
      <c r="H69" s="1" t="str">
        <f>iferror(VLOOKUP(A69,'Business Plan Setup and Accepta'!A:G,7,false),"")</f>
        <v/>
      </c>
      <c r="I69" s="17" t="str">
        <f t="shared" si="3"/>
        <v/>
      </c>
      <c r="J69" s="1" t="str">
        <f>IFERROR(VALUE(SUBSTITUTE(VLOOKUP(A69,'Sales IN Revenues vs Sales targ'!A:G,6,false)," $","")), "")
</f>
        <v/>
      </c>
      <c r="K69" s="1" t="str">
        <f>IFERROR(VALUE(SUBSTITUTE(VLOOKUP(A69,'Sales IN Revenues vs Sales targ'!A:G,7,false)," $","")), "")
</f>
        <v/>
      </c>
      <c r="L69" s="17" t="str">
        <f t="shared" si="4"/>
        <v/>
      </c>
      <c r="M69" s="1">
        <f>value(SUBSTITUTE(IFERROR(VLOOKUP(A69,'Certifications achievements vs '!A:G,6,false),""),"#","")
)</f>
        <v>0</v>
      </c>
      <c r="N69" s="1">
        <f>value(SUBSTITUTE(IFERROR(VLOOKUP(A69,'Certifications achievements vs '!A:G,7,false),""),"#","")
)</f>
        <v>0</v>
      </c>
      <c r="O69" s="17" t="str">
        <f t="shared" si="5"/>
        <v/>
      </c>
      <c r="P69" s="1">
        <f>value(SUBSTITUTE(IFERROR(VLOOKUP(A69,'Communications - Solution Speci'!A:G,6,false),""),"#","")
)</f>
        <v>0</v>
      </c>
      <c r="Q69" s="1">
        <f>value(SUBSTITUTE(IFERROR(VLOOKUP(A69,'Communications - Solution Speci'!A:G,7,false),""),"#","")
)</f>
        <v>0</v>
      </c>
      <c r="R69" s="17" t="str">
        <f t="shared" si="6"/>
        <v/>
      </c>
      <c r="S69" s="1">
        <f>value(SUBSTITUTE(IFERROR(VLOOKUP(A69,'Networking - Solution Specializ'!A:G,6,false),""),"#","")
)</f>
        <v>0</v>
      </c>
      <c r="T69" s="1">
        <f>value(SUBSTITUTE(IFERROR(VLOOKUP(A69,'Networking - Solution Specializ'!A:G,7,false),""),"#","")
)</f>
        <v>0</v>
      </c>
      <c r="U69" s="17" t="str">
        <f t="shared" si="7"/>
        <v/>
      </c>
      <c r="V69" s="1" t="str">
        <f>iferror(vlookup(A69,'Marketing Plan (extract summary'!A:G,6,false),"")</f>
        <v/>
      </c>
      <c r="W69" s="1" t="str">
        <f>iferror(vlookup(A69,'Marketing Plan (extract summary'!A:G,7,false),"")</f>
        <v/>
      </c>
      <c r="X69" s="17" t="str">
        <f t="shared" si="8"/>
        <v/>
      </c>
      <c r="Y69" s="1">
        <f>value(IFERROR(SUBSTITUTE(SUBSTITUTE(VLOOKUP(A69,'Quarterly Pipeline vs Target Pi'!A:G,6,false)," $","")," €",""), "")
)</f>
        <v>0</v>
      </c>
      <c r="Z69" s="1">
        <f>value(IFERROR(SUBSTITUTE(SUBSTITUTE(VLOOKUP(A69,'Quarterly Pipeline vs Target Pi'!A:G,7,false)," $","")," €",""), "")
)</f>
        <v>0</v>
      </c>
      <c r="AA69" s="17" t="str">
        <f t="shared" si="9"/>
        <v/>
      </c>
      <c r="AB69" s="1">
        <f>value(IFERROR(SUBSTITUTE(SUBSTITUTE(VLOOKUP($A69,'Quarterly Pipeline vs Target Pi'!$A:$V,11,false)," $","")," €",""), "")
)</f>
        <v>0</v>
      </c>
      <c r="AC69" s="1">
        <f>value(IFERROR(SUBSTITUTE(SUBSTITUTE(VLOOKUP($A69,'Quarterly Pipeline vs Target Pi'!$A:$V,12,false)," $","")," €",""), "")
)</f>
        <v>0</v>
      </c>
      <c r="AD69" s="17" t="str">
        <f t="shared" si="10"/>
        <v/>
      </c>
      <c r="AE69" s="1">
        <f>value(IFERROR(SUBSTITUTE(SUBSTITUTE(VLOOKUP($A69,'Quarterly Pipeline vs Target Pi'!$A:$V,16,false)," $","")," €",""), "")
)</f>
        <v>0</v>
      </c>
      <c r="AF69" s="1">
        <f>value(IFERROR(SUBSTITUTE(SUBSTITUTE(VLOOKUP($A69,'Quarterly Pipeline vs Target Pi'!$A:$V,17,false)," $","")," €",""), "")
)</f>
        <v>0</v>
      </c>
      <c r="AG69" s="17" t="str">
        <f t="shared" si="11"/>
        <v/>
      </c>
      <c r="AH69" s="1">
        <f>value(IFERROR(SUBSTITUTE(SUBSTITUTE(VLOOKUP($A69,'Quarterly Pipeline vs Target Pi'!$A:$V,21,false)," $","")," €",""), "")
)</f>
        <v>0</v>
      </c>
      <c r="AI69" s="1">
        <f>value(IFERROR(SUBSTITUTE(SUBSTITUTE(VLOOKUP($A69,'Quarterly Pipeline vs Target Pi'!$A:$V,22,false)," $","")," €",""), "")
)</f>
        <v>0</v>
      </c>
      <c r="AJ69" s="17" t="str">
        <f t="shared" si="12"/>
        <v/>
      </c>
      <c r="AK69" s="1">
        <f t="shared" ref="AK69:AL69" si="151">sum(Y69,AB69,AE69,AH69)</f>
        <v>0</v>
      </c>
      <c r="AL69" s="1">
        <f t="shared" si="151"/>
        <v>0</v>
      </c>
      <c r="AM69" s="17" t="str">
        <f t="shared" si="14"/>
        <v/>
      </c>
      <c r="AN69" s="1">
        <f>value(IFERROR(SUBSTITUTE(SUBSTITUTE(VLOOKUP($A69,'Quarterly Pipeline vs Target Pi'!$A:$AP,26,false)," $","")," €",""), "")
)</f>
        <v>0</v>
      </c>
      <c r="AO69" s="1">
        <f>value(IFERROR(SUBSTITUTE(SUBSTITUTE(VLOOKUP($A69,'Quarterly Pipeline vs Target Pi'!$A:$AP,27,false)," $","")," €",""), "")
)</f>
        <v>0</v>
      </c>
      <c r="AP69" s="17" t="str">
        <f t="shared" si="15"/>
        <v/>
      </c>
      <c r="AQ69" s="1">
        <f>value(IFERROR(SUBSTITUTE(SUBSTITUTE(VLOOKUP($A69,'Quarterly Pipeline vs Target Pi'!$A:$AP,31,false)," $","")," €",""), "")
)</f>
        <v>0</v>
      </c>
      <c r="AR69" s="1">
        <f>value(IFERROR(SUBSTITUTE(SUBSTITUTE(VLOOKUP($A69,'Quarterly Pipeline vs Target Pi'!$A:$AP,32,false)," $","")," €",""), "")
)</f>
        <v>0</v>
      </c>
      <c r="AS69" s="17" t="str">
        <f t="shared" si="16"/>
        <v/>
      </c>
      <c r="AT69" s="1">
        <f>value(IFERROR(SUBSTITUTE(SUBSTITUTE(VLOOKUP($A69,'Quarterly Pipeline vs Target Pi'!$A:$AP,36,false)," $","")," €",""), "")
)</f>
        <v>0</v>
      </c>
      <c r="AU69" s="1">
        <f>value(IFERROR(SUBSTITUTE(SUBSTITUTE(VLOOKUP($A69,'Quarterly Pipeline vs Target Pi'!$A:$AP,37,false)," $","")," €",""), "")
)</f>
        <v>0</v>
      </c>
      <c r="AV69" s="17" t="str">
        <f t="shared" si="17"/>
        <v/>
      </c>
      <c r="AW69" s="1">
        <f>value(IFERROR(SUBSTITUTE(SUBSTITUTE(VLOOKUP($A69,'Quarterly Pipeline vs Target Pi'!$A:$AP,41,false)," $","")," €",""), "")
)</f>
        <v>0</v>
      </c>
      <c r="AX69" s="1">
        <f>value(IFERROR(SUBSTITUTE(SUBSTITUTE(VLOOKUP($A69,'Quarterly Pipeline vs Target Pi'!$A:$AP,42,false)," $","")," €",""), "")
)</f>
        <v>0</v>
      </c>
      <c r="AY69" s="17" t="str">
        <f t="shared" si="18"/>
        <v/>
      </c>
      <c r="AZ69" s="1">
        <f t="shared" ref="AZ69:BA69" si="152">sum(AN69,AQ69,AT69,AW69)</f>
        <v>0</v>
      </c>
      <c r="BA69" s="1">
        <f t="shared" si="152"/>
        <v>0</v>
      </c>
      <c r="BB69" s="17" t="str">
        <f t="shared" si="20"/>
        <v/>
      </c>
    </row>
    <row r="70">
      <c r="A70" s="1" t="str">
        <f>IFERROR(__xludf.DUMMYFUNCTION("""COMPUTED_VALUE"""),"63ced840c5c820531c267d03")</f>
        <v>63ced840c5c820531c267d03</v>
      </c>
      <c r="B70" s="1" t="str">
        <f>IFERROR(__xludf.DUMMYFUNCTION("""COMPUTED_VALUE"""),"CABLE ONE INC")</f>
        <v>CABLE ONE INC</v>
      </c>
      <c r="C70" s="1" t="str">
        <f>IFERROR(__xludf.DUMMYFUNCTION("""COMPUTED_VALUE"""),"steve.mcglasson@al-enterprise.com")</f>
        <v>steve.mcglasson@al-enterprise.com</v>
      </c>
      <c r="D70" s="1" t="str">
        <f>IFERROR(__xludf.DUMMYFUNCTION("""COMPUTED_VALUE"""),"americas")</f>
        <v>americas</v>
      </c>
      <c r="E70" s="1" t="str">
        <f>IFERROR(__xludf.DUMMYFUNCTION("""COMPUTED_VALUE"""),"US")</f>
        <v>US</v>
      </c>
      <c r="F70" s="1"/>
      <c r="G70" s="1" t="str">
        <f>iferror(VLOOKUP(A70,'Business Plan Setup and Accepta'!A:G,6,false),"")</f>
        <v/>
      </c>
      <c r="H70" s="1" t="str">
        <f>iferror(VLOOKUP(A70,'Business Plan Setup and Accepta'!A:G,7,false),"")</f>
        <v/>
      </c>
      <c r="I70" s="17" t="str">
        <f t="shared" si="3"/>
        <v/>
      </c>
      <c r="J70" s="1" t="str">
        <f>IFERROR(VALUE(SUBSTITUTE(VLOOKUP(A70,'Sales IN Revenues vs Sales targ'!A:G,6,false)," $","")), "")
</f>
        <v/>
      </c>
      <c r="K70" s="1" t="str">
        <f>IFERROR(VALUE(SUBSTITUTE(VLOOKUP(A70,'Sales IN Revenues vs Sales targ'!A:G,7,false)," $","")), "")
</f>
        <v/>
      </c>
      <c r="L70" s="17" t="str">
        <f t="shared" si="4"/>
        <v/>
      </c>
      <c r="M70" s="1">
        <f>value(SUBSTITUTE(IFERROR(VLOOKUP(A70,'Certifications achievements vs '!A:G,6,false),""),"#","")
)</f>
        <v>0</v>
      </c>
      <c r="N70" s="1">
        <f>value(SUBSTITUTE(IFERROR(VLOOKUP(A70,'Certifications achievements vs '!A:G,7,false),""),"#","")
)</f>
        <v>0</v>
      </c>
      <c r="O70" s="17" t="str">
        <f t="shared" si="5"/>
        <v/>
      </c>
      <c r="P70" s="1">
        <f>value(SUBSTITUTE(IFERROR(VLOOKUP(A70,'Communications - Solution Speci'!A:G,6,false),""),"#","")
)</f>
        <v>0</v>
      </c>
      <c r="Q70" s="1">
        <f>value(SUBSTITUTE(IFERROR(VLOOKUP(A70,'Communications - Solution Speci'!A:G,7,false),""),"#","")
)</f>
        <v>0</v>
      </c>
      <c r="R70" s="17" t="str">
        <f t="shared" si="6"/>
        <v/>
      </c>
      <c r="S70" s="1">
        <f>value(SUBSTITUTE(IFERROR(VLOOKUP(A70,'Networking - Solution Specializ'!A:G,6,false),""),"#","")
)</f>
        <v>0</v>
      </c>
      <c r="T70" s="1">
        <f>value(SUBSTITUTE(IFERROR(VLOOKUP(A70,'Networking - Solution Specializ'!A:G,7,false),""),"#","")
)</f>
        <v>0</v>
      </c>
      <c r="U70" s="17" t="str">
        <f t="shared" si="7"/>
        <v/>
      </c>
      <c r="V70" s="1" t="str">
        <f>iferror(vlookup(A70,'Marketing Plan (extract summary'!A:G,6,false),"")</f>
        <v/>
      </c>
      <c r="W70" s="1" t="str">
        <f>iferror(vlookup(A70,'Marketing Plan (extract summary'!A:G,7,false),"")</f>
        <v/>
      </c>
      <c r="X70" s="17" t="str">
        <f t="shared" si="8"/>
        <v/>
      </c>
      <c r="Y70" s="1">
        <f>value(IFERROR(SUBSTITUTE(SUBSTITUTE(VLOOKUP(A70,'Quarterly Pipeline vs Target Pi'!A:G,6,false)," $","")," €",""), "")
)</f>
        <v>0</v>
      </c>
      <c r="Z70" s="1">
        <f>value(IFERROR(SUBSTITUTE(SUBSTITUTE(VLOOKUP(A70,'Quarterly Pipeline vs Target Pi'!A:G,7,false)," $","")," €",""), "")
)</f>
        <v>0</v>
      </c>
      <c r="AA70" s="17" t="str">
        <f t="shared" si="9"/>
        <v/>
      </c>
      <c r="AB70" s="1">
        <f>value(IFERROR(SUBSTITUTE(SUBSTITUTE(VLOOKUP($A70,'Quarterly Pipeline vs Target Pi'!$A:$V,11,false)," $","")," €",""), "")
)</f>
        <v>0</v>
      </c>
      <c r="AC70" s="1">
        <f>value(IFERROR(SUBSTITUTE(SUBSTITUTE(VLOOKUP($A70,'Quarterly Pipeline vs Target Pi'!$A:$V,12,false)," $","")," €",""), "")
)</f>
        <v>0</v>
      </c>
      <c r="AD70" s="17" t="str">
        <f t="shared" si="10"/>
        <v/>
      </c>
      <c r="AE70" s="1">
        <f>value(IFERROR(SUBSTITUTE(SUBSTITUTE(VLOOKUP($A70,'Quarterly Pipeline vs Target Pi'!$A:$V,16,false)," $","")," €",""), "")
)</f>
        <v>0</v>
      </c>
      <c r="AF70" s="1">
        <f>value(IFERROR(SUBSTITUTE(SUBSTITUTE(VLOOKUP($A70,'Quarterly Pipeline vs Target Pi'!$A:$V,17,false)," $","")," €",""), "")
)</f>
        <v>0</v>
      </c>
      <c r="AG70" s="17" t="str">
        <f t="shared" si="11"/>
        <v/>
      </c>
      <c r="AH70" s="1">
        <f>value(IFERROR(SUBSTITUTE(SUBSTITUTE(VLOOKUP($A70,'Quarterly Pipeline vs Target Pi'!$A:$V,21,false)," $","")," €",""), "")
)</f>
        <v>0</v>
      </c>
      <c r="AI70" s="1">
        <f>value(IFERROR(SUBSTITUTE(SUBSTITUTE(VLOOKUP($A70,'Quarterly Pipeline vs Target Pi'!$A:$V,22,false)," $","")," €",""), "")
)</f>
        <v>0</v>
      </c>
      <c r="AJ70" s="17" t="str">
        <f t="shared" si="12"/>
        <v/>
      </c>
      <c r="AK70" s="1">
        <f t="shared" ref="AK70:AL70" si="153">sum(Y70,AB70,AE70,AH70)</f>
        <v>0</v>
      </c>
      <c r="AL70" s="1">
        <f t="shared" si="153"/>
        <v>0</v>
      </c>
      <c r="AM70" s="17" t="str">
        <f t="shared" si="14"/>
        <v/>
      </c>
      <c r="AN70" s="1">
        <f>value(IFERROR(SUBSTITUTE(SUBSTITUTE(VLOOKUP($A70,'Quarterly Pipeline vs Target Pi'!$A:$AP,26,false)," $","")," €",""), "")
)</f>
        <v>0</v>
      </c>
      <c r="AO70" s="1">
        <f>value(IFERROR(SUBSTITUTE(SUBSTITUTE(VLOOKUP($A70,'Quarterly Pipeline vs Target Pi'!$A:$AP,27,false)," $","")," €",""), "")
)</f>
        <v>0</v>
      </c>
      <c r="AP70" s="17" t="str">
        <f t="shared" si="15"/>
        <v/>
      </c>
      <c r="AQ70" s="1">
        <f>value(IFERROR(SUBSTITUTE(SUBSTITUTE(VLOOKUP($A70,'Quarterly Pipeline vs Target Pi'!$A:$AP,31,false)," $","")," €",""), "")
)</f>
        <v>0</v>
      </c>
      <c r="AR70" s="1">
        <f>value(IFERROR(SUBSTITUTE(SUBSTITUTE(VLOOKUP($A70,'Quarterly Pipeline vs Target Pi'!$A:$AP,32,false)," $","")," €",""), "")
)</f>
        <v>0</v>
      </c>
      <c r="AS70" s="17" t="str">
        <f t="shared" si="16"/>
        <v/>
      </c>
      <c r="AT70" s="1">
        <f>value(IFERROR(SUBSTITUTE(SUBSTITUTE(VLOOKUP($A70,'Quarterly Pipeline vs Target Pi'!$A:$AP,36,false)," $","")," €",""), "")
)</f>
        <v>0</v>
      </c>
      <c r="AU70" s="1">
        <f>value(IFERROR(SUBSTITUTE(SUBSTITUTE(VLOOKUP($A70,'Quarterly Pipeline vs Target Pi'!$A:$AP,37,false)," $","")," €",""), "")
)</f>
        <v>0</v>
      </c>
      <c r="AV70" s="17" t="str">
        <f t="shared" si="17"/>
        <v/>
      </c>
      <c r="AW70" s="1">
        <f>value(IFERROR(SUBSTITUTE(SUBSTITUTE(VLOOKUP($A70,'Quarterly Pipeline vs Target Pi'!$A:$AP,41,false)," $","")," €",""), "")
)</f>
        <v>0</v>
      </c>
      <c r="AX70" s="1">
        <f>value(IFERROR(SUBSTITUTE(SUBSTITUTE(VLOOKUP($A70,'Quarterly Pipeline vs Target Pi'!$A:$AP,42,false)," $","")," €",""), "")
)</f>
        <v>0</v>
      </c>
      <c r="AY70" s="17" t="str">
        <f t="shared" si="18"/>
        <v/>
      </c>
      <c r="AZ70" s="1">
        <f t="shared" ref="AZ70:BA70" si="154">sum(AN70,AQ70,AT70,AW70)</f>
        <v>0</v>
      </c>
      <c r="BA70" s="1">
        <f t="shared" si="154"/>
        <v>0</v>
      </c>
      <c r="BB70" s="17" t="str">
        <f t="shared" si="20"/>
        <v/>
      </c>
    </row>
    <row r="71">
      <c r="A71" s="1" t="str">
        <f>IFERROR(__xludf.DUMMYFUNCTION("""COMPUTED_VALUE"""),"62a880af9a27b1712b24907b")</f>
        <v>62a880af9a27b1712b24907b</v>
      </c>
      <c r="B71" s="1" t="str">
        <f>IFERROR(__xludf.DUMMYFUNCTION("""COMPUTED_VALUE"""),"CAD &amp; LAN S.A.")</f>
        <v>CAD &amp; LAN S.A.</v>
      </c>
      <c r="C71" s="1" t="str">
        <f>IFERROR(__xludf.DUMMYFUNCTION("""COMPUTED_VALUE"""),"rui.silva@al-enterprise.com, javier.cruz@al-enterprise.com, astrid.savorani@al-enterprise.com, rafael.andreo@al-enterprise.com, esther.alonso@al-enterprise.com, marcos.rodriguez@al-enterprise.com")</f>
        <v>rui.silva@al-enterprise.com, javier.cruz@al-enterprise.com, astrid.savorani@al-enterprise.com, rafael.andreo@al-enterprise.com, esther.alonso@al-enterprise.com, marcos.rodriguez@al-enterprise.com</v>
      </c>
      <c r="D71" s="1" t="str">
        <f>IFERROR(__xludf.DUMMYFUNCTION("""COMPUTED_VALUE"""),"emea")</f>
        <v>emea</v>
      </c>
      <c r="E71" s="1" t="str">
        <f>IFERROR(__xludf.DUMMYFUNCTION("""COMPUTED_VALUE"""),"ES")</f>
        <v>ES</v>
      </c>
      <c r="F71" s="1"/>
      <c r="G71" s="1" t="str">
        <f>iferror(VLOOKUP(A71,'Business Plan Setup and Accepta'!A:G,6,false),"")</f>
        <v/>
      </c>
      <c r="H71" s="1" t="str">
        <f>iferror(VLOOKUP(A71,'Business Plan Setup and Accepta'!A:G,7,false),"")</f>
        <v/>
      </c>
      <c r="I71" s="17" t="str">
        <f t="shared" si="3"/>
        <v/>
      </c>
      <c r="J71" s="1" t="str">
        <f>IFERROR(VALUE(SUBSTITUTE(VLOOKUP(A71,'Sales IN Revenues vs Sales targ'!A:G,6,false)," $","")), "")
</f>
        <v/>
      </c>
      <c r="K71" s="1" t="str">
        <f>IFERROR(VALUE(SUBSTITUTE(VLOOKUP(A71,'Sales IN Revenues vs Sales targ'!A:G,7,false)," $","")), "")
</f>
        <v/>
      </c>
      <c r="L71" s="17" t="str">
        <f t="shared" si="4"/>
        <v/>
      </c>
      <c r="M71" s="1">
        <f>value(SUBSTITUTE(IFERROR(VLOOKUP(A71,'Certifications achievements vs '!A:G,6,false),""),"#","")
)</f>
        <v>6</v>
      </c>
      <c r="N71" s="1">
        <f>value(SUBSTITUTE(IFERROR(VLOOKUP(A71,'Certifications achievements vs '!A:G,7,false),""),"#","")
)</f>
        <v>0</v>
      </c>
      <c r="O71" s="17" t="str">
        <f t="shared" si="5"/>
        <v/>
      </c>
      <c r="P71" s="1">
        <f>value(SUBSTITUTE(IFERROR(VLOOKUP(A71,'Communications - Solution Speci'!A:G,6,false),""),"#","")
)</f>
        <v>0</v>
      </c>
      <c r="Q71" s="1">
        <f>value(SUBSTITUTE(IFERROR(VLOOKUP(A71,'Communications - Solution Speci'!A:G,7,false),""),"#","")
)</f>
        <v>0</v>
      </c>
      <c r="R71" s="17" t="str">
        <f t="shared" si="6"/>
        <v/>
      </c>
      <c r="S71" s="1">
        <f>value(SUBSTITUTE(IFERROR(VLOOKUP(A71,'Networking - Solution Specializ'!A:G,6,false),""),"#","")
)</f>
        <v>0</v>
      </c>
      <c r="T71" s="1">
        <f>value(SUBSTITUTE(IFERROR(VLOOKUP(A71,'Networking - Solution Specializ'!A:G,7,false),""),"#","")
)</f>
        <v>0</v>
      </c>
      <c r="U71" s="17" t="str">
        <f t="shared" si="7"/>
        <v/>
      </c>
      <c r="V71" s="1" t="str">
        <f>iferror(vlookup(A71,'Marketing Plan (extract summary'!A:G,6,false),"")</f>
        <v/>
      </c>
      <c r="W71" s="1" t="str">
        <f>iferror(vlookup(A71,'Marketing Plan (extract summary'!A:G,7,false),"")</f>
        <v/>
      </c>
      <c r="X71" s="17" t="str">
        <f t="shared" si="8"/>
        <v/>
      </c>
      <c r="Y71" s="1">
        <f>value(IFERROR(SUBSTITUTE(SUBSTITUTE(VLOOKUP(A71,'Quarterly Pipeline vs Target Pi'!A:G,6,false)," $","")," €",""), "")
)</f>
        <v>0</v>
      </c>
      <c r="Z71" s="1">
        <f>value(IFERROR(SUBSTITUTE(SUBSTITUTE(VLOOKUP(A71,'Quarterly Pipeline vs Target Pi'!A:G,7,false)," $","")," €",""), "")
)</f>
        <v>0</v>
      </c>
      <c r="AA71" s="17" t="str">
        <f t="shared" si="9"/>
        <v/>
      </c>
      <c r="AB71" s="1">
        <f>value(IFERROR(SUBSTITUTE(SUBSTITUTE(VLOOKUP($A71,'Quarterly Pipeline vs Target Pi'!$A:$V,11,false)," $","")," €",""), "")
)</f>
        <v>0</v>
      </c>
      <c r="AC71" s="1">
        <f>value(IFERROR(SUBSTITUTE(SUBSTITUTE(VLOOKUP($A71,'Quarterly Pipeline vs Target Pi'!$A:$V,12,false)," $","")," €",""), "")
)</f>
        <v>0</v>
      </c>
      <c r="AD71" s="17" t="str">
        <f t="shared" si="10"/>
        <v/>
      </c>
      <c r="AE71" s="1">
        <f>value(IFERROR(SUBSTITUTE(SUBSTITUTE(VLOOKUP($A71,'Quarterly Pipeline vs Target Pi'!$A:$V,16,false)," $","")," €",""), "")
)</f>
        <v>0</v>
      </c>
      <c r="AF71" s="1">
        <f>value(IFERROR(SUBSTITUTE(SUBSTITUTE(VLOOKUP($A71,'Quarterly Pipeline vs Target Pi'!$A:$V,17,false)," $","")," €",""), "")
)</f>
        <v>0</v>
      </c>
      <c r="AG71" s="17" t="str">
        <f t="shared" si="11"/>
        <v/>
      </c>
      <c r="AH71" s="1">
        <f>value(IFERROR(SUBSTITUTE(SUBSTITUTE(VLOOKUP($A71,'Quarterly Pipeline vs Target Pi'!$A:$V,21,false)," $","")," €",""), "")
)</f>
        <v>0</v>
      </c>
      <c r="AI71" s="1">
        <f>value(IFERROR(SUBSTITUTE(SUBSTITUTE(VLOOKUP($A71,'Quarterly Pipeline vs Target Pi'!$A:$V,22,false)," $","")," €",""), "")
)</f>
        <v>0</v>
      </c>
      <c r="AJ71" s="17" t="str">
        <f t="shared" si="12"/>
        <v/>
      </c>
      <c r="AK71" s="1">
        <f t="shared" ref="AK71:AL71" si="155">sum(Y71,AB71,AE71,AH71)</f>
        <v>0</v>
      </c>
      <c r="AL71" s="1">
        <f t="shared" si="155"/>
        <v>0</v>
      </c>
      <c r="AM71" s="17" t="str">
        <f t="shared" si="14"/>
        <v/>
      </c>
      <c r="AN71" s="1">
        <f>value(IFERROR(SUBSTITUTE(SUBSTITUTE(VLOOKUP($A71,'Quarterly Pipeline vs Target Pi'!$A:$AP,26,false)," $","")," €",""), "")
)</f>
        <v>0</v>
      </c>
      <c r="AO71" s="1">
        <f>value(IFERROR(SUBSTITUTE(SUBSTITUTE(VLOOKUP($A71,'Quarterly Pipeline vs Target Pi'!$A:$AP,27,false)," $","")," €",""), "")
)</f>
        <v>0</v>
      </c>
      <c r="AP71" s="17" t="str">
        <f t="shared" si="15"/>
        <v/>
      </c>
      <c r="AQ71" s="1">
        <f>value(IFERROR(SUBSTITUTE(SUBSTITUTE(VLOOKUP($A71,'Quarterly Pipeline vs Target Pi'!$A:$AP,31,false)," $","")," €",""), "")
)</f>
        <v>0</v>
      </c>
      <c r="AR71" s="1">
        <f>value(IFERROR(SUBSTITUTE(SUBSTITUTE(VLOOKUP($A71,'Quarterly Pipeline vs Target Pi'!$A:$AP,32,false)," $","")," €",""), "")
)</f>
        <v>0</v>
      </c>
      <c r="AS71" s="17" t="str">
        <f t="shared" si="16"/>
        <v/>
      </c>
      <c r="AT71" s="1">
        <f>value(IFERROR(SUBSTITUTE(SUBSTITUTE(VLOOKUP($A71,'Quarterly Pipeline vs Target Pi'!$A:$AP,36,false)," $","")," €",""), "")
)</f>
        <v>0</v>
      </c>
      <c r="AU71" s="1">
        <f>value(IFERROR(SUBSTITUTE(SUBSTITUTE(VLOOKUP($A71,'Quarterly Pipeline vs Target Pi'!$A:$AP,37,false)," $","")," €",""), "")
)</f>
        <v>0</v>
      </c>
      <c r="AV71" s="17" t="str">
        <f t="shared" si="17"/>
        <v/>
      </c>
      <c r="AW71" s="1">
        <f>value(IFERROR(SUBSTITUTE(SUBSTITUTE(VLOOKUP($A71,'Quarterly Pipeline vs Target Pi'!$A:$AP,41,false)," $","")," €",""), "")
)</f>
        <v>0</v>
      </c>
      <c r="AX71" s="1">
        <f>value(IFERROR(SUBSTITUTE(SUBSTITUTE(VLOOKUP($A71,'Quarterly Pipeline vs Target Pi'!$A:$AP,42,false)," $","")," €",""), "")
)</f>
        <v>0</v>
      </c>
      <c r="AY71" s="17" t="str">
        <f t="shared" si="18"/>
        <v/>
      </c>
      <c r="AZ71" s="1">
        <f t="shared" ref="AZ71:BA71" si="156">sum(AN71,AQ71,AT71,AW71)</f>
        <v>0</v>
      </c>
      <c r="BA71" s="1">
        <f t="shared" si="156"/>
        <v>0</v>
      </c>
      <c r="BB71" s="17" t="str">
        <f t="shared" si="20"/>
        <v/>
      </c>
    </row>
    <row r="72">
      <c r="A72" s="1" t="str">
        <f>IFERROR(__xludf.DUMMYFUNCTION("""COMPUTED_VALUE"""),"63ea6e9352ad6968805ceaa9")</f>
        <v>63ea6e9352ad6968805ceaa9</v>
      </c>
      <c r="B72" s="1" t="str">
        <f>IFERROR(__xludf.DUMMYFUNCTION("""COMPUTED_VALUE"""),"Call-Data-Systems GmbH")</f>
        <v>Call-Data-Systems GmbH</v>
      </c>
      <c r="C72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72" s="1" t="str">
        <f>IFERROR(__xludf.DUMMYFUNCTION("""COMPUTED_VALUE"""),"germany")</f>
        <v>germany</v>
      </c>
      <c r="E72" s="1" t="str">
        <f>IFERROR(__xludf.DUMMYFUNCTION("""COMPUTED_VALUE"""),"DE")</f>
        <v>DE</v>
      </c>
      <c r="F72" s="1" t="str">
        <f>IFERROR(__xludf.DUMMYFUNCTION("""COMPUTED_VALUE"""),"expert_200")</f>
        <v>expert_200</v>
      </c>
      <c r="G72" s="1">
        <f>iferror(VLOOKUP(A72,'Business Plan Setup and Accepta'!A:G,6,false),"")</f>
        <v>1</v>
      </c>
      <c r="H72" s="1">
        <f>iferror(VLOOKUP(A72,'Business Plan Setup and Accepta'!A:G,7,false),"")</f>
        <v>1</v>
      </c>
      <c r="I72" s="17">
        <f t="shared" si="3"/>
        <v>1</v>
      </c>
      <c r="J72" s="1">
        <f>IFERROR(VALUE(SUBSTITUTE(VLOOKUP(A72,'Sales IN Revenues vs Sales targ'!A:G,6,false)," $","")), "")
</f>
        <v>289.89</v>
      </c>
      <c r="K72" s="1">
        <f>IFERROR(VALUE(SUBSTITUTE(VLOOKUP(A72,'Sales IN Revenues vs Sales targ'!A:G,7,false)," $","")), "")
</f>
        <v>926</v>
      </c>
      <c r="L72" s="17">
        <f t="shared" si="4"/>
        <v>0.3130561555</v>
      </c>
      <c r="M72" s="1">
        <f>value(SUBSTITUTE(IFERROR(VLOOKUP(A72,'Certifications achievements vs '!A:G,6,false),""),"#","")
)</f>
        <v>40</v>
      </c>
      <c r="N72" s="1">
        <f>value(SUBSTITUTE(IFERROR(VLOOKUP(A72,'Certifications achievements vs '!A:G,7,false),""),"#","")
)</f>
        <v>52</v>
      </c>
      <c r="O72" s="17">
        <f t="shared" si="5"/>
        <v>0.7692307692</v>
      </c>
      <c r="P72" s="1">
        <f>value(SUBSTITUTE(IFERROR(VLOOKUP(A72,'Communications - Solution Speci'!A:G,6,false),""),"#","")
)</f>
        <v>1</v>
      </c>
      <c r="Q72" s="1">
        <f>value(SUBSTITUTE(IFERROR(VLOOKUP(A72,'Communications - Solution Speci'!A:G,7,false),""),"#","")
)</f>
        <v>1</v>
      </c>
      <c r="R72" s="17">
        <f t="shared" si="6"/>
        <v>1</v>
      </c>
      <c r="S72" s="1">
        <f>value(SUBSTITUTE(IFERROR(VLOOKUP(A72,'Networking - Solution Specializ'!A:G,6,false),""),"#","")
)</f>
        <v>1</v>
      </c>
      <c r="T72" s="1">
        <f>value(SUBSTITUTE(IFERROR(VLOOKUP(A72,'Networking - Solution Specializ'!A:G,7,false),""),"#","")
)</f>
        <v>1</v>
      </c>
      <c r="U72" s="17">
        <f t="shared" si="7"/>
        <v>1</v>
      </c>
      <c r="V72" s="1">
        <f>iferror(vlookup(A72,'Marketing Plan (extract summary'!A:G,6,false),"")</f>
        <v>1</v>
      </c>
      <c r="W72" s="1">
        <f>iferror(vlookup(A72,'Marketing Plan (extract summary'!A:G,7,false),"")</f>
        <v>1</v>
      </c>
      <c r="X72" s="17">
        <f t="shared" si="8"/>
        <v>1</v>
      </c>
      <c r="Y72" s="1">
        <f>value(IFERROR(SUBSTITUTE(SUBSTITUTE(VLOOKUP(A72,'Quarterly Pipeline vs Target Pi'!A:G,6,false)," $","")," €",""), "")
)</f>
        <v>0.59</v>
      </c>
      <c r="Z72" s="1">
        <f>value(IFERROR(SUBSTITUTE(SUBSTITUTE(VLOOKUP(A72,'Quarterly Pipeline vs Target Pi'!A:G,7,false)," $","")," €",""), "")
)</f>
        <v>0</v>
      </c>
      <c r="AA72" s="17" t="str">
        <f t="shared" si="9"/>
        <v/>
      </c>
      <c r="AB72" s="1">
        <f>value(IFERROR(SUBSTITUTE(SUBSTITUTE(VLOOKUP($A72,'Quarterly Pipeline vs Target Pi'!$A:$V,11,false)," $","")," €",""), "")
)</f>
        <v>12.97</v>
      </c>
      <c r="AC72" s="1">
        <f>value(IFERROR(SUBSTITUTE(SUBSTITUTE(VLOOKUP($A72,'Quarterly Pipeline vs Target Pi'!$A:$V,12,false)," $","")," €",""), "")
)</f>
        <v>440.95</v>
      </c>
      <c r="AD72" s="17">
        <f t="shared" si="10"/>
        <v>0.02941376573</v>
      </c>
      <c r="AE72" s="1">
        <f>value(IFERROR(SUBSTITUTE(SUBSTITUTE(VLOOKUP($A72,'Quarterly Pipeline vs Target Pi'!$A:$V,16,false)," $","")," €",""), "")
)</f>
        <v>90.97</v>
      </c>
      <c r="AF72" s="1">
        <f>value(IFERROR(SUBSTITUTE(SUBSTITUTE(VLOOKUP($A72,'Quarterly Pipeline vs Target Pi'!$A:$V,17,false)," $","")," €",""), "")
)</f>
        <v>661.43</v>
      </c>
      <c r="AG72" s="17">
        <f t="shared" si="11"/>
        <v>0.1375353401</v>
      </c>
      <c r="AH72" s="1">
        <f>value(IFERROR(SUBSTITUTE(SUBSTITUTE(VLOOKUP($A72,'Quarterly Pipeline vs Target Pi'!$A:$V,21,false)," $","")," €",""), "")
)</f>
        <v>340.9</v>
      </c>
      <c r="AI72" s="1">
        <f>value(IFERROR(SUBSTITUTE(SUBSTITUTE(VLOOKUP($A72,'Quarterly Pipeline vs Target Pi'!$A:$V,22,false)," $","")," €",""), "")
)</f>
        <v>661.43</v>
      </c>
      <c r="AJ72" s="17">
        <f t="shared" si="12"/>
        <v>0.5153984549</v>
      </c>
      <c r="AK72" s="1">
        <f t="shared" ref="AK72:AL72" si="157">sum(Y72,AB72,AE72,AH72)</f>
        <v>445.43</v>
      </c>
      <c r="AL72" s="1">
        <f t="shared" si="157"/>
        <v>1763.81</v>
      </c>
      <c r="AM72" s="17">
        <f t="shared" si="14"/>
        <v>0.2525385387</v>
      </c>
      <c r="AN72" s="1">
        <f>value(IFERROR(SUBSTITUTE(SUBSTITUTE(VLOOKUP($A72,'Quarterly Pipeline vs Target Pi'!$A:$AP,26,false)," $","")," €",""), "")
)</f>
        <v>25</v>
      </c>
      <c r="AO72" s="1">
        <f>value(IFERROR(SUBSTITUTE(SUBSTITUTE(VLOOKUP($A72,'Quarterly Pipeline vs Target Pi'!$A:$AP,27,false)," $","")," €",""), "")
)</f>
        <v>0</v>
      </c>
      <c r="AP72" s="17" t="str">
        <f t="shared" si="15"/>
        <v/>
      </c>
      <c r="AQ72" s="1">
        <f>value(IFERROR(SUBSTITUTE(SUBSTITUTE(VLOOKUP($A72,'Quarterly Pipeline vs Target Pi'!$A:$AP,31,false)," $","")," €",""), "")
)</f>
        <v>567.55</v>
      </c>
      <c r="AR72" s="1">
        <f>value(IFERROR(SUBSTITUTE(SUBSTITUTE(VLOOKUP($A72,'Quarterly Pipeline vs Target Pi'!$A:$AP,32,false)," $","")," €",""), "")
)</f>
        <v>0</v>
      </c>
      <c r="AS72" s="17" t="str">
        <f t="shared" si="16"/>
        <v/>
      </c>
      <c r="AT72" s="1">
        <f>value(IFERROR(SUBSTITUTE(SUBSTITUTE(VLOOKUP($A72,'Quarterly Pipeline vs Target Pi'!$A:$AP,36,false)," $","")," €",""), "")
)</f>
        <v>0.46</v>
      </c>
      <c r="AU72" s="1">
        <f>value(IFERROR(SUBSTITUTE(SUBSTITUTE(VLOOKUP($A72,'Quarterly Pipeline vs Target Pi'!$A:$AP,37,false)," $","")," €",""), "")
)</f>
        <v>0</v>
      </c>
      <c r="AV72" s="17" t="str">
        <f t="shared" si="17"/>
        <v/>
      </c>
      <c r="AW72" s="1">
        <f>value(IFERROR(SUBSTITUTE(SUBSTITUTE(VLOOKUP($A72,'Quarterly Pipeline vs Target Pi'!$A:$AP,41,false)," $","")," €",""), "")
)</f>
        <v>0</v>
      </c>
      <c r="AX72" s="1">
        <f>value(IFERROR(SUBSTITUTE(SUBSTITUTE(VLOOKUP($A72,'Quarterly Pipeline vs Target Pi'!$A:$AP,42,false)," $","")," €",""), "")
)</f>
        <v>0</v>
      </c>
      <c r="AY72" s="17" t="str">
        <f t="shared" si="18"/>
        <v/>
      </c>
      <c r="AZ72" s="1">
        <f t="shared" ref="AZ72:BA72" si="158">sum(AN72,AQ72,AT72,AW72)</f>
        <v>593.01</v>
      </c>
      <c r="BA72" s="1">
        <f t="shared" si="158"/>
        <v>0</v>
      </c>
      <c r="BB72" s="17" t="str">
        <f t="shared" si="20"/>
        <v/>
      </c>
    </row>
    <row r="73">
      <c r="A73" s="1" t="str">
        <f>IFERROR(__xludf.DUMMYFUNCTION("""COMPUTED_VALUE"""),"6488e1ea863dcd5166276b03")</f>
        <v>6488e1ea863dcd5166276b03</v>
      </c>
      <c r="B73" s="1" t="str">
        <f>IFERROR(__xludf.DUMMYFUNCTION("""COMPUTED_VALUE"""),"Carrier &amp; Gable Inc.")</f>
        <v>Carrier &amp; Gable Inc.</v>
      </c>
      <c r="C73" s="1" t="str">
        <f>IFERROR(__xludf.DUMMYFUNCTION("""COMPUTED_VALUE"""),"kyle.stetar@al-enterprise.com")</f>
        <v>kyle.stetar@al-enterprise.com</v>
      </c>
      <c r="D73" s="1" t="str">
        <f>IFERROR(__xludf.DUMMYFUNCTION("""COMPUTED_VALUE"""),"americas")</f>
        <v>americas</v>
      </c>
      <c r="E73" s="1" t="str">
        <f>IFERROR(__xludf.DUMMYFUNCTION("""COMPUTED_VALUE"""),"US")</f>
        <v>US</v>
      </c>
      <c r="F73" s="1"/>
      <c r="G73" s="1" t="str">
        <f>iferror(VLOOKUP(A73,'Business Plan Setup and Accepta'!A:G,6,false),"")</f>
        <v/>
      </c>
      <c r="H73" s="1" t="str">
        <f>iferror(VLOOKUP(A73,'Business Plan Setup and Accepta'!A:G,7,false),"")</f>
        <v/>
      </c>
      <c r="I73" s="17" t="str">
        <f t="shared" si="3"/>
        <v/>
      </c>
      <c r="J73" s="1" t="str">
        <f>IFERROR(VALUE(SUBSTITUTE(VLOOKUP(A73,'Sales IN Revenues vs Sales targ'!A:G,6,false)," $","")), "")
</f>
        <v/>
      </c>
      <c r="K73" s="1" t="str">
        <f>IFERROR(VALUE(SUBSTITUTE(VLOOKUP(A73,'Sales IN Revenues vs Sales targ'!A:G,7,false)," $","")), "")
</f>
        <v/>
      </c>
      <c r="L73" s="17" t="str">
        <f t="shared" si="4"/>
        <v/>
      </c>
      <c r="M73" s="1">
        <f>value(SUBSTITUTE(IFERROR(VLOOKUP(A73,'Certifications achievements vs '!A:G,6,false),""),"#","")
)</f>
        <v>0</v>
      </c>
      <c r="N73" s="1">
        <f>value(SUBSTITUTE(IFERROR(VLOOKUP(A73,'Certifications achievements vs '!A:G,7,false),""),"#","")
)</f>
        <v>0</v>
      </c>
      <c r="O73" s="17" t="str">
        <f t="shared" si="5"/>
        <v/>
      </c>
      <c r="P73" s="1">
        <f>value(SUBSTITUTE(IFERROR(VLOOKUP(A73,'Communications - Solution Speci'!A:G,6,false),""),"#","")
)</f>
        <v>0</v>
      </c>
      <c r="Q73" s="1">
        <f>value(SUBSTITUTE(IFERROR(VLOOKUP(A73,'Communications - Solution Speci'!A:G,7,false),""),"#","")
)</f>
        <v>0</v>
      </c>
      <c r="R73" s="17" t="str">
        <f t="shared" si="6"/>
        <v/>
      </c>
      <c r="S73" s="1">
        <f>value(SUBSTITUTE(IFERROR(VLOOKUP(A73,'Networking - Solution Specializ'!A:G,6,false),""),"#","")
)</f>
        <v>0</v>
      </c>
      <c r="T73" s="1">
        <f>value(SUBSTITUTE(IFERROR(VLOOKUP(A73,'Networking - Solution Specializ'!A:G,7,false),""),"#","")
)</f>
        <v>0</v>
      </c>
      <c r="U73" s="17" t="str">
        <f t="shared" si="7"/>
        <v/>
      </c>
      <c r="V73" s="1" t="str">
        <f>iferror(vlookup(A73,'Marketing Plan (extract summary'!A:G,6,false),"")</f>
        <v/>
      </c>
      <c r="W73" s="1" t="str">
        <f>iferror(vlookup(A73,'Marketing Plan (extract summary'!A:G,7,false),"")</f>
        <v/>
      </c>
      <c r="X73" s="17" t="str">
        <f t="shared" si="8"/>
        <v/>
      </c>
      <c r="Y73" s="1">
        <f>value(IFERROR(SUBSTITUTE(SUBSTITUTE(VLOOKUP(A73,'Quarterly Pipeline vs Target Pi'!A:G,6,false)," $","")," €",""), "")
)</f>
        <v>0</v>
      </c>
      <c r="Z73" s="1">
        <f>value(IFERROR(SUBSTITUTE(SUBSTITUTE(VLOOKUP(A73,'Quarterly Pipeline vs Target Pi'!A:G,7,false)," $","")," €",""), "")
)</f>
        <v>0</v>
      </c>
      <c r="AA73" s="17" t="str">
        <f t="shared" si="9"/>
        <v/>
      </c>
      <c r="AB73" s="1">
        <f>value(IFERROR(SUBSTITUTE(SUBSTITUTE(VLOOKUP($A73,'Quarterly Pipeline vs Target Pi'!$A:$V,11,false)," $","")," €",""), "")
)</f>
        <v>0</v>
      </c>
      <c r="AC73" s="1">
        <f>value(IFERROR(SUBSTITUTE(SUBSTITUTE(VLOOKUP($A73,'Quarterly Pipeline vs Target Pi'!$A:$V,12,false)," $","")," €",""), "")
)</f>
        <v>0</v>
      </c>
      <c r="AD73" s="17" t="str">
        <f t="shared" si="10"/>
        <v/>
      </c>
      <c r="AE73" s="1">
        <f>value(IFERROR(SUBSTITUTE(SUBSTITUTE(VLOOKUP($A73,'Quarterly Pipeline vs Target Pi'!$A:$V,16,false)," $","")," €",""), "")
)</f>
        <v>0</v>
      </c>
      <c r="AF73" s="1">
        <f>value(IFERROR(SUBSTITUTE(SUBSTITUTE(VLOOKUP($A73,'Quarterly Pipeline vs Target Pi'!$A:$V,17,false)," $","")," €",""), "")
)</f>
        <v>0</v>
      </c>
      <c r="AG73" s="17" t="str">
        <f t="shared" si="11"/>
        <v/>
      </c>
      <c r="AH73" s="1">
        <f>value(IFERROR(SUBSTITUTE(SUBSTITUTE(VLOOKUP($A73,'Quarterly Pipeline vs Target Pi'!$A:$V,21,false)," $","")," €",""), "")
)</f>
        <v>0</v>
      </c>
      <c r="AI73" s="1">
        <f>value(IFERROR(SUBSTITUTE(SUBSTITUTE(VLOOKUP($A73,'Quarterly Pipeline vs Target Pi'!$A:$V,22,false)," $","")," €",""), "")
)</f>
        <v>0</v>
      </c>
      <c r="AJ73" s="17" t="str">
        <f t="shared" si="12"/>
        <v/>
      </c>
      <c r="AK73" s="1">
        <f t="shared" ref="AK73:AL73" si="159">sum(Y73,AB73,AE73,AH73)</f>
        <v>0</v>
      </c>
      <c r="AL73" s="1">
        <f t="shared" si="159"/>
        <v>0</v>
      </c>
      <c r="AM73" s="17" t="str">
        <f t="shared" si="14"/>
        <v/>
      </c>
      <c r="AN73" s="1">
        <f>value(IFERROR(SUBSTITUTE(SUBSTITUTE(VLOOKUP($A73,'Quarterly Pipeline vs Target Pi'!$A:$AP,26,false)," $","")," €",""), "")
)</f>
        <v>0</v>
      </c>
      <c r="AO73" s="1">
        <f>value(IFERROR(SUBSTITUTE(SUBSTITUTE(VLOOKUP($A73,'Quarterly Pipeline vs Target Pi'!$A:$AP,27,false)," $","")," €",""), "")
)</f>
        <v>0</v>
      </c>
      <c r="AP73" s="17" t="str">
        <f t="shared" si="15"/>
        <v/>
      </c>
      <c r="AQ73" s="1">
        <f>value(IFERROR(SUBSTITUTE(SUBSTITUTE(VLOOKUP($A73,'Quarterly Pipeline vs Target Pi'!$A:$AP,31,false)," $","")," €",""), "")
)</f>
        <v>0</v>
      </c>
      <c r="AR73" s="1">
        <f>value(IFERROR(SUBSTITUTE(SUBSTITUTE(VLOOKUP($A73,'Quarterly Pipeline vs Target Pi'!$A:$AP,32,false)," $","")," €",""), "")
)</f>
        <v>0</v>
      </c>
      <c r="AS73" s="17" t="str">
        <f t="shared" si="16"/>
        <v/>
      </c>
      <c r="AT73" s="1">
        <f>value(IFERROR(SUBSTITUTE(SUBSTITUTE(VLOOKUP($A73,'Quarterly Pipeline vs Target Pi'!$A:$AP,36,false)," $","")," €",""), "")
)</f>
        <v>0</v>
      </c>
      <c r="AU73" s="1">
        <f>value(IFERROR(SUBSTITUTE(SUBSTITUTE(VLOOKUP($A73,'Quarterly Pipeline vs Target Pi'!$A:$AP,37,false)," $","")," €",""), "")
)</f>
        <v>0</v>
      </c>
      <c r="AV73" s="17" t="str">
        <f t="shared" si="17"/>
        <v/>
      </c>
      <c r="AW73" s="1">
        <f>value(IFERROR(SUBSTITUTE(SUBSTITUTE(VLOOKUP($A73,'Quarterly Pipeline vs Target Pi'!$A:$AP,41,false)," $","")," €",""), "")
)</f>
        <v>0</v>
      </c>
      <c r="AX73" s="1">
        <f>value(IFERROR(SUBSTITUTE(SUBSTITUTE(VLOOKUP($A73,'Quarterly Pipeline vs Target Pi'!$A:$AP,42,false)," $","")," €",""), "")
)</f>
        <v>0</v>
      </c>
      <c r="AY73" s="17" t="str">
        <f t="shared" si="18"/>
        <v/>
      </c>
      <c r="AZ73" s="1">
        <f t="shared" ref="AZ73:BA73" si="160">sum(AN73,AQ73,AT73,AW73)</f>
        <v>0</v>
      </c>
      <c r="BA73" s="1">
        <f t="shared" si="160"/>
        <v>0</v>
      </c>
      <c r="BB73" s="17" t="str">
        <f t="shared" si="20"/>
        <v/>
      </c>
    </row>
    <row r="74">
      <c r="A74" s="1" t="str">
        <f>IFERROR(__xludf.DUMMYFUNCTION("""COMPUTED_VALUE"""),"63ced849c5c820531c268eb5")</f>
        <v>63ced849c5c820531c268eb5</v>
      </c>
      <c r="B74" s="1" t="str">
        <f>IFERROR(__xludf.DUMMYFUNCTION("""COMPUTED_VALUE"""),"CASA DEL CABLE S.A.")</f>
        <v>CASA DEL CABLE S.A.</v>
      </c>
      <c r="C74" s="1" t="str">
        <f>IFERROR(__xludf.DUMMYFUNCTION("""COMPUTED_VALUE"""),"carolina.rodriguez@al-enterprise.com")</f>
        <v>carolina.rodriguez@al-enterprise.com</v>
      </c>
      <c r="D74" s="1" t="str">
        <f>IFERROR(__xludf.DUMMYFUNCTION("""COMPUTED_VALUE"""),"americas")</f>
        <v>americas</v>
      </c>
      <c r="E74" s="1" t="str">
        <f>IFERROR(__xludf.DUMMYFUNCTION("""COMPUTED_VALUE"""),"EC")</f>
        <v>EC</v>
      </c>
      <c r="F74" s="1"/>
      <c r="G74" s="1" t="str">
        <f>iferror(VLOOKUP(A74,'Business Plan Setup and Accepta'!A:G,6,false),"")</f>
        <v/>
      </c>
      <c r="H74" s="1" t="str">
        <f>iferror(VLOOKUP(A74,'Business Plan Setup and Accepta'!A:G,7,false),"")</f>
        <v/>
      </c>
      <c r="I74" s="17" t="str">
        <f t="shared" si="3"/>
        <v/>
      </c>
      <c r="J74" s="1" t="str">
        <f>IFERROR(VALUE(SUBSTITUTE(VLOOKUP(A74,'Sales IN Revenues vs Sales targ'!A:G,6,false)," $","")), "")
</f>
        <v/>
      </c>
      <c r="K74" s="1" t="str">
        <f>IFERROR(VALUE(SUBSTITUTE(VLOOKUP(A74,'Sales IN Revenues vs Sales targ'!A:G,7,false)," $","")), "")
</f>
        <v/>
      </c>
      <c r="L74" s="17" t="str">
        <f t="shared" si="4"/>
        <v/>
      </c>
      <c r="M74" s="1">
        <f>value(SUBSTITUTE(IFERROR(VLOOKUP(A74,'Certifications achievements vs '!A:G,6,false),""),"#","")
)</f>
        <v>5</v>
      </c>
      <c r="N74" s="1">
        <f>value(SUBSTITUTE(IFERROR(VLOOKUP(A74,'Certifications achievements vs '!A:G,7,false),""),"#","")
)</f>
        <v>56</v>
      </c>
      <c r="O74" s="17">
        <f t="shared" si="5"/>
        <v>0.08928571429</v>
      </c>
      <c r="P74" s="1">
        <f>value(SUBSTITUTE(IFERROR(VLOOKUP(A74,'Communications - Solution Speci'!A:G,6,false),""),"#","")
)</f>
        <v>0</v>
      </c>
      <c r="Q74" s="1">
        <f>value(SUBSTITUTE(IFERROR(VLOOKUP(A74,'Communications - Solution Speci'!A:G,7,false),""),"#","")
)</f>
        <v>0</v>
      </c>
      <c r="R74" s="17" t="str">
        <f t="shared" si="6"/>
        <v/>
      </c>
      <c r="S74" s="1">
        <f>value(SUBSTITUTE(IFERROR(VLOOKUP(A74,'Networking - Solution Specializ'!A:G,6,false),""),"#","")
)</f>
        <v>0</v>
      </c>
      <c r="T74" s="1">
        <f>value(SUBSTITUTE(IFERROR(VLOOKUP(A74,'Networking - Solution Specializ'!A:G,7,false),""),"#","")
)</f>
        <v>0</v>
      </c>
      <c r="U74" s="17" t="str">
        <f t="shared" si="7"/>
        <v/>
      </c>
      <c r="V74" s="1" t="str">
        <f>iferror(vlookup(A74,'Marketing Plan (extract summary'!A:G,6,false),"")</f>
        <v/>
      </c>
      <c r="W74" s="1" t="str">
        <f>iferror(vlookup(A74,'Marketing Plan (extract summary'!A:G,7,false),"")</f>
        <v/>
      </c>
      <c r="X74" s="17" t="str">
        <f t="shared" si="8"/>
        <v/>
      </c>
      <c r="Y74" s="1">
        <f>value(IFERROR(SUBSTITUTE(SUBSTITUTE(VLOOKUP(A74,'Quarterly Pipeline vs Target Pi'!A:G,6,false)," $","")," €",""), "")
)</f>
        <v>0</v>
      </c>
      <c r="Z74" s="1">
        <f>value(IFERROR(SUBSTITUTE(SUBSTITUTE(VLOOKUP(A74,'Quarterly Pipeline vs Target Pi'!A:G,7,false)," $","")," €",""), "")
)</f>
        <v>0</v>
      </c>
      <c r="AA74" s="17" t="str">
        <f t="shared" si="9"/>
        <v/>
      </c>
      <c r="AB74" s="1">
        <f>value(IFERROR(SUBSTITUTE(SUBSTITUTE(VLOOKUP($A74,'Quarterly Pipeline vs Target Pi'!$A:$V,11,false)," $","")," €",""), "")
)</f>
        <v>0</v>
      </c>
      <c r="AC74" s="1">
        <f>value(IFERROR(SUBSTITUTE(SUBSTITUTE(VLOOKUP($A74,'Quarterly Pipeline vs Target Pi'!$A:$V,12,false)," $","")," €",""), "")
)</f>
        <v>0</v>
      </c>
      <c r="AD74" s="17" t="str">
        <f t="shared" si="10"/>
        <v/>
      </c>
      <c r="AE74" s="1">
        <f>value(IFERROR(SUBSTITUTE(SUBSTITUTE(VLOOKUP($A74,'Quarterly Pipeline vs Target Pi'!$A:$V,16,false)," $","")," €",""), "")
)</f>
        <v>0</v>
      </c>
      <c r="AF74" s="1">
        <f>value(IFERROR(SUBSTITUTE(SUBSTITUTE(VLOOKUP($A74,'Quarterly Pipeline vs Target Pi'!$A:$V,17,false)," $","")," €",""), "")
)</f>
        <v>0</v>
      </c>
      <c r="AG74" s="17" t="str">
        <f t="shared" si="11"/>
        <v/>
      </c>
      <c r="AH74" s="1">
        <f>value(IFERROR(SUBSTITUTE(SUBSTITUTE(VLOOKUP($A74,'Quarterly Pipeline vs Target Pi'!$A:$V,21,false)," $","")," €",""), "")
)</f>
        <v>0</v>
      </c>
      <c r="AI74" s="1">
        <f>value(IFERROR(SUBSTITUTE(SUBSTITUTE(VLOOKUP($A74,'Quarterly Pipeline vs Target Pi'!$A:$V,22,false)," $","")," €",""), "")
)</f>
        <v>0</v>
      </c>
      <c r="AJ74" s="17" t="str">
        <f t="shared" si="12"/>
        <v/>
      </c>
      <c r="AK74" s="1">
        <f t="shared" ref="AK74:AL74" si="161">sum(Y74,AB74,AE74,AH74)</f>
        <v>0</v>
      </c>
      <c r="AL74" s="1">
        <f t="shared" si="161"/>
        <v>0</v>
      </c>
      <c r="AM74" s="17" t="str">
        <f t="shared" si="14"/>
        <v/>
      </c>
      <c r="AN74" s="1">
        <f>value(IFERROR(SUBSTITUTE(SUBSTITUTE(VLOOKUP($A74,'Quarterly Pipeline vs Target Pi'!$A:$AP,26,false)," $","")," €",""), "")
)</f>
        <v>0</v>
      </c>
      <c r="AO74" s="1">
        <f>value(IFERROR(SUBSTITUTE(SUBSTITUTE(VLOOKUP($A74,'Quarterly Pipeline vs Target Pi'!$A:$AP,27,false)," $","")," €",""), "")
)</f>
        <v>0</v>
      </c>
      <c r="AP74" s="17" t="str">
        <f t="shared" si="15"/>
        <v/>
      </c>
      <c r="AQ74" s="1">
        <f>value(IFERROR(SUBSTITUTE(SUBSTITUTE(VLOOKUP($A74,'Quarterly Pipeline vs Target Pi'!$A:$AP,31,false)," $","")," €",""), "")
)</f>
        <v>0</v>
      </c>
      <c r="AR74" s="1">
        <f>value(IFERROR(SUBSTITUTE(SUBSTITUTE(VLOOKUP($A74,'Quarterly Pipeline vs Target Pi'!$A:$AP,32,false)," $","")," €",""), "")
)</f>
        <v>0</v>
      </c>
      <c r="AS74" s="17" t="str">
        <f t="shared" si="16"/>
        <v/>
      </c>
      <c r="AT74" s="1">
        <f>value(IFERROR(SUBSTITUTE(SUBSTITUTE(VLOOKUP($A74,'Quarterly Pipeline vs Target Pi'!$A:$AP,36,false)," $","")," €",""), "")
)</f>
        <v>0</v>
      </c>
      <c r="AU74" s="1">
        <f>value(IFERROR(SUBSTITUTE(SUBSTITUTE(VLOOKUP($A74,'Quarterly Pipeline vs Target Pi'!$A:$AP,37,false)," $","")," €",""), "")
)</f>
        <v>0</v>
      </c>
      <c r="AV74" s="17" t="str">
        <f t="shared" si="17"/>
        <v/>
      </c>
      <c r="AW74" s="1">
        <f>value(IFERROR(SUBSTITUTE(SUBSTITUTE(VLOOKUP($A74,'Quarterly Pipeline vs Target Pi'!$A:$AP,41,false)," $","")," €",""), "")
)</f>
        <v>0</v>
      </c>
      <c r="AX74" s="1">
        <f>value(IFERROR(SUBSTITUTE(SUBSTITUTE(VLOOKUP($A74,'Quarterly Pipeline vs Target Pi'!$A:$AP,42,false)," $","")," €",""), "")
)</f>
        <v>0</v>
      </c>
      <c r="AY74" s="17" t="str">
        <f t="shared" si="18"/>
        <v/>
      </c>
      <c r="AZ74" s="1">
        <f t="shared" ref="AZ74:BA74" si="162">sum(AN74,AQ74,AT74,AW74)</f>
        <v>0</v>
      </c>
      <c r="BA74" s="1">
        <f t="shared" si="162"/>
        <v>0</v>
      </c>
      <c r="BB74" s="17" t="str">
        <f t="shared" si="20"/>
        <v/>
      </c>
    </row>
    <row r="75">
      <c r="A75" s="1" t="str">
        <f>IFERROR(__xludf.DUMMYFUNCTION("""COMPUTED_VALUE"""),"63ced849c5c820531c268e97")</f>
        <v>63ced849c5c820531c268e97</v>
      </c>
      <c r="B75" s="1" t="str">
        <f>IFERROR(__xludf.DUMMYFUNCTION("""COMPUTED_VALUE"""),"CDTEL S.A.C")</f>
        <v>CDTEL S.A.C</v>
      </c>
      <c r="C75" s="1" t="str">
        <f>IFERROR(__xludf.DUMMYFUNCTION("""COMPUTED_VALUE"""),"carolina.rodriguez@al-enterprise.com")</f>
        <v>carolina.rodriguez@al-enterprise.com</v>
      </c>
      <c r="D75" s="1" t="str">
        <f>IFERROR(__xludf.DUMMYFUNCTION("""COMPUTED_VALUE"""),"americas")</f>
        <v>americas</v>
      </c>
      <c r="E75" s="1" t="str">
        <f>IFERROR(__xludf.DUMMYFUNCTION("""COMPUTED_VALUE"""),"PE")</f>
        <v>PE</v>
      </c>
      <c r="F75" s="1"/>
      <c r="G75" s="1" t="str">
        <f>iferror(VLOOKUP(A75,'Business Plan Setup and Accepta'!A:G,6,false),"")</f>
        <v/>
      </c>
      <c r="H75" s="1" t="str">
        <f>iferror(VLOOKUP(A75,'Business Plan Setup and Accepta'!A:G,7,false),"")</f>
        <v/>
      </c>
      <c r="I75" s="17" t="str">
        <f t="shared" si="3"/>
        <v/>
      </c>
      <c r="J75" s="1" t="str">
        <f>IFERROR(VALUE(SUBSTITUTE(VLOOKUP(A75,'Sales IN Revenues vs Sales targ'!A:G,6,false)," $","")), "")
</f>
        <v/>
      </c>
      <c r="K75" s="1" t="str">
        <f>IFERROR(VALUE(SUBSTITUTE(VLOOKUP(A75,'Sales IN Revenues vs Sales targ'!A:G,7,false)," $","")), "")
</f>
        <v/>
      </c>
      <c r="L75" s="17" t="str">
        <f t="shared" si="4"/>
        <v/>
      </c>
      <c r="M75" s="1">
        <f>value(SUBSTITUTE(IFERROR(VLOOKUP(A75,'Certifications achievements vs '!A:G,6,false),""),"#","")
)</f>
        <v>56</v>
      </c>
      <c r="N75" s="1">
        <f>value(SUBSTITUTE(IFERROR(VLOOKUP(A75,'Certifications achievements vs '!A:G,7,false),""),"#","")
)</f>
        <v>52</v>
      </c>
      <c r="O75" s="17">
        <f t="shared" si="5"/>
        <v>1.076923077</v>
      </c>
      <c r="P75" s="1">
        <f>value(SUBSTITUTE(IFERROR(VLOOKUP(A75,'Communications - Solution Speci'!A:G,6,false),""),"#","")
)</f>
        <v>0</v>
      </c>
      <c r="Q75" s="1">
        <f>value(SUBSTITUTE(IFERROR(VLOOKUP(A75,'Communications - Solution Speci'!A:G,7,false),""),"#","")
)</f>
        <v>0</v>
      </c>
      <c r="R75" s="17" t="str">
        <f t="shared" si="6"/>
        <v/>
      </c>
      <c r="S75" s="1">
        <f>value(SUBSTITUTE(IFERROR(VLOOKUP(A75,'Networking - Solution Specializ'!A:G,6,false),""),"#","")
)</f>
        <v>0</v>
      </c>
      <c r="T75" s="1">
        <f>value(SUBSTITUTE(IFERROR(VLOOKUP(A75,'Networking - Solution Specializ'!A:G,7,false),""),"#","")
)</f>
        <v>0</v>
      </c>
      <c r="U75" s="17" t="str">
        <f t="shared" si="7"/>
        <v/>
      </c>
      <c r="V75" s="1" t="str">
        <f>iferror(vlookup(A75,'Marketing Plan (extract summary'!A:G,6,false),"")</f>
        <v/>
      </c>
      <c r="W75" s="1" t="str">
        <f>iferror(vlookup(A75,'Marketing Plan (extract summary'!A:G,7,false),"")</f>
        <v/>
      </c>
      <c r="X75" s="17" t="str">
        <f t="shared" si="8"/>
        <v/>
      </c>
      <c r="Y75" s="1">
        <f>value(IFERROR(SUBSTITUTE(SUBSTITUTE(VLOOKUP(A75,'Quarterly Pipeline vs Target Pi'!A:G,6,false)," $","")," €",""), "")
)</f>
        <v>0</v>
      </c>
      <c r="Z75" s="1">
        <f>value(IFERROR(SUBSTITUTE(SUBSTITUTE(VLOOKUP(A75,'Quarterly Pipeline vs Target Pi'!A:G,7,false)," $","")," €",""), "")
)</f>
        <v>0</v>
      </c>
      <c r="AA75" s="17" t="str">
        <f t="shared" si="9"/>
        <v/>
      </c>
      <c r="AB75" s="1">
        <f>value(IFERROR(SUBSTITUTE(SUBSTITUTE(VLOOKUP($A75,'Quarterly Pipeline vs Target Pi'!$A:$V,11,false)," $","")," €",""), "")
)</f>
        <v>0</v>
      </c>
      <c r="AC75" s="1">
        <f>value(IFERROR(SUBSTITUTE(SUBSTITUTE(VLOOKUP($A75,'Quarterly Pipeline vs Target Pi'!$A:$V,12,false)," $","")," €",""), "")
)</f>
        <v>0</v>
      </c>
      <c r="AD75" s="17" t="str">
        <f t="shared" si="10"/>
        <v/>
      </c>
      <c r="AE75" s="1">
        <f>value(IFERROR(SUBSTITUTE(SUBSTITUTE(VLOOKUP($A75,'Quarterly Pipeline vs Target Pi'!$A:$V,16,false)," $","")," €",""), "")
)</f>
        <v>0</v>
      </c>
      <c r="AF75" s="1">
        <f>value(IFERROR(SUBSTITUTE(SUBSTITUTE(VLOOKUP($A75,'Quarterly Pipeline vs Target Pi'!$A:$V,17,false)," $","")," €",""), "")
)</f>
        <v>0</v>
      </c>
      <c r="AG75" s="17" t="str">
        <f t="shared" si="11"/>
        <v/>
      </c>
      <c r="AH75" s="1">
        <f>value(IFERROR(SUBSTITUTE(SUBSTITUTE(VLOOKUP($A75,'Quarterly Pipeline vs Target Pi'!$A:$V,21,false)," $","")," €",""), "")
)</f>
        <v>0</v>
      </c>
      <c r="AI75" s="1">
        <f>value(IFERROR(SUBSTITUTE(SUBSTITUTE(VLOOKUP($A75,'Quarterly Pipeline vs Target Pi'!$A:$V,22,false)," $","")," €",""), "")
)</f>
        <v>0</v>
      </c>
      <c r="AJ75" s="17" t="str">
        <f t="shared" si="12"/>
        <v/>
      </c>
      <c r="AK75" s="1">
        <f t="shared" ref="AK75:AL75" si="163">sum(Y75,AB75,AE75,AH75)</f>
        <v>0</v>
      </c>
      <c r="AL75" s="1">
        <f t="shared" si="163"/>
        <v>0</v>
      </c>
      <c r="AM75" s="17" t="str">
        <f t="shared" si="14"/>
        <v/>
      </c>
      <c r="AN75" s="1">
        <f>value(IFERROR(SUBSTITUTE(SUBSTITUTE(VLOOKUP($A75,'Quarterly Pipeline vs Target Pi'!$A:$AP,26,false)," $","")," €",""), "")
)</f>
        <v>0</v>
      </c>
      <c r="AO75" s="1">
        <f>value(IFERROR(SUBSTITUTE(SUBSTITUTE(VLOOKUP($A75,'Quarterly Pipeline vs Target Pi'!$A:$AP,27,false)," $","")," €",""), "")
)</f>
        <v>0</v>
      </c>
      <c r="AP75" s="17" t="str">
        <f t="shared" si="15"/>
        <v/>
      </c>
      <c r="AQ75" s="1">
        <f>value(IFERROR(SUBSTITUTE(SUBSTITUTE(VLOOKUP($A75,'Quarterly Pipeline vs Target Pi'!$A:$AP,31,false)," $","")," €",""), "")
)</f>
        <v>0</v>
      </c>
      <c r="AR75" s="1">
        <f>value(IFERROR(SUBSTITUTE(SUBSTITUTE(VLOOKUP($A75,'Quarterly Pipeline vs Target Pi'!$A:$AP,32,false)," $","")," €",""), "")
)</f>
        <v>0</v>
      </c>
      <c r="AS75" s="17" t="str">
        <f t="shared" si="16"/>
        <v/>
      </c>
      <c r="AT75" s="1">
        <f>value(IFERROR(SUBSTITUTE(SUBSTITUTE(VLOOKUP($A75,'Quarterly Pipeline vs Target Pi'!$A:$AP,36,false)," $","")," €",""), "")
)</f>
        <v>0</v>
      </c>
      <c r="AU75" s="1">
        <f>value(IFERROR(SUBSTITUTE(SUBSTITUTE(VLOOKUP($A75,'Quarterly Pipeline vs Target Pi'!$A:$AP,37,false)," $","")," €",""), "")
)</f>
        <v>0</v>
      </c>
      <c r="AV75" s="17" t="str">
        <f t="shared" si="17"/>
        <v/>
      </c>
      <c r="AW75" s="1">
        <f>value(IFERROR(SUBSTITUTE(SUBSTITUTE(VLOOKUP($A75,'Quarterly Pipeline vs Target Pi'!$A:$AP,41,false)," $","")," €",""), "")
)</f>
        <v>0</v>
      </c>
      <c r="AX75" s="1">
        <f>value(IFERROR(SUBSTITUTE(SUBSTITUTE(VLOOKUP($A75,'Quarterly Pipeline vs Target Pi'!$A:$AP,42,false)," $","")," €",""), "")
)</f>
        <v>0</v>
      </c>
      <c r="AY75" s="17" t="str">
        <f t="shared" si="18"/>
        <v/>
      </c>
      <c r="AZ75" s="1">
        <f t="shared" ref="AZ75:BA75" si="164">sum(AN75,AQ75,AT75,AW75)</f>
        <v>0</v>
      </c>
      <c r="BA75" s="1">
        <f t="shared" si="164"/>
        <v>0</v>
      </c>
      <c r="BB75" s="17" t="str">
        <f t="shared" si="20"/>
        <v/>
      </c>
    </row>
    <row r="76">
      <c r="A76" s="1" t="str">
        <f>IFERROR(__xludf.DUMMYFUNCTION("""COMPUTED_VALUE"""),"63fcbb81a107c871cf564dd1")</f>
        <v>63fcbb81a107c871cf564dd1</v>
      </c>
      <c r="B76" s="1" t="str">
        <f>IFERROR(__xludf.DUMMYFUNCTION("""COMPUTED_VALUE"""),"CDW - USA")</f>
        <v>CDW - USA</v>
      </c>
      <c r="C76" s="1" t="str">
        <f>IFERROR(__xludf.DUMMYFUNCTION("""COMPUTED_VALUE"""),"brendan.flaherty@al-enterprise.com")</f>
        <v>brendan.flaherty@al-enterprise.com</v>
      </c>
      <c r="D76" s="1" t="str">
        <f>IFERROR(__xludf.DUMMYFUNCTION("""COMPUTED_VALUE"""),"americas")</f>
        <v>americas</v>
      </c>
      <c r="E76" s="1" t="str">
        <f>IFERROR(__xludf.DUMMYFUNCTION("""COMPUTED_VALUE"""),"US")</f>
        <v>US</v>
      </c>
      <c r="F76" s="1"/>
      <c r="G76" s="1" t="str">
        <f>iferror(VLOOKUP(A76,'Business Plan Setup and Accepta'!A:G,6,false),"")</f>
        <v/>
      </c>
      <c r="H76" s="1" t="str">
        <f>iferror(VLOOKUP(A76,'Business Plan Setup and Accepta'!A:G,7,false),"")</f>
        <v/>
      </c>
      <c r="I76" s="17" t="str">
        <f t="shared" si="3"/>
        <v/>
      </c>
      <c r="J76" s="1" t="str">
        <f>IFERROR(VALUE(SUBSTITUTE(VLOOKUP(A76,'Sales IN Revenues vs Sales targ'!A:G,6,false)," $","")), "")
</f>
        <v/>
      </c>
      <c r="K76" s="1" t="str">
        <f>IFERROR(VALUE(SUBSTITUTE(VLOOKUP(A76,'Sales IN Revenues vs Sales targ'!A:G,7,false)," $","")), "")
</f>
        <v/>
      </c>
      <c r="L76" s="17" t="str">
        <f t="shared" si="4"/>
        <v/>
      </c>
      <c r="M76" s="1">
        <f>value(SUBSTITUTE(IFERROR(VLOOKUP(A76,'Certifications achievements vs '!A:G,6,false),""),"#","")
)</f>
        <v>0</v>
      </c>
      <c r="N76" s="1">
        <f>value(SUBSTITUTE(IFERROR(VLOOKUP(A76,'Certifications achievements vs '!A:G,7,false),""),"#","")
)</f>
        <v>0</v>
      </c>
      <c r="O76" s="17" t="str">
        <f t="shared" si="5"/>
        <v/>
      </c>
      <c r="P76" s="1">
        <f>value(SUBSTITUTE(IFERROR(VLOOKUP(A76,'Communications - Solution Speci'!A:G,6,false),""),"#","")
)</f>
        <v>0</v>
      </c>
      <c r="Q76" s="1">
        <f>value(SUBSTITUTE(IFERROR(VLOOKUP(A76,'Communications - Solution Speci'!A:G,7,false),""),"#","")
)</f>
        <v>0</v>
      </c>
      <c r="R76" s="17" t="str">
        <f t="shared" si="6"/>
        <v/>
      </c>
      <c r="S76" s="1">
        <f>value(SUBSTITUTE(IFERROR(VLOOKUP(A76,'Networking - Solution Specializ'!A:G,6,false),""),"#","")
)</f>
        <v>0</v>
      </c>
      <c r="T76" s="1">
        <f>value(SUBSTITUTE(IFERROR(VLOOKUP(A76,'Networking - Solution Specializ'!A:G,7,false),""),"#","")
)</f>
        <v>0</v>
      </c>
      <c r="U76" s="17" t="str">
        <f t="shared" si="7"/>
        <v/>
      </c>
      <c r="V76" s="1" t="str">
        <f>iferror(vlookup(A76,'Marketing Plan (extract summary'!A:G,6,false),"")</f>
        <v/>
      </c>
      <c r="W76" s="1" t="str">
        <f>iferror(vlookup(A76,'Marketing Plan (extract summary'!A:G,7,false),"")</f>
        <v/>
      </c>
      <c r="X76" s="17" t="str">
        <f t="shared" si="8"/>
        <v/>
      </c>
      <c r="Y76" s="1">
        <f>value(IFERROR(SUBSTITUTE(SUBSTITUTE(VLOOKUP(A76,'Quarterly Pipeline vs Target Pi'!A:G,6,false)," $","")," €",""), "")
)</f>
        <v>0</v>
      </c>
      <c r="Z76" s="1">
        <f>value(IFERROR(SUBSTITUTE(SUBSTITUTE(VLOOKUP(A76,'Quarterly Pipeline vs Target Pi'!A:G,7,false)," $","")," €",""), "")
)</f>
        <v>0</v>
      </c>
      <c r="AA76" s="17" t="str">
        <f t="shared" si="9"/>
        <v/>
      </c>
      <c r="AB76" s="1">
        <f>value(IFERROR(SUBSTITUTE(SUBSTITUTE(VLOOKUP($A76,'Quarterly Pipeline vs Target Pi'!$A:$V,11,false)," $","")," €",""), "")
)</f>
        <v>0</v>
      </c>
      <c r="AC76" s="1">
        <f>value(IFERROR(SUBSTITUTE(SUBSTITUTE(VLOOKUP($A76,'Quarterly Pipeline vs Target Pi'!$A:$V,12,false)," $","")," €",""), "")
)</f>
        <v>0</v>
      </c>
      <c r="AD76" s="17" t="str">
        <f t="shared" si="10"/>
        <v/>
      </c>
      <c r="AE76" s="1">
        <f>value(IFERROR(SUBSTITUTE(SUBSTITUTE(VLOOKUP($A76,'Quarterly Pipeline vs Target Pi'!$A:$V,16,false)," $","")," €",""), "")
)</f>
        <v>0</v>
      </c>
      <c r="AF76" s="1">
        <f>value(IFERROR(SUBSTITUTE(SUBSTITUTE(VLOOKUP($A76,'Quarterly Pipeline vs Target Pi'!$A:$V,17,false)," $","")," €",""), "")
)</f>
        <v>0</v>
      </c>
      <c r="AG76" s="17" t="str">
        <f t="shared" si="11"/>
        <v/>
      </c>
      <c r="AH76" s="1">
        <f>value(IFERROR(SUBSTITUTE(SUBSTITUTE(VLOOKUP($A76,'Quarterly Pipeline vs Target Pi'!$A:$V,21,false)," $","")," €",""), "")
)</f>
        <v>0</v>
      </c>
      <c r="AI76" s="1">
        <f>value(IFERROR(SUBSTITUTE(SUBSTITUTE(VLOOKUP($A76,'Quarterly Pipeline vs Target Pi'!$A:$V,22,false)," $","")," €",""), "")
)</f>
        <v>0</v>
      </c>
      <c r="AJ76" s="17" t="str">
        <f t="shared" si="12"/>
        <v/>
      </c>
      <c r="AK76" s="1">
        <f t="shared" ref="AK76:AL76" si="165">sum(Y76,AB76,AE76,AH76)</f>
        <v>0</v>
      </c>
      <c r="AL76" s="1">
        <f t="shared" si="165"/>
        <v>0</v>
      </c>
      <c r="AM76" s="17" t="str">
        <f t="shared" si="14"/>
        <v/>
      </c>
      <c r="AN76" s="1">
        <f>value(IFERROR(SUBSTITUTE(SUBSTITUTE(VLOOKUP($A76,'Quarterly Pipeline vs Target Pi'!$A:$AP,26,false)," $","")," €",""), "")
)</f>
        <v>0</v>
      </c>
      <c r="AO76" s="1">
        <f>value(IFERROR(SUBSTITUTE(SUBSTITUTE(VLOOKUP($A76,'Quarterly Pipeline vs Target Pi'!$A:$AP,27,false)," $","")," €",""), "")
)</f>
        <v>0</v>
      </c>
      <c r="AP76" s="17" t="str">
        <f t="shared" si="15"/>
        <v/>
      </c>
      <c r="AQ76" s="1">
        <f>value(IFERROR(SUBSTITUTE(SUBSTITUTE(VLOOKUP($A76,'Quarterly Pipeline vs Target Pi'!$A:$AP,31,false)," $","")," €",""), "")
)</f>
        <v>0</v>
      </c>
      <c r="AR76" s="1">
        <f>value(IFERROR(SUBSTITUTE(SUBSTITUTE(VLOOKUP($A76,'Quarterly Pipeline vs Target Pi'!$A:$AP,32,false)," $","")," €",""), "")
)</f>
        <v>0</v>
      </c>
      <c r="AS76" s="17" t="str">
        <f t="shared" si="16"/>
        <v/>
      </c>
      <c r="AT76" s="1">
        <f>value(IFERROR(SUBSTITUTE(SUBSTITUTE(VLOOKUP($A76,'Quarterly Pipeline vs Target Pi'!$A:$AP,36,false)," $","")," €",""), "")
)</f>
        <v>0</v>
      </c>
      <c r="AU76" s="1">
        <f>value(IFERROR(SUBSTITUTE(SUBSTITUTE(VLOOKUP($A76,'Quarterly Pipeline vs Target Pi'!$A:$AP,37,false)," $","")," €",""), "")
)</f>
        <v>0</v>
      </c>
      <c r="AV76" s="17" t="str">
        <f t="shared" si="17"/>
        <v/>
      </c>
      <c r="AW76" s="1">
        <f>value(IFERROR(SUBSTITUTE(SUBSTITUTE(VLOOKUP($A76,'Quarterly Pipeline vs Target Pi'!$A:$AP,41,false)," $","")," €",""), "")
)</f>
        <v>0</v>
      </c>
      <c r="AX76" s="1">
        <f>value(IFERROR(SUBSTITUTE(SUBSTITUTE(VLOOKUP($A76,'Quarterly Pipeline vs Target Pi'!$A:$AP,42,false)," $","")," €",""), "")
)</f>
        <v>0</v>
      </c>
      <c r="AY76" s="17" t="str">
        <f t="shared" si="18"/>
        <v/>
      </c>
      <c r="AZ76" s="1">
        <f t="shared" ref="AZ76:BA76" si="166">sum(AN76,AQ76,AT76,AW76)</f>
        <v>0</v>
      </c>
      <c r="BA76" s="1">
        <f t="shared" si="166"/>
        <v>0</v>
      </c>
      <c r="BB76" s="17" t="str">
        <f t="shared" si="20"/>
        <v/>
      </c>
    </row>
    <row r="77">
      <c r="A77" s="1" t="str">
        <f>IFERROR(__xludf.DUMMYFUNCTION("""COMPUTED_VALUE"""),"63fcbb86a107c871cf5655b1")</f>
        <v>63fcbb86a107c871cf5655b1</v>
      </c>
      <c r="B77" s="1" t="str">
        <f>IFERROR(__xludf.DUMMYFUNCTION("""COMPUTED_VALUE"""),"Cerium Technologies, S.L.")</f>
        <v>Cerium Technologies, S.L.</v>
      </c>
      <c r="C77" s="1" t="str">
        <f>IFERROR(__xludf.DUMMYFUNCTION("""COMPUTED_VALUE"""),"astrid.savorani@al-enterprise.com, rafael.andreo@al-enterprise.com, esther.alonso@al-enterprise.com, marcos.rodriguez@al-enterprise.com")</f>
        <v>astrid.savorani@al-enterprise.com, rafael.andreo@al-enterprise.com, esther.alonso@al-enterprise.com, marcos.rodriguez@al-enterprise.com</v>
      </c>
      <c r="D77" s="1" t="str">
        <f>IFERROR(__xludf.DUMMYFUNCTION("""COMPUTED_VALUE"""),"emea")</f>
        <v>emea</v>
      </c>
      <c r="E77" s="1" t="str">
        <f>IFERROR(__xludf.DUMMYFUNCTION("""COMPUTED_VALUE"""),"ES")</f>
        <v>ES</v>
      </c>
      <c r="F77" s="1"/>
      <c r="G77" s="1" t="str">
        <f>iferror(VLOOKUP(A77,'Business Plan Setup and Accepta'!A:G,6,false),"")</f>
        <v/>
      </c>
      <c r="H77" s="1" t="str">
        <f>iferror(VLOOKUP(A77,'Business Plan Setup and Accepta'!A:G,7,false),"")</f>
        <v/>
      </c>
      <c r="I77" s="17" t="str">
        <f t="shared" si="3"/>
        <v/>
      </c>
      <c r="J77" s="1" t="str">
        <f>IFERROR(VALUE(SUBSTITUTE(VLOOKUP(A77,'Sales IN Revenues vs Sales targ'!A:G,6,false)," $","")), "")
</f>
        <v/>
      </c>
      <c r="K77" s="1" t="str">
        <f>IFERROR(VALUE(SUBSTITUTE(VLOOKUP(A77,'Sales IN Revenues vs Sales targ'!A:G,7,false)," $","")), "")
</f>
        <v/>
      </c>
      <c r="L77" s="17" t="str">
        <f t="shared" si="4"/>
        <v/>
      </c>
      <c r="M77" s="1">
        <f>value(SUBSTITUTE(IFERROR(VLOOKUP(A77,'Certifications achievements vs '!A:G,6,false),""),"#","")
)</f>
        <v>0</v>
      </c>
      <c r="N77" s="1">
        <f>value(SUBSTITUTE(IFERROR(VLOOKUP(A77,'Certifications achievements vs '!A:G,7,false),""),"#","")
)</f>
        <v>0</v>
      </c>
      <c r="O77" s="17" t="str">
        <f t="shared" si="5"/>
        <v/>
      </c>
      <c r="P77" s="1">
        <f>value(SUBSTITUTE(IFERROR(VLOOKUP(A77,'Communications - Solution Speci'!A:G,6,false),""),"#","")
)</f>
        <v>0</v>
      </c>
      <c r="Q77" s="1">
        <f>value(SUBSTITUTE(IFERROR(VLOOKUP(A77,'Communications - Solution Speci'!A:G,7,false),""),"#","")
)</f>
        <v>0</v>
      </c>
      <c r="R77" s="17" t="str">
        <f t="shared" si="6"/>
        <v/>
      </c>
      <c r="S77" s="1">
        <f>value(SUBSTITUTE(IFERROR(VLOOKUP(A77,'Networking - Solution Specializ'!A:G,6,false),""),"#","")
)</f>
        <v>0</v>
      </c>
      <c r="T77" s="1">
        <f>value(SUBSTITUTE(IFERROR(VLOOKUP(A77,'Networking - Solution Specializ'!A:G,7,false),""),"#","")
)</f>
        <v>0</v>
      </c>
      <c r="U77" s="17" t="str">
        <f t="shared" si="7"/>
        <v/>
      </c>
      <c r="V77" s="1" t="str">
        <f>iferror(vlookup(A77,'Marketing Plan (extract summary'!A:G,6,false),"")</f>
        <v/>
      </c>
      <c r="W77" s="1" t="str">
        <f>iferror(vlookup(A77,'Marketing Plan (extract summary'!A:G,7,false),"")</f>
        <v/>
      </c>
      <c r="X77" s="17" t="str">
        <f t="shared" si="8"/>
        <v/>
      </c>
      <c r="Y77" s="1">
        <f>value(IFERROR(SUBSTITUTE(SUBSTITUTE(VLOOKUP(A77,'Quarterly Pipeline vs Target Pi'!A:G,6,false)," $","")," €",""), "")
)</f>
        <v>0</v>
      </c>
      <c r="Z77" s="1">
        <f>value(IFERROR(SUBSTITUTE(SUBSTITUTE(VLOOKUP(A77,'Quarterly Pipeline vs Target Pi'!A:G,7,false)," $","")," €",""), "")
)</f>
        <v>0</v>
      </c>
      <c r="AA77" s="17" t="str">
        <f t="shared" si="9"/>
        <v/>
      </c>
      <c r="AB77" s="1">
        <f>value(IFERROR(SUBSTITUTE(SUBSTITUTE(VLOOKUP($A77,'Quarterly Pipeline vs Target Pi'!$A:$V,11,false)," $","")," €",""), "")
)</f>
        <v>0</v>
      </c>
      <c r="AC77" s="1">
        <f>value(IFERROR(SUBSTITUTE(SUBSTITUTE(VLOOKUP($A77,'Quarterly Pipeline vs Target Pi'!$A:$V,12,false)," $","")," €",""), "")
)</f>
        <v>0</v>
      </c>
      <c r="AD77" s="17" t="str">
        <f t="shared" si="10"/>
        <v/>
      </c>
      <c r="AE77" s="1">
        <f>value(IFERROR(SUBSTITUTE(SUBSTITUTE(VLOOKUP($A77,'Quarterly Pipeline vs Target Pi'!$A:$V,16,false)," $","")," €",""), "")
)</f>
        <v>0</v>
      </c>
      <c r="AF77" s="1">
        <f>value(IFERROR(SUBSTITUTE(SUBSTITUTE(VLOOKUP($A77,'Quarterly Pipeline vs Target Pi'!$A:$V,17,false)," $","")," €",""), "")
)</f>
        <v>0</v>
      </c>
      <c r="AG77" s="17" t="str">
        <f t="shared" si="11"/>
        <v/>
      </c>
      <c r="AH77" s="1">
        <f>value(IFERROR(SUBSTITUTE(SUBSTITUTE(VLOOKUP($A77,'Quarterly Pipeline vs Target Pi'!$A:$V,21,false)," $","")," €",""), "")
)</f>
        <v>0</v>
      </c>
      <c r="AI77" s="1">
        <f>value(IFERROR(SUBSTITUTE(SUBSTITUTE(VLOOKUP($A77,'Quarterly Pipeline vs Target Pi'!$A:$V,22,false)," $","")," €",""), "")
)</f>
        <v>0</v>
      </c>
      <c r="AJ77" s="17" t="str">
        <f t="shared" si="12"/>
        <v/>
      </c>
      <c r="AK77" s="1">
        <f t="shared" ref="AK77:AL77" si="167">sum(Y77,AB77,AE77,AH77)</f>
        <v>0</v>
      </c>
      <c r="AL77" s="1">
        <f t="shared" si="167"/>
        <v>0</v>
      </c>
      <c r="AM77" s="17" t="str">
        <f t="shared" si="14"/>
        <v/>
      </c>
      <c r="AN77" s="1">
        <f>value(IFERROR(SUBSTITUTE(SUBSTITUTE(VLOOKUP($A77,'Quarterly Pipeline vs Target Pi'!$A:$AP,26,false)," $","")," €",""), "")
)</f>
        <v>0</v>
      </c>
      <c r="AO77" s="1">
        <f>value(IFERROR(SUBSTITUTE(SUBSTITUTE(VLOOKUP($A77,'Quarterly Pipeline vs Target Pi'!$A:$AP,27,false)," $","")," €",""), "")
)</f>
        <v>0</v>
      </c>
      <c r="AP77" s="17" t="str">
        <f t="shared" si="15"/>
        <v/>
      </c>
      <c r="AQ77" s="1">
        <f>value(IFERROR(SUBSTITUTE(SUBSTITUTE(VLOOKUP($A77,'Quarterly Pipeline vs Target Pi'!$A:$AP,31,false)," $","")," €",""), "")
)</f>
        <v>0</v>
      </c>
      <c r="AR77" s="1">
        <f>value(IFERROR(SUBSTITUTE(SUBSTITUTE(VLOOKUP($A77,'Quarterly Pipeline vs Target Pi'!$A:$AP,32,false)," $","")," €",""), "")
)</f>
        <v>0</v>
      </c>
      <c r="AS77" s="17" t="str">
        <f t="shared" si="16"/>
        <v/>
      </c>
      <c r="AT77" s="1">
        <f>value(IFERROR(SUBSTITUTE(SUBSTITUTE(VLOOKUP($A77,'Quarterly Pipeline vs Target Pi'!$A:$AP,36,false)," $","")," €",""), "")
)</f>
        <v>0</v>
      </c>
      <c r="AU77" s="1">
        <f>value(IFERROR(SUBSTITUTE(SUBSTITUTE(VLOOKUP($A77,'Quarterly Pipeline vs Target Pi'!$A:$AP,37,false)," $","")," €",""), "")
)</f>
        <v>0</v>
      </c>
      <c r="AV77" s="17" t="str">
        <f t="shared" si="17"/>
        <v/>
      </c>
      <c r="AW77" s="1">
        <f>value(IFERROR(SUBSTITUTE(SUBSTITUTE(VLOOKUP($A77,'Quarterly Pipeline vs Target Pi'!$A:$AP,41,false)," $","")," €",""), "")
)</f>
        <v>0</v>
      </c>
      <c r="AX77" s="1">
        <f>value(IFERROR(SUBSTITUTE(SUBSTITUTE(VLOOKUP($A77,'Quarterly Pipeline vs Target Pi'!$A:$AP,42,false)," $","")," €",""), "")
)</f>
        <v>0</v>
      </c>
      <c r="AY77" s="17" t="str">
        <f t="shared" si="18"/>
        <v/>
      </c>
      <c r="AZ77" s="1">
        <f t="shared" ref="AZ77:BA77" si="168">sum(AN77,AQ77,AT77,AW77)</f>
        <v>0</v>
      </c>
      <c r="BA77" s="1">
        <f t="shared" si="168"/>
        <v>0</v>
      </c>
      <c r="BB77" s="17" t="str">
        <f t="shared" si="20"/>
        <v/>
      </c>
    </row>
    <row r="78">
      <c r="A78" s="1" t="str">
        <f>IFERROR(__xludf.DUMMYFUNCTION("""COMPUTED_VALUE"""),"63fcbb84a107c871cf565293")</f>
        <v>63fcbb84a107c871cf565293</v>
      </c>
      <c r="B78" s="1" t="str">
        <f>IFERROR(__xludf.DUMMYFUNCTION("""COMPUTED_VALUE"""),"Christmann Informationstechnik")</f>
        <v>Christmann Informationstechnik</v>
      </c>
      <c r="C78" s="1" t="str">
        <f>IFERROR(__xludf.DUMMYFUNCTION("""COMPUTED_VALUE"""),"michael.moog@al-enterprise.com, philipp.bode@al-enterprise.com")</f>
        <v>michael.moog@al-enterprise.com, philipp.bode@al-enterprise.com</v>
      </c>
      <c r="D78" s="1" t="str">
        <f>IFERROR(__xludf.DUMMYFUNCTION("""COMPUTED_VALUE"""),"germany")</f>
        <v>germany</v>
      </c>
      <c r="E78" s="1" t="str">
        <f>IFERROR(__xludf.DUMMYFUNCTION("""COMPUTED_VALUE"""),"DE")</f>
        <v>DE</v>
      </c>
      <c r="F78" s="1" t="str">
        <f>IFERROR(__xludf.DUMMYFUNCTION("""COMPUTED_VALUE"""),"expert_200")</f>
        <v>expert_200</v>
      </c>
      <c r="G78" s="1">
        <f>iferror(VLOOKUP(A78,'Business Plan Setup and Accepta'!A:G,6,false),"")</f>
        <v>1</v>
      </c>
      <c r="H78" s="1">
        <f>iferror(VLOOKUP(A78,'Business Plan Setup and Accepta'!A:G,7,false),"")</f>
        <v>1</v>
      </c>
      <c r="I78" s="17">
        <f t="shared" si="3"/>
        <v>1</v>
      </c>
      <c r="J78" s="1">
        <f>IFERROR(VALUE(SUBSTITUTE(VLOOKUP(A78,'Sales IN Revenues vs Sales targ'!A:G,6,false)," $","")), "")
</f>
        <v>36.18</v>
      </c>
      <c r="K78" s="1">
        <f>IFERROR(VALUE(SUBSTITUTE(VLOOKUP(A78,'Sales IN Revenues vs Sales targ'!A:G,7,false)," $","")), "")
</f>
        <v>205</v>
      </c>
      <c r="L78" s="17">
        <f t="shared" si="4"/>
        <v>0.1764878049</v>
      </c>
      <c r="M78" s="1">
        <f>value(SUBSTITUTE(IFERROR(VLOOKUP(A78,'Certifications achievements vs '!A:G,6,false),""),"#","")
)</f>
        <v>9</v>
      </c>
      <c r="N78" s="1">
        <f>value(SUBSTITUTE(IFERROR(VLOOKUP(A78,'Certifications achievements vs '!A:G,7,false),""),"#","")
)</f>
        <v>0</v>
      </c>
      <c r="O78" s="17" t="str">
        <f t="shared" si="5"/>
        <v/>
      </c>
      <c r="P78" s="1">
        <f>value(SUBSTITUTE(IFERROR(VLOOKUP(A78,'Communications - Solution Speci'!A:G,6,false),""),"#","")
)</f>
        <v>0</v>
      </c>
      <c r="Q78" s="1">
        <f>value(SUBSTITUTE(IFERROR(VLOOKUP(A78,'Communications - Solution Speci'!A:G,7,false),""),"#","")
)</f>
        <v>1</v>
      </c>
      <c r="R78" s="17">
        <f t="shared" si="6"/>
        <v>0</v>
      </c>
      <c r="S78" s="1">
        <f>value(SUBSTITUTE(IFERROR(VLOOKUP(A78,'Networking - Solution Specializ'!A:G,6,false),""),"#","")
)</f>
        <v>1</v>
      </c>
      <c r="T78" s="1">
        <f>value(SUBSTITUTE(IFERROR(VLOOKUP(A78,'Networking - Solution Specializ'!A:G,7,false),""),"#","")
)</f>
        <v>1</v>
      </c>
      <c r="U78" s="17">
        <f t="shared" si="7"/>
        <v>1</v>
      </c>
      <c r="V78" s="1">
        <f>iferror(vlookup(A78,'Marketing Plan (extract summary'!A:G,6,false),"")</f>
        <v>0</v>
      </c>
      <c r="W78" s="1">
        <f>iferror(vlookup(A78,'Marketing Plan (extract summary'!A:G,7,false),"")</f>
        <v>1</v>
      </c>
      <c r="X78" s="17">
        <f t="shared" si="8"/>
        <v>0</v>
      </c>
      <c r="Y78" s="1">
        <f>value(IFERROR(SUBSTITUTE(SUBSTITUTE(VLOOKUP(A78,'Quarterly Pipeline vs Target Pi'!A:G,6,false)," $","")," €",""), "")
)</f>
        <v>0</v>
      </c>
      <c r="Z78" s="1">
        <f>value(IFERROR(SUBSTITUTE(SUBSTITUTE(VLOOKUP(A78,'Quarterly Pipeline vs Target Pi'!A:G,7,false)," $","")," €",""), "")
)</f>
        <v>0</v>
      </c>
      <c r="AA78" s="17" t="str">
        <f t="shared" si="9"/>
        <v/>
      </c>
      <c r="AB78" s="1">
        <f>value(IFERROR(SUBSTITUTE(SUBSTITUTE(VLOOKUP($A78,'Quarterly Pipeline vs Target Pi'!$A:$V,11,false)," $","")," €",""), "")
)</f>
        <v>6.5</v>
      </c>
      <c r="AC78" s="1">
        <f>value(IFERROR(SUBSTITUTE(SUBSTITUTE(VLOOKUP($A78,'Quarterly Pipeline vs Target Pi'!$A:$V,12,false)," $","")," €",""), "")
)</f>
        <v>89.13</v>
      </c>
      <c r="AD78" s="17">
        <f t="shared" si="10"/>
        <v>0.07292718501</v>
      </c>
      <c r="AE78" s="1">
        <f>value(IFERROR(SUBSTITUTE(SUBSTITUTE(VLOOKUP($A78,'Quarterly Pipeline vs Target Pi'!$A:$V,16,false)," $","")," €",""), "")
)</f>
        <v>6.5</v>
      </c>
      <c r="AF78" s="1">
        <f>value(IFERROR(SUBSTITUTE(SUBSTITUTE(VLOOKUP($A78,'Quarterly Pipeline vs Target Pi'!$A:$V,17,false)," $","")," €",""), "")
)</f>
        <v>205</v>
      </c>
      <c r="AG78" s="17">
        <f t="shared" si="11"/>
        <v>0.03170731707</v>
      </c>
      <c r="AH78" s="1">
        <f>value(IFERROR(SUBSTITUTE(SUBSTITUTE(VLOOKUP($A78,'Quarterly Pipeline vs Target Pi'!$A:$V,21,false)," $","")," €",""), "")
)</f>
        <v>66.4</v>
      </c>
      <c r="AI78" s="1">
        <f>value(IFERROR(SUBSTITUTE(SUBSTITUTE(VLOOKUP($A78,'Quarterly Pipeline vs Target Pi'!$A:$V,22,false)," $","")," €",""), "")
)</f>
        <v>205</v>
      </c>
      <c r="AJ78" s="17">
        <f t="shared" si="12"/>
        <v>0.323902439</v>
      </c>
      <c r="AK78" s="1">
        <f t="shared" ref="AK78:AL78" si="169">sum(Y78,AB78,AE78,AH78)</f>
        <v>79.4</v>
      </c>
      <c r="AL78" s="1">
        <f t="shared" si="169"/>
        <v>499.13</v>
      </c>
      <c r="AM78" s="17">
        <f t="shared" si="14"/>
        <v>0.1590767936</v>
      </c>
      <c r="AN78" s="1">
        <f>value(IFERROR(SUBSTITUTE(SUBSTITUTE(VLOOKUP($A78,'Quarterly Pipeline vs Target Pi'!$A:$AP,26,false)," $","")," €",""), "")
)</f>
        <v>0</v>
      </c>
      <c r="AO78" s="1">
        <f>value(IFERROR(SUBSTITUTE(SUBSTITUTE(VLOOKUP($A78,'Quarterly Pipeline vs Target Pi'!$A:$AP,27,false)," $","")," €",""), "")
)</f>
        <v>0</v>
      </c>
      <c r="AP78" s="17" t="str">
        <f t="shared" si="15"/>
        <v/>
      </c>
      <c r="AQ78" s="1">
        <f>value(IFERROR(SUBSTITUTE(SUBSTITUTE(VLOOKUP($A78,'Quarterly Pipeline vs Target Pi'!$A:$AP,31,false)," $","")," €",""), "")
)</f>
        <v>0</v>
      </c>
      <c r="AR78" s="1">
        <f>value(IFERROR(SUBSTITUTE(SUBSTITUTE(VLOOKUP($A78,'Quarterly Pipeline vs Target Pi'!$A:$AP,32,false)," $","")," €",""), "")
)</f>
        <v>0</v>
      </c>
      <c r="AS78" s="17" t="str">
        <f t="shared" si="16"/>
        <v/>
      </c>
      <c r="AT78" s="1">
        <f>value(IFERROR(SUBSTITUTE(SUBSTITUTE(VLOOKUP($A78,'Quarterly Pipeline vs Target Pi'!$A:$AP,36,false)," $","")," €",""), "")
)</f>
        <v>0</v>
      </c>
      <c r="AU78" s="1">
        <f>value(IFERROR(SUBSTITUTE(SUBSTITUTE(VLOOKUP($A78,'Quarterly Pipeline vs Target Pi'!$A:$AP,37,false)," $","")," €",""), "")
)</f>
        <v>0</v>
      </c>
      <c r="AV78" s="17" t="str">
        <f t="shared" si="17"/>
        <v/>
      </c>
      <c r="AW78" s="1">
        <f>value(IFERROR(SUBSTITUTE(SUBSTITUTE(VLOOKUP($A78,'Quarterly Pipeline vs Target Pi'!$A:$AP,41,false)," $","")," €",""), "")
)</f>
        <v>0</v>
      </c>
      <c r="AX78" s="1">
        <f>value(IFERROR(SUBSTITUTE(SUBSTITUTE(VLOOKUP($A78,'Quarterly Pipeline vs Target Pi'!$A:$AP,42,false)," $","")," €",""), "")
)</f>
        <v>0</v>
      </c>
      <c r="AY78" s="17" t="str">
        <f t="shared" si="18"/>
        <v/>
      </c>
      <c r="AZ78" s="1">
        <f t="shared" ref="AZ78:BA78" si="170">sum(AN78,AQ78,AT78,AW78)</f>
        <v>0</v>
      </c>
      <c r="BA78" s="1">
        <f t="shared" si="170"/>
        <v>0</v>
      </c>
      <c r="BB78" s="17" t="str">
        <f t="shared" si="20"/>
        <v/>
      </c>
    </row>
    <row r="79">
      <c r="A79" s="1" t="str">
        <f>IFERROR(__xludf.DUMMYFUNCTION("""COMPUTED_VALUE"""),"63fcbb7da107c871cf564573")</f>
        <v>63fcbb7da107c871cf564573</v>
      </c>
      <c r="B79" s="1" t="str">
        <f>IFERROR(__xludf.DUMMYFUNCTION("""COMPUTED_VALUE"""),"Christoph Böhne EDV- und")</f>
        <v>Christoph Böhne EDV- und</v>
      </c>
      <c r="C79" s="1" t="str">
        <f>IFERROR(__xludf.DUMMYFUNCTION("""COMPUTED_VALUE"""),"michael.moog@al-enterprise.com")</f>
        <v>michael.moog@al-enterprise.com</v>
      </c>
      <c r="D79" s="1" t="str">
        <f>IFERROR(__xludf.DUMMYFUNCTION("""COMPUTED_VALUE"""),"germany")</f>
        <v>germany</v>
      </c>
      <c r="E79" s="1" t="str">
        <f>IFERROR(__xludf.DUMMYFUNCTION("""COMPUTED_VALUE"""),"DE")</f>
        <v>DE</v>
      </c>
      <c r="F79" s="1"/>
      <c r="G79" s="1" t="str">
        <f>iferror(VLOOKUP(A79,'Business Plan Setup and Accepta'!A:G,6,false),"")</f>
        <v/>
      </c>
      <c r="H79" s="1" t="str">
        <f>iferror(VLOOKUP(A79,'Business Plan Setup and Accepta'!A:G,7,false),"")</f>
        <v/>
      </c>
      <c r="I79" s="17" t="str">
        <f t="shared" si="3"/>
        <v/>
      </c>
      <c r="J79" s="1" t="str">
        <f>IFERROR(VALUE(SUBSTITUTE(VLOOKUP(A79,'Sales IN Revenues vs Sales targ'!A:G,6,false)," $","")), "")
</f>
        <v/>
      </c>
      <c r="K79" s="1" t="str">
        <f>IFERROR(VALUE(SUBSTITUTE(VLOOKUP(A79,'Sales IN Revenues vs Sales targ'!A:G,7,false)," $","")), "")
</f>
        <v/>
      </c>
      <c r="L79" s="17" t="str">
        <f t="shared" si="4"/>
        <v/>
      </c>
      <c r="M79" s="1">
        <f>value(SUBSTITUTE(IFERROR(VLOOKUP(A79,'Certifications achievements vs '!A:G,6,false),""),"#","")
)</f>
        <v>0</v>
      </c>
      <c r="N79" s="1">
        <f>value(SUBSTITUTE(IFERROR(VLOOKUP(A79,'Certifications achievements vs '!A:G,7,false),""),"#","")
)</f>
        <v>0</v>
      </c>
      <c r="O79" s="17" t="str">
        <f t="shared" si="5"/>
        <v/>
      </c>
      <c r="P79" s="1">
        <f>value(SUBSTITUTE(IFERROR(VLOOKUP(A79,'Communications - Solution Speci'!A:G,6,false),""),"#","")
)</f>
        <v>0</v>
      </c>
      <c r="Q79" s="1">
        <f>value(SUBSTITUTE(IFERROR(VLOOKUP(A79,'Communications - Solution Speci'!A:G,7,false),""),"#","")
)</f>
        <v>0</v>
      </c>
      <c r="R79" s="17" t="str">
        <f t="shared" si="6"/>
        <v/>
      </c>
      <c r="S79" s="1">
        <f>value(SUBSTITUTE(IFERROR(VLOOKUP(A79,'Networking - Solution Specializ'!A:G,6,false),""),"#","")
)</f>
        <v>0</v>
      </c>
      <c r="T79" s="1">
        <f>value(SUBSTITUTE(IFERROR(VLOOKUP(A79,'Networking - Solution Specializ'!A:G,7,false),""),"#","")
)</f>
        <v>0</v>
      </c>
      <c r="U79" s="17" t="str">
        <f t="shared" si="7"/>
        <v/>
      </c>
      <c r="V79" s="1" t="str">
        <f>iferror(vlookup(A79,'Marketing Plan (extract summary'!A:G,6,false),"")</f>
        <v/>
      </c>
      <c r="W79" s="1" t="str">
        <f>iferror(vlookup(A79,'Marketing Plan (extract summary'!A:G,7,false),"")</f>
        <v/>
      </c>
      <c r="X79" s="17" t="str">
        <f t="shared" si="8"/>
        <v/>
      </c>
      <c r="Y79" s="1">
        <f>value(IFERROR(SUBSTITUTE(SUBSTITUTE(VLOOKUP(A79,'Quarterly Pipeline vs Target Pi'!A:G,6,false)," $","")," €",""), "")
)</f>
        <v>0</v>
      </c>
      <c r="Z79" s="1">
        <f>value(IFERROR(SUBSTITUTE(SUBSTITUTE(VLOOKUP(A79,'Quarterly Pipeline vs Target Pi'!A:G,7,false)," $","")," €",""), "")
)</f>
        <v>0</v>
      </c>
      <c r="AA79" s="17" t="str">
        <f t="shared" si="9"/>
        <v/>
      </c>
      <c r="AB79" s="1">
        <f>value(IFERROR(SUBSTITUTE(SUBSTITUTE(VLOOKUP($A79,'Quarterly Pipeline vs Target Pi'!$A:$V,11,false)," $","")," €",""), "")
)</f>
        <v>0</v>
      </c>
      <c r="AC79" s="1">
        <f>value(IFERROR(SUBSTITUTE(SUBSTITUTE(VLOOKUP($A79,'Quarterly Pipeline vs Target Pi'!$A:$V,12,false)," $","")," €",""), "")
)</f>
        <v>0</v>
      </c>
      <c r="AD79" s="17" t="str">
        <f t="shared" si="10"/>
        <v/>
      </c>
      <c r="AE79" s="1">
        <f>value(IFERROR(SUBSTITUTE(SUBSTITUTE(VLOOKUP($A79,'Quarterly Pipeline vs Target Pi'!$A:$V,16,false)," $","")," €",""), "")
)</f>
        <v>0</v>
      </c>
      <c r="AF79" s="1">
        <f>value(IFERROR(SUBSTITUTE(SUBSTITUTE(VLOOKUP($A79,'Quarterly Pipeline vs Target Pi'!$A:$V,17,false)," $","")," €",""), "")
)</f>
        <v>0</v>
      </c>
      <c r="AG79" s="17" t="str">
        <f t="shared" si="11"/>
        <v/>
      </c>
      <c r="AH79" s="1">
        <f>value(IFERROR(SUBSTITUTE(SUBSTITUTE(VLOOKUP($A79,'Quarterly Pipeline vs Target Pi'!$A:$V,21,false)," $","")," €",""), "")
)</f>
        <v>0</v>
      </c>
      <c r="AI79" s="1">
        <f>value(IFERROR(SUBSTITUTE(SUBSTITUTE(VLOOKUP($A79,'Quarterly Pipeline vs Target Pi'!$A:$V,22,false)," $","")," €",""), "")
)</f>
        <v>0</v>
      </c>
      <c r="AJ79" s="17" t="str">
        <f t="shared" si="12"/>
        <v/>
      </c>
      <c r="AK79" s="1">
        <f t="shared" ref="AK79:AL79" si="171">sum(Y79,AB79,AE79,AH79)</f>
        <v>0</v>
      </c>
      <c r="AL79" s="1">
        <f t="shared" si="171"/>
        <v>0</v>
      </c>
      <c r="AM79" s="17" t="str">
        <f t="shared" si="14"/>
        <v/>
      </c>
      <c r="AN79" s="1">
        <f>value(IFERROR(SUBSTITUTE(SUBSTITUTE(VLOOKUP($A79,'Quarterly Pipeline vs Target Pi'!$A:$AP,26,false)," $","")," €",""), "")
)</f>
        <v>0</v>
      </c>
      <c r="AO79" s="1">
        <f>value(IFERROR(SUBSTITUTE(SUBSTITUTE(VLOOKUP($A79,'Quarterly Pipeline vs Target Pi'!$A:$AP,27,false)," $","")," €",""), "")
)</f>
        <v>0</v>
      </c>
      <c r="AP79" s="17" t="str">
        <f t="shared" si="15"/>
        <v/>
      </c>
      <c r="AQ79" s="1">
        <f>value(IFERROR(SUBSTITUTE(SUBSTITUTE(VLOOKUP($A79,'Quarterly Pipeline vs Target Pi'!$A:$AP,31,false)," $","")," €",""), "")
)</f>
        <v>0</v>
      </c>
      <c r="AR79" s="1">
        <f>value(IFERROR(SUBSTITUTE(SUBSTITUTE(VLOOKUP($A79,'Quarterly Pipeline vs Target Pi'!$A:$AP,32,false)," $","")," €",""), "")
)</f>
        <v>0</v>
      </c>
      <c r="AS79" s="17" t="str">
        <f t="shared" si="16"/>
        <v/>
      </c>
      <c r="AT79" s="1">
        <f>value(IFERROR(SUBSTITUTE(SUBSTITUTE(VLOOKUP($A79,'Quarterly Pipeline vs Target Pi'!$A:$AP,36,false)," $","")," €",""), "")
)</f>
        <v>0</v>
      </c>
      <c r="AU79" s="1">
        <f>value(IFERROR(SUBSTITUTE(SUBSTITUTE(VLOOKUP($A79,'Quarterly Pipeline vs Target Pi'!$A:$AP,37,false)," $","")," €",""), "")
)</f>
        <v>0</v>
      </c>
      <c r="AV79" s="17" t="str">
        <f t="shared" si="17"/>
        <v/>
      </c>
      <c r="AW79" s="1">
        <f>value(IFERROR(SUBSTITUTE(SUBSTITUTE(VLOOKUP($A79,'Quarterly Pipeline vs Target Pi'!$A:$AP,41,false)," $","")," €",""), "")
)</f>
        <v>0</v>
      </c>
      <c r="AX79" s="1">
        <f>value(IFERROR(SUBSTITUTE(SUBSTITUTE(VLOOKUP($A79,'Quarterly Pipeline vs Target Pi'!$A:$AP,42,false)," $","")," €",""), "")
)</f>
        <v>0</v>
      </c>
      <c r="AY79" s="17" t="str">
        <f t="shared" si="18"/>
        <v/>
      </c>
      <c r="AZ79" s="1">
        <f t="shared" ref="AZ79:BA79" si="172">sum(AN79,AQ79,AT79,AW79)</f>
        <v>0</v>
      </c>
      <c r="BA79" s="1">
        <f t="shared" si="172"/>
        <v>0</v>
      </c>
      <c r="BB79" s="17" t="str">
        <f t="shared" si="20"/>
        <v/>
      </c>
    </row>
    <row r="80">
      <c r="A80" s="1" t="str">
        <f>IFERROR(__xludf.DUMMYFUNCTION("""COMPUTED_VALUE"""),"63ea6e9752ad6968805cf19b")</f>
        <v>63ea6e9752ad6968805cf19b</v>
      </c>
      <c r="B80" s="1" t="str">
        <f>IFERROR(__xludf.DUMMYFUNCTION("""COMPUTED_VALUE"""),"CLOUD &amp; HEAT Technologies GmbH")</f>
        <v>CLOUD &amp; HEAT Technologies GmbH</v>
      </c>
      <c r="C80" s="1" t="str">
        <f>IFERROR(__xludf.DUMMYFUNCTION("""COMPUTED_VALUE"""),"thomas.ullmann@al-enterprise.com, andreas.grossheimann@al-enterprise.com")</f>
        <v>thomas.ullmann@al-enterprise.com, andreas.grossheimann@al-enterprise.com</v>
      </c>
      <c r="D80" s="1" t="str">
        <f>IFERROR(__xludf.DUMMYFUNCTION("""COMPUTED_VALUE"""),"germany")</f>
        <v>germany</v>
      </c>
      <c r="E80" s="1" t="str">
        <f>IFERROR(__xludf.DUMMYFUNCTION("""COMPUTED_VALUE"""),"DE")</f>
        <v>DE</v>
      </c>
      <c r="F80" s="1"/>
      <c r="G80" s="1" t="str">
        <f>iferror(VLOOKUP(A80,'Business Plan Setup and Accepta'!A:G,6,false),"")</f>
        <v/>
      </c>
      <c r="H80" s="1" t="str">
        <f>iferror(VLOOKUP(A80,'Business Plan Setup and Accepta'!A:G,7,false),"")</f>
        <v/>
      </c>
      <c r="I80" s="17" t="str">
        <f t="shared" si="3"/>
        <v/>
      </c>
      <c r="J80" s="1" t="str">
        <f>IFERROR(VALUE(SUBSTITUTE(VLOOKUP(A80,'Sales IN Revenues vs Sales targ'!A:G,6,false)," $","")), "")
</f>
        <v/>
      </c>
      <c r="K80" s="1" t="str">
        <f>IFERROR(VALUE(SUBSTITUTE(VLOOKUP(A80,'Sales IN Revenues vs Sales targ'!A:G,7,false)," $","")), "")
</f>
        <v/>
      </c>
      <c r="L80" s="17" t="str">
        <f t="shared" si="4"/>
        <v/>
      </c>
      <c r="M80" s="1">
        <f>value(SUBSTITUTE(IFERROR(VLOOKUP(A80,'Certifications achievements vs '!A:G,6,false),""),"#","")
)</f>
        <v>0</v>
      </c>
      <c r="N80" s="1">
        <f>value(SUBSTITUTE(IFERROR(VLOOKUP(A80,'Certifications achievements vs '!A:G,7,false),""),"#","")
)</f>
        <v>0</v>
      </c>
      <c r="O80" s="17" t="str">
        <f t="shared" si="5"/>
        <v/>
      </c>
      <c r="P80" s="1">
        <f>value(SUBSTITUTE(IFERROR(VLOOKUP(A80,'Communications - Solution Speci'!A:G,6,false),""),"#","")
)</f>
        <v>0</v>
      </c>
      <c r="Q80" s="1">
        <f>value(SUBSTITUTE(IFERROR(VLOOKUP(A80,'Communications - Solution Speci'!A:G,7,false),""),"#","")
)</f>
        <v>0</v>
      </c>
      <c r="R80" s="17" t="str">
        <f t="shared" si="6"/>
        <v/>
      </c>
      <c r="S80" s="1">
        <f>value(SUBSTITUTE(IFERROR(VLOOKUP(A80,'Networking - Solution Specializ'!A:G,6,false),""),"#","")
)</f>
        <v>0</v>
      </c>
      <c r="T80" s="1">
        <f>value(SUBSTITUTE(IFERROR(VLOOKUP(A80,'Networking - Solution Specializ'!A:G,7,false),""),"#","")
)</f>
        <v>0</v>
      </c>
      <c r="U80" s="17" t="str">
        <f t="shared" si="7"/>
        <v/>
      </c>
      <c r="V80" s="1" t="str">
        <f>iferror(vlookup(A80,'Marketing Plan (extract summary'!A:G,6,false),"")</f>
        <v/>
      </c>
      <c r="W80" s="1" t="str">
        <f>iferror(vlookup(A80,'Marketing Plan (extract summary'!A:G,7,false),"")</f>
        <v/>
      </c>
      <c r="X80" s="17" t="str">
        <f t="shared" si="8"/>
        <v/>
      </c>
      <c r="Y80" s="1">
        <f>value(IFERROR(SUBSTITUTE(SUBSTITUTE(VLOOKUP(A80,'Quarterly Pipeline vs Target Pi'!A:G,6,false)," $","")," €",""), "")
)</f>
        <v>0</v>
      </c>
      <c r="Z80" s="1">
        <f>value(IFERROR(SUBSTITUTE(SUBSTITUTE(VLOOKUP(A80,'Quarterly Pipeline vs Target Pi'!A:G,7,false)," $","")," €",""), "")
)</f>
        <v>0</v>
      </c>
      <c r="AA80" s="17" t="str">
        <f t="shared" si="9"/>
        <v/>
      </c>
      <c r="AB80" s="1">
        <f>value(IFERROR(SUBSTITUTE(SUBSTITUTE(VLOOKUP($A80,'Quarterly Pipeline vs Target Pi'!$A:$V,11,false)," $","")," €",""), "")
)</f>
        <v>0</v>
      </c>
      <c r="AC80" s="1">
        <f>value(IFERROR(SUBSTITUTE(SUBSTITUTE(VLOOKUP($A80,'Quarterly Pipeline vs Target Pi'!$A:$V,12,false)," $","")," €",""), "")
)</f>
        <v>0</v>
      </c>
      <c r="AD80" s="17" t="str">
        <f t="shared" si="10"/>
        <v/>
      </c>
      <c r="AE80" s="1">
        <f>value(IFERROR(SUBSTITUTE(SUBSTITUTE(VLOOKUP($A80,'Quarterly Pipeline vs Target Pi'!$A:$V,16,false)," $","")," €",""), "")
)</f>
        <v>0</v>
      </c>
      <c r="AF80" s="1">
        <f>value(IFERROR(SUBSTITUTE(SUBSTITUTE(VLOOKUP($A80,'Quarterly Pipeline vs Target Pi'!$A:$V,17,false)," $","")," €",""), "")
)</f>
        <v>0</v>
      </c>
      <c r="AG80" s="17" t="str">
        <f t="shared" si="11"/>
        <v/>
      </c>
      <c r="AH80" s="1">
        <f>value(IFERROR(SUBSTITUTE(SUBSTITUTE(VLOOKUP($A80,'Quarterly Pipeline vs Target Pi'!$A:$V,21,false)," $","")," €",""), "")
)</f>
        <v>0</v>
      </c>
      <c r="AI80" s="1">
        <f>value(IFERROR(SUBSTITUTE(SUBSTITUTE(VLOOKUP($A80,'Quarterly Pipeline vs Target Pi'!$A:$V,22,false)," $","")," €",""), "")
)</f>
        <v>0</v>
      </c>
      <c r="AJ80" s="17" t="str">
        <f t="shared" si="12"/>
        <v/>
      </c>
      <c r="AK80" s="1">
        <f t="shared" ref="AK80:AL80" si="173">sum(Y80,AB80,AE80,AH80)</f>
        <v>0</v>
      </c>
      <c r="AL80" s="1">
        <f t="shared" si="173"/>
        <v>0</v>
      </c>
      <c r="AM80" s="17" t="str">
        <f t="shared" si="14"/>
        <v/>
      </c>
      <c r="AN80" s="1">
        <f>value(IFERROR(SUBSTITUTE(SUBSTITUTE(VLOOKUP($A80,'Quarterly Pipeline vs Target Pi'!$A:$AP,26,false)," $","")," €",""), "")
)</f>
        <v>0</v>
      </c>
      <c r="AO80" s="1">
        <f>value(IFERROR(SUBSTITUTE(SUBSTITUTE(VLOOKUP($A80,'Quarterly Pipeline vs Target Pi'!$A:$AP,27,false)," $","")," €",""), "")
)</f>
        <v>0</v>
      </c>
      <c r="AP80" s="17" t="str">
        <f t="shared" si="15"/>
        <v/>
      </c>
      <c r="AQ80" s="1">
        <f>value(IFERROR(SUBSTITUTE(SUBSTITUTE(VLOOKUP($A80,'Quarterly Pipeline vs Target Pi'!$A:$AP,31,false)," $","")," €",""), "")
)</f>
        <v>0</v>
      </c>
      <c r="AR80" s="1">
        <f>value(IFERROR(SUBSTITUTE(SUBSTITUTE(VLOOKUP($A80,'Quarterly Pipeline vs Target Pi'!$A:$AP,32,false)," $","")," €",""), "")
)</f>
        <v>0</v>
      </c>
      <c r="AS80" s="17" t="str">
        <f t="shared" si="16"/>
        <v/>
      </c>
      <c r="AT80" s="1">
        <f>value(IFERROR(SUBSTITUTE(SUBSTITUTE(VLOOKUP($A80,'Quarterly Pipeline vs Target Pi'!$A:$AP,36,false)," $","")," €",""), "")
)</f>
        <v>0</v>
      </c>
      <c r="AU80" s="1">
        <f>value(IFERROR(SUBSTITUTE(SUBSTITUTE(VLOOKUP($A80,'Quarterly Pipeline vs Target Pi'!$A:$AP,37,false)," $","")," €",""), "")
)</f>
        <v>0</v>
      </c>
      <c r="AV80" s="17" t="str">
        <f t="shared" si="17"/>
        <v/>
      </c>
      <c r="AW80" s="1">
        <f>value(IFERROR(SUBSTITUTE(SUBSTITUTE(VLOOKUP($A80,'Quarterly Pipeline vs Target Pi'!$A:$AP,41,false)," $","")," €",""), "")
)</f>
        <v>0</v>
      </c>
      <c r="AX80" s="1">
        <f>value(IFERROR(SUBSTITUTE(SUBSTITUTE(VLOOKUP($A80,'Quarterly Pipeline vs Target Pi'!$A:$AP,42,false)," $","")," €",""), "")
)</f>
        <v>0</v>
      </c>
      <c r="AY80" s="17" t="str">
        <f t="shared" si="18"/>
        <v/>
      </c>
      <c r="AZ80" s="1">
        <f t="shared" ref="AZ80:BA80" si="174">sum(AN80,AQ80,AT80,AW80)</f>
        <v>0</v>
      </c>
      <c r="BA80" s="1">
        <f t="shared" si="174"/>
        <v>0</v>
      </c>
      <c r="BB80" s="17" t="str">
        <f t="shared" si="20"/>
        <v/>
      </c>
    </row>
    <row r="81">
      <c r="A81" s="1" t="str">
        <f>IFERROR(__xludf.DUMMYFUNCTION("""COMPUTED_VALUE"""),"63fcbb83a107c871cf5650a9")</f>
        <v>63fcbb83a107c871cf5650a9</v>
      </c>
      <c r="B81" s="1" t="str">
        <f>IFERROR(__xludf.DUMMYFUNCTION("""COMPUTED_VALUE"""),"cmp net GmbH &amp; Co. KG")</f>
        <v>cmp net GmbH &amp; Co. KG</v>
      </c>
      <c r="C81" s="1" t="str">
        <f>IFERROR(__xludf.DUMMYFUNCTION("""COMPUTED_VALUE"""),"michael.moog@al-enterprise.com")</f>
        <v>michael.moog@al-enterprise.com</v>
      </c>
      <c r="D81" s="1" t="str">
        <f>IFERROR(__xludf.DUMMYFUNCTION("""COMPUTED_VALUE"""),"germany")</f>
        <v>germany</v>
      </c>
      <c r="E81" s="1" t="str">
        <f>IFERROR(__xludf.DUMMYFUNCTION("""COMPUTED_VALUE"""),"DE")</f>
        <v>DE</v>
      </c>
      <c r="F81" s="1"/>
      <c r="G81" s="1" t="str">
        <f>iferror(VLOOKUP(A81,'Business Plan Setup and Accepta'!A:G,6,false),"")</f>
        <v/>
      </c>
      <c r="H81" s="1" t="str">
        <f>iferror(VLOOKUP(A81,'Business Plan Setup and Accepta'!A:G,7,false),"")</f>
        <v/>
      </c>
      <c r="I81" s="17" t="str">
        <f t="shared" si="3"/>
        <v/>
      </c>
      <c r="J81" s="1" t="str">
        <f>IFERROR(VALUE(SUBSTITUTE(VLOOKUP(A81,'Sales IN Revenues vs Sales targ'!A:G,6,false)," $","")), "")
</f>
        <v/>
      </c>
      <c r="K81" s="1" t="str">
        <f>IFERROR(VALUE(SUBSTITUTE(VLOOKUP(A81,'Sales IN Revenues vs Sales targ'!A:G,7,false)," $","")), "")
</f>
        <v/>
      </c>
      <c r="L81" s="17" t="str">
        <f t="shared" si="4"/>
        <v/>
      </c>
      <c r="M81" s="1">
        <f>value(SUBSTITUTE(IFERROR(VLOOKUP(A81,'Certifications achievements vs '!A:G,6,false),""),"#","")
)</f>
        <v>0</v>
      </c>
      <c r="N81" s="1">
        <f>value(SUBSTITUTE(IFERROR(VLOOKUP(A81,'Certifications achievements vs '!A:G,7,false),""),"#","")
)</f>
        <v>0</v>
      </c>
      <c r="O81" s="17" t="str">
        <f t="shared" si="5"/>
        <v/>
      </c>
      <c r="P81" s="1">
        <f>value(SUBSTITUTE(IFERROR(VLOOKUP(A81,'Communications - Solution Speci'!A:G,6,false),""),"#","")
)</f>
        <v>0</v>
      </c>
      <c r="Q81" s="1">
        <f>value(SUBSTITUTE(IFERROR(VLOOKUP(A81,'Communications - Solution Speci'!A:G,7,false),""),"#","")
)</f>
        <v>0</v>
      </c>
      <c r="R81" s="17" t="str">
        <f t="shared" si="6"/>
        <v/>
      </c>
      <c r="S81" s="1">
        <f>value(SUBSTITUTE(IFERROR(VLOOKUP(A81,'Networking - Solution Specializ'!A:G,6,false),""),"#","")
)</f>
        <v>0</v>
      </c>
      <c r="T81" s="1">
        <f>value(SUBSTITUTE(IFERROR(VLOOKUP(A81,'Networking - Solution Specializ'!A:G,7,false),""),"#","")
)</f>
        <v>0</v>
      </c>
      <c r="U81" s="17" t="str">
        <f t="shared" si="7"/>
        <v/>
      </c>
      <c r="V81" s="1" t="str">
        <f>iferror(vlookup(A81,'Marketing Plan (extract summary'!A:G,6,false),"")</f>
        <v/>
      </c>
      <c r="W81" s="1" t="str">
        <f>iferror(vlookup(A81,'Marketing Plan (extract summary'!A:G,7,false),"")</f>
        <v/>
      </c>
      <c r="X81" s="17" t="str">
        <f t="shared" si="8"/>
        <v/>
      </c>
      <c r="Y81" s="1">
        <f>value(IFERROR(SUBSTITUTE(SUBSTITUTE(VLOOKUP(A81,'Quarterly Pipeline vs Target Pi'!A:G,6,false)," $","")," €",""), "")
)</f>
        <v>0</v>
      </c>
      <c r="Z81" s="1">
        <f>value(IFERROR(SUBSTITUTE(SUBSTITUTE(VLOOKUP(A81,'Quarterly Pipeline vs Target Pi'!A:G,7,false)," $","")," €",""), "")
)</f>
        <v>0</v>
      </c>
      <c r="AA81" s="17" t="str">
        <f t="shared" si="9"/>
        <v/>
      </c>
      <c r="AB81" s="1">
        <f>value(IFERROR(SUBSTITUTE(SUBSTITUTE(VLOOKUP($A81,'Quarterly Pipeline vs Target Pi'!$A:$V,11,false)," $","")," €",""), "")
)</f>
        <v>0</v>
      </c>
      <c r="AC81" s="1">
        <f>value(IFERROR(SUBSTITUTE(SUBSTITUTE(VLOOKUP($A81,'Quarterly Pipeline vs Target Pi'!$A:$V,12,false)," $","")," €",""), "")
)</f>
        <v>0</v>
      </c>
      <c r="AD81" s="17" t="str">
        <f t="shared" si="10"/>
        <v/>
      </c>
      <c r="AE81" s="1">
        <f>value(IFERROR(SUBSTITUTE(SUBSTITUTE(VLOOKUP($A81,'Quarterly Pipeline vs Target Pi'!$A:$V,16,false)," $","")," €",""), "")
)</f>
        <v>0</v>
      </c>
      <c r="AF81" s="1">
        <f>value(IFERROR(SUBSTITUTE(SUBSTITUTE(VLOOKUP($A81,'Quarterly Pipeline vs Target Pi'!$A:$V,17,false)," $","")," €",""), "")
)</f>
        <v>0</v>
      </c>
      <c r="AG81" s="17" t="str">
        <f t="shared" si="11"/>
        <v/>
      </c>
      <c r="AH81" s="1">
        <f>value(IFERROR(SUBSTITUTE(SUBSTITUTE(VLOOKUP($A81,'Quarterly Pipeline vs Target Pi'!$A:$V,21,false)," $","")," €",""), "")
)</f>
        <v>0</v>
      </c>
      <c r="AI81" s="1">
        <f>value(IFERROR(SUBSTITUTE(SUBSTITUTE(VLOOKUP($A81,'Quarterly Pipeline vs Target Pi'!$A:$V,22,false)," $","")," €",""), "")
)</f>
        <v>0</v>
      </c>
      <c r="AJ81" s="17" t="str">
        <f t="shared" si="12"/>
        <v/>
      </c>
      <c r="AK81" s="1">
        <f t="shared" ref="AK81:AL81" si="175">sum(Y81,AB81,AE81,AH81)</f>
        <v>0</v>
      </c>
      <c r="AL81" s="1">
        <f t="shared" si="175"/>
        <v>0</v>
      </c>
      <c r="AM81" s="17" t="str">
        <f t="shared" si="14"/>
        <v/>
      </c>
      <c r="AN81" s="1">
        <f>value(IFERROR(SUBSTITUTE(SUBSTITUTE(VLOOKUP($A81,'Quarterly Pipeline vs Target Pi'!$A:$AP,26,false)," $","")," €",""), "")
)</f>
        <v>0</v>
      </c>
      <c r="AO81" s="1">
        <f>value(IFERROR(SUBSTITUTE(SUBSTITUTE(VLOOKUP($A81,'Quarterly Pipeline vs Target Pi'!$A:$AP,27,false)," $","")," €",""), "")
)</f>
        <v>0</v>
      </c>
      <c r="AP81" s="17" t="str">
        <f t="shared" si="15"/>
        <v/>
      </c>
      <c r="AQ81" s="1">
        <f>value(IFERROR(SUBSTITUTE(SUBSTITUTE(VLOOKUP($A81,'Quarterly Pipeline vs Target Pi'!$A:$AP,31,false)," $","")," €",""), "")
)</f>
        <v>0</v>
      </c>
      <c r="AR81" s="1">
        <f>value(IFERROR(SUBSTITUTE(SUBSTITUTE(VLOOKUP($A81,'Quarterly Pipeline vs Target Pi'!$A:$AP,32,false)," $","")," €",""), "")
)</f>
        <v>0</v>
      </c>
      <c r="AS81" s="17" t="str">
        <f t="shared" si="16"/>
        <v/>
      </c>
      <c r="AT81" s="1">
        <f>value(IFERROR(SUBSTITUTE(SUBSTITUTE(VLOOKUP($A81,'Quarterly Pipeline vs Target Pi'!$A:$AP,36,false)," $","")," €",""), "")
)</f>
        <v>0</v>
      </c>
      <c r="AU81" s="1">
        <f>value(IFERROR(SUBSTITUTE(SUBSTITUTE(VLOOKUP($A81,'Quarterly Pipeline vs Target Pi'!$A:$AP,37,false)," $","")," €",""), "")
)</f>
        <v>0</v>
      </c>
      <c r="AV81" s="17" t="str">
        <f t="shared" si="17"/>
        <v/>
      </c>
      <c r="AW81" s="1">
        <f>value(IFERROR(SUBSTITUTE(SUBSTITUTE(VLOOKUP($A81,'Quarterly Pipeline vs Target Pi'!$A:$AP,41,false)," $","")," €",""), "")
)</f>
        <v>0</v>
      </c>
      <c r="AX81" s="1">
        <f>value(IFERROR(SUBSTITUTE(SUBSTITUTE(VLOOKUP($A81,'Quarterly Pipeline vs Target Pi'!$A:$AP,42,false)," $","")," €",""), "")
)</f>
        <v>0</v>
      </c>
      <c r="AY81" s="17" t="str">
        <f t="shared" si="18"/>
        <v/>
      </c>
      <c r="AZ81" s="1">
        <f t="shared" ref="AZ81:BA81" si="176">sum(AN81,AQ81,AT81,AW81)</f>
        <v>0</v>
      </c>
      <c r="BA81" s="1">
        <f t="shared" si="176"/>
        <v>0</v>
      </c>
      <c r="BB81" s="17" t="str">
        <f t="shared" si="20"/>
        <v/>
      </c>
    </row>
    <row r="82">
      <c r="A82" s="1" t="str">
        <f>IFERROR(__xludf.DUMMYFUNCTION("""COMPUTED_VALUE"""),"63fcbb82a107c871cf564ee9")</f>
        <v>63fcbb82a107c871cf564ee9</v>
      </c>
      <c r="B82" s="1" t="str">
        <f>IFERROR(__xludf.DUMMYFUNCTION("""COMPUTED_VALUE"""),"Coelhovoip Network Security Ltda")</f>
        <v>Coelhovoip Network Security Ltda</v>
      </c>
      <c r="C82" s="1" t="str">
        <f>IFERROR(__xludf.DUMMYFUNCTION("""COMPUTED_VALUE"""),"sinclair.fidelis@al-enterprise.com")</f>
        <v>sinclair.fidelis@al-enterprise.com</v>
      </c>
      <c r="D82" s="1" t="str">
        <f>IFERROR(__xludf.DUMMYFUNCTION("""COMPUTED_VALUE"""),"americas")</f>
        <v>americas</v>
      </c>
      <c r="E82" s="1" t="str">
        <f>IFERROR(__xludf.DUMMYFUNCTION("""COMPUTED_VALUE"""),"BR")</f>
        <v>BR</v>
      </c>
      <c r="F82" s="1"/>
      <c r="G82" s="1" t="str">
        <f>iferror(VLOOKUP(A82,'Business Plan Setup and Accepta'!A:G,6,false),"")</f>
        <v/>
      </c>
      <c r="H82" s="1" t="str">
        <f>iferror(VLOOKUP(A82,'Business Plan Setup and Accepta'!A:G,7,false),"")</f>
        <v/>
      </c>
      <c r="I82" s="17" t="str">
        <f t="shared" si="3"/>
        <v/>
      </c>
      <c r="J82" s="1" t="str">
        <f>IFERROR(VALUE(SUBSTITUTE(VLOOKUP(A82,'Sales IN Revenues vs Sales targ'!A:G,6,false)," $","")), "")
</f>
        <v/>
      </c>
      <c r="K82" s="1" t="str">
        <f>IFERROR(VALUE(SUBSTITUTE(VLOOKUP(A82,'Sales IN Revenues vs Sales targ'!A:G,7,false)," $","")), "")
</f>
        <v/>
      </c>
      <c r="L82" s="17" t="str">
        <f t="shared" si="4"/>
        <v/>
      </c>
      <c r="M82" s="1">
        <f>value(SUBSTITUTE(IFERROR(VLOOKUP(A82,'Certifications achievements vs '!A:G,6,false),""),"#","")
)</f>
        <v>0</v>
      </c>
      <c r="N82" s="1">
        <f>value(SUBSTITUTE(IFERROR(VLOOKUP(A82,'Certifications achievements vs '!A:G,7,false),""),"#","")
)</f>
        <v>0</v>
      </c>
      <c r="O82" s="17" t="str">
        <f t="shared" si="5"/>
        <v/>
      </c>
      <c r="P82" s="1">
        <f>value(SUBSTITUTE(IFERROR(VLOOKUP(A82,'Communications - Solution Speci'!A:G,6,false),""),"#","")
)</f>
        <v>0</v>
      </c>
      <c r="Q82" s="1">
        <f>value(SUBSTITUTE(IFERROR(VLOOKUP(A82,'Communications - Solution Speci'!A:G,7,false),""),"#","")
)</f>
        <v>0</v>
      </c>
      <c r="R82" s="17" t="str">
        <f t="shared" si="6"/>
        <v/>
      </c>
      <c r="S82" s="1">
        <f>value(SUBSTITUTE(IFERROR(VLOOKUP(A82,'Networking - Solution Specializ'!A:G,6,false),""),"#","")
)</f>
        <v>0</v>
      </c>
      <c r="T82" s="1">
        <f>value(SUBSTITUTE(IFERROR(VLOOKUP(A82,'Networking - Solution Specializ'!A:G,7,false),""),"#","")
)</f>
        <v>0</v>
      </c>
      <c r="U82" s="17" t="str">
        <f t="shared" si="7"/>
        <v/>
      </c>
      <c r="V82" s="1" t="str">
        <f>iferror(vlookup(A82,'Marketing Plan (extract summary'!A:G,6,false),"")</f>
        <v/>
      </c>
      <c r="W82" s="1" t="str">
        <f>iferror(vlookup(A82,'Marketing Plan (extract summary'!A:G,7,false),"")</f>
        <v/>
      </c>
      <c r="X82" s="17" t="str">
        <f t="shared" si="8"/>
        <v/>
      </c>
      <c r="Y82" s="1">
        <f>value(IFERROR(SUBSTITUTE(SUBSTITUTE(VLOOKUP(A82,'Quarterly Pipeline vs Target Pi'!A:G,6,false)," $","")," €",""), "")
)</f>
        <v>0</v>
      </c>
      <c r="Z82" s="1">
        <f>value(IFERROR(SUBSTITUTE(SUBSTITUTE(VLOOKUP(A82,'Quarterly Pipeline vs Target Pi'!A:G,7,false)," $","")," €",""), "")
)</f>
        <v>0</v>
      </c>
      <c r="AA82" s="17" t="str">
        <f t="shared" si="9"/>
        <v/>
      </c>
      <c r="AB82" s="1">
        <f>value(IFERROR(SUBSTITUTE(SUBSTITUTE(VLOOKUP($A82,'Quarterly Pipeline vs Target Pi'!$A:$V,11,false)," $","")," €",""), "")
)</f>
        <v>0</v>
      </c>
      <c r="AC82" s="1">
        <f>value(IFERROR(SUBSTITUTE(SUBSTITUTE(VLOOKUP($A82,'Quarterly Pipeline vs Target Pi'!$A:$V,12,false)," $","")," €",""), "")
)</f>
        <v>0</v>
      </c>
      <c r="AD82" s="17" t="str">
        <f t="shared" si="10"/>
        <v/>
      </c>
      <c r="AE82" s="1">
        <f>value(IFERROR(SUBSTITUTE(SUBSTITUTE(VLOOKUP($A82,'Quarterly Pipeline vs Target Pi'!$A:$V,16,false)," $","")," €",""), "")
)</f>
        <v>0</v>
      </c>
      <c r="AF82" s="1">
        <f>value(IFERROR(SUBSTITUTE(SUBSTITUTE(VLOOKUP($A82,'Quarterly Pipeline vs Target Pi'!$A:$V,17,false)," $","")," €",""), "")
)</f>
        <v>0</v>
      </c>
      <c r="AG82" s="17" t="str">
        <f t="shared" si="11"/>
        <v/>
      </c>
      <c r="AH82" s="1">
        <f>value(IFERROR(SUBSTITUTE(SUBSTITUTE(VLOOKUP($A82,'Quarterly Pipeline vs Target Pi'!$A:$V,21,false)," $","")," €",""), "")
)</f>
        <v>0</v>
      </c>
      <c r="AI82" s="1">
        <f>value(IFERROR(SUBSTITUTE(SUBSTITUTE(VLOOKUP($A82,'Quarterly Pipeline vs Target Pi'!$A:$V,22,false)," $","")," €",""), "")
)</f>
        <v>0</v>
      </c>
      <c r="AJ82" s="17" t="str">
        <f t="shared" si="12"/>
        <v/>
      </c>
      <c r="AK82" s="1">
        <f t="shared" ref="AK82:AL82" si="177">sum(Y82,AB82,AE82,AH82)</f>
        <v>0</v>
      </c>
      <c r="AL82" s="1">
        <f t="shared" si="177"/>
        <v>0</v>
      </c>
      <c r="AM82" s="17" t="str">
        <f t="shared" si="14"/>
        <v/>
      </c>
      <c r="AN82" s="1">
        <f>value(IFERROR(SUBSTITUTE(SUBSTITUTE(VLOOKUP($A82,'Quarterly Pipeline vs Target Pi'!$A:$AP,26,false)," $","")," €",""), "")
)</f>
        <v>0</v>
      </c>
      <c r="AO82" s="1">
        <f>value(IFERROR(SUBSTITUTE(SUBSTITUTE(VLOOKUP($A82,'Quarterly Pipeline vs Target Pi'!$A:$AP,27,false)," $","")," €",""), "")
)</f>
        <v>0</v>
      </c>
      <c r="AP82" s="17" t="str">
        <f t="shared" si="15"/>
        <v/>
      </c>
      <c r="AQ82" s="1">
        <f>value(IFERROR(SUBSTITUTE(SUBSTITUTE(VLOOKUP($A82,'Quarterly Pipeline vs Target Pi'!$A:$AP,31,false)," $","")," €",""), "")
)</f>
        <v>0</v>
      </c>
      <c r="AR82" s="1">
        <f>value(IFERROR(SUBSTITUTE(SUBSTITUTE(VLOOKUP($A82,'Quarterly Pipeline vs Target Pi'!$A:$AP,32,false)," $","")," €",""), "")
)</f>
        <v>0</v>
      </c>
      <c r="AS82" s="17" t="str">
        <f t="shared" si="16"/>
        <v/>
      </c>
      <c r="AT82" s="1">
        <f>value(IFERROR(SUBSTITUTE(SUBSTITUTE(VLOOKUP($A82,'Quarterly Pipeline vs Target Pi'!$A:$AP,36,false)," $","")," €",""), "")
)</f>
        <v>0</v>
      </c>
      <c r="AU82" s="1">
        <f>value(IFERROR(SUBSTITUTE(SUBSTITUTE(VLOOKUP($A82,'Quarterly Pipeline vs Target Pi'!$A:$AP,37,false)," $","")," €",""), "")
)</f>
        <v>0</v>
      </c>
      <c r="AV82" s="17" t="str">
        <f t="shared" si="17"/>
        <v/>
      </c>
      <c r="AW82" s="1">
        <f>value(IFERROR(SUBSTITUTE(SUBSTITUTE(VLOOKUP($A82,'Quarterly Pipeline vs Target Pi'!$A:$AP,41,false)," $","")," €",""), "")
)</f>
        <v>0</v>
      </c>
      <c r="AX82" s="1">
        <f>value(IFERROR(SUBSTITUTE(SUBSTITUTE(VLOOKUP($A82,'Quarterly Pipeline vs Target Pi'!$A:$AP,42,false)," $","")," €",""), "")
)</f>
        <v>0</v>
      </c>
      <c r="AY82" s="17" t="str">
        <f t="shared" si="18"/>
        <v/>
      </c>
      <c r="AZ82" s="1">
        <f t="shared" ref="AZ82:BA82" si="178">sum(AN82,AQ82,AT82,AW82)</f>
        <v>0</v>
      </c>
      <c r="BA82" s="1">
        <f t="shared" si="178"/>
        <v>0</v>
      </c>
      <c r="BB82" s="17" t="str">
        <f t="shared" si="20"/>
        <v/>
      </c>
    </row>
    <row r="83">
      <c r="A83" s="1" t="str">
        <f>IFERROR(__xludf.DUMMYFUNCTION("""COMPUTED_VALUE"""),"63ced847c5c820531c2689ab")</f>
        <v>63ced847c5c820531c2689ab</v>
      </c>
      <c r="B83" s="1" t="str">
        <f>IFERROR(__xludf.DUMMYFUNCTION("""COMPUTED_VALUE"""),"COM plan + service GmbH")</f>
        <v>COM plan + service GmbH</v>
      </c>
      <c r="C83" s="1" t="str">
        <f>IFERROR(__xludf.DUMMYFUNCTION("""COMPUTED_VALUE"""),"thomas.ullmann@al-enterprise.com, silke.fraedrich@al-enterprise.com, andreas.grossheimann@al-enterprise.com, samantha.hunt@al-enterprise.com, katrin.pfeiffer@al-enterprise.com, sibylle.klopfer@al-enterprise.com, igor.leko@al-enterprise.com")</f>
        <v>thomas.ullmann@al-enterprise.com, silke.fraedrich@al-enterprise.com, andreas.grossheimann@al-enterprise.com, samantha.hunt@al-enterprise.com, katrin.pfeiffer@al-enterprise.com, sibylle.klopfer@al-enterprise.com, igor.leko@al-enterprise.com</v>
      </c>
      <c r="D83" s="1" t="str">
        <f>IFERROR(__xludf.DUMMYFUNCTION("""COMPUTED_VALUE"""),"germany")</f>
        <v>germany</v>
      </c>
      <c r="E83" s="1" t="str">
        <f>IFERROR(__xludf.DUMMYFUNCTION("""COMPUTED_VALUE"""),"DE")</f>
        <v>DE</v>
      </c>
      <c r="F83" s="1" t="str">
        <f>IFERROR(__xludf.DUMMYFUNCTION("""COMPUTED_VALUE"""),"yes")</f>
        <v>yes</v>
      </c>
      <c r="G83" s="1">
        <f>iferror(VLOOKUP(A83,'Business Plan Setup and Accepta'!A:G,6,false),"")</f>
        <v>1</v>
      </c>
      <c r="H83" s="1">
        <f>iferror(VLOOKUP(A83,'Business Plan Setup and Accepta'!A:G,7,false),"")</f>
        <v>1</v>
      </c>
      <c r="I83" s="17">
        <f t="shared" si="3"/>
        <v>1</v>
      </c>
      <c r="J83" s="1">
        <f>IFERROR(VALUE(SUBSTITUTE(VLOOKUP(A83,'Sales IN Revenues vs Sales targ'!A:G,6,false)," $","")), "")
</f>
        <v>1802.04</v>
      </c>
      <c r="K83" s="1">
        <f>IFERROR(VALUE(SUBSTITUTE(VLOOKUP(A83,'Sales IN Revenues vs Sales targ'!A:G,7,false)," $","")), "")
</f>
        <v>4600</v>
      </c>
      <c r="L83" s="17">
        <f t="shared" si="4"/>
        <v>0.3917478261</v>
      </c>
      <c r="M83" s="1">
        <f>value(SUBSTITUTE(IFERROR(VLOOKUP(A83,'Certifications achievements vs '!A:G,6,false),""),"#","")
)</f>
        <v>178</v>
      </c>
      <c r="N83" s="1">
        <f>value(SUBSTITUTE(IFERROR(VLOOKUP(A83,'Certifications achievements vs '!A:G,7,false),""),"#","")
)</f>
        <v>52</v>
      </c>
      <c r="O83" s="17">
        <f t="shared" si="5"/>
        <v>3.423076923</v>
      </c>
      <c r="P83" s="1">
        <f>value(SUBSTITUTE(IFERROR(VLOOKUP(A83,'Communications - Solution Speci'!A:G,6,false),""),"#","")
)</f>
        <v>1</v>
      </c>
      <c r="Q83" s="1">
        <f>value(SUBSTITUTE(IFERROR(VLOOKUP(A83,'Communications - Solution Speci'!A:G,7,false),""),"#","")
)</f>
        <v>1</v>
      </c>
      <c r="R83" s="17">
        <f t="shared" si="6"/>
        <v>1</v>
      </c>
      <c r="S83" s="1">
        <f>value(SUBSTITUTE(IFERROR(VLOOKUP(A83,'Networking - Solution Specializ'!A:G,6,false),""),"#","")
)</f>
        <v>1</v>
      </c>
      <c r="T83" s="1">
        <f>value(SUBSTITUTE(IFERROR(VLOOKUP(A83,'Networking - Solution Specializ'!A:G,7,false),""),"#","")
)</f>
        <v>1</v>
      </c>
      <c r="U83" s="17">
        <f t="shared" si="7"/>
        <v>1</v>
      </c>
      <c r="V83" s="1">
        <f>iferror(vlookup(A83,'Marketing Plan (extract summary'!A:G,6,false),"")</f>
        <v>0</v>
      </c>
      <c r="W83" s="1">
        <f>iferror(vlookup(A83,'Marketing Plan (extract summary'!A:G,7,false),"")</f>
        <v>1</v>
      </c>
      <c r="X83" s="17">
        <f t="shared" si="8"/>
        <v>0</v>
      </c>
      <c r="Y83" s="1">
        <f>value(IFERROR(SUBSTITUTE(SUBSTITUTE(VLOOKUP(A83,'Quarterly Pipeline vs Target Pi'!A:G,6,false)," $","")," €",""), "")
)</f>
        <v>40.01</v>
      </c>
      <c r="Z83" s="1">
        <f>value(IFERROR(SUBSTITUTE(SUBSTITUTE(VLOOKUP(A83,'Quarterly Pipeline vs Target Pi'!A:G,7,false)," $","")," €",""), "")
)</f>
        <v>0</v>
      </c>
      <c r="AA83" s="17" t="str">
        <f t="shared" si="9"/>
        <v/>
      </c>
      <c r="AB83" s="1">
        <f>value(IFERROR(SUBSTITUTE(SUBSTITUTE(VLOOKUP($A83,'Quarterly Pipeline vs Target Pi'!$A:$V,11,false)," $","")," €",""), "")
)</f>
        <v>7.06</v>
      </c>
      <c r="AC83" s="1">
        <f>value(IFERROR(SUBSTITUTE(SUBSTITUTE(VLOOKUP($A83,'Quarterly Pipeline vs Target Pi'!$A:$V,12,false)," $","")," €",""), "")
)</f>
        <v>2000</v>
      </c>
      <c r="AD83" s="17">
        <f t="shared" si="10"/>
        <v>0.00353</v>
      </c>
      <c r="AE83" s="1">
        <f>value(IFERROR(SUBSTITUTE(SUBSTITUTE(VLOOKUP($A83,'Quarterly Pipeline vs Target Pi'!$A:$V,16,false)," $","")," €",""), "")
)</f>
        <v>570.13</v>
      </c>
      <c r="AF83" s="1">
        <f>value(IFERROR(SUBSTITUTE(SUBSTITUTE(VLOOKUP($A83,'Quarterly Pipeline vs Target Pi'!$A:$V,17,false)," $","")," €",""), "")
)</f>
        <v>3000</v>
      </c>
      <c r="AG83" s="17">
        <f t="shared" si="11"/>
        <v>0.1900433333</v>
      </c>
      <c r="AH83" s="1">
        <f>value(IFERROR(SUBSTITUTE(SUBSTITUTE(VLOOKUP($A83,'Quarterly Pipeline vs Target Pi'!$A:$V,21,false)," $","")," €",""), "")
)</f>
        <v>3865.78</v>
      </c>
      <c r="AI83" s="1">
        <f>value(IFERROR(SUBSTITUTE(SUBSTITUTE(VLOOKUP($A83,'Quarterly Pipeline vs Target Pi'!$A:$V,22,false)," $","")," €",""), "")
)</f>
        <v>3000</v>
      </c>
      <c r="AJ83" s="17">
        <f t="shared" si="12"/>
        <v>1.288593333</v>
      </c>
      <c r="AK83" s="1">
        <f t="shared" ref="AK83:AL83" si="179">sum(Y83,AB83,AE83,AH83)</f>
        <v>4482.98</v>
      </c>
      <c r="AL83" s="1">
        <f t="shared" si="179"/>
        <v>8000</v>
      </c>
      <c r="AM83" s="17">
        <f t="shared" si="14"/>
        <v>0.5603725</v>
      </c>
      <c r="AN83" s="1">
        <f>value(IFERROR(SUBSTITUTE(SUBSTITUTE(VLOOKUP($A83,'Quarterly Pipeline vs Target Pi'!$A:$AP,26,false)," $","")," €",""), "")
)</f>
        <v>401.38</v>
      </c>
      <c r="AO83" s="1">
        <f>value(IFERROR(SUBSTITUTE(SUBSTITUTE(VLOOKUP($A83,'Quarterly Pipeline vs Target Pi'!$A:$AP,27,false)," $","")," €",""), "")
)</f>
        <v>0</v>
      </c>
      <c r="AP83" s="17" t="str">
        <f t="shared" si="15"/>
        <v/>
      </c>
      <c r="AQ83" s="1">
        <f>value(IFERROR(SUBSTITUTE(SUBSTITUTE(VLOOKUP($A83,'Quarterly Pipeline vs Target Pi'!$A:$AP,31,false)," $","")," €",""), "")
)</f>
        <v>7809.37</v>
      </c>
      <c r="AR83" s="1">
        <f>value(IFERROR(SUBSTITUTE(SUBSTITUTE(VLOOKUP($A83,'Quarterly Pipeline vs Target Pi'!$A:$AP,32,false)," $","")," €",""), "")
)</f>
        <v>0</v>
      </c>
      <c r="AS83" s="17" t="str">
        <f t="shared" si="16"/>
        <v/>
      </c>
      <c r="AT83" s="1">
        <f>value(IFERROR(SUBSTITUTE(SUBSTITUTE(VLOOKUP($A83,'Quarterly Pipeline vs Target Pi'!$A:$AP,36,false)," $","")," €",""), "")
)</f>
        <v>134.85</v>
      </c>
      <c r="AU83" s="1">
        <f>value(IFERROR(SUBSTITUTE(SUBSTITUTE(VLOOKUP($A83,'Quarterly Pipeline vs Target Pi'!$A:$AP,37,false)," $","")," €",""), "")
)</f>
        <v>0</v>
      </c>
      <c r="AV83" s="17" t="str">
        <f t="shared" si="17"/>
        <v/>
      </c>
      <c r="AW83" s="1">
        <f>value(IFERROR(SUBSTITUTE(SUBSTITUTE(VLOOKUP($A83,'Quarterly Pipeline vs Target Pi'!$A:$AP,41,false)," $","")," €",""), "")
)</f>
        <v>3301.26</v>
      </c>
      <c r="AX83" s="1">
        <f>value(IFERROR(SUBSTITUTE(SUBSTITUTE(VLOOKUP($A83,'Quarterly Pipeline vs Target Pi'!$A:$AP,42,false)," $","")," €",""), "")
)</f>
        <v>0</v>
      </c>
      <c r="AY83" s="17" t="str">
        <f t="shared" si="18"/>
        <v/>
      </c>
      <c r="AZ83" s="1">
        <f t="shared" ref="AZ83:BA83" si="180">sum(AN83,AQ83,AT83,AW83)</f>
        <v>11646.86</v>
      </c>
      <c r="BA83" s="1">
        <f t="shared" si="180"/>
        <v>0</v>
      </c>
      <c r="BB83" s="17" t="str">
        <f t="shared" si="20"/>
        <v/>
      </c>
    </row>
    <row r="84">
      <c r="A84" s="1" t="str">
        <f>IFERROR(__xludf.DUMMYFUNCTION("""COMPUTED_VALUE"""),"63fcbb7fa107c871cf56491d")</f>
        <v>63fcbb7fa107c871cf56491d</v>
      </c>
      <c r="B84" s="1" t="str">
        <f>IFERROR(__xludf.DUMMYFUNCTION("""COMPUTED_VALUE"""),"Comfica Soluciones Integrales SL")</f>
        <v>Comfica Soluciones Integrales SL</v>
      </c>
      <c r="C84" s="1" t="str">
        <f>IFERROR(__xludf.DUMMYFUNCTION("""COMPUTED_VALUE"""),"mario.madrid-bustos@al-enterprise.com, astrid.savorani@al-enterprise.com, marcos.rodriguez@al-enterprise.com, borja.gonzalvez@al-enterprise.com")</f>
        <v>mario.madrid-bustos@al-enterprise.com, astrid.savorani@al-enterprise.com, marcos.rodriguez@al-enterprise.com, borja.gonzalvez@al-enterprise.com</v>
      </c>
      <c r="D84" s="1" t="str">
        <f>IFERROR(__xludf.DUMMYFUNCTION("""COMPUTED_VALUE"""),"emea")</f>
        <v>emea</v>
      </c>
      <c r="E84" s="1" t="str">
        <f>IFERROR(__xludf.DUMMYFUNCTION("""COMPUTED_VALUE"""),"ES")</f>
        <v>ES</v>
      </c>
      <c r="F84" s="1" t="str">
        <f>IFERROR(__xludf.DUMMYFUNCTION("""COMPUTED_VALUE"""),"expert_200")</f>
        <v>expert_200</v>
      </c>
      <c r="G84" s="1">
        <f>iferror(VLOOKUP(A84,'Business Plan Setup and Accepta'!A:G,6,false),"")</f>
        <v>1</v>
      </c>
      <c r="H84" s="1">
        <f>iferror(VLOOKUP(A84,'Business Plan Setup and Accepta'!A:G,7,false),"")</f>
        <v>1</v>
      </c>
      <c r="I84" s="17">
        <f t="shared" si="3"/>
        <v>1</v>
      </c>
      <c r="J84" s="1">
        <f>IFERROR(VALUE(SUBSTITUTE(VLOOKUP(A84,'Sales IN Revenues vs Sales targ'!A:G,6,false)," $","")), "")
</f>
        <v>15.84</v>
      </c>
      <c r="K84" s="1">
        <f>IFERROR(VALUE(SUBSTITUTE(VLOOKUP(A84,'Sales IN Revenues vs Sales targ'!A:G,7,false)," $","")), "")
</f>
        <v>500</v>
      </c>
      <c r="L84" s="17">
        <f t="shared" si="4"/>
        <v>0.03168</v>
      </c>
      <c r="M84" s="1">
        <f>value(SUBSTITUTE(IFERROR(VLOOKUP(A84,'Certifications achievements vs '!A:G,6,false),""),"#","")
)</f>
        <v>7</v>
      </c>
      <c r="N84" s="1">
        <f>value(SUBSTITUTE(IFERROR(VLOOKUP(A84,'Certifications achievements vs '!A:G,7,false),""),"#","")
)</f>
        <v>52</v>
      </c>
      <c r="O84" s="17">
        <f t="shared" si="5"/>
        <v>0.1346153846</v>
      </c>
      <c r="P84" s="1">
        <f>value(SUBSTITUTE(IFERROR(VLOOKUP(A84,'Communications - Solution Speci'!A:G,6,false),""),"#","")
)</f>
        <v>0</v>
      </c>
      <c r="Q84" s="1">
        <f>value(SUBSTITUTE(IFERROR(VLOOKUP(A84,'Communications - Solution Speci'!A:G,7,false),""),"#","")
)</f>
        <v>1</v>
      </c>
      <c r="R84" s="17">
        <f t="shared" si="6"/>
        <v>0</v>
      </c>
      <c r="S84" s="1">
        <f>value(SUBSTITUTE(IFERROR(VLOOKUP(A84,'Networking - Solution Specializ'!A:G,6,false),""),"#","")
)</f>
        <v>1</v>
      </c>
      <c r="T84" s="1">
        <f>value(SUBSTITUTE(IFERROR(VLOOKUP(A84,'Networking - Solution Specializ'!A:G,7,false),""),"#","")
)</f>
        <v>1</v>
      </c>
      <c r="U84" s="17">
        <f t="shared" si="7"/>
        <v>1</v>
      </c>
      <c r="V84" s="1">
        <f>iferror(vlookup(A84,'Marketing Plan (extract summary'!A:G,6,false),"")</f>
        <v>0</v>
      </c>
      <c r="W84" s="1">
        <f>iferror(vlookup(A84,'Marketing Plan (extract summary'!A:G,7,false),"")</f>
        <v>1</v>
      </c>
      <c r="X84" s="17">
        <f t="shared" si="8"/>
        <v>0</v>
      </c>
      <c r="Y84" s="1">
        <f>value(IFERROR(SUBSTITUTE(SUBSTITUTE(VLOOKUP(A84,'Quarterly Pipeline vs Target Pi'!A:G,6,false)," $","")," €",""), "")
)</f>
        <v>110</v>
      </c>
      <c r="Z84" s="1">
        <f>value(IFERROR(SUBSTITUTE(SUBSTITUTE(VLOOKUP(A84,'Quarterly Pipeline vs Target Pi'!A:G,7,false)," $","")," €",""), "")
)</f>
        <v>0</v>
      </c>
      <c r="AA84" s="17" t="str">
        <f t="shared" si="9"/>
        <v/>
      </c>
      <c r="AB84" s="1">
        <f>value(IFERROR(SUBSTITUTE(SUBSTITUTE(VLOOKUP($A84,'Quarterly Pipeline vs Target Pi'!$A:$V,11,false)," $","")," €",""), "")
)</f>
        <v>14</v>
      </c>
      <c r="AC84" s="1">
        <f>value(IFERROR(SUBSTITUTE(SUBSTITUTE(VLOOKUP($A84,'Quarterly Pipeline vs Target Pi'!$A:$V,12,false)," $","")," €",""), "")
)</f>
        <v>215.52</v>
      </c>
      <c r="AD84" s="17">
        <f t="shared" si="10"/>
        <v>0.06495916852</v>
      </c>
      <c r="AE84" s="1">
        <f>value(IFERROR(SUBSTITUTE(SUBSTITUTE(VLOOKUP($A84,'Quarterly Pipeline vs Target Pi'!$A:$V,16,false)," $","")," €",""), "")
)</f>
        <v>110</v>
      </c>
      <c r="AF84" s="1">
        <f>value(IFERROR(SUBSTITUTE(SUBSTITUTE(VLOOKUP($A84,'Quarterly Pipeline vs Target Pi'!$A:$V,17,false)," $","")," €",""), "")
)</f>
        <v>215.52</v>
      </c>
      <c r="AG84" s="17">
        <f t="shared" si="11"/>
        <v>0.510393467</v>
      </c>
      <c r="AH84" s="1">
        <f>value(IFERROR(SUBSTITUTE(SUBSTITUTE(VLOOKUP($A84,'Quarterly Pipeline vs Target Pi'!$A:$V,21,false)," $","")," €",""), "")
)</f>
        <v>340</v>
      </c>
      <c r="AI84" s="1">
        <f>value(IFERROR(SUBSTITUTE(SUBSTITUTE(VLOOKUP($A84,'Quarterly Pipeline vs Target Pi'!$A:$V,22,false)," $","")," €",""), "")
)</f>
        <v>215.52</v>
      </c>
      <c r="AJ84" s="17">
        <f t="shared" si="12"/>
        <v>1.577579807</v>
      </c>
      <c r="AK84" s="1">
        <f t="shared" ref="AK84:AL84" si="181">sum(Y84,AB84,AE84,AH84)</f>
        <v>574</v>
      </c>
      <c r="AL84" s="1">
        <f t="shared" si="181"/>
        <v>646.56</v>
      </c>
      <c r="AM84" s="17">
        <f t="shared" si="14"/>
        <v>0.8877753031</v>
      </c>
      <c r="AN84" s="1">
        <f>value(IFERROR(SUBSTITUTE(SUBSTITUTE(VLOOKUP($A84,'Quarterly Pipeline vs Target Pi'!$A:$AP,26,false)," $","")," €",""), "")
)</f>
        <v>630</v>
      </c>
      <c r="AO84" s="1">
        <f>value(IFERROR(SUBSTITUTE(SUBSTITUTE(VLOOKUP($A84,'Quarterly Pipeline vs Target Pi'!$A:$AP,27,false)," $","")," €",""), "")
)</f>
        <v>0</v>
      </c>
      <c r="AP84" s="17" t="str">
        <f t="shared" si="15"/>
        <v/>
      </c>
      <c r="AQ84" s="1">
        <f>value(IFERROR(SUBSTITUTE(SUBSTITUTE(VLOOKUP($A84,'Quarterly Pipeline vs Target Pi'!$A:$AP,31,false)," $","")," €",""), "")
)</f>
        <v>0</v>
      </c>
      <c r="AR84" s="1">
        <f>value(IFERROR(SUBSTITUTE(SUBSTITUTE(VLOOKUP($A84,'Quarterly Pipeline vs Target Pi'!$A:$AP,32,false)," $","")," €",""), "")
)</f>
        <v>0</v>
      </c>
      <c r="AS84" s="17" t="str">
        <f t="shared" si="16"/>
        <v/>
      </c>
      <c r="AT84" s="1">
        <f>value(IFERROR(SUBSTITUTE(SUBSTITUTE(VLOOKUP($A84,'Quarterly Pipeline vs Target Pi'!$A:$AP,36,false)," $","")," €",""), "")
)</f>
        <v>150</v>
      </c>
      <c r="AU84" s="1">
        <f>value(IFERROR(SUBSTITUTE(SUBSTITUTE(VLOOKUP($A84,'Quarterly Pipeline vs Target Pi'!$A:$AP,37,false)," $","")," €",""), "")
)</f>
        <v>0</v>
      </c>
      <c r="AV84" s="17" t="str">
        <f t="shared" si="17"/>
        <v/>
      </c>
      <c r="AW84" s="1">
        <f>value(IFERROR(SUBSTITUTE(SUBSTITUTE(VLOOKUP($A84,'Quarterly Pipeline vs Target Pi'!$A:$AP,41,false)," $","")," €",""), "")
)</f>
        <v>0</v>
      </c>
      <c r="AX84" s="1">
        <f>value(IFERROR(SUBSTITUTE(SUBSTITUTE(VLOOKUP($A84,'Quarterly Pipeline vs Target Pi'!$A:$AP,42,false)," $","")," €",""), "")
)</f>
        <v>0</v>
      </c>
      <c r="AY84" s="17" t="str">
        <f t="shared" si="18"/>
        <v/>
      </c>
      <c r="AZ84" s="1">
        <f t="shared" ref="AZ84:BA84" si="182">sum(AN84,AQ84,AT84,AW84)</f>
        <v>780</v>
      </c>
      <c r="BA84" s="1">
        <f t="shared" si="182"/>
        <v>0</v>
      </c>
      <c r="BB84" s="17" t="str">
        <f t="shared" si="20"/>
        <v/>
      </c>
    </row>
    <row r="85">
      <c r="A85" s="1" t="str">
        <f>IFERROR(__xludf.DUMMYFUNCTION("""COMPUTED_VALUE"""),"63ced84dc5c820531c2696da")</f>
        <v>63ced84dc5c820531c2696da</v>
      </c>
      <c r="B85" s="1" t="str">
        <f>IFERROR(__xludf.DUMMYFUNCTION("""COMPUTED_VALUE"""),"Communications Consulting Inc.")</f>
        <v>Communications Consulting Inc.</v>
      </c>
      <c r="C85" s="1" t="str">
        <f>IFERROR(__xludf.DUMMYFUNCTION("""COMPUTED_VALUE"""),"brendan.flaherty@al-enterprise.com, michael-j.francis@al-enterprise.com, jon.taylor@al-enterprise.com")</f>
        <v>brendan.flaherty@al-enterprise.com, michael-j.francis@al-enterprise.com, jon.taylor@al-enterprise.com</v>
      </c>
      <c r="D85" s="1" t="str">
        <f>IFERROR(__xludf.DUMMYFUNCTION("""COMPUTED_VALUE"""),"americas")</f>
        <v>americas</v>
      </c>
      <c r="E85" s="1" t="str">
        <f>IFERROR(__xludf.DUMMYFUNCTION("""COMPUTED_VALUE"""),"US")</f>
        <v>US</v>
      </c>
      <c r="F85" s="1" t="str">
        <f>IFERROR(__xludf.DUMMYFUNCTION("""COMPUTED_VALUE"""),"expert_1000")</f>
        <v>expert_1000</v>
      </c>
      <c r="G85" s="1">
        <f>iferror(VLOOKUP(A85,'Business Plan Setup and Accepta'!A:G,6,false),"")</f>
        <v>1</v>
      </c>
      <c r="H85" s="1">
        <f>iferror(VLOOKUP(A85,'Business Plan Setup and Accepta'!A:G,7,false),"")</f>
        <v>1</v>
      </c>
      <c r="I85" s="17">
        <f t="shared" si="3"/>
        <v>1</v>
      </c>
      <c r="J85" s="1">
        <f>IFERROR(VALUE(SUBSTITUTE(VLOOKUP(A85,'Sales IN Revenues vs Sales targ'!A:G,6,false)," $","")), "")
</f>
        <v>383.74</v>
      </c>
      <c r="K85" s="1">
        <f>IFERROR(VALUE(SUBSTITUTE(VLOOKUP(A85,'Sales IN Revenues vs Sales targ'!A:G,7,false)," $","")), "")
</f>
        <v>1379.99</v>
      </c>
      <c r="L85" s="17">
        <f t="shared" si="4"/>
        <v>0.2780744788</v>
      </c>
      <c r="M85" s="1">
        <f>value(SUBSTITUTE(IFERROR(VLOOKUP(A85,'Certifications achievements vs '!A:G,6,false),""),"#","")
)</f>
        <v>40</v>
      </c>
      <c r="N85" s="1">
        <f>value(SUBSTITUTE(IFERROR(VLOOKUP(A85,'Certifications achievements vs '!A:G,7,false),""),"#","")
)</f>
        <v>52</v>
      </c>
      <c r="O85" s="17">
        <f t="shared" si="5"/>
        <v>0.7692307692</v>
      </c>
      <c r="P85" s="1">
        <f>value(SUBSTITUTE(IFERROR(VLOOKUP(A85,'Communications - Solution Speci'!A:G,6,false),""),"#","")
)</f>
        <v>1</v>
      </c>
      <c r="Q85" s="1">
        <f>value(SUBSTITUTE(IFERROR(VLOOKUP(A85,'Communications - Solution Speci'!A:G,7,false),""),"#","")
)</f>
        <v>1</v>
      </c>
      <c r="R85" s="17">
        <f t="shared" si="6"/>
        <v>1</v>
      </c>
      <c r="S85" s="1">
        <f>value(SUBSTITUTE(IFERROR(VLOOKUP(A85,'Networking - Solution Specializ'!A:G,6,false),""),"#","")
)</f>
        <v>1</v>
      </c>
      <c r="T85" s="1">
        <f>value(SUBSTITUTE(IFERROR(VLOOKUP(A85,'Networking - Solution Specializ'!A:G,7,false),""),"#","")
)</f>
        <v>1</v>
      </c>
      <c r="U85" s="17">
        <f t="shared" si="7"/>
        <v>1</v>
      </c>
      <c r="V85" s="1">
        <f>iferror(vlookup(A85,'Marketing Plan (extract summary'!A:G,6,false),"")</f>
        <v>1</v>
      </c>
      <c r="W85" s="1">
        <f>iferror(vlookup(A85,'Marketing Plan (extract summary'!A:G,7,false),"")</f>
        <v>1</v>
      </c>
      <c r="X85" s="17">
        <f t="shared" si="8"/>
        <v>1</v>
      </c>
      <c r="Y85" s="1">
        <f>value(IFERROR(SUBSTITUTE(SUBSTITUTE(VLOOKUP(A85,'Quarterly Pipeline vs Target Pi'!A:G,6,false)," $","")," €",""), "")
)</f>
        <v>21.7</v>
      </c>
      <c r="Z85" s="1">
        <f>value(IFERROR(SUBSTITUTE(SUBSTITUTE(VLOOKUP(A85,'Quarterly Pipeline vs Target Pi'!A:G,7,false)," $","")," €",""), "")
)</f>
        <v>0</v>
      </c>
      <c r="AA85" s="17" t="str">
        <f t="shared" si="9"/>
        <v/>
      </c>
      <c r="AB85" s="1">
        <f>value(IFERROR(SUBSTITUTE(SUBSTITUTE(VLOOKUP($A85,'Quarterly Pipeline vs Target Pi'!$A:$V,11,false)," $","")," €",""), "")
)</f>
        <v>256.74</v>
      </c>
      <c r="AC85" s="1">
        <f>value(IFERROR(SUBSTITUTE(SUBSTITUTE(VLOOKUP($A85,'Quarterly Pipeline vs Target Pi'!$A:$V,12,false)," $","")," €",""), "")
)</f>
        <v>1679.07</v>
      </c>
      <c r="AD85" s="17">
        <f t="shared" si="10"/>
        <v>0.152906073</v>
      </c>
      <c r="AE85" s="1">
        <f>value(IFERROR(SUBSTITUTE(SUBSTITUTE(VLOOKUP($A85,'Quarterly Pipeline vs Target Pi'!$A:$V,16,false)," $","")," €",""), "")
)</f>
        <v>330.68</v>
      </c>
      <c r="AF85" s="1">
        <f>value(IFERROR(SUBSTITUTE(SUBSTITUTE(VLOOKUP($A85,'Quarterly Pipeline vs Target Pi'!$A:$V,17,false)," $","")," €",""), "")
)</f>
        <v>848.83</v>
      </c>
      <c r="AG85" s="17">
        <f t="shared" si="11"/>
        <v>0.3895715279</v>
      </c>
      <c r="AH85" s="1">
        <f>value(IFERROR(SUBSTITUTE(SUBSTITUTE(VLOOKUP($A85,'Quarterly Pipeline vs Target Pi'!$A:$V,21,false)," $","")," €",""), "")
)</f>
        <v>18.11</v>
      </c>
      <c r="AI85" s="1">
        <f>value(IFERROR(SUBSTITUTE(SUBSTITUTE(VLOOKUP($A85,'Quarterly Pipeline vs Target Pi'!$A:$V,22,false)," $","")," €",""), "")
)</f>
        <v>302.31</v>
      </c>
      <c r="AJ85" s="17">
        <f t="shared" si="12"/>
        <v>0.05990539512</v>
      </c>
      <c r="AK85" s="1">
        <f t="shared" ref="AK85:AL85" si="183">sum(Y85,AB85,AE85,AH85)</f>
        <v>627.23</v>
      </c>
      <c r="AL85" s="1">
        <f t="shared" si="183"/>
        <v>2830.21</v>
      </c>
      <c r="AM85" s="17">
        <f t="shared" si="14"/>
        <v>0.2216195971</v>
      </c>
      <c r="AN85" s="1">
        <f>value(IFERROR(SUBSTITUTE(SUBSTITUTE(VLOOKUP($A85,'Quarterly Pipeline vs Target Pi'!$A:$AP,26,false)," $","")," €",""), "")
)</f>
        <v>8.21</v>
      </c>
      <c r="AO85" s="1">
        <f>value(IFERROR(SUBSTITUTE(SUBSTITUTE(VLOOKUP($A85,'Quarterly Pipeline vs Target Pi'!$A:$AP,27,false)," $","")," €",""), "")
)</f>
        <v>0</v>
      </c>
      <c r="AP85" s="17" t="str">
        <f t="shared" si="15"/>
        <v/>
      </c>
      <c r="AQ85" s="1">
        <f>value(IFERROR(SUBSTITUTE(SUBSTITUTE(VLOOKUP($A85,'Quarterly Pipeline vs Target Pi'!$A:$AP,31,false)," $","")," €",""), "")
)</f>
        <v>0</v>
      </c>
      <c r="AR85" s="1">
        <f>value(IFERROR(SUBSTITUTE(SUBSTITUTE(VLOOKUP($A85,'Quarterly Pipeline vs Target Pi'!$A:$AP,32,false)," $","")," €",""), "")
)</f>
        <v>0</v>
      </c>
      <c r="AS85" s="17" t="str">
        <f t="shared" si="16"/>
        <v/>
      </c>
      <c r="AT85" s="1">
        <f>value(IFERROR(SUBSTITUTE(SUBSTITUTE(VLOOKUP($A85,'Quarterly Pipeline vs Target Pi'!$A:$AP,36,false)," $","")," €",""), "")
)</f>
        <v>0</v>
      </c>
      <c r="AU85" s="1">
        <f>value(IFERROR(SUBSTITUTE(SUBSTITUTE(VLOOKUP($A85,'Quarterly Pipeline vs Target Pi'!$A:$AP,37,false)," $","")," €",""), "")
)</f>
        <v>0</v>
      </c>
      <c r="AV85" s="17" t="str">
        <f t="shared" si="17"/>
        <v/>
      </c>
      <c r="AW85" s="1">
        <f>value(IFERROR(SUBSTITUTE(SUBSTITUTE(VLOOKUP($A85,'Quarterly Pipeline vs Target Pi'!$A:$AP,41,false)," $","")," €",""), "")
)</f>
        <v>0</v>
      </c>
      <c r="AX85" s="1">
        <f>value(IFERROR(SUBSTITUTE(SUBSTITUTE(VLOOKUP($A85,'Quarterly Pipeline vs Target Pi'!$A:$AP,42,false)," $","")," €",""), "")
)</f>
        <v>0</v>
      </c>
      <c r="AY85" s="17" t="str">
        <f t="shared" si="18"/>
        <v/>
      </c>
      <c r="AZ85" s="1">
        <f t="shared" ref="AZ85:BA85" si="184">sum(AN85,AQ85,AT85,AW85)</f>
        <v>8.21</v>
      </c>
      <c r="BA85" s="1">
        <f t="shared" si="184"/>
        <v>0</v>
      </c>
      <c r="BB85" s="17" t="str">
        <f t="shared" si="20"/>
        <v/>
      </c>
    </row>
    <row r="86">
      <c r="A86" s="1" t="str">
        <f>IFERROR(__xludf.DUMMYFUNCTION("""COMPUTED_VALUE"""),"63ea6e9652ad6968805cef25")</f>
        <v>63ea6e9652ad6968805cef25</v>
      </c>
      <c r="B86" s="1" t="str">
        <f>IFERROR(__xludf.DUMMYFUNCTION("""COMPUTED_VALUE"""),"Compu-House GmbH")</f>
        <v>Compu-House GmbH</v>
      </c>
      <c r="C86" s="1" t="str">
        <f>IFERROR(__xludf.DUMMYFUNCTION("""COMPUTED_VALUE"""),"andreas.grossheimann@al-enterprise.com, andre.ramm@al-enterprise.com")</f>
        <v>andreas.grossheimann@al-enterprise.com, andre.ramm@al-enterprise.com</v>
      </c>
      <c r="D86" s="1" t="str">
        <f>IFERROR(__xludf.DUMMYFUNCTION("""COMPUTED_VALUE"""),"germany")</f>
        <v>germany</v>
      </c>
      <c r="E86" s="1" t="str">
        <f>IFERROR(__xludf.DUMMYFUNCTION("""COMPUTED_VALUE"""),"DE")</f>
        <v>DE</v>
      </c>
      <c r="F86" s="1"/>
      <c r="G86" s="1" t="str">
        <f>iferror(VLOOKUP(A86,'Business Plan Setup and Accepta'!A:G,6,false),"")</f>
        <v/>
      </c>
      <c r="H86" s="1" t="str">
        <f>iferror(VLOOKUP(A86,'Business Plan Setup and Accepta'!A:G,7,false),"")</f>
        <v/>
      </c>
      <c r="I86" s="17" t="str">
        <f t="shared" si="3"/>
        <v/>
      </c>
      <c r="J86" s="1" t="str">
        <f>IFERROR(VALUE(SUBSTITUTE(VLOOKUP(A86,'Sales IN Revenues vs Sales targ'!A:G,6,false)," $","")), "")
</f>
        <v/>
      </c>
      <c r="K86" s="1" t="str">
        <f>IFERROR(VALUE(SUBSTITUTE(VLOOKUP(A86,'Sales IN Revenues vs Sales targ'!A:G,7,false)," $","")), "")
</f>
        <v/>
      </c>
      <c r="L86" s="17" t="str">
        <f t="shared" si="4"/>
        <v/>
      </c>
      <c r="M86" s="1">
        <f>value(SUBSTITUTE(IFERROR(VLOOKUP(A86,'Certifications achievements vs '!A:G,6,false),""),"#","")
)</f>
        <v>0</v>
      </c>
      <c r="N86" s="1">
        <f>value(SUBSTITUTE(IFERROR(VLOOKUP(A86,'Certifications achievements vs '!A:G,7,false),""),"#","")
)</f>
        <v>0</v>
      </c>
      <c r="O86" s="17" t="str">
        <f t="shared" si="5"/>
        <v/>
      </c>
      <c r="P86" s="1">
        <f>value(SUBSTITUTE(IFERROR(VLOOKUP(A86,'Communications - Solution Speci'!A:G,6,false),""),"#","")
)</f>
        <v>0</v>
      </c>
      <c r="Q86" s="1">
        <f>value(SUBSTITUTE(IFERROR(VLOOKUP(A86,'Communications - Solution Speci'!A:G,7,false),""),"#","")
)</f>
        <v>0</v>
      </c>
      <c r="R86" s="17" t="str">
        <f t="shared" si="6"/>
        <v/>
      </c>
      <c r="S86" s="1">
        <f>value(SUBSTITUTE(IFERROR(VLOOKUP(A86,'Networking - Solution Specializ'!A:G,6,false),""),"#","")
)</f>
        <v>0</v>
      </c>
      <c r="T86" s="1">
        <f>value(SUBSTITUTE(IFERROR(VLOOKUP(A86,'Networking - Solution Specializ'!A:G,7,false),""),"#","")
)</f>
        <v>0</v>
      </c>
      <c r="U86" s="17" t="str">
        <f t="shared" si="7"/>
        <v/>
      </c>
      <c r="V86" s="1" t="str">
        <f>iferror(vlookup(A86,'Marketing Plan (extract summary'!A:G,6,false),"")</f>
        <v/>
      </c>
      <c r="W86" s="1" t="str">
        <f>iferror(vlookup(A86,'Marketing Plan (extract summary'!A:G,7,false),"")</f>
        <v/>
      </c>
      <c r="X86" s="17" t="str">
        <f t="shared" si="8"/>
        <v/>
      </c>
      <c r="Y86" s="1">
        <f>value(IFERROR(SUBSTITUTE(SUBSTITUTE(VLOOKUP(A86,'Quarterly Pipeline vs Target Pi'!A:G,6,false)," $","")," €",""), "")
)</f>
        <v>0</v>
      </c>
      <c r="Z86" s="1">
        <f>value(IFERROR(SUBSTITUTE(SUBSTITUTE(VLOOKUP(A86,'Quarterly Pipeline vs Target Pi'!A:G,7,false)," $","")," €",""), "")
)</f>
        <v>0</v>
      </c>
      <c r="AA86" s="17" t="str">
        <f t="shared" si="9"/>
        <v/>
      </c>
      <c r="AB86" s="1">
        <f>value(IFERROR(SUBSTITUTE(SUBSTITUTE(VLOOKUP($A86,'Quarterly Pipeline vs Target Pi'!$A:$V,11,false)," $","")," €",""), "")
)</f>
        <v>0</v>
      </c>
      <c r="AC86" s="1">
        <f>value(IFERROR(SUBSTITUTE(SUBSTITUTE(VLOOKUP($A86,'Quarterly Pipeline vs Target Pi'!$A:$V,12,false)," $","")," €",""), "")
)</f>
        <v>0</v>
      </c>
      <c r="AD86" s="17" t="str">
        <f t="shared" si="10"/>
        <v/>
      </c>
      <c r="AE86" s="1">
        <f>value(IFERROR(SUBSTITUTE(SUBSTITUTE(VLOOKUP($A86,'Quarterly Pipeline vs Target Pi'!$A:$V,16,false)," $","")," €",""), "")
)</f>
        <v>0</v>
      </c>
      <c r="AF86" s="1">
        <f>value(IFERROR(SUBSTITUTE(SUBSTITUTE(VLOOKUP($A86,'Quarterly Pipeline vs Target Pi'!$A:$V,17,false)," $","")," €",""), "")
)</f>
        <v>0</v>
      </c>
      <c r="AG86" s="17" t="str">
        <f t="shared" si="11"/>
        <v/>
      </c>
      <c r="AH86" s="1">
        <f>value(IFERROR(SUBSTITUTE(SUBSTITUTE(VLOOKUP($A86,'Quarterly Pipeline vs Target Pi'!$A:$V,21,false)," $","")," €",""), "")
)</f>
        <v>0</v>
      </c>
      <c r="AI86" s="1">
        <f>value(IFERROR(SUBSTITUTE(SUBSTITUTE(VLOOKUP($A86,'Quarterly Pipeline vs Target Pi'!$A:$V,22,false)," $","")," €",""), "")
)</f>
        <v>0</v>
      </c>
      <c r="AJ86" s="17" t="str">
        <f t="shared" si="12"/>
        <v/>
      </c>
      <c r="AK86" s="1">
        <f t="shared" ref="AK86:AL86" si="185">sum(Y86,AB86,AE86,AH86)</f>
        <v>0</v>
      </c>
      <c r="AL86" s="1">
        <f t="shared" si="185"/>
        <v>0</v>
      </c>
      <c r="AM86" s="17" t="str">
        <f t="shared" si="14"/>
        <v/>
      </c>
      <c r="AN86" s="1">
        <f>value(IFERROR(SUBSTITUTE(SUBSTITUTE(VLOOKUP($A86,'Quarterly Pipeline vs Target Pi'!$A:$AP,26,false)," $","")," €",""), "")
)</f>
        <v>0</v>
      </c>
      <c r="AO86" s="1">
        <f>value(IFERROR(SUBSTITUTE(SUBSTITUTE(VLOOKUP($A86,'Quarterly Pipeline vs Target Pi'!$A:$AP,27,false)," $","")," €",""), "")
)</f>
        <v>0</v>
      </c>
      <c r="AP86" s="17" t="str">
        <f t="shared" si="15"/>
        <v/>
      </c>
      <c r="AQ86" s="1">
        <f>value(IFERROR(SUBSTITUTE(SUBSTITUTE(VLOOKUP($A86,'Quarterly Pipeline vs Target Pi'!$A:$AP,31,false)," $","")," €",""), "")
)</f>
        <v>0</v>
      </c>
      <c r="AR86" s="1">
        <f>value(IFERROR(SUBSTITUTE(SUBSTITUTE(VLOOKUP($A86,'Quarterly Pipeline vs Target Pi'!$A:$AP,32,false)," $","")," €",""), "")
)</f>
        <v>0</v>
      </c>
      <c r="AS86" s="17" t="str">
        <f t="shared" si="16"/>
        <v/>
      </c>
      <c r="AT86" s="1">
        <f>value(IFERROR(SUBSTITUTE(SUBSTITUTE(VLOOKUP($A86,'Quarterly Pipeline vs Target Pi'!$A:$AP,36,false)," $","")," €",""), "")
)</f>
        <v>0</v>
      </c>
      <c r="AU86" s="1">
        <f>value(IFERROR(SUBSTITUTE(SUBSTITUTE(VLOOKUP($A86,'Quarterly Pipeline vs Target Pi'!$A:$AP,37,false)," $","")," €",""), "")
)</f>
        <v>0</v>
      </c>
      <c r="AV86" s="17" t="str">
        <f t="shared" si="17"/>
        <v/>
      </c>
      <c r="AW86" s="1">
        <f>value(IFERROR(SUBSTITUTE(SUBSTITUTE(VLOOKUP($A86,'Quarterly Pipeline vs Target Pi'!$A:$AP,41,false)," $","")," €",""), "")
)</f>
        <v>0</v>
      </c>
      <c r="AX86" s="1">
        <f>value(IFERROR(SUBSTITUTE(SUBSTITUTE(VLOOKUP($A86,'Quarterly Pipeline vs Target Pi'!$A:$AP,42,false)," $","")," €",""), "")
)</f>
        <v>0</v>
      </c>
      <c r="AY86" s="17" t="str">
        <f t="shared" si="18"/>
        <v/>
      </c>
      <c r="AZ86" s="1">
        <f t="shared" ref="AZ86:BA86" si="186">sum(AN86,AQ86,AT86,AW86)</f>
        <v>0</v>
      </c>
      <c r="BA86" s="1">
        <f t="shared" si="186"/>
        <v>0</v>
      </c>
      <c r="BB86" s="17" t="str">
        <f t="shared" si="20"/>
        <v/>
      </c>
    </row>
    <row r="87">
      <c r="A87" s="1" t="str">
        <f>IFERROR(__xludf.DUMMYFUNCTION("""COMPUTED_VALUE"""),"63ef9d5d384f27260c1bac85")</f>
        <v>63ef9d5d384f27260c1bac85</v>
      </c>
      <c r="B87" s="1" t="str">
        <f>IFERROR(__xludf.DUMMYFUNCTION("""COMPUTED_VALUE"""),"COMSA 98 SL")</f>
        <v>COMSA 98 SL</v>
      </c>
      <c r="C87" s="1" t="str">
        <f>IFERROR(__xludf.DUMMYFUNCTION("""COMPUTED_VALUE"""),"astrid.savorani@al-enterprise.com, rafael.andreo@al-enterprise.com, esther.alonso@al-enterprise.com, hubert.chapelle@al-enterprise.com, marcos.rodriguez@al-enterprise.com, borja.gonzalvez@al-enterprise.com")</f>
        <v>astrid.savorani@al-enterprise.com, rafael.andreo@al-enterprise.com, esther.alonso@al-enterprise.com, hubert.chapelle@al-enterprise.com, marcos.rodriguez@al-enterprise.com, borja.gonzalvez@al-enterprise.com</v>
      </c>
      <c r="D87" s="1" t="str">
        <f>IFERROR(__xludf.DUMMYFUNCTION("""COMPUTED_VALUE"""),"emea")</f>
        <v>emea</v>
      </c>
      <c r="E87" s="1" t="str">
        <f>IFERROR(__xludf.DUMMYFUNCTION("""COMPUTED_VALUE"""),"ES")</f>
        <v>ES</v>
      </c>
      <c r="F87" s="1"/>
      <c r="G87" s="1" t="str">
        <f>iferror(VLOOKUP(A87,'Business Plan Setup and Accepta'!A:G,6,false),"")</f>
        <v/>
      </c>
      <c r="H87" s="1" t="str">
        <f>iferror(VLOOKUP(A87,'Business Plan Setup and Accepta'!A:G,7,false),"")</f>
        <v/>
      </c>
      <c r="I87" s="17" t="str">
        <f t="shared" si="3"/>
        <v/>
      </c>
      <c r="J87" s="1" t="str">
        <f>IFERROR(VALUE(SUBSTITUTE(VLOOKUP(A87,'Sales IN Revenues vs Sales targ'!A:G,6,false)," $","")), "")
</f>
        <v/>
      </c>
      <c r="K87" s="1" t="str">
        <f>IFERROR(VALUE(SUBSTITUTE(VLOOKUP(A87,'Sales IN Revenues vs Sales targ'!A:G,7,false)," $","")), "")
</f>
        <v/>
      </c>
      <c r="L87" s="17" t="str">
        <f t="shared" si="4"/>
        <v/>
      </c>
      <c r="M87" s="1">
        <f>value(SUBSTITUTE(IFERROR(VLOOKUP(A87,'Certifications achievements vs '!A:G,6,false),""),"#","")
)</f>
        <v>39</v>
      </c>
      <c r="N87" s="1">
        <f>value(SUBSTITUTE(IFERROR(VLOOKUP(A87,'Certifications achievements vs '!A:G,7,false),""),"#","")
)</f>
        <v>52</v>
      </c>
      <c r="O87" s="17">
        <f t="shared" si="5"/>
        <v>0.75</v>
      </c>
      <c r="P87" s="1">
        <f>value(SUBSTITUTE(IFERROR(VLOOKUP(A87,'Communications - Solution Speci'!A:G,6,false),""),"#","")
)</f>
        <v>0</v>
      </c>
      <c r="Q87" s="1">
        <f>value(SUBSTITUTE(IFERROR(VLOOKUP(A87,'Communications - Solution Speci'!A:G,7,false),""),"#","")
)</f>
        <v>0</v>
      </c>
      <c r="R87" s="17" t="str">
        <f t="shared" si="6"/>
        <v/>
      </c>
      <c r="S87" s="1">
        <f>value(SUBSTITUTE(IFERROR(VLOOKUP(A87,'Networking - Solution Specializ'!A:G,6,false),""),"#","")
)</f>
        <v>0</v>
      </c>
      <c r="T87" s="1">
        <f>value(SUBSTITUTE(IFERROR(VLOOKUP(A87,'Networking - Solution Specializ'!A:G,7,false),""),"#","")
)</f>
        <v>0</v>
      </c>
      <c r="U87" s="17" t="str">
        <f t="shared" si="7"/>
        <v/>
      </c>
      <c r="V87" s="1" t="str">
        <f>iferror(vlookup(A87,'Marketing Plan (extract summary'!A:G,6,false),"")</f>
        <v/>
      </c>
      <c r="W87" s="1" t="str">
        <f>iferror(vlookup(A87,'Marketing Plan (extract summary'!A:G,7,false),"")</f>
        <v/>
      </c>
      <c r="X87" s="17" t="str">
        <f t="shared" si="8"/>
        <v/>
      </c>
      <c r="Y87" s="1">
        <f>value(IFERROR(SUBSTITUTE(SUBSTITUTE(VLOOKUP(A87,'Quarterly Pipeline vs Target Pi'!A:G,6,false)," $","")," €",""), "")
)</f>
        <v>0</v>
      </c>
      <c r="Z87" s="1">
        <f>value(IFERROR(SUBSTITUTE(SUBSTITUTE(VLOOKUP(A87,'Quarterly Pipeline vs Target Pi'!A:G,7,false)," $","")," €",""), "")
)</f>
        <v>0</v>
      </c>
      <c r="AA87" s="17" t="str">
        <f t="shared" si="9"/>
        <v/>
      </c>
      <c r="AB87" s="1">
        <f>value(IFERROR(SUBSTITUTE(SUBSTITUTE(VLOOKUP($A87,'Quarterly Pipeline vs Target Pi'!$A:$V,11,false)," $","")," €",""), "")
)</f>
        <v>0</v>
      </c>
      <c r="AC87" s="1">
        <f>value(IFERROR(SUBSTITUTE(SUBSTITUTE(VLOOKUP($A87,'Quarterly Pipeline vs Target Pi'!$A:$V,12,false)," $","")," €",""), "")
)</f>
        <v>0</v>
      </c>
      <c r="AD87" s="17" t="str">
        <f t="shared" si="10"/>
        <v/>
      </c>
      <c r="AE87" s="1">
        <f>value(IFERROR(SUBSTITUTE(SUBSTITUTE(VLOOKUP($A87,'Quarterly Pipeline vs Target Pi'!$A:$V,16,false)," $","")," €",""), "")
)</f>
        <v>0</v>
      </c>
      <c r="AF87" s="1">
        <f>value(IFERROR(SUBSTITUTE(SUBSTITUTE(VLOOKUP($A87,'Quarterly Pipeline vs Target Pi'!$A:$V,17,false)," $","")," €",""), "")
)</f>
        <v>0</v>
      </c>
      <c r="AG87" s="17" t="str">
        <f t="shared" si="11"/>
        <v/>
      </c>
      <c r="AH87" s="1">
        <f>value(IFERROR(SUBSTITUTE(SUBSTITUTE(VLOOKUP($A87,'Quarterly Pipeline vs Target Pi'!$A:$V,21,false)," $","")," €",""), "")
)</f>
        <v>0</v>
      </c>
      <c r="AI87" s="1">
        <f>value(IFERROR(SUBSTITUTE(SUBSTITUTE(VLOOKUP($A87,'Quarterly Pipeline vs Target Pi'!$A:$V,22,false)," $","")," €",""), "")
)</f>
        <v>0</v>
      </c>
      <c r="AJ87" s="17" t="str">
        <f t="shared" si="12"/>
        <v/>
      </c>
      <c r="AK87" s="1">
        <f t="shared" ref="AK87:AL87" si="187">sum(Y87,AB87,AE87,AH87)</f>
        <v>0</v>
      </c>
      <c r="AL87" s="1">
        <f t="shared" si="187"/>
        <v>0</v>
      </c>
      <c r="AM87" s="17" t="str">
        <f t="shared" si="14"/>
        <v/>
      </c>
      <c r="AN87" s="1">
        <f>value(IFERROR(SUBSTITUTE(SUBSTITUTE(VLOOKUP($A87,'Quarterly Pipeline vs Target Pi'!$A:$AP,26,false)," $","")," €",""), "")
)</f>
        <v>0</v>
      </c>
      <c r="AO87" s="1">
        <f>value(IFERROR(SUBSTITUTE(SUBSTITUTE(VLOOKUP($A87,'Quarterly Pipeline vs Target Pi'!$A:$AP,27,false)," $","")," €",""), "")
)</f>
        <v>0</v>
      </c>
      <c r="AP87" s="17" t="str">
        <f t="shared" si="15"/>
        <v/>
      </c>
      <c r="AQ87" s="1">
        <f>value(IFERROR(SUBSTITUTE(SUBSTITUTE(VLOOKUP($A87,'Quarterly Pipeline vs Target Pi'!$A:$AP,31,false)," $","")," €",""), "")
)</f>
        <v>0</v>
      </c>
      <c r="AR87" s="1">
        <f>value(IFERROR(SUBSTITUTE(SUBSTITUTE(VLOOKUP($A87,'Quarterly Pipeline vs Target Pi'!$A:$AP,32,false)," $","")," €",""), "")
)</f>
        <v>0</v>
      </c>
      <c r="AS87" s="17" t="str">
        <f t="shared" si="16"/>
        <v/>
      </c>
      <c r="AT87" s="1">
        <f>value(IFERROR(SUBSTITUTE(SUBSTITUTE(VLOOKUP($A87,'Quarterly Pipeline vs Target Pi'!$A:$AP,36,false)," $","")," €",""), "")
)</f>
        <v>0</v>
      </c>
      <c r="AU87" s="1">
        <f>value(IFERROR(SUBSTITUTE(SUBSTITUTE(VLOOKUP($A87,'Quarterly Pipeline vs Target Pi'!$A:$AP,37,false)," $","")," €",""), "")
)</f>
        <v>0</v>
      </c>
      <c r="AV87" s="17" t="str">
        <f t="shared" si="17"/>
        <v/>
      </c>
      <c r="AW87" s="1">
        <f>value(IFERROR(SUBSTITUTE(SUBSTITUTE(VLOOKUP($A87,'Quarterly Pipeline vs Target Pi'!$A:$AP,41,false)," $","")," €",""), "")
)</f>
        <v>0</v>
      </c>
      <c r="AX87" s="1">
        <f>value(IFERROR(SUBSTITUTE(SUBSTITUTE(VLOOKUP($A87,'Quarterly Pipeline vs Target Pi'!$A:$AP,42,false)," $","")," €",""), "")
)</f>
        <v>0</v>
      </c>
      <c r="AY87" s="17" t="str">
        <f t="shared" si="18"/>
        <v/>
      </c>
      <c r="AZ87" s="1">
        <f t="shared" ref="AZ87:BA87" si="188">sum(AN87,AQ87,AT87,AW87)</f>
        <v>0</v>
      </c>
      <c r="BA87" s="1">
        <f t="shared" si="188"/>
        <v>0</v>
      </c>
      <c r="BB87" s="17" t="str">
        <f t="shared" si="20"/>
        <v/>
      </c>
    </row>
    <row r="88">
      <c r="A88" s="1" t="str">
        <f>IFERROR(__xludf.DUMMYFUNCTION("""COMPUTED_VALUE"""),"63ced84dc5c820531c2696e9")</f>
        <v>63ced84dc5c820531c2696e9</v>
      </c>
      <c r="B88" s="1" t="str">
        <f>IFERROR(__xludf.DUMMYFUNCTION("""COMPUTED_VALUE"""),"ComStar Technologies")</f>
        <v>ComStar Technologies</v>
      </c>
      <c r="C88" s="1" t="str">
        <f>IFERROR(__xludf.DUMMYFUNCTION("""COMPUTED_VALUE"""),"brendan.flaherty@al-enterprise.com")</f>
        <v>brendan.flaherty@al-enterprise.com</v>
      </c>
      <c r="D88" s="1" t="str">
        <f>IFERROR(__xludf.DUMMYFUNCTION("""COMPUTED_VALUE"""),"americas")</f>
        <v>americas</v>
      </c>
      <c r="E88" s="1" t="str">
        <f>IFERROR(__xludf.DUMMYFUNCTION("""COMPUTED_VALUE"""),"US")</f>
        <v>US</v>
      </c>
      <c r="F88" s="1"/>
      <c r="G88" s="1" t="str">
        <f>iferror(VLOOKUP(A88,'Business Plan Setup and Accepta'!A:G,6,false),"")</f>
        <v/>
      </c>
      <c r="H88" s="1" t="str">
        <f>iferror(VLOOKUP(A88,'Business Plan Setup and Accepta'!A:G,7,false),"")</f>
        <v/>
      </c>
      <c r="I88" s="17" t="str">
        <f t="shared" si="3"/>
        <v/>
      </c>
      <c r="J88" s="1" t="str">
        <f>IFERROR(VALUE(SUBSTITUTE(VLOOKUP(A88,'Sales IN Revenues vs Sales targ'!A:G,6,false)," $","")), "")
</f>
        <v/>
      </c>
      <c r="K88" s="1" t="str">
        <f>IFERROR(VALUE(SUBSTITUTE(VLOOKUP(A88,'Sales IN Revenues vs Sales targ'!A:G,7,false)," $","")), "")
</f>
        <v/>
      </c>
      <c r="L88" s="17" t="str">
        <f t="shared" si="4"/>
        <v/>
      </c>
      <c r="M88" s="1">
        <f>value(SUBSTITUTE(IFERROR(VLOOKUP(A88,'Certifications achievements vs '!A:G,6,false),""),"#","")
)</f>
        <v>0</v>
      </c>
      <c r="N88" s="1">
        <f>value(SUBSTITUTE(IFERROR(VLOOKUP(A88,'Certifications achievements vs '!A:G,7,false),""),"#","")
)</f>
        <v>0</v>
      </c>
      <c r="O88" s="17" t="str">
        <f t="shared" si="5"/>
        <v/>
      </c>
      <c r="P88" s="1">
        <f>value(SUBSTITUTE(IFERROR(VLOOKUP(A88,'Communications - Solution Speci'!A:G,6,false),""),"#","")
)</f>
        <v>0</v>
      </c>
      <c r="Q88" s="1">
        <f>value(SUBSTITUTE(IFERROR(VLOOKUP(A88,'Communications - Solution Speci'!A:G,7,false),""),"#","")
)</f>
        <v>0</v>
      </c>
      <c r="R88" s="17" t="str">
        <f t="shared" si="6"/>
        <v/>
      </c>
      <c r="S88" s="1">
        <f>value(SUBSTITUTE(IFERROR(VLOOKUP(A88,'Networking - Solution Specializ'!A:G,6,false),""),"#","")
)</f>
        <v>0</v>
      </c>
      <c r="T88" s="1">
        <f>value(SUBSTITUTE(IFERROR(VLOOKUP(A88,'Networking - Solution Specializ'!A:G,7,false),""),"#","")
)</f>
        <v>0</v>
      </c>
      <c r="U88" s="17" t="str">
        <f t="shared" si="7"/>
        <v/>
      </c>
      <c r="V88" s="1" t="str">
        <f>iferror(vlookup(A88,'Marketing Plan (extract summary'!A:G,6,false),"")</f>
        <v/>
      </c>
      <c r="W88" s="1" t="str">
        <f>iferror(vlookup(A88,'Marketing Plan (extract summary'!A:G,7,false),"")</f>
        <v/>
      </c>
      <c r="X88" s="17" t="str">
        <f t="shared" si="8"/>
        <v/>
      </c>
      <c r="Y88" s="1">
        <f>value(IFERROR(SUBSTITUTE(SUBSTITUTE(VLOOKUP(A88,'Quarterly Pipeline vs Target Pi'!A:G,6,false)," $","")," €",""), "")
)</f>
        <v>0</v>
      </c>
      <c r="Z88" s="1">
        <f>value(IFERROR(SUBSTITUTE(SUBSTITUTE(VLOOKUP(A88,'Quarterly Pipeline vs Target Pi'!A:G,7,false)," $","")," €",""), "")
)</f>
        <v>0</v>
      </c>
      <c r="AA88" s="17" t="str">
        <f t="shared" si="9"/>
        <v/>
      </c>
      <c r="AB88" s="1">
        <f>value(IFERROR(SUBSTITUTE(SUBSTITUTE(VLOOKUP($A88,'Quarterly Pipeline vs Target Pi'!$A:$V,11,false)," $","")," €",""), "")
)</f>
        <v>0</v>
      </c>
      <c r="AC88" s="1">
        <f>value(IFERROR(SUBSTITUTE(SUBSTITUTE(VLOOKUP($A88,'Quarterly Pipeline vs Target Pi'!$A:$V,12,false)," $","")," €",""), "")
)</f>
        <v>0</v>
      </c>
      <c r="AD88" s="17" t="str">
        <f t="shared" si="10"/>
        <v/>
      </c>
      <c r="AE88" s="1">
        <f>value(IFERROR(SUBSTITUTE(SUBSTITUTE(VLOOKUP($A88,'Quarterly Pipeline vs Target Pi'!$A:$V,16,false)," $","")," €",""), "")
)</f>
        <v>0</v>
      </c>
      <c r="AF88" s="1">
        <f>value(IFERROR(SUBSTITUTE(SUBSTITUTE(VLOOKUP($A88,'Quarterly Pipeline vs Target Pi'!$A:$V,17,false)," $","")," €",""), "")
)</f>
        <v>0</v>
      </c>
      <c r="AG88" s="17" t="str">
        <f t="shared" si="11"/>
        <v/>
      </c>
      <c r="AH88" s="1">
        <f>value(IFERROR(SUBSTITUTE(SUBSTITUTE(VLOOKUP($A88,'Quarterly Pipeline vs Target Pi'!$A:$V,21,false)," $","")," €",""), "")
)</f>
        <v>0</v>
      </c>
      <c r="AI88" s="1">
        <f>value(IFERROR(SUBSTITUTE(SUBSTITUTE(VLOOKUP($A88,'Quarterly Pipeline vs Target Pi'!$A:$V,22,false)," $","")," €",""), "")
)</f>
        <v>0</v>
      </c>
      <c r="AJ88" s="17" t="str">
        <f t="shared" si="12"/>
        <v/>
      </c>
      <c r="AK88" s="1">
        <f t="shared" ref="AK88:AL88" si="189">sum(Y88,AB88,AE88,AH88)</f>
        <v>0</v>
      </c>
      <c r="AL88" s="1">
        <f t="shared" si="189"/>
        <v>0</v>
      </c>
      <c r="AM88" s="17" t="str">
        <f t="shared" si="14"/>
        <v/>
      </c>
      <c r="AN88" s="1">
        <f>value(IFERROR(SUBSTITUTE(SUBSTITUTE(VLOOKUP($A88,'Quarterly Pipeline vs Target Pi'!$A:$AP,26,false)," $","")," €",""), "")
)</f>
        <v>0</v>
      </c>
      <c r="AO88" s="1">
        <f>value(IFERROR(SUBSTITUTE(SUBSTITUTE(VLOOKUP($A88,'Quarterly Pipeline vs Target Pi'!$A:$AP,27,false)," $","")," €",""), "")
)</f>
        <v>0</v>
      </c>
      <c r="AP88" s="17" t="str">
        <f t="shared" si="15"/>
        <v/>
      </c>
      <c r="AQ88" s="1">
        <f>value(IFERROR(SUBSTITUTE(SUBSTITUTE(VLOOKUP($A88,'Quarterly Pipeline vs Target Pi'!$A:$AP,31,false)," $","")," €",""), "")
)</f>
        <v>0</v>
      </c>
      <c r="AR88" s="1">
        <f>value(IFERROR(SUBSTITUTE(SUBSTITUTE(VLOOKUP($A88,'Quarterly Pipeline vs Target Pi'!$A:$AP,32,false)," $","")," €",""), "")
)</f>
        <v>0</v>
      </c>
      <c r="AS88" s="17" t="str">
        <f t="shared" si="16"/>
        <v/>
      </c>
      <c r="AT88" s="1">
        <f>value(IFERROR(SUBSTITUTE(SUBSTITUTE(VLOOKUP($A88,'Quarterly Pipeline vs Target Pi'!$A:$AP,36,false)," $","")," €",""), "")
)</f>
        <v>0</v>
      </c>
      <c r="AU88" s="1">
        <f>value(IFERROR(SUBSTITUTE(SUBSTITUTE(VLOOKUP($A88,'Quarterly Pipeline vs Target Pi'!$A:$AP,37,false)," $","")," €",""), "")
)</f>
        <v>0</v>
      </c>
      <c r="AV88" s="17" t="str">
        <f t="shared" si="17"/>
        <v/>
      </c>
      <c r="AW88" s="1">
        <f>value(IFERROR(SUBSTITUTE(SUBSTITUTE(VLOOKUP($A88,'Quarterly Pipeline vs Target Pi'!$A:$AP,41,false)," $","")," €",""), "")
)</f>
        <v>0</v>
      </c>
      <c r="AX88" s="1">
        <f>value(IFERROR(SUBSTITUTE(SUBSTITUTE(VLOOKUP($A88,'Quarterly Pipeline vs Target Pi'!$A:$AP,42,false)," $","")," €",""), "")
)</f>
        <v>0</v>
      </c>
      <c r="AY88" s="17" t="str">
        <f t="shared" si="18"/>
        <v/>
      </c>
      <c r="AZ88" s="1">
        <f t="shared" ref="AZ88:BA88" si="190">sum(AN88,AQ88,AT88,AW88)</f>
        <v>0</v>
      </c>
      <c r="BA88" s="1">
        <f t="shared" si="190"/>
        <v>0</v>
      </c>
      <c r="BB88" s="17" t="str">
        <f t="shared" si="20"/>
        <v/>
      </c>
    </row>
    <row r="89">
      <c r="A89" s="1" t="str">
        <f>IFERROR(__xludf.DUMMYFUNCTION("""COMPUTED_VALUE"""),"63ea6e9652ad6968805cef41")</f>
        <v>63ea6e9652ad6968805cef41</v>
      </c>
      <c r="B89" s="1" t="str">
        <f>IFERROR(__xludf.DUMMYFUNCTION("""COMPUTED_VALUE"""),"Comtec Kommunikationssysteme GmbH")</f>
        <v>Comtec Kommunikationssysteme GmbH</v>
      </c>
      <c r="C89" s="1" t="str">
        <f>IFERROR(__xludf.DUMMYFUNCTION("""COMPUTED_VALUE"""),"andreas.grossheimann@al-enterprise.com, andre.ramm@al-enterprise.com")</f>
        <v>andreas.grossheimann@al-enterprise.com, andre.ramm@al-enterprise.com</v>
      </c>
      <c r="D89" s="1" t="str">
        <f>IFERROR(__xludf.DUMMYFUNCTION("""COMPUTED_VALUE"""),"germany")</f>
        <v>germany</v>
      </c>
      <c r="E89" s="1" t="str">
        <f>IFERROR(__xludf.DUMMYFUNCTION("""COMPUTED_VALUE"""),"DE")</f>
        <v>DE</v>
      </c>
      <c r="F89" s="1"/>
      <c r="G89" s="1" t="str">
        <f>iferror(VLOOKUP(A89,'Business Plan Setup and Accepta'!A:G,6,false),"")</f>
        <v/>
      </c>
      <c r="H89" s="1" t="str">
        <f>iferror(VLOOKUP(A89,'Business Plan Setup and Accepta'!A:G,7,false),"")</f>
        <v/>
      </c>
      <c r="I89" s="17" t="str">
        <f t="shared" si="3"/>
        <v/>
      </c>
      <c r="J89" s="1" t="str">
        <f>IFERROR(VALUE(SUBSTITUTE(VLOOKUP(A89,'Sales IN Revenues vs Sales targ'!A:G,6,false)," $","")), "")
</f>
        <v/>
      </c>
      <c r="K89" s="1" t="str">
        <f>IFERROR(VALUE(SUBSTITUTE(VLOOKUP(A89,'Sales IN Revenues vs Sales targ'!A:G,7,false)," $","")), "")
</f>
        <v/>
      </c>
      <c r="L89" s="17" t="str">
        <f t="shared" si="4"/>
        <v/>
      </c>
      <c r="M89" s="1">
        <f>value(SUBSTITUTE(IFERROR(VLOOKUP(A89,'Certifications achievements vs '!A:G,6,false),""),"#","")
)</f>
        <v>0</v>
      </c>
      <c r="N89" s="1">
        <f>value(SUBSTITUTE(IFERROR(VLOOKUP(A89,'Certifications achievements vs '!A:G,7,false),""),"#","")
)</f>
        <v>0</v>
      </c>
      <c r="O89" s="17" t="str">
        <f t="shared" si="5"/>
        <v/>
      </c>
      <c r="P89" s="1">
        <f>value(SUBSTITUTE(IFERROR(VLOOKUP(A89,'Communications - Solution Speci'!A:G,6,false),""),"#","")
)</f>
        <v>0</v>
      </c>
      <c r="Q89" s="1">
        <f>value(SUBSTITUTE(IFERROR(VLOOKUP(A89,'Communications - Solution Speci'!A:G,7,false),""),"#","")
)</f>
        <v>0</v>
      </c>
      <c r="R89" s="17" t="str">
        <f t="shared" si="6"/>
        <v/>
      </c>
      <c r="S89" s="1">
        <f>value(SUBSTITUTE(IFERROR(VLOOKUP(A89,'Networking - Solution Specializ'!A:G,6,false),""),"#","")
)</f>
        <v>0</v>
      </c>
      <c r="T89" s="1">
        <f>value(SUBSTITUTE(IFERROR(VLOOKUP(A89,'Networking - Solution Specializ'!A:G,7,false),""),"#","")
)</f>
        <v>0</v>
      </c>
      <c r="U89" s="17" t="str">
        <f t="shared" si="7"/>
        <v/>
      </c>
      <c r="V89" s="1" t="str">
        <f>iferror(vlookup(A89,'Marketing Plan (extract summary'!A:G,6,false),"")</f>
        <v/>
      </c>
      <c r="W89" s="1" t="str">
        <f>iferror(vlookup(A89,'Marketing Plan (extract summary'!A:G,7,false),"")</f>
        <v/>
      </c>
      <c r="X89" s="17" t="str">
        <f t="shared" si="8"/>
        <v/>
      </c>
      <c r="Y89" s="1">
        <f>value(IFERROR(SUBSTITUTE(SUBSTITUTE(VLOOKUP(A89,'Quarterly Pipeline vs Target Pi'!A:G,6,false)," $","")," €",""), "")
)</f>
        <v>0</v>
      </c>
      <c r="Z89" s="1">
        <f>value(IFERROR(SUBSTITUTE(SUBSTITUTE(VLOOKUP(A89,'Quarterly Pipeline vs Target Pi'!A:G,7,false)," $","")," €",""), "")
)</f>
        <v>0</v>
      </c>
      <c r="AA89" s="17" t="str">
        <f t="shared" si="9"/>
        <v/>
      </c>
      <c r="AB89" s="1">
        <f>value(IFERROR(SUBSTITUTE(SUBSTITUTE(VLOOKUP($A89,'Quarterly Pipeline vs Target Pi'!$A:$V,11,false)," $","")," €",""), "")
)</f>
        <v>0</v>
      </c>
      <c r="AC89" s="1">
        <f>value(IFERROR(SUBSTITUTE(SUBSTITUTE(VLOOKUP($A89,'Quarterly Pipeline vs Target Pi'!$A:$V,12,false)," $","")," €",""), "")
)</f>
        <v>0</v>
      </c>
      <c r="AD89" s="17" t="str">
        <f t="shared" si="10"/>
        <v/>
      </c>
      <c r="AE89" s="1">
        <f>value(IFERROR(SUBSTITUTE(SUBSTITUTE(VLOOKUP($A89,'Quarterly Pipeline vs Target Pi'!$A:$V,16,false)," $","")," €",""), "")
)</f>
        <v>0</v>
      </c>
      <c r="AF89" s="1">
        <f>value(IFERROR(SUBSTITUTE(SUBSTITUTE(VLOOKUP($A89,'Quarterly Pipeline vs Target Pi'!$A:$V,17,false)," $","")," €",""), "")
)</f>
        <v>0</v>
      </c>
      <c r="AG89" s="17" t="str">
        <f t="shared" si="11"/>
        <v/>
      </c>
      <c r="AH89" s="1">
        <f>value(IFERROR(SUBSTITUTE(SUBSTITUTE(VLOOKUP($A89,'Quarterly Pipeline vs Target Pi'!$A:$V,21,false)," $","")," €",""), "")
)</f>
        <v>0</v>
      </c>
      <c r="AI89" s="1">
        <f>value(IFERROR(SUBSTITUTE(SUBSTITUTE(VLOOKUP($A89,'Quarterly Pipeline vs Target Pi'!$A:$V,22,false)," $","")," €",""), "")
)</f>
        <v>0</v>
      </c>
      <c r="AJ89" s="17" t="str">
        <f t="shared" si="12"/>
        <v/>
      </c>
      <c r="AK89" s="1">
        <f t="shared" ref="AK89:AL89" si="191">sum(Y89,AB89,AE89,AH89)</f>
        <v>0</v>
      </c>
      <c r="AL89" s="1">
        <f t="shared" si="191"/>
        <v>0</v>
      </c>
      <c r="AM89" s="17" t="str">
        <f t="shared" si="14"/>
        <v/>
      </c>
      <c r="AN89" s="1">
        <f>value(IFERROR(SUBSTITUTE(SUBSTITUTE(VLOOKUP($A89,'Quarterly Pipeline vs Target Pi'!$A:$AP,26,false)," $","")," €",""), "")
)</f>
        <v>0</v>
      </c>
      <c r="AO89" s="1">
        <f>value(IFERROR(SUBSTITUTE(SUBSTITUTE(VLOOKUP($A89,'Quarterly Pipeline vs Target Pi'!$A:$AP,27,false)," $","")," €",""), "")
)</f>
        <v>0</v>
      </c>
      <c r="AP89" s="17" t="str">
        <f t="shared" si="15"/>
        <v/>
      </c>
      <c r="AQ89" s="1">
        <f>value(IFERROR(SUBSTITUTE(SUBSTITUTE(VLOOKUP($A89,'Quarterly Pipeline vs Target Pi'!$A:$AP,31,false)," $","")," €",""), "")
)</f>
        <v>0</v>
      </c>
      <c r="AR89" s="1">
        <f>value(IFERROR(SUBSTITUTE(SUBSTITUTE(VLOOKUP($A89,'Quarterly Pipeline vs Target Pi'!$A:$AP,32,false)," $","")," €",""), "")
)</f>
        <v>0</v>
      </c>
      <c r="AS89" s="17" t="str">
        <f t="shared" si="16"/>
        <v/>
      </c>
      <c r="AT89" s="1">
        <f>value(IFERROR(SUBSTITUTE(SUBSTITUTE(VLOOKUP($A89,'Quarterly Pipeline vs Target Pi'!$A:$AP,36,false)," $","")," €",""), "")
)</f>
        <v>0</v>
      </c>
      <c r="AU89" s="1">
        <f>value(IFERROR(SUBSTITUTE(SUBSTITUTE(VLOOKUP($A89,'Quarterly Pipeline vs Target Pi'!$A:$AP,37,false)," $","")," €",""), "")
)</f>
        <v>0</v>
      </c>
      <c r="AV89" s="17" t="str">
        <f t="shared" si="17"/>
        <v/>
      </c>
      <c r="AW89" s="1">
        <f>value(IFERROR(SUBSTITUTE(SUBSTITUTE(VLOOKUP($A89,'Quarterly Pipeline vs Target Pi'!$A:$AP,41,false)," $","")," €",""), "")
)</f>
        <v>0</v>
      </c>
      <c r="AX89" s="1">
        <f>value(IFERROR(SUBSTITUTE(SUBSTITUTE(VLOOKUP($A89,'Quarterly Pipeline vs Target Pi'!$A:$AP,42,false)," $","")," €",""), "")
)</f>
        <v>0</v>
      </c>
      <c r="AY89" s="17" t="str">
        <f t="shared" si="18"/>
        <v/>
      </c>
      <c r="AZ89" s="1">
        <f t="shared" ref="AZ89:BA89" si="192">sum(AN89,AQ89,AT89,AW89)</f>
        <v>0</v>
      </c>
      <c r="BA89" s="1">
        <f t="shared" si="192"/>
        <v>0</v>
      </c>
      <c r="BB89" s="17" t="str">
        <f t="shared" si="20"/>
        <v/>
      </c>
    </row>
    <row r="90">
      <c r="A90" s="1" t="str">
        <f>IFERROR(__xludf.DUMMYFUNCTION("""COMPUTED_VALUE"""),"63ced842c5c820531c268096")</f>
        <v>63ced842c5c820531c268096</v>
      </c>
      <c r="B90" s="1" t="str">
        <f>IFERROR(__xludf.DUMMYFUNCTION("""COMPUTED_VALUE"""),"Comtel S.A.")</f>
        <v>Comtel S.A.</v>
      </c>
      <c r="C90" s="1" t="str">
        <f>IFERROR(__xludf.DUMMYFUNCTION("""COMPUTED_VALUE"""),"luis.arriagada@al-enterprise.com")</f>
        <v>luis.arriagada@al-enterprise.com</v>
      </c>
      <c r="D90" s="1" t="str">
        <f>IFERROR(__xludf.DUMMYFUNCTION("""COMPUTED_VALUE"""),"americas")</f>
        <v>americas</v>
      </c>
      <c r="E90" s="1" t="str">
        <f>IFERROR(__xludf.DUMMYFUNCTION("""COMPUTED_VALUE"""),"PY")</f>
        <v>PY</v>
      </c>
      <c r="F90" s="1"/>
      <c r="G90" s="1" t="str">
        <f>iferror(VLOOKUP(A90,'Business Plan Setup and Accepta'!A:G,6,false),"")</f>
        <v/>
      </c>
      <c r="H90" s="1" t="str">
        <f>iferror(VLOOKUP(A90,'Business Plan Setup and Accepta'!A:G,7,false),"")</f>
        <v/>
      </c>
      <c r="I90" s="17" t="str">
        <f t="shared" si="3"/>
        <v/>
      </c>
      <c r="J90" s="1" t="str">
        <f>IFERROR(VALUE(SUBSTITUTE(VLOOKUP(A90,'Sales IN Revenues vs Sales targ'!A:G,6,false)," $","")), "")
</f>
        <v/>
      </c>
      <c r="K90" s="1" t="str">
        <f>IFERROR(VALUE(SUBSTITUTE(VLOOKUP(A90,'Sales IN Revenues vs Sales targ'!A:G,7,false)," $","")), "")
</f>
        <v/>
      </c>
      <c r="L90" s="17" t="str">
        <f t="shared" si="4"/>
        <v/>
      </c>
      <c r="M90" s="1">
        <f>value(SUBSTITUTE(IFERROR(VLOOKUP(A90,'Certifications achievements vs '!A:G,6,false),""),"#","")
)</f>
        <v>39</v>
      </c>
      <c r="N90" s="1">
        <f>value(SUBSTITUTE(IFERROR(VLOOKUP(A90,'Certifications achievements vs '!A:G,7,false),""),"#","")
)</f>
        <v>52</v>
      </c>
      <c r="O90" s="17">
        <f t="shared" si="5"/>
        <v>0.75</v>
      </c>
      <c r="P90" s="1">
        <f>value(SUBSTITUTE(IFERROR(VLOOKUP(A90,'Communications - Solution Speci'!A:G,6,false),""),"#","")
)</f>
        <v>0</v>
      </c>
      <c r="Q90" s="1">
        <f>value(SUBSTITUTE(IFERROR(VLOOKUP(A90,'Communications - Solution Speci'!A:G,7,false),""),"#","")
)</f>
        <v>0</v>
      </c>
      <c r="R90" s="17" t="str">
        <f t="shared" si="6"/>
        <v/>
      </c>
      <c r="S90" s="1">
        <f>value(SUBSTITUTE(IFERROR(VLOOKUP(A90,'Networking - Solution Specializ'!A:G,6,false),""),"#","")
)</f>
        <v>0</v>
      </c>
      <c r="T90" s="1">
        <f>value(SUBSTITUTE(IFERROR(VLOOKUP(A90,'Networking - Solution Specializ'!A:G,7,false),""),"#","")
)</f>
        <v>0</v>
      </c>
      <c r="U90" s="17" t="str">
        <f t="shared" si="7"/>
        <v/>
      </c>
      <c r="V90" s="1" t="str">
        <f>iferror(vlookup(A90,'Marketing Plan (extract summary'!A:G,6,false),"")</f>
        <v/>
      </c>
      <c r="W90" s="1" t="str">
        <f>iferror(vlookup(A90,'Marketing Plan (extract summary'!A:G,7,false),"")</f>
        <v/>
      </c>
      <c r="X90" s="17" t="str">
        <f t="shared" si="8"/>
        <v/>
      </c>
      <c r="Y90" s="1">
        <f>value(IFERROR(SUBSTITUTE(SUBSTITUTE(VLOOKUP(A90,'Quarterly Pipeline vs Target Pi'!A:G,6,false)," $","")," €",""), "")
)</f>
        <v>0</v>
      </c>
      <c r="Z90" s="1">
        <f>value(IFERROR(SUBSTITUTE(SUBSTITUTE(VLOOKUP(A90,'Quarterly Pipeline vs Target Pi'!A:G,7,false)," $","")," €",""), "")
)</f>
        <v>0</v>
      </c>
      <c r="AA90" s="17" t="str">
        <f t="shared" si="9"/>
        <v/>
      </c>
      <c r="AB90" s="1">
        <f>value(IFERROR(SUBSTITUTE(SUBSTITUTE(VLOOKUP($A90,'Quarterly Pipeline vs Target Pi'!$A:$V,11,false)," $","")," €",""), "")
)</f>
        <v>0</v>
      </c>
      <c r="AC90" s="1">
        <f>value(IFERROR(SUBSTITUTE(SUBSTITUTE(VLOOKUP($A90,'Quarterly Pipeline vs Target Pi'!$A:$V,12,false)," $","")," €",""), "")
)</f>
        <v>0</v>
      </c>
      <c r="AD90" s="17" t="str">
        <f t="shared" si="10"/>
        <v/>
      </c>
      <c r="AE90" s="1">
        <f>value(IFERROR(SUBSTITUTE(SUBSTITUTE(VLOOKUP($A90,'Quarterly Pipeline vs Target Pi'!$A:$V,16,false)," $","")," €",""), "")
)</f>
        <v>0</v>
      </c>
      <c r="AF90" s="1">
        <f>value(IFERROR(SUBSTITUTE(SUBSTITUTE(VLOOKUP($A90,'Quarterly Pipeline vs Target Pi'!$A:$V,17,false)," $","")," €",""), "")
)</f>
        <v>0</v>
      </c>
      <c r="AG90" s="17" t="str">
        <f t="shared" si="11"/>
        <v/>
      </c>
      <c r="AH90" s="1">
        <f>value(IFERROR(SUBSTITUTE(SUBSTITUTE(VLOOKUP($A90,'Quarterly Pipeline vs Target Pi'!$A:$V,21,false)," $","")," €",""), "")
)</f>
        <v>0</v>
      </c>
      <c r="AI90" s="1">
        <f>value(IFERROR(SUBSTITUTE(SUBSTITUTE(VLOOKUP($A90,'Quarterly Pipeline vs Target Pi'!$A:$V,22,false)," $","")," €",""), "")
)</f>
        <v>0</v>
      </c>
      <c r="AJ90" s="17" t="str">
        <f t="shared" si="12"/>
        <v/>
      </c>
      <c r="AK90" s="1">
        <f t="shared" ref="AK90:AL90" si="193">sum(Y90,AB90,AE90,AH90)</f>
        <v>0</v>
      </c>
      <c r="AL90" s="1">
        <f t="shared" si="193"/>
        <v>0</v>
      </c>
      <c r="AM90" s="17" t="str">
        <f t="shared" si="14"/>
        <v/>
      </c>
      <c r="AN90" s="1">
        <f>value(IFERROR(SUBSTITUTE(SUBSTITUTE(VLOOKUP($A90,'Quarterly Pipeline vs Target Pi'!$A:$AP,26,false)," $","")," €",""), "")
)</f>
        <v>0</v>
      </c>
      <c r="AO90" s="1">
        <f>value(IFERROR(SUBSTITUTE(SUBSTITUTE(VLOOKUP($A90,'Quarterly Pipeline vs Target Pi'!$A:$AP,27,false)," $","")," €",""), "")
)</f>
        <v>0</v>
      </c>
      <c r="AP90" s="17" t="str">
        <f t="shared" si="15"/>
        <v/>
      </c>
      <c r="AQ90" s="1">
        <f>value(IFERROR(SUBSTITUTE(SUBSTITUTE(VLOOKUP($A90,'Quarterly Pipeline vs Target Pi'!$A:$AP,31,false)," $","")," €",""), "")
)</f>
        <v>0</v>
      </c>
      <c r="AR90" s="1">
        <f>value(IFERROR(SUBSTITUTE(SUBSTITUTE(VLOOKUP($A90,'Quarterly Pipeline vs Target Pi'!$A:$AP,32,false)," $","")," €",""), "")
)</f>
        <v>0</v>
      </c>
      <c r="AS90" s="17" t="str">
        <f t="shared" si="16"/>
        <v/>
      </c>
      <c r="AT90" s="1">
        <f>value(IFERROR(SUBSTITUTE(SUBSTITUTE(VLOOKUP($A90,'Quarterly Pipeline vs Target Pi'!$A:$AP,36,false)," $","")," €",""), "")
)</f>
        <v>0</v>
      </c>
      <c r="AU90" s="1">
        <f>value(IFERROR(SUBSTITUTE(SUBSTITUTE(VLOOKUP($A90,'Quarterly Pipeline vs Target Pi'!$A:$AP,37,false)," $","")," €",""), "")
)</f>
        <v>0</v>
      </c>
      <c r="AV90" s="17" t="str">
        <f t="shared" si="17"/>
        <v/>
      </c>
      <c r="AW90" s="1">
        <f>value(IFERROR(SUBSTITUTE(SUBSTITUTE(VLOOKUP($A90,'Quarterly Pipeline vs Target Pi'!$A:$AP,41,false)," $","")," €",""), "")
)</f>
        <v>0</v>
      </c>
      <c r="AX90" s="1">
        <f>value(IFERROR(SUBSTITUTE(SUBSTITUTE(VLOOKUP($A90,'Quarterly Pipeline vs Target Pi'!$A:$AP,42,false)," $","")," €",""), "")
)</f>
        <v>0</v>
      </c>
      <c r="AY90" s="17" t="str">
        <f t="shared" si="18"/>
        <v/>
      </c>
      <c r="AZ90" s="1">
        <f t="shared" ref="AZ90:BA90" si="194">sum(AN90,AQ90,AT90,AW90)</f>
        <v>0</v>
      </c>
      <c r="BA90" s="1">
        <f t="shared" si="194"/>
        <v>0</v>
      </c>
      <c r="BB90" s="17" t="str">
        <f t="shared" si="20"/>
        <v/>
      </c>
    </row>
    <row r="91">
      <c r="A91" s="1" t="str">
        <f>IFERROR(__xludf.DUMMYFUNCTION("""COMPUTED_VALUE"""),"63ea6e9452ad6968805cec4d")</f>
        <v>63ea6e9452ad6968805cec4d</v>
      </c>
      <c r="B91" s="1" t="str">
        <f>IFERROR(__xludf.DUMMYFUNCTION("""COMPUTED_VALUE"""),"Comtelo GbR Dipl.Ing.(FH) Torge")</f>
        <v>Comtelo GbR Dipl.Ing.(FH) Torge</v>
      </c>
      <c r="C91" s="1" t="str">
        <f>IFERROR(__xludf.DUMMYFUNCTION("""COMPUTED_VALUE"""),"andreas.grossheimann@al-enterprise.com, katrin.pfeiffer@al-enterprise.com, sibylle.klopfer@al-enterprise.com, igor.leko@al-enterprise.com")</f>
        <v>andreas.grossheimann@al-enterprise.com, katrin.pfeiffer@al-enterprise.com, sibylle.klopfer@al-enterprise.com, igor.leko@al-enterprise.com</v>
      </c>
      <c r="D91" s="1" t="str">
        <f>IFERROR(__xludf.DUMMYFUNCTION("""COMPUTED_VALUE"""),"germany")</f>
        <v>germany</v>
      </c>
      <c r="E91" s="1" t="str">
        <f>IFERROR(__xludf.DUMMYFUNCTION("""COMPUTED_VALUE"""),"DE")</f>
        <v>DE</v>
      </c>
      <c r="F91" s="1"/>
      <c r="G91" s="1" t="str">
        <f>iferror(VLOOKUP(A91,'Business Plan Setup and Accepta'!A:G,6,false),"")</f>
        <v/>
      </c>
      <c r="H91" s="1" t="str">
        <f>iferror(VLOOKUP(A91,'Business Plan Setup and Accepta'!A:G,7,false),"")</f>
        <v/>
      </c>
      <c r="I91" s="17" t="str">
        <f t="shared" si="3"/>
        <v/>
      </c>
      <c r="J91" s="1" t="str">
        <f>IFERROR(VALUE(SUBSTITUTE(VLOOKUP(A91,'Sales IN Revenues vs Sales targ'!A:G,6,false)," $","")), "")
</f>
        <v/>
      </c>
      <c r="K91" s="1" t="str">
        <f>IFERROR(VALUE(SUBSTITUTE(VLOOKUP(A91,'Sales IN Revenues vs Sales targ'!A:G,7,false)," $","")), "")
</f>
        <v/>
      </c>
      <c r="L91" s="17" t="str">
        <f t="shared" si="4"/>
        <v/>
      </c>
      <c r="M91" s="1">
        <f>value(SUBSTITUTE(IFERROR(VLOOKUP(A91,'Certifications achievements vs '!A:G,6,false),""),"#","")
)</f>
        <v>28</v>
      </c>
      <c r="N91" s="1">
        <f>value(SUBSTITUTE(IFERROR(VLOOKUP(A91,'Certifications achievements vs '!A:G,7,false),""),"#","")
)</f>
        <v>52</v>
      </c>
      <c r="O91" s="17">
        <f t="shared" si="5"/>
        <v>0.5384615385</v>
      </c>
      <c r="P91" s="1">
        <f>value(SUBSTITUTE(IFERROR(VLOOKUP(A91,'Communications - Solution Speci'!A:G,6,false),""),"#","")
)</f>
        <v>0</v>
      </c>
      <c r="Q91" s="1">
        <f>value(SUBSTITUTE(IFERROR(VLOOKUP(A91,'Communications - Solution Speci'!A:G,7,false),""),"#","")
)</f>
        <v>0</v>
      </c>
      <c r="R91" s="17" t="str">
        <f t="shared" si="6"/>
        <v/>
      </c>
      <c r="S91" s="1">
        <f>value(SUBSTITUTE(IFERROR(VLOOKUP(A91,'Networking - Solution Specializ'!A:G,6,false),""),"#","")
)</f>
        <v>0</v>
      </c>
      <c r="T91" s="1">
        <f>value(SUBSTITUTE(IFERROR(VLOOKUP(A91,'Networking - Solution Specializ'!A:G,7,false),""),"#","")
)</f>
        <v>0</v>
      </c>
      <c r="U91" s="17" t="str">
        <f t="shared" si="7"/>
        <v/>
      </c>
      <c r="V91" s="1" t="str">
        <f>iferror(vlookup(A91,'Marketing Plan (extract summary'!A:G,6,false),"")</f>
        <v/>
      </c>
      <c r="W91" s="1" t="str">
        <f>iferror(vlookup(A91,'Marketing Plan (extract summary'!A:G,7,false),"")</f>
        <v/>
      </c>
      <c r="X91" s="17" t="str">
        <f t="shared" si="8"/>
        <v/>
      </c>
      <c r="Y91" s="1">
        <f>value(IFERROR(SUBSTITUTE(SUBSTITUTE(VLOOKUP(A91,'Quarterly Pipeline vs Target Pi'!A:G,6,false)," $","")," €",""), "")
)</f>
        <v>0</v>
      </c>
      <c r="Z91" s="1">
        <f>value(IFERROR(SUBSTITUTE(SUBSTITUTE(VLOOKUP(A91,'Quarterly Pipeline vs Target Pi'!A:G,7,false)," $","")," €",""), "")
)</f>
        <v>0</v>
      </c>
      <c r="AA91" s="17" t="str">
        <f t="shared" si="9"/>
        <v/>
      </c>
      <c r="AB91" s="1">
        <f>value(IFERROR(SUBSTITUTE(SUBSTITUTE(VLOOKUP($A91,'Quarterly Pipeline vs Target Pi'!$A:$V,11,false)," $","")," €",""), "")
)</f>
        <v>0</v>
      </c>
      <c r="AC91" s="1">
        <f>value(IFERROR(SUBSTITUTE(SUBSTITUTE(VLOOKUP($A91,'Quarterly Pipeline vs Target Pi'!$A:$V,12,false)," $","")," €",""), "")
)</f>
        <v>0</v>
      </c>
      <c r="AD91" s="17" t="str">
        <f t="shared" si="10"/>
        <v/>
      </c>
      <c r="AE91" s="1">
        <f>value(IFERROR(SUBSTITUTE(SUBSTITUTE(VLOOKUP($A91,'Quarterly Pipeline vs Target Pi'!$A:$V,16,false)," $","")," €",""), "")
)</f>
        <v>0</v>
      </c>
      <c r="AF91" s="1">
        <f>value(IFERROR(SUBSTITUTE(SUBSTITUTE(VLOOKUP($A91,'Quarterly Pipeline vs Target Pi'!$A:$V,17,false)," $","")," €",""), "")
)</f>
        <v>0</v>
      </c>
      <c r="AG91" s="17" t="str">
        <f t="shared" si="11"/>
        <v/>
      </c>
      <c r="AH91" s="1">
        <f>value(IFERROR(SUBSTITUTE(SUBSTITUTE(VLOOKUP($A91,'Quarterly Pipeline vs Target Pi'!$A:$V,21,false)," $","")," €",""), "")
)</f>
        <v>0</v>
      </c>
      <c r="AI91" s="1">
        <f>value(IFERROR(SUBSTITUTE(SUBSTITUTE(VLOOKUP($A91,'Quarterly Pipeline vs Target Pi'!$A:$V,22,false)," $","")," €",""), "")
)</f>
        <v>0</v>
      </c>
      <c r="AJ91" s="17" t="str">
        <f t="shared" si="12"/>
        <v/>
      </c>
      <c r="AK91" s="1">
        <f t="shared" ref="AK91:AL91" si="195">sum(Y91,AB91,AE91,AH91)</f>
        <v>0</v>
      </c>
      <c r="AL91" s="1">
        <f t="shared" si="195"/>
        <v>0</v>
      </c>
      <c r="AM91" s="17" t="str">
        <f t="shared" si="14"/>
        <v/>
      </c>
      <c r="AN91" s="1">
        <f>value(IFERROR(SUBSTITUTE(SUBSTITUTE(VLOOKUP($A91,'Quarterly Pipeline vs Target Pi'!$A:$AP,26,false)," $","")," €",""), "")
)</f>
        <v>0</v>
      </c>
      <c r="AO91" s="1">
        <f>value(IFERROR(SUBSTITUTE(SUBSTITUTE(VLOOKUP($A91,'Quarterly Pipeline vs Target Pi'!$A:$AP,27,false)," $","")," €",""), "")
)</f>
        <v>0</v>
      </c>
      <c r="AP91" s="17" t="str">
        <f t="shared" si="15"/>
        <v/>
      </c>
      <c r="AQ91" s="1">
        <f>value(IFERROR(SUBSTITUTE(SUBSTITUTE(VLOOKUP($A91,'Quarterly Pipeline vs Target Pi'!$A:$AP,31,false)," $","")," €",""), "")
)</f>
        <v>0</v>
      </c>
      <c r="AR91" s="1">
        <f>value(IFERROR(SUBSTITUTE(SUBSTITUTE(VLOOKUP($A91,'Quarterly Pipeline vs Target Pi'!$A:$AP,32,false)," $","")," €",""), "")
)</f>
        <v>0</v>
      </c>
      <c r="AS91" s="17" t="str">
        <f t="shared" si="16"/>
        <v/>
      </c>
      <c r="AT91" s="1">
        <f>value(IFERROR(SUBSTITUTE(SUBSTITUTE(VLOOKUP($A91,'Quarterly Pipeline vs Target Pi'!$A:$AP,36,false)," $","")," €",""), "")
)</f>
        <v>0</v>
      </c>
      <c r="AU91" s="1">
        <f>value(IFERROR(SUBSTITUTE(SUBSTITUTE(VLOOKUP($A91,'Quarterly Pipeline vs Target Pi'!$A:$AP,37,false)," $","")," €",""), "")
)</f>
        <v>0</v>
      </c>
      <c r="AV91" s="17" t="str">
        <f t="shared" si="17"/>
        <v/>
      </c>
      <c r="AW91" s="1">
        <f>value(IFERROR(SUBSTITUTE(SUBSTITUTE(VLOOKUP($A91,'Quarterly Pipeline vs Target Pi'!$A:$AP,41,false)," $","")," €",""), "")
)</f>
        <v>0</v>
      </c>
      <c r="AX91" s="1">
        <f>value(IFERROR(SUBSTITUTE(SUBSTITUTE(VLOOKUP($A91,'Quarterly Pipeline vs Target Pi'!$A:$AP,42,false)," $","")," €",""), "")
)</f>
        <v>0</v>
      </c>
      <c r="AY91" s="17" t="str">
        <f t="shared" si="18"/>
        <v/>
      </c>
      <c r="AZ91" s="1">
        <f t="shared" ref="AZ91:BA91" si="196">sum(AN91,AQ91,AT91,AW91)</f>
        <v>0</v>
      </c>
      <c r="BA91" s="1">
        <f t="shared" si="196"/>
        <v>0</v>
      </c>
      <c r="BB91" s="17" t="str">
        <f t="shared" si="20"/>
        <v/>
      </c>
    </row>
    <row r="92">
      <c r="A92" s="1" t="str">
        <f>IFERROR(__xludf.DUMMYFUNCTION("""COMPUTED_VALUE"""),"63ced84ec5c820531c26998c")</f>
        <v>63ced84ec5c820531c26998c</v>
      </c>
      <c r="B92" s="1" t="str">
        <f>IFERROR(__xludf.DUMMYFUNCTION("""COMPUTED_VALUE"""),"Comtex Telecommunications, Inc")</f>
        <v>Comtex Telecommunications, Inc</v>
      </c>
      <c r="C92" s="1" t="str">
        <f>IFERROR(__xludf.DUMMYFUNCTION("""COMPUTED_VALUE"""),"brendan.flaherty@al-enterprise.com")</f>
        <v>brendan.flaherty@al-enterprise.com</v>
      </c>
      <c r="D92" s="1" t="str">
        <f>IFERROR(__xludf.DUMMYFUNCTION("""COMPUTED_VALUE"""),"americas")</f>
        <v>americas</v>
      </c>
      <c r="E92" s="1" t="str">
        <f>IFERROR(__xludf.DUMMYFUNCTION("""COMPUTED_VALUE"""),"US")</f>
        <v>US</v>
      </c>
      <c r="F92" s="1"/>
      <c r="G92" s="1" t="str">
        <f>iferror(VLOOKUP(A92,'Business Plan Setup and Accepta'!A:G,6,false),"")</f>
        <v/>
      </c>
      <c r="H92" s="1" t="str">
        <f>iferror(VLOOKUP(A92,'Business Plan Setup and Accepta'!A:G,7,false),"")</f>
        <v/>
      </c>
      <c r="I92" s="17" t="str">
        <f t="shared" si="3"/>
        <v/>
      </c>
      <c r="J92" s="1" t="str">
        <f>IFERROR(VALUE(SUBSTITUTE(VLOOKUP(A92,'Sales IN Revenues vs Sales targ'!A:G,6,false)," $","")), "")
</f>
        <v/>
      </c>
      <c r="K92" s="1" t="str">
        <f>IFERROR(VALUE(SUBSTITUTE(VLOOKUP(A92,'Sales IN Revenues vs Sales targ'!A:G,7,false)," $","")), "")
</f>
        <v/>
      </c>
      <c r="L92" s="17" t="str">
        <f t="shared" si="4"/>
        <v/>
      </c>
      <c r="M92" s="1">
        <f>value(SUBSTITUTE(IFERROR(VLOOKUP(A92,'Certifications achievements vs '!A:G,6,false),""),"#","")
)</f>
        <v>0</v>
      </c>
      <c r="N92" s="1">
        <f>value(SUBSTITUTE(IFERROR(VLOOKUP(A92,'Certifications achievements vs '!A:G,7,false),""),"#","")
)</f>
        <v>0</v>
      </c>
      <c r="O92" s="17" t="str">
        <f t="shared" si="5"/>
        <v/>
      </c>
      <c r="P92" s="1">
        <f>value(SUBSTITUTE(IFERROR(VLOOKUP(A92,'Communications - Solution Speci'!A:G,6,false),""),"#","")
)</f>
        <v>0</v>
      </c>
      <c r="Q92" s="1">
        <f>value(SUBSTITUTE(IFERROR(VLOOKUP(A92,'Communications - Solution Speci'!A:G,7,false),""),"#","")
)</f>
        <v>0</v>
      </c>
      <c r="R92" s="17" t="str">
        <f t="shared" si="6"/>
        <v/>
      </c>
      <c r="S92" s="1">
        <f>value(SUBSTITUTE(IFERROR(VLOOKUP(A92,'Networking - Solution Specializ'!A:G,6,false),""),"#","")
)</f>
        <v>0</v>
      </c>
      <c r="T92" s="1">
        <f>value(SUBSTITUTE(IFERROR(VLOOKUP(A92,'Networking - Solution Specializ'!A:G,7,false),""),"#","")
)</f>
        <v>0</v>
      </c>
      <c r="U92" s="17" t="str">
        <f t="shared" si="7"/>
        <v/>
      </c>
      <c r="V92" s="1" t="str">
        <f>iferror(vlookup(A92,'Marketing Plan (extract summary'!A:G,6,false),"")</f>
        <v/>
      </c>
      <c r="W92" s="1" t="str">
        <f>iferror(vlookup(A92,'Marketing Plan (extract summary'!A:G,7,false),"")</f>
        <v/>
      </c>
      <c r="X92" s="17" t="str">
        <f t="shared" si="8"/>
        <v/>
      </c>
      <c r="Y92" s="1">
        <f>value(IFERROR(SUBSTITUTE(SUBSTITUTE(VLOOKUP(A92,'Quarterly Pipeline vs Target Pi'!A:G,6,false)," $","")," €",""), "")
)</f>
        <v>0</v>
      </c>
      <c r="Z92" s="1">
        <f>value(IFERROR(SUBSTITUTE(SUBSTITUTE(VLOOKUP(A92,'Quarterly Pipeline vs Target Pi'!A:G,7,false)," $","")," €",""), "")
)</f>
        <v>0</v>
      </c>
      <c r="AA92" s="17" t="str">
        <f t="shared" si="9"/>
        <v/>
      </c>
      <c r="AB92" s="1">
        <f>value(IFERROR(SUBSTITUTE(SUBSTITUTE(VLOOKUP($A92,'Quarterly Pipeline vs Target Pi'!$A:$V,11,false)," $","")," €",""), "")
)</f>
        <v>0</v>
      </c>
      <c r="AC92" s="1">
        <f>value(IFERROR(SUBSTITUTE(SUBSTITUTE(VLOOKUP($A92,'Quarterly Pipeline vs Target Pi'!$A:$V,12,false)," $","")," €",""), "")
)</f>
        <v>0</v>
      </c>
      <c r="AD92" s="17" t="str">
        <f t="shared" si="10"/>
        <v/>
      </c>
      <c r="AE92" s="1">
        <f>value(IFERROR(SUBSTITUTE(SUBSTITUTE(VLOOKUP($A92,'Quarterly Pipeline vs Target Pi'!$A:$V,16,false)," $","")," €",""), "")
)</f>
        <v>0</v>
      </c>
      <c r="AF92" s="1">
        <f>value(IFERROR(SUBSTITUTE(SUBSTITUTE(VLOOKUP($A92,'Quarterly Pipeline vs Target Pi'!$A:$V,17,false)," $","")," €",""), "")
)</f>
        <v>0</v>
      </c>
      <c r="AG92" s="17" t="str">
        <f t="shared" si="11"/>
        <v/>
      </c>
      <c r="AH92" s="1">
        <f>value(IFERROR(SUBSTITUTE(SUBSTITUTE(VLOOKUP($A92,'Quarterly Pipeline vs Target Pi'!$A:$V,21,false)," $","")," €",""), "")
)</f>
        <v>0</v>
      </c>
      <c r="AI92" s="1">
        <f>value(IFERROR(SUBSTITUTE(SUBSTITUTE(VLOOKUP($A92,'Quarterly Pipeline vs Target Pi'!$A:$V,22,false)," $","")," €",""), "")
)</f>
        <v>0</v>
      </c>
      <c r="AJ92" s="17" t="str">
        <f t="shared" si="12"/>
        <v/>
      </c>
      <c r="AK92" s="1">
        <f t="shared" ref="AK92:AL92" si="197">sum(Y92,AB92,AE92,AH92)</f>
        <v>0</v>
      </c>
      <c r="AL92" s="1">
        <f t="shared" si="197"/>
        <v>0</v>
      </c>
      <c r="AM92" s="17" t="str">
        <f t="shared" si="14"/>
        <v/>
      </c>
      <c r="AN92" s="1">
        <f>value(IFERROR(SUBSTITUTE(SUBSTITUTE(VLOOKUP($A92,'Quarterly Pipeline vs Target Pi'!$A:$AP,26,false)," $","")," €",""), "")
)</f>
        <v>0</v>
      </c>
      <c r="AO92" s="1">
        <f>value(IFERROR(SUBSTITUTE(SUBSTITUTE(VLOOKUP($A92,'Quarterly Pipeline vs Target Pi'!$A:$AP,27,false)," $","")," €",""), "")
)</f>
        <v>0</v>
      </c>
      <c r="AP92" s="17" t="str">
        <f t="shared" si="15"/>
        <v/>
      </c>
      <c r="AQ92" s="1">
        <f>value(IFERROR(SUBSTITUTE(SUBSTITUTE(VLOOKUP($A92,'Quarterly Pipeline vs Target Pi'!$A:$AP,31,false)," $","")," €",""), "")
)</f>
        <v>0</v>
      </c>
      <c r="AR92" s="1">
        <f>value(IFERROR(SUBSTITUTE(SUBSTITUTE(VLOOKUP($A92,'Quarterly Pipeline vs Target Pi'!$A:$AP,32,false)," $","")," €",""), "")
)</f>
        <v>0</v>
      </c>
      <c r="AS92" s="17" t="str">
        <f t="shared" si="16"/>
        <v/>
      </c>
      <c r="AT92" s="1">
        <f>value(IFERROR(SUBSTITUTE(SUBSTITUTE(VLOOKUP($A92,'Quarterly Pipeline vs Target Pi'!$A:$AP,36,false)," $","")," €",""), "")
)</f>
        <v>0</v>
      </c>
      <c r="AU92" s="1">
        <f>value(IFERROR(SUBSTITUTE(SUBSTITUTE(VLOOKUP($A92,'Quarterly Pipeline vs Target Pi'!$A:$AP,37,false)," $","")," €",""), "")
)</f>
        <v>0</v>
      </c>
      <c r="AV92" s="17" t="str">
        <f t="shared" si="17"/>
        <v/>
      </c>
      <c r="AW92" s="1">
        <f>value(IFERROR(SUBSTITUTE(SUBSTITUTE(VLOOKUP($A92,'Quarterly Pipeline vs Target Pi'!$A:$AP,41,false)," $","")," €",""), "")
)</f>
        <v>0</v>
      </c>
      <c r="AX92" s="1">
        <f>value(IFERROR(SUBSTITUTE(SUBSTITUTE(VLOOKUP($A92,'Quarterly Pipeline vs Target Pi'!$A:$AP,42,false)," $","")," €",""), "")
)</f>
        <v>0</v>
      </c>
      <c r="AY92" s="17" t="str">
        <f t="shared" si="18"/>
        <v/>
      </c>
      <c r="AZ92" s="1">
        <f t="shared" ref="AZ92:BA92" si="198">sum(AN92,AQ92,AT92,AW92)</f>
        <v>0</v>
      </c>
      <c r="BA92" s="1">
        <f t="shared" si="198"/>
        <v>0</v>
      </c>
      <c r="BB92" s="17" t="str">
        <f t="shared" si="20"/>
        <v/>
      </c>
    </row>
    <row r="93">
      <c r="A93" s="1" t="str">
        <f>IFERROR(__xludf.DUMMYFUNCTION("""COMPUTED_VALUE"""),"63ced84ec5c820531c2699b9")</f>
        <v>63ced84ec5c820531c2699b9</v>
      </c>
      <c r="B93" s="1" t="str">
        <f>IFERROR(__xludf.DUMMYFUNCTION("""COMPUTED_VALUE"""),"ConCor Networks Inc")</f>
        <v>ConCor Networks Inc</v>
      </c>
      <c r="C93" s="1" t="str">
        <f>IFERROR(__xludf.DUMMYFUNCTION("""COMPUTED_VALUE"""),"brendan.flaherty@al-enterprise.com")</f>
        <v>brendan.flaherty@al-enterprise.com</v>
      </c>
      <c r="D93" s="1" t="str">
        <f>IFERROR(__xludf.DUMMYFUNCTION("""COMPUTED_VALUE"""),"americas")</f>
        <v>americas</v>
      </c>
      <c r="E93" s="1" t="str">
        <f>IFERROR(__xludf.DUMMYFUNCTION("""COMPUTED_VALUE"""),"US")</f>
        <v>US</v>
      </c>
      <c r="F93" s="1"/>
      <c r="G93" s="1" t="str">
        <f>iferror(VLOOKUP(A93,'Business Plan Setup and Accepta'!A:G,6,false),"")</f>
        <v/>
      </c>
      <c r="H93" s="1" t="str">
        <f>iferror(VLOOKUP(A93,'Business Plan Setup and Accepta'!A:G,7,false),"")</f>
        <v/>
      </c>
      <c r="I93" s="17" t="str">
        <f t="shared" si="3"/>
        <v/>
      </c>
      <c r="J93" s="1" t="str">
        <f>IFERROR(VALUE(SUBSTITUTE(VLOOKUP(A93,'Sales IN Revenues vs Sales targ'!A:G,6,false)," $","")), "")
</f>
        <v/>
      </c>
      <c r="K93" s="1" t="str">
        <f>IFERROR(VALUE(SUBSTITUTE(VLOOKUP(A93,'Sales IN Revenues vs Sales targ'!A:G,7,false)," $","")), "")
</f>
        <v/>
      </c>
      <c r="L93" s="17" t="str">
        <f t="shared" si="4"/>
        <v/>
      </c>
      <c r="M93" s="1">
        <f>value(SUBSTITUTE(IFERROR(VLOOKUP(A93,'Certifications achievements vs '!A:G,6,false),""),"#","")
)</f>
        <v>0</v>
      </c>
      <c r="N93" s="1">
        <f>value(SUBSTITUTE(IFERROR(VLOOKUP(A93,'Certifications achievements vs '!A:G,7,false),""),"#","")
)</f>
        <v>0</v>
      </c>
      <c r="O93" s="17" t="str">
        <f t="shared" si="5"/>
        <v/>
      </c>
      <c r="P93" s="1">
        <f>value(SUBSTITUTE(IFERROR(VLOOKUP(A93,'Communications - Solution Speci'!A:G,6,false),""),"#","")
)</f>
        <v>0</v>
      </c>
      <c r="Q93" s="1">
        <f>value(SUBSTITUTE(IFERROR(VLOOKUP(A93,'Communications - Solution Speci'!A:G,7,false),""),"#","")
)</f>
        <v>0</v>
      </c>
      <c r="R93" s="17" t="str">
        <f t="shared" si="6"/>
        <v/>
      </c>
      <c r="S93" s="1">
        <f>value(SUBSTITUTE(IFERROR(VLOOKUP(A93,'Networking - Solution Specializ'!A:G,6,false),""),"#","")
)</f>
        <v>0</v>
      </c>
      <c r="T93" s="1">
        <f>value(SUBSTITUTE(IFERROR(VLOOKUP(A93,'Networking - Solution Specializ'!A:G,7,false),""),"#","")
)</f>
        <v>0</v>
      </c>
      <c r="U93" s="17" t="str">
        <f t="shared" si="7"/>
        <v/>
      </c>
      <c r="V93" s="1" t="str">
        <f>iferror(vlookup(A93,'Marketing Plan (extract summary'!A:G,6,false),"")</f>
        <v/>
      </c>
      <c r="W93" s="1" t="str">
        <f>iferror(vlookup(A93,'Marketing Plan (extract summary'!A:G,7,false),"")</f>
        <v/>
      </c>
      <c r="X93" s="17" t="str">
        <f t="shared" si="8"/>
        <v/>
      </c>
      <c r="Y93" s="1">
        <f>value(IFERROR(SUBSTITUTE(SUBSTITUTE(VLOOKUP(A93,'Quarterly Pipeline vs Target Pi'!A:G,6,false)," $","")," €",""), "")
)</f>
        <v>0</v>
      </c>
      <c r="Z93" s="1">
        <f>value(IFERROR(SUBSTITUTE(SUBSTITUTE(VLOOKUP(A93,'Quarterly Pipeline vs Target Pi'!A:G,7,false)," $","")," €",""), "")
)</f>
        <v>0</v>
      </c>
      <c r="AA93" s="17" t="str">
        <f t="shared" si="9"/>
        <v/>
      </c>
      <c r="AB93" s="1">
        <f>value(IFERROR(SUBSTITUTE(SUBSTITUTE(VLOOKUP($A93,'Quarterly Pipeline vs Target Pi'!$A:$V,11,false)," $","")," €",""), "")
)</f>
        <v>0</v>
      </c>
      <c r="AC93" s="1">
        <f>value(IFERROR(SUBSTITUTE(SUBSTITUTE(VLOOKUP($A93,'Quarterly Pipeline vs Target Pi'!$A:$V,12,false)," $","")," €",""), "")
)</f>
        <v>0</v>
      </c>
      <c r="AD93" s="17" t="str">
        <f t="shared" si="10"/>
        <v/>
      </c>
      <c r="AE93" s="1">
        <f>value(IFERROR(SUBSTITUTE(SUBSTITUTE(VLOOKUP($A93,'Quarterly Pipeline vs Target Pi'!$A:$V,16,false)," $","")," €",""), "")
)</f>
        <v>0</v>
      </c>
      <c r="AF93" s="1">
        <f>value(IFERROR(SUBSTITUTE(SUBSTITUTE(VLOOKUP($A93,'Quarterly Pipeline vs Target Pi'!$A:$V,17,false)," $","")," €",""), "")
)</f>
        <v>0</v>
      </c>
      <c r="AG93" s="17" t="str">
        <f t="shared" si="11"/>
        <v/>
      </c>
      <c r="AH93" s="1">
        <f>value(IFERROR(SUBSTITUTE(SUBSTITUTE(VLOOKUP($A93,'Quarterly Pipeline vs Target Pi'!$A:$V,21,false)," $","")," €",""), "")
)</f>
        <v>0</v>
      </c>
      <c r="AI93" s="1">
        <f>value(IFERROR(SUBSTITUTE(SUBSTITUTE(VLOOKUP($A93,'Quarterly Pipeline vs Target Pi'!$A:$V,22,false)," $","")," €",""), "")
)</f>
        <v>0</v>
      </c>
      <c r="AJ93" s="17" t="str">
        <f t="shared" si="12"/>
        <v/>
      </c>
      <c r="AK93" s="1">
        <f t="shared" ref="AK93:AL93" si="199">sum(Y93,AB93,AE93,AH93)</f>
        <v>0</v>
      </c>
      <c r="AL93" s="1">
        <f t="shared" si="199"/>
        <v>0</v>
      </c>
      <c r="AM93" s="17" t="str">
        <f t="shared" si="14"/>
        <v/>
      </c>
      <c r="AN93" s="1">
        <f>value(IFERROR(SUBSTITUTE(SUBSTITUTE(VLOOKUP($A93,'Quarterly Pipeline vs Target Pi'!$A:$AP,26,false)," $","")," €",""), "")
)</f>
        <v>0</v>
      </c>
      <c r="AO93" s="1">
        <f>value(IFERROR(SUBSTITUTE(SUBSTITUTE(VLOOKUP($A93,'Quarterly Pipeline vs Target Pi'!$A:$AP,27,false)," $","")," €",""), "")
)</f>
        <v>0</v>
      </c>
      <c r="AP93" s="17" t="str">
        <f t="shared" si="15"/>
        <v/>
      </c>
      <c r="AQ93" s="1">
        <f>value(IFERROR(SUBSTITUTE(SUBSTITUTE(VLOOKUP($A93,'Quarterly Pipeline vs Target Pi'!$A:$AP,31,false)," $","")," €",""), "")
)</f>
        <v>0</v>
      </c>
      <c r="AR93" s="1">
        <f>value(IFERROR(SUBSTITUTE(SUBSTITUTE(VLOOKUP($A93,'Quarterly Pipeline vs Target Pi'!$A:$AP,32,false)," $","")," €",""), "")
)</f>
        <v>0</v>
      </c>
      <c r="AS93" s="17" t="str">
        <f t="shared" si="16"/>
        <v/>
      </c>
      <c r="AT93" s="1">
        <f>value(IFERROR(SUBSTITUTE(SUBSTITUTE(VLOOKUP($A93,'Quarterly Pipeline vs Target Pi'!$A:$AP,36,false)," $","")," €",""), "")
)</f>
        <v>0</v>
      </c>
      <c r="AU93" s="1">
        <f>value(IFERROR(SUBSTITUTE(SUBSTITUTE(VLOOKUP($A93,'Quarterly Pipeline vs Target Pi'!$A:$AP,37,false)," $","")," €",""), "")
)</f>
        <v>0</v>
      </c>
      <c r="AV93" s="17" t="str">
        <f t="shared" si="17"/>
        <v/>
      </c>
      <c r="AW93" s="1">
        <f>value(IFERROR(SUBSTITUTE(SUBSTITUTE(VLOOKUP($A93,'Quarterly Pipeline vs Target Pi'!$A:$AP,41,false)," $","")," €",""), "")
)</f>
        <v>0</v>
      </c>
      <c r="AX93" s="1">
        <f>value(IFERROR(SUBSTITUTE(SUBSTITUTE(VLOOKUP($A93,'Quarterly Pipeline vs Target Pi'!$A:$AP,42,false)," $","")," €",""), "")
)</f>
        <v>0</v>
      </c>
      <c r="AY93" s="17" t="str">
        <f t="shared" si="18"/>
        <v/>
      </c>
      <c r="AZ93" s="1">
        <f t="shared" ref="AZ93:BA93" si="200">sum(AN93,AQ93,AT93,AW93)</f>
        <v>0</v>
      </c>
      <c r="BA93" s="1">
        <f t="shared" si="200"/>
        <v>0</v>
      </c>
      <c r="BB93" s="17" t="str">
        <f t="shared" si="20"/>
        <v/>
      </c>
    </row>
    <row r="94">
      <c r="A94" s="1" t="str">
        <f>IFERROR(__xludf.DUMMYFUNCTION("""COMPUTED_VALUE"""),"63ea6e9452ad6968805ced1f")</f>
        <v>63ea6e9452ad6968805ced1f</v>
      </c>
      <c r="B94" s="1" t="str">
        <f>IFERROR(__xludf.DUMMYFUNCTION("""COMPUTED_VALUE"""),"connectline GmbH")</f>
        <v>connectline GmbH</v>
      </c>
      <c r="C94" s="1" t="str">
        <f>IFERROR(__xludf.DUMMYFUNCTION("""COMPUTED_VALUE"""),"thomas.ullmann@al-enterprise.com, andreas.grossheimann@al-enterprise.com")</f>
        <v>thomas.ullmann@al-enterprise.com, andreas.grossheimann@al-enterprise.com</v>
      </c>
      <c r="D94" s="1" t="str">
        <f>IFERROR(__xludf.DUMMYFUNCTION("""COMPUTED_VALUE"""),"germany")</f>
        <v>germany</v>
      </c>
      <c r="E94" s="1" t="str">
        <f>IFERROR(__xludf.DUMMYFUNCTION("""COMPUTED_VALUE"""),"DE")</f>
        <v>DE</v>
      </c>
      <c r="F94" s="1"/>
      <c r="G94" s="1" t="str">
        <f>iferror(VLOOKUP(A94,'Business Plan Setup and Accepta'!A:G,6,false),"")</f>
        <v/>
      </c>
      <c r="H94" s="1" t="str">
        <f>iferror(VLOOKUP(A94,'Business Plan Setup and Accepta'!A:G,7,false),"")</f>
        <v/>
      </c>
      <c r="I94" s="17" t="str">
        <f t="shared" si="3"/>
        <v/>
      </c>
      <c r="J94" s="1" t="str">
        <f>IFERROR(VALUE(SUBSTITUTE(VLOOKUP(A94,'Sales IN Revenues vs Sales targ'!A:G,6,false)," $","")), "")
</f>
        <v/>
      </c>
      <c r="K94" s="1" t="str">
        <f>IFERROR(VALUE(SUBSTITUTE(VLOOKUP(A94,'Sales IN Revenues vs Sales targ'!A:G,7,false)," $","")), "")
</f>
        <v/>
      </c>
      <c r="L94" s="17" t="str">
        <f t="shared" si="4"/>
        <v/>
      </c>
      <c r="M94" s="1">
        <f>value(SUBSTITUTE(IFERROR(VLOOKUP(A94,'Certifications achievements vs '!A:G,6,false),""),"#","")
)</f>
        <v>0</v>
      </c>
      <c r="N94" s="1">
        <f>value(SUBSTITUTE(IFERROR(VLOOKUP(A94,'Certifications achievements vs '!A:G,7,false),""),"#","")
)</f>
        <v>0</v>
      </c>
      <c r="O94" s="17" t="str">
        <f t="shared" si="5"/>
        <v/>
      </c>
      <c r="P94" s="1">
        <f>value(SUBSTITUTE(IFERROR(VLOOKUP(A94,'Communications - Solution Speci'!A:G,6,false),""),"#","")
)</f>
        <v>0</v>
      </c>
      <c r="Q94" s="1">
        <f>value(SUBSTITUTE(IFERROR(VLOOKUP(A94,'Communications - Solution Speci'!A:G,7,false),""),"#","")
)</f>
        <v>0</v>
      </c>
      <c r="R94" s="17" t="str">
        <f t="shared" si="6"/>
        <v/>
      </c>
      <c r="S94" s="1">
        <f>value(SUBSTITUTE(IFERROR(VLOOKUP(A94,'Networking - Solution Specializ'!A:G,6,false),""),"#","")
)</f>
        <v>0</v>
      </c>
      <c r="T94" s="1">
        <f>value(SUBSTITUTE(IFERROR(VLOOKUP(A94,'Networking - Solution Specializ'!A:G,7,false),""),"#","")
)</f>
        <v>0</v>
      </c>
      <c r="U94" s="17" t="str">
        <f t="shared" si="7"/>
        <v/>
      </c>
      <c r="V94" s="1" t="str">
        <f>iferror(vlookup(A94,'Marketing Plan (extract summary'!A:G,6,false),"")</f>
        <v/>
      </c>
      <c r="W94" s="1" t="str">
        <f>iferror(vlookup(A94,'Marketing Plan (extract summary'!A:G,7,false),"")</f>
        <v/>
      </c>
      <c r="X94" s="17" t="str">
        <f t="shared" si="8"/>
        <v/>
      </c>
      <c r="Y94" s="1">
        <f>value(IFERROR(SUBSTITUTE(SUBSTITUTE(VLOOKUP(A94,'Quarterly Pipeline vs Target Pi'!A:G,6,false)," $","")," €",""), "")
)</f>
        <v>0</v>
      </c>
      <c r="Z94" s="1">
        <f>value(IFERROR(SUBSTITUTE(SUBSTITUTE(VLOOKUP(A94,'Quarterly Pipeline vs Target Pi'!A:G,7,false)," $","")," €",""), "")
)</f>
        <v>0</v>
      </c>
      <c r="AA94" s="17" t="str">
        <f t="shared" si="9"/>
        <v/>
      </c>
      <c r="AB94" s="1">
        <f>value(IFERROR(SUBSTITUTE(SUBSTITUTE(VLOOKUP($A94,'Quarterly Pipeline vs Target Pi'!$A:$V,11,false)," $","")," €",""), "")
)</f>
        <v>0</v>
      </c>
      <c r="AC94" s="1">
        <f>value(IFERROR(SUBSTITUTE(SUBSTITUTE(VLOOKUP($A94,'Quarterly Pipeline vs Target Pi'!$A:$V,12,false)," $","")," €",""), "")
)</f>
        <v>0</v>
      </c>
      <c r="AD94" s="17" t="str">
        <f t="shared" si="10"/>
        <v/>
      </c>
      <c r="AE94" s="1">
        <f>value(IFERROR(SUBSTITUTE(SUBSTITUTE(VLOOKUP($A94,'Quarterly Pipeline vs Target Pi'!$A:$V,16,false)," $","")," €",""), "")
)</f>
        <v>0</v>
      </c>
      <c r="AF94" s="1">
        <f>value(IFERROR(SUBSTITUTE(SUBSTITUTE(VLOOKUP($A94,'Quarterly Pipeline vs Target Pi'!$A:$V,17,false)," $","")," €",""), "")
)</f>
        <v>0</v>
      </c>
      <c r="AG94" s="17" t="str">
        <f t="shared" si="11"/>
        <v/>
      </c>
      <c r="AH94" s="1">
        <f>value(IFERROR(SUBSTITUTE(SUBSTITUTE(VLOOKUP($A94,'Quarterly Pipeline vs Target Pi'!$A:$V,21,false)," $","")," €",""), "")
)</f>
        <v>0</v>
      </c>
      <c r="AI94" s="1">
        <f>value(IFERROR(SUBSTITUTE(SUBSTITUTE(VLOOKUP($A94,'Quarterly Pipeline vs Target Pi'!$A:$V,22,false)," $","")," €",""), "")
)</f>
        <v>0</v>
      </c>
      <c r="AJ94" s="17" t="str">
        <f t="shared" si="12"/>
        <v/>
      </c>
      <c r="AK94" s="1">
        <f t="shared" ref="AK94:AL94" si="201">sum(Y94,AB94,AE94,AH94)</f>
        <v>0</v>
      </c>
      <c r="AL94" s="1">
        <f t="shared" si="201"/>
        <v>0</v>
      </c>
      <c r="AM94" s="17" t="str">
        <f t="shared" si="14"/>
        <v/>
      </c>
      <c r="AN94" s="1">
        <f>value(IFERROR(SUBSTITUTE(SUBSTITUTE(VLOOKUP($A94,'Quarterly Pipeline vs Target Pi'!$A:$AP,26,false)," $","")," €",""), "")
)</f>
        <v>0</v>
      </c>
      <c r="AO94" s="1">
        <f>value(IFERROR(SUBSTITUTE(SUBSTITUTE(VLOOKUP($A94,'Quarterly Pipeline vs Target Pi'!$A:$AP,27,false)," $","")," €",""), "")
)</f>
        <v>0</v>
      </c>
      <c r="AP94" s="17" t="str">
        <f t="shared" si="15"/>
        <v/>
      </c>
      <c r="AQ94" s="1">
        <f>value(IFERROR(SUBSTITUTE(SUBSTITUTE(VLOOKUP($A94,'Quarterly Pipeline vs Target Pi'!$A:$AP,31,false)," $","")," €",""), "")
)</f>
        <v>0</v>
      </c>
      <c r="AR94" s="1">
        <f>value(IFERROR(SUBSTITUTE(SUBSTITUTE(VLOOKUP($A94,'Quarterly Pipeline vs Target Pi'!$A:$AP,32,false)," $","")," €",""), "")
)</f>
        <v>0</v>
      </c>
      <c r="AS94" s="17" t="str">
        <f t="shared" si="16"/>
        <v/>
      </c>
      <c r="AT94" s="1">
        <f>value(IFERROR(SUBSTITUTE(SUBSTITUTE(VLOOKUP($A94,'Quarterly Pipeline vs Target Pi'!$A:$AP,36,false)," $","")," €",""), "")
)</f>
        <v>0</v>
      </c>
      <c r="AU94" s="1">
        <f>value(IFERROR(SUBSTITUTE(SUBSTITUTE(VLOOKUP($A94,'Quarterly Pipeline vs Target Pi'!$A:$AP,37,false)," $","")," €",""), "")
)</f>
        <v>0</v>
      </c>
      <c r="AV94" s="17" t="str">
        <f t="shared" si="17"/>
        <v/>
      </c>
      <c r="AW94" s="1">
        <f>value(IFERROR(SUBSTITUTE(SUBSTITUTE(VLOOKUP($A94,'Quarterly Pipeline vs Target Pi'!$A:$AP,41,false)," $","")," €",""), "")
)</f>
        <v>0</v>
      </c>
      <c r="AX94" s="1">
        <f>value(IFERROR(SUBSTITUTE(SUBSTITUTE(VLOOKUP($A94,'Quarterly Pipeline vs Target Pi'!$A:$AP,42,false)," $","")," €",""), "")
)</f>
        <v>0</v>
      </c>
      <c r="AY94" s="17" t="str">
        <f t="shared" si="18"/>
        <v/>
      </c>
      <c r="AZ94" s="1">
        <f t="shared" ref="AZ94:BA94" si="202">sum(AN94,AQ94,AT94,AW94)</f>
        <v>0</v>
      </c>
      <c r="BA94" s="1">
        <f t="shared" si="202"/>
        <v>0</v>
      </c>
      <c r="BB94" s="17" t="str">
        <f t="shared" si="20"/>
        <v/>
      </c>
    </row>
    <row r="95">
      <c r="A95" s="1" t="str">
        <f>IFERROR(__xludf.DUMMYFUNCTION("""COMPUTED_VALUE"""),"63ea6e9552ad6968805cedf1")</f>
        <v>63ea6e9552ad6968805cedf1</v>
      </c>
      <c r="B95" s="1" t="str">
        <f>IFERROR(__xludf.DUMMYFUNCTION("""COMPUTED_VALUE"""),"Contact Funk-Kommunikations-Systeme")</f>
        <v>Contact Funk-Kommunikations-Systeme</v>
      </c>
      <c r="C95" s="1" t="str">
        <f>IFERROR(__xludf.DUMMYFUNCTION("""COMPUTED_VALUE"""),"andreas.grossheimann@al-enterprise.com, andre.ramm@al-enterprise.com")</f>
        <v>andreas.grossheimann@al-enterprise.com, andre.ramm@al-enterprise.com</v>
      </c>
      <c r="D95" s="1" t="str">
        <f>IFERROR(__xludf.DUMMYFUNCTION("""COMPUTED_VALUE"""),"germany")</f>
        <v>germany</v>
      </c>
      <c r="E95" s="1" t="str">
        <f>IFERROR(__xludf.DUMMYFUNCTION("""COMPUTED_VALUE"""),"DE")</f>
        <v>DE</v>
      </c>
      <c r="F95" s="1"/>
      <c r="G95" s="1" t="str">
        <f>iferror(VLOOKUP(A95,'Business Plan Setup and Accepta'!A:G,6,false),"")</f>
        <v/>
      </c>
      <c r="H95" s="1" t="str">
        <f>iferror(VLOOKUP(A95,'Business Plan Setup and Accepta'!A:G,7,false),"")</f>
        <v/>
      </c>
      <c r="I95" s="17" t="str">
        <f t="shared" si="3"/>
        <v/>
      </c>
      <c r="J95" s="1" t="str">
        <f>IFERROR(VALUE(SUBSTITUTE(VLOOKUP(A95,'Sales IN Revenues vs Sales targ'!A:G,6,false)," $","")), "")
</f>
        <v/>
      </c>
      <c r="K95" s="1" t="str">
        <f>IFERROR(VALUE(SUBSTITUTE(VLOOKUP(A95,'Sales IN Revenues vs Sales targ'!A:G,7,false)," $","")), "")
</f>
        <v/>
      </c>
      <c r="L95" s="17" t="str">
        <f t="shared" si="4"/>
        <v/>
      </c>
      <c r="M95" s="1">
        <f>value(SUBSTITUTE(IFERROR(VLOOKUP(A95,'Certifications achievements vs '!A:G,6,false),""),"#","")
)</f>
        <v>0</v>
      </c>
      <c r="N95" s="1">
        <f>value(SUBSTITUTE(IFERROR(VLOOKUP(A95,'Certifications achievements vs '!A:G,7,false),""),"#","")
)</f>
        <v>0</v>
      </c>
      <c r="O95" s="17" t="str">
        <f t="shared" si="5"/>
        <v/>
      </c>
      <c r="P95" s="1">
        <f>value(SUBSTITUTE(IFERROR(VLOOKUP(A95,'Communications - Solution Speci'!A:G,6,false),""),"#","")
)</f>
        <v>0</v>
      </c>
      <c r="Q95" s="1">
        <f>value(SUBSTITUTE(IFERROR(VLOOKUP(A95,'Communications - Solution Speci'!A:G,7,false),""),"#","")
)</f>
        <v>0</v>
      </c>
      <c r="R95" s="17" t="str">
        <f t="shared" si="6"/>
        <v/>
      </c>
      <c r="S95" s="1">
        <f>value(SUBSTITUTE(IFERROR(VLOOKUP(A95,'Networking - Solution Specializ'!A:G,6,false),""),"#","")
)</f>
        <v>0</v>
      </c>
      <c r="T95" s="1">
        <f>value(SUBSTITUTE(IFERROR(VLOOKUP(A95,'Networking - Solution Specializ'!A:G,7,false),""),"#","")
)</f>
        <v>0</v>
      </c>
      <c r="U95" s="17" t="str">
        <f t="shared" si="7"/>
        <v/>
      </c>
      <c r="V95" s="1" t="str">
        <f>iferror(vlookup(A95,'Marketing Plan (extract summary'!A:G,6,false),"")</f>
        <v/>
      </c>
      <c r="W95" s="1" t="str">
        <f>iferror(vlookup(A95,'Marketing Plan (extract summary'!A:G,7,false),"")</f>
        <v/>
      </c>
      <c r="X95" s="17" t="str">
        <f t="shared" si="8"/>
        <v/>
      </c>
      <c r="Y95" s="1">
        <f>value(IFERROR(SUBSTITUTE(SUBSTITUTE(VLOOKUP(A95,'Quarterly Pipeline vs Target Pi'!A:G,6,false)," $","")," €",""), "")
)</f>
        <v>0</v>
      </c>
      <c r="Z95" s="1">
        <f>value(IFERROR(SUBSTITUTE(SUBSTITUTE(VLOOKUP(A95,'Quarterly Pipeline vs Target Pi'!A:G,7,false)," $","")," €",""), "")
)</f>
        <v>0</v>
      </c>
      <c r="AA95" s="17" t="str">
        <f t="shared" si="9"/>
        <v/>
      </c>
      <c r="AB95" s="1">
        <f>value(IFERROR(SUBSTITUTE(SUBSTITUTE(VLOOKUP($A95,'Quarterly Pipeline vs Target Pi'!$A:$V,11,false)," $","")," €",""), "")
)</f>
        <v>0</v>
      </c>
      <c r="AC95" s="1">
        <f>value(IFERROR(SUBSTITUTE(SUBSTITUTE(VLOOKUP($A95,'Quarterly Pipeline vs Target Pi'!$A:$V,12,false)," $","")," €",""), "")
)</f>
        <v>0</v>
      </c>
      <c r="AD95" s="17" t="str">
        <f t="shared" si="10"/>
        <v/>
      </c>
      <c r="AE95" s="1">
        <f>value(IFERROR(SUBSTITUTE(SUBSTITUTE(VLOOKUP($A95,'Quarterly Pipeline vs Target Pi'!$A:$V,16,false)," $","")," €",""), "")
)</f>
        <v>0</v>
      </c>
      <c r="AF95" s="1">
        <f>value(IFERROR(SUBSTITUTE(SUBSTITUTE(VLOOKUP($A95,'Quarterly Pipeline vs Target Pi'!$A:$V,17,false)," $","")," €",""), "")
)</f>
        <v>0</v>
      </c>
      <c r="AG95" s="17" t="str">
        <f t="shared" si="11"/>
        <v/>
      </c>
      <c r="AH95" s="1">
        <f>value(IFERROR(SUBSTITUTE(SUBSTITUTE(VLOOKUP($A95,'Quarterly Pipeline vs Target Pi'!$A:$V,21,false)," $","")," €",""), "")
)</f>
        <v>0</v>
      </c>
      <c r="AI95" s="1">
        <f>value(IFERROR(SUBSTITUTE(SUBSTITUTE(VLOOKUP($A95,'Quarterly Pipeline vs Target Pi'!$A:$V,22,false)," $","")," €",""), "")
)</f>
        <v>0</v>
      </c>
      <c r="AJ95" s="17" t="str">
        <f t="shared" si="12"/>
        <v/>
      </c>
      <c r="AK95" s="1">
        <f t="shared" ref="AK95:AL95" si="203">sum(Y95,AB95,AE95,AH95)</f>
        <v>0</v>
      </c>
      <c r="AL95" s="1">
        <f t="shared" si="203"/>
        <v>0</v>
      </c>
      <c r="AM95" s="17" t="str">
        <f t="shared" si="14"/>
        <v/>
      </c>
      <c r="AN95" s="1">
        <f>value(IFERROR(SUBSTITUTE(SUBSTITUTE(VLOOKUP($A95,'Quarterly Pipeline vs Target Pi'!$A:$AP,26,false)," $","")," €",""), "")
)</f>
        <v>0</v>
      </c>
      <c r="AO95" s="1">
        <f>value(IFERROR(SUBSTITUTE(SUBSTITUTE(VLOOKUP($A95,'Quarterly Pipeline vs Target Pi'!$A:$AP,27,false)," $","")," €",""), "")
)</f>
        <v>0</v>
      </c>
      <c r="AP95" s="17" t="str">
        <f t="shared" si="15"/>
        <v/>
      </c>
      <c r="AQ95" s="1">
        <f>value(IFERROR(SUBSTITUTE(SUBSTITUTE(VLOOKUP($A95,'Quarterly Pipeline vs Target Pi'!$A:$AP,31,false)," $","")," €",""), "")
)</f>
        <v>0</v>
      </c>
      <c r="AR95" s="1">
        <f>value(IFERROR(SUBSTITUTE(SUBSTITUTE(VLOOKUP($A95,'Quarterly Pipeline vs Target Pi'!$A:$AP,32,false)," $","")," €",""), "")
)</f>
        <v>0</v>
      </c>
      <c r="AS95" s="17" t="str">
        <f t="shared" si="16"/>
        <v/>
      </c>
      <c r="AT95" s="1">
        <f>value(IFERROR(SUBSTITUTE(SUBSTITUTE(VLOOKUP($A95,'Quarterly Pipeline vs Target Pi'!$A:$AP,36,false)," $","")," €",""), "")
)</f>
        <v>0</v>
      </c>
      <c r="AU95" s="1">
        <f>value(IFERROR(SUBSTITUTE(SUBSTITUTE(VLOOKUP($A95,'Quarterly Pipeline vs Target Pi'!$A:$AP,37,false)," $","")," €",""), "")
)</f>
        <v>0</v>
      </c>
      <c r="AV95" s="17" t="str">
        <f t="shared" si="17"/>
        <v/>
      </c>
      <c r="AW95" s="1">
        <f>value(IFERROR(SUBSTITUTE(SUBSTITUTE(VLOOKUP($A95,'Quarterly Pipeline vs Target Pi'!$A:$AP,41,false)," $","")," €",""), "")
)</f>
        <v>0</v>
      </c>
      <c r="AX95" s="1">
        <f>value(IFERROR(SUBSTITUTE(SUBSTITUTE(VLOOKUP($A95,'Quarterly Pipeline vs Target Pi'!$A:$AP,42,false)," $","")," €",""), "")
)</f>
        <v>0</v>
      </c>
      <c r="AY95" s="17" t="str">
        <f t="shared" si="18"/>
        <v/>
      </c>
      <c r="AZ95" s="1">
        <f t="shared" ref="AZ95:BA95" si="204">sum(AN95,AQ95,AT95,AW95)</f>
        <v>0</v>
      </c>
      <c r="BA95" s="1">
        <f t="shared" si="204"/>
        <v>0</v>
      </c>
      <c r="BB95" s="17" t="str">
        <f t="shared" si="20"/>
        <v/>
      </c>
    </row>
    <row r="96">
      <c r="A96" s="1" t="str">
        <f>IFERROR(__xludf.DUMMYFUNCTION("""COMPUTED_VALUE"""),"63ea6e9352ad6968805cea63")</f>
        <v>63ea6e9352ad6968805cea63</v>
      </c>
      <c r="B96" s="1" t="str">
        <f>IFERROR(__xludf.DUMMYFUNCTION("""COMPUTED_VALUE"""),"Controlware GmbH")</f>
        <v>Controlware GmbH</v>
      </c>
      <c r="C96" s="1" t="str">
        <f>IFERROR(__xludf.DUMMYFUNCTION("""COMPUTED_VALUE"""),"katrin.pfeiffer@al-enterprise.com, sibylle.klopfer@al-enterprise.com, igor.leko@al-enterprise.com, philipp.bode@al-enterprise.com")</f>
        <v>katrin.pfeiffer@al-enterprise.com, sibylle.klopfer@al-enterprise.com, igor.leko@al-enterprise.com, philipp.bode@al-enterprise.com</v>
      </c>
      <c r="D96" s="1" t="str">
        <f>IFERROR(__xludf.DUMMYFUNCTION("""COMPUTED_VALUE"""),"germany")</f>
        <v>germany</v>
      </c>
      <c r="E96" s="1" t="str">
        <f>IFERROR(__xludf.DUMMYFUNCTION("""COMPUTED_VALUE"""),"DE")</f>
        <v>DE</v>
      </c>
      <c r="F96" s="1" t="str">
        <f>IFERROR(__xludf.DUMMYFUNCTION("""COMPUTED_VALUE"""),"yes")</f>
        <v>yes</v>
      </c>
      <c r="G96" s="1">
        <f>iferror(VLOOKUP(A96,'Business Plan Setup and Accepta'!A:G,6,false),"")</f>
        <v>1</v>
      </c>
      <c r="H96" s="1">
        <f>iferror(VLOOKUP(A96,'Business Plan Setup and Accepta'!A:G,7,false),"")</f>
        <v>1</v>
      </c>
      <c r="I96" s="17">
        <f t="shared" si="3"/>
        <v>1</v>
      </c>
      <c r="J96" s="1">
        <f>IFERROR(VALUE(SUBSTITUTE(VLOOKUP(A96,'Sales IN Revenues vs Sales targ'!A:G,6,false)," $","")), "")
</f>
        <v>2061.6</v>
      </c>
      <c r="K96" s="1">
        <f>IFERROR(VALUE(SUBSTITUTE(VLOOKUP(A96,'Sales IN Revenues vs Sales targ'!A:G,7,false)," $","")), "")
</f>
        <v>4350</v>
      </c>
      <c r="L96" s="17">
        <f t="shared" si="4"/>
        <v>0.4739310345</v>
      </c>
      <c r="M96" s="1">
        <f>value(SUBSTITUTE(IFERROR(VLOOKUP(A96,'Certifications achievements vs '!A:G,6,false),""),"#","")
)</f>
        <v>36</v>
      </c>
      <c r="N96" s="1">
        <f>value(SUBSTITUTE(IFERROR(VLOOKUP(A96,'Certifications achievements vs '!A:G,7,false),""),"#","")
)</f>
        <v>63</v>
      </c>
      <c r="O96" s="17">
        <f t="shared" si="5"/>
        <v>0.5714285714</v>
      </c>
      <c r="P96" s="1">
        <f>value(SUBSTITUTE(IFERROR(VLOOKUP(A96,'Communications - Solution Speci'!A:G,6,false),""),"#","")
)</f>
        <v>0</v>
      </c>
      <c r="Q96" s="1">
        <f>value(SUBSTITUTE(IFERROR(VLOOKUP(A96,'Communications - Solution Speci'!A:G,7,false),""),"#","")
)</f>
        <v>1</v>
      </c>
      <c r="R96" s="17">
        <f t="shared" si="6"/>
        <v>0</v>
      </c>
      <c r="S96" s="1">
        <f>value(SUBSTITUTE(IFERROR(VLOOKUP(A96,'Networking - Solution Specializ'!A:G,6,false),""),"#","")
)</f>
        <v>1</v>
      </c>
      <c r="T96" s="1">
        <f>value(SUBSTITUTE(IFERROR(VLOOKUP(A96,'Networking - Solution Specializ'!A:G,7,false),""),"#","")
)</f>
        <v>1</v>
      </c>
      <c r="U96" s="17">
        <f t="shared" si="7"/>
        <v>1</v>
      </c>
      <c r="V96" s="1">
        <f>iferror(vlookup(A96,'Marketing Plan (extract summary'!A:G,6,false),"")</f>
        <v>0</v>
      </c>
      <c r="W96" s="1">
        <f>iferror(vlookup(A96,'Marketing Plan (extract summary'!A:G,7,false),"")</f>
        <v>1</v>
      </c>
      <c r="X96" s="17">
        <f t="shared" si="8"/>
        <v>0</v>
      </c>
      <c r="Y96" s="1">
        <f>value(IFERROR(SUBSTITUTE(SUBSTITUTE(VLOOKUP(A96,'Quarterly Pipeline vs Target Pi'!A:G,6,false)," $","")," €",""), "")
)</f>
        <v>13.6</v>
      </c>
      <c r="Z96" s="1">
        <f>value(IFERROR(SUBSTITUTE(SUBSTITUTE(VLOOKUP(A96,'Quarterly Pipeline vs Target Pi'!A:G,7,false)," $","")," €",""), "")
)</f>
        <v>0</v>
      </c>
      <c r="AA96" s="17" t="str">
        <f t="shared" si="9"/>
        <v/>
      </c>
      <c r="AB96" s="1">
        <f>value(IFERROR(SUBSTITUTE(SUBSTITUTE(VLOOKUP($A96,'Quarterly Pipeline vs Target Pi'!$A:$V,11,false)," $","")," €",""), "")
)</f>
        <v>50</v>
      </c>
      <c r="AC96" s="1">
        <f>value(IFERROR(SUBSTITUTE(SUBSTITUTE(VLOOKUP($A96,'Quarterly Pipeline vs Target Pi'!$A:$V,12,false)," $","")," €",""), "")
)</f>
        <v>1705.88</v>
      </c>
      <c r="AD96" s="17">
        <f t="shared" si="10"/>
        <v>0.02931038526</v>
      </c>
      <c r="AE96" s="1">
        <f>value(IFERROR(SUBSTITUTE(SUBSTITUTE(VLOOKUP($A96,'Quarterly Pipeline vs Target Pi'!$A:$V,16,false)," $","")," €",""), "")
)</f>
        <v>700</v>
      </c>
      <c r="AF96" s="1">
        <f>value(IFERROR(SUBSTITUTE(SUBSTITUTE(VLOOKUP($A96,'Quarterly Pipeline vs Target Pi'!$A:$V,17,false)," $","")," €",""), "")
)</f>
        <v>2558.82</v>
      </c>
      <c r="AG96" s="17">
        <f t="shared" si="11"/>
        <v>0.2735635957</v>
      </c>
      <c r="AH96" s="1">
        <f>value(IFERROR(SUBSTITUTE(SUBSTITUTE(VLOOKUP($A96,'Quarterly Pipeline vs Target Pi'!$A:$V,21,false)," $","")," €",""), "")
)</f>
        <v>541.5</v>
      </c>
      <c r="AI96" s="1">
        <f>value(IFERROR(SUBSTITUTE(SUBSTITUTE(VLOOKUP($A96,'Quarterly Pipeline vs Target Pi'!$A:$V,22,false)," $","")," €",""), "")
)</f>
        <v>2558.82</v>
      </c>
      <c r="AJ96" s="17">
        <f t="shared" si="12"/>
        <v>0.2116209815</v>
      </c>
      <c r="AK96" s="1">
        <f t="shared" ref="AK96:AL96" si="205">sum(Y96,AB96,AE96,AH96)</f>
        <v>1305.1</v>
      </c>
      <c r="AL96" s="1">
        <f t="shared" si="205"/>
        <v>6823.52</v>
      </c>
      <c r="AM96" s="17">
        <f t="shared" si="14"/>
        <v>0.191264919</v>
      </c>
      <c r="AN96" s="1">
        <f>value(IFERROR(SUBSTITUTE(SUBSTITUTE(VLOOKUP($A96,'Quarterly Pipeline vs Target Pi'!$A:$AP,26,false)," $","")," €",""), "")
)</f>
        <v>70</v>
      </c>
      <c r="AO96" s="1">
        <f>value(IFERROR(SUBSTITUTE(SUBSTITUTE(VLOOKUP($A96,'Quarterly Pipeline vs Target Pi'!$A:$AP,27,false)," $","")," €",""), "")
)</f>
        <v>0</v>
      </c>
      <c r="AP96" s="17" t="str">
        <f t="shared" si="15"/>
        <v/>
      </c>
      <c r="AQ96" s="1">
        <f>value(IFERROR(SUBSTITUTE(SUBSTITUTE(VLOOKUP($A96,'Quarterly Pipeline vs Target Pi'!$A:$AP,31,false)," $","")," €",""), "")
)</f>
        <v>0</v>
      </c>
      <c r="AR96" s="1">
        <f>value(IFERROR(SUBSTITUTE(SUBSTITUTE(VLOOKUP($A96,'Quarterly Pipeline vs Target Pi'!$A:$AP,32,false)," $","")," €",""), "")
)</f>
        <v>0</v>
      </c>
      <c r="AS96" s="17" t="str">
        <f t="shared" si="16"/>
        <v/>
      </c>
      <c r="AT96" s="1">
        <f>value(IFERROR(SUBSTITUTE(SUBSTITUTE(VLOOKUP($A96,'Quarterly Pipeline vs Target Pi'!$A:$AP,36,false)," $","")," €",""), "")
)</f>
        <v>0</v>
      </c>
      <c r="AU96" s="1">
        <f>value(IFERROR(SUBSTITUTE(SUBSTITUTE(VLOOKUP($A96,'Quarterly Pipeline vs Target Pi'!$A:$AP,37,false)," $","")," €",""), "")
)</f>
        <v>0</v>
      </c>
      <c r="AV96" s="17" t="str">
        <f t="shared" si="17"/>
        <v/>
      </c>
      <c r="AW96" s="1">
        <f>value(IFERROR(SUBSTITUTE(SUBSTITUTE(VLOOKUP($A96,'Quarterly Pipeline vs Target Pi'!$A:$AP,41,false)," $","")," €",""), "")
)</f>
        <v>75</v>
      </c>
      <c r="AX96" s="1">
        <f>value(IFERROR(SUBSTITUTE(SUBSTITUTE(VLOOKUP($A96,'Quarterly Pipeline vs Target Pi'!$A:$AP,42,false)," $","")," €",""), "")
)</f>
        <v>0</v>
      </c>
      <c r="AY96" s="17" t="str">
        <f t="shared" si="18"/>
        <v/>
      </c>
      <c r="AZ96" s="1">
        <f t="shared" ref="AZ96:BA96" si="206">sum(AN96,AQ96,AT96,AW96)</f>
        <v>145</v>
      </c>
      <c r="BA96" s="1">
        <f t="shared" si="206"/>
        <v>0</v>
      </c>
      <c r="BB96" s="17" t="str">
        <f t="shared" si="20"/>
        <v/>
      </c>
    </row>
    <row r="97">
      <c r="A97" s="1" t="str">
        <f>IFERROR(__xludf.DUMMYFUNCTION("""COMPUTED_VALUE"""),"63ced84ec5c820531c2698d8")</f>
        <v>63ced84ec5c820531c2698d8</v>
      </c>
      <c r="B97" s="1" t="str">
        <f>IFERROR(__xludf.DUMMYFUNCTION("""COMPUTED_VALUE"""),"Convergence Voice Networks")</f>
        <v>Convergence Voice Networks</v>
      </c>
      <c r="C97" s="1" t="str">
        <f>IFERROR(__xludf.DUMMYFUNCTION("""COMPUTED_VALUE"""),"brendan.flaherty@al-enterprise.com")</f>
        <v>brendan.flaherty@al-enterprise.com</v>
      </c>
      <c r="D97" s="1" t="str">
        <f>IFERROR(__xludf.DUMMYFUNCTION("""COMPUTED_VALUE"""),"americas")</f>
        <v>americas</v>
      </c>
      <c r="E97" s="1" t="str">
        <f>IFERROR(__xludf.DUMMYFUNCTION("""COMPUTED_VALUE"""),"US")</f>
        <v>US</v>
      </c>
      <c r="F97" s="1"/>
      <c r="G97" s="1" t="str">
        <f>iferror(VLOOKUP(A97,'Business Plan Setup and Accepta'!A:G,6,false),"")</f>
        <v/>
      </c>
      <c r="H97" s="1" t="str">
        <f>iferror(VLOOKUP(A97,'Business Plan Setup and Accepta'!A:G,7,false),"")</f>
        <v/>
      </c>
      <c r="I97" s="17" t="str">
        <f t="shared" si="3"/>
        <v/>
      </c>
      <c r="J97" s="1" t="str">
        <f>IFERROR(VALUE(SUBSTITUTE(VLOOKUP(A97,'Sales IN Revenues vs Sales targ'!A:G,6,false)," $","")), "")
</f>
        <v/>
      </c>
      <c r="K97" s="1" t="str">
        <f>IFERROR(VALUE(SUBSTITUTE(VLOOKUP(A97,'Sales IN Revenues vs Sales targ'!A:G,7,false)," $","")), "")
</f>
        <v/>
      </c>
      <c r="L97" s="17" t="str">
        <f t="shared" si="4"/>
        <v/>
      </c>
      <c r="M97" s="1">
        <f>value(SUBSTITUTE(IFERROR(VLOOKUP(A97,'Certifications achievements vs '!A:G,6,false),""),"#","")
)</f>
        <v>0</v>
      </c>
      <c r="N97" s="1">
        <f>value(SUBSTITUTE(IFERROR(VLOOKUP(A97,'Certifications achievements vs '!A:G,7,false),""),"#","")
)</f>
        <v>0</v>
      </c>
      <c r="O97" s="17" t="str">
        <f t="shared" si="5"/>
        <v/>
      </c>
      <c r="P97" s="1">
        <f>value(SUBSTITUTE(IFERROR(VLOOKUP(A97,'Communications - Solution Speci'!A:G,6,false),""),"#","")
)</f>
        <v>0</v>
      </c>
      <c r="Q97" s="1">
        <f>value(SUBSTITUTE(IFERROR(VLOOKUP(A97,'Communications - Solution Speci'!A:G,7,false),""),"#","")
)</f>
        <v>0</v>
      </c>
      <c r="R97" s="17" t="str">
        <f t="shared" si="6"/>
        <v/>
      </c>
      <c r="S97" s="1">
        <f>value(SUBSTITUTE(IFERROR(VLOOKUP(A97,'Networking - Solution Specializ'!A:G,6,false),""),"#","")
)</f>
        <v>0</v>
      </c>
      <c r="T97" s="1">
        <f>value(SUBSTITUTE(IFERROR(VLOOKUP(A97,'Networking - Solution Specializ'!A:G,7,false),""),"#","")
)</f>
        <v>0</v>
      </c>
      <c r="U97" s="17" t="str">
        <f t="shared" si="7"/>
        <v/>
      </c>
      <c r="V97" s="1" t="str">
        <f>iferror(vlookup(A97,'Marketing Plan (extract summary'!A:G,6,false),"")</f>
        <v/>
      </c>
      <c r="W97" s="1" t="str">
        <f>iferror(vlookup(A97,'Marketing Plan (extract summary'!A:G,7,false),"")</f>
        <v/>
      </c>
      <c r="X97" s="17" t="str">
        <f t="shared" si="8"/>
        <v/>
      </c>
      <c r="Y97" s="1">
        <f>value(IFERROR(SUBSTITUTE(SUBSTITUTE(VLOOKUP(A97,'Quarterly Pipeline vs Target Pi'!A:G,6,false)," $","")," €",""), "")
)</f>
        <v>0</v>
      </c>
      <c r="Z97" s="1">
        <f>value(IFERROR(SUBSTITUTE(SUBSTITUTE(VLOOKUP(A97,'Quarterly Pipeline vs Target Pi'!A:G,7,false)," $","")," €",""), "")
)</f>
        <v>0</v>
      </c>
      <c r="AA97" s="17" t="str">
        <f t="shared" si="9"/>
        <v/>
      </c>
      <c r="AB97" s="1">
        <f>value(IFERROR(SUBSTITUTE(SUBSTITUTE(VLOOKUP($A97,'Quarterly Pipeline vs Target Pi'!$A:$V,11,false)," $","")," €",""), "")
)</f>
        <v>0</v>
      </c>
      <c r="AC97" s="1">
        <f>value(IFERROR(SUBSTITUTE(SUBSTITUTE(VLOOKUP($A97,'Quarterly Pipeline vs Target Pi'!$A:$V,12,false)," $","")," €",""), "")
)</f>
        <v>0</v>
      </c>
      <c r="AD97" s="17" t="str">
        <f t="shared" si="10"/>
        <v/>
      </c>
      <c r="AE97" s="1">
        <f>value(IFERROR(SUBSTITUTE(SUBSTITUTE(VLOOKUP($A97,'Quarterly Pipeline vs Target Pi'!$A:$V,16,false)," $","")," €",""), "")
)</f>
        <v>0</v>
      </c>
      <c r="AF97" s="1">
        <f>value(IFERROR(SUBSTITUTE(SUBSTITUTE(VLOOKUP($A97,'Quarterly Pipeline vs Target Pi'!$A:$V,17,false)," $","")," €",""), "")
)</f>
        <v>0</v>
      </c>
      <c r="AG97" s="17" t="str">
        <f t="shared" si="11"/>
        <v/>
      </c>
      <c r="AH97" s="1">
        <f>value(IFERROR(SUBSTITUTE(SUBSTITUTE(VLOOKUP($A97,'Quarterly Pipeline vs Target Pi'!$A:$V,21,false)," $","")," €",""), "")
)</f>
        <v>0</v>
      </c>
      <c r="AI97" s="1">
        <f>value(IFERROR(SUBSTITUTE(SUBSTITUTE(VLOOKUP($A97,'Quarterly Pipeline vs Target Pi'!$A:$V,22,false)," $","")," €",""), "")
)</f>
        <v>0</v>
      </c>
      <c r="AJ97" s="17" t="str">
        <f t="shared" si="12"/>
        <v/>
      </c>
      <c r="AK97" s="1">
        <f t="shared" ref="AK97:AL97" si="207">sum(Y97,AB97,AE97,AH97)</f>
        <v>0</v>
      </c>
      <c r="AL97" s="1">
        <f t="shared" si="207"/>
        <v>0</v>
      </c>
      <c r="AM97" s="17" t="str">
        <f t="shared" si="14"/>
        <v/>
      </c>
      <c r="AN97" s="1">
        <f>value(IFERROR(SUBSTITUTE(SUBSTITUTE(VLOOKUP($A97,'Quarterly Pipeline vs Target Pi'!$A:$AP,26,false)," $","")," €",""), "")
)</f>
        <v>0</v>
      </c>
      <c r="AO97" s="1">
        <f>value(IFERROR(SUBSTITUTE(SUBSTITUTE(VLOOKUP($A97,'Quarterly Pipeline vs Target Pi'!$A:$AP,27,false)," $","")," €",""), "")
)</f>
        <v>0</v>
      </c>
      <c r="AP97" s="17" t="str">
        <f t="shared" si="15"/>
        <v/>
      </c>
      <c r="AQ97" s="1">
        <f>value(IFERROR(SUBSTITUTE(SUBSTITUTE(VLOOKUP($A97,'Quarterly Pipeline vs Target Pi'!$A:$AP,31,false)," $","")," €",""), "")
)</f>
        <v>0</v>
      </c>
      <c r="AR97" s="1">
        <f>value(IFERROR(SUBSTITUTE(SUBSTITUTE(VLOOKUP($A97,'Quarterly Pipeline vs Target Pi'!$A:$AP,32,false)," $","")," €",""), "")
)</f>
        <v>0</v>
      </c>
      <c r="AS97" s="17" t="str">
        <f t="shared" si="16"/>
        <v/>
      </c>
      <c r="AT97" s="1">
        <f>value(IFERROR(SUBSTITUTE(SUBSTITUTE(VLOOKUP($A97,'Quarterly Pipeline vs Target Pi'!$A:$AP,36,false)," $","")," €",""), "")
)</f>
        <v>0</v>
      </c>
      <c r="AU97" s="1">
        <f>value(IFERROR(SUBSTITUTE(SUBSTITUTE(VLOOKUP($A97,'Quarterly Pipeline vs Target Pi'!$A:$AP,37,false)," $","")," €",""), "")
)</f>
        <v>0</v>
      </c>
      <c r="AV97" s="17" t="str">
        <f t="shared" si="17"/>
        <v/>
      </c>
      <c r="AW97" s="1">
        <f>value(IFERROR(SUBSTITUTE(SUBSTITUTE(VLOOKUP($A97,'Quarterly Pipeline vs Target Pi'!$A:$AP,41,false)," $","")," €",""), "")
)</f>
        <v>0</v>
      </c>
      <c r="AX97" s="1">
        <f>value(IFERROR(SUBSTITUTE(SUBSTITUTE(VLOOKUP($A97,'Quarterly Pipeline vs Target Pi'!$A:$AP,42,false)," $","")," €",""), "")
)</f>
        <v>0</v>
      </c>
      <c r="AY97" s="17" t="str">
        <f t="shared" si="18"/>
        <v/>
      </c>
      <c r="AZ97" s="1">
        <f t="shared" ref="AZ97:BA97" si="208">sum(AN97,AQ97,AT97,AW97)</f>
        <v>0</v>
      </c>
      <c r="BA97" s="1">
        <f t="shared" si="208"/>
        <v>0</v>
      </c>
      <c r="BB97" s="17" t="str">
        <f t="shared" si="20"/>
        <v/>
      </c>
    </row>
    <row r="98">
      <c r="A98" s="1" t="str">
        <f>IFERROR(__xludf.DUMMYFUNCTION("""COMPUTED_VALUE"""),"66bccb4b55baeaca630a4692")</f>
        <v>66bccb4b55baeaca630a4692</v>
      </c>
      <c r="B98" s="1" t="str">
        <f>IFERROR(__xludf.DUMMYFUNCTION("""COMPUTED_VALUE"""),"Convergint Technologies LLC (IL)")</f>
        <v>Convergint Technologies LLC (IL)</v>
      </c>
      <c r="C98" s="1" t="str">
        <f>IFERROR(__xludf.DUMMYFUNCTION("""COMPUTED_VALUE"""),"bill.cusack@al-enterprise.com, jack.jachner@al-enterprise.com")</f>
        <v>bill.cusack@al-enterprise.com, jack.jachner@al-enterprise.com</v>
      </c>
      <c r="D98" s="1" t="str">
        <f>IFERROR(__xludf.DUMMYFUNCTION("""COMPUTED_VALUE"""),"americas")</f>
        <v>americas</v>
      </c>
      <c r="E98" s="1" t="str">
        <f>IFERROR(__xludf.DUMMYFUNCTION("""COMPUTED_VALUE"""),"US")</f>
        <v>US</v>
      </c>
      <c r="F98" s="1"/>
      <c r="G98" s="1" t="str">
        <f>iferror(VLOOKUP(A98,'Business Plan Setup and Accepta'!A:G,6,false),"")</f>
        <v/>
      </c>
      <c r="H98" s="1" t="str">
        <f>iferror(VLOOKUP(A98,'Business Plan Setup and Accepta'!A:G,7,false),"")</f>
        <v/>
      </c>
      <c r="I98" s="17" t="str">
        <f t="shared" si="3"/>
        <v/>
      </c>
      <c r="J98" s="1" t="str">
        <f>IFERROR(VALUE(SUBSTITUTE(VLOOKUP(A98,'Sales IN Revenues vs Sales targ'!A:G,6,false)," $","")), "")
</f>
        <v/>
      </c>
      <c r="K98" s="1" t="str">
        <f>IFERROR(VALUE(SUBSTITUTE(VLOOKUP(A98,'Sales IN Revenues vs Sales targ'!A:G,7,false)," $","")), "")
</f>
        <v/>
      </c>
      <c r="L98" s="17" t="str">
        <f t="shared" si="4"/>
        <v/>
      </c>
      <c r="M98" s="1">
        <f>value(SUBSTITUTE(IFERROR(VLOOKUP(A98,'Certifications achievements vs '!A:G,6,false),""),"#","")
)</f>
        <v>0</v>
      </c>
      <c r="N98" s="1">
        <f>value(SUBSTITUTE(IFERROR(VLOOKUP(A98,'Certifications achievements vs '!A:G,7,false),""),"#","")
)</f>
        <v>0</v>
      </c>
      <c r="O98" s="17" t="str">
        <f t="shared" si="5"/>
        <v/>
      </c>
      <c r="P98" s="1">
        <f>value(SUBSTITUTE(IFERROR(VLOOKUP(A98,'Communications - Solution Speci'!A:G,6,false),""),"#","")
)</f>
        <v>0</v>
      </c>
      <c r="Q98" s="1">
        <f>value(SUBSTITUTE(IFERROR(VLOOKUP(A98,'Communications - Solution Speci'!A:G,7,false),""),"#","")
)</f>
        <v>0</v>
      </c>
      <c r="R98" s="17" t="str">
        <f t="shared" si="6"/>
        <v/>
      </c>
      <c r="S98" s="1">
        <f>value(SUBSTITUTE(IFERROR(VLOOKUP(A98,'Networking - Solution Specializ'!A:G,6,false),""),"#","")
)</f>
        <v>0</v>
      </c>
      <c r="T98" s="1">
        <f>value(SUBSTITUTE(IFERROR(VLOOKUP(A98,'Networking - Solution Specializ'!A:G,7,false),""),"#","")
)</f>
        <v>0</v>
      </c>
      <c r="U98" s="17" t="str">
        <f t="shared" si="7"/>
        <v/>
      </c>
      <c r="V98" s="1" t="str">
        <f>iferror(vlookup(A98,'Marketing Plan (extract summary'!A:G,6,false),"")</f>
        <v/>
      </c>
      <c r="W98" s="1" t="str">
        <f>iferror(vlookup(A98,'Marketing Plan (extract summary'!A:G,7,false),"")</f>
        <v/>
      </c>
      <c r="X98" s="17" t="str">
        <f t="shared" si="8"/>
        <v/>
      </c>
      <c r="Y98" s="1">
        <f>value(IFERROR(SUBSTITUTE(SUBSTITUTE(VLOOKUP(A98,'Quarterly Pipeline vs Target Pi'!A:G,6,false)," $","")," €",""), "")
)</f>
        <v>0</v>
      </c>
      <c r="Z98" s="1">
        <f>value(IFERROR(SUBSTITUTE(SUBSTITUTE(VLOOKUP(A98,'Quarterly Pipeline vs Target Pi'!A:G,7,false)," $","")," €",""), "")
)</f>
        <v>0</v>
      </c>
      <c r="AA98" s="17" t="str">
        <f t="shared" si="9"/>
        <v/>
      </c>
      <c r="AB98" s="1">
        <f>value(IFERROR(SUBSTITUTE(SUBSTITUTE(VLOOKUP($A98,'Quarterly Pipeline vs Target Pi'!$A:$V,11,false)," $","")," €",""), "")
)</f>
        <v>0</v>
      </c>
      <c r="AC98" s="1">
        <f>value(IFERROR(SUBSTITUTE(SUBSTITUTE(VLOOKUP($A98,'Quarterly Pipeline vs Target Pi'!$A:$V,12,false)," $","")," €",""), "")
)</f>
        <v>0</v>
      </c>
      <c r="AD98" s="17" t="str">
        <f t="shared" si="10"/>
        <v/>
      </c>
      <c r="AE98" s="1">
        <f>value(IFERROR(SUBSTITUTE(SUBSTITUTE(VLOOKUP($A98,'Quarterly Pipeline vs Target Pi'!$A:$V,16,false)," $","")," €",""), "")
)</f>
        <v>0</v>
      </c>
      <c r="AF98" s="1">
        <f>value(IFERROR(SUBSTITUTE(SUBSTITUTE(VLOOKUP($A98,'Quarterly Pipeline vs Target Pi'!$A:$V,17,false)," $","")," €",""), "")
)</f>
        <v>0</v>
      </c>
      <c r="AG98" s="17" t="str">
        <f t="shared" si="11"/>
        <v/>
      </c>
      <c r="AH98" s="1">
        <f>value(IFERROR(SUBSTITUTE(SUBSTITUTE(VLOOKUP($A98,'Quarterly Pipeline vs Target Pi'!$A:$V,21,false)," $","")," €",""), "")
)</f>
        <v>0</v>
      </c>
      <c r="AI98" s="1">
        <f>value(IFERROR(SUBSTITUTE(SUBSTITUTE(VLOOKUP($A98,'Quarterly Pipeline vs Target Pi'!$A:$V,22,false)," $","")," €",""), "")
)</f>
        <v>0</v>
      </c>
      <c r="AJ98" s="17" t="str">
        <f t="shared" si="12"/>
        <v/>
      </c>
      <c r="AK98" s="1">
        <f t="shared" ref="AK98:AL98" si="209">sum(Y98,AB98,AE98,AH98)</f>
        <v>0</v>
      </c>
      <c r="AL98" s="1">
        <f t="shared" si="209"/>
        <v>0</v>
      </c>
      <c r="AM98" s="17" t="str">
        <f t="shared" si="14"/>
        <v/>
      </c>
      <c r="AN98" s="1">
        <f>value(IFERROR(SUBSTITUTE(SUBSTITUTE(VLOOKUP($A98,'Quarterly Pipeline vs Target Pi'!$A:$AP,26,false)," $","")," €",""), "")
)</f>
        <v>0</v>
      </c>
      <c r="AO98" s="1">
        <f>value(IFERROR(SUBSTITUTE(SUBSTITUTE(VLOOKUP($A98,'Quarterly Pipeline vs Target Pi'!$A:$AP,27,false)," $","")," €",""), "")
)</f>
        <v>0</v>
      </c>
      <c r="AP98" s="17" t="str">
        <f t="shared" si="15"/>
        <v/>
      </c>
      <c r="AQ98" s="1">
        <f>value(IFERROR(SUBSTITUTE(SUBSTITUTE(VLOOKUP($A98,'Quarterly Pipeline vs Target Pi'!$A:$AP,31,false)," $","")," €",""), "")
)</f>
        <v>0</v>
      </c>
      <c r="AR98" s="1">
        <f>value(IFERROR(SUBSTITUTE(SUBSTITUTE(VLOOKUP($A98,'Quarterly Pipeline vs Target Pi'!$A:$AP,32,false)," $","")," €",""), "")
)</f>
        <v>0</v>
      </c>
      <c r="AS98" s="17" t="str">
        <f t="shared" si="16"/>
        <v/>
      </c>
      <c r="AT98" s="1">
        <f>value(IFERROR(SUBSTITUTE(SUBSTITUTE(VLOOKUP($A98,'Quarterly Pipeline vs Target Pi'!$A:$AP,36,false)," $","")," €",""), "")
)</f>
        <v>0</v>
      </c>
      <c r="AU98" s="1">
        <f>value(IFERROR(SUBSTITUTE(SUBSTITUTE(VLOOKUP($A98,'Quarterly Pipeline vs Target Pi'!$A:$AP,37,false)," $","")," €",""), "")
)</f>
        <v>0</v>
      </c>
      <c r="AV98" s="17" t="str">
        <f t="shared" si="17"/>
        <v/>
      </c>
      <c r="AW98" s="1">
        <f>value(IFERROR(SUBSTITUTE(SUBSTITUTE(VLOOKUP($A98,'Quarterly Pipeline vs Target Pi'!$A:$AP,41,false)," $","")," €",""), "")
)</f>
        <v>0</v>
      </c>
      <c r="AX98" s="1">
        <f>value(IFERROR(SUBSTITUTE(SUBSTITUTE(VLOOKUP($A98,'Quarterly Pipeline vs Target Pi'!$A:$AP,42,false)," $","")," €",""), "")
)</f>
        <v>0</v>
      </c>
      <c r="AY98" s="17" t="str">
        <f t="shared" si="18"/>
        <v/>
      </c>
      <c r="AZ98" s="1">
        <f t="shared" ref="AZ98:BA98" si="210">sum(AN98,AQ98,AT98,AW98)</f>
        <v>0</v>
      </c>
      <c r="BA98" s="1">
        <f t="shared" si="210"/>
        <v>0</v>
      </c>
      <c r="BB98" s="17" t="str">
        <f t="shared" si="20"/>
        <v/>
      </c>
    </row>
    <row r="99">
      <c r="A99" s="1" t="str">
        <f>IFERROR(__xludf.DUMMYFUNCTION("""COMPUTED_VALUE"""),"63ced84ec5c820531c2699aa")</f>
        <v>63ced84ec5c820531c2699aa</v>
      </c>
      <c r="B99" s="1" t="str">
        <f>IFERROR(__xludf.DUMMYFUNCTION("""COMPUTED_VALUE"""),"Conxx Inc")</f>
        <v>Conxx Inc</v>
      </c>
      <c r="C99" s="1" t="str">
        <f>IFERROR(__xludf.DUMMYFUNCTION("""COMPUTED_VALUE"""),"brendan.flaherty@al-enterprise.com")</f>
        <v>brendan.flaherty@al-enterprise.com</v>
      </c>
      <c r="D99" s="1" t="str">
        <f>IFERROR(__xludf.DUMMYFUNCTION("""COMPUTED_VALUE"""),"americas")</f>
        <v>americas</v>
      </c>
      <c r="E99" s="1" t="str">
        <f>IFERROR(__xludf.DUMMYFUNCTION("""COMPUTED_VALUE"""),"US")</f>
        <v>US</v>
      </c>
      <c r="F99" s="1"/>
      <c r="G99" s="1" t="str">
        <f>iferror(VLOOKUP(A99,'Business Plan Setup and Accepta'!A:G,6,false),"")</f>
        <v/>
      </c>
      <c r="H99" s="1" t="str">
        <f>iferror(VLOOKUP(A99,'Business Plan Setup and Accepta'!A:G,7,false),"")</f>
        <v/>
      </c>
      <c r="I99" s="17" t="str">
        <f t="shared" si="3"/>
        <v/>
      </c>
      <c r="J99" s="1" t="str">
        <f>IFERROR(VALUE(SUBSTITUTE(VLOOKUP(A99,'Sales IN Revenues vs Sales targ'!A:G,6,false)," $","")), "")
</f>
        <v/>
      </c>
      <c r="K99" s="1" t="str">
        <f>IFERROR(VALUE(SUBSTITUTE(VLOOKUP(A99,'Sales IN Revenues vs Sales targ'!A:G,7,false)," $","")), "")
</f>
        <v/>
      </c>
      <c r="L99" s="17" t="str">
        <f t="shared" si="4"/>
        <v/>
      </c>
      <c r="M99" s="1">
        <f>value(SUBSTITUTE(IFERROR(VLOOKUP(A99,'Certifications achievements vs '!A:G,6,false),""),"#","")
)</f>
        <v>0</v>
      </c>
      <c r="N99" s="1">
        <f>value(SUBSTITUTE(IFERROR(VLOOKUP(A99,'Certifications achievements vs '!A:G,7,false),""),"#","")
)</f>
        <v>0</v>
      </c>
      <c r="O99" s="17" t="str">
        <f t="shared" si="5"/>
        <v/>
      </c>
      <c r="P99" s="1">
        <f>value(SUBSTITUTE(IFERROR(VLOOKUP(A99,'Communications - Solution Speci'!A:G,6,false),""),"#","")
)</f>
        <v>0</v>
      </c>
      <c r="Q99" s="1">
        <f>value(SUBSTITUTE(IFERROR(VLOOKUP(A99,'Communications - Solution Speci'!A:G,7,false),""),"#","")
)</f>
        <v>0</v>
      </c>
      <c r="R99" s="17" t="str">
        <f t="shared" si="6"/>
        <v/>
      </c>
      <c r="S99" s="1">
        <f>value(SUBSTITUTE(IFERROR(VLOOKUP(A99,'Networking - Solution Specializ'!A:G,6,false),""),"#","")
)</f>
        <v>0</v>
      </c>
      <c r="T99" s="1">
        <f>value(SUBSTITUTE(IFERROR(VLOOKUP(A99,'Networking - Solution Specializ'!A:G,7,false),""),"#","")
)</f>
        <v>0</v>
      </c>
      <c r="U99" s="17" t="str">
        <f t="shared" si="7"/>
        <v/>
      </c>
      <c r="V99" s="1" t="str">
        <f>iferror(vlookup(A99,'Marketing Plan (extract summary'!A:G,6,false),"")</f>
        <v/>
      </c>
      <c r="W99" s="1" t="str">
        <f>iferror(vlookup(A99,'Marketing Plan (extract summary'!A:G,7,false),"")</f>
        <v/>
      </c>
      <c r="X99" s="17" t="str">
        <f t="shared" si="8"/>
        <v/>
      </c>
      <c r="Y99" s="1">
        <f>value(IFERROR(SUBSTITUTE(SUBSTITUTE(VLOOKUP(A99,'Quarterly Pipeline vs Target Pi'!A:G,6,false)," $","")," €",""), "")
)</f>
        <v>0</v>
      </c>
      <c r="Z99" s="1">
        <f>value(IFERROR(SUBSTITUTE(SUBSTITUTE(VLOOKUP(A99,'Quarterly Pipeline vs Target Pi'!A:G,7,false)," $","")," €",""), "")
)</f>
        <v>0</v>
      </c>
      <c r="AA99" s="17" t="str">
        <f t="shared" si="9"/>
        <v/>
      </c>
      <c r="AB99" s="1">
        <f>value(IFERROR(SUBSTITUTE(SUBSTITUTE(VLOOKUP($A99,'Quarterly Pipeline vs Target Pi'!$A:$V,11,false)," $","")," €",""), "")
)</f>
        <v>0</v>
      </c>
      <c r="AC99" s="1">
        <f>value(IFERROR(SUBSTITUTE(SUBSTITUTE(VLOOKUP($A99,'Quarterly Pipeline vs Target Pi'!$A:$V,12,false)," $","")," €",""), "")
)</f>
        <v>0</v>
      </c>
      <c r="AD99" s="17" t="str">
        <f t="shared" si="10"/>
        <v/>
      </c>
      <c r="AE99" s="1">
        <f>value(IFERROR(SUBSTITUTE(SUBSTITUTE(VLOOKUP($A99,'Quarterly Pipeline vs Target Pi'!$A:$V,16,false)," $","")," €",""), "")
)</f>
        <v>0</v>
      </c>
      <c r="AF99" s="1">
        <f>value(IFERROR(SUBSTITUTE(SUBSTITUTE(VLOOKUP($A99,'Quarterly Pipeline vs Target Pi'!$A:$V,17,false)," $","")," €",""), "")
)</f>
        <v>0</v>
      </c>
      <c r="AG99" s="17" t="str">
        <f t="shared" si="11"/>
        <v/>
      </c>
      <c r="AH99" s="1">
        <f>value(IFERROR(SUBSTITUTE(SUBSTITUTE(VLOOKUP($A99,'Quarterly Pipeline vs Target Pi'!$A:$V,21,false)," $","")," €",""), "")
)</f>
        <v>0</v>
      </c>
      <c r="AI99" s="1">
        <f>value(IFERROR(SUBSTITUTE(SUBSTITUTE(VLOOKUP($A99,'Quarterly Pipeline vs Target Pi'!$A:$V,22,false)," $","")," €",""), "")
)</f>
        <v>0</v>
      </c>
      <c r="AJ99" s="17" t="str">
        <f t="shared" si="12"/>
        <v/>
      </c>
      <c r="AK99" s="1">
        <f t="shared" ref="AK99:AL99" si="211">sum(Y99,AB99,AE99,AH99)</f>
        <v>0</v>
      </c>
      <c r="AL99" s="1">
        <f t="shared" si="211"/>
        <v>0</v>
      </c>
      <c r="AM99" s="17" t="str">
        <f t="shared" si="14"/>
        <v/>
      </c>
      <c r="AN99" s="1">
        <f>value(IFERROR(SUBSTITUTE(SUBSTITUTE(VLOOKUP($A99,'Quarterly Pipeline vs Target Pi'!$A:$AP,26,false)," $","")," €",""), "")
)</f>
        <v>0</v>
      </c>
      <c r="AO99" s="1">
        <f>value(IFERROR(SUBSTITUTE(SUBSTITUTE(VLOOKUP($A99,'Quarterly Pipeline vs Target Pi'!$A:$AP,27,false)," $","")," €",""), "")
)</f>
        <v>0</v>
      </c>
      <c r="AP99" s="17" t="str">
        <f t="shared" si="15"/>
        <v/>
      </c>
      <c r="AQ99" s="1">
        <f>value(IFERROR(SUBSTITUTE(SUBSTITUTE(VLOOKUP($A99,'Quarterly Pipeline vs Target Pi'!$A:$AP,31,false)," $","")," €",""), "")
)</f>
        <v>0</v>
      </c>
      <c r="AR99" s="1">
        <f>value(IFERROR(SUBSTITUTE(SUBSTITUTE(VLOOKUP($A99,'Quarterly Pipeline vs Target Pi'!$A:$AP,32,false)," $","")," €",""), "")
)</f>
        <v>0</v>
      </c>
      <c r="AS99" s="17" t="str">
        <f t="shared" si="16"/>
        <v/>
      </c>
      <c r="AT99" s="1">
        <f>value(IFERROR(SUBSTITUTE(SUBSTITUTE(VLOOKUP($A99,'Quarterly Pipeline vs Target Pi'!$A:$AP,36,false)," $","")," €",""), "")
)</f>
        <v>0</v>
      </c>
      <c r="AU99" s="1">
        <f>value(IFERROR(SUBSTITUTE(SUBSTITUTE(VLOOKUP($A99,'Quarterly Pipeline vs Target Pi'!$A:$AP,37,false)," $","")," €",""), "")
)</f>
        <v>0</v>
      </c>
      <c r="AV99" s="17" t="str">
        <f t="shared" si="17"/>
        <v/>
      </c>
      <c r="AW99" s="1">
        <f>value(IFERROR(SUBSTITUTE(SUBSTITUTE(VLOOKUP($A99,'Quarterly Pipeline vs Target Pi'!$A:$AP,41,false)," $","")," €",""), "")
)</f>
        <v>0</v>
      </c>
      <c r="AX99" s="1">
        <f>value(IFERROR(SUBSTITUTE(SUBSTITUTE(VLOOKUP($A99,'Quarterly Pipeline vs Target Pi'!$A:$AP,42,false)," $","")," €",""), "")
)</f>
        <v>0</v>
      </c>
      <c r="AY99" s="17" t="str">
        <f t="shared" si="18"/>
        <v/>
      </c>
      <c r="AZ99" s="1">
        <f t="shared" ref="AZ99:BA99" si="212">sum(AN99,AQ99,AT99,AW99)</f>
        <v>0</v>
      </c>
      <c r="BA99" s="1">
        <f t="shared" si="212"/>
        <v>0</v>
      </c>
      <c r="BB99" s="17" t="str">
        <f t="shared" si="20"/>
        <v/>
      </c>
    </row>
    <row r="100">
      <c r="A100" s="1" t="str">
        <f>IFERROR(__xludf.DUMMYFUNCTION("""COMPUTED_VALUE"""),"63ced84dc5c820531c26968f")</f>
        <v>63ced84dc5c820531c26968f</v>
      </c>
      <c r="B100" s="1" t="str">
        <f>IFERROR(__xludf.DUMMYFUNCTION("""COMPUTED_VALUE"""),"Coranet")</f>
        <v>Coranet</v>
      </c>
      <c r="C100" s="1" t="str">
        <f>IFERROR(__xludf.DUMMYFUNCTION("""COMPUTED_VALUE"""),"brendan.flaherty@al-enterprise.com")</f>
        <v>brendan.flaherty@al-enterprise.com</v>
      </c>
      <c r="D100" s="1" t="str">
        <f>IFERROR(__xludf.DUMMYFUNCTION("""COMPUTED_VALUE"""),"americas")</f>
        <v>americas</v>
      </c>
      <c r="E100" s="1" t="str">
        <f>IFERROR(__xludf.DUMMYFUNCTION("""COMPUTED_VALUE"""),"US")</f>
        <v>US</v>
      </c>
      <c r="F100" s="1"/>
      <c r="G100" s="1" t="str">
        <f>iferror(VLOOKUP(A100,'Business Plan Setup and Accepta'!A:G,6,false),"")</f>
        <v/>
      </c>
      <c r="H100" s="1" t="str">
        <f>iferror(VLOOKUP(A100,'Business Plan Setup and Accepta'!A:G,7,false),"")</f>
        <v/>
      </c>
      <c r="I100" s="17" t="str">
        <f t="shared" si="3"/>
        <v/>
      </c>
      <c r="J100" s="1" t="str">
        <f>IFERROR(VALUE(SUBSTITUTE(VLOOKUP(A100,'Sales IN Revenues vs Sales targ'!A:G,6,false)," $","")), "")
</f>
        <v/>
      </c>
      <c r="K100" s="1" t="str">
        <f>IFERROR(VALUE(SUBSTITUTE(VLOOKUP(A100,'Sales IN Revenues vs Sales targ'!A:G,7,false)," $","")), "")
</f>
        <v/>
      </c>
      <c r="L100" s="17" t="str">
        <f t="shared" si="4"/>
        <v/>
      </c>
      <c r="M100" s="1">
        <f>value(SUBSTITUTE(IFERROR(VLOOKUP(A100,'Certifications achievements vs '!A:G,6,false),""),"#","")
)</f>
        <v>0</v>
      </c>
      <c r="N100" s="1">
        <f>value(SUBSTITUTE(IFERROR(VLOOKUP(A100,'Certifications achievements vs '!A:G,7,false),""),"#","")
)</f>
        <v>0</v>
      </c>
      <c r="O100" s="17" t="str">
        <f t="shared" si="5"/>
        <v/>
      </c>
      <c r="P100" s="1">
        <f>value(SUBSTITUTE(IFERROR(VLOOKUP(A100,'Communications - Solution Speci'!A:G,6,false),""),"#","")
)</f>
        <v>0</v>
      </c>
      <c r="Q100" s="1">
        <f>value(SUBSTITUTE(IFERROR(VLOOKUP(A100,'Communications - Solution Speci'!A:G,7,false),""),"#","")
)</f>
        <v>0</v>
      </c>
      <c r="R100" s="17" t="str">
        <f t="shared" si="6"/>
        <v/>
      </c>
      <c r="S100" s="1">
        <f>value(SUBSTITUTE(IFERROR(VLOOKUP(A100,'Networking - Solution Specializ'!A:G,6,false),""),"#","")
)</f>
        <v>0</v>
      </c>
      <c r="T100" s="1">
        <f>value(SUBSTITUTE(IFERROR(VLOOKUP(A100,'Networking - Solution Specializ'!A:G,7,false),""),"#","")
)</f>
        <v>0</v>
      </c>
      <c r="U100" s="17" t="str">
        <f t="shared" si="7"/>
        <v/>
      </c>
      <c r="V100" s="1" t="str">
        <f>iferror(vlookup(A100,'Marketing Plan (extract summary'!A:G,6,false),"")</f>
        <v/>
      </c>
      <c r="W100" s="1" t="str">
        <f>iferror(vlookup(A100,'Marketing Plan (extract summary'!A:G,7,false),"")</f>
        <v/>
      </c>
      <c r="X100" s="17" t="str">
        <f t="shared" si="8"/>
        <v/>
      </c>
      <c r="Y100" s="1">
        <f>value(IFERROR(SUBSTITUTE(SUBSTITUTE(VLOOKUP(A100,'Quarterly Pipeline vs Target Pi'!A:G,6,false)," $","")," €",""), "")
)</f>
        <v>0</v>
      </c>
      <c r="Z100" s="1">
        <f>value(IFERROR(SUBSTITUTE(SUBSTITUTE(VLOOKUP(A100,'Quarterly Pipeline vs Target Pi'!A:G,7,false)," $","")," €",""), "")
)</f>
        <v>0</v>
      </c>
      <c r="AA100" s="17" t="str">
        <f t="shared" si="9"/>
        <v/>
      </c>
      <c r="AB100" s="1">
        <f>value(IFERROR(SUBSTITUTE(SUBSTITUTE(VLOOKUP($A100,'Quarterly Pipeline vs Target Pi'!$A:$V,11,false)," $","")," €",""), "")
)</f>
        <v>0</v>
      </c>
      <c r="AC100" s="1">
        <f>value(IFERROR(SUBSTITUTE(SUBSTITUTE(VLOOKUP($A100,'Quarterly Pipeline vs Target Pi'!$A:$V,12,false)," $","")," €",""), "")
)</f>
        <v>0</v>
      </c>
      <c r="AD100" s="17" t="str">
        <f t="shared" si="10"/>
        <v/>
      </c>
      <c r="AE100" s="1">
        <f>value(IFERROR(SUBSTITUTE(SUBSTITUTE(VLOOKUP($A100,'Quarterly Pipeline vs Target Pi'!$A:$V,16,false)," $","")," €",""), "")
)</f>
        <v>0</v>
      </c>
      <c r="AF100" s="1">
        <f>value(IFERROR(SUBSTITUTE(SUBSTITUTE(VLOOKUP($A100,'Quarterly Pipeline vs Target Pi'!$A:$V,17,false)," $","")," €",""), "")
)</f>
        <v>0</v>
      </c>
      <c r="AG100" s="17" t="str">
        <f t="shared" si="11"/>
        <v/>
      </c>
      <c r="AH100" s="1">
        <f>value(IFERROR(SUBSTITUTE(SUBSTITUTE(VLOOKUP($A100,'Quarterly Pipeline vs Target Pi'!$A:$V,21,false)," $","")," €",""), "")
)</f>
        <v>0</v>
      </c>
      <c r="AI100" s="1">
        <f>value(IFERROR(SUBSTITUTE(SUBSTITUTE(VLOOKUP($A100,'Quarterly Pipeline vs Target Pi'!$A:$V,22,false)," $","")," €",""), "")
)</f>
        <v>0</v>
      </c>
      <c r="AJ100" s="17" t="str">
        <f t="shared" si="12"/>
        <v/>
      </c>
      <c r="AK100" s="1">
        <f t="shared" ref="AK100:AL100" si="213">sum(Y100,AB100,AE100,AH100)</f>
        <v>0</v>
      </c>
      <c r="AL100" s="1">
        <f t="shared" si="213"/>
        <v>0</v>
      </c>
      <c r="AM100" s="17" t="str">
        <f t="shared" si="14"/>
        <v/>
      </c>
      <c r="AN100" s="1">
        <f>value(IFERROR(SUBSTITUTE(SUBSTITUTE(VLOOKUP($A100,'Quarterly Pipeline vs Target Pi'!$A:$AP,26,false)," $","")," €",""), "")
)</f>
        <v>0</v>
      </c>
      <c r="AO100" s="1">
        <f>value(IFERROR(SUBSTITUTE(SUBSTITUTE(VLOOKUP($A100,'Quarterly Pipeline vs Target Pi'!$A:$AP,27,false)," $","")," €",""), "")
)</f>
        <v>0</v>
      </c>
      <c r="AP100" s="17" t="str">
        <f t="shared" si="15"/>
        <v/>
      </c>
      <c r="AQ100" s="1">
        <f>value(IFERROR(SUBSTITUTE(SUBSTITUTE(VLOOKUP($A100,'Quarterly Pipeline vs Target Pi'!$A:$AP,31,false)," $","")," €",""), "")
)</f>
        <v>0</v>
      </c>
      <c r="AR100" s="1">
        <f>value(IFERROR(SUBSTITUTE(SUBSTITUTE(VLOOKUP($A100,'Quarterly Pipeline vs Target Pi'!$A:$AP,32,false)," $","")," €",""), "")
)</f>
        <v>0</v>
      </c>
      <c r="AS100" s="17" t="str">
        <f t="shared" si="16"/>
        <v/>
      </c>
      <c r="AT100" s="1">
        <f>value(IFERROR(SUBSTITUTE(SUBSTITUTE(VLOOKUP($A100,'Quarterly Pipeline vs Target Pi'!$A:$AP,36,false)," $","")," €",""), "")
)</f>
        <v>0</v>
      </c>
      <c r="AU100" s="1">
        <f>value(IFERROR(SUBSTITUTE(SUBSTITUTE(VLOOKUP($A100,'Quarterly Pipeline vs Target Pi'!$A:$AP,37,false)," $","")," €",""), "")
)</f>
        <v>0</v>
      </c>
      <c r="AV100" s="17" t="str">
        <f t="shared" si="17"/>
        <v/>
      </c>
      <c r="AW100" s="1">
        <f>value(IFERROR(SUBSTITUTE(SUBSTITUTE(VLOOKUP($A100,'Quarterly Pipeline vs Target Pi'!$A:$AP,41,false)," $","")," €",""), "")
)</f>
        <v>0</v>
      </c>
      <c r="AX100" s="1">
        <f>value(IFERROR(SUBSTITUTE(SUBSTITUTE(VLOOKUP($A100,'Quarterly Pipeline vs Target Pi'!$A:$AP,42,false)," $","")," €",""), "")
)</f>
        <v>0</v>
      </c>
      <c r="AY100" s="17" t="str">
        <f t="shared" si="18"/>
        <v/>
      </c>
      <c r="AZ100" s="1">
        <f t="shared" ref="AZ100:BA100" si="214">sum(AN100,AQ100,AT100,AW100)</f>
        <v>0</v>
      </c>
      <c r="BA100" s="1">
        <f t="shared" si="214"/>
        <v>0</v>
      </c>
      <c r="BB100" s="17" t="str">
        <f t="shared" si="20"/>
        <v/>
      </c>
    </row>
    <row r="101">
      <c r="A101" s="1" t="str">
        <f>IFERROR(__xludf.DUMMYFUNCTION("""COMPUTED_VALUE"""),"63ced84dc5c820531c269707")</f>
        <v>63ced84dc5c820531c269707</v>
      </c>
      <c r="B101" s="1" t="str">
        <f>IFERROR(__xludf.DUMMYFUNCTION("""COMPUTED_VALUE"""),"Core Business Technology Solutions")</f>
        <v>Core Business Technology Solutions</v>
      </c>
      <c r="C101" s="1" t="str">
        <f>IFERROR(__xludf.DUMMYFUNCTION("""COMPUTED_VALUE"""),"brendan.flaherty@al-enterprise.com")</f>
        <v>brendan.flaherty@al-enterprise.com</v>
      </c>
      <c r="D101" s="1" t="str">
        <f>IFERROR(__xludf.DUMMYFUNCTION("""COMPUTED_VALUE"""),"americas")</f>
        <v>americas</v>
      </c>
      <c r="E101" s="1" t="str">
        <f>IFERROR(__xludf.DUMMYFUNCTION("""COMPUTED_VALUE"""),"US")</f>
        <v>US</v>
      </c>
      <c r="F101" s="1"/>
      <c r="G101" s="1" t="str">
        <f>iferror(VLOOKUP(A101,'Business Plan Setup and Accepta'!A:G,6,false),"")</f>
        <v/>
      </c>
      <c r="H101" s="1" t="str">
        <f>iferror(VLOOKUP(A101,'Business Plan Setup and Accepta'!A:G,7,false),"")</f>
        <v/>
      </c>
      <c r="I101" s="17" t="str">
        <f t="shared" si="3"/>
        <v/>
      </c>
      <c r="J101" s="1" t="str">
        <f>IFERROR(VALUE(SUBSTITUTE(VLOOKUP(A101,'Sales IN Revenues vs Sales targ'!A:G,6,false)," $","")), "")
</f>
        <v/>
      </c>
      <c r="K101" s="1" t="str">
        <f>IFERROR(VALUE(SUBSTITUTE(VLOOKUP(A101,'Sales IN Revenues vs Sales targ'!A:G,7,false)," $","")), "")
</f>
        <v/>
      </c>
      <c r="L101" s="17" t="str">
        <f t="shared" si="4"/>
        <v/>
      </c>
      <c r="M101" s="1">
        <f>value(SUBSTITUTE(IFERROR(VLOOKUP(A101,'Certifications achievements vs '!A:G,6,false),""),"#","")
)</f>
        <v>0</v>
      </c>
      <c r="N101" s="1">
        <f>value(SUBSTITUTE(IFERROR(VLOOKUP(A101,'Certifications achievements vs '!A:G,7,false),""),"#","")
)</f>
        <v>0</v>
      </c>
      <c r="O101" s="17" t="str">
        <f t="shared" si="5"/>
        <v/>
      </c>
      <c r="P101" s="1">
        <f>value(SUBSTITUTE(IFERROR(VLOOKUP(A101,'Communications - Solution Speci'!A:G,6,false),""),"#","")
)</f>
        <v>0</v>
      </c>
      <c r="Q101" s="1">
        <f>value(SUBSTITUTE(IFERROR(VLOOKUP(A101,'Communications - Solution Speci'!A:G,7,false),""),"#","")
)</f>
        <v>0</v>
      </c>
      <c r="R101" s="17" t="str">
        <f t="shared" si="6"/>
        <v/>
      </c>
      <c r="S101" s="1">
        <f>value(SUBSTITUTE(IFERROR(VLOOKUP(A101,'Networking - Solution Specializ'!A:G,6,false),""),"#","")
)</f>
        <v>0</v>
      </c>
      <c r="T101" s="1">
        <f>value(SUBSTITUTE(IFERROR(VLOOKUP(A101,'Networking - Solution Specializ'!A:G,7,false),""),"#","")
)</f>
        <v>0</v>
      </c>
      <c r="U101" s="17" t="str">
        <f t="shared" si="7"/>
        <v/>
      </c>
      <c r="V101" s="1" t="str">
        <f>iferror(vlookup(A101,'Marketing Plan (extract summary'!A:G,6,false),"")</f>
        <v/>
      </c>
      <c r="W101" s="1" t="str">
        <f>iferror(vlookup(A101,'Marketing Plan (extract summary'!A:G,7,false),"")</f>
        <v/>
      </c>
      <c r="X101" s="17" t="str">
        <f t="shared" si="8"/>
        <v/>
      </c>
      <c r="Y101" s="1">
        <f>value(IFERROR(SUBSTITUTE(SUBSTITUTE(VLOOKUP(A101,'Quarterly Pipeline vs Target Pi'!A:G,6,false)," $","")," €",""), "")
)</f>
        <v>0</v>
      </c>
      <c r="Z101" s="1">
        <f>value(IFERROR(SUBSTITUTE(SUBSTITUTE(VLOOKUP(A101,'Quarterly Pipeline vs Target Pi'!A:G,7,false)," $","")," €",""), "")
)</f>
        <v>0</v>
      </c>
      <c r="AA101" s="17" t="str">
        <f t="shared" si="9"/>
        <v/>
      </c>
      <c r="AB101" s="1">
        <f>value(IFERROR(SUBSTITUTE(SUBSTITUTE(VLOOKUP($A101,'Quarterly Pipeline vs Target Pi'!$A:$V,11,false)," $","")," €",""), "")
)</f>
        <v>0</v>
      </c>
      <c r="AC101" s="1">
        <f>value(IFERROR(SUBSTITUTE(SUBSTITUTE(VLOOKUP($A101,'Quarterly Pipeline vs Target Pi'!$A:$V,12,false)," $","")," €",""), "")
)</f>
        <v>0</v>
      </c>
      <c r="AD101" s="17" t="str">
        <f t="shared" si="10"/>
        <v/>
      </c>
      <c r="AE101" s="1">
        <f>value(IFERROR(SUBSTITUTE(SUBSTITUTE(VLOOKUP($A101,'Quarterly Pipeline vs Target Pi'!$A:$V,16,false)," $","")," €",""), "")
)</f>
        <v>0</v>
      </c>
      <c r="AF101" s="1">
        <f>value(IFERROR(SUBSTITUTE(SUBSTITUTE(VLOOKUP($A101,'Quarterly Pipeline vs Target Pi'!$A:$V,17,false)," $","")," €",""), "")
)</f>
        <v>0</v>
      </c>
      <c r="AG101" s="17" t="str">
        <f t="shared" si="11"/>
        <v/>
      </c>
      <c r="AH101" s="1">
        <f>value(IFERROR(SUBSTITUTE(SUBSTITUTE(VLOOKUP($A101,'Quarterly Pipeline vs Target Pi'!$A:$V,21,false)," $","")," €",""), "")
)</f>
        <v>0</v>
      </c>
      <c r="AI101" s="1">
        <f>value(IFERROR(SUBSTITUTE(SUBSTITUTE(VLOOKUP($A101,'Quarterly Pipeline vs Target Pi'!$A:$V,22,false)," $","")," €",""), "")
)</f>
        <v>0</v>
      </c>
      <c r="AJ101" s="17" t="str">
        <f t="shared" si="12"/>
        <v/>
      </c>
      <c r="AK101" s="1">
        <f t="shared" ref="AK101:AL101" si="215">sum(Y101,AB101,AE101,AH101)</f>
        <v>0</v>
      </c>
      <c r="AL101" s="1">
        <f t="shared" si="215"/>
        <v>0</v>
      </c>
      <c r="AM101" s="17" t="str">
        <f t="shared" si="14"/>
        <v/>
      </c>
      <c r="AN101" s="1">
        <f>value(IFERROR(SUBSTITUTE(SUBSTITUTE(VLOOKUP($A101,'Quarterly Pipeline vs Target Pi'!$A:$AP,26,false)," $","")," €",""), "")
)</f>
        <v>0</v>
      </c>
      <c r="AO101" s="1">
        <f>value(IFERROR(SUBSTITUTE(SUBSTITUTE(VLOOKUP($A101,'Quarterly Pipeline vs Target Pi'!$A:$AP,27,false)," $","")," €",""), "")
)</f>
        <v>0</v>
      </c>
      <c r="AP101" s="17" t="str">
        <f t="shared" si="15"/>
        <v/>
      </c>
      <c r="AQ101" s="1">
        <f>value(IFERROR(SUBSTITUTE(SUBSTITUTE(VLOOKUP($A101,'Quarterly Pipeline vs Target Pi'!$A:$AP,31,false)," $","")," €",""), "")
)</f>
        <v>0</v>
      </c>
      <c r="AR101" s="1">
        <f>value(IFERROR(SUBSTITUTE(SUBSTITUTE(VLOOKUP($A101,'Quarterly Pipeline vs Target Pi'!$A:$AP,32,false)," $","")," €",""), "")
)</f>
        <v>0</v>
      </c>
      <c r="AS101" s="17" t="str">
        <f t="shared" si="16"/>
        <v/>
      </c>
      <c r="AT101" s="1">
        <f>value(IFERROR(SUBSTITUTE(SUBSTITUTE(VLOOKUP($A101,'Quarterly Pipeline vs Target Pi'!$A:$AP,36,false)," $","")," €",""), "")
)</f>
        <v>0</v>
      </c>
      <c r="AU101" s="1">
        <f>value(IFERROR(SUBSTITUTE(SUBSTITUTE(VLOOKUP($A101,'Quarterly Pipeline vs Target Pi'!$A:$AP,37,false)," $","")," €",""), "")
)</f>
        <v>0</v>
      </c>
      <c r="AV101" s="17" t="str">
        <f t="shared" si="17"/>
        <v/>
      </c>
      <c r="AW101" s="1">
        <f>value(IFERROR(SUBSTITUTE(SUBSTITUTE(VLOOKUP($A101,'Quarterly Pipeline vs Target Pi'!$A:$AP,41,false)," $","")," €",""), "")
)</f>
        <v>0</v>
      </c>
      <c r="AX101" s="1">
        <f>value(IFERROR(SUBSTITUTE(SUBSTITUTE(VLOOKUP($A101,'Quarterly Pipeline vs Target Pi'!$A:$AP,42,false)," $","")," €",""), "")
)</f>
        <v>0</v>
      </c>
      <c r="AY101" s="17" t="str">
        <f t="shared" si="18"/>
        <v/>
      </c>
      <c r="AZ101" s="1">
        <f t="shared" ref="AZ101:BA101" si="216">sum(AN101,AQ101,AT101,AW101)</f>
        <v>0</v>
      </c>
      <c r="BA101" s="1">
        <f t="shared" si="216"/>
        <v>0</v>
      </c>
      <c r="BB101" s="17" t="str">
        <f t="shared" si="20"/>
        <v/>
      </c>
    </row>
    <row r="102">
      <c r="A102" s="1" t="str">
        <f>IFERROR(__xludf.DUMMYFUNCTION("""COMPUTED_VALUE"""),"63ea6e9352ad6968805cea8d")</f>
        <v>63ea6e9352ad6968805cea8d</v>
      </c>
      <c r="B102" s="1" t="str">
        <f>IFERROR(__xludf.DUMMYFUNCTION("""COMPUTED_VALUE"""),"cosmotel IT GmbH")</f>
        <v>cosmotel IT GmbH</v>
      </c>
      <c r="C102" s="1" t="str">
        <f>IFERROR(__xludf.DUMMYFUNCTION("""COMPUTED_VALUE"""),"ralf.kloeppels@al-enterprise.com, katrin.pfeiffer@al-enterprise.com, sibylle.klopfer@al-enterprise.com, igor.leko@al-enterprise.com")</f>
        <v>ralf.kloeppels@al-enterprise.com, katrin.pfeiffer@al-enterprise.com, sibylle.klopfer@al-enterprise.com, igor.leko@al-enterprise.com</v>
      </c>
      <c r="D102" s="1" t="str">
        <f>IFERROR(__xludf.DUMMYFUNCTION("""COMPUTED_VALUE"""),"germany")</f>
        <v>germany</v>
      </c>
      <c r="E102" s="1" t="str">
        <f>IFERROR(__xludf.DUMMYFUNCTION("""COMPUTED_VALUE"""),"DE")</f>
        <v>DE</v>
      </c>
      <c r="F102" s="1" t="str">
        <f>IFERROR(__xludf.DUMMYFUNCTION("""COMPUTED_VALUE"""),"expert_1000")</f>
        <v>expert_1000</v>
      </c>
      <c r="G102" s="1">
        <f>iferror(VLOOKUP(A102,'Business Plan Setup and Accepta'!A:G,6,false),"")</f>
        <v>0</v>
      </c>
      <c r="H102" s="1">
        <f>iferror(VLOOKUP(A102,'Business Plan Setup and Accepta'!A:G,7,false),"")</f>
        <v>1</v>
      </c>
      <c r="I102" s="17">
        <f t="shared" si="3"/>
        <v>0</v>
      </c>
      <c r="J102" s="1">
        <f>IFERROR(VALUE(SUBSTITUTE(VLOOKUP(A102,'Sales IN Revenues vs Sales targ'!A:G,6,false)," $","")), "")
</f>
        <v>321.97</v>
      </c>
      <c r="K102" s="1">
        <f>IFERROR(VALUE(SUBSTITUTE(VLOOKUP(A102,'Sales IN Revenues vs Sales targ'!A:G,7,false)," $","")), "")
</f>
        <v>1325</v>
      </c>
      <c r="L102" s="17">
        <f t="shared" si="4"/>
        <v>0.2429962264</v>
      </c>
      <c r="M102" s="1">
        <f>value(SUBSTITUTE(IFERROR(VLOOKUP(A102,'Certifications achievements vs '!A:G,6,false),""),"#","")
)</f>
        <v>103</v>
      </c>
      <c r="N102" s="1">
        <f>value(SUBSTITUTE(IFERROR(VLOOKUP(A102,'Certifications achievements vs '!A:G,7,false),""),"#","")
)</f>
        <v>53</v>
      </c>
      <c r="O102" s="17">
        <f t="shared" si="5"/>
        <v>1.943396226</v>
      </c>
      <c r="P102" s="1">
        <f>value(SUBSTITUTE(IFERROR(VLOOKUP(A102,'Communications - Solution Speci'!A:G,6,false),""),"#","")
)</f>
        <v>1</v>
      </c>
      <c r="Q102" s="1">
        <f>value(SUBSTITUTE(IFERROR(VLOOKUP(A102,'Communications - Solution Speci'!A:G,7,false),""),"#","")
)</f>
        <v>1</v>
      </c>
      <c r="R102" s="17">
        <f t="shared" si="6"/>
        <v>1</v>
      </c>
      <c r="S102" s="1">
        <f>value(SUBSTITUTE(IFERROR(VLOOKUP(A102,'Networking - Solution Specializ'!A:G,6,false),""),"#","")
)</f>
        <v>1</v>
      </c>
      <c r="T102" s="1">
        <f>value(SUBSTITUTE(IFERROR(VLOOKUP(A102,'Networking - Solution Specializ'!A:G,7,false),""),"#","")
)</f>
        <v>1</v>
      </c>
      <c r="U102" s="17">
        <f t="shared" si="7"/>
        <v>1</v>
      </c>
      <c r="V102" s="1">
        <f>iferror(vlookup(A102,'Marketing Plan (extract summary'!A:G,6,false),"")</f>
        <v>1</v>
      </c>
      <c r="W102" s="1">
        <f>iferror(vlookup(A102,'Marketing Plan (extract summary'!A:G,7,false),"")</f>
        <v>1</v>
      </c>
      <c r="X102" s="17">
        <f t="shared" si="8"/>
        <v>1</v>
      </c>
      <c r="Y102" s="1">
        <f>value(IFERROR(SUBSTITUTE(SUBSTITUTE(VLOOKUP(A102,'Quarterly Pipeline vs Target Pi'!A:G,6,false)," $","")," €",""), "")
)</f>
        <v>0</v>
      </c>
      <c r="Z102" s="1">
        <f>value(IFERROR(SUBSTITUTE(SUBSTITUTE(VLOOKUP(A102,'Quarterly Pipeline vs Target Pi'!A:G,7,false)," $","")," €",""), "")
)</f>
        <v>0</v>
      </c>
      <c r="AA102" s="17" t="str">
        <f t="shared" si="9"/>
        <v/>
      </c>
      <c r="AB102" s="1">
        <f>value(IFERROR(SUBSTITUTE(SUBSTITUTE(VLOOKUP($A102,'Quarterly Pipeline vs Target Pi'!$A:$V,11,false)," $","")," €",""), "")
)</f>
        <v>3.03</v>
      </c>
      <c r="AC102" s="1">
        <f>value(IFERROR(SUBSTITUTE(SUBSTITUTE(VLOOKUP($A102,'Quarterly Pipeline vs Target Pi'!$A:$V,12,false)," $","")," €",""), "")
)</f>
        <v>519.61</v>
      </c>
      <c r="AD102" s="17">
        <f t="shared" si="10"/>
        <v>0.005831296549</v>
      </c>
      <c r="AE102" s="1">
        <f>value(IFERROR(SUBSTITUTE(SUBSTITUTE(VLOOKUP($A102,'Quarterly Pipeline vs Target Pi'!$A:$V,16,false)," $","")," €",""), "")
)</f>
        <v>218.14</v>
      </c>
      <c r="AF102" s="1">
        <f>value(IFERROR(SUBSTITUTE(SUBSTITUTE(VLOOKUP($A102,'Quarterly Pipeline vs Target Pi'!$A:$V,17,false)," $","")," €",""), "")
)</f>
        <v>803.92</v>
      </c>
      <c r="AG102" s="17">
        <f t="shared" si="11"/>
        <v>0.2713454075</v>
      </c>
      <c r="AH102" s="1">
        <f>value(IFERROR(SUBSTITUTE(SUBSTITUTE(VLOOKUP($A102,'Quarterly Pipeline vs Target Pi'!$A:$V,21,false)," $","")," €",""), "")
)</f>
        <v>388</v>
      </c>
      <c r="AI102" s="1">
        <f>value(IFERROR(SUBSTITUTE(SUBSTITUTE(VLOOKUP($A102,'Quarterly Pipeline vs Target Pi'!$A:$V,22,false)," $","")," €",""), "")
)</f>
        <v>754.9</v>
      </c>
      <c r="AJ102" s="17">
        <f t="shared" si="12"/>
        <v>0.513975361</v>
      </c>
      <c r="AK102" s="1">
        <f t="shared" ref="AK102:AL102" si="217">sum(Y102,AB102,AE102,AH102)</f>
        <v>609.17</v>
      </c>
      <c r="AL102" s="1">
        <f t="shared" si="217"/>
        <v>2078.43</v>
      </c>
      <c r="AM102" s="17">
        <f t="shared" si="14"/>
        <v>0.29309142</v>
      </c>
      <c r="AN102" s="1">
        <f>value(IFERROR(SUBSTITUTE(SUBSTITUTE(VLOOKUP($A102,'Quarterly Pipeline vs Target Pi'!$A:$AP,26,false)," $","")," €",""), "")
)</f>
        <v>30</v>
      </c>
      <c r="AO102" s="1">
        <f>value(IFERROR(SUBSTITUTE(SUBSTITUTE(VLOOKUP($A102,'Quarterly Pipeline vs Target Pi'!$A:$AP,27,false)," $","")," €",""), "")
)</f>
        <v>0</v>
      </c>
      <c r="AP102" s="17" t="str">
        <f t="shared" si="15"/>
        <v/>
      </c>
      <c r="AQ102" s="1">
        <f>value(IFERROR(SUBSTITUTE(SUBSTITUTE(VLOOKUP($A102,'Quarterly Pipeline vs Target Pi'!$A:$AP,31,false)," $","")," €",""), "")
)</f>
        <v>566.2</v>
      </c>
      <c r="AR102" s="1">
        <f>value(IFERROR(SUBSTITUTE(SUBSTITUTE(VLOOKUP($A102,'Quarterly Pipeline vs Target Pi'!$A:$AP,32,false)," $","")," €",""), "")
)</f>
        <v>0</v>
      </c>
      <c r="AS102" s="17" t="str">
        <f t="shared" si="16"/>
        <v/>
      </c>
      <c r="AT102" s="1">
        <f>value(IFERROR(SUBSTITUTE(SUBSTITUTE(VLOOKUP($A102,'Quarterly Pipeline vs Target Pi'!$A:$AP,36,false)," $","")," €",""), "")
)</f>
        <v>20</v>
      </c>
      <c r="AU102" s="1">
        <f>value(IFERROR(SUBSTITUTE(SUBSTITUTE(VLOOKUP($A102,'Quarterly Pipeline vs Target Pi'!$A:$AP,37,false)," $","")," €",""), "")
)</f>
        <v>0</v>
      </c>
      <c r="AV102" s="17" t="str">
        <f t="shared" si="17"/>
        <v/>
      </c>
      <c r="AW102" s="1">
        <f>value(IFERROR(SUBSTITUTE(SUBSTITUTE(VLOOKUP($A102,'Quarterly Pipeline vs Target Pi'!$A:$AP,41,false)," $","")," €",""), "")
)</f>
        <v>0</v>
      </c>
      <c r="AX102" s="1">
        <f>value(IFERROR(SUBSTITUTE(SUBSTITUTE(VLOOKUP($A102,'Quarterly Pipeline vs Target Pi'!$A:$AP,42,false)," $","")," €",""), "")
)</f>
        <v>0</v>
      </c>
      <c r="AY102" s="17" t="str">
        <f t="shared" si="18"/>
        <v/>
      </c>
      <c r="AZ102" s="1">
        <f t="shared" ref="AZ102:BA102" si="218">sum(AN102,AQ102,AT102,AW102)</f>
        <v>616.2</v>
      </c>
      <c r="BA102" s="1">
        <f t="shared" si="218"/>
        <v>0</v>
      </c>
      <c r="BB102" s="17" t="str">
        <f t="shared" si="20"/>
        <v/>
      </c>
    </row>
    <row r="103">
      <c r="A103" s="1" t="str">
        <f>IFERROR(__xludf.DUMMYFUNCTION("""COMPUTED_VALUE"""),"63ced841c5c820531c267eb6")</f>
        <v>63ced841c5c820531c267eb6</v>
      </c>
      <c r="B103" s="1" t="str">
        <f>IFERROR(__xludf.DUMMYFUNCTION("""COMPUTED_VALUE"""),"COVERGINT Comercio e Servicos de Tecnologia Ltda")</f>
        <v>COVERGINT Comercio e Servicos de Tecnologia Ltda</v>
      </c>
      <c r="C103" s="1" t="str">
        <f>IFERROR(__xludf.DUMMYFUNCTION("""COMPUTED_VALUE"""),"vinicius.costa@al-enterprise.com")</f>
        <v>vinicius.costa@al-enterprise.com</v>
      </c>
      <c r="D103" s="1" t="str">
        <f>IFERROR(__xludf.DUMMYFUNCTION("""COMPUTED_VALUE"""),"americas")</f>
        <v>americas</v>
      </c>
      <c r="E103" s="1" t="str">
        <f>IFERROR(__xludf.DUMMYFUNCTION("""COMPUTED_VALUE"""),"BR")</f>
        <v>BR</v>
      </c>
      <c r="F103" s="1" t="str">
        <f>IFERROR(__xludf.DUMMYFUNCTION("""COMPUTED_VALUE"""),"expert_1000")</f>
        <v>expert_1000</v>
      </c>
      <c r="G103" s="1">
        <f>iferror(VLOOKUP(A103,'Business Plan Setup and Accepta'!A:G,6,false),"")</f>
        <v>0</v>
      </c>
      <c r="H103" s="1">
        <f>iferror(VLOOKUP(A103,'Business Plan Setup and Accepta'!A:G,7,false),"")</f>
        <v>1</v>
      </c>
      <c r="I103" s="17">
        <f t="shared" si="3"/>
        <v>0</v>
      </c>
      <c r="J103" s="1">
        <f>IFERROR(VALUE(SUBSTITUTE(VLOOKUP(A103,'Sales IN Revenues vs Sales targ'!A:G,6,false)," $","")), "")
</f>
        <v>9.87</v>
      </c>
      <c r="K103" s="1">
        <f>IFERROR(VALUE(SUBSTITUTE(VLOOKUP(A103,'Sales IN Revenues vs Sales targ'!A:G,7,false)," $","")), "")
</f>
        <v>1519.99</v>
      </c>
      <c r="L103" s="17">
        <f t="shared" si="4"/>
        <v>0.006493463773</v>
      </c>
      <c r="M103" s="1">
        <f>value(SUBSTITUTE(IFERROR(VLOOKUP(A103,'Certifications achievements vs '!A:G,6,false),""),"#","")
)</f>
        <v>13</v>
      </c>
      <c r="N103" s="1">
        <f>value(SUBSTITUTE(IFERROR(VLOOKUP(A103,'Certifications achievements vs '!A:G,7,false),""),"#","")
)</f>
        <v>52</v>
      </c>
      <c r="O103" s="17">
        <f t="shared" si="5"/>
        <v>0.25</v>
      </c>
      <c r="P103" s="1">
        <f>value(SUBSTITUTE(IFERROR(VLOOKUP(A103,'Communications - Solution Speci'!A:G,6,false),""),"#","")
)</f>
        <v>0</v>
      </c>
      <c r="Q103" s="1">
        <f>value(SUBSTITUTE(IFERROR(VLOOKUP(A103,'Communications - Solution Speci'!A:G,7,false),""),"#","")
)</f>
        <v>1</v>
      </c>
      <c r="R103" s="17">
        <f t="shared" si="6"/>
        <v>0</v>
      </c>
      <c r="S103" s="1">
        <f>value(SUBSTITUTE(IFERROR(VLOOKUP(A103,'Networking - Solution Specializ'!A:G,6,false),""),"#","")
)</f>
        <v>1</v>
      </c>
      <c r="T103" s="1">
        <f>value(SUBSTITUTE(IFERROR(VLOOKUP(A103,'Networking - Solution Specializ'!A:G,7,false),""),"#","")
)</f>
        <v>1</v>
      </c>
      <c r="U103" s="17">
        <f t="shared" si="7"/>
        <v>1</v>
      </c>
      <c r="V103" s="1">
        <f>iferror(vlookup(A103,'Marketing Plan (extract summary'!A:G,6,false),"")</f>
        <v>0</v>
      </c>
      <c r="W103" s="1">
        <f>iferror(vlookup(A103,'Marketing Plan (extract summary'!A:G,7,false),"")</f>
        <v>1</v>
      </c>
      <c r="X103" s="17">
        <f t="shared" si="8"/>
        <v>0</v>
      </c>
      <c r="Y103" s="1">
        <f>value(IFERROR(SUBSTITUTE(SUBSTITUTE(VLOOKUP(A103,'Quarterly Pipeline vs Target Pi'!A:G,6,false)," $","")," €",""), "")
)</f>
        <v>1893.99</v>
      </c>
      <c r="Z103" s="1">
        <f>value(IFERROR(SUBSTITUTE(SUBSTITUTE(VLOOKUP(A103,'Quarterly Pipeline vs Target Pi'!A:G,7,false)," $","")," €",""), "")
)</f>
        <v>0</v>
      </c>
      <c r="AA103" s="17" t="str">
        <f t="shared" si="9"/>
        <v/>
      </c>
      <c r="AB103" s="1">
        <f>value(IFERROR(SUBSTITUTE(SUBSTITUTE(VLOOKUP($A103,'Quarterly Pipeline vs Target Pi'!$A:$V,11,false)," $","")," €",""), "")
)</f>
        <v>168</v>
      </c>
      <c r="AC103" s="1">
        <f>value(IFERROR(SUBSTITUTE(SUBSTITUTE(VLOOKUP($A103,'Quarterly Pipeline vs Target Pi'!$A:$V,12,false)," $","")," €",""), "")
)</f>
        <v>899.98</v>
      </c>
      <c r="AD103" s="17">
        <f t="shared" si="10"/>
        <v>0.1866708149</v>
      </c>
      <c r="AE103" s="1">
        <f>value(IFERROR(SUBSTITUTE(SUBSTITUTE(VLOOKUP($A103,'Quarterly Pipeline vs Target Pi'!$A:$V,16,false)," $","")," €",""), "")
)</f>
        <v>460</v>
      </c>
      <c r="AF103" s="1">
        <f>value(IFERROR(SUBSTITUTE(SUBSTITUTE(VLOOKUP($A103,'Quarterly Pipeline vs Target Pi'!$A:$V,17,false)," $","")," €",""), "")
)</f>
        <v>1633.33</v>
      </c>
      <c r="AG103" s="17">
        <f t="shared" si="11"/>
        <v>0.2816332278</v>
      </c>
      <c r="AH103" s="1">
        <f>value(IFERROR(SUBSTITUTE(SUBSTITUTE(VLOOKUP($A103,'Quarterly Pipeline vs Target Pi'!$A:$V,21,false)," $","")," €",""), "")
)</f>
        <v>1965.99</v>
      </c>
      <c r="AI103" s="1">
        <f>value(IFERROR(SUBSTITUTE(SUBSTITUTE(VLOOKUP($A103,'Quarterly Pipeline vs Target Pi'!$A:$V,22,false)," $","")," €",""), "")
)</f>
        <v>1633.33</v>
      </c>
      <c r="AJ103" s="17">
        <f t="shared" si="12"/>
        <v>1.203669803</v>
      </c>
      <c r="AK103" s="1">
        <f t="shared" ref="AK103:AL103" si="219">sum(Y103,AB103,AE103,AH103)</f>
        <v>4487.98</v>
      </c>
      <c r="AL103" s="1">
        <f t="shared" si="219"/>
        <v>4166.64</v>
      </c>
      <c r="AM103" s="17">
        <f t="shared" si="14"/>
        <v>1.077122094</v>
      </c>
      <c r="AN103" s="1">
        <f>value(IFERROR(SUBSTITUTE(SUBSTITUTE(VLOOKUP($A103,'Quarterly Pipeline vs Target Pi'!$A:$AP,26,false)," $","")," €",""), "")
)</f>
        <v>0</v>
      </c>
      <c r="AO103" s="1">
        <f>value(IFERROR(SUBSTITUTE(SUBSTITUTE(VLOOKUP($A103,'Quarterly Pipeline vs Target Pi'!$A:$AP,27,false)," $","")," €",""), "")
)</f>
        <v>0</v>
      </c>
      <c r="AP103" s="17" t="str">
        <f t="shared" si="15"/>
        <v/>
      </c>
      <c r="AQ103" s="1">
        <f>value(IFERROR(SUBSTITUTE(SUBSTITUTE(VLOOKUP($A103,'Quarterly Pipeline vs Target Pi'!$A:$AP,31,false)," $","")," €",""), "")
)</f>
        <v>0</v>
      </c>
      <c r="AR103" s="1">
        <f>value(IFERROR(SUBSTITUTE(SUBSTITUTE(VLOOKUP($A103,'Quarterly Pipeline vs Target Pi'!$A:$AP,32,false)," $","")," €",""), "")
)</f>
        <v>0</v>
      </c>
      <c r="AS103" s="17" t="str">
        <f t="shared" si="16"/>
        <v/>
      </c>
      <c r="AT103" s="1">
        <f>value(IFERROR(SUBSTITUTE(SUBSTITUTE(VLOOKUP($A103,'Quarterly Pipeline vs Target Pi'!$A:$AP,36,false)," $","")," €",""), "")
)</f>
        <v>0</v>
      </c>
      <c r="AU103" s="1">
        <f>value(IFERROR(SUBSTITUTE(SUBSTITUTE(VLOOKUP($A103,'Quarterly Pipeline vs Target Pi'!$A:$AP,37,false)," $","")," €",""), "")
)</f>
        <v>0</v>
      </c>
      <c r="AV103" s="17" t="str">
        <f t="shared" si="17"/>
        <v/>
      </c>
      <c r="AW103" s="1">
        <f>value(IFERROR(SUBSTITUTE(SUBSTITUTE(VLOOKUP($A103,'Quarterly Pipeline vs Target Pi'!$A:$AP,41,false)," $","")," €",""), "")
)</f>
        <v>0</v>
      </c>
      <c r="AX103" s="1">
        <f>value(IFERROR(SUBSTITUTE(SUBSTITUTE(VLOOKUP($A103,'Quarterly Pipeline vs Target Pi'!$A:$AP,42,false)," $","")," €",""), "")
)</f>
        <v>0</v>
      </c>
      <c r="AY103" s="17" t="str">
        <f t="shared" si="18"/>
        <v/>
      </c>
      <c r="AZ103" s="1">
        <f t="shared" ref="AZ103:BA103" si="220">sum(AN103,AQ103,AT103,AW103)</f>
        <v>0</v>
      </c>
      <c r="BA103" s="1">
        <f t="shared" si="220"/>
        <v>0</v>
      </c>
      <c r="BB103" s="17" t="str">
        <f t="shared" si="20"/>
        <v/>
      </c>
    </row>
    <row r="104">
      <c r="A104" s="1" t="str">
        <f>IFERROR(__xludf.DUMMYFUNCTION("""COMPUTED_VALUE"""),"63ced840c5c820531c267d30")</f>
        <v>63ced840c5c820531c267d30</v>
      </c>
      <c r="B104" s="1" t="str">
        <f>IFERROR(__xludf.DUMMYFUNCTION("""COMPUTED_VALUE"""),"Crystal Communications, Inc.")</f>
        <v>Crystal Communications, Inc.</v>
      </c>
      <c r="C104" s="1" t="str">
        <f>IFERROR(__xludf.DUMMYFUNCTION("""COMPUTED_VALUE"""),"michael-j.francis@al-enterprise.com, luigy.estevanell@al-enterprise.com, steve.aliberti@al-enterprise.com, robert.stitz@al-enterprise.com")</f>
        <v>michael-j.francis@al-enterprise.com, luigy.estevanell@al-enterprise.com, steve.aliberti@al-enterprise.com, robert.stitz@al-enterprise.com</v>
      </c>
      <c r="D104" s="1" t="str">
        <f>IFERROR(__xludf.DUMMYFUNCTION("""COMPUTED_VALUE"""),"americas")</f>
        <v>americas</v>
      </c>
      <c r="E104" s="1" t="str">
        <f>IFERROR(__xludf.DUMMYFUNCTION("""COMPUTED_VALUE"""),"US")</f>
        <v>US</v>
      </c>
      <c r="F104" s="1" t="str">
        <f>IFERROR(__xludf.DUMMYFUNCTION("""COMPUTED_VALUE"""),"expert_200")</f>
        <v>expert_200</v>
      </c>
      <c r="G104" s="1">
        <f>iferror(VLOOKUP(A104,'Business Plan Setup and Accepta'!A:G,6,false),"")</f>
        <v>1</v>
      </c>
      <c r="H104" s="1">
        <f>iferror(VLOOKUP(A104,'Business Plan Setup and Accepta'!A:G,7,false),"")</f>
        <v>1</v>
      </c>
      <c r="I104" s="17">
        <f t="shared" si="3"/>
        <v>1</v>
      </c>
      <c r="J104" s="1">
        <f>IFERROR(VALUE(SUBSTITUTE(VLOOKUP(A104,'Sales IN Revenues vs Sales targ'!A:G,6,false)," $","")), "")
</f>
        <v>373.86</v>
      </c>
      <c r="K104" s="1">
        <f>IFERROR(VALUE(SUBSTITUTE(VLOOKUP(A104,'Sales IN Revenues vs Sales targ'!A:G,7,false)," $","")), "")
</f>
        <v>1497.29</v>
      </c>
      <c r="L104" s="17">
        <f t="shared" si="4"/>
        <v>0.2496911086</v>
      </c>
      <c r="M104" s="1">
        <f>value(SUBSTITUTE(IFERROR(VLOOKUP(A104,'Certifications achievements vs '!A:G,6,false),""),"#","")
)</f>
        <v>11</v>
      </c>
      <c r="N104" s="1">
        <f>value(SUBSTITUTE(IFERROR(VLOOKUP(A104,'Certifications achievements vs '!A:G,7,false),""),"#","")
)</f>
        <v>52</v>
      </c>
      <c r="O104" s="17">
        <f t="shared" si="5"/>
        <v>0.2115384615</v>
      </c>
      <c r="P104" s="1">
        <f>value(SUBSTITUTE(IFERROR(VLOOKUP(A104,'Communications - Solution Speci'!A:G,6,false),""),"#","")
)</f>
        <v>0</v>
      </c>
      <c r="Q104" s="1">
        <f>value(SUBSTITUTE(IFERROR(VLOOKUP(A104,'Communications - Solution Speci'!A:G,7,false),""),"#","")
)</f>
        <v>1</v>
      </c>
      <c r="R104" s="17">
        <f t="shared" si="6"/>
        <v>0</v>
      </c>
      <c r="S104" s="1">
        <f>value(SUBSTITUTE(IFERROR(VLOOKUP(A104,'Networking - Solution Specializ'!A:G,6,false),""),"#","")
)</f>
        <v>0</v>
      </c>
      <c r="T104" s="1">
        <f>value(SUBSTITUTE(IFERROR(VLOOKUP(A104,'Networking - Solution Specializ'!A:G,7,false),""),"#","")
)</f>
        <v>1</v>
      </c>
      <c r="U104" s="17">
        <f t="shared" si="7"/>
        <v>0</v>
      </c>
      <c r="V104" s="1">
        <f>iferror(vlookup(A104,'Marketing Plan (extract summary'!A:G,6,false),"")</f>
        <v>0</v>
      </c>
      <c r="W104" s="1">
        <f>iferror(vlookup(A104,'Marketing Plan (extract summary'!A:G,7,false),"")</f>
        <v>1</v>
      </c>
      <c r="X104" s="17">
        <f t="shared" si="8"/>
        <v>0</v>
      </c>
      <c r="Y104" s="1">
        <f>value(IFERROR(SUBSTITUTE(SUBSTITUTE(VLOOKUP(A104,'Quarterly Pipeline vs Target Pi'!A:G,6,false)," $","")," €",""), "")
)</f>
        <v>33.12</v>
      </c>
      <c r="Z104" s="1">
        <f>value(IFERROR(SUBSTITUTE(SUBSTITUTE(VLOOKUP(A104,'Quarterly Pipeline vs Target Pi'!A:G,7,false)," $","")," €",""), "")
)</f>
        <v>0</v>
      </c>
      <c r="AA104" s="17" t="str">
        <f t="shared" si="9"/>
        <v/>
      </c>
      <c r="AB104" s="1">
        <f>value(IFERROR(SUBSTITUTE(SUBSTITUTE(VLOOKUP($A104,'Quarterly Pipeline vs Target Pi'!$A:$V,11,false)," $","")," €",""), "")
)</f>
        <v>8.15</v>
      </c>
      <c r="AC104" s="1">
        <f>value(IFERROR(SUBSTITUTE(SUBSTITUTE(VLOOKUP($A104,'Quarterly Pipeline vs Target Pi'!$A:$V,12,false)," $","")," €",""), "")
)</f>
        <v>1008.16</v>
      </c>
      <c r="AD104" s="17">
        <f t="shared" si="10"/>
        <v>0.00808403428</v>
      </c>
      <c r="AE104" s="1">
        <f>value(IFERROR(SUBSTITUTE(SUBSTITUTE(VLOOKUP($A104,'Quarterly Pipeline vs Target Pi'!$A:$V,16,false)," $","")," €",""), "")
)</f>
        <v>2.83</v>
      </c>
      <c r="AF104" s="1">
        <f>value(IFERROR(SUBSTITUTE(SUBSTITUTE(VLOOKUP($A104,'Quarterly Pipeline vs Target Pi'!$A:$V,17,false)," $","")," €",""), "")
)</f>
        <v>1521.82</v>
      </c>
      <c r="AG104" s="17">
        <f t="shared" si="11"/>
        <v>0.00185961546</v>
      </c>
      <c r="AH104" s="1">
        <f>value(IFERROR(SUBSTITUTE(SUBSTITUTE(VLOOKUP($A104,'Quarterly Pipeline vs Target Pi'!$A:$V,21,false)," $","")," €",""), "")
)</f>
        <v>104.26</v>
      </c>
      <c r="AI104" s="1">
        <f>value(IFERROR(SUBSTITUTE(SUBSTITUTE(VLOOKUP($A104,'Quarterly Pipeline vs Target Pi'!$A:$V,22,false)," $","")," €",""), "")
)</f>
        <v>1452.82</v>
      </c>
      <c r="AJ104" s="17">
        <f t="shared" si="12"/>
        <v>0.0717638799</v>
      </c>
      <c r="AK104" s="1">
        <f t="shared" ref="AK104:AL104" si="221">sum(Y104,AB104,AE104,AH104)</f>
        <v>148.36</v>
      </c>
      <c r="AL104" s="1">
        <f t="shared" si="221"/>
        <v>3982.8</v>
      </c>
      <c r="AM104" s="17">
        <f t="shared" si="14"/>
        <v>0.03725017576</v>
      </c>
      <c r="AN104" s="1">
        <f>value(IFERROR(SUBSTITUTE(SUBSTITUTE(VLOOKUP($A104,'Quarterly Pipeline vs Target Pi'!$A:$AP,26,false)," $","")," €",""), "")
)</f>
        <v>41.81</v>
      </c>
      <c r="AO104" s="1">
        <f>value(IFERROR(SUBSTITUTE(SUBSTITUTE(VLOOKUP($A104,'Quarterly Pipeline vs Target Pi'!$A:$AP,27,false)," $","")," €",""), "")
)</f>
        <v>0</v>
      </c>
      <c r="AP104" s="17" t="str">
        <f t="shared" si="15"/>
        <v/>
      </c>
      <c r="AQ104" s="1">
        <f>value(IFERROR(SUBSTITUTE(SUBSTITUTE(VLOOKUP($A104,'Quarterly Pipeline vs Target Pi'!$A:$AP,31,false)," $","")," €",""), "")
)</f>
        <v>0</v>
      </c>
      <c r="AR104" s="1">
        <f>value(IFERROR(SUBSTITUTE(SUBSTITUTE(VLOOKUP($A104,'Quarterly Pipeline vs Target Pi'!$A:$AP,32,false)," $","")," €",""), "")
)</f>
        <v>0</v>
      </c>
      <c r="AS104" s="17" t="str">
        <f t="shared" si="16"/>
        <v/>
      </c>
      <c r="AT104" s="1">
        <f>value(IFERROR(SUBSTITUTE(SUBSTITUTE(VLOOKUP($A104,'Quarterly Pipeline vs Target Pi'!$A:$AP,36,false)," $","")," €",""), "")
)</f>
        <v>0</v>
      </c>
      <c r="AU104" s="1">
        <f>value(IFERROR(SUBSTITUTE(SUBSTITUTE(VLOOKUP($A104,'Quarterly Pipeline vs Target Pi'!$A:$AP,37,false)," $","")," €",""), "")
)</f>
        <v>0</v>
      </c>
      <c r="AV104" s="17" t="str">
        <f t="shared" si="17"/>
        <v/>
      </c>
      <c r="AW104" s="1">
        <f>value(IFERROR(SUBSTITUTE(SUBSTITUTE(VLOOKUP($A104,'Quarterly Pipeline vs Target Pi'!$A:$AP,41,false)," $","")," €",""), "")
)</f>
        <v>0</v>
      </c>
      <c r="AX104" s="1">
        <f>value(IFERROR(SUBSTITUTE(SUBSTITUTE(VLOOKUP($A104,'Quarterly Pipeline vs Target Pi'!$A:$AP,42,false)," $","")," €",""), "")
)</f>
        <v>0</v>
      </c>
      <c r="AY104" s="17" t="str">
        <f t="shared" si="18"/>
        <v/>
      </c>
      <c r="AZ104" s="1">
        <f t="shared" ref="AZ104:BA104" si="222">sum(AN104,AQ104,AT104,AW104)</f>
        <v>41.81</v>
      </c>
      <c r="BA104" s="1">
        <f t="shared" si="222"/>
        <v>0</v>
      </c>
      <c r="BB104" s="17" t="str">
        <f t="shared" si="20"/>
        <v/>
      </c>
    </row>
    <row r="105">
      <c r="A105" s="1" t="str">
        <f>IFERROR(__xludf.DUMMYFUNCTION("""COMPUTED_VALUE"""),"63ea6e9552ad6968805ced8f")</f>
        <v>63ea6e9552ad6968805ced8f</v>
      </c>
      <c r="B105" s="1" t="str">
        <f>IFERROR(__xludf.DUMMYFUNCTION("""COMPUTED_VALUE"""),"cs communication systems GmbH")</f>
        <v>cs communication systems GmbH</v>
      </c>
      <c r="C105" s="1" t="str">
        <f>IFERROR(__xludf.DUMMYFUNCTION("""COMPUTED_VALUE"""),"andreas.grossheimann@al-enterprise.com, samantha.hunt@al-enterprise.com")</f>
        <v>andreas.grossheimann@al-enterprise.com, samantha.hunt@al-enterprise.com</v>
      </c>
      <c r="D105" s="1" t="str">
        <f>IFERROR(__xludf.DUMMYFUNCTION("""COMPUTED_VALUE"""),"germany")</f>
        <v>germany</v>
      </c>
      <c r="E105" s="1" t="str">
        <f>IFERROR(__xludf.DUMMYFUNCTION("""COMPUTED_VALUE"""),"DE")</f>
        <v>DE</v>
      </c>
      <c r="F105" s="1"/>
      <c r="G105" s="1" t="str">
        <f>iferror(VLOOKUP(A105,'Business Plan Setup and Accepta'!A:G,6,false),"")</f>
        <v/>
      </c>
      <c r="H105" s="1" t="str">
        <f>iferror(VLOOKUP(A105,'Business Plan Setup and Accepta'!A:G,7,false),"")</f>
        <v/>
      </c>
      <c r="I105" s="17" t="str">
        <f t="shared" si="3"/>
        <v/>
      </c>
      <c r="J105" s="1" t="str">
        <f>IFERROR(VALUE(SUBSTITUTE(VLOOKUP(A105,'Sales IN Revenues vs Sales targ'!A:G,6,false)," $","")), "")
</f>
        <v/>
      </c>
      <c r="K105" s="1" t="str">
        <f>IFERROR(VALUE(SUBSTITUTE(VLOOKUP(A105,'Sales IN Revenues vs Sales targ'!A:G,7,false)," $","")), "")
</f>
        <v/>
      </c>
      <c r="L105" s="17" t="str">
        <f t="shared" si="4"/>
        <v/>
      </c>
      <c r="M105" s="1">
        <f>value(SUBSTITUTE(IFERROR(VLOOKUP(A105,'Certifications achievements vs '!A:G,6,false),""),"#","")
)</f>
        <v>0</v>
      </c>
      <c r="N105" s="1">
        <f>value(SUBSTITUTE(IFERROR(VLOOKUP(A105,'Certifications achievements vs '!A:G,7,false),""),"#","")
)</f>
        <v>0</v>
      </c>
      <c r="O105" s="17" t="str">
        <f t="shared" si="5"/>
        <v/>
      </c>
      <c r="P105" s="1">
        <f>value(SUBSTITUTE(IFERROR(VLOOKUP(A105,'Communications - Solution Speci'!A:G,6,false),""),"#","")
)</f>
        <v>0</v>
      </c>
      <c r="Q105" s="1">
        <f>value(SUBSTITUTE(IFERROR(VLOOKUP(A105,'Communications - Solution Speci'!A:G,7,false),""),"#","")
)</f>
        <v>0</v>
      </c>
      <c r="R105" s="17" t="str">
        <f t="shared" si="6"/>
        <v/>
      </c>
      <c r="S105" s="1">
        <f>value(SUBSTITUTE(IFERROR(VLOOKUP(A105,'Networking - Solution Specializ'!A:G,6,false),""),"#","")
)</f>
        <v>0</v>
      </c>
      <c r="T105" s="1">
        <f>value(SUBSTITUTE(IFERROR(VLOOKUP(A105,'Networking - Solution Specializ'!A:G,7,false),""),"#","")
)</f>
        <v>0</v>
      </c>
      <c r="U105" s="17" t="str">
        <f t="shared" si="7"/>
        <v/>
      </c>
      <c r="V105" s="1" t="str">
        <f>iferror(vlookup(A105,'Marketing Plan (extract summary'!A:G,6,false),"")</f>
        <v/>
      </c>
      <c r="W105" s="1" t="str">
        <f>iferror(vlookup(A105,'Marketing Plan (extract summary'!A:G,7,false),"")</f>
        <v/>
      </c>
      <c r="X105" s="17" t="str">
        <f t="shared" si="8"/>
        <v/>
      </c>
      <c r="Y105" s="1">
        <f>value(IFERROR(SUBSTITUTE(SUBSTITUTE(VLOOKUP(A105,'Quarterly Pipeline vs Target Pi'!A:G,6,false)," $","")," €",""), "")
)</f>
        <v>0</v>
      </c>
      <c r="Z105" s="1">
        <f>value(IFERROR(SUBSTITUTE(SUBSTITUTE(VLOOKUP(A105,'Quarterly Pipeline vs Target Pi'!A:G,7,false)," $","")," €",""), "")
)</f>
        <v>0</v>
      </c>
      <c r="AA105" s="17" t="str">
        <f t="shared" si="9"/>
        <v/>
      </c>
      <c r="AB105" s="1">
        <f>value(IFERROR(SUBSTITUTE(SUBSTITUTE(VLOOKUP($A105,'Quarterly Pipeline vs Target Pi'!$A:$V,11,false)," $","")," €",""), "")
)</f>
        <v>0</v>
      </c>
      <c r="AC105" s="1">
        <f>value(IFERROR(SUBSTITUTE(SUBSTITUTE(VLOOKUP($A105,'Quarterly Pipeline vs Target Pi'!$A:$V,12,false)," $","")," €",""), "")
)</f>
        <v>0</v>
      </c>
      <c r="AD105" s="17" t="str">
        <f t="shared" si="10"/>
        <v/>
      </c>
      <c r="AE105" s="1">
        <f>value(IFERROR(SUBSTITUTE(SUBSTITUTE(VLOOKUP($A105,'Quarterly Pipeline vs Target Pi'!$A:$V,16,false)," $","")," €",""), "")
)</f>
        <v>0</v>
      </c>
      <c r="AF105" s="1">
        <f>value(IFERROR(SUBSTITUTE(SUBSTITUTE(VLOOKUP($A105,'Quarterly Pipeline vs Target Pi'!$A:$V,17,false)," $","")," €",""), "")
)</f>
        <v>0</v>
      </c>
      <c r="AG105" s="17" t="str">
        <f t="shared" si="11"/>
        <v/>
      </c>
      <c r="AH105" s="1">
        <f>value(IFERROR(SUBSTITUTE(SUBSTITUTE(VLOOKUP($A105,'Quarterly Pipeline vs Target Pi'!$A:$V,21,false)," $","")," €",""), "")
)</f>
        <v>0</v>
      </c>
      <c r="AI105" s="1">
        <f>value(IFERROR(SUBSTITUTE(SUBSTITUTE(VLOOKUP($A105,'Quarterly Pipeline vs Target Pi'!$A:$V,22,false)," $","")," €",""), "")
)</f>
        <v>0</v>
      </c>
      <c r="AJ105" s="17" t="str">
        <f t="shared" si="12"/>
        <v/>
      </c>
      <c r="AK105" s="1">
        <f t="shared" ref="AK105:AL105" si="223">sum(Y105,AB105,AE105,AH105)</f>
        <v>0</v>
      </c>
      <c r="AL105" s="1">
        <f t="shared" si="223"/>
        <v>0</v>
      </c>
      <c r="AM105" s="17" t="str">
        <f t="shared" si="14"/>
        <v/>
      </c>
      <c r="AN105" s="1">
        <f>value(IFERROR(SUBSTITUTE(SUBSTITUTE(VLOOKUP($A105,'Quarterly Pipeline vs Target Pi'!$A:$AP,26,false)," $","")," €",""), "")
)</f>
        <v>0</v>
      </c>
      <c r="AO105" s="1">
        <f>value(IFERROR(SUBSTITUTE(SUBSTITUTE(VLOOKUP($A105,'Quarterly Pipeline vs Target Pi'!$A:$AP,27,false)," $","")," €",""), "")
)</f>
        <v>0</v>
      </c>
      <c r="AP105" s="17" t="str">
        <f t="shared" si="15"/>
        <v/>
      </c>
      <c r="AQ105" s="1">
        <f>value(IFERROR(SUBSTITUTE(SUBSTITUTE(VLOOKUP($A105,'Quarterly Pipeline vs Target Pi'!$A:$AP,31,false)," $","")," €",""), "")
)</f>
        <v>0</v>
      </c>
      <c r="AR105" s="1">
        <f>value(IFERROR(SUBSTITUTE(SUBSTITUTE(VLOOKUP($A105,'Quarterly Pipeline vs Target Pi'!$A:$AP,32,false)," $","")," €",""), "")
)</f>
        <v>0</v>
      </c>
      <c r="AS105" s="17" t="str">
        <f t="shared" si="16"/>
        <v/>
      </c>
      <c r="AT105" s="1">
        <f>value(IFERROR(SUBSTITUTE(SUBSTITUTE(VLOOKUP($A105,'Quarterly Pipeline vs Target Pi'!$A:$AP,36,false)," $","")," €",""), "")
)</f>
        <v>0</v>
      </c>
      <c r="AU105" s="1">
        <f>value(IFERROR(SUBSTITUTE(SUBSTITUTE(VLOOKUP($A105,'Quarterly Pipeline vs Target Pi'!$A:$AP,37,false)," $","")," €",""), "")
)</f>
        <v>0</v>
      </c>
      <c r="AV105" s="17" t="str">
        <f t="shared" si="17"/>
        <v/>
      </c>
      <c r="AW105" s="1">
        <f>value(IFERROR(SUBSTITUTE(SUBSTITUTE(VLOOKUP($A105,'Quarterly Pipeline vs Target Pi'!$A:$AP,41,false)," $","")," €",""), "")
)</f>
        <v>0</v>
      </c>
      <c r="AX105" s="1">
        <f>value(IFERROR(SUBSTITUTE(SUBSTITUTE(VLOOKUP($A105,'Quarterly Pipeline vs Target Pi'!$A:$AP,42,false)," $","")," €",""), "")
)</f>
        <v>0</v>
      </c>
      <c r="AY105" s="17" t="str">
        <f t="shared" si="18"/>
        <v/>
      </c>
      <c r="AZ105" s="1">
        <f t="shared" ref="AZ105:BA105" si="224">sum(AN105,AQ105,AT105,AW105)</f>
        <v>0</v>
      </c>
      <c r="BA105" s="1">
        <f t="shared" si="224"/>
        <v>0</v>
      </c>
      <c r="BB105" s="17" t="str">
        <f t="shared" si="20"/>
        <v/>
      </c>
    </row>
    <row r="106">
      <c r="A106" s="1" t="str">
        <f>IFERROR(__xludf.DUMMYFUNCTION("""COMPUTED_VALUE"""),"63ea6e9652ad6968805cef17")</f>
        <v>63ea6e9652ad6968805cef17</v>
      </c>
      <c r="B106" s="1" t="str">
        <f>IFERROR(__xludf.DUMMYFUNCTION("""COMPUTED_VALUE"""),"CTH Dresden GmbH")</f>
        <v>CTH Dresden GmbH</v>
      </c>
      <c r="C106" s="1" t="str">
        <f>IFERROR(__xludf.DUMMYFUNCTION("""COMPUTED_VALUE"""),"andreas.grossheimann@al-enterprise.com, andre.ramm@al-enterprise.com")</f>
        <v>andreas.grossheimann@al-enterprise.com, andre.ramm@al-enterprise.com</v>
      </c>
      <c r="D106" s="1" t="str">
        <f>IFERROR(__xludf.DUMMYFUNCTION("""COMPUTED_VALUE"""),"germany")</f>
        <v>germany</v>
      </c>
      <c r="E106" s="1" t="str">
        <f>IFERROR(__xludf.DUMMYFUNCTION("""COMPUTED_VALUE"""),"DE")</f>
        <v>DE</v>
      </c>
      <c r="F106" s="1"/>
      <c r="G106" s="1" t="str">
        <f>iferror(VLOOKUP(A106,'Business Plan Setup and Accepta'!A:G,6,false),"")</f>
        <v/>
      </c>
      <c r="H106" s="1" t="str">
        <f>iferror(VLOOKUP(A106,'Business Plan Setup and Accepta'!A:G,7,false),"")</f>
        <v/>
      </c>
      <c r="I106" s="17" t="str">
        <f t="shared" si="3"/>
        <v/>
      </c>
      <c r="J106" s="1" t="str">
        <f>IFERROR(VALUE(SUBSTITUTE(VLOOKUP(A106,'Sales IN Revenues vs Sales targ'!A:G,6,false)," $","")), "")
</f>
        <v/>
      </c>
      <c r="K106" s="1" t="str">
        <f>IFERROR(VALUE(SUBSTITUTE(VLOOKUP(A106,'Sales IN Revenues vs Sales targ'!A:G,7,false)," $","")), "")
</f>
        <v/>
      </c>
      <c r="L106" s="17" t="str">
        <f t="shared" si="4"/>
        <v/>
      </c>
      <c r="M106" s="1">
        <f>value(SUBSTITUTE(IFERROR(VLOOKUP(A106,'Certifications achievements vs '!A:G,6,false),""),"#","")
)</f>
        <v>0</v>
      </c>
      <c r="N106" s="1">
        <f>value(SUBSTITUTE(IFERROR(VLOOKUP(A106,'Certifications achievements vs '!A:G,7,false),""),"#","")
)</f>
        <v>0</v>
      </c>
      <c r="O106" s="17" t="str">
        <f t="shared" si="5"/>
        <v/>
      </c>
      <c r="P106" s="1">
        <f>value(SUBSTITUTE(IFERROR(VLOOKUP(A106,'Communications - Solution Speci'!A:G,6,false),""),"#","")
)</f>
        <v>0</v>
      </c>
      <c r="Q106" s="1">
        <f>value(SUBSTITUTE(IFERROR(VLOOKUP(A106,'Communications - Solution Speci'!A:G,7,false),""),"#","")
)</f>
        <v>0</v>
      </c>
      <c r="R106" s="17" t="str">
        <f t="shared" si="6"/>
        <v/>
      </c>
      <c r="S106" s="1">
        <f>value(SUBSTITUTE(IFERROR(VLOOKUP(A106,'Networking - Solution Specializ'!A:G,6,false),""),"#","")
)</f>
        <v>0</v>
      </c>
      <c r="T106" s="1">
        <f>value(SUBSTITUTE(IFERROR(VLOOKUP(A106,'Networking - Solution Specializ'!A:G,7,false),""),"#","")
)</f>
        <v>0</v>
      </c>
      <c r="U106" s="17" t="str">
        <f t="shared" si="7"/>
        <v/>
      </c>
      <c r="V106" s="1" t="str">
        <f>iferror(vlookup(A106,'Marketing Plan (extract summary'!A:G,6,false),"")</f>
        <v/>
      </c>
      <c r="W106" s="1" t="str">
        <f>iferror(vlookup(A106,'Marketing Plan (extract summary'!A:G,7,false),"")</f>
        <v/>
      </c>
      <c r="X106" s="17" t="str">
        <f t="shared" si="8"/>
        <v/>
      </c>
      <c r="Y106" s="1">
        <f>value(IFERROR(SUBSTITUTE(SUBSTITUTE(VLOOKUP(A106,'Quarterly Pipeline vs Target Pi'!A:G,6,false)," $","")," €",""), "")
)</f>
        <v>0</v>
      </c>
      <c r="Z106" s="1">
        <f>value(IFERROR(SUBSTITUTE(SUBSTITUTE(VLOOKUP(A106,'Quarterly Pipeline vs Target Pi'!A:G,7,false)," $","")," €",""), "")
)</f>
        <v>0</v>
      </c>
      <c r="AA106" s="17" t="str">
        <f t="shared" si="9"/>
        <v/>
      </c>
      <c r="AB106" s="1">
        <f>value(IFERROR(SUBSTITUTE(SUBSTITUTE(VLOOKUP($A106,'Quarterly Pipeline vs Target Pi'!$A:$V,11,false)," $","")," €",""), "")
)</f>
        <v>0</v>
      </c>
      <c r="AC106" s="1">
        <f>value(IFERROR(SUBSTITUTE(SUBSTITUTE(VLOOKUP($A106,'Quarterly Pipeline vs Target Pi'!$A:$V,12,false)," $","")," €",""), "")
)</f>
        <v>0</v>
      </c>
      <c r="AD106" s="17" t="str">
        <f t="shared" si="10"/>
        <v/>
      </c>
      <c r="AE106" s="1">
        <f>value(IFERROR(SUBSTITUTE(SUBSTITUTE(VLOOKUP($A106,'Quarterly Pipeline vs Target Pi'!$A:$V,16,false)," $","")," €",""), "")
)</f>
        <v>0</v>
      </c>
      <c r="AF106" s="1">
        <f>value(IFERROR(SUBSTITUTE(SUBSTITUTE(VLOOKUP($A106,'Quarterly Pipeline vs Target Pi'!$A:$V,17,false)," $","")," €",""), "")
)</f>
        <v>0</v>
      </c>
      <c r="AG106" s="17" t="str">
        <f t="shared" si="11"/>
        <v/>
      </c>
      <c r="AH106" s="1">
        <f>value(IFERROR(SUBSTITUTE(SUBSTITUTE(VLOOKUP($A106,'Quarterly Pipeline vs Target Pi'!$A:$V,21,false)," $","")," €",""), "")
)</f>
        <v>0</v>
      </c>
      <c r="AI106" s="1">
        <f>value(IFERROR(SUBSTITUTE(SUBSTITUTE(VLOOKUP($A106,'Quarterly Pipeline vs Target Pi'!$A:$V,22,false)," $","")," €",""), "")
)</f>
        <v>0</v>
      </c>
      <c r="AJ106" s="17" t="str">
        <f t="shared" si="12"/>
        <v/>
      </c>
      <c r="AK106" s="1">
        <f t="shared" ref="AK106:AL106" si="225">sum(Y106,AB106,AE106,AH106)</f>
        <v>0</v>
      </c>
      <c r="AL106" s="1">
        <f t="shared" si="225"/>
        <v>0</v>
      </c>
      <c r="AM106" s="17" t="str">
        <f t="shared" si="14"/>
        <v/>
      </c>
      <c r="AN106" s="1">
        <f>value(IFERROR(SUBSTITUTE(SUBSTITUTE(VLOOKUP($A106,'Quarterly Pipeline vs Target Pi'!$A:$AP,26,false)," $","")," €",""), "")
)</f>
        <v>0</v>
      </c>
      <c r="AO106" s="1">
        <f>value(IFERROR(SUBSTITUTE(SUBSTITUTE(VLOOKUP($A106,'Quarterly Pipeline vs Target Pi'!$A:$AP,27,false)," $","")," €",""), "")
)</f>
        <v>0</v>
      </c>
      <c r="AP106" s="17" t="str">
        <f t="shared" si="15"/>
        <v/>
      </c>
      <c r="AQ106" s="1">
        <f>value(IFERROR(SUBSTITUTE(SUBSTITUTE(VLOOKUP($A106,'Quarterly Pipeline vs Target Pi'!$A:$AP,31,false)," $","")," €",""), "")
)</f>
        <v>0</v>
      </c>
      <c r="AR106" s="1">
        <f>value(IFERROR(SUBSTITUTE(SUBSTITUTE(VLOOKUP($A106,'Quarterly Pipeline vs Target Pi'!$A:$AP,32,false)," $","")," €",""), "")
)</f>
        <v>0</v>
      </c>
      <c r="AS106" s="17" t="str">
        <f t="shared" si="16"/>
        <v/>
      </c>
      <c r="AT106" s="1">
        <f>value(IFERROR(SUBSTITUTE(SUBSTITUTE(VLOOKUP($A106,'Quarterly Pipeline vs Target Pi'!$A:$AP,36,false)," $","")," €",""), "")
)</f>
        <v>0</v>
      </c>
      <c r="AU106" s="1">
        <f>value(IFERROR(SUBSTITUTE(SUBSTITUTE(VLOOKUP($A106,'Quarterly Pipeline vs Target Pi'!$A:$AP,37,false)," $","")," €",""), "")
)</f>
        <v>0</v>
      </c>
      <c r="AV106" s="17" t="str">
        <f t="shared" si="17"/>
        <v/>
      </c>
      <c r="AW106" s="1">
        <f>value(IFERROR(SUBSTITUTE(SUBSTITUTE(VLOOKUP($A106,'Quarterly Pipeline vs Target Pi'!$A:$AP,41,false)," $","")," €",""), "")
)</f>
        <v>0</v>
      </c>
      <c r="AX106" s="1">
        <f>value(IFERROR(SUBSTITUTE(SUBSTITUTE(VLOOKUP($A106,'Quarterly Pipeline vs Target Pi'!$A:$AP,42,false)," $","")," €",""), "")
)</f>
        <v>0</v>
      </c>
      <c r="AY106" s="17" t="str">
        <f t="shared" si="18"/>
        <v/>
      </c>
      <c r="AZ106" s="1">
        <f t="shared" ref="AZ106:BA106" si="226">sum(AN106,AQ106,AT106,AW106)</f>
        <v>0</v>
      </c>
      <c r="BA106" s="1">
        <f t="shared" si="226"/>
        <v>0</v>
      </c>
      <c r="BB106" s="17" t="str">
        <f t="shared" si="20"/>
        <v/>
      </c>
    </row>
    <row r="107">
      <c r="A107" s="1" t="str">
        <f>IFERROR(__xludf.DUMMYFUNCTION("""COMPUTED_VALUE"""),"63ced84dc5c820531c269734")</f>
        <v>63ced84dc5c820531c269734</v>
      </c>
      <c r="B107" s="1" t="str">
        <f>IFERROR(__xludf.DUMMYFUNCTION("""COMPUTED_VALUE"""),"Custom Computer Specialists")</f>
        <v>Custom Computer Specialists</v>
      </c>
      <c r="C107" s="1" t="str">
        <f>IFERROR(__xludf.DUMMYFUNCTION("""COMPUTED_VALUE"""),"brendan.flaherty@al-enterprise.com")</f>
        <v>brendan.flaherty@al-enterprise.com</v>
      </c>
      <c r="D107" s="1" t="str">
        <f>IFERROR(__xludf.DUMMYFUNCTION("""COMPUTED_VALUE"""),"americas")</f>
        <v>americas</v>
      </c>
      <c r="E107" s="1" t="str">
        <f>IFERROR(__xludf.DUMMYFUNCTION("""COMPUTED_VALUE"""),"US")</f>
        <v>US</v>
      </c>
      <c r="F107" s="1"/>
      <c r="G107" s="1" t="str">
        <f>iferror(VLOOKUP(A107,'Business Plan Setup and Accepta'!A:G,6,false),"")</f>
        <v/>
      </c>
      <c r="H107" s="1" t="str">
        <f>iferror(VLOOKUP(A107,'Business Plan Setup and Accepta'!A:G,7,false),"")</f>
        <v/>
      </c>
      <c r="I107" s="17" t="str">
        <f t="shared" si="3"/>
        <v/>
      </c>
      <c r="J107" s="1" t="str">
        <f>IFERROR(VALUE(SUBSTITUTE(VLOOKUP(A107,'Sales IN Revenues vs Sales targ'!A:G,6,false)," $","")), "")
</f>
        <v/>
      </c>
      <c r="K107" s="1" t="str">
        <f>IFERROR(VALUE(SUBSTITUTE(VLOOKUP(A107,'Sales IN Revenues vs Sales targ'!A:G,7,false)," $","")), "")
</f>
        <v/>
      </c>
      <c r="L107" s="17" t="str">
        <f t="shared" si="4"/>
        <v/>
      </c>
      <c r="M107" s="1">
        <f>value(SUBSTITUTE(IFERROR(VLOOKUP(A107,'Certifications achievements vs '!A:G,6,false),""),"#","")
)</f>
        <v>0</v>
      </c>
      <c r="N107" s="1">
        <f>value(SUBSTITUTE(IFERROR(VLOOKUP(A107,'Certifications achievements vs '!A:G,7,false),""),"#","")
)</f>
        <v>0</v>
      </c>
      <c r="O107" s="17" t="str">
        <f t="shared" si="5"/>
        <v/>
      </c>
      <c r="P107" s="1">
        <f>value(SUBSTITUTE(IFERROR(VLOOKUP(A107,'Communications - Solution Speci'!A:G,6,false),""),"#","")
)</f>
        <v>0</v>
      </c>
      <c r="Q107" s="1">
        <f>value(SUBSTITUTE(IFERROR(VLOOKUP(A107,'Communications - Solution Speci'!A:G,7,false),""),"#","")
)</f>
        <v>0</v>
      </c>
      <c r="R107" s="17" t="str">
        <f t="shared" si="6"/>
        <v/>
      </c>
      <c r="S107" s="1">
        <f>value(SUBSTITUTE(IFERROR(VLOOKUP(A107,'Networking - Solution Specializ'!A:G,6,false),""),"#","")
)</f>
        <v>0</v>
      </c>
      <c r="T107" s="1">
        <f>value(SUBSTITUTE(IFERROR(VLOOKUP(A107,'Networking - Solution Specializ'!A:G,7,false),""),"#","")
)</f>
        <v>0</v>
      </c>
      <c r="U107" s="17" t="str">
        <f t="shared" si="7"/>
        <v/>
      </c>
      <c r="V107" s="1" t="str">
        <f>iferror(vlookup(A107,'Marketing Plan (extract summary'!A:G,6,false),"")</f>
        <v/>
      </c>
      <c r="W107" s="1" t="str">
        <f>iferror(vlookup(A107,'Marketing Plan (extract summary'!A:G,7,false),"")</f>
        <v/>
      </c>
      <c r="X107" s="17" t="str">
        <f t="shared" si="8"/>
        <v/>
      </c>
      <c r="Y107" s="1">
        <f>value(IFERROR(SUBSTITUTE(SUBSTITUTE(VLOOKUP(A107,'Quarterly Pipeline vs Target Pi'!A:G,6,false)," $","")," €",""), "")
)</f>
        <v>0</v>
      </c>
      <c r="Z107" s="1">
        <f>value(IFERROR(SUBSTITUTE(SUBSTITUTE(VLOOKUP(A107,'Quarterly Pipeline vs Target Pi'!A:G,7,false)," $","")," €",""), "")
)</f>
        <v>0</v>
      </c>
      <c r="AA107" s="17" t="str">
        <f t="shared" si="9"/>
        <v/>
      </c>
      <c r="AB107" s="1">
        <f>value(IFERROR(SUBSTITUTE(SUBSTITUTE(VLOOKUP($A107,'Quarterly Pipeline vs Target Pi'!$A:$V,11,false)," $","")," €",""), "")
)</f>
        <v>0</v>
      </c>
      <c r="AC107" s="1">
        <f>value(IFERROR(SUBSTITUTE(SUBSTITUTE(VLOOKUP($A107,'Quarterly Pipeline vs Target Pi'!$A:$V,12,false)," $","")," €",""), "")
)</f>
        <v>0</v>
      </c>
      <c r="AD107" s="17" t="str">
        <f t="shared" si="10"/>
        <v/>
      </c>
      <c r="AE107" s="1">
        <f>value(IFERROR(SUBSTITUTE(SUBSTITUTE(VLOOKUP($A107,'Quarterly Pipeline vs Target Pi'!$A:$V,16,false)," $","")," €",""), "")
)</f>
        <v>0</v>
      </c>
      <c r="AF107" s="1">
        <f>value(IFERROR(SUBSTITUTE(SUBSTITUTE(VLOOKUP($A107,'Quarterly Pipeline vs Target Pi'!$A:$V,17,false)," $","")," €",""), "")
)</f>
        <v>0</v>
      </c>
      <c r="AG107" s="17" t="str">
        <f t="shared" si="11"/>
        <v/>
      </c>
      <c r="AH107" s="1">
        <f>value(IFERROR(SUBSTITUTE(SUBSTITUTE(VLOOKUP($A107,'Quarterly Pipeline vs Target Pi'!$A:$V,21,false)," $","")," €",""), "")
)</f>
        <v>0</v>
      </c>
      <c r="AI107" s="1">
        <f>value(IFERROR(SUBSTITUTE(SUBSTITUTE(VLOOKUP($A107,'Quarterly Pipeline vs Target Pi'!$A:$V,22,false)," $","")," €",""), "")
)</f>
        <v>0</v>
      </c>
      <c r="AJ107" s="17" t="str">
        <f t="shared" si="12"/>
        <v/>
      </c>
      <c r="AK107" s="1">
        <f t="shared" ref="AK107:AL107" si="227">sum(Y107,AB107,AE107,AH107)</f>
        <v>0</v>
      </c>
      <c r="AL107" s="1">
        <f t="shared" si="227"/>
        <v>0</v>
      </c>
      <c r="AM107" s="17" t="str">
        <f t="shared" si="14"/>
        <v/>
      </c>
      <c r="AN107" s="1">
        <f>value(IFERROR(SUBSTITUTE(SUBSTITUTE(VLOOKUP($A107,'Quarterly Pipeline vs Target Pi'!$A:$AP,26,false)," $","")," €",""), "")
)</f>
        <v>0</v>
      </c>
      <c r="AO107" s="1">
        <f>value(IFERROR(SUBSTITUTE(SUBSTITUTE(VLOOKUP($A107,'Quarterly Pipeline vs Target Pi'!$A:$AP,27,false)," $","")," €",""), "")
)</f>
        <v>0</v>
      </c>
      <c r="AP107" s="17" t="str">
        <f t="shared" si="15"/>
        <v/>
      </c>
      <c r="AQ107" s="1">
        <f>value(IFERROR(SUBSTITUTE(SUBSTITUTE(VLOOKUP($A107,'Quarterly Pipeline vs Target Pi'!$A:$AP,31,false)," $","")," €",""), "")
)</f>
        <v>0</v>
      </c>
      <c r="AR107" s="1">
        <f>value(IFERROR(SUBSTITUTE(SUBSTITUTE(VLOOKUP($A107,'Quarterly Pipeline vs Target Pi'!$A:$AP,32,false)," $","")," €",""), "")
)</f>
        <v>0</v>
      </c>
      <c r="AS107" s="17" t="str">
        <f t="shared" si="16"/>
        <v/>
      </c>
      <c r="AT107" s="1">
        <f>value(IFERROR(SUBSTITUTE(SUBSTITUTE(VLOOKUP($A107,'Quarterly Pipeline vs Target Pi'!$A:$AP,36,false)," $","")," €",""), "")
)</f>
        <v>0</v>
      </c>
      <c r="AU107" s="1">
        <f>value(IFERROR(SUBSTITUTE(SUBSTITUTE(VLOOKUP($A107,'Quarterly Pipeline vs Target Pi'!$A:$AP,37,false)," $","")," €",""), "")
)</f>
        <v>0</v>
      </c>
      <c r="AV107" s="17" t="str">
        <f t="shared" si="17"/>
        <v/>
      </c>
      <c r="AW107" s="1">
        <f>value(IFERROR(SUBSTITUTE(SUBSTITUTE(VLOOKUP($A107,'Quarterly Pipeline vs Target Pi'!$A:$AP,41,false)," $","")," €",""), "")
)</f>
        <v>0</v>
      </c>
      <c r="AX107" s="1">
        <f>value(IFERROR(SUBSTITUTE(SUBSTITUTE(VLOOKUP($A107,'Quarterly Pipeline vs Target Pi'!$A:$AP,42,false)," $","")," €",""), "")
)</f>
        <v>0</v>
      </c>
      <c r="AY107" s="17" t="str">
        <f t="shared" si="18"/>
        <v/>
      </c>
      <c r="AZ107" s="1">
        <f t="shared" ref="AZ107:BA107" si="228">sum(AN107,AQ107,AT107,AW107)</f>
        <v>0</v>
      </c>
      <c r="BA107" s="1">
        <f t="shared" si="228"/>
        <v>0</v>
      </c>
      <c r="BB107" s="17" t="str">
        <f t="shared" si="20"/>
        <v/>
      </c>
    </row>
    <row r="108">
      <c r="A108" s="1" t="str">
        <f>IFERROR(__xludf.DUMMYFUNCTION("""COMPUTED_VALUE"""),"650c11436aec5c84ef0a6902")</f>
        <v>650c11436aec5c84ef0a6902</v>
      </c>
      <c r="B108" s="1" t="str">
        <f>IFERROR(__xludf.DUMMYFUNCTION("""COMPUTED_VALUE"""),"Cyber5 GmbH")</f>
        <v>Cyber5 GmbH</v>
      </c>
      <c r="C108" s="1" t="str">
        <f>IFERROR(__xludf.DUMMYFUNCTION("""COMPUTED_VALUE"""),"philippe.girard@al-enterprise.com, rui.silva@al-enterprise.com, ralf.kloeppels@al-enterprise.com, katrin.pfeiffer@al-enterprise.com, sibylle.klopfer@al-enterprise.com, igor.leko@al-enterprise.com")</f>
        <v>philippe.girard@al-enterprise.com, rui.silva@al-enterprise.com, ralf.kloeppels@al-enterprise.com, katrin.pfeiffer@al-enterprise.com, sibylle.klopfer@al-enterprise.com, igor.leko@al-enterprise.com</v>
      </c>
      <c r="D108" s="1" t="str">
        <f>IFERROR(__xludf.DUMMYFUNCTION("""COMPUTED_VALUE"""),"germany")</f>
        <v>germany</v>
      </c>
      <c r="E108" s="1" t="str">
        <f>IFERROR(__xludf.DUMMYFUNCTION("""COMPUTED_VALUE"""),"DE")</f>
        <v>DE</v>
      </c>
      <c r="F108" s="1"/>
      <c r="G108" s="1" t="str">
        <f>iferror(VLOOKUP(A108,'Business Plan Setup and Accepta'!A:G,6,false),"")</f>
        <v/>
      </c>
      <c r="H108" s="1" t="str">
        <f>iferror(VLOOKUP(A108,'Business Plan Setup and Accepta'!A:G,7,false),"")</f>
        <v/>
      </c>
      <c r="I108" s="17" t="str">
        <f t="shared" si="3"/>
        <v/>
      </c>
      <c r="J108" s="1" t="str">
        <f>IFERROR(VALUE(SUBSTITUTE(VLOOKUP(A108,'Sales IN Revenues vs Sales targ'!A:G,6,false)," $","")), "")
</f>
        <v/>
      </c>
      <c r="K108" s="1" t="str">
        <f>IFERROR(VALUE(SUBSTITUTE(VLOOKUP(A108,'Sales IN Revenues vs Sales targ'!A:G,7,false)," $","")), "")
</f>
        <v/>
      </c>
      <c r="L108" s="17" t="str">
        <f t="shared" si="4"/>
        <v/>
      </c>
      <c r="M108" s="1">
        <f>value(SUBSTITUTE(IFERROR(VLOOKUP(A108,'Certifications achievements vs '!A:G,6,false),""),"#","")
)</f>
        <v>0</v>
      </c>
      <c r="N108" s="1">
        <f>value(SUBSTITUTE(IFERROR(VLOOKUP(A108,'Certifications achievements vs '!A:G,7,false),""),"#","")
)</f>
        <v>56</v>
      </c>
      <c r="O108" s="17">
        <f t="shared" si="5"/>
        <v>0</v>
      </c>
      <c r="P108" s="1">
        <f>value(SUBSTITUTE(IFERROR(VLOOKUP(A108,'Communications - Solution Speci'!A:G,6,false),""),"#","")
)</f>
        <v>0</v>
      </c>
      <c r="Q108" s="1">
        <f>value(SUBSTITUTE(IFERROR(VLOOKUP(A108,'Communications - Solution Speci'!A:G,7,false),""),"#","")
)</f>
        <v>0</v>
      </c>
      <c r="R108" s="17" t="str">
        <f t="shared" si="6"/>
        <v/>
      </c>
      <c r="S108" s="1">
        <f>value(SUBSTITUTE(IFERROR(VLOOKUP(A108,'Networking - Solution Specializ'!A:G,6,false),""),"#","")
)</f>
        <v>0</v>
      </c>
      <c r="T108" s="1">
        <f>value(SUBSTITUTE(IFERROR(VLOOKUP(A108,'Networking - Solution Specializ'!A:G,7,false),""),"#","")
)</f>
        <v>0</v>
      </c>
      <c r="U108" s="17" t="str">
        <f t="shared" si="7"/>
        <v/>
      </c>
      <c r="V108" s="1" t="str">
        <f>iferror(vlookup(A108,'Marketing Plan (extract summary'!A:G,6,false),"")</f>
        <v/>
      </c>
      <c r="W108" s="1" t="str">
        <f>iferror(vlookup(A108,'Marketing Plan (extract summary'!A:G,7,false),"")</f>
        <v/>
      </c>
      <c r="X108" s="17" t="str">
        <f t="shared" si="8"/>
        <v/>
      </c>
      <c r="Y108" s="1">
        <f>value(IFERROR(SUBSTITUTE(SUBSTITUTE(VLOOKUP(A108,'Quarterly Pipeline vs Target Pi'!A:G,6,false)," $","")," €",""), "")
)</f>
        <v>0</v>
      </c>
      <c r="Z108" s="1">
        <f>value(IFERROR(SUBSTITUTE(SUBSTITUTE(VLOOKUP(A108,'Quarterly Pipeline vs Target Pi'!A:G,7,false)," $","")," €",""), "")
)</f>
        <v>0</v>
      </c>
      <c r="AA108" s="17" t="str">
        <f t="shared" si="9"/>
        <v/>
      </c>
      <c r="AB108" s="1">
        <f>value(IFERROR(SUBSTITUTE(SUBSTITUTE(VLOOKUP($A108,'Quarterly Pipeline vs Target Pi'!$A:$V,11,false)," $","")," €",""), "")
)</f>
        <v>0</v>
      </c>
      <c r="AC108" s="1">
        <f>value(IFERROR(SUBSTITUTE(SUBSTITUTE(VLOOKUP($A108,'Quarterly Pipeline vs Target Pi'!$A:$V,12,false)," $","")," €",""), "")
)</f>
        <v>0</v>
      </c>
      <c r="AD108" s="17" t="str">
        <f t="shared" si="10"/>
        <v/>
      </c>
      <c r="AE108" s="1">
        <f>value(IFERROR(SUBSTITUTE(SUBSTITUTE(VLOOKUP($A108,'Quarterly Pipeline vs Target Pi'!$A:$V,16,false)," $","")," €",""), "")
)</f>
        <v>0</v>
      </c>
      <c r="AF108" s="1">
        <f>value(IFERROR(SUBSTITUTE(SUBSTITUTE(VLOOKUP($A108,'Quarterly Pipeline vs Target Pi'!$A:$V,17,false)," $","")," €",""), "")
)</f>
        <v>0</v>
      </c>
      <c r="AG108" s="17" t="str">
        <f t="shared" si="11"/>
        <v/>
      </c>
      <c r="AH108" s="1">
        <f>value(IFERROR(SUBSTITUTE(SUBSTITUTE(VLOOKUP($A108,'Quarterly Pipeline vs Target Pi'!$A:$V,21,false)," $","")," €",""), "")
)</f>
        <v>0</v>
      </c>
      <c r="AI108" s="1">
        <f>value(IFERROR(SUBSTITUTE(SUBSTITUTE(VLOOKUP($A108,'Quarterly Pipeline vs Target Pi'!$A:$V,22,false)," $","")," €",""), "")
)</f>
        <v>0</v>
      </c>
      <c r="AJ108" s="17" t="str">
        <f t="shared" si="12"/>
        <v/>
      </c>
      <c r="AK108" s="1">
        <f t="shared" ref="AK108:AL108" si="229">sum(Y108,AB108,AE108,AH108)</f>
        <v>0</v>
      </c>
      <c r="AL108" s="1">
        <f t="shared" si="229"/>
        <v>0</v>
      </c>
      <c r="AM108" s="17" t="str">
        <f t="shared" si="14"/>
        <v/>
      </c>
      <c r="AN108" s="1">
        <f>value(IFERROR(SUBSTITUTE(SUBSTITUTE(VLOOKUP($A108,'Quarterly Pipeline vs Target Pi'!$A:$AP,26,false)," $","")," €",""), "")
)</f>
        <v>0</v>
      </c>
      <c r="AO108" s="1">
        <f>value(IFERROR(SUBSTITUTE(SUBSTITUTE(VLOOKUP($A108,'Quarterly Pipeline vs Target Pi'!$A:$AP,27,false)," $","")," €",""), "")
)</f>
        <v>0</v>
      </c>
      <c r="AP108" s="17" t="str">
        <f t="shared" si="15"/>
        <v/>
      </c>
      <c r="AQ108" s="1">
        <f>value(IFERROR(SUBSTITUTE(SUBSTITUTE(VLOOKUP($A108,'Quarterly Pipeline vs Target Pi'!$A:$AP,31,false)," $","")," €",""), "")
)</f>
        <v>0</v>
      </c>
      <c r="AR108" s="1">
        <f>value(IFERROR(SUBSTITUTE(SUBSTITUTE(VLOOKUP($A108,'Quarterly Pipeline vs Target Pi'!$A:$AP,32,false)," $","")," €",""), "")
)</f>
        <v>0</v>
      </c>
      <c r="AS108" s="17" t="str">
        <f t="shared" si="16"/>
        <v/>
      </c>
      <c r="AT108" s="1">
        <f>value(IFERROR(SUBSTITUTE(SUBSTITUTE(VLOOKUP($A108,'Quarterly Pipeline vs Target Pi'!$A:$AP,36,false)," $","")," €",""), "")
)</f>
        <v>0</v>
      </c>
      <c r="AU108" s="1">
        <f>value(IFERROR(SUBSTITUTE(SUBSTITUTE(VLOOKUP($A108,'Quarterly Pipeline vs Target Pi'!$A:$AP,37,false)," $","")," €",""), "")
)</f>
        <v>0</v>
      </c>
      <c r="AV108" s="17" t="str">
        <f t="shared" si="17"/>
        <v/>
      </c>
      <c r="AW108" s="1">
        <f>value(IFERROR(SUBSTITUTE(SUBSTITUTE(VLOOKUP($A108,'Quarterly Pipeline vs Target Pi'!$A:$AP,41,false)," $","")," €",""), "")
)</f>
        <v>0</v>
      </c>
      <c r="AX108" s="1">
        <f>value(IFERROR(SUBSTITUTE(SUBSTITUTE(VLOOKUP($A108,'Quarterly Pipeline vs Target Pi'!$A:$AP,42,false)," $","")," €",""), "")
)</f>
        <v>0</v>
      </c>
      <c r="AY108" s="17" t="str">
        <f t="shared" si="18"/>
        <v/>
      </c>
      <c r="AZ108" s="1">
        <f t="shared" ref="AZ108:BA108" si="230">sum(AN108,AQ108,AT108,AW108)</f>
        <v>0</v>
      </c>
      <c r="BA108" s="1">
        <f t="shared" si="230"/>
        <v>0</v>
      </c>
      <c r="BB108" s="17" t="str">
        <f t="shared" si="20"/>
        <v/>
      </c>
    </row>
    <row r="109">
      <c r="A109" s="1" t="str">
        <f>IFERROR(__xludf.DUMMYFUNCTION("""COMPUTED_VALUE"""),"63fcbb7ca107c871cf564511")</f>
        <v>63fcbb7ca107c871cf564511</v>
      </c>
      <c r="B109" s="1" t="str">
        <f>IFERROR(__xludf.DUMMYFUNCTION("""COMPUTED_VALUE"""),"Cyclo X Solucoes em TI Ltda")</f>
        <v>Cyclo X Solucoes em TI Ltda</v>
      </c>
      <c r="C109" s="1" t="str">
        <f>IFERROR(__xludf.DUMMYFUNCTION("""COMPUTED_VALUE"""),"gabriel.pires@al-enterprise.com")</f>
        <v>gabriel.pires@al-enterprise.com</v>
      </c>
      <c r="D109" s="1" t="str">
        <f>IFERROR(__xludf.DUMMYFUNCTION("""COMPUTED_VALUE"""),"americas")</f>
        <v>americas</v>
      </c>
      <c r="E109" s="1" t="str">
        <f>IFERROR(__xludf.DUMMYFUNCTION("""COMPUTED_VALUE"""),"BR")</f>
        <v>BR</v>
      </c>
      <c r="F109" s="1" t="str">
        <f>IFERROR(__xludf.DUMMYFUNCTION("""COMPUTED_VALUE"""),"expert_1000")</f>
        <v>expert_1000</v>
      </c>
      <c r="G109" s="1">
        <f>iferror(VLOOKUP(A109,'Business Plan Setup and Accepta'!A:G,6,false),"")</f>
        <v>1</v>
      </c>
      <c r="H109" s="1">
        <f>iferror(VLOOKUP(A109,'Business Plan Setup and Accepta'!A:G,7,false),"")</f>
        <v>1</v>
      </c>
      <c r="I109" s="17">
        <f t="shared" si="3"/>
        <v>1</v>
      </c>
      <c r="J109" s="1">
        <f>IFERROR(VALUE(SUBSTITUTE(VLOOKUP(A109,'Sales IN Revenues vs Sales targ'!A:G,6,false)," $","")), "")
</f>
        <v>2908.71</v>
      </c>
      <c r="K109" s="1">
        <f>IFERROR(VALUE(SUBSTITUTE(VLOOKUP(A109,'Sales IN Revenues vs Sales targ'!A:G,7,false)," $","")), "")
</f>
        <v>0</v>
      </c>
      <c r="L109" s="17" t="str">
        <f t="shared" si="4"/>
        <v/>
      </c>
      <c r="M109" s="1">
        <f>value(SUBSTITUTE(IFERROR(VLOOKUP(A109,'Certifications achievements vs '!A:G,6,false),""),"#","")
)</f>
        <v>13</v>
      </c>
      <c r="N109" s="1">
        <f>value(SUBSTITUTE(IFERROR(VLOOKUP(A109,'Certifications achievements vs '!A:G,7,false),""),"#","")
)</f>
        <v>64</v>
      </c>
      <c r="O109" s="17">
        <f t="shared" si="5"/>
        <v>0.203125</v>
      </c>
      <c r="P109" s="1">
        <f>value(SUBSTITUTE(IFERROR(VLOOKUP(A109,'Communications - Solution Speci'!A:G,6,false),""),"#","")
)</f>
        <v>0</v>
      </c>
      <c r="Q109" s="1">
        <f>value(SUBSTITUTE(IFERROR(VLOOKUP(A109,'Communications - Solution Speci'!A:G,7,false),""),"#","")
)</f>
        <v>1</v>
      </c>
      <c r="R109" s="17">
        <f t="shared" si="6"/>
        <v>0</v>
      </c>
      <c r="S109" s="1">
        <f>value(SUBSTITUTE(IFERROR(VLOOKUP(A109,'Networking - Solution Specializ'!A:G,6,false),""),"#","")
)</f>
        <v>0</v>
      </c>
      <c r="T109" s="1">
        <f>value(SUBSTITUTE(IFERROR(VLOOKUP(A109,'Networking - Solution Specializ'!A:G,7,false),""),"#","")
)</f>
        <v>1</v>
      </c>
      <c r="U109" s="17">
        <f t="shared" si="7"/>
        <v>0</v>
      </c>
      <c r="V109" s="1">
        <f>iferror(vlookup(A109,'Marketing Plan (extract summary'!A:G,6,false),"")</f>
        <v>1</v>
      </c>
      <c r="W109" s="1">
        <f>iferror(vlookup(A109,'Marketing Plan (extract summary'!A:G,7,false),"")</f>
        <v>1</v>
      </c>
      <c r="X109" s="17">
        <f t="shared" si="8"/>
        <v>1</v>
      </c>
      <c r="Y109" s="1">
        <f>value(IFERROR(SUBSTITUTE(SUBSTITUTE(VLOOKUP(A109,'Quarterly Pipeline vs Target Pi'!A:G,6,false)," $","")," €",""), "")
)</f>
        <v>50</v>
      </c>
      <c r="Z109" s="1">
        <f>value(IFERROR(SUBSTITUTE(SUBSTITUTE(VLOOKUP(A109,'Quarterly Pipeline vs Target Pi'!A:G,7,false)," $","")," €",""), "")
)</f>
        <v>0</v>
      </c>
      <c r="AA109" s="17" t="str">
        <f t="shared" si="9"/>
        <v/>
      </c>
      <c r="AB109" s="1">
        <f>value(IFERROR(SUBSTITUTE(SUBSTITUTE(VLOOKUP($A109,'Quarterly Pipeline vs Target Pi'!$A:$V,11,false)," $","")," €",""), "")
)</f>
        <v>104.99</v>
      </c>
      <c r="AC109" s="1">
        <f>value(IFERROR(SUBSTITUTE(SUBSTITUTE(VLOOKUP($A109,'Quarterly Pipeline vs Target Pi'!$A:$V,12,false)," $","")," €",""), "")
)</f>
        <v>0</v>
      </c>
      <c r="AD109" s="17" t="str">
        <f t="shared" si="10"/>
        <v/>
      </c>
      <c r="AE109" s="1">
        <f>value(IFERROR(SUBSTITUTE(SUBSTITUTE(VLOOKUP($A109,'Quarterly Pipeline vs Target Pi'!$A:$V,16,false)," $","")," €",""), "")
)</f>
        <v>2562.98</v>
      </c>
      <c r="AF109" s="1">
        <f>value(IFERROR(SUBSTITUTE(SUBSTITUTE(VLOOKUP($A109,'Quarterly Pipeline vs Target Pi'!$A:$V,17,false)," $","")," €",""), "")
)</f>
        <v>0</v>
      </c>
      <c r="AG109" s="17" t="str">
        <f t="shared" si="11"/>
        <v/>
      </c>
      <c r="AH109" s="1">
        <f>value(IFERROR(SUBSTITUTE(SUBSTITUTE(VLOOKUP($A109,'Quarterly Pipeline vs Target Pi'!$A:$V,21,false)," $","")," €",""), "")
)</f>
        <v>4760.96</v>
      </c>
      <c r="AI109" s="1">
        <f>value(IFERROR(SUBSTITUTE(SUBSTITUTE(VLOOKUP($A109,'Quarterly Pipeline vs Target Pi'!$A:$V,22,false)," $","")," €",""), "")
)</f>
        <v>0</v>
      </c>
      <c r="AJ109" s="17" t="str">
        <f t="shared" si="12"/>
        <v/>
      </c>
      <c r="AK109" s="1">
        <f t="shared" ref="AK109:AL109" si="231">sum(Y109,AB109,AE109,AH109)</f>
        <v>7478.93</v>
      </c>
      <c r="AL109" s="1">
        <f t="shared" si="231"/>
        <v>0</v>
      </c>
      <c r="AM109" s="17" t="str">
        <f t="shared" si="14"/>
        <v/>
      </c>
      <c r="AN109" s="1">
        <f>value(IFERROR(SUBSTITUTE(SUBSTITUTE(VLOOKUP($A109,'Quarterly Pipeline vs Target Pi'!$A:$AP,26,false)," $","")," €",""), "")
)</f>
        <v>289.99</v>
      </c>
      <c r="AO109" s="1">
        <f>value(IFERROR(SUBSTITUTE(SUBSTITUTE(VLOOKUP($A109,'Quarterly Pipeline vs Target Pi'!$A:$AP,27,false)," $","")," €",""), "")
)</f>
        <v>0</v>
      </c>
      <c r="AP109" s="17" t="str">
        <f t="shared" si="15"/>
        <v/>
      </c>
      <c r="AQ109" s="1">
        <f>value(IFERROR(SUBSTITUTE(SUBSTITUTE(VLOOKUP($A109,'Quarterly Pipeline vs Target Pi'!$A:$AP,31,false)," $","")," €",""), "")
)</f>
        <v>0</v>
      </c>
      <c r="AR109" s="1">
        <f>value(IFERROR(SUBSTITUTE(SUBSTITUTE(VLOOKUP($A109,'Quarterly Pipeline vs Target Pi'!$A:$AP,32,false)," $","")," €",""), "")
)</f>
        <v>0</v>
      </c>
      <c r="AS109" s="17" t="str">
        <f t="shared" si="16"/>
        <v/>
      </c>
      <c r="AT109" s="1">
        <f>value(IFERROR(SUBSTITUTE(SUBSTITUTE(VLOOKUP($A109,'Quarterly Pipeline vs Target Pi'!$A:$AP,36,false)," $","")," €",""), "")
)</f>
        <v>0</v>
      </c>
      <c r="AU109" s="1">
        <f>value(IFERROR(SUBSTITUTE(SUBSTITUTE(VLOOKUP($A109,'Quarterly Pipeline vs Target Pi'!$A:$AP,37,false)," $","")," €",""), "")
)</f>
        <v>0</v>
      </c>
      <c r="AV109" s="17" t="str">
        <f t="shared" si="17"/>
        <v/>
      </c>
      <c r="AW109" s="1">
        <f>value(IFERROR(SUBSTITUTE(SUBSTITUTE(VLOOKUP($A109,'Quarterly Pipeline vs Target Pi'!$A:$AP,41,false)," $","")," €",""), "")
)</f>
        <v>0</v>
      </c>
      <c r="AX109" s="1">
        <f>value(IFERROR(SUBSTITUTE(SUBSTITUTE(VLOOKUP($A109,'Quarterly Pipeline vs Target Pi'!$A:$AP,42,false)," $","")," €",""), "")
)</f>
        <v>0</v>
      </c>
      <c r="AY109" s="17" t="str">
        <f t="shared" si="18"/>
        <v/>
      </c>
      <c r="AZ109" s="1">
        <f t="shared" ref="AZ109:BA109" si="232">sum(AN109,AQ109,AT109,AW109)</f>
        <v>289.99</v>
      </c>
      <c r="BA109" s="1">
        <f t="shared" si="232"/>
        <v>0</v>
      </c>
      <c r="BB109" s="17" t="str">
        <f t="shared" si="20"/>
        <v/>
      </c>
    </row>
    <row r="110">
      <c r="A110" s="1" t="str">
        <f>IFERROR(__xludf.DUMMYFUNCTION("""COMPUTED_VALUE"""),"63ced849c5c820531c268fb4")</f>
        <v>63ced849c5c820531c268fb4</v>
      </c>
      <c r="B110" s="1" t="str">
        <f>IFERROR(__xludf.DUMMYFUNCTION("""COMPUTED_VALUE"""),"Dacas Chile SpA")</f>
        <v>Dacas Chile SpA</v>
      </c>
      <c r="C110" s="1" t="str">
        <f>IFERROR(__xludf.DUMMYFUNCTION("""COMPUTED_VALUE"""),"luis.arriagada@al-enterprise.com")</f>
        <v>luis.arriagada@al-enterprise.com</v>
      </c>
      <c r="D110" s="1" t="str">
        <f>IFERROR(__xludf.DUMMYFUNCTION("""COMPUTED_VALUE"""),"americas")</f>
        <v>americas</v>
      </c>
      <c r="E110" s="1" t="str">
        <f>IFERROR(__xludf.DUMMYFUNCTION("""COMPUTED_VALUE"""),"CL")</f>
        <v>CL</v>
      </c>
      <c r="F110" s="1"/>
      <c r="G110" s="1" t="str">
        <f>iferror(VLOOKUP(A110,'Business Plan Setup and Accepta'!A:G,6,false),"")</f>
        <v/>
      </c>
      <c r="H110" s="1" t="str">
        <f>iferror(VLOOKUP(A110,'Business Plan Setup and Accepta'!A:G,7,false),"")</f>
        <v/>
      </c>
      <c r="I110" s="17" t="str">
        <f t="shared" si="3"/>
        <v/>
      </c>
      <c r="J110" s="1" t="str">
        <f>IFERROR(VALUE(SUBSTITUTE(VLOOKUP(A110,'Sales IN Revenues vs Sales targ'!A:G,6,false)," $","")), "")
</f>
        <v/>
      </c>
      <c r="K110" s="1" t="str">
        <f>IFERROR(VALUE(SUBSTITUTE(VLOOKUP(A110,'Sales IN Revenues vs Sales targ'!A:G,7,false)," $","")), "")
</f>
        <v/>
      </c>
      <c r="L110" s="17" t="str">
        <f t="shared" si="4"/>
        <v/>
      </c>
      <c r="M110" s="1">
        <f>value(SUBSTITUTE(IFERROR(VLOOKUP(A110,'Certifications achievements vs '!A:G,6,false),""),"#","")
)</f>
        <v>0</v>
      </c>
      <c r="N110" s="1">
        <f>value(SUBSTITUTE(IFERROR(VLOOKUP(A110,'Certifications achievements vs '!A:G,7,false),""),"#","")
)</f>
        <v>0</v>
      </c>
      <c r="O110" s="17" t="str">
        <f t="shared" si="5"/>
        <v/>
      </c>
      <c r="P110" s="1">
        <f>value(SUBSTITUTE(IFERROR(VLOOKUP(A110,'Communications - Solution Speci'!A:G,6,false),""),"#","")
)</f>
        <v>0</v>
      </c>
      <c r="Q110" s="1">
        <f>value(SUBSTITUTE(IFERROR(VLOOKUP(A110,'Communications - Solution Speci'!A:G,7,false),""),"#","")
)</f>
        <v>0</v>
      </c>
      <c r="R110" s="17" t="str">
        <f t="shared" si="6"/>
        <v/>
      </c>
      <c r="S110" s="1">
        <f>value(SUBSTITUTE(IFERROR(VLOOKUP(A110,'Networking - Solution Specializ'!A:G,6,false),""),"#","")
)</f>
        <v>0</v>
      </c>
      <c r="T110" s="1">
        <f>value(SUBSTITUTE(IFERROR(VLOOKUP(A110,'Networking - Solution Specializ'!A:G,7,false),""),"#","")
)</f>
        <v>0</v>
      </c>
      <c r="U110" s="17" t="str">
        <f t="shared" si="7"/>
        <v/>
      </c>
      <c r="V110" s="1" t="str">
        <f>iferror(vlookup(A110,'Marketing Plan (extract summary'!A:G,6,false),"")</f>
        <v/>
      </c>
      <c r="W110" s="1" t="str">
        <f>iferror(vlookup(A110,'Marketing Plan (extract summary'!A:G,7,false),"")</f>
        <v/>
      </c>
      <c r="X110" s="17" t="str">
        <f t="shared" si="8"/>
        <v/>
      </c>
      <c r="Y110" s="1">
        <f>value(IFERROR(SUBSTITUTE(SUBSTITUTE(VLOOKUP(A110,'Quarterly Pipeline vs Target Pi'!A:G,6,false)," $","")," €",""), "")
)</f>
        <v>0</v>
      </c>
      <c r="Z110" s="1">
        <f>value(IFERROR(SUBSTITUTE(SUBSTITUTE(VLOOKUP(A110,'Quarterly Pipeline vs Target Pi'!A:G,7,false)," $","")," €",""), "")
)</f>
        <v>0</v>
      </c>
      <c r="AA110" s="17" t="str">
        <f t="shared" si="9"/>
        <v/>
      </c>
      <c r="AB110" s="1">
        <f>value(IFERROR(SUBSTITUTE(SUBSTITUTE(VLOOKUP($A110,'Quarterly Pipeline vs Target Pi'!$A:$V,11,false)," $","")," €",""), "")
)</f>
        <v>0</v>
      </c>
      <c r="AC110" s="1">
        <f>value(IFERROR(SUBSTITUTE(SUBSTITUTE(VLOOKUP($A110,'Quarterly Pipeline vs Target Pi'!$A:$V,12,false)," $","")," €",""), "")
)</f>
        <v>0</v>
      </c>
      <c r="AD110" s="17" t="str">
        <f t="shared" si="10"/>
        <v/>
      </c>
      <c r="AE110" s="1">
        <f>value(IFERROR(SUBSTITUTE(SUBSTITUTE(VLOOKUP($A110,'Quarterly Pipeline vs Target Pi'!$A:$V,16,false)," $","")," €",""), "")
)</f>
        <v>0</v>
      </c>
      <c r="AF110" s="1">
        <f>value(IFERROR(SUBSTITUTE(SUBSTITUTE(VLOOKUP($A110,'Quarterly Pipeline vs Target Pi'!$A:$V,17,false)," $","")," €",""), "")
)</f>
        <v>0</v>
      </c>
      <c r="AG110" s="17" t="str">
        <f t="shared" si="11"/>
        <v/>
      </c>
      <c r="AH110" s="1">
        <f>value(IFERROR(SUBSTITUTE(SUBSTITUTE(VLOOKUP($A110,'Quarterly Pipeline vs Target Pi'!$A:$V,21,false)," $","")," €",""), "")
)</f>
        <v>0</v>
      </c>
      <c r="AI110" s="1">
        <f>value(IFERROR(SUBSTITUTE(SUBSTITUTE(VLOOKUP($A110,'Quarterly Pipeline vs Target Pi'!$A:$V,22,false)," $","")," €",""), "")
)</f>
        <v>0</v>
      </c>
      <c r="AJ110" s="17" t="str">
        <f t="shared" si="12"/>
        <v/>
      </c>
      <c r="AK110" s="1">
        <f t="shared" ref="AK110:AL110" si="233">sum(Y110,AB110,AE110,AH110)</f>
        <v>0</v>
      </c>
      <c r="AL110" s="1">
        <f t="shared" si="233"/>
        <v>0</v>
      </c>
      <c r="AM110" s="17" t="str">
        <f t="shared" si="14"/>
        <v/>
      </c>
      <c r="AN110" s="1">
        <f>value(IFERROR(SUBSTITUTE(SUBSTITUTE(VLOOKUP($A110,'Quarterly Pipeline vs Target Pi'!$A:$AP,26,false)," $","")," €",""), "")
)</f>
        <v>0</v>
      </c>
      <c r="AO110" s="1">
        <f>value(IFERROR(SUBSTITUTE(SUBSTITUTE(VLOOKUP($A110,'Quarterly Pipeline vs Target Pi'!$A:$AP,27,false)," $","")," €",""), "")
)</f>
        <v>0</v>
      </c>
      <c r="AP110" s="17" t="str">
        <f t="shared" si="15"/>
        <v/>
      </c>
      <c r="AQ110" s="1">
        <f>value(IFERROR(SUBSTITUTE(SUBSTITUTE(VLOOKUP($A110,'Quarterly Pipeline vs Target Pi'!$A:$AP,31,false)," $","")," €",""), "")
)</f>
        <v>0</v>
      </c>
      <c r="AR110" s="1">
        <f>value(IFERROR(SUBSTITUTE(SUBSTITUTE(VLOOKUP($A110,'Quarterly Pipeline vs Target Pi'!$A:$AP,32,false)," $","")," €",""), "")
)</f>
        <v>0</v>
      </c>
      <c r="AS110" s="17" t="str">
        <f t="shared" si="16"/>
        <v/>
      </c>
      <c r="AT110" s="1">
        <f>value(IFERROR(SUBSTITUTE(SUBSTITUTE(VLOOKUP($A110,'Quarterly Pipeline vs Target Pi'!$A:$AP,36,false)," $","")," €",""), "")
)</f>
        <v>0</v>
      </c>
      <c r="AU110" s="1">
        <f>value(IFERROR(SUBSTITUTE(SUBSTITUTE(VLOOKUP($A110,'Quarterly Pipeline vs Target Pi'!$A:$AP,37,false)," $","")," €",""), "")
)</f>
        <v>0</v>
      </c>
      <c r="AV110" s="17" t="str">
        <f t="shared" si="17"/>
        <v/>
      </c>
      <c r="AW110" s="1">
        <f>value(IFERROR(SUBSTITUTE(SUBSTITUTE(VLOOKUP($A110,'Quarterly Pipeline vs Target Pi'!$A:$AP,41,false)," $","")," €",""), "")
)</f>
        <v>0</v>
      </c>
      <c r="AX110" s="1">
        <f>value(IFERROR(SUBSTITUTE(SUBSTITUTE(VLOOKUP($A110,'Quarterly Pipeline vs Target Pi'!$A:$AP,42,false)," $","")," €",""), "")
)</f>
        <v>0</v>
      </c>
      <c r="AY110" s="17" t="str">
        <f t="shared" si="18"/>
        <v/>
      </c>
      <c r="AZ110" s="1">
        <f t="shared" ref="AZ110:BA110" si="234">sum(AN110,AQ110,AT110,AW110)</f>
        <v>0</v>
      </c>
      <c r="BA110" s="1">
        <f t="shared" si="234"/>
        <v>0</v>
      </c>
      <c r="BB110" s="17" t="str">
        <f t="shared" si="20"/>
        <v/>
      </c>
    </row>
    <row r="111">
      <c r="A111" s="1" t="str">
        <f>IFERROR(__xludf.DUMMYFUNCTION("""COMPUTED_VALUE"""),"63ced849c5c820531c268ea6")</f>
        <v>63ced849c5c820531c268ea6</v>
      </c>
      <c r="B111" s="1" t="str">
        <f>IFERROR(__xludf.DUMMYFUNCTION("""COMPUTED_VALUE"""),"DACAS Colombia")</f>
        <v>DACAS Colombia</v>
      </c>
      <c r="C111" s="1" t="str">
        <f>IFERROR(__xludf.DUMMYFUNCTION("""COMPUTED_VALUE"""),"philippe.girard@al-enterprise.com, rui.silva@al-enterprise.com, carolina.rodriguez@al-enterprise.com")</f>
        <v>philippe.girard@al-enterprise.com, rui.silva@al-enterprise.com, carolina.rodriguez@al-enterprise.com</v>
      </c>
      <c r="D111" s="1" t="str">
        <f>IFERROR(__xludf.DUMMYFUNCTION("""COMPUTED_VALUE"""),"americas")</f>
        <v>americas</v>
      </c>
      <c r="E111" s="1" t="str">
        <f>IFERROR(__xludf.DUMMYFUNCTION("""COMPUTED_VALUE"""),"CO")</f>
        <v>CO</v>
      </c>
      <c r="F111" s="1" t="str">
        <f>IFERROR(__xludf.DUMMYFUNCTION("""COMPUTED_VALUE"""),"distributor")</f>
        <v>distributor</v>
      </c>
      <c r="G111" s="1">
        <f>iferror(VLOOKUP(A111,'Business Plan Setup and Accepta'!A:G,6,false),"")</f>
        <v>0</v>
      </c>
      <c r="H111" s="1">
        <f>iferror(VLOOKUP(A111,'Business Plan Setup and Accepta'!A:G,7,false),"")</f>
        <v>1</v>
      </c>
      <c r="I111" s="17">
        <f t="shared" si="3"/>
        <v>0</v>
      </c>
      <c r="J111" s="1">
        <f>IFERROR(VALUE(SUBSTITUTE(VLOOKUP(A111,'Sales IN Revenues vs Sales targ'!A:G,6,false)," $","")), "")
</f>
        <v>132.47</v>
      </c>
      <c r="K111" s="1">
        <f>IFERROR(VALUE(SUBSTITUTE(VLOOKUP(A111,'Sales IN Revenues vs Sales targ'!A:G,7,false)," $","")), "")
</f>
        <v>430</v>
      </c>
      <c r="L111" s="17">
        <f t="shared" si="4"/>
        <v>0.3080697674</v>
      </c>
      <c r="M111" s="1">
        <f>value(SUBSTITUTE(IFERROR(VLOOKUP(A111,'Certifications achievements vs '!A:G,6,false),""),"#","")
)</f>
        <v>13</v>
      </c>
      <c r="N111" s="1">
        <f>value(SUBSTITUTE(IFERROR(VLOOKUP(A111,'Certifications achievements vs '!A:G,7,false),""),"#","")
)</f>
        <v>60</v>
      </c>
      <c r="O111" s="17">
        <f t="shared" si="5"/>
        <v>0.2166666667</v>
      </c>
      <c r="P111" s="1">
        <f>value(SUBSTITUTE(IFERROR(VLOOKUP(A111,'Communications - Solution Speci'!A:G,6,false),""),"#","")
)</f>
        <v>0</v>
      </c>
      <c r="Q111" s="1">
        <f>value(SUBSTITUTE(IFERROR(VLOOKUP(A111,'Communications - Solution Speci'!A:G,7,false),""),"#","")
)</f>
        <v>1</v>
      </c>
      <c r="R111" s="17">
        <f t="shared" si="6"/>
        <v>0</v>
      </c>
      <c r="S111" s="1">
        <f>value(SUBSTITUTE(IFERROR(VLOOKUP(A111,'Networking - Solution Specializ'!A:G,6,false),""),"#","")
)</f>
        <v>1</v>
      </c>
      <c r="T111" s="1">
        <f>value(SUBSTITUTE(IFERROR(VLOOKUP(A111,'Networking - Solution Specializ'!A:G,7,false),""),"#","")
)</f>
        <v>1</v>
      </c>
      <c r="U111" s="17">
        <f t="shared" si="7"/>
        <v>1</v>
      </c>
      <c r="V111" s="1">
        <f>iferror(vlookup(A111,'Marketing Plan (extract summary'!A:G,6,false),"")</f>
        <v>0</v>
      </c>
      <c r="W111" s="1">
        <f>iferror(vlookup(A111,'Marketing Plan (extract summary'!A:G,7,false),"")</f>
        <v>1</v>
      </c>
      <c r="X111" s="17">
        <f t="shared" si="8"/>
        <v>0</v>
      </c>
      <c r="Y111" s="1">
        <f>value(IFERROR(SUBSTITUTE(SUBSTITUTE(VLOOKUP(A111,'Quarterly Pipeline vs Target Pi'!A:G,6,false)," $","")," €",""), "")
)</f>
        <v>7</v>
      </c>
      <c r="Z111" s="1">
        <f>value(IFERROR(SUBSTITUTE(SUBSTITUTE(VLOOKUP(A111,'Quarterly Pipeline vs Target Pi'!A:G,7,false)," $","")," €",""), "")
)</f>
        <v>0</v>
      </c>
      <c r="AA111" s="17" t="str">
        <f t="shared" si="9"/>
        <v/>
      </c>
      <c r="AB111" s="1">
        <f>value(IFERROR(SUBSTITUTE(SUBSTITUTE(VLOOKUP($A111,'Quarterly Pipeline vs Target Pi'!$A:$V,11,false)," $","")," €",""), "")
)</f>
        <v>12.96</v>
      </c>
      <c r="AC111" s="1">
        <f>value(IFERROR(SUBSTITUTE(SUBSTITUTE(VLOOKUP($A111,'Quarterly Pipeline vs Target Pi'!$A:$V,12,false)," $","")," €",""), "")
)</f>
        <v>366.65</v>
      </c>
      <c r="AD111" s="17">
        <f t="shared" si="10"/>
        <v>0.03534706123</v>
      </c>
      <c r="AE111" s="1">
        <f>value(IFERROR(SUBSTITUTE(SUBSTITUTE(VLOOKUP($A111,'Quarterly Pipeline vs Target Pi'!$A:$V,16,false)," $","")," €",""), "")
)</f>
        <v>126.86</v>
      </c>
      <c r="AF111" s="1">
        <f>value(IFERROR(SUBSTITUTE(SUBSTITUTE(VLOOKUP($A111,'Quarterly Pipeline vs Target Pi'!$A:$V,17,false)," $","")," €",""), "")
)</f>
        <v>566.68</v>
      </c>
      <c r="AG111" s="17">
        <f t="shared" si="11"/>
        <v>0.2238653208</v>
      </c>
      <c r="AH111" s="1">
        <f>value(IFERROR(SUBSTITUTE(SUBSTITUTE(VLOOKUP($A111,'Quarterly Pipeline vs Target Pi'!$A:$V,21,false)," $","")," €",""), "")
)</f>
        <v>289.99</v>
      </c>
      <c r="AI111" s="1">
        <f>value(IFERROR(SUBSTITUTE(SUBSTITUTE(VLOOKUP($A111,'Quarterly Pipeline vs Target Pi'!$A:$V,22,false)," $","")," €",""), "")
)</f>
        <v>796.68</v>
      </c>
      <c r="AJ111" s="17">
        <f t="shared" si="12"/>
        <v>0.3639980921</v>
      </c>
      <c r="AK111" s="1">
        <f t="shared" ref="AK111:AL111" si="235">sum(Y111,AB111,AE111,AH111)</f>
        <v>436.81</v>
      </c>
      <c r="AL111" s="1">
        <f t="shared" si="235"/>
        <v>1730.01</v>
      </c>
      <c r="AM111" s="17">
        <f t="shared" si="14"/>
        <v>0.25248987</v>
      </c>
      <c r="AN111" s="1">
        <f>value(IFERROR(SUBSTITUTE(SUBSTITUTE(VLOOKUP($A111,'Quarterly Pipeline vs Target Pi'!$A:$AP,26,false)," $","")," €",""), "")
)</f>
        <v>0</v>
      </c>
      <c r="AO111" s="1">
        <f>value(IFERROR(SUBSTITUTE(SUBSTITUTE(VLOOKUP($A111,'Quarterly Pipeline vs Target Pi'!$A:$AP,27,false)," $","")," €",""), "")
)</f>
        <v>0</v>
      </c>
      <c r="AP111" s="17" t="str">
        <f t="shared" si="15"/>
        <v/>
      </c>
      <c r="AQ111" s="1">
        <f>value(IFERROR(SUBSTITUTE(SUBSTITUTE(VLOOKUP($A111,'Quarterly Pipeline vs Target Pi'!$A:$AP,31,false)," $","")," €",""), "")
)</f>
        <v>0</v>
      </c>
      <c r="AR111" s="1">
        <f>value(IFERROR(SUBSTITUTE(SUBSTITUTE(VLOOKUP($A111,'Quarterly Pipeline vs Target Pi'!$A:$AP,32,false)," $","")," €",""), "")
)</f>
        <v>0</v>
      </c>
      <c r="AS111" s="17" t="str">
        <f t="shared" si="16"/>
        <v/>
      </c>
      <c r="AT111" s="1">
        <f>value(IFERROR(SUBSTITUTE(SUBSTITUTE(VLOOKUP($A111,'Quarterly Pipeline vs Target Pi'!$A:$AP,36,false)," $","")," €",""), "")
)</f>
        <v>0</v>
      </c>
      <c r="AU111" s="1">
        <f>value(IFERROR(SUBSTITUTE(SUBSTITUTE(VLOOKUP($A111,'Quarterly Pipeline vs Target Pi'!$A:$AP,37,false)," $","")," €",""), "")
)</f>
        <v>0</v>
      </c>
      <c r="AV111" s="17" t="str">
        <f t="shared" si="17"/>
        <v/>
      </c>
      <c r="AW111" s="1">
        <f>value(IFERROR(SUBSTITUTE(SUBSTITUTE(VLOOKUP($A111,'Quarterly Pipeline vs Target Pi'!$A:$AP,41,false)," $","")," €",""), "")
)</f>
        <v>0</v>
      </c>
      <c r="AX111" s="1">
        <f>value(IFERROR(SUBSTITUTE(SUBSTITUTE(VLOOKUP($A111,'Quarterly Pipeline vs Target Pi'!$A:$AP,42,false)," $","")," €",""), "")
)</f>
        <v>0</v>
      </c>
      <c r="AY111" s="17" t="str">
        <f t="shared" si="18"/>
        <v/>
      </c>
      <c r="AZ111" s="1">
        <f t="shared" ref="AZ111:BA111" si="236">sum(AN111,AQ111,AT111,AW111)</f>
        <v>0</v>
      </c>
      <c r="BA111" s="1">
        <f t="shared" si="236"/>
        <v>0</v>
      </c>
      <c r="BB111" s="17" t="str">
        <f t="shared" si="20"/>
        <v/>
      </c>
    </row>
    <row r="112">
      <c r="A112" s="1" t="str">
        <f>IFERROR(__xludf.DUMMYFUNCTION("""COMPUTED_VALUE"""),"63ced84ac5c820531c2690ef")</f>
        <v>63ced84ac5c820531c2690ef</v>
      </c>
      <c r="B112" s="1" t="str">
        <f>IFERROR(__xludf.DUMMYFUNCTION("""COMPUTED_VALUE"""),"Dacas Corp.")</f>
        <v>Dacas Corp.</v>
      </c>
      <c r="C112" s="1" t="str">
        <f>IFERROR(__xludf.DUMMYFUNCTION("""COMPUTED_VALUE"""),"jorge.silva@al-enterprise.com")</f>
        <v>jorge.silva@al-enterprise.com</v>
      </c>
      <c r="D112" s="1" t="str">
        <f>IFERROR(__xludf.DUMMYFUNCTION("""COMPUTED_VALUE"""),"americas")</f>
        <v>americas</v>
      </c>
      <c r="E112" s="1" t="str">
        <f>IFERROR(__xludf.DUMMYFUNCTION("""COMPUTED_VALUE"""),"US")</f>
        <v>US</v>
      </c>
      <c r="F112" s="1"/>
      <c r="G112" s="1" t="str">
        <f>iferror(VLOOKUP(A112,'Business Plan Setup and Accepta'!A:G,6,false),"")</f>
        <v/>
      </c>
      <c r="H112" s="1" t="str">
        <f>iferror(VLOOKUP(A112,'Business Plan Setup and Accepta'!A:G,7,false),"")</f>
        <v/>
      </c>
      <c r="I112" s="17" t="str">
        <f t="shared" si="3"/>
        <v/>
      </c>
      <c r="J112" s="1" t="str">
        <f>IFERROR(VALUE(SUBSTITUTE(VLOOKUP(A112,'Sales IN Revenues vs Sales targ'!A:G,6,false)," $","")), "")
</f>
        <v/>
      </c>
      <c r="K112" s="1" t="str">
        <f>IFERROR(VALUE(SUBSTITUTE(VLOOKUP(A112,'Sales IN Revenues vs Sales targ'!A:G,7,false)," $","")), "")
</f>
        <v/>
      </c>
      <c r="L112" s="17" t="str">
        <f t="shared" si="4"/>
        <v/>
      </c>
      <c r="M112" s="1">
        <f>value(SUBSTITUTE(IFERROR(VLOOKUP(A112,'Certifications achievements vs '!A:G,6,false),""),"#","")
)</f>
        <v>0</v>
      </c>
      <c r="N112" s="1">
        <f>value(SUBSTITUTE(IFERROR(VLOOKUP(A112,'Certifications achievements vs '!A:G,7,false),""),"#","")
)</f>
        <v>0</v>
      </c>
      <c r="O112" s="17" t="str">
        <f t="shared" si="5"/>
        <v/>
      </c>
      <c r="P112" s="1">
        <f>value(SUBSTITUTE(IFERROR(VLOOKUP(A112,'Communications - Solution Speci'!A:G,6,false),""),"#","")
)</f>
        <v>0</v>
      </c>
      <c r="Q112" s="1">
        <f>value(SUBSTITUTE(IFERROR(VLOOKUP(A112,'Communications - Solution Speci'!A:G,7,false),""),"#","")
)</f>
        <v>0</v>
      </c>
      <c r="R112" s="17" t="str">
        <f t="shared" si="6"/>
        <v/>
      </c>
      <c r="S112" s="1">
        <f>value(SUBSTITUTE(IFERROR(VLOOKUP(A112,'Networking - Solution Specializ'!A:G,6,false),""),"#","")
)</f>
        <v>0</v>
      </c>
      <c r="T112" s="1">
        <f>value(SUBSTITUTE(IFERROR(VLOOKUP(A112,'Networking - Solution Specializ'!A:G,7,false),""),"#","")
)</f>
        <v>0</v>
      </c>
      <c r="U112" s="17" t="str">
        <f t="shared" si="7"/>
        <v/>
      </c>
      <c r="V112" s="1" t="str">
        <f>iferror(vlookup(A112,'Marketing Plan (extract summary'!A:G,6,false),"")</f>
        <v/>
      </c>
      <c r="W112" s="1" t="str">
        <f>iferror(vlookup(A112,'Marketing Plan (extract summary'!A:G,7,false),"")</f>
        <v/>
      </c>
      <c r="X112" s="17" t="str">
        <f t="shared" si="8"/>
        <v/>
      </c>
      <c r="Y112" s="1">
        <f>value(IFERROR(SUBSTITUTE(SUBSTITUTE(VLOOKUP(A112,'Quarterly Pipeline vs Target Pi'!A:G,6,false)," $","")," €",""), "")
)</f>
        <v>0</v>
      </c>
      <c r="Z112" s="1">
        <f>value(IFERROR(SUBSTITUTE(SUBSTITUTE(VLOOKUP(A112,'Quarterly Pipeline vs Target Pi'!A:G,7,false)," $","")," €",""), "")
)</f>
        <v>0</v>
      </c>
      <c r="AA112" s="17" t="str">
        <f t="shared" si="9"/>
        <v/>
      </c>
      <c r="AB112" s="1">
        <f>value(IFERROR(SUBSTITUTE(SUBSTITUTE(VLOOKUP($A112,'Quarterly Pipeline vs Target Pi'!$A:$V,11,false)," $","")," €",""), "")
)</f>
        <v>0</v>
      </c>
      <c r="AC112" s="1">
        <f>value(IFERROR(SUBSTITUTE(SUBSTITUTE(VLOOKUP($A112,'Quarterly Pipeline vs Target Pi'!$A:$V,12,false)," $","")," €",""), "")
)</f>
        <v>0</v>
      </c>
      <c r="AD112" s="17" t="str">
        <f t="shared" si="10"/>
        <v/>
      </c>
      <c r="AE112" s="1">
        <f>value(IFERROR(SUBSTITUTE(SUBSTITUTE(VLOOKUP($A112,'Quarterly Pipeline vs Target Pi'!$A:$V,16,false)," $","")," €",""), "")
)</f>
        <v>0</v>
      </c>
      <c r="AF112" s="1">
        <f>value(IFERROR(SUBSTITUTE(SUBSTITUTE(VLOOKUP($A112,'Quarterly Pipeline vs Target Pi'!$A:$V,17,false)," $","")," €",""), "")
)</f>
        <v>0</v>
      </c>
      <c r="AG112" s="17" t="str">
        <f t="shared" si="11"/>
        <v/>
      </c>
      <c r="AH112" s="1">
        <f>value(IFERROR(SUBSTITUTE(SUBSTITUTE(VLOOKUP($A112,'Quarterly Pipeline vs Target Pi'!$A:$V,21,false)," $","")," €",""), "")
)</f>
        <v>0</v>
      </c>
      <c r="AI112" s="1">
        <f>value(IFERROR(SUBSTITUTE(SUBSTITUTE(VLOOKUP($A112,'Quarterly Pipeline vs Target Pi'!$A:$V,22,false)," $","")," €",""), "")
)</f>
        <v>0</v>
      </c>
      <c r="AJ112" s="17" t="str">
        <f t="shared" si="12"/>
        <v/>
      </c>
      <c r="AK112" s="1">
        <f t="shared" ref="AK112:AL112" si="237">sum(Y112,AB112,AE112,AH112)</f>
        <v>0</v>
      </c>
      <c r="AL112" s="1">
        <f t="shared" si="237"/>
        <v>0</v>
      </c>
      <c r="AM112" s="17" t="str">
        <f t="shared" si="14"/>
        <v/>
      </c>
      <c r="AN112" s="1">
        <f>value(IFERROR(SUBSTITUTE(SUBSTITUTE(VLOOKUP($A112,'Quarterly Pipeline vs Target Pi'!$A:$AP,26,false)," $","")," €",""), "")
)</f>
        <v>0</v>
      </c>
      <c r="AO112" s="1">
        <f>value(IFERROR(SUBSTITUTE(SUBSTITUTE(VLOOKUP($A112,'Quarterly Pipeline vs Target Pi'!$A:$AP,27,false)," $","")," €",""), "")
)</f>
        <v>0</v>
      </c>
      <c r="AP112" s="17" t="str">
        <f t="shared" si="15"/>
        <v/>
      </c>
      <c r="AQ112" s="1">
        <f>value(IFERROR(SUBSTITUTE(SUBSTITUTE(VLOOKUP($A112,'Quarterly Pipeline vs Target Pi'!$A:$AP,31,false)," $","")," €",""), "")
)</f>
        <v>0</v>
      </c>
      <c r="AR112" s="1">
        <f>value(IFERROR(SUBSTITUTE(SUBSTITUTE(VLOOKUP($A112,'Quarterly Pipeline vs Target Pi'!$A:$AP,32,false)," $","")," €",""), "")
)</f>
        <v>0</v>
      </c>
      <c r="AS112" s="17" t="str">
        <f t="shared" si="16"/>
        <v/>
      </c>
      <c r="AT112" s="1">
        <f>value(IFERROR(SUBSTITUTE(SUBSTITUTE(VLOOKUP($A112,'Quarterly Pipeline vs Target Pi'!$A:$AP,36,false)," $","")," €",""), "")
)</f>
        <v>0</v>
      </c>
      <c r="AU112" s="1">
        <f>value(IFERROR(SUBSTITUTE(SUBSTITUTE(VLOOKUP($A112,'Quarterly Pipeline vs Target Pi'!$A:$AP,37,false)," $","")," €",""), "")
)</f>
        <v>0</v>
      </c>
      <c r="AV112" s="17" t="str">
        <f t="shared" si="17"/>
        <v/>
      </c>
      <c r="AW112" s="1">
        <f>value(IFERROR(SUBSTITUTE(SUBSTITUTE(VLOOKUP($A112,'Quarterly Pipeline vs Target Pi'!$A:$AP,41,false)," $","")," €",""), "")
)</f>
        <v>0</v>
      </c>
      <c r="AX112" s="1">
        <f>value(IFERROR(SUBSTITUTE(SUBSTITUTE(VLOOKUP($A112,'Quarterly Pipeline vs Target Pi'!$A:$AP,42,false)," $","")," €",""), "")
)</f>
        <v>0</v>
      </c>
      <c r="AY112" s="17" t="str">
        <f t="shared" si="18"/>
        <v/>
      </c>
      <c r="AZ112" s="1">
        <f t="shared" ref="AZ112:BA112" si="238">sum(AN112,AQ112,AT112,AW112)</f>
        <v>0</v>
      </c>
      <c r="BA112" s="1">
        <f t="shared" si="238"/>
        <v>0</v>
      </c>
      <c r="BB112" s="17" t="str">
        <f t="shared" si="20"/>
        <v/>
      </c>
    </row>
    <row r="113">
      <c r="A113" s="1" t="str">
        <f>IFERROR(__xludf.DUMMYFUNCTION("""COMPUTED_VALUE"""),"65dcd9bc019929778f07c73f")</f>
        <v>65dcd9bc019929778f07c73f</v>
      </c>
      <c r="B113" s="1" t="str">
        <f>IFERROR(__xludf.DUMMYFUNCTION("""COMPUTED_VALUE"""),"Dacas Distri Mexico")</f>
        <v>Dacas Distri Mexico</v>
      </c>
      <c r="C113" s="1" t="str">
        <f>IFERROR(__xludf.DUMMYFUNCTION("""COMPUTED_VALUE"""),"joaquin.flores@al-enterprise.com")</f>
        <v>joaquin.flores@al-enterprise.com</v>
      </c>
      <c r="D113" s="1" t="str">
        <f>IFERROR(__xludf.DUMMYFUNCTION("""COMPUTED_VALUE"""),"americas")</f>
        <v>americas</v>
      </c>
      <c r="E113" s="1" t="str">
        <f>IFERROR(__xludf.DUMMYFUNCTION("""COMPUTED_VALUE"""),"MX")</f>
        <v>MX</v>
      </c>
      <c r="F113" s="1" t="str">
        <f>IFERROR(__xludf.DUMMYFUNCTION("""COMPUTED_VALUE"""),"distributor")</f>
        <v>distributor</v>
      </c>
      <c r="G113" s="1">
        <f>iferror(VLOOKUP(A113,'Business Plan Setup and Accepta'!A:G,6,false),"")</f>
        <v>0</v>
      </c>
      <c r="H113" s="1">
        <f>iferror(VLOOKUP(A113,'Business Plan Setup and Accepta'!A:G,7,false),"")</f>
        <v>1</v>
      </c>
      <c r="I113" s="17">
        <f t="shared" si="3"/>
        <v>0</v>
      </c>
      <c r="J113" s="1">
        <f>IFERROR(VALUE(SUBSTITUTE(VLOOKUP(A113,'Sales IN Revenues vs Sales targ'!A:G,6,false)," $","")), "")
</f>
        <v>83.6</v>
      </c>
      <c r="K113" s="1">
        <f>IFERROR(VALUE(SUBSTITUTE(VLOOKUP(A113,'Sales IN Revenues vs Sales targ'!A:G,7,false)," $","")), "")
</f>
        <v>505</v>
      </c>
      <c r="L113" s="17">
        <f t="shared" si="4"/>
        <v>0.1655445545</v>
      </c>
      <c r="M113" s="1">
        <f>value(SUBSTITUTE(IFERROR(VLOOKUP(A113,'Certifications achievements vs '!A:G,6,false),""),"#","")
)</f>
        <v>15</v>
      </c>
      <c r="N113" s="1">
        <f>value(SUBSTITUTE(IFERROR(VLOOKUP(A113,'Certifications achievements vs '!A:G,7,false),""),"#","")
)</f>
        <v>0</v>
      </c>
      <c r="O113" s="17" t="str">
        <f t="shared" si="5"/>
        <v/>
      </c>
      <c r="P113" s="1">
        <f>value(SUBSTITUTE(IFERROR(VLOOKUP(A113,'Communications - Solution Speci'!A:G,6,false),""),"#","")
)</f>
        <v>0</v>
      </c>
      <c r="Q113" s="1">
        <f>value(SUBSTITUTE(IFERROR(VLOOKUP(A113,'Communications - Solution Speci'!A:G,7,false),""),"#","")
)</f>
        <v>1</v>
      </c>
      <c r="R113" s="17">
        <f t="shared" si="6"/>
        <v>0</v>
      </c>
      <c r="S113" s="1">
        <f>value(SUBSTITUTE(IFERROR(VLOOKUP(A113,'Networking - Solution Specializ'!A:G,6,false),""),"#","")
)</f>
        <v>0</v>
      </c>
      <c r="T113" s="1">
        <f>value(SUBSTITUTE(IFERROR(VLOOKUP(A113,'Networking - Solution Specializ'!A:G,7,false),""),"#","")
)</f>
        <v>1</v>
      </c>
      <c r="U113" s="17">
        <f t="shared" si="7"/>
        <v>0</v>
      </c>
      <c r="V113" s="1">
        <f>iferror(vlookup(A113,'Marketing Plan (extract summary'!A:G,6,false),"")</f>
        <v>0</v>
      </c>
      <c r="W113" s="1">
        <f>iferror(vlookup(A113,'Marketing Plan (extract summary'!A:G,7,false),"")</f>
        <v>1</v>
      </c>
      <c r="X113" s="17">
        <f t="shared" si="8"/>
        <v>0</v>
      </c>
      <c r="Y113" s="1">
        <f>value(IFERROR(SUBSTITUTE(SUBSTITUTE(VLOOKUP(A113,'Quarterly Pipeline vs Target Pi'!A:G,6,false)," $","")," €",""), "")
)</f>
        <v>1.89</v>
      </c>
      <c r="Z113" s="1">
        <f>value(IFERROR(SUBSTITUTE(SUBSTITUTE(VLOOKUP(A113,'Quarterly Pipeline vs Target Pi'!A:G,7,false)," $","")," €",""), "")
)</f>
        <v>0</v>
      </c>
      <c r="AA113" s="17" t="str">
        <f t="shared" si="9"/>
        <v/>
      </c>
      <c r="AB113" s="1">
        <f>value(IFERROR(SUBSTITUTE(SUBSTITUTE(VLOOKUP($A113,'Quarterly Pipeline vs Target Pi'!$A:$V,11,false)," $","")," €",""), "")
)</f>
        <v>1.89</v>
      </c>
      <c r="AC113" s="1">
        <f>value(IFERROR(SUBSTITUTE(SUBSTITUTE(VLOOKUP($A113,'Quarterly Pipeline vs Target Pi'!$A:$V,12,false)," $","")," €",""), "")
)</f>
        <v>333.35</v>
      </c>
      <c r="AD113" s="17">
        <f t="shared" si="10"/>
        <v>0.005669716514</v>
      </c>
      <c r="AE113" s="1">
        <f>value(IFERROR(SUBSTITUTE(SUBSTITUTE(VLOOKUP($A113,'Quarterly Pipeline vs Target Pi'!$A:$V,16,false)," $","")," €",""), "")
)</f>
        <v>0</v>
      </c>
      <c r="AF113" s="1">
        <f>value(IFERROR(SUBSTITUTE(SUBSTITUTE(VLOOKUP($A113,'Quarterly Pipeline vs Target Pi'!$A:$V,17,false)," $","")," €",""), "")
)</f>
        <v>400</v>
      </c>
      <c r="AG113" s="17">
        <f t="shared" si="11"/>
        <v>0</v>
      </c>
      <c r="AH113" s="1">
        <f>value(IFERROR(SUBSTITUTE(SUBSTITUTE(VLOOKUP($A113,'Quarterly Pipeline vs Target Pi'!$A:$V,21,false)," $","")," €",""), "")
)</f>
        <v>26.19</v>
      </c>
      <c r="AI113" s="1">
        <f>value(IFERROR(SUBSTITUTE(SUBSTITUTE(VLOOKUP($A113,'Quarterly Pipeline vs Target Pi'!$A:$V,22,false)," $","")," €",""), "")
)</f>
        <v>700</v>
      </c>
      <c r="AJ113" s="17">
        <f t="shared" si="12"/>
        <v>0.03741428571</v>
      </c>
      <c r="AK113" s="1">
        <f t="shared" ref="AK113:AL113" si="239">sum(Y113,AB113,AE113,AH113)</f>
        <v>29.97</v>
      </c>
      <c r="AL113" s="1">
        <f t="shared" si="239"/>
        <v>1433.35</v>
      </c>
      <c r="AM113" s="17">
        <f t="shared" si="14"/>
        <v>0.0209090592</v>
      </c>
      <c r="AN113" s="1">
        <f>value(IFERROR(SUBSTITUTE(SUBSTITUTE(VLOOKUP($A113,'Quarterly Pipeline vs Target Pi'!$A:$AP,26,false)," $","")," €",""), "")
)</f>
        <v>21.79</v>
      </c>
      <c r="AO113" s="1">
        <f>value(IFERROR(SUBSTITUTE(SUBSTITUTE(VLOOKUP($A113,'Quarterly Pipeline vs Target Pi'!$A:$AP,27,false)," $","")," €",""), "")
)</f>
        <v>0</v>
      </c>
      <c r="AP113" s="17" t="str">
        <f t="shared" si="15"/>
        <v/>
      </c>
      <c r="AQ113" s="1">
        <f>value(IFERROR(SUBSTITUTE(SUBSTITUTE(VLOOKUP($A113,'Quarterly Pipeline vs Target Pi'!$A:$AP,31,false)," $","")," €",""), "")
)</f>
        <v>4.13</v>
      </c>
      <c r="AR113" s="1">
        <f>value(IFERROR(SUBSTITUTE(SUBSTITUTE(VLOOKUP($A113,'Quarterly Pipeline vs Target Pi'!$A:$AP,32,false)," $","")," €",""), "")
)</f>
        <v>0</v>
      </c>
      <c r="AS113" s="17" t="str">
        <f t="shared" si="16"/>
        <v/>
      </c>
      <c r="AT113" s="1">
        <f>value(IFERROR(SUBSTITUTE(SUBSTITUTE(VLOOKUP($A113,'Quarterly Pipeline vs Target Pi'!$A:$AP,36,false)," $","")," €",""), "")
)</f>
        <v>0</v>
      </c>
      <c r="AU113" s="1">
        <f>value(IFERROR(SUBSTITUTE(SUBSTITUTE(VLOOKUP($A113,'Quarterly Pipeline vs Target Pi'!$A:$AP,37,false)," $","")," €",""), "")
)</f>
        <v>0</v>
      </c>
      <c r="AV113" s="17" t="str">
        <f t="shared" si="17"/>
        <v/>
      </c>
      <c r="AW113" s="1">
        <f>value(IFERROR(SUBSTITUTE(SUBSTITUTE(VLOOKUP($A113,'Quarterly Pipeline vs Target Pi'!$A:$AP,41,false)," $","")," €",""), "")
)</f>
        <v>0</v>
      </c>
      <c r="AX113" s="1">
        <f>value(IFERROR(SUBSTITUTE(SUBSTITUTE(VLOOKUP($A113,'Quarterly Pipeline vs Target Pi'!$A:$AP,42,false)," $","")," €",""), "")
)</f>
        <v>0</v>
      </c>
      <c r="AY113" s="17" t="str">
        <f t="shared" si="18"/>
        <v/>
      </c>
      <c r="AZ113" s="1">
        <f t="shared" ref="AZ113:BA113" si="240">sum(AN113,AQ113,AT113,AW113)</f>
        <v>25.92</v>
      </c>
      <c r="BA113" s="1">
        <f t="shared" si="240"/>
        <v>0</v>
      </c>
      <c r="BB113" s="17" t="str">
        <f t="shared" si="20"/>
        <v/>
      </c>
    </row>
    <row r="114">
      <c r="A114" s="1" t="str">
        <f>IFERROR(__xludf.DUMMYFUNCTION("""COMPUTED_VALUE"""),"63ced849c5c820531c268fe1")</f>
        <v>63ced849c5c820531c268fe1</v>
      </c>
      <c r="B114" s="1" t="str">
        <f>IFERROR(__xludf.DUMMYFUNCTION("""COMPUTED_VALUE"""),"Dacas Paraguay S.A.")</f>
        <v>Dacas Paraguay S.A.</v>
      </c>
      <c r="C114" s="1" t="str">
        <f>IFERROR(__xludf.DUMMYFUNCTION("""COMPUTED_VALUE"""),"luis.arriagada@al-enterprise.com")</f>
        <v>luis.arriagada@al-enterprise.com</v>
      </c>
      <c r="D114" s="1" t="str">
        <f>IFERROR(__xludf.DUMMYFUNCTION("""COMPUTED_VALUE"""),"americas")</f>
        <v>americas</v>
      </c>
      <c r="E114" s="1" t="str">
        <f>IFERROR(__xludf.DUMMYFUNCTION("""COMPUTED_VALUE"""),"PY")</f>
        <v>PY</v>
      </c>
      <c r="F114" s="1"/>
      <c r="G114" s="1" t="str">
        <f>iferror(VLOOKUP(A114,'Business Plan Setup and Accepta'!A:G,6,false),"")</f>
        <v/>
      </c>
      <c r="H114" s="1" t="str">
        <f>iferror(VLOOKUP(A114,'Business Plan Setup and Accepta'!A:G,7,false),"")</f>
        <v/>
      </c>
      <c r="I114" s="17" t="str">
        <f t="shared" si="3"/>
        <v/>
      </c>
      <c r="J114" s="1" t="str">
        <f>IFERROR(VALUE(SUBSTITUTE(VLOOKUP(A114,'Sales IN Revenues vs Sales targ'!A:G,6,false)," $","")), "")
</f>
        <v/>
      </c>
      <c r="K114" s="1" t="str">
        <f>IFERROR(VALUE(SUBSTITUTE(VLOOKUP(A114,'Sales IN Revenues vs Sales targ'!A:G,7,false)," $","")), "")
</f>
        <v/>
      </c>
      <c r="L114" s="17" t="str">
        <f t="shared" si="4"/>
        <v/>
      </c>
      <c r="M114" s="1">
        <f>value(SUBSTITUTE(IFERROR(VLOOKUP(A114,'Certifications achievements vs '!A:G,6,false),""),"#","")
)</f>
        <v>0</v>
      </c>
      <c r="N114" s="1">
        <f>value(SUBSTITUTE(IFERROR(VLOOKUP(A114,'Certifications achievements vs '!A:G,7,false),""),"#","")
)</f>
        <v>0</v>
      </c>
      <c r="O114" s="17" t="str">
        <f t="shared" si="5"/>
        <v/>
      </c>
      <c r="P114" s="1">
        <f>value(SUBSTITUTE(IFERROR(VLOOKUP(A114,'Communications - Solution Speci'!A:G,6,false),""),"#","")
)</f>
        <v>0</v>
      </c>
      <c r="Q114" s="1">
        <f>value(SUBSTITUTE(IFERROR(VLOOKUP(A114,'Communications - Solution Speci'!A:G,7,false),""),"#","")
)</f>
        <v>0</v>
      </c>
      <c r="R114" s="17" t="str">
        <f t="shared" si="6"/>
        <v/>
      </c>
      <c r="S114" s="1">
        <f>value(SUBSTITUTE(IFERROR(VLOOKUP(A114,'Networking - Solution Specializ'!A:G,6,false),""),"#","")
)</f>
        <v>0</v>
      </c>
      <c r="T114" s="1">
        <f>value(SUBSTITUTE(IFERROR(VLOOKUP(A114,'Networking - Solution Specializ'!A:G,7,false),""),"#","")
)</f>
        <v>0</v>
      </c>
      <c r="U114" s="17" t="str">
        <f t="shared" si="7"/>
        <v/>
      </c>
      <c r="V114" s="1" t="str">
        <f>iferror(vlookup(A114,'Marketing Plan (extract summary'!A:G,6,false),"")</f>
        <v/>
      </c>
      <c r="W114" s="1" t="str">
        <f>iferror(vlookup(A114,'Marketing Plan (extract summary'!A:G,7,false),"")</f>
        <v/>
      </c>
      <c r="X114" s="17" t="str">
        <f t="shared" si="8"/>
        <v/>
      </c>
      <c r="Y114" s="1">
        <f>value(IFERROR(SUBSTITUTE(SUBSTITUTE(VLOOKUP(A114,'Quarterly Pipeline vs Target Pi'!A:G,6,false)," $","")," €",""), "")
)</f>
        <v>0</v>
      </c>
      <c r="Z114" s="1">
        <f>value(IFERROR(SUBSTITUTE(SUBSTITUTE(VLOOKUP(A114,'Quarterly Pipeline vs Target Pi'!A:G,7,false)," $","")," €",""), "")
)</f>
        <v>0</v>
      </c>
      <c r="AA114" s="17" t="str">
        <f t="shared" si="9"/>
        <v/>
      </c>
      <c r="AB114" s="1">
        <f>value(IFERROR(SUBSTITUTE(SUBSTITUTE(VLOOKUP($A114,'Quarterly Pipeline vs Target Pi'!$A:$V,11,false)," $","")," €",""), "")
)</f>
        <v>0</v>
      </c>
      <c r="AC114" s="1">
        <f>value(IFERROR(SUBSTITUTE(SUBSTITUTE(VLOOKUP($A114,'Quarterly Pipeline vs Target Pi'!$A:$V,12,false)," $","")," €",""), "")
)</f>
        <v>0</v>
      </c>
      <c r="AD114" s="17" t="str">
        <f t="shared" si="10"/>
        <v/>
      </c>
      <c r="AE114" s="1">
        <f>value(IFERROR(SUBSTITUTE(SUBSTITUTE(VLOOKUP($A114,'Quarterly Pipeline vs Target Pi'!$A:$V,16,false)," $","")," €",""), "")
)</f>
        <v>0</v>
      </c>
      <c r="AF114" s="1">
        <f>value(IFERROR(SUBSTITUTE(SUBSTITUTE(VLOOKUP($A114,'Quarterly Pipeline vs Target Pi'!$A:$V,17,false)," $","")," €",""), "")
)</f>
        <v>0</v>
      </c>
      <c r="AG114" s="17" t="str">
        <f t="shared" si="11"/>
        <v/>
      </c>
      <c r="AH114" s="1">
        <f>value(IFERROR(SUBSTITUTE(SUBSTITUTE(VLOOKUP($A114,'Quarterly Pipeline vs Target Pi'!$A:$V,21,false)," $","")," €",""), "")
)</f>
        <v>0</v>
      </c>
      <c r="AI114" s="1">
        <f>value(IFERROR(SUBSTITUTE(SUBSTITUTE(VLOOKUP($A114,'Quarterly Pipeline vs Target Pi'!$A:$V,22,false)," $","")," €",""), "")
)</f>
        <v>0</v>
      </c>
      <c r="AJ114" s="17" t="str">
        <f t="shared" si="12"/>
        <v/>
      </c>
      <c r="AK114" s="1">
        <f t="shared" ref="AK114:AL114" si="241">sum(Y114,AB114,AE114,AH114)</f>
        <v>0</v>
      </c>
      <c r="AL114" s="1">
        <f t="shared" si="241"/>
        <v>0</v>
      </c>
      <c r="AM114" s="17" t="str">
        <f t="shared" si="14"/>
        <v/>
      </c>
      <c r="AN114" s="1">
        <f>value(IFERROR(SUBSTITUTE(SUBSTITUTE(VLOOKUP($A114,'Quarterly Pipeline vs Target Pi'!$A:$AP,26,false)," $","")," €",""), "")
)</f>
        <v>0</v>
      </c>
      <c r="AO114" s="1">
        <f>value(IFERROR(SUBSTITUTE(SUBSTITUTE(VLOOKUP($A114,'Quarterly Pipeline vs Target Pi'!$A:$AP,27,false)," $","")," €",""), "")
)</f>
        <v>0</v>
      </c>
      <c r="AP114" s="17" t="str">
        <f t="shared" si="15"/>
        <v/>
      </c>
      <c r="AQ114" s="1">
        <f>value(IFERROR(SUBSTITUTE(SUBSTITUTE(VLOOKUP($A114,'Quarterly Pipeline vs Target Pi'!$A:$AP,31,false)," $","")," €",""), "")
)</f>
        <v>0</v>
      </c>
      <c r="AR114" s="1">
        <f>value(IFERROR(SUBSTITUTE(SUBSTITUTE(VLOOKUP($A114,'Quarterly Pipeline vs Target Pi'!$A:$AP,32,false)," $","")," €",""), "")
)</f>
        <v>0</v>
      </c>
      <c r="AS114" s="17" t="str">
        <f t="shared" si="16"/>
        <v/>
      </c>
      <c r="AT114" s="1">
        <f>value(IFERROR(SUBSTITUTE(SUBSTITUTE(VLOOKUP($A114,'Quarterly Pipeline vs Target Pi'!$A:$AP,36,false)," $","")," €",""), "")
)</f>
        <v>0</v>
      </c>
      <c r="AU114" s="1">
        <f>value(IFERROR(SUBSTITUTE(SUBSTITUTE(VLOOKUP($A114,'Quarterly Pipeline vs Target Pi'!$A:$AP,37,false)," $","")," €",""), "")
)</f>
        <v>0</v>
      </c>
      <c r="AV114" s="17" t="str">
        <f t="shared" si="17"/>
        <v/>
      </c>
      <c r="AW114" s="1">
        <f>value(IFERROR(SUBSTITUTE(SUBSTITUTE(VLOOKUP($A114,'Quarterly Pipeline vs Target Pi'!$A:$AP,41,false)," $","")," €",""), "")
)</f>
        <v>0</v>
      </c>
      <c r="AX114" s="1">
        <f>value(IFERROR(SUBSTITUTE(SUBSTITUTE(VLOOKUP($A114,'Quarterly Pipeline vs Target Pi'!$A:$AP,42,false)," $","")," €",""), "")
)</f>
        <v>0</v>
      </c>
      <c r="AY114" s="17" t="str">
        <f t="shared" si="18"/>
        <v/>
      </c>
      <c r="AZ114" s="1">
        <f t="shared" ref="AZ114:BA114" si="242">sum(AN114,AQ114,AT114,AW114)</f>
        <v>0</v>
      </c>
      <c r="BA114" s="1">
        <f t="shared" si="242"/>
        <v>0</v>
      </c>
      <c r="BB114" s="17" t="str">
        <f t="shared" si="20"/>
        <v/>
      </c>
    </row>
    <row r="115">
      <c r="A115" s="1" t="str">
        <f>IFERROR(__xludf.DUMMYFUNCTION("""COMPUTED_VALUE"""),"63ced849c5c820531c268fd2")</f>
        <v>63ced849c5c820531c268fd2</v>
      </c>
      <c r="B115" s="1" t="str">
        <f>IFERROR(__xludf.DUMMYFUNCTION("""COMPUTED_VALUE"""),"DACAS S.A.")</f>
        <v>DACAS S.A.</v>
      </c>
      <c r="C115" s="1" t="str">
        <f>IFERROR(__xludf.DUMMYFUNCTION("""COMPUTED_VALUE"""),"luis.arriagada@al-enterprise.com")</f>
        <v>luis.arriagada@al-enterprise.com</v>
      </c>
      <c r="D115" s="1" t="str">
        <f>IFERROR(__xludf.DUMMYFUNCTION("""COMPUTED_VALUE"""),"americas")</f>
        <v>americas</v>
      </c>
      <c r="E115" s="1" t="str">
        <f>IFERROR(__xludf.DUMMYFUNCTION("""COMPUTED_VALUE"""),"AR")</f>
        <v>AR</v>
      </c>
      <c r="F115" s="1"/>
      <c r="G115" s="1" t="str">
        <f>iferror(VLOOKUP(A115,'Business Plan Setup and Accepta'!A:G,6,false),"")</f>
        <v/>
      </c>
      <c r="H115" s="1" t="str">
        <f>iferror(VLOOKUP(A115,'Business Plan Setup and Accepta'!A:G,7,false),"")</f>
        <v/>
      </c>
      <c r="I115" s="17" t="str">
        <f t="shared" si="3"/>
        <v/>
      </c>
      <c r="J115" s="1" t="str">
        <f>IFERROR(VALUE(SUBSTITUTE(VLOOKUP(A115,'Sales IN Revenues vs Sales targ'!A:G,6,false)," $","")), "")
</f>
        <v/>
      </c>
      <c r="K115" s="1" t="str">
        <f>IFERROR(VALUE(SUBSTITUTE(VLOOKUP(A115,'Sales IN Revenues vs Sales targ'!A:G,7,false)," $","")), "")
</f>
        <v/>
      </c>
      <c r="L115" s="17" t="str">
        <f t="shared" si="4"/>
        <v/>
      </c>
      <c r="M115" s="1">
        <f>value(SUBSTITUTE(IFERROR(VLOOKUP(A115,'Certifications achievements vs '!A:G,6,false),""),"#","")
)</f>
        <v>0</v>
      </c>
      <c r="N115" s="1">
        <f>value(SUBSTITUTE(IFERROR(VLOOKUP(A115,'Certifications achievements vs '!A:G,7,false),""),"#","")
)</f>
        <v>0</v>
      </c>
      <c r="O115" s="17" t="str">
        <f t="shared" si="5"/>
        <v/>
      </c>
      <c r="P115" s="1">
        <f>value(SUBSTITUTE(IFERROR(VLOOKUP(A115,'Communications - Solution Speci'!A:G,6,false),""),"#","")
)</f>
        <v>0</v>
      </c>
      <c r="Q115" s="1">
        <f>value(SUBSTITUTE(IFERROR(VLOOKUP(A115,'Communications - Solution Speci'!A:G,7,false),""),"#","")
)</f>
        <v>0</v>
      </c>
      <c r="R115" s="17" t="str">
        <f t="shared" si="6"/>
        <v/>
      </c>
      <c r="S115" s="1">
        <f>value(SUBSTITUTE(IFERROR(VLOOKUP(A115,'Networking - Solution Specializ'!A:G,6,false),""),"#","")
)</f>
        <v>0</v>
      </c>
      <c r="T115" s="1">
        <f>value(SUBSTITUTE(IFERROR(VLOOKUP(A115,'Networking - Solution Specializ'!A:G,7,false),""),"#","")
)</f>
        <v>0</v>
      </c>
      <c r="U115" s="17" t="str">
        <f t="shared" si="7"/>
        <v/>
      </c>
      <c r="V115" s="1" t="str">
        <f>iferror(vlookup(A115,'Marketing Plan (extract summary'!A:G,6,false),"")</f>
        <v/>
      </c>
      <c r="W115" s="1" t="str">
        <f>iferror(vlookup(A115,'Marketing Plan (extract summary'!A:G,7,false),"")</f>
        <v/>
      </c>
      <c r="X115" s="17" t="str">
        <f t="shared" si="8"/>
        <v/>
      </c>
      <c r="Y115" s="1">
        <f>value(IFERROR(SUBSTITUTE(SUBSTITUTE(VLOOKUP(A115,'Quarterly Pipeline vs Target Pi'!A:G,6,false)," $","")," €",""), "")
)</f>
        <v>0</v>
      </c>
      <c r="Z115" s="1">
        <f>value(IFERROR(SUBSTITUTE(SUBSTITUTE(VLOOKUP(A115,'Quarterly Pipeline vs Target Pi'!A:G,7,false)," $","")," €",""), "")
)</f>
        <v>0</v>
      </c>
      <c r="AA115" s="17" t="str">
        <f t="shared" si="9"/>
        <v/>
      </c>
      <c r="AB115" s="1">
        <f>value(IFERROR(SUBSTITUTE(SUBSTITUTE(VLOOKUP($A115,'Quarterly Pipeline vs Target Pi'!$A:$V,11,false)," $","")," €",""), "")
)</f>
        <v>0</v>
      </c>
      <c r="AC115" s="1">
        <f>value(IFERROR(SUBSTITUTE(SUBSTITUTE(VLOOKUP($A115,'Quarterly Pipeline vs Target Pi'!$A:$V,12,false)," $","")," €",""), "")
)</f>
        <v>0</v>
      </c>
      <c r="AD115" s="17" t="str">
        <f t="shared" si="10"/>
        <v/>
      </c>
      <c r="AE115" s="1">
        <f>value(IFERROR(SUBSTITUTE(SUBSTITUTE(VLOOKUP($A115,'Quarterly Pipeline vs Target Pi'!$A:$V,16,false)," $","")," €",""), "")
)</f>
        <v>0</v>
      </c>
      <c r="AF115" s="1">
        <f>value(IFERROR(SUBSTITUTE(SUBSTITUTE(VLOOKUP($A115,'Quarterly Pipeline vs Target Pi'!$A:$V,17,false)," $","")," €",""), "")
)</f>
        <v>0</v>
      </c>
      <c r="AG115" s="17" t="str">
        <f t="shared" si="11"/>
        <v/>
      </c>
      <c r="AH115" s="1">
        <f>value(IFERROR(SUBSTITUTE(SUBSTITUTE(VLOOKUP($A115,'Quarterly Pipeline vs Target Pi'!$A:$V,21,false)," $","")," €",""), "")
)</f>
        <v>0</v>
      </c>
      <c r="AI115" s="1">
        <f>value(IFERROR(SUBSTITUTE(SUBSTITUTE(VLOOKUP($A115,'Quarterly Pipeline vs Target Pi'!$A:$V,22,false)," $","")," €",""), "")
)</f>
        <v>0</v>
      </c>
      <c r="AJ115" s="17" t="str">
        <f t="shared" si="12"/>
        <v/>
      </c>
      <c r="AK115" s="1">
        <f t="shared" ref="AK115:AL115" si="243">sum(Y115,AB115,AE115,AH115)</f>
        <v>0</v>
      </c>
      <c r="AL115" s="1">
        <f t="shared" si="243"/>
        <v>0</v>
      </c>
      <c r="AM115" s="17" t="str">
        <f t="shared" si="14"/>
        <v/>
      </c>
      <c r="AN115" s="1">
        <f>value(IFERROR(SUBSTITUTE(SUBSTITUTE(VLOOKUP($A115,'Quarterly Pipeline vs Target Pi'!$A:$AP,26,false)," $","")," €",""), "")
)</f>
        <v>0</v>
      </c>
      <c r="AO115" s="1">
        <f>value(IFERROR(SUBSTITUTE(SUBSTITUTE(VLOOKUP($A115,'Quarterly Pipeline vs Target Pi'!$A:$AP,27,false)," $","")," €",""), "")
)</f>
        <v>0</v>
      </c>
      <c r="AP115" s="17" t="str">
        <f t="shared" si="15"/>
        <v/>
      </c>
      <c r="AQ115" s="1">
        <f>value(IFERROR(SUBSTITUTE(SUBSTITUTE(VLOOKUP($A115,'Quarterly Pipeline vs Target Pi'!$A:$AP,31,false)," $","")," €",""), "")
)</f>
        <v>0</v>
      </c>
      <c r="AR115" s="1">
        <f>value(IFERROR(SUBSTITUTE(SUBSTITUTE(VLOOKUP($A115,'Quarterly Pipeline vs Target Pi'!$A:$AP,32,false)," $","")," €",""), "")
)</f>
        <v>0</v>
      </c>
      <c r="AS115" s="17" t="str">
        <f t="shared" si="16"/>
        <v/>
      </c>
      <c r="AT115" s="1">
        <f>value(IFERROR(SUBSTITUTE(SUBSTITUTE(VLOOKUP($A115,'Quarterly Pipeline vs Target Pi'!$A:$AP,36,false)," $","")," €",""), "")
)</f>
        <v>0</v>
      </c>
      <c r="AU115" s="1">
        <f>value(IFERROR(SUBSTITUTE(SUBSTITUTE(VLOOKUP($A115,'Quarterly Pipeline vs Target Pi'!$A:$AP,37,false)," $","")," €",""), "")
)</f>
        <v>0</v>
      </c>
      <c r="AV115" s="17" t="str">
        <f t="shared" si="17"/>
        <v/>
      </c>
      <c r="AW115" s="1">
        <f>value(IFERROR(SUBSTITUTE(SUBSTITUTE(VLOOKUP($A115,'Quarterly Pipeline vs Target Pi'!$A:$AP,41,false)," $","")," €",""), "")
)</f>
        <v>0</v>
      </c>
      <c r="AX115" s="1">
        <f>value(IFERROR(SUBSTITUTE(SUBSTITUTE(VLOOKUP($A115,'Quarterly Pipeline vs Target Pi'!$A:$AP,42,false)," $","")," €",""), "")
)</f>
        <v>0</v>
      </c>
      <c r="AY115" s="17" t="str">
        <f t="shared" si="18"/>
        <v/>
      </c>
      <c r="AZ115" s="1">
        <f t="shared" ref="AZ115:BA115" si="244">sum(AN115,AQ115,AT115,AW115)</f>
        <v>0</v>
      </c>
      <c r="BA115" s="1">
        <f t="shared" si="244"/>
        <v>0</v>
      </c>
      <c r="BB115" s="17" t="str">
        <f t="shared" si="20"/>
        <v/>
      </c>
    </row>
    <row r="116">
      <c r="A116" s="1" t="str">
        <f>IFERROR(__xludf.DUMMYFUNCTION("""COMPUTED_VALUE"""),"63ced848c5c820531c268d98")</f>
        <v>63ced848c5c820531c268d98</v>
      </c>
      <c r="B116" s="1" t="str">
        <f>IFERROR(__xludf.DUMMYFUNCTION("""COMPUTED_VALUE"""),"Dagostino Electronic Services, Inc.")</f>
        <v>Dagostino Electronic Services, Inc.</v>
      </c>
      <c r="C116" s="1" t="str">
        <f>IFERROR(__xludf.DUMMYFUNCTION("""COMPUTED_VALUE"""),"brendan.flaherty@al-enterprise.com")</f>
        <v>brendan.flaherty@al-enterprise.com</v>
      </c>
      <c r="D116" s="1" t="str">
        <f>IFERROR(__xludf.DUMMYFUNCTION("""COMPUTED_VALUE"""),"americas")</f>
        <v>americas</v>
      </c>
      <c r="E116" s="1" t="str">
        <f>IFERROR(__xludf.DUMMYFUNCTION("""COMPUTED_VALUE"""),"US")</f>
        <v>US</v>
      </c>
      <c r="F116" s="1" t="str">
        <f>IFERROR(__xludf.DUMMYFUNCTION("""COMPUTED_VALUE"""),"expert_1000")</f>
        <v>expert_1000</v>
      </c>
      <c r="G116" s="1" t="str">
        <f>iferror(VLOOKUP(A116,'Business Plan Setup and Accepta'!A:G,6,false),"")</f>
        <v/>
      </c>
      <c r="H116" s="1" t="str">
        <f>iferror(VLOOKUP(A116,'Business Plan Setup and Accepta'!A:G,7,false),"")</f>
        <v/>
      </c>
      <c r="I116" s="17" t="str">
        <f t="shared" si="3"/>
        <v/>
      </c>
      <c r="J116" s="1" t="str">
        <f>IFERROR(VALUE(SUBSTITUTE(VLOOKUP(A116,'Sales IN Revenues vs Sales targ'!A:G,6,false)," $","")), "")
</f>
        <v/>
      </c>
      <c r="K116" s="1" t="str">
        <f>IFERROR(VALUE(SUBSTITUTE(VLOOKUP(A116,'Sales IN Revenues vs Sales targ'!A:G,7,false)," $","")), "")
</f>
        <v/>
      </c>
      <c r="L116" s="17" t="str">
        <f t="shared" si="4"/>
        <v/>
      </c>
      <c r="M116" s="1">
        <f>value(SUBSTITUTE(IFERROR(VLOOKUP(A116,'Certifications achievements vs '!A:G,6,false),""),"#","")
)</f>
        <v>0</v>
      </c>
      <c r="N116" s="1">
        <f>value(SUBSTITUTE(IFERROR(VLOOKUP(A116,'Certifications achievements vs '!A:G,7,false),""),"#","")
)</f>
        <v>0</v>
      </c>
      <c r="O116" s="17" t="str">
        <f t="shared" si="5"/>
        <v/>
      </c>
      <c r="P116" s="1">
        <f>value(SUBSTITUTE(IFERROR(VLOOKUP(A116,'Communications - Solution Speci'!A:G,6,false),""),"#","")
)</f>
        <v>0</v>
      </c>
      <c r="Q116" s="1">
        <f>value(SUBSTITUTE(IFERROR(VLOOKUP(A116,'Communications - Solution Speci'!A:G,7,false),""),"#","")
)</f>
        <v>0</v>
      </c>
      <c r="R116" s="17" t="str">
        <f t="shared" si="6"/>
        <v/>
      </c>
      <c r="S116" s="1">
        <f>value(SUBSTITUTE(IFERROR(VLOOKUP(A116,'Networking - Solution Specializ'!A:G,6,false),""),"#","")
)</f>
        <v>0</v>
      </c>
      <c r="T116" s="1">
        <f>value(SUBSTITUTE(IFERROR(VLOOKUP(A116,'Networking - Solution Specializ'!A:G,7,false),""),"#","")
)</f>
        <v>0</v>
      </c>
      <c r="U116" s="17" t="str">
        <f t="shared" si="7"/>
        <v/>
      </c>
      <c r="V116" s="1" t="str">
        <f>iferror(vlookup(A116,'Marketing Plan (extract summary'!A:G,6,false),"")</f>
        <v/>
      </c>
      <c r="W116" s="1" t="str">
        <f>iferror(vlookup(A116,'Marketing Plan (extract summary'!A:G,7,false),"")</f>
        <v/>
      </c>
      <c r="X116" s="17" t="str">
        <f t="shared" si="8"/>
        <v/>
      </c>
      <c r="Y116" s="1">
        <f>value(IFERROR(SUBSTITUTE(SUBSTITUTE(VLOOKUP(A116,'Quarterly Pipeline vs Target Pi'!A:G,6,false)," $","")," €",""), "")
)</f>
        <v>0</v>
      </c>
      <c r="Z116" s="1">
        <f>value(IFERROR(SUBSTITUTE(SUBSTITUTE(VLOOKUP(A116,'Quarterly Pipeline vs Target Pi'!A:G,7,false)," $","")," €",""), "")
)</f>
        <v>0</v>
      </c>
      <c r="AA116" s="17" t="str">
        <f t="shared" si="9"/>
        <v/>
      </c>
      <c r="AB116" s="1">
        <f>value(IFERROR(SUBSTITUTE(SUBSTITUTE(VLOOKUP($A116,'Quarterly Pipeline vs Target Pi'!$A:$V,11,false)," $","")," €",""), "")
)</f>
        <v>0</v>
      </c>
      <c r="AC116" s="1">
        <f>value(IFERROR(SUBSTITUTE(SUBSTITUTE(VLOOKUP($A116,'Quarterly Pipeline vs Target Pi'!$A:$V,12,false)," $","")," €",""), "")
)</f>
        <v>0</v>
      </c>
      <c r="AD116" s="17" t="str">
        <f t="shared" si="10"/>
        <v/>
      </c>
      <c r="AE116" s="1">
        <f>value(IFERROR(SUBSTITUTE(SUBSTITUTE(VLOOKUP($A116,'Quarterly Pipeline vs Target Pi'!$A:$V,16,false)," $","")," €",""), "")
)</f>
        <v>0</v>
      </c>
      <c r="AF116" s="1">
        <f>value(IFERROR(SUBSTITUTE(SUBSTITUTE(VLOOKUP($A116,'Quarterly Pipeline vs Target Pi'!$A:$V,17,false)," $","")," €",""), "")
)</f>
        <v>0</v>
      </c>
      <c r="AG116" s="17" t="str">
        <f t="shared" si="11"/>
        <v/>
      </c>
      <c r="AH116" s="1">
        <f>value(IFERROR(SUBSTITUTE(SUBSTITUTE(VLOOKUP($A116,'Quarterly Pipeline vs Target Pi'!$A:$V,21,false)," $","")," €",""), "")
)</f>
        <v>0</v>
      </c>
      <c r="AI116" s="1">
        <f>value(IFERROR(SUBSTITUTE(SUBSTITUTE(VLOOKUP($A116,'Quarterly Pipeline vs Target Pi'!$A:$V,22,false)," $","")," €",""), "")
)</f>
        <v>0</v>
      </c>
      <c r="AJ116" s="17" t="str">
        <f t="shared" si="12"/>
        <v/>
      </c>
      <c r="AK116" s="1">
        <f t="shared" ref="AK116:AL116" si="245">sum(Y116,AB116,AE116,AH116)</f>
        <v>0</v>
      </c>
      <c r="AL116" s="1">
        <f t="shared" si="245"/>
        <v>0</v>
      </c>
      <c r="AM116" s="17" t="str">
        <f t="shared" si="14"/>
        <v/>
      </c>
      <c r="AN116" s="1">
        <f>value(IFERROR(SUBSTITUTE(SUBSTITUTE(VLOOKUP($A116,'Quarterly Pipeline vs Target Pi'!$A:$AP,26,false)," $","")," €",""), "")
)</f>
        <v>0</v>
      </c>
      <c r="AO116" s="1">
        <f>value(IFERROR(SUBSTITUTE(SUBSTITUTE(VLOOKUP($A116,'Quarterly Pipeline vs Target Pi'!$A:$AP,27,false)," $","")," €",""), "")
)</f>
        <v>0</v>
      </c>
      <c r="AP116" s="17" t="str">
        <f t="shared" si="15"/>
        <v/>
      </c>
      <c r="AQ116" s="1">
        <f>value(IFERROR(SUBSTITUTE(SUBSTITUTE(VLOOKUP($A116,'Quarterly Pipeline vs Target Pi'!$A:$AP,31,false)," $","")," €",""), "")
)</f>
        <v>0</v>
      </c>
      <c r="AR116" s="1">
        <f>value(IFERROR(SUBSTITUTE(SUBSTITUTE(VLOOKUP($A116,'Quarterly Pipeline vs Target Pi'!$A:$AP,32,false)," $","")," €",""), "")
)</f>
        <v>0</v>
      </c>
      <c r="AS116" s="17" t="str">
        <f t="shared" si="16"/>
        <v/>
      </c>
      <c r="AT116" s="1">
        <f>value(IFERROR(SUBSTITUTE(SUBSTITUTE(VLOOKUP($A116,'Quarterly Pipeline vs Target Pi'!$A:$AP,36,false)," $","")," €",""), "")
)</f>
        <v>0</v>
      </c>
      <c r="AU116" s="1">
        <f>value(IFERROR(SUBSTITUTE(SUBSTITUTE(VLOOKUP($A116,'Quarterly Pipeline vs Target Pi'!$A:$AP,37,false)," $","")," €",""), "")
)</f>
        <v>0</v>
      </c>
      <c r="AV116" s="17" t="str">
        <f t="shared" si="17"/>
        <v/>
      </c>
      <c r="AW116" s="1">
        <f>value(IFERROR(SUBSTITUTE(SUBSTITUTE(VLOOKUP($A116,'Quarterly Pipeline vs Target Pi'!$A:$AP,41,false)," $","")," €",""), "")
)</f>
        <v>0</v>
      </c>
      <c r="AX116" s="1">
        <f>value(IFERROR(SUBSTITUTE(SUBSTITUTE(VLOOKUP($A116,'Quarterly Pipeline vs Target Pi'!$A:$AP,42,false)," $","")," €",""), "")
)</f>
        <v>0</v>
      </c>
      <c r="AY116" s="17" t="str">
        <f t="shared" si="18"/>
        <v/>
      </c>
      <c r="AZ116" s="1">
        <f t="shared" ref="AZ116:BA116" si="246">sum(AN116,AQ116,AT116,AW116)</f>
        <v>0</v>
      </c>
      <c r="BA116" s="1">
        <f t="shared" si="246"/>
        <v>0</v>
      </c>
      <c r="BB116" s="17" t="str">
        <f t="shared" si="20"/>
        <v/>
      </c>
    </row>
    <row r="117">
      <c r="A117" s="1" t="str">
        <f>IFERROR(__xludf.DUMMYFUNCTION("""COMPUTED_VALUE"""),"63ced84dc5c820531c26969e")</f>
        <v>63ced84dc5c820531c26969e</v>
      </c>
      <c r="B117" s="1" t="str">
        <f>IFERROR(__xludf.DUMMYFUNCTION("""COMPUTED_VALUE"""),"Dagostino Electronic Services, Inc.")</f>
        <v>Dagostino Electronic Services, Inc.</v>
      </c>
      <c r="C117" s="1" t="str">
        <f>IFERROR(__xludf.DUMMYFUNCTION("""COMPUTED_VALUE"""),"brendan.flaherty@al-enterprise.com, michael-j.francis@al-enterprise.com, tracy.dupree@al-enterprise.com, jon.taylor@al-enterprise.com")</f>
        <v>brendan.flaherty@al-enterprise.com, michael-j.francis@al-enterprise.com, tracy.dupree@al-enterprise.com, jon.taylor@al-enterprise.com</v>
      </c>
      <c r="D117" s="1" t="str">
        <f>IFERROR(__xludf.DUMMYFUNCTION("""COMPUTED_VALUE"""),"americas")</f>
        <v>americas</v>
      </c>
      <c r="E117" s="1" t="str">
        <f>IFERROR(__xludf.DUMMYFUNCTION("""COMPUTED_VALUE"""),"US")</f>
        <v>US</v>
      </c>
      <c r="F117" s="1" t="str">
        <f>IFERROR(__xludf.DUMMYFUNCTION("""COMPUTED_VALUE"""),"expert_1000")</f>
        <v>expert_1000</v>
      </c>
      <c r="G117" s="1">
        <f>iferror(VLOOKUP(A117,'Business Plan Setup and Accepta'!A:G,6,false),"")</f>
        <v>1</v>
      </c>
      <c r="H117" s="1">
        <f>iferror(VLOOKUP(A117,'Business Plan Setup and Accepta'!A:G,7,false),"")</f>
        <v>1</v>
      </c>
      <c r="I117" s="17">
        <f t="shared" si="3"/>
        <v>1</v>
      </c>
      <c r="J117" s="1">
        <f>IFERROR(VALUE(SUBSTITUTE(VLOOKUP(A117,'Sales IN Revenues vs Sales targ'!A:G,6,false)," $","")), "")
</f>
        <v>158.29</v>
      </c>
      <c r="K117" s="1">
        <f>IFERROR(VALUE(SUBSTITUTE(VLOOKUP(A117,'Sales IN Revenues vs Sales targ'!A:G,7,false)," $","")), "")
</f>
        <v>1453.69</v>
      </c>
      <c r="L117" s="17">
        <f t="shared" si="4"/>
        <v>0.108888415</v>
      </c>
      <c r="M117" s="1">
        <f>value(SUBSTITUTE(IFERROR(VLOOKUP(A117,'Certifications achievements vs '!A:G,6,false),""),"#","")
)</f>
        <v>31</v>
      </c>
      <c r="N117" s="1">
        <f>value(SUBSTITUTE(IFERROR(VLOOKUP(A117,'Certifications achievements vs '!A:G,7,false),""),"#","")
)</f>
        <v>52</v>
      </c>
      <c r="O117" s="17">
        <f t="shared" si="5"/>
        <v>0.5961538462</v>
      </c>
      <c r="P117" s="1">
        <f>value(SUBSTITUTE(IFERROR(VLOOKUP(A117,'Communications - Solution Speci'!A:G,6,false),""),"#","")
)</f>
        <v>1</v>
      </c>
      <c r="Q117" s="1">
        <f>value(SUBSTITUTE(IFERROR(VLOOKUP(A117,'Communications - Solution Speci'!A:G,7,false),""),"#","")
)</f>
        <v>1</v>
      </c>
      <c r="R117" s="17">
        <f t="shared" si="6"/>
        <v>1</v>
      </c>
      <c r="S117" s="1">
        <f>value(SUBSTITUTE(IFERROR(VLOOKUP(A117,'Networking - Solution Specializ'!A:G,6,false),""),"#","")
)</f>
        <v>1</v>
      </c>
      <c r="T117" s="1">
        <f>value(SUBSTITUTE(IFERROR(VLOOKUP(A117,'Networking - Solution Specializ'!A:G,7,false),""),"#","")
)</f>
        <v>1</v>
      </c>
      <c r="U117" s="17">
        <f t="shared" si="7"/>
        <v>1</v>
      </c>
      <c r="V117" s="1">
        <f>iferror(vlookup(A117,'Marketing Plan (extract summary'!A:G,6,false),"")</f>
        <v>0</v>
      </c>
      <c r="W117" s="1">
        <f>iferror(vlookup(A117,'Marketing Plan (extract summary'!A:G,7,false),"")</f>
        <v>1</v>
      </c>
      <c r="X117" s="17">
        <f t="shared" si="8"/>
        <v>0</v>
      </c>
      <c r="Y117" s="1">
        <f>value(IFERROR(SUBSTITUTE(SUBSTITUTE(VLOOKUP(A117,'Quarterly Pipeline vs Target Pi'!A:G,6,false)," $","")," €",""), "")
)</f>
        <v>0.33</v>
      </c>
      <c r="Z117" s="1">
        <f>value(IFERROR(SUBSTITUTE(SUBSTITUTE(VLOOKUP(A117,'Quarterly Pipeline vs Target Pi'!A:G,7,false)," $","")," €",""), "")
)</f>
        <v>0</v>
      </c>
      <c r="AA117" s="17" t="str">
        <f t="shared" si="9"/>
        <v/>
      </c>
      <c r="AB117" s="1">
        <f>value(IFERROR(SUBSTITUTE(SUBSTITUTE(VLOOKUP($A117,'Quarterly Pipeline vs Target Pi'!$A:$V,11,false)," $","")," €",""), "")
)</f>
        <v>0.64</v>
      </c>
      <c r="AC117" s="1">
        <f>value(IFERROR(SUBSTITUTE(SUBSTITUTE(VLOOKUP($A117,'Quarterly Pipeline vs Target Pi'!$A:$V,12,false)," $","")," €",""), "")
)</f>
        <v>969.33</v>
      </c>
      <c r="AD117" s="17">
        <f t="shared" si="10"/>
        <v>0.0006602498633</v>
      </c>
      <c r="AE117" s="1">
        <f>value(IFERROR(SUBSTITUTE(SUBSTITUTE(VLOOKUP($A117,'Quarterly Pipeline vs Target Pi'!$A:$V,16,false)," $","")," €",""), "")
)</f>
        <v>487.98</v>
      </c>
      <c r="AF117" s="1">
        <f>value(IFERROR(SUBSTITUTE(SUBSTITUTE(VLOOKUP($A117,'Quarterly Pipeline vs Target Pi'!$A:$V,17,false)," $","")," €",""), "")
)</f>
        <v>1453.32</v>
      </c>
      <c r="AG117" s="17">
        <f t="shared" si="11"/>
        <v>0.3357691355</v>
      </c>
      <c r="AH117" s="1">
        <f>value(IFERROR(SUBSTITUTE(SUBSTITUTE(VLOOKUP($A117,'Quarterly Pipeline vs Target Pi'!$A:$V,21,false)," $","")," €",""), "")
)</f>
        <v>131.09</v>
      </c>
      <c r="AI117" s="1">
        <f>value(IFERROR(SUBSTITUTE(SUBSTITUTE(VLOOKUP($A117,'Quarterly Pipeline vs Target Pi'!$A:$V,22,false)," $","")," €",""), "")
)</f>
        <v>1453.67</v>
      </c>
      <c r="AJ117" s="17">
        <f t="shared" si="12"/>
        <v>0.09017865128</v>
      </c>
      <c r="AK117" s="1">
        <f t="shared" ref="AK117:AL117" si="247">sum(Y117,AB117,AE117,AH117)</f>
        <v>620.04</v>
      </c>
      <c r="AL117" s="1">
        <f t="shared" si="247"/>
        <v>3876.32</v>
      </c>
      <c r="AM117" s="17">
        <f t="shared" si="14"/>
        <v>0.1599558344</v>
      </c>
      <c r="AN117" s="1">
        <f>value(IFERROR(SUBSTITUTE(SUBSTITUTE(VLOOKUP($A117,'Quarterly Pipeline vs Target Pi'!$A:$AP,26,false)," $","")," €",""), "")
)</f>
        <v>349.59</v>
      </c>
      <c r="AO117" s="1">
        <f>value(IFERROR(SUBSTITUTE(SUBSTITUTE(VLOOKUP($A117,'Quarterly Pipeline vs Target Pi'!$A:$AP,27,false)," $","")," €",""), "")
)</f>
        <v>0</v>
      </c>
      <c r="AP117" s="17" t="str">
        <f t="shared" si="15"/>
        <v/>
      </c>
      <c r="AQ117" s="1">
        <f>value(IFERROR(SUBSTITUTE(SUBSTITUTE(VLOOKUP($A117,'Quarterly Pipeline vs Target Pi'!$A:$AP,31,false)," $","")," €",""), "")
)</f>
        <v>0</v>
      </c>
      <c r="AR117" s="1">
        <f>value(IFERROR(SUBSTITUTE(SUBSTITUTE(VLOOKUP($A117,'Quarterly Pipeline vs Target Pi'!$A:$AP,32,false)," $","")," €",""), "")
)</f>
        <v>0</v>
      </c>
      <c r="AS117" s="17" t="str">
        <f t="shared" si="16"/>
        <v/>
      </c>
      <c r="AT117" s="1">
        <f>value(IFERROR(SUBSTITUTE(SUBSTITUTE(VLOOKUP($A117,'Quarterly Pipeline vs Target Pi'!$A:$AP,36,false)," $","")," €",""), "")
)</f>
        <v>0</v>
      </c>
      <c r="AU117" s="1">
        <f>value(IFERROR(SUBSTITUTE(SUBSTITUTE(VLOOKUP($A117,'Quarterly Pipeline vs Target Pi'!$A:$AP,37,false)," $","")," €",""), "")
)</f>
        <v>0</v>
      </c>
      <c r="AV117" s="17" t="str">
        <f t="shared" si="17"/>
        <v/>
      </c>
      <c r="AW117" s="1">
        <f>value(IFERROR(SUBSTITUTE(SUBSTITUTE(VLOOKUP($A117,'Quarterly Pipeline vs Target Pi'!$A:$AP,41,false)," $","")," €",""), "")
)</f>
        <v>0</v>
      </c>
      <c r="AX117" s="1">
        <f>value(IFERROR(SUBSTITUTE(SUBSTITUTE(VLOOKUP($A117,'Quarterly Pipeline vs Target Pi'!$A:$AP,42,false)," $","")," €",""), "")
)</f>
        <v>0</v>
      </c>
      <c r="AY117" s="17" t="str">
        <f t="shared" si="18"/>
        <v/>
      </c>
      <c r="AZ117" s="1">
        <f t="shared" ref="AZ117:BA117" si="248">sum(AN117,AQ117,AT117,AW117)</f>
        <v>349.59</v>
      </c>
      <c r="BA117" s="1">
        <f t="shared" si="248"/>
        <v>0</v>
      </c>
      <c r="BB117" s="17" t="str">
        <f t="shared" si="20"/>
        <v/>
      </c>
    </row>
    <row r="118">
      <c r="A118" s="1" t="str">
        <f>IFERROR(__xludf.DUMMYFUNCTION("""COMPUTED_VALUE"""),"63ced84dc5c820531c2697bb")</f>
        <v>63ced84dc5c820531c2697bb</v>
      </c>
      <c r="B118" s="1" t="str">
        <f>IFERROR(__xludf.DUMMYFUNCTION("""COMPUTED_VALUE"""),"Daly Computers")</f>
        <v>Daly Computers</v>
      </c>
      <c r="C118" s="1" t="str">
        <f>IFERROR(__xludf.DUMMYFUNCTION("""COMPUTED_VALUE"""),"brendan.flaherty@al-enterprise.com")</f>
        <v>brendan.flaherty@al-enterprise.com</v>
      </c>
      <c r="D118" s="1" t="str">
        <f>IFERROR(__xludf.DUMMYFUNCTION("""COMPUTED_VALUE"""),"americas")</f>
        <v>americas</v>
      </c>
      <c r="E118" s="1" t="str">
        <f>IFERROR(__xludf.DUMMYFUNCTION("""COMPUTED_VALUE"""),"US")</f>
        <v>US</v>
      </c>
      <c r="F118" s="1"/>
      <c r="G118" s="1" t="str">
        <f>iferror(VLOOKUP(A118,'Business Plan Setup and Accepta'!A:G,6,false),"")</f>
        <v/>
      </c>
      <c r="H118" s="1" t="str">
        <f>iferror(VLOOKUP(A118,'Business Plan Setup and Accepta'!A:G,7,false),"")</f>
        <v/>
      </c>
      <c r="I118" s="17" t="str">
        <f t="shared" si="3"/>
        <v/>
      </c>
      <c r="J118" s="1" t="str">
        <f>IFERROR(VALUE(SUBSTITUTE(VLOOKUP(A118,'Sales IN Revenues vs Sales targ'!A:G,6,false)," $","")), "")
</f>
        <v/>
      </c>
      <c r="K118" s="1" t="str">
        <f>IFERROR(VALUE(SUBSTITUTE(VLOOKUP(A118,'Sales IN Revenues vs Sales targ'!A:G,7,false)," $","")), "")
</f>
        <v/>
      </c>
      <c r="L118" s="17" t="str">
        <f t="shared" si="4"/>
        <v/>
      </c>
      <c r="M118" s="1">
        <f>value(SUBSTITUTE(IFERROR(VLOOKUP(A118,'Certifications achievements vs '!A:G,6,false),""),"#","")
)</f>
        <v>0</v>
      </c>
      <c r="N118" s="1">
        <f>value(SUBSTITUTE(IFERROR(VLOOKUP(A118,'Certifications achievements vs '!A:G,7,false),""),"#","")
)</f>
        <v>0</v>
      </c>
      <c r="O118" s="17" t="str">
        <f t="shared" si="5"/>
        <v/>
      </c>
      <c r="P118" s="1">
        <f>value(SUBSTITUTE(IFERROR(VLOOKUP(A118,'Communications - Solution Speci'!A:G,6,false),""),"#","")
)</f>
        <v>0</v>
      </c>
      <c r="Q118" s="1">
        <f>value(SUBSTITUTE(IFERROR(VLOOKUP(A118,'Communications - Solution Speci'!A:G,7,false),""),"#","")
)</f>
        <v>0</v>
      </c>
      <c r="R118" s="17" t="str">
        <f t="shared" si="6"/>
        <v/>
      </c>
      <c r="S118" s="1">
        <f>value(SUBSTITUTE(IFERROR(VLOOKUP(A118,'Networking - Solution Specializ'!A:G,6,false),""),"#","")
)</f>
        <v>0</v>
      </c>
      <c r="T118" s="1">
        <f>value(SUBSTITUTE(IFERROR(VLOOKUP(A118,'Networking - Solution Specializ'!A:G,7,false),""),"#","")
)</f>
        <v>0</v>
      </c>
      <c r="U118" s="17" t="str">
        <f t="shared" si="7"/>
        <v/>
      </c>
      <c r="V118" s="1" t="str">
        <f>iferror(vlookup(A118,'Marketing Plan (extract summary'!A:G,6,false),"")</f>
        <v/>
      </c>
      <c r="W118" s="1" t="str">
        <f>iferror(vlookup(A118,'Marketing Plan (extract summary'!A:G,7,false),"")</f>
        <v/>
      </c>
      <c r="X118" s="17" t="str">
        <f t="shared" si="8"/>
        <v/>
      </c>
      <c r="Y118" s="1">
        <f>value(IFERROR(SUBSTITUTE(SUBSTITUTE(VLOOKUP(A118,'Quarterly Pipeline vs Target Pi'!A:G,6,false)," $","")," €",""), "")
)</f>
        <v>0</v>
      </c>
      <c r="Z118" s="1">
        <f>value(IFERROR(SUBSTITUTE(SUBSTITUTE(VLOOKUP(A118,'Quarterly Pipeline vs Target Pi'!A:G,7,false)," $","")," €",""), "")
)</f>
        <v>0</v>
      </c>
      <c r="AA118" s="17" t="str">
        <f t="shared" si="9"/>
        <v/>
      </c>
      <c r="AB118" s="1">
        <f>value(IFERROR(SUBSTITUTE(SUBSTITUTE(VLOOKUP($A118,'Quarterly Pipeline vs Target Pi'!$A:$V,11,false)," $","")," €",""), "")
)</f>
        <v>0</v>
      </c>
      <c r="AC118" s="1">
        <f>value(IFERROR(SUBSTITUTE(SUBSTITUTE(VLOOKUP($A118,'Quarterly Pipeline vs Target Pi'!$A:$V,12,false)," $","")," €",""), "")
)</f>
        <v>0</v>
      </c>
      <c r="AD118" s="17" t="str">
        <f t="shared" si="10"/>
        <v/>
      </c>
      <c r="AE118" s="1">
        <f>value(IFERROR(SUBSTITUTE(SUBSTITUTE(VLOOKUP($A118,'Quarterly Pipeline vs Target Pi'!$A:$V,16,false)," $","")," €",""), "")
)</f>
        <v>0</v>
      </c>
      <c r="AF118" s="1">
        <f>value(IFERROR(SUBSTITUTE(SUBSTITUTE(VLOOKUP($A118,'Quarterly Pipeline vs Target Pi'!$A:$V,17,false)," $","")," €",""), "")
)</f>
        <v>0</v>
      </c>
      <c r="AG118" s="17" t="str">
        <f t="shared" si="11"/>
        <v/>
      </c>
      <c r="AH118" s="1">
        <f>value(IFERROR(SUBSTITUTE(SUBSTITUTE(VLOOKUP($A118,'Quarterly Pipeline vs Target Pi'!$A:$V,21,false)," $","")," €",""), "")
)</f>
        <v>0</v>
      </c>
      <c r="AI118" s="1">
        <f>value(IFERROR(SUBSTITUTE(SUBSTITUTE(VLOOKUP($A118,'Quarterly Pipeline vs Target Pi'!$A:$V,22,false)," $","")," €",""), "")
)</f>
        <v>0</v>
      </c>
      <c r="AJ118" s="17" t="str">
        <f t="shared" si="12"/>
        <v/>
      </c>
      <c r="AK118" s="1">
        <f t="shared" ref="AK118:AL118" si="249">sum(Y118,AB118,AE118,AH118)</f>
        <v>0</v>
      </c>
      <c r="AL118" s="1">
        <f t="shared" si="249"/>
        <v>0</v>
      </c>
      <c r="AM118" s="17" t="str">
        <f t="shared" si="14"/>
        <v/>
      </c>
      <c r="AN118" s="1">
        <f>value(IFERROR(SUBSTITUTE(SUBSTITUTE(VLOOKUP($A118,'Quarterly Pipeline vs Target Pi'!$A:$AP,26,false)," $","")," €",""), "")
)</f>
        <v>0</v>
      </c>
      <c r="AO118" s="1">
        <f>value(IFERROR(SUBSTITUTE(SUBSTITUTE(VLOOKUP($A118,'Quarterly Pipeline vs Target Pi'!$A:$AP,27,false)," $","")," €",""), "")
)</f>
        <v>0</v>
      </c>
      <c r="AP118" s="17" t="str">
        <f t="shared" si="15"/>
        <v/>
      </c>
      <c r="AQ118" s="1">
        <f>value(IFERROR(SUBSTITUTE(SUBSTITUTE(VLOOKUP($A118,'Quarterly Pipeline vs Target Pi'!$A:$AP,31,false)," $","")," €",""), "")
)</f>
        <v>0</v>
      </c>
      <c r="AR118" s="1">
        <f>value(IFERROR(SUBSTITUTE(SUBSTITUTE(VLOOKUP($A118,'Quarterly Pipeline vs Target Pi'!$A:$AP,32,false)," $","")," €",""), "")
)</f>
        <v>0</v>
      </c>
      <c r="AS118" s="17" t="str">
        <f t="shared" si="16"/>
        <v/>
      </c>
      <c r="AT118" s="1">
        <f>value(IFERROR(SUBSTITUTE(SUBSTITUTE(VLOOKUP($A118,'Quarterly Pipeline vs Target Pi'!$A:$AP,36,false)," $","")," €",""), "")
)</f>
        <v>0</v>
      </c>
      <c r="AU118" s="1">
        <f>value(IFERROR(SUBSTITUTE(SUBSTITUTE(VLOOKUP($A118,'Quarterly Pipeline vs Target Pi'!$A:$AP,37,false)," $","")," €",""), "")
)</f>
        <v>0</v>
      </c>
      <c r="AV118" s="17" t="str">
        <f t="shared" si="17"/>
        <v/>
      </c>
      <c r="AW118" s="1">
        <f>value(IFERROR(SUBSTITUTE(SUBSTITUTE(VLOOKUP($A118,'Quarterly Pipeline vs Target Pi'!$A:$AP,41,false)," $","")," €",""), "")
)</f>
        <v>0</v>
      </c>
      <c r="AX118" s="1">
        <f>value(IFERROR(SUBSTITUTE(SUBSTITUTE(VLOOKUP($A118,'Quarterly Pipeline vs Target Pi'!$A:$AP,42,false)," $","")," €",""), "")
)</f>
        <v>0</v>
      </c>
      <c r="AY118" s="17" t="str">
        <f t="shared" si="18"/>
        <v/>
      </c>
      <c r="AZ118" s="1">
        <f t="shared" ref="AZ118:BA118" si="250">sum(AN118,AQ118,AT118,AW118)</f>
        <v>0</v>
      </c>
      <c r="BA118" s="1">
        <f t="shared" si="250"/>
        <v>0</v>
      </c>
      <c r="BB118" s="17" t="str">
        <f t="shared" si="20"/>
        <v/>
      </c>
    </row>
    <row r="119">
      <c r="A119" s="1" t="str">
        <f>IFERROR(__xludf.DUMMYFUNCTION("""COMPUTED_VALUE"""),"63fcbb7da107c871cf56461b")</f>
        <v>63fcbb7da107c871cf56461b</v>
      </c>
      <c r="B119" s="1" t="str">
        <f>IFERROR(__xludf.DUMMYFUNCTION("""COMPUTED_VALUE"""),"Dan's Excavating, Inc.")</f>
        <v>Dan's Excavating, Inc.</v>
      </c>
      <c r="C119" s="1" t="str">
        <f>IFERROR(__xludf.DUMMYFUNCTION("""COMPUTED_VALUE"""),"kyle.stetar@al-enterprise.com")</f>
        <v>kyle.stetar@al-enterprise.com</v>
      </c>
      <c r="D119" s="1" t="str">
        <f>IFERROR(__xludf.DUMMYFUNCTION("""COMPUTED_VALUE"""),"americas")</f>
        <v>americas</v>
      </c>
      <c r="E119" s="1" t="str">
        <f>IFERROR(__xludf.DUMMYFUNCTION("""COMPUTED_VALUE"""),"US")</f>
        <v>US</v>
      </c>
      <c r="F119" s="1"/>
      <c r="G119" s="1" t="str">
        <f>iferror(VLOOKUP(A119,'Business Plan Setup and Accepta'!A:G,6,false),"")</f>
        <v/>
      </c>
      <c r="H119" s="1" t="str">
        <f>iferror(VLOOKUP(A119,'Business Plan Setup and Accepta'!A:G,7,false),"")</f>
        <v/>
      </c>
      <c r="I119" s="17" t="str">
        <f t="shared" si="3"/>
        <v/>
      </c>
      <c r="J119" s="1" t="str">
        <f>IFERROR(VALUE(SUBSTITUTE(VLOOKUP(A119,'Sales IN Revenues vs Sales targ'!A:G,6,false)," $","")), "")
</f>
        <v/>
      </c>
      <c r="K119" s="1" t="str">
        <f>IFERROR(VALUE(SUBSTITUTE(VLOOKUP(A119,'Sales IN Revenues vs Sales targ'!A:G,7,false)," $","")), "")
</f>
        <v/>
      </c>
      <c r="L119" s="17" t="str">
        <f t="shared" si="4"/>
        <v/>
      </c>
      <c r="M119" s="1">
        <f>value(SUBSTITUTE(IFERROR(VLOOKUP(A119,'Certifications achievements vs '!A:G,6,false),""),"#","")
)</f>
        <v>0</v>
      </c>
      <c r="N119" s="1">
        <f>value(SUBSTITUTE(IFERROR(VLOOKUP(A119,'Certifications achievements vs '!A:G,7,false),""),"#","")
)</f>
        <v>0</v>
      </c>
      <c r="O119" s="17" t="str">
        <f t="shared" si="5"/>
        <v/>
      </c>
      <c r="P119" s="1">
        <f>value(SUBSTITUTE(IFERROR(VLOOKUP(A119,'Communications - Solution Speci'!A:G,6,false),""),"#","")
)</f>
        <v>0</v>
      </c>
      <c r="Q119" s="1">
        <f>value(SUBSTITUTE(IFERROR(VLOOKUP(A119,'Communications - Solution Speci'!A:G,7,false),""),"#","")
)</f>
        <v>0</v>
      </c>
      <c r="R119" s="17" t="str">
        <f t="shared" si="6"/>
        <v/>
      </c>
      <c r="S119" s="1">
        <f>value(SUBSTITUTE(IFERROR(VLOOKUP(A119,'Networking - Solution Specializ'!A:G,6,false),""),"#","")
)</f>
        <v>0</v>
      </c>
      <c r="T119" s="1">
        <f>value(SUBSTITUTE(IFERROR(VLOOKUP(A119,'Networking - Solution Specializ'!A:G,7,false),""),"#","")
)</f>
        <v>0</v>
      </c>
      <c r="U119" s="17" t="str">
        <f t="shared" si="7"/>
        <v/>
      </c>
      <c r="V119" s="1" t="str">
        <f>iferror(vlookup(A119,'Marketing Plan (extract summary'!A:G,6,false),"")</f>
        <v/>
      </c>
      <c r="W119" s="1" t="str">
        <f>iferror(vlookup(A119,'Marketing Plan (extract summary'!A:G,7,false),"")</f>
        <v/>
      </c>
      <c r="X119" s="17" t="str">
        <f t="shared" si="8"/>
        <v/>
      </c>
      <c r="Y119" s="1">
        <f>value(IFERROR(SUBSTITUTE(SUBSTITUTE(VLOOKUP(A119,'Quarterly Pipeline vs Target Pi'!A:G,6,false)," $","")," €",""), "")
)</f>
        <v>0</v>
      </c>
      <c r="Z119" s="1">
        <f>value(IFERROR(SUBSTITUTE(SUBSTITUTE(VLOOKUP(A119,'Quarterly Pipeline vs Target Pi'!A:G,7,false)," $","")," €",""), "")
)</f>
        <v>0</v>
      </c>
      <c r="AA119" s="17" t="str">
        <f t="shared" si="9"/>
        <v/>
      </c>
      <c r="AB119" s="1">
        <f>value(IFERROR(SUBSTITUTE(SUBSTITUTE(VLOOKUP($A119,'Quarterly Pipeline vs Target Pi'!$A:$V,11,false)," $","")," €",""), "")
)</f>
        <v>0</v>
      </c>
      <c r="AC119" s="1">
        <f>value(IFERROR(SUBSTITUTE(SUBSTITUTE(VLOOKUP($A119,'Quarterly Pipeline vs Target Pi'!$A:$V,12,false)," $","")," €",""), "")
)</f>
        <v>0</v>
      </c>
      <c r="AD119" s="17" t="str">
        <f t="shared" si="10"/>
        <v/>
      </c>
      <c r="AE119" s="1">
        <f>value(IFERROR(SUBSTITUTE(SUBSTITUTE(VLOOKUP($A119,'Quarterly Pipeline vs Target Pi'!$A:$V,16,false)," $","")," €",""), "")
)</f>
        <v>0</v>
      </c>
      <c r="AF119" s="1">
        <f>value(IFERROR(SUBSTITUTE(SUBSTITUTE(VLOOKUP($A119,'Quarterly Pipeline vs Target Pi'!$A:$V,17,false)," $","")," €",""), "")
)</f>
        <v>0</v>
      </c>
      <c r="AG119" s="17" t="str">
        <f t="shared" si="11"/>
        <v/>
      </c>
      <c r="AH119" s="1">
        <f>value(IFERROR(SUBSTITUTE(SUBSTITUTE(VLOOKUP($A119,'Quarterly Pipeline vs Target Pi'!$A:$V,21,false)," $","")," €",""), "")
)</f>
        <v>0</v>
      </c>
      <c r="AI119" s="1">
        <f>value(IFERROR(SUBSTITUTE(SUBSTITUTE(VLOOKUP($A119,'Quarterly Pipeline vs Target Pi'!$A:$V,22,false)," $","")," €",""), "")
)</f>
        <v>0</v>
      </c>
      <c r="AJ119" s="17" t="str">
        <f t="shared" si="12"/>
        <v/>
      </c>
      <c r="AK119" s="1">
        <f t="shared" ref="AK119:AL119" si="251">sum(Y119,AB119,AE119,AH119)</f>
        <v>0</v>
      </c>
      <c r="AL119" s="1">
        <f t="shared" si="251"/>
        <v>0</v>
      </c>
      <c r="AM119" s="17" t="str">
        <f t="shared" si="14"/>
        <v/>
      </c>
      <c r="AN119" s="1">
        <f>value(IFERROR(SUBSTITUTE(SUBSTITUTE(VLOOKUP($A119,'Quarterly Pipeline vs Target Pi'!$A:$AP,26,false)," $","")," €",""), "")
)</f>
        <v>0</v>
      </c>
      <c r="AO119" s="1">
        <f>value(IFERROR(SUBSTITUTE(SUBSTITUTE(VLOOKUP($A119,'Quarterly Pipeline vs Target Pi'!$A:$AP,27,false)," $","")," €",""), "")
)</f>
        <v>0</v>
      </c>
      <c r="AP119" s="17" t="str">
        <f t="shared" si="15"/>
        <v/>
      </c>
      <c r="AQ119" s="1">
        <f>value(IFERROR(SUBSTITUTE(SUBSTITUTE(VLOOKUP($A119,'Quarterly Pipeline vs Target Pi'!$A:$AP,31,false)," $","")," €",""), "")
)</f>
        <v>0</v>
      </c>
      <c r="AR119" s="1">
        <f>value(IFERROR(SUBSTITUTE(SUBSTITUTE(VLOOKUP($A119,'Quarterly Pipeline vs Target Pi'!$A:$AP,32,false)," $","")," €",""), "")
)</f>
        <v>0</v>
      </c>
      <c r="AS119" s="17" t="str">
        <f t="shared" si="16"/>
        <v/>
      </c>
      <c r="AT119" s="1">
        <f>value(IFERROR(SUBSTITUTE(SUBSTITUTE(VLOOKUP($A119,'Quarterly Pipeline vs Target Pi'!$A:$AP,36,false)," $","")," €",""), "")
)</f>
        <v>0</v>
      </c>
      <c r="AU119" s="1">
        <f>value(IFERROR(SUBSTITUTE(SUBSTITUTE(VLOOKUP($A119,'Quarterly Pipeline vs Target Pi'!$A:$AP,37,false)," $","")," €",""), "")
)</f>
        <v>0</v>
      </c>
      <c r="AV119" s="17" t="str">
        <f t="shared" si="17"/>
        <v/>
      </c>
      <c r="AW119" s="1">
        <f>value(IFERROR(SUBSTITUTE(SUBSTITUTE(VLOOKUP($A119,'Quarterly Pipeline vs Target Pi'!$A:$AP,41,false)," $","")," €",""), "")
)</f>
        <v>0</v>
      </c>
      <c r="AX119" s="1">
        <f>value(IFERROR(SUBSTITUTE(SUBSTITUTE(VLOOKUP($A119,'Quarterly Pipeline vs Target Pi'!$A:$AP,42,false)," $","")," €",""), "")
)</f>
        <v>0</v>
      </c>
      <c r="AY119" s="17" t="str">
        <f t="shared" si="18"/>
        <v/>
      </c>
      <c r="AZ119" s="1">
        <f t="shared" ref="AZ119:BA119" si="252">sum(AN119,AQ119,AT119,AW119)</f>
        <v>0</v>
      </c>
      <c r="BA119" s="1">
        <f t="shared" si="252"/>
        <v>0</v>
      </c>
      <c r="BB119" s="17" t="str">
        <f t="shared" si="20"/>
        <v/>
      </c>
    </row>
    <row r="120">
      <c r="A120" s="1" t="str">
        <f>IFERROR(__xludf.DUMMYFUNCTION("""COMPUTED_VALUE"""),"63ea6e9452ad6968805ceb89")</f>
        <v>63ea6e9452ad6968805ceb89</v>
      </c>
      <c r="B120" s="1" t="str">
        <f>IFERROR(__xludf.DUMMYFUNCTION("""COMPUTED_VALUE"""),"Dapperger und Huber GmbH")</f>
        <v>Dapperger und Huber GmbH</v>
      </c>
      <c r="C120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120" s="1" t="str">
        <f>IFERROR(__xludf.DUMMYFUNCTION("""COMPUTED_VALUE"""),"germany")</f>
        <v>germany</v>
      </c>
      <c r="E120" s="1" t="str">
        <f>IFERROR(__xludf.DUMMYFUNCTION("""COMPUTED_VALUE"""),"DE")</f>
        <v>DE</v>
      </c>
      <c r="F120" s="1"/>
      <c r="G120" s="1" t="str">
        <f>iferror(VLOOKUP(A120,'Business Plan Setup and Accepta'!A:G,6,false),"")</f>
        <v/>
      </c>
      <c r="H120" s="1" t="str">
        <f>iferror(VLOOKUP(A120,'Business Plan Setup and Accepta'!A:G,7,false),"")</f>
        <v/>
      </c>
      <c r="I120" s="17" t="str">
        <f t="shared" si="3"/>
        <v/>
      </c>
      <c r="J120" s="1" t="str">
        <f>IFERROR(VALUE(SUBSTITUTE(VLOOKUP(A120,'Sales IN Revenues vs Sales targ'!A:G,6,false)," $","")), "")
</f>
        <v/>
      </c>
      <c r="K120" s="1" t="str">
        <f>IFERROR(VALUE(SUBSTITUTE(VLOOKUP(A120,'Sales IN Revenues vs Sales targ'!A:G,7,false)," $","")), "")
</f>
        <v/>
      </c>
      <c r="L120" s="17" t="str">
        <f t="shared" si="4"/>
        <v/>
      </c>
      <c r="M120" s="1">
        <f>value(SUBSTITUTE(IFERROR(VLOOKUP(A120,'Certifications achievements vs '!A:G,6,false),""),"#","")
)</f>
        <v>9</v>
      </c>
      <c r="N120" s="1">
        <f>value(SUBSTITUTE(IFERROR(VLOOKUP(A120,'Certifications achievements vs '!A:G,7,false),""),"#","")
)</f>
        <v>0</v>
      </c>
      <c r="O120" s="17" t="str">
        <f t="shared" si="5"/>
        <v/>
      </c>
      <c r="P120" s="1">
        <f>value(SUBSTITUTE(IFERROR(VLOOKUP(A120,'Communications - Solution Speci'!A:G,6,false),""),"#","")
)</f>
        <v>0</v>
      </c>
      <c r="Q120" s="1">
        <f>value(SUBSTITUTE(IFERROR(VLOOKUP(A120,'Communications - Solution Speci'!A:G,7,false),""),"#","")
)</f>
        <v>0</v>
      </c>
      <c r="R120" s="17" t="str">
        <f t="shared" si="6"/>
        <v/>
      </c>
      <c r="S120" s="1">
        <f>value(SUBSTITUTE(IFERROR(VLOOKUP(A120,'Networking - Solution Specializ'!A:G,6,false),""),"#","")
)</f>
        <v>0</v>
      </c>
      <c r="T120" s="1">
        <f>value(SUBSTITUTE(IFERROR(VLOOKUP(A120,'Networking - Solution Specializ'!A:G,7,false),""),"#","")
)</f>
        <v>0</v>
      </c>
      <c r="U120" s="17" t="str">
        <f t="shared" si="7"/>
        <v/>
      </c>
      <c r="V120" s="1" t="str">
        <f>iferror(vlookup(A120,'Marketing Plan (extract summary'!A:G,6,false),"")</f>
        <v/>
      </c>
      <c r="W120" s="1" t="str">
        <f>iferror(vlookup(A120,'Marketing Plan (extract summary'!A:G,7,false),"")</f>
        <v/>
      </c>
      <c r="X120" s="17" t="str">
        <f t="shared" si="8"/>
        <v/>
      </c>
      <c r="Y120" s="1">
        <f>value(IFERROR(SUBSTITUTE(SUBSTITUTE(VLOOKUP(A120,'Quarterly Pipeline vs Target Pi'!A:G,6,false)," $","")," €",""), "")
)</f>
        <v>0</v>
      </c>
      <c r="Z120" s="1">
        <f>value(IFERROR(SUBSTITUTE(SUBSTITUTE(VLOOKUP(A120,'Quarterly Pipeline vs Target Pi'!A:G,7,false)," $","")," €",""), "")
)</f>
        <v>0</v>
      </c>
      <c r="AA120" s="17" t="str">
        <f t="shared" si="9"/>
        <v/>
      </c>
      <c r="AB120" s="1">
        <f>value(IFERROR(SUBSTITUTE(SUBSTITUTE(VLOOKUP($A120,'Quarterly Pipeline vs Target Pi'!$A:$V,11,false)," $","")," €",""), "")
)</f>
        <v>0</v>
      </c>
      <c r="AC120" s="1">
        <f>value(IFERROR(SUBSTITUTE(SUBSTITUTE(VLOOKUP($A120,'Quarterly Pipeline vs Target Pi'!$A:$V,12,false)," $","")," €",""), "")
)</f>
        <v>0</v>
      </c>
      <c r="AD120" s="17" t="str">
        <f t="shared" si="10"/>
        <v/>
      </c>
      <c r="AE120" s="1">
        <f>value(IFERROR(SUBSTITUTE(SUBSTITUTE(VLOOKUP($A120,'Quarterly Pipeline vs Target Pi'!$A:$V,16,false)," $","")," €",""), "")
)</f>
        <v>0</v>
      </c>
      <c r="AF120" s="1">
        <f>value(IFERROR(SUBSTITUTE(SUBSTITUTE(VLOOKUP($A120,'Quarterly Pipeline vs Target Pi'!$A:$V,17,false)," $","")," €",""), "")
)</f>
        <v>0</v>
      </c>
      <c r="AG120" s="17" t="str">
        <f t="shared" si="11"/>
        <v/>
      </c>
      <c r="AH120" s="1">
        <f>value(IFERROR(SUBSTITUTE(SUBSTITUTE(VLOOKUP($A120,'Quarterly Pipeline vs Target Pi'!$A:$V,21,false)," $","")," €",""), "")
)</f>
        <v>0</v>
      </c>
      <c r="AI120" s="1">
        <f>value(IFERROR(SUBSTITUTE(SUBSTITUTE(VLOOKUP($A120,'Quarterly Pipeline vs Target Pi'!$A:$V,22,false)," $","")," €",""), "")
)</f>
        <v>0</v>
      </c>
      <c r="AJ120" s="17" t="str">
        <f t="shared" si="12"/>
        <v/>
      </c>
      <c r="AK120" s="1">
        <f t="shared" ref="AK120:AL120" si="253">sum(Y120,AB120,AE120,AH120)</f>
        <v>0</v>
      </c>
      <c r="AL120" s="1">
        <f t="shared" si="253"/>
        <v>0</v>
      </c>
      <c r="AM120" s="17" t="str">
        <f t="shared" si="14"/>
        <v/>
      </c>
      <c r="AN120" s="1">
        <f>value(IFERROR(SUBSTITUTE(SUBSTITUTE(VLOOKUP($A120,'Quarterly Pipeline vs Target Pi'!$A:$AP,26,false)," $","")," €",""), "")
)</f>
        <v>0</v>
      </c>
      <c r="AO120" s="1">
        <f>value(IFERROR(SUBSTITUTE(SUBSTITUTE(VLOOKUP($A120,'Quarterly Pipeline vs Target Pi'!$A:$AP,27,false)," $","")," €",""), "")
)</f>
        <v>0</v>
      </c>
      <c r="AP120" s="17" t="str">
        <f t="shared" si="15"/>
        <v/>
      </c>
      <c r="AQ120" s="1">
        <f>value(IFERROR(SUBSTITUTE(SUBSTITUTE(VLOOKUP($A120,'Quarterly Pipeline vs Target Pi'!$A:$AP,31,false)," $","")," €",""), "")
)</f>
        <v>0</v>
      </c>
      <c r="AR120" s="1">
        <f>value(IFERROR(SUBSTITUTE(SUBSTITUTE(VLOOKUP($A120,'Quarterly Pipeline vs Target Pi'!$A:$AP,32,false)," $","")," €",""), "")
)</f>
        <v>0</v>
      </c>
      <c r="AS120" s="17" t="str">
        <f t="shared" si="16"/>
        <v/>
      </c>
      <c r="AT120" s="1">
        <f>value(IFERROR(SUBSTITUTE(SUBSTITUTE(VLOOKUP($A120,'Quarterly Pipeline vs Target Pi'!$A:$AP,36,false)," $","")," €",""), "")
)</f>
        <v>0</v>
      </c>
      <c r="AU120" s="1">
        <f>value(IFERROR(SUBSTITUTE(SUBSTITUTE(VLOOKUP($A120,'Quarterly Pipeline vs Target Pi'!$A:$AP,37,false)," $","")," €",""), "")
)</f>
        <v>0</v>
      </c>
      <c r="AV120" s="17" t="str">
        <f t="shared" si="17"/>
        <v/>
      </c>
      <c r="AW120" s="1">
        <f>value(IFERROR(SUBSTITUTE(SUBSTITUTE(VLOOKUP($A120,'Quarterly Pipeline vs Target Pi'!$A:$AP,41,false)," $","")," €",""), "")
)</f>
        <v>0</v>
      </c>
      <c r="AX120" s="1">
        <f>value(IFERROR(SUBSTITUTE(SUBSTITUTE(VLOOKUP($A120,'Quarterly Pipeline vs Target Pi'!$A:$AP,42,false)," $","")," €",""), "")
)</f>
        <v>0</v>
      </c>
      <c r="AY120" s="17" t="str">
        <f t="shared" si="18"/>
        <v/>
      </c>
      <c r="AZ120" s="1">
        <f t="shared" ref="AZ120:BA120" si="254">sum(AN120,AQ120,AT120,AW120)</f>
        <v>0</v>
      </c>
      <c r="BA120" s="1">
        <f t="shared" si="254"/>
        <v>0</v>
      </c>
      <c r="BB120" s="17" t="str">
        <f t="shared" si="20"/>
        <v/>
      </c>
    </row>
    <row r="121">
      <c r="A121" s="1" t="str">
        <f>IFERROR(__xludf.DUMMYFUNCTION("""COMPUTED_VALUE"""),"63fcbb82a107c871cf564e33")</f>
        <v>63fcbb82a107c871cf564e33</v>
      </c>
      <c r="B121" s="1" t="str">
        <f>IFERROR(__xludf.DUMMYFUNCTION("""COMPUTED_VALUE"""),"Data Sales Corporation")</f>
        <v>Data Sales Corporation</v>
      </c>
      <c r="C121" s="1" t="str">
        <f>IFERROR(__xludf.DUMMYFUNCTION("""COMPUTED_VALUE"""),"steve.mcglasson@al-enterprise.com")</f>
        <v>steve.mcglasson@al-enterprise.com</v>
      </c>
      <c r="D121" s="1" t="str">
        <f>IFERROR(__xludf.DUMMYFUNCTION("""COMPUTED_VALUE"""),"americas")</f>
        <v>americas</v>
      </c>
      <c r="E121" s="1" t="str">
        <f>IFERROR(__xludf.DUMMYFUNCTION("""COMPUTED_VALUE"""),"US")</f>
        <v>US</v>
      </c>
      <c r="F121" s="1"/>
      <c r="G121" s="1" t="str">
        <f>iferror(VLOOKUP(A121,'Business Plan Setup and Accepta'!A:G,6,false),"")</f>
        <v/>
      </c>
      <c r="H121" s="1" t="str">
        <f>iferror(VLOOKUP(A121,'Business Plan Setup and Accepta'!A:G,7,false),"")</f>
        <v/>
      </c>
      <c r="I121" s="17" t="str">
        <f t="shared" si="3"/>
        <v/>
      </c>
      <c r="J121" s="1" t="str">
        <f>IFERROR(VALUE(SUBSTITUTE(VLOOKUP(A121,'Sales IN Revenues vs Sales targ'!A:G,6,false)," $","")), "")
</f>
        <v/>
      </c>
      <c r="K121" s="1" t="str">
        <f>IFERROR(VALUE(SUBSTITUTE(VLOOKUP(A121,'Sales IN Revenues vs Sales targ'!A:G,7,false)," $","")), "")
</f>
        <v/>
      </c>
      <c r="L121" s="17" t="str">
        <f t="shared" si="4"/>
        <v/>
      </c>
      <c r="M121" s="1">
        <f>value(SUBSTITUTE(IFERROR(VLOOKUP(A121,'Certifications achievements vs '!A:G,6,false),""),"#","")
)</f>
        <v>0</v>
      </c>
      <c r="N121" s="1">
        <f>value(SUBSTITUTE(IFERROR(VLOOKUP(A121,'Certifications achievements vs '!A:G,7,false),""),"#","")
)</f>
        <v>0</v>
      </c>
      <c r="O121" s="17" t="str">
        <f t="shared" si="5"/>
        <v/>
      </c>
      <c r="P121" s="1">
        <f>value(SUBSTITUTE(IFERROR(VLOOKUP(A121,'Communications - Solution Speci'!A:G,6,false),""),"#","")
)</f>
        <v>0</v>
      </c>
      <c r="Q121" s="1">
        <f>value(SUBSTITUTE(IFERROR(VLOOKUP(A121,'Communications - Solution Speci'!A:G,7,false),""),"#","")
)</f>
        <v>0</v>
      </c>
      <c r="R121" s="17" t="str">
        <f t="shared" si="6"/>
        <v/>
      </c>
      <c r="S121" s="1">
        <f>value(SUBSTITUTE(IFERROR(VLOOKUP(A121,'Networking - Solution Specializ'!A:G,6,false),""),"#","")
)</f>
        <v>0</v>
      </c>
      <c r="T121" s="1">
        <f>value(SUBSTITUTE(IFERROR(VLOOKUP(A121,'Networking - Solution Specializ'!A:G,7,false),""),"#","")
)</f>
        <v>0</v>
      </c>
      <c r="U121" s="17" t="str">
        <f t="shared" si="7"/>
        <v/>
      </c>
      <c r="V121" s="1" t="str">
        <f>iferror(vlookup(A121,'Marketing Plan (extract summary'!A:G,6,false),"")</f>
        <v/>
      </c>
      <c r="W121" s="1" t="str">
        <f>iferror(vlookup(A121,'Marketing Plan (extract summary'!A:G,7,false),"")</f>
        <v/>
      </c>
      <c r="X121" s="17" t="str">
        <f t="shared" si="8"/>
        <v/>
      </c>
      <c r="Y121" s="1">
        <f>value(IFERROR(SUBSTITUTE(SUBSTITUTE(VLOOKUP(A121,'Quarterly Pipeline vs Target Pi'!A:G,6,false)," $","")," €",""), "")
)</f>
        <v>0</v>
      </c>
      <c r="Z121" s="1">
        <f>value(IFERROR(SUBSTITUTE(SUBSTITUTE(VLOOKUP(A121,'Quarterly Pipeline vs Target Pi'!A:G,7,false)," $","")," €",""), "")
)</f>
        <v>0</v>
      </c>
      <c r="AA121" s="17" t="str">
        <f t="shared" si="9"/>
        <v/>
      </c>
      <c r="AB121" s="1">
        <f>value(IFERROR(SUBSTITUTE(SUBSTITUTE(VLOOKUP($A121,'Quarterly Pipeline vs Target Pi'!$A:$V,11,false)," $","")," €",""), "")
)</f>
        <v>0</v>
      </c>
      <c r="AC121" s="1">
        <f>value(IFERROR(SUBSTITUTE(SUBSTITUTE(VLOOKUP($A121,'Quarterly Pipeline vs Target Pi'!$A:$V,12,false)," $","")," €",""), "")
)</f>
        <v>0</v>
      </c>
      <c r="AD121" s="17" t="str">
        <f t="shared" si="10"/>
        <v/>
      </c>
      <c r="AE121" s="1">
        <f>value(IFERROR(SUBSTITUTE(SUBSTITUTE(VLOOKUP($A121,'Quarterly Pipeline vs Target Pi'!$A:$V,16,false)," $","")," €",""), "")
)</f>
        <v>0</v>
      </c>
      <c r="AF121" s="1">
        <f>value(IFERROR(SUBSTITUTE(SUBSTITUTE(VLOOKUP($A121,'Quarterly Pipeline vs Target Pi'!$A:$V,17,false)," $","")," €",""), "")
)</f>
        <v>0</v>
      </c>
      <c r="AG121" s="17" t="str">
        <f t="shared" si="11"/>
        <v/>
      </c>
      <c r="AH121" s="1">
        <f>value(IFERROR(SUBSTITUTE(SUBSTITUTE(VLOOKUP($A121,'Quarterly Pipeline vs Target Pi'!$A:$V,21,false)," $","")," €",""), "")
)</f>
        <v>0</v>
      </c>
      <c r="AI121" s="1">
        <f>value(IFERROR(SUBSTITUTE(SUBSTITUTE(VLOOKUP($A121,'Quarterly Pipeline vs Target Pi'!$A:$V,22,false)," $","")," €",""), "")
)</f>
        <v>0</v>
      </c>
      <c r="AJ121" s="17" t="str">
        <f t="shared" si="12"/>
        <v/>
      </c>
      <c r="AK121" s="1">
        <f t="shared" ref="AK121:AL121" si="255">sum(Y121,AB121,AE121,AH121)</f>
        <v>0</v>
      </c>
      <c r="AL121" s="1">
        <f t="shared" si="255"/>
        <v>0</v>
      </c>
      <c r="AM121" s="17" t="str">
        <f t="shared" si="14"/>
        <v/>
      </c>
      <c r="AN121" s="1">
        <f>value(IFERROR(SUBSTITUTE(SUBSTITUTE(VLOOKUP($A121,'Quarterly Pipeline vs Target Pi'!$A:$AP,26,false)," $","")," €",""), "")
)</f>
        <v>0</v>
      </c>
      <c r="AO121" s="1">
        <f>value(IFERROR(SUBSTITUTE(SUBSTITUTE(VLOOKUP($A121,'Quarterly Pipeline vs Target Pi'!$A:$AP,27,false)," $","")," €",""), "")
)</f>
        <v>0</v>
      </c>
      <c r="AP121" s="17" t="str">
        <f t="shared" si="15"/>
        <v/>
      </c>
      <c r="AQ121" s="1">
        <f>value(IFERROR(SUBSTITUTE(SUBSTITUTE(VLOOKUP($A121,'Quarterly Pipeline vs Target Pi'!$A:$AP,31,false)," $","")," €",""), "")
)</f>
        <v>0</v>
      </c>
      <c r="AR121" s="1">
        <f>value(IFERROR(SUBSTITUTE(SUBSTITUTE(VLOOKUP($A121,'Quarterly Pipeline vs Target Pi'!$A:$AP,32,false)," $","")," €",""), "")
)</f>
        <v>0</v>
      </c>
      <c r="AS121" s="17" t="str">
        <f t="shared" si="16"/>
        <v/>
      </c>
      <c r="AT121" s="1">
        <f>value(IFERROR(SUBSTITUTE(SUBSTITUTE(VLOOKUP($A121,'Quarterly Pipeline vs Target Pi'!$A:$AP,36,false)," $","")," €",""), "")
)</f>
        <v>0</v>
      </c>
      <c r="AU121" s="1">
        <f>value(IFERROR(SUBSTITUTE(SUBSTITUTE(VLOOKUP($A121,'Quarterly Pipeline vs Target Pi'!$A:$AP,37,false)," $","")," €",""), "")
)</f>
        <v>0</v>
      </c>
      <c r="AV121" s="17" t="str">
        <f t="shared" si="17"/>
        <v/>
      </c>
      <c r="AW121" s="1">
        <f>value(IFERROR(SUBSTITUTE(SUBSTITUTE(VLOOKUP($A121,'Quarterly Pipeline vs Target Pi'!$A:$AP,41,false)," $","")," €",""), "")
)</f>
        <v>0</v>
      </c>
      <c r="AX121" s="1">
        <f>value(IFERROR(SUBSTITUTE(SUBSTITUTE(VLOOKUP($A121,'Quarterly Pipeline vs Target Pi'!$A:$AP,42,false)," $","")," €",""), "")
)</f>
        <v>0</v>
      </c>
      <c r="AY121" s="17" t="str">
        <f t="shared" si="18"/>
        <v/>
      </c>
      <c r="AZ121" s="1">
        <f t="shared" ref="AZ121:BA121" si="256">sum(AN121,AQ121,AT121,AW121)</f>
        <v>0</v>
      </c>
      <c r="BA121" s="1">
        <f t="shared" si="256"/>
        <v>0</v>
      </c>
      <c r="BB121" s="17" t="str">
        <f t="shared" si="20"/>
        <v/>
      </c>
    </row>
    <row r="122">
      <c r="A122" s="1" t="str">
        <f>IFERROR(__xludf.DUMMYFUNCTION("""COMPUTED_VALUE"""),"679366fcb35503f3000f3c14")</f>
        <v>679366fcb35503f3000f3c14</v>
      </c>
      <c r="B122" s="1" t="str">
        <f>IFERROR(__xludf.DUMMYFUNCTION("""COMPUTED_VALUE"""),"DATAGROUP Stuttgart GmbH")</f>
        <v>DATAGROUP Stuttgart GmbH</v>
      </c>
      <c r="C122" s="1" t="str">
        <f>IFERROR(__xludf.DUMMYFUNCTION("""COMPUTED_VALUE"""),"robert.weinberger@al-enterprise.com")</f>
        <v>robert.weinberger@al-enterprise.com</v>
      </c>
      <c r="D122" s="1" t="str">
        <f>IFERROR(__xludf.DUMMYFUNCTION("""COMPUTED_VALUE"""),"germany")</f>
        <v>germany</v>
      </c>
      <c r="E122" s="1" t="str">
        <f>IFERROR(__xludf.DUMMYFUNCTION("""COMPUTED_VALUE"""),"DE")</f>
        <v>DE</v>
      </c>
      <c r="F122" s="1" t="str">
        <f>IFERROR(__xludf.DUMMYFUNCTION("""COMPUTED_VALUE"""),"expert_200")</f>
        <v>expert_200</v>
      </c>
      <c r="G122" s="1">
        <f>iferror(VLOOKUP(A122,'Business Plan Setup and Accepta'!A:G,6,false),"")</f>
        <v>0</v>
      </c>
      <c r="H122" s="1">
        <f>iferror(VLOOKUP(A122,'Business Plan Setup and Accepta'!A:G,7,false),"")</f>
        <v>1</v>
      </c>
      <c r="I122" s="17">
        <f t="shared" si="3"/>
        <v>0</v>
      </c>
      <c r="J122" s="1">
        <f>IFERROR(VALUE(SUBSTITUTE(VLOOKUP(A122,'Sales IN Revenues vs Sales targ'!A:G,6,false)," $","")), "")
</f>
        <v>0</v>
      </c>
      <c r="K122" s="1">
        <f>IFERROR(VALUE(SUBSTITUTE(VLOOKUP(A122,'Sales IN Revenues vs Sales targ'!A:G,7,false)," $","")), "")
</f>
        <v>0</v>
      </c>
      <c r="L122" s="17" t="str">
        <f t="shared" si="4"/>
        <v/>
      </c>
      <c r="M122" s="1">
        <f>value(SUBSTITUTE(IFERROR(VLOOKUP(A122,'Certifications achievements vs '!A:G,6,false),""),"#","")
)</f>
        <v>0</v>
      </c>
      <c r="N122" s="1">
        <f>value(SUBSTITUTE(IFERROR(VLOOKUP(A122,'Certifications achievements vs '!A:G,7,false),""),"#","")
)</f>
        <v>0</v>
      </c>
      <c r="O122" s="17" t="str">
        <f t="shared" si="5"/>
        <v/>
      </c>
      <c r="P122" s="1">
        <f>value(SUBSTITUTE(IFERROR(VLOOKUP(A122,'Communications - Solution Speci'!A:G,6,false),""),"#","")
)</f>
        <v>0</v>
      </c>
      <c r="Q122" s="1">
        <f>value(SUBSTITUTE(IFERROR(VLOOKUP(A122,'Communications - Solution Speci'!A:G,7,false),""),"#","")
)</f>
        <v>1</v>
      </c>
      <c r="R122" s="17">
        <f t="shared" si="6"/>
        <v>0</v>
      </c>
      <c r="S122" s="1">
        <f>value(SUBSTITUTE(IFERROR(VLOOKUP(A122,'Networking - Solution Specializ'!A:G,6,false),""),"#","")
)</f>
        <v>0</v>
      </c>
      <c r="T122" s="1">
        <f>value(SUBSTITUTE(IFERROR(VLOOKUP(A122,'Networking - Solution Specializ'!A:G,7,false),""),"#","")
)</f>
        <v>1</v>
      </c>
      <c r="U122" s="17">
        <f t="shared" si="7"/>
        <v>0</v>
      </c>
      <c r="V122" s="1">
        <f>iferror(vlookup(A122,'Marketing Plan (extract summary'!A:G,6,false),"")</f>
        <v>0</v>
      </c>
      <c r="W122" s="1">
        <f>iferror(vlookup(A122,'Marketing Plan (extract summary'!A:G,7,false),"")</f>
        <v>1</v>
      </c>
      <c r="X122" s="17">
        <f t="shared" si="8"/>
        <v>0</v>
      </c>
      <c r="Y122" s="1">
        <f>value(IFERROR(SUBSTITUTE(SUBSTITUTE(VLOOKUP(A122,'Quarterly Pipeline vs Target Pi'!A:G,6,false)," $","")," €",""), "")
)</f>
        <v>0</v>
      </c>
      <c r="Z122" s="1">
        <f>value(IFERROR(SUBSTITUTE(SUBSTITUTE(VLOOKUP(A122,'Quarterly Pipeline vs Target Pi'!A:G,7,false)," $","")," €",""), "")
)</f>
        <v>0</v>
      </c>
      <c r="AA122" s="17" t="str">
        <f t="shared" si="9"/>
        <v/>
      </c>
      <c r="AB122" s="1">
        <f>value(IFERROR(SUBSTITUTE(SUBSTITUTE(VLOOKUP($A122,'Quarterly Pipeline vs Target Pi'!$A:$V,11,false)," $","")," €",""), "")
)</f>
        <v>0</v>
      </c>
      <c r="AC122" s="1">
        <f>value(IFERROR(SUBSTITUTE(SUBSTITUTE(VLOOKUP($A122,'Quarterly Pipeline vs Target Pi'!$A:$V,12,false)," $","")," €",""), "")
)</f>
        <v>0</v>
      </c>
      <c r="AD122" s="17" t="str">
        <f t="shared" si="10"/>
        <v/>
      </c>
      <c r="AE122" s="1">
        <f>value(IFERROR(SUBSTITUTE(SUBSTITUTE(VLOOKUP($A122,'Quarterly Pipeline vs Target Pi'!$A:$V,16,false)," $","")," €",""), "")
)</f>
        <v>0</v>
      </c>
      <c r="AF122" s="1">
        <f>value(IFERROR(SUBSTITUTE(SUBSTITUTE(VLOOKUP($A122,'Quarterly Pipeline vs Target Pi'!$A:$V,17,false)," $","")," €",""), "")
)</f>
        <v>0</v>
      </c>
      <c r="AG122" s="17" t="str">
        <f t="shared" si="11"/>
        <v/>
      </c>
      <c r="AH122" s="1">
        <f>value(IFERROR(SUBSTITUTE(SUBSTITUTE(VLOOKUP($A122,'Quarterly Pipeline vs Target Pi'!$A:$V,21,false)," $","")," €",""), "")
)</f>
        <v>0</v>
      </c>
      <c r="AI122" s="1">
        <f>value(IFERROR(SUBSTITUTE(SUBSTITUTE(VLOOKUP($A122,'Quarterly Pipeline vs Target Pi'!$A:$V,22,false)," $","")," €",""), "")
)</f>
        <v>0</v>
      </c>
      <c r="AJ122" s="17" t="str">
        <f t="shared" si="12"/>
        <v/>
      </c>
      <c r="AK122" s="1">
        <f t="shared" ref="AK122:AL122" si="257">sum(Y122,AB122,AE122,AH122)</f>
        <v>0</v>
      </c>
      <c r="AL122" s="1">
        <f t="shared" si="257"/>
        <v>0</v>
      </c>
      <c r="AM122" s="17" t="str">
        <f t="shared" si="14"/>
        <v/>
      </c>
      <c r="AN122" s="1">
        <f>value(IFERROR(SUBSTITUTE(SUBSTITUTE(VLOOKUP($A122,'Quarterly Pipeline vs Target Pi'!$A:$AP,26,false)," $","")," €",""), "")
)</f>
        <v>0</v>
      </c>
      <c r="AO122" s="1">
        <f>value(IFERROR(SUBSTITUTE(SUBSTITUTE(VLOOKUP($A122,'Quarterly Pipeline vs Target Pi'!$A:$AP,27,false)," $","")," €",""), "")
)</f>
        <v>0</v>
      </c>
      <c r="AP122" s="17" t="str">
        <f t="shared" si="15"/>
        <v/>
      </c>
      <c r="AQ122" s="1">
        <f>value(IFERROR(SUBSTITUTE(SUBSTITUTE(VLOOKUP($A122,'Quarterly Pipeline vs Target Pi'!$A:$AP,31,false)," $","")," €",""), "")
)</f>
        <v>0</v>
      </c>
      <c r="AR122" s="1">
        <f>value(IFERROR(SUBSTITUTE(SUBSTITUTE(VLOOKUP($A122,'Quarterly Pipeline vs Target Pi'!$A:$AP,32,false)," $","")," €",""), "")
)</f>
        <v>0</v>
      </c>
      <c r="AS122" s="17" t="str">
        <f t="shared" si="16"/>
        <v/>
      </c>
      <c r="AT122" s="1">
        <f>value(IFERROR(SUBSTITUTE(SUBSTITUTE(VLOOKUP($A122,'Quarterly Pipeline vs Target Pi'!$A:$AP,36,false)," $","")," €",""), "")
)</f>
        <v>0</v>
      </c>
      <c r="AU122" s="1">
        <f>value(IFERROR(SUBSTITUTE(SUBSTITUTE(VLOOKUP($A122,'Quarterly Pipeline vs Target Pi'!$A:$AP,37,false)," $","")," €",""), "")
)</f>
        <v>0</v>
      </c>
      <c r="AV122" s="17" t="str">
        <f t="shared" si="17"/>
        <v/>
      </c>
      <c r="AW122" s="1">
        <f>value(IFERROR(SUBSTITUTE(SUBSTITUTE(VLOOKUP($A122,'Quarterly Pipeline vs Target Pi'!$A:$AP,41,false)," $","")," €",""), "")
)</f>
        <v>0</v>
      </c>
      <c r="AX122" s="1">
        <f>value(IFERROR(SUBSTITUTE(SUBSTITUTE(VLOOKUP($A122,'Quarterly Pipeline vs Target Pi'!$A:$AP,42,false)," $","")," €",""), "")
)</f>
        <v>0</v>
      </c>
      <c r="AY122" s="17" t="str">
        <f t="shared" si="18"/>
        <v/>
      </c>
      <c r="AZ122" s="1">
        <f t="shared" ref="AZ122:BA122" si="258">sum(AN122,AQ122,AT122,AW122)</f>
        <v>0</v>
      </c>
      <c r="BA122" s="1">
        <f t="shared" si="258"/>
        <v>0</v>
      </c>
      <c r="BB122" s="17" t="str">
        <f t="shared" si="20"/>
        <v/>
      </c>
    </row>
    <row r="123">
      <c r="A123" s="1" t="str">
        <f>IFERROR(__xludf.DUMMYFUNCTION("""COMPUTED_VALUE"""),"63ef9d5f384f27260c1bb02d")</f>
        <v>63ef9d5f384f27260c1bb02d</v>
      </c>
      <c r="B123" s="1" t="str">
        <f>IFERROR(__xludf.DUMMYFUNCTION("""COMPUTED_VALUE"""),"Dato Telecommunications, S.A. de C.")</f>
        <v>Dato Telecommunications, S.A. de C.</v>
      </c>
      <c r="C123" s="1" t="str">
        <f>IFERROR(__xludf.DUMMYFUNCTION("""COMPUTED_VALUE"""),"saul.montiel@al-enterprise.com")</f>
        <v>saul.montiel@al-enterprise.com</v>
      </c>
      <c r="D123" s="1" t="str">
        <f>IFERROR(__xludf.DUMMYFUNCTION("""COMPUTED_VALUE"""),"americas")</f>
        <v>americas</v>
      </c>
      <c r="E123" s="1" t="str">
        <f>IFERROR(__xludf.DUMMYFUNCTION("""COMPUTED_VALUE"""),"MX")</f>
        <v>MX</v>
      </c>
      <c r="F123" s="1"/>
      <c r="G123" s="1" t="str">
        <f>iferror(VLOOKUP(A123,'Business Plan Setup and Accepta'!A:G,6,false),"")</f>
        <v/>
      </c>
      <c r="H123" s="1" t="str">
        <f>iferror(VLOOKUP(A123,'Business Plan Setup and Accepta'!A:G,7,false),"")</f>
        <v/>
      </c>
      <c r="I123" s="17" t="str">
        <f t="shared" si="3"/>
        <v/>
      </c>
      <c r="J123" s="1" t="str">
        <f>IFERROR(VALUE(SUBSTITUTE(VLOOKUP(A123,'Sales IN Revenues vs Sales targ'!A:G,6,false)," $","")), "")
</f>
        <v/>
      </c>
      <c r="K123" s="1" t="str">
        <f>IFERROR(VALUE(SUBSTITUTE(VLOOKUP(A123,'Sales IN Revenues vs Sales targ'!A:G,7,false)," $","")), "")
</f>
        <v/>
      </c>
      <c r="L123" s="17" t="str">
        <f t="shared" si="4"/>
        <v/>
      </c>
      <c r="M123" s="1">
        <f>value(SUBSTITUTE(IFERROR(VLOOKUP(A123,'Certifications achievements vs '!A:G,6,false),""),"#","")
)</f>
        <v>0</v>
      </c>
      <c r="N123" s="1">
        <f>value(SUBSTITUTE(IFERROR(VLOOKUP(A123,'Certifications achievements vs '!A:G,7,false),""),"#","")
)</f>
        <v>0</v>
      </c>
      <c r="O123" s="17" t="str">
        <f t="shared" si="5"/>
        <v/>
      </c>
      <c r="P123" s="1">
        <f>value(SUBSTITUTE(IFERROR(VLOOKUP(A123,'Communications - Solution Speci'!A:G,6,false),""),"#","")
)</f>
        <v>0</v>
      </c>
      <c r="Q123" s="1">
        <f>value(SUBSTITUTE(IFERROR(VLOOKUP(A123,'Communications - Solution Speci'!A:G,7,false),""),"#","")
)</f>
        <v>0</v>
      </c>
      <c r="R123" s="17" t="str">
        <f t="shared" si="6"/>
        <v/>
      </c>
      <c r="S123" s="1">
        <f>value(SUBSTITUTE(IFERROR(VLOOKUP(A123,'Networking - Solution Specializ'!A:G,6,false),""),"#","")
)</f>
        <v>0</v>
      </c>
      <c r="T123" s="1">
        <f>value(SUBSTITUTE(IFERROR(VLOOKUP(A123,'Networking - Solution Specializ'!A:G,7,false),""),"#","")
)</f>
        <v>0</v>
      </c>
      <c r="U123" s="17" t="str">
        <f t="shared" si="7"/>
        <v/>
      </c>
      <c r="V123" s="1" t="str">
        <f>iferror(vlookup(A123,'Marketing Plan (extract summary'!A:G,6,false),"")</f>
        <v/>
      </c>
      <c r="W123" s="1" t="str">
        <f>iferror(vlookup(A123,'Marketing Plan (extract summary'!A:G,7,false),"")</f>
        <v/>
      </c>
      <c r="X123" s="17" t="str">
        <f t="shared" si="8"/>
        <v/>
      </c>
      <c r="Y123" s="1">
        <f>value(IFERROR(SUBSTITUTE(SUBSTITUTE(VLOOKUP(A123,'Quarterly Pipeline vs Target Pi'!A:G,6,false)," $","")," €",""), "")
)</f>
        <v>0</v>
      </c>
      <c r="Z123" s="1">
        <f>value(IFERROR(SUBSTITUTE(SUBSTITUTE(VLOOKUP(A123,'Quarterly Pipeline vs Target Pi'!A:G,7,false)," $","")," €",""), "")
)</f>
        <v>0</v>
      </c>
      <c r="AA123" s="17" t="str">
        <f t="shared" si="9"/>
        <v/>
      </c>
      <c r="AB123" s="1">
        <f>value(IFERROR(SUBSTITUTE(SUBSTITUTE(VLOOKUP($A123,'Quarterly Pipeline vs Target Pi'!$A:$V,11,false)," $","")," €",""), "")
)</f>
        <v>0</v>
      </c>
      <c r="AC123" s="1">
        <f>value(IFERROR(SUBSTITUTE(SUBSTITUTE(VLOOKUP($A123,'Quarterly Pipeline vs Target Pi'!$A:$V,12,false)," $","")," €",""), "")
)</f>
        <v>0</v>
      </c>
      <c r="AD123" s="17" t="str">
        <f t="shared" si="10"/>
        <v/>
      </c>
      <c r="AE123" s="1">
        <f>value(IFERROR(SUBSTITUTE(SUBSTITUTE(VLOOKUP($A123,'Quarterly Pipeline vs Target Pi'!$A:$V,16,false)," $","")," €",""), "")
)</f>
        <v>0</v>
      </c>
      <c r="AF123" s="1">
        <f>value(IFERROR(SUBSTITUTE(SUBSTITUTE(VLOOKUP($A123,'Quarterly Pipeline vs Target Pi'!$A:$V,17,false)," $","")," €",""), "")
)</f>
        <v>0</v>
      </c>
      <c r="AG123" s="17" t="str">
        <f t="shared" si="11"/>
        <v/>
      </c>
      <c r="AH123" s="1">
        <f>value(IFERROR(SUBSTITUTE(SUBSTITUTE(VLOOKUP($A123,'Quarterly Pipeline vs Target Pi'!$A:$V,21,false)," $","")," €",""), "")
)</f>
        <v>0</v>
      </c>
      <c r="AI123" s="1">
        <f>value(IFERROR(SUBSTITUTE(SUBSTITUTE(VLOOKUP($A123,'Quarterly Pipeline vs Target Pi'!$A:$V,22,false)," $","")," €",""), "")
)</f>
        <v>0</v>
      </c>
      <c r="AJ123" s="17" t="str">
        <f t="shared" si="12"/>
        <v/>
      </c>
      <c r="AK123" s="1">
        <f t="shared" ref="AK123:AL123" si="259">sum(Y123,AB123,AE123,AH123)</f>
        <v>0</v>
      </c>
      <c r="AL123" s="1">
        <f t="shared" si="259"/>
        <v>0</v>
      </c>
      <c r="AM123" s="17" t="str">
        <f t="shared" si="14"/>
        <v/>
      </c>
      <c r="AN123" s="1">
        <f>value(IFERROR(SUBSTITUTE(SUBSTITUTE(VLOOKUP($A123,'Quarterly Pipeline vs Target Pi'!$A:$AP,26,false)," $","")," €",""), "")
)</f>
        <v>0</v>
      </c>
      <c r="AO123" s="1">
        <f>value(IFERROR(SUBSTITUTE(SUBSTITUTE(VLOOKUP($A123,'Quarterly Pipeline vs Target Pi'!$A:$AP,27,false)," $","")," €",""), "")
)</f>
        <v>0</v>
      </c>
      <c r="AP123" s="17" t="str">
        <f t="shared" si="15"/>
        <v/>
      </c>
      <c r="AQ123" s="1">
        <f>value(IFERROR(SUBSTITUTE(SUBSTITUTE(VLOOKUP($A123,'Quarterly Pipeline vs Target Pi'!$A:$AP,31,false)," $","")," €",""), "")
)</f>
        <v>0</v>
      </c>
      <c r="AR123" s="1">
        <f>value(IFERROR(SUBSTITUTE(SUBSTITUTE(VLOOKUP($A123,'Quarterly Pipeline vs Target Pi'!$A:$AP,32,false)," $","")," €",""), "")
)</f>
        <v>0</v>
      </c>
      <c r="AS123" s="17" t="str">
        <f t="shared" si="16"/>
        <v/>
      </c>
      <c r="AT123" s="1">
        <f>value(IFERROR(SUBSTITUTE(SUBSTITUTE(VLOOKUP($A123,'Quarterly Pipeline vs Target Pi'!$A:$AP,36,false)," $","")," €",""), "")
)</f>
        <v>0</v>
      </c>
      <c r="AU123" s="1">
        <f>value(IFERROR(SUBSTITUTE(SUBSTITUTE(VLOOKUP($A123,'Quarterly Pipeline vs Target Pi'!$A:$AP,37,false)," $","")," €",""), "")
)</f>
        <v>0</v>
      </c>
      <c r="AV123" s="17" t="str">
        <f t="shared" si="17"/>
        <v/>
      </c>
      <c r="AW123" s="1">
        <f>value(IFERROR(SUBSTITUTE(SUBSTITUTE(VLOOKUP($A123,'Quarterly Pipeline vs Target Pi'!$A:$AP,41,false)," $","")," €",""), "")
)</f>
        <v>0</v>
      </c>
      <c r="AX123" s="1">
        <f>value(IFERROR(SUBSTITUTE(SUBSTITUTE(VLOOKUP($A123,'Quarterly Pipeline vs Target Pi'!$A:$AP,42,false)," $","")," €",""), "")
)</f>
        <v>0</v>
      </c>
      <c r="AY123" s="17" t="str">
        <f t="shared" si="18"/>
        <v/>
      </c>
      <c r="AZ123" s="1">
        <f t="shared" ref="AZ123:BA123" si="260">sum(AN123,AQ123,AT123,AW123)</f>
        <v>0</v>
      </c>
      <c r="BA123" s="1">
        <f t="shared" si="260"/>
        <v>0</v>
      </c>
      <c r="BB123" s="17" t="str">
        <f t="shared" si="20"/>
        <v/>
      </c>
    </row>
    <row r="124">
      <c r="A124" s="1" t="str">
        <f>IFERROR(__xludf.DUMMYFUNCTION("""COMPUTED_VALUE"""),"63ced842c5c820531c2680c3")</f>
        <v>63ced842c5c820531c2680c3</v>
      </c>
      <c r="B124" s="1" t="str">
        <f>IFERROR(__xludf.DUMMYFUNCTION("""COMPUTED_VALUE"""),"DCS S.A.")</f>
        <v>DCS S.A.</v>
      </c>
      <c r="C124" s="1" t="str">
        <f>IFERROR(__xludf.DUMMYFUNCTION("""COMPUTED_VALUE"""),"luis.arriagada@al-enterprise.com")</f>
        <v>luis.arriagada@al-enterprise.com</v>
      </c>
      <c r="D124" s="1" t="str">
        <f>IFERROR(__xludf.DUMMYFUNCTION("""COMPUTED_VALUE"""),"americas")</f>
        <v>americas</v>
      </c>
      <c r="E124" s="1" t="str">
        <f>IFERROR(__xludf.DUMMYFUNCTION("""COMPUTED_VALUE"""),"AR")</f>
        <v>AR</v>
      </c>
      <c r="F124" s="1"/>
      <c r="G124" s="1" t="str">
        <f>iferror(VLOOKUP(A124,'Business Plan Setup and Accepta'!A:G,6,false),"")</f>
        <v/>
      </c>
      <c r="H124" s="1" t="str">
        <f>iferror(VLOOKUP(A124,'Business Plan Setup and Accepta'!A:G,7,false),"")</f>
        <v/>
      </c>
      <c r="I124" s="17" t="str">
        <f t="shared" si="3"/>
        <v/>
      </c>
      <c r="J124" s="1" t="str">
        <f>IFERROR(VALUE(SUBSTITUTE(VLOOKUP(A124,'Sales IN Revenues vs Sales targ'!A:G,6,false)," $","")), "")
</f>
        <v/>
      </c>
      <c r="K124" s="1" t="str">
        <f>IFERROR(VALUE(SUBSTITUTE(VLOOKUP(A124,'Sales IN Revenues vs Sales targ'!A:G,7,false)," $","")), "")
</f>
        <v/>
      </c>
      <c r="L124" s="17" t="str">
        <f t="shared" si="4"/>
        <v/>
      </c>
      <c r="M124" s="1">
        <f>value(SUBSTITUTE(IFERROR(VLOOKUP(A124,'Certifications achievements vs '!A:G,6,false),""),"#","")
)</f>
        <v>0</v>
      </c>
      <c r="N124" s="1">
        <f>value(SUBSTITUTE(IFERROR(VLOOKUP(A124,'Certifications achievements vs '!A:G,7,false),""),"#","")
)</f>
        <v>56</v>
      </c>
      <c r="O124" s="17">
        <f t="shared" si="5"/>
        <v>0</v>
      </c>
      <c r="P124" s="1">
        <f>value(SUBSTITUTE(IFERROR(VLOOKUP(A124,'Communications - Solution Speci'!A:G,6,false),""),"#","")
)</f>
        <v>0</v>
      </c>
      <c r="Q124" s="1">
        <f>value(SUBSTITUTE(IFERROR(VLOOKUP(A124,'Communications - Solution Speci'!A:G,7,false),""),"#","")
)</f>
        <v>0</v>
      </c>
      <c r="R124" s="17" t="str">
        <f t="shared" si="6"/>
        <v/>
      </c>
      <c r="S124" s="1">
        <f>value(SUBSTITUTE(IFERROR(VLOOKUP(A124,'Networking - Solution Specializ'!A:G,6,false),""),"#","")
)</f>
        <v>0</v>
      </c>
      <c r="T124" s="1">
        <f>value(SUBSTITUTE(IFERROR(VLOOKUP(A124,'Networking - Solution Specializ'!A:G,7,false),""),"#","")
)</f>
        <v>0</v>
      </c>
      <c r="U124" s="17" t="str">
        <f t="shared" si="7"/>
        <v/>
      </c>
      <c r="V124" s="1" t="str">
        <f>iferror(vlookup(A124,'Marketing Plan (extract summary'!A:G,6,false),"")</f>
        <v/>
      </c>
      <c r="W124" s="1" t="str">
        <f>iferror(vlookup(A124,'Marketing Plan (extract summary'!A:G,7,false),"")</f>
        <v/>
      </c>
      <c r="X124" s="17" t="str">
        <f t="shared" si="8"/>
        <v/>
      </c>
      <c r="Y124" s="1">
        <f>value(IFERROR(SUBSTITUTE(SUBSTITUTE(VLOOKUP(A124,'Quarterly Pipeline vs Target Pi'!A:G,6,false)," $","")," €",""), "")
)</f>
        <v>0</v>
      </c>
      <c r="Z124" s="1">
        <f>value(IFERROR(SUBSTITUTE(SUBSTITUTE(VLOOKUP(A124,'Quarterly Pipeline vs Target Pi'!A:G,7,false)," $","")," €",""), "")
)</f>
        <v>0</v>
      </c>
      <c r="AA124" s="17" t="str">
        <f t="shared" si="9"/>
        <v/>
      </c>
      <c r="AB124" s="1">
        <f>value(IFERROR(SUBSTITUTE(SUBSTITUTE(VLOOKUP($A124,'Quarterly Pipeline vs Target Pi'!$A:$V,11,false)," $","")," €",""), "")
)</f>
        <v>0</v>
      </c>
      <c r="AC124" s="1">
        <f>value(IFERROR(SUBSTITUTE(SUBSTITUTE(VLOOKUP($A124,'Quarterly Pipeline vs Target Pi'!$A:$V,12,false)," $","")," €",""), "")
)</f>
        <v>0</v>
      </c>
      <c r="AD124" s="17" t="str">
        <f t="shared" si="10"/>
        <v/>
      </c>
      <c r="AE124" s="1">
        <f>value(IFERROR(SUBSTITUTE(SUBSTITUTE(VLOOKUP($A124,'Quarterly Pipeline vs Target Pi'!$A:$V,16,false)," $","")," €",""), "")
)</f>
        <v>0</v>
      </c>
      <c r="AF124" s="1">
        <f>value(IFERROR(SUBSTITUTE(SUBSTITUTE(VLOOKUP($A124,'Quarterly Pipeline vs Target Pi'!$A:$V,17,false)," $","")," €",""), "")
)</f>
        <v>0</v>
      </c>
      <c r="AG124" s="17" t="str">
        <f t="shared" si="11"/>
        <v/>
      </c>
      <c r="AH124" s="1">
        <f>value(IFERROR(SUBSTITUTE(SUBSTITUTE(VLOOKUP($A124,'Quarterly Pipeline vs Target Pi'!$A:$V,21,false)," $","")," €",""), "")
)</f>
        <v>0</v>
      </c>
      <c r="AI124" s="1">
        <f>value(IFERROR(SUBSTITUTE(SUBSTITUTE(VLOOKUP($A124,'Quarterly Pipeline vs Target Pi'!$A:$V,22,false)," $","")," €",""), "")
)</f>
        <v>0</v>
      </c>
      <c r="AJ124" s="17" t="str">
        <f t="shared" si="12"/>
        <v/>
      </c>
      <c r="AK124" s="1">
        <f t="shared" ref="AK124:AL124" si="261">sum(Y124,AB124,AE124,AH124)</f>
        <v>0</v>
      </c>
      <c r="AL124" s="1">
        <f t="shared" si="261"/>
        <v>0</v>
      </c>
      <c r="AM124" s="17" t="str">
        <f t="shared" si="14"/>
        <v/>
      </c>
      <c r="AN124" s="1">
        <f>value(IFERROR(SUBSTITUTE(SUBSTITUTE(VLOOKUP($A124,'Quarterly Pipeline vs Target Pi'!$A:$AP,26,false)," $","")," €",""), "")
)</f>
        <v>0</v>
      </c>
      <c r="AO124" s="1">
        <f>value(IFERROR(SUBSTITUTE(SUBSTITUTE(VLOOKUP($A124,'Quarterly Pipeline vs Target Pi'!$A:$AP,27,false)," $","")," €",""), "")
)</f>
        <v>0</v>
      </c>
      <c r="AP124" s="17" t="str">
        <f t="shared" si="15"/>
        <v/>
      </c>
      <c r="AQ124" s="1">
        <f>value(IFERROR(SUBSTITUTE(SUBSTITUTE(VLOOKUP($A124,'Quarterly Pipeline vs Target Pi'!$A:$AP,31,false)," $","")," €",""), "")
)</f>
        <v>0</v>
      </c>
      <c r="AR124" s="1">
        <f>value(IFERROR(SUBSTITUTE(SUBSTITUTE(VLOOKUP($A124,'Quarterly Pipeline vs Target Pi'!$A:$AP,32,false)," $","")," €",""), "")
)</f>
        <v>0</v>
      </c>
      <c r="AS124" s="17" t="str">
        <f t="shared" si="16"/>
        <v/>
      </c>
      <c r="AT124" s="1">
        <f>value(IFERROR(SUBSTITUTE(SUBSTITUTE(VLOOKUP($A124,'Quarterly Pipeline vs Target Pi'!$A:$AP,36,false)," $","")," €",""), "")
)</f>
        <v>0</v>
      </c>
      <c r="AU124" s="1">
        <f>value(IFERROR(SUBSTITUTE(SUBSTITUTE(VLOOKUP($A124,'Quarterly Pipeline vs Target Pi'!$A:$AP,37,false)," $","")," €",""), "")
)</f>
        <v>0</v>
      </c>
      <c r="AV124" s="17" t="str">
        <f t="shared" si="17"/>
        <v/>
      </c>
      <c r="AW124" s="1">
        <f>value(IFERROR(SUBSTITUTE(SUBSTITUTE(VLOOKUP($A124,'Quarterly Pipeline vs Target Pi'!$A:$AP,41,false)," $","")," €",""), "")
)</f>
        <v>0</v>
      </c>
      <c r="AX124" s="1">
        <f>value(IFERROR(SUBSTITUTE(SUBSTITUTE(VLOOKUP($A124,'Quarterly Pipeline vs Target Pi'!$A:$AP,42,false)," $","")," €",""), "")
)</f>
        <v>0</v>
      </c>
      <c r="AY124" s="17" t="str">
        <f t="shared" si="18"/>
        <v/>
      </c>
      <c r="AZ124" s="1">
        <f t="shared" ref="AZ124:BA124" si="262">sum(AN124,AQ124,AT124,AW124)</f>
        <v>0</v>
      </c>
      <c r="BA124" s="1">
        <f t="shared" si="262"/>
        <v>0</v>
      </c>
      <c r="BB124" s="17" t="str">
        <f t="shared" si="20"/>
        <v/>
      </c>
    </row>
    <row r="125">
      <c r="A125" s="1" t="str">
        <f>IFERROR(__xludf.DUMMYFUNCTION("""COMPUTED_VALUE"""),"63ced84dc5c820531c2697f7")</f>
        <v>63ced84dc5c820531c2697f7</v>
      </c>
      <c r="B125" s="1" t="str">
        <f>IFERROR(__xludf.DUMMYFUNCTION("""COMPUTED_VALUE"""),"Decisions LTD.")</f>
        <v>Decisions LTD.</v>
      </c>
      <c r="C125" s="1" t="str">
        <f>IFERROR(__xludf.DUMMYFUNCTION("""COMPUTED_VALUE"""),"brendan.flaherty@al-enterprise.com")</f>
        <v>brendan.flaherty@al-enterprise.com</v>
      </c>
      <c r="D125" s="1" t="str">
        <f>IFERROR(__xludf.DUMMYFUNCTION("""COMPUTED_VALUE"""),"americas")</f>
        <v>americas</v>
      </c>
      <c r="E125" s="1" t="str">
        <f>IFERROR(__xludf.DUMMYFUNCTION("""COMPUTED_VALUE"""),"BM")</f>
        <v>BM</v>
      </c>
      <c r="F125" s="1"/>
      <c r="G125" s="1" t="str">
        <f>iferror(VLOOKUP(A125,'Business Plan Setup and Accepta'!A:G,6,false),"")</f>
        <v/>
      </c>
      <c r="H125" s="1" t="str">
        <f>iferror(VLOOKUP(A125,'Business Plan Setup and Accepta'!A:G,7,false),"")</f>
        <v/>
      </c>
      <c r="I125" s="17" t="str">
        <f t="shared" si="3"/>
        <v/>
      </c>
      <c r="J125" s="1" t="str">
        <f>IFERROR(VALUE(SUBSTITUTE(VLOOKUP(A125,'Sales IN Revenues vs Sales targ'!A:G,6,false)," $","")), "")
</f>
        <v/>
      </c>
      <c r="K125" s="1" t="str">
        <f>IFERROR(VALUE(SUBSTITUTE(VLOOKUP(A125,'Sales IN Revenues vs Sales targ'!A:G,7,false)," $","")), "")
</f>
        <v/>
      </c>
      <c r="L125" s="17" t="str">
        <f t="shared" si="4"/>
        <v/>
      </c>
      <c r="M125" s="1">
        <f>value(SUBSTITUTE(IFERROR(VLOOKUP(A125,'Certifications achievements vs '!A:G,6,false),""),"#","")
)</f>
        <v>0</v>
      </c>
      <c r="N125" s="1">
        <f>value(SUBSTITUTE(IFERROR(VLOOKUP(A125,'Certifications achievements vs '!A:G,7,false),""),"#","")
)</f>
        <v>0</v>
      </c>
      <c r="O125" s="17" t="str">
        <f t="shared" si="5"/>
        <v/>
      </c>
      <c r="P125" s="1">
        <f>value(SUBSTITUTE(IFERROR(VLOOKUP(A125,'Communications - Solution Speci'!A:G,6,false),""),"#","")
)</f>
        <v>0</v>
      </c>
      <c r="Q125" s="1">
        <f>value(SUBSTITUTE(IFERROR(VLOOKUP(A125,'Communications - Solution Speci'!A:G,7,false),""),"#","")
)</f>
        <v>0</v>
      </c>
      <c r="R125" s="17" t="str">
        <f t="shared" si="6"/>
        <v/>
      </c>
      <c r="S125" s="1">
        <f>value(SUBSTITUTE(IFERROR(VLOOKUP(A125,'Networking - Solution Specializ'!A:G,6,false),""),"#","")
)</f>
        <v>0</v>
      </c>
      <c r="T125" s="1">
        <f>value(SUBSTITUTE(IFERROR(VLOOKUP(A125,'Networking - Solution Specializ'!A:G,7,false),""),"#","")
)</f>
        <v>0</v>
      </c>
      <c r="U125" s="17" t="str">
        <f t="shared" si="7"/>
        <v/>
      </c>
      <c r="V125" s="1" t="str">
        <f>iferror(vlookup(A125,'Marketing Plan (extract summary'!A:G,6,false),"")</f>
        <v/>
      </c>
      <c r="W125" s="1" t="str">
        <f>iferror(vlookup(A125,'Marketing Plan (extract summary'!A:G,7,false),"")</f>
        <v/>
      </c>
      <c r="X125" s="17" t="str">
        <f t="shared" si="8"/>
        <v/>
      </c>
      <c r="Y125" s="1">
        <f>value(IFERROR(SUBSTITUTE(SUBSTITUTE(VLOOKUP(A125,'Quarterly Pipeline vs Target Pi'!A:G,6,false)," $","")," €",""), "")
)</f>
        <v>0</v>
      </c>
      <c r="Z125" s="1">
        <f>value(IFERROR(SUBSTITUTE(SUBSTITUTE(VLOOKUP(A125,'Quarterly Pipeline vs Target Pi'!A:G,7,false)," $","")," €",""), "")
)</f>
        <v>0</v>
      </c>
      <c r="AA125" s="17" t="str">
        <f t="shared" si="9"/>
        <v/>
      </c>
      <c r="AB125" s="1">
        <f>value(IFERROR(SUBSTITUTE(SUBSTITUTE(VLOOKUP($A125,'Quarterly Pipeline vs Target Pi'!$A:$V,11,false)," $","")," €",""), "")
)</f>
        <v>0</v>
      </c>
      <c r="AC125" s="1">
        <f>value(IFERROR(SUBSTITUTE(SUBSTITUTE(VLOOKUP($A125,'Quarterly Pipeline vs Target Pi'!$A:$V,12,false)," $","")," €",""), "")
)</f>
        <v>0</v>
      </c>
      <c r="AD125" s="17" t="str">
        <f t="shared" si="10"/>
        <v/>
      </c>
      <c r="AE125" s="1">
        <f>value(IFERROR(SUBSTITUTE(SUBSTITUTE(VLOOKUP($A125,'Quarterly Pipeline vs Target Pi'!$A:$V,16,false)," $","")," €",""), "")
)</f>
        <v>0</v>
      </c>
      <c r="AF125" s="1">
        <f>value(IFERROR(SUBSTITUTE(SUBSTITUTE(VLOOKUP($A125,'Quarterly Pipeline vs Target Pi'!$A:$V,17,false)," $","")," €",""), "")
)</f>
        <v>0</v>
      </c>
      <c r="AG125" s="17" t="str">
        <f t="shared" si="11"/>
        <v/>
      </c>
      <c r="AH125" s="1">
        <f>value(IFERROR(SUBSTITUTE(SUBSTITUTE(VLOOKUP($A125,'Quarterly Pipeline vs Target Pi'!$A:$V,21,false)," $","")," €",""), "")
)</f>
        <v>0</v>
      </c>
      <c r="AI125" s="1">
        <f>value(IFERROR(SUBSTITUTE(SUBSTITUTE(VLOOKUP($A125,'Quarterly Pipeline vs Target Pi'!$A:$V,22,false)," $","")," €",""), "")
)</f>
        <v>0</v>
      </c>
      <c r="AJ125" s="17" t="str">
        <f t="shared" si="12"/>
        <v/>
      </c>
      <c r="AK125" s="1">
        <f t="shared" ref="AK125:AL125" si="263">sum(Y125,AB125,AE125,AH125)</f>
        <v>0</v>
      </c>
      <c r="AL125" s="1">
        <f t="shared" si="263"/>
        <v>0</v>
      </c>
      <c r="AM125" s="17" t="str">
        <f t="shared" si="14"/>
        <v/>
      </c>
      <c r="AN125" s="1">
        <f>value(IFERROR(SUBSTITUTE(SUBSTITUTE(VLOOKUP($A125,'Quarterly Pipeline vs Target Pi'!$A:$AP,26,false)," $","")," €",""), "")
)</f>
        <v>0</v>
      </c>
      <c r="AO125" s="1">
        <f>value(IFERROR(SUBSTITUTE(SUBSTITUTE(VLOOKUP($A125,'Quarterly Pipeline vs Target Pi'!$A:$AP,27,false)," $","")," €",""), "")
)</f>
        <v>0</v>
      </c>
      <c r="AP125" s="17" t="str">
        <f t="shared" si="15"/>
        <v/>
      </c>
      <c r="AQ125" s="1">
        <f>value(IFERROR(SUBSTITUTE(SUBSTITUTE(VLOOKUP($A125,'Quarterly Pipeline vs Target Pi'!$A:$AP,31,false)," $","")," €",""), "")
)</f>
        <v>0</v>
      </c>
      <c r="AR125" s="1">
        <f>value(IFERROR(SUBSTITUTE(SUBSTITUTE(VLOOKUP($A125,'Quarterly Pipeline vs Target Pi'!$A:$AP,32,false)," $","")," €",""), "")
)</f>
        <v>0</v>
      </c>
      <c r="AS125" s="17" t="str">
        <f t="shared" si="16"/>
        <v/>
      </c>
      <c r="AT125" s="1">
        <f>value(IFERROR(SUBSTITUTE(SUBSTITUTE(VLOOKUP($A125,'Quarterly Pipeline vs Target Pi'!$A:$AP,36,false)," $","")," €",""), "")
)</f>
        <v>0</v>
      </c>
      <c r="AU125" s="1">
        <f>value(IFERROR(SUBSTITUTE(SUBSTITUTE(VLOOKUP($A125,'Quarterly Pipeline vs Target Pi'!$A:$AP,37,false)," $","")," €",""), "")
)</f>
        <v>0</v>
      </c>
      <c r="AV125" s="17" t="str">
        <f t="shared" si="17"/>
        <v/>
      </c>
      <c r="AW125" s="1">
        <f>value(IFERROR(SUBSTITUTE(SUBSTITUTE(VLOOKUP($A125,'Quarterly Pipeline vs Target Pi'!$A:$AP,41,false)," $","")," €",""), "")
)</f>
        <v>0</v>
      </c>
      <c r="AX125" s="1">
        <f>value(IFERROR(SUBSTITUTE(SUBSTITUTE(VLOOKUP($A125,'Quarterly Pipeline vs Target Pi'!$A:$AP,42,false)," $","")," €",""), "")
)</f>
        <v>0</v>
      </c>
      <c r="AY125" s="17" t="str">
        <f t="shared" si="18"/>
        <v/>
      </c>
      <c r="AZ125" s="1">
        <f t="shared" ref="AZ125:BA125" si="264">sum(AN125,AQ125,AT125,AW125)</f>
        <v>0</v>
      </c>
      <c r="BA125" s="1">
        <f t="shared" si="264"/>
        <v>0</v>
      </c>
      <c r="BB125" s="17" t="str">
        <f t="shared" si="20"/>
        <v/>
      </c>
    </row>
    <row r="126">
      <c r="A126" s="1" t="str">
        <f>IFERROR(__xludf.DUMMYFUNCTION("""COMPUTED_VALUE"""),"63ef9d61384f27260c1bb24d")</f>
        <v>63ef9d61384f27260c1bb24d</v>
      </c>
      <c r="B126" s="1" t="str">
        <f>IFERROR(__xludf.DUMMYFUNCTION("""COMPUTED_VALUE"""),"Deloitte Consulting")</f>
        <v>Deloitte Consulting</v>
      </c>
      <c r="C126" s="1" t="str">
        <f>IFERROR(__xludf.DUMMYFUNCTION("""COMPUTED_VALUE"""),"luigy.estevanell@al-enterprise.com")</f>
        <v>luigy.estevanell@al-enterprise.com</v>
      </c>
      <c r="D126" s="1" t="str">
        <f>IFERROR(__xludf.DUMMYFUNCTION("""COMPUTED_VALUE"""),"americas")</f>
        <v>americas</v>
      </c>
      <c r="E126" s="1" t="str">
        <f>IFERROR(__xludf.DUMMYFUNCTION("""COMPUTED_VALUE"""),"US")</f>
        <v>US</v>
      </c>
      <c r="F126" s="1" t="str">
        <f>IFERROR(__xludf.DUMMYFUNCTION("""COMPUTED_VALUE"""),"expert_200")</f>
        <v>expert_200</v>
      </c>
      <c r="G126" s="1">
        <f>iferror(VLOOKUP(A126,'Business Plan Setup and Accepta'!A:G,6,false),"")</f>
        <v>0</v>
      </c>
      <c r="H126" s="1">
        <f>iferror(VLOOKUP(A126,'Business Plan Setup and Accepta'!A:G,7,false),"")</f>
        <v>1</v>
      </c>
      <c r="I126" s="17">
        <f t="shared" si="3"/>
        <v>0</v>
      </c>
      <c r="J126" s="1">
        <f>IFERROR(VALUE(SUBSTITUTE(VLOOKUP(A126,'Sales IN Revenues vs Sales targ'!A:G,6,false)," $","")), "")
</f>
        <v>1986.62</v>
      </c>
      <c r="K126" s="1">
        <f>IFERROR(VALUE(SUBSTITUTE(VLOOKUP(A126,'Sales IN Revenues vs Sales targ'!A:G,7,false)," $","")), "")
</f>
        <v>0</v>
      </c>
      <c r="L126" s="17" t="str">
        <f t="shared" si="4"/>
        <v/>
      </c>
      <c r="M126" s="1">
        <f>value(SUBSTITUTE(IFERROR(VLOOKUP(A126,'Certifications achievements vs '!A:G,6,false),""),"#","")
)</f>
        <v>0</v>
      </c>
      <c r="N126" s="1">
        <f>value(SUBSTITUTE(IFERROR(VLOOKUP(A126,'Certifications achievements vs '!A:G,7,false),""),"#","")
)</f>
        <v>0</v>
      </c>
      <c r="O126" s="17" t="str">
        <f t="shared" si="5"/>
        <v/>
      </c>
      <c r="P126" s="1">
        <f>value(SUBSTITUTE(IFERROR(VLOOKUP(A126,'Communications - Solution Speci'!A:G,6,false),""),"#","")
)</f>
        <v>0</v>
      </c>
      <c r="Q126" s="1">
        <f>value(SUBSTITUTE(IFERROR(VLOOKUP(A126,'Communications - Solution Speci'!A:G,7,false),""),"#","")
)</f>
        <v>1</v>
      </c>
      <c r="R126" s="17">
        <f t="shared" si="6"/>
        <v>0</v>
      </c>
      <c r="S126" s="1">
        <f>value(SUBSTITUTE(IFERROR(VLOOKUP(A126,'Networking - Solution Specializ'!A:G,6,false),""),"#","")
)</f>
        <v>0</v>
      </c>
      <c r="T126" s="1">
        <f>value(SUBSTITUTE(IFERROR(VLOOKUP(A126,'Networking - Solution Specializ'!A:G,7,false),""),"#","")
)</f>
        <v>1</v>
      </c>
      <c r="U126" s="17">
        <f t="shared" si="7"/>
        <v>0</v>
      </c>
      <c r="V126" s="1">
        <f>iferror(vlookup(A126,'Marketing Plan (extract summary'!A:G,6,false),"")</f>
        <v>0</v>
      </c>
      <c r="W126" s="1">
        <f>iferror(vlookup(A126,'Marketing Plan (extract summary'!A:G,7,false),"")</f>
        <v>1</v>
      </c>
      <c r="X126" s="17">
        <f t="shared" si="8"/>
        <v>0</v>
      </c>
      <c r="Y126" s="1">
        <f>value(IFERROR(SUBSTITUTE(SUBSTITUTE(VLOOKUP(A126,'Quarterly Pipeline vs Target Pi'!A:G,6,false)," $","")," €",""), "")
)</f>
        <v>183.57</v>
      </c>
      <c r="Z126" s="1">
        <f>value(IFERROR(SUBSTITUTE(SUBSTITUTE(VLOOKUP(A126,'Quarterly Pipeline vs Target Pi'!A:G,7,false)," $","")," €",""), "")
)</f>
        <v>0</v>
      </c>
      <c r="AA126" s="17" t="str">
        <f t="shared" si="9"/>
        <v/>
      </c>
      <c r="AB126" s="1">
        <f>value(IFERROR(SUBSTITUTE(SUBSTITUTE(VLOOKUP($A126,'Quarterly Pipeline vs Target Pi'!$A:$V,11,false)," $","")," €",""), "")
)</f>
        <v>3253.86</v>
      </c>
      <c r="AC126" s="1">
        <f>value(IFERROR(SUBSTITUTE(SUBSTITUTE(VLOOKUP($A126,'Quarterly Pipeline vs Target Pi'!$A:$V,12,false)," $","")," €",""), "")
)</f>
        <v>0</v>
      </c>
      <c r="AD126" s="17" t="str">
        <f t="shared" si="10"/>
        <v/>
      </c>
      <c r="AE126" s="1">
        <f>value(IFERROR(SUBSTITUTE(SUBSTITUTE(VLOOKUP($A126,'Quarterly Pipeline vs Target Pi'!$A:$V,16,false)," $","")," €",""), "")
)</f>
        <v>458.28</v>
      </c>
      <c r="AF126" s="1">
        <f>value(IFERROR(SUBSTITUTE(SUBSTITUTE(VLOOKUP($A126,'Quarterly Pipeline vs Target Pi'!$A:$V,17,false)," $","")," €",""), "")
)</f>
        <v>0</v>
      </c>
      <c r="AG126" s="17" t="str">
        <f t="shared" si="11"/>
        <v/>
      </c>
      <c r="AH126" s="1">
        <f>value(IFERROR(SUBSTITUTE(SUBSTITUTE(VLOOKUP($A126,'Quarterly Pipeline vs Target Pi'!$A:$V,21,false)," $","")," €",""), "")
)</f>
        <v>350.62</v>
      </c>
      <c r="AI126" s="1">
        <f>value(IFERROR(SUBSTITUTE(SUBSTITUTE(VLOOKUP($A126,'Quarterly Pipeline vs Target Pi'!$A:$V,22,false)," $","")," €",""), "")
)</f>
        <v>0</v>
      </c>
      <c r="AJ126" s="17" t="str">
        <f t="shared" si="12"/>
        <v/>
      </c>
      <c r="AK126" s="1">
        <f t="shared" ref="AK126:AL126" si="265">sum(Y126,AB126,AE126,AH126)</f>
        <v>4246.33</v>
      </c>
      <c r="AL126" s="1">
        <f t="shared" si="265"/>
        <v>0</v>
      </c>
      <c r="AM126" s="17" t="str">
        <f t="shared" si="14"/>
        <v/>
      </c>
      <c r="AN126" s="1">
        <f>value(IFERROR(SUBSTITUTE(SUBSTITUTE(VLOOKUP($A126,'Quarterly Pipeline vs Target Pi'!$A:$AP,26,false)," $","")," €",""), "")
)</f>
        <v>0</v>
      </c>
      <c r="AO126" s="1">
        <f>value(IFERROR(SUBSTITUTE(SUBSTITUTE(VLOOKUP($A126,'Quarterly Pipeline vs Target Pi'!$A:$AP,27,false)," $","")," €",""), "")
)</f>
        <v>0</v>
      </c>
      <c r="AP126" s="17" t="str">
        <f t="shared" si="15"/>
        <v/>
      </c>
      <c r="AQ126" s="1">
        <f>value(IFERROR(SUBSTITUTE(SUBSTITUTE(VLOOKUP($A126,'Quarterly Pipeline vs Target Pi'!$A:$AP,31,false)," $","")," €",""), "")
)</f>
        <v>0</v>
      </c>
      <c r="AR126" s="1">
        <f>value(IFERROR(SUBSTITUTE(SUBSTITUTE(VLOOKUP($A126,'Quarterly Pipeline vs Target Pi'!$A:$AP,32,false)," $","")," €",""), "")
)</f>
        <v>0</v>
      </c>
      <c r="AS126" s="17" t="str">
        <f t="shared" si="16"/>
        <v/>
      </c>
      <c r="AT126" s="1">
        <f>value(IFERROR(SUBSTITUTE(SUBSTITUTE(VLOOKUP($A126,'Quarterly Pipeline vs Target Pi'!$A:$AP,36,false)," $","")," €",""), "")
)</f>
        <v>0</v>
      </c>
      <c r="AU126" s="1">
        <f>value(IFERROR(SUBSTITUTE(SUBSTITUTE(VLOOKUP($A126,'Quarterly Pipeline vs Target Pi'!$A:$AP,37,false)," $","")," €",""), "")
)</f>
        <v>0</v>
      </c>
      <c r="AV126" s="17" t="str">
        <f t="shared" si="17"/>
        <v/>
      </c>
      <c r="AW126" s="1">
        <f>value(IFERROR(SUBSTITUTE(SUBSTITUTE(VLOOKUP($A126,'Quarterly Pipeline vs Target Pi'!$A:$AP,41,false)," $","")," €",""), "")
)</f>
        <v>0</v>
      </c>
      <c r="AX126" s="1">
        <f>value(IFERROR(SUBSTITUTE(SUBSTITUTE(VLOOKUP($A126,'Quarterly Pipeline vs Target Pi'!$A:$AP,42,false)," $","")," €",""), "")
)</f>
        <v>0</v>
      </c>
      <c r="AY126" s="17" t="str">
        <f t="shared" si="18"/>
        <v/>
      </c>
      <c r="AZ126" s="1">
        <f t="shared" ref="AZ126:BA126" si="266">sum(AN126,AQ126,AT126,AW126)</f>
        <v>0</v>
      </c>
      <c r="BA126" s="1">
        <f t="shared" si="266"/>
        <v>0</v>
      </c>
      <c r="BB126" s="17" t="str">
        <f t="shared" si="20"/>
        <v/>
      </c>
    </row>
    <row r="127">
      <c r="A127" s="1" t="str">
        <f>IFERROR(__xludf.DUMMYFUNCTION("""COMPUTED_VALUE"""),"63ced842c5c820531c26804b")</f>
        <v>63ced842c5c820531c26804b</v>
      </c>
      <c r="B127" s="1" t="str">
        <f>IFERROR(__xludf.DUMMYFUNCTION("""COMPUTED_VALUE"""),"Deutsche Telekom AG")</f>
        <v>Deutsche Telekom AG</v>
      </c>
      <c r="C127" s="1" t="str">
        <f>IFERROR(__xludf.DUMMYFUNCTION("""COMPUTED_VALUE"""),"silke.fraedrich@al-enterprise.com, niels.hass@al-enterprise.com, gunther.hahn@al-enterprise.com")</f>
        <v>silke.fraedrich@al-enterprise.com, niels.hass@al-enterprise.com, gunther.hahn@al-enterprise.com</v>
      </c>
      <c r="D127" s="1" t="str">
        <f>IFERROR(__xludf.DUMMYFUNCTION("""COMPUTED_VALUE"""),"germany")</f>
        <v>germany</v>
      </c>
      <c r="E127" s="1" t="str">
        <f>IFERROR(__xludf.DUMMYFUNCTION("""COMPUTED_VALUE"""),"DE")</f>
        <v>DE</v>
      </c>
      <c r="F127" s="1"/>
      <c r="G127" s="1">
        <f>iferror(VLOOKUP(A127,'Business Plan Setup and Accepta'!A:G,6,false),"")</f>
        <v>0</v>
      </c>
      <c r="H127" s="1">
        <f>iferror(VLOOKUP(A127,'Business Plan Setup and Accepta'!A:G,7,false),"")</f>
        <v>1</v>
      </c>
      <c r="I127" s="17">
        <f t="shared" si="3"/>
        <v>0</v>
      </c>
      <c r="J127" s="1">
        <f>IFERROR(VALUE(SUBSTITUTE(VLOOKUP(A127,'Sales IN Revenues vs Sales targ'!A:G,6,false)," $","")), "")
</f>
        <v>643.05</v>
      </c>
      <c r="K127" s="1">
        <f>IFERROR(VALUE(SUBSTITUTE(VLOOKUP(A127,'Sales IN Revenues vs Sales targ'!A:G,7,false)," $","")), "")
</f>
        <v>0</v>
      </c>
      <c r="L127" s="17" t="str">
        <f t="shared" si="4"/>
        <v/>
      </c>
      <c r="M127" s="1">
        <f>value(SUBSTITUTE(IFERROR(VLOOKUP(A127,'Certifications achievements vs '!A:G,6,false),""),"#","")
)</f>
        <v>38</v>
      </c>
      <c r="N127" s="1">
        <f>value(SUBSTITUTE(IFERROR(VLOOKUP(A127,'Certifications achievements vs '!A:G,7,false),""),"#","")
)</f>
        <v>0</v>
      </c>
      <c r="O127" s="17" t="str">
        <f t="shared" si="5"/>
        <v/>
      </c>
      <c r="P127" s="1">
        <f>value(SUBSTITUTE(IFERROR(VLOOKUP(A127,'Communications - Solution Speci'!A:G,6,false),""),"#","")
)</f>
        <v>0</v>
      </c>
      <c r="Q127" s="1">
        <f>value(SUBSTITUTE(IFERROR(VLOOKUP(A127,'Communications - Solution Speci'!A:G,7,false),""),"#","")
)</f>
        <v>1</v>
      </c>
      <c r="R127" s="17">
        <f t="shared" si="6"/>
        <v>0</v>
      </c>
      <c r="S127" s="1">
        <f>value(SUBSTITUTE(IFERROR(VLOOKUP(A127,'Networking - Solution Specializ'!A:G,6,false),""),"#","")
)</f>
        <v>0</v>
      </c>
      <c r="T127" s="1">
        <f>value(SUBSTITUTE(IFERROR(VLOOKUP(A127,'Networking - Solution Specializ'!A:G,7,false),""),"#","")
)</f>
        <v>1</v>
      </c>
      <c r="U127" s="17">
        <f t="shared" si="7"/>
        <v>0</v>
      </c>
      <c r="V127" s="1">
        <f>iferror(vlookup(A127,'Marketing Plan (extract summary'!A:G,6,false),"")</f>
        <v>0</v>
      </c>
      <c r="W127" s="1">
        <f>iferror(vlookup(A127,'Marketing Plan (extract summary'!A:G,7,false),"")</f>
        <v>1</v>
      </c>
      <c r="X127" s="17">
        <f t="shared" si="8"/>
        <v>0</v>
      </c>
      <c r="Y127" s="1">
        <f>value(IFERROR(SUBSTITUTE(SUBSTITUTE(VLOOKUP(A127,'Quarterly Pipeline vs Target Pi'!A:G,6,false)," $","")," €",""), "")
)</f>
        <v>0</v>
      </c>
      <c r="Z127" s="1">
        <f>value(IFERROR(SUBSTITUTE(SUBSTITUTE(VLOOKUP(A127,'Quarterly Pipeline vs Target Pi'!A:G,7,false)," $","")," €",""), "")
)</f>
        <v>0</v>
      </c>
      <c r="AA127" s="17" t="str">
        <f t="shared" si="9"/>
        <v/>
      </c>
      <c r="AB127" s="1">
        <f>value(IFERROR(SUBSTITUTE(SUBSTITUTE(VLOOKUP($A127,'Quarterly Pipeline vs Target Pi'!$A:$V,11,false)," $","")," €",""), "")
)</f>
        <v>0</v>
      </c>
      <c r="AC127" s="1">
        <f>value(IFERROR(SUBSTITUTE(SUBSTITUTE(VLOOKUP($A127,'Quarterly Pipeline vs Target Pi'!$A:$V,12,false)," $","")," €",""), "")
)</f>
        <v>0</v>
      </c>
      <c r="AD127" s="17" t="str">
        <f t="shared" si="10"/>
        <v/>
      </c>
      <c r="AE127" s="1">
        <f>value(IFERROR(SUBSTITUTE(SUBSTITUTE(VLOOKUP($A127,'Quarterly Pipeline vs Target Pi'!$A:$V,16,false)," $","")," €",""), "")
)</f>
        <v>0</v>
      </c>
      <c r="AF127" s="1">
        <f>value(IFERROR(SUBSTITUTE(SUBSTITUTE(VLOOKUP($A127,'Quarterly Pipeline vs Target Pi'!$A:$V,17,false)," $","")," €",""), "")
)</f>
        <v>0</v>
      </c>
      <c r="AG127" s="17" t="str">
        <f t="shared" si="11"/>
        <v/>
      </c>
      <c r="AH127" s="1">
        <f>value(IFERROR(SUBSTITUTE(SUBSTITUTE(VLOOKUP($A127,'Quarterly Pipeline vs Target Pi'!$A:$V,21,false)," $","")," €",""), "")
)</f>
        <v>0</v>
      </c>
      <c r="AI127" s="1">
        <f>value(IFERROR(SUBSTITUTE(SUBSTITUTE(VLOOKUP($A127,'Quarterly Pipeline vs Target Pi'!$A:$V,22,false)," $","")," €",""), "")
)</f>
        <v>0</v>
      </c>
      <c r="AJ127" s="17" t="str">
        <f t="shared" si="12"/>
        <v/>
      </c>
      <c r="AK127" s="1">
        <f t="shared" ref="AK127:AL127" si="267">sum(Y127,AB127,AE127,AH127)</f>
        <v>0</v>
      </c>
      <c r="AL127" s="1">
        <f t="shared" si="267"/>
        <v>0</v>
      </c>
      <c r="AM127" s="17" t="str">
        <f t="shared" si="14"/>
        <v/>
      </c>
      <c r="AN127" s="1">
        <f>value(IFERROR(SUBSTITUTE(SUBSTITUTE(VLOOKUP($A127,'Quarterly Pipeline vs Target Pi'!$A:$AP,26,false)," $","")," €",""), "")
)</f>
        <v>0</v>
      </c>
      <c r="AO127" s="1">
        <f>value(IFERROR(SUBSTITUTE(SUBSTITUTE(VLOOKUP($A127,'Quarterly Pipeline vs Target Pi'!$A:$AP,27,false)," $","")," €",""), "")
)</f>
        <v>0</v>
      </c>
      <c r="AP127" s="17" t="str">
        <f t="shared" si="15"/>
        <v/>
      </c>
      <c r="AQ127" s="1">
        <f>value(IFERROR(SUBSTITUTE(SUBSTITUTE(VLOOKUP($A127,'Quarterly Pipeline vs Target Pi'!$A:$AP,31,false)," $","")," €",""), "")
)</f>
        <v>0</v>
      </c>
      <c r="AR127" s="1">
        <f>value(IFERROR(SUBSTITUTE(SUBSTITUTE(VLOOKUP($A127,'Quarterly Pipeline vs Target Pi'!$A:$AP,32,false)," $","")," €",""), "")
)</f>
        <v>0</v>
      </c>
      <c r="AS127" s="17" t="str">
        <f t="shared" si="16"/>
        <v/>
      </c>
      <c r="AT127" s="1">
        <f>value(IFERROR(SUBSTITUTE(SUBSTITUTE(VLOOKUP($A127,'Quarterly Pipeline vs Target Pi'!$A:$AP,36,false)," $","")," €",""), "")
)</f>
        <v>0</v>
      </c>
      <c r="AU127" s="1">
        <f>value(IFERROR(SUBSTITUTE(SUBSTITUTE(VLOOKUP($A127,'Quarterly Pipeline vs Target Pi'!$A:$AP,37,false)," $","")," €",""), "")
)</f>
        <v>0</v>
      </c>
      <c r="AV127" s="17" t="str">
        <f t="shared" si="17"/>
        <v/>
      </c>
      <c r="AW127" s="1">
        <f>value(IFERROR(SUBSTITUTE(SUBSTITUTE(VLOOKUP($A127,'Quarterly Pipeline vs Target Pi'!$A:$AP,41,false)," $","")," €",""), "")
)</f>
        <v>0</v>
      </c>
      <c r="AX127" s="1">
        <f>value(IFERROR(SUBSTITUTE(SUBSTITUTE(VLOOKUP($A127,'Quarterly Pipeline vs Target Pi'!$A:$AP,42,false)," $","")," €",""), "")
)</f>
        <v>0</v>
      </c>
      <c r="AY127" s="17" t="str">
        <f t="shared" si="18"/>
        <v/>
      </c>
      <c r="AZ127" s="1">
        <f t="shared" ref="AZ127:BA127" si="268">sum(AN127,AQ127,AT127,AW127)</f>
        <v>0</v>
      </c>
      <c r="BA127" s="1">
        <f t="shared" si="268"/>
        <v>0</v>
      </c>
      <c r="BB127" s="17" t="str">
        <f t="shared" si="20"/>
        <v/>
      </c>
    </row>
    <row r="128">
      <c r="A128" s="1" t="str">
        <f>IFERROR(__xludf.DUMMYFUNCTION("""COMPUTED_VALUE"""),"63ea6e9252ad6968805cea01")</f>
        <v>63ea6e9252ad6968805cea01</v>
      </c>
      <c r="B128" s="1" t="str">
        <f>IFERROR(__xludf.DUMMYFUNCTION("""COMPUTED_VALUE"""),"Deutsche Telekom AG")</f>
        <v>Deutsche Telekom AG</v>
      </c>
      <c r="C128" s="1" t="str">
        <f>IFERROR(__xludf.DUMMYFUNCTION("""COMPUTED_VALUE"""),"niels.hass@al-enterprise.com, gunther.hahn@al-enterprise.com")</f>
        <v>niels.hass@al-enterprise.com, gunther.hahn@al-enterprise.com</v>
      </c>
      <c r="D128" s="1" t="str">
        <f>IFERROR(__xludf.DUMMYFUNCTION("""COMPUTED_VALUE"""),"germany")</f>
        <v>germany</v>
      </c>
      <c r="E128" s="1" t="str">
        <f>IFERROR(__xludf.DUMMYFUNCTION("""COMPUTED_VALUE"""),"DE")</f>
        <v>DE</v>
      </c>
      <c r="F128" s="1"/>
      <c r="G128" s="1" t="str">
        <f>iferror(VLOOKUP(A128,'Business Plan Setup and Accepta'!A:G,6,false),"")</f>
        <v/>
      </c>
      <c r="H128" s="1" t="str">
        <f>iferror(VLOOKUP(A128,'Business Plan Setup and Accepta'!A:G,7,false),"")</f>
        <v/>
      </c>
      <c r="I128" s="17" t="str">
        <f t="shared" si="3"/>
        <v/>
      </c>
      <c r="J128" s="1" t="str">
        <f>IFERROR(VALUE(SUBSTITUTE(VLOOKUP(A128,'Sales IN Revenues vs Sales targ'!A:G,6,false)," $","")), "")
</f>
        <v/>
      </c>
      <c r="K128" s="1" t="str">
        <f>IFERROR(VALUE(SUBSTITUTE(VLOOKUP(A128,'Sales IN Revenues vs Sales targ'!A:G,7,false)," $","")), "")
</f>
        <v/>
      </c>
      <c r="L128" s="17" t="str">
        <f t="shared" si="4"/>
        <v/>
      </c>
      <c r="M128" s="1">
        <f>value(SUBSTITUTE(IFERROR(VLOOKUP(A128,'Certifications achievements vs '!A:G,6,false),""),"#","")
)</f>
        <v>0</v>
      </c>
      <c r="N128" s="1">
        <f>value(SUBSTITUTE(IFERROR(VLOOKUP(A128,'Certifications achievements vs '!A:G,7,false),""),"#","")
)</f>
        <v>0</v>
      </c>
      <c r="O128" s="17" t="str">
        <f t="shared" si="5"/>
        <v/>
      </c>
      <c r="P128" s="1">
        <f>value(SUBSTITUTE(IFERROR(VLOOKUP(A128,'Communications - Solution Speci'!A:G,6,false),""),"#","")
)</f>
        <v>0</v>
      </c>
      <c r="Q128" s="1">
        <f>value(SUBSTITUTE(IFERROR(VLOOKUP(A128,'Communications - Solution Speci'!A:G,7,false),""),"#","")
)</f>
        <v>0</v>
      </c>
      <c r="R128" s="17" t="str">
        <f t="shared" si="6"/>
        <v/>
      </c>
      <c r="S128" s="1">
        <f>value(SUBSTITUTE(IFERROR(VLOOKUP(A128,'Networking - Solution Specializ'!A:G,6,false),""),"#","")
)</f>
        <v>0</v>
      </c>
      <c r="T128" s="1">
        <f>value(SUBSTITUTE(IFERROR(VLOOKUP(A128,'Networking - Solution Specializ'!A:G,7,false),""),"#","")
)</f>
        <v>0</v>
      </c>
      <c r="U128" s="17" t="str">
        <f t="shared" si="7"/>
        <v/>
      </c>
      <c r="V128" s="1" t="str">
        <f>iferror(vlookup(A128,'Marketing Plan (extract summary'!A:G,6,false),"")</f>
        <v/>
      </c>
      <c r="W128" s="1" t="str">
        <f>iferror(vlookup(A128,'Marketing Plan (extract summary'!A:G,7,false),"")</f>
        <v/>
      </c>
      <c r="X128" s="17" t="str">
        <f t="shared" si="8"/>
        <v/>
      </c>
      <c r="Y128" s="1">
        <f>value(IFERROR(SUBSTITUTE(SUBSTITUTE(VLOOKUP(A128,'Quarterly Pipeline vs Target Pi'!A:G,6,false)," $","")," €",""), "")
)</f>
        <v>0</v>
      </c>
      <c r="Z128" s="1">
        <f>value(IFERROR(SUBSTITUTE(SUBSTITUTE(VLOOKUP(A128,'Quarterly Pipeline vs Target Pi'!A:G,7,false)," $","")," €",""), "")
)</f>
        <v>0</v>
      </c>
      <c r="AA128" s="17" t="str">
        <f t="shared" si="9"/>
        <v/>
      </c>
      <c r="AB128" s="1">
        <f>value(IFERROR(SUBSTITUTE(SUBSTITUTE(VLOOKUP($A128,'Quarterly Pipeline vs Target Pi'!$A:$V,11,false)," $","")," €",""), "")
)</f>
        <v>0</v>
      </c>
      <c r="AC128" s="1">
        <f>value(IFERROR(SUBSTITUTE(SUBSTITUTE(VLOOKUP($A128,'Quarterly Pipeline vs Target Pi'!$A:$V,12,false)," $","")," €",""), "")
)</f>
        <v>0</v>
      </c>
      <c r="AD128" s="17" t="str">
        <f t="shared" si="10"/>
        <v/>
      </c>
      <c r="AE128" s="1">
        <f>value(IFERROR(SUBSTITUTE(SUBSTITUTE(VLOOKUP($A128,'Quarterly Pipeline vs Target Pi'!$A:$V,16,false)," $","")," €",""), "")
)</f>
        <v>0</v>
      </c>
      <c r="AF128" s="1">
        <f>value(IFERROR(SUBSTITUTE(SUBSTITUTE(VLOOKUP($A128,'Quarterly Pipeline vs Target Pi'!$A:$V,17,false)," $","")," €",""), "")
)</f>
        <v>0</v>
      </c>
      <c r="AG128" s="17" t="str">
        <f t="shared" si="11"/>
        <v/>
      </c>
      <c r="AH128" s="1">
        <f>value(IFERROR(SUBSTITUTE(SUBSTITUTE(VLOOKUP($A128,'Quarterly Pipeline vs Target Pi'!$A:$V,21,false)," $","")," €",""), "")
)</f>
        <v>0</v>
      </c>
      <c r="AI128" s="1">
        <f>value(IFERROR(SUBSTITUTE(SUBSTITUTE(VLOOKUP($A128,'Quarterly Pipeline vs Target Pi'!$A:$V,22,false)," $","")," €",""), "")
)</f>
        <v>0</v>
      </c>
      <c r="AJ128" s="17" t="str">
        <f t="shared" si="12"/>
        <v/>
      </c>
      <c r="AK128" s="1">
        <f t="shared" ref="AK128:AL128" si="269">sum(Y128,AB128,AE128,AH128)</f>
        <v>0</v>
      </c>
      <c r="AL128" s="1">
        <f t="shared" si="269"/>
        <v>0</v>
      </c>
      <c r="AM128" s="17" t="str">
        <f t="shared" si="14"/>
        <v/>
      </c>
      <c r="AN128" s="1">
        <f>value(IFERROR(SUBSTITUTE(SUBSTITUTE(VLOOKUP($A128,'Quarterly Pipeline vs Target Pi'!$A:$AP,26,false)," $","")," €",""), "")
)</f>
        <v>0</v>
      </c>
      <c r="AO128" s="1">
        <f>value(IFERROR(SUBSTITUTE(SUBSTITUTE(VLOOKUP($A128,'Quarterly Pipeline vs Target Pi'!$A:$AP,27,false)," $","")," €",""), "")
)</f>
        <v>0</v>
      </c>
      <c r="AP128" s="17" t="str">
        <f t="shared" si="15"/>
        <v/>
      </c>
      <c r="AQ128" s="1">
        <f>value(IFERROR(SUBSTITUTE(SUBSTITUTE(VLOOKUP($A128,'Quarterly Pipeline vs Target Pi'!$A:$AP,31,false)," $","")," €",""), "")
)</f>
        <v>0</v>
      </c>
      <c r="AR128" s="1">
        <f>value(IFERROR(SUBSTITUTE(SUBSTITUTE(VLOOKUP($A128,'Quarterly Pipeline vs Target Pi'!$A:$AP,32,false)," $","")," €",""), "")
)</f>
        <v>0</v>
      </c>
      <c r="AS128" s="17" t="str">
        <f t="shared" si="16"/>
        <v/>
      </c>
      <c r="AT128" s="1">
        <f>value(IFERROR(SUBSTITUTE(SUBSTITUTE(VLOOKUP($A128,'Quarterly Pipeline vs Target Pi'!$A:$AP,36,false)," $","")," €",""), "")
)</f>
        <v>0</v>
      </c>
      <c r="AU128" s="1">
        <f>value(IFERROR(SUBSTITUTE(SUBSTITUTE(VLOOKUP($A128,'Quarterly Pipeline vs Target Pi'!$A:$AP,37,false)," $","")," €",""), "")
)</f>
        <v>0</v>
      </c>
      <c r="AV128" s="17" t="str">
        <f t="shared" si="17"/>
        <v/>
      </c>
      <c r="AW128" s="1">
        <f>value(IFERROR(SUBSTITUTE(SUBSTITUTE(VLOOKUP($A128,'Quarterly Pipeline vs Target Pi'!$A:$AP,41,false)," $","")," €",""), "")
)</f>
        <v>0</v>
      </c>
      <c r="AX128" s="1">
        <f>value(IFERROR(SUBSTITUTE(SUBSTITUTE(VLOOKUP($A128,'Quarterly Pipeline vs Target Pi'!$A:$AP,42,false)," $","")," €",""), "")
)</f>
        <v>0</v>
      </c>
      <c r="AY128" s="17" t="str">
        <f t="shared" si="18"/>
        <v/>
      </c>
      <c r="AZ128" s="1">
        <f t="shared" ref="AZ128:BA128" si="270">sum(AN128,AQ128,AT128,AW128)</f>
        <v>0</v>
      </c>
      <c r="BA128" s="1">
        <f t="shared" si="270"/>
        <v>0</v>
      </c>
      <c r="BB128" s="17" t="str">
        <f t="shared" si="20"/>
        <v/>
      </c>
    </row>
    <row r="129">
      <c r="A129" s="1" t="str">
        <f>IFERROR(__xludf.DUMMYFUNCTION("""COMPUTED_VALUE"""),"63ef9d58384f27260c1ba435")</f>
        <v>63ef9d58384f27260c1ba435</v>
      </c>
      <c r="B129" s="1" t="str">
        <f>IFERROR(__xludf.DUMMYFUNCTION("""COMPUTED_VALUE"""),"Dice Communications, Inc.")</f>
        <v>Dice Communications, Inc.</v>
      </c>
      <c r="C129" s="1" t="str">
        <f>IFERROR(__xludf.DUMMYFUNCTION("""COMPUTED_VALUE"""),"gene.hawks@al-enterprise.com, bill.rademacher@al-enterprise.com")</f>
        <v>gene.hawks@al-enterprise.com, bill.rademacher@al-enterprise.com</v>
      </c>
      <c r="D129" s="1" t="str">
        <f>IFERROR(__xludf.DUMMYFUNCTION("""COMPUTED_VALUE"""),"americas")</f>
        <v>americas</v>
      </c>
      <c r="E129" s="1" t="str">
        <f>IFERROR(__xludf.DUMMYFUNCTION("""COMPUTED_VALUE"""),"US")</f>
        <v>US</v>
      </c>
      <c r="F129" s="1" t="str">
        <f>IFERROR(__xludf.DUMMYFUNCTION("""COMPUTED_VALUE"""),"expert_1000")</f>
        <v>expert_1000</v>
      </c>
      <c r="G129" s="1">
        <f>iferror(VLOOKUP(A129,'Business Plan Setup and Accepta'!A:G,6,false),"")</f>
        <v>0</v>
      </c>
      <c r="H129" s="1">
        <f>iferror(VLOOKUP(A129,'Business Plan Setup and Accepta'!A:G,7,false),"")</f>
        <v>1</v>
      </c>
      <c r="I129" s="17">
        <f t="shared" si="3"/>
        <v>0</v>
      </c>
      <c r="J129" s="1">
        <f>IFERROR(VALUE(SUBSTITUTE(VLOOKUP(A129,'Sales IN Revenues vs Sales targ'!A:G,6,false)," $","")), "")
</f>
        <v>463.2</v>
      </c>
      <c r="K129" s="1">
        <f>IFERROR(VALUE(SUBSTITUTE(VLOOKUP(A129,'Sales IN Revenues vs Sales targ'!A:G,7,false)," $","")), "")
</f>
        <v>2039.88</v>
      </c>
      <c r="L129" s="17">
        <f t="shared" si="4"/>
        <v>0.2270721807</v>
      </c>
      <c r="M129" s="1">
        <f>value(SUBSTITUTE(IFERROR(VLOOKUP(A129,'Certifications achievements vs '!A:G,6,false),""),"#","")
)</f>
        <v>47</v>
      </c>
      <c r="N129" s="1">
        <f>value(SUBSTITUTE(IFERROR(VLOOKUP(A129,'Certifications achievements vs '!A:G,7,false),""),"#","")
)</f>
        <v>52</v>
      </c>
      <c r="O129" s="17">
        <f t="shared" si="5"/>
        <v>0.9038461538</v>
      </c>
      <c r="P129" s="1">
        <f>value(SUBSTITUTE(IFERROR(VLOOKUP(A129,'Communications - Solution Speci'!A:G,6,false),""),"#","")
)</f>
        <v>1</v>
      </c>
      <c r="Q129" s="1">
        <f>value(SUBSTITUTE(IFERROR(VLOOKUP(A129,'Communications - Solution Speci'!A:G,7,false),""),"#","")
)</f>
        <v>1</v>
      </c>
      <c r="R129" s="17">
        <f t="shared" si="6"/>
        <v>1</v>
      </c>
      <c r="S129" s="1">
        <f>value(SUBSTITUTE(IFERROR(VLOOKUP(A129,'Networking - Solution Specializ'!A:G,6,false),""),"#","")
)</f>
        <v>1</v>
      </c>
      <c r="T129" s="1">
        <f>value(SUBSTITUTE(IFERROR(VLOOKUP(A129,'Networking - Solution Specializ'!A:G,7,false),""),"#","")
)</f>
        <v>1</v>
      </c>
      <c r="U129" s="17">
        <f t="shared" si="7"/>
        <v>1</v>
      </c>
      <c r="V129" s="1">
        <f>iferror(vlookup(A129,'Marketing Plan (extract summary'!A:G,6,false),"")</f>
        <v>0</v>
      </c>
      <c r="W129" s="1">
        <f>iferror(vlookup(A129,'Marketing Plan (extract summary'!A:G,7,false),"")</f>
        <v>1</v>
      </c>
      <c r="X129" s="17">
        <f t="shared" si="8"/>
        <v>0</v>
      </c>
      <c r="Y129" s="1">
        <f>value(IFERROR(SUBSTITUTE(SUBSTITUTE(VLOOKUP(A129,'Quarterly Pipeline vs Target Pi'!A:G,6,false)," $","")," €",""), "")
)</f>
        <v>4.78</v>
      </c>
      <c r="Z129" s="1">
        <f>value(IFERROR(SUBSTITUTE(SUBSTITUTE(VLOOKUP(A129,'Quarterly Pipeline vs Target Pi'!A:G,7,false)," $","")," €",""), "")
)</f>
        <v>0</v>
      </c>
      <c r="AA129" s="17" t="str">
        <f t="shared" si="9"/>
        <v/>
      </c>
      <c r="AB129" s="1">
        <f>value(IFERROR(SUBSTITUTE(SUBSTITUTE(VLOOKUP($A129,'Quarterly Pipeline vs Target Pi'!$A:$V,11,false)," $","")," €",""), "")
)</f>
        <v>15.86</v>
      </c>
      <c r="AC129" s="1">
        <f>value(IFERROR(SUBSTITUTE(SUBSTITUTE(VLOOKUP($A129,'Quarterly Pipeline vs Target Pi'!$A:$V,12,false)," $","")," €",""), "")
)</f>
        <v>0</v>
      </c>
      <c r="AD129" s="17" t="str">
        <f t="shared" si="10"/>
        <v/>
      </c>
      <c r="AE129" s="1">
        <f>value(IFERROR(SUBSTITUTE(SUBSTITUTE(VLOOKUP($A129,'Quarterly Pipeline vs Target Pi'!$A:$V,16,false)," $","")," €",""), "")
)</f>
        <v>37.27</v>
      </c>
      <c r="AF129" s="1">
        <f>value(IFERROR(SUBSTITUTE(SUBSTITUTE(VLOOKUP($A129,'Quarterly Pipeline vs Target Pi'!$A:$V,17,false)," $","")," €",""), "")
)</f>
        <v>1586.84</v>
      </c>
      <c r="AG129" s="17">
        <f t="shared" si="11"/>
        <v>0.02348693</v>
      </c>
      <c r="AH129" s="1">
        <f>value(IFERROR(SUBSTITUTE(SUBSTITUTE(VLOOKUP($A129,'Quarterly Pipeline vs Target Pi'!$A:$V,21,false)," $","")," €",""), "")
)</f>
        <v>65.8</v>
      </c>
      <c r="AI129" s="1">
        <f>value(IFERROR(SUBSTITUTE(SUBSTITUTE(VLOOKUP($A129,'Quarterly Pipeline vs Target Pi'!$A:$V,22,false)," $","")," €",""), "")
)</f>
        <v>555.26</v>
      </c>
      <c r="AJ129" s="17">
        <f t="shared" si="12"/>
        <v>0.1185030436</v>
      </c>
      <c r="AK129" s="1">
        <f t="shared" ref="AK129:AL129" si="271">sum(Y129,AB129,AE129,AH129)</f>
        <v>123.71</v>
      </c>
      <c r="AL129" s="1">
        <f t="shared" si="271"/>
        <v>2142.1</v>
      </c>
      <c r="AM129" s="17">
        <f t="shared" si="14"/>
        <v>0.05775173895</v>
      </c>
      <c r="AN129" s="1">
        <f>value(IFERROR(SUBSTITUTE(SUBSTITUTE(VLOOKUP($A129,'Quarterly Pipeline vs Target Pi'!$A:$AP,26,false)," $","")," €",""), "")
)</f>
        <v>0</v>
      </c>
      <c r="AO129" s="1">
        <f>value(IFERROR(SUBSTITUTE(SUBSTITUTE(VLOOKUP($A129,'Quarterly Pipeline vs Target Pi'!$A:$AP,27,false)," $","")," €",""), "")
)</f>
        <v>0</v>
      </c>
      <c r="AP129" s="17" t="str">
        <f t="shared" si="15"/>
        <v/>
      </c>
      <c r="AQ129" s="1">
        <f>value(IFERROR(SUBSTITUTE(SUBSTITUTE(VLOOKUP($A129,'Quarterly Pipeline vs Target Pi'!$A:$AP,31,false)," $","")," €",""), "")
)</f>
        <v>579</v>
      </c>
      <c r="AR129" s="1">
        <f>value(IFERROR(SUBSTITUTE(SUBSTITUTE(VLOOKUP($A129,'Quarterly Pipeline vs Target Pi'!$A:$AP,32,false)," $","")," €",""), "")
)</f>
        <v>0</v>
      </c>
      <c r="AS129" s="17" t="str">
        <f t="shared" si="16"/>
        <v/>
      </c>
      <c r="AT129" s="1">
        <f>value(IFERROR(SUBSTITUTE(SUBSTITUTE(VLOOKUP($A129,'Quarterly Pipeline vs Target Pi'!$A:$AP,36,false)," $","")," €",""), "")
)</f>
        <v>0</v>
      </c>
      <c r="AU129" s="1">
        <f>value(IFERROR(SUBSTITUTE(SUBSTITUTE(VLOOKUP($A129,'Quarterly Pipeline vs Target Pi'!$A:$AP,37,false)," $","")," €",""), "")
)</f>
        <v>0</v>
      </c>
      <c r="AV129" s="17" t="str">
        <f t="shared" si="17"/>
        <v/>
      </c>
      <c r="AW129" s="1">
        <f>value(IFERROR(SUBSTITUTE(SUBSTITUTE(VLOOKUP($A129,'Quarterly Pipeline vs Target Pi'!$A:$AP,41,false)," $","")," €",""), "")
)</f>
        <v>17.35</v>
      </c>
      <c r="AX129" s="1">
        <f>value(IFERROR(SUBSTITUTE(SUBSTITUTE(VLOOKUP($A129,'Quarterly Pipeline vs Target Pi'!$A:$AP,42,false)," $","")," €",""), "")
)</f>
        <v>0</v>
      </c>
      <c r="AY129" s="17" t="str">
        <f t="shared" si="18"/>
        <v/>
      </c>
      <c r="AZ129" s="1">
        <f t="shared" ref="AZ129:BA129" si="272">sum(AN129,AQ129,AT129,AW129)</f>
        <v>596.35</v>
      </c>
      <c r="BA129" s="1">
        <f t="shared" si="272"/>
        <v>0</v>
      </c>
      <c r="BB129" s="17" t="str">
        <f t="shared" si="20"/>
        <v/>
      </c>
    </row>
    <row r="130">
      <c r="A130" s="1" t="str">
        <f>IFERROR(__xludf.DUMMYFUNCTION("""COMPUTED_VALUE"""),"63ea6e9752ad6968805cf147")</f>
        <v>63ea6e9752ad6968805cf147</v>
      </c>
      <c r="B130" s="1" t="str">
        <f>IFERROR(__xludf.DUMMYFUNCTION("""COMPUTED_VALUE"""),"Die Elektro GmbH")</f>
        <v>Die Elektro GmbH</v>
      </c>
      <c r="C130" s="1" t="str">
        <f>IFERROR(__xludf.DUMMYFUNCTION("""COMPUTED_VALUE"""),"andreas.grossheimann@al-enterprise.com, andre.ramm@al-enterprise.com")</f>
        <v>andreas.grossheimann@al-enterprise.com, andre.ramm@al-enterprise.com</v>
      </c>
      <c r="D130" s="1" t="str">
        <f>IFERROR(__xludf.DUMMYFUNCTION("""COMPUTED_VALUE"""),"germany")</f>
        <v>germany</v>
      </c>
      <c r="E130" s="1" t="str">
        <f>IFERROR(__xludf.DUMMYFUNCTION("""COMPUTED_VALUE"""),"DE")</f>
        <v>DE</v>
      </c>
      <c r="F130" s="1"/>
      <c r="G130" s="1" t="str">
        <f>iferror(VLOOKUP(A130,'Business Plan Setup and Accepta'!A:G,6,false),"")</f>
        <v/>
      </c>
      <c r="H130" s="1" t="str">
        <f>iferror(VLOOKUP(A130,'Business Plan Setup and Accepta'!A:G,7,false),"")</f>
        <v/>
      </c>
      <c r="I130" s="17" t="str">
        <f t="shared" si="3"/>
        <v/>
      </c>
      <c r="J130" s="1" t="str">
        <f>IFERROR(VALUE(SUBSTITUTE(VLOOKUP(A130,'Sales IN Revenues vs Sales targ'!A:G,6,false)," $","")), "")
</f>
        <v/>
      </c>
      <c r="K130" s="1" t="str">
        <f>IFERROR(VALUE(SUBSTITUTE(VLOOKUP(A130,'Sales IN Revenues vs Sales targ'!A:G,7,false)," $","")), "")
</f>
        <v/>
      </c>
      <c r="L130" s="17" t="str">
        <f t="shared" si="4"/>
        <v/>
      </c>
      <c r="M130" s="1">
        <f>value(SUBSTITUTE(IFERROR(VLOOKUP(A130,'Certifications achievements vs '!A:G,6,false),""),"#","")
)</f>
        <v>0</v>
      </c>
      <c r="N130" s="1">
        <f>value(SUBSTITUTE(IFERROR(VLOOKUP(A130,'Certifications achievements vs '!A:G,7,false),""),"#","")
)</f>
        <v>0</v>
      </c>
      <c r="O130" s="17" t="str">
        <f t="shared" si="5"/>
        <v/>
      </c>
      <c r="P130" s="1">
        <f>value(SUBSTITUTE(IFERROR(VLOOKUP(A130,'Communications - Solution Speci'!A:G,6,false),""),"#","")
)</f>
        <v>0</v>
      </c>
      <c r="Q130" s="1">
        <f>value(SUBSTITUTE(IFERROR(VLOOKUP(A130,'Communications - Solution Speci'!A:G,7,false),""),"#","")
)</f>
        <v>0</v>
      </c>
      <c r="R130" s="17" t="str">
        <f t="shared" si="6"/>
        <v/>
      </c>
      <c r="S130" s="1">
        <f>value(SUBSTITUTE(IFERROR(VLOOKUP(A130,'Networking - Solution Specializ'!A:G,6,false),""),"#","")
)</f>
        <v>0</v>
      </c>
      <c r="T130" s="1">
        <f>value(SUBSTITUTE(IFERROR(VLOOKUP(A130,'Networking - Solution Specializ'!A:G,7,false),""),"#","")
)</f>
        <v>0</v>
      </c>
      <c r="U130" s="17" t="str">
        <f t="shared" si="7"/>
        <v/>
      </c>
      <c r="V130" s="1" t="str">
        <f>iferror(vlookup(A130,'Marketing Plan (extract summary'!A:G,6,false),"")</f>
        <v/>
      </c>
      <c r="W130" s="1" t="str">
        <f>iferror(vlookup(A130,'Marketing Plan (extract summary'!A:G,7,false),"")</f>
        <v/>
      </c>
      <c r="X130" s="17" t="str">
        <f t="shared" si="8"/>
        <v/>
      </c>
      <c r="Y130" s="1">
        <f>value(IFERROR(SUBSTITUTE(SUBSTITUTE(VLOOKUP(A130,'Quarterly Pipeline vs Target Pi'!A:G,6,false)," $","")," €",""), "")
)</f>
        <v>0</v>
      </c>
      <c r="Z130" s="1">
        <f>value(IFERROR(SUBSTITUTE(SUBSTITUTE(VLOOKUP(A130,'Quarterly Pipeline vs Target Pi'!A:G,7,false)," $","")," €",""), "")
)</f>
        <v>0</v>
      </c>
      <c r="AA130" s="17" t="str">
        <f t="shared" si="9"/>
        <v/>
      </c>
      <c r="AB130" s="1">
        <f>value(IFERROR(SUBSTITUTE(SUBSTITUTE(VLOOKUP($A130,'Quarterly Pipeline vs Target Pi'!$A:$V,11,false)," $","")," €",""), "")
)</f>
        <v>0</v>
      </c>
      <c r="AC130" s="1">
        <f>value(IFERROR(SUBSTITUTE(SUBSTITUTE(VLOOKUP($A130,'Quarterly Pipeline vs Target Pi'!$A:$V,12,false)," $","")," €",""), "")
)</f>
        <v>0</v>
      </c>
      <c r="AD130" s="17" t="str">
        <f t="shared" si="10"/>
        <v/>
      </c>
      <c r="AE130" s="1">
        <f>value(IFERROR(SUBSTITUTE(SUBSTITUTE(VLOOKUP($A130,'Quarterly Pipeline vs Target Pi'!$A:$V,16,false)," $","")," €",""), "")
)</f>
        <v>0</v>
      </c>
      <c r="AF130" s="1">
        <f>value(IFERROR(SUBSTITUTE(SUBSTITUTE(VLOOKUP($A130,'Quarterly Pipeline vs Target Pi'!$A:$V,17,false)," $","")," €",""), "")
)</f>
        <v>0</v>
      </c>
      <c r="AG130" s="17" t="str">
        <f t="shared" si="11"/>
        <v/>
      </c>
      <c r="AH130" s="1">
        <f>value(IFERROR(SUBSTITUTE(SUBSTITUTE(VLOOKUP($A130,'Quarterly Pipeline vs Target Pi'!$A:$V,21,false)," $","")," €",""), "")
)</f>
        <v>0</v>
      </c>
      <c r="AI130" s="1">
        <f>value(IFERROR(SUBSTITUTE(SUBSTITUTE(VLOOKUP($A130,'Quarterly Pipeline vs Target Pi'!$A:$V,22,false)," $","")," €",""), "")
)</f>
        <v>0</v>
      </c>
      <c r="AJ130" s="17" t="str">
        <f t="shared" si="12"/>
        <v/>
      </c>
      <c r="AK130" s="1">
        <f t="shared" ref="AK130:AL130" si="273">sum(Y130,AB130,AE130,AH130)</f>
        <v>0</v>
      </c>
      <c r="AL130" s="1">
        <f t="shared" si="273"/>
        <v>0</v>
      </c>
      <c r="AM130" s="17" t="str">
        <f t="shared" si="14"/>
        <v/>
      </c>
      <c r="AN130" s="1">
        <f>value(IFERROR(SUBSTITUTE(SUBSTITUTE(VLOOKUP($A130,'Quarterly Pipeline vs Target Pi'!$A:$AP,26,false)," $","")," €",""), "")
)</f>
        <v>0</v>
      </c>
      <c r="AO130" s="1">
        <f>value(IFERROR(SUBSTITUTE(SUBSTITUTE(VLOOKUP($A130,'Quarterly Pipeline vs Target Pi'!$A:$AP,27,false)," $","")," €",""), "")
)</f>
        <v>0</v>
      </c>
      <c r="AP130" s="17" t="str">
        <f t="shared" si="15"/>
        <v/>
      </c>
      <c r="AQ130" s="1">
        <f>value(IFERROR(SUBSTITUTE(SUBSTITUTE(VLOOKUP($A130,'Quarterly Pipeline vs Target Pi'!$A:$AP,31,false)," $","")," €",""), "")
)</f>
        <v>0</v>
      </c>
      <c r="AR130" s="1">
        <f>value(IFERROR(SUBSTITUTE(SUBSTITUTE(VLOOKUP($A130,'Quarterly Pipeline vs Target Pi'!$A:$AP,32,false)," $","")," €",""), "")
)</f>
        <v>0</v>
      </c>
      <c r="AS130" s="17" t="str">
        <f t="shared" si="16"/>
        <v/>
      </c>
      <c r="AT130" s="1">
        <f>value(IFERROR(SUBSTITUTE(SUBSTITUTE(VLOOKUP($A130,'Quarterly Pipeline vs Target Pi'!$A:$AP,36,false)," $","")," €",""), "")
)</f>
        <v>0</v>
      </c>
      <c r="AU130" s="1">
        <f>value(IFERROR(SUBSTITUTE(SUBSTITUTE(VLOOKUP($A130,'Quarterly Pipeline vs Target Pi'!$A:$AP,37,false)," $","")," €",""), "")
)</f>
        <v>0</v>
      </c>
      <c r="AV130" s="17" t="str">
        <f t="shared" si="17"/>
        <v/>
      </c>
      <c r="AW130" s="1">
        <f>value(IFERROR(SUBSTITUTE(SUBSTITUTE(VLOOKUP($A130,'Quarterly Pipeline vs Target Pi'!$A:$AP,41,false)," $","")," €",""), "")
)</f>
        <v>0</v>
      </c>
      <c r="AX130" s="1">
        <f>value(IFERROR(SUBSTITUTE(SUBSTITUTE(VLOOKUP($A130,'Quarterly Pipeline vs Target Pi'!$A:$AP,42,false)," $","")," €",""), "")
)</f>
        <v>0</v>
      </c>
      <c r="AY130" s="17" t="str">
        <f t="shared" si="18"/>
        <v/>
      </c>
      <c r="AZ130" s="1">
        <f t="shared" ref="AZ130:BA130" si="274">sum(AN130,AQ130,AT130,AW130)</f>
        <v>0</v>
      </c>
      <c r="BA130" s="1">
        <f t="shared" si="274"/>
        <v>0</v>
      </c>
      <c r="BB130" s="17" t="str">
        <f t="shared" si="20"/>
        <v/>
      </c>
    </row>
    <row r="131">
      <c r="A131" s="1" t="str">
        <f>IFERROR(__xludf.DUMMYFUNCTION("""COMPUTED_VALUE"""),"63ea6e9552ad6968805cee1b")</f>
        <v>63ea6e9552ad6968805cee1b</v>
      </c>
      <c r="B131" s="1" t="str">
        <f>IFERROR(__xludf.DUMMYFUNCTION("""COMPUTED_VALUE"""),"DiepKom GmbH")</f>
        <v>DiepKom GmbH</v>
      </c>
      <c r="C131" s="1" t="str">
        <f>IFERROR(__xludf.DUMMYFUNCTION("""COMPUTED_VALUE"""),"andreas.grossheimann@al-enterprise.com, andre.ramm@al-enterprise.com")</f>
        <v>andreas.grossheimann@al-enterprise.com, andre.ramm@al-enterprise.com</v>
      </c>
      <c r="D131" s="1" t="str">
        <f>IFERROR(__xludf.DUMMYFUNCTION("""COMPUTED_VALUE"""),"germany")</f>
        <v>germany</v>
      </c>
      <c r="E131" s="1" t="str">
        <f>IFERROR(__xludf.DUMMYFUNCTION("""COMPUTED_VALUE"""),"DE")</f>
        <v>DE</v>
      </c>
      <c r="F131" s="1"/>
      <c r="G131" s="1" t="str">
        <f>iferror(VLOOKUP(A131,'Business Plan Setup and Accepta'!A:G,6,false),"")</f>
        <v/>
      </c>
      <c r="H131" s="1" t="str">
        <f>iferror(VLOOKUP(A131,'Business Plan Setup and Accepta'!A:G,7,false),"")</f>
        <v/>
      </c>
      <c r="I131" s="17" t="str">
        <f t="shared" si="3"/>
        <v/>
      </c>
      <c r="J131" s="1" t="str">
        <f>IFERROR(VALUE(SUBSTITUTE(VLOOKUP(A131,'Sales IN Revenues vs Sales targ'!A:G,6,false)," $","")), "")
</f>
        <v/>
      </c>
      <c r="K131" s="1" t="str">
        <f>IFERROR(VALUE(SUBSTITUTE(VLOOKUP(A131,'Sales IN Revenues vs Sales targ'!A:G,7,false)," $","")), "")
</f>
        <v/>
      </c>
      <c r="L131" s="17" t="str">
        <f t="shared" si="4"/>
        <v/>
      </c>
      <c r="M131" s="1">
        <f>value(SUBSTITUTE(IFERROR(VLOOKUP(A131,'Certifications achievements vs '!A:G,6,false),""),"#","")
)</f>
        <v>0</v>
      </c>
      <c r="N131" s="1">
        <f>value(SUBSTITUTE(IFERROR(VLOOKUP(A131,'Certifications achievements vs '!A:G,7,false),""),"#","")
)</f>
        <v>0</v>
      </c>
      <c r="O131" s="17" t="str">
        <f t="shared" si="5"/>
        <v/>
      </c>
      <c r="P131" s="1">
        <f>value(SUBSTITUTE(IFERROR(VLOOKUP(A131,'Communications - Solution Speci'!A:G,6,false),""),"#","")
)</f>
        <v>0</v>
      </c>
      <c r="Q131" s="1">
        <f>value(SUBSTITUTE(IFERROR(VLOOKUP(A131,'Communications - Solution Speci'!A:G,7,false),""),"#","")
)</f>
        <v>0</v>
      </c>
      <c r="R131" s="17" t="str">
        <f t="shared" si="6"/>
        <v/>
      </c>
      <c r="S131" s="1">
        <f>value(SUBSTITUTE(IFERROR(VLOOKUP(A131,'Networking - Solution Specializ'!A:G,6,false),""),"#","")
)</f>
        <v>0</v>
      </c>
      <c r="T131" s="1">
        <f>value(SUBSTITUTE(IFERROR(VLOOKUP(A131,'Networking - Solution Specializ'!A:G,7,false),""),"#","")
)</f>
        <v>0</v>
      </c>
      <c r="U131" s="17" t="str">
        <f t="shared" si="7"/>
        <v/>
      </c>
      <c r="V131" s="1" t="str">
        <f>iferror(vlookup(A131,'Marketing Plan (extract summary'!A:G,6,false),"")</f>
        <v/>
      </c>
      <c r="W131" s="1" t="str">
        <f>iferror(vlookup(A131,'Marketing Plan (extract summary'!A:G,7,false),"")</f>
        <v/>
      </c>
      <c r="X131" s="17" t="str">
        <f t="shared" si="8"/>
        <v/>
      </c>
      <c r="Y131" s="1">
        <f>value(IFERROR(SUBSTITUTE(SUBSTITUTE(VLOOKUP(A131,'Quarterly Pipeline vs Target Pi'!A:G,6,false)," $","")," €",""), "")
)</f>
        <v>0</v>
      </c>
      <c r="Z131" s="1">
        <f>value(IFERROR(SUBSTITUTE(SUBSTITUTE(VLOOKUP(A131,'Quarterly Pipeline vs Target Pi'!A:G,7,false)," $","")," €",""), "")
)</f>
        <v>0</v>
      </c>
      <c r="AA131" s="17" t="str">
        <f t="shared" si="9"/>
        <v/>
      </c>
      <c r="AB131" s="1">
        <f>value(IFERROR(SUBSTITUTE(SUBSTITUTE(VLOOKUP($A131,'Quarterly Pipeline vs Target Pi'!$A:$V,11,false)," $","")," €",""), "")
)</f>
        <v>0</v>
      </c>
      <c r="AC131" s="1">
        <f>value(IFERROR(SUBSTITUTE(SUBSTITUTE(VLOOKUP($A131,'Quarterly Pipeline vs Target Pi'!$A:$V,12,false)," $","")," €",""), "")
)</f>
        <v>0</v>
      </c>
      <c r="AD131" s="17" t="str">
        <f t="shared" si="10"/>
        <v/>
      </c>
      <c r="AE131" s="1">
        <f>value(IFERROR(SUBSTITUTE(SUBSTITUTE(VLOOKUP($A131,'Quarterly Pipeline vs Target Pi'!$A:$V,16,false)," $","")," €",""), "")
)</f>
        <v>0</v>
      </c>
      <c r="AF131" s="1">
        <f>value(IFERROR(SUBSTITUTE(SUBSTITUTE(VLOOKUP($A131,'Quarterly Pipeline vs Target Pi'!$A:$V,17,false)," $","")," €",""), "")
)</f>
        <v>0</v>
      </c>
      <c r="AG131" s="17" t="str">
        <f t="shared" si="11"/>
        <v/>
      </c>
      <c r="AH131" s="1">
        <f>value(IFERROR(SUBSTITUTE(SUBSTITUTE(VLOOKUP($A131,'Quarterly Pipeline vs Target Pi'!$A:$V,21,false)," $","")," €",""), "")
)</f>
        <v>0</v>
      </c>
      <c r="AI131" s="1">
        <f>value(IFERROR(SUBSTITUTE(SUBSTITUTE(VLOOKUP($A131,'Quarterly Pipeline vs Target Pi'!$A:$V,22,false)," $","")," €",""), "")
)</f>
        <v>0</v>
      </c>
      <c r="AJ131" s="17" t="str">
        <f t="shared" si="12"/>
        <v/>
      </c>
      <c r="AK131" s="1">
        <f t="shared" ref="AK131:AL131" si="275">sum(Y131,AB131,AE131,AH131)</f>
        <v>0</v>
      </c>
      <c r="AL131" s="1">
        <f t="shared" si="275"/>
        <v>0</v>
      </c>
      <c r="AM131" s="17" t="str">
        <f t="shared" si="14"/>
        <v/>
      </c>
      <c r="AN131" s="1">
        <f>value(IFERROR(SUBSTITUTE(SUBSTITUTE(VLOOKUP($A131,'Quarterly Pipeline vs Target Pi'!$A:$AP,26,false)," $","")," €",""), "")
)</f>
        <v>0</v>
      </c>
      <c r="AO131" s="1">
        <f>value(IFERROR(SUBSTITUTE(SUBSTITUTE(VLOOKUP($A131,'Quarterly Pipeline vs Target Pi'!$A:$AP,27,false)," $","")," €",""), "")
)</f>
        <v>0</v>
      </c>
      <c r="AP131" s="17" t="str">
        <f t="shared" si="15"/>
        <v/>
      </c>
      <c r="AQ131" s="1">
        <f>value(IFERROR(SUBSTITUTE(SUBSTITUTE(VLOOKUP($A131,'Quarterly Pipeline vs Target Pi'!$A:$AP,31,false)," $","")," €",""), "")
)</f>
        <v>0</v>
      </c>
      <c r="AR131" s="1">
        <f>value(IFERROR(SUBSTITUTE(SUBSTITUTE(VLOOKUP($A131,'Quarterly Pipeline vs Target Pi'!$A:$AP,32,false)," $","")," €",""), "")
)</f>
        <v>0</v>
      </c>
      <c r="AS131" s="17" t="str">
        <f t="shared" si="16"/>
        <v/>
      </c>
      <c r="AT131" s="1">
        <f>value(IFERROR(SUBSTITUTE(SUBSTITUTE(VLOOKUP($A131,'Quarterly Pipeline vs Target Pi'!$A:$AP,36,false)," $","")," €",""), "")
)</f>
        <v>0</v>
      </c>
      <c r="AU131" s="1">
        <f>value(IFERROR(SUBSTITUTE(SUBSTITUTE(VLOOKUP($A131,'Quarterly Pipeline vs Target Pi'!$A:$AP,37,false)," $","")," €",""), "")
)</f>
        <v>0</v>
      </c>
      <c r="AV131" s="17" t="str">
        <f t="shared" si="17"/>
        <v/>
      </c>
      <c r="AW131" s="1">
        <f>value(IFERROR(SUBSTITUTE(SUBSTITUTE(VLOOKUP($A131,'Quarterly Pipeline vs Target Pi'!$A:$AP,41,false)," $","")," €",""), "")
)</f>
        <v>0</v>
      </c>
      <c r="AX131" s="1">
        <f>value(IFERROR(SUBSTITUTE(SUBSTITUTE(VLOOKUP($A131,'Quarterly Pipeline vs Target Pi'!$A:$AP,42,false)," $","")," €",""), "")
)</f>
        <v>0</v>
      </c>
      <c r="AY131" s="17" t="str">
        <f t="shared" si="18"/>
        <v/>
      </c>
      <c r="AZ131" s="1">
        <f t="shared" ref="AZ131:BA131" si="276">sum(AN131,AQ131,AT131,AW131)</f>
        <v>0</v>
      </c>
      <c r="BA131" s="1">
        <f t="shared" si="276"/>
        <v>0</v>
      </c>
      <c r="BB131" s="17" t="str">
        <f t="shared" si="20"/>
        <v/>
      </c>
    </row>
    <row r="132">
      <c r="A132" s="1" t="str">
        <f>IFERROR(__xludf.DUMMYFUNCTION("""COMPUTED_VALUE"""),"63ea6e9552ad6968805ced57")</f>
        <v>63ea6e9552ad6968805ced57</v>
      </c>
      <c r="B132" s="1" t="str">
        <f>IFERROR(__xludf.DUMMYFUNCTION("""COMPUTED_VALUE"""),"Dieter Schwengbeck")</f>
        <v>Dieter Schwengbeck</v>
      </c>
      <c r="C132" s="1" t="str">
        <f>IFERROR(__xludf.DUMMYFUNCTION("""COMPUTED_VALUE"""),"andreas.grossheimann@al-enterprise.com, andre.ramm@al-enterprise.com")</f>
        <v>andreas.grossheimann@al-enterprise.com, andre.ramm@al-enterprise.com</v>
      </c>
      <c r="D132" s="1" t="str">
        <f>IFERROR(__xludf.DUMMYFUNCTION("""COMPUTED_VALUE"""),"germany")</f>
        <v>germany</v>
      </c>
      <c r="E132" s="1" t="str">
        <f>IFERROR(__xludf.DUMMYFUNCTION("""COMPUTED_VALUE"""),"DE")</f>
        <v>DE</v>
      </c>
      <c r="F132" s="1"/>
      <c r="G132" s="1" t="str">
        <f>iferror(VLOOKUP(A132,'Business Plan Setup and Accepta'!A:G,6,false),"")</f>
        <v/>
      </c>
      <c r="H132" s="1" t="str">
        <f>iferror(VLOOKUP(A132,'Business Plan Setup and Accepta'!A:G,7,false),"")</f>
        <v/>
      </c>
      <c r="I132" s="17" t="str">
        <f t="shared" si="3"/>
        <v/>
      </c>
      <c r="J132" s="1" t="str">
        <f>IFERROR(VALUE(SUBSTITUTE(VLOOKUP(A132,'Sales IN Revenues vs Sales targ'!A:G,6,false)," $","")), "")
</f>
        <v/>
      </c>
      <c r="K132" s="1" t="str">
        <f>IFERROR(VALUE(SUBSTITUTE(VLOOKUP(A132,'Sales IN Revenues vs Sales targ'!A:G,7,false)," $","")), "")
</f>
        <v/>
      </c>
      <c r="L132" s="17" t="str">
        <f t="shared" si="4"/>
        <v/>
      </c>
      <c r="M132" s="1">
        <f>value(SUBSTITUTE(IFERROR(VLOOKUP(A132,'Certifications achievements vs '!A:G,6,false),""),"#","")
)</f>
        <v>0</v>
      </c>
      <c r="N132" s="1">
        <f>value(SUBSTITUTE(IFERROR(VLOOKUP(A132,'Certifications achievements vs '!A:G,7,false),""),"#","")
)</f>
        <v>0</v>
      </c>
      <c r="O132" s="17" t="str">
        <f t="shared" si="5"/>
        <v/>
      </c>
      <c r="P132" s="1">
        <f>value(SUBSTITUTE(IFERROR(VLOOKUP(A132,'Communications - Solution Speci'!A:G,6,false),""),"#","")
)</f>
        <v>0</v>
      </c>
      <c r="Q132" s="1">
        <f>value(SUBSTITUTE(IFERROR(VLOOKUP(A132,'Communications - Solution Speci'!A:G,7,false),""),"#","")
)</f>
        <v>0</v>
      </c>
      <c r="R132" s="17" t="str">
        <f t="shared" si="6"/>
        <v/>
      </c>
      <c r="S132" s="1">
        <f>value(SUBSTITUTE(IFERROR(VLOOKUP(A132,'Networking - Solution Specializ'!A:G,6,false),""),"#","")
)</f>
        <v>0</v>
      </c>
      <c r="T132" s="1">
        <f>value(SUBSTITUTE(IFERROR(VLOOKUP(A132,'Networking - Solution Specializ'!A:G,7,false),""),"#","")
)</f>
        <v>0</v>
      </c>
      <c r="U132" s="17" t="str">
        <f t="shared" si="7"/>
        <v/>
      </c>
      <c r="V132" s="1" t="str">
        <f>iferror(vlookup(A132,'Marketing Plan (extract summary'!A:G,6,false),"")</f>
        <v/>
      </c>
      <c r="W132" s="1" t="str">
        <f>iferror(vlookup(A132,'Marketing Plan (extract summary'!A:G,7,false),"")</f>
        <v/>
      </c>
      <c r="X132" s="17" t="str">
        <f t="shared" si="8"/>
        <v/>
      </c>
      <c r="Y132" s="1">
        <f>value(IFERROR(SUBSTITUTE(SUBSTITUTE(VLOOKUP(A132,'Quarterly Pipeline vs Target Pi'!A:G,6,false)," $","")," €",""), "")
)</f>
        <v>0</v>
      </c>
      <c r="Z132" s="1">
        <f>value(IFERROR(SUBSTITUTE(SUBSTITUTE(VLOOKUP(A132,'Quarterly Pipeline vs Target Pi'!A:G,7,false)," $","")," €",""), "")
)</f>
        <v>0</v>
      </c>
      <c r="AA132" s="17" t="str">
        <f t="shared" si="9"/>
        <v/>
      </c>
      <c r="AB132" s="1">
        <f>value(IFERROR(SUBSTITUTE(SUBSTITUTE(VLOOKUP($A132,'Quarterly Pipeline vs Target Pi'!$A:$V,11,false)," $","")," €",""), "")
)</f>
        <v>0</v>
      </c>
      <c r="AC132" s="1">
        <f>value(IFERROR(SUBSTITUTE(SUBSTITUTE(VLOOKUP($A132,'Quarterly Pipeline vs Target Pi'!$A:$V,12,false)," $","")," €",""), "")
)</f>
        <v>0</v>
      </c>
      <c r="AD132" s="17" t="str">
        <f t="shared" si="10"/>
        <v/>
      </c>
      <c r="AE132" s="1">
        <f>value(IFERROR(SUBSTITUTE(SUBSTITUTE(VLOOKUP($A132,'Quarterly Pipeline vs Target Pi'!$A:$V,16,false)," $","")," €",""), "")
)</f>
        <v>0</v>
      </c>
      <c r="AF132" s="1">
        <f>value(IFERROR(SUBSTITUTE(SUBSTITUTE(VLOOKUP($A132,'Quarterly Pipeline vs Target Pi'!$A:$V,17,false)," $","")," €",""), "")
)</f>
        <v>0</v>
      </c>
      <c r="AG132" s="17" t="str">
        <f t="shared" si="11"/>
        <v/>
      </c>
      <c r="AH132" s="1">
        <f>value(IFERROR(SUBSTITUTE(SUBSTITUTE(VLOOKUP($A132,'Quarterly Pipeline vs Target Pi'!$A:$V,21,false)," $","")," €",""), "")
)</f>
        <v>0</v>
      </c>
      <c r="AI132" s="1">
        <f>value(IFERROR(SUBSTITUTE(SUBSTITUTE(VLOOKUP($A132,'Quarterly Pipeline vs Target Pi'!$A:$V,22,false)," $","")," €",""), "")
)</f>
        <v>0</v>
      </c>
      <c r="AJ132" s="17" t="str">
        <f t="shared" si="12"/>
        <v/>
      </c>
      <c r="AK132" s="1">
        <f t="shared" ref="AK132:AL132" si="277">sum(Y132,AB132,AE132,AH132)</f>
        <v>0</v>
      </c>
      <c r="AL132" s="1">
        <f t="shared" si="277"/>
        <v>0</v>
      </c>
      <c r="AM132" s="17" t="str">
        <f t="shared" si="14"/>
        <v/>
      </c>
      <c r="AN132" s="1">
        <f>value(IFERROR(SUBSTITUTE(SUBSTITUTE(VLOOKUP($A132,'Quarterly Pipeline vs Target Pi'!$A:$AP,26,false)," $","")," €",""), "")
)</f>
        <v>0</v>
      </c>
      <c r="AO132" s="1">
        <f>value(IFERROR(SUBSTITUTE(SUBSTITUTE(VLOOKUP($A132,'Quarterly Pipeline vs Target Pi'!$A:$AP,27,false)," $","")," €",""), "")
)</f>
        <v>0</v>
      </c>
      <c r="AP132" s="17" t="str">
        <f t="shared" si="15"/>
        <v/>
      </c>
      <c r="AQ132" s="1">
        <f>value(IFERROR(SUBSTITUTE(SUBSTITUTE(VLOOKUP($A132,'Quarterly Pipeline vs Target Pi'!$A:$AP,31,false)," $","")," €",""), "")
)</f>
        <v>0</v>
      </c>
      <c r="AR132" s="1">
        <f>value(IFERROR(SUBSTITUTE(SUBSTITUTE(VLOOKUP($A132,'Quarterly Pipeline vs Target Pi'!$A:$AP,32,false)," $","")," €",""), "")
)</f>
        <v>0</v>
      </c>
      <c r="AS132" s="17" t="str">
        <f t="shared" si="16"/>
        <v/>
      </c>
      <c r="AT132" s="1">
        <f>value(IFERROR(SUBSTITUTE(SUBSTITUTE(VLOOKUP($A132,'Quarterly Pipeline vs Target Pi'!$A:$AP,36,false)," $","")," €",""), "")
)</f>
        <v>0</v>
      </c>
      <c r="AU132" s="1">
        <f>value(IFERROR(SUBSTITUTE(SUBSTITUTE(VLOOKUP($A132,'Quarterly Pipeline vs Target Pi'!$A:$AP,37,false)," $","")," €",""), "")
)</f>
        <v>0</v>
      </c>
      <c r="AV132" s="17" t="str">
        <f t="shared" si="17"/>
        <v/>
      </c>
      <c r="AW132" s="1">
        <f>value(IFERROR(SUBSTITUTE(SUBSTITUTE(VLOOKUP($A132,'Quarterly Pipeline vs Target Pi'!$A:$AP,41,false)," $","")," €",""), "")
)</f>
        <v>0</v>
      </c>
      <c r="AX132" s="1">
        <f>value(IFERROR(SUBSTITUTE(SUBSTITUTE(VLOOKUP($A132,'Quarterly Pipeline vs Target Pi'!$A:$AP,42,false)," $","")," €",""), "")
)</f>
        <v>0</v>
      </c>
      <c r="AY132" s="17" t="str">
        <f t="shared" si="18"/>
        <v/>
      </c>
      <c r="AZ132" s="1">
        <f t="shared" ref="AZ132:BA132" si="278">sum(AN132,AQ132,AT132,AW132)</f>
        <v>0</v>
      </c>
      <c r="BA132" s="1">
        <f t="shared" si="278"/>
        <v>0</v>
      </c>
      <c r="BB132" s="17" t="str">
        <f t="shared" si="20"/>
        <v/>
      </c>
    </row>
    <row r="133">
      <c r="A133" s="1" t="str">
        <f>IFERROR(__xludf.DUMMYFUNCTION("""COMPUTED_VALUE"""),"63ef9d60384f27260c1bb14d")</f>
        <v>63ef9d60384f27260c1bb14d</v>
      </c>
      <c r="B133" s="1" t="str">
        <f>IFERROR(__xludf.DUMMYFUNCTION("""COMPUTED_VALUE"""),"Digital Hand Made")</f>
        <v>Digital Hand Made</v>
      </c>
      <c r="C133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33" s="1" t="str">
        <f>IFERROR(__xludf.DUMMYFUNCTION("""COMPUTED_VALUE"""),"emea")</f>
        <v>emea</v>
      </c>
      <c r="E133" s="1" t="str">
        <f>IFERROR(__xludf.DUMMYFUNCTION("""COMPUTED_VALUE"""),"ES")</f>
        <v>ES</v>
      </c>
      <c r="F133" s="1"/>
      <c r="G133" s="1" t="str">
        <f>iferror(VLOOKUP(A133,'Business Plan Setup and Accepta'!A:G,6,false),"")</f>
        <v/>
      </c>
      <c r="H133" s="1" t="str">
        <f>iferror(VLOOKUP(A133,'Business Plan Setup and Accepta'!A:G,7,false),"")</f>
        <v/>
      </c>
      <c r="I133" s="17" t="str">
        <f t="shared" si="3"/>
        <v/>
      </c>
      <c r="J133" s="1" t="str">
        <f>IFERROR(VALUE(SUBSTITUTE(VLOOKUP(A133,'Sales IN Revenues vs Sales targ'!A:G,6,false)," $","")), "")
</f>
        <v/>
      </c>
      <c r="K133" s="1" t="str">
        <f>IFERROR(VALUE(SUBSTITUTE(VLOOKUP(A133,'Sales IN Revenues vs Sales targ'!A:G,7,false)," $","")), "")
</f>
        <v/>
      </c>
      <c r="L133" s="17" t="str">
        <f t="shared" si="4"/>
        <v/>
      </c>
      <c r="M133" s="1">
        <f>value(SUBSTITUTE(IFERROR(VLOOKUP(A133,'Certifications achievements vs '!A:G,6,false),""),"#","")
)</f>
        <v>45</v>
      </c>
      <c r="N133" s="1">
        <f>value(SUBSTITUTE(IFERROR(VLOOKUP(A133,'Certifications achievements vs '!A:G,7,false),""),"#","")
)</f>
        <v>52</v>
      </c>
      <c r="O133" s="17">
        <f t="shared" si="5"/>
        <v>0.8653846154</v>
      </c>
      <c r="P133" s="1">
        <f>value(SUBSTITUTE(IFERROR(VLOOKUP(A133,'Communications - Solution Speci'!A:G,6,false),""),"#","")
)</f>
        <v>0</v>
      </c>
      <c r="Q133" s="1">
        <f>value(SUBSTITUTE(IFERROR(VLOOKUP(A133,'Communications - Solution Speci'!A:G,7,false),""),"#","")
)</f>
        <v>0</v>
      </c>
      <c r="R133" s="17" t="str">
        <f t="shared" si="6"/>
        <v/>
      </c>
      <c r="S133" s="1">
        <f>value(SUBSTITUTE(IFERROR(VLOOKUP(A133,'Networking - Solution Specializ'!A:G,6,false),""),"#","")
)</f>
        <v>0</v>
      </c>
      <c r="T133" s="1">
        <f>value(SUBSTITUTE(IFERROR(VLOOKUP(A133,'Networking - Solution Specializ'!A:G,7,false),""),"#","")
)</f>
        <v>0</v>
      </c>
      <c r="U133" s="17" t="str">
        <f t="shared" si="7"/>
        <v/>
      </c>
      <c r="V133" s="1" t="str">
        <f>iferror(vlookup(A133,'Marketing Plan (extract summary'!A:G,6,false),"")</f>
        <v/>
      </c>
      <c r="W133" s="1" t="str">
        <f>iferror(vlookup(A133,'Marketing Plan (extract summary'!A:G,7,false),"")</f>
        <v/>
      </c>
      <c r="X133" s="17" t="str">
        <f t="shared" si="8"/>
        <v/>
      </c>
      <c r="Y133" s="1">
        <f>value(IFERROR(SUBSTITUTE(SUBSTITUTE(VLOOKUP(A133,'Quarterly Pipeline vs Target Pi'!A:G,6,false)," $","")," €",""), "")
)</f>
        <v>0</v>
      </c>
      <c r="Z133" s="1">
        <f>value(IFERROR(SUBSTITUTE(SUBSTITUTE(VLOOKUP(A133,'Quarterly Pipeline vs Target Pi'!A:G,7,false)," $","")," €",""), "")
)</f>
        <v>0</v>
      </c>
      <c r="AA133" s="17" t="str">
        <f t="shared" si="9"/>
        <v/>
      </c>
      <c r="AB133" s="1">
        <f>value(IFERROR(SUBSTITUTE(SUBSTITUTE(VLOOKUP($A133,'Quarterly Pipeline vs Target Pi'!$A:$V,11,false)," $","")," €",""), "")
)</f>
        <v>0</v>
      </c>
      <c r="AC133" s="1">
        <f>value(IFERROR(SUBSTITUTE(SUBSTITUTE(VLOOKUP($A133,'Quarterly Pipeline vs Target Pi'!$A:$V,12,false)," $","")," €",""), "")
)</f>
        <v>0</v>
      </c>
      <c r="AD133" s="17" t="str">
        <f t="shared" si="10"/>
        <v/>
      </c>
      <c r="AE133" s="1">
        <f>value(IFERROR(SUBSTITUTE(SUBSTITUTE(VLOOKUP($A133,'Quarterly Pipeline vs Target Pi'!$A:$V,16,false)," $","")," €",""), "")
)</f>
        <v>0</v>
      </c>
      <c r="AF133" s="1">
        <f>value(IFERROR(SUBSTITUTE(SUBSTITUTE(VLOOKUP($A133,'Quarterly Pipeline vs Target Pi'!$A:$V,17,false)," $","")," €",""), "")
)</f>
        <v>0</v>
      </c>
      <c r="AG133" s="17" t="str">
        <f t="shared" si="11"/>
        <v/>
      </c>
      <c r="AH133" s="1">
        <f>value(IFERROR(SUBSTITUTE(SUBSTITUTE(VLOOKUP($A133,'Quarterly Pipeline vs Target Pi'!$A:$V,21,false)," $","")," €",""), "")
)</f>
        <v>0</v>
      </c>
      <c r="AI133" s="1">
        <f>value(IFERROR(SUBSTITUTE(SUBSTITUTE(VLOOKUP($A133,'Quarterly Pipeline vs Target Pi'!$A:$V,22,false)," $","")," €",""), "")
)</f>
        <v>0</v>
      </c>
      <c r="AJ133" s="17" t="str">
        <f t="shared" si="12"/>
        <v/>
      </c>
      <c r="AK133" s="1">
        <f t="shared" ref="AK133:AL133" si="279">sum(Y133,AB133,AE133,AH133)</f>
        <v>0</v>
      </c>
      <c r="AL133" s="1">
        <f t="shared" si="279"/>
        <v>0</v>
      </c>
      <c r="AM133" s="17" t="str">
        <f t="shared" si="14"/>
        <v/>
      </c>
      <c r="AN133" s="1">
        <f>value(IFERROR(SUBSTITUTE(SUBSTITUTE(VLOOKUP($A133,'Quarterly Pipeline vs Target Pi'!$A:$AP,26,false)," $","")," €",""), "")
)</f>
        <v>0</v>
      </c>
      <c r="AO133" s="1">
        <f>value(IFERROR(SUBSTITUTE(SUBSTITUTE(VLOOKUP($A133,'Quarterly Pipeline vs Target Pi'!$A:$AP,27,false)," $","")," €",""), "")
)</f>
        <v>0</v>
      </c>
      <c r="AP133" s="17" t="str">
        <f t="shared" si="15"/>
        <v/>
      </c>
      <c r="AQ133" s="1">
        <f>value(IFERROR(SUBSTITUTE(SUBSTITUTE(VLOOKUP($A133,'Quarterly Pipeline vs Target Pi'!$A:$AP,31,false)," $","")," €",""), "")
)</f>
        <v>0</v>
      </c>
      <c r="AR133" s="1">
        <f>value(IFERROR(SUBSTITUTE(SUBSTITUTE(VLOOKUP($A133,'Quarterly Pipeline vs Target Pi'!$A:$AP,32,false)," $","")," €",""), "")
)</f>
        <v>0</v>
      </c>
      <c r="AS133" s="17" t="str">
        <f t="shared" si="16"/>
        <v/>
      </c>
      <c r="AT133" s="1">
        <f>value(IFERROR(SUBSTITUTE(SUBSTITUTE(VLOOKUP($A133,'Quarterly Pipeline vs Target Pi'!$A:$AP,36,false)," $","")," €",""), "")
)</f>
        <v>0</v>
      </c>
      <c r="AU133" s="1">
        <f>value(IFERROR(SUBSTITUTE(SUBSTITUTE(VLOOKUP($A133,'Quarterly Pipeline vs Target Pi'!$A:$AP,37,false)," $","")," €",""), "")
)</f>
        <v>0</v>
      </c>
      <c r="AV133" s="17" t="str">
        <f t="shared" si="17"/>
        <v/>
      </c>
      <c r="AW133" s="1">
        <f>value(IFERROR(SUBSTITUTE(SUBSTITUTE(VLOOKUP($A133,'Quarterly Pipeline vs Target Pi'!$A:$AP,41,false)," $","")," €",""), "")
)</f>
        <v>0</v>
      </c>
      <c r="AX133" s="1">
        <f>value(IFERROR(SUBSTITUTE(SUBSTITUTE(VLOOKUP($A133,'Quarterly Pipeline vs Target Pi'!$A:$AP,42,false)," $","")," €",""), "")
)</f>
        <v>0</v>
      </c>
      <c r="AY133" s="17" t="str">
        <f t="shared" si="18"/>
        <v/>
      </c>
      <c r="AZ133" s="1">
        <f t="shared" ref="AZ133:BA133" si="280">sum(AN133,AQ133,AT133,AW133)</f>
        <v>0</v>
      </c>
      <c r="BA133" s="1">
        <f t="shared" si="280"/>
        <v>0</v>
      </c>
      <c r="BB133" s="17" t="str">
        <f t="shared" si="20"/>
        <v/>
      </c>
    </row>
    <row r="134">
      <c r="A134" s="1" t="str">
        <f>IFERROR(__xludf.DUMMYFUNCTION("""COMPUTED_VALUE"""),"63ef9d60384f27260c1bb18d")</f>
        <v>63ef9d60384f27260c1bb18d</v>
      </c>
      <c r="B134" s="1" t="str">
        <f>IFERROR(__xludf.DUMMYFUNCTION("""COMPUTED_VALUE"""),"Digital Telecommunication Corp")</f>
        <v>Digital Telecommunication Corp</v>
      </c>
      <c r="C134" s="1" t="str">
        <f>IFERROR(__xludf.DUMMYFUNCTION("""COMPUTED_VALUE"""),"philippe.girard@al-enterprise.com, rui.silva@al-enterprise.com, michael-j.francis@al-enterprise.com, bill.rademacher@al-enterprise.com")</f>
        <v>philippe.girard@al-enterprise.com, rui.silva@al-enterprise.com, michael-j.francis@al-enterprise.com, bill.rademacher@al-enterprise.com</v>
      </c>
      <c r="D134" s="1" t="str">
        <f>IFERROR(__xludf.DUMMYFUNCTION("""COMPUTED_VALUE"""),"americas")</f>
        <v>americas</v>
      </c>
      <c r="E134" s="1" t="str">
        <f>IFERROR(__xludf.DUMMYFUNCTION("""COMPUTED_VALUE"""),"US")</f>
        <v>US</v>
      </c>
      <c r="F134" s="1" t="str">
        <f>IFERROR(__xludf.DUMMYFUNCTION("""COMPUTED_VALUE"""),"expert_200")</f>
        <v>expert_200</v>
      </c>
      <c r="G134" s="1">
        <f>iferror(VLOOKUP(A134,'Business Plan Setup and Accepta'!A:G,6,false),"")</f>
        <v>1</v>
      </c>
      <c r="H134" s="1">
        <f>iferror(VLOOKUP(A134,'Business Plan Setup and Accepta'!A:G,7,false),"")</f>
        <v>1</v>
      </c>
      <c r="I134" s="17">
        <f t="shared" si="3"/>
        <v>1</v>
      </c>
      <c r="J134" s="1">
        <f>IFERROR(VALUE(SUBSTITUTE(VLOOKUP(A134,'Sales IN Revenues vs Sales targ'!A:G,6,false)," $","")), "")
</f>
        <v>31</v>
      </c>
      <c r="K134" s="1">
        <f>IFERROR(VALUE(SUBSTITUTE(VLOOKUP(A134,'Sales IN Revenues vs Sales targ'!A:G,7,false)," $","")), "")
</f>
        <v>1215.59</v>
      </c>
      <c r="L134" s="17">
        <f t="shared" si="4"/>
        <v>0.0255020196</v>
      </c>
      <c r="M134" s="1">
        <f>value(SUBSTITUTE(IFERROR(VLOOKUP(A134,'Certifications achievements vs '!A:G,6,false),""),"#","")
)</f>
        <v>9</v>
      </c>
      <c r="N134" s="1">
        <f>value(SUBSTITUTE(IFERROR(VLOOKUP(A134,'Certifications achievements vs '!A:G,7,false),""),"#","")
)</f>
        <v>16</v>
      </c>
      <c r="O134" s="17">
        <f t="shared" si="5"/>
        <v>0.5625</v>
      </c>
      <c r="P134" s="1">
        <f>value(SUBSTITUTE(IFERROR(VLOOKUP(A134,'Communications - Solution Speci'!A:G,6,false),""),"#","")
)</f>
        <v>0</v>
      </c>
      <c r="Q134" s="1">
        <f>value(SUBSTITUTE(IFERROR(VLOOKUP(A134,'Communications - Solution Speci'!A:G,7,false),""),"#","")
)</f>
        <v>1</v>
      </c>
      <c r="R134" s="17">
        <f t="shared" si="6"/>
        <v>0</v>
      </c>
      <c r="S134" s="1">
        <f>value(SUBSTITUTE(IFERROR(VLOOKUP(A134,'Networking - Solution Specializ'!A:G,6,false),""),"#","")
)</f>
        <v>0</v>
      </c>
      <c r="T134" s="1">
        <f>value(SUBSTITUTE(IFERROR(VLOOKUP(A134,'Networking - Solution Specializ'!A:G,7,false),""),"#","")
)</f>
        <v>1</v>
      </c>
      <c r="U134" s="17">
        <f t="shared" si="7"/>
        <v>0</v>
      </c>
      <c r="V134" s="1">
        <f>iferror(vlookup(A134,'Marketing Plan (extract summary'!A:G,6,false),"")</f>
        <v>0</v>
      </c>
      <c r="W134" s="1">
        <f>iferror(vlookup(A134,'Marketing Plan (extract summary'!A:G,7,false),"")</f>
        <v>1</v>
      </c>
      <c r="X134" s="17">
        <f t="shared" si="8"/>
        <v>0</v>
      </c>
      <c r="Y134" s="1">
        <f>value(IFERROR(SUBSTITUTE(SUBSTITUTE(VLOOKUP(A134,'Quarterly Pipeline vs Target Pi'!A:G,6,false)," $","")," €",""), "")
)</f>
        <v>136.33</v>
      </c>
      <c r="Z134" s="1">
        <f>value(IFERROR(SUBSTITUTE(SUBSTITUTE(VLOOKUP(A134,'Quarterly Pipeline vs Target Pi'!A:G,7,false)," $","")," €",""), "")
)</f>
        <v>0</v>
      </c>
      <c r="AA134" s="17" t="str">
        <f t="shared" si="9"/>
        <v/>
      </c>
      <c r="AB134" s="1">
        <f>value(IFERROR(SUBSTITUTE(SUBSTITUTE(VLOOKUP($A134,'Quarterly Pipeline vs Target Pi'!$A:$V,11,false)," $","")," €",""), "")
)</f>
        <v>11.93</v>
      </c>
      <c r="AC134" s="1">
        <f>value(IFERROR(SUBSTITUTE(SUBSTITUTE(VLOOKUP($A134,'Quarterly Pipeline vs Target Pi'!$A:$V,12,false)," $","")," €",""), "")
)</f>
        <v>759.34</v>
      </c>
      <c r="AD134" s="17">
        <f t="shared" si="10"/>
        <v>0.01571101219</v>
      </c>
      <c r="AE134" s="1">
        <f>value(IFERROR(SUBSTITUTE(SUBSTITUTE(VLOOKUP($A134,'Quarterly Pipeline vs Target Pi'!$A:$V,16,false)," $","")," €",""), "")
)</f>
        <v>131.12</v>
      </c>
      <c r="AF134" s="1">
        <f>value(IFERROR(SUBSTITUTE(SUBSTITUTE(VLOOKUP($A134,'Quarterly Pipeline vs Target Pi'!$A:$V,17,false)," $","")," €",""), "")
)</f>
        <v>1266.63</v>
      </c>
      <c r="AG134" s="17">
        <f t="shared" si="11"/>
        <v>0.1035187861</v>
      </c>
      <c r="AH134" s="1">
        <f>value(IFERROR(SUBSTITUTE(SUBSTITUTE(VLOOKUP($A134,'Quarterly Pipeline vs Target Pi'!$A:$V,21,false)," $","")," €",""), "")
)</f>
        <v>294.35</v>
      </c>
      <c r="AI134" s="1">
        <f>value(IFERROR(SUBSTITUTE(SUBSTITUTE(VLOOKUP($A134,'Quarterly Pipeline vs Target Pi'!$A:$V,22,false)," $","")," €",""), "")
)</f>
        <v>1266.63</v>
      </c>
      <c r="AJ134" s="17">
        <f t="shared" si="12"/>
        <v>0.232388306</v>
      </c>
      <c r="AK134" s="1">
        <f t="shared" ref="AK134:AL134" si="281">sum(Y134,AB134,AE134,AH134)</f>
        <v>573.73</v>
      </c>
      <c r="AL134" s="1">
        <f t="shared" si="281"/>
        <v>3292.6</v>
      </c>
      <c r="AM134" s="17">
        <f t="shared" si="14"/>
        <v>0.1742483144</v>
      </c>
      <c r="AN134" s="1">
        <f>value(IFERROR(SUBSTITUTE(SUBSTITUTE(VLOOKUP($A134,'Quarterly Pipeline vs Target Pi'!$A:$AP,26,false)," $","")," €",""), "")
)</f>
        <v>497.77</v>
      </c>
      <c r="AO134" s="1">
        <f>value(IFERROR(SUBSTITUTE(SUBSTITUTE(VLOOKUP($A134,'Quarterly Pipeline vs Target Pi'!$A:$AP,27,false)," $","")," €",""), "")
)</f>
        <v>0</v>
      </c>
      <c r="AP134" s="17" t="str">
        <f t="shared" si="15"/>
        <v/>
      </c>
      <c r="AQ134" s="1">
        <f>value(IFERROR(SUBSTITUTE(SUBSTITUTE(VLOOKUP($A134,'Quarterly Pipeline vs Target Pi'!$A:$AP,31,false)," $","")," €",""), "")
)</f>
        <v>429.99</v>
      </c>
      <c r="AR134" s="1">
        <f>value(IFERROR(SUBSTITUTE(SUBSTITUTE(VLOOKUP($A134,'Quarterly Pipeline vs Target Pi'!$A:$AP,32,false)," $","")," €",""), "")
)</f>
        <v>0</v>
      </c>
      <c r="AS134" s="17" t="str">
        <f t="shared" si="16"/>
        <v/>
      </c>
      <c r="AT134" s="1">
        <f>value(IFERROR(SUBSTITUTE(SUBSTITUTE(VLOOKUP($A134,'Quarterly Pipeline vs Target Pi'!$A:$AP,36,false)," $","")," €",""), "")
)</f>
        <v>0</v>
      </c>
      <c r="AU134" s="1">
        <f>value(IFERROR(SUBSTITUTE(SUBSTITUTE(VLOOKUP($A134,'Quarterly Pipeline vs Target Pi'!$A:$AP,37,false)," $","")," €",""), "")
)</f>
        <v>0</v>
      </c>
      <c r="AV134" s="17" t="str">
        <f t="shared" si="17"/>
        <v/>
      </c>
      <c r="AW134" s="1">
        <f>value(IFERROR(SUBSTITUTE(SUBSTITUTE(VLOOKUP($A134,'Quarterly Pipeline vs Target Pi'!$A:$AP,41,false)," $","")," €",""), "")
)</f>
        <v>0</v>
      </c>
      <c r="AX134" s="1">
        <f>value(IFERROR(SUBSTITUTE(SUBSTITUTE(VLOOKUP($A134,'Quarterly Pipeline vs Target Pi'!$A:$AP,42,false)," $","")," €",""), "")
)</f>
        <v>0</v>
      </c>
      <c r="AY134" s="17" t="str">
        <f t="shared" si="18"/>
        <v/>
      </c>
      <c r="AZ134" s="1">
        <f t="shared" ref="AZ134:BA134" si="282">sum(AN134,AQ134,AT134,AW134)</f>
        <v>927.76</v>
      </c>
      <c r="BA134" s="1">
        <f t="shared" si="282"/>
        <v>0</v>
      </c>
      <c r="BB134" s="17" t="str">
        <f t="shared" si="20"/>
        <v/>
      </c>
    </row>
    <row r="135">
      <c r="A135" s="1" t="str">
        <f>IFERROR(__xludf.DUMMYFUNCTION("""COMPUTED_VALUE"""),"63ef9d56384f27260c1ba18d")</f>
        <v>63ef9d56384f27260c1ba18d</v>
      </c>
      <c r="B135" s="1" t="str">
        <f>IFERROR(__xludf.DUMMYFUNCTION("""COMPUTED_VALUE"""),"Distribuciones Bogota S.A.")</f>
        <v>Distribuciones Bogota S.A.</v>
      </c>
      <c r="C135" s="1" t="str">
        <f>IFERROR(__xludf.DUMMYFUNCTION("""COMPUTED_VALUE"""),"carolina.rodriguez@al-enterprise.com")</f>
        <v>carolina.rodriguez@al-enterprise.com</v>
      </c>
      <c r="D135" s="1" t="str">
        <f>IFERROR(__xludf.DUMMYFUNCTION("""COMPUTED_VALUE"""),"americas")</f>
        <v>americas</v>
      </c>
      <c r="E135" s="1" t="str">
        <f>IFERROR(__xludf.DUMMYFUNCTION("""COMPUTED_VALUE"""),"CO")</f>
        <v>CO</v>
      </c>
      <c r="F135" s="1"/>
      <c r="G135" s="1" t="str">
        <f>iferror(VLOOKUP(A135,'Business Plan Setup and Accepta'!A:G,6,false),"")</f>
        <v/>
      </c>
      <c r="H135" s="1" t="str">
        <f>iferror(VLOOKUP(A135,'Business Plan Setup and Accepta'!A:G,7,false),"")</f>
        <v/>
      </c>
      <c r="I135" s="17" t="str">
        <f t="shared" si="3"/>
        <v/>
      </c>
      <c r="J135" s="1" t="str">
        <f>IFERROR(VALUE(SUBSTITUTE(VLOOKUP(A135,'Sales IN Revenues vs Sales targ'!A:G,6,false)," $","")), "")
</f>
        <v/>
      </c>
      <c r="K135" s="1" t="str">
        <f>IFERROR(VALUE(SUBSTITUTE(VLOOKUP(A135,'Sales IN Revenues vs Sales targ'!A:G,7,false)," $","")), "")
</f>
        <v/>
      </c>
      <c r="L135" s="17" t="str">
        <f t="shared" si="4"/>
        <v/>
      </c>
      <c r="M135" s="1">
        <f>value(SUBSTITUTE(IFERROR(VLOOKUP(A135,'Certifications achievements vs '!A:G,6,false),""),"#","")
)</f>
        <v>0</v>
      </c>
      <c r="N135" s="1">
        <f>value(SUBSTITUTE(IFERROR(VLOOKUP(A135,'Certifications achievements vs '!A:G,7,false),""),"#","")
)</f>
        <v>0</v>
      </c>
      <c r="O135" s="17" t="str">
        <f t="shared" si="5"/>
        <v/>
      </c>
      <c r="P135" s="1">
        <f>value(SUBSTITUTE(IFERROR(VLOOKUP(A135,'Communications - Solution Speci'!A:G,6,false),""),"#","")
)</f>
        <v>0</v>
      </c>
      <c r="Q135" s="1">
        <f>value(SUBSTITUTE(IFERROR(VLOOKUP(A135,'Communications - Solution Speci'!A:G,7,false),""),"#","")
)</f>
        <v>0</v>
      </c>
      <c r="R135" s="17" t="str">
        <f t="shared" si="6"/>
        <v/>
      </c>
      <c r="S135" s="1">
        <f>value(SUBSTITUTE(IFERROR(VLOOKUP(A135,'Networking - Solution Specializ'!A:G,6,false),""),"#","")
)</f>
        <v>0</v>
      </c>
      <c r="T135" s="1">
        <f>value(SUBSTITUTE(IFERROR(VLOOKUP(A135,'Networking - Solution Specializ'!A:G,7,false),""),"#","")
)</f>
        <v>0</v>
      </c>
      <c r="U135" s="17" t="str">
        <f t="shared" si="7"/>
        <v/>
      </c>
      <c r="V135" s="1" t="str">
        <f>iferror(vlookup(A135,'Marketing Plan (extract summary'!A:G,6,false),"")</f>
        <v/>
      </c>
      <c r="W135" s="1" t="str">
        <f>iferror(vlookup(A135,'Marketing Plan (extract summary'!A:G,7,false),"")</f>
        <v/>
      </c>
      <c r="X135" s="17" t="str">
        <f t="shared" si="8"/>
        <v/>
      </c>
      <c r="Y135" s="1">
        <f>value(IFERROR(SUBSTITUTE(SUBSTITUTE(VLOOKUP(A135,'Quarterly Pipeline vs Target Pi'!A:G,6,false)," $","")," €",""), "")
)</f>
        <v>0</v>
      </c>
      <c r="Z135" s="1">
        <f>value(IFERROR(SUBSTITUTE(SUBSTITUTE(VLOOKUP(A135,'Quarterly Pipeline vs Target Pi'!A:G,7,false)," $","")," €",""), "")
)</f>
        <v>0</v>
      </c>
      <c r="AA135" s="17" t="str">
        <f t="shared" si="9"/>
        <v/>
      </c>
      <c r="AB135" s="1">
        <f>value(IFERROR(SUBSTITUTE(SUBSTITUTE(VLOOKUP($A135,'Quarterly Pipeline vs Target Pi'!$A:$V,11,false)," $","")," €",""), "")
)</f>
        <v>0</v>
      </c>
      <c r="AC135" s="1">
        <f>value(IFERROR(SUBSTITUTE(SUBSTITUTE(VLOOKUP($A135,'Quarterly Pipeline vs Target Pi'!$A:$V,12,false)," $","")," €",""), "")
)</f>
        <v>0</v>
      </c>
      <c r="AD135" s="17" t="str">
        <f t="shared" si="10"/>
        <v/>
      </c>
      <c r="AE135" s="1">
        <f>value(IFERROR(SUBSTITUTE(SUBSTITUTE(VLOOKUP($A135,'Quarterly Pipeline vs Target Pi'!$A:$V,16,false)," $","")," €",""), "")
)</f>
        <v>0</v>
      </c>
      <c r="AF135" s="1">
        <f>value(IFERROR(SUBSTITUTE(SUBSTITUTE(VLOOKUP($A135,'Quarterly Pipeline vs Target Pi'!$A:$V,17,false)," $","")," €",""), "")
)</f>
        <v>0</v>
      </c>
      <c r="AG135" s="17" t="str">
        <f t="shared" si="11"/>
        <v/>
      </c>
      <c r="AH135" s="1">
        <f>value(IFERROR(SUBSTITUTE(SUBSTITUTE(VLOOKUP($A135,'Quarterly Pipeline vs Target Pi'!$A:$V,21,false)," $","")," €",""), "")
)</f>
        <v>0</v>
      </c>
      <c r="AI135" s="1">
        <f>value(IFERROR(SUBSTITUTE(SUBSTITUTE(VLOOKUP($A135,'Quarterly Pipeline vs Target Pi'!$A:$V,22,false)," $","")," €",""), "")
)</f>
        <v>0</v>
      </c>
      <c r="AJ135" s="17" t="str">
        <f t="shared" si="12"/>
        <v/>
      </c>
      <c r="AK135" s="1">
        <f t="shared" ref="AK135:AL135" si="283">sum(Y135,AB135,AE135,AH135)</f>
        <v>0</v>
      </c>
      <c r="AL135" s="1">
        <f t="shared" si="283"/>
        <v>0</v>
      </c>
      <c r="AM135" s="17" t="str">
        <f t="shared" si="14"/>
        <v/>
      </c>
      <c r="AN135" s="1">
        <f>value(IFERROR(SUBSTITUTE(SUBSTITUTE(VLOOKUP($A135,'Quarterly Pipeline vs Target Pi'!$A:$AP,26,false)," $","")," €",""), "")
)</f>
        <v>0</v>
      </c>
      <c r="AO135" s="1">
        <f>value(IFERROR(SUBSTITUTE(SUBSTITUTE(VLOOKUP($A135,'Quarterly Pipeline vs Target Pi'!$A:$AP,27,false)," $","")," €",""), "")
)</f>
        <v>0</v>
      </c>
      <c r="AP135" s="17" t="str">
        <f t="shared" si="15"/>
        <v/>
      </c>
      <c r="AQ135" s="1">
        <f>value(IFERROR(SUBSTITUTE(SUBSTITUTE(VLOOKUP($A135,'Quarterly Pipeline vs Target Pi'!$A:$AP,31,false)," $","")," €",""), "")
)</f>
        <v>0</v>
      </c>
      <c r="AR135" s="1">
        <f>value(IFERROR(SUBSTITUTE(SUBSTITUTE(VLOOKUP($A135,'Quarterly Pipeline vs Target Pi'!$A:$AP,32,false)," $","")," €",""), "")
)</f>
        <v>0</v>
      </c>
      <c r="AS135" s="17" t="str">
        <f t="shared" si="16"/>
        <v/>
      </c>
      <c r="AT135" s="1">
        <f>value(IFERROR(SUBSTITUTE(SUBSTITUTE(VLOOKUP($A135,'Quarterly Pipeline vs Target Pi'!$A:$AP,36,false)," $","")," €",""), "")
)</f>
        <v>0</v>
      </c>
      <c r="AU135" s="1">
        <f>value(IFERROR(SUBSTITUTE(SUBSTITUTE(VLOOKUP($A135,'Quarterly Pipeline vs Target Pi'!$A:$AP,37,false)," $","")," €",""), "")
)</f>
        <v>0</v>
      </c>
      <c r="AV135" s="17" t="str">
        <f t="shared" si="17"/>
        <v/>
      </c>
      <c r="AW135" s="1">
        <f>value(IFERROR(SUBSTITUTE(SUBSTITUTE(VLOOKUP($A135,'Quarterly Pipeline vs Target Pi'!$A:$AP,41,false)," $","")," €",""), "")
)</f>
        <v>0</v>
      </c>
      <c r="AX135" s="1">
        <f>value(IFERROR(SUBSTITUTE(SUBSTITUTE(VLOOKUP($A135,'Quarterly Pipeline vs Target Pi'!$A:$AP,42,false)," $","")," €",""), "")
)</f>
        <v>0</v>
      </c>
      <c r="AY135" s="17" t="str">
        <f t="shared" si="18"/>
        <v/>
      </c>
      <c r="AZ135" s="1">
        <f t="shared" ref="AZ135:BA135" si="284">sum(AN135,AQ135,AT135,AW135)</f>
        <v>0</v>
      </c>
      <c r="BA135" s="1">
        <f t="shared" si="284"/>
        <v>0</v>
      </c>
      <c r="BB135" s="17" t="str">
        <f t="shared" si="20"/>
        <v/>
      </c>
    </row>
    <row r="136">
      <c r="A136" s="1" t="str">
        <f>IFERROR(__xludf.DUMMYFUNCTION("""COMPUTED_VALUE"""),"63ced849c5c820531c268ed3")</f>
        <v>63ced849c5c820531c268ed3</v>
      </c>
      <c r="B136" s="1" t="str">
        <f>IFERROR(__xludf.DUMMYFUNCTION("""COMPUTED_VALUE"""),"DITRI DACAS TECNOLOGY GROUP BOLIVIA")</f>
        <v>DITRI DACAS TECNOLOGY GROUP BOLIVIA</v>
      </c>
      <c r="C136" s="1" t="str">
        <f>IFERROR(__xludf.DUMMYFUNCTION("""COMPUTED_VALUE"""),"carolina.rodriguez@al-enterprise.com")</f>
        <v>carolina.rodriguez@al-enterprise.com</v>
      </c>
      <c r="D136" s="1" t="str">
        <f>IFERROR(__xludf.DUMMYFUNCTION("""COMPUTED_VALUE"""),"americas")</f>
        <v>americas</v>
      </c>
      <c r="E136" s="1" t="str">
        <f>IFERROR(__xludf.DUMMYFUNCTION("""COMPUTED_VALUE"""),"BO")</f>
        <v>BO</v>
      </c>
      <c r="F136" s="1"/>
      <c r="G136" s="1" t="str">
        <f>iferror(VLOOKUP(A136,'Business Plan Setup and Accepta'!A:G,6,false),"")</f>
        <v/>
      </c>
      <c r="H136" s="1" t="str">
        <f>iferror(VLOOKUP(A136,'Business Plan Setup and Accepta'!A:G,7,false),"")</f>
        <v/>
      </c>
      <c r="I136" s="17" t="str">
        <f t="shared" si="3"/>
        <v/>
      </c>
      <c r="J136" s="1" t="str">
        <f>IFERROR(VALUE(SUBSTITUTE(VLOOKUP(A136,'Sales IN Revenues vs Sales targ'!A:G,6,false)," $","")), "")
</f>
        <v/>
      </c>
      <c r="K136" s="1" t="str">
        <f>IFERROR(VALUE(SUBSTITUTE(VLOOKUP(A136,'Sales IN Revenues vs Sales targ'!A:G,7,false)," $","")), "")
</f>
        <v/>
      </c>
      <c r="L136" s="17" t="str">
        <f t="shared" si="4"/>
        <v/>
      </c>
      <c r="M136" s="1">
        <f>value(SUBSTITUTE(IFERROR(VLOOKUP(A136,'Certifications achievements vs '!A:G,6,false),""),"#","")
)</f>
        <v>0</v>
      </c>
      <c r="N136" s="1">
        <f>value(SUBSTITUTE(IFERROR(VLOOKUP(A136,'Certifications achievements vs '!A:G,7,false),""),"#","")
)</f>
        <v>0</v>
      </c>
      <c r="O136" s="17" t="str">
        <f t="shared" si="5"/>
        <v/>
      </c>
      <c r="P136" s="1">
        <f>value(SUBSTITUTE(IFERROR(VLOOKUP(A136,'Communications - Solution Speci'!A:G,6,false),""),"#","")
)</f>
        <v>0</v>
      </c>
      <c r="Q136" s="1">
        <f>value(SUBSTITUTE(IFERROR(VLOOKUP(A136,'Communications - Solution Speci'!A:G,7,false),""),"#","")
)</f>
        <v>0</v>
      </c>
      <c r="R136" s="17" t="str">
        <f t="shared" si="6"/>
        <v/>
      </c>
      <c r="S136" s="1">
        <f>value(SUBSTITUTE(IFERROR(VLOOKUP(A136,'Networking - Solution Specializ'!A:G,6,false),""),"#","")
)</f>
        <v>0</v>
      </c>
      <c r="T136" s="1">
        <f>value(SUBSTITUTE(IFERROR(VLOOKUP(A136,'Networking - Solution Specializ'!A:G,7,false),""),"#","")
)</f>
        <v>0</v>
      </c>
      <c r="U136" s="17" t="str">
        <f t="shared" si="7"/>
        <v/>
      </c>
      <c r="V136" s="1" t="str">
        <f>iferror(vlookup(A136,'Marketing Plan (extract summary'!A:G,6,false),"")</f>
        <v/>
      </c>
      <c r="W136" s="1" t="str">
        <f>iferror(vlookup(A136,'Marketing Plan (extract summary'!A:G,7,false),"")</f>
        <v/>
      </c>
      <c r="X136" s="17" t="str">
        <f t="shared" si="8"/>
        <v/>
      </c>
      <c r="Y136" s="1">
        <f>value(IFERROR(SUBSTITUTE(SUBSTITUTE(VLOOKUP(A136,'Quarterly Pipeline vs Target Pi'!A:G,6,false)," $","")," €",""), "")
)</f>
        <v>0</v>
      </c>
      <c r="Z136" s="1">
        <f>value(IFERROR(SUBSTITUTE(SUBSTITUTE(VLOOKUP(A136,'Quarterly Pipeline vs Target Pi'!A:G,7,false)," $","")," €",""), "")
)</f>
        <v>0</v>
      </c>
      <c r="AA136" s="17" t="str">
        <f t="shared" si="9"/>
        <v/>
      </c>
      <c r="AB136" s="1">
        <f>value(IFERROR(SUBSTITUTE(SUBSTITUTE(VLOOKUP($A136,'Quarterly Pipeline vs Target Pi'!$A:$V,11,false)," $","")," €",""), "")
)</f>
        <v>0</v>
      </c>
      <c r="AC136" s="1">
        <f>value(IFERROR(SUBSTITUTE(SUBSTITUTE(VLOOKUP($A136,'Quarterly Pipeline vs Target Pi'!$A:$V,12,false)," $","")," €",""), "")
)</f>
        <v>0</v>
      </c>
      <c r="AD136" s="17" t="str">
        <f t="shared" si="10"/>
        <v/>
      </c>
      <c r="AE136" s="1">
        <f>value(IFERROR(SUBSTITUTE(SUBSTITUTE(VLOOKUP($A136,'Quarterly Pipeline vs Target Pi'!$A:$V,16,false)," $","")," €",""), "")
)</f>
        <v>0</v>
      </c>
      <c r="AF136" s="1">
        <f>value(IFERROR(SUBSTITUTE(SUBSTITUTE(VLOOKUP($A136,'Quarterly Pipeline vs Target Pi'!$A:$V,17,false)," $","")," €",""), "")
)</f>
        <v>0</v>
      </c>
      <c r="AG136" s="17" t="str">
        <f t="shared" si="11"/>
        <v/>
      </c>
      <c r="AH136" s="1">
        <f>value(IFERROR(SUBSTITUTE(SUBSTITUTE(VLOOKUP($A136,'Quarterly Pipeline vs Target Pi'!$A:$V,21,false)," $","")," €",""), "")
)</f>
        <v>0</v>
      </c>
      <c r="AI136" s="1">
        <f>value(IFERROR(SUBSTITUTE(SUBSTITUTE(VLOOKUP($A136,'Quarterly Pipeline vs Target Pi'!$A:$V,22,false)," $","")," €",""), "")
)</f>
        <v>0</v>
      </c>
      <c r="AJ136" s="17" t="str">
        <f t="shared" si="12"/>
        <v/>
      </c>
      <c r="AK136" s="1">
        <f t="shared" ref="AK136:AL136" si="285">sum(Y136,AB136,AE136,AH136)</f>
        <v>0</v>
      </c>
      <c r="AL136" s="1">
        <f t="shared" si="285"/>
        <v>0</v>
      </c>
      <c r="AM136" s="17" t="str">
        <f t="shared" si="14"/>
        <v/>
      </c>
      <c r="AN136" s="1">
        <f>value(IFERROR(SUBSTITUTE(SUBSTITUTE(VLOOKUP($A136,'Quarterly Pipeline vs Target Pi'!$A:$AP,26,false)," $","")," €",""), "")
)</f>
        <v>0</v>
      </c>
      <c r="AO136" s="1">
        <f>value(IFERROR(SUBSTITUTE(SUBSTITUTE(VLOOKUP($A136,'Quarterly Pipeline vs Target Pi'!$A:$AP,27,false)," $","")," €",""), "")
)</f>
        <v>0</v>
      </c>
      <c r="AP136" s="17" t="str">
        <f t="shared" si="15"/>
        <v/>
      </c>
      <c r="AQ136" s="1">
        <f>value(IFERROR(SUBSTITUTE(SUBSTITUTE(VLOOKUP($A136,'Quarterly Pipeline vs Target Pi'!$A:$AP,31,false)," $","")," €",""), "")
)</f>
        <v>0</v>
      </c>
      <c r="AR136" s="1">
        <f>value(IFERROR(SUBSTITUTE(SUBSTITUTE(VLOOKUP($A136,'Quarterly Pipeline vs Target Pi'!$A:$AP,32,false)," $","")," €",""), "")
)</f>
        <v>0</v>
      </c>
      <c r="AS136" s="17" t="str">
        <f t="shared" si="16"/>
        <v/>
      </c>
      <c r="AT136" s="1">
        <f>value(IFERROR(SUBSTITUTE(SUBSTITUTE(VLOOKUP($A136,'Quarterly Pipeline vs Target Pi'!$A:$AP,36,false)," $","")," €",""), "")
)</f>
        <v>0</v>
      </c>
      <c r="AU136" s="1">
        <f>value(IFERROR(SUBSTITUTE(SUBSTITUTE(VLOOKUP($A136,'Quarterly Pipeline vs Target Pi'!$A:$AP,37,false)," $","")," €",""), "")
)</f>
        <v>0</v>
      </c>
      <c r="AV136" s="17" t="str">
        <f t="shared" si="17"/>
        <v/>
      </c>
      <c r="AW136" s="1">
        <f>value(IFERROR(SUBSTITUTE(SUBSTITUTE(VLOOKUP($A136,'Quarterly Pipeline vs Target Pi'!$A:$AP,41,false)," $","")," €",""), "")
)</f>
        <v>0</v>
      </c>
      <c r="AX136" s="1">
        <f>value(IFERROR(SUBSTITUTE(SUBSTITUTE(VLOOKUP($A136,'Quarterly Pipeline vs Target Pi'!$A:$AP,42,false)," $","")," €",""), "")
)</f>
        <v>0</v>
      </c>
      <c r="AY136" s="17" t="str">
        <f t="shared" si="18"/>
        <v/>
      </c>
      <c r="AZ136" s="1">
        <f t="shared" ref="AZ136:BA136" si="286">sum(AN136,AQ136,AT136,AW136)</f>
        <v>0</v>
      </c>
      <c r="BA136" s="1">
        <f t="shared" si="286"/>
        <v>0</v>
      </c>
      <c r="BB136" s="17" t="str">
        <f t="shared" si="20"/>
        <v/>
      </c>
    </row>
    <row r="137">
      <c r="A137" s="1" t="str">
        <f>IFERROR(__xludf.DUMMYFUNCTION("""COMPUTED_VALUE"""),"63ea6e9552ad6968805cee6f")</f>
        <v>63ea6e9552ad6968805cee6f</v>
      </c>
      <c r="B137" s="1" t="str">
        <f>IFERROR(__xludf.DUMMYFUNCTION("""COMPUTED_VALUE"""),"DNT Winkel GmbH")</f>
        <v>DNT Winkel GmbH</v>
      </c>
      <c r="C137" s="1" t="str">
        <f>IFERROR(__xludf.DUMMYFUNCTION("""COMPUTED_VALUE"""),"andreas.grossheimann@al-enterprise.com, andre.ramm@al-enterprise.com")</f>
        <v>andreas.grossheimann@al-enterprise.com, andre.ramm@al-enterprise.com</v>
      </c>
      <c r="D137" s="1" t="str">
        <f>IFERROR(__xludf.DUMMYFUNCTION("""COMPUTED_VALUE"""),"germany")</f>
        <v>germany</v>
      </c>
      <c r="E137" s="1" t="str">
        <f>IFERROR(__xludf.DUMMYFUNCTION("""COMPUTED_VALUE"""),"DE")</f>
        <v>DE</v>
      </c>
      <c r="F137" s="1"/>
      <c r="G137" s="1" t="str">
        <f>iferror(VLOOKUP(A137,'Business Plan Setup and Accepta'!A:G,6,false),"")</f>
        <v/>
      </c>
      <c r="H137" s="1" t="str">
        <f>iferror(VLOOKUP(A137,'Business Plan Setup and Accepta'!A:G,7,false),"")</f>
        <v/>
      </c>
      <c r="I137" s="17" t="str">
        <f t="shared" si="3"/>
        <v/>
      </c>
      <c r="J137" s="1" t="str">
        <f>IFERROR(VALUE(SUBSTITUTE(VLOOKUP(A137,'Sales IN Revenues vs Sales targ'!A:G,6,false)," $","")), "")
</f>
        <v/>
      </c>
      <c r="K137" s="1" t="str">
        <f>IFERROR(VALUE(SUBSTITUTE(VLOOKUP(A137,'Sales IN Revenues vs Sales targ'!A:G,7,false)," $","")), "")
</f>
        <v/>
      </c>
      <c r="L137" s="17" t="str">
        <f t="shared" si="4"/>
        <v/>
      </c>
      <c r="M137" s="1">
        <f>value(SUBSTITUTE(IFERROR(VLOOKUP(A137,'Certifications achievements vs '!A:G,6,false),""),"#","")
)</f>
        <v>0</v>
      </c>
      <c r="N137" s="1">
        <f>value(SUBSTITUTE(IFERROR(VLOOKUP(A137,'Certifications achievements vs '!A:G,7,false),""),"#","")
)</f>
        <v>0</v>
      </c>
      <c r="O137" s="17" t="str">
        <f t="shared" si="5"/>
        <v/>
      </c>
      <c r="P137" s="1">
        <f>value(SUBSTITUTE(IFERROR(VLOOKUP(A137,'Communications - Solution Speci'!A:G,6,false),""),"#","")
)</f>
        <v>0</v>
      </c>
      <c r="Q137" s="1">
        <f>value(SUBSTITUTE(IFERROR(VLOOKUP(A137,'Communications - Solution Speci'!A:G,7,false),""),"#","")
)</f>
        <v>0</v>
      </c>
      <c r="R137" s="17" t="str">
        <f t="shared" si="6"/>
        <v/>
      </c>
      <c r="S137" s="1">
        <f>value(SUBSTITUTE(IFERROR(VLOOKUP(A137,'Networking - Solution Specializ'!A:G,6,false),""),"#","")
)</f>
        <v>0</v>
      </c>
      <c r="T137" s="1">
        <f>value(SUBSTITUTE(IFERROR(VLOOKUP(A137,'Networking - Solution Specializ'!A:G,7,false),""),"#","")
)</f>
        <v>0</v>
      </c>
      <c r="U137" s="17" t="str">
        <f t="shared" si="7"/>
        <v/>
      </c>
      <c r="V137" s="1" t="str">
        <f>iferror(vlookup(A137,'Marketing Plan (extract summary'!A:G,6,false),"")</f>
        <v/>
      </c>
      <c r="W137" s="1" t="str">
        <f>iferror(vlookup(A137,'Marketing Plan (extract summary'!A:G,7,false),"")</f>
        <v/>
      </c>
      <c r="X137" s="17" t="str">
        <f t="shared" si="8"/>
        <v/>
      </c>
      <c r="Y137" s="1">
        <f>value(IFERROR(SUBSTITUTE(SUBSTITUTE(VLOOKUP(A137,'Quarterly Pipeline vs Target Pi'!A:G,6,false)," $","")," €",""), "")
)</f>
        <v>0</v>
      </c>
      <c r="Z137" s="1">
        <f>value(IFERROR(SUBSTITUTE(SUBSTITUTE(VLOOKUP(A137,'Quarterly Pipeline vs Target Pi'!A:G,7,false)," $","")," €",""), "")
)</f>
        <v>0</v>
      </c>
      <c r="AA137" s="17" t="str">
        <f t="shared" si="9"/>
        <v/>
      </c>
      <c r="AB137" s="1">
        <f>value(IFERROR(SUBSTITUTE(SUBSTITUTE(VLOOKUP($A137,'Quarterly Pipeline vs Target Pi'!$A:$V,11,false)," $","")," €",""), "")
)</f>
        <v>0</v>
      </c>
      <c r="AC137" s="1">
        <f>value(IFERROR(SUBSTITUTE(SUBSTITUTE(VLOOKUP($A137,'Quarterly Pipeline vs Target Pi'!$A:$V,12,false)," $","")," €",""), "")
)</f>
        <v>0</v>
      </c>
      <c r="AD137" s="17" t="str">
        <f t="shared" si="10"/>
        <v/>
      </c>
      <c r="AE137" s="1">
        <f>value(IFERROR(SUBSTITUTE(SUBSTITUTE(VLOOKUP($A137,'Quarterly Pipeline vs Target Pi'!$A:$V,16,false)," $","")," €",""), "")
)</f>
        <v>0</v>
      </c>
      <c r="AF137" s="1">
        <f>value(IFERROR(SUBSTITUTE(SUBSTITUTE(VLOOKUP($A137,'Quarterly Pipeline vs Target Pi'!$A:$V,17,false)," $","")," €",""), "")
)</f>
        <v>0</v>
      </c>
      <c r="AG137" s="17" t="str">
        <f t="shared" si="11"/>
        <v/>
      </c>
      <c r="AH137" s="1">
        <f>value(IFERROR(SUBSTITUTE(SUBSTITUTE(VLOOKUP($A137,'Quarterly Pipeline vs Target Pi'!$A:$V,21,false)," $","")," €",""), "")
)</f>
        <v>0</v>
      </c>
      <c r="AI137" s="1">
        <f>value(IFERROR(SUBSTITUTE(SUBSTITUTE(VLOOKUP($A137,'Quarterly Pipeline vs Target Pi'!$A:$V,22,false)," $","")," €",""), "")
)</f>
        <v>0</v>
      </c>
      <c r="AJ137" s="17" t="str">
        <f t="shared" si="12"/>
        <v/>
      </c>
      <c r="AK137" s="1">
        <f t="shared" ref="AK137:AL137" si="287">sum(Y137,AB137,AE137,AH137)</f>
        <v>0</v>
      </c>
      <c r="AL137" s="1">
        <f t="shared" si="287"/>
        <v>0</v>
      </c>
      <c r="AM137" s="17" t="str">
        <f t="shared" si="14"/>
        <v/>
      </c>
      <c r="AN137" s="1">
        <f>value(IFERROR(SUBSTITUTE(SUBSTITUTE(VLOOKUP($A137,'Quarterly Pipeline vs Target Pi'!$A:$AP,26,false)," $","")," €",""), "")
)</f>
        <v>0</v>
      </c>
      <c r="AO137" s="1">
        <f>value(IFERROR(SUBSTITUTE(SUBSTITUTE(VLOOKUP($A137,'Quarterly Pipeline vs Target Pi'!$A:$AP,27,false)," $","")," €",""), "")
)</f>
        <v>0</v>
      </c>
      <c r="AP137" s="17" t="str">
        <f t="shared" si="15"/>
        <v/>
      </c>
      <c r="AQ137" s="1">
        <f>value(IFERROR(SUBSTITUTE(SUBSTITUTE(VLOOKUP($A137,'Quarterly Pipeline vs Target Pi'!$A:$AP,31,false)," $","")," €",""), "")
)</f>
        <v>0</v>
      </c>
      <c r="AR137" s="1">
        <f>value(IFERROR(SUBSTITUTE(SUBSTITUTE(VLOOKUP($A137,'Quarterly Pipeline vs Target Pi'!$A:$AP,32,false)," $","")," €",""), "")
)</f>
        <v>0</v>
      </c>
      <c r="AS137" s="17" t="str">
        <f t="shared" si="16"/>
        <v/>
      </c>
      <c r="AT137" s="1">
        <f>value(IFERROR(SUBSTITUTE(SUBSTITUTE(VLOOKUP($A137,'Quarterly Pipeline vs Target Pi'!$A:$AP,36,false)," $","")," €",""), "")
)</f>
        <v>0</v>
      </c>
      <c r="AU137" s="1">
        <f>value(IFERROR(SUBSTITUTE(SUBSTITUTE(VLOOKUP($A137,'Quarterly Pipeline vs Target Pi'!$A:$AP,37,false)," $","")," €",""), "")
)</f>
        <v>0</v>
      </c>
      <c r="AV137" s="17" t="str">
        <f t="shared" si="17"/>
        <v/>
      </c>
      <c r="AW137" s="1">
        <f>value(IFERROR(SUBSTITUTE(SUBSTITUTE(VLOOKUP($A137,'Quarterly Pipeline vs Target Pi'!$A:$AP,41,false)," $","")," €",""), "")
)</f>
        <v>0</v>
      </c>
      <c r="AX137" s="1">
        <f>value(IFERROR(SUBSTITUTE(SUBSTITUTE(VLOOKUP($A137,'Quarterly Pipeline vs Target Pi'!$A:$AP,42,false)," $","")," €",""), "")
)</f>
        <v>0</v>
      </c>
      <c r="AY137" s="17" t="str">
        <f t="shared" si="18"/>
        <v/>
      </c>
      <c r="AZ137" s="1">
        <f t="shared" ref="AZ137:BA137" si="288">sum(AN137,AQ137,AT137,AW137)</f>
        <v>0</v>
      </c>
      <c r="BA137" s="1">
        <f t="shared" si="288"/>
        <v>0</v>
      </c>
      <c r="BB137" s="17" t="str">
        <f t="shared" si="20"/>
        <v/>
      </c>
    </row>
    <row r="138">
      <c r="A138" s="1" t="str">
        <f>IFERROR(__xludf.DUMMYFUNCTION("""COMPUTED_VALUE"""),"67a4e0b1c23fac669307b722")</f>
        <v>67a4e0b1c23fac669307b722</v>
      </c>
      <c r="B138" s="1" t="str">
        <f>IFERROR(__xludf.DUMMYFUNCTION("""COMPUTED_VALUE"""),"Drive Engineering Corp.")</f>
        <v>Drive Engineering Corp.</v>
      </c>
      <c r="C138" s="1" t="str">
        <f>IFERROR(__xludf.DUMMYFUNCTION("""COMPUTED_VALUE"""),"brendan.flaherty@al-enterprise.com")</f>
        <v>brendan.flaherty@al-enterprise.com</v>
      </c>
      <c r="D138" s="1" t="str">
        <f>IFERROR(__xludf.DUMMYFUNCTION("""COMPUTED_VALUE"""),"americas")</f>
        <v>americas</v>
      </c>
      <c r="E138" s="1" t="str">
        <f>IFERROR(__xludf.DUMMYFUNCTION("""COMPUTED_VALUE"""),"US")</f>
        <v>US</v>
      </c>
      <c r="F138" s="1" t="str">
        <f>IFERROR(__xludf.DUMMYFUNCTION("""COMPUTED_VALUE"""),"expert_200")</f>
        <v>expert_200</v>
      </c>
      <c r="G138" s="1">
        <f>iferror(VLOOKUP(A138,'Business Plan Setup and Accepta'!A:G,6,false),"")</f>
        <v>1</v>
      </c>
      <c r="H138" s="1">
        <f>iferror(VLOOKUP(A138,'Business Plan Setup and Accepta'!A:G,7,false),"")</f>
        <v>1</v>
      </c>
      <c r="I138" s="17">
        <f t="shared" si="3"/>
        <v>1</v>
      </c>
      <c r="J138" s="1">
        <f>IFERROR(VALUE(SUBSTITUTE(VLOOKUP(A138,'Sales IN Revenues vs Sales targ'!A:G,6,false)," $","")), "")
</f>
        <v>153.57</v>
      </c>
      <c r="K138" s="1">
        <f>IFERROR(VALUE(SUBSTITUTE(VLOOKUP(A138,'Sales IN Revenues vs Sales targ'!A:G,7,false)," $","")), "")
</f>
        <v>350</v>
      </c>
      <c r="L138" s="17">
        <f t="shared" si="4"/>
        <v>0.4387714286</v>
      </c>
      <c r="M138" s="1">
        <f>value(SUBSTITUTE(IFERROR(VLOOKUP(A138,'Certifications achievements vs '!A:G,6,false),""),"#","")
)</f>
        <v>0</v>
      </c>
      <c r="N138" s="1">
        <f>value(SUBSTITUTE(IFERROR(VLOOKUP(A138,'Certifications achievements vs '!A:G,7,false),""),"#","")
)</f>
        <v>0</v>
      </c>
      <c r="O138" s="17" t="str">
        <f t="shared" si="5"/>
        <v/>
      </c>
      <c r="P138" s="1">
        <f>value(SUBSTITUTE(IFERROR(VLOOKUP(A138,'Communications - Solution Speci'!A:G,6,false),""),"#","")
)</f>
        <v>0</v>
      </c>
      <c r="Q138" s="1">
        <f>value(SUBSTITUTE(IFERROR(VLOOKUP(A138,'Communications - Solution Speci'!A:G,7,false),""),"#","")
)</f>
        <v>1</v>
      </c>
      <c r="R138" s="17">
        <f t="shared" si="6"/>
        <v>0</v>
      </c>
      <c r="S138" s="1">
        <f>value(SUBSTITUTE(IFERROR(VLOOKUP(A138,'Networking - Solution Specializ'!A:G,6,false),""),"#","")
)</f>
        <v>0</v>
      </c>
      <c r="T138" s="1">
        <f>value(SUBSTITUTE(IFERROR(VLOOKUP(A138,'Networking - Solution Specializ'!A:G,7,false),""),"#","")
)</f>
        <v>1</v>
      </c>
      <c r="U138" s="17">
        <f t="shared" si="7"/>
        <v>0</v>
      </c>
      <c r="V138" s="1">
        <f>iferror(vlookup(A138,'Marketing Plan (extract summary'!A:G,6,false),"")</f>
        <v>0</v>
      </c>
      <c r="W138" s="1">
        <f>iferror(vlookup(A138,'Marketing Plan (extract summary'!A:G,7,false),"")</f>
        <v>1</v>
      </c>
      <c r="X138" s="17">
        <f t="shared" si="8"/>
        <v>0</v>
      </c>
      <c r="Y138" s="1">
        <f>value(IFERROR(SUBSTITUTE(SUBSTITUTE(VLOOKUP(A138,'Quarterly Pipeline vs Target Pi'!A:G,6,false)," $","")," €",""), "")
)</f>
        <v>135.24</v>
      </c>
      <c r="Z138" s="1">
        <f>value(IFERROR(SUBSTITUTE(SUBSTITUTE(VLOOKUP(A138,'Quarterly Pipeline vs Target Pi'!A:G,7,false)," $","")," €",""), "")
)</f>
        <v>0</v>
      </c>
      <c r="AA138" s="17" t="str">
        <f t="shared" si="9"/>
        <v/>
      </c>
      <c r="AB138" s="1">
        <f>value(IFERROR(SUBSTITUTE(SUBSTITUTE(VLOOKUP($A138,'Quarterly Pipeline vs Target Pi'!$A:$V,11,false)," $","")," €",""), "")
)</f>
        <v>141.9</v>
      </c>
      <c r="AC138" s="1">
        <f>value(IFERROR(SUBSTITUTE(SUBSTITUTE(VLOOKUP($A138,'Quarterly Pipeline vs Target Pi'!$A:$V,12,false)," $","")," €",""), "")
)</f>
        <v>166.67</v>
      </c>
      <c r="AD138" s="17">
        <f t="shared" si="10"/>
        <v>0.8513829723</v>
      </c>
      <c r="AE138" s="1">
        <f>value(IFERROR(SUBSTITUTE(SUBSTITUTE(VLOOKUP($A138,'Quarterly Pipeline vs Target Pi'!$A:$V,16,false)," $","")," €",""), "")
)</f>
        <v>2372.05</v>
      </c>
      <c r="AF138" s="1">
        <f>value(IFERROR(SUBSTITUTE(SUBSTITUTE(VLOOKUP($A138,'Quarterly Pipeline vs Target Pi'!$A:$V,17,false)," $","")," €",""), "")
)</f>
        <v>666.65</v>
      </c>
      <c r="AG138" s="17">
        <f t="shared" si="11"/>
        <v>3.558163954</v>
      </c>
      <c r="AH138" s="1">
        <f>value(IFERROR(SUBSTITUTE(SUBSTITUTE(VLOOKUP($A138,'Quarterly Pipeline vs Target Pi'!$A:$V,21,false)," $","")," €",""), "")
)</f>
        <v>720.58</v>
      </c>
      <c r="AI138" s="1">
        <f>value(IFERROR(SUBSTITUTE(SUBSTITUTE(VLOOKUP($A138,'Quarterly Pipeline vs Target Pi'!$A:$V,22,false)," $","")," €",""), "")
)</f>
        <v>333.35</v>
      </c>
      <c r="AJ138" s="17">
        <f t="shared" si="12"/>
        <v>2.161631918</v>
      </c>
      <c r="AK138" s="1">
        <f t="shared" ref="AK138:AL138" si="289">sum(Y138,AB138,AE138,AH138)</f>
        <v>3369.77</v>
      </c>
      <c r="AL138" s="1">
        <f t="shared" si="289"/>
        <v>1166.67</v>
      </c>
      <c r="AM138" s="17">
        <f t="shared" si="14"/>
        <v>2.888366033</v>
      </c>
      <c r="AN138" s="1">
        <f>value(IFERROR(SUBSTITUTE(SUBSTITUTE(VLOOKUP($A138,'Quarterly Pipeline vs Target Pi'!$A:$AP,26,false)," $","")," €",""), "")
)</f>
        <v>0</v>
      </c>
      <c r="AO138" s="1">
        <f>value(IFERROR(SUBSTITUTE(SUBSTITUTE(VLOOKUP($A138,'Quarterly Pipeline vs Target Pi'!$A:$AP,27,false)," $","")," €",""), "")
)</f>
        <v>0</v>
      </c>
      <c r="AP138" s="17" t="str">
        <f t="shared" si="15"/>
        <v/>
      </c>
      <c r="AQ138" s="1">
        <f>value(IFERROR(SUBSTITUTE(SUBSTITUTE(VLOOKUP($A138,'Quarterly Pipeline vs Target Pi'!$A:$AP,31,false)," $","")," €",""), "")
)</f>
        <v>0</v>
      </c>
      <c r="AR138" s="1">
        <f>value(IFERROR(SUBSTITUTE(SUBSTITUTE(VLOOKUP($A138,'Quarterly Pipeline vs Target Pi'!$A:$AP,32,false)," $","")," €",""), "")
)</f>
        <v>0</v>
      </c>
      <c r="AS138" s="17" t="str">
        <f t="shared" si="16"/>
        <v/>
      </c>
      <c r="AT138" s="1">
        <f>value(IFERROR(SUBSTITUTE(SUBSTITUTE(VLOOKUP($A138,'Quarterly Pipeline vs Target Pi'!$A:$AP,36,false)," $","")," €",""), "")
)</f>
        <v>0</v>
      </c>
      <c r="AU138" s="1">
        <f>value(IFERROR(SUBSTITUTE(SUBSTITUTE(VLOOKUP($A138,'Quarterly Pipeline vs Target Pi'!$A:$AP,37,false)," $","")," €",""), "")
)</f>
        <v>0</v>
      </c>
      <c r="AV138" s="17" t="str">
        <f t="shared" si="17"/>
        <v/>
      </c>
      <c r="AW138" s="1">
        <f>value(IFERROR(SUBSTITUTE(SUBSTITUTE(VLOOKUP($A138,'Quarterly Pipeline vs Target Pi'!$A:$AP,41,false)," $","")," €",""), "")
)</f>
        <v>0</v>
      </c>
      <c r="AX138" s="1">
        <f>value(IFERROR(SUBSTITUTE(SUBSTITUTE(VLOOKUP($A138,'Quarterly Pipeline vs Target Pi'!$A:$AP,42,false)," $","")," €",""), "")
)</f>
        <v>0</v>
      </c>
      <c r="AY138" s="17" t="str">
        <f t="shared" si="18"/>
        <v/>
      </c>
      <c r="AZ138" s="1">
        <f t="shared" ref="AZ138:BA138" si="290">sum(AN138,AQ138,AT138,AW138)</f>
        <v>0</v>
      </c>
      <c r="BA138" s="1">
        <f t="shared" si="290"/>
        <v>0</v>
      </c>
      <c r="BB138" s="17" t="str">
        <f t="shared" si="20"/>
        <v/>
      </c>
    </row>
    <row r="139">
      <c r="A139" s="1" t="str">
        <f>IFERROR(__xludf.DUMMYFUNCTION("""COMPUTED_VALUE"""),"63ced846c5c820531c268960")</f>
        <v>63ced846c5c820531c268960</v>
      </c>
      <c r="B139" s="1" t="str">
        <f>IFERROR(__xludf.DUMMYFUNCTION("""COMPUTED_VALUE"""),"DSI Distributing, Inc.")</f>
        <v>DSI Distributing, Inc.</v>
      </c>
      <c r="C139" s="1" t="str">
        <f>IFERROR(__xludf.DUMMYFUNCTION("""COMPUTED_VALUE"""),"bill.cusack@al-enterprise.com")</f>
        <v>bill.cusack@al-enterprise.com</v>
      </c>
      <c r="D139" s="1" t="str">
        <f>IFERROR(__xludf.DUMMYFUNCTION("""COMPUTED_VALUE"""),"americas")</f>
        <v>americas</v>
      </c>
      <c r="E139" s="1" t="str">
        <f>IFERROR(__xludf.DUMMYFUNCTION("""COMPUTED_VALUE"""),"US")</f>
        <v>US</v>
      </c>
      <c r="F139" s="1"/>
      <c r="G139" s="1" t="str">
        <f>iferror(VLOOKUP(A139,'Business Plan Setup and Accepta'!A:G,6,false),"")</f>
        <v/>
      </c>
      <c r="H139" s="1" t="str">
        <f>iferror(VLOOKUP(A139,'Business Plan Setup and Accepta'!A:G,7,false),"")</f>
        <v/>
      </c>
      <c r="I139" s="17" t="str">
        <f t="shared" si="3"/>
        <v/>
      </c>
      <c r="J139" s="1" t="str">
        <f>IFERROR(VALUE(SUBSTITUTE(VLOOKUP(A139,'Sales IN Revenues vs Sales targ'!A:G,6,false)," $","")), "")
</f>
        <v/>
      </c>
      <c r="K139" s="1" t="str">
        <f>IFERROR(VALUE(SUBSTITUTE(VLOOKUP(A139,'Sales IN Revenues vs Sales targ'!A:G,7,false)," $","")), "")
</f>
        <v/>
      </c>
      <c r="L139" s="17" t="str">
        <f t="shared" si="4"/>
        <v/>
      </c>
      <c r="M139" s="1">
        <f>value(SUBSTITUTE(IFERROR(VLOOKUP(A139,'Certifications achievements vs '!A:G,6,false),""),"#","")
)</f>
        <v>0</v>
      </c>
      <c r="N139" s="1">
        <f>value(SUBSTITUTE(IFERROR(VLOOKUP(A139,'Certifications achievements vs '!A:G,7,false),""),"#","")
)</f>
        <v>0</v>
      </c>
      <c r="O139" s="17" t="str">
        <f t="shared" si="5"/>
        <v/>
      </c>
      <c r="P139" s="1">
        <f>value(SUBSTITUTE(IFERROR(VLOOKUP(A139,'Communications - Solution Speci'!A:G,6,false),""),"#","")
)</f>
        <v>0</v>
      </c>
      <c r="Q139" s="1">
        <f>value(SUBSTITUTE(IFERROR(VLOOKUP(A139,'Communications - Solution Speci'!A:G,7,false),""),"#","")
)</f>
        <v>0</v>
      </c>
      <c r="R139" s="17" t="str">
        <f t="shared" si="6"/>
        <v/>
      </c>
      <c r="S139" s="1">
        <f>value(SUBSTITUTE(IFERROR(VLOOKUP(A139,'Networking - Solution Specializ'!A:G,6,false),""),"#","")
)</f>
        <v>0</v>
      </c>
      <c r="T139" s="1">
        <f>value(SUBSTITUTE(IFERROR(VLOOKUP(A139,'Networking - Solution Specializ'!A:G,7,false),""),"#","")
)</f>
        <v>0</v>
      </c>
      <c r="U139" s="17" t="str">
        <f t="shared" si="7"/>
        <v/>
      </c>
      <c r="V139" s="1" t="str">
        <f>iferror(vlookup(A139,'Marketing Plan (extract summary'!A:G,6,false),"")</f>
        <v/>
      </c>
      <c r="W139" s="1" t="str">
        <f>iferror(vlookup(A139,'Marketing Plan (extract summary'!A:G,7,false),"")</f>
        <v/>
      </c>
      <c r="X139" s="17" t="str">
        <f t="shared" si="8"/>
        <v/>
      </c>
      <c r="Y139" s="1">
        <f>value(IFERROR(SUBSTITUTE(SUBSTITUTE(VLOOKUP(A139,'Quarterly Pipeline vs Target Pi'!A:G,6,false)," $","")," €",""), "")
)</f>
        <v>0</v>
      </c>
      <c r="Z139" s="1">
        <f>value(IFERROR(SUBSTITUTE(SUBSTITUTE(VLOOKUP(A139,'Quarterly Pipeline vs Target Pi'!A:G,7,false)," $","")," €",""), "")
)</f>
        <v>0</v>
      </c>
      <c r="AA139" s="17" t="str">
        <f t="shared" si="9"/>
        <v/>
      </c>
      <c r="AB139" s="1">
        <f>value(IFERROR(SUBSTITUTE(SUBSTITUTE(VLOOKUP($A139,'Quarterly Pipeline vs Target Pi'!$A:$V,11,false)," $","")," €",""), "")
)</f>
        <v>0</v>
      </c>
      <c r="AC139" s="1">
        <f>value(IFERROR(SUBSTITUTE(SUBSTITUTE(VLOOKUP($A139,'Quarterly Pipeline vs Target Pi'!$A:$V,12,false)," $","")," €",""), "")
)</f>
        <v>0</v>
      </c>
      <c r="AD139" s="17" t="str">
        <f t="shared" si="10"/>
        <v/>
      </c>
      <c r="AE139" s="1">
        <f>value(IFERROR(SUBSTITUTE(SUBSTITUTE(VLOOKUP($A139,'Quarterly Pipeline vs Target Pi'!$A:$V,16,false)," $","")," €",""), "")
)</f>
        <v>0</v>
      </c>
      <c r="AF139" s="1">
        <f>value(IFERROR(SUBSTITUTE(SUBSTITUTE(VLOOKUP($A139,'Quarterly Pipeline vs Target Pi'!$A:$V,17,false)," $","")," €",""), "")
)</f>
        <v>0</v>
      </c>
      <c r="AG139" s="17" t="str">
        <f t="shared" si="11"/>
        <v/>
      </c>
      <c r="AH139" s="1">
        <f>value(IFERROR(SUBSTITUTE(SUBSTITUTE(VLOOKUP($A139,'Quarterly Pipeline vs Target Pi'!$A:$V,21,false)," $","")," €",""), "")
)</f>
        <v>0</v>
      </c>
      <c r="AI139" s="1">
        <f>value(IFERROR(SUBSTITUTE(SUBSTITUTE(VLOOKUP($A139,'Quarterly Pipeline vs Target Pi'!$A:$V,22,false)," $","")," €",""), "")
)</f>
        <v>0</v>
      </c>
      <c r="AJ139" s="17" t="str">
        <f t="shared" si="12"/>
        <v/>
      </c>
      <c r="AK139" s="1">
        <f t="shared" ref="AK139:AL139" si="291">sum(Y139,AB139,AE139,AH139)</f>
        <v>0</v>
      </c>
      <c r="AL139" s="1">
        <f t="shared" si="291"/>
        <v>0</v>
      </c>
      <c r="AM139" s="17" t="str">
        <f t="shared" si="14"/>
        <v/>
      </c>
      <c r="AN139" s="1">
        <f>value(IFERROR(SUBSTITUTE(SUBSTITUTE(VLOOKUP($A139,'Quarterly Pipeline vs Target Pi'!$A:$AP,26,false)," $","")," €",""), "")
)</f>
        <v>0</v>
      </c>
      <c r="AO139" s="1">
        <f>value(IFERROR(SUBSTITUTE(SUBSTITUTE(VLOOKUP($A139,'Quarterly Pipeline vs Target Pi'!$A:$AP,27,false)," $","")," €",""), "")
)</f>
        <v>0</v>
      </c>
      <c r="AP139" s="17" t="str">
        <f t="shared" si="15"/>
        <v/>
      </c>
      <c r="AQ139" s="1">
        <f>value(IFERROR(SUBSTITUTE(SUBSTITUTE(VLOOKUP($A139,'Quarterly Pipeline vs Target Pi'!$A:$AP,31,false)," $","")," €",""), "")
)</f>
        <v>0</v>
      </c>
      <c r="AR139" s="1">
        <f>value(IFERROR(SUBSTITUTE(SUBSTITUTE(VLOOKUP($A139,'Quarterly Pipeline vs Target Pi'!$A:$AP,32,false)," $","")," €",""), "")
)</f>
        <v>0</v>
      </c>
      <c r="AS139" s="17" t="str">
        <f t="shared" si="16"/>
        <v/>
      </c>
      <c r="AT139" s="1">
        <f>value(IFERROR(SUBSTITUTE(SUBSTITUTE(VLOOKUP($A139,'Quarterly Pipeline vs Target Pi'!$A:$AP,36,false)," $","")," €",""), "")
)</f>
        <v>0</v>
      </c>
      <c r="AU139" s="1">
        <f>value(IFERROR(SUBSTITUTE(SUBSTITUTE(VLOOKUP($A139,'Quarterly Pipeline vs Target Pi'!$A:$AP,37,false)," $","")," €",""), "")
)</f>
        <v>0</v>
      </c>
      <c r="AV139" s="17" t="str">
        <f t="shared" si="17"/>
        <v/>
      </c>
      <c r="AW139" s="1">
        <f>value(IFERROR(SUBSTITUTE(SUBSTITUTE(VLOOKUP($A139,'Quarterly Pipeline vs Target Pi'!$A:$AP,41,false)," $","")," €",""), "")
)</f>
        <v>0</v>
      </c>
      <c r="AX139" s="1">
        <f>value(IFERROR(SUBSTITUTE(SUBSTITUTE(VLOOKUP($A139,'Quarterly Pipeline vs Target Pi'!$A:$AP,42,false)," $","")," €",""), "")
)</f>
        <v>0</v>
      </c>
      <c r="AY139" s="17" t="str">
        <f t="shared" si="18"/>
        <v/>
      </c>
      <c r="AZ139" s="1">
        <f t="shared" ref="AZ139:BA139" si="292">sum(AN139,AQ139,AT139,AW139)</f>
        <v>0</v>
      </c>
      <c r="BA139" s="1">
        <f t="shared" si="292"/>
        <v>0</v>
      </c>
      <c r="BB139" s="17" t="str">
        <f t="shared" si="20"/>
        <v/>
      </c>
    </row>
    <row r="140">
      <c r="A140" s="1" t="str">
        <f>IFERROR(__xludf.DUMMYFUNCTION("""COMPUTED_VALUE"""),"63ced846c5c820531c268951")</f>
        <v>63ced846c5c820531c268951</v>
      </c>
      <c r="B140" s="1" t="str">
        <f>IFERROR(__xludf.DUMMYFUNCTION("""COMPUTED_VALUE"""),"DXC Technology Services LLC")</f>
        <v>DXC Technology Services LLC</v>
      </c>
      <c r="C140" s="1" t="str">
        <f>IFERROR(__xludf.DUMMYFUNCTION("""COMPUTED_VALUE"""),"bill.cusack@al-enterprise.com")</f>
        <v>bill.cusack@al-enterprise.com</v>
      </c>
      <c r="D140" s="1" t="str">
        <f>IFERROR(__xludf.DUMMYFUNCTION("""COMPUTED_VALUE"""),"americas")</f>
        <v>americas</v>
      </c>
      <c r="E140" s="1" t="str">
        <f>IFERROR(__xludf.DUMMYFUNCTION("""COMPUTED_VALUE"""),"US")</f>
        <v>US</v>
      </c>
      <c r="F140" s="1"/>
      <c r="G140" s="1" t="str">
        <f>iferror(VLOOKUP(A140,'Business Plan Setup and Accepta'!A:G,6,false),"")</f>
        <v/>
      </c>
      <c r="H140" s="1" t="str">
        <f>iferror(VLOOKUP(A140,'Business Plan Setup and Accepta'!A:G,7,false),"")</f>
        <v/>
      </c>
      <c r="I140" s="17" t="str">
        <f t="shared" si="3"/>
        <v/>
      </c>
      <c r="J140" s="1" t="str">
        <f>IFERROR(VALUE(SUBSTITUTE(VLOOKUP(A140,'Sales IN Revenues vs Sales targ'!A:G,6,false)," $","")), "")
</f>
        <v/>
      </c>
      <c r="K140" s="1" t="str">
        <f>IFERROR(VALUE(SUBSTITUTE(VLOOKUP(A140,'Sales IN Revenues vs Sales targ'!A:G,7,false)," $","")), "")
</f>
        <v/>
      </c>
      <c r="L140" s="17" t="str">
        <f t="shared" si="4"/>
        <v/>
      </c>
      <c r="M140" s="1">
        <f>value(SUBSTITUTE(IFERROR(VLOOKUP(A140,'Certifications achievements vs '!A:G,6,false),""),"#","")
)</f>
        <v>0</v>
      </c>
      <c r="N140" s="1">
        <f>value(SUBSTITUTE(IFERROR(VLOOKUP(A140,'Certifications achievements vs '!A:G,7,false),""),"#","")
)</f>
        <v>0</v>
      </c>
      <c r="O140" s="17" t="str">
        <f t="shared" si="5"/>
        <v/>
      </c>
      <c r="P140" s="1">
        <f>value(SUBSTITUTE(IFERROR(VLOOKUP(A140,'Communications - Solution Speci'!A:G,6,false),""),"#","")
)</f>
        <v>0</v>
      </c>
      <c r="Q140" s="1">
        <f>value(SUBSTITUTE(IFERROR(VLOOKUP(A140,'Communications - Solution Speci'!A:G,7,false),""),"#","")
)</f>
        <v>0</v>
      </c>
      <c r="R140" s="17" t="str">
        <f t="shared" si="6"/>
        <v/>
      </c>
      <c r="S140" s="1">
        <f>value(SUBSTITUTE(IFERROR(VLOOKUP(A140,'Networking - Solution Specializ'!A:G,6,false),""),"#","")
)</f>
        <v>0</v>
      </c>
      <c r="T140" s="1">
        <f>value(SUBSTITUTE(IFERROR(VLOOKUP(A140,'Networking - Solution Specializ'!A:G,7,false),""),"#","")
)</f>
        <v>0</v>
      </c>
      <c r="U140" s="17" t="str">
        <f t="shared" si="7"/>
        <v/>
      </c>
      <c r="V140" s="1" t="str">
        <f>iferror(vlookup(A140,'Marketing Plan (extract summary'!A:G,6,false),"")</f>
        <v/>
      </c>
      <c r="W140" s="1" t="str">
        <f>iferror(vlookup(A140,'Marketing Plan (extract summary'!A:G,7,false),"")</f>
        <v/>
      </c>
      <c r="X140" s="17" t="str">
        <f t="shared" si="8"/>
        <v/>
      </c>
      <c r="Y140" s="1">
        <f>value(IFERROR(SUBSTITUTE(SUBSTITUTE(VLOOKUP(A140,'Quarterly Pipeline vs Target Pi'!A:G,6,false)," $","")," €",""), "")
)</f>
        <v>0</v>
      </c>
      <c r="Z140" s="1">
        <f>value(IFERROR(SUBSTITUTE(SUBSTITUTE(VLOOKUP(A140,'Quarterly Pipeline vs Target Pi'!A:G,7,false)," $","")," €",""), "")
)</f>
        <v>0</v>
      </c>
      <c r="AA140" s="17" t="str">
        <f t="shared" si="9"/>
        <v/>
      </c>
      <c r="AB140" s="1">
        <f>value(IFERROR(SUBSTITUTE(SUBSTITUTE(VLOOKUP($A140,'Quarterly Pipeline vs Target Pi'!$A:$V,11,false)," $","")," €",""), "")
)</f>
        <v>0</v>
      </c>
      <c r="AC140" s="1">
        <f>value(IFERROR(SUBSTITUTE(SUBSTITUTE(VLOOKUP($A140,'Quarterly Pipeline vs Target Pi'!$A:$V,12,false)," $","")," €",""), "")
)</f>
        <v>0</v>
      </c>
      <c r="AD140" s="17" t="str">
        <f t="shared" si="10"/>
        <v/>
      </c>
      <c r="AE140" s="1">
        <f>value(IFERROR(SUBSTITUTE(SUBSTITUTE(VLOOKUP($A140,'Quarterly Pipeline vs Target Pi'!$A:$V,16,false)," $","")," €",""), "")
)</f>
        <v>0</v>
      </c>
      <c r="AF140" s="1">
        <f>value(IFERROR(SUBSTITUTE(SUBSTITUTE(VLOOKUP($A140,'Quarterly Pipeline vs Target Pi'!$A:$V,17,false)," $","")," €",""), "")
)</f>
        <v>0</v>
      </c>
      <c r="AG140" s="17" t="str">
        <f t="shared" si="11"/>
        <v/>
      </c>
      <c r="AH140" s="1">
        <f>value(IFERROR(SUBSTITUTE(SUBSTITUTE(VLOOKUP($A140,'Quarterly Pipeline vs Target Pi'!$A:$V,21,false)," $","")," €",""), "")
)</f>
        <v>0</v>
      </c>
      <c r="AI140" s="1">
        <f>value(IFERROR(SUBSTITUTE(SUBSTITUTE(VLOOKUP($A140,'Quarterly Pipeline vs Target Pi'!$A:$V,22,false)," $","")," €",""), "")
)</f>
        <v>0</v>
      </c>
      <c r="AJ140" s="17" t="str">
        <f t="shared" si="12"/>
        <v/>
      </c>
      <c r="AK140" s="1">
        <f t="shared" ref="AK140:AL140" si="293">sum(Y140,AB140,AE140,AH140)</f>
        <v>0</v>
      </c>
      <c r="AL140" s="1">
        <f t="shared" si="293"/>
        <v>0</v>
      </c>
      <c r="AM140" s="17" t="str">
        <f t="shared" si="14"/>
        <v/>
      </c>
      <c r="AN140" s="1">
        <f>value(IFERROR(SUBSTITUTE(SUBSTITUTE(VLOOKUP($A140,'Quarterly Pipeline vs Target Pi'!$A:$AP,26,false)," $","")," €",""), "")
)</f>
        <v>0</v>
      </c>
      <c r="AO140" s="1">
        <f>value(IFERROR(SUBSTITUTE(SUBSTITUTE(VLOOKUP($A140,'Quarterly Pipeline vs Target Pi'!$A:$AP,27,false)," $","")," €",""), "")
)</f>
        <v>0</v>
      </c>
      <c r="AP140" s="17" t="str">
        <f t="shared" si="15"/>
        <v/>
      </c>
      <c r="AQ140" s="1">
        <f>value(IFERROR(SUBSTITUTE(SUBSTITUTE(VLOOKUP($A140,'Quarterly Pipeline vs Target Pi'!$A:$AP,31,false)," $","")," €",""), "")
)</f>
        <v>0</v>
      </c>
      <c r="AR140" s="1">
        <f>value(IFERROR(SUBSTITUTE(SUBSTITUTE(VLOOKUP($A140,'Quarterly Pipeline vs Target Pi'!$A:$AP,32,false)," $","")," €",""), "")
)</f>
        <v>0</v>
      </c>
      <c r="AS140" s="17" t="str">
        <f t="shared" si="16"/>
        <v/>
      </c>
      <c r="AT140" s="1">
        <f>value(IFERROR(SUBSTITUTE(SUBSTITUTE(VLOOKUP($A140,'Quarterly Pipeline vs Target Pi'!$A:$AP,36,false)," $","")," €",""), "")
)</f>
        <v>0</v>
      </c>
      <c r="AU140" s="1">
        <f>value(IFERROR(SUBSTITUTE(SUBSTITUTE(VLOOKUP($A140,'Quarterly Pipeline vs Target Pi'!$A:$AP,37,false)," $","")," €",""), "")
)</f>
        <v>0</v>
      </c>
      <c r="AV140" s="17" t="str">
        <f t="shared" si="17"/>
        <v/>
      </c>
      <c r="AW140" s="1">
        <f>value(IFERROR(SUBSTITUTE(SUBSTITUTE(VLOOKUP($A140,'Quarterly Pipeline vs Target Pi'!$A:$AP,41,false)," $","")," €",""), "")
)</f>
        <v>0</v>
      </c>
      <c r="AX140" s="1">
        <f>value(IFERROR(SUBSTITUTE(SUBSTITUTE(VLOOKUP($A140,'Quarterly Pipeline vs Target Pi'!$A:$AP,42,false)," $","")," €",""), "")
)</f>
        <v>0</v>
      </c>
      <c r="AY140" s="17" t="str">
        <f t="shared" si="18"/>
        <v/>
      </c>
      <c r="AZ140" s="1">
        <f t="shared" ref="AZ140:BA140" si="294">sum(AN140,AQ140,AT140,AW140)</f>
        <v>0</v>
      </c>
      <c r="BA140" s="1">
        <f t="shared" si="294"/>
        <v>0</v>
      </c>
      <c r="BB140" s="17" t="str">
        <f t="shared" si="20"/>
        <v/>
      </c>
    </row>
    <row r="141">
      <c r="A141" s="1" t="str">
        <f>IFERROR(__xludf.DUMMYFUNCTION("""COMPUTED_VALUE"""),"63fcbb82a107c871cf564ef7")</f>
        <v>63fcbb82a107c871cf564ef7</v>
      </c>
      <c r="B141" s="1" t="str">
        <f>IFERROR(__xludf.DUMMYFUNCTION("""COMPUTED_VALUE"""),"Dynamic Computer Corporation")</f>
        <v>Dynamic Computer Corporation</v>
      </c>
      <c r="C141" s="1" t="str">
        <f>IFERROR(__xludf.DUMMYFUNCTION("""COMPUTED_VALUE"""),"brendan.flaherty@al-enterprise.com")</f>
        <v>brendan.flaherty@al-enterprise.com</v>
      </c>
      <c r="D141" s="1" t="str">
        <f>IFERROR(__xludf.DUMMYFUNCTION("""COMPUTED_VALUE"""),"americas")</f>
        <v>americas</v>
      </c>
      <c r="E141" s="1" t="str">
        <f>IFERROR(__xludf.DUMMYFUNCTION("""COMPUTED_VALUE"""),"US")</f>
        <v>US</v>
      </c>
      <c r="F141" s="1"/>
      <c r="G141" s="1" t="str">
        <f>iferror(VLOOKUP(A141,'Business Plan Setup and Accepta'!A:G,6,false),"")</f>
        <v/>
      </c>
      <c r="H141" s="1" t="str">
        <f>iferror(VLOOKUP(A141,'Business Plan Setup and Accepta'!A:G,7,false),"")</f>
        <v/>
      </c>
      <c r="I141" s="17" t="str">
        <f t="shared" si="3"/>
        <v/>
      </c>
      <c r="J141" s="1" t="str">
        <f>IFERROR(VALUE(SUBSTITUTE(VLOOKUP(A141,'Sales IN Revenues vs Sales targ'!A:G,6,false)," $","")), "")
</f>
        <v/>
      </c>
      <c r="K141" s="1" t="str">
        <f>IFERROR(VALUE(SUBSTITUTE(VLOOKUP(A141,'Sales IN Revenues vs Sales targ'!A:G,7,false)," $","")), "")
</f>
        <v/>
      </c>
      <c r="L141" s="17" t="str">
        <f t="shared" si="4"/>
        <v/>
      </c>
      <c r="M141" s="1">
        <f>value(SUBSTITUTE(IFERROR(VLOOKUP(A141,'Certifications achievements vs '!A:G,6,false),""),"#","")
)</f>
        <v>0</v>
      </c>
      <c r="N141" s="1">
        <f>value(SUBSTITUTE(IFERROR(VLOOKUP(A141,'Certifications achievements vs '!A:G,7,false),""),"#","")
)</f>
        <v>0</v>
      </c>
      <c r="O141" s="17" t="str">
        <f t="shared" si="5"/>
        <v/>
      </c>
      <c r="P141" s="1">
        <f>value(SUBSTITUTE(IFERROR(VLOOKUP(A141,'Communications - Solution Speci'!A:G,6,false),""),"#","")
)</f>
        <v>0</v>
      </c>
      <c r="Q141" s="1">
        <f>value(SUBSTITUTE(IFERROR(VLOOKUP(A141,'Communications - Solution Speci'!A:G,7,false),""),"#","")
)</f>
        <v>0</v>
      </c>
      <c r="R141" s="17" t="str">
        <f t="shared" si="6"/>
        <v/>
      </c>
      <c r="S141" s="1">
        <f>value(SUBSTITUTE(IFERROR(VLOOKUP(A141,'Networking - Solution Specializ'!A:G,6,false),""),"#","")
)</f>
        <v>0</v>
      </c>
      <c r="T141" s="1">
        <f>value(SUBSTITUTE(IFERROR(VLOOKUP(A141,'Networking - Solution Specializ'!A:G,7,false),""),"#","")
)</f>
        <v>0</v>
      </c>
      <c r="U141" s="17" t="str">
        <f t="shared" si="7"/>
        <v/>
      </c>
      <c r="V141" s="1" t="str">
        <f>iferror(vlookup(A141,'Marketing Plan (extract summary'!A:G,6,false),"")</f>
        <v/>
      </c>
      <c r="W141" s="1" t="str">
        <f>iferror(vlookup(A141,'Marketing Plan (extract summary'!A:G,7,false),"")</f>
        <v/>
      </c>
      <c r="X141" s="17" t="str">
        <f t="shared" si="8"/>
        <v/>
      </c>
      <c r="Y141" s="1">
        <f>value(IFERROR(SUBSTITUTE(SUBSTITUTE(VLOOKUP(A141,'Quarterly Pipeline vs Target Pi'!A:G,6,false)," $","")," €",""), "")
)</f>
        <v>0</v>
      </c>
      <c r="Z141" s="1">
        <f>value(IFERROR(SUBSTITUTE(SUBSTITUTE(VLOOKUP(A141,'Quarterly Pipeline vs Target Pi'!A:G,7,false)," $","")," €",""), "")
)</f>
        <v>0</v>
      </c>
      <c r="AA141" s="17" t="str">
        <f t="shared" si="9"/>
        <v/>
      </c>
      <c r="AB141" s="1">
        <f>value(IFERROR(SUBSTITUTE(SUBSTITUTE(VLOOKUP($A141,'Quarterly Pipeline vs Target Pi'!$A:$V,11,false)," $","")," €",""), "")
)</f>
        <v>0</v>
      </c>
      <c r="AC141" s="1">
        <f>value(IFERROR(SUBSTITUTE(SUBSTITUTE(VLOOKUP($A141,'Quarterly Pipeline vs Target Pi'!$A:$V,12,false)," $","")," €",""), "")
)</f>
        <v>0</v>
      </c>
      <c r="AD141" s="17" t="str">
        <f t="shared" si="10"/>
        <v/>
      </c>
      <c r="AE141" s="1">
        <f>value(IFERROR(SUBSTITUTE(SUBSTITUTE(VLOOKUP($A141,'Quarterly Pipeline vs Target Pi'!$A:$V,16,false)," $","")," €",""), "")
)</f>
        <v>0</v>
      </c>
      <c r="AF141" s="1">
        <f>value(IFERROR(SUBSTITUTE(SUBSTITUTE(VLOOKUP($A141,'Quarterly Pipeline vs Target Pi'!$A:$V,17,false)," $","")," €",""), "")
)</f>
        <v>0</v>
      </c>
      <c r="AG141" s="17" t="str">
        <f t="shared" si="11"/>
        <v/>
      </c>
      <c r="AH141" s="1">
        <f>value(IFERROR(SUBSTITUTE(SUBSTITUTE(VLOOKUP($A141,'Quarterly Pipeline vs Target Pi'!$A:$V,21,false)," $","")," €",""), "")
)</f>
        <v>0</v>
      </c>
      <c r="AI141" s="1">
        <f>value(IFERROR(SUBSTITUTE(SUBSTITUTE(VLOOKUP($A141,'Quarterly Pipeline vs Target Pi'!$A:$V,22,false)," $","")," €",""), "")
)</f>
        <v>0</v>
      </c>
      <c r="AJ141" s="17" t="str">
        <f t="shared" si="12"/>
        <v/>
      </c>
      <c r="AK141" s="1">
        <f t="shared" ref="AK141:AL141" si="295">sum(Y141,AB141,AE141,AH141)</f>
        <v>0</v>
      </c>
      <c r="AL141" s="1">
        <f t="shared" si="295"/>
        <v>0</v>
      </c>
      <c r="AM141" s="17" t="str">
        <f t="shared" si="14"/>
        <v/>
      </c>
      <c r="AN141" s="1">
        <f>value(IFERROR(SUBSTITUTE(SUBSTITUTE(VLOOKUP($A141,'Quarterly Pipeline vs Target Pi'!$A:$AP,26,false)," $","")," €",""), "")
)</f>
        <v>0</v>
      </c>
      <c r="AO141" s="1">
        <f>value(IFERROR(SUBSTITUTE(SUBSTITUTE(VLOOKUP($A141,'Quarterly Pipeline vs Target Pi'!$A:$AP,27,false)," $","")," €",""), "")
)</f>
        <v>0</v>
      </c>
      <c r="AP141" s="17" t="str">
        <f t="shared" si="15"/>
        <v/>
      </c>
      <c r="AQ141" s="1">
        <f>value(IFERROR(SUBSTITUTE(SUBSTITUTE(VLOOKUP($A141,'Quarterly Pipeline vs Target Pi'!$A:$AP,31,false)," $","")," €",""), "")
)</f>
        <v>0</v>
      </c>
      <c r="AR141" s="1">
        <f>value(IFERROR(SUBSTITUTE(SUBSTITUTE(VLOOKUP($A141,'Quarterly Pipeline vs Target Pi'!$A:$AP,32,false)," $","")," €",""), "")
)</f>
        <v>0</v>
      </c>
      <c r="AS141" s="17" t="str">
        <f t="shared" si="16"/>
        <v/>
      </c>
      <c r="AT141" s="1">
        <f>value(IFERROR(SUBSTITUTE(SUBSTITUTE(VLOOKUP($A141,'Quarterly Pipeline vs Target Pi'!$A:$AP,36,false)," $","")," €",""), "")
)</f>
        <v>0</v>
      </c>
      <c r="AU141" s="1">
        <f>value(IFERROR(SUBSTITUTE(SUBSTITUTE(VLOOKUP($A141,'Quarterly Pipeline vs Target Pi'!$A:$AP,37,false)," $","")," €",""), "")
)</f>
        <v>0</v>
      </c>
      <c r="AV141" s="17" t="str">
        <f t="shared" si="17"/>
        <v/>
      </c>
      <c r="AW141" s="1">
        <f>value(IFERROR(SUBSTITUTE(SUBSTITUTE(VLOOKUP($A141,'Quarterly Pipeline vs Target Pi'!$A:$AP,41,false)," $","")," €",""), "")
)</f>
        <v>0</v>
      </c>
      <c r="AX141" s="1">
        <f>value(IFERROR(SUBSTITUTE(SUBSTITUTE(VLOOKUP($A141,'Quarterly Pipeline vs Target Pi'!$A:$AP,42,false)," $","")," €",""), "")
)</f>
        <v>0</v>
      </c>
      <c r="AY141" s="17" t="str">
        <f t="shared" si="18"/>
        <v/>
      </c>
      <c r="AZ141" s="1">
        <f t="shared" ref="AZ141:BA141" si="296">sum(AN141,AQ141,AT141,AW141)</f>
        <v>0</v>
      </c>
      <c r="BA141" s="1">
        <f t="shared" si="296"/>
        <v>0</v>
      </c>
      <c r="BB141" s="17" t="str">
        <f t="shared" si="20"/>
        <v/>
      </c>
    </row>
    <row r="142">
      <c r="A142" s="1" t="str">
        <f>IFERROR(__xludf.DUMMYFUNCTION("""COMPUTED_VALUE"""),"63ced84dc5c820531c269716")</f>
        <v>63ced84dc5c820531c269716</v>
      </c>
      <c r="B142" s="1" t="str">
        <f>IFERROR(__xludf.DUMMYFUNCTION("""COMPUTED_VALUE"""),"Dynamic Systems Integration Inc")</f>
        <v>Dynamic Systems Integration Inc</v>
      </c>
      <c r="C142" s="1" t="str">
        <f>IFERROR(__xludf.DUMMYFUNCTION("""COMPUTED_VALUE"""),"brendan.flaherty@al-enterprise.com")</f>
        <v>brendan.flaherty@al-enterprise.com</v>
      </c>
      <c r="D142" s="1" t="str">
        <f>IFERROR(__xludf.DUMMYFUNCTION("""COMPUTED_VALUE"""),"americas")</f>
        <v>americas</v>
      </c>
      <c r="E142" s="1" t="str">
        <f>IFERROR(__xludf.DUMMYFUNCTION("""COMPUTED_VALUE"""),"US")</f>
        <v>US</v>
      </c>
      <c r="F142" s="1"/>
      <c r="G142" s="1" t="str">
        <f>iferror(VLOOKUP(A142,'Business Plan Setup and Accepta'!A:G,6,false),"")</f>
        <v/>
      </c>
      <c r="H142" s="1" t="str">
        <f>iferror(VLOOKUP(A142,'Business Plan Setup and Accepta'!A:G,7,false),"")</f>
        <v/>
      </c>
      <c r="I142" s="17" t="str">
        <f t="shared" si="3"/>
        <v/>
      </c>
      <c r="J142" s="1" t="str">
        <f>IFERROR(VALUE(SUBSTITUTE(VLOOKUP(A142,'Sales IN Revenues vs Sales targ'!A:G,6,false)," $","")), "")
</f>
        <v/>
      </c>
      <c r="K142" s="1" t="str">
        <f>IFERROR(VALUE(SUBSTITUTE(VLOOKUP(A142,'Sales IN Revenues vs Sales targ'!A:G,7,false)," $","")), "")
</f>
        <v/>
      </c>
      <c r="L142" s="17" t="str">
        <f t="shared" si="4"/>
        <v/>
      </c>
      <c r="M142" s="1">
        <f>value(SUBSTITUTE(IFERROR(VLOOKUP(A142,'Certifications achievements vs '!A:G,6,false),""),"#","")
)</f>
        <v>0</v>
      </c>
      <c r="N142" s="1">
        <f>value(SUBSTITUTE(IFERROR(VLOOKUP(A142,'Certifications achievements vs '!A:G,7,false),""),"#","")
)</f>
        <v>0</v>
      </c>
      <c r="O142" s="17" t="str">
        <f t="shared" si="5"/>
        <v/>
      </c>
      <c r="P142" s="1">
        <f>value(SUBSTITUTE(IFERROR(VLOOKUP(A142,'Communications - Solution Speci'!A:G,6,false),""),"#","")
)</f>
        <v>0</v>
      </c>
      <c r="Q142" s="1">
        <f>value(SUBSTITUTE(IFERROR(VLOOKUP(A142,'Communications - Solution Speci'!A:G,7,false),""),"#","")
)</f>
        <v>0</v>
      </c>
      <c r="R142" s="17" t="str">
        <f t="shared" si="6"/>
        <v/>
      </c>
      <c r="S142" s="1">
        <f>value(SUBSTITUTE(IFERROR(VLOOKUP(A142,'Networking - Solution Specializ'!A:G,6,false),""),"#","")
)</f>
        <v>0</v>
      </c>
      <c r="T142" s="1">
        <f>value(SUBSTITUTE(IFERROR(VLOOKUP(A142,'Networking - Solution Specializ'!A:G,7,false),""),"#","")
)</f>
        <v>0</v>
      </c>
      <c r="U142" s="17" t="str">
        <f t="shared" si="7"/>
        <v/>
      </c>
      <c r="V142" s="1" t="str">
        <f>iferror(vlookup(A142,'Marketing Plan (extract summary'!A:G,6,false),"")</f>
        <v/>
      </c>
      <c r="W142" s="1" t="str">
        <f>iferror(vlookup(A142,'Marketing Plan (extract summary'!A:G,7,false),"")</f>
        <v/>
      </c>
      <c r="X142" s="17" t="str">
        <f t="shared" si="8"/>
        <v/>
      </c>
      <c r="Y142" s="1">
        <f>value(IFERROR(SUBSTITUTE(SUBSTITUTE(VLOOKUP(A142,'Quarterly Pipeline vs Target Pi'!A:G,6,false)," $","")," €",""), "")
)</f>
        <v>0</v>
      </c>
      <c r="Z142" s="1">
        <f>value(IFERROR(SUBSTITUTE(SUBSTITUTE(VLOOKUP(A142,'Quarterly Pipeline vs Target Pi'!A:G,7,false)," $","")," €",""), "")
)</f>
        <v>0</v>
      </c>
      <c r="AA142" s="17" t="str">
        <f t="shared" si="9"/>
        <v/>
      </c>
      <c r="AB142" s="1">
        <f>value(IFERROR(SUBSTITUTE(SUBSTITUTE(VLOOKUP($A142,'Quarterly Pipeline vs Target Pi'!$A:$V,11,false)," $","")," €",""), "")
)</f>
        <v>0</v>
      </c>
      <c r="AC142" s="1">
        <f>value(IFERROR(SUBSTITUTE(SUBSTITUTE(VLOOKUP($A142,'Quarterly Pipeline vs Target Pi'!$A:$V,12,false)," $","")," €",""), "")
)</f>
        <v>0</v>
      </c>
      <c r="AD142" s="17" t="str">
        <f t="shared" si="10"/>
        <v/>
      </c>
      <c r="AE142" s="1">
        <f>value(IFERROR(SUBSTITUTE(SUBSTITUTE(VLOOKUP($A142,'Quarterly Pipeline vs Target Pi'!$A:$V,16,false)," $","")," €",""), "")
)</f>
        <v>0</v>
      </c>
      <c r="AF142" s="1">
        <f>value(IFERROR(SUBSTITUTE(SUBSTITUTE(VLOOKUP($A142,'Quarterly Pipeline vs Target Pi'!$A:$V,17,false)," $","")," €",""), "")
)</f>
        <v>0</v>
      </c>
      <c r="AG142" s="17" t="str">
        <f t="shared" si="11"/>
        <v/>
      </c>
      <c r="AH142" s="1">
        <f>value(IFERROR(SUBSTITUTE(SUBSTITUTE(VLOOKUP($A142,'Quarterly Pipeline vs Target Pi'!$A:$V,21,false)," $","")," €",""), "")
)</f>
        <v>0</v>
      </c>
      <c r="AI142" s="1">
        <f>value(IFERROR(SUBSTITUTE(SUBSTITUTE(VLOOKUP($A142,'Quarterly Pipeline vs Target Pi'!$A:$V,22,false)," $","")," €",""), "")
)</f>
        <v>0</v>
      </c>
      <c r="AJ142" s="17" t="str">
        <f t="shared" si="12"/>
        <v/>
      </c>
      <c r="AK142" s="1">
        <f t="shared" ref="AK142:AL142" si="297">sum(Y142,AB142,AE142,AH142)</f>
        <v>0</v>
      </c>
      <c r="AL142" s="1">
        <f t="shared" si="297"/>
        <v>0</v>
      </c>
      <c r="AM142" s="17" t="str">
        <f t="shared" si="14"/>
        <v/>
      </c>
      <c r="AN142" s="1">
        <f>value(IFERROR(SUBSTITUTE(SUBSTITUTE(VLOOKUP($A142,'Quarterly Pipeline vs Target Pi'!$A:$AP,26,false)," $","")," €",""), "")
)</f>
        <v>0</v>
      </c>
      <c r="AO142" s="1">
        <f>value(IFERROR(SUBSTITUTE(SUBSTITUTE(VLOOKUP($A142,'Quarterly Pipeline vs Target Pi'!$A:$AP,27,false)," $","")," €",""), "")
)</f>
        <v>0</v>
      </c>
      <c r="AP142" s="17" t="str">
        <f t="shared" si="15"/>
        <v/>
      </c>
      <c r="AQ142" s="1">
        <f>value(IFERROR(SUBSTITUTE(SUBSTITUTE(VLOOKUP($A142,'Quarterly Pipeline vs Target Pi'!$A:$AP,31,false)," $","")," €",""), "")
)</f>
        <v>0</v>
      </c>
      <c r="AR142" s="1">
        <f>value(IFERROR(SUBSTITUTE(SUBSTITUTE(VLOOKUP($A142,'Quarterly Pipeline vs Target Pi'!$A:$AP,32,false)," $","")," €",""), "")
)</f>
        <v>0</v>
      </c>
      <c r="AS142" s="17" t="str">
        <f t="shared" si="16"/>
        <v/>
      </c>
      <c r="AT142" s="1">
        <f>value(IFERROR(SUBSTITUTE(SUBSTITUTE(VLOOKUP($A142,'Quarterly Pipeline vs Target Pi'!$A:$AP,36,false)," $","")," €",""), "")
)</f>
        <v>0</v>
      </c>
      <c r="AU142" s="1">
        <f>value(IFERROR(SUBSTITUTE(SUBSTITUTE(VLOOKUP($A142,'Quarterly Pipeline vs Target Pi'!$A:$AP,37,false)," $","")," €",""), "")
)</f>
        <v>0</v>
      </c>
      <c r="AV142" s="17" t="str">
        <f t="shared" si="17"/>
        <v/>
      </c>
      <c r="AW142" s="1">
        <f>value(IFERROR(SUBSTITUTE(SUBSTITUTE(VLOOKUP($A142,'Quarterly Pipeline vs Target Pi'!$A:$AP,41,false)," $","")," €",""), "")
)</f>
        <v>0</v>
      </c>
      <c r="AX142" s="1">
        <f>value(IFERROR(SUBSTITUTE(SUBSTITUTE(VLOOKUP($A142,'Quarterly Pipeline vs Target Pi'!$A:$AP,42,false)," $","")," €",""), "")
)</f>
        <v>0</v>
      </c>
      <c r="AY142" s="17" t="str">
        <f t="shared" si="18"/>
        <v/>
      </c>
      <c r="AZ142" s="1">
        <f t="shared" ref="AZ142:BA142" si="298">sum(AN142,AQ142,AT142,AW142)</f>
        <v>0</v>
      </c>
      <c r="BA142" s="1">
        <f t="shared" si="298"/>
        <v>0</v>
      </c>
      <c r="BB142" s="17" t="str">
        <f t="shared" si="20"/>
        <v/>
      </c>
    </row>
    <row r="143">
      <c r="A143" s="1" t="str">
        <f>IFERROR(__xludf.DUMMYFUNCTION("""COMPUTED_VALUE"""),"63ced841c5c820531c267ee3")</f>
        <v>63ced841c5c820531c267ee3</v>
      </c>
      <c r="B143" s="1" t="str">
        <f>IFERROR(__xludf.DUMMYFUNCTION("""COMPUTED_VALUE"""),"E BUSINESS DISTRIBUTION PERU S.A.")</f>
        <v>E BUSINESS DISTRIBUTION PERU S.A.</v>
      </c>
      <c r="C143" s="1" t="str">
        <f>IFERROR(__xludf.DUMMYFUNCTION("""COMPUTED_VALUE"""),"carolina.rodriguez@al-enterprise.com")</f>
        <v>carolina.rodriguez@al-enterprise.com</v>
      </c>
      <c r="D143" s="1" t="str">
        <f>IFERROR(__xludf.DUMMYFUNCTION("""COMPUTED_VALUE"""),"americas")</f>
        <v>americas</v>
      </c>
      <c r="E143" s="1" t="str">
        <f>IFERROR(__xludf.DUMMYFUNCTION("""COMPUTED_VALUE"""),"PE")</f>
        <v>PE</v>
      </c>
      <c r="F143" s="1" t="str">
        <f>IFERROR(__xludf.DUMMYFUNCTION("""COMPUTED_VALUE"""),"expert_200")</f>
        <v>expert_200</v>
      </c>
      <c r="G143" s="1">
        <f>iferror(VLOOKUP(A143,'Business Plan Setup and Accepta'!A:G,6,false),"")</f>
        <v>0</v>
      </c>
      <c r="H143" s="1">
        <f>iferror(VLOOKUP(A143,'Business Plan Setup and Accepta'!A:G,7,false),"")</f>
        <v>1</v>
      </c>
      <c r="I143" s="17">
        <f t="shared" si="3"/>
        <v>0</v>
      </c>
      <c r="J143" s="1">
        <f>IFERROR(VALUE(SUBSTITUTE(VLOOKUP(A143,'Sales IN Revenues vs Sales targ'!A:G,6,false)," $","")), "")
</f>
        <v>305.61</v>
      </c>
      <c r="K143" s="1">
        <f>IFERROR(VALUE(SUBSTITUTE(VLOOKUP(A143,'Sales IN Revenues vs Sales targ'!A:G,7,false)," $","")), "")
</f>
        <v>350</v>
      </c>
      <c r="L143" s="17">
        <f t="shared" si="4"/>
        <v>0.8731714286</v>
      </c>
      <c r="M143" s="1">
        <f>value(SUBSTITUTE(IFERROR(VLOOKUP(A143,'Certifications achievements vs '!A:G,6,false),""),"#","")
)</f>
        <v>36</v>
      </c>
      <c r="N143" s="1">
        <f>value(SUBSTITUTE(IFERROR(VLOOKUP(A143,'Certifications achievements vs '!A:G,7,false),""),"#","")
)</f>
        <v>52</v>
      </c>
      <c r="O143" s="17">
        <f t="shared" si="5"/>
        <v>0.6923076923</v>
      </c>
      <c r="P143" s="1">
        <f>value(SUBSTITUTE(IFERROR(VLOOKUP(A143,'Communications - Solution Speci'!A:G,6,false),""),"#","")
)</f>
        <v>1</v>
      </c>
      <c r="Q143" s="1">
        <f>value(SUBSTITUTE(IFERROR(VLOOKUP(A143,'Communications - Solution Speci'!A:G,7,false),""),"#","")
)</f>
        <v>1</v>
      </c>
      <c r="R143" s="17">
        <f t="shared" si="6"/>
        <v>1</v>
      </c>
      <c r="S143" s="1">
        <f>value(SUBSTITUTE(IFERROR(VLOOKUP(A143,'Networking - Solution Specializ'!A:G,6,false),""),"#","")
)</f>
        <v>1</v>
      </c>
      <c r="T143" s="1">
        <f>value(SUBSTITUTE(IFERROR(VLOOKUP(A143,'Networking - Solution Specializ'!A:G,7,false),""),"#","")
)</f>
        <v>1</v>
      </c>
      <c r="U143" s="17">
        <f t="shared" si="7"/>
        <v>1</v>
      </c>
      <c r="V143" s="1">
        <f>iferror(vlookup(A143,'Marketing Plan (extract summary'!A:G,6,false),"")</f>
        <v>0</v>
      </c>
      <c r="W143" s="1">
        <f>iferror(vlookup(A143,'Marketing Plan (extract summary'!A:G,7,false),"")</f>
        <v>1</v>
      </c>
      <c r="X143" s="17">
        <f t="shared" si="8"/>
        <v>0</v>
      </c>
      <c r="Y143" s="1">
        <f>value(IFERROR(SUBSTITUTE(SUBSTITUTE(VLOOKUP(A143,'Quarterly Pipeline vs Target Pi'!A:G,6,false)," $","")," €",""), "")
)</f>
        <v>12.16</v>
      </c>
      <c r="Z143" s="1">
        <f>value(IFERROR(SUBSTITUTE(SUBSTITUTE(VLOOKUP(A143,'Quarterly Pipeline vs Target Pi'!A:G,7,false)," $","")," €",""), "")
)</f>
        <v>0</v>
      </c>
      <c r="AA143" s="17" t="str">
        <f t="shared" si="9"/>
        <v/>
      </c>
      <c r="AB143" s="1">
        <f>value(IFERROR(SUBSTITUTE(SUBSTITUTE(VLOOKUP($A143,'Quarterly Pipeline vs Target Pi'!$A:$V,11,false)," $","")," €",""), "")
)</f>
        <v>12.02</v>
      </c>
      <c r="AC143" s="1">
        <f>value(IFERROR(SUBSTITUTE(SUBSTITUTE(VLOOKUP($A143,'Quarterly Pipeline vs Target Pi'!$A:$V,12,false)," $","")," €",""), "")
)</f>
        <v>0</v>
      </c>
      <c r="AD143" s="17" t="str">
        <f t="shared" si="10"/>
        <v/>
      </c>
      <c r="AE143" s="1">
        <f>value(IFERROR(SUBSTITUTE(SUBSTITUTE(VLOOKUP($A143,'Quarterly Pipeline vs Target Pi'!$A:$V,16,false)," $","")," €",""), "")
)</f>
        <v>120.31</v>
      </c>
      <c r="AF143" s="1">
        <f>value(IFERROR(SUBSTITUTE(SUBSTITUTE(VLOOKUP($A143,'Quarterly Pipeline vs Target Pi'!$A:$V,17,false)," $","")," €",""), "")
)</f>
        <v>124.99</v>
      </c>
      <c r="AG143" s="17">
        <f t="shared" si="11"/>
        <v>0.9625570046</v>
      </c>
      <c r="AH143" s="1">
        <f>value(IFERROR(SUBSTITUTE(SUBSTITUTE(VLOOKUP($A143,'Quarterly Pipeline vs Target Pi'!$A:$V,21,false)," $","")," €",""), "")
)</f>
        <v>434.64</v>
      </c>
      <c r="AI143" s="1">
        <f>value(IFERROR(SUBSTITUTE(SUBSTITUTE(VLOOKUP($A143,'Quarterly Pipeline vs Target Pi'!$A:$V,22,false)," $","")," €",""), "")
)</f>
        <v>83.33</v>
      </c>
      <c r="AJ143" s="17">
        <f t="shared" si="12"/>
        <v>5.215888636</v>
      </c>
      <c r="AK143" s="1">
        <f t="shared" ref="AK143:AL143" si="299">sum(Y143,AB143,AE143,AH143)</f>
        <v>579.13</v>
      </c>
      <c r="AL143" s="1">
        <f t="shared" si="299"/>
        <v>208.32</v>
      </c>
      <c r="AM143" s="17">
        <f t="shared" si="14"/>
        <v>2.78000192</v>
      </c>
      <c r="AN143" s="1">
        <f>value(IFERROR(SUBSTITUTE(SUBSTITUTE(VLOOKUP($A143,'Quarterly Pipeline vs Target Pi'!$A:$AP,26,false)," $","")," €",""), "")
)</f>
        <v>111.38</v>
      </c>
      <c r="AO143" s="1">
        <f>value(IFERROR(SUBSTITUTE(SUBSTITUTE(VLOOKUP($A143,'Quarterly Pipeline vs Target Pi'!$A:$AP,27,false)," $","")," €",""), "")
)</f>
        <v>0</v>
      </c>
      <c r="AP143" s="17" t="str">
        <f t="shared" si="15"/>
        <v/>
      </c>
      <c r="AQ143" s="1">
        <f>value(IFERROR(SUBSTITUTE(SUBSTITUTE(VLOOKUP($A143,'Quarterly Pipeline vs Target Pi'!$A:$AP,31,false)," $","")," €",""), "")
)</f>
        <v>0</v>
      </c>
      <c r="AR143" s="1">
        <f>value(IFERROR(SUBSTITUTE(SUBSTITUTE(VLOOKUP($A143,'Quarterly Pipeline vs Target Pi'!$A:$AP,32,false)," $","")," €",""), "")
)</f>
        <v>0</v>
      </c>
      <c r="AS143" s="17" t="str">
        <f t="shared" si="16"/>
        <v/>
      </c>
      <c r="AT143" s="1">
        <f>value(IFERROR(SUBSTITUTE(SUBSTITUTE(VLOOKUP($A143,'Quarterly Pipeline vs Target Pi'!$A:$AP,36,false)," $","")," €",""), "")
)</f>
        <v>17.11</v>
      </c>
      <c r="AU143" s="1">
        <f>value(IFERROR(SUBSTITUTE(SUBSTITUTE(VLOOKUP($A143,'Quarterly Pipeline vs Target Pi'!$A:$AP,37,false)," $","")," €",""), "")
)</f>
        <v>0</v>
      </c>
      <c r="AV143" s="17" t="str">
        <f t="shared" si="17"/>
        <v/>
      </c>
      <c r="AW143" s="1">
        <f>value(IFERROR(SUBSTITUTE(SUBSTITUTE(VLOOKUP($A143,'Quarterly Pipeline vs Target Pi'!$A:$AP,41,false)," $","")," €",""), "")
)</f>
        <v>0</v>
      </c>
      <c r="AX143" s="1">
        <f>value(IFERROR(SUBSTITUTE(SUBSTITUTE(VLOOKUP($A143,'Quarterly Pipeline vs Target Pi'!$A:$AP,42,false)," $","")," €",""), "")
)</f>
        <v>0</v>
      </c>
      <c r="AY143" s="17" t="str">
        <f t="shared" si="18"/>
        <v/>
      </c>
      <c r="AZ143" s="1">
        <f t="shared" ref="AZ143:BA143" si="300">sum(AN143,AQ143,AT143,AW143)</f>
        <v>128.49</v>
      </c>
      <c r="BA143" s="1">
        <f t="shared" si="300"/>
        <v>0</v>
      </c>
      <c r="BB143" s="17" t="str">
        <f t="shared" si="20"/>
        <v/>
      </c>
    </row>
    <row r="144">
      <c r="A144" s="1" t="str">
        <f>IFERROR(__xludf.DUMMYFUNCTION("""COMPUTED_VALUE"""),"63ced843c5c820531c2682ee")</f>
        <v>63ced843c5c820531c2682ee</v>
      </c>
      <c r="B144" s="1" t="str">
        <f>IFERROR(__xludf.DUMMYFUNCTION("""COMPUTED_VALUE"""),"e-Business Distribution Panama")</f>
        <v>e-Business Distribution Panama</v>
      </c>
      <c r="C144" s="1" t="str">
        <f>IFERROR(__xludf.DUMMYFUNCTION("""COMPUTED_VALUE"""),"jorge.silva@al-enterprise.com")</f>
        <v>jorge.silva@al-enterprise.com</v>
      </c>
      <c r="D144" s="1" t="str">
        <f>IFERROR(__xludf.DUMMYFUNCTION("""COMPUTED_VALUE"""),"americas")</f>
        <v>americas</v>
      </c>
      <c r="E144" s="1" t="str">
        <f>IFERROR(__xludf.DUMMYFUNCTION("""COMPUTED_VALUE"""),"PA")</f>
        <v>PA</v>
      </c>
      <c r="F144" s="1"/>
      <c r="G144" s="1">
        <f>iferror(VLOOKUP(A144,'Business Plan Setup and Accepta'!A:G,6,false),"")</f>
        <v>0</v>
      </c>
      <c r="H144" s="1">
        <f>iferror(VLOOKUP(A144,'Business Plan Setup and Accepta'!A:G,7,false),"")</f>
        <v>1</v>
      </c>
      <c r="I144" s="17">
        <f t="shared" si="3"/>
        <v>0</v>
      </c>
      <c r="J144" s="1">
        <f>IFERROR(VALUE(SUBSTITUTE(VLOOKUP(A144,'Sales IN Revenues vs Sales targ'!A:G,6,false)," $","")), "")
</f>
        <v>64.71</v>
      </c>
      <c r="K144" s="1">
        <f>IFERROR(VALUE(SUBSTITUTE(VLOOKUP(A144,'Sales IN Revenues vs Sales targ'!A:G,7,false)," $","")), "")
</f>
        <v>255</v>
      </c>
      <c r="L144" s="17">
        <f t="shared" si="4"/>
        <v>0.2537647059</v>
      </c>
      <c r="M144" s="1">
        <f>value(SUBSTITUTE(IFERROR(VLOOKUP(A144,'Certifications achievements vs '!A:G,6,false),""),"#","")
)</f>
        <v>20</v>
      </c>
      <c r="N144" s="1">
        <f>value(SUBSTITUTE(IFERROR(VLOOKUP(A144,'Certifications achievements vs '!A:G,7,false),""),"#","")
)</f>
        <v>52</v>
      </c>
      <c r="O144" s="17">
        <f t="shared" si="5"/>
        <v>0.3846153846</v>
      </c>
      <c r="P144" s="1">
        <f>value(SUBSTITUTE(IFERROR(VLOOKUP(A144,'Communications - Solution Speci'!A:G,6,false),""),"#","")
)</f>
        <v>1</v>
      </c>
      <c r="Q144" s="1">
        <f>value(SUBSTITUTE(IFERROR(VLOOKUP(A144,'Communications - Solution Speci'!A:G,7,false),""),"#","")
)</f>
        <v>1</v>
      </c>
      <c r="R144" s="17">
        <f t="shared" si="6"/>
        <v>1</v>
      </c>
      <c r="S144" s="1">
        <f>value(SUBSTITUTE(IFERROR(VLOOKUP(A144,'Networking - Solution Specializ'!A:G,6,false),""),"#","")
)</f>
        <v>0</v>
      </c>
      <c r="T144" s="1">
        <f>value(SUBSTITUTE(IFERROR(VLOOKUP(A144,'Networking - Solution Specializ'!A:G,7,false),""),"#","")
)</f>
        <v>1</v>
      </c>
      <c r="U144" s="17">
        <f t="shared" si="7"/>
        <v>0</v>
      </c>
      <c r="V144" s="1">
        <f>iferror(vlookup(A144,'Marketing Plan (extract summary'!A:G,6,false),"")</f>
        <v>0</v>
      </c>
      <c r="W144" s="1">
        <f>iferror(vlookup(A144,'Marketing Plan (extract summary'!A:G,7,false),"")</f>
        <v>1</v>
      </c>
      <c r="X144" s="17">
        <f t="shared" si="8"/>
        <v>0</v>
      </c>
      <c r="Y144" s="1">
        <f>value(IFERROR(SUBSTITUTE(SUBSTITUTE(VLOOKUP(A144,'Quarterly Pipeline vs Target Pi'!A:G,6,false)," $","")," €",""), "")
)</f>
        <v>0</v>
      </c>
      <c r="Z144" s="1">
        <f>value(IFERROR(SUBSTITUTE(SUBSTITUTE(VLOOKUP(A144,'Quarterly Pipeline vs Target Pi'!A:G,7,false)," $","")," €",""), "")
)</f>
        <v>0</v>
      </c>
      <c r="AA144" s="17" t="str">
        <f t="shared" si="9"/>
        <v/>
      </c>
      <c r="AB144" s="1">
        <f>value(IFERROR(SUBSTITUTE(SUBSTITUTE(VLOOKUP($A144,'Quarterly Pipeline vs Target Pi'!$A:$V,11,false)," $","")," €",""), "")
)</f>
        <v>6.51</v>
      </c>
      <c r="AC144" s="1">
        <f>value(IFERROR(SUBSTITUTE(SUBSTITUTE(VLOOKUP($A144,'Quarterly Pipeline vs Target Pi'!$A:$V,12,false)," $","")," €",""), "")
)</f>
        <v>0</v>
      </c>
      <c r="AD144" s="17" t="str">
        <f t="shared" si="10"/>
        <v/>
      </c>
      <c r="AE144" s="1">
        <f>value(IFERROR(SUBSTITUTE(SUBSTITUTE(VLOOKUP($A144,'Quarterly Pipeline vs Target Pi'!$A:$V,16,false)," $","")," €",""), "")
)</f>
        <v>70.98</v>
      </c>
      <c r="AF144" s="1">
        <f>value(IFERROR(SUBSTITUTE(SUBSTITUTE(VLOOKUP($A144,'Quarterly Pipeline vs Target Pi'!$A:$V,17,false)," $","")," €",""), "")
)</f>
        <v>250.01</v>
      </c>
      <c r="AG144" s="17">
        <f t="shared" si="11"/>
        <v>0.2839086437</v>
      </c>
      <c r="AH144" s="1">
        <f>value(IFERROR(SUBSTITUTE(SUBSTITUTE(VLOOKUP($A144,'Quarterly Pipeline vs Target Pi'!$A:$V,21,false)," $","")," €",""), "")
)</f>
        <v>3.52</v>
      </c>
      <c r="AI144" s="1">
        <f>value(IFERROR(SUBSTITUTE(SUBSTITUTE(VLOOKUP($A144,'Quarterly Pipeline vs Target Pi'!$A:$V,22,false)," $","")," €",""), "")
)</f>
        <v>266.68</v>
      </c>
      <c r="AJ144" s="17">
        <f t="shared" si="12"/>
        <v>0.01319934003</v>
      </c>
      <c r="AK144" s="1">
        <f t="shared" ref="AK144:AL144" si="301">sum(Y144,AB144,AE144,AH144)</f>
        <v>81.01</v>
      </c>
      <c r="AL144" s="1">
        <f t="shared" si="301"/>
        <v>516.69</v>
      </c>
      <c r="AM144" s="17">
        <f t="shared" si="14"/>
        <v>0.1567864677</v>
      </c>
      <c r="AN144" s="1">
        <f>value(IFERROR(SUBSTITUTE(SUBSTITUTE(VLOOKUP($A144,'Quarterly Pipeline vs Target Pi'!$A:$AP,26,false)," $","")," €",""), "")
)</f>
        <v>4.91</v>
      </c>
      <c r="AO144" s="1">
        <f>value(IFERROR(SUBSTITUTE(SUBSTITUTE(VLOOKUP($A144,'Quarterly Pipeline vs Target Pi'!$A:$AP,27,false)," $","")," €",""), "")
)</f>
        <v>0</v>
      </c>
      <c r="AP144" s="17" t="str">
        <f t="shared" si="15"/>
        <v/>
      </c>
      <c r="AQ144" s="1">
        <f>value(IFERROR(SUBSTITUTE(SUBSTITUTE(VLOOKUP($A144,'Quarterly Pipeline vs Target Pi'!$A:$AP,31,false)," $","")," €",""), "")
)</f>
        <v>0</v>
      </c>
      <c r="AR144" s="1">
        <f>value(IFERROR(SUBSTITUTE(SUBSTITUTE(VLOOKUP($A144,'Quarterly Pipeline vs Target Pi'!$A:$AP,32,false)," $","")," €",""), "")
)</f>
        <v>0</v>
      </c>
      <c r="AS144" s="17" t="str">
        <f t="shared" si="16"/>
        <v/>
      </c>
      <c r="AT144" s="1">
        <f>value(IFERROR(SUBSTITUTE(SUBSTITUTE(VLOOKUP($A144,'Quarterly Pipeline vs Target Pi'!$A:$AP,36,false)," $","")," €",""), "")
)</f>
        <v>2.21</v>
      </c>
      <c r="AU144" s="1">
        <f>value(IFERROR(SUBSTITUTE(SUBSTITUTE(VLOOKUP($A144,'Quarterly Pipeline vs Target Pi'!$A:$AP,37,false)," $","")," €",""), "")
)</f>
        <v>0</v>
      </c>
      <c r="AV144" s="17" t="str">
        <f t="shared" si="17"/>
        <v/>
      </c>
      <c r="AW144" s="1">
        <f>value(IFERROR(SUBSTITUTE(SUBSTITUTE(VLOOKUP($A144,'Quarterly Pipeline vs Target Pi'!$A:$AP,41,false)," $","")," €",""), "")
)</f>
        <v>7.03</v>
      </c>
      <c r="AX144" s="1">
        <f>value(IFERROR(SUBSTITUTE(SUBSTITUTE(VLOOKUP($A144,'Quarterly Pipeline vs Target Pi'!$A:$AP,42,false)," $","")," €",""), "")
)</f>
        <v>0</v>
      </c>
      <c r="AY144" s="17" t="str">
        <f t="shared" si="18"/>
        <v/>
      </c>
      <c r="AZ144" s="1">
        <f t="shared" ref="AZ144:BA144" si="302">sum(AN144,AQ144,AT144,AW144)</f>
        <v>14.15</v>
      </c>
      <c r="BA144" s="1">
        <f t="shared" si="302"/>
        <v>0</v>
      </c>
      <c r="BB144" s="17" t="str">
        <f t="shared" si="20"/>
        <v/>
      </c>
    </row>
    <row r="145">
      <c r="A145" s="1" t="str">
        <f>IFERROR(__xludf.DUMMYFUNCTION("""COMPUTED_VALUE"""),"63ced842c5c820531c26805a")</f>
        <v>63ced842c5c820531c26805a</v>
      </c>
      <c r="B145" s="1" t="str">
        <f>IFERROR(__xludf.DUMMYFUNCTION("""COMPUTED_VALUE"""),"E-BUSINESS DISTRIBUTION SA")</f>
        <v>E-BUSINESS DISTRIBUTION SA</v>
      </c>
      <c r="C145" s="1" t="str">
        <f>IFERROR(__xludf.DUMMYFUNCTION("""COMPUTED_VALUE"""),"luis.arriagada@al-enterprise.com")</f>
        <v>luis.arriagada@al-enterprise.com</v>
      </c>
      <c r="D145" s="1" t="str">
        <f>IFERROR(__xludf.DUMMYFUNCTION("""COMPUTED_VALUE"""),"americas")</f>
        <v>americas</v>
      </c>
      <c r="E145" s="1" t="str">
        <f>IFERROR(__xludf.DUMMYFUNCTION("""COMPUTED_VALUE"""),"CL")</f>
        <v>CL</v>
      </c>
      <c r="F145" s="1" t="str">
        <f>IFERROR(__xludf.DUMMYFUNCTION("""COMPUTED_VALUE"""),"expert_1000")</f>
        <v>expert_1000</v>
      </c>
      <c r="G145" s="1">
        <f>iferror(VLOOKUP(A145,'Business Plan Setup and Accepta'!A:G,6,false),"")</f>
        <v>0</v>
      </c>
      <c r="H145" s="1">
        <f>iferror(VLOOKUP(A145,'Business Plan Setup and Accepta'!A:G,7,false),"")</f>
        <v>1</v>
      </c>
      <c r="I145" s="17">
        <f t="shared" si="3"/>
        <v>0</v>
      </c>
      <c r="J145" s="1">
        <f>IFERROR(VALUE(SUBSTITUTE(VLOOKUP(A145,'Sales IN Revenues vs Sales targ'!A:G,6,false)," $","")), "")
</f>
        <v>499.04</v>
      </c>
      <c r="K145" s="1">
        <f>IFERROR(VALUE(SUBSTITUTE(VLOOKUP(A145,'Sales IN Revenues vs Sales targ'!A:G,7,false)," $","")), "")
</f>
        <v>0</v>
      </c>
      <c r="L145" s="17" t="str">
        <f t="shared" si="4"/>
        <v/>
      </c>
      <c r="M145" s="1">
        <f>value(SUBSTITUTE(IFERROR(VLOOKUP(A145,'Certifications achievements vs '!A:G,6,false),""),"#","")
)</f>
        <v>85</v>
      </c>
      <c r="N145" s="1">
        <f>value(SUBSTITUTE(IFERROR(VLOOKUP(A145,'Certifications achievements vs '!A:G,7,false),""),"#","")
)</f>
        <v>0</v>
      </c>
      <c r="O145" s="17" t="str">
        <f t="shared" si="5"/>
        <v/>
      </c>
      <c r="P145" s="1">
        <f>value(SUBSTITUTE(IFERROR(VLOOKUP(A145,'Communications - Solution Speci'!A:G,6,false),""),"#","")
)</f>
        <v>1</v>
      </c>
      <c r="Q145" s="1">
        <f>value(SUBSTITUTE(IFERROR(VLOOKUP(A145,'Communications - Solution Speci'!A:G,7,false),""),"#","")
)</f>
        <v>1</v>
      </c>
      <c r="R145" s="17">
        <f t="shared" si="6"/>
        <v>1</v>
      </c>
      <c r="S145" s="1">
        <f>value(SUBSTITUTE(IFERROR(VLOOKUP(A145,'Networking - Solution Specializ'!A:G,6,false),""),"#","")
)</f>
        <v>1</v>
      </c>
      <c r="T145" s="1">
        <f>value(SUBSTITUTE(IFERROR(VLOOKUP(A145,'Networking - Solution Specializ'!A:G,7,false),""),"#","")
)</f>
        <v>1</v>
      </c>
      <c r="U145" s="17">
        <f t="shared" si="7"/>
        <v>1</v>
      </c>
      <c r="V145" s="1">
        <f>iferror(vlookup(A145,'Marketing Plan (extract summary'!A:G,6,false),"")</f>
        <v>0</v>
      </c>
      <c r="W145" s="1">
        <f>iferror(vlookup(A145,'Marketing Plan (extract summary'!A:G,7,false),"")</f>
        <v>1</v>
      </c>
      <c r="X145" s="17">
        <f t="shared" si="8"/>
        <v>0</v>
      </c>
      <c r="Y145" s="1">
        <f>value(IFERROR(SUBSTITUTE(SUBSTITUTE(VLOOKUP(A145,'Quarterly Pipeline vs Target Pi'!A:G,6,false)," $","")," €",""), "")
)</f>
        <v>31.13</v>
      </c>
      <c r="Z145" s="1">
        <f>value(IFERROR(SUBSTITUTE(SUBSTITUTE(VLOOKUP(A145,'Quarterly Pipeline vs Target Pi'!A:G,7,false)," $","")," €",""), "")
)</f>
        <v>0</v>
      </c>
      <c r="AA145" s="17" t="str">
        <f t="shared" si="9"/>
        <v/>
      </c>
      <c r="AB145" s="1">
        <f>value(IFERROR(SUBSTITUTE(SUBSTITUTE(VLOOKUP($A145,'Quarterly Pipeline vs Target Pi'!$A:$V,11,false)," $","")," €",""), "")
)</f>
        <v>100.52</v>
      </c>
      <c r="AC145" s="1">
        <f>value(IFERROR(SUBSTITUTE(SUBSTITUTE(VLOOKUP($A145,'Quarterly Pipeline vs Target Pi'!$A:$V,12,false)," $","")," €",""), "")
)</f>
        <v>0</v>
      </c>
      <c r="AD145" s="17" t="str">
        <f t="shared" si="10"/>
        <v/>
      </c>
      <c r="AE145" s="1">
        <f>value(IFERROR(SUBSTITUTE(SUBSTITUTE(VLOOKUP($A145,'Quarterly Pipeline vs Target Pi'!$A:$V,16,false)," $","")," €",""), "")
)</f>
        <v>767.07</v>
      </c>
      <c r="AF145" s="1">
        <f>value(IFERROR(SUBSTITUTE(SUBSTITUTE(VLOOKUP($A145,'Quarterly Pipeline vs Target Pi'!$A:$V,17,false)," $","")," €",""), "")
)</f>
        <v>0</v>
      </c>
      <c r="AG145" s="17" t="str">
        <f t="shared" si="11"/>
        <v/>
      </c>
      <c r="AH145" s="1">
        <f>value(IFERROR(SUBSTITUTE(SUBSTITUTE(VLOOKUP($A145,'Quarterly Pipeline vs Target Pi'!$A:$V,21,false)," $","")," €",""), "")
)</f>
        <v>395.63</v>
      </c>
      <c r="AI145" s="1">
        <f>value(IFERROR(SUBSTITUTE(SUBSTITUTE(VLOOKUP($A145,'Quarterly Pipeline vs Target Pi'!$A:$V,22,false)," $","")," €",""), "")
)</f>
        <v>0</v>
      </c>
      <c r="AJ145" s="17" t="str">
        <f t="shared" si="12"/>
        <v/>
      </c>
      <c r="AK145" s="1">
        <f t="shared" ref="AK145:AL145" si="303">sum(Y145,AB145,AE145,AH145)</f>
        <v>1294.35</v>
      </c>
      <c r="AL145" s="1">
        <f t="shared" si="303"/>
        <v>0</v>
      </c>
      <c r="AM145" s="17" t="str">
        <f t="shared" si="14"/>
        <v/>
      </c>
      <c r="AN145" s="1">
        <f>value(IFERROR(SUBSTITUTE(SUBSTITUTE(VLOOKUP($A145,'Quarterly Pipeline vs Target Pi'!$A:$AP,26,false)," $","")," €",""), "")
)</f>
        <v>46.59</v>
      </c>
      <c r="AO145" s="1">
        <f>value(IFERROR(SUBSTITUTE(SUBSTITUTE(VLOOKUP($A145,'Quarterly Pipeline vs Target Pi'!$A:$AP,27,false)," $","")," €",""), "")
)</f>
        <v>0</v>
      </c>
      <c r="AP145" s="17" t="str">
        <f t="shared" si="15"/>
        <v/>
      </c>
      <c r="AQ145" s="1">
        <f>value(IFERROR(SUBSTITUTE(SUBSTITUTE(VLOOKUP($A145,'Quarterly Pipeline vs Target Pi'!$A:$AP,31,false)," $","")," €",""), "")
)</f>
        <v>251.48</v>
      </c>
      <c r="AR145" s="1">
        <f>value(IFERROR(SUBSTITUTE(SUBSTITUTE(VLOOKUP($A145,'Quarterly Pipeline vs Target Pi'!$A:$AP,32,false)," $","")," €",""), "")
)</f>
        <v>0</v>
      </c>
      <c r="AS145" s="17" t="str">
        <f t="shared" si="16"/>
        <v/>
      </c>
      <c r="AT145" s="1">
        <f>value(IFERROR(SUBSTITUTE(SUBSTITUTE(VLOOKUP($A145,'Quarterly Pipeline vs Target Pi'!$A:$AP,36,false)," $","")," €",""), "")
)</f>
        <v>2.56</v>
      </c>
      <c r="AU145" s="1">
        <f>value(IFERROR(SUBSTITUTE(SUBSTITUTE(VLOOKUP($A145,'Quarterly Pipeline vs Target Pi'!$A:$AP,37,false)," $","")," €",""), "")
)</f>
        <v>0</v>
      </c>
      <c r="AV145" s="17" t="str">
        <f t="shared" si="17"/>
        <v/>
      </c>
      <c r="AW145" s="1">
        <f>value(IFERROR(SUBSTITUTE(SUBSTITUTE(VLOOKUP($A145,'Quarterly Pipeline vs Target Pi'!$A:$AP,41,false)," $","")," €",""), "")
)</f>
        <v>32.17</v>
      </c>
      <c r="AX145" s="1">
        <f>value(IFERROR(SUBSTITUTE(SUBSTITUTE(VLOOKUP($A145,'Quarterly Pipeline vs Target Pi'!$A:$AP,42,false)," $","")," €",""), "")
)</f>
        <v>0</v>
      </c>
      <c r="AY145" s="17" t="str">
        <f t="shared" si="18"/>
        <v/>
      </c>
      <c r="AZ145" s="1">
        <f t="shared" ref="AZ145:BA145" si="304">sum(AN145,AQ145,AT145,AW145)</f>
        <v>332.8</v>
      </c>
      <c r="BA145" s="1">
        <f t="shared" si="304"/>
        <v>0</v>
      </c>
      <c r="BB145" s="17" t="str">
        <f t="shared" si="20"/>
        <v/>
      </c>
    </row>
    <row r="146">
      <c r="A146" s="1" t="str">
        <f>IFERROR(__xludf.DUMMYFUNCTION("""COMPUTED_VALUE"""),"63ea6e9752ad6968805cf101")</f>
        <v>63ea6e9752ad6968805cf101</v>
      </c>
      <c r="B146" s="1" t="str">
        <f>IFERROR(__xludf.DUMMYFUNCTION("""COMPUTED_VALUE"""),"e-ITK SYSTEME GmbH")</f>
        <v>e-ITK SYSTEME GmbH</v>
      </c>
      <c r="C146" s="1" t="str">
        <f>IFERROR(__xludf.DUMMYFUNCTION("""COMPUTED_VALUE"""),"andreas.grossheimann@al-enterprise.com, andre.ramm@al-enterprise.com")</f>
        <v>andreas.grossheimann@al-enterprise.com, andre.ramm@al-enterprise.com</v>
      </c>
      <c r="D146" s="1" t="str">
        <f>IFERROR(__xludf.DUMMYFUNCTION("""COMPUTED_VALUE"""),"germany")</f>
        <v>germany</v>
      </c>
      <c r="E146" s="1" t="str">
        <f>IFERROR(__xludf.DUMMYFUNCTION("""COMPUTED_VALUE"""),"DE")</f>
        <v>DE</v>
      </c>
      <c r="F146" s="1"/>
      <c r="G146" s="1" t="str">
        <f>iferror(VLOOKUP(A146,'Business Plan Setup and Accepta'!A:G,6,false),"")</f>
        <v/>
      </c>
      <c r="H146" s="1" t="str">
        <f>iferror(VLOOKUP(A146,'Business Plan Setup and Accepta'!A:G,7,false),"")</f>
        <v/>
      </c>
      <c r="I146" s="17" t="str">
        <f t="shared" si="3"/>
        <v/>
      </c>
      <c r="J146" s="1" t="str">
        <f>IFERROR(VALUE(SUBSTITUTE(VLOOKUP(A146,'Sales IN Revenues vs Sales targ'!A:G,6,false)," $","")), "")
</f>
        <v/>
      </c>
      <c r="K146" s="1" t="str">
        <f>IFERROR(VALUE(SUBSTITUTE(VLOOKUP(A146,'Sales IN Revenues vs Sales targ'!A:G,7,false)," $","")), "")
</f>
        <v/>
      </c>
      <c r="L146" s="17" t="str">
        <f t="shared" si="4"/>
        <v/>
      </c>
      <c r="M146" s="1">
        <f>value(SUBSTITUTE(IFERROR(VLOOKUP(A146,'Certifications achievements vs '!A:G,6,false),""),"#","")
)</f>
        <v>0</v>
      </c>
      <c r="N146" s="1">
        <f>value(SUBSTITUTE(IFERROR(VLOOKUP(A146,'Certifications achievements vs '!A:G,7,false),""),"#","")
)</f>
        <v>0</v>
      </c>
      <c r="O146" s="17" t="str">
        <f t="shared" si="5"/>
        <v/>
      </c>
      <c r="P146" s="1">
        <f>value(SUBSTITUTE(IFERROR(VLOOKUP(A146,'Communications - Solution Speci'!A:G,6,false),""),"#","")
)</f>
        <v>0</v>
      </c>
      <c r="Q146" s="1">
        <f>value(SUBSTITUTE(IFERROR(VLOOKUP(A146,'Communications - Solution Speci'!A:G,7,false),""),"#","")
)</f>
        <v>0</v>
      </c>
      <c r="R146" s="17" t="str">
        <f t="shared" si="6"/>
        <v/>
      </c>
      <c r="S146" s="1">
        <f>value(SUBSTITUTE(IFERROR(VLOOKUP(A146,'Networking - Solution Specializ'!A:G,6,false),""),"#","")
)</f>
        <v>0</v>
      </c>
      <c r="T146" s="1">
        <f>value(SUBSTITUTE(IFERROR(VLOOKUP(A146,'Networking - Solution Specializ'!A:G,7,false),""),"#","")
)</f>
        <v>0</v>
      </c>
      <c r="U146" s="17" t="str">
        <f t="shared" si="7"/>
        <v/>
      </c>
      <c r="V146" s="1" t="str">
        <f>iferror(vlookup(A146,'Marketing Plan (extract summary'!A:G,6,false),"")</f>
        <v/>
      </c>
      <c r="W146" s="1" t="str">
        <f>iferror(vlookup(A146,'Marketing Plan (extract summary'!A:G,7,false),"")</f>
        <v/>
      </c>
      <c r="X146" s="17" t="str">
        <f t="shared" si="8"/>
        <v/>
      </c>
      <c r="Y146" s="1">
        <f>value(IFERROR(SUBSTITUTE(SUBSTITUTE(VLOOKUP(A146,'Quarterly Pipeline vs Target Pi'!A:G,6,false)," $","")," €",""), "")
)</f>
        <v>0</v>
      </c>
      <c r="Z146" s="1">
        <f>value(IFERROR(SUBSTITUTE(SUBSTITUTE(VLOOKUP(A146,'Quarterly Pipeline vs Target Pi'!A:G,7,false)," $","")," €",""), "")
)</f>
        <v>0</v>
      </c>
      <c r="AA146" s="17" t="str">
        <f t="shared" si="9"/>
        <v/>
      </c>
      <c r="AB146" s="1">
        <f>value(IFERROR(SUBSTITUTE(SUBSTITUTE(VLOOKUP($A146,'Quarterly Pipeline vs Target Pi'!$A:$V,11,false)," $","")," €",""), "")
)</f>
        <v>0</v>
      </c>
      <c r="AC146" s="1">
        <f>value(IFERROR(SUBSTITUTE(SUBSTITUTE(VLOOKUP($A146,'Quarterly Pipeline vs Target Pi'!$A:$V,12,false)," $","")," €",""), "")
)</f>
        <v>0</v>
      </c>
      <c r="AD146" s="17" t="str">
        <f t="shared" si="10"/>
        <v/>
      </c>
      <c r="AE146" s="1">
        <f>value(IFERROR(SUBSTITUTE(SUBSTITUTE(VLOOKUP($A146,'Quarterly Pipeline vs Target Pi'!$A:$V,16,false)," $","")," €",""), "")
)</f>
        <v>0</v>
      </c>
      <c r="AF146" s="1">
        <f>value(IFERROR(SUBSTITUTE(SUBSTITUTE(VLOOKUP($A146,'Quarterly Pipeline vs Target Pi'!$A:$V,17,false)," $","")," €",""), "")
)</f>
        <v>0</v>
      </c>
      <c r="AG146" s="17" t="str">
        <f t="shared" si="11"/>
        <v/>
      </c>
      <c r="AH146" s="1">
        <f>value(IFERROR(SUBSTITUTE(SUBSTITUTE(VLOOKUP($A146,'Quarterly Pipeline vs Target Pi'!$A:$V,21,false)," $","")," €",""), "")
)</f>
        <v>0</v>
      </c>
      <c r="AI146" s="1">
        <f>value(IFERROR(SUBSTITUTE(SUBSTITUTE(VLOOKUP($A146,'Quarterly Pipeline vs Target Pi'!$A:$V,22,false)," $","")," €",""), "")
)</f>
        <v>0</v>
      </c>
      <c r="AJ146" s="17" t="str">
        <f t="shared" si="12"/>
        <v/>
      </c>
      <c r="AK146" s="1">
        <f t="shared" ref="AK146:AL146" si="305">sum(Y146,AB146,AE146,AH146)</f>
        <v>0</v>
      </c>
      <c r="AL146" s="1">
        <f t="shared" si="305"/>
        <v>0</v>
      </c>
      <c r="AM146" s="17" t="str">
        <f t="shared" si="14"/>
        <v/>
      </c>
      <c r="AN146" s="1">
        <f>value(IFERROR(SUBSTITUTE(SUBSTITUTE(VLOOKUP($A146,'Quarterly Pipeline vs Target Pi'!$A:$AP,26,false)," $","")," €",""), "")
)</f>
        <v>0</v>
      </c>
      <c r="AO146" s="1">
        <f>value(IFERROR(SUBSTITUTE(SUBSTITUTE(VLOOKUP($A146,'Quarterly Pipeline vs Target Pi'!$A:$AP,27,false)," $","")," €",""), "")
)</f>
        <v>0</v>
      </c>
      <c r="AP146" s="17" t="str">
        <f t="shared" si="15"/>
        <v/>
      </c>
      <c r="AQ146" s="1">
        <f>value(IFERROR(SUBSTITUTE(SUBSTITUTE(VLOOKUP($A146,'Quarterly Pipeline vs Target Pi'!$A:$AP,31,false)," $","")," €",""), "")
)</f>
        <v>0</v>
      </c>
      <c r="AR146" s="1">
        <f>value(IFERROR(SUBSTITUTE(SUBSTITUTE(VLOOKUP($A146,'Quarterly Pipeline vs Target Pi'!$A:$AP,32,false)," $","")," €",""), "")
)</f>
        <v>0</v>
      </c>
      <c r="AS146" s="17" t="str">
        <f t="shared" si="16"/>
        <v/>
      </c>
      <c r="AT146" s="1">
        <f>value(IFERROR(SUBSTITUTE(SUBSTITUTE(VLOOKUP($A146,'Quarterly Pipeline vs Target Pi'!$A:$AP,36,false)," $","")," €",""), "")
)</f>
        <v>0</v>
      </c>
      <c r="AU146" s="1">
        <f>value(IFERROR(SUBSTITUTE(SUBSTITUTE(VLOOKUP($A146,'Quarterly Pipeline vs Target Pi'!$A:$AP,37,false)," $","")," €",""), "")
)</f>
        <v>0</v>
      </c>
      <c r="AV146" s="17" t="str">
        <f t="shared" si="17"/>
        <v/>
      </c>
      <c r="AW146" s="1">
        <f>value(IFERROR(SUBSTITUTE(SUBSTITUTE(VLOOKUP($A146,'Quarterly Pipeline vs Target Pi'!$A:$AP,41,false)," $","")," €",""), "")
)</f>
        <v>0</v>
      </c>
      <c r="AX146" s="1">
        <f>value(IFERROR(SUBSTITUTE(SUBSTITUTE(VLOOKUP($A146,'Quarterly Pipeline vs Target Pi'!$A:$AP,42,false)," $","")," €",""), "")
)</f>
        <v>0</v>
      </c>
      <c r="AY146" s="17" t="str">
        <f t="shared" si="18"/>
        <v/>
      </c>
      <c r="AZ146" s="1">
        <f t="shared" ref="AZ146:BA146" si="306">sum(AN146,AQ146,AT146,AW146)</f>
        <v>0</v>
      </c>
      <c r="BA146" s="1">
        <f t="shared" si="306"/>
        <v>0</v>
      </c>
      <c r="BB146" s="17" t="str">
        <f t="shared" si="20"/>
        <v/>
      </c>
    </row>
    <row r="147">
      <c r="A147" s="1" t="str">
        <f>IFERROR(__xludf.DUMMYFUNCTION("""COMPUTED_VALUE"""),"63ef9d60384f27260c1bb1ed")</f>
        <v>63ef9d60384f27260c1bb1ed</v>
      </c>
      <c r="B147" s="1" t="str">
        <f>IFERROR(__xludf.DUMMYFUNCTION("""COMPUTED_VALUE"""),"Easier Communications, LLC.")</f>
        <v>Easier Communications, LLC.</v>
      </c>
      <c r="C147" s="1" t="str">
        <f>IFERROR(__xludf.DUMMYFUNCTION("""COMPUTED_VALUE"""),"steve.mcglasson@al-enterprise.com")</f>
        <v>steve.mcglasson@al-enterprise.com</v>
      </c>
      <c r="D147" s="1" t="str">
        <f>IFERROR(__xludf.DUMMYFUNCTION("""COMPUTED_VALUE"""),"americas")</f>
        <v>americas</v>
      </c>
      <c r="E147" s="1" t="str">
        <f>IFERROR(__xludf.DUMMYFUNCTION("""COMPUTED_VALUE"""),"US")</f>
        <v>US</v>
      </c>
      <c r="F147" s="1"/>
      <c r="G147" s="1" t="str">
        <f>iferror(VLOOKUP(A147,'Business Plan Setup and Accepta'!A:G,6,false),"")</f>
        <v/>
      </c>
      <c r="H147" s="1" t="str">
        <f>iferror(VLOOKUP(A147,'Business Plan Setup and Accepta'!A:G,7,false),"")</f>
        <v/>
      </c>
      <c r="I147" s="17" t="str">
        <f t="shared" si="3"/>
        <v/>
      </c>
      <c r="J147" s="1" t="str">
        <f>IFERROR(VALUE(SUBSTITUTE(VLOOKUP(A147,'Sales IN Revenues vs Sales targ'!A:G,6,false)," $","")), "")
</f>
        <v/>
      </c>
      <c r="K147" s="1" t="str">
        <f>IFERROR(VALUE(SUBSTITUTE(VLOOKUP(A147,'Sales IN Revenues vs Sales targ'!A:G,7,false)," $","")), "")
</f>
        <v/>
      </c>
      <c r="L147" s="17" t="str">
        <f t="shared" si="4"/>
        <v/>
      </c>
      <c r="M147" s="1">
        <f>value(SUBSTITUTE(IFERROR(VLOOKUP(A147,'Certifications achievements vs '!A:G,6,false),""),"#","")
)</f>
        <v>0</v>
      </c>
      <c r="N147" s="1">
        <f>value(SUBSTITUTE(IFERROR(VLOOKUP(A147,'Certifications achievements vs '!A:G,7,false),""),"#","")
)</f>
        <v>0</v>
      </c>
      <c r="O147" s="17" t="str">
        <f t="shared" si="5"/>
        <v/>
      </c>
      <c r="P147" s="1">
        <f>value(SUBSTITUTE(IFERROR(VLOOKUP(A147,'Communications - Solution Speci'!A:G,6,false),""),"#","")
)</f>
        <v>0</v>
      </c>
      <c r="Q147" s="1">
        <f>value(SUBSTITUTE(IFERROR(VLOOKUP(A147,'Communications - Solution Speci'!A:G,7,false),""),"#","")
)</f>
        <v>0</v>
      </c>
      <c r="R147" s="17" t="str">
        <f t="shared" si="6"/>
        <v/>
      </c>
      <c r="S147" s="1">
        <f>value(SUBSTITUTE(IFERROR(VLOOKUP(A147,'Networking - Solution Specializ'!A:G,6,false),""),"#","")
)</f>
        <v>0</v>
      </c>
      <c r="T147" s="1">
        <f>value(SUBSTITUTE(IFERROR(VLOOKUP(A147,'Networking - Solution Specializ'!A:G,7,false),""),"#","")
)</f>
        <v>0</v>
      </c>
      <c r="U147" s="17" t="str">
        <f t="shared" si="7"/>
        <v/>
      </c>
      <c r="V147" s="1" t="str">
        <f>iferror(vlookup(A147,'Marketing Plan (extract summary'!A:G,6,false),"")</f>
        <v/>
      </c>
      <c r="W147" s="1" t="str">
        <f>iferror(vlookup(A147,'Marketing Plan (extract summary'!A:G,7,false),"")</f>
        <v/>
      </c>
      <c r="X147" s="17" t="str">
        <f t="shared" si="8"/>
        <v/>
      </c>
      <c r="Y147" s="1">
        <f>value(IFERROR(SUBSTITUTE(SUBSTITUTE(VLOOKUP(A147,'Quarterly Pipeline vs Target Pi'!A:G,6,false)," $","")," €",""), "")
)</f>
        <v>0</v>
      </c>
      <c r="Z147" s="1">
        <f>value(IFERROR(SUBSTITUTE(SUBSTITUTE(VLOOKUP(A147,'Quarterly Pipeline vs Target Pi'!A:G,7,false)," $","")," €",""), "")
)</f>
        <v>0</v>
      </c>
      <c r="AA147" s="17" t="str">
        <f t="shared" si="9"/>
        <v/>
      </c>
      <c r="AB147" s="1">
        <f>value(IFERROR(SUBSTITUTE(SUBSTITUTE(VLOOKUP($A147,'Quarterly Pipeline vs Target Pi'!$A:$V,11,false)," $","")," €",""), "")
)</f>
        <v>0</v>
      </c>
      <c r="AC147" s="1">
        <f>value(IFERROR(SUBSTITUTE(SUBSTITUTE(VLOOKUP($A147,'Quarterly Pipeline vs Target Pi'!$A:$V,12,false)," $","")," €",""), "")
)</f>
        <v>0</v>
      </c>
      <c r="AD147" s="17" t="str">
        <f t="shared" si="10"/>
        <v/>
      </c>
      <c r="AE147" s="1">
        <f>value(IFERROR(SUBSTITUTE(SUBSTITUTE(VLOOKUP($A147,'Quarterly Pipeline vs Target Pi'!$A:$V,16,false)," $","")," €",""), "")
)</f>
        <v>0</v>
      </c>
      <c r="AF147" s="1">
        <f>value(IFERROR(SUBSTITUTE(SUBSTITUTE(VLOOKUP($A147,'Quarterly Pipeline vs Target Pi'!$A:$V,17,false)," $","")," €",""), "")
)</f>
        <v>0</v>
      </c>
      <c r="AG147" s="17" t="str">
        <f t="shared" si="11"/>
        <v/>
      </c>
      <c r="AH147" s="1">
        <f>value(IFERROR(SUBSTITUTE(SUBSTITUTE(VLOOKUP($A147,'Quarterly Pipeline vs Target Pi'!$A:$V,21,false)," $","")," €",""), "")
)</f>
        <v>0</v>
      </c>
      <c r="AI147" s="1">
        <f>value(IFERROR(SUBSTITUTE(SUBSTITUTE(VLOOKUP($A147,'Quarterly Pipeline vs Target Pi'!$A:$V,22,false)," $","")," €",""), "")
)</f>
        <v>0</v>
      </c>
      <c r="AJ147" s="17" t="str">
        <f t="shared" si="12"/>
        <v/>
      </c>
      <c r="AK147" s="1">
        <f t="shared" ref="AK147:AL147" si="307">sum(Y147,AB147,AE147,AH147)</f>
        <v>0</v>
      </c>
      <c r="AL147" s="1">
        <f t="shared" si="307"/>
        <v>0</v>
      </c>
      <c r="AM147" s="17" t="str">
        <f t="shared" si="14"/>
        <v/>
      </c>
      <c r="AN147" s="1">
        <f>value(IFERROR(SUBSTITUTE(SUBSTITUTE(VLOOKUP($A147,'Quarterly Pipeline vs Target Pi'!$A:$AP,26,false)," $","")," €",""), "")
)</f>
        <v>0</v>
      </c>
      <c r="AO147" s="1">
        <f>value(IFERROR(SUBSTITUTE(SUBSTITUTE(VLOOKUP($A147,'Quarterly Pipeline vs Target Pi'!$A:$AP,27,false)," $","")," €",""), "")
)</f>
        <v>0</v>
      </c>
      <c r="AP147" s="17" t="str">
        <f t="shared" si="15"/>
        <v/>
      </c>
      <c r="AQ147" s="1">
        <f>value(IFERROR(SUBSTITUTE(SUBSTITUTE(VLOOKUP($A147,'Quarterly Pipeline vs Target Pi'!$A:$AP,31,false)," $","")," €",""), "")
)</f>
        <v>0</v>
      </c>
      <c r="AR147" s="1">
        <f>value(IFERROR(SUBSTITUTE(SUBSTITUTE(VLOOKUP($A147,'Quarterly Pipeline vs Target Pi'!$A:$AP,32,false)," $","")," €",""), "")
)</f>
        <v>0</v>
      </c>
      <c r="AS147" s="17" t="str">
        <f t="shared" si="16"/>
        <v/>
      </c>
      <c r="AT147" s="1">
        <f>value(IFERROR(SUBSTITUTE(SUBSTITUTE(VLOOKUP($A147,'Quarterly Pipeline vs Target Pi'!$A:$AP,36,false)," $","")," €",""), "")
)</f>
        <v>0</v>
      </c>
      <c r="AU147" s="1">
        <f>value(IFERROR(SUBSTITUTE(SUBSTITUTE(VLOOKUP($A147,'Quarterly Pipeline vs Target Pi'!$A:$AP,37,false)," $","")," €",""), "")
)</f>
        <v>0</v>
      </c>
      <c r="AV147" s="17" t="str">
        <f t="shared" si="17"/>
        <v/>
      </c>
      <c r="AW147" s="1">
        <f>value(IFERROR(SUBSTITUTE(SUBSTITUTE(VLOOKUP($A147,'Quarterly Pipeline vs Target Pi'!$A:$AP,41,false)," $","")," €",""), "")
)</f>
        <v>0</v>
      </c>
      <c r="AX147" s="1">
        <f>value(IFERROR(SUBSTITUTE(SUBSTITUTE(VLOOKUP($A147,'Quarterly Pipeline vs Target Pi'!$A:$AP,42,false)," $","")," €",""), "")
)</f>
        <v>0</v>
      </c>
      <c r="AY147" s="17" t="str">
        <f t="shared" si="18"/>
        <v/>
      </c>
      <c r="AZ147" s="1">
        <f t="shared" ref="AZ147:BA147" si="308">sum(AN147,AQ147,AT147,AW147)</f>
        <v>0</v>
      </c>
      <c r="BA147" s="1">
        <f t="shared" si="308"/>
        <v>0</v>
      </c>
      <c r="BB147" s="17" t="str">
        <f t="shared" si="20"/>
        <v/>
      </c>
    </row>
    <row r="148">
      <c r="A148" s="1" t="str">
        <f>IFERROR(__xludf.DUMMYFUNCTION("""COMPUTED_VALUE"""),"63ced84ec5c820531c2698e7")</f>
        <v>63ced84ec5c820531c2698e7</v>
      </c>
      <c r="B148" s="1" t="str">
        <f>IFERROR(__xludf.DUMMYFUNCTION("""COMPUTED_VALUE"""),"Eastern DataComm, Inc")</f>
        <v>Eastern DataComm, Inc</v>
      </c>
      <c r="C148" s="1" t="str">
        <f>IFERROR(__xludf.DUMMYFUNCTION("""COMPUTED_VALUE"""),"brendan.flaherty@al-enterprise.com")</f>
        <v>brendan.flaherty@al-enterprise.com</v>
      </c>
      <c r="D148" s="1" t="str">
        <f>IFERROR(__xludf.DUMMYFUNCTION("""COMPUTED_VALUE"""),"americas")</f>
        <v>americas</v>
      </c>
      <c r="E148" s="1" t="str">
        <f>IFERROR(__xludf.DUMMYFUNCTION("""COMPUTED_VALUE"""),"US")</f>
        <v>US</v>
      </c>
      <c r="F148" s="1"/>
      <c r="G148" s="1" t="str">
        <f>iferror(VLOOKUP(A148,'Business Plan Setup and Accepta'!A:G,6,false),"")</f>
        <v/>
      </c>
      <c r="H148" s="1" t="str">
        <f>iferror(VLOOKUP(A148,'Business Plan Setup and Accepta'!A:G,7,false),"")</f>
        <v/>
      </c>
      <c r="I148" s="17" t="str">
        <f t="shared" si="3"/>
        <v/>
      </c>
      <c r="J148" s="1" t="str">
        <f>IFERROR(VALUE(SUBSTITUTE(VLOOKUP(A148,'Sales IN Revenues vs Sales targ'!A:G,6,false)," $","")), "")
</f>
        <v/>
      </c>
      <c r="K148" s="1" t="str">
        <f>IFERROR(VALUE(SUBSTITUTE(VLOOKUP(A148,'Sales IN Revenues vs Sales targ'!A:G,7,false)," $","")), "")
</f>
        <v/>
      </c>
      <c r="L148" s="17" t="str">
        <f t="shared" si="4"/>
        <v/>
      </c>
      <c r="M148" s="1">
        <f>value(SUBSTITUTE(IFERROR(VLOOKUP(A148,'Certifications achievements vs '!A:G,6,false),""),"#","")
)</f>
        <v>0</v>
      </c>
      <c r="N148" s="1">
        <f>value(SUBSTITUTE(IFERROR(VLOOKUP(A148,'Certifications achievements vs '!A:G,7,false),""),"#","")
)</f>
        <v>0</v>
      </c>
      <c r="O148" s="17" t="str">
        <f t="shared" si="5"/>
        <v/>
      </c>
      <c r="P148" s="1">
        <f>value(SUBSTITUTE(IFERROR(VLOOKUP(A148,'Communications - Solution Speci'!A:G,6,false),""),"#","")
)</f>
        <v>0</v>
      </c>
      <c r="Q148" s="1">
        <f>value(SUBSTITUTE(IFERROR(VLOOKUP(A148,'Communications - Solution Speci'!A:G,7,false),""),"#","")
)</f>
        <v>0</v>
      </c>
      <c r="R148" s="17" t="str">
        <f t="shared" si="6"/>
        <v/>
      </c>
      <c r="S148" s="1">
        <f>value(SUBSTITUTE(IFERROR(VLOOKUP(A148,'Networking - Solution Specializ'!A:G,6,false),""),"#","")
)</f>
        <v>0</v>
      </c>
      <c r="T148" s="1">
        <f>value(SUBSTITUTE(IFERROR(VLOOKUP(A148,'Networking - Solution Specializ'!A:G,7,false),""),"#","")
)</f>
        <v>0</v>
      </c>
      <c r="U148" s="17" t="str">
        <f t="shared" si="7"/>
        <v/>
      </c>
      <c r="V148" s="1" t="str">
        <f>iferror(vlookup(A148,'Marketing Plan (extract summary'!A:G,6,false),"")</f>
        <v/>
      </c>
      <c r="W148" s="1" t="str">
        <f>iferror(vlookup(A148,'Marketing Plan (extract summary'!A:G,7,false),"")</f>
        <v/>
      </c>
      <c r="X148" s="17" t="str">
        <f t="shared" si="8"/>
        <v/>
      </c>
      <c r="Y148" s="1">
        <f>value(IFERROR(SUBSTITUTE(SUBSTITUTE(VLOOKUP(A148,'Quarterly Pipeline vs Target Pi'!A:G,6,false)," $","")," €",""), "")
)</f>
        <v>0</v>
      </c>
      <c r="Z148" s="1">
        <f>value(IFERROR(SUBSTITUTE(SUBSTITUTE(VLOOKUP(A148,'Quarterly Pipeline vs Target Pi'!A:G,7,false)," $","")," €",""), "")
)</f>
        <v>0</v>
      </c>
      <c r="AA148" s="17" t="str">
        <f t="shared" si="9"/>
        <v/>
      </c>
      <c r="AB148" s="1">
        <f>value(IFERROR(SUBSTITUTE(SUBSTITUTE(VLOOKUP($A148,'Quarterly Pipeline vs Target Pi'!$A:$V,11,false)," $","")," €",""), "")
)</f>
        <v>0</v>
      </c>
      <c r="AC148" s="1">
        <f>value(IFERROR(SUBSTITUTE(SUBSTITUTE(VLOOKUP($A148,'Quarterly Pipeline vs Target Pi'!$A:$V,12,false)," $","")," €",""), "")
)</f>
        <v>0</v>
      </c>
      <c r="AD148" s="17" t="str">
        <f t="shared" si="10"/>
        <v/>
      </c>
      <c r="AE148" s="1">
        <f>value(IFERROR(SUBSTITUTE(SUBSTITUTE(VLOOKUP($A148,'Quarterly Pipeline vs Target Pi'!$A:$V,16,false)," $","")," €",""), "")
)</f>
        <v>0</v>
      </c>
      <c r="AF148" s="1">
        <f>value(IFERROR(SUBSTITUTE(SUBSTITUTE(VLOOKUP($A148,'Quarterly Pipeline vs Target Pi'!$A:$V,17,false)," $","")," €",""), "")
)</f>
        <v>0</v>
      </c>
      <c r="AG148" s="17" t="str">
        <f t="shared" si="11"/>
        <v/>
      </c>
      <c r="AH148" s="1">
        <f>value(IFERROR(SUBSTITUTE(SUBSTITUTE(VLOOKUP($A148,'Quarterly Pipeline vs Target Pi'!$A:$V,21,false)," $","")," €",""), "")
)</f>
        <v>0</v>
      </c>
      <c r="AI148" s="1">
        <f>value(IFERROR(SUBSTITUTE(SUBSTITUTE(VLOOKUP($A148,'Quarterly Pipeline vs Target Pi'!$A:$V,22,false)," $","")," €",""), "")
)</f>
        <v>0</v>
      </c>
      <c r="AJ148" s="17" t="str">
        <f t="shared" si="12"/>
        <v/>
      </c>
      <c r="AK148" s="1">
        <f t="shared" ref="AK148:AL148" si="309">sum(Y148,AB148,AE148,AH148)</f>
        <v>0</v>
      </c>
      <c r="AL148" s="1">
        <f t="shared" si="309"/>
        <v>0</v>
      </c>
      <c r="AM148" s="17" t="str">
        <f t="shared" si="14"/>
        <v/>
      </c>
      <c r="AN148" s="1">
        <f>value(IFERROR(SUBSTITUTE(SUBSTITUTE(VLOOKUP($A148,'Quarterly Pipeline vs Target Pi'!$A:$AP,26,false)," $","")," €",""), "")
)</f>
        <v>0</v>
      </c>
      <c r="AO148" s="1">
        <f>value(IFERROR(SUBSTITUTE(SUBSTITUTE(VLOOKUP($A148,'Quarterly Pipeline vs Target Pi'!$A:$AP,27,false)," $","")," €",""), "")
)</f>
        <v>0</v>
      </c>
      <c r="AP148" s="17" t="str">
        <f t="shared" si="15"/>
        <v/>
      </c>
      <c r="AQ148" s="1">
        <f>value(IFERROR(SUBSTITUTE(SUBSTITUTE(VLOOKUP($A148,'Quarterly Pipeline vs Target Pi'!$A:$AP,31,false)," $","")," €",""), "")
)</f>
        <v>0</v>
      </c>
      <c r="AR148" s="1">
        <f>value(IFERROR(SUBSTITUTE(SUBSTITUTE(VLOOKUP($A148,'Quarterly Pipeline vs Target Pi'!$A:$AP,32,false)," $","")," €",""), "")
)</f>
        <v>0</v>
      </c>
      <c r="AS148" s="17" t="str">
        <f t="shared" si="16"/>
        <v/>
      </c>
      <c r="AT148" s="1">
        <f>value(IFERROR(SUBSTITUTE(SUBSTITUTE(VLOOKUP($A148,'Quarterly Pipeline vs Target Pi'!$A:$AP,36,false)," $","")," €",""), "")
)</f>
        <v>0</v>
      </c>
      <c r="AU148" s="1">
        <f>value(IFERROR(SUBSTITUTE(SUBSTITUTE(VLOOKUP($A148,'Quarterly Pipeline vs Target Pi'!$A:$AP,37,false)," $","")," €",""), "")
)</f>
        <v>0</v>
      </c>
      <c r="AV148" s="17" t="str">
        <f t="shared" si="17"/>
        <v/>
      </c>
      <c r="AW148" s="1">
        <f>value(IFERROR(SUBSTITUTE(SUBSTITUTE(VLOOKUP($A148,'Quarterly Pipeline vs Target Pi'!$A:$AP,41,false)," $","")," €",""), "")
)</f>
        <v>0</v>
      </c>
      <c r="AX148" s="1">
        <f>value(IFERROR(SUBSTITUTE(SUBSTITUTE(VLOOKUP($A148,'Quarterly Pipeline vs Target Pi'!$A:$AP,42,false)," $","")," €",""), "")
)</f>
        <v>0</v>
      </c>
      <c r="AY148" s="17" t="str">
        <f t="shared" si="18"/>
        <v/>
      </c>
      <c r="AZ148" s="1">
        <f t="shared" ref="AZ148:BA148" si="310">sum(AN148,AQ148,AT148,AW148)</f>
        <v>0</v>
      </c>
      <c r="BA148" s="1">
        <f t="shared" si="310"/>
        <v>0</v>
      </c>
      <c r="BB148" s="17" t="str">
        <f t="shared" si="20"/>
        <v/>
      </c>
    </row>
    <row r="149">
      <c r="A149" s="1" t="str">
        <f>IFERROR(__xludf.DUMMYFUNCTION("""COMPUTED_VALUE"""),"63ced84ec5c820531c269a40")</f>
        <v>63ced84ec5c820531c269a40</v>
      </c>
      <c r="B149" s="1" t="str">
        <f>IFERROR(__xludf.DUMMYFUNCTION("""COMPUTED_VALUE"""),"Eastern Shore Data, LLC")</f>
        <v>Eastern Shore Data, LLC</v>
      </c>
      <c r="C149" s="1" t="str">
        <f>IFERROR(__xludf.DUMMYFUNCTION("""COMPUTED_VALUE"""),"brendan.flaherty@al-enterprise.com")</f>
        <v>brendan.flaherty@al-enterprise.com</v>
      </c>
      <c r="D149" s="1" t="str">
        <f>IFERROR(__xludf.DUMMYFUNCTION("""COMPUTED_VALUE"""),"americas")</f>
        <v>americas</v>
      </c>
      <c r="E149" s="1" t="str">
        <f>IFERROR(__xludf.DUMMYFUNCTION("""COMPUTED_VALUE"""),"US")</f>
        <v>US</v>
      </c>
      <c r="F149" s="1"/>
      <c r="G149" s="1" t="str">
        <f>iferror(VLOOKUP(A149,'Business Plan Setup and Accepta'!A:G,6,false),"")</f>
        <v/>
      </c>
      <c r="H149" s="1" t="str">
        <f>iferror(VLOOKUP(A149,'Business Plan Setup and Accepta'!A:G,7,false),"")</f>
        <v/>
      </c>
      <c r="I149" s="17" t="str">
        <f t="shared" si="3"/>
        <v/>
      </c>
      <c r="J149" s="1" t="str">
        <f>IFERROR(VALUE(SUBSTITUTE(VLOOKUP(A149,'Sales IN Revenues vs Sales targ'!A:G,6,false)," $","")), "")
</f>
        <v/>
      </c>
      <c r="K149" s="1" t="str">
        <f>IFERROR(VALUE(SUBSTITUTE(VLOOKUP(A149,'Sales IN Revenues vs Sales targ'!A:G,7,false)," $","")), "")
</f>
        <v/>
      </c>
      <c r="L149" s="17" t="str">
        <f t="shared" si="4"/>
        <v/>
      </c>
      <c r="M149" s="1">
        <f>value(SUBSTITUTE(IFERROR(VLOOKUP(A149,'Certifications achievements vs '!A:G,6,false),""),"#","")
)</f>
        <v>0</v>
      </c>
      <c r="N149" s="1">
        <f>value(SUBSTITUTE(IFERROR(VLOOKUP(A149,'Certifications achievements vs '!A:G,7,false),""),"#","")
)</f>
        <v>0</v>
      </c>
      <c r="O149" s="17" t="str">
        <f t="shared" si="5"/>
        <v/>
      </c>
      <c r="P149" s="1">
        <f>value(SUBSTITUTE(IFERROR(VLOOKUP(A149,'Communications - Solution Speci'!A:G,6,false),""),"#","")
)</f>
        <v>0</v>
      </c>
      <c r="Q149" s="1">
        <f>value(SUBSTITUTE(IFERROR(VLOOKUP(A149,'Communications - Solution Speci'!A:G,7,false),""),"#","")
)</f>
        <v>0</v>
      </c>
      <c r="R149" s="17" t="str">
        <f t="shared" si="6"/>
        <v/>
      </c>
      <c r="S149" s="1">
        <f>value(SUBSTITUTE(IFERROR(VLOOKUP(A149,'Networking - Solution Specializ'!A:G,6,false),""),"#","")
)</f>
        <v>0</v>
      </c>
      <c r="T149" s="1">
        <f>value(SUBSTITUTE(IFERROR(VLOOKUP(A149,'Networking - Solution Specializ'!A:G,7,false),""),"#","")
)</f>
        <v>0</v>
      </c>
      <c r="U149" s="17" t="str">
        <f t="shared" si="7"/>
        <v/>
      </c>
      <c r="V149" s="1" t="str">
        <f>iferror(vlookup(A149,'Marketing Plan (extract summary'!A:G,6,false),"")</f>
        <v/>
      </c>
      <c r="W149" s="1" t="str">
        <f>iferror(vlookup(A149,'Marketing Plan (extract summary'!A:G,7,false),"")</f>
        <v/>
      </c>
      <c r="X149" s="17" t="str">
        <f t="shared" si="8"/>
        <v/>
      </c>
      <c r="Y149" s="1">
        <f>value(IFERROR(SUBSTITUTE(SUBSTITUTE(VLOOKUP(A149,'Quarterly Pipeline vs Target Pi'!A:G,6,false)," $","")," €",""), "")
)</f>
        <v>0</v>
      </c>
      <c r="Z149" s="1">
        <f>value(IFERROR(SUBSTITUTE(SUBSTITUTE(VLOOKUP(A149,'Quarterly Pipeline vs Target Pi'!A:G,7,false)," $","")," €",""), "")
)</f>
        <v>0</v>
      </c>
      <c r="AA149" s="17" t="str">
        <f t="shared" si="9"/>
        <v/>
      </c>
      <c r="AB149" s="1">
        <f>value(IFERROR(SUBSTITUTE(SUBSTITUTE(VLOOKUP($A149,'Quarterly Pipeline vs Target Pi'!$A:$V,11,false)," $","")," €",""), "")
)</f>
        <v>0</v>
      </c>
      <c r="AC149" s="1">
        <f>value(IFERROR(SUBSTITUTE(SUBSTITUTE(VLOOKUP($A149,'Quarterly Pipeline vs Target Pi'!$A:$V,12,false)," $","")," €",""), "")
)</f>
        <v>0</v>
      </c>
      <c r="AD149" s="17" t="str">
        <f t="shared" si="10"/>
        <v/>
      </c>
      <c r="AE149" s="1">
        <f>value(IFERROR(SUBSTITUTE(SUBSTITUTE(VLOOKUP($A149,'Quarterly Pipeline vs Target Pi'!$A:$V,16,false)," $","")," €",""), "")
)</f>
        <v>0</v>
      </c>
      <c r="AF149" s="1">
        <f>value(IFERROR(SUBSTITUTE(SUBSTITUTE(VLOOKUP($A149,'Quarterly Pipeline vs Target Pi'!$A:$V,17,false)," $","")," €",""), "")
)</f>
        <v>0</v>
      </c>
      <c r="AG149" s="17" t="str">
        <f t="shared" si="11"/>
        <v/>
      </c>
      <c r="AH149" s="1">
        <f>value(IFERROR(SUBSTITUTE(SUBSTITUTE(VLOOKUP($A149,'Quarterly Pipeline vs Target Pi'!$A:$V,21,false)," $","")," €",""), "")
)</f>
        <v>0</v>
      </c>
      <c r="AI149" s="1">
        <f>value(IFERROR(SUBSTITUTE(SUBSTITUTE(VLOOKUP($A149,'Quarterly Pipeline vs Target Pi'!$A:$V,22,false)," $","")," €",""), "")
)</f>
        <v>0</v>
      </c>
      <c r="AJ149" s="17" t="str">
        <f t="shared" si="12"/>
        <v/>
      </c>
      <c r="AK149" s="1">
        <f t="shared" ref="AK149:AL149" si="311">sum(Y149,AB149,AE149,AH149)</f>
        <v>0</v>
      </c>
      <c r="AL149" s="1">
        <f t="shared" si="311"/>
        <v>0</v>
      </c>
      <c r="AM149" s="17" t="str">
        <f t="shared" si="14"/>
        <v/>
      </c>
      <c r="AN149" s="1">
        <f>value(IFERROR(SUBSTITUTE(SUBSTITUTE(VLOOKUP($A149,'Quarterly Pipeline vs Target Pi'!$A:$AP,26,false)," $","")," €",""), "")
)</f>
        <v>0</v>
      </c>
      <c r="AO149" s="1">
        <f>value(IFERROR(SUBSTITUTE(SUBSTITUTE(VLOOKUP($A149,'Quarterly Pipeline vs Target Pi'!$A:$AP,27,false)," $","")," €",""), "")
)</f>
        <v>0</v>
      </c>
      <c r="AP149" s="17" t="str">
        <f t="shared" si="15"/>
        <v/>
      </c>
      <c r="AQ149" s="1">
        <f>value(IFERROR(SUBSTITUTE(SUBSTITUTE(VLOOKUP($A149,'Quarterly Pipeline vs Target Pi'!$A:$AP,31,false)," $","")," €",""), "")
)</f>
        <v>0</v>
      </c>
      <c r="AR149" s="1">
        <f>value(IFERROR(SUBSTITUTE(SUBSTITUTE(VLOOKUP($A149,'Quarterly Pipeline vs Target Pi'!$A:$AP,32,false)," $","")," €",""), "")
)</f>
        <v>0</v>
      </c>
      <c r="AS149" s="17" t="str">
        <f t="shared" si="16"/>
        <v/>
      </c>
      <c r="AT149" s="1">
        <f>value(IFERROR(SUBSTITUTE(SUBSTITUTE(VLOOKUP($A149,'Quarterly Pipeline vs Target Pi'!$A:$AP,36,false)," $","")," €",""), "")
)</f>
        <v>0</v>
      </c>
      <c r="AU149" s="1">
        <f>value(IFERROR(SUBSTITUTE(SUBSTITUTE(VLOOKUP($A149,'Quarterly Pipeline vs Target Pi'!$A:$AP,37,false)," $","")," €",""), "")
)</f>
        <v>0</v>
      </c>
      <c r="AV149" s="17" t="str">
        <f t="shared" si="17"/>
        <v/>
      </c>
      <c r="AW149" s="1">
        <f>value(IFERROR(SUBSTITUTE(SUBSTITUTE(VLOOKUP($A149,'Quarterly Pipeline vs Target Pi'!$A:$AP,41,false)," $","")," €",""), "")
)</f>
        <v>0</v>
      </c>
      <c r="AX149" s="1">
        <f>value(IFERROR(SUBSTITUTE(SUBSTITUTE(VLOOKUP($A149,'Quarterly Pipeline vs Target Pi'!$A:$AP,42,false)," $","")," €",""), "")
)</f>
        <v>0</v>
      </c>
      <c r="AY149" s="17" t="str">
        <f t="shared" si="18"/>
        <v/>
      </c>
      <c r="AZ149" s="1">
        <f t="shared" ref="AZ149:BA149" si="312">sum(AN149,AQ149,AT149,AW149)</f>
        <v>0</v>
      </c>
      <c r="BA149" s="1">
        <f t="shared" si="312"/>
        <v>0</v>
      </c>
      <c r="BB149" s="17" t="str">
        <f t="shared" si="20"/>
        <v/>
      </c>
    </row>
    <row r="150">
      <c r="A150" s="1" t="str">
        <f>IFERROR(__xludf.DUMMYFUNCTION("""COMPUTED_VALUE"""),"63ced843c5c820531c2682fd")</f>
        <v>63ced843c5c820531c2682fd</v>
      </c>
      <c r="B150" s="1" t="str">
        <f>IFERROR(__xludf.DUMMYFUNCTION("""COMPUTED_VALUE"""),"eBD El Salvador")</f>
        <v>eBD El Salvador</v>
      </c>
      <c r="C150" s="1" t="str">
        <f>IFERROR(__xludf.DUMMYFUNCTION("""COMPUTED_VALUE"""),"jorge.silva@al-enterprise.com")</f>
        <v>jorge.silva@al-enterprise.com</v>
      </c>
      <c r="D150" s="1" t="str">
        <f>IFERROR(__xludf.DUMMYFUNCTION("""COMPUTED_VALUE"""),"americas")</f>
        <v>americas</v>
      </c>
      <c r="E150" s="1" t="str">
        <f>IFERROR(__xludf.DUMMYFUNCTION("""COMPUTED_VALUE"""),"SV")</f>
        <v>SV</v>
      </c>
      <c r="F150" s="1"/>
      <c r="G150" s="1">
        <f>iferror(VLOOKUP(A150,'Business Plan Setup and Accepta'!A:G,6,false),"")</f>
        <v>0</v>
      </c>
      <c r="H150" s="1">
        <f>iferror(VLOOKUP(A150,'Business Plan Setup and Accepta'!A:G,7,false),"")</f>
        <v>1</v>
      </c>
      <c r="I150" s="17">
        <f t="shared" si="3"/>
        <v>0</v>
      </c>
      <c r="J150" s="1">
        <f>IFERROR(VALUE(SUBSTITUTE(VLOOKUP(A150,'Sales IN Revenues vs Sales targ'!A:G,6,false)," $","")), "")
</f>
        <v>16.77</v>
      </c>
      <c r="K150" s="1">
        <f>IFERROR(VALUE(SUBSTITUTE(VLOOKUP(A150,'Sales IN Revenues vs Sales targ'!A:G,7,false)," $","")), "")
</f>
        <v>200</v>
      </c>
      <c r="L150" s="17">
        <f t="shared" si="4"/>
        <v>0.08385</v>
      </c>
      <c r="M150" s="1">
        <f>value(SUBSTITUTE(IFERROR(VLOOKUP(A150,'Certifications achievements vs '!A:G,6,false),""),"#","")
)</f>
        <v>24</v>
      </c>
      <c r="N150" s="1">
        <f>value(SUBSTITUTE(IFERROR(VLOOKUP(A150,'Certifications achievements vs '!A:G,7,false),""),"#","")
)</f>
        <v>52</v>
      </c>
      <c r="O150" s="17">
        <f t="shared" si="5"/>
        <v>0.4615384615</v>
      </c>
      <c r="P150" s="1">
        <f>value(SUBSTITUTE(IFERROR(VLOOKUP(A150,'Communications - Solution Speci'!A:G,6,false),""),"#","")
)</f>
        <v>1</v>
      </c>
      <c r="Q150" s="1">
        <f>value(SUBSTITUTE(IFERROR(VLOOKUP(A150,'Communications - Solution Speci'!A:G,7,false),""),"#","")
)</f>
        <v>1</v>
      </c>
      <c r="R150" s="17">
        <f t="shared" si="6"/>
        <v>1</v>
      </c>
      <c r="S150" s="1">
        <f>value(SUBSTITUTE(IFERROR(VLOOKUP(A150,'Networking - Solution Specializ'!A:G,6,false),""),"#","")
)</f>
        <v>0</v>
      </c>
      <c r="T150" s="1">
        <f>value(SUBSTITUTE(IFERROR(VLOOKUP(A150,'Networking - Solution Specializ'!A:G,7,false),""),"#","")
)</f>
        <v>1</v>
      </c>
      <c r="U150" s="17">
        <f t="shared" si="7"/>
        <v>0</v>
      </c>
      <c r="V150" s="1">
        <f>iferror(vlookup(A150,'Marketing Plan (extract summary'!A:G,6,false),"")</f>
        <v>0</v>
      </c>
      <c r="W150" s="1">
        <f>iferror(vlookup(A150,'Marketing Plan (extract summary'!A:G,7,false),"")</f>
        <v>1</v>
      </c>
      <c r="X150" s="17">
        <f t="shared" si="8"/>
        <v>0</v>
      </c>
      <c r="Y150" s="1">
        <f>value(IFERROR(SUBSTITUTE(SUBSTITUTE(VLOOKUP(A150,'Quarterly Pipeline vs Target Pi'!A:G,6,false)," $","")," €",""), "")
)</f>
        <v>0</v>
      </c>
      <c r="Z150" s="1">
        <f>value(IFERROR(SUBSTITUTE(SUBSTITUTE(VLOOKUP(A150,'Quarterly Pipeline vs Target Pi'!A:G,7,false)," $","")," €",""), "")
)</f>
        <v>0</v>
      </c>
      <c r="AA150" s="17" t="str">
        <f t="shared" si="9"/>
        <v/>
      </c>
      <c r="AB150" s="1">
        <f>value(IFERROR(SUBSTITUTE(SUBSTITUTE(VLOOKUP($A150,'Quarterly Pipeline vs Target Pi'!$A:$V,11,false)," $","")," €",""), "")
)</f>
        <v>21</v>
      </c>
      <c r="AC150" s="1">
        <f>value(IFERROR(SUBSTITUTE(SUBSTITUTE(VLOOKUP($A150,'Quarterly Pipeline vs Target Pi'!$A:$V,12,false)," $","")," €",""), "")
)</f>
        <v>0</v>
      </c>
      <c r="AD150" s="17" t="str">
        <f t="shared" si="10"/>
        <v/>
      </c>
      <c r="AE150" s="1">
        <f>value(IFERROR(SUBSTITUTE(SUBSTITUTE(VLOOKUP($A150,'Quarterly Pipeline vs Target Pi'!$A:$V,16,false)," $","")," €",""), "")
)</f>
        <v>4.67</v>
      </c>
      <c r="AF150" s="1">
        <f>value(IFERROR(SUBSTITUTE(SUBSTITUTE(VLOOKUP($A150,'Quarterly Pipeline vs Target Pi'!$A:$V,17,false)," $","")," €",""), "")
)</f>
        <v>183.34</v>
      </c>
      <c r="AG150" s="17">
        <f t="shared" si="11"/>
        <v>0.02547180103</v>
      </c>
      <c r="AH150" s="1">
        <f>value(IFERROR(SUBSTITUTE(SUBSTITUTE(VLOOKUP($A150,'Quarterly Pipeline vs Target Pi'!$A:$V,21,false)," $","")," €",""), "")
)</f>
        <v>20</v>
      </c>
      <c r="AI150" s="1">
        <f>value(IFERROR(SUBSTITUTE(SUBSTITUTE(VLOOKUP($A150,'Quarterly Pipeline vs Target Pi'!$A:$V,22,false)," $","")," €",""), "")
)</f>
        <v>216.66</v>
      </c>
      <c r="AJ150" s="17">
        <f t="shared" si="12"/>
        <v>0.09231053263</v>
      </c>
      <c r="AK150" s="1">
        <f t="shared" ref="AK150:AL150" si="313">sum(Y150,AB150,AE150,AH150)</f>
        <v>45.67</v>
      </c>
      <c r="AL150" s="1">
        <f t="shared" si="313"/>
        <v>400</v>
      </c>
      <c r="AM150" s="17">
        <f t="shared" si="14"/>
        <v>0.114175</v>
      </c>
      <c r="AN150" s="1">
        <f>value(IFERROR(SUBSTITUTE(SUBSTITUTE(VLOOKUP($A150,'Quarterly Pipeline vs Target Pi'!$A:$AP,26,false)," $","")," €",""), "")
)</f>
        <v>49</v>
      </c>
      <c r="AO150" s="1">
        <f>value(IFERROR(SUBSTITUTE(SUBSTITUTE(VLOOKUP($A150,'Quarterly Pipeline vs Target Pi'!$A:$AP,27,false)," $","")," €",""), "")
)</f>
        <v>0</v>
      </c>
      <c r="AP150" s="17" t="str">
        <f t="shared" si="15"/>
        <v/>
      </c>
      <c r="AQ150" s="1">
        <f>value(IFERROR(SUBSTITUTE(SUBSTITUTE(VLOOKUP($A150,'Quarterly Pipeline vs Target Pi'!$A:$AP,31,false)," $","")," €",""), "")
)</f>
        <v>1.72</v>
      </c>
      <c r="AR150" s="1">
        <f>value(IFERROR(SUBSTITUTE(SUBSTITUTE(VLOOKUP($A150,'Quarterly Pipeline vs Target Pi'!$A:$AP,32,false)," $","")," €",""), "")
)</f>
        <v>0</v>
      </c>
      <c r="AS150" s="17" t="str">
        <f t="shared" si="16"/>
        <v/>
      </c>
      <c r="AT150" s="1">
        <f>value(IFERROR(SUBSTITUTE(SUBSTITUTE(VLOOKUP($A150,'Quarterly Pipeline vs Target Pi'!$A:$AP,36,false)," $","")," €",""), "")
)</f>
        <v>0</v>
      </c>
      <c r="AU150" s="1">
        <f>value(IFERROR(SUBSTITUTE(SUBSTITUTE(VLOOKUP($A150,'Quarterly Pipeline vs Target Pi'!$A:$AP,37,false)," $","")," €",""), "")
)</f>
        <v>0</v>
      </c>
      <c r="AV150" s="17" t="str">
        <f t="shared" si="17"/>
        <v/>
      </c>
      <c r="AW150" s="1">
        <f>value(IFERROR(SUBSTITUTE(SUBSTITUTE(VLOOKUP($A150,'Quarterly Pipeline vs Target Pi'!$A:$AP,41,false)," $","")," €",""), "")
)</f>
        <v>0</v>
      </c>
      <c r="AX150" s="1">
        <f>value(IFERROR(SUBSTITUTE(SUBSTITUTE(VLOOKUP($A150,'Quarterly Pipeline vs Target Pi'!$A:$AP,42,false)," $","")," €",""), "")
)</f>
        <v>0</v>
      </c>
      <c r="AY150" s="17" t="str">
        <f t="shared" si="18"/>
        <v/>
      </c>
      <c r="AZ150" s="1">
        <f t="shared" ref="AZ150:BA150" si="314">sum(AN150,AQ150,AT150,AW150)</f>
        <v>50.72</v>
      </c>
      <c r="BA150" s="1">
        <f t="shared" si="314"/>
        <v>0</v>
      </c>
      <c r="BB150" s="17" t="str">
        <f t="shared" si="20"/>
        <v/>
      </c>
    </row>
    <row r="151">
      <c r="A151" s="1" t="str">
        <f>IFERROR(__xludf.DUMMYFUNCTION("""COMPUTED_VALUE"""),"63ced84cc5c820531c2694dc")</f>
        <v>63ced84cc5c820531c2694dc</v>
      </c>
      <c r="B151" s="1" t="str">
        <f>IFERROR(__xludf.DUMMYFUNCTION("""COMPUTED_VALUE"""),"EC America, Inc.")</f>
        <v>EC America, Inc.</v>
      </c>
      <c r="C151" s="1" t="str">
        <f>IFERROR(__xludf.DUMMYFUNCTION("""COMPUTED_VALUE"""),"holly.berger@al-enterprise.com")</f>
        <v>holly.berger@al-enterprise.com</v>
      </c>
      <c r="D151" s="1" t="str">
        <f>IFERROR(__xludf.DUMMYFUNCTION("""COMPUTED_VALUE"""),"americas")</f>
        <v>americas</v>
      </c>
      <c r="E151" s="1" t="str">
        <f>IFERROR(__xludf.DUMMYFUNCTION("""COMPUTED_VALUE"""),"US")</f>
        <v>US</v>
      </c>
      <c r="F151" s="1"/>
      <c r="G151" s="1" t="str">
        <f>iferror(VLOOKUP(A151,'Business Plan Setup and Accepta'!A:G,6,false),"")</f>
        <v/>
      </c>
      <c r="H151" s="1" t="str">
        <f>iferror(VLOOKUP(A151,'Business Plan Setup and Accepta'!A:G,7,false),"")</f>
        <v/>
      </c>
      <c r="I151" s="17" t="str">
        <f t="shared" si="3"/>
        <v/>
      </c>
      <c r="J151" s="1" t="str">
        <f>IFERROR(VALUE(SUBSTITUTE(VLOOKUP(A151,'Sales IN Revenues vs Sales targ'!A:G,6,false)," $","")), "")
</f>
        <v/>
      </c>
      <c r="K151" s="1" t="str">
        <f>IFERROR(VALUE(SUBSTITUTE(VLOOKUP(A151,'Sales IN Revenues vs Sales targ'!A:G,7,false)," $","")), "")
</f>
        <v/>
      </c>
      <c r="L151" s="17" t="str">
        <f t="shared" si="4"/>
        <v/>
      </c>
      <c r="M151" s="1">
        <f>value(SUBSTITUTE(IFERROR(VLOOKUP(A151,'Certifications achievements vs '!A:G,6,false),""),"#","")
)</f>
        <v>0</v>
      </c>
      <c r="N151" s="1">
        <f>value(SUBSTITUTE(IFERROR(VLOOKUP(A151,'Certifications achievements vs '!A:G,7,false),""),"#","")
)</f>
        <v>0</v>
      </c>
      <c r="O151" s="17" t="str">
        <f t="shared" si="5"/>
        <v/>
      </c>
      <c r="P151" s="1">
        <f>value(SUBSTITUTE(IFERROR(VLOOKUP(A151,'Communications - Solution Speci'!A:G,6,false),""),"#","")
)</f>
        <v>0</v>
      </c>
      <c r="Q151" s="1">
        <f>value(SUBSTITUTE(IFERROR(VLOOKUP(A151,'Communications - Solution Speci'!A:G,7,false),""),"#","")
)</f>
        <v>0</v>
      </c>
      <c r="R151" s="17" t="str">
        <f t="shared" si="6"/>
        <v/>
      </c>
      <c r="S151" s="1">
        <f>value(SUBSTITUTE(IFERROR(VLOOKUP(A151,'Networking - Solution Specializ'!A:G,6,false),""),"#","")
)</f>
        <v>0</v>
      </c>
      <c r="T151" s="1">
        <f>value(SUBSTITUTE(IFERROR(VLOOKUP(A151,'Networking - Solution Specializ'!A:G,7,false),""),"#","")
)</f>
        <v>0</v>
      </c>
      <c r="U151" s="17" t="str">
        <f t="shared" si="7"/>
        <v/>
      </c>
      <c r="V151" s="1" t="str">
        <f>iferror(vlookup(A151,'Marketing Plan (extract summary'!A:G,6,false),"")</f>
        <v/>
      </c>
      <c r="W151" s="1" t="str">
        <f>iferror(vlookup(A151,'Marketing Plan (extract summary'!A:G,7,false),"")</f>
        <v/>
      </c>
      <c r="X151" s="17" t="str">
        <f t="shared" si="8"/>
        <v/>
      </c>
      <c r="Y151" s="1">
        <f>value(IFERROR(SUBSTITUTE(SUBSTITUTE(VLOOKUP(A151,'Quarterly Pipeline vs Target Pi'!A:G,6,false)," $","")," €",""), "")
)</f>
        <v>0</v>
      </c>
      <c r="Z151" s="1">
        <f>value(IFERROR(SUBSTITUTE(SUBSTITUTE(VLOOKUP(A151,'Quarterly Pipeline vs Target Pi'!A:G,7,false)," $","")," €",""), "")
)</f>
        <v>0</v>
      </c>
      <c r="AA151" s="17" t="str">
        <f t="shared" si="9"/>
        <v/>
      </c>
      <c r="AB151" s="1">
        <f>value(IFERROR(SUBSTITUTE(SUBSTITUTE(VLOOKUP($A151,'Quarterly Pipeline vs Target Pi'!$A:$V,11,false)," $","")," €",""), "")
)</f>
        <v>0</v>
      </c>
      <c r="AC151" s="1">
        <f>value(IFERROR(SUBSTITUTE(SUBSTITUTE(VLOOKUP($A151,'Quarterly Pipeline vs Target Pi'!$A:$V,12,false)," $","")," €",""), "")
)</f>
        <v>0</v>
      </c>
      <c r="AD151" s="17" t="str">
        <f t="shared" si="10"/>
        <v/>
      </c>
      <c r="AE151" s="1">
        <f>value(IFERROR(SUBSTITUTE(SUBSTITUTE(VLOOKUP($A151,'Quarterly Pipeline vs Target Pi'!$A:$V,16,false)," $","")," €",""), "")
)</f>
        <v>0</v>
      </c>
      <c r="AF151" s="1">
        <f>value(IFERROR(SUBSTITUTE(SUBSTITUTE(VLOOKUP($A151,'Quarterly Pipeline vs Target Pi'!$A:$V,17,false)," $","")," €",""), "")
)</f>
        <v>0</v>
      </c>
      <c r="AG151" s="17" t="str">
        <f t="shared" si="11"/>
        <v/>
      </c>
      <c r="AH151" s="1">
        <f>value(IFERROR(SUBSTITUTE(SUBSTITUTE(VLOOKUP($A151,'Quarterly Pipeline vs Target Pi'!$A:$V,21,false)," $","")," €",""), "")
)</f>
        <v>0</v>
      </c>
      <c r="AI151" s="1">
        <f>value(IFERROR(SUBSTITUTE(SUBSTITUTE(VLOOKUP($A151,'Quarterly Pipeline vs Target Pi'!$A:$V,22,false)," $","")," €",""), "")
)</f>
        <v>0</v>
      </c>
      <c r="AJ151" s="17" t="str">
        <f t="shared" si="12"/>
        <v/>
      </c>
      <c r="AK151" s="1">
        <f t="shared" ref="AK151:AL151" si="315">sum(Y151,AB151,AE151,AH151)</f>
        <v>0</v>
      </c>
      <c r="AL151" s="1">
        <f t="shared" si="315"/>
        <v>0</v>
      </c>
      <c r="AM151" s="17" t="str">
        <f t="shared" si="14"/>
        <v/>
      </c>
      <c r="AN151" s="1">
        <f>value(IFERROR(SUBSTITUTE(SUBSTITUTE(VLOOKUP($A151,'Quarterly Pipeline vs Target Pi'!$A:$AP,26,false)," $","")," €",""), "")
)</f>
        <v>0</v>
      </c>
      <c r="AO151" s="1">
        <f>value(IFERROR(SUBSTITUTE(SUBSTITUTE(VLOOKUP($A151,'Quarterly Pipeline vs Target Pi'!$A:$AP,27,false)," $","")," €",""), "")
)</f>
        <v>0</v>
      </c>
      <c r="AP151" s="17" t="str">
        <f t="shared" si="15"/>
        <v/>
      </c>
      <c r="AQ151" s="1">
        <f>value(IFERROR(SUBSTITUTE(SUBSTITUTE(VLOOKUP($A151,'Quarterly Pipeline vs Target Pi'!$A:$AP,31,false)," $","")," €",""), "")
)</f>
        <v>0</v>
      </c>
      <c r="AR151" s="1">
        <f>value(IFERROR(SUBSTITUTE(SUBSTITUTE(VLOOKUP($A151,'Quarterly Pipeline vs Target Pi'!$A:$AP,32,false)," $","")," €",""), "")
)</f>
        <v>0</v>
      </c>
      <c r="AS151" s="17" t="str">
        <f t="shared" si="16"/>
        <v/>
      </c>
      <c r="AT151" s="1">
        <f>value(IFERROR(SUBSTITUTE(SUBSTITUTE(VLOOKUP($A151,'Quarterly Pipeline vs Target Pi'!$A:$AP,36,false)," $","")," €",""), "")
)</f>
        <v>0</v>
      </c>
      <c r="AU151" s="1">
        <f>value(IFERROR(SUBSTITUTE(SUBSTITUTE(VLOOKUP($A151,'Quarterly Pipeline vs Target Pi'!$A:$AP,37,false)," $","")," €",""), "")
)</f>
        <v>0</v>
      </c>
      <c r="AV151" s="17" t="str">
        <f t="shared" si="17"/>
        <v/>
      </c>
      <c r="AW151" s="1">
        <f>value(IFERROR(SUBSTITUTE(SUBSTITUTE(VLOOKUP($A151,'Quarterly Pipeline vs Target Pi'!$A:$AP,41,false)," $","")," €",""), "")
)</f>
        <v>0</v>
      </c>
      <c r="AX151" s="1">
        <f>value(IFERROR(SUBSTITUTE(SUBSTITUTE(VLOOKUP($A151,'Quarterly Pipeline vs Target Pi'!$A:$AP,42,false)," $","")," €",""), "")
)</f>
        <v>0</v>
      </c>
      <c r="AY151" s="17" t="str">
        <f t="shared" si="18"/>
        <v/>
      </c>
      <c r="AZ151" s="1">
        <f t="shared" ref="AZ151:BA151" si="316">sum(AN151,AQ151,AT151,AW151)</f>
        <v>0</v>
      </c>
      <c r="BA151" s="1">
        <f t="shared" si="316"/>
        <v>0</v>
      </c>
      <c r="BB151" s="17" t="str">
        <f t="shared" si="20"/>
        <v/>
      </c>
    </row>
    <row r="152">
      <c r="A152" s="1" t="str">
        <f>IFERROR(__xludf.DUMMYFUNCTION("""COMPUTED_VALUE"""),"62a880c1d600031ebc100ca5")</f>
        <v>62a880c1d600031ebc100ca5</v>
      </c>
      <c r="B152" s="1" t="str">
        <f>IFERROR(__xludf.DUMMYFUNCTION("""COMPUTED_VALUE"""),"EDNON SL")</f>
        <v>EDNON SL</v>
      </c>
      <c r="C152" s="1" t="str">
        <f>IFERROR(__xludf.DUMMYFUNCTION("""COMPUTED_VALUE"""),"rui.silva@al-enterprise.com, javier.cruz@al-enterprise.com, jaime.tor@al-enterprise.com, astrid.savorani@al-enterprise.com, rafael.andreo@al-enterprise.com, esther.alonso@al-enterprise.com, marcos.rodriguez@al-enterprise.com")</f>
        <v>rui.silva@al-enterprise.com, javier.cruz@al-enterprise.com, jaime.tor@al-enterprise.com, astrid.savorani@al-enterprise.com, rafael.andreo@al-enterprise.com, esther.alonso@al-enterprise.com, marcos.rodriguez@al-enterprise.com</v>
      </c>
      <c r="D152" s="1" t="str">
        <f>IFERROR(__xludf.DUMMYFUNCTION("""COMPUTED_VALUE"""),"emea")</f>
        <v>emea</v>
      </c>
      <c r="E152" s="1" t="str">
        <f>IFERROR(__xludf.DUMMYFUNCTION("""COMPUTED_VALUE"""),"ES")</f>
        <v>ES</v>
      </c>
      <c r="F152" s="1"/>
      <c r="G152" s="1" t="str">
        <f>iferror(VLOOKUP(A152,'Business Plan Setup and Accepta'!A:G,6,false),"")</f>
        <v/>
      </c>
      <c r="H152" s="1" t="str">
        <f>iferror(VLOOKUP(A152,'Business Plan Setup and Accepta'!A:G,7,false),"")</f>
        <v/>
      </c>
      <c r="I152" s="17" t="str">
        <f t="shared" si="3"/>
        <v/>
      </c>
      <c r="J152" s="1" t="str">
        <f>IFERROR(VALUE(SUBSTITUTE(VLOOKUP(A152,'Sales IN Revenues vs Sales targ'!A:G,6,false)," $","")), "")
</f>
        <v/>
      </c>
      <c r="K152" s="1" t="str">
        <f>IFERROR(VALUE(SUBSTITUTE(VLOOKUP(A152,'Sales IN Revenues vs Sales targ'!A:G,7,false)," $","")), "")
</f>
        <v/>
      </c>
      <c r="L152" s="17" t="str">
        <f t="shared" si="4"/>
        <v/>
      </c>
      <c r="M152" s="1">
        <f>value(SUBSTITUTE(IFERROR(VLOOKUP(A152,'Certifications achievements vs '!A:G,6,false),""),"#","")
)</f>
        <v>1</v>
      </c>
      <c r="N152" s="1">
        <f>value(SUBSTITUTE(IFERROR(VLOOKUP(A152,'Certifications achievements vs '!A:G,7,false),""),"#","")
)</f>
        <v>41</v>
      </c>
      <c r="O152" s="17">
        <f t="shared" si="5"/>
        <v>0.0243902439</v>
      </c>
      <c r="P152" s="1">
        <f>value(SUBSTITUTE(IFERROR(VLOOKUP(A152,'Communications - Solution Speci'!A:G,6,false),""),"#","")
)</f>
        <v>0</v>
      </c>
      <c r="Q152" s="1">
        <f>value(SUBSTITUTE(IFERROR(VLOOKUP(A152,'Communications - Solution Speci'!A:G,7,false),""),"#","")
)</f>
        <v>0</v>
      </c>
      <c r="R152" s="17" t="str">
        <f t="shared" si="6"/>
        <v/>
      </c>
      <c r="S152" s="1">
        <f>value(SUBSTITUTE(IFERROR(VLOOKUP(A152,'Networking - Solution Specializ'!A:G,6,false),""),"#","")
)</f>
        <v>0</v>
      </c>
      <c r="T152" s="1">
        <f>value(SUBSTITUTE(IFERROR(VLOOKUP(A152,'Networking - Solution Specializ'!A:G,7,false),""),"#","")
)</f>
        <v>0</v>
      </c>
      <c r="U152" s="17" t="str">
        <f t="shared" si="7"/>
        <v/>
      </c>
      <c r="V152" s="1" t="str">
        <f>iferror(vlookup(A152,'Marketing Plan (extract summary'!A:G,6,false),"")</f>
        <v/>
      </c>
      <c r="W152" s="1" t="str">
        <f>iferror(vlookup(A152,'Marketing Plan (extract summary'!A:G,7,false),"")</f>
        <v/>
      </c>
      <c r="X152" s="17" t="str">
        <f t="shared" si="8"/>
        <v/>
      </c>
      <c r="Y152" s="1">
        <f>value(IFERROR(SUBSTITUTE(SUBSTITUTE(VLOOKUP(A152,'Quarterly Pipeline vs Target Pi'!A:G,6,false)," $","")," €",""), "")
)</f>
        <v>0</v>
      </c>
      <c r="Z152" s="1">
        <f>value(IFERROR(SUBSTITUTE(SUBSTITUTE(VLOOKUP(A152,'Quarterly Pipeline vs Target Pi'!A:G,7,false)," $","")," €",""), "")
)</f>
        <v>0</v>
      </c>
      <c r="AA152" s="17" t="str">
        <f t="shared" si="9"/>
        <v/>
      </c>
      <c r="AB152" s="1">
        <f>value(IFERROR(SUBSTITUTE(SUBSTITUTE(VLOOKUP($A152,'Quarterly Pipeline vs Target Pi'!$A:$V,11,false)," $","")," €",""), "")
)</f>
        <v>0</v>
      </c>
      <c r="AC152" s="1">
        <f>value(IFERROR(SUBSTITUTE(SUBSTITUTE(VLOOKUP($A152,'Quarterly Pipeline vs Target Pi'!$A:$V,12,false)," $","")," €",""), "")
)</f>
        <v>0</v>
      </c>
      <c r="AD152" s="17" t="str">
        <f t="shared" si="10"/>
        <v/>
      </c>
      <c r="AE152" s="1">
        <f>value(IFERROR(SUBSTITUTE(SUBSTITUTE(VLOOKUP($A152,'Quarterly Pipeline vs Target Pi'!$A:$V,16,false)," $","")," €",""), "")
)</f>
        <v>0</v>
      </c>
      <c r="AF152" s="1">
        <f>value(IFERROR(SUBSTITUTE(SUBSTITUTE(VLOOKUP($A152,'Quarterly Pipeline vs Target Pi'!$A:$V,17,false)," $","")," €",""), "")
)</f>
        <v>0</v>
      </c>
      <c r="AG152" s="17" t="str">
        <f t="shared" si="11"/>
        <v/>
      </c>
      <c r="AH152" s="1">
        <f>value(IFERROR(SUBSTITUTE(SUBSTITUTE(VLOOKUP($A152,'Quarterly Pipeline vs Target Pi'!$A:$V,21,false)," $","")," €",""), "")
)</f>
        <v>0</v>
      </c>
      <c r="AI152" s="1">
        <f>value(IFERROR(SUBSTITUTE(SUBSTITUTE(VLOOKUP($A152,'Quarterly Pipeline vs Target Pi'!$A:$V,22,false)," $","")," €",""), "")
)</f>
        <v>0</v>
      </c>
      <c r="AJ152" s="17" t="str">
        <f t="shared" si="12"/>
        <v/>
      </c>
      <c r="AK152" s="1">
        <f t="shared" ref="AK152:AL152" si="317">sum(Y152,AB152,AE152,AH152)</f>
        <v>0</v>
      </c>
      <c r="AL152" s="1">
        <f t="shared" si="317"/>
        <v>0</v>
      </c>
      <c r="AM152" s="17" t="str">
        <f t="shared" si="14"/>
        <v/>
      </c>
      <c r="AN152" s="1">
        <f>value(IFERROR(SUBSTITUTE(SUBSTITUTE(VLOOKUP($A152,'Quarterly Pipeline vs Target Pi'!$A:$AP,26,false)," $","")," €",""), "")
)</f>
        <v>0</v>
      </c>
      <c r="AO152" s="1">
        <f>value(IFERROR(SUBSTITUTE(SUBSTITUTE(VLOOKUP($A152,'Quarterly Pipeline vs Target Pi'!$A:$AP,27,false)," $","")," €",""), "")
)</f>
        <v>0</v>
      </c>
      <c r="AP152" s="17" t="str">
        <f t="shared" si="15"/>
        <v/>
      </c>
      <c r="AQ152" s="1">
        <f>value(IFERROR(SUBSTITUTE(SUBSTITUTE(VLOOKUP($A152,'Quarterly Pipeline vs Target Pi'!$A:$AP,31,false)," $","")," €",""), "")
)</f>
        <v>0</v>
      </c>
      <c r="AR152" s="1">
        <f>value(IFERROR(SUBSTITUTE(SUBSTITUTE(VLOOKUP($A152,'Quarterly Pipeline vs Target Pi'!$A:$AP,32,false)," $","")," €",""), "")
)</f>
        <v>0</v>
      </c>
      <c r="AS152" s="17" t="str">
        <f t="shared" si="16"/>
        <v/>
      </c>
      <c r="AT152" s="1">
        <f>value(IFERROR(SUBSTITUTE(SUBSTITUTE(VLOOKUP($A152,'Quarterly Pipeline vs Target Pi'!$A:$AP,36,false)," $","")," €",""), "")
)</f>
        <v>0</v>
      </c>
      <c r="AU152" s="1">
        <f>value(IFERROR(SUBSTITUTE(SUBSTITUTE(VLOOKUP($A152,'Quarterly Pipeline vs Target Pi'!$A:$AP,37,false)," $","")," €",""), "")
)</f>
        <v>0</v>
      </c>
      <c r="AV152" s="17" t="str">
        <f t="shared" si="17"/>
        <v/>
      </c>
      <c r="AW152" s="1">
        <f>value(IFERROR(SUBSTITUTE(SUBSTITUTE(VLOOKUP($A152,'Quarterly Pipeline vs Target Pi'!$A:$AP,41,false)," $","")," €",""), "")
)</f>
        <v>0</v>
      </c>
      <c r="AX152" s="1">
        <f>value(IFERROR(SUBSTITUTE(SUBSTITUTE(VLOOKUP($A152,'Quarterly Pipeline vs Target Pi'!$A:$AP,42,false)," $","")," €",""), "")
)</f>
        <v>0</v>
      </c>
      <c r="AY152" s="17" t="str">
        <f t="shared" si="18"/>
        <v/>
      </c>
      <c r="AZ152" s="1">
        <f t="shared" ref="AZ152:BA152" si="318">sum(AN152,AQ152,AT152,AW152)</f>
        <v>0</v>
      </c>
      <c r="BA152" s="1">
        <f t="shared" si="318"/>
        <v>0</v>
      </c>
      <c r="BB152" s="17" t="str">
        <f t="shared" si="20"/>
        <v/>
      </c>
    </row>
    <row r="153">
      <c r="A153" s="1" t="str">
        <f>IFERROR(__xludf.DUMMYFUNCTION("""COMPUTED_VALUE"""),"63fcbb85a107c871cf56554f")</f>
        <v>63fcbb85a107c871cf56554f</v>
      </c>
      <c r="B153" s="1" t="str">
        <f>IFERROR(__xludf.DUMMYFUNCTION("""COMPUTED_VALUE"""),"Edutek limited")</f>
        <v>Edutek limited</v>
      </c>
      <c r="C153" s="1" t="str">
        <f>IFERROR(__xludf.DUMMYFUNCTION("""COMPUTED_VALUE"""),"brendan.flaherty@al-enterprise.com")</f>
        <v>brendan.flaherty@al-enterprise.com</v>
      </c>
      <c r="D153" s="1" t="str">
        <f>IFERROR(__xludf.DUMMYFUNCTION("""COMPUTED_VALUE"""),"americas")</f>
        <v>americas</v>
      </c>
      <c r="E153" s="1" t="str">
        <f>IFERROR(__xludf.DUMMYFUNCTION("""COMPUTED_VALUE"""),"US")</f>
        <v>US</v>
      </c>
      <c r="F153" s="1"/>
      <c r="G153" s="1" t="str">
        <f>iferror(VLOOKUP(A153,'Business Plan Setup and Accepta'!A:G,6,false),"")</f>
        <v/>
      </c>
      <c r="H153" s="1" t="str">
        <f>iferror(VLOOKUP(A153,'Business Plan Setup and Accepta'!A:G,7,false),"")</f>
        <v/>
      </c>
      <c r="I153" s="17" t="str">
        <f t="shared" si="3"/>
        <v/>
      </c>
      <c r="J153" s="1" t="str">
        <f>IFERROR(VALUE(SUBSTITUTE(VLOOKUP(A153,'Sales IN Revenues vs Sales targ'!A:G,6,false)," $","")), "")
</f>
        <v/>
      </c>
      <c r="K153" s="1" t="str">
        <f>IFERROR(VALUE(SUBSTITUTE(VLOOKUP(A153,'Sales IN Revenues vs Sales targ'!A:G,7,false)," $","")), "")
</f>
        <v/>
      </c>
      <c r="L153" s="17" t="str">
        <f t="shared" si="4"/>
        <v/>
      </c>
      <c r="M153" s="1">
        <f>value(SUBSTITUTE(IFERROR(VLOOKUP(A153,'Certifications achievements vs '!A:G,6,false),""),"#","")
)</f>
        <v>0</v>
      </c>
      <c r="N153" s="1">
        <f>value(SUBSTITUTE(IFERROR(VLOOKUP(A153,'Certifications achievements vs '!A:G,7,false),""),"#","")
)</f>
        <v>0</v>
      </c>
      <c r="O153" s="17" t="str">
        <f t="shared" si="5"/>
        <v/>
      </c>
      <c r="P153" s="1">
        <f>value(SUBSTITUTE(IFERROR(VLOOKUP(A153,'Communications - Solution Speci'!A:G,6,false),""),"#","")
)</f>
        <v>0</v>
      </c>
      <c r="Q153" s="1">
        <f>value(SUBSTITUTE(IFERROR(VLOOKUP(A153,'Communications - Solution Speci'!A:G,7,false),""),"#","")
)</f>
        <v>0</v>
      </c>
      <c r="R153" s="17" t="str">
        <f t="shared" si="6"/>
        <v/>
      </c>
      <c r="S153" s="1">
        <f>value(SUBSTITUTE(IFERROR(VLOOKUP(A153,'Networking - Solution Specializ'!A:G,6,false),""),"#","")
)</f>
        <v>0</v>
      </c>
      <c r="T153" s="1">
        <f>value(SUBSTITUTE(IFERROR(VLOOKUP(A153,'Networking - Solution Specializ'!A:G,7,false),""),"#","")
)</f>
        <v>0</v>
      </c>
      <c r="U153" s="17" t="str">
        <f t="shared" si="7"/>
        <v/>
      </c>
      <c r="V153" s="1" t="str">
        <f>iferror(vlookup(A153,'Marketing Plan (extract summary'!A:G,6,false),"")</f>
        <v/>
      </c>
      <c r="W153" s="1" t="str">
        <f>iferror(vlookup(A153,'Marketing Plan (extract summary'!A:G,7,false),"")</f>
        <v/>
      </c>
      <c r="X153" s="17" t="str">
        <f t="shared" si="8"/>
        <v/>
      </c>
      <c r="Y153" s="1">
        <f>value(IFERROR(SUBSTITUTE(SUBSTITUTE(VLOOKUP(A153,'Quarterly Pipeline vs Target Pi'!A:G,6,false)," $","")," €",""), "")
)</f>
        <v>0</v>
      </c>
      <c r="Z153" s="1">
        <f>value(IFERROR(SUBSTITUTE(SUBSTITUTE(VLOOKUP(A153,'Quarterly Pipeline vs Target Pi'!A:G,7,false)," $","")," €",""), "")
)</f>
        <v>0</v>
      </c>
      <c r="AA153" s="17" t="str">
        <f t="shared" si="9"/>
        <v/>
      </c>
      <c r="AB153" s="1">
        <f>value(IFERROR(SUBSTITUTE(SUBSTITUTE(VLOOKUP($A153,'Quarterly Pipeline vs Target Pi'!$A:$V,11,false)," $","")," €",""), "")
)</f>
        <v>0</v>
      </c>
      <c r="AC153" s="1">
        <f>value(IFERROR(SUBSTITUTE(SUBSTITUTE(VLOOKUP($A153,'Quarterly Pipeline vs Target Pi'!$A:$V,12,false)," $","")," €",""), "")
)</f>
        <v>0</v>
      </c>
      <c r="AD153" s="17" t="str">
        <f t="shared" si="10"/>
        <v/>
      </c>
      <c r="AE153" s="1">
        <f>value(IFERROR(SUBSTITUTE(SUBSTITUTE(VLOOKUP($A153,'Quarterly Pipeline vs Target Pi'!$A:$V,16,false)," $","")," €",""), "")
)</f>
        <v>0</v>
      </c>
      <c r="AF153" s="1">
        <f>value(IFERROR(SUBSTITUTE(SUBSTITUTE(VLOOKUP($A153,'Quarterly Pipeline vs Target Pi'!$A:$V,17,false)," $","")," €",""), "")
)</f>
        <v>0</v>
      </c>
      <c r="AG153" s="17" t="str">
        <f t="shared" si="11"/>
        <v/>
      </c>
      <c r="AH153" s="1">
        <f>value(IFERROR(SUBSTITUTE(SUBSTITUTE(VLOOKUP($A153,'Quarterly Pipeline vs Target Pi'!$A:$V,21,false)," $","")," €",""), "")
)</f>
        <v>0</v>
      </c>
      <c r="AI153" s="1">
        <f>value(IFERROR(SUBSTITUTE(SUBSTITUTE(VLOOKUP($A153,'Quarterly Pipeline vs Target Pi'!$A:$V,22,false)," $","")," €",""), "")
)</f>
        <v>0</v>
      </c>
      <c r="AJ153" s="17" t="str">
        <f t="shared" si="12"/>
        <v/>
      </c>
      <c r="AK153" s="1">
        <f t="shared" ref="AK153:AL153" si="319">sum(Y153,AB153,AE153,AH153)</f>
        <v>0</v>
      </c>
      <c r="AL153" s="1">
        <f t="shared" si="319"/>
        <v>0</v>
      </c>
      <c r="AM153" s="17" t="str">
        <f t="shared" si="14"/>
        <v/>
      </c>
      <c r="AN153" s="1">
        <f>value(IFERROR(SUBSTITUTE(SUBSTITUTE(VLOOKUP($A153,'Quarterly Pipeline vs Target Pi'!$A:$AP,26,false)," $","")," €",""), "")
)</f>
        <v>0</v>
      </c>
      <c r="AO153" s="1">
        <f>value(IFERROR(SUBSTITUTE(SUBSTITUTE(VLOOKUP($A153,'Quarterly Pipeline vs Target Pi'!$A:$AP,27,false)," $","")," €",""), "")
)</f>
        <v>0</v>
      </c>
      <c r="AP153" s="17" t="str">
        <f t="shared" si="15"/>
        <v/>
      </c>
      <c r="AQ153" s="1">
        <f>value(IFERROR(SUBSTITUTE(SUBSTITUTE(VLOOKUP($A153,'Quarterly Pipeline vs Target Pi'!$A:$AP,31,false)," $","")," €",""), "")
)</f>
        <v>0</v>
      </c>
      <c r="AR153" s="1">
        <f>value(IFERROR(SUBSTITUTE(SUBSTITUTE(VLOOKUP($A153,'Quarterly Pipeline vs Target Pi'!$A:$AP,32,false)," $","")," €",""), "")
)</f>
        <v>0</v>
      </c>
      <c r="AS153" s="17" t="str">
        <f t="shared" si="16"/>
        <v/>
      </c>
      <c r="AT153" s="1">
        <f>value(IFERROR(SUBSTITUTE(SUBSTITUTE(VLOOKUP($A153,'Quarterly Pipeline vs Target Pi'!$A:$AP,36,false)," $","")," €",""), "")
)</f>
        <v>0</v>
      </c>
      <c r="AU153" s="1">
        <f>value(IFERROR(SUBSTITUTE(SUBSTITUTE(VLOOKUP($A153,'Quarterly Pipeline vs Target Pi'!$A:$AP,37,false)," $","")," €",""), "")
)</f>
        <v>0</v>
      </c>
      <c r="AV153" s="17" t="str">
        <f t="shared" si="17"/>
        <v/>
      </c>
      <c r="AW153" s="1">
        <f>value(IFERROR(SUBSTITUTE(SUBSTITUTE(VLOOKUP($A153,'Quarterly Pipeline vs Target Pi'!$A:$AP,41,false)," $","")," €",""), "")
)</f>
        <v>0</v>
      </c>
      <c r="AX153" s="1">
        <f>value(IFERROR(SUBSTITUTE(SUBSTITUTE(VLOOKUP($A153,'Quarterly Pipeline vs Target Pi'!$A:$AP,42,false)," $","")," €",""), "")
)</f>
        <v>0</v>
      </c>
      <c r="AY153" s="17" t="str">
        <f t="shared" si="18"/>
        <v/>
      </c>
      <c r="AZ153" s="1">
        <f t="shared" ref="AZ153:BA153" si="320">sum(AN153,AQ153,AT153,AW153)</f>
        <v>0</v>
      </c>
      <c r="BA153" s="1">
        <f t="shared" si="320"/>
        <v>0</v>
      </c>
      <c r="BB153" s="17" t="str">
        <f t="shared" si="20"/>
        <v/>
      </c>
    </row>
    <row r="154">
      <c r="A154" s="1" t="str">
        <f>IFERROR(__xludf.DUMMYFUNCTION("""COMPUTED_VALUE"""),"63ef9d5a384f27260c1ba72b")</f>
        <v>63ef9d5a384f27260c1ba72b</v>
      </c>
      <c r="B154" s="1" t="str">
        <f>IFERROR(__xludf.DUMMYFUNCTION("""COMPUTED_VALUE"""),"EDV-Systemhaus Arno Kindler")</f>
        <v>EDV-Systemhaus Arno Kindler</v>
      </c>
      <c r="C154" s="1" t="str">
        <f>IFERROR(__xludf.DUMMYFUNCTION("""COMPUTED_VALUE"""),"michael.moog@al-enterprise.com")</f>
        <v>michael.moog@al-enterprise.com</v>
      </c>
      <c r="D154" s="1" t="str">
        <f>IFERROR(__xludf.DUMMYFUNCTION("""COMPUTED_VALUE"""),"germany")</f>
        <v>germany</v>
      </c>
      <c r="E154" s="1" t="str">
        <f>IFERROR(__xludf.DUMMYFUNCTION("""COMPUTED_VALUE"""),"DE")</f>
        <v>DE</v>
      </c>
      <c r="F154" s="1"/>
      <c r="G154" s="1" t="str">
        <f>iferror(VLOOKUP(A154,'Business Plan Setup and Accepta'!A:G,6,false),"")</f>
        <v/>
      </c>
      <c r="H154" s="1" t="str">
        <f>iferror(VLOOKUP(A154,'Business Plan Setup and Accepta'!A:G,7,false),"")</f>
        <v/>
      </c>
      <c r="I154" s="17" t="str">
        <f t="shared" si="3"/>
        <v/>
      </c>
      <c r="J154" s="1" t="str">
        <f>IFERROR(VALUE(SUBSTITUTE(VLOOKUP(A154,'Sales IN Revenues vs Sales targ'!A:G,6,false)," $","")), "")
</f>
        <v/>
      </c>
      <c r="K154" s="1" t="str">
        <f>IFERROR(VALUE(SUBSTITUTE(VLOOKUP(A154,'Sales IN Revenues vs Sales targ'!A:G,7,false)," $","")), "")
</f>
        <v/>
      </c>
      <c r="L154" s="17" t="str">
        <f t="shared" si="4"/>
        <v/>
      </c>
      <c r="M154" s="1">
        <f>value(SUBSTITUTE(IFERROR(VLOOKUP(A154,'Certifications achievements vs '!A:G,6,false),""),"#","")
)</f>
        <v>0</v>
      </c>
      <c r="N154" s="1">
        <f>value(SUBSTITUTE(IFERROR(VLOOKUP(A154,'Certifications achievements vs '!A:G,7,false),""),"#","")
)</f>
        <v>0</v>
      </c>
      <c r="O154" s="17" t="str">
        <f t="shared" si="5"/>
        <v/>
      </c>
      <c r="P154" s="1">
        <f>value(SUBSTITUTE(IFERROR(VLOOKUP(A154,'Communications - Solution Speci'!A:G,6,false),""),"#","")
)</f>
        <v>0</v>
      </c>
      <c r="Q154" s="1">
        <f>value(SUBSTITUTE(IFERROR(VLOOKUP(A154,'Communications - Solution Speci'!A:G,7,false),""),"#","")
)</f>
        <v>0</v>
      </c>
      <c r="R154" s="17" t="str">
        <f t="shared" si="6"/>
        <v/>
      </c>
      <c r="S154" s="1">
        <f>value(SUBSTITUTE(IFERROR(VLOOKUP(A154,'Networking - Solution Specializ'!A:G,6,false),""),"#","")
)</f>
        <v>0</v>
      </c>
      <c r="T154" s="1">
        <f>value(SUBSTITUTE(IFERROR(VLOOKUP(A154,'Networking - Solution Specializ'!A:G,7,false),""),"#","")
)</f>
        <v>0</v>
      </c>
      <c r="U154" s="17" t="str">
        <f t="shared" si="7"/>
        <v/>
      </c>
      <c r="V154" s="1" t="str">
        <f>iferror(vlookup(A154,'Marketing Plan (extract summary'!A:G,6,false),"")</f>
        <v/>
      </c>
      <c r="W154" s="1" t="str">
        <f>iferror(vlookup(A154,'Marketing Plan (extract summary'!A:G,7,false),"")</f>
        <v/>
      </c>
      <c r="X154" s="17" t="str">
        <f t="shared" si="8"/>
        <v/>
      </c>
      <c r="Y154" s="1">
        <f>value(IFERROR(SUBSTITUTE(SUBSTITUTE(VLOOKUP(A154,'Quarterly Pipeline vs Target Pi'!A:G,6,false)," $","")," €",""), "")
)</f>
        <v>0</v>
      </c>
      <c r="Z154" s="1">
        <f>value(IFERROR(SUBSTITUTE(SUBSTITUTE(VLOOKUP(A154,'Quarterly Pipeline vs Target Pi'!A:G,7,false)," $","")," €",""), "")
)</f>
        <v>0</v>
      </c>
      <c r="AA154" s="17" t="str">
        <f t="shared" si="9"/>
        <v/>
      </c>
      <c r="AB154" s="1">
        <f>value(IFERROR(SUBSTITUTE(SUBSTITUTE(VLOOKUP($A154,'Quarterly Pipeline vs Target Pi'!$A:$V,11,false)," $","")," €",""), "")
)</f>
        <v>0</v>
      </c>
      <c r="AC154" s="1">
        <f>value(IFERROR(SUBSTITUTE(SUBSTITUTE(VLOOKUP($A154,'Quarterly Pipeline vs Target Pi'!$A:$V,12,false)," $","")," €",""), "")
)</f>
        <v>0</v>
      </c>
      <c r="AD154" s="17" t="str">
        <f t="shared" si="10"/>
        <v/>
      </c>
      <c r="AE154" s="1">
        <f>value(IFERROR(SUBSTITUTE(SUBSTITUTE(VLOOKUP($A154,'Quarterly Pipeline vs Target Pi'!$A:$V,16,false)," $","")," €",""), "")
)</f>
        <v>0</v>
      </c>
      <c r="AF154" s="1">
        <f>value(IFERROR(SUBSTITUTE(SUBSTITUTE(VLOOKUP($A154,'Quarterly Pipeline vs Target Pi'!$A:$V,17,false)," $","")," €",""), "")
)</f>
        <v>0</v>
      </c>
      <c r="AG154" s="17" t="str">
        <f t="shared" si="11"/>
        <v/>
      </c>
      <c r="AH154" s="1">
        <f>value(IFERROR(SUBSTITUTE(SUBSTITUTE(VLOOKUP($A154,'Quarterly Pipeline vs Target Pi'!$A:$V,21,false)," $","")," €",""), "")
)</f>
        <v>0</v>
      </c>
      <c r="AI154" s="1">
        <f>value(IFERROR(SUBSTITUTE(SUBSTITUTE(VLOOKUP($A154,'Quarterly Pipeline vs Target Pi'!$A:$V,22,false)," $","")," €",""), "")
)</f>
        <v>0</v>
      </c>
      <c r="AJ154" s="17" t="str">
        <f t="shared" si="12"/>
        <v/>
      </c>
      <c r="AK154" s="1">
        <f t="shared" ref="AK154:AL154" si="321">sum(Y154,AB154,AE154,AH154)</f>
        <v>0</v>
      </c>
      <c r="AL154" s="1">
        <f t="shared" si="321"/>
        <v>0</v>
      </c>
      <c r="AM154" s="17" t="str">
        <f t="shared" si="14"/>
        <v/>
      </c>
      <c r="AN154" s="1">
        <f>value(IFERROR(SUBSTITUTE(SUBSTITUTE(VLOOKUP($A154,'Quarterly Pipeline vs Target Pi'!$A:$AP,26,false)," $","")," €",""), "")
)</f>
        <v>0</v>
      </c>
      <c r="AO154" s="1">
        <f>value(IFERROR(SUBSTITUTE(SUBSTITUTE(VLOOKUP($A154,'Quarterly Pipeline vs Target Pi'!$A:$AP,27,false)," $","")," €",""), "")
)</f>
        <v>0</v>
      </c>
      <c r="AP154" s="17" t="str">
        <f t="shared" si="15"/>
        <v/>
      </c>
      <c r="AQ154" s="1">
        <f>value(IFERROR(SUBSTITUTE(SUBSTITUTE(VLOOKUP($A154,'Quarterly Pipeline vs Target Pi'!$A:$AP,31,false)," $","")," €",""), "")
)</f>
        <v>0</v>
      </c>
      <c r="AR154" s="1">
        <f>value(IFERROR(SUBSTITUTE(SUBSTITUTE(VLOOKUP($A154,'Quarterly Pipeline vs Target Pi'!$A:$AP,32,false)," $","")," €",""), "")
)</f>
        <v>0</v>
      </c>
      <c r="AS154" s="17" t="str">
        <f t="shared" si="16"/>
        <v/>
      </c>
      <c r="AT154" s="1">
        <f>value(IFERROR(SUBSTITUTE(SUBSTITUTE(VLOOKUP($A154,'Quarterly Pipeline vs Target Pi'!$A:$AP,36,false)," $","")," €",""), "")
)</f>
        <v>0</v>
      </c>
      <c r="AU154" s="1">
        <f>value(IFERROR(SUBSTITUTE(SUBSTITUTE(VLOOKUP($A154,'Quarterly Pipeline vs Target Pi'!$A:$AP,37,false)," $","")," €",""), "")
)</f>
        <v>0</v>
      </c>
      <c r="AV154" s="17" t="str">
        <f t="shared" si="17"/>
        <v/>
      </c>
      <c r="AW154" s="1">
        <f>value(IFERROR(SUBSTITUTE(SUBSTITUTE(VLOOKUP($A154,'Quarterly Pipeline vs Target Pi'!$A:$AP,41,false)," $","")," €",""), "")
)</f>
        <v>0</v>
      </c>
      <c r="AX154" s="1">
        <f>value(IFERROR(SUBSTITUTE(SUBSTITUTE(VLOOKUP($A154,'Quarterly Pipeline vs Target Pi'!$A:$AP,42,false)," $","")," €",""), "")
)</f>
        <v>0</v>
      </c>
      <c r="AY154" s="17" t="str">
        <f t="shared" si="18"/>
        <v/>
      </c>
      <c r="AZ154" s="1">
        <f t="shared" ref="AZ154:BA154" si="322">sum(AN154,AQ154,AT154,AW154)</f>
        <v>0</v>
      </c>
      <c r="BA154" s="1">
        <f t="shared" si="322"/>
        <v>0</v>
      </c>
      <c r="BB154" s="17" t="str">
        <f t="shared" si="20"/>
        <v/>
      </c>
    </row>
    <row r="155">
      <c r="A155" s="1" t="str">
        <f>IFERROR(__xludf.DUMMYFUNCTION("""COMPUTED_VALUE"""),"63ea6e9252ad6968805cea0f")</f>
        <v>63ea6e9252ad6968805cea0f</v>
      </c>
      <c r="B155" s="1" t="str">
        <f>IFERROR(__xludf.DUMMYFUNCTION("""COMPUTED_VALUE"""),"effexx its GmbH")</f>
        <v>effexx its GmbH</v>
      </c>
      <c r="C155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155" s="1" t="str">
        <f>IFERROR(__xludf.DUMMYFUNCTION("""COMPUTED_VALUE"""),"germany")</f>
        <v>germany</v>
      </c>
      <c r="E155" s="1" t="str">
        <f>IFERROR(__xludf.DUMMYFUNCTION("""COMPUTED_VALUE"""),"DE")</f>
        <v>DE</v>
      </c>
      <c r="F155" s="1" t="str">
        <f>IFERROR(__xludf.DUMMYFUNCTION("""COMPUTED_VALUE"""),"expert_1000")</f>
        <v>expert_1000</v>
      </c>
      <c r="G155" s="1">
        <f>iferror(VLOOKUP(A155,'Business Plan Setup and Accepta'!A:G,6,false),"")</f>
        <v>0</v>
      </c>
      <c r="H155" s="1">
        <f>iferror(VLOOKUP(A155,'Business Plan Setup and Accepta'!A:G,7,false),"")</f>
        <v>1</v>
      </c>
      <c r="I155" s="17">
        <f t="shared" si="3"/>
        <v>0</v>
      </c>
      <c r="J155" s="1">
        <f>IFERROR(VALUE(SUBSTITUTE(VLOOKUP(A155,'Sales IN Revenues vs Sales targ'!A:G,6,false)," $","")), "")
</f>
        <v>618.59</v>
      </c>
      <c r="K155" s="1">
        <f>IFERROR(VALUE(SUBSTITUTE(VLOOKUP(A155,'Sales IN Revenues vs Sales targ'!A:G,7,false)," $","")), "")
</f>
        <v>1253</v>
      </c>
      <c r="L155" s="17">
        <f t="shared" si="4"/>
        <v>0.4936871508</v>
      </c>
      <c r="M155" s="1">
        <f>value(SUBSTITUTE(IFERROR(VLOOKUP(A155,'Certifications achievements vs '!A:G,6,false),""),"#","")
)</f>
        <v>64</v>
      </c>
      <c r="N155" s="1">
        <f>value(SUBSTITUTE(IFERROR(VLOOKUP(A155,'Certifications achievements vs '!A:G,7,false),""),"#","")
)</f>
        <v>52</v>
      </c>
      <c r="O155" s="17">
        <f t="shared" si="5"/>
        <v>1.230769231</v>
      </c>
      <c r="P155" s="1">
        <f>value(SUBSTITUTE(IFERROR(VLOOKUP(A155,'Communications - Solution Speci'!A:G,6,false),""),"#","")
)</f>
        <v>1</v>
      </c>
      <c r="Q155" s="1">
        <f>value(SUBSTITUTE(IFERROR(VLOOKUP(A155,'Communications - Solution Speci'!A:G,7,false),""),"#","")
)</f>
        <v>1</v>
      </c>
      <c r="R155" s="17">
        <f t="shared" si="6"/>
        <v>1</v>
      </c>
      <c r="S155" s="1">
        <f>value(SUBSTITUTE(IFERROR(VLOOKUP(A155,'Networking - Solution Specializ'!A:G,6,false),""),"#","")
)</f>
        <v>1</v>
      </c>
      <c r="T155" s="1">
        <f>value(SUBSTITUTE(IFERROR(VLOOKUP(A155,'Networking - Solution Specializ'!A:G,7,false),""),"#","")
)</f>
        <v>1</v>
      </c>
      <c r="U155" s="17">
        <f t="shared" si="7"/>
        <v>1</v>
      </c>
      <c r="V155" s="1">
        <f>iferror(vlookup(A155,'Marketing Plan (extract summary'!A:G,6,false),"")</f>
        <v>1</v>
      </c>
      <c r="W155" s="1">
        <f>iferror(vlookup(A155,'Marketing Plan (extract summary'!A:G,7,false),"")</f>
        <v>1</v>
      </c>
      <c r="X155" s="17">
        <f t="shared" si="8"/>
        <v>1</v>
      </c>
      <c r="Y155" s="1">
        <f>value(IFERROR(SUBSTITUTE(SUBSTITUTE(VLOOKUP(A155,'Quarterly Pipeline vs Target Pi'!A:G,6,false)," $","")," €",""), "")
)</f>
        <v>27.25</v>
      </c>
      <c r="Z155" s="1">
        <f>value(IFERROR(SUBSTITUTE(SUBSTITUTE(VLOOKUP(A155,'Quarterly Pipeline vs Target Pi'!A:G,7,false)," $","")," €",""), "")
)</f>
        <v>0</v>
      </c>
      <c r="AA155" s="17" t="str">
        <f t="shared" si="9"/>
        <v/>
      </c>
      <c r="AB155" s="1">
        <f>value(IFERROR(SUBSTITUTE(SUBSTITUTE(VLOOKUP($A155,'Quarterly Pipeline vs Target Pi'!$A:$V,11,false)," $","")," €",""), "")
)</f>
        <v>17.56</v>
      </c>
      <c r="AC155" s="1">
        <f>value(IFERROR(SUBSTITUTE(SUBSTITUTE(VLOOKUP($A155,'Quarterly Pipeline vs Target Pi'!$A:$V,12,false)," $","")," €",""), "")
)</f>
        <v>833.33</v>
      </c>
      <c r="AD155" s="17">
        <f t="shared" si="10"/>
        <v>0.02107208429</v>
      </c>
      <c r="AE155" s="1">
        <f>value(IFERROR(SUBSTITUTE(SUBSTITUTE(VLOOKUP($A155,'Quarterly Pipeline vs Target Pi'!$A:$V,16,false)," $","")," €",""), "")
)</f>
        <v>229.74</v>
      </c>
      <c r="AF155" s="1">
        <f>value(IFERROR(SUBSTITUTE(SUBSTITUTE(VLOOKUP($A155,'Quarterly Pipeline vs Target Pi'!$A:$V,17,false)," $","")," €",""), "")
)</f>
        <v>1240</v>
      </c>
      <c r="AG155" s="17">
        <f t="shared" si="11"/>
        <v>0.1852741935</v>
      </c>
      <c r="AH155" s="1">
        <f>value(IFERROR(SUBSTITUTE(SUBSTITUTE(VLOOKUP($A155,'Quarterly Pipeline vs Target Pi'!$A:$V,21,false)," $","")," €",""), "")
)</f>
        <v>1371.73</v>
      </c>
      <c r="AI155" s="1">
        <f>value(IFERROR(SUBSTITUTE(SUBSTITUTE(VLOOKUP($A155,'Quarterly Pipeline vs Target Pi'!$A:$V,22,false)," $","")," €",""), "")
)</f>
        <v>1266.67</v>
      </c>
      <c r="AJ155" s="17">
        <f t="shared" si="12"/>
        <v>1.082941887</v>
      </c>
      <c r="AK155" s="1">
        <f t="shared" ref="AK155:AL155" si="323">sum(Y155,AB155,AE155,AH155)</f>
        <v>1646.28</v>
      </c>
      <c r="AL155" s="1">
        <f t="shared" si="323"/>
        <v>3340</v>
      </c>
      <c r="AM155" s="17">
        <f t="shared" si="14"/>
        <v>0.4928982036</v>
      </c>
      <c r="AN155" s="1">
        <f>value(IFERROR(SUBSTITUTE(SUBSTITUTE(VLOOKUP($A155,'Quarterly Pipeline vs Target Pi'!$A:$AP,26,false)," $","")," €",""), "")
)</f>
        <v>80.57</v>
      </c>
      <c r="AO155" s="1">
        <f>value(IFERROR(SUBSTITUTE(SUBSTITUTE(VLOOKUP($A155,'Quarterly Pipeline vs Target Pi'!$A:$AP,27,false)," $","")," €",""), "")
)</f>
        <v>0</v>
      </c>
      <c r="AP155" s="17" t="str">
        <f t="shared" si="15"/>
        <v/>
      </c>
      <c r="AQ155" s="1">
        <f>value(IFERROR(SUBSTITUTE(SUBSTITUTE(VLOOKUP($A155,'Quarterly Pipeline vs Target Pi'!$A:$AP,31,false)," $","")," €",""), "")
)</f>
        <v>4020.37</v>
      </c>
      <c r="AR155" s="1">
        <f>value(IFERROR(SUBSTITUTE(SUBSTITUTE(VLOOKUP($A155,'Quarterly Pipeline vs Target Pi'!$A:$AP,32,false)," $","")," €",""), "")
)</f>
        <v>0</v>
      </c>
      <c r="AS155" s="17" t="str">
        <f t="shared" si="16"/>
        <v/>
      </c>
      <c r="AT155" s="1">
        <f>value(IFERROR(SUBSTITUTE(SUBSTITUTE(VLOOKUP($A155,'Quarterly Pipeline vs Target Pi'!$A:$AP,36,false)," $","")," €",""), "")
)</f>
        <v>216.9</v>
      </c>
      <c r="AU155" s="1">
        <f>value(IFERROR(SUBSTITUTE(SUBSTITUTE(VLOOKUP($A155,'Quarterly Pipeline vs Target Pi'!$A:$AP,37,false)," $","")," €",""), "")
)</f>
        <v>0</v>
      </c>
      <c r="AV155" s="17" t="str">
        <f t="shared" si="17"/>
        <v/>
      </c>
      <c r="AW155" s="1">
        <f>value(IFERROR(SUBSTITUTE(SUBSTITUTE(VLOOKUP($A155,'Quarterly Pipeline vs Target Pi'!$A:$AP,41,false)," $","")," €",""), "")
)</f>
        <v>32.17</v>
      </c>
      <c r="AX155" s="1">
        <f>value(IFERROR(SUBSTITUTE(SUBSTITUTE(VLOOKUP($A155,'Quarterly Pipeline vs Target Pi'!$A:$AP,42,false)," $","")," €",""), "")
)</f>
        <v>0</v>
      </c>
      <c r="AY155" s="17" t="str">
        <f t="shared" si="18"/>
        <v/>
      </c>
      <c r="AZ155" s="1">
        <f t="shared" ref="AZ155:BA155" si="324">sum(AN155,AQ155,AT155,AW155)</f>
        <v>4350.01</v>
      </c>
      <c r="BA155" s="1">
        <f t="shared" si="324"/>
        <v>0</v>
      </c>
      <c r="BB155" s="17" t="str">
        <f t="shared" si="20"/>
        <v/>
      </c>
    </row>
    <row r="156">
      <c r="A156" s="1" t="str">
        <f>IFERROR(__xludf.DUMMYFUNCTION("""COMPUTED_VALUE"""),"67e40c058a46218c3c09e342")</f>
        <v>67e40c058a46218c3c09e342</v>
      </c>
      <c r="B156" s="1" t="str">
        <f>IFERROR(__xludf.DUMMYFUNCTION("""COMPUTED_VALUE"""),"EGC Colombia SAS")</f>
        <v>EGC Colombia SAS</v>
      </c>
      <c r="C156" s="1" t="str">
        <f>IFERROR(__xludf.DUMMYFUNCTION("""COMPUTED_VALUE"""),"rui.silva@al-enterprise.com, javier.largacha@al-enterprise.com")</f>
        <v>rui.silva@al-enterprise.com, javier.largacha@al-enterprise.com</v>
      </c>
      <c r="D156" s="1" t="str">
        <f>IFERROR(__xludf.DUMMYFUNCTION("""COMPUTED_VALUE"""),"americas")</f>
        <v>americas</v>
      </c>
      <c r="E156" s="1" t="str">
        <f>IFERROR(__xludf.DUMMYFUNCTION("""COMPUTED_VALUE"""),"CO")</f>
        <v>CO</v>
      </c>
      <c r="F156" s="1"/>
      <c r="G156" s="1">
        <f>iferror(VLOOKUP(A156,'Business Plan Setup and Accepta'!A:G,6,false),"")</f>
        <v>0</v>
      </c>
      <c r="H156" s="1">
        <f>iferror(VLOOKUP(A156,'Business Plan Setup and Accepta'!A:G,7,false),"")</f>
        <v>1</v>
      </c>
      <c r="I156" s="17">
        <f t="shared" si="3"/>
        <v>0</v>
      </c>
      <c r="J156" s="1">
        <f>IFERROR(VALUE(SUBSTITUTE(VLOOKUP(A156,'Sales IN Revenues vs Sales targ'!A:G,6,false)," $","")), "")
</f>
        <v>0</v>
      </c>
      <c r="K156" s="1">
        <f>IFERROR(VALUE(SUBSTITUTE(VLOOKUP(A156,'Sales IN Revenues vs Sales targ'!A:G,7,false)," $","")), "")
</f>
        <v>350</v>
      </c>
      <c r="L156" s="17">
        <f t="shared" si="4"/>
        <v>0</v>
      </c>
      <c r="M156" s="1">
        <f>value(SUBSTITUTE(IFERROR(VLOOKUP(A156,'Certifications achievements vs '!A:G,6,false),""),"#","")
)</f>
        <v>0</v>
      </c>
      <c r="N156" s="1">
        <f>value(SUBSTITUTE(IFERROR(VLOOKUP(A156,'Certifications achievements vs '!A:G,7,false),""),"#","")
)</f>
        <v>0</v>
      </c>
      <c r="O156" s="17" t="str">
        <f t="shared" si="5"/>
        <v/>
      </c>
      <c r="P156" s="1">
        <f>value(SUBSTITUTE(IFERROR(VLOOKUP(A156,'Communications - Solution Speci'!A:G,6,false),""),"#","")
)</f>
        <v>0</v>
      </c>
      <c r="Q156" s="1">
        <f>value(SUBSTITUTE(IFERROR(VLOOKUP(A156,'Communications - Solution Speci'!A:G,7,false),""),"#","")
)</f>
        <v>1</v>
      </c>
      <c r="R156" s="17">
        <f t="shared" si="6"/>
        <v>0</v>
      </c>
      <c r="S156" s="1">
        <f>value(SUBSTITUTE(IFERROR(VLOOKUP(A156,'Networking - Solution Specializ'!A:G,6,false),""),"#","")
)</f>
        <v>0</v>
      </c>
      <c r="T156" s="1">
        <f>value(SUBSTITUTE(IFERROR(VLOOKUP(A156,'Networking - Solution Specializ'!A:G,7,false),""),"#","")
)</f>
        <v>1</v>
      </c>
      <c r="U156" s="17">
        <f t="shared" si="7"/>
        <v>0</v>
      </c>
      <c r="V156" s="1">
        <f>iferror(vlookup(A156,'Marketing Plan (extract summary'!A:G,6,false),"")</f>
        <v>0</v>
      </c>
      <c r="W156" s="1">
        <f>iferror(vlookup(A156,'Marketing Plan (extract summary'!A:G,7,false),"")</f>
        <v>1</v>
      </c>
      <c r="X156" s="17">
        <f t="shared" si="8"/>
        <v>0</v>
      </c>
      <c r="Y156" s="1">
        <f>value(IFERROR(SUBSTITUTE(SUBSTITUTE(VLOOKUP(A156,'Quarterly Pipeline vs Target Pi'!A:G,6,false)," $","")," €",""), "")
)</f>
        <v>0</v>
      </c>
      <c r="Z156" s="1">
        <f>value(IFERROR(SUBSTITUTE(SUBSTITUTE(VLOOKUP(A156,'Quarterly Pipeline vs Target Pi'!A:G,7,false)," $","")," €",""), "")
)</f>
        <v>0</v>
      </c>
      <c r="AA156" s="17" t="str">
        <f t="shared" si="9"/>
        <v/>
      </c>
      <c r="AB156" s="1">
        <f>value(IFERROR(SUBSTITUTE(SUBSTITUTE(VLOOKUP($A156,'Quarterly Pipeline vs Target Pi'!$A:$V,11,false)," $","")," €",""), "")
)</f>
        <v>339.99</v>
      </c>
      <c r="AC156" s="1">
        <f>value(IFERROR(SUBSTITUTE(SUBSTITUTE(VLOOKUP($A156,'Quarterly Pipeline vs Target Pi'!$A:$V,12,false)," $","")," €",""), "")
)</f>
        <v>166.67</v>
      </c>
      <c r="AD156" s="17">
        <f t="shared" si="10"/>
        <v>2.039899202</v>
      </c>
      <c r="AE156" s="1">
        <f>value(IFERROR(SUBSTITUTE(SUBSTITUTE(VLOOKUP($A156,'Quarterly Pipeline vs Target Pi'!$A:$V,16,false)," $","")," €",""), "")
)</f>
        <v>339.99</v>
      </c>
      <c r="AF156" s="1">
        <f>value(IFERROR(SUBSTITUTE(SUBSTITUTE(VLOOKUP($A156,'Quarterly Pipeline vs Target Pi'!$A:$V,17,false)," $","")," €",""), "")
)</f>
        <v>433.32</v>
      </c>
      <c r="AG156" s="17">
        <f t="shared" si="11"/>
        <v>0.7846164497</v>
      </c>
      <c r="AH156" s="1">
        <f>value(IFERROR(SUBSTITUTE(SUBSTITUTE(VLOOKUP($A156,'Quarterly Pipeline vs Target Pi'!$A:$V,21,false)," $","")," €",""), "")
)</f>
        <v>0</v>
      </c>
      <c r="AI156" s="1">
        <f>value(IFERROR(SUBSTITUTE(SUBSTITUTE(VLOOKUP($A156,'Quarterly Pipeline vs Target Pi'!$A:$V,22,false)," $","")," €",""), "")
)</f>
        <v>566.68</v>
      </c>
      <c r="AJ156" s="17">
        <f t="shared" si="12"/>
        <v>0</v>
      </c>
      <c r="AK156" s="1">
        <f t="shared" ref="AK156:AL156" si="325">sum(Y156,AB156,AE156,AH156)</f>
        <v>679.98</v>
      </c>
      <c r="AL156" s="1">
        <f t="shared" si="325"/>
        <v>1166.67</v>
      </c>
      <c r="AM156" s="17">
        <f t="shared" si="14"/>
        <v>0.5828383347</v>
      </c>
      <c r="AN156" s="1">
        <f>value(IFERROR(SUBSTITUTE(SUBSTITUTE(VLOOKUP($A156,'Quarterly Pipeline vs Target Pi'!$A:$AP,26,false)," $","")," €",""), "")
)</f>
        <v>0</v>
      </c>
      <c r="AO156" s="1">
        <f>value(IFERROR(SUBSTITUTE(SUBSTITUTE(VLOOKUP($A156,'Quarterly Pipeline vs Target Pi'!$A:$AP,27,false)," $","")," €",""), "")
)</f>
        <v>0</v>
      </c>
      <c r="AP156" s="17" t="str">
        <f t="shared" si="15"/>
        <v/>
      </c>
      <c r="AQ156" s="1">
        <f>value(IFERROR(SUBSTITUTE(SUBSTITUTE(VLOOKUP($A156,'Quarterly Pipeline vs Target Pi'!$A:$AP,31,false)," $","")," €",""), "")
)</f>
        <v>0</v>
      </c>
      <c r="AR156" s="1">
        <f>value(IFERROR(SUBSTITUTE(SUBSTITUTE(VLOOKUP($A156,'Quarterly Pipeline vs Target Pi'!$A:$AP,32,false)," $","")," €",""), "")
)</f>
        <v>0</v>
      </c>
      <c r="AS156" s="17" t="str">
        <f t="shared" si="16"/>
        <v/>
      </c>
      <c r="AT156" s="1">
        <f>value(IFERROR(SUBSTITUTE(SUBSTITUTE(VLOOKUP($A156,'Quarterly Pipeline vs Target Pi'!$A:$AP,36,false)," $","")," €",""), "")
)</f>
        <v>0</v>
      </c>
      <c r="AU156" s="1">
        <f>value(IFERROR(SUBSTITUTE(SUBSTITUTE(VLOOKUP($A156,'Quarterly Pipeline vs Target Pi'!$A:$AP,37,false)," $","")," €",""), "")
)</f>
        <v>0</v>
      </c>
      <c r="AV156" s="17" t="str">
        <f t="shared" si="17"/>
        <v/>
      </c>
      <c r="AW156" s="1">
        <f>value(IFERROR(SUBSTITUTE(SUBSTITUTE(VLOOKUP($A156,'Quarterly Pipeline vs Target Pi'!$A:$AP,41,false)," $","")," €",""), "")
)</f>
        <v>0</v>
      </c>
      <c r="AX156" s="1">
        <f>value(IFERROR(SUBSTITUTE(SUBSTITUTE(VLOOKUP($A156,'Quarterly Pipeline vs Target Pi'!$A:$AP,42,false)," $","")," €",""), "")
)</f>
        <v>0</v>
      </c>
      <c r="AY156" s="17" t="str">
        <f t="shared" si="18"/>
        <v/>
      </c>
      <c r="AZ156" s="1">
        <f t="shared" ref="AZ156:BA156" si="326">sum(AN156,AQ156,AT156,AW156)</f>
        <v>0</v>
      </c>
      <c r="BA156" s="1">
        <f t="shared" si="326"/>
        <v>0</v>
      </c>
      <c r="BB156" s="17" t="str">
        <f t="shared" si="20"/>
        <v/>
      </c>
    </row>
    <row r="157">
      <c r="A157" s="1" t="str">
        <f>IFERROR(__xludf.DUMMYFUNCTION("""COMPUTED_VALUE"""),"6512933c39ed784394035282")</f>
        <v>6512933c39ed784394035282</v>
      </c>
      <c r="B157" s="1" t="str">
        <f>IFERROR(__xludf.DUMMYFUNCTION("""COMPUTED_VALUE"""),"EL-DA-NET GmbH")</f>
        <v>EL-DA-NET GmbH</v>
      </c>
      <c r="C157" s="1" t="str">
        <f>IFERROR(__xludf.DUMMYFUNCTION("""COMPUTED_VALUE"""),"philippe.girard@al-enterprise.com, rui.silva@al-enterprise.com, ralf.kloeppels@al-enterprise.com, katrin.pfeiffer@al-enterprise.com, sibylle.klopfer@al-enterprise.com, igor.leko@al-enterprise.com")</f>
        <v>philippe.girard@al-enterprise.com, rui.silva@al-enterprise.com, ralf.kloeppels@al-enterprise.com, katrin.pfeiffer@al-enterprise.com, sibylle.klopfer@al-enterprise.com, igor.leko@al-enterprise.com</v>
      </c>
      <c r="D157" s="1" t="str">
        <f>IFERROR(__xludf.DUMMYFUNCTION("""COMPUTED_VALUE"""),"germany")</f>
        <v>germany</v>
      </c>
      <c r="E157" s="1" t="str">
        <f>IFERROR(__xludf.DUMMYFUNCTION("""COMPUTED_VALUE"""),"DE")</f>
        <v>DE</v>
      </c>
      <c r="F157" s="1"/>
      <c r="G157" s="1">
        <f>iferror(VLOOKUP(A157,'Business Plan Setup and Accepta'!A:G,6,false),"")</f>
        <v>0</v>
      </c>
      <c r="H157" s="1">
        <f>iferror(VLOOKUP(A157,'Business Plan Setup and Accepta'!A:G,7,false),"")</f>
        <v>1</v>
      </c>
      <c r="I157" s="17">
        <f t="shared" si="3"/>
        <v>0</v>
      </c>
      <c r="J157" s="1">
        <f>IFERROR(VALUE(SUBSTITUTE(VLOOKUP(A157,'Sales IN Revenues vs Sales targ'!A:G,6,false)," $","")), "")
</f>
        <v>11.33</v>
      </c>
      <c r="K157" s="1">
        <f>IFERROR(VALUE(SUBSTITUTE(VLOOKUP(A157,'Sales IN Revenues vs Sales targ'!A:G,7,false)," $","")), "")
</f>
        <v>0</v>
      </c>
      <c r="L157" s="17" t="str">
        <f t="shared" si="4"/>
        <v/>
      </c>
      <c r="M157" s="1">
        <f>value(SUBSTITUTE(IFERROR(VLOOKUP(A157,'Certifications achievements vs '!A:G,6,false),""),"#","")
)</f>
        <v>4</v>
      </c>
      <c r="N157" s="1">
        <f>value(SUBSTITUTE(IFERROR(VLOOKUP(A157,'Certifications achievements vs '!A:G,7,false),""),"#","")
)</f>
        <v>52</v>
      </c>
      <c r="O157" s="17">
        <f t="shared" si="5"/>
        <v>0.07692307692</v>
      </c>
      <c r="P157" s="1">
        <f>value(SUBSTITUTE(IFERROR(VLOOKUP(A157,'Communications - Solution Speci'!A:G,6,false),""),"#","")
)</f>
        <v>0</v>
      </c>
      <c r="Q157" s="1">
        <f>value(SUBSTITUTE(IFERROR(VLOOKUP(A157,'Communications - Solution Speci'!A:G,7,false),""),"#","")
)</f>
        <v>1</v>
      </c>
      <c r="R157" s="17">
        <f t="shared" si="6"/>
        <v>0</v>
      </c>
      <c r="S157" s="1">
        <f>value(SUBSTITUTE(IFERROR(VLOOKUP(A157,'Networking - Solution Specializ'!A:G,6,false),""),"#","")
)</f>
        <v>1</v>
      </c>
      <c r="T157" s="1">
        <f>value(SUBSTITUTE(IFERROR(VLOOKUP(A157,'Networking - Solution Specializ'!A:G,7,false),""),"#","")
)</f>
        <v>1</v>
      </c>
      <c r="U157" s="17">
        <f t="shared" si="7"/>
        <v>1</v>
      </c>
      <c r="V157" s="1">
        <f>iferror(vlookup(A157,'Marketing Plan (extract summary'!A:G,6,false),"")</f>
        <v>0</v>
      </c>
      <c r="W157" s="1">
        <f>iferror(vlookup(A157,'Marketing Plan (extract summary'!A:G,7,false),"")</f>
        <v>1</v>
      </c>
      <c r="X157" s="17">
        <f t="shared" si="8"/>
        <v>0</v>
      </c>
      <c r="Y157" s="1">
        <f>value(IFERROR(SUBSTITUTE(SUBSTITUTE(VLOOKUP(A157,'Quarterly Pipeline vs Target Pi'!A:G,6,false)," $","")," €",""), "")
)</f>
        <v>25</v>
      </c>
      <c r="Z157" s="1">
        <f>value(IFERROR(SUBSTITUTE(SUBSTITUTE(VLOOKUP(A157,'Quarterly Pipeline vs Target Pi'!A:G,7,false)," $","")," €",""), "")
)</f>
        <v>0</v>
      </c>
      <c r="AA157" s="17" t="str">
        <f t="shared" si="9"/>
        <v/>
      </c>
      <c r="AB157" s="1">
        <f>value(IFERROR(SUBSTITUTE(SUBSTITUTE(VLOOKUP($A157,'Quarterly Pipeline vs Target Pi'!$A:$V,11,false)," $","")," €",""), "")
)</f>
        <v>25</v>
      </c>
      <c r="AC157" s="1">
        <f>value(IFERROR(SUBSTITUTE(SUBSTITUTE(VLOOKUP($A157,'Quarterly Pipeline vs Target Pi'!$A:$V,12,false)," $","")," €",""), "")
)</f>
        <v>0</v>
      </c>
      <c r="AD157" s="17" t="str">
        <f t="shared" si="10"/>
        <v/>
      </c>
      <c r="AE157" s="1">
        <f>value(IFERROR(SUBSTITUTE(SUBSTITUTE(VLOOKUP($A157,'Quarterly Pipeline vs Target Pi'!$A:$V,16,false)," $","")," €",""), "")
)</f>
        <v>425</v>
      </c>
      <c r="AF157" s="1">
        <f>value(IFERROR(SUBSTITUTE(SUBSTITUTE(VLOOKUP($A157,'Quarterly Pipeline vs Target Pi'!$A:$V,17,false)," $","")," €",""), "")
)</f>
        <v>0</v>
      </c>
      <c r="AG157" s="17" t="str">
        <f t="shared" si="11"/>
        <v/>
      </c>
      <c r="AH157" s="1">
        <f>value(IFERROR(SUBSTITUTE(SUBSTITUTE(VLOOKUP($A157,'Quarterly Pipeline vs Target Pi'!$A:$V,21,false)," $","")," €",""), "")
)</f>
        <v>265</v>
      </c>
      <c r="AI157" s="1">
        <f>value(IFERROR(SUBSTITUTE(SUBSTITUTE(VLOOKUP($A157,'Quarterly Pipeline vs Target Pi'!$A:$V,22,false)," $","")," €",""), "")
)</f>
        <v>0</v>
      </c>
      <c r="AJ157" s="17" t="str">
        <f t="shared" si="12"/>
        <v/>
      </c>
      <c r="AK157" s="1">
        <f t="shared" ref="AK157:AL157" si="327">sum(Y157,AB157,AE157,AH157)</f>
        <v>740</v>
      </c>
      <c r="AL157" s="1">
        <f t="shared" si="327"/>
        <v>0</v>
      </c>
      <c r="AM157" s="17" t="str">
        <f t="shared" si="14"/>
        <v/>
      </c>
      <c r="AN157" s="1">
        <f>value(IFERROR(SUBSTITUTE(SUBSTITUTE(VLOOKUP($A157,'Quarterly Pipeline vs Target Pi'!$A:$AP,26,false)," $","")," €",""), "")
)</f>
        <v>0</v>
      </c>
      <c r="AO157" s="1">
        <f>value(IFERROR(SUBSTITUTE(SUBSTITUTE(VLOOKUP($A157,'Quarterly Pipeline vs Target Pi'!$A:$AP,27,false)," $","")," €",""), "")
)</f>
        <v>0</v>
      </c>
      <c r="AP157" s="17" t="str">
        <f t="shared" si="15"/>
        <v/>
      </c>
      <c r="AQ157" s="1">
        <f>value(IFERROR(SUBSTITUTE(SUBSTITUTE(VLOOKUP($A157,'Quarterly Pipeline vs Target Pi'!$A:$AP,31,false)," $","")," €",""), "")
)</f>
        <v>0</v>
      </c>
      <c r="AR157" s="1">
        <f>value(IFERROR(SUBSTITUTE(SUBSTITUTE(VLOOKUP($A157,'Quarterly Pipeline vs Target Pi'!$A:$AP,32,false)," $","")," €",""), "")
)</f>
        <v>0</v>
      </c>
      <c r="AS157" s="17" t="str">
        <f t="shared" si="16"/>
        <v/>
      </c>
      <c r="AT157" s="1">
        <f>value(IFERROR(SUBSTITUTE(SUBSTITUTE(VLOOKUP($A157,'Quarterly Pipeline vs Target Pi'!$A:$AP,36,false)," $","")," €",""), "")
)</f>
        <v>0</v>
      </c>
      <c r="AU157" s="1">
        <f>value(IFERROR(SUBSTITUTE(SUBSTITUTE(VLOOKUP($A157,'Quarterly Pipeline vs Target Pi'!$A:$AP,37,false)," $","")," €",""), "")
)</f>
        <v>0</v>
      </c>
      <c r="AV157" s="17" t="str">
        <f t="shared" si="17"/>
        <v/>
      </c>
      <c r="AW157" s="1">
        <f>value(IFERROR(SUBSTITUTE(SUBSTITUTE(VLOOKUP($A157,'Quarterly Pipeline vs Target Pi'!$A:$AP,41,false)," $","")," €",""), "")
)</f>
        <v>0</v>
      </c>
      <c r="AX157" s="1">
        <f>value(IFERROR(SUBSTITUTE(SUBSTITUTE(VLOOKUP($A157,'Quarterly Pipeline vs Target Pi'!$A:$AP,42,false)," $","")," €",""), "")
)</f>
        <v>0</v>
      </c>
      <c r="AY157" s="17" t="str">
        <f t="shared" si="18"/>
        <v/>
      </c>
      <c r="AZ157" s="1">
        <f t="shared" ref="AZ157:BA157" si="328">sum(AN157,AQ157,AT157,AW157)</f>
        <v>0</v>
      </c>
      <c r="BA157" s="1">
        <f t="shared" si="328"/>
        <v>0</v>
      </c>
      <c r="BB157" s="17" t="str">
        <f t="shared" si="20"/>
        <v/>
      </c>
    </row>
    <row r="158">
      <c r="A158" s="1" t="str">
        <f>IFERROR(__xludf.DUMMYFUNCTION("""COMPUTED_VALUE"""),"63ced84cc5c820531c269491")</f>
        <v>63ced84cc5c820531c269491</v>
      </c>
      <c r="B158" s="1" t="str">
        <f>IFERROR(__xludf.DUMMYFUNCTION("""COMPUTED_VALUE"""),"Eletronor Distribuidora Materiais")</f>
        <v>Eletronor Distribuidora Materiais</v>
      </c>
      <c r="C158" s="1" t="str">
        <f>IFERROR(__xludf.DUMMYFUNCTION("""COMPUTED_VALUE"""),"sinclair.fidelis@al-enterprise.com")</f>
        <v>sinclair.fidelis@al-enterprise.com</v>
      </c>
      <c r="D158" s="1" t="str">
        <f>IFERROR(__xludf.DUMMYFUNCTION("""COMPUTED_VALUE"""),"americas")</f>
        <v>americas</v>
      </c>
      <c r="E158" s="1" t="str">
        <f>IFERROR(__xludf.DUMMYFUNCTION("""COMPUTED_VALUE"""),"BR")</f>
        <v>BR</v>
      </c>
      <c r="F158" s="1"/>
      <c r="G158" s="1" t="str">
        <f>iferror(VLOOKUP(A158,'Business Plan Setup and Accepta'!A:G,6,false),"")</f>
        <v/>
      </c>
      <c r="H158" s="1" t="str">
        <f>iferror(VLOOKUP(A158,'Business Plan Setup and Accepta'!A:G,7,false),"")</f>
        <v/>
      </c>
      <c r="I158" s="17" t="str">
        <f t="shared" si="3"/>
        <v/>
      </c>
      <c r="J158" s="1" t="str">
        <f>IFERROR(VALUE(SUBSTITUTE(VLOOKUP(A158,'Sales IN Revenues vs Sales targ'!A:G,6,false)," $","")), "")
</f>
        <v/>
      </c>
      <c r="K158" s="1" t="str">
        <f>IFERROR(VALUE(SUBSTITUTE(VLOOKUP(A158,'Sales IN Revenues vs Sales targ'!A:G,7,false)," $","")), "")
</f>
        <v/>
      </c>
      <c r="L158" s="17" t="str">
        <f t="shared" si="4"/>
        <v/>
      </c>
      <c r="M158" s="1">
        <f>value(SUBSTITUTE(IFERROR(VLOOKUP(A158,'Certifications achievements vs '!A:G,6,false),""),"#","")
)</f>
        <v>0</v>
      </c>
      <c r="N158" s="1">
        <f>value(SUBSTITUTE(IFERROR(VLOOKUP(A158,'Certifications achievements vs '!A:G,7,false),""),"#","")
)</f>
        <v>0</v>
      </c>
      <c r="O158" s="17" t="str">
        <f t="shared" si="5"/>
        <v/>
      </c>
      <c r="P158" s="1">
        <f>value(SUBSTITUTE(IFERROR(VLOOKUP(A158,'Communications - Solution Speci'!A:G,6,false),""),"#","")
)</f>
        <v>0</v>
      </c>
      <c r="Q158" s="1">
        <f>value(SUBSTITUTE(IFERROR(VLOOKUP(A158,'Communications - Solution Speci'!A:G,7,false),""),"#","")
)</f>
        <v>0</v>
      </c>
      <c r="R158" s="17" t="str">
        <f t="shared" si="6"/>
        <v/>
      </c>
      <c r="S158" s="1">
        <f>value(SUBSTITUTE(IFERROR(VLOOKUP(A158,'Networking - Solution Specializ'!A:G,6,false),""),"#","")
)</f>
        <v>0</v>
      </c>
      <c r="T158" s="1">
        <f>value(SUBSTITUTE(IFERROR(VLOOKUP(A158,'Networking - Solution Specializ'!A:G,7,false),""),"#","")
)</f>
        <v>0</v>
      </c>
      <c r="U158" s="17" t="str">
        <f t="shared" si="7"/>
        <v/>
      </c>
      <c r="V158" s="1" t="str">
        <f>iferror(vlookup(A158,'Marketing Plan (extract summary'!A:G,6,false),"")</f>
        <v/>
      </c>
      <c r="W158" s="1" t="str">
        <f>iferror(vlookup(A158,'Marketing Plan (extract summary'!A:G,7,false),"")</f>
        <v/>
      </c>
      <c r="X158" s="17" t="str">
        <f t="shared" si="8"/>
        <v/>
      </c>
      <c r="Y158" s="1">
        <f>value(IFERROR(SUBSTITUTE(SUBSTITUTE(VLOOKUP(A158,'Quarterly Pipeline vs Target Pi'!A:G,6,false)," $","")," €",""), "")
)</f>
        <v>0</v>
      </c>
      <c r="Z158" s="1">
        <f>value(IFERROR(SUBSTITUTE(SUBSTITUTE(VLOOKUP(A158,'Quarterly Pipeline vs Target Pi'!A:G,7,false)," $","")," €",""), "")
)</f>
        <v>0</v>
      </c>
      <c r="AA158" s="17" t="str">
        <f t="shared" si="9"/>
        <v/>
      </c>
      <c r="AB158" s="1">
        <f>value(IFERROR(SUBSTITUTE(SUBSTITUTE(VLOOKUP($A158,'Quarterly Pipeline vs Target Pi'!$A:$V,11,false)," $","")," €",""), "")
)</f>
        <v>0</v>
      </c>
      <c r="AC158" s="1">
        <f>value(IFERROR(SUBSTITUTE(SUBSTITUTE(VLOOKUP($A158,'Quarterly Pipeline vs Target Pi'!$A:$V,12,false)," $","")," €",""), "")
)</f>
        <v>0</v>
      </c>
      <c r="AD158" s="17" t="str">
        <f t="shared" si="10"/>
        <v/>
      </c>
      <c r="AE158" s="1">
        <f>value(IFERROR(SUBSTITUTE(SUBSTITUTE(VLOOKUP($A158,'Quarterly Pipeline vs Target Pi'!$A:$V,16,false)," $","")," €",""), "")
)</f>
        <v>0</v>
      </c>
      <c r="AF158" s="1">
        <f>value(IFERROR(SUBSTITUTE(SUBSTITUTE(VLOOKUP($A158,'Quarterly Pipeline vs Target Pi'!$A:$V,17,false)," $","")," €",""), "")
)</f>
        <v>0</v>
      </c>
      <c r="AG158" s="17" t="str">
        <f t="shared" si="11"/>
        <v/>
      </c>
      <c r="AH158" s="1">
        <f>value(IFERROR(SUBSTITUTE(SUBSTITUTE(VLOOKUP($A158,'Quarterly Pipeline vs Target Pi'!$A:$V,21,false)," $","")," €",""), "")
)</f>
        <v>0</v>
      </c>
      <c r="AI158" s="1">
        <f>value(IFERROR(SUBSTITUTE(SUBSTITUTE(VLOOKUP($A158,'Quarterly Pipeline vs Target Pi'!$A:$V,22,false)," $","")," €",""), "")
)</f>
        <v>0</v>
      </c>
      <c r="AJ158" s="17" t="str">
        <f t="shared" si="12"/>
        <v/>
      </c>
      <c r="AK158" s="1">
        <f t="shared" ref="AK158:AL158" si="329">sum(Y158,AB158,AE158,AH158)</f>
        <v>0</v>
      </c>
      <c r="AL158" s="1">
        <f t="shared" si="329"/>
        <v>0</v>
      </c>
      <c r="AM158" s="17" t="str">
        <f t="shared" si="14"/>
        <v/>
      </c>
      <c r="AN158" s="1">
        <f>value(IFERROR(SUBSTITUTE(SUBSTITUTE(VLOOKUP($A158,'Quarterly Pipeline vs Target Pi'!$A:$AP,26,false)," $","")," €",""), "")
)</f>
        <v>0</v>
      </c>
      <c r="AO158" s="1">
        <f>value(IFERROR(SUBSTITUTE(SUBSTITUTE(VLOOKUP($A158,'Quarterly Pipeline vs Target Pi'!$A:$AP,27,false)," $","")," €",""), "")
)</f>
        <v>0</v>
      </c>
      <c r="AP158" s="17" t="str">
        <f t="shared" si="15"/>
        <v/>
      </c>
      <c r="AQ158" s="1">
        <f>value(IFERROR(SUBSTITUTE(SUBSTITUTE(VLOOKUP($A158,'Quarterly Pipeline vs Target Pi'!$A:$AP,31,false)," $","")," €",""), "")
)</f>
        <v>0</v>
      </c>
      <c r="AR158" s="1">
        <f>value(IFERROR(SUBSTITUTE(SUBSTITUTE(VLOOKUP($A158,'Quarterly Pipeline vs Target Pi'!$A:$AP,32,false)," $","")," €",""), "")
)</f>
        <v>0</v>
      </c>
      <c r="AS158" s="17" t="str">
        <f t="shared" si="16"/>
        <v/>
      </c>
      <c r="AT158" s="1">
        <f>value(IFERROR(SUBSTITUTE(SUBSTITUTE(VLOOKUP($A158,'Quarterly Pipeline vs Target Pi'!$A:$AP,36,false)," $","")," €",""), "")
)</f>
        <v>0</v>
      </c>
      <c r="AU158" s="1">
        <f>value(IFERROR(SUBSTITUTE(SUBSTITUTE(VLOOKUP($A158,'Quarterly Pipeline vs Target Pi'!$A:$AP,37,false)," $","")," €",""), "")
)</f>
        <v>0</v>
      </c>
      <c r="AV158" s="17" t="str">
        <f t="shared" si="17"/>
        <v/>
      </c>
      <c r="AW158" s="1">
        <f>value(IFERROR(SUBSTITUTE(SUBSTITUTE(VLOOKUP($A158,'Quarterly Pipeline vs Target Pi'!$A:$AP,41,false)," $","")," €",""), "")
)</f>
        <v>0</v>
      </c>
      <c r="AX158" s="1">
        <f>value(IFERROR(SUBSTITUTE(SUBSTITUTE(VLOOKUP($A158,'Quarterly Pipeline vs Target Pi'!$A:$AP,42,false)," $","")," €",""), "")
)</f>
        <v>0</v>
      </c>
      <c r="AY158" s="17" t="str">
        <f t="shared" si="18"/>
        <v/>
      </c>
      <c r="AZ158" s="1">
        <f t="shared" ref="AZ158:BA158" si="330">sum(AN158,AQ158,AT158,AW158)</f>
        <v>0</v>
      </c>
      <c r="BA158" s="1">
        <f t="shared" si="330"/>
        <v>0</v>
      </c>
      <c r="BB158" s="17" t="str">
        <f t="shared" si="20"/>
        <v/>
      </c>
    </row>
    <row r="159">
      <c r="A159" s="1" t="str">
        <f>IFERROR(__xludf.DUMMYFUNCTION("""COMPUTED_VALUE"""),"63ced84dc5c820531c2697e8")</f>
        <v>63ced84dc5c820531c2697e8</v>
      </c>
      <c r="B159" s="1" t="str">
        <f>IFERROR(__xludf.DUMMYFUNCTION("""COMPUTED_VALUE"""),"Ellijay Telephone Company")</f>
        <v>Ellijay Telephone Company</v>
      </c>
      <c r="C159" s="1" t="str">
        <f>IFERROR(__xludf.DUMMYFUNCTION("""COMPUTED_VALUE"""),"luigy.estevanell@al-enterprise.com")</f>
        <v>luigy.estevanell@al-enterprise.com</v>
      </c>
      <c r="D159" s="1" t="str">
        <f>IFERROR(__xludf.DUMMYFUNCTION("""COMPUTED_VALUE"""),"americas")</f>
        <v>americas</v>
      </c>
      <c r="E159" s="1" t="str">
        <f>IFERROR(__xludf.DUMMYFUNCTION("""COMPUTED_VALUE"""),"US")</f>
        <v>US</v>
      </c>
      <c r="F159" s="1"/>
      <c r="G159" s="1" t="str">
        <f>iferror(VLOOKUP(A159,'Business Plan Setup and Accepta'!A:G,6,false),"")</f>
        <v/>
      </c>
      <c r="H159" s="1" t="str">
        <f>iferror(VLOOKUP(A159,'Business Plan Setup and Accepta'!A:G,7,false),"")</f>
        <v/>
      </c>
      <c r="I159" s="17" t="str">
        <f t="shared" si="3"/>
        <v/>
      </c>
      <c r="J159" s="1" t="str">
        <f>IFERROR(VALUE(SUBSTITUTE(VLOOKUP(A159,'Sales IN Revenues vs Sales targ'!A:G,6,false)," $","")), "")
</f>
        <v/>
      </c>
      <c r="K159" s="1" t="str">
        <f>IFERROR(VALUE(SUBSTITUTE(VLOOKUP(A159,'Sales IN Revenues vs Sales targ'!A:G,7,false)," $","")), "")
</f>
        <v/>
      </c>
      <c r="L159" s="17" t="str">
        <f t="shared" si="4"/>
        <v/>
      </c>
      <c r="M159" s="1">
        <f>value(SUBSTITUTE(IFERROR(VLOOKUP(A159,'Certifications achievements vs '!A:G,6,false),""),"#","")
)</f>
        <v>0</v>
      </c>
      <c r="N159" s="1">
        <f>value(SUBSTITUTE(IFERROR(VLOOKUP(A159,'Certifications achievements vs '!A:G,7,false),""),"#","")
)</f>
        <v>0</v>
      </c>
      <c r="O159" s="17" t="str">
        <f t="shared" si="5"/>
        <v/>
      </c>
      <c r="P159" s="1">
        <f>value(SUBSTITUTE(IFERROR(VLOOKUP(A159,'Communications - Solution Speci'!A:G,6,false),""),"#","")
)</f>
        <v>0</v>
      </c>
      <c r="Q159" s="1">
        <f>value(SUBSTITUTE(IFERROR(VLOOKUP(A159,'Communications - Solution Speci'!A:G,7,false),""),"#","")
)</f>
        <v>0</v>
      </c>
      <c r="R159" s="17" t="str">
        <f t="shared" si="6"/>
        <v/>
      </c>
      <c r="S159" s="1">
        <f>value(SUBSTITUTE(IFERROR(VLOOKUP(A159,'Networking - Solution Specializ'!A:G,6,false),""),"#","")
)</f>
        <v>0</v>
      </c>
      <c r="T159" s="1">
        <f>value(SUBSTITUTE(IFERROR(VLOOKUP(A159,'Networking - Solution Specializ'!A:G,7,false),""),"#","")
)</f>
        <v>0</v>
      </c>
      <c r="U159" s="17" t="str">
        <f t="shared" si="7"/>
        <v/>
      </c>
      <c r="V159" s="1" t="str">
        <f>iferror(vlookup(A159,'Marketing Plan (extract summary'!A:G,6,false),"")</f>
        <v/>
      </c>
      <c r="W159" s="1" t="str">
        <f>iferror(vlookup(A159,'Marketing Plan (extract summary'!A:G,7,false),"")</f>
        <v/>
      </c>
      <c r="X159" s="17" t="str">
        <f t="shared" si="8"/>
        <v/>
      </c>
      <c r="Y159" s="1">
        <f>value(IFERROR(SUBSTITUTE(SUBSTITUTE(VLOOKUP(A159,'Quarterly Pipeline vs Target Pi'!A:G,6,false)," $","")," €",""), "")
)</f>
        <v>0</v>
      </c>
      <c r="Z159" s="1">
        <f>value(IFERROR(SUBSTITUTE(SUBSTITUTE(VLOOKUP(A159,'Quarterly Pipeline vs Target Pi'!A:G,7,false)," $","")," €",""), "")
)</f>
        <v>0</v>
      </c>
      <c r="AA159" s="17" t="str">
        <f t="shared" si="9"/>
        <v/>
      </c>
      <c r="AB159" s="1">
        <f>value(IFERROR(SUBSTITUTE(SUBSTITUTE(VLOOKUP($A159,'Quarterly Pipeline vs Target Pi'!$A:$V,11,false)," $","")," €",""), "")
)</f>
        <v>0</v>
      </c>
      <c r="AC159" s="1">
        <f>value(IFERROR(SUBSTITUTE(SUBSTITUTE(VLOOKUP($A159,'Quarterly Pipeline vs Target Pi'!$A:$V,12,false)," $","")," €",""), "")
)</f>
        <v>0</v>
      </c>
      <c r="AD159" s="17" t="str">
        <f t="shared" si="10"/>
        <v/>
      </c>
      <c r="AE159" s="1">
        <f>value(IFERROR(SUBSTITUTE(SUBSTITUTE(VLOOKUP($A159,'Quarterly Pipeline vs Target Pi'!$A:$V,16,false)," $","")," €",""), "")
)</f>
        <v>0</v>
      </c>
      <c r="AF159" s="1">
        <f>value(IFERROR(SUBSTITUTE(SUBSTITUTE(VLOOKUP($A159,'Quarterly Pipeline vs Target Pi'!$A:$V,17,false)," $","")," €",""), "")
)</f>
        <v>0</v>
      </c>
      <c r="AG159" s="17" t="str">
        <f t="shared" si="11"/>
        <v/>
      </c>
      <c r="AH159" s="1">
        <f>value(IFERROR(SUBSTITUTE(SUBSTITUTE(VLOOKUP($A159,'Quarterly Pipeline vs Target Pi'!$A:$V,21,false)," $","")," €",""), "")
)</f>
        <v>0</v>
      </c>
      <c r="AI159" s="1">
        <f>value(IFERROR(SUBSTITUTE(SUBSTITUTE(VLOOKUP($A159,'Quarterly Pipeline vs Target Pi'!$A:$V,22,false)," $","")," €",""), "")
)</f>
        <v>0</v>
      </c>
      <c r="AJ159" s="17" t="str">
        <f t="shared" si="12"/>
        <v/>
      </c>
      <c r="AK159" s="1">
        <f t="shared" ref="AK159:AL159" si="331">sum(Y159,AB159,AE159,AH159)</f>
        <v>0</v>
      </c>
      <c r="AL159" s="1">
        <f t="shared" si="331"/>
        <v>0</v>
      </c>
      <c r="AM159" s="17" t="str">
        <f t="shared" si="14"/>
        <v/>
      </c>
      <c r="AN159" s="1">
        <f>value(IFERROR(SUBSTITUTE(SUBSTITUTE(VLOOKUP($A159,'Quarterly Pipeline vs Target Pi'!$A:$AP,26,false)," $","")," €",""), "")
)</f>
        <v>0</v>
      </c>
      <c r="AO159" s="1">
        <f>value(IFERROR(SUBSTITUTE(SUBSTITUTE(VLOOKUP($A159,'Quarterly Pipeline vs Target Pi'!$A:$AP,27,false)," $","")," €",""), "")
)</f>
        <v>0</v>
      </c>
      <c r="AP159" s="17" t="str">
        <f t="shared" si="15"/>
        <v/>
      </c>
      <c r="AQ159" s="1">
        <f>value(IFERROR(SUBSTITUTE(SUBSTITUTE(VLOOKUP($A159,'Quarterly Pipeline vs Target Pi'!$A:$AP,31,false)," $","")," €",""), "")
)</f>
        <v>0</v>
      </c>
      <c r="AR159" s="1">
        <f>value(IFERROR(SUBSTITUTE(SUBSTITUTE(VLOOKUP($A159,'Quarterly Pipeline vs Target Pi'!$A:$AP,32,false)," $","")," €",""), "")
)</f>
        <v>0</v>
      </c>
      <c r="AS159" s="17" t="str">
        <f t="shared" si="16"/>
        <v/>
      </c>
      <c r="AT159" s="1">
        <f>value(IFERROR(SUBSTITUTE(SUBSTITUTE(VLOOKUP($A159,'Quarterly Pipeline vs Target Pi'!$A:$AP,36,false)," $","")," €",""), "")
)</f>
        <v>0</v>
      </c>
      <c r="AU159" s="1">
        <f>value(IFERROR(SUBSTITUTE(SUBSTITUTE(VLOOKUP($A159,'Quarterly Pipeline vs Target Pi'!$A:$AP,37,false)," $","")," €",""), "")
)</f>
        <v>0</v>
      </c>
      <c r="AV159" s="17" t="str">
        <f t="shared" si="17"/>
        <v/>
      </c>
      <c r="AW159" s="1">
        <f>value(IFERROR(SUBSTITUTE(SUBSTITUTE(VLOOKUP($A159,'Quarterly Pipeline vs Target Pi'!$A:$AP,41,false)," $","")," €",""), "")
)</f>
        <v>0</v>
      </c>
      <c r="AX159" s="1">
        <f>value(IFERROR(SUBSTITUTE(SUBSTITUTE(VLOOKUP($A159,'Quarterly Pipeline vs Target Pi'!$A:$AP,42,false)," $","")," €",""), "")
)</f>
        <v>0</v>
      </c>
      <c r="AY159" s="17" t="str">
        <f t="shared" si="18"/>
        <v/>
      </c>
      <c r="AZ159" s="1">
        <f t="shared" ref="AZ159:BA159" si="332">sum(AN159,AQ159,AT159,AW159)</f>
        <v>0</v>
      </c>
      <c r="BA159" s="1">
        <f t="shared" si="332"/>
        <v>0</v>
      </c>
      <c r="BB159" s="17" t="str">
        <f t="shared" si="20"/>
        <v/>
      </c>
    </row>
    <row r="160">
      <c r="A160" s="1" t="str">
        <f>IFERROR(__xludf.DUMMYFUNCTION("""COMPUTED_VALUE"""),"63ced84dc5c820531c2697ca")</f>
        <v>63ced84dc5c820531c2697ca</v>
      </c>
      <c r="B160" s="1" t="str">
        <f>IFERROR(__xludf.DUMMYFUNCTION("""COMPUTED_VALUE"""),"Emtec, Inc.")</f>
        <v>Emtec, Inc.</v>
      </c>
      <c r="C160" s="1" t="str">
        <f>IFERROR(__xludf.DUMMYFUNCTION("""COMPUTED_VALUE"""),"brendan.flaherty@al-enterprise.com")</f>
        <v>brendan.flaherty@al-enterprise.com</v>
      </c>
      <c r="D160" s="1" t="str">
        <f>IFERROR(__xludf.DUMMYFUNCTION("""COMPUTED_VALUE"""),"americas")</f>
        <v>americas</v>
      </c>
      <c r="E160" s="1" t="str">
        <f>IFERROR(__xludf.DUMMYFUNCTION("""COMPUTED_VALUE"""),"US")</f>
        <v>US</v>
      </c>
      <c r="F160" s="1"/>
      <c r="G160" s="1" t="str">
        <f>iferror(VLOOKUP(A160,'Business Plan Setup and Accepta'!A:G,6,false),"")</f>
        <v/>
      </c>
      <c r="H160" s="1" t="str">
        <f>iferror(VLOOKUP(A160,'Business Plan Setup and Accepta'!A:G,7,false),"")</f>
        <v/>
      </c>
      <c r="I160" s="17" t="str">
        <f t="shared" si="3"/>
        <v/>
      </c>
      <c r="J160" s="1" t="str">
        <f>IFERROR(VALUE(SUBSTITUTE(VLOOKUP(A160,'Sales IN Revenues vs Sales targ'!A:G,6,false)," $","")), "")
</f>
        <v/>
      </c>
      <c r="K160" s="1" t="str">
        <f>IFERROR(VALUE(SUBSTITUTE(VLOOKUP(A160,'Sales IN Revenues vs Sales targ'!A:G,7,false)," $","")), "")
</f>
        <v/>
      </c>
      <c r="L160" s="17" t="str">
        <f t="shared" si="4"/>
        <v/>
      </c>
      <c r="M160" s="1">
        <f>value(SUBSTITUTE(IFERROR(VLOOKUP(A160,'Certifications achievements vs '!A:G,6,false),""),"#","")
)</f>
        <v>0</v>
      </c>
      <c r="N160" s="1">
        <f>value(SUBSTITUTE(IFERROR(VLOOKUP(A160,'Certifications achievements vs '!A:G,7,false),""),"#","")
)</f>
        <v>0</v>
      </c>
      <c r="O160" s="17" t="str">
        <f t="shared" si="5"/>
        <v/>
      </c>
      <c r="P160" s="1">
        <f>value(SUBSTITUTE(IFERROR(VLOOKUP(A160,'Communications - Solution Speci'!A:G,6,false),""),"#","")
)</f>
        <v>0</v>
      </c>
      <c r="Q160" s="1">
        <f>value(SUBSTITUTE(IFERROR(VLOOKUP(A160,'Communications - Solution Speci'!A:G,7,false),""),"#","")
)</f>
        <v>0</v>
      </c>
      <c r="R160" s="17" t="str">
        <f t="shared" si="6"/>
        <v/>
      </c>
      <c r="S160" s="1">
        <f>value(SUBSTITUTE(IFERROR(VLOOKUP(A160,'Networking - Solution Specializ'!A:G,6,false),""),"#","")
)</f>
        <v>0</v>
      </c>
      <c r="T160" s="1">
        <f>value(SUBSTITUTE(IFERROR(VLOOKUP(A160,'Networking - Solution Specializ'!A:G,7,false),""),"#","")
)</f>
        <v>0</v>
      </c>
      <c r="U160" s="17" t="str">
        <f t="shared" si="7"/>
        <v/>
      </c>
      <c r="V160" s="1" t="str">
        <f>iferror(vlookup(A160,'Marketing Plan (extract summary'!A:G,6,false),"")</f>
        <v/>
      </c>
      <c r="W160" s="1" t="str">
        <f>iferror(vlookup(A160,'Marketing Plan (extract summary'!A:G,7,false),"")</f>
        <v/>
      </c>
      <c r="X160" s="17" t="str">
        <f t="shared" si="8"/>
        <v/>
      </c>
      <c r="Y160" s="1">
        <f>value(IFERROR(SUBSTITUTE(SUBSTITUTE(VLOOKUP(A160,'Quarterly Pipeline vs Target Pi'!A:G,6,false)," $","")," €",""), "")
)</f>
        <v>0</v>
      </c>
      <c r="Z160" s="1">
        <f>value(IFERROR(SUBSTITUTE(SUBSTITUTE(VLOOKUP(A160,'Quarterly Pipeline vs Target Pi'!A:G,7,false)," $","")," €",""), "")
)</f>
        <v>0</v>
      </c>
      <c r="AA160" s="17" t="str">
        <f t="shared" si="9"/>
        <v/>
      </c>
      <c r="AB160" s="1">
        <f>value(IFERROR(SUBSTITUTE(SUBSTITUTE(VLOOKUP($A160,'Quarterly Pipeline vs Target Pi'!$A:$V,11,false)," $","")," €",""), "")
)</f>
        <v>0</v>
      </c>
      <c r="AC160" s="1">
        <f>value(IFERROR(SUBSTITUTE(SUBSTITUTE(VLOOKUP($A160,'Quarterly Pipeline vs Target Pi'!$A:$V,12,false)," $","")," €",""), "")
)</f>
        <v>0</v>
      </c>
      <c r="AD160" s="17" t="str">
        <f t="shared" si="10"/>
        <v/>
      </c>
      <c r="AE160" s="1">
        <f>value(IFERROR(SUBSTITUTE(SUBSTITUTE(VLOOKUP($A160,'Quarterly Pipeline vs Target Pi'!$A:$V,16,false)," $","")," €",""), "")
)</f>
        <v>0</v>
      </c>
      <c r="AF160" s="1">
        <f>value(IFERROR(SUBSTITUTE(SUBSTITUTE(VLOOKUP($A160,'Quarterly Pipeline vs Target Pi'!$A:$V,17,false)," $","")," €",""), "")
)</f>
        <v>0</v>
      </c>
      <c r="AG160" s="17" t="str">
        <f t="shared" si="11"/>
        <v/>
      </c>
      <c r="AH160" s="1">
        <f>value(IFERROR(SUBSTITUTE(SUBSTITUTE(VLOOKUP($A160,'Quarterly Pipeline vs Target Pi'!$A:$V,21,false)," $","")," €",""), "")
)</f>
        <v>0</v>
      </c>
      <c r="AI160" s="1">
        <f>value(IFERROR(SUBSTITUTE(SUBSTITUTE(VLOOKUP($A160,'Quarterly Pipeline vs Target Pi'!$A:$V,22,false)," $","")," €",""), "")
)</f>
        <v>0</v>
      </c>
      <c r="AJ160" s="17" t="str">
        <f t="shared" si="12"/>
        <v/>
      </c>
      <c r="AK160" s="1">
        <f t="shared" ref="AK160:AL160" si="333">sum(Y160,AB160,AE160,AH160)</f>
        <v>0</v>
      </c>
      <c r="AL160" s="1">
        <f t="shared" si="333"/>
        <v>0</v>
      </c>
      <c r="AM160" s="17" t="str">
        <f t="shared" si="14"/>
        <v/>
      </c>
      <c r="AN160" s="1">
        <f>value(IFERROR(SUBSTITUTE(SUBSTITUTE(VLOOKUP($A160,'Quarterly Pipeline vs Target Pi'!$A:$AP,26,false)," $","")," €",""), "")
)</f>
        <v>0</v>
      </c>
      <c r="AO160" s="1">
        <f>value(IFERROR(SUBSTITUTE(SUBSTITUTE(VLOOKUP($A160,'Quarterly Pipeline vs Target Pi'!$A:$AP,27,false)," $","")," €",""), "")
)</f>
        <v>0</v>
      </c>
      <c r="AP160" s="17" t="str">
        <f t="shared" si="15"/>
        <v/>
      </c>
      <c r="AQ160" s="1">
        <f>value(IFERROR(SUBSTITUTE(SUBSTITUTE(VLOOKUP($A160,'Quarterly Pipeline vs Target Pi'!$A:$AP,31,false)," $","")," €",""), "")
)</f>
        <v>0</v>
      </c>
      <c r="AR160" s="1">
        <f>value(IFERROR(SUBSTITUTE(SUBSTITUTE(VLOOKUP($A160,'Quarterly Pipeline vs Target Pi'!$A:$AP,32,false)," $","")," €",""), "")
)</f>
        <v>0</v>
      </c>
      <c r="AS160" s="17" t="str">
        <f t="shared" si="16"/>
        <v/>
      </c>
      <c r="AT160" s="1">
        <f>value(IFERROR(SUBSTITUTE(SUBSTITUTE(VLOOKUP($A160,'Quarterly Pipeline vs Target Pi'!$A:$AP,36,false)," $","")," €",""), "")
)</f>
        <v>0</v>
      </c>
      <c r="AU160" s="1">
        <f>value(IFERROR(SUBSTITUTE(SUBSTITUTE(VLOOKUP($A160,'Quarterly Pipeline vs Target Pi'!$A:$AP,37,false)," $","")," €",""), "")
)</f>
        <v>0</v>
      </c>
      <c r="AV160" s="17" t="str">
        <f t="shared" si="17"/>
        <v/>
      </c>
      <c r="AW160" s="1">
        <f>value(IFERROR(SUBSTITUTE(SUBSTITUTE(VLOOKUP($A160,'Quarterly Pipeline vs Target Pi'!$A:$AP,41,false)," $","")," €",""), "")
)</f>
        <v>0</v>
      </c>
      <c r="AX160" s="1">
        <f>value(IFERROR(SUBSTITUTE(SUBSTITUTE(VLOOKUP($A160,'Quarterly Pipeline vs Target Pi'!$A:$AP,42,false)," $","")," €",""), "")
)</f>
        <v>0</v>
      </c>
      <c r="AY160" s="17" t="str">
        <f t="shared" si="18"/>
        <v/>
      </c>
      <c r="AZ160" s="1">
        <f t="shared" ref="AZ160:BA160" si="334">sum(AN160,AQ160,AT160,AW160)</f>
        <v>0</v>
      </c>
      <c r="BA160" s="1">
        <f t="shared" si="334"/>
        <v>0</v>
      </c>
      <c r="BB160" s="17" t="str">
        <f t="shared" si="20"/>
        <v/>
      </c>
    </row>
    <row r="161">
      <c r="A161" s="1" t="str">
        <f>IFERROR(__xludf.DUMMYFUNCTION("""COMPUTED_VALUE"""),"63ef9d61384f27260c1bb26d")</f>
        <v>63ef9d61384f27260c1bb26d</v>
      </c>
      <c r="B161" s="1" t="str">
        <f>IFERROR(__xludf.DUMMYFUNCTION("""COMPUTED_VALUE"""),"Emurtel S.A")</f>
        <v>Emurtel S.A</v>
      </c>
      <c r="C161" s="1" t="str">
        <f>IFERROR(__xludf.DUMMYFUNCTION("""COMPUTED_VALUE"""),"astrid.savorani@al-enterprise.com, rafael.andreo@al-enterprise.com, esther.alonso@al-enterprise.com, marcos.rodriguez@al-enterprise.com")</f>
        <v>astrid.savorani@al-enterprise.com, rafael.andreo@al-enterprise.com, esther.alonso@al-enterprise.com, marcos.rodriguez@al-enterprise.com</v>
      </c>
      <c r="D161" s="1" t="str">
        <f>IFERROR(__xludf.DUMMYFUNCTION("""COMPUTED_VALUE"""),"emea")</f>
        <v>emea</v>
      </c>
      <c r="E161" s="1" t="str">
        <f>IFERROR(__xludf.DUMMYFUNCTION("""COMPUTED_VALUE"""),"ES")</f>
        <v>ES</v>
      </c>
      <c r="F161" s="1"/>
      <c r="G161" s="1" t="str">
        <f>iferror(VLOOKUP(A161,'Business Plan Setup and Accepta'!A:G,6,false),"")</f>
        <v/>
      </c>
      <c r="H161" s="1" t="str">
        <f>iferror(VLOOKUP(A161,'Business Plan Setup and Accepta'!A:G,7,false),"")</f>
        <v/>
      </c>
      <c r="I161" s="17" t="str">
        <f t="shared" si="3"/>
        <v/>
      </c>
      <c r="J161" s="1" t="str">
        <f>IFERROR(VALUE(SUBSTITUTE(VLOOKUP(A161,'Sales IN Revenues vs Sales targ'!A:G,6,false)," $","")), "")
</f>
        <v/>
      </c>
      <c r="K161" s="1" t="str">
        <f>IFERROR(VALUE(SUBSTITUTE(VLOOKUP(A161,'Sales IN Revenues vs Sales targ'!A:G,7,false)," $","")), "")
</f>
        <v/>
      </c>
      <c r="L161" s="17" t="str">
        <f t="shared" si="4"/>
        <v/>
      </c>
      <c r="M161" s="1">
        <f>value(SUBSTITUTE(IFERROR(VLOOKUP(A161,'Certifications achievements vs '!A:G,6,false),""),"#","")
)</f>
        <v>0</v>
      </c>
      <c r="N161" s="1">
        <f>value(SUBSTITUTE(IFERROR(VLOOKUP(A161,'Certifications achievements vs '!A:G,7,false),""),"#","")
)</f>
        <v>0</v>
      </c>
      <c r="O161" s="17" t="str">
        <f t="shared" si="5"/>
        <v/>
      </c>
      <c r="P161" s="1">
        <f>value(SUBSTITUTE(IFERROR(VLOOKUP(A161,'Communications - Solution Speci'!A:G,6,false),""),"#","")
)</f>
        <v>0</v>
      </c>
      <c r="Q161" s="1">
        <f>value(SUBSTITUTE(IFERROR(VLOOKUP(A161,'Communications - Solution Speci'!A:G,7,false),""),"#","")
)</f>
        <v>0</v>
      </c>
      <c r="R161" s="17" t="str">
        <f t="shared" si="6"/>
        <v/>
      </c>
      <c r="S161" s="1">
        <f>value(SUBSTITUTE(IFERROR(VLOOKUP(A161,'Networking - Solution Specializ'!A:G,6,false),""),"#","")
)</f>
        <v>0</v>
      </c>
      <c r="T161" s="1">
        <f>value(SUBSTITUTE(IFERROR(VLOOKUP(A161,'Networking - Solution Specializ'!A:G,7,false),""),"#","")
)</f>
        <v>0</v>
      </c>
      <c r="U161" s="17" t="str">
        <f t="shared" si="7"/>
        <v/>
      </c>
      <c r="V161" s="1" t="str">
        <f>iferror(vlookup(A161,'Marketing Plan (extract summary'!A:G,6,false),"")</f>
        <v/>
      </c>
      <c r="W161" s="1" t="str">
        <f>iferror(vlookup(A161,'Marketing Plan (extract summary'!A:G,7,false),"")</f>
        <v/>
      </c>
      <c r="X161" s="17" t="str">
        <f t="shared" si="8"/>
        <v/>
      </c>
      <c r="Y161" s="1">
        <f>value(IFERROR(SUBSTITUTE(SUBSTITUTE(VLOOKUP(A161,'Quarterly Pipeline vs Target Pi'!A:G,6,false)," $","")," €",""), "")
)</f>
        <v>0</v>
      </c>
      <c r="Z161" s="1">
        <f>value(IFERROR(SUBSTITUTE(SUBSTITUTE(VLOOKUP(A161,'Quarterly Pipeline vs Target Pi'!A:G,7,false)," $","")," €",""), "")
)</f>
        <v>0</v>
      </c>
      <c r="AA161" s="17" t="str">
        <f t="shared" si="9"/>
        <v/>
      </c>
      <c r="AB161" s="1">
        <f>value(IFERROR(SUBSTITUTE(SUBSTITUTE(VLOOKUP($A161,'Quarterly Pipeline vs Target Pi'!$A:$V,11,false)," $","")," €",""), "")
)</f>
        <v>0</v>
      </c>
      <c r="AC161" s="1">
        <f>value(IFERROR(SUBSTITUTE(SUBSTITUTE(VLOOKUP($A161,'Quarterly Pipeline vs Target Pi'!$A:$V,12,false)," $","")," €",""), "")
)</f>
        <v>0</v>
      </c>
      <c r="AD161" s="17" t="str">
        <f t="shared" si="10"/>
        <v/>
      </c>
      <c r="AE161" s="1">
        <f>value(IFERROR(SUBSTITUTE(SUBSTITUTE(VLOOKUP($A161,'Quarterly Pipeline vs Target Pi'!$A:$V,16,false)," $","")," €",""), "")
)</f>
        <v>0</v>
      </c>
      <c r="AF161" s="1">
        <f>value(IFERROR(SUBSTITUTE(SUBSTITUTE(VLOOKUP($A161,'Quarterly Pipeline vs Target Pi'!$A:$V,17,false)," $","")," €",""), "")
)</f>
        <v>0</v>
      </c>
      <c r="AG161" s="17" t="str">
        <f t="shared" si="11"/>
        <v/>
      </c>
      <c r="AH161" s="1">
        <f>value(IFERROR(SUBSTITUTE(SUBSTITUTE(VLOOKUP($A161,'Quarterly Pipeline vs Target Pi'!$A:$V,21,false)," $","")," €",""), "")
)</f>
        <v>0</v>
      </c>
      <c r="AI161" s="1">
        <f>value(IFERROR(SUBSTITUTE(SUBSTITUTE(VLOOKUP($A161,'Quarterly Pipeline vs Target Pi'!$A:$V,22,false)," $","")," €",""), "")
)</f>
        <v>0</v>
      </c>
      <c r="AJ161" s="17" t="str">
        <f t="shared" si="12"/>
        <v/>
      </c>
      <c r="AK161" s="1">
        <f t="shared" ref="AK161:AL161" si="335">sum(Y161,AB161,AE161,AH161)</f>
        <v>0</v>
      </c>
      <c r="AL161" s="1">
        <f t="shared" si="335"/>
        <v>0</v>
      </c>
      <c r="AM161" s="17" t="str">
        <f t="shared" si="14"/>
        <v/>
      </c>
      <c r="AN161" s="1">
        <f>value(IFERROR(SUBSTITUTE(SUBSTITUTE(VLOOKUP($A161,'Quarterly Pipeline vs Target Pi'!$A:$AP,26,false)," $","")," €",""), "")
)</f>
        <v>0</v>
      </c>
      <c r="AO161" s="1">
        <f>value(IFERROR(SUBSTITUTE(SUBSTITUTE(VLOOKUP($A161,'Quarterly Pipeline vs Target Pi'!$A:$AP,27,false)," $","")," €",""), "")
)</f>
        <v>0</v>
      </c>
      <c r="AP161" s="17" t="str">
        <f t="shared" si="15"/>
        <v/>
      </c>
      <c r="AQ161" s="1">
        <f>value(IFERROR(SUBSTITUTE(SUBSTITUTE(VLOOKUP($A161,'Quarterly Pipeline vs Target Pi'!$A:$AP,31,false)," $","")," €",""), "")
)</f>
        <v>0</v>
      </c>
      <c r="AR161" s="1">
        <f>value(IFERROR(SUBSTITUTE(SUBSTITUTE(VLOOKUP($A161,'Quarterly Pipeline vs Target Pi'!$A:$AP,32,false)," $","")," €",""), "")
)</f>
        <v>0</v>
      </c>
      <c r="AS161" s="17" t="str">
        <f t="shared" si="16"/>
        <v/>
      </c>
      <c r="AT161" s="1">
        <f>value(IFERROR(SUBSTITUTE(SUBSTITUTE(VLOOKUP($A161,'Quarterly Pipeline vs Target Pi'!$A:$AP,36,false)," $","")," €",""), "")
)</f>
        <v>0</v>
      </c>
      <c r="AU161" s="1">
        <f>value(IFERROR(SUBSTITUTE(SUBSTITUTE(VLOOKUP($A161,'Quarterly Pipeline vs Target Pi'!$A:$AP,37,false)," $","")," €",""), "")
)</f>
        <v>0</v>
      </c>
      <c r="AV161" s="17" t="str">
        <f t="shared" si="17"/>
        <v/>
      </c>
      <c r="AW161" s="1">
        <f>value(IFERROR(SUBSTITUTE(SUBSTITUTE(VLOOKUP($A161,'Quarterly Pipeline vs Target Pi'!$A:$AP,41,false)," $","")," €",""), "")
)</f>
        <v>0</v>
      </c>
      <c r="AX161" s="1">
        <f>value(IFERROR(SUBSTITUTE(SUBSTITUTE(VLOOKUP($A161,'Quarterly Pipeline vs Target Pi'!$A:$AP,42,false)," $","")," €",""), "")
)</f>
        <v>0</v>
      </c>
      <c r="AY161" s="17" t="str">
        <f t="shared" si="18"/>
        <v/>
      </c>
      <c r="AZ161" s="1">
        <f t="shared" ref="AZ161:BA161" si="336">sum(AN161,AQ161,AT161,AW161)</f>
        <v>0</v>
      </c>
      <c r="BA161" s="1">
        <f t="shared" si="336"/>
        <v>0</v>
      </c>
      <c r="BB161" s="17" t="str">
        <f t="shared" si="20"/>
        <v/>
      </c>
    </row>
    <row r="162">
      <c r="A162" s="1" t="str">
        <f>IFERROR(__xludf.DUMMYFUNCTION("""COMPUTED_VALUE"""),"63ea6e9552ad6968805cee37")</f>
        <v>63ea6e9552ad6968805cee37</v>
      </c>
      <c r="B162" s="1" t="str">
        <f>IFERROR(__xludf.DUMMYFUNCTION("""COMPUTED_VALUE"""),"EnoCom GmbH")</f>
        <v>EnoCom GmbH</v>
      </c>
      <c r="C162" s="1" t="str">
        <f>IFERROR(__xludf.DUMMYFUNCTION("""COMPUTED_VALUE"""),"andreas.grossheimann@al-enterprise.com, andre.ramm@al-enterprise.com")</f>
        <v>andreas.grossheimann@al-enterprise.com, andre.ramm@al-enterprise.com</v>
      </c>
      <c r="D162" s="1" t="str">
        <f>IFERROR(__xludf.DUMMYFUNCTION("""COMPUTED_VALUE"""),"germany")</f>
        <v>germany</v>
      </c>
      <c r="E162" s="1" t="str">
        <f>IFERROR(__xludf.DUMMYFUNCTION("""COMPUTED_VALUE"""),"DE")</f>
        <v>DE</v>
      </c>
      <c r="F162" s="1"/>
      <c r="G162" s="1" t="str">
        <f>iferror(VLOOKUP(A162,'Business Plan Setup and Accepta'!A:G,6,false),"")</f>
        <v/>
      </c>
      <c r="H162" s="1" t="str">
        <f>iferror(VLOOKUP(A162,'Business Plan Setup and Accepta'!A:G,7,false),"")</f>
        <v/>
      </c>
      <c r="I162" s="17" t="str">
        <f t="shared" si="3"/>
        <v/>
      </c>
      <c r="J162" s="1" t="str">
        <f>IFERROR(VALUE(SUBSTITUTE(VLOOKUP(A162,'Sales IN Revenues vs Sales targ'!A:G,6,false)," $","")), "")
</f>
        <v/>
      </c>
      <c r="K162" s="1" t="str">
        <f>IFERROR(VALUE(SUBSTITUTE(VLOOKUP(A162,'Sales IN Revenues vs Sales targ'!A:G,7,false)," $","")), "")
</f>
        <v/>
      </c>
      <c r="L162" s="17" t="str">
        <f t="shared" si="4"/>
        <v/>
      </c>
      <c r="M162" s="1">
        <f>value(SUBSTITUTE(IFERROR(VLOOKUP(A162,'Certifications achievements vs '!A:G,6,false),""),"#","")
)</f>
        <v>0</v>
      </c>
      <c r="N162" s="1">
        <f>value(SUBSTITUTE(IFERROR(VLOOKUP(A162,'Certifications achievements vs '!A:G,7,false),""),"#","")
)</f>
        <v>0</v>
      </c>
      <c r="O162" s="17" t="str">
        <f t="shared" si="5"/>
        <v/>
      </c>
      <c r="P162" s="1">
        <f>value(SUBSTITUTE(IFERROR(VLOOKUP(A162,'Communications - Solution Speci'!A:G,6,false),""),"#","")
)</f>
        <v>0</v>
      </c>
      <c r="Q162" s="1">
        <f>value(SUBSTITUTE(IFERROR(VLOOKUP(A162,'Communications - Solution Speci'!A:G,7,false),""),"#","")
)</f>
        <v>0</v>
      </c>
      <c r="R162" s="17" t="str">
        <f t="shared" si="6"/>
        <v/>
      </c>
      <c r="S162" s="1">
        <f>value(SUBSTITUTE(IFERROR(VLOOKUP(A162,'Networking - Solution Specializ'!A:G,6,false),""),"#","")
)</f>
        <v>0</v>
      </c>
      <c r="T162" s="1">
        <f>value(SUBSTITUTE(IFERROR(VLOOKUP(A162,'Networking - Solution Specializ'!A:G,7,false),""),"#","")
)</f>
        <v>0</v>
      </c>
      <c r="U162" s="17" t="str">
        <f t="shared" si="7"/>
        <v/>
      </c>
      <c r="V162" s="1" t="str">
        <f>iferror(vlookup(A162,'Marketing Plan (extract summary'!A:G,6,false),"")</f>
        <v/>
      </c>
      <c r="W162" s="1" t="str">
        <f>iferror(vlookup(A162,'Marketing Plan (extract summary'!A:G,7,false),"")</f>
        <v/>
      </c>
      <c r="X162" s="17" t="str">
        <f t="shared" si="8"/>
        <v/>
      </c>
      <c r="Y162" s="1">
        <f>value(IFERROR(SUBSTITUTE(SUBSTITUTE(VLOOKUP(A162,'Quarterly Pipeline vs Target Pi'!A:G,6,false)," $","")," €",""), "")
)</f>
        <v>0</v>
      </c>
      <c r="Z162" s="1">
        <f>value(IFERROR(SUBSTITUTE(SUBSTITUTE(VLOOKUP(A162,'Quarterly Pipeline vs Target Pi'!A:G,7,false)," $","")," €",""), "")
)</f>
        <v>0</v>
      </c>
      <c r="AA162" s="17" t="str">
        <f t="shared" si="9"/>
        <v/>
      </c>
      <c r="AB162" s="1">
        <f>value(IFERROR(SUBSTITUTE(SUBSTITUTE(VLOOKUP($A162,'Quarterly Pipeline vs Target Pi'!$A:$V,11,false)," $","")," €",""), "")
)</f>
        <v>0</v>
      </c>
      <c r="AC162" s="1">
        <f>value(IFERROR(SUBSTITUTE(SUBSTITUTE(VLOOKUP($A162,'Quarterly Pipeline vs Target Pi'!$A:$V,12,false)," $","")," €",""), "")
)</f>
        <v>0</v>
      </c>
      <c r="AD162" s="17" t="str">
        <f t="shared" si="10"/>
        <v/>
      </c>
      <c r="AE162" s="1">
        <f>value(IFERROR(SUBSTITUTE(SUBSTITUTE(VLOOKUP($A162,'Quarterly Pipeline vs Target Pi'!$A:$V,16,false)," $","")," €",""), "")
)</f>
        <v>0</v>
      </c>
      <c r="AF162" s="1">
        <f>value(IFERROR(SUBSTITUTE(SUBSTITUTE(VLOOKUP($A162,'Quarterly Pipeline vs Target Pi'!$A:$V,17,false)," $","")," €",""), "")
)</f>
        <v>0</v>
      </c>
      <c r="AG162" s="17" t="str">
        <f t="shared" si="11"/>
        <v/>
      </c>
      <c r="AH162" s="1">
        <f>value(IFERROR(SUBSTITUTE(SUBSTITUTE(VLOOKUP($A162,'Quarterly Pipeline vs Target Pi'!$A:$V,21,false)," $","")," €",""), "")
)</f>
        <v>0</v>
      </c>
      <c r="AI162" s="1">
        <f>value(IFERROR(SUBSTITUTE(SUBSTITUTE(VLOOKUP($A162,'Quarterly Pipeline vs Target Pi'!$A:$V,22,false)," $","")," €",""), "")
)</f>
        <v>0</v>
      </c>
      <c r="AJ162" s="17" t="str">
        <f t="shared" si="12"/>
        <v/>
      </c>
      <c r="AK162" s="1">
        <f t="shared" ref="AK162:AL162" si="337">sum(Y162,AB162,AE162,AH162)</f>
        <v>0</v>
      </c>
      <c r="AL162" s="1">
        <f t="shared" si="337"/>
        <v>0</v>
      </c>
      <c r="AM162" s="17" t="str">
        <f t="shared" si="14"/>
        <v/>
      </c>
      <c r="AN162" s="1">
        <f>value(IFERROR(SUBSTITUTE(SUBSTITUTE(VLOOKUP($A162,'Quarterly Pipeline vs Target Pi'!$A:$AP,26,false)," $","")," €",""), "")
)</f>
        <v>0</v>
      </c>
      <c r="AO162" s="1">
        <f>value(IFERROR(SUBSTITUTE(SUBSTITUTE(VLOOKUP($A162,'Quarterly Pipeline vs Target Pi'!$A:$AP,27,false)," $","")," €",""), "")
)</f>
        <v>0</v>
      </c>
      <c r="AP162" s="17" t="str">
        <f t="shared" si="15"/>
        <v/>
      </c>
      <c r="AQ162" s="1">
        <f>value(IFERROR(SUBSTITUTE(SUBSTITUTE(VLOOKUP($A162,'Quarterly Pipeline vs Target Pi'!$A:$AP,31,false)," $","")," €",""), "")
)</f>
        <v>0</v>
      </c>
      <c r="AR162" s="1">
        <f>value(IFERROR(SUBSTITUTE(SUBSTITUTE(VLOOKUP($A162,'Quarterly Pipeline vs Target Pi'!$A:$AP,32,false)," $","")," €",""), "")
)</f>
        <v>0</v>
      </c>
      <c r="AS162" s="17" t="str">
        <f t="shared" si="16"/>
        <v/>
      </c>
      <c r="AT162" s="1">
        <f>value(IFERROR(SUBSTITUTE(SUBSTITUTE(VLOOKUP($A162,'Quarterly Pipeline vs Target Pi'!$A:$AP,36,false)," $","")," €",""), "")
)</f>
        <v>0</v>
      </c>
      <c r="AU162" s="1">
        <f>value(IFERROR(SUBSTITUTE(SUBSTITUTE(VLOOKUP($A162,'Quarterly Pipeline vs Target Pi'!$A:$AP,37,false)," $","")," €",""), "")
)</f>
        <v>0</v>
      </c>
      <c r="AV162" s="17" t="str">
        <f t="shared" si="17"/>
        <v/>
      </c>
      <c r="AW162" s="1">
        <f>value(IFERROR(SUBSTITUTE(SUBSTITUTE(VLOOKUP($A162,'Quarterly Pipeline vs Target Pi'!$A:$AP,41,false)," $","")," €",""), "")
)</f>
        <v>0</v>
      </c>
      <c r="AX162" s="1">
        <f>value(IFERROR(SUBSTITUTE(SUBSTITUTE(VLOOKUP($A162,'Quarterly Pipeline vs Target Pi'!$A:$AP,42,false)," $","")," €",""), "")
)</f>
        <v>0</v>
      </c>
      <c r="AY162" s="17" t="str">
        <f t="shared" si="18"/>
        <v/>
      </c>
      <c r="AZ162" s="1">
        <f t="shared" ref="AZ162:BA162" si="338">sum(AN162,AQ162,AT162,AW162)</f>
        <v>0</v>
      </c>
      <c r="BA162" s="1">
        <f t="shared" si="338"/>
        <v>0</v>
      </c>
      <c r="BB162" s="17" t="str">
        <f t="shared" si="20"/>
        <v/>
      </c>
    </row>
    <row r="163">
      <c r="A163" s="1" t="str">
        <f>IFERROR(__xludf.DUMMYFUNCTION("""COMPUTED_VALUE"""),"65e8269955648174440d988f")</f>
        <v>65e8269955648174440d988f</v>
      </c>
      <c r="B163" s="1" t="str">
        <f>IFERROR(__xludf.DUMMYFUNCTION("""COMPUTED_VALUE"""),"Enterprise Communications &amp; Services GmbH")</f>
        <v>Enterprise Communications &amp; Services GmbH</v>
      </c>
      <c r="C163" s="1" t="str">
        <f>IFERROR(__xludf.DUMMYFUNCTION("""COMPUTED_VALUE"""),"philippe.girard@al-enterprise.com, rui.silva@al-enterprise.com, thomas.ullmann@al-enterprise.com, andreas.grossheimann@al-enterprise.com")</f>
        <v>philippe.girard@al-enterprise.com, rui.silva@al-enterprise.com, thomas.ullmann@al-enterprise.com, andreas.grossheimann@al-enterprise.com</v>
      </c>
      <c r="D163" s="1" t="str">
        <f>IFERROR(__xludf.DUMMYFUNCTION("""COMPUTED_VALUE"""),"germany")</f>
        <v>germany</v>
      </c>
      <c r="E163" s="1" t="str">
        <f>IFERROR(__xludf.DUMMYFUNCTION("""COMPUTED_VALUE"""),"DE")</f>
        <v>DE</v>
      </c>
      <c r="F163" s="1" t="str">
        <f>IFERROR(__xludf.DUMMYFUNCTION("""COMPUTED_VALUE"""),"expert_200")</f>
        <v>expert_200</v>
      </c>
      <c r="G163" s="1">
        <f>iferror(VLOOKUP(A163,'Business Plan Setup and Accepta'!A:G,6,false),"")</f>
        <v>0</v>
      </c>
      <c r="H163" s="1">
        <f>iferror(VLOOKUP(A163,'Business Plan Setup and Accepta'!A:G,7,false),"")</f>
        <v>1</v>
      </c>
      <c r="I163" s="17">
        <f t="shared" si="3"/>
        <v>0</v>
      </c>
      <c r="J163" s="1">
        <f>IFERROR(VALUE(SUBSTITUTE(VLOOKUP(A163,'Sales IN Revenues vs Sales targ'!A:G,6,false)," $","")), "")
</f>
        <v>5.88</v>
      </c>
      <c r="K163" s="1">
        <f>IFERROR(VALUE(SUBSTITUTE(VLOOKUP(A163,'Sales IN Revenues vs Sales targ'!A:G,7,false)," $","")), "")
</f>
        <v>0</v>
      </c>
      <c r="L163" s="17" t="str">
        <f t="shared" si="4"/>
        <v/>
      </c>
      <c r="M163" s="1">
        <f>value(SUBSTITUTE(IFERROR(VLOOKUP(A163,'Certifications achievements vs '!A:G,6,false),""),"#","")
)</f>
        <v>0</v>
      </c>
      <c r="N163" s="1">
        <f>value(SUBSTITUTE(IFERROR(VLOOKUP(A163,'Certifications achievements vs '!A:G,7,false),""),"#","")
)</f>
        <v>0</v>
      </c>
      <c r="O163" s="17" t="str">
        <f t="shared" si="5"/>
        <v/>
      </c>
      <c r="P163" s="1">
        <f>value(SUBSTITUTE(IFERROR(VLOOKUP(A163,'Communications - Solution Speci'!A:G,6,false),""),"#","")
)</f>
        <v>0</v>
      </c>
      <c r="Q163" s="1">
        <f>value(SUBSTITUTE(IFERROR(VLOOKUP(A163,'Communications - Solution Speci'!A:G,7,false),""),"#","")
)</f>
        <v>1</v>
      </c>
      <c r="R163" s="17">
        <f t="shared" si="6"/>
        <v>0</v>
      </c>
      <c r="S163" s="1">
        <f>value(SUBSTITUTE(IFERROR(VLOOKUP(A163,'Networking - Solution Specializ'!A:G,6,false),""),"#","")
)</f>
        <v>0</v>
      </c>
      <c r="T163" s="1">
        <f>value(SUBSTITUTE(IFERROR(VLOOKUP(A163,'Networking - Solution Specializ'!A:G,7,false),""),"#","")
)</f>
        <v>1</v>
      </c>
      <c r="U163" s="17">
        <f t="shared" si="7"/>
        <v>0</v>
      </c>
      <c r="V163" s="1">
        <f>iferror(vlookup(A163,'Marketing Plan (extract summary'!A:G,6,false),"")</f>
        <v>0</v>
      </c>
      <c r="W163" s="1">
        <f>iferror(vlookup(A163,'Marketing Plan (extract summary'!A:G,7,false),"")</f>
        <v>1</v>
      </c>
      <c r="X163" s="17">
        <f t="shared" si="8"/>
        <v>0</v>
      </c>
      <c r="Y163" s="1">
        <f>value(IFERROR(SUBSTITUTE(SUBSTITUTE(VLOOKUP(A163,'Quarterly Pipeline vs Target Pi'!A:G,6,false)," $","")," €",""), "")
)</f>
        <v>148.6</v>
      </c>
      <c r="Z163" s="1">
        <f>value(IFERROR(SUBSTITUTE(SUBSTITUTE(VLOOKUP(A163,'Quarterly Pipeline vs Target Pi'!A:G,7,false)," $","")," €",""), "")
)</f>
        <v>0</v>
      </c>
      <c r="AA163" s="17" t="str">
        <f t="shared" si="9"/>
        <v/>
      </c>
      <c r="AB163" s="1">
        <f>value(IFERROR(SUBSTITUTE(SUBSTITUTE(VLOOKUP($A163,'Quarterly Pipeline vs Target Pi'!$A:$V,11,false)," $","")," €",""), "")
)</f>
        <v>10</v>
      </c>
      <c r="AC163" s="1">
        <f>value(IFERROR(SUBSTITUTE(SUBSTITUTE(VLOOKUP($A163,'Quarterly Pipeline vs Target Pi'!$A:$V,12,false)," $","")," €",""), "")
)</f>
        <v>0</v>
      </c>
      <c r="AD163" s="17" t="str">
        <f t="shared" si="10"/>
        <v/>
      </c>
      <c r="AE163" s="1">
        <f>value(IFERROR(SUBSTITUTE(SUBSTITUTE(VLOOKUP($A163,'Quarterly Pipeline vs Target Pi'!$A:$V,16,false)," $","")," €",""), "")
)</f>
        <v>800</v>
      </c>
      <c r="AF163" s="1">
        <f>value(IFERROR(SUBSTITUTE(SUBSTITUTE(VLOOKUP($A163,'Quarterly Pipeline vs Target Pi'!$A:$V,17,false)," $","")," €",""), "")
)</f>
        <v>0</v>
      </c>
      <c r="AG163" s="17" t="str">
        <f t="shared" si="11"/>
        <v/>
      </c>
      <c r="AH163" s="1">
        <f>value(IFERROR(SUBSTITUTE(SUBSTITUTE(VLOOKUP($A163,'Quarterly Pipeline vs Target Pi'!$A:$V,21,false)," $","")," €",""), "")
)</f>
        <v>515</v>
      </c>
      <c r="AI163" s="1">
        <f>value(IFERROR(SUBSTITUTE(SUBSTITUTE(VLOOKUP($A163,'Quarterly Pipeline vs Target Pi'!$A:$V,22,false)," $","")," €",""), "")
)</f>
        <v>0</v>
      </c>
      <c r="AJ163" s="17" t="str">
        <f t="shared" si="12"/>
        <v/>
      </c>
      <c r="AK163" s="1">
        <f t="shared" ref="AK163:AL163" si="339">sum(Y163,AB163,AE163,AH163)</f>
        <v>1473.6</v>
      </c>
      <c r="AL163" s="1">
        <f t="shared" si="339"/>
        <v>0</v>
      </c>
      <c r="AM163" s="17" t="str">
        <f t="shared" si="14"/>
        <v/>
      </c>
      <c r="AN163" s="1">
        <f>value(IFERROR(SUBSTITUTE(SUBSTITUTE(VLOOKUP($A163,'Quarterly Pipeline vs Target Pi'!$A:$AP,26,false)," $","")," €",""), "")
)</f>
        <v>0</v>
      </c>
      <c r="AO163" s="1">
        <f>value(IFERROR(SUBSTITUTE(SUBSTITUTE(VLOOKUP($A163,'Quarterly Pipeline vs Target Pi'!$A:$AP,27,false)," $","")," €",""), "")
)</f>
        <v>0</v>
      </c>
      <c r="AP163" s="17" t="str">
        <f t="shared" si="15"/>
        <v/>
      </c>
      <c r="AQ163" s="1">
        <f>value(IFERROR(SUBSTITUTE(SUBSTITUTE(VLOOKUP($A163,'Quarterly Pipeline vs Target Pi'!$A:$AP,31,false)," $","")," €",""), "")
)</f>
        <v>11</v>
      </c>
      <c r="AR163" s="1">
        <f>value(IFERROR(SUBSTITUTE(SUBSTITUTE(VLOOKUP($A163,'Quarterly Pipeline vs Target Pi'!$A:$AP,32,false)," $","")," €",""), "")
)</f>
        <v>0</v>
      </c>
      <c r="AS163" s="17" t="str">
        <f t="shared" si="16"/>
        <v/>
      </c>
      <c r="AT163" s="1">
        <f>value(IFERROR(SUBSTITUTE(SUBSTITUTE(VLOOKUP($A163,'Quarterly Pipeline vs Target Pi'!$A:$AP,36,false)," $","")," €",""), "")
)</f>
        <v>0</v>
      </c>
      <c r="AU163" s="1">
        <f>value(IFERROR(SUBSTITUTE(SUBSTITUTE(VLOOKUP($A163,'Quarterly Pipeline vs Target Pi'!$A:$AP,37,false)," $","")," €",""), "")
)</f>
        <v>0</v>
      </c>
      <c r="AV163" s="17" t="str">
        <f t="shared" si="17"/>
        <v/>
      </c>
      <c r="AW163" s="1">
        <f>value(IFERROR(SUBSTITUTE(SUBSTITUTE(VLOOKUP($A163,'Quarterly Pipeline vs Target Pi'!$A:$AP,41,false)," $","")," €",""), "")
)</f>
        <v>0</v>
      </c>
      <c r="AX163" s="1">
        <f>value(IFERROR(SUBSTITUTE(SUBSTITUTE(VLOOKUP($A163,'Quarterly Pipeline vs Target Pi'!$A:$AP,42,false)," $","")," €",""), "")
)</f>
        <v>0</v>
      </c>
      <c r="AY163" s="17" t="str">
        <f t="shared" si="18"/>
        <v/>
      </c>
      <c r="AZ163" s="1">
        <f t="shared" ref="AZ163:BA163" si="340">sum(AN163,AQ163,AT163,AW163)</f>
        <v>11</v>
      </c>
      <c r="BA163" s="1">
        <f t="shared" si="340"/>
        <v>0</v>
      </c>
      <c r="BB163" s="17" t="str">
        <f t="shared" si="20"/>
        <v/>
      </c>
    </row>
    <row r="164">
      <c r="A164" s="1" t="str">
        <f>IFERROR(__xludf.DUMMYFUNCTION("""COMPUTED_VALUE"""),"63ef9d61384f27260c1bb2cd")</f>
        <v>63ef9d61384f27260c1bb2cd</v>
      </c>
      <c r="B164" s="1" t="str">
        <f>IFERROR(__xludf.DUMMYFUNCTION("""COMPUTED_VALUE"""),"Enterprise Systems Corporation")</f>
        <v>Enterprise Systems Corporation</v>
      </c>
      <c r="C164" s="1" t="str">
        <f>IFERROR(__xludf.DUMMYFUNCTION("""COMPUTED_VALUE"""),"steve.mcglasson@al-enterprise.com")</f>
        <v>steve.mcglasson@al-enterprise.com</v>
      </c>
      <c r="D164" s="1" t="str">
        <f>IFERROR(__xludf.DUMMYFUNCTION("""COMPUTED_VALUE"""),"americas")</f>
        <v>americas</v>
      </c>
      <c r="E164" s="1" t="str">
        <f>IFERROR(__xludf.DUMMYFUNCTION("""COMPUTED_VALUE"""),"US")</f>
        <v>US</v>
      </c>
      <c r="F164" s="1"/>
      <c r="G164" s="1" t="str">
        <f>iferror(VLOOKUP(A164,'Business Plan Setup and Accepta'!A:G,6,false),"")</f>
        <v/>
      </c>
      <c r="H164" s="1" t="str">
        <f>iferror(VLOOKUP(A164,'Business Plan Setup and Accepta'!A:G,7,false),"")</f>
        <v/>
      </c>
      <c r="I164" s="17" t="str">
        <f t="shared" si="3"/>
        <v/>
      </c>
      <c r="J164" s="1" t="str">
        <f>IFERROR(VALUE(SUBSTITUTE(VLOOKUP(A164,'Sales IN Revenues vs Sales targ'!A:G,6,false)," $","")), "")
</f>
        <v/>
      </c>
      <c r="K164" s="1" t="str">
        <f>IFERROR(VALUE(SUBSTITUTE(VLOOKUP(A164,'Sales IN Revenues vs Sales targ'!A:G,7,false)," $","")), "")
</f>
        <v/>
      </c>
      <c r="L164" s="17" t="str">
        <f t="shared" si="4"/>
        <v/>
      </c>
      <c r="M164" s="1">
        <f>value(SUBSTITUTE(IFERROR(VLOOKUP(A164,'Certifications achievements vs '!A:G,6,false),""),"#","")
)</f>
        <v>0</v>
      </c>
      <c r="N164" s="1">
        <f>value(SUBSTITUTE(IFERROR(VLOOKUP(A164,'Certifications achievements vs '!A:G,7,false),""),"#","")
)</f>
        <v>0</v>
      </c>
      <c r="O164" s="17" t="str">
        <f t="shared" si="5"/>
        <v/>
      </c>
      <c r="P164" s="1">
        <f>value(SUBSTITUTE(IFERROR(VLOOKUP(A164,'Communications - Solution Speci'!A:G,6,false),""),"#","")
)</f>
        <v>0</v>
      </c>
      <c r="Q164" s="1">
        <f>value(SUBSTITUTE(IFERROR(VLOOKUP(A164,'Communications - Solution Speci'!A:G,7,false),""),"#","")
)</f>
        <v>0</v>
      </c>
      <c r="R164" s="17" t="str">
        <f t="shared" si="6"/>
        <v/>
      </c>
      <c r="S164" s="1">
        <f>value(SUBSTITUTE(IFERROR(VLOOKUP(A164,'Networking - Solution Specializ'!A:G,6,false),""),"#","")
)</f>
        <v>0</v>
      </c>
      <c r="T164" s="1">
        <f>value(SUBSTITUTE(IFERROR(VLOOKUP(A164,'Networking - Solution Specializ'!A:G,7,false),""),"#","")
)</f>
        <v>0</v>
      </c>
      <c r="U164" s="17" t="str">
        <f t="shared" si="7"/>
        <v/>
      </c>
      <c r="V164" s="1" t="str">
        <f>iferror(vlookup(A164,'Marketing Plan (extract summary'!A:G,6,false),"")</f>
        <v/>
      </c>
      <c r="W164" s="1" t="str">
        <f>iferror(vlookup(A164,'Marketing Plan (extract summary'!A:G,7,false),"")</f>
        <v/>
      </c>
      <c r="X164" s="17" t="str">
        <f t="shared" si="8"/>
        <v/>
      </c>
      <c r="Y164" s="1">
        <f>value(IFERROR(SUBSTITUTE(SUBSTITUTE(VLOOKUP(A164,'Quarterly Pipeline vs Target Pi'!A:G,6,false)," $","")," €",""), "")
)</f>
        <v>0</v>
      </c>
      <c r="Z164" s="1">
        <f>value(IFERROR(SUBSTITUTE(SUBSTITUTE(VLOOKUP(A164,'Quarterly Pipeline vs Target Pi'!A:G,7,false)," $","")," €",""), "")
)</f>
        <v>0</v>
      </c>
      <c r="AA164" s="17" t="str">
        <f t="shared" si="9"/>
        <v/>
      </c>
      <c r="AB164" s="1">
        <f>value(IFERROR(SUBSTITUTE(SUBSTITUTE(VLOOKUP($A164,'Quarterly Pipeline vs Target Pi'!$A:$V,11,false)," $","")," €",""), "")
)</f>
        <v>0</v>
      </c>
      <c r="AC164" s="1">
        <f>value(IFERROR(SUBSTITUTE(SUBSTITUTE(VLOOKUP($A164,'Quarterly Pipeline vs Target Pi'!$A:$V,12,false)," $","")," €",""), "")
)</f>
        <v>0</v>
      </c>
      <c r="AD164" s="17" t="str">
        <f t="shared" si="10"/>
        <v/>
      </c>
      <c r="AE164" s="1">
        <f>value(IFERROR(SUBSTITUTE(SUBSTITUTE(VLOOKUP($A164,'Quarterly Pipeline vs Target Pi'!$A:$V,16,false)," $","")," €",""), "")
)</f>
        <v>0</v>
      </c>
      <c r="AF164" s="1">
        <f>value(IFERROR(SUBSTITUTE(SUBSTITUTE(VLOOKUP($A164,'Quarterly Pipeline vs Target Pi'!$A:$V,17,false)," $","")," €",""), "")
)</f>
        <v>0</v>
      </c>
      <c r="AG164" s="17" t="str">
        <f t="shared" si="11"/>
        <v/>
      </c>
      <c r="AH164" s="1">
        <f>value(IFERROR(SUBSTITUTE(SUBSTITUTE(VLOOKUP($A164,'Quarterly Pipeline vs Target Pi'!$A:$V,21,false)," $","")," €",""), "")
)</f>
        <v>0</v>
      </c>
      <c r="AI164" s="1">
        <f>value(IFERROR(SUBSTITUTE(SUBSTITUTE(VLOOKUP($A164,'Quarterly Pipeline vs Target Pi'!$A:$V,22,false)," $","")," €",""), "")
)</f>
        <v>0</v>
      </c>
      <c r="AJ164" s="17" t="str">
        <f t="shared" si="12"/>
        <v/>
      </c>
      <c r="AK164" s="1">
        <f t="shared" ref="AK164:AL164" si="341">sum(Y164,AB164,AE164,AH164)</f>
        <v>0</v>
      </c>
      <c r="AL164" s="1">
        <f t="shared" si="341"/>
        <v>0</v>
      </c>
      <c r="AM164" s="17" t="str">
        <f t="shared" si="14"/>
        <v/>
      </c>
      <c r="AN164" s="1">
        <f>value(IFERROR(SUBSTITUTE(SUBSTITUTE(VLOOKUP($A164,'Quarterly Pipeline vs Target Pi'!$A:$AP,26,false)," $","")," €",""), "")
)</f>
        <v>0</v>
      </c>
      <c r="AO164" s="1">
        <f>value(IFERROR(SUBSTITUTE(SUBSTITUTE(VLOOKUP($A164,'Quarterly Pipeline vs Target Pi'!$A:$AP,27,false)," $","")," €",""), "")
)</f>
        <v>0</v>
      </c>
      <c r="AP164" s="17" t="str">
        <f t="shared" si="15"/>
        <v/>
      </c>
      <c r="AQ164" s="1">
        <f>value(IFERROR(SUBSTITUTE(SUBSTITUTE(VLOOKUP($A164,'Quarterly Pipeline vs Target Pi'!$A:$AP,31,false)," $","")," €",""), "")
)</f>
        <v>0</v>
      </c>
      <c r="AR164" s="1">
        <f>value(IFERROR(SUBSTITUTE(SUBSTITUTE(VLOOKUP($A164,'Quarterly Pipeline vs Target Pi'!$A:$AP,32,false)," $","")," €",""), "")
)</f>
        <v>0</v>
      </c>
      <c r="AS164" s="17" t="str">
        <f t="shared" si="16"/>
        <v/>
      </c>
      <c r="AT164" s="1">
        <f>value(IFERROR(SUBSTITUTE(SUBSTITUTE(VLOOKUP($A164,'Quarterly Pipeline vs Target Pi'!$A:$AP,36,false)," $","")," €",""), "")
)</f>
        <v>0</v>
      </c>
      <c r="AU164" s="1">
        <f>value(IFERROR(SUBSTITUTE(SUBSTITUTE(VLOOKUP($A164,'Quarterly Pipeline vs Target Pi'!$A:$AP,37,false)," $","")," €",""), "")
)</f>
        <v>0</v>
      </c>
      <c r="AV164" s="17" t="str">
        <f t="shared" si="17"/>
        <v/>
      </c>
      <c r="AW164" s="1">
        <f>value(IFERROR(SUBSTITUTE(SUBSTITUTE(VLOOKUP($A164,'Quarterly Pipeline vs Target Pi'!$A:$AP,41,false)," $","")," €",""), "")
)</f>
        <v>0</v>
      </c>
      <c r="AX164" s="1">
        <f>value(IFERROR(SUBSTITUTE(SUBSTITUTE(VLOOKUP($A164,'Quarterly Pipeline vs Target Pi'!$A:$AP,42,false)," $","")," €",""), "")
)</f>
        <v>0</v>
      </c>
      <c r="AY164" s="17" t="str">
        <f t="shared" si="18"/>
        <v/>
      </c>
      <c r="AZ164" s="1">
        <f t="shared" ref="AZ164:BA164" si="342">sum(AN164,AQ164,AT164,AW164)</f>
        <v>0</v>
      </c>
      <c r="BA164" s="1">
        <f t="shared" si="342"/>
        <v>0</v>
      </c>
      <c r="BB164" s="17" t="str">
        <f t="shared" si="20"/>
        <v/>
      </c>
    </row>
    <row r="165">
      <c r="A165" s="1" t="str">
        <f>IFERROR(__xludf.DUMMYFUNCTION("""COMPUTED_VALUE"""),"63fcbb86a107c871cf565605")</f>
        <v>63fcbb86a107c871cf565605</v>
      </c>
      <c r="B165" s="1" t="str">
        <f>IFERROR(__xludf.DUMMYFUNCTION("""COMPUTED_VALUE"""),"ERIDATA COM.DE MAT.ELETRONICOS")</f>
        <v>ERIDATA COM.DE MAT.ELETRONICOS</v>
      </c>
      <c r="C165" s="1" t="str">
        <f>IFERROR(__xludf.DUMMYFUNCTION("""COMPUTED_VALUE"""),"sinclair.fidelis@al-enterprise.com")</f>
        <v>sinclair.fidelis@al-enterprise.com</v>
      </c>
      <c r="D165" s="1" t="str">
        <f>IFERROR(__xludf.DUMMYFUNCTION("""COMPUTED_VALUE"""),"americas")</f>
        <v>americas</v>
      </c>
      <c r="E165" s="1" t="str">
        <f>IFERROR(__xludf.DUMMYFUNCTION("""COMPUTED_VALUE"""),"BR")</f>
        <v>BR</v>
      </c>
      <c r="F165" s="1"/>
      <c r="G165" s="1" t="str">
        <f>iferror(VLOOKUP(A165,'Business Plan Setup and Accepta'!A:G,6,false),"")</f>
        <v/>
      </c>
      <c r="H165" s="1" t="str">
        <f>iferror(VLOOKUP(A165,'Business Plan Setup and Accepta'!A:G,7,false),"")</f>
        <v/>
      </c>
      <c r="I165" s="17" t="str">
        <f t="shared" si="3"/>
        <v/>
      </c>
      <c r="J165" s="1" t="str">
        <f>IFERROR(VALUE(SUBSTITUTE(VLOOKUP(A165,'Sales IN Revenues vs Sales targ'!A:G,6,false)," $","")), "")
</f>
        <v/>
      </c>
      <c r="K165" s="1" t="str">
        <f>IFERROR(VALUE(SUBSTITUTE(VLOOKUP(A165,'Sales IN Revenues vs Sales targ'!A:G,7,false)," $","")), "")
</f>
        <v/>
      </c>
      <c r="L165" s="17" t="str">
        <f t="shared" si="4"/>
        <v/>
      </c>
      <c r="M165" s="1">
        <f>value(SUBSTITUTE(IFERROR(VLOOKUP(A165,'Certifications achievements vs '!A:G,6,false),""),"#","")
)</f>
        <v>0</v>
      </c>
      <c r="N165" s="1">
        <f>value(SUBSTITUTE(IFERROR(VLOOKUP(A165,'Certifications achievements vs '!A:G,7,false),""),"#","")
)</f>
        <v>0</v>
      </c>
      <c r="O165" s="17" t="str">
        <f t="shared" si="5"/>
        <v/>
      </c>
      <c r="P165" s="1">
        <f>value(SUBSTITUTE(IFERROR(VLOOKUP(A165,'Communications - Solution Speci'!A:G,6,false),""),"#","")
)</f>
        <v>0</v>
      </c>
      <c r="Q165" s="1">
        <f>value(SUBSTITUTE(IFERROR(VLOOKUP(A165,'Communications - Solution Speci'!A:G,7,false),""),"#","")
)</f>
        <v>0</v>
      </c>
      <c r="R165" s="17" t="str">
        <f t="shared" si="6"/>
        <v/>
      </c>
      <c r="S165" s="1">
        <f>value(SUBSTITUTE(IFERROR(VLOOKUP(A165,'Networking - Solution Specializ'!A:G,6,false),""),"#","")
)</f>
        <v>0</v>
      </c>
      <c r="T165" s="1">
        <f>value(SUBSTITUTE(IFERROR(VLOOKUP(A165,'Networking - Solution Specializ'!A:G,7,false),""),"#","")
)</f>
        <v>0</v>
      </c>
      <c r="U165" s="17" t="str">
        <f t="shared" si="7"/>
        <v/>
      </c>
      <c r="V165" s="1" t="str">
        <f>iferror(vlookup(A165,'Marketing Plan (extract summary'!A:G,6,false),"")</f>
        <v/>
      </c>
      <c r="W165" s="1" t="str">
        <f>iferror(vlookup(A165,'Marketing Plan (extract summary'!A:G,7,false),"")</f>
        <v/>
      </c>
      <c r="X165" s="17" t="str">
        <f t="shared" si="8"/>
        <v/>
      </c>
      <c r="Y165" s="1">
        <f>value(IFERROR(SUBSTITUTE(SUBSTITUTE(VLOOKUP(A165,'Quarterly Pipeline vs Target Pi'!A:G,6,false)," $","")," €",""), "")
)</f>
        <v>0</v>
      </c>
      <c r="Z165" s="1">
        <f>value(IFERROR(SUBSTITUTE(SUBSTITUTE(VLOOKUP(A165,'Quarterly Pipeline vs Target Pi'!A:G,7,false)," $","")," €",""), "")
)</f>
        <v>0</v>
      </c>
      <c r="AA165" s="17" t="str">
        <f t="shared" si="9"/>
        <v/>
      </c>
      <c r="AB165" s="1">
        <f>value(IFERROR(SUBSTITUTE(SUBSTITUTE(VLOOKUP($A165,'Quarterly Pipeline vs Target Pi'!$A:$V,11,false)," $","")," €",""), "")
)</f>
        <v>0</v>
      </c>
      <c r="AC165" s="1">
        <f>value(IFERROR(SUBSTITUTE(SUBSTITUTE(VLOOKUP($A165,'Quarterly Pipeline vs Target Pi'!$A:$V,12,false)," $","")," €",""), "")
)</f>
        <v>0</v>
      </c>
      <c r="AD165" s="17" t="str">
        <f t="shared" si="10"/>
        <v/>
      </c>
      <c r="AE165" s="1">
        <f>value(IFERROR(SUBSTITUTE(SUBSTITUTE(VLOOKUP($A165,'Quarterly Pipeline vs Target Pi'!$A:$V,16,false)," $","")," €",""), "")
)</f>
        <v>0</v>
      </c>
      <c r="AF165" s="1">
        <f>value(IFERROR(SUBSTITUTE(SUBSTITUTE(VLOOKUP($A165,'Quarterly Pipeline vs Target Pi'!$A:$V,17,false)," $","")," €",""), "")
)</f>
        <v>0</v>
      </c>
      <c r="AG165" s="17" t="str">
        <f t="shared" si="11"/>
        <v/>
      </c>
      <c r="AH165" s="1">
        <f>value(IFERROR(SUBSTITUTE(SUBSTITUTE(VLOOKUP($A165,'Quarterly Pipeline vs Target Pi'!$A:$V,21,false)," $","")," €",""), "")
)</f>
        <v>0</v>
      </c>
      <c r="AI165" s="1">
        <f>value(IFERROR(SUBSTITUTE(SUBSTITUTE(VLOOKUP($A165,'Quarterly Pipeline vs Target Pi'!$A:$V,22,false)," $","")," €",""), "")
)</f>
        <v>0</v>
      </c>
      <c r="AJ165" s="17" t="str">
        <f t="shared" si="12"/>
        <v/>
      </c>
      <c r="AK165" s="1">
        <f t="shared" ref="AK165:AL165" si="343">sum(Y165,AB165,AE165,AH165)</f>
        <v>0</v>
      </c>
      <c r="AL165" s="1">
        <f t="shared" si="343"/>
        <v>0</v>
      </c>
      <c r="AM165" s="17" t="str">
        <f t="shared" si="14"/>
        <v/>
      </c>
      <c r="AN165" s="1">
        <f>value(IFERROR(SUBSTITUTE(SUBSTITUTE(VLOOKUP($A165,'Quarterly Pipeline vs Target Pi'!$A:$AP,26,false)," $","")," €",""), "")
)</f>
        <v>0</v>
      </c>
      <c r="AO165" s="1">
        <f>value(IFERROR(SUBSTITUTE(SUBSTITUTE(VLOOKUP($A165,'Quarterly Pipeline vs Target Pi'!$A:$AP,27,false)," $","")," €",""), "")
)</f>
        <v>0</v>
      </c>
      <c r="AP165" s="17" t="str">
        <f t="shared" si="15"/>
        <v/>
      </c>
      <c r="AQ165" s="1">
        <f>value(IFERROR(SUBSTITUTE(SUBSTITUTE(VLOOKUP($A165,'Quarterly Pipeline vs Target Pi'!$A:$AP,31,false)," $","")," €",""), "")
)</f>
        <v>0</v>
      </c>
      <c r="AR165" s="1">
        <f>value(IFERROR(SUBSTITUTE(SUBSTITUTE(VLOOKUP($A165,'Quarterly Pipeline vs Target Pi'!$A:$AP,32,false)," $","")," €",""), "")
)</f>
        <v>0</v>
      </c>
      <c r="AS165" s="17" t="str">
        <f t="shared" si="16"/>
        <v/>
      </c>
      <c r="AT165" s="1">
        <f>value(IFERROR(SUBSTITUTE(SUBSTITUTE(VLOOKUP($A165,'Quarterly Pipeline vs Target Pi'!$A:$AP,36,false)," $","")," €",""), "")
)</f>
        <v>0</v>
      </c>
      <c r="AU165" s="1">
        <f>value(IFERROR(SUBSTITUTE(SUBSTITUTE(VLOOKUP($A165,'Quarterly Pipeline vs Target Pi'!$A:$AP,37,false)," $","")," €",""), "")
)</f>
        <v>0</v>
      </c>
      <c r="AV165" s="17" t="str">
        <f t="shared" si="17"/>
        <v/>
      </c>
      <c r="AW165" s="1">
        <f>value(IFERROR(SUBSTITUTE(SUBSTITUTE(VLOOKUP($A165,'Quarterly Pipeline vs Target Pi'!$A:$AP,41,false)," $","")," €",""), "")
)</f>
        <v>0</v>
      </c>
      <c r="AX165" s="1">
        <f>value(IFERROR(SUBSTITUTE(SUBSTITUTE(VLOOKUP($A165,'Quarterly Pipeline vs Target Pi'!$A:$AP,42,false)," $","")," €",""), "")
)</f>
        <v>0</v>
      </c>
      <c r="AY165" s="17" t="str">
        <f t="shared" si="18"/>
        <v/>
      </c>
      <c r="AZ165" s="1">
        <f t="shared" ref="AZ165:BA165" si="344">sum(AN165,AQ165,AT165,AW165)</f>
        <v>0</v>
      </c>
      <c r="BA165" s="1">
        <f t="shared" si="344"/>
        <v>0</v>
      </c>
      <c r="BB165" s="17" t="str">
        <f t="shared" si="20"/>
        <v/>
      </c>
    </row>
    <row r="166">
      <c r="A166" s="1" t="str">
        <f>IFERROR(__xludf.DUMMYFUNCTION("""COMPUTED_VALUE"""),"63ef9d57384f27260c1ba24f")</f>
        <v>63ef9d57384f27260c1ba24f</v>
      </c>
      <c r="B166" s="1" t="str">
        <f>IFERROR(__xludf.DUMMYFUNCTION("""COMPUTED_VALUE"""),"Esprinet Iberica S.L.U.")</f>
        <v>Esprinet Iberica S.L.U.</v>
      </c>
      <c r="C166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66" s="1" t="str">
        <f>IFERROR(__xludf.DUMMYFUNCTION("""COMPUTED_VALUE"""),"emea")</f>
        <v>emea</v>
      </c>
      <c r="E166" s="1" t="str">
        <f>IFERROR(__xludf.DUMMYFUNCTION("""COMPUTED_VALUE"""),"ES")</f>
        <v>ES</v>
      </c>
      <c r="F166" s="1" t="str">
        <f>IFERROR(__xludf.DUMMYFUNCTION("""COMPUTED_VALUE"""),"distributor")</f>
        <v>distributor</v>
      </c>
      <c r="G166" s="1">
        <f>iferror(VLOOKUP(A166,'Business Plan Setup and Accepta'!A:G,6,false),"")</f>
        <v>1</v>
      </c>
      <c r="H166" s="1">
        <f>iferror(VLOOKUP(A166,'Business Plan Setup and Accepta'!A:G,7,false),"")</f>
        <v>1</v>
      </c>
      <c r="I166" s="17">
        <f t="shared" si="3"/>
        <v>1</v>
      </c>
      <c r="J166" s="1">
        <f>IFERROR(VALUE(SUBSTITUTE(VLOOKUP(A166,'Sales IN Revenues vs Sales targ'!A:G,6,false)," $","")), "")
</f>
        <v>331.81</v>
      </c>
      <c r="K166" s="1">
        <f>IFERROR(VALUE(SUBSTITUTE(VLOOKUP(A166,'Sales IN Revenues vs Sales targ'!A:G,7,false)," $","")), "")
</f>
        <v>1000</v>
      </c>
      <c r="L166" s="17">
        <f t="shared" si="4"/>
        <v>0.33181</v>
      </c>
      <c r="M166" s="1">
        <f>value(SUBSTITUTE(IFERROR(VLOOKUP(A166,'Certifications achievements vs '!A:G,6,false),""),"#","")
)</f>
        <v>12</v>
      </c>
      <c r="N166" s="1">
        <f>value(SUBSTITUTE(IFERROR(VLOOKUP(A166,'Certifications achievements vs '!A:G,7,false),""),"#","")
)</f>
        <v>56</v>
      </c>
      <c r="O166" s="17">
        <f t="shared" si="5"/>
        <v>0.2142857143</v>
      </c>
      <c r="P166" s="1">
        <f>value(SUBSTITUTE(IFERROR(VLOOKUP(A166,'Communications - Solution Speci'!A:G,6,false),""),"#","")
)</f>
        <v>0</v>
      </c>
      <c r="Q166" s="1">
        <f>value(SUBSTITUTE(IFERROR(VLOOKUP(A166,'Communications - Solution Speci'!A:G,7,false),""),"#","")
)</f>
        <v>1</v>
      </c>
      <c r="R166" s="17">
        <f t="shared" si="6"/>
        <v>0</v>
      </c>
      <c r="S166" s="1">
        <f>value(SUBSTITUTE(IFERROR(VLOOKUP(A166,'Networking - Solution Specializ'!A:G,6,false),""),"#","")
)</f>
        <v>0</v>
      </c>
      <c r="T166" s="1">
        <f>value(SUBSTITUTE(IFERROR(VLOOKUP(A166,'Networking - Solution Specializ'!A:G,7,false),""),"#","")
)</f>
        <v>1</v>
      </c>
      <c r="U166" s="17">
        <f t="shared" si="7"/>
        <v>0</v>
      </c>
      <c r="V166" s="1">
        <f>iferror(vlookup(A166,'Marketing Plan (extract summary'!A:G,6,false),"")</f>
        <v>0</v>
      </c>
      <c r="W166" s="1">
        <f>iferror(vlookup(A166,'Marketing Plan (extract summary'!A:G,7,false),"")</f>
        <v>1</v>
      </c>
      <c r="X166" s="17">
        <f t="shared" si="8"/>
        <v>0</v>
      </c>
      <c r="Y166" s="1">
        <f>value(IFERROR(SUBSTITUTE(SUBSTITUTE(VLOOKUP(A166,'Quarterly Pipeline vs Target Pi'!A:G,6,false)," $","")," €",""), "")
)</f>
        <v>5</v>
      </c>
      <c r="Z166" s="1">
        <f>value(IFERROR(SUBSTITUTE(SUBSTITUTE(VLOOKUP(A166,'Quarterly Pipeline vs Target Pi'!A:G,7,false)," $","")," €",""), "")
)</f>
        <v>0</v>
      </c>
      <c r="AA166" s="17" t="str">
        <f t="shared" si="9"/>
        <v/>
      </c>
      <c r="AB166" s="1">
        <f>value(IFERROR(SUBSTITUTE(SUBSTITUTE(VLOOKUP($A166,'Quarterly Pipeline vs Target Pi'!$A:$V,11,false)," $","")," €",""), "")
)</f>
        <v>11</v>
      </c>
      <c r="AC166" s="1">
        <f>value(IFERROR(SUBSTITUTE(SUBSTITUTE(VLOOKUP($A166,'Quarterly Pipeline vs Target Pi'!$A:$V,12,false)," $","")," €",""), "")
)</f>
        <v>808.82</v>
      </c>
      <c r="AD166" s="17">
        <f t="shared" si="10"/>
        <v>0.01360005935</v>
      </c>
      <c r="AE166" s="1">
        <f>value(IFERROR(SUBSTITUTE(SUBSTITUTE(VLOOKUP($A166,'Quarterly Pipeline vs Target Pi'!$A:$V,16,false)," $","")," €",""), "")
)</f>
        <v>40</v>
      </c>
      <c r="AF166" s="1">
        <f>value(IFERROR(SUBSTITUTE(SUBSTITUTE(VLOOKUP($A166,'Quarterly Pipeline vs Target Pi'!$A:$V,17,false)," $","")," €",""), "")
)</f>
        <v>808.82</v>
      </c>
      <c r="AG166" s="17">
        <f t="shared" si="11"/>
        <v>0.04945476126</v>
      </c>
      <c r="AH166" s="1">
        <f>value(IFERROR(SUBSTITUTE(SUBSTITUTE(VLOOKUP($A166,'Quarterly Pipeline vs Target Pi'!$A:$V,21,false)," $","")," €",""), "")
)</f>
        <v>40</v>
      </c>
      <c r="AI166" s="1">
        <f>value(IFERROR(SUBSTITUTE(SUBSTITUTE(VLOOKUP($A166,'Quarterly Pipeline vs Target Pi'!$A:$V,22,false)," $","")," €",""), "")
)</f>
        <v>808.82</v>
      </c>
      <c r="AJ166" s="17">
        <f t="shared" si="12"/>
        <v>0.04945476126</v>
      </c>
      <c r="AK166" s="1">
        <f t="shared" ref="AK166:AL166" si="345">sum(Y166,AB166,AE166,AH166)</f>
        <v>96</v>
      </c>
      <c r="AL166" s="1">
        <f t="shared" si="345"/>
        <v>2426.46</v>
      </c>
      <c r="AM166" s="17">
        <f t="shared" si="14"/>
        <v>0.03956380901</v>
      </c>
      <c r="AN166" s="1">
        <f>value(IFERROR(SUBSTITUTE(SUBSTITUTE(VLOOKUP($A166,'Quarterly Pipeline vs Target Pi'!$A:$AP,26,false)," $","")," €",""), "")
)</f>
        <v>0</v>
      </c>
      <c r="AO166" s="1">
        <f>value(IFERROR(SUBSTITUTE(SUBSTITUTE(VLOOKUP($A166,'Quarterly Pipeline vs Target Pi'!$A:$AP,27,false)," $","")," €",""), "")
)</f>
        <v>0</v>
      </c>
      <c r="AP166" s="17" t="str">
        <f t="shared" si="15"/>
        <v/>
      </c>
      <c r="AQ166" s="1">
        <f>value(IFERROR(SUBSTITUTE(SUBSTITUTE(VLOOKUP($A166,'Quarterly Pipeline vs Target Pi'!$A:$AP,31,false)," $","")," €",""), "")
)</f>
        <v>0</v>
      </c>
      <c r="AR166" s="1">
        <f>value(IFERROR(SUBSTITUTE(SUBSTITUTE(VLOOKUP($A166,'Quarterly Pipeline vs Target Pi'!$A:$AP,32,false)," $","")," €",""), "")
)</f>
        <v>0</v>
      </c>
      <c r="AS166" s="17" t="str">
        <f t="shared" si="16"/>
        <v/>
      </c>
      <c r="AT166" s="1">
        <f>value(IFERROR(SUBSTITUTE(SUBSTITUTE(VLOOKUP($A166,'Quarterly Pipeline vs Target Pi'!$A:$AP,36,false)," $","")," €",""), "")
)</f>
        <v>24.93</v>
      </c>
      <c r="AU166" s="1">
        <f>value(IFERROR(SUBSTITUTE(SUBSTITUTE(VLOOKUP($A166,'Quarterly Pipeline vs Target Pi'!$A:$AP,37,false)," $","")," €",""), "")
)</f>
        <v>0</v>
      </c>
      <c r="AV166" s="17" t="str">
        <f t="shared" si="17"/>
        <v/>
      </c>
      <c r="AW166" s="1">
        <f>value(IFERROR(SUBSTITUTE(SUBSTITUTE(VLOOKUP($A166,'Quarterly Pipeline vs Target Pi'!$A:$AP,41,false)," $","")," €",""), "")
)</f>
        <v>0</v>
      </c>
      <c r="AX166" s="1">
        <f>value(IFERROR(SUBSTITUTE(SUBSTITUTE(VLOOKUP($A166,'Quarterly Pipeline vs Target Pi'!$A:$AP,42,false)," $","")," €",""), "")
)</f>
        <v>0</v>
      </c>
      <c r="AY166" s="17" t="str">
        <f t="shared" si="18"/>
        <v/>
      </c>
      <c r="AZ166" s="1">
        <f t="shared" ref="AZ166:BA166" si="346">sum(AN166,AQ166,AT166,AW166)</f>
        <v>24.93</v>
      </c>
      <c r="BA166" s="1">
        <f t="shared" si="346"/>
        <v>0</v>
      </c>
      <c r="BB166" s="17" t="str">
        <f t="shared" si="20"/>
        <v/>
      </c>
    </row>
    <row r="167">
      <c r="A167" s="1" t="str">
        <f>IFERROR(__xludf.DUMMYFUNCTION("""COMPUTED_VALUE"""),"63fcbb7ea107c871cf5647e9")</f>
        <v>63fcbb7ea107c871cf5647e9</v>
      </c>
      <c r="B167" s="1" t="str">
        <f>IFERROR(__xludf.DUMMYFUNCTION("""COMPUTED_VALUE"""),"ESTEL INGENIERIA Y OBRAS, S.A.")</f>
        <v>ESTEL INGENIERIA Y OBRAS, S.A.</v>
      </c>
      <c r="C167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167" s="1" t="str">
        <f>IFERROR(__xludf.DUMMYFUNCTION("""COMPUTED_VALUE"""),"emea")</f>
        <v>emea</v>
      </c>
      <c r="E167" s="1" t="str">
        <f>IFERROR(__xludf.DUMMYFUNCTION("""COMPUTED_VALUE"""),"ES")</f>
        <v>ES</v>
      </c>
      <c r="F167" s="1"/>
      <c r="G167" s="1" t="str">
        <f>iferror(VLOOKUP(A167,'Business Plan Setup and Accepta'!A:G,6,false),"")</f>
        <v/>
      </c>
      <c r="H167" s="1" t="str">
        <f>iferror(VLOOKUP(A167,'Business Plan Setup and Accepta'!A:G,7,false),"")</f>
        <v/>
      </c>
      <c r="I167" s="17" t="str">
        <f t="shared" si="3"/>
        <v/>
      </c>
      <c r="J167" s="1" t="str">
        <f>IFERROR(VALUE(SUBSTITUTE(VLOOKUP(A167,'Sales IN Revenues vs Sales targ'!A:G,6,false)," $","")), "")
</f>
        <v/>
      </c>
      <c r="K167" s="1" t="str">
        <f>IFERROR(VALUE(SUBSTITUTE(VLOOKUP(A167,'Sales IN Revenues vs Sales targ'!A:G,7,false)," $","")), "")
</f>
        <v/>
      </c>
      <c r="L167" s="17" t="str">
        <f t="shared" si="4"/>
        <v/>
      </c>
      <c r="M167" s="1">
        <f>value(SUBSTITUTE(IFERROR(VLOOKUP(A167,'Certifications achievements vs '!A:G,6,false),""),"#","")
)</f>
        <v>0</v>
      </c>
      <c r="N167" s="1">
        <f>value(SUBSTITUTE(IFERROR(VLOOKUP(A167,'Certifications achievements vs '!A:G,7,false),""),"#","")
)</f>
        <v>0</v>
      </c>
      <c r="O167" s="17" t="str">
        <f t="shared" si="5"/>
        <v/>
      </c>
      <c r="P167" s="1">
        <f>value(SUBSTITUTE(IFERROR(VLOOKUP(A167,'Communications - Solution Speci'!A:G,6,false),""),"#","")
)</f>
        <v>0</v>
      </c>
      <c r="Q167" s="1">
        <f>value(SUBSTITUTE(IFERROR(VLOOKUP(A167,'Communications - Solution Speci'!A:G,7,false),""),"#","")
)</f>
        <v>0</v>
      </c>
      <c r="R167" s="17" t="str">
        <f t="shared" si="6"/>
        <v/>
      </c>
      <c r="S167" s="1">
        <f>value(SUBSTITUTE(IFERROR(VLOOKUP(A167,'Networking - Solution Specializ'!A:G,6,false),""),"#","")
)</f>
        <v>0</v>
      </c>
      <c r="T167" s="1">
        <f>value(SUBSTITUTE(IFERROR(VLOOKUP(A167,'Networking - Solution Specializ'!A:G,7,false),""),"#","")
)</f>
        <v>0</v>
      </c>
      <c r="U167" s="17" t="str">
        <f t="shared" si="7"/>
        <v/>
      </c>
      <c r="V167" s="1" t="str">
        <f>iferror(vlookup(A167,'Marketing Plan (extract summary'!A:G,6,false),"")</f>
        <v/>
      </c>
      <c r="W167" s="1" t="str">
        <f>iferror(vlookup(A167,'Marketing Plan (extract summary'!A:G,7,false),"")</f>
        <v/>
      </c>
      <c r="X167" s="17" t="str">
        <f t="shared" si="8"/>
        <v/>
      </c>
      <c r="Y167" s="1">
        <f>value(IFERROR(SUBSTITUTE(SUBSTITUTE(VLOOKUP(A167,'Quarterly Pipeline vs Target Pi'!A:G,6,false)," $","")," €",""), "")
)</f>
        <v>0</v>
      </c>
      <c r="Z167" s="1">
        <f>value(IFERROR(SUBSTITUTE(SUBSTITUTE(VLOOKUP(A167,'Quarterly Pipeline vs Target Pi'!A:G,7,false)," $","")," €",""), "")
)</f>
        <v>0</v>
      </c>
      <c r="AA167" s="17" t="str">
        <f t="shared" si="9"/>
        <v/>
      </c>
      <c r="AB167" s="1">
        <f>value(IFERROR(SUBSTITUTE(SUBSTITUTE(VLOOKUP($A167,'Quarterly Pipeline vs Target Pi'!$A:$V,11,false)," $","")," €",""), "")
)</f>
        <v>0</v>
      </c>
      <c r="AC167" s="1">
        <f>value(IFERROR(SUBSTITUTE(SUBSTITUTE(VLOOKUP($A167,'Quarterly Pipeline vs Target Pi'!$A:$V,12,false)," $","")," €",""), "")
)</f>
        <v>0</v>
      </c>
      <c r="AD167" s="17" t="str">
        <f t="shared" si="10"/>
        <v/>
      </c>
      <c r="AE167" s="1">
        <f>value(IFERROR(SUBSTITUTE(SUBSTITUTE(VLOOKUP($A167,'Quarterly Pipeline vs Target Pi'!$A:$V,16,false)," $","")," €",""), "")
)</f>
        <v>0</v>
      </c>
      <c r="AF167" s="1">
        <f>value(IFERROR(SUBSTITUTE(SUBSTITUTE(VLOOKUP($A167,'Quarterly Pipeline vs Target Pi'!$A:$V,17,false)," $","")," €",""), "")
)</f>
        <v>0</v>
      </c>
      <c r="AG167" s="17" t="str">
        <f t="shared" si="11"/>
        <v/>
      </c>
      <c r="AH167" s="1">
        <f>value(IFERROR(SUBSTITUTE(SUBSTITUTE(VLOOKUP($A167,'Quarterly Pipeline vs Target Pi'!$A:$V,21,false)," $","")," €",""), "")
)</f>
        <v>0</v>
      </c>
      <c r="AI167" s="1">
        <f>value(IFERROR(SUBSTITUTE(SUBSTITUTE(VLOOKUP($A167,'Quarterly Pipeline vs Target Pi'!$A:$V,22,false)," $","")," €",""), "")
)</f>
        <v>0</v>
      </c>
      <c r="AJ167" s="17" t="str">
        <f t="shared" si="12"/>
        <v/>
      </c>
      <c r="AK167" s="1">
        <f t="shared" ref="AK167:AL167" si="347">sum(Y167,AB167,AE167,AH167)</f>
        <v>0</v>
      </c>
      <c r="AL167" s="1">
        <f t="shared" si="347"/>
        <v>0</v>
      </c>
      <c r="AM167" s="17" t="str">
        <f t="shared" si="14"/>
        <v/>
      </c>
      <c r="AN167" s="1">
        <f>value(IFERROR(SUBSTITUTE(SUBSTITUTE(VLOOKUP($A167,'Quarterly Pipeline vs Target Pi'!$A:$AP,26,false)," $","")," €",""), "")
)</f>
        <v>0</v>
      </c>
      <c r="AO167" s="1">
        <f>value(IFERROR(SUBSTITUTE(SUBSTITUTE(VLOOKUP($A167,'Quarterly Pipeline vs Target Pi'!$A:$AP,27,false)," $","")," €",""), "")
)</f>
        <v>0</v>
      </c>
      <c r="AP167" s="17" t="str">
        <f t="shared" si="15"/>
        <v/>
      </c>
      <c r="AQ167" s="1">
        <f>value(IFERROR(SUBSTITUTE(SUBSTITUTE(VLOOKUP($A167,'Quarterly Pipeline vs Target Pi'!$A:$AP,31,false)," $","")," €",""), "")
)</f>
        <v>0</v>
      </c>
      <c r="AR167" s="1">
        <f>value(IFERROR(SUBSTITUTE(SUBSTITUTE(VLOOKUP($A167,'Quarterly Pipeline vs Target Pi'!$A:$AP,32,false)," $","")," €",""), "")
)</f>
        <v>0</v>
      </c>
      <c r="AS167" s="17" t="str">
        <f t="shared" si="16"/>
        <v/>
      </c>
      <c r="AT167" s="1">
        <f>value(IFERROR(SUBSTITUTE(SUBSTITUTE(VLOOKUP($A167,'Quarterly Pipeline vs Target Pi'!$A:$AP,36,false)," $","")," €",""), "")
)</f>
        <v>0</v>
      </c>
      <c r="AU167" s="1">
        <f>value(IFERROR(SUBSTITUTE(SUBSTITUTE(VLOOKUP($A167,'Quarterly Pipeline vs Target Pi'!$A:$AP,37,false)," $","")," €",""), "")
)</f>
        <v>0</v>
      </c>
      <c r="AV167" s="17" t="str">
        <f t="shared" si="17"/>
        <v/>
      </c>
      <c r="AW167" s="1">
        <f>value(IFERROR(SUBSTITUTE(SUBSTITUTE(VLOOKUP($A167,'Quarterly Pipeline vs Target Pi'!$A:$AP,41,false)," $","")," €",""), "")
)</f>
        <v>0</v>
      </c>
      <c r="AX167" s="1">
        <f>value(IFERROR(SUBSTITUTE(SUBSTITUTE(VLOOKUP($A167,'Quarterly Pipeline vs Target Pi'!$A:$AP,42,false)," $","")," €",""), "")
)</f>
        <v>0</v>
      </c>
      <c r="AY167" s="17" t="str">
        <f t="shared" si="18"/>
        <v/>
      </c>
      <c r="AZ167" s="1">
        <f t="shared" ref="AZ167:BA167" si="348">sum(AN167,AQ167,AT167,AW167)</f>
        <v>0</v>
      </c>
      <c r="BA167" s="1">
        <f t="shared" si="348"/>
        <v>0</v>
      </c>
      <c r="BB167" s="17" t="str">
        <f t="shared" si="20"/>
        <v/>
      </c>
    </row>
    <row r="168">
      <c r="A168" s="1" t="str">
        <f>IFERROR(__xludf.DUMMYFUNCTION("""COMPUTED_VALUE"""),"63ced841c5c820531c267de4")</f>
        <v>63ced841c5c820531c267de4</v>
      </c>
      <c r="B168" s="1" t="str">
        <f>IFERROR(__xludf.DUMMYFUNCTION("""COMPUTED_VALUE"""),"Estrategias en Tecnologia")</f>
        <v>Estrategias en Tecnologia</v>
      </c>
      <c r="C168" s="1" t="str">
        <f>IFERROR(__xludf.DUMMYFUNCTION("""COMPUTED_VALUE"""),"jorge.millan@al-enterprise.com")</f>
        <v>jorge.millan@al-enterprise.com</v>
      </c>
      <c r="D168" s="1" t="str">
        <f>IFERROR(__xludf.DUMMYFUNCTION("""COMPUTED_VALUE"""),"americas")</f>
        <v>americas</v>
      </c>
      <c r="E168" s="1" t="str">
        <f>IFERROR(__xludf.DUMMYFUNCTION("""COMPUTED_VALUE"""),"MX")</f>
        <v>MX</v>
      </c>
      <c r="F168" s="1"/>
      <c r="G168" s="1" t="str">
        <f>iferror(VLOOKUP(A168,'Business Plan Setup and Accepta'!A:G,6,false),"")</f>
        <v/>
      </c>
      <c r="H168" s="1" t="str">
        <f>iferror(VLOOKUP(A168,'Business Plan Setup and Accepta'!A:G,7,false),"")</f>
        <v/>
      </c>
      <c r="I168" s="17" t="str">
        <f t="shared" si="3"/>
        <v/>
      </c>
      <c r="J168" s="1" t="str">
        <f>IFERROR(VALUE(SUBSTITUTE(VLOOKUP(A168,'Sales IN Revenues vs Sales targ'!A:G,6,false)," $","")), "")
</f>
        <v/>
      </c>
      <c r="K168" s="1" t="str">
        <f>IFERROR(VALUE(SUBSTITUTE(VLOOKUP(A168,'Sales IN Revenues vs Sales targ'!A:G,7,false)," $","")), "")
</f>
        <v/>
      </c>
      <c r="L168" s="17" t="str">
        <f t="shared" si="4"/>
        <v/>
      </c>
      <c r="M168" s="1">
        <f>value(SUBSTITUTE(IFERROR(VLOOKUP(A168,'Certifications achievements vs '!A:G,6,false),""),"#","")
)</f>
        <v>0</v>
      </c>
      <c r="N168" s="1">
        <f>value(SUBSTITUTE(IFERROR(VLOOKUP(A168,'Certifications achievements vs '!A:G,7,false),""),"#","")
)</f>
        <v>0</v>
      </c>
      <c r="O168" s="17" t="str">
        <f t="shared" si="5"/>
        <v/>
      </c>
      <c r="P168" s="1">
        <f>value(SUBSTITUTE(IFERROR(VLOOKUP(A168,'Communications - Solution Speci'!A:G,6,false),""),"#","")
)</f>
        <v>0</v>
      </c>
      <c r="Q168" s="1">
        <f>value(SUBSTITUTE(IFERROR(VLOOKUP(A168,'Communications - Solution Speci'!A:G,7,false),""),"#","")
)</f>
        <v>0</v>
      </c>
      <c r="R168" s="17" t="str">
        <f t="shared" si="6"/>
        <v/>
      </c>
      <c r="S168" s="1">
        <f>value(SUBSTITUTE(IFERROR(VLOOKUP(A168,'Networking - Solution Specializ'!A:G,6,false),""),"#","")
)</f>
        <v>0</v>
      </c>
      <c r="T168" s="1">
        <f>value(SUBSTITUTE(IFERROR(VLOOKUP(A168,'Networking - Solution Specializ'!A:G,7,false),""),"#","")
)</f>
        <v>0</v>
      </c>
      <c r="U168" s="17" t="str">
        <f t="shared" si="7"/>
        <v/>
      </c>
      <c r="V168" s="1" t="str">
        <f>iferror(vlookup(A168,'Marketing Plan (extract summary'!A:G,6,false),"")</f>
        <v/>
      </c>
      <c r="W168" s="1" t="str">
        <f>iferror(vlookup(A168,'Marketing Plan (extract summary'!A:G,7,false),"")</f>
        <v/>
      </c>
      <c r="X168" s="17" t="str">
        <f t="shared" si="8"/>
        <v/>
      </c>
      <c r="Y168" s="1">
        <f>value(IFERROR(SUBSTITUTE(SUBSTITUTE(VLOOKUP(A168,'Quarterly Pipeline vs Target Pi'!A:G,6,false)," $","")," €",""), "")
)</f>
        <v>0</v>
      </c>
      <c r="Z168" s="1">
        <f>value(IFERROR(SUBSTITUTE(SUBSTITUTE(VLOOKUP(A168,'Quarterly Pipeline vs Target Pi'!A:G,7,false)," $","")," €",""), "")
)</f>
        <v>0</v>
      </c>
      <c r="AA168" s="17" t="str">
        <f t="shared" si="9"/>
        <v/>
      </c>
      <c r="AB168" s="1">
        <f>value(IFERROR(SUBSTITUTE(SUBSTITUTE(VLOOKUP($A168,'Quarterly Pipeline vs Target Pi'!$A:$V,11,false)," $","")," €",""), "")
)</f>
        <v>0</v>
      </c>
      <c r="AC168" s="1">
        <f>value(IFERROR(SUBSTITUTE(SUBSTITUTE(VLOOKUP($A168,'Quarterly Pipeline vs Target Pi'!$A:$V,12,false)," $","")," €",""), "")
)</f>
        <v>0</v>
      </c>
      <c r="AD168" s="17" t="str">
        <f t="shared" si="10"/>
        <v/>
      </c>
      <c r="AE168" s="1">
        <f>value(IFERROR(SUBSTITUTE(SUBSTITUTE(VLOOKUP($A168,'Quarterly Pipeline vs Target Pi'!$A:$V,16,false)," $","")," €",""), "")
)</f>
        <v>0</v>
      </c>
      <c r="AF168" s="1">
        <f>value(IFERROR(SUBSTITUTE(SUBSTITUTE(VLOOKUP($A168,'Quarterly Pipeline vs Target Pi'!$A:$V,17,false)," $","")," €",""), "")
)</f>
        <v>0</v>
      </c>
      <c r="AG168" s="17" t="str">
        <f t="shared" si="11"/>
        <v/>
      </c>
      <c r="AH168" s="1">
        <f>value(IFERROR(SUBSTITUTE(SUBSTITUTE(VLOOKUP($A168,'Quarterly Pipeline vs Target Pi'!$A:$V,21,false)," $","")," €",""), "")
)</f>
        <v>0</v>
      </c>
      <c r="AI168" s="1">
        <f>value(IFERROR(SUBSTITUTE(SUBSTITUTE(VLOOKUP($A168,'Quarterly Pipeline vs Target Pi'!$A:$V,22,false)," $","")," €",""), "")
)</f>
        <v>0</v>
      </c>
      <c r="AJ168" s="17" t="str">
        <f t="shared" si="12"/>
        <v/>
      </c>
      <c r="AK168" s="1">
        <f t="shared" ref="AK168:AL168" si="349">sum(Y168,AB168,AE168,AH168)</f>
        <v>0</v>
      </c>
      <c r="AL168" s="1">
        <f t="shared" si="349"/>
        <v>0</v>
      </c>
      <c r="AM168" s="17" t="str">
        <f t="shared" si="14"/>
        <v/>
      </c>
      <c r="AN168" s="1">
        <f>value(IFERROR(SUBSTITUTE(SUBSTITUTE(VLOOKUP($A168,'Quarterly Pipeline vs Target Pi'!$A:$AP,26,false)," $","")," €",""), "")
)</f>
        <v>0</v>
      </c>
      <c r="AO168" s="1">
        <f>value(IFERROR(SUBSTITUTE(SUBSTITUTE(VLOOKUP($A168,'Quarterly Pipeline vs Target Pi'!$A:$AP,27,false)," $","")," €",""), "")
)</f>
        <v>0</v>
      </c>
      <c r="AP168" s="17" t="str">
        <f t="shared" si="15"/>
        <v/>
      </c>
      <c r="AQ168" s="1">
        <f>value(IFERROR(SUBSTITUTE(SUBSTITUTE(VLOOKUP($A168,'Quarterly Pipeline vs Target Pi'!$A:$AP,31,false)," $","")," €",""), "")
)</f>
        <v>0</v>
      </c>
      <c r="AR168" s="1">
        <f>value(IFERROR(SUBSTITUTE(SUBSTITUTE(VLOOKUP($A168,'Quarterly Pipeline vs Target Pi'!$A:$AP,32,false)," $","")," €",""), "")
)</f>
        <v>0</v>
      </c>
      <c r="AS168" s="17" t="str">
        <f t="shared" si="16"/>
        <v/>
      </c>
      <c r="AT168" s="1">
        <f>value(IFERROR(SUBSTITUTE(SUBSTITUTE(VLOOKUP($A168,'Quarterly Pipeline vs Target Pi'!$A:$AP,36,false)," $","")," €",""), "")
)</f>
        <v>0</v>
      </c>
      <c r="AU168" s="1">
        <f>value(IFERROR(SUBSTITUTE(SUBSTITUTE(VLOOKUP($A168,'Quarterly Pipeline vs Target Pi'!$A:$AP,37,false)," $","")," €",""), "")
)</f>
        <v>0</v>
      </c>
      <c r="AV168" s="17" t="str">
        <f t="shared" si="17"/>
        <v/>
      </c>
      <c r="AW168" s="1">
        <f>value(IFERROR(SUBSTITUTE(SUBSTITUTE(VLOOKUP($A168,'Quarterly Pipeline vs Target Pi'!$A:$AP,41,false)," $","")," €",""), "")
)</f>
        <v>0</v>
      </c>
      <c r="AX168" s="1">
        <f>value(IFERROR(SUBSTITUTE(SUBSTITUTE(VLOOKUP($A168,'Quarterly Pipeline vs Target Pi'!$A:$AP,42,false)," $","")," €",""), "")
)</f>
        <v>0</v>
      </c>
      <c r="AY168" s="17" t="str">
        <f t="shared" si="18"/>
        <v/>
      </c>
      <c r="AZ168" s="1">
        <f t="shared" ref="AZ168:BA168" si="350">sum(AN168,AQ168,AT168,AW168)</f>
        <v>0</v>
      </c>
      <c r="BA168" s="1">
        <f t="shared" si="350"/>
        <v>0</v>
      </c>
      <c r="BB168" s="17" t="str">
        <f t="shared" si="20"/>
        <v/>
      </c>
    </row>
    <row r="169">
      <c r="A169" s="1" t="str">
        <f>IFERROR(__xludf.DUMMYFUNCTION("""COMPUTED_VALUE"""),"63ea6e9352ad6968805ceafd")</f>
        <v>63ea6e9352ad6968805ceafd</v>
      </c>
      <c r="B169" s="1" t="str">
        <f>IFERROR(__xludf.DUMMYFUNCTION("""COMPUTED_VALUE"""),"ETF GmbH")</f>
        <v>ETF GmbH</v>
      </c>
      <c r="C169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169" s="1" t="str">
        <f>IFERROR(__xludf.DUMMYFUNCTION("""COMPUTED_VALUE"""),"germany")</f>
        <v>germany</v>
      </c>
      <c r="E169" s="1" t="str">
        <f>IFERROR(__xludf.DUMMYFUNCTION("""COMPUTED_VALUE"""),"DE")</f>
        <v>DE</v>
      </c>
      <c r="F169" s="1" t="str">
        <f>IFERROR(__xludf.DUMMYFUNCTION("""COMPUTED_VALUE"""),"expert_200")</f>
        <v>expert_200</v>
      </c>
      <c r="G169" s="1">
        <f>iferror(VLOOKUP(A169,'Business Plan Setup and Accepta'!A:G,6,false),"")</f>
        <v>1</v>
      </c>
      <c r="H169" s="1">
        <f>iferror(VLOOKUP(A169,'Business Plan Setup and Accepta'!A:G,7,false),"")</f>
        <v>1</v>
      </c>
      <c r="I169" s="17">
        <f t="shared" si="3"/>
        <v>1</v>
      </c>
      <c r="J169" s="1">
        <f>IFERROR(VALUE(SUBSTITUTE(VLOOKUP(A169,'Sales IN Revenues vs Sales targ'!A:G,6,false)," $","")), "")
</f>
        <v>75.08</v>
      </c>
      <c r="K169" s="1">
        <f>IFERROR(VALUE(SUBSTITUTE(VLOOKUP(A169,'Sales IN Revenues vs Sales targ'!A:G,7,false)," $","")), "")
</f>
        <v>326</v>
      </c>
      <c r="L169" s="17">
        <f t="shared" si="4"/>
        <v>0.2303067485</v>
      </c>
      <c r="M169" s="1">
        <f>value(SUBSTITUTE(IFERROR(VLOOKUP(A169,'Certifications achievements vs '!A:G,6,false),""),"#","")
)</f>
        <v>16</v>
      </c>
      <c r="N169" s="1">
        <f>value(SUBSTITUTE(IFERROR(VLOOKUP(A169,'Certifications achievements vs '!A:G,7,false),""),"#","")
)</f>
        <v>52</v>
      </c>
      <c r="O169" s="17">
        <f t="shared" si="5"/>
        <v>0.3076923077</v>
      </c>
      <c r="P169" s="1">
        <f>value(SUBSTITUTE(IFERROR(VLOOKUP(A169,'Communications - Solution Speci'!A:G,6,false),""),"#","")
)</f>
        <v>1</v>
      </c>
      <c r="Q169" s="1">
        <f>value(SUBSTITUTE(IFERROR(VLOOKUP(A169,'Communications - Solution Speci'!A:G,7,false),""),"#","")
)</f>
        <v>1</v>
      </c>
      <c r="R169" s="17">
        <f t="shared" si="6"/>
        <v>1</v>
      </c>
      <c r="S169" s="1">
        <f>value(SUBSTITUTE(IFERROR(VLOOKUP(A169,'Networking - Solution Specializ'!A:G,6,false),""),"#","")
)</f>
        <v>0</v>
      </c>
      <c r="T169" s="1">
        <f>value(SUBSTITUTE(IFERROR(VLOOKUP(A169,'Networking - Solution Specializ'!A:G,7,false),""),"#","")
)</f>
        <v>1</v>
      </c>
      <c r="U169" s="17">
        <f t="shared" si="7"/>
        <v>0</v>
      </c>
      <c r="V169" s="1">
        <f>iferror(vlookup(A169,'Marketing Plan (extract summary'!A:G,6,false),"")</f>
        <v>0</v>
      </c>
      <c r="W169" s="1">
        <f>iferror(vlookup(A169,'Marketing Plan (extract summary'!A:G,7,false),"")</f>
        <v>1</v>
      </c>
      <c r="X169" s="17">
        <f t="shared" si="8"/>
        <v>0</v>
      </c>
      <c r="Y169" s="1">
        <f>value(IFERROR(SUBSTITUTE(SUBSTITUTE(VLOOKUP(A169,'Quarterly Pipeline vs Target Pi'!A:G,6,false)," $","")," €",""), "")
)</f>
        <v>1.13</v>
      </c>
      <c r="Z169" s="1">
        <f>value(IFERROR(SUBSTITUTE(SUBSTITUTE(VLOOKUP(A169,'Quarterly Pipeline vs Target Pi'!A:G,7,false)," $","")," €",""), "")
)</f>
        <v>0</v>
      </c>
      <c r="AA169" s="17" t="str">
        <f t="shared" si="9"/>
        <v/>
      </c>
      <c r="AB169" s="1">
        <f>value(IFERROR(SUBSTITUTE(SUBSTITUTE(VLOOKUP($A169,'Quarterly Pipeline vs Target Pi'!$A:$V,11,false)," $","")," €",""), "")
)</f>
        <v>0.1</v>
      </c>
      <c r="AC169" s="1">
        <f>value(IFERROR(SUBSTITUTE(SUBSTITUTE(VLOOKUP($A169,'Quarterly Pipeline vs Target Pi'!$A:$V,12,false)," $","")," €",""), "")
)</f>
        <v>171.58</v>
      </c>
      <c r="AD169" s="17">
        <f t="shared" si="10"/>
        <v>0.0005828185103</v>
      </c>
      <c r="AE169" s="1">
        <f>value(IFERROR(SUBSTITUTE(SUBSTITUTE(VLOOKUP($A169,'Quarterly Pipeline vs Target Pi'!$A:$V,16,false)," $","")," €",""), "")
)</f>
        <v>79.43</v>
      </c>
      <c r="AF169" s="1">
        <f>value(IFERROR(SUBSTITUTE(SUBSTITUTE(VLOOKUP($A169,'Quarterly Pipeline vs Target Pi'!$A:$V,17,false)," $","")," €",""), "")
)</f>
        <v>257.37</v>
      </c>
      <c r="AG169" s="17">
        <f t="shared" si="11"/>
        <v>0.3086218285</v>
      </c>
      <c r="AH169" s="1">
        <f>value(IFERROR(SUBSTITUTE(SUBSTITUTE(VLOOKUP($A169,'Quarterly Pipeline vs Target Pi'!$A:$V,21,false)," $","")," €",""), "")
)</f>
        <v>73.23</v>
      </c>
      <c r="AI169" s="1">
        <f>value(IFERROR(SUBSTITUTE(SUBSTITUTE(VLOOKUP($A169,'Quarterly Pipeline vs Target Pi'!$A:$V,22,false)," $","")," €",""), "")
)</f>
        <v>257.37</v>
      </c>
      <c r="AJ169" s="17">
        <f t="shared" si="12"/>
        <v>0.2845319967</v>
      </c>
      <c r="AK169" s="1">
        <f t="shared" ref="AK169:AL169" si="351">sum(Y169,AB169,AE169,AH169)</f>
        <v>153.89</v>
      </c>
      <c r="AL169" s="1">
        <f t="shared" si="351"/>
        <v>686.32</v>
      </c>
      <c r="AM169" s="17">
        <f t="shared" si="14"/>
        <v>0.2242248514</v>
      </c>
      <c r="AN169" s="1">
        <f>value(IFERROR(SUBSTITUTE(SUBSTITUTE(VLOOKUP($A169,'Quarterly Pipeline vs Target Pi'!$A:$AP,26,false)," $","")," €",""), "")
)</f>
        <v>0</v>
      </c>
      <c r="AO169" s="1">
        <f>value(IFERROR(SUBSTITUTE(SUBSTITUTE(VLOOKUP($A169,'Quarterly Pipeline vs Target Pi'!$A:$AP,27,false)," $","")," €",""), "")
)</f>
        <v>0</v>
      </c>
      <c r="AP169" s="17" t="str">
        <f t="shared" si="15"/>
        <v/>
      </c>
      <c r="AQ169" s="1">
        <f>value(IFERROR(SUBSTITUTE(SUBSTITUTE(VLOOKUP($A169,'Quarterly Pipeline vs Target Pi'!$A:$AP,31,false)," $","")," €",""), "")
)</f>
        <v>0</v>
      </c>
      <c r="AR169" s="1">
        <f>value(IFERROR(SUBSTITUTE(SUBSTITUTE(VLOOKUP($A169,'Quarterly Pipeline vs Target Pi'!$A:$AP,32,false)," $","")," €",""), "")
)</f>
        <v>0</v>
      </c>
      <c r="AS169" s="17" t="str">
        <f t="shared" si="16"/>
        <v/>
      </c>
      <c r="AT169" s="1">
        <f>value(IFERROR(SUBSTITUTE(SUBSTITUTE(VLOOKUP($A169,'Quarterly Pipeline vs Target Pi'!$A:$AP,36,false)," $","")," €",""), "")
)</f>
        <v>0</v>
      </c>
      <c r="AU169" s="1">
        <f>value(IFERROR(SUBSTITUTE(SUBSTITUTE(VLOOKUP($A169,'Quarterly Pipeline vs Target Pi'!$A:$AP,37,false)," $","")," €",""), "")
)</f>
        <v>0</v>
      </c>
      <c r="AV169" s="17" t="str">
        <f t="shared" si="17"/>
        <v/>
      </c>
      <c r="AW169" s="1">
        <f>value(IFERROR(SUBSTITUTE(SUBSTITUTE(VLOOKUP($A169,'Quarterly Pipeline vs Target Pi'!$A:$AP,41,false)," $","")," €",""), "")
)</f>
        <v>0</v>
      </c>
      <c r="AX169" s="1">
        <f>value(IFERROR(SUBSTITUTE(SUBSTITUTE(VLOOKUP($A169,'Quarterly Pipeline vs Target Pi'!$A:$AP,42,false)," $","")," €",""), "")
)</f>
        <v>0</v>
      </c>
      <c r="AY169" s="17" t="str">
        <f t="shared" si="18"/>
        <v/>
      </c>
      <c r="AZ169" s="1">
        <f t="shared" ref="AZ169:BA169" si="352">sum(AN169,AQ169,AT169,AW169)</f>
        <v>0</v>
      </c>
      <c r="BA169" s="1">
        <f t="shared" si="352"/>
        <v>0</v>
      </c>
      <c r="BB169" s="17" t="str">
        <f t="shared" si="20"/>
        <v/>
      </c>
    </row>
    <row r="170">
      <c r="A170" s="1" t="str">
        <f>IFERROR(__xludf.DUMMYFUNCTION("""COMPUTED_VALUE"""),"63ea6e9452ad6968805ceb7b")</f>
        <v>63ea6e9452ad6968805ceb7b</v>
      </c>
      <c r="B170" s="1" t="str">
        <f>IFERROR(__xludf.DUMMYFUNCTION("""COMPUTED_VALUE"""),"ETK networks solution GmbH")</f>
        <v>ETK networks solution GmbH</v>
      </c>
      <c r="C170" s="1" t="str">
        <f>IFERROR(__xludf.DUMMYFUNCTION("""COMPUTED_VALUE"""),"andreas.grossheimann@al-enterprise.com, samantha.hunt@al-enterprise.com, katrin.pfeiffer@al-enterprise.com, sibylle.klopfer@al-enterprise.com, igor.leko@al-enterprise.com, hakan.adiguezel@al-enterprise.com")</f>
        <v>andreas.grossheimann@al-enterprise.com, samantha.hunt@al-enterprise.com, katrin.pfeiffer@al-enterprise.com, sibylle.klopfer@al-enterprise.com, igor.leko@al-enterprise.com, hakan.adiguezel@al-enterprise.com</v>
      </c>
      <c r="D170" s="1" t="str">
        <f>IFERROR(__xludf.DUMMYFUNCTION("""COMPUTED_VALUE"""),"germany")</f>
        <v>germany</v>
      </c>
      <c r="E170" s="1" t="str">
        <f>IFERROR(__xludf.DUMMYFUNCTION("""COMPUTED_VALUE"""),"DE")</f>
        <v>DE</v>
      </c>
      <c r="F170" s="1" t="str">
        <f>IFERROR(__xludf.DUMMYFUNCTION("""COMPUTED_VALUE"""),"expert_200")</f>
        <v>expert_200</v>
      </c>
      <c r="G170" s="1">
        <f>iferror(VLOOKUP(A170,'Business Plan Setup and Accepta'!A:G,6,false),"")</f>
        <v>0</v>
      </c>
      <c r="H170" s="1">
        <f>iferror(VLOOKUP(A170,'Business Plan Setup and Accepta'!A:G,7,false),"")</f>
        <v>1</v>
      </c>
      <c r="I170" s="17">
        <f t="shared" si="3"/>
        <v>0</v>
      </c>
      <c r="J170" s="1">
        <f>IFERROR(VALUE(SUBSTITUTE(VLOOKUP(A170,'Sales IN Revenues vs Sales targ'!A:G,6,false)," $","")), "")
</f>
        <v>184.06</v>
      </c>
      <c r="K170" s="1">
        <f>IFERROR(VALUE(SUBSTITUTE(VLOOKUP(A170,'Sales IN Revenues vs Sales targ'!A:G,7,false)," $","")), "")
</f>
        <v>450</v>
      </c>
      <c r="L170" s="17">
        <f t="shared" si="4"/>
        <v>0.4090222222</v>
      </c>
      <c r="M170" s="1">
        <f>value(SUBSTITUTE(IFERROR(VLOOKUP(A170,'Certifications achievements vs '!A:G,6,false),""),"#","")
)</f>
        <v>50</v>
      </c>
      <c r="N170" s="1">
        <f>value(SUBSTITUTE(IFERROR(VLOOKUP(A170,'Certifications achievements vs '!A:G,7,false),""),"#","")
)</f>
        <v>52</v>
      </c>
      <c r="O170" s="17">
        <f t="shared" si="5"/>
        <v>0.9615384615</v>
      </c>
      <c r="P170" s="1">
        <f>value(SUBSTITUTE(IFERROR(VLOOKUP(A170,'Communications - Solution Speci'!A:G,6,false),""),"#","")
)</f>
        <v>1</v>
      </c>
      <c r="Q170" s="1">
        <f>value(SUBSTITUTE(IFERROR(VLOOKUP(A170,'Communications - Solution Speci'!A:G,7,false),""),"#","")
)</f>
        <v>1</v>
      </c>
      <c r="R170" s="17">
        <f t="shared" si="6"/>
        <v>1</v>
      </c>
      <c r="S170" s="1">
        <f>value(SUBSTITUTE(IFERROR(VLOOKUP(A170,'Networking - Solution Specializ'!A:G,6,false),""),"#","")
)</f>
        <v>0</v>
      </c>
      <c r="T170" s="1">
        <f>value(SUBSTITUTE(IFERROR(VLOOKUP(A170,'Networking - Solution Specializ'!A:G,7,false),""),"#","")
)</f>
        <v>1</v>
      </c>
      <c r="U170" s="17">
        <f t="shared" si="7"/>
        <v>0</v>
      </c>
      <c r="V170" s="1">
        <f>iferror(vlookup(A170,'Marketing Plan (extract summary'!A:G,6,false),"")</f>
        <v>0</v>
      </c>
      <c r="W170" s="1">
        <f>iferror(vlookup(A170,'Marketing Plan (extract summary'!A:G,7,false),"")</f>
        <v>1</v>
      </c>
      <c r="X170" s="17">
        <f t="shared" si="8"/>
        <v>0</v>
      </c>
      <c r="Y170" s="1">
        <f>value(IFERROR(SUBSTITUTE(SUBSTITUTE(VLOOKUP(A170,'Quarterly Pipeline vs Target Pi'!A:G,6,false)," $","")," €",""), "")
)</f>
        <v>1.41</v>
      </c>
      <c r="Z170" s="1">
        <f>value(IFERROR(SUBSTITUTE(SUBSTITUTE(VLOOKUP(A170,'Quarterly Pipeline vs Target Pi'!A:G,7,false)," $","")," €",""), "")
)</f>
        <v>0</v>
      </c>
      <c r="AA170" s="17" t="str">
        <f t="shared" si="9"/>
        <v/>
      </c>
      <c r="AB170" s="1">
        <f>value(IFERROR(SUBSTITUTE(SUBSTITUTE(VLOOKUP($A170,'Quarterly Pipeline vs Target Pi'!$A:$V,11,false)," $","")," €",""), "")
)</f>
        <v>10</v>
      </c>
      <c r="AC170" s="1">
        <f>value(IFERROR(SUBSTITUTE(SUBSTITUTE(VLOOKUP($A170,'Quarterly Pipeline vs Target Pi'!$A:$V,12,false)," $","")," €",""), "")
)</f>
        <v>191.49</v>
      </c>
      <c r="AD170" s="17">
        <f t="shared" si="10"/>
        <v>0.05222204815</v>
      </c>
      <c r="AE170" s="1">
        <f>value(IFERROR(SUBSTITUTE(SUBSTITUTE(VLOOKUP($A170,'Quarterly Pipeline vs Target Pi'!$A:$V,16,false)," $","")," €",""), "")
)</f>
        <v>40.46</v>
      </c>
      <c r="AF170" s="1">
        <f>value(IFERROR(SUBSTITUTE(SUBSTITUTE(VLOOKUP($A170,'Quarterly Pipeline vs Target Pi'!$A:$V,17,false)," $","")," €",""), "")
)</f>
        <v>287.23</v>
      </c>
      <c r="AG170" s="17">
        <f t="shared" si="11"/>
        <v>0.1408627233</v>
      </c>
      <c r="AH170" s="1">
        <f>value(IFERROR(SUBSTITUTE(SUBSTITUTE(VLOOKUP($A170,'Quarterly Pipeline vs Target Pi'!$A:$V,21,false)," $","")," €",""), "")
)</f>
        <v>506.26</v>
      </c>
      <c r="AI170" s="1">
        <f>value(IFERROR(SUBSTITUTE(SUBSTITUTE(VLOOKUP($A170,'Quarterly Pipeline vs Target Pi'!$A:$V,22,false)," $","")," €",""), "")
)</f>
        <v>287.23</v>
      </c>
      <c r="AJ170" s="17">
        <f t="shared" si="12"/>
        <v>1.762559621</v>
      </c>
      <c r="AK170" s="1">
        <f t="shared" ref="AK170:AL170" si="353">sum(Y170,AB170,AE170,AH170)</f>
        <v>558.13</v>
      </c>
      <c r="AL170" s="1">
        <f t="shared" si="353"/>
        <v>765.95</v>
      </c>
      <c r="AM170" s="17">
        <f t="shared" si="14"/>
        <v>0.7286768066</v>
      </c>
      <c r="AN170" s="1">
        <f>value(IFERROR(SUBSTITUTE(SUBSTITUTE(VLOOKUP($A170,'Quarterly Pipeline vs Target Pi'!$A:$AP,26,false)," $","")," €",""), "")
)</f>
        <v>15</v>
      </c>
      <c r="AO170" s="1">
        <f>value(IFERROR(SUBSTITUTE(SUBSTITUTE(VLOOKUP($A170,'Quarterly Pipeline vs Target Pi'!$A:$AP,27,false)," $","")," €",""), "")
)</f>
        <v>0</v>
      </c>
      <c r="AP170" s="17" t="str">
        <f t="shared" si="15"/>
        <v/>
      </c>
      <c r="AQ170" s="1">
        <f>value(IFERROR(SUBSTITUTE(SUBSTITUTE(VLOOKUP($A170,'Quarterly Pipeline vs Target Pi'!$A:$AP,31,false)," $","")," €",""), "")
)</f>
        <v>0</v>
      </c>
      <c r="AR170" s="1">
        <f>value(IFERROR(SUBSTITUTE(SUBSTITUTE(VLOOKUP($A170,'Quarterly Pipeline vs Target Pi'!$A:$AP,32,false)," $","")," €",""), "")
)</f>
        <v>0</v>
      </c>
      <c r="AS170" s="17" t="str">
        <f t="shared" si="16"/>
        <v/>
      </c>
      <c r="AT170" s="1">
        <f>value(IFERROR(SUBSTITUTE(SUBSTITUTE(VLOOKUP($A170,'Quarterly Pipeline vs Target Pi'!$A:$AP,36,false)," $","")," €",""), "")
)</f>
        <v>0</v>
      </c>
      <c r="AU170" s="1">
        <f>value(IFERROR(SUBSTITUTE(SUBSTITUTE(VLOOKUP($A170,'Quarterly Pipeline vs Target Pi'!$A:$AP,37,false)," $","")," €",""), "")
)</f>
        <v>0</v>
      </c>
      <c r="AV170" s="17" t="str">
        <f t="shared" si="17"/>
        <v/>
      </c>
      <c r="AW170" s="1">
        <f>value(IFERROR(SUBSTITUTE(SUBSTITUTE(VLOOKUP($A170,'Quarterly Pipeline vs Target Pi'!$A:$AP,41,false)," $","")," €",""), "")
)</f>
        <v>0</v>
      </c>
      <c r="AX170" s="1">
        <f>value(IFERROR(SUBSTITUTE(SUBSTITUTE(VLOOKUP($A170,'Quarterly Pipeline vs Target Pi'!$A:$AP,42,false)," $","")," €",""), "")
)</f>
        <v>0</v>
      </c>
      <c r="AY170" s="17" t="str">
        <f t="shared" si="18"/>
        <v/>
      </c>
      <c r="AZ170" s="1">
        <f t="shared" ref="AZ170:BA170" si="354">sum(AN170,AQ170,AT170,AW170)</f>
        <v>15</v>
      </c>
      <c r="BA170" s="1">
        <f t="shared" si="354"/>
        <v>0</v>
      </c>
      <c r="BB170" s="17" t="str">
        <f t="shared" si="20"/>
        <v/>
      </c>
    </row>
    <row r="171">
      <c r="A171" s="1" t="str">
        <f>IFERROR(__xludf.DUMMYFUNCTION("""COMPUTED_VALUE"""),"63ea6e9652ad6968805cefb1")</f>
        <v>63ea6e9652ad6968805cefb1</v>
      </c>
      <c r="B171" s="1" t="str">
        <f>IFERROR(__xludf.DUMMYFUNCTION("""COMPUTED_VALUE"""),"euro-tel - Inh. Winfried Kordel")</f>
        <v>euro-tel - Inh. Winfried Kordel</v>
      </c>
      <c r="C171" s="1" t="str">
        <f>IFERROR(__xludf.DUMMYFUNCTION("""COMPUTED_VALUE"""),"andreas.grossheimann@al-enterprise.com, andre.ramm@al-enterprise.com")</f>
        <v>andreas.grossheimann@al-enterprise.com, andre.ramm@al-enterprise.com</v>
      </c>
      <c r="D171" s="1" t="str">
        <f>IFERROR(__xludf.DUMMYFUNCTION("""COMPUTED_VALUE"""),"germany")</f>
        <v>germany</v>
      </c>
      <c r="E171" s="1" t="str">
        <f>IFERROR(__xludf.DUMMYFUNCTION("""COMPUTED_VALUE"""),"DE")</f>
        <v>DE</v>
      </c>
      <c r="F171" s="1"/>
      <c r="G171" s="1" t="str">
        <f>iferror(VLOOKUP(A171,'Business Plan Setup and Accepta'!A:G,6,false),"")</f>
        <v/>
      </c>
      <c r="H171" s="1" t="str">
        <f>iferror(VLOOKUP(A171,'Business Plan Setup and Accepta'!A:G,7,false),"")</f>
        <v/>
      </c>
      <c r="I171" s="17" t="str">
        <f t="shared" si="3"/>
        <v/>
      </c>
      <c r="J171" s="1" t="str">
        <f>IFERROR(VALUE(SUBSTITUTE(VLOOKUP(A171,'Sales IN Revenues vs Sales targ'!A:G,6,false)," $","")), "")
</f>
        <v/>
      </c>
      <c r="K171" s="1" t="str">
        <f>IFERROR(VALUE(SUBSTITUTE(VLOOKUP(A171,'Sales IN Revenues vs Sales targ'!A:G,7,false)," $","")), "")
</f>
        <v/>
      </c>
      <c r="L171" s="17" t="str">
        <f t="shared" si="4"/>
        <v/>
      </c>
      <c r="M171" s="1">
        <f>value(SUBSTITUTE(IFERROR(VLOOKUP(A171,'Certifications achievements vs '!A:G,6,false),""),"#","")
)</f>
        <v>0</v>
      </c>
      <c r="N171" s="1">
        <f>value(SUBSTITUTE(IFERROR(VLOOKUP(A171,'Certifications achievements vs '!A:G,7,false),""),"#","")
)</f>
        <v>0</v>
      </c>
      <c r="O171" s="17" t="str">
        <f t="shared" si="5"/>
        <v/>
      </c>
      <c r="P171" s="1">
        <f>value(SUBSTITUTE(IFERROR(VLOOKUP(A171,'Communications - Solution Speci'!A:G,6,false),""),"#","")
)</f>
        <v>0</v>
      </c>
      <c r="Q171" s="1">
        <f>value(SUBSTITUTE(IFERROR(VLOOKUP(A171,'Communications - Solution Speci'!A:G,7,false),""),"#","")
)</f>
        <v>0</v>
      </c>
      <c r="R171" s="17" t="str">
        <f t="shared" si="6"/>
        <v/>
      </c>
      <c r="S171" s="1">
        <f>value(SUBSTITUTE(IFERROR(VLOOKUP(A171,'Networking - Solution Specializ'!A:G,6,false),""),"#","")
)</f>
        <v>0</v>
      </c>
      <c r="T171" s="1">
        <f>value(SUBSTITUTE(IFERROR(VLOOKUP(A171,'Networking - Solution Specializ'!A:G,7,false),""),"#","")
)</f>
        <v>0</v>
      </c>
      <c r="U171" s="17" t="str">
        <f t="shared" si="7"/>
        <v/>
      </c>
      <c r="V171" s="1" t="str">
        <f>iferror(vlookup(A171,'Marketing Plan (extract summary'!A:G,6,false),"")</f>
        <v/>
      </c>
      <c r="W171" s="1" t="str">
        <f>iferror(vlookup(A171,'Marketing Plan (extract summary'!A:G,7,false),"")</f>
        <v/>
      </c>
      <c r="X171" s="17" t="str">
        <f t="shared" si="8"/>
        <v/>
      </c>
      <c r="Y171" s="1">
        <f>value(IFERROR(SUBSTITUTE(SUBSTITUTE(VLOOKUP(A171,'Quarterly Pipeline vs Target Pi'!A:G,6,false)," $","")," €",""), "")
)</f>
        <v>0</v>
      </c>
      <c r="Z171" s="1">
        <f>value(IFERROR(SUBSTITUTE(SUBSTITUTE(VLOOKUP(A171,'Quarterly Pipeline vs Target Pi'!A:G,7,false)," $","")," €",""), "")
)</f>
        <v>0</v>
      </c>
      <c r="AA171" s="17" t="str">
        <f t="shared" si="9"/>
        <v/>
      </c>
      <c r="AB171" s="1">
        <f>value(IFERROR(SUBSTITUTE(SUBSTITUTE(VLOOKUP($A171,'Quarterly Pipeline vs Target Pi'!$A:$V,11,false)," $","")," €",""), "")
)</f>
        <v>0</v>
      </c>
      <c r="AC171" s="1">
        <f>value(IFERROR(SUBSTITUTE(SUBSTITUTE(VLOOKUP($A171,'Quarterly Pipeline vs Target Pi'!$A:$V,12,false)," $","")," €",""), "")
)</f>
        <v>0</v>
      </c>
      <c r="AD171" s="17" t="str">
        <f t="shared" si="10"/>
        <v/>
      </c>
      <c r="AE171" s="1">
        <f>value(IFERROR(SUBSTITUTE(SUBSTITUTE(VLOOKUP($A171,'Quarterly Pipeline vs Target Pi'!$A:$V,16,false)," $","")," €",""), "")
)</f>
        <v>0</v>
      </c>
      <c r="AF171" s="1">
        <f>value(IFERROR(SUBSTITUTE(SUBSTITUTE(VLOOKUP($A171,'Quarterly Pipeline vs Target Pi'!$A:$V,17,false)," $","")," €",""), "")
)</f>
        <v>0</v>
      </c>
      <c r="AG171" s="17" t="str">
        <f t="shared" si="11"/>
        <v/>
      </c>
      <c r="AH171" s="1">
        <f>value(IFERROR(SUBSTITUTE(SUBSTITUTE(VLOOKUP($A171,'Quarterly Pipeline vs Target Pi'!$A:$V,21,false)," $","")," €",""), "")
)</f>
        <v>0</v>
      </c>
      <c r="AI171" s="1">
        <f>value(IFERROR(SUBSTITUTE(SUBSTITUTE(VLOOKUP($A171,'Quarterly Pipeline vs Target Pi'!$A:$V,22,false)," $","")," €",""), "")
)</f>
        <v>0</v>
      </c>
      <c r="AJ171" s="17" t="str">
        <f t="shared" si="12"/>
        <v/>
      </c>
      <c r="AK171" s="1">
        <f t="shared" ref="AK171:AL171" si="355">sum(Y171,AB171,AE171,AH171)</f>
        <v>0</v>
      </c>
      <c r="AL171" s="1">
        <f t="shared" si="355"/>
        <v>0</v>
      </c>
      <c r="AM171" s="17" t="str">
        <f t="shared" si="14"/>
        <v/>
      </c>
      <c r="AN171" s="1">
        <f>value(IFERROR(SUBSTITUTE(SUBSTITUTE(VLOOKUP($A171,'Quarterly Pipeline vs Target Pi'!$A:$AP,26,false)," $","")," €",""), "")
)</f>
        <v>0</v>
      </c>
      <c r="AO171" s="1">
        <f>value(IFERROR(SUBSTITUTE(SUBSTITUTE(VLOOKUP($A171,'Quarterly Pipeline vs Target Pi'!$A:$AP,27,false)," $","")," €",""), "")
)</f>
        <v>0</v>
      </c>
      <c r="AP171" s="17" t="str">
        <f t="shared" si="15"/>
        <v/>
      </c>
      <c r="AQ171" s="1">
        <f>value(IFERROR(SUBSTITUTE(SUBSTITUTE(VLOOKUP($A171,'Quarterly Pipeline vs Target Pi'!$A:$AP,31,false)," $","")," €",""), "")
)</f>
        <v>0</v>
      </c>
      <c r="AR171" s="1">
        <f>value(IFERROR(SUBSTITUTE(SUBSTITUTE(VLOOKUP($A171,'Quarterly Pipeline vs Target Pi'!$A:$AP,32,false)," $","")," €",""), "")
)</f>
        <v>0</v>
      </c>
      <c r="AS171" s="17" t="str">
        <f t="shared" si="16"/>
        <v/>
      </c>
      <c r="AT171" s="1">
        <f>value(IFERROR(SUBSTITUTE(SUBSTITUTE(VLOOKUP($A171,'Quarterly Pipeline vs Target Pi'!$A:$AP,36,false)," $","")," €",""), "")
)</f>
        <v>0</v>
      </c>
      <c r="AU171" s="1">
        <f>value(IFERROR(SUBSTITUTE(SUBSTITUTE(VLOOKUP($A171,'Quarterly Pipeline vs Target Pi'!$A:$AP,37,false)," $","")," €",""), "")
)</f>
        <v>0</v>
      </c>
      <c r="AV171" s="17" t="str">
        <f t="shared" si="17"/>
        <v/>
      </c>
      <c r="AW171" s="1">
        <f>value(IFERROR(SUBSTITUTE(SUBSTITUTE(VLOOKUP($A171,'Quarterly Pipeline vs Target Pi'!$A:$AP,41,false)," $","")," €",""), "")
)</f>
        <v>0</v>
      </c>
      <c r="AX171" s="1">
        <f>value(IFERROR(SUBSTITUTE(SUBSTITUTE(VLOOKUP($A171,'Quarterly Pipeline vs Target Pi'!$A:$AP,42,false)," $","")," €",""), "")
)</f>
        <v>0</v>
      </c>
      <c r="AY171" s="17" t="str">
        <f t="shared" si="18"/>
        <v/>
      </c>
      <c r="AZ171" s="1">
        <f t="shared" ref="AZ171:BA171" si="356">sum(AN171,AQ171,AT171,AW171)</f>
        <v>0</v>
      </c>
      <c r="BA171" s="1">
        <f t="shared" si="356"/>
        <v>0</v>
      </c>
      <c r="BB171" s="17" t="str">
        <f t="shared" si="20"/>
        <v/>
      </c>
    </row>
    <row r="172">
      <c r="A172" s="1" t="str">
        <f>IFERROR(__xludf.DUMMYFUNCTION("""COMPUTED_VALUE"""),"63ced846c5c820531c268807")</f>
        <v>63ced846c5c820531c268807</v>
      </c>
      <c r="B172" s="1" t="str">
        <f>IFERROR(__xludf.DUMMYFUNCTION("""COMPUTED_VALUE"""),"EUSKO TELECOMUNICACIONES S.L.")</f>
        <v>EUSKO TELECOMUNICACIONES S.L.</v>
      </c>
      <c r="C172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172" s="1" t="str">
        <f>IFERROR(__xludf.DUMMYFUNCTION("""COMPUTED_VALUE"""),"emea")</f>
        <v>emea</v>
      </c>
      <c r="E172" s="1" t="str">
        <f>IFERROR(__xludf.DUMMYFUNCTION("""COMPUTED_VALUE"""),"ES")</f>
        <v>ES</v>
      </c>
      <c r="F172" s="1" t="str">
        <f>IFERROR(__xludf.DUMMYFUNCTION("""COMPUTED_VALUE"""),"expert_200")</f>
        <v>expert_200</v>
      </c>
      <c r="G172" s="1">
        <f>iferror(VLOOKUP(A172,'Business Plan Setup and Accepta'!A:G,6,false),"")</f>
        <v>1</v>
      </c>
      <c r="H172" s="1">
        <f>iferror(VLOOKUP(A172,'Business Plan Setup and Accepta'!A:G,7,false),"")</f>
        <v>1</v>
      </c>
      <c r="I172" s="17">
        <f t="shared" si="3"/>
        <v>1</v>
      </c>
      <c r="J172" s="1">
        <f>IFERROR(VALUE(SUBSTITUTE(VLOOKUP(A172,'Sales IN Revenues vs Sales targ'!A:G,6,false)," $","")), "")
</f>
        <v>116.39</v>
      </c>
      <c r="K172" s="1">
        <f>IFERROR(VALUE(SUBSTITUTE(VLOOKUP(A172,'Sales IN Revenues vs Sales targ'!A:G,7,false)," $","")), "")
</f>
        <v>350</v>
      </c>
      <c r="L172" s="17">
        <f t="shared" si="4"/>
        <v>0.3325428571</v>
      </c>
      <c r="M172" s="1">
        <f>value(SUBSTITUTE(IFERROR(VLOOKUP(A172,'Certifications achievements vs '!A:G,6,false),""),"#","")
)</f>
        <v>33</v>
      </c>
      <c r="N172" s="1">
        <f>value(SUBSTITUTE(IFERROR(VLOOKUP(A172,'Certifications achievements vs '!A:G,7,false),""),"#","")
)</f>
        <v>52</v>
      </c>
      <c r="O172" s="17">
        <f t="shared" si="5"/>
        <v>0.6346153846</v>
      </c>
      <c r="P172" s="1">
        <f>value(SUBSTITUTE(IFERROR(VLOOKUP(A172,'Communications - Solution Speci'!A:G,6,false),""),"#","")
)</f>
        <v>1</v>
      </c>
      <c r="Q172" s="1">
        <f>value(SUBSTITUTE(IFERROR(VLOOKUP(A172,'Communications - Solution Speci'!A:G,7,false),""),"#","")
)</f>
        <v>1</v>
      </c>
      <c r="R172" s="17">
        <f t="shared" si="6"/>
        <v>1</v>
      </c>
      <c r="S172" s="1">
        <f>value(SUBSTITUTE(IFERROR(VLOOKUP(A172,'Networking - Solution Specializ'!A:G,6,false),""),"#","")
)</f>
        <v>1</v>
      </c>
      <c r="T172" s="1">
        <f>value(SUBSTITUTE(IFERROR(VLOOKUP(A172,'Networking - Solution Specializ'!A:G,7,false),""),"#","")
)</f>
        <v>1</v>
      </c>
      <c r="U172" s="17">
        <f t="shared" si="7"/>
        <v>1</v>
      </c>
      <c r="V172" s="1">
        <f>iferror(vlookup(A172,'Marketing Plan (extract summary'!A:G,6,false),"")</f>
        <v>0</v>
      </c>
      <c r="W172" s="1">
        <f>iferror(vlookup(A172,'Marketing Plan (extract summary'!A:G,7,false),"")</f>
        <v>1</v>
      </c>
      <c r="X172" s="17">
        <f t="shared" si="8"/>
        <v>0</v>
      </c>
      <c r="Y172" s="1">
        <f>value(IFERROR(SUBSTITUTE(SUBSTITUTE(VLOOKUP(A172,'Quarterly Pipeline vs Target Pi'!A:G,6,false)," $","")," €",""), "")
)</f>
        <v>0.86</v>
      </c>
      <c r="Z172" s="1">
        <f>value(IFERROR(SUBSTITUTE(SUBSTITUTE(VLOOKUP(A172,'Quarterly Pipeline vs Target Pi'!A:G,7,false)," $","")," €",""), "")
)</f>
        <v>0</v>
      </c>
      <c r="AA172" s="17" t="str">
        <f t="shared" si="9"/>
        <v/>
      </c>
      <c r="AB172" s="1">
        <f>value(IFERROR(SUBSTITUTE(SUBSTITUTE(VLOOKUP($A172,'Quarterly Pipeline vs Target Pi'!$A:$V,11,false)," $","")," €",""), "")
)</f>
        <v>2.17</v>
      </c>
      <c r="AC172" s="1">
        <f>value(IFERROR(SUBSTITUTE(SUBSTITUTE(VLOOKUP($A172,'Quarterly Pipeline vs Target Pi'!$A:$V,12,false)," $","")," €",""), "")
)</f>
        <v>162.04</v>
      </c>
      <c r="AD172" s="17">
        <f t="shared" si="10"/>
        <v>0.01339175512</v>
      </c>
      <c r="AE172" s="1">
        <f>value(IFERROR(SUBSTITUTE(SUBSTITUTE(VLOOKUP($A172,'Quarterly Pipeline vs Target Pi'!$A:$V,16,false)," $","")," €",""), "")
)</f>
        <v>55.71</v>
      </c>
      <c r="AF172" s="1">
        <f>value(IFERROR(SUBSTITUTE(SUBSTITUTE(VLOOKUP($A172,'Quarterly Pipeline vs Target Pi'!$A:$V,17,false)," $","")," €",""), "")
)</f>
        <v>162.04</v>
      </c>
      <c r="AG172" s="17">
        <f t="shared" si="11"/>
        <v>0.343803999</v>
      </c>
      <c r="AH172" s="1">
        <f>value(IFERROR(SUBSTITUTE(SUBSTITUTE(VLOOKUP($A172,'Quarterly Pipeline vs Target Pi'!$A:$V,21,false)," $","")," €",""), "")
)</f>
        <v>113.73</v>
      </c>
      <c r="AI172" s="1">
        <f>value(IFERROR(SUBSTITUTE(SUBSTITUTE(VLOOKUP($A172,'Quarterly Pipeline vs Target Pi'!$A:$V,22,false)," $","")," €",""), "")
)</f>
        <v>162.04</v>
      </c>
      <c r="AJ172" s="17">
        <f t="shared" si="12"/>
        <v>0.7018637373</v>
      </c>
      <c r="AK172" s="1">
        <f t="shared" ref="AK172:AL172" si="357">sum(Y172,AB172,AE172,AH172)</f>
        <v>172.47</v>
      </c>
      <c r="AL172" s="1">
        <f t="shared" si="357"/>
        <v>486.12</v>
      </c>
      <c r="AM172" s="17">
        <f t="shared" si="14"/>
        <v>0.354788941</v>
      </c>
      <c r="AN172" s="1">
        <f>value(IFERROR(SUBSTITUTE(SUBSTITUTE(VLOOKUP($A172,'Quarterly Pipeline vs Target Pi'!$A:$AP,26,false)," $","")," €",""), "")
)</f>
        <v>0</v>
      </c>
      <c r="AO172" s="1">
        <f>value(IFERROR(SUBSTITUTE(SUBSTITUTE(VLOOKUP($A172,'Quarterly Pipeline vs Target Pi'!$A:$AP,27,false)," $","")," €",""), "")
)</f>
        <v>0</v>
      </c>
      <c r="AP172" s="17" t="str">
        <f t="shared" si="15"/>
        <v/>
      </c>
      <c r="AQ172" s="1">
        <f>value(IFERROR(SUBSTITUTE(SUBSTITUTE(VLOOKUP($A172,'Quarterly Pipeline vs Target Pi'!$A:$AP,31,false)," $","")," €",""), "")
)</f>
        <v>0</v>
      </c>
      <c r="AR172" s="1">
        <f>value(IFERROR(SUBSTITUTE(SUBSTITUTE(VLOOKUP($A172,'Quarterly Pipeline vs Target Pi'!$A:$AP,32,false)," $","")," €",""), "")
)</f>
        <v>0</v>
      </c>
      <c r="AS172" s="17" t="str">
        <f t="shared" si="16"/>
        <v/>
      </c>
      <c r="AT172" s="1">
        <f>value(IFERROR(SUBSTITUTE(SUBSTITUTE(VLOOKUP($A172,'Quarterly Pipeline vs Target Pi'!$A:$AP,36,false)," $","")," €",""), "")
)</f>
        <v>0</v>
      </c>
      <c r="AU172" s="1">
        <f>value(IFERROR(SUBSTITUTE(SUBSTITUTE(VLOOKUP($A172,'Quarterly Pipeline vs Target Pi'!$A:$AP,37,false)," $","")," €",""), "")
)</f>
        <v>0</v>
      </c>
      <c r="AV172" s="17" t="str">
        <f t="shared" si="17"/>
        <v/>
      </c>
      <c r="AW172" s="1">
        <f>value(IFERROR(SUBSTITUTE(SUBSTITUTE(VLOOKUP($A172,'Quarterly Pipeline vs Target Pi'!$A:$AP,41,false)," $","")," €",""), "")
)</f>
        <v>0</v>
      </c>
      <c r="AX172" s="1">
        <f>value(IFERROR(SUBSTITUTE(SUBSTITUTE(VLOOKUP($A172,'Quarterly Pipeline vs Target Pi'!$A:$AP,42,false)," $","")," €",""), "")
)</f>
        <v>0</v>
      </c>
      <c r="AY172" s="17" t="str">
        <f t="shared" si="18"/>
        <v/>
      </c>
      <c r="AZ172" s="1">
        <f t="shared" ref="AZ172:BA172" si="358">sum(AN172,AQ172,AT172,AW172)</f>
        <v>0</v>
      </c>
      <c r="BA172" s="1">
        <f t="shared" si="358"/>
        <v>0</v>
      </c>
      <c r="BB172" s="17" t="str">
        <f t="shared" si="20"/>
        <v/>
      </c>
    </row>
    <row r="173">
      <c r="A173" s="1" t="str">
        <f>IFERROR(__xludf.DUMMYFUNCTION("""COMPUTED_VALUE"""),"63ea6e9352ad6968805ceb6d")</f>
        <v>63ea6e9352ad6968805ceb6d</v>
      </c>
      <c r="B173" s="1" t="str">
        <f>IFERROR(__xludf.DUMMYFUNCTION("""COMPUTED_VALUE"""),"Evoila networks GmbH")</f>
        <v>Evoila networks GmbH</v>
      </c>
      <c r="C173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173" s="1" t="str">
        <f>IFERROR(__xludf.DUMMYFUNCTION("""COMPUTED_VALUE"""),"germany")</f>
        <v>germany</v>
      </c>
      <c r="E173" s="1" t="str">
        <f>IFERROR(__xludf.DUMMYFUNCTION("""COMPUTED_VALUE"""),"DE")</f>
        <v>DE</v>
      </c>
      <c r="F173" s="1" t="str">
        <f>IFERROR(__xludf.DUMMYFUNCTION("""COMPUTED_VALUE"""),"expert_200")</f>
        <v>expert_200</v>
      </c>
      <c r="G173" s="1">
        <f>iferror(VLOOKUP(A173,'Business Plan Setup and Accepta'!A:G,6,false),"")</f>
        <v>0</v>
      </c>
      <c r="H173" s="1">
        <f>iferror(VLOOKUP(A173,'Business Plan Setup and Accepta'!A:G,7,false),"")</f>
        <v>1</v>
      </c>
      <c r="I173" s="17">
        <f t="shared" si="3"/>
        <v>0</v>
      </c>
      <c r="J173" s="1">
        <f>IFERROR(VALUE(SUBSTITUTE(VLOOKUP(A173,'Sales IN Revenues vs Sales targ'!A:G,6,false)," $","")), "")
</f>
        <v>204.14</v>
      </c>
      <c r="K173" s="1">
        <f>IFERROR(VALUE(SUBSTITUTE(VLOOKUP(A173,'Sales IN Revenues vs Sales targ'!A:G,7,false)," $","")), "")
</f>
        <v>350</v>
      </c>
      <c r="L173" s="17">
        <f t="shared" si="4"/>
        <v>0.5832571429</v>
      </c>
      <c r="M173" s="1">
        <f>value(SUBSTITUTE(IFERROR(VLOOKUP(A173,'Certifications achievements vs '!A:G,6,false),""),"#","")
)</f>
        <v>5</v>
      </c>
      <c r="N173" s="1">
        <f>value(SUBSTITUTE(IFERROR(VLOOKUP(A173,'Certifications achievements vs '!A:G,7,false),""),"#","")
)</f>
        <v>47</v>
      </c>
      <c r="O173" s="17">
        <f t="shared" si="5"/>
        <v>0.1063829787</v>
      </c>
      <c r="P173" s="1">
        <f>value(SUBSTITUTE(IFERROR(VLOOKUP(A173,'Communications - Solution Speci'!A:G,6,false),""),"#","")
)</f>
        <v>0</v>
      </c>
      <c r="Q173" s="1">
        <f>value(SUBSTITUTE(IFERROR(VLOOKUP(A173,'Communications - Solution Speci'!A:G,7,false),""),"#","")
)</f>
        <v>1</v>
      </c>
      <c r="R173" s="17">
        <f t="shared" si="6"/>
        <v>0</v>
      </c>
      <c r="S173" s="1">
        <f>value(SUBSTITUTE(IFERROR(VLOOKUP(A173,'Networking - Solution Specializ'!A:G,6,false),""),"#","")
)</f>
        <v>0</v>
      </c>
      <c r="T173" s="1">
        <f>value(SUBSTITUTE(IFERROR(VLOOKUP(A173,'Networking - Solution Specializ'!A:G,7,false),""),"#","")
)</f>
        <v>1</v>
      </c>
      <c r="U173" s="17">
        <f t="shared" si="7"/>
        <v>0</v>
      </c>
      <c r="V173" s="1">
        <f>iferror(vlookup(A173,'Marketing Plan (extract summary'!A:G,6,false),"")</f>
        <v>0</v>
      </c>
      <c r="W173" s="1">
        <f>iferror(vlookup(A173,'Marketing Plan (extract summary'!A:G,7,false),"")</f>
        <v>1</v>
      </c>
      <c r="X173" s="17">
        <f t="shared" si="8"/>
        <v>0</v>
      </c>
      <c r="Y173" s="1">
        <f>value(IFERROR(SUBSTITUTE(SUBSTITUTE(VLOOKUP(A173,'Quarterly Pipeline vs Target Pi'!A:G,6,false)," $","")," €",""), "")
)</f>
        <v>20</v>
      </c>
      <c r="Z173" s="1">
        <f>value(IFERROR(SUBSTITUTE(SUBSTITUTE(VLOOKUP(A173,'Quarterly Pipeline vs Target Pi'!A:G,7,false)," $","")," €",""), "")
)</f>
        <v>0</v>
      </c>
      <c r="AA173" s="17" t="str">
        <f t="shared" si="9"/>
        <v/>
      </c>
      <c r="AB173" s="1">
        <f>value(IFERROR(SUBSTITUTE(SUBSTITUTE(VLOOKUP($A173,'Quarterly Pipeline vs Target Pi'!$A:$V,11,false)," $","")," €",""), "")
)</f>
        <v>27.9</v>
      </c>
      <c r="AC173" s="1">
        <f>value(IFERROR(SUBSTITUTE(SUBSTITUTE(VLOOKUP($A173,'Quarterly Pipeline vs Target Pi'!$A:$V,12,false)," $","")," €",""), "")
)</f>
        <v>0</v>
      </c>
      <c r="AD173" s="17" t="str">
        <f t="shared" si="10"/>
        <v/>
      </c>
      <c r="AE173" s="1">
        <f>value(IFERROR(SUBSTITUTE(SUBSTITUTE(VLOOKUP($A173,'Quarterly Pipeline vs Target Pi'!$A:$V,16,false)," $","")," €",""), "")
)</f>
        <v>27.9</v>
      </c>
      <c r="AF173" s="1">
        <f>value(IFERROR(SUBSTITUTE(SUBSTITUTE(VLOOKUP($A173,'Quarterly Pipeline vs Target Pi'!$A:$V,17,false)," $","")," €",""), "")
)</f>
        <v>256.1</v>
      </c>
      <c r="AG173" s="17">
        <f t="shared" si="11"/>
        <v>0.1089418196</v>
      </c>
      <c r="AH173" s="1">
        <f>value(IFERROR(SUBSTITUTE(SUBSTITUTE(VLOOKUP($A173,'Quarterly Pipeline vs Target Pi'!$A:$V,21,false)," $","")," €",""), "")
)</f>
        <v>205.79</v>
      </c>
      <c r="AI173" s="1">
        <f>value(IFERROR(SUBSTITUTE(SUBSTITUTE(VLOOKUP($A173,'Quarterly Pipeline vs Target Pi'!$A:$V,22,false)," $","")," €",""), "")
)</f>
        <v>256.1</v>
      </c>
      <c r="AJ173" s="17">
        <f t="shared" si="12"/>
        <v>0.8035532995</v>
      </c>
      <c r="AK173" s="1">
        <f t="shared" ref="AK173:AL173" si="359">sum(Y173,AB173,AE173,AH173)</f>
        <v>281.59</v>
      </c>
      <c r="AL173" s="1">
        <f t="shared" si="359"/>
        <v>512.2</v>
      </c>
      <c r="AM173" s="17">
        <f t="shared" si="14"/>
        <v>0.5497657165</v>
      </c>
      <c r="AN173" s="1">
        <f>value(IFERROR(SUBSTITUTE(SUBSTITUTE(VLOOKUP($A173,'Quarterly Pipeline vs Target Pi'!$A:$AP,26,false)," $","")," €",""), "")
)</f>
        <v>0</v>
      </c>
      <c r="AO173" s="1">
        <f>value(IFERROR(SUBSTITUTE(SUBSTITUTE(VLOOKUP($A173,'Quarterly Pipeline vs Target Pi'!$A:$AP,27,false)," $","")," €",""), "")
)</f>
        <v>0</v>
      </c>
      <c r="AP173" s="17" t="str">
        <f t="shared" si="15"/>
        <v/>
      </c>
      <c r="AQ173" s="1">
        <f>value(IFERROR(SUBSTITUTE(SUBSTITUTE(VLOOKUP($A173,'Quarterly Pipeline vs Target Pi'!$A:$AP,31,false)," $","")," €",""), "")
)</f>
        <v>337.44</v>
      </c>
      <c r="AR173" s="1">
        <f>value(IFERROR(SUBSTITUTE(SUBSTITUTE(VLOOKUP($A173,'Quarterly Pipeline vs Target Pi'!$A:$AP,32,false)," $","")," €",""), "")
)</f>
        <v>0</v>
      </c>
      <c r="AS173" s="17" t="str">
        <f t="shared" si="16"/>
        <v/>
      </c>
      <c r="AT173" s="1">
        <f>value(IFERROR(SUBSTITUTE(SUBSTITUTE(VLOOKUP($A173,'Quarterly Pipeline vs Target Pi'!$A:$AP,36,false)," $","")," €",""), "")
)</f>
        <v>0</v>
      </c>
      <c r="AU173" s="1">
        <f>value(IFERROR(SUBSTITUTE(SUBSTITUTE(VLOOKUP($A173,'Quarterly Pipeline vs Target Pi'!$A:$AP,37,false)," $","")," €",""), "")
)</f>
        <v>0</v>
      </c>
      <c r="AV173" s="17" t="str">
        <f t="shared" si="17"/>
        <v/>
      </c>
      <c r="AW173" s="1">
        <f>value(IFERROR(SUBSTITUTE(SUBSTITUTE(VLOOKUP($A173,'Quarterly Pipeline vs Target Pi'!$A:$AP,41,false)," $","")," €",""), "")
)</f>
        <v>0</v>
      </c>
      <c r="AX173" s="1">
        <f>value(IFERROR(SUBSTITUTE(SUBSTITUTE(VLOOKUP($A173,'Quarterly Pipeline vs Target Pi'!$A:$AP,42,false)," $","")," €",""), "")
)</f>
        <v>0</v>
      </c>
      <c r="AY173" s="17" t="str">
        <f t="shared" si="18"/>
        <v/>
      </c>
      <c r="AZ173" s="1">
        <f t="shared" ref="AZ173:BA173" si="360">sum(AN173,AQ173,AT173,AW173)</f>
        <v>337.44</v>
      </c>
      <c r="BA173" s="1">
        <f t="shared" si="360"/>
        <v>0</v>
      </c>
      <c r="BB173" s="17" t="str">
        <f t="shared" si="20"/>
        <v/>
      </c>
    </row>
    <row r="174">
      <c r="A174" s="1" t="str">
        <f>IFERROR(__xludf.DUMMYFUNCTION("""COMPUTED_VALUE"""),"63ced845c5c820531c2686db")</f>
        <v>63ced845c5c820531c2686db</v>
      </c>
      <c r="B174" s="1" t="str">
        <f>IFERROR(__xludf.DUMMYFUNCTION("""COMPUTED_VALUE"""),"EWE TEL GmbH")</f>
        <v>EWE TEL GmbH</v>
      </c>
      <c r="C174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174" s="1" t="str">
        <f>IFERROR(__xludf.DUMMYFUNCTION("""COMPUTED_VALUE"""),"germany")</f>
        <v>germany</v>
      </c>
      <c r="E174" s="1" t="str">
        <f>IFERROR(__xludf.DUMMYFUNCTION("""COMPUTED_VALUE"""),"DE")</f>
        <v>DE</v>
      </c>
      <c r="F174" s="1" t="str">
        <f>IFERROR(__xludf.DUMMYFUNCTION("""COMPUTED_VALUE"""),"expert_1000")</f>
        <v>expert_1000</v>
      </c>
      <c r="G174" s="1">
        <f>iferror(VLOOKUP(A174,'Business Plan Setup and Accepta'!A:G,6,false),"")</f>
        <v>1</v>
      </c>
      <c r="H174" s="1">
        <f>iferror(VLOOKUP(A174,'Business Plan Setup and Accepta'!A:G,7,false),"")</f>
        <v>1</v>
      </c>
      <c r="I174" s="17">
        <f t="shared" si="3"/>
        <v>1</v>
      </c>
      <c r="J174" s="1">
        <f>IFERROR(VALUE(SUBSTITUTE(VLOOKUP(A174,'Sales IN Revenues vs Sales targ'!A:G,6,false)," $","")), "")
</f>
        <v>372.82</v>
      </c>
      <c r="K174" s="1">
        <f>IFERROR(VALUE(SUBSTITUTE(VLOOKUP(A174,'Sales IN Revenues vs Sales targ'!A:G,7,false)," $","")), "")
</f>
        <v>1740</v>
      </c>
      <c r="L174" s="17">
        <f t="shared" si="4"/>
        <v>0.2142643678</v>
      </c>
      <c r="M174" s="1">
        <f>value(SUBSTITUTE(IFERROR(VLOOKUP(A174,'Certifications achievements vs '!A:G,6,false),""),"#","")
)</f>
        <v>70</v>
      </c>
      <c r="N174" s="1">
        <f>value(SUBSTITUTE(IFERROR(VLOOKUP(A174,'Certifications achievements vs '!A:G,7,false),""),"#","")
)</f>
        <v>52</v>
      </c>
      <c r="O174" s="17">
        <f t="shared" si="5"/>
        <v>1.346153846</v>
      </c>
      <c r="P174" s="1">
        <f>value(SUBSTITUTE(IFERROR(VLOOKUP(A174,'Communications - Solution Speci'!A:G,6,false),""),"#","")
)</f>
        <v>1</v>
      </c>
      <c r="Q174" s="1">
        <f>value(SUBSTITUTE(IFERROR(VLOOKUP(A174,'Communications - Solution Speci'!A:G,7,false),""),"#","")
)</f>
        <v>1</v>
      </c>
      <c r="R174" s="17">
        <f t="shared" si="6"/>
        <v>1</v>
      </c>
      <c r="S174" s="1">
        <f>value(SUBSTITUTE(IFERROR(VLOOKUP(A174,'Networking - Solution Specializ'!A:G,6,false),""),"#","")
)</f>
        <v>0</v>
      </c>
      <c r="T174" s="1">
        <f>value(SUBSTITUTE(IFERROR(VLOOKUP(A174,'Networking - Solution Specializ'!A:G,7,false),""),"#","")
)</f>
        <v>1</v>
      </c>
      <c r="U174" s="17">
        <f t="shared" si="7"/>
        <v>0</v>
      </c>
      <c r="V174" s="1">
        <f>iferror(vlookup(A174,'Marketing Plan (extract summary'!A:G,6,false),"")</f>
        <v>0</v>
      </c>
      <c r="W174" s="1">
        <f>iferror(vlookup(A174,'Marketing Plan (extract summary'!A:G,7,false),"")</f>
        <v>1</v>
      </c>
      <c r="X174" s="17">
        <f t="shared" si="8"/>
        <v>0</v>
      </c>
      <c r="Y174" s="1">
        <f>value(IFERROR(SUBSTITUTE(SUBSTITUTE(VLOOKUP(A174,'Quarterly Pipeline vs Target Pi'!A:G,6,false)," $","")," €",""), "")
)</f>
        <v>1.51</v>
      </c>
      <c r="Z174" s="1">
        <f>value(IFERROR(SUBSTITUTE(SUBSTITUTE(VLOOKUP(A174,'Quarterly Pipeline vs Target Pi'!A:G,7,false)," $","")," €",""), "")
)</f>
        <v>0</v>
      </c>
      <c r="AA174" s="17" t="str">
        <f t="shared" si="9"/>
        <v/>
      </c>
      <c r="AB174" s="1">
        <f>value(IFERROR(SUBSTITUTE(SUBSTITUTE(VLOOKUP($A174,'Quarterly Pipeline vs Target Pi'!$A:$V,11,false)," $","")," €",""), "")
)</f>
        <v>1.51</v>
      </c>
      <c r="AC174" s="1">
        <f>value(IFERROR(SUBSTITUTE(SUBSTITUTE(VLOOKUP($A174,'Quarterly Pipeline vs Target Pi'!$A:$V,12,false)," $","")," €",""), "")
)</f>
        <v>746.67</v>
      </c>
      <c r="AD174" s="17">
        <f t="shared" si="10"/>
        <v>0.0020223124</v>
      </c>
      <c r="AE174" s="1">
        <f>value(IFERROR(SUBSTITUTE(SUBSTITUTE(VLOOKUP($A174,'Quarterly Pipeline vs Target Pi'!$A:$V,16,false)," $","")," €",""), "")
)</f>
        <v>36.51</v>
      </c>
      <c r="AF174" s="1">
        <f>value(IFERROR(SUBSTITUTE(SUBSTITUTE(VLOOKUP($A174,'Quarterly Pipeline vs Target Pi'!$A:$V,17,false)," $","")," €",""), "")
)</f>
        <v>700</v>
      </c>
      <c r="AG174" s="17">
        <f t="shared" si="11"/>
        <v>0.05215714286</v>
      </c>
      <c r="AH174" s="1">
        <f>value(IFERROR(SUBSTITUTE(SUBSTITUTE(VLOOKUP($A174,'Quarterly Pipeline vs Target Pi'!$A:$V,21,false)," $","")," €",""), "")
)</f>
        <v>47</v>
      </c>
      <c r="AI174" s="1">
        <f>value(IFERROR(SUBSTITUTE(SUBSTITUTE(VLOOKUP($A174,'Quarterly Pipeline vs Target Pi'!$A:$V,22,false)," $","")," €",""), "")
)</f>
        <v>811.67</v>
      </c>
      <c r="AJ174" s="17">
        <f t="shared" si="12"/>
        <v>0.05790530634</v>
      </c>
      <c r="AK174" s="1">
        <f t="shared" ref="AK174:AL174" si="361">sum(Y174,AB174,AE174,AH174)</f>
        <v>86.53</v>
      </c>
      <c r="AL174" s="1">
        <f t="shared" si="361"/>
        <v>2258.34</v>
      </c>
      <c r="AM174" s="17">
        <f t="shared" si="14"/>
        <v>0.03831575405</v>
      </c>
      <c r="AN174" s="1">
        <f>value(IFERROR(SUBSTITUTE(SUBSTITUTE(VLOOKUP($A174,'Quarterly Pipeline vs Target Pi'!$A:$AP,26,false)," $","")," €",""), "")
)</f>
        <v>162</v>
      </c>
      <c r="AO174" s="1">
        <f>value(IFERROR(SUBSTITUTE(SUBSTITUTE(VLOOKUP($A174,'Quarterly Pipeline vs Target Pi'!$A:$AP,27,false)," $","")," €",""), "")
)</f>
        <v>0</v>
      </c>
      <c r="AP174" s="17" t="str">
        <f t="shared" si="15"/>
        <v/>
      </c>
      <c r="AQ174" s="1">
        <f>value(IFERROR(SUBSTITUTE(SUBSTITUTE(VLOOKUP($A174,'Quarterly Pipeline vs Target Pi'!$A:$AP,31,false)," $","")," €",""), "")
)</f>
        <v>164</v>
      </c>
      <c r="AR174" s="1">
        <f>value(IFERROR(SUBSTITUTE(SUBSTITUTE(VLOOKUP($A174,'Quarterly Pipeline vs Target Pi'!$A:$AP,32,false)," $","")," €",""), "")
)</f>
        <v>0</v>
      </c>
      <c r="AS174" s="17" t="str">
        <f t="shared" si="16"/>
        <v/>
      </c>
      <c r="AT174" s="1">
        <f>value(IFERROR(SUBSTITUTE(SUBSTITUTE(VLOOKUP($A174,'Quarterly Pipeline vs Target Pi'!$A:$AP,36,false)," $","")," €",""), "")
)</f>
        <v>0</v>
      </c>
      <c r="AU174" s="1">
        <f>value(IFERROR(SUBSTITUTE(SUBSTITUTE(VLOOKUP($A174,'Quarterly Pipeline vs Target Pi'!$A:$AP,37,false)," $","")," €",""), "")
)</f>
        <v>0</v>
      </c>
      <c r="AV174" s="17" t="str">
        <f t="shared" si="17"/>
        <v/>
      </c>
      <c r="AW174" s="1">
        <f>value(IFERROR(SUBSTITUTE(SUBSTITUTE(VLOOKUP($A174,'Quarterly Pipeline vs Target Pi'!$A:$AP,41,false)," $","")," €",""), "")
)</f>
        <v>99.87</v>
      </c>
      <c r="AX174" s="1">
        <f>value(IFERROR(SUBSTITUTE(SUBSTITUTE(VLOOKUP($A174,'Quarterly Pipeline vs Target Pi'!$A:$AP,42,false)," $","")," €",""), "")
)</f>
        <v>0</v>
      </c>
      <c r="AY174" s="17" t="str">
        <f t="shared" si="18"/>
        <v/>
      </c>
      <c r="AZ174" s="1">
        <f t="shared" ref="AZ174:BA174" si="362">sum(AN174,AQ174,AT174,AW174)</f>
        <v>425.87</v>
      </c>
      <c r="BA174" s="1">
        <f t="shared" si="362"/>
        <v>0</v>
      </c>
      <c r="BB174" s="17" t="str">
        <f t="shared" si="20"/>
        <v/>
      </c>
    </row>
    <row r="175">
      <c r="A175" s="1" t="str">
        <f>IFERROR(__xludf.DUMMYFUNCTION("""COMPUTED_VALUE"""),"63ced841c5c820531c267e5c")</f>
        <v>63ced841c5c820531c267e5c</v>
      </c>
      <c r="B175" s="1" t="str">
        <f>IFERROR(__xludf.DUMMYFUNCTION("""COMPUTED_VALUE"""),"Expertos en Computo y")</f>
        <v>Expertos en Computo y</v>
      </c>
      <c r="C175" s="1" t="str">
        <f>IFERROR(__xludf.DUMMYFUNCTION("""COMPUTED_VALUE"""),"saul.montiel@al-enterprise.com, joaquin.flores@al-enterprise.com")</f>
        <v>saul.montiel@al-enterprise.com, joaquin.flores@al-enterprise.com</v>
      </c>
      <c r="D175" s="1" t="str">
        <f>IFERROR(__xludf.DUMMYFUNCTION("""COMPUTED_VALUE"""),"americas")</f>
        <v>americas</v>
      </c>
      <c r="E175" s="1" t="str">
        <f>IFERROR(__xludf.DUMMYFUNCTION("""COMPUTED_VALUE"""),"MX")</f>
        <v>MX</v>
      </c>
      <c r="F175" s="1" t="str">
        <f>IFERROR(__xludf.DUMMYFUNCTION("""COMPUTED_VALUE"""),"yes")</f>
        <v>yes</v>
      </c>
      <c r="G175" s="1">
        <f>iferror(VLOOKUP(A175,'Business Plan Setup and Accepta'!A:G,6,false),"")</f>
        <v>0</v>
      </c>
      <c r="H175" s="1">
        <f>iferror(VLOOKUP(A175,'Business Plan Setup and Accepta'!A:G,7,false),"")</f>
        <v>1</v>
      </c>
      <c r="I175" s="17">
        <f t="shared" si="3"/>
        <v>0</v>
      </c>
      <c r="J175" s="1">
        <f>IFERROR(VALUE(SUBSTITUTE(VLOOKUP(A175,'Sales IN Revenues vs Sales targ'!A:G,6,false)," $","")), "")
</f>
        <v>210.14</v>
      </c>
      <c r="K175" s="1">
        <f>IFERROR(VALUE(SUBSTITUTE(VLOOKUP(A175,'Sales IN Revenues vs Sales targ'!A:G,7,false)," $","")), "")
</f>
        <v>1159.99</v>
      </c>
      <c r="L175" s="17">
        <f t="shared" si="4"/>
        <v>0.1811567341</v>
      </c>
      <c r="M175" s="1">
        <f>value(SUBSTITUTE(IFERROR(VLOOKUP(A175,'Certifications achievements vs '!A:G,6,false),""),"#","")
)</f>
        <v>68</v>
      </c>
      <c r="N175" s="1">
        <f>value(SUBSTITUTE(IFERROR(VLOOKUP(A175,'Certifications achievements vs '!A:G,7,false),""),"#","")
)</f>
        <v>52</v>
      </c>
      <c r="O175" s="17">
        <f t="shared" si="5"/>
        <v>1.307692308</v>
      </c>
      <c r="P175" s="1">
        <f>value(SUBSTITUTE(IFERROR(VLOOKUP(A175,'Communications - Solution Speci'!A:G,6,false),""),"#","")
)</f>
        <v>1</v>
      </c>
      <c r="Q175" s="1">
        <f>value(SUBSTITUTE(IFERROR(VLOOKUP(A175,'Communications - Solution Speci'!A:G,7,false),""),"#","")
)</f>
        <v>1</v>
      </c>
      <c r="R175" s="17">
        <f t="shared" si="6"/>
        <v>1</v>
      </c>
      <c r="S175" s="1">
        <f>value(SUBSTITUTE(IFERROR(VLOOKUP(A175,'Networking - Solution Specializ'!A:G,6,false),""),"#","")
)</f>
        <v>0</v>
      </c>
      <c r="T175" s="1">
        <f>value(SUBSTITUTE(IFERROR(VLOOKUP(A175,'Networking - Solution Specializ'!A:G,7,false),""),"#","")
)</f>
        <v>1</v>
      </c>
      <c r="U175" s="17">
        <f t="shared" si="7"/>
        <v>0</v>
      </c>
      <c r="V175" s="1">
        <f>iferror(vlookup(A175,'Marketing Plan (extract summary'!A:G,6,false),"")</f>
        <v>0</v>
      </c>
      <c r="W175" s="1">
        <f>iferror(vlookup(A175,'Marketing Plan (extract summary'!A:G,7,false),"")</f>
        <v>1</v>
      </c>
      <c r="X175" s="17">
        <f t="shared" si="8"/>
        <v>0</v>
      </c>
      <c r="Y175" s="1">
        <f>value(IFERROR(SUBSTITUTE(SUBSTITUTE(VLOOKUP(A175,'Quarterly Pipeline vs Target Pi'!A:G,6,false)," $","")," €",""), "")
)</f>
        <v>15.56</v>
      </c>
      <c r="Z175" s="1">
        <f>value(IFERROR(SUBSTITUTE(SUBSTITUTE(VLOOKUP(A175,'Quarterly Pipeline vs Target Pi'!A:G,7,false)," $","")," €",""), "")
)</f>
        <v>0</v>
      </c>
      <c r="AA175" s="17" t="str">
        <f t="shared" si="9"/>
        <v/>
      </c>
      <c r="AB175" s="1">
        <f>value(IFERROR(SUBSTITUTE(SUBSTITUTE(VLOOKUP($A175,'Quarterly Pipeline vs Target Pi'!$A:$V,11,false)," $","")," €",""), "")
)</f>
        <v>19.12</v>
      </c>
      <c r="AC175" s="1">
        <f>value(IFERROR(SUBSTITUTE(SUBSTITUTE(VLOOKUP($A175,'Quarterly Pipeline vs Target Pi'!$A:$V,12,false)," $","")," €",""), "")
)</f>
        <v>429.62</v>
      </c>
      <c r="AD175" s="17">
        <f t="shared" si="10"/>
        <v>0.04450444579</v>
      </c>
      <c r="AE175" s="1">
        <f>value(IFERROR(SUBSTITUTE(SUBSTITUTE(VLOOKUP($A175,'Quarterly Pipeline vs Target Pi'!$A:$V,16,false)," $","")," €",""), "")
)</f>
        <v>1280.1</v>
      </c>
      <c r="AF175" s="1">
        <f>value(IFERROR(SUBSTITUTE(SUBSTITUTE(VLOOKUP($A175,'Quarterly Pipeline vs Target Pi'!$A:$V,17,false)," $","")," €",""), "")
)</f>
        <v>644.44</v>
      </c>
      <c r="AG175" s="17">
        <f t="shared" si="11"/>
        <v>1.986375768</v>
      </c>
      <c r="AH175" s="1">
        <f>value(IFERROR(SUBSTITUTE(SUBSTITUTE(VLOOKUP($A175,'Quarterly Pipeline vs Target Pi'!$A:$V,21,false)," $","")," €",""), "")
)</f>
        <v>746.29</v>
      </c>
      <c r="AI175" s="1">
        <f>value(IFERROR(SUBSTITUTE(SUBSTITUTE(VLOOKUP($A175,'Quarterly Pipeline vs Target Pi'!$A:$V,22,false)," $","")," €",""), "")
)</f>
        <v>644.44</v>
      </c>
      <c r="AJ175" s="17">
        <f t="shared" si="12"/>
        <v>1.158044193</v>
      </c>
      <c r="AK175" s="1">
        <f t="shared" ref="AK175:AL175" si="363">sum(Y175,AB175,AE175,AH175)</f>
        <v>2061.07</v>
      </c>
      <c r="AL175" s="1">
        <f t="shared" si="363"/>
        <v>1718.5</v>
      </c>
      <c r="AM175" s="17">
        <f t="shared" si="14"/>
        <v>1.19934245</v>
      </c>
      <c r="AN175" s="1">
        <f>value(IFERROR(SUBSTITUTE(SUBSTITUTE(VLOOKUP($A175,'Quarterly Pipeline vs Target Pi'!$A:$AP,26,false)," $","")," €",""), "")
)</f>
        <v>43.09</v>
      </c>
      <c r="AO175" s="1">
        <f>value(IFERROR(SUBSTITUTE(SUBSTITUTE(VLOOKUP($A175,'Quarterly Pipeline vs Target Pi'!$A:$AP,27,false)," $","")," €",""), "")
)</f>
        <v>0</v>
      </c>
      <c r="AP175" s="17" t="str">
        <f t="shared" si="15"/>
        <v/>
      </c>
      <c r="AQ175" s="1">
        <f>value(IFERROR(SUBSTITUTE(SUBSTITUTE(VLOOKUP($A175,'Quarterly Pipeline vs Target Pi'!$A:$AP,31,false)," $","")," €",""), "")
)</f>
        <v>26.86</v>
      </c>
      <c r="AR175" s="1">
        <f>value(IFERROR(SUBSTITUTE(SUBSTITUTE(VLOOKUP($A175,'Quarterly Pipeline vs Target Pi'!$A:$AP,32,false)," $","")," €",""), "")
)</f>
        <v>0</v>
      </c>
      <c r="AS175" s="17" t="str">
        <f t="shared" si="16"/>
        <v/>
      </c>
      <c r="AT175" s="1">
        <f>value(IFERROR(SUBSTITUTE(SUBSTITUTE(VLOOKUP($A175,'Quarterly Pipeline vs Target Pi'!$A:$AP,36,false)," $","")," €",""), "")
)</f>
        <v>153.83</v>
      </c>
      <c r="AU175" s="1">
        <f>value(IFERROR(SUBSTITUTE(SUBSTITUTE(VLOOKUP($A175,'Quarterly Pipeline vs Target Pi'!$A:$AP,37,false)," $","")," €",""), "")
)</f>
        <v>0</v>
      </c>
      <c r="AV175" s="17" t="str">
        <f t="shared" si="17"/>
        <v/>
      </c>
      <c r="AW175" s="1">
        <f>value(IFERROR(SUBSTITUTE(SUBSTITUTE(VLOOKUP($A175,'Quarterly Pipeline vs Target Pi'!$A:$AP,41,false)," $","")," €",""), "")
)</f>
        <v>0</v>
      </c>
      <c r="AX175" s="1">
        <f>value(IFERROR(SUBSTITUTE(SUBSTITUTE(VLOOKUP($A175,'Quarterly Pipeline vs Target Pi'!$A:$AP,42,false)," $","")," €",""), "")
)</f>
        <v>0</v>
      </c>
      <c r="AY175" s="17" t="str">
        <f t="shared" si="18"/>
        <v/>
      </c>
      <c r="AZ175" s="1">
        <f t="shared" ref="AZ175:BA175" si="364">sum(AN175,AQ175,AT175,AW175)</f>
        <v>223.78</v>
      </c>
      <c r="BA175" s="1">
        <f t="shared" si="364"/>
        <v>0</v>
      </c>
      <c r="BB175" s="17" t="str">
        <f t="shared" si="20"/>
        <v/>
      </c>
    </row>
    <row r="176">
      <c r="A176" s="1" t="str">
        <f>IFERROR(__xludf.DUMMYFUNCTION("""COMPUTED_VALUE"""),"63ced84bc5c820531c2692a2")</f>
        <v>63ced84bc5c820531c2692a2</v>
      </c>
      <c r="B176" s="1" t="str">
        <f>IFERROR(__xludf.DUMMYFUNCTION("""COMPUTED_VALUE"""),"EXXITA BE CIRCULAR SA SERVICES, S.L.U.")</f>
        <v>EXXITA BE CIRCULAR SA SERVICES, S.L.U.</v>
      </c>
      <c r="C176" s="1" t="str">
        <f>IFERROR(__xludf.DUMMYFUNCTION("""COMPUTED_VALUE"""),"astrid.savorani@al-enterprise.com, angel.montoya@al-enterprise.com, marcos.rodriguez@al-enterprise.com")</f>
        <v>astrid.savorani@al-enterprise.com, angel.montoya@al-enterprise.com, marcos.rodriguez@al-enterprise.com</v>
      </c>
      <c r="D176" s="1" t="str">
        <f>IFERROR(__xludf.DUMMYFUNCTION("""COMPUTED_VALUE"""),"emea")</f>
        <v>emea</v>
      </c>
      <c r="E176" s="1" t="str">
        <f>IFERROR(__xludf.DUMMYFUNCTION("""COMPUTED_VALUE"""),"ES")</f>
        <v>ES</v>
      </c>
      <c r="F176" s="1" t="str">
        <f>IFERROR(__xludf.DUMMYFUNCTION("""COMPUTED_VALUE"""),"distributor_1000")</f>
        <v>distributor_1000</v>
      </c>
      <c r="G176" s="1">
        <f>iferror(VLOOKUP(A176,'Business Plan Setup and Accepta'!A:G,6,false),"")</f>
        <v>1</v>
      </c>
      <c r="H176" s="1">
        <f>iferror(VLOOKUP(A176,'Business Plan Setup and Accepta'!A:G,7,false),"")</f>
        <v>1</v>
      </c>
      <c r="I176" s="17">
        <f t="shared" si="3"/>
        <v>1</v>
      </c>
      <c r="J176" s="1">
        <f>IFERROR(VALUE(SUBSTITUTE(VLOOKUP(A176,'Sales IN Revenues vs Sales targ'!A:G,6,false)," $","")), "")
</f>
        <v>4608.08</v>
      </c>
      <c r="K176" s="1">
        <f>IFERROR(VALUE(SUBSTITUTE(VLOOKUP(A176,'Sales IN Revenues vs Sales targ'!A:G,7,false)," $","")), "")
</f>
        <v>8500</v>
      </c>
      <c r="L176" s="17">
        <f t="shared" si="4"/>
        <v>0.5421270588</v>
      </c>
      <c r="M176" s="1">
        <f>value(SUBSTITUTE(IFERROR(VLOOKUP(A176,'Certifications achievements vs '!A:G,6,false),""),"#","")
)</f>
        <v>42</v>
      </c>
      <c r="N176" s="1">
        <f>value(SUBSTITUTE(IFERROR(VLOOKUP(A176,'Certifications achievements vs '!A:G,7,false),""),"#","")
)</f>
        <v>69</v>
      </c>
      <c r="O176" s="17">
        <f t="shared" si="5"/>
        <v>0.6086956522</v>
      </c>
      <c r="P176" s="1">
        <f>value(SUBSTITUTE(IFERROR(VLOOKUP(A176,'Communications - Solution Speci'!A:G,6,false),""),"#","")
)</f>
        <v>1</v>
      </c>
      <c r="Q176" s="1">
        <f>value(SUBSTITUTE(IFERROR(VLOOKUP(A176,'Communications - Solution Speci'!A:G,7,false),""),"#","")
)</f>
        <v>1</v>
      </c>
      <c r="R176" s="17">
        <f t="shared" si="6"/>
        <v>1</v>
      </c>
      <c r="S176" s="1">
        <f>value(SUBSTITUTE(IFERROR(VLOOKUP(A176,'Networking - Solution Specializ'!A:G,6,false),""),"#","")
)</f>
        <v>1</v>
      </c>
      <c r="T176" s="1">
        <f>value(SUBSTITUTE(IFERROR(VLOOKUP(A176,'Networking - Solution Specializ'!A:G,7,false),""),"#","")
)</f>
        <v>1</v>
      </c>
      <c r="U176" s="17">
        <f t="shared" si="7"/>
        <v>1</v>
      </c>
      <c r="V176" s="1">
        <f>iferror(vlookup(A176,'Marketing Plan (extract summary'!A:G,6,false),"")</f>
        <v>0</v>
      </c>
      <c r="W176" s="1">
        <f>iferror(vlookup(A176,'Marketing Plan (extract summary'!A:G,7,false),"")</f>
        <v>1</v>
      </c>
      <c r="X176" s="17">
        <f t="shared" si="8"/>
        <v>0</v>
      </c>
      <c r="Y176" s="1">
        <f>value(IFERROR(SUBSTITUTE(SUBSTITUTE(VLOOKUP(A176,'Quarterly Pipeline vs Target Pi'!A:G,6,false)," $","")," €",""), "")
)</f>
        <v>119.74</v>
      </c>
      <c r="Z176" s="1">
        <f>value(IFERROR(SUBSTITUTE(SUBSTITUTE(VLOOKUP(A176,'Quarterly Pipeline vs Target Pi'!A:G,7,false)," $","")," €",""), "")
)</f>
        <v>0</v>
      </c>
      <c r="AA176" s="17" t="str">
        <f t="shared" si="9"/>
        <v/>
      </c>
      <c r="AB176" s="1">
        <f>value(IFERROR(SUBSTITUTE(SUBSTITUTE(VLOOKUP($A176,'Quarterly Pipeline vs Target Pi'!$A:$V,11,false)," $","")," €",""), "")
)</f>
        <v>23.18</v>
      </c>
      <c r="AC176" s="1">
        <f>value(IFERROR(SUBSTITUTE(SUBSTITUTE(VLOOKUP($A176,'Quarterly Pipeline vs Target Pi'!$A:$V,12,false)," $","")," €",""), "")
)</f>
        <v>3937.5</v>
      </c>
      <c r="AD176" s="17">
        <f t="shared" si="10"/>
        <v>0.005886984127</v>
      </c>
      <c r="AE176" s="1">
        <f>value(IFERROR(SUBSTITUTE(SUBSTITUTE(VLOOKUP($A176,'Quarterly Pipeline vs Target Pi'!$A:$V,16,false)," $","")," €",""), "")
)</f>
        <v>2894.47</v>
      </c>
      <c r="AF176" s="1">
        <f>value(IFERROR(SUBSTITUTE(SUBSTITUTE(VLOOKUP($A176,'Quarterly Pipeline vs Target Pi'!$A:$V,17,false)," $","")," €",""), "")
)</f>
        <v>5145.83</v>
      </c>
      <c r="AG176" s="17">
        <f t="shared" si="11"/>
        <v>0.5624884615</v>
      </c>
      <c r="AH176" s="1">
        <f>value(IFERROR(SUBSTITUTE(SUBSTITUTE(VLOOKUP($A176,'Quarterly Pipeline vs Target Pi'!$A:$V,21,false)," $","")," €",""), "")
)</f>
        <v>14088.73</v>
      </c>
      <c r="AI176" s="1">
        <f>value(IFERROR(SUBSTITUTE(SUBSTITUTE(VLOOKUP($A176,'Quarterly Pipeline vs Target Pi'!$A:$V,22,false)," $","")," €",""), "")
)</f>
        <v>4410.42</v>
      </c>
      <c r="AJ176" s="17">
        <f t="shared" si="12"/>
        <v>3.194419126</v>
      </c>
      <c r="AK176" s="1">
        <f t="shared" ref="AK176:AL176" si="365">sum(Y176,AB176,AE176,AH176)</f>
        <v>17126.12</v>
      </c>
      <c r="AL176" s="1">
        <f t="shared" si="365"/>
        <v>13493.75</v>
      </c>
      <c r="AM176" s="17">
        <f t="shared" si="14"/>
        <v>1.269189069</v>
      </c>
      <c r="AN176" s="1">
        <f>value(IFERROR(SUBSTITUTE(SUBSTITUTE(VLOOKUP($A176,'Quarterly Pipeline vs Target Pi'!$A:$AP,26,false)," $","")," €",""), "")
)</f>
        <v>17351.63</v>
      </c>
      <c r="AO176" s="1">
        <f>value(IFERROR(SUBSTITUTE(SUBSTITUTE(VLOOKUP($A176,'Quarterly Pipeline vs Target Pi'!$A:$AP,27,false)," $","")," €",""), "")
)</f>
        <v>0</v>
      </c>
      <c r="AP176" s="17" t="str">
        <f t="shared" si="15"/>
        <v/>
      </c>
      <c r="AQ176" s="1">
        <f>value(IFERROR(SUBSTITUTE(SUBSTITUTE(VLOOKUP($A176,'Quarterly Pipeline vs Target Pi'!$A:$AP,31,false)," $","")," €",""), "")
)</f>
        <v>8606.62</v>
      </c>
      <c r="AR176" s="1">
        <f>value(IFERROR(SUBSTITUTE(SUBSTITUTE(VLOOKUP($A176,'Quarterly Pipeline vs Target Pi'!$A:$AP,32,false)," $","")," €",""), "")
)</f>
        <v>0</v>
      </c>
      <c r="AS176" s="17" t="str">
        <f t="shared" si="16"/>
        <v/>
      </c>
      <c r="AT176" s="1">
        <f>value(IFERROR(SUBSTITUTE(SUBSTITUTE(VLOOKUP($A176,'Quarterly Pipeline vs Target Pi'!$A:$AP,36,false)," $","")," €",""), "")
)</f>
        <v>2920</v>
      </c>
      <c r="AU176" s="1">
        <f>value(IFERROR(SUBSTITUTE(SUBSTITUTE(VLOOKUP($A176,'Quarterly Pipeline vs Target Pi'!$A:$AP,37,false)," $","")," €",""), "")
)</f>
        <v>0</v>
      </c>
      <c r="AV176" s="17" t="str">
        <f t="shared" si="17"/>
        <v/>
      </c>
      <c r="AW176" s="1">
        <f>value(IFERROR(SUBSTITUTE(SUBSTITUTE(VLOOKUP($A176,'Quarterly Pipeline vs Target Pi'!$A:$AP,41,false)," $","")," €",""), "")
)</f>
        <v>2730</v>
      </c>
      <c r="AX176" s="1">
        <f>value(IFERROR(SUBSTITUTE(SUBSTITUTE(VLOOKUP($A176,'Quarterly Pipeline vs Target Pi'!$A:$AP,42,false)," $","")," €",""), "")
)</f>
        <v>0</v>
      </c>
      <c r="AY176" s="17" t="str">
        <f t="shared" si="18"/>
        <v/>
      </c>
      <c r="AZ176" s="1">
        <f t="shared" ref="AZ176:BA176" si="366">sum(AN176,AQ176,AT176,AW176)</f>
        <v>31608.25</v>
      </c>
      <c r="BA176" s="1">
        <f t="shared" si="366"/>
        <v>0</v>
      </c>
      <c r="BB176" s="17" t="str">
        <f t="shared" si="20"/>
        <v/>
      </c>
    </row>
    <row r="177">
      <c r="A177" s="1" t="str">
        <f>IFERROR(__xludf.DUMMYFUNCTION("""COMPUTED_VALUE"""),"63ef9d5f384f27260c1bafed")</f>
        <v>63ef9d5f384f27260c1bafed</v>
      </c>
      <c r="B177" s="1" t="str">
        <f>IFERROR(__xludf.DUMMYFUNCTION("""COMPUTED_VALUE"""),"Ezentis Tecnologia SL")</f>
        <v>Ezentis Tecnologia SL</v>
      </c>
      <c r="C177" s="1" t="str">
        <f>IFERROR(__xludf.DUMMYFUNCTION("""COMPUTED_VALUE"""),"jaime.tor@al-enterprise.com, astrid.savorani@al-enterprise.com, rafael.andreo@al-enterprise.com, esther.alonso@al-enterprise.com, marcos.rodriguez@al-enterprise.com, borja.gonzalvez@al-enterprise.com")</f>
        <v>jaime.tor@al-enterprise.com, astrid.savorani@al-enterprise.com, rafael.andreo@al-enterprise.com, esther.alonso@al-enterprise.com, marcos.rodriguez@al-enterprise.com, borja.gonzalvez@al-enterprise.com</v>
      </c>
      <c r="D177" s="1" t="str">
        <f>IFERROR(__xludf.DUMMYFUNCTION("""COMPUTED_VALUE"""),"emea")</f>
        <v>emea</v>
      </c>
      <c r="E177" s="1" t="str">
        <f>IFERROR(__xludf.DUMMYFUNCTION("""COMPUTED_VALUE"""),"ES")</f>
        <v>ES</v>
      </c>
      <c r="F177" s="1"/>
      <c r="G177" s="1">
        <f>iferror(VLOOKUP(A177,'Business Plan Setup and Accepta'!A:G,6,false),"")</f>
        <v>1</v>
      </c>
      <c r="H177" s="1">
        <f>iferror(VLOOKUP(A177,'Business Plan Setup and Accepta'!A:G,7,false),"")</f>
        <v>1</v>
      </c>
      <c r="I177" s="17">
        <f t="shared" si="3"/>
        <v>1</v>
      </c>
      <c r="J177" s="1">
        <f>IFERROR(VALUE(SUBSTITUTE(VLOOKUP(A177,'Sales IN Revenues vs Sales targ'!A:G,6,false)," $","")), "")
</f>
        <v>72.2</v>
      </c>
      <c r="K177" s="1">
        <f>IFERROR(VALUE(SUBSTITUTE(VLOOKUP(A177,'Sales IN Revenues vs Sales targ'!A:G,7,false)," $","")), "")
</f>
        <v>200</v>
      </c>
      <c r="L177" s="17">
        <f t="shared" si="4"/>
        <v>0.361</v>
      </c>
      <c r="M177" s="1">
        <f>value(SUBSTITUTE(IFERROR(VLOOKUP(A177,'Certifications achievements vs '!A:G,6,false),""),"#","")
)</f>
        <v>10</v>
      </c>
      <c r="N177" s="1">
        <f>value(SUBSTITUTE(IFERROR(VLOOKUP(A177,'Certifications achievements vs '!A:G,7,false),""),"#","")
)</f>
        <v>52</v>
      </c>
      <c r="O177" s="17">
        <f t="shared" si="5"/>
        <v>0.1923076923</v>
      </c>
      <c r="P177" s="1">
        <f>value(SUBSTITUTE(IFERROR(VLOOKUP(A177,'Communications - Solution Speci'!A:G,6,false),""),"#","")
)</f>
        <v>0</v>
      </c>
      <c r="Q177" s="1">
        <f>value(SUBSTITUTE(IFERROR(VLOOKUP(A177,'Communications - Solution Speci'!A:G,7,false),""),"#","")
)</f>
        <v>1</v>
      </c>
      <c r="R177" s="17">
        <f t="shared" si="6"/>
        <v>0</v>
      </c>
      <c r="S177" s="1">
        <f>value(SUBSTITUTE(IFERROR(VLOOKUP(A177,'Networking - Solution Specializ'!A:G,6,false),""),"#","")
)</f>
        <v>1</v>
      </c>
      <c r="T177" s="1">
        <f>value(SUBSTITUTE(IFERROR(VLOOKUP(A177,'Networking - Solution Specializ'!A:G,7,false),""),"#","")
)</f>
        <v>1</v>
      </c>
      <c r="U177" s="17">
        <f t="shared" si="7"/>
        <v>1</v>
      </c>
      <c r="V177" s="1">
        <f>iferror(vlookup(A177,'Marketing Plan (extract summary'!A:G,6,false),"")</f>
        <v>0</v>
      </c>
      <c r="W177" s="1">
        <f>iferror(vlookup(A177,'Marketing Plan (extract summary'!A:G,7,false),"")</f>
        <v>1</v>
      </c>
      <c r="X177" s="17">
        <f t="shared" si="8"/>
        <v>0</v>
      </c>
      <c r="Y177" s="1">
        <f>value(IFERROR(SUBSTITUTE(SUBSTITUTE(VLOOKUP(A177,'Quarterly Pipeline vs Target Pi'!A:G,6,false)," $","")," €",""), "")
)</f>
        <v>0</v>
      </c>
      <c r="Z177" s="1">
        <f>value(IFERROR(SUBSTITUTE(SUBSTITUTE(VLOOKUP(A177,'Quarterly Pipeline vs Target Pi'!A:G,7,false)," $","")," €",""), "")
)</f>
        <v>0</v>
      </c>
      <c r="AA177" s="17" t="str">
        <f t="shared" si="9"/>
        <v/>
      </c>
      <c r="AB177" s="1">
        <f>value(IFERROR(SUBSTITUTE(SUBSTITUTE(VLOOKUP($A177,'Quarterly Pipeline vs Target Pi'!$A:$V,11,false)," $","")," €",""), "")
)</f>
        <v>100</v>
      </c>
      <c r="AC177" s="1">
        <f>value(IFERROR(SUBSTITUTE(SUBSTITUTE(VLOOKUP($A177,'Quarterly Pipeline vs Target Pi'!$A:$V,12,false)," $","")," €",""), "")
)</f>
        <v>0</v>
      </c>
      <c r="AD177" s="17" t="str">
        <f t="shared" si="10"/>
        <v/>
      </c>
      <c r="AE177" s="1">
        <f>value(IFERROR(SUBSTITUTE(SUBSTITUTE(VLOOKUP($A177,'Quarterly Pipeline vs Target Pi'!$A:$V,16,false)," $","")," €",""), "")
)</f>
        <v>0</v>
      </c>
      <c r="AF177" s="1">
        <f>value(IFERROR(SUBSTITUTE(SUBSTITUTE(VLOOKUP($A177,'Quarterly Pipeline vs Target Pi'!$A:$V,17,false)," $","")," €",""), "")
)</f>
        <v>166.67</v>
      </c>
      <c r="AG177" s="17">
        <f t="shared" si="11"/>
        <v>0</v>
      </c>
      <c r="AH177" s="1">
        <f>value(IFERROR(SUBSTITUTE(SUBSTITUTE(VLOOKUP($A177,'Quarterly Pipeline vs Target Pi'!$A:$V,21,false)," $","")," €",""), "")
)</f>
        <v>0</v>
      </c>
      <c r="AI177" s="1">
        <f>value(IFERROR(SUBSTITUTE(SUBSTITUTE(VLOOKUP($A177,'Quarterly Pipeline vs Target Pi'!$A:$V,22,false)," $","")," €",""), "")
)</f>
        <v>166.67</v>
      </c>
      <c r="AJ177" s="17">
        <f t="shared" si="12"/>
        <v>0</v>
      </c>
      <c r="AK177" s="1">
        <f t="shared" ref="AK177:AL177" si="367">sum(Y177,AB177,AE177,AH177)</f>
        <v>100</v>
      </c>
      <c r="AL177" s="1">
        <f t="shared" si="367"/>
        <v>333.34</v>
      </c>
      <c r="AM177" s="17">
        <f t="shared" si="14"/>
        <v>0.2999940001</v>
      </c>
      <c r="AN177" s="1">
        <f>value(IFERROR(SUBSTITUTE(SUBSTITUTE(VLOOKUP($A177,'Quarterly Pipeline vs Target Pi'!$A:$AP,26,false)," $","")," €",""), "")
)</f>
        <v>0</v>
      </c>
      <c r="AO177" s="1">
        <f>value(IFERROR(SUBSTITUTE(SUBSTITUTE(VLOOKUP($A177,'Quarterly Pipeline vs Target Pi'!$A:$AP,27,false)," $","")," €",""), "")
)</f>
        <v>0</v>
      </c>
      <c r="AP177" s="17" t="str">
        <f t="shared" si="15"/>
        <v/>
      </c>
      <c r="AQ177" s="1">
        <f>value(IFERROR(SUBSTITUTE(SUBSTITUTE(VLOOKUP($A177,'Quarterly Pipeline vs Target Pi'!$A:$AP,31,false)," $","")," €",""), "")
)</f>
        <v>0</v>
      </c>
      <c r="AR177" s="1">
        <f>value(IFERROR(SUBSTITUTE(SUBSTITUTE(VLOOKUP($A177,'Quarterly Pipeline vs Target Pi'!$A:$AP,32,false)," $","")," €",""), "")
)</f>
        <v>0</v>
      </c>
      <c r="AS177" s="17" t="str">
        <f t="shared" si="16"/>
        <v/>
      </c>
      <c r="AT177" s="1">
        <f>value(IFERROR(SUBSTITUTE(SUBSTITUTE(VLOOKUP($A177,'Quarterly Pipeline vs Target Pi'!$A:$AP,36,false)," $","")," €",""), "")
)</f>
        <v>0</v>
      </c>
      <c r="AU177" s="1">
        <f>value(IFERROR(SUBSTITUTE(SUBSTITUTE(VLOOKUP($A177,'Quarterly Pipeline vs Target Pi'!$A:$AP,37,false)," $","")," €",""), "")
)</f>
        <v>0</v>
      </c>
      <c r="AV177" s="17" t="str">
        <f t="shared" si="17"/>
        <v/>
      </c>
      <c r="AW177" s="1">
        <f>value(IFERROR(SUBSTITUTE(SUBSTITUTE(VLOOKUP($A177,'Quarterly Pipeline vs Target Pi'!$A:$AP,41,false)," $","")," €",""), "")
)</f>
        <v>0</v>
      </c>
      <c r="AX177" s="1">
        <f>value(IFERROR(SUBSTITUTE(SUBSTITUTE(VLOOKUP($A177,'Quarterly Pipeline vs Target Pi'!$A:$AP,42,false)," $","")," €",""), "")
)</f>
        <v>0</v>
      </c>
      <c r="AY177" s="17" t="str">
        <f t="shared" si="18"/>
        <v/>
      </c>
      <c r="AZ177" s="1">
        <f t="shared" ref="AZ177:BA177" si="368">sum(AN177,AQ177,AT177,AW177)</f>
        <v>0</v>
      </c>
      <c r="BA177" s="1">
        <f t="shared" si="368"/>
        <v>0</v>
      </c>
      <c r="BB177" s="17" t="str">
        <f t="shared" si="20"/>
        <v/>
      </c>
    </row>
    <row r="178">
      <c r="A178" s="1" t="str">
        <f>IFERROR(__xludf.DUMMYFUNCTION("""COMPUTED_VALUE"""),"63ea6e9652ad6968805cefa3")</f>
        <v>63ea6e9652ad6968805cefa3</v>
      </c>
      <c r="B178" s="1" t="str">
        <f>IFERROR(__xludf.DUMMYFUNCTION("""COMPUTED_VALUE"""),"F&amp;S Fernmelde- und")</f>
        <v>F&amp;S Fernmelde- und</v>
      </c>
      <c r="C178" s="1" t="str">
        <f>IFERROR(__xludf.DUMMYFUNCTION("""COMPUTED_VALUE"""),"andreas.grossheimann@al-enterprise.com, andre.ramm@al-enterprise.com")</f>
        <v>andreas.grossheimann@al-enterprise.com, andre.ramm@al-enterprise.com</v>
      </c>
      <c r="D178" s="1" t="str">
        <f>IFERROR(__xludf.DUMMYFUNCTION("""COMPUTED_VALUE"""),"germany")</f>
        <v>germany</v>
      </c>
      <c r="E178" s="1" t="str">
        <f>IFERROR(__xludf.DUMMYFUNCTION("""COMPUTED_VALUE"""),"DE")</f>
        <v>DE</v>
      </c>
      <c r="F178" s="1"/>
      <c r="G178" s="1" t="str">
        <f>iferror(VLOOKUP(A178,'Business Plan Setup and Accepta'!A:G,6,false),"")</f>
        <v/>
      </c>
      <c r="H178" s="1" t="str">
        <f>iferror(VLOOKUP(A178,'Business Plan Setup and Accepta'!A:G,7,false),"")</f>
        <v/>
      </c>
      <c r="I178" s="17" t="str">
        <f t="shared" si="3"/>
        <v/>
      </c>
      <c r="J178" s="1" t="str">
        <f>IFERROR(VALUE(SUBSTITUTE(VLOOKUP(A178,'Sales IN Revenues vs Sales targ'!A:G,6,false)," $","")), "")
</f>
        <v/>
      </c>
      <c r="K178" s="1" t="str">
        <f>IFERROR(VALUE(SUBSTITUTE(VLOOKUP(A178,'Sales IN Revenues vs Sales targ'!A:G,7,false)," $","")), "")
</f>
        <v/>
      </c>
      <c r="L178" s="17" t="str">
        <f t="shared" si="4"/>
        <v/>
      </c>
      <c r="M178" s="1">
        <f>value(SUBSTITUTE(IFERROR(VLOOKUP(A178,'Certifications achievements vs '!A:G,6,false),""),"#","")
)</f>
        <v>0</v>
      </c>
      <c r="N178" s="1">
        <f>value(SUBSTITUTE(IFERROR(VLOOKUP(A178,'Certifications achievements vs '!A:G,7,false),""),"#","")
)</f>
        <v>0</v>
      </c>
      <c r="O178" s="17" t="str">
        <f t="shared" si="5"/>
        <v/>
      </c>
      <c r="P178" s="1">
        <f>value(SUBSTITUTE(IFERROR(VLOOKUP(A178,'Communications - Solution Speci'!A:G,6,false),""),"#","")
)</f>
        <v>0</v>
      </c>
      <c r="Q178" s="1">
        <f>value(SUBSTITUTE(IFERROR(VLOOKUP(A178,'Communications - Solution Speci'!A:G,7,false),""),"#","")
)</f>
        <v>0</v>
      </c>
      <c r="R178" s="17" t="str">
        <f t="shared" si="6"/>
        <v/>
      </c>
      <c r="S178" s="1">
        <f>value(SUBSTITUTE(IFERROR(VLOOKUP(A178,'Networking - Solution Specializ'!A:G,6,false),""),"#","")
)</f>
        <v>0</v>
      </c>
      <c r="T178" s="1">
        <f>value(SUBSTITUTE(IFERROR(VLOOKUP(A178,'Networking - Solution Specializ'!A:G,7,false),""),"#","")
)</f>
        <v>0</v>
      </c>
      <c r="U178" s="17" t="str">
        <f t="shared" si="7"/>
        <v/>
      </c>
      <c r="V178" s="1" t="str">
        <f>iferror(vlookup(A178,'Marketing Plan (extract summary'!A:G,6,false),"")</f>
        <v/>
      </c>
      <c r="W178" s="1" t="str">
        <f>iferror(vlookup(A178,'Marketing Plan (extract summary'!A:G,7,false),"")</f>
        <v/>
      </c>
      <c r="X178" s="17" t="str">
        <f t="shared" si="8"/>
        <v/>
      </c>
      <c r="Y178" s="1">
        <f>value(IFERROR(SUBSTITUTE(SUBSTITUTE(VLOOKUP(A178,'Quarterly Pipeline vs Target Pi'!A:G,6,false)," $","")," €",""), "")
)</f>
        <v>0</v>
      </c>
      <c r="Z178" s="1">
        <f>value(IFERROR(SUBSTITUTE(SUBSTITUTE(VLOOKUP(A178,'Quarterly Pipeline vs Target Pi'!A:G,7,false)," $","")," €",""), "")
)</f>
        <v>0</v>
      </c>
      <c r="AA178" s="17" t="str">
        <f t="shared" si="9"/>
        <v/>
      </c>
      <c r="AB178" s="1">
        <f>value(IFERROR(SUBSTITUTE(SUBSTITUTE(VLOOKUP($A178,'Quarterly Pipeline vs Target Pi'!$A:$V,11,false)," $","")," €",""), "")
)</f>
        <v>0</v>
      </c>
      <c r="AC178" s="1">
        <f>value(IFERROR(SUBSTITUTE(SUBSTITUTE(VLOOKUP($A178,'Quarterly Pipeline vs Target Pi'!$A:$V,12,false)," $","")," €",""), "")
)</f>
        <v>0</v>
      </c>
      <c r="AD178" s="17" t="str">
        <f t="shared" si="10"/>
        <v/>
      </c>
      <c r="AE178" s="1">
        <f>value(IFERROR(SUBSTITUTE(SUBSTITUTE(VLOOKUP($A178,'Quarterly Pipeline vs Target Pi'!$A:$V,16,false)," $","")," €",""), "")
)</f>
        <v>0</v>
      </c>
      <c r="AF178" s="1">
        <f>value(IFERROR(SUBSTITUTE(SUBSTITUTE(VLOOKUP($A178,'Quarterly Pipeline vs Target Pi'!$A:$V,17,false)," $","")," €",""), "")
)</f>
        <v>0</v>
      </c>
      <c r="AG178" s="17" t="str">
        <f t="shared" si="11"/>
        <v/>
      </c>
      <c r="AH178" s="1">
        <f>value(IFERROR(SUBSTITUTE(SUBSTITUTE(VLOOKUP($A178,'Quarterly Pipeline vs Target Pi'!$A:$V,21,false)," $","")," €",""), "")
)</f>
        <v>0</v>
      </c>
      <c r="AI178" s="1">
        <f>value(IFERROR(SUBSTITUTE(SUBSTITUTE(VLOOKUP($A178,'Quarterly Pipeline vs Target Pi'!$A:$V,22,false)," $","")," €",""), "")
)</f>
        <v>0</v>
      </c>
      <c r="AJ178" s="17" t="str">
        <f t="shared" si="12"/>
        <v/>
      </c>
      <c r="AK178" s="1">
        <f t="shared" ref="AK178:AL178" si="369">sum(Y178,AB178,AE178,AH178)</f>
        <v>0</v>
      </c>
      <c r="AL178" s="1">
        <f t="shared" si="369"/>
        <v>0</v>
      </c>
      <c r="AM178" s="17" t="str">
        <f t="shared" si="14"/>
        <v/>
      </c>
      <c r="AN178" s="1">
        <f>value(IFERROR(SUBSTITUTE(SUBSTITUTE(VLOOKUP($A178,'Quarterly Pipeline vs Target Pi'!$A:$AP,26,false)," $","")," €",""), "")
)</f>
        <v>0</v>
      </c>
      <c r="AO178" s="1">
        <f>value(IFERROR(SUBSTITUTE(SUBSTITUTE(VLOOKUP($A178,'Quarterly Pipeline vs Target Pi'!$A:$AP,27,false)," $","")," €",""), "")
)</f>
        <v>0</v>
      </c>
      <c r="AP178" s="17" t="str">
        <f t="shared" si="15"/>
        <v/>
      </c>
      <c r="AQ178" s="1">
        <f>value(IFERROR(SUBSTITUTE(SUBSTITUTE(VLOOKUP($A178,'Quarterly Pipeline vs Target Pi'!$A:$AP,31,false)," $","")," €",""), "")
)</f>
        <v>0</v>
      </c>
      <c r="AR178" s="1">
        <f>value(IFERROR(SUBSTITUTE(SUBSTITUTE(VLOOKUP($A178,'Quarterly Pipeline vs Target Pi'!$A:$AP,32,false)," $","")," €",""), "")
)</f>
        <v>0</v>
      </c>
      <c r="AS178" s="17" t="str">
        <f t="shared" si="16"/>
        <v/>
      </c>
      <c r="AT178" s="1">
        <f>value(IFERROR(SUBSTITUTE(SUBSTITUTE(VLOOKUP($A178,'Quarterly Pipeline vs Target Pi'!$A:$AP,36,false)," $","")," €",""), "")
)</f>
        <v>0</v>
      </c>
      <c r="AU178" s="1">
        <f>value(IFERROR(SUBSTITUTE(SUBSTITUTE(VLOOKUP($A178,'Quarterly Pipeline vs Target Pi'!$A:$AP,37,false)," $","")," €",""), "")
)</f>
        <v>0</v>
      </c>
      <c r="AV178" s="17" t="str">
        <f t="shared" si="17"/>
        <v/>
      </c>
      <c r="AW178" s="1">
        <f>value(IFERROR(SUBSTITUTE(SUBSTITUTE(VLOOKUP($A178,'Quarterly Pipeline vs Target Pi'!$A:$AP,41,false)," $","")," €",""), "")
)</f>
        <v>0</v>
      </c>
      <c r="AX178" s="1">
        <f>value(IFERROR(SUBSTITUTE(SUBSTITUTE(VLOOKUP($A178,'Quarterly Pipeline vs Target Pi'!$A:$AP,42,false)," $","")," €",""), "")
)</f>
        <v>0</v>
      </c>
      <c r="AY178" s="17" t="str">
        <f t="shared" si="18"/>
        <v/>
      </c>
      <c r="AZ178" s="1">
        <f t="shared" ref="AZ178:BA178" si="370">sum(AN178,AQ178,AT178,AW178)</f>
        <v>0</v>
      </c>
      <c r="BA178" s="1">
        <f t="shared" si="370"/>
        <v>0</v>
      </c>
      <c r="BB178" s="17" t="str">
        <f t="shared" si="20"/>
        <v/>
      </c>
    </row>
    <row r="179">
      <c r="A179" s="1" t="str">
        <f>IFERROR(__xludf.DUMMYFUNCTION("""COMPUTED_VALUE"""),"63ea6e9452ad6968805cebf9")</f>
        <v>63ea6e9452ad6968805cebf9</v>
      </c>
      <c r="B179" s="1" t="str">
        <f>IFERROR(__xludf.DUMMYFUNCTION("""COMPUTED_VALUE"""),"Fernmeldetechnik Stadler GmbH")</f>
        <v>Fernmeldetechnik Stadler GmbH</v>
      </c>
      <c r="C179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179" s="1" t="str">
        <f>IFERROR(__xludf.DUMMYFUNCTION("""COMPUTED_VALUE"""),"germany")</f>
        <v>germany</v>
      </c>
      <c r="E179" s="1" t="str">
        <f>IFERROR(__xludf.DUMMYFUNCTION("""COMPUTED_VALUE"""),"DE")</f>
        <v>DE</v>
      </c>
      <c r="F179" s="1"/>
      <c r="G179" s="1" t="str">
        <f>iferror(VLOOKUP(A179,'Business Plan Setup and Accepta'!A:G,6,false),"")</f>
        <v/>
      </c>
      <c r="H179" s="1" t="str">
        <f>iferror(VLOOKUP(A179,'Business Plan Setup and Accepta'!A:G,7,false),"")</f>
        <v/>
      </c>
      <c r="I179" s="17" t="str">
        <f t="shared" si="3"/>
        <v/>
      </c>
      <c r="J179" s="1" t="str">
        <f>IFERROR(VALUE(SUBSTITUTE(VLOOKUP(A179,'Sales IN Revenues vs Sales targ'!A:G,6,false)," $","")), "")
</f>
        <v/>
      </c>
      <c r="K179" s="1" t="str">
        <f>IFERROR(VALUE(SUBSTITUTE(VLOOKUP(A179,'Sales IN Revenues vs Sales targ'!A:G,7,false)," $","")), "")
</f>
        <v/>
      </c>
      <c r="L179" s="17" t="str">
        <f t="shared" si="4"/>
        <v/>
      </c>
      <c r="M179" s="1">
        <f>value(SUBSTITUTE(IFERROR(VLOOKUP(A179,'Certifications achievements vs '!A:G,6,false),""),"#","")
)</f>
        <v>16</v>
      </c>
      <c r="N179" s="1">
        <f>value(SUBSTITUTE(IFERROR(VLOOKUP(A179,'Certifications achievements vs '!A:G,7,false),""),"#","")
)</f>
        <v>0</v>
      </c>
      <c r="O179" s="17" t="str">
        <f t="shared" si="5"/>
        <v/>
      </c>
      <c r="P179" s="1">
        <f>value(SUBSTITUTE(IFERROR(VLOOKUP(A179,'Communications - Solution Speci'!A:G,6,false),""),"#","")
)</f>
        <v>0</v>
      </c>
      <c r="Q179" s="1">
        <f>value(SUBSTITUTE(IFERROR(VLOOKUP(A179,'Communications - Solution Speci'!A:G,7,false),""),"#","")
)</f>
        <v>0</v>
      </c>
      <c r="R179" s="17" t="str">
        <f t="shared" si="6"/>
        <v/>
      </c>
      <c r="S179" s="1">
        <f>value(SUBSTITUTE(IFERROR(VLOOKUP(A179,'Networking - Solution Specializ'!A:G,6,false),""),"#","")
)</f>
        <v>0</v>
      </c>
      <c r="T179" s="1">
        <f>value(SUBSTITUTE(IFERROR(VLOOKUP(A179,'Networking - Solution Specializ'!A:G,7,false),""),"#","")
)</f>
        <v>0</v>
      </c>
      <c r="U179" s="17" t="str">
        <f t="shared" si="7"/>
        <v/>
      </c>
      <c r="V179" s="1" t="str">
        <f>iferror(vlookup(A179,'Marketing Plan (extract summary'!A:G,6,false),"")</f>
        <v/>
      </c>
      <c r="W179" s="1" t="str">
        <f>iferror(vlookup(A179,'Marketing Plan (extract summary'!A:G,7,false),"")</f>
        <v/>
      </c>
      <c r="X179" s="17" t="str">
        <f t="shared" si="8"/>
        <v/>
      </c>
      <c r="Y179" s="1">
        <f>value(IFERROR(SUBSTITUTE(SUBSTITUTE(VLOOKUP(A179,'Quarterly Pipeline vs Target Pi'!A:G,6,false)," $","")," €",""), "")
)</f>
        <v>0</v>
      </c>
      <c r="Z179" s="1">
        <f>value(IFERROR(SUBSTITUTE(SUBSTITUTE(VLOOKUP(A179,'Quarterly Pipeline vs Target Pi'!A:G,7,false)," $","")," €",""), "")
)</f>
        <v>0</v>
      </c>
      <c r="AA179" s="17" t="str">
        <f t="shared" si="9"/>
        <v/>
      </c>
      <c r="AB179" s="1">
        <f>value(IFERROR(SUBSTITUTE(SUBSTITUTE(VLOOKUP($A179,'Quarterly Pipeline vs Target Pi'!$A:$V,11,false)," $","")," €",""), "")
)</f>
        <v>0</v>
      </c>
      <c r="AC179" s="1">
        <f>value(IFERROR(SUBSTITUTE(SUBSTITUTE(VLOOKUP($A179,'Quarterly Pipeline vs Target Pi'!$A:$V,12,false)," $","")," €",""), "")
)</f>
        <v>0</v>
      </c>
      <c r="AD179" s="17" t="str">
        <f t="shared" si="10"/>
        <v/>
      </c>
      <c r="AE179" s="1">
        <f>value(IFERROR(SUBSTITUTE(SUBSTITUTE(VLOOKUP($A179,'Quarterly Pipeline vs Target Pi'!$A:$V,16,false)," $","")," €",""), "")
)</f>
        <v>0</v>
      </c>
      <c r="AF179" s="1">
        <f>value(IFERROR(SUBSTITUTE(SUBSTITUTE(VLOOKUP($A179,'Quarterly Pipeline vs Target Pi'!$A:$V,17,false)," $","")," €",""), "")
)</f>
        <v>0</v>
      </c>
      <c r="AG179" s="17" t="str">
        <f t="shared" si="11"/>
        <v/>
      </c>
      <c r="AH179" s="1">
        <f>value(IFERROR(SUBSTITUTE(SUBSTITUTE(VLOOKUP($A179,'Quarterly Pipeline vs Target Pi'!$A:$V,21,false)," $","")," €",""), "")
)</f>
        <v>0</v>
      </c>
      <c r="AI179" s="1">
        <f>value(IFERROR(SUBSTITUTE(SUBSTITUTE(VLOOKUP($A179,'Quarterly Pipeline vs Target Pi'!$A:$V,22,false)," $","")," €",""), "")
)</f>
        <v>0</v>
      </c>
      <c r="AJ179" s="17" t="str">
        <f t="shared" si="12"/>
        <v/>
      </c>
      <c r="AK179" s="1">
        <f t="shared" ref="AK179:AL179" si="371">sum(Y179,AB179,AE179,AH179)</f>
        <v>0</v>
      </c>
      <c r="AL179" s="1">
        <f t="shared" si="371"/>
        <v>0</v>
      </c>
      <c r="AM179" s="17" t="str">
        <f t="shared" si="14"/>
        <v/>
      </c>
      <c r="AN179" s="1">
        <f>value(IFERROR(SUBSTITUTE(SUBSTITUTE(VLOOKUP($A179,'Quarterly Pipeline vs Target Pi'!$A:$AP,26,false)," $","")," €",""), "")
)</f>
        <v>0</v>
      </c>
      <c r="AO179" s="1">
        <f>value(IFERROR(SUBSTITUTE(SUBSTITUTE(VLOOKUP($A179,'Quarterly Pipeline vs Target Pi'!$A:$AP,27,false)," $","")," €",""), "")
)</f>
        <v>0</v>
      </c>
      <c r="AP179" s="17" t="str">
        <f t="shared" si="15"/>
        <v/>
      </c>
      <c r="AQ179" s="1">
        <f>value(IFERROR(SUBSTITUTE(SUBSTITUTE(VLOOKUP($A179,'Quarterly Pipeline vs Target Pi'!$A:$AP,31,false)," $","")," €",""), "")
)</f>
        <v>0</v>
      </c>
      <c r="AR179" s="1">
        <f>value(IFERROR(SUBSTITUTE(SUBSTITUTE(VLOOKUP($A179,'Quarterly Pipeline vs Target Pi'!$A:$AP,32,false)," $","")," €",""), "")
)</f>
        <v>0</v>
      </c>
      <c r="AS179" s="17" t="str">
        <f t="shared" si="16"/>
        <v/>
      </c>
      <c r="AT179" s="1">
        <f>value(IFERROR(SUBSTITUTE(SUBSTITUTE(VLOOKUP($A179,'Quarterly Pipeline vs Target Pi'!$A:$AP,36,false)," $","")," €",""), "")
)</f>
        <v>0</v>
      </c>
      <c r="AU179" s="1">
        <f>value(IFERROR(SUBSTITUTE(SUBSTITUTE(VLOOKUP($A179,'Quarterly Pipeline vs Target Pi'!$A:$AP,37,false)," $","")," €",""), "")
)</f>
        <v>0</v>
      </c>
      <c r="AV179" s="17" t="str">
        <f t="shared" si="17"/>
        <v/>
      </c>
      <c r="AW179" s="1">
        <f>value(IFERROR(SUBSTITUTE(SUBSTITUTE(VLOOKUP($A179,'Quarterly Pipeline vs Target Pi'!$A:$AP,41,false)," $","")," €",""), "")
)</f>
        <v>0</v>
      </c>
      <c r="AX179" s="1">
        <f>value(IFERROR(SUBSTITUTE(SUBSTITUTE(VLOOKUP($A179,'Quarterly Pipeline vs Target Pi'!$A:$AP,42,false)," $","")," €",""), "")
)</f>
        <v>0</v>
      </c>
      <c r="AY179" s="17" t="str">
        <f t="shared" si="18"/>
        <v/>
      </c>
      <c r="AZ179" s="1">
        <f t="shared" ref="AZ179:BA179" si="372">sum(AN179,AQ179,AT179,AW179)</f>
        <v>0</v>
      </c>
      <c r="BA179" s="1">
        <f t="shared" si="372"/>
        <v>0</v>
      </c>
      <c r="BB179" s="17" t="str">
        <f t="shared" si="20"/>
        <v/>
      </c>
    </row>
    <row r="180">
      <c r="A180" s="1" t="str">
        <f>IFERROR(__xludf.DUMMYFUNCTION("""COMPUTED_VALUE"""),"63ea6e9652ad6968805ceed1")</f>
        <v>63ea6e9652ad6968805ceed1</v>
      </c>
      <c r="B180" s="1" t="str">
        <f>IFERROR(__xludf.DUMMYFUNCTION("""COMPUTED_VALUE"""),"Fernseh-Frank Szymkowiak")</f>
        <v>Fernseh-Frank Szymkowiak</v>
      </c>
      <c r="C180" s="1" t="str">
        <f>IFERROR(__xludf.DUMMYFUNCTION("""COMPUTED_VALUE"""),"andreas.grossheimann@al-enterprise.com, andre.ramm@al-enterprise.com")</f>
        <v>andreas.grossheimann@al-enterprise.com, andre.ramm@al-enterprise.com</v>
      </c>
      <c r="D180" s="1" t="str">
        <f>IFERROR(__xludf.DUMMYFUNCTION("""COMPUTED_VALUE"""),"germany")</f>
        <v>germany</v>
      </c>
      <c r="E180" s="1" t="str">
        <f>IFERROR(__xludf.DUMMYFUNCTION("""COMPUTED_VALUE"""),"DE")</f>
        <v>DE</v>
      </c>
      <c r="F180" s="1"/>
      <c r="G180" s="1" t="str">
        <f>iferror(VLOOKUP(A180,'Business Plan Setup and Accepta'!A:G,6,false),"")</f>
        <v/>
      </c>
      <c r="H180" s="1" t="str">
        <f>iferror(VLOOKUP(A180,'Business Plan Setup and Accepta'!A:G,7,false),"")</f>
        <v/>
      </c>
      <c r="I180" s="17" t="str">
        <f t="shared" si="3"/>
        <v/>
      </c>
      <c r="J180" s="1" t="str">
        <f>IFERROR(VALUE(SUBSTITUTE(VLOOKUP(A180,'Sales IN Revenues vs Sales targ'!A:G,6,false)," $","")), "")
</f>
        <v/>
      </c>
      <c r="K180" s="1" t="str">
        <f>IFERROR(VALUE(SUBSTITUTE(VLOOKUP(A180,'Sales IN Revenues vs Sales targ'!A:G,7,false)," $","")), "")
</f>
        <v/>
      </c>
      <c r="L180" s="17" t="str">
        <f t="shared" si="4"/>
        <v/>
      </c>
      <c r="M180" s="1">
        <f>value(SUBSTITUTE(IFERROR(VLOOKUP(A180,'Certifications achievements vs '!A:G,6,false),""),"#","")
)</f>
        <v>0</v>
      </c>
      <c r="N180" s="1">
        <f>value(SUBSTITUTE(IFERROR(VLOOKUP(A180,'Certifications achievements vs '!A:G,7,false),""),"#","")
)</f>
        <v>0</v>
      </c>
      <c r="O180" s="17" t="str">
        <f t="shared" si="5"/>
        <v/>
      </c>
      <c r="P180" s="1">
        <f>value(SUBSTITUTE(IFERROR(VLOOKUP(A180,'Communications - Solution Speci'!A:G,6,false),""),"#","")
)</f>
        <v>0</v>
      </c>
      <c r="Q180" s="1">
        <f>value(SUBSTITUTE(IFERROR(VLOOKUP(A180,'Communications - Solution Speci'!A:G,7,false),""),"#","")
)</f>
        <v>0</v>
      </c>
      <c r="R180" s="17" t="str">
        <f t="shared" si="6"/>
        <v/>
      </c>
      <c r="S180" s="1">
        <f>value(SUBSTITUTE(IFERROR(VLOOKUP(A180,'Networking - Solution Specializ'!A:G,6,false),""),"#","")
)</f>
        <v>0</v>
      </c>
      <c r="T180" s="1">
        <f>value(SUBSTITUTE(IFERROR(VLOOKUP(A180,'Networking - Solution Specializ'!A:G,7,false),""),"#","")
)</f>
        <v>0</v>
      </c>
      <c r="U180" s="17" t="str">
        <f t="shared" si="7"/>
        <v/>
      </c>
      <c r="V180" s="1" t="str">
        <f>iferror(vlookup(A180,'Marketing Plan (extract summary'!A:G,6,false),"")</f>
        <v/>
      </c>
      <c r="W180" s="1" t="str">
        <f>iferror(vlookup(A180,'Marketing Plan (extract summary'!A:G,7,false),"")</f>
        <v/>
      </c>
      <c r="X180" s="17" t="str">
        <f t="shared" si="8"/>
        <v/>
      </c>
      <c r="Y180" s="1">
        <f>value(IFERROR(SUBSTITUTE(SUBSTITUTE(VLOOKUP(A180,'Quarterly Pipeline vs Target Pi'!A:G,6,false)," $","")," €",""), "")
)</f>
        <v>0</v>
      </c>
      <c r="Z180" s="1">
        <f>value(IFERROR(SUBSTITUTE(SUBSTITUTE(VLOOKUP(A180,'Quarterly Pipeline vs Target Pi'!A:G,7,false)," $","")," €",""), "")
)</f>
        <v>0</v>
      </c>
      <c r="AA180" s="17" t="str">
        <f t="shared" si="9"/>
        <v/>
      </c>
      <c r="AB180" s="1">
        <f>value(IFERROR(SUBSTITUTE(SUBSTITUTE(VLOOKUP($A180,'Quarterly Pipeline vs Target Pi'!$A:$V,11,false)," $","")," €",""), "")
)</f>
        <v>0</v>
      </c>
      <c r="AC180" s="1">
        <f>value(IFERROR(SUBSTITUTE(SUBSTITUTE(VLOOKUP($A180,'Quarterly Pipeline vs Target Pi'!$A:$V,12,false)," $","")," €",""), "")
)</f>
        <v>0</v>
      </c>
      <c r="AD180" s="17" t="str">
        <f t="shared" si="10"/>
        <v/>
      </c>
      <c r="AE180" s="1">
        <f>value(IFERROR(SUBSTITUTE(SUBSTITUTE(VLOOKUP($A180,'Quarterly Pipeline vs Target Pi'!$A:$V,16,false)," $","")," €",""), "")
)</f>
        <v>0</v>
      </c>
      <c r="AF180" s="1">
        <f>value(IFERROR(SUBSTITUTE(SUBSTITUTE(VLOOKUP($A180,'Quarterly Pipeline vs Target Pi'!$A:$V,17,false)," $","")," €",""), "")
)</f>
        <v>0</v>
      </c>
      <c r="AG180" s="17" t="str">
        <f t="shared" si="11"/>
        <v/>
      </c>
      <c r="AH180" s="1">
        <f>value(IFERROR(SUBSTITUTE(SUBSTITUTE(VLOOKUP($A180,'Quarterly Pipeline vs Target Pi'!$A:$V,21,false)," $","")," €",""), "")
)</f>
        <v>0</v>
      </c>
      <c r="AI180" s="1">
        <f>value(IFERROR(SUBSTITUTE(SUBSTITUTE(VLOOKUP($A180,'Quarterly Pipeline vs Target Pi'!$A:$V,22,false)," $","")," €",""), "")
)</f>
        <v>0</v>
      </c>
      <c r="AJ180" s="17" t="str">
        <f t="shared" si="12"/>
        <v/>
      </c>
      <c r="AK180" s="1">
        <f t="shared" ref="AK180:AL180" si="373">sum(Y180,AB180,AE180,AH180)</f>
        <v>0</v>
      </c>
      <c r="AL180" s="1">
        <f t="shared" si="373"/>
        <v>0</v>
      </c>
      <c r="AM180" s="17" t="str">
        <f t="shared" si="14"/>
        <v/>
      </c>
      <c r="AN180" s="1">
        <f>value(IFERROR(SUBSTITUTE(SUBSTITUTE(VLOOKUP($A180,'Quarterly Pipeline vs Target Pi'!$A:$AP,26,false)," $","")," €",""), "")
)</f>
        <v>0</v>
      </c>
      <c r="AO180" s="1">
        <f>value(IFERROR(SUBSTITUTE(SUBSTITUTE(VLOOKUP($A180,'Quarterly Pipeline vs Target Pi'!$A:$AP,27,false)," $","")," €",""), "")
)</f>
        <v>0</v>
      </c>
      <c r="AP180" s="17" t="str">
        <f t="shared" si="15"/>
        <v/>
      </c>
      <c r="AQ180" s="1">
        <f>value(IFERROR(SUBSTITUTE(SUBSTITUTE(VLOOKUP($A180,'Quarterly Pipeline vs Target Pi'!$A:$AP,31,false)," $","")," €",""), "")
)</f>
        <v>0</v>
      </c>
      <c r="AR180" s="1">
        <f>value(IFERROR(SUBSTITUTE(SUBSTITUTE(VLOOKUP($A180,'Quarterly Pipeline vs Target Pi'!$A:$AP,32,false)," $","")," €",""), "")
)</f>
        <v>0</v>
      </c>
      <c r="AS180" s="17" t="str">
        <f t="shared" si="16"/>
        <v/>
      </c>
      <c r="AT180" s="1">
        <f>value(IFERROR(SUBSTITUTE(SUBSTITUTE(VLOOKUP($A180,'Quarterly Pipeline vs Target Pi'!$A:$AP,36,false)," $","")," €",""), "")
)</f>
        <v>0</v>
      </c>
      <c r="AU180" s="1">
        <f>value(IFERROR(SUBSTITUTE(SUBSTITUTE(VLOOKUP($A180,'Quarterly Pipeline vs Target Pi'!$A:$AP,37,false)," $","")," €",""), "")
)</f>
        <v>0</v>
      </c>
      <c r="AV180" s="17" t="str">
        <f t="shared" si="17"/>
        <v/>
      </c>
      <c r="AW180" s="1">
        <f>value(IFERROR(SUBSTITUTE(SUBSTITUTE(VLOOKUP($A180,'Quarterly Pipeline vs Target Pi'!$A:$AP,41,false)," $","")," €",""), "")
)</f>
        <v>0</v>
      </c>
      <c r="AX180" s="1">
        <f>value(IFERROR(SUBSTITUTE(SUBSTITUTE(VLOOKUP($A180,'Quarterly Pipeline vs Target Pi'!$A:$AP,42,false)," $","")," €",""), "")
)</f>
        <v>0</v>
      </c>
      <c r="AY180" s="17" t="str">
        <f t="shared" si="18"/>
        <v/>
      </c>
      <c r="AZ180" s="1">
        <f t="shared" ref="AZ180:BA180" si="374">sum(AN180,AQ180,AT180,AW180)</f>
        <v>0</v>
      </c>
      <c r="BA180" s="1">
        <f t="shared" si="374"/>
        <v>0</v>
      </c>
      <c r="BB180" s="17" t="str">
        <f t="shared" si="20"/>
        <v/>
      </c>
    </row>
    <row r="181">
      <c r="A181" s="1" t="str">
        <f>IFERROR(__xludf.DUMMYFUNCTION("""COMPUTED_VALUE"""),"63ea6e9552ad6968805cee61")</f>
        <v>63ea6e9552ad6968805cee61</v>
      </c>
      <c r="B181" s="1" t="str">
        <f>IFERROR(__xludf.DUMMYFUNCTION("""COMPUTED_VALUE"""),"fm best GmbH &amp; Co. KG")</f>
        <v>fm best GmbH &amp; Co. KG</v>
      </c>
      <c r="C181" s="1" t="str">
        <f>IFERROR(__xludf.DUMMYFUNCTION("""COMPUTED_VALUE"""),"andreas.grossheimann@al-enterprise.com, andre.ramm@al-enterprise.com")</f>
        <v>andreas.grossheimann@al-enterprise.com, andre.ramm@al-enterprise.com</v>
      </c>
      <c r="D181" s="1" t="str">
        <f>IFERROR(__xludf.DUMMYFUNCTION("""COMPUTED_VALUE"""),"germany")</f>
        <v>germany</v>
      </c>
      <c r="E181" s="1" t="str">
        <f>IFERROR(__xludf.DUMMYFUNCTION("""COMPUTED_VALUE"""),"DE")</f>
        <v>DE</v>
      </c>
      <c r="F181" s="1"/>
      <c r="G181" s="1" t="str">
        <f>iferror(VLOOKUP(A181,'Business Plan Setup and Accepta'!A:G,6,false),"")</f>
        <v/>
      </c>
      <c r="H181" s="1" t="str">
        <f>iferror(VLOOKUP(A181,'Business Plan Setup and Accepta'!A:G,7,false),"")</f>
        <v/>
      </c>
      <c r="I181" s="17" t="str">
        <f t="shared" si="3"/>
        <v/>
      </c>
      <c r="J181" s="1" t="str">
        <f>IFERROR(VALUE(SUBSTITUTE(VLOOKUP(A181,'Sales IN Revenues vs Sales targ'!A:G,6,false)," $","")), "")
</f>
        <v/>
      </c>
      <c r="K181" s="1" t="str">
        <f>IFERROR(VALUE(SUBSTITUTE(VLOOKUP(A181,'Sales IN Revenues vs Sales targ'!A:G,7,false)," $","")), "")
</f>
        <v/>
      </c>
      <c r="L181" s="17" t="str">
        <f t="shared" si="4"/>
        <v/>
      </c>
      <c r="M181" s="1">
        <f>value(SUBSTITUTE(IFERROR(VLOOKUP(A181,'Certifications achievements vs '!A:G,6,false),""),"#","")
)</f>
        <v>0</v>
      </c>
      <c r="N181" s="1">
        <f>value(SUBSTITUTE(IFERROR(VLOOKUP(A181,'Certifications achievements vs '!A:G,7,false),""),"#","")
)</f>
        <v>0</v>
      </c>
      <c r="O181" s="17" t="str">
        <f t="shared" si="5"/>
        <v/>
      </c>
      <c r="P181" s="1">
        <f>value(SUBSTITUTE(IFERROR(VLOOKUP(A181,'Communications - Solution Speci'!A:G,6,false),""),"#","")
)</f>
        <v>0</v>
      </c>
      <c r="Q181" s="1">
        <f>value(SUBSTITUTE(IFERROR(VLOOKUP(A181,'Communications - Solution Speci'!A:G,7,false),""),"#","")
)</f>
        <v>0</v>
      </c>
      <c r="R181" s="17" t="str">
        <f t="shared" si="6"/>
        <v/>
      </c>
      <c r="S181" s="1">
        <f>value(SUBSTITUTE(IFERROR(VLOOKUP(A181,'Networking - Solution Specializ'!A:G,6,false),""),"#","")
)</f>
        <v>0</v>
      </c>
      <c r="T181" s="1">
        <f>value(SUBSTITUTE(IFERROR(VLOOKUP(A181,'Networking - Solution Specializ'!A:G,7,false),""),"#","")
)</f>
        <v>0</v>
      </c>
      <c r="U181" s="17" t="str">
        <f t="shared" si="7"/>
        <v/>
      </c>
      <c r="V181" s="1" t="str">
        <f>iferror(vlookup(A181,'Marketing Plan (extract summary'!A:G,6,false),"")</f>
        <v/>
      </c>
      <c r="W181" s="1" t="str">
        <f>iferror(vlookup(A181,'Marketing Plan (extract summary'!A:G,7,false),"")</f>
        <v/>
      </c>
      <c r="X181" s="17" t="str">
        <f t="shared" si="8"/>
        <v/>
      </c>
      <c r="Y181" s="1">
        <f>value(IFERROR(SUBSTITUTE(SUBSTITUTE(VLOOKUP(A181,'Quarterly Pipeline vs Target Pi'!A:G,6,false)," $","")," €",""), "")
)</f>
        <v>0</v>
      </c>
      <c r="Z181" s="1">
        <f>value(IFERROR(SUBSTITUTE(SUBSTITUTE(VLOOKUP(A181,'Quarterly Pipeline vs Target Pi'!A:G,7,false)," $","")," €",""), "")
)</f>
        <v>0</v>
      </c>
      <c r="AA181" s="17" t="str">
        <f t="shared" si="9"/>
        <v/>
      </c>
      <c r="AB181" s="1">
        <f>value(IFERROR(SUBSTITUTE(SUBSTITUTE(VLOOKUP($A181,'Quarterly Pipeline vs Target Pi'!$A:$V,11,false)," $","")," €",""), "")
)</f>
        <v>0</v>
      </c>
      <c r="AC181" s="1">
        <f>value(IFERROR(SUBSTITUTE(SUBSTITUTE(VLOOKUP($A181,'Quarterly Pipeline vs Target Pi'!$A:$V,12,false)," $","")," €",""), "")
)</f>
        <v>0</v>
      </c>
      <c r="AD181" s="17" t="str">
        <f t="shared" si="10"/>
        <v/>
      </c>
      <c r="AE181" s="1">
        <f>value(IFERROR(SUBSTITUTE(SUBSTITUTE(VLOOKUP($A181,'Quarterly Pipeline vs Target Pi'!$A:$V,16,false)," $","")," €",""), "")
)</f>
        <v>0</v>
      </c>
      <c r="AF181" s="1">
        <f>value(IFERROR(SUBSTITUTE(SUBSTITUTE(VLOOKUP($A181,'Quarterly Pipeline vs Target Pi'!$A:$V,17,false)," $","")," €",""), "")
)</f>
        <v>0</v>
      </c>
      <c r="AG181" s="17" t="str">
        <f t="shared" si="11"/>
        <v/>
      </c>
      <c r="AH181" s="1">
        <f>value(IFERROR(SUBSTITUTE(SUBSTITUTE(VLOOKUP($A181,'Quarterly Pipeline vs Target Pi'!$A:$V,21,false)," $","")," €",""), "")
)</f>
        <v>0</v>
      </c>
      <c r="AI181" s="1">
        <f>value(IFERROR(SUBSTITUTE(SUBSTITUTE(VLOOKUP($A181,'Quarterly Pipeline vs Target Pi'!$A:$V,22,false)," $","")," €",""), "")
)</f>
        <v>0</v>
      </c>
      <c r="AJ181" s="17" t="str">
        <f t="shared" si="12"/>
        <v/>
      </c>
      <c r="AK181" s="1">
        <f t="shared" ref="AK181:AL181" si="375">sum(Y181,AB181,AE181,AH181)</f>
        <v>0</v>
      </c>
      <c r="AL181" s="1">
        <f t="shared" si="375"/>
        <v>0</v>
      </c>
      <c r="AM181" s="17" t="str">
        <f t="shared" si="14"/>
        <v/>
      </c>
      <c r="AN181" s="1">
        <f>value(IFERROR(SUBSTITUTE(SUBSTITUTE(VLOOKUP($A181,'Quarterly Pipeline vs Target Pi'!$A:$AP,26,false)," $","")," €",""), "")
)</f>
        <v>0</v>
      </c>
      <c r="AO181" s="1">
        <f>value(IFERROR(SUBSTITUTE(SUBSTITUTE(VLOOKUP($A181,'Quarterly Pipeline vs Target Pi'!$A:$AP,27,false)," $","")," €",""), "")
)</f>
        <v>0</v>
      </c>
      <c r="AP181" s="17" t="str">
        <f t="shared" si="15"/>
        <v/>
      </c>
      <c r="AQ181" s="1">
        <f>value(IFERROR(SUBSTITUTE(SUBSTITUTE(VLOOKUP($A181,'Quarterly Pipeline vs Target Pi'!$A:$AP,31,false)," $","")," €",""), "")
)</f>
        <v>0</v>
      </c>
      <c r="AR181" s="1">
        <f>value(IFERROR(SUBSTITUTE(SUBSTITUTE(VLOOKUP($A181,'Quarterly Pipeline vs Target Pi'!$A:$AP,32,false)," $","")," €",""), "")
)</f>
        <v>0</v>
      </c>
      <c r="AS181" s="17" t="str">
        <f t="shared" si="16"/>
        <v/>
      </c>
      <c r="AT181" s="1">
        <f>value(IFERROR(SUBSTITUTE(SUBSTITUTE(VLOOKUP($A181,'Quarterly Pipeline vs Target Pi'!$A:$AP,36,false)," $","")," €",""), "")
)</f>
        <v>0</v>
      </c>
      <c r="AU181" s="1">
        <f>value(IFERROR(SUBSTITUTE(SUBSTITUTE(VLOOKUP($A181,'Quarterly Pipeline vs Target Pi'!$A:$AP,37,false)," $","")," €",""), "")
)</f>
        <v>0</v>
      </c>
      <c r="AV181" s="17" t="str">
        <f t="shared" si="17"/>
        <v/>
      </c>
      <c r="AW181" s="1">
        <f>value(IFERROR(SUBSTITUTE(SUBSTITUTE(VLOOKUP($A181,'Quarterly Pipeline vs Target Pi'!$A:$AP,41,false)," $","")," €",""), "")
)</f>
        <v>0</v>
      </c>
      <c r="AX181" s="1">
        <f>value(IFERROR(SUBSTITUTE(SUBSTITUTE(VLOOKUP($A181,'Quarterly Pipeline vs Target Pi'!$A:$AP,42,false)," $","")," €",""), "")
)</f>
        <v>0</v>
      </c>
      <c r="AY181" s="17" t="str">
        <f t="shared" si="18"/>
        <v/>
      </c>
      <c r="AZ181" s="1">
        <f t="shared" ref="AZ181:BA181" si="376">sum(AN181,AQ181,AT181,AW181)</f>
        <v>0</v>
      </c>
      <c r="BA181" s="1">
        <f t="shared" si="376"/>
        <v>0</v>
      </c>
      <c r="BB181" s="17" t="str">
        <f t="shared" si="20"/>
        <v/>
      </c>
    </row>
    <row r="182">
      <c r="A182" s="1" t="str">
        <f>IFERROR(__xludf.DUMMYFUNCTION("""COMPUTED_VALUE"""),"633dbdf37d81b978d40bc36f")</f>
        <v>633dbdf37d81b978d40bc36f</v>
      </c>
      <c r="B182" s="1" t="str">
        <f>IFERROR(__xludf.DUMMYFUNCTION("""COMPUTED_VALUE"""),"Fornax GmbH")</f>
        <v>Fornax GmbH</v>
      </c>
      <c r="C182" s="1" t="str">
        <f>IFERROR(__xludf.DUMMYFUNCTION("""COMPUTED_VALUE"""),"rui.silva@al-enterprise.com, andreas.grossheimann@al-enterprise.com, katrin.pfeiffer@al-enterprise.com, sibylle.klopfer@al-enterprise.com, igor.leko@al-enterprise.com")</f>
        <v>rui.silva@al-enterprise.com, andreas.grossheimann@al-enterprise.com, katrin.pfeiffer@al-enterprise.com, sibylle.klopfer@al-enterprise.com, igor.leko@al-enterprise.com</v>
      </c>
      <c r="D182" s="1" t="str">
        <f>IFERROR(__xludf.DUMMYFUNCTION("""COMPUTED_VALUE"""),"germany")</f>
        <v>germany</v>
      </c>
      <c r="E182" s="1" t="str">
        <f>IFERROR(__xludf.DUMMYFUNCTION("""COMPUTED_VALUE"""),"DE")</f>
        <v>DE</v>
      </c>
      <c r="F182" s="1" t="str">
        <f>IFERROR(__xludf.DUMMYFUNCTION("""COMPUTED_VALUE"""),"expert_200")</f>
        <v>expert_200</v>
      </c>
      <c r="G182" s="1">
        <f>iferror(VLOOKUP(A182,'Business Plan Setup and Accepta'!A:G,6,false),"")</f>
        <v>0</v>
      </c>
      <c r="H182" s="1">
        <f>iferror(VLOOKUP(A182,'Business Plan Setup and Accepta'!A:G,7,false),"")</f>
        <v>1</v>
      </c>
      <c r="I182" s="17">
        <f t="shared" si="3"/>
        <v>0</v>
      </c>
      <c r="J182" s="1">
        <f>IFERROR(VALUE(SUBSTITUTE(VLOOKUP(A182,'Sales IN Revenues vs Sales targ'!A:G,6,false)," $","")), "")
</f>
        <v>35.8</v>
      </c>
      <c r="K182" s="1">
        <f>IFERROR(VALUE(SUBSTITUTE(VLOOKUP(A182,'Sales IN Revenues vs Sales targ'!A:G,7,false)," $","")), "")
</f>
        <v>200</v>
      </c>
      <c r="L182" s="17">
        <f t="shared" si="4"/>
        <v>0.179</v>
      </c>
      <c r="M182" s="1">
        <f>value(SUBSTITUTE(IFERROR(VLOOKUP(A182,'Certifications achievements vs '!A:G,6,false),""),"#","")
)</f>
        <v>10</v>
      </c>
      <c r="N182" s="1">
        <f>value(SUBSTITUTE(IFERROR(VLOOKUP(A182,'Certifications achievements vs '!A:G,7,false),""),"#","")
)</f>
        <v>52</v>
      </c>
      <c r="O182" s="17">
        <f t="shared" si="5"/>
        <v>0.1923076923</v>
      </c>
      <c r="P182" s="1">
        <f>value(SUBSTITUTE(IFERROR(VLOOKUP(A182,'Communications - Solution Speci'!A:G,6,false),""),"#","")
)</f>
        <v>0</v>
      </c>
      <c r="Q182" s="1">
        <f>value(SUBSTITUTE(IFERROR(VLOOKUP(A182,'Communications - Solution Speci'!A:G,7,false),""),"#","")
)</f>
        <v>1</v>
      </c>
      <c r="R182" s="17">
        <f t="shared" si="6"/>
        <v>0</v>
      </c>
      <c r="S182" s="1">
        <f>value(SUBSTITUTE(IFERROR(VLOOKUP(A182,'Networking - Solution Specializ'!A:G,6,false),""),"#","")
)</f>
        <v>0</v>
      </c>
      <c r="T182" s="1">
        <f>value(SUBSTITUTE(IFERROR(VLOOKUP(A182,'Networking - Solution Specializ'!A:G,7,false),""),"#","")
)</f>
        <v>1</v>
      </c>
      <c r="U182" s="17">
        <f t="shared" si="7"/>
        <v>0</v>
      </c>
      <c r="V182" s="1">
        <f>iferror(vlookup(A182,'Marketing Plan (extract summary'!A:G,6,false),"")</f>
        <v>0</v>
      </c>
      <c r="W182" s="1">
        <f>iferror(vlookup(A182,'Marketing Plan (extract summary'!A:G,7,false),"")</f>
        <v>1</v>
      </c>
      <c r="X182" s="17">
        <f t="shared" si="8"/>
        <v>0</v>
      </c>
      <c r="Y182" s="1">
        <f>value(IFERROR(SUBSTITUTE(SUBSTITUTE(VLOOKUP(A182,'Quarterly Pipeline vs Target Pi'!A:G,6,false)," $","")," €",""), "")
)</f>
        <v>6.7</v>
      </c>
      <c r="Z182" s="1">
        <f>value(IFERROR(SUBSTITUTE(SUBSTITUTE(VLOOKUP(A182,'Quarterly Pipeline vs Target Pi'!A:G,7,false)," $","")," €",""), "")
)</f>
        <v>0</v>
      </c>
      <c r="AA182" s="17" t="str">
        <f t="shared" si="9"/>
        <v/>
      </c>
      <c r="AB182" s="1">
        <f>value(IFERROR(SUBSTITUTE(SUBSTITUTE(VLOOKUP($A182,'Quarterly Pipeline vs Target Pi'!$A:$V,11,false)," $","")," €",""), "")
)</f>
        <v>6.7</v>
      </c>
      <c r="AC182" s="1">
        <f>value(IFERROR(SUBSTITUTE(SUBSTITUTE(VLOOKUP($A182,'Quarterly Pipeline vs Target Pi'!$A:$V,12,false)," $","")," €",""), "")
)</f>
        <v>47.62</v>
      </c>
      <c r="AD182" s="17">
        <f t="shared" si="10"/>
        <v>0.1406971861</v>
      </c>
      <c r="AE182" s="1">
        <f>value(IFERROR(SUBSTITUTE(SUBSTITUTE(VLOOKUP($A182,'Quarterly Pipeline vs Target Pi'!$A:$V,16,false)," $","")," €",""), "")
)</f>
        <v>15.99</v>
      </c>
      <c r="AF182" s="1">
        <f>value(IFERROR(SUBSTITUTE(SUBSTITUTE(VLOOKUP($A182,'Quarterly Pipeline vs Target Pi'!$A:$V,17,false)," $","")," €",""), "")
)</f>
        <v>71.43</v>
      </c>
      <c r="AG182" s="17">
        <f t="shared" si="11"/>
        <v>0.2238555229</v>
      </c>
      <c r="AH182" s="1">
        <f>value(IFERROR(SUBSTITUTE(SUBSTITUTE(VLOOKUP($A182,'Quarterly Pipeline vs Target Pi'!$A:$V,21,false)," $","")," €",""), "")
)</f>
        <v>10</v>
      </c>
      <c r="AI182" s="1">
        <f>value(IFERROR(SUBSTITUTE(SUBSTITUTE(VLOOKUP($A182,'Quarterly Pipeline vs Target Pi'!$A:$V,22,false)," $","")," €",""), "")
)</f>
        <v>71.43</v>
      </c>
      <c r="AJ182" s="17">
        <f t="shared" si="12"/>
        <v>0.1399972001</v>
      </c>
      <c r="AK182" s="1">
        <f t="shared" ref="AK182:AL182" si="377">sum(Y182,AB182,AE182,AH182)</f>
        <v>39.39</v>
      </c>
      <c r="AL182" s="1">
        <f t="shared" si="377"/>
        <v>190.48</v>
      </c>
      <c r="AM182" s="17">
        <f t="shared" si="14"/>
        <v>0.2067933641</v>
      </c>
      <c r="AN182" s="1">
        <f>value(IFERROR(SUBSTITUTE(SUBSTITUTE(VLOOKUP($A182,'Quarterly Pipeline vs Target Pi'!$A:$AP,26,false)," $","")," €",""), "")
)</f>
        <v>0</v>
      </c>
      <c r="AO182" s="1">
        <f>value(IFERROR(SUBSTITUTE(SUBSTITUTE(VLOOKUP($A182,'Quarterly Pipeline vs Target Pi'!$A:$AP,27,false)," $","")," €",""), "")
)</f>
        <v>0</v>
      </c>
      <c r="AP182" s="17" t="str">
        <f t="shared" si="15"/>
        <v/>
      </c>
      <c r="AQ182" s="1">
        <f>value(IFERROR(SUBSTITUTE(SUBSTITUTE(VLOOKUP($A182,'Quarterly Pipeline vs Target Pi'!$A:$AP,31,false)," $","")," €",""), "")
)</f>
        <v>35</v>
      </c>
      <c r="AR182" s="1">
        <f>value(IFERROR(SUBSTITUTE(SUBSTITUTE(VLOOKUP($A182,'Quarterly Pipeline vs Target Pi'!$A:$AP,32,false)," $","")," €",""), "")
)</f>
        <v>0</v>
      </c>
      <c r="AS182" s="17" t="str">
        <f t="shared" si="16"/>
        <v/>
      </c>
      <c r="AT182" s="1">
        <f>value(IFERROR(SUBSTITUTE(SUBSTITUTE(VLOOKUP($A182,'Quarterly Pipeline vs Target Pi'!$A:$AP,36,false)," $","")," €",""), "")
)</f>
        <v>0</v>
      </c>
      <c r="AU182" s="1">
        <f>value(IFERROR(SUBSTITUTE(SUBSTITUTE(VLOOKUP($A182,'Quarterly Pipeline vs Target Pi'!$A:$AP,37,false)," $","")," €",""), "")
)</f>
        <v>0</v>
      </c>
      <c r="AV182" s="17" t="str">
        <f t="shared" si="17"/>
        <v/>
      </c>
      <c r="AW182" s="1">
        <f>value(IFERROR(SUBSTITUTE(SUBSTITUTE(VLOOKUP($A182,'Quarterly Pipeline vs Target Pi'!$A:$AP,41,false)," $","")," €",""), "")
)</f>
        <v>0</v>
      </c>
      <c r="AX182" s="1">
        <f>value(IFERROR(SUBSTITUTE(SUBSTITUTE(VLOOKUP($A182,'Quarterly Pipeline vs Target Pi'!$A:$AP,42,false)," $","")," €",""), "")
)</f>
        <v>0</v>
      </c>
      <c r="AY182" s="17" t="str">
        <f t="shared" si="18"/>
        <v/>
      </c>
      <c r="AZ182" s="1">
        <f t="shared" ref="AZ182:BA182" si="378">sum(AN182,AQ182,AT182,AW182)</f>
        <v>35</v>
      </c>
      <c r="BA182" s="1">
        <f t="shared" si="378"/>
        <v>0</v>
      </c>
      <c r="BB182" s="17" t="str">
        <f t="shared" si="20"/>
        <v/>
      </c>
    </row>
    <row r="183">
      <c r="A183" s="1" t="str">
        <f>IFERROR(__xludf.DUMMYFUNCTION("""COMPUTED_VALUE"""),"63fcbb83a107c871cf564fe5")</f>
        <v>63fcbb83a107c871cf564fe5</v>
      </c>
      <c r="B183" s="1" t="str">
        <f>IFERROR(__xludf.DUMMYFUNCTION("""COMPUTED_VALUE"""),"Fractalia IT Systems")</f>
        <v>Fractalia IT Systems</v>
      </c>
      <c r="C183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183" s="1" t="str">
        <f>IFERROR(__xludf.DUMMYFUNCTION("""COMPUTED_VALUE"""),"emea")</f>
        <v>emea</v>
      </c>
      <c r="E183" s="1" t="str">
        <f>IFERROR(__xludf.DUMMYFUNCTION("""COMPUTED_VALUE"""),"ES")</f>
        <v>ES</v>
      </c>
      <c r="F183" s="1"/>
      <c r="G183" s="1" t="str">
        <f>iferror(VLOOKUP(A183,'Business Plan Setup and Accepta'!A:G,6,false),"")</f>
        <v/>
      </c>
      <c r="H183" s="1" t="str">
        <f>iferror(VLOOKUP(A183,'Business Plan Setup and Accepta'!A:G,7,false),"")</f>
        <v/>
      </c>
      <c r="I183" s="17" t="str">
        <f t="shared" si="3"/>
        <v/>
      </c>
      <c r="J183" s="1" t="str">
        <f>IFERROR(VALUE(SUBSTITUTE(VLOOKUP(A183,'Sales IN Revenues vs Sales targ'!A:G,6,false)," $","")), "")
</f>
        <v/>
      </c>
      <c r="K183" s="1" t="str">
        <f>IFERROR(VALUE(SUBSTITUTE(VLOOKUP(A183,'Sales IN Revenues vs Sales targ'!A:G,7,false)," $","")), "")
</f>
        <v/>
      </c>
      <c r="L183" s="17" t="str">
        <f t="shared" si="4"/>
        <v/>
      </c>
      <c r="M183" s="1">
        <f>value(SUBSTITUTE(IFERROR(VLOOKUP(A183,'Certifications achievements vs '!A:G,6,false),""),"#","")
)</f>
        <v>0</v>
      </c>
      <c r="N183" s="1">
        <f>value(SUBSTITUTE(IFERROR(VLOOKUP(A183,'Certifications achievements vs '!A:G,7,false),""),"#","")
)</f>
        <v>0</v>
      </c>
      <c r="O183" s="17" t="str">
        <f t="shared" si="5"/>
        <v/>
      </c>
      <c r="P183" s="1">
        <f>value(SUBSTITUTE(IFERROR(VLOOKUP(A183,'Communications - Solution Speci'!A:G,6,false),""),"#","")
)</f>
        <v>0</v>
      </c>
      <c r="Q183" s="1">
        <f>value(SUBSTITUTE(IFERROR(VLOOKUP(A183,'Communications - Solution Speci'!A:G,7,false),""),"#","")
)</f>
        <v>0</v>
      </c>
      <c r="R183" s="17" t="str">
        <f t="shared" si="6"/>
        <v/>
      </c>
      <c r="S183" s="1">
        <f>value(SUBSTITUTE(IFERROR(VLOOKUP(A183,'Networking - Solution Specializ'!A:G,6,false),""),"#","")
)</f>
        <v>0</v>
      </c>
      <c r="T183" s="1">
        <f>value(SUBSTITUTE(IFERROR(VLOOKUP(A183,'Networking - Solution Specializ'!A:G,7,false),""),"#","")
)</f>
        <v>0</v>
      </c>
      <c r="U183" s="17" t="str">
        <f t="shared" si="7"/>
        <v/>
      </c>
      <c r="V183" s="1" t="str">
        <f>iferror(vlookup(A183,'Marketing Plan (extract summary'!A:G,6,false),"")</f>
        <v/>
      </c>
      <c r="W183" s="1" t="str">
        <f>iferror(vlookup(A183,'Marketing Plan (extract summary'!A:G,7,false),"")</f>
        <v/>
      </c>
      <c r="X183" s="17" t="str">
        <f t="shared" si="8"/>
        <v/>
      </c>
      <c r="Y183" s="1">
        <f>value(IFERROR(SUBSTITUTE(SUBSTITUTE(VLOOKUP(A183,'Quarterly Pipeline vs Target Pi'!A:G,6,false)," $","")," €",""), "")
)</f>
        <v>0</v>
      </c>
      <c r="Z183" s="1">
        <f>value(IFERROR(SUBSTITUTE(SUBSTITUTE(VLOOKUP(A183,'Quarterly Pipeline vs Target Pi'!A:G,7,false)," $","")," €",""), "")
)</f>
        <v>0</v>
      </c>
      <c r="AA183" s="17" t="str">
        <f t="shared" si="9"/>
        <v/>
      </c>
      <c r="AB183" s="1">
        <f>value(IFERROR(SUBSTITUTE(SUBSTITUTE(VLOOKUP($A183,'Quarterly Pipeline vs Target Pi'!$A:$V,11,false)," $","")," €",""), "")
)</f>
        <v>0</v>
      </c>
      <c r="AC183" s="1">
        <f>value(IFERROR(SUBSTITUTE(SUBSTITUTE(VLOOKUP($A183,'Quarterly Pipeline vs Target Pi'!$A:$V,12,false)," $","")," €",""), "")
)</f>
        <v>0</v>
      </c>
      <c r="AD183" s="17" t="str">
        <f t="shared" si="10"/>
        <v/>
      </c>
      <c r="AE183" s="1">
        <f>value(IFERROR(SUBSTITUTE(SUBSTITUTE(VLOOKUP($A183,'Quarterly Pipeline vs Target Pi'!$A:$V,16,false)," $","")," €",""), "")
)</f>
        <v>0</v>
      </c>
      <c r="AF183" s="1">
        <f>value(IFERROR(SUBSTITUTE(SUBSTITUTE(VLOOKUP($A183,'Quarterly Pipeline vs Target Pi'!$A:$V,17,false)," $","")," €",""), "")
)</f>
        <v>0</v>
      </c>
      <c r="AG183" s="17" t="str">
        <f t="shared" si="11"/>
        <v/>
      </c>
      <c r="AH183" s="1">
        <f>value(IFERROR(SUBSTITUTE(SUBSTITUTE(VLOOKUP($A183,'Quarterly Pipeline vs Target Pi'!$A:$V,21,false)," $","")," €",""), "")
)</f>
        <v>0</v>
      </c>
      <c r="AI183" s="1">
        <f>value(IFERROR(SUBSTITUTE(SUBSTITUTE(VLOOKUP($A183,'Quarterly Pipeline vs Target Pi'!$A:$V,22,false)," $","")," €",""), "")
)</f>
        <v>0</v>
      </c>
      <c r="AJ183" s="17" t="str">
        <f t="shared" si="12"/>
        <v/>
      </c>
      <c r="AK183" s="1">
        <f t="shared" ref="AK183:AL183" si="379">sum(Y183,AB183,AE183,AH183)</f>
        <v>0</v>
      </c>
      <c r="AL183" s="1">
        <f t="shared" si="379"/>
        <v>0</v>
      </c>
      <c r="AM183" s="17" t="str">
        <f t="shared" si="14"/>
        <v/>
      </c>
      <c r="AN183" s="1">
        <f>value(IFERROR(SUBSTITUTE(SUBSTITUTE(VLOOKUP($A183,'Quarterly Pipeline vs Target Pi'!$A:$AP,26,false)," $","")," €",""), "")
)</f>
        <v>0</v>
      </c>
      <c r="AO183" s="1">
        <f>value(IFERROR(SUBSTITUTE(SUBSTITUTE(VLOOKUP($A183,'Quarterly Pipeline vs Target Pi'!$A:$AP,27,false)," $","")," €",""), "")
)</f>
        <v>0</v>
      </c>
      <c r="AP183" s="17" t="str">
        <f t="shared" si="15"/>
        <v/>
      </c>
      <c r="AQ183" s="1">
        <f>value(IFERROR(SUBSTITUTE(SUBSTITUTE(VLOOKUP($A183,'Quarterly Pipeline vs Target Pi'!$A:$AP,31,false)," $","")," €",""), "")
)</f>
        <v>0</v>
      </c>
      <c r="AR183" s="1">
        <f>value(IFERROR(SUBSTITUTE(SUBSTITUTE(VLOOKUP($A183,'Quarterly Pipeline vs Target Pi'!$A:$AP,32,false)," $","")," €",""), "")
)</f>
        <v>0</v>
      </c>
      <c r="AS183" s="17" t="str">
        <f t="shared" si="16"/>
        <v/>
      </c>
      <c r="AT183" s="1">
        <f>value(IFERROR(SUBSTITUTE(SUBSTITUTE(VLOOKUP($A183,'Quarterly Pipeline vs Target Pi'!$A:$AP,36,false)," $","")," €",""), "")
)</f>
        <v>0</v>
      </c>
      <c r="AU183" s="1">
        <f>value(IFERROR(SUBSTITUTE(SUBSTITUTE(VLOOKUP($A183,'Quarterly Pipeline vs Target Pi'!$A:$AP,37,false)," $","")," €",""), "")
)</f>
        <v>0</v>
      </c>
      <c r="AV183" s="17" t="str">
        <f t="shared" si="17"/>
        <v/>
      </c>
      <c r="AW183" s="1">
        <f>value(IFERROR(SUBSTITUTE(SUBSTITUTE(VLOOKUP($A183,'Quarterly Pipeline vs Target Pi'!$A:$AP,41,false)," $","")," €",""), "")
)</f>
        <v>0</v>
      </c>
      <c r="AX183" s="1">
        <f>value(IFERROR(SUBSTITUTE(SUBSTITUTE(VLOOKUP($A183,'Quarterly Pipeline vs Target Pi'!$A:$AP,42,false)," $","")," €",""), "")
)</f>
        <v>0</v>
      </c>
      <c r="AY183" s="17" t="str">
        <f t="shared" si="18"/>
        <v/>
      </c>
      <c r="AZ183" s="1">
        <f t="shared" ref="AZ183:BA183" si="380">sum(AN183,AQ183,AT183,AW183)</f>
        <v>0</v>
      </c>
      <c r="BA183" s="1">
        <f t="shared" si="380"/>
        <v>0</v>
      </c>
      <c r="BB183" s="17" t="str">
        <f t="shared" si="20"/>
        <v/>
      </c>
    </row>
    <row r="184">
      <c r="A184" s="1" t="str">
        <f>IFERROR(__xludf.DUMMYFUNCTION("""COMPUTED_VALUE"""),"63ea6e9652ad6968805ceeed")</f>
        <v>63ea6e9652ad6968805ceeed</v>
      </c>
      <c r="B184" s="1" t="str">
        <f>IFERROR(__xludf.DUMMYFUNCTION("""COMPUTED_VALUE"""),"Frank &amp; Wagner IT UG")</f>
        <v>Frank &amp; Wagner IT UG</v>
      </c>
      <c r="C184" s="1" t="str">
        <f>IFERROR(__xludf.DUMMYFUNCTION("""COMPUTED_VALUE"""),"andreas.grossheimann@al-enterprise.com, andre.ramm@al-enterprise.com")</f>
        <v>andreas.grossheimann@al-enterprise.com, andre.ramm@al-enterprise.com</v>
      </c>
      <c r="D184" s="1" t="str">
        <f>IFERROR(__xludf.DUMMYFUNCTION("""COMPUTED_VALUE"""),"germany")</f>
        <v>germany</v>
      </c>
      <c r="E184" s="1" t="str">
        <f>IFERROR(__xludf.DUMMYFUNCTION("""COMPUTED_VALUE"""),"DE")</f>
        <v>DE</v>
      </c>
      <c r="F184" s="1"/>
      <c r="G184" s="1" t="str">
        <f>iferror(VLOOKUP(A184,'Business Plan Setup and Accepta'!A:G,6,false),"")</f>
        <v/>
      </c>
      <c r="H184" s="1" t="str">
        <f>iferror(VLOOKUP(A184,'Business Plan Setup and Accepta'!A:G,7,false),"")</f>
        <v/>
      </c>
      <c r="I184" s="17" t="str">
        <f t="shared" si="3"/>
        <v/>
      </c>
      <c r="J184" s="1" t="str">
        <f>IFERROR(VALUE(SUBSTITUTE(VLOOKUP(A184,'Sales IN Revenues vs Sales targ'!A:G,6,false)," $","")), "")
</f>
        <v/>
      </c>
      <c r="K184" s="1" t="str">
        <f>IFERROR(VALUE(SUBSTITUTE(VLOOKUP(A184,'Sales IN Revenues vs Sales targ'!A:G,7,false)," $","")), "")
</f>
        <v/>
      </c>
      <c r="L184" s="17" t="str">
        <f t="shared" si="4"/>
        <v/>
      </c>
      <c r="M184" s="1">
        <f>value(SUBSTITUTE(IFERROR(VLOOKUP(A184,'Certifications achievements vs '!A:G,6,false),""),"#","")
)</f>
        <v>0</v>
      </c>
      <c r="N184" s="1">
        <f>value(SUBSTITUTE(IFERROR(VLOOKUP(A184,'Certifications achievements vs '!A:G,7,false),""),"#","")
)</f>
        <v>0</v>
      </c>
      <c r="O184" s="17" t="str">
        <f t="shared" si="5"/>
        <v/>
      </c>
      <c r="P184" s="1">
        <f>value(SUBSTITUTE(IFERROR(VLOOKUP(A184,'Communications - Solution Speci'!A:G,6,false),""),"#","")
)</f>
        <v>0</v>
      </c>
      <c r="Q184" s="1">
        <f>value(SUBSTITUTE(IFERROR(VLOOKUP(A184,'Communications - Solution Speci'!A:G,7,false),""),"#","")
)</f>
        <v>0</v>
      </c>
      <c r="R184" s="17" t="str">
        <f t="shared" si="6"/>
        <v/>
      </c>
      <c r="S184" s="1">
        <f>value(SUBSTITUTE(IFERROR(VLOOKUP(A184,'Networking - Solution Specializ'!A:G,6,false),""),"#","")
)</f>
        <v>0</v>
      </c>
      <c r="T184" s="1">
        <f>value(SUBSTITUTE(IFERROR(VLOOKUP(A184,'Networking - Solution Specializ'!A:G,7,false),""),"#","")
)</f>
        <v>0</v>
      </c>
      <c r="U184" s="17" t="str">
        <f t="shared" si="7"/>
        <v/>
      </c>
      <c r="V184" s="1" t="str">
        <f>iferror(vlookup(A184,'Marketing Plan (extract summary'!A:G,6,false),"")</f>
        <v/>
      </c>
      <c r="W184" s="1" t="str">
        <f>iferror(vlookup(A184,'Marketing Plan (extract summary'!A:G,7,false),"")</f>
        <v/>
      </c>
      <c r="X184" s="17" t="str">
        <f t="shared" si="8"/>
        <v/>
      </c>
      <c r="Y184" s="1">
        <f>value(IFERROR(SUBSTITUTE(SUBSTITUTE(VLOOKUP(A184,'Quarterly Pipeline vs Target Pi'!A:G,6,false)," $","")," €",""), "")
)</f>
        <v>0</v>
      </c>
      <c r="Z184" s="1">
        <f>value(IFERROR(SUBSTITUTE(SUBSTITUTE(VLOOKUP(A184,'Quarterly Pipeline vs Target Pi'!A:G,7,false)," $","")," €",""), "")
)</f>
        <v>0</v>
      </c>
      <c r="AA184" s="17" t="str">
        <f t="shared" si="9"/>
        <v/>
      </c>
      <c r="AB184" s="1">
        <f>value(IFERROR(SUBSTITUTE(SUBSTITUTE(VLOOKUP($A184,'Quarterly Pipeline vs Target Pi'!$A:$V,11,false)," $","")," €",""), "")
)</f>
        <v>0</v>
      </c>
      <c r="AC184" s="1">
        <f>value(IFERROR(SUBSTITUTE(SUBSTITUTE(VLOOKUP($A184,'Quarterly Pipeline vs Target Pi'!$A:$V,12,false)," $","")," €",""), "")
)</f>
        <v>0</v>
      </c>
      <c r="AD184" s="17" t="str">
        <f t="shared" si="10"/>
        <v/>
      </c>
      <c r="AE184" s="1">
        <f>value(IFERROR(SUBSTITUTE(SUBSTITUTE(VLOOKUP($A184,'Quarterly Pipeline vs Target Pi'!$A:$V,16,false)," $","")," €",""), "")
)</f>
        <v>0</v>
      </c>
      <c r="AF184" s="1">
        <f>value(IFERROR(SUBSTITUTE(SUBSTITUTE(VLOOKUP($A184,'Quarterly Pipeline vs Target Pi'!$A:$V,17,false)," $","")," €",""), "")
)</f>
        <v>0</v>
      </c>
      <c r="AG184" s="17" t="str">
        <f t="shared" si="11"/>
        <v/>
      </c>
      <c r="AH184" s="1">
        <f>value(IFERROR(SUBSTITUTE(SUBSTITUTE(VLOOKUP($A184,'Quarterly Pipeline vs Target Pi'!$A:$V,21,false)," $","")," €",""), "")
)</f>
        <v>0</v>
      </c>
      <c r="AI184" s="1">
        <f>value(IFERROR(SUBSTITUTE(SUBSTITUTE(VLOOKUP($A184,'Quarterly Pipeline vs Target Pi'!$A:$V,22,false)," $","")," €",""), "")
)</f>
        <v>0</v>
      </c>
      <c r="AJ184" s="17" t="str">
        <f t="shared" si="12"/>
        <v/>
      </c>
      <c r="AK184" s="1">
        <f t="shared" ref="AK184:AL184" si="381">sum(Y184,AB184,AE184,AH184)</f>
        <v>0</v>
      </c>
      <c r="AL184" s="1">
        <f t="shared" si="381"/>
        <v>0</v>
      </c>
      <c r="AM184" s="17" t="str">
        <f t="shared" si="14"/>
        <v/>
      </c>
      <c r="AN184" s="1">
        <f>value(IFERROR(SUBSTITUTE(SUBSTITUTE(VLOOKUP($A184,'Quarterly Pipeline vs Target Pi'!$A:$AP,26,false)," $","")," €",""), "")
)</f>
        <v>0</v>
      </c>
      <c r="AO184" s="1">
        <f>value(IFERROR(SUBSTITUTE(SUBSTITUTE(VLOOKUP($A184,'Quarterly Pipeline vs Target Pi'!$A:$AP,27,false)," $","")," €",""), "")
)</f>
        <v>0</v>
      </c>
      <c r="AP184" s="17" t="str">
        <f t="shared" si="15"/>
        <v/>
      </c>
      <c r="AQ184" s="1">
        <f>value(IFERROR(SUBSTITUTE(SUBSTITUTE(VLOOKUP($A184,'Quarterly Pipeline vs Target Pi'!$A:$AP,31,false)," $","")," €",""), "")
)</f>
        <v>0</v>
      </c>
      <c r="AR184" s="1">
        <f>value(IFERROR(SUBSTITUTE(SUBSTITUTE(VLOOKUP($A184,'Quarterly Pipeline vs Target Pi'!$A:$AP,32,false)," $","")," €",""), "")
)</f>
        <v>0</v>
      </c>
      <c r="AS184" s="17" t="str">
        <f t="shared" si="16"/>
        <v/>
      </c>
      <c r="AT184" s="1">
        <f>value(IFERROR(SUBSTITUTE(SUBSTITUTE(VLOOKUP($A184,'Quarterly Pipeline vs Target Pi'!$A:$AP,36,false)," $","")," €",""), "")
)</f>
        <v>0</v>
      </c>
      <c r="AU184" s="1">
        <f>value(IFERROR(SUBSTITUTE(SUBSTITUTE(VLOOKUP($A184,'Quarterly Pipeline vs Target Pi'!$A:$AP,37,false)," $","")," €",""), "")
)</f>
        <v>0</v>
      </c>
      <c r="AV184" s="17" t="str">
        <f t="shared" si="17"/>
        <v/>
      </c>
      <c r="AW184" s="1">
        <f>value(IFERROR(SUBSTITUTE(SUBSTITUTE(VLOOKUP($A184,'Quarterly Pipeline vs Target Pi'!$A:$AP,41,false)," $","")," €",""), "")
)</f>
        <v>0</v>
      </c>
      <c r="AX184" s="1">
        <f>value(IFERROR(SUBSTITUTE(SUBSTITUTE(VLOOKUP($A184,'Quarterly Pipeline vs Target Pi'!$A:$AP,42,false)," $","")," €",""), "")
)</f>
        <v>0</v>
      </c>
      <c r="AY184" s="17" t="str">
        <f t="shared" si="18"/>
        <v/>
      </c>
      <c r="AZ184" s="1">
        <f t="shared" ref="AZ184:BA184" si="382">sum(AN184,AQ184,AT184,AW184)</f>
        <v>0</v>
      </c>
      <c r="BA184" s="1">
        <f t="shared" si="382"/>
        <v>0</v>
      </c>
      <c r="BB184" s="17" t="str">
        <f t="shared" si="20"/>
        <v/>
      </c>
    </row>
    <row r="185">
      <c r="A185" s="1" t="str">
        <f>IFERROR(__xludf.DUMMYFUNCTION("""COMPUTED_VALUE"""),"63ea6e9752ad6968805cf1ef")</f>
        <v>63ea6e9752ad6968805cf1ef</v>
      </c>
      <c r="B185" s="1" t="str">
        <f>IFERROR(__xludf.DUMMYFUNCTION("""COMPUTED_VALUE"""),"Free Mind IT GmbH")</f>
        <v>Free Mind IT GmbH</v>
      </c>
      <c r="C185" s="1" t="str">
        <f>IFERROR(__xludf.DUMMYFUNCTION("""COMPUTED_VALUE"""),"andreas.grossheimann@al-enterprise.com, andre.ramm@al-enterprise.com")</f>
        <v>andreas.grossheimann@al-enterprise.com, andre.ramm@al-enterprise.com</v>
      </c>
      <c r="D185" s="1" t="str">
        <f>IFERROR(__xludf.DUMMYFUNCTION("""COMPUTED_VALUE"""),"germany")</f>
        <v>germany</v>
      </c>
      <c r="E185" s="1" t="str">
        <f>IFERROR(__xludf.DUMMYFUNCTION("""COMPUTED_VALUE"""),"DE")</f>
        <v>DE</v>
      </c>
      <c r="F185" s="1"/>
      <c r="G185" s="1" t="str">
        <f>iferror(VLOOKUP(A185,'Business Plan Setup and Accepta'!A:G,6,false),"")</f>
        <v/>
      </c>
      <c r="H185" s="1" t="str">
        <f>iferror(VLOOKUP(A185,'Business Plan Setup and Accepta'!A:G,7,false),"")</f>
        <v/>
      </c>
      <c r="I185" s="17" t="str">
        <f t="shared" si="3"/>
        <v/>
      </c>
      <c r="J185" s="1" t="str">
        <f>IFERROR(VALUE(SUBSTITUTE(VLOOKUP(A185,'Sales IN Revenues vs Sales targ'!A:G,6,false)," $","")), "")
</f>
        <v/>
      </c>
      <c r="K185" s="1" t="str">
        <f>IFERROR(VALUE(SUBSTITUTE(VLOOKUP(A185,'Sales IN Revenues vs Sales targ'!A:G,7,false)," $","")), "")
</f>
        <v/>
      </c>
      <c r="L185" s="17" t="str">
        <f t="shared" si="4"/>
        <v/>
      </c>
      <c r="M185" s="1">
        <f>value(SUBSTITUTE(IFERROR(VLOOKUP(A185,'Certifications achievements vs '!A:G,6,false),""),"#","")
)</f>
        <v>0</v>
      </c>
      <c r="N185" s="1">
        <f>value(SUBSTITUTE(IFERROR(VLOOKUP(A185,'Certifications achievements vs '!A:G,7,false),""),"#","")
)</f>
        <v>0</v>
      </c>
      <c r="O185" s="17" t="str">
        <f t="shared" si="5"/>
        <v/>
      </c>
      <c r="P185" s="1">
        <f>value(SUBSTITUTE(IFERROR(VLOOKUP(A185,'Communications - Solution Speci'!A:G,6,false),""),"#","")
)</f>
        <v>0</v>
      </c>
      <c r="Q185" s="1">
        <f>value(SUBSTITUTE(IFERROR(VLOOKUP(A185,'Communications - Solution Speci'!A:G,7,false),""),"#","")
)</f>
        <v>0</v>
      </c>
      <c r="R185" s="17" t="str">
        <f t="shared" si="6"/>
        <v/>
      </c>
      <c r="S185" s="1">
        <f>value(SUBSTITUTE(IFERROR(VLOOKUP(A185,'Networking - Solution Specializ'!A:G,6,false),""),"#","")
)</f>
        <v>0</v>
      </c>
      <c r="T185" s="1">
        <f>value(SUBSTITUTE(IFERROR(VLOOKUP(A185,'Networking - Solution Specializ'!A:G,7,false),""),"#","")
)</f>
        <v>0</v>
      </c>
      <c r="U185" s="17" t="str">
        <f t="shared" si="7"/>
        <v/>
      </c>
      <c r="V185" s="1" t="str">
        <f>iferror(vlookup(A185,'Marketing Plan (extract summary'!A:G,6,false),"")</f>
        <v/>
      </c>
      <c r="W185" s="1" t="str">
        <f>iferror(vlookup(A185,'Marketing Plan (extract summary'!A:G,7,false),"")</f>
        <v/>
      </c>
      <c r="X185" s="17" t="str">
        <f t="shared" si="8"/>
        <v/>
      </c>
      <c r="Y185" s="1">
        <f>value(IFERROR(SUBSTITUTE(SUBSTITUTE(VLOOKUP(A185,'Quarterly Pipeline vs Target Pi'!A:G,6,false)," $","")," €",""), "")
)</f>
        <v>0</v>
      </c>
      <c r="Z185" s="1">
        <f>value(IFERROR(SUBSTITUTE(SUBSTITUTE(VLOOKUP(A185,'Quarterly Pipeline vs Target Pi'!A:G,7,false)," $","")," €",""), "")
)</f>
        <v>0</v>
      </c>
      <c r="AA185" s="17" t="str">
        <f t="shared" si="9"/>
        <v/>
      </c>
      <c r="AB185" s="1">
        <f>value(IFERROR(SUBSTITUTE(SUBSTITUTE(VLOOKUP($A185,'Quarterly Pipeline vs Target Pi'!$A:$V,11,false)," $","")," €",""), "")
)</f>
        <v>0</v>
      </c>
      <c r="AC185" s="1">
        <f>value(IFERROR(SUBSTITUTE(SUBSTITUTE(VLOOKUP($A185,'Quarterly Pipeline vs Target Pi'!$A:$V,12,false)," $","")," €",""), "")
)</f>
        <v>0</v>
      </c>
      <c r="AD185" s="17" t="str">
        <f t="shared" si="10"/>
        <v/>
      </c>
      <c r="AE185" s="1">
        <f>value(IFERROR(SUBSTITUTE(SUBSTITUTE(VLOOKUP($A185,'Quarterly Pipeline vs Target Pi'!$A:$V,16,false)," $","")," €",""), "")
)</f>
        <v>0</v>
      </c>
      <c r="AF185" s="1">
        <f>value(IFERROR(SUBSTITUTE(SUBSTITUTE(VLOOKUP($A185,'Quarterly Pipeline vs Target Pi'!$A:$V,17,false)," $","")," €",""), "")
)</f>
        <v>0</v>
      </c>
      <c r="AG185" s="17" t="str">
        <f t="shared" si="11"/>
        <v/>
      </c>
      <c r="AH185" s="1">
        <f>value(IFERROR(SUBSTITUTE(SUBSTITUTE(VLOOKUP($A185,'Quarterly Pipeline vs Target Pi'!$A:$V,21,false)," $","")," €",""), "")
)</f>
        <v>0</v>
      </c>
      <c r="AI185" s="1">
        <f>value(IFERROR(SUBSTITUTE(SUBSTITUTE(VLOOKUP($A185,'Quarterly Pipeline vs Target Pi'!$A:$V,22,false)," $","")," €",""), "")
)</f>
        <v>0</v>
      </c>
      <c r="AJ185" s="17" t="str">
        <f t="shared" si="12"/>
        <v/>
      </c>
      <c r="AK185" s="1">
        <f t="shared" ref="AK185:AL185" si="383">sum(Y185,AB185,AE185,AH185)</f>
        <v>0</v>
      </c>
      <c r="AL185" s="1">
        <f t="shared" si="383"/>
        <v>0</v>
      </c>
      <c r="AM185" s="17" t="str">
        <f t="shared" si="14"/>
        <v/>
      </c>
      <c r="AN185" s="1">
        <f>value(IFERROR(SUBSTITUTE(SUBSTITUTE(VLOOKUP($A185,'Quarterly Pipeline vs Target Pi'!$A:$AP,26,false)," $","")," €",""), "")
)</f>
        <v>0</v>
      </c>
      <c r="AO185" s="1">
        <f>value(IFERROR(SUBSTITUTE(SUBSTITUTE(VLOOKUP($A185,'Quarterly Pipeline vs Target Pi'!$A:$AP,27,false)," $","")," €",""), "")
)</f>
        <v>0</v>
      </c>
      <c r="AP185" s="17" t="str">
        <f t="shared" si="15"/>
        <v/>
      </c>
      <c r="AQ185" s="1">
        <f>value(IFERROR(SUBSTITUTE(SUBSTITUTE(VLOOKUP($A185,'Quarterly Pipeline vs Target Pi'!$A:$AP,31,false)," $","")," €",""), "")
)</f>
        <v>0</v>
      </c>
      <c r="AR185" s="1">
        <f>value(IFERROR(SUBSTITUTE(SUBSTITUTE(VLOOKUP($A185,'Quarterly Pipeline vs Target Pi'!$A:$AP,32,false)," $","")," €",""), "")
)</f>
        <v>0</v>
      </c>
      <c r="AS185" s="17" t="str">
        <f t="shared" si="16"/>
        <v/>
      </c>
      <c r="AT185" s="1">
        <f>value(IFERROR(SUBSTITUTE(SUBSTITUTE(VLOOKUP($A185,'Quarterly Pipeline vs Target Pi'!$A:$AP,36,false)," $","")," €",""), "")
)</f>
        <v>0</v>
      </c>
      <c r="AU185" s="1">
        <f>value(IFERROR(SUBSTITUTE(SUBSTITUTE(VLOOKUP($A185,'Quarterly Pipeline vs Target Pi'!$A:$AP,37,false)," $","")," €",""), "")
)</f>
        <v>0</v>
      </c>
      <c r="AV185" s="17" t="str">
        <f t="shared" si="17"/>
        <v/>
      </c>
      <c r="AW185" s="1">
        <f>value(IFERROR(SUBSTITUTE(SUBSTITUTE(VLOOKUP($A185,'Quarterly Pipeline vs Target Pi'!$A:$AP,41,false)," $","")," €",""), "")
)</f>
        <v>0</v>
      </c>
      <c r="AX185" s="1">
        <f>value(IFERROR(SUBSTITUTE(SUBSTITUTE(VLOOKUP($A185,'Quarterly Pipeline vs Target Pi'!$A:$AP,42,false)," $","")," €",""), "")
)</f>
        <v>0</v>
      </c>
      <c r="AY185" s="17" t="str">
        <f t="shared" si="18"/>
        <v/>
      </c>
      <c r="AZ185" s="1">
        <f t="shared" ref="AZ185:BA185" si="384">sum(AN185,AQ185,AT185,AW185)</f>
        <v>0</v>
      </c>
      <c r="BA185" s="1">
        <f t="shared" si="384"/>
        <v>0</v>
      </c>
      <c r="BB185" s="17" t="str">
        <f t="shared" si="20"/>
        <v/>
      </c>
    </row>
    <row r="186">
      <c r="A186" s="1" t="str">
        <f>IFERROR(__xludf.DUMMYFUNCTION("""COMPUTED_VALUE"""),"63ea6e9552ad6968805cee99")</f>
        <v>63ea6e9552ad6968805cee99</v>
      </c>
      <c r="B186" s="1" t="str">
        <f>IFERROR(__xludf.DUMMYFUNCTION("""COMPUTED_VALUE"""),"FS Final Systems GmbH")</f>
        <v>FS Final Systems GmbH</v>
      </c>
      <c r="C186" s="1" t="str">
        <f>IFERROR(__xludf.DUMMYFUNCTION("""COMPUTED_VALUE"""),"andreas.grossheimann@al-enterprise.com, andre.ramm@al-enterprise.com")</f>
        <v>andreas.grossheimann@al-enterprise.com, andre.ramm@al-enterprise.com</v>
      </c>
      <c r="D186" s="1" t="str">
        <f>IFERROR(__xludf.DUMMYFUNCTION("""COMPUTED_VALUE"""),"germany")</f>
        <v>germany</v>
      </c>
      <c r="E186" s="1" t="str">
        <f>IFERROR(__xludf.DUMMYFUNCTION("""COMPUTED_VALUE"""),"DE")</f>
        <v>DE</v>
      </c>
      <c r="F186" s="1"/>
      <c r="G186" s="1" t="str">
        <f>iferror(VLOOKUP(A186,'Business Plan Setup and Accepta'!A:G,6,false),"")</f>
        <v/>
      </c>
      <c r="H186" s="1" t="str">
        <f>iferror(VLOOKUP(A186,'Business Plan Setup and Accepta'!A:G,7,false),"")</f>
        <v/>
      </c>
      <c r="I186" s="17" t="str">
        <f t="shared" si="3"/>
        <v/>
      </c>
      <c r="J186" s="1" t="str">
        <f>IFERROR(VALUE(SUBSTITUTE(VLOOKUP(A186,'Sales IN Revenues vs Sales targ'!A:G,6,false)," $","")), "")
</f>
        <v/>
      </c>
      <c r="K186" s="1" t="str">
        <f>IFERROR(VALUE(SUBSTITUTE(VLOOKUP(A186,'Sales IN Revenues vs Sales targ'!A:G,7,false)," $","")), "")
</f>
        <v/>
      </c>
      <c r="L186" s="17" t="str">
        <f t="shared" si="4"/>
        <v/>
      </c>
      <c r="M186" s="1">
        <f>value(SUBSTITUTE(IFERROR(VLOOKUP(A186,'Certifications achievements vs '!A:G,6,false),""),"#","")
)</f>
        <v>0</v>
      </c>
      <c r="N186" s="1">
        <f>value(SUBSTITUTE(IFERROR(VLOOKUP(A186,'Certifications achievements vs '!A:G,7,false),""),"#","")
)</f>
        <v>0</v>
      </c>
      <c r="O186" s="17" t="str">
        <f t="shared" si="5"/>
        <v/>
      </c>
      <c r="P186" s="1">
        <f>value(SUBSTITUTE(IFERROR(VLOOKUP(A186,'Communications - Solution Speci'!A:G,6,false),""),"#","")
)</f>
        <v>0</v>
      </c>
      <c r="Q186" s="1">
        <f>value(SUBSTITUTE(IFERROR(VLOOKUP(A186,'Communications - Solution Speci'!A:G,7,false),""),"#","")
)</f>
        <v>0</v>
      </c>
      <c r="R186" s="17" t="str">
        <f t="shared" si="6"/>
        <v/>
      </c>
      <c r="S186" s="1">
        <f>value(SUBSTITUTE(IFERROR(VLOOKUP(A186,'Networking - Solution Specializ'!A:G,6,false),""),"#","")
)</f>
        <v>0</v>
      </c>
      <c r="T186" s="1">
        <f>value(SUBSTITUTE(IFERROR(VLOOKUP(A186,'Networking - Solution Specializ'!A:G,7,false),""),"#","")
)</f>
        <v>0</v>
      </c>
      <c r="U186" s="17" t="str">
        <f t="shared" si="7"/>
        <v/>
      </c>
      <c r="V186" s="1" t="str">
        <f>iferror(vlookup(A186,'Marketing Plan (extract summary'!A:G,6,false),"")</f>
        <v/>
      </c>
      <c r="W186" s="1" t="str">
        <f>iferror(vlookup(A186,'Marketing Plan (extract summary'!A:G,7,false),"")</f>
        <v/>
      </c>
      <c r="X186" s="17" t="str">
        <f t="shared" si="8"/>
        <v/>
      </c>
      <c r="Y186" s="1">
        <f>value(IFERROR(SUBSTITUTE(SUBSTITUTE(VLOOKUP(A186,'Quarterly Pipeline vs Target Pi'!A:G,6,false)," $","")," €",""), "")
)</f>
        <v>0</v>
      </c>
      <c r="Z186" s="1">
        <f>value(IFERROR(SUBSTITUTE(SUBSTITUTE(VLOOKUP(A186,'Quarterly Pipeline vs Target Pi'!A:G,7,false)," $","")," €",""), "")
)</f>
        <v>0</v>
      </c>
      <c r="AA186" s="17" t="str">
        <f t="shared" si="9"/>
        <v/>
      </c>
      <c r="AB186" s="1">
        <f>value(IFERROR(SUBSTITUTE(SUBSTITUTE(VLOOKUP($A186,'Quarterly Pipeline vs Target Pi'!$A:$V,11,false)," $","")," €",""), "")
)</f>
        <v>0</v>
      </c>
      <c r="AC186" s="1">
        <f>value(IFERROR(SUBSTITUTE(SUBSTITUTE(VLOOKUP($A186,'Quarterly Pipeline vs Target Pi'!$A:$V,12,false)," $","")," €",""), "")
)</f>
        <v>0</v>
      </c>
      <c r="AD186" s="17" t="str">
        <f t="shared" si="10"/>
        <v/>
      </c>
      <c r="AE186" s="1">
        <f>value(IFERROR(SUBSTITUTE(SUBSTITUTE(VLOOKUP($A186,'Quarterly Pipeline vs Target Pi'!$A:$V,16,false)," $","")," €",""), "")
)</f>
        <v>0</v>
      </c>
      <c r="AF186" s="1">
        <f>value(IFERROR(SUBSTITUTE(SUBSTITUTE(VLOOKUP($A186,'Quarterly Pipeline vs Target Pi'!$A:$V,17,false)," $","")," €",""), "")
)</f>
        <v>0</v>
      </c>
      <c r="AG186" s="17" t="str">
        <f t="shared" si="11"/>
        <v/>
      </c>
      <c r="AH186" s="1">
        <f>value(IFERROR(SUBSTITUTE(SUBSTITUTE(VLOOKUP($A186,'Quarterly Pipeline vs Target Pi'!$A:$V,21,false)," $","")," €",""), "")
)</f>
        <v>0</v>
      </c>
      <c r="AI186" s="1">
        <f>value(IFERROR(SUBSTITUTE(SUBSTITUTE(VLOOKUP($A186,'Quarterly Pipeline vs Target Pi'!$A:$V,22,false)," $","")," €",""), "")
)</f>
        <v>0</v>
      </c>
      <c r="AJ186" s="17" t="str">
        <f t="shared" si="12"/>
        <v/>
      </c>
      <c r="AK186" s="1">
        <f t="shared" ref="AK186:AL186" si="385">sum(Y186,AB186,AE186,AH186)</f>
        <v>0</v>
      </c>
      <c r="AL186" s="1">
        <f t="shared" si="385"/>
        <v>0</v>
      </c>
      <c r="AM186" s="17" t="str">
        <f t="shared" si="14"/>
        <v/>
      </c>
      <c r="AN186" s="1">
        <f>value(IFERROR(SUBSTITUTE(SUBSTITUTE(VLOOKUP($A186,'Quarterly Pipeline vs Target Pi'!$A:$AP,26,false)," $","")," €",""), "")
)</f>
        <v>0</v>
      </c>
      <c r="AO186" s="1">
        <f>value(IFERROR(SUBSTITUTE(SUBSTITUTE(VLOOKUP($A186,'Quarterly Pipeline vs Target Pi'!$A:$AP,27,false)," $","")," €",""), "")
)</f>
        <v>0</v>
      </c>
      <c r="AP186" s="17" t="str">
        <f t="shared" si="15"/>
        <v/>
      </c>
      <c r="AQ186" s="1">
        <f>value(IFERROR(SUBSTITUTE(SUBSTITUTE(VLOOKUP($A186,'Quarterly Pipeline vs Target Pi'!$A:$AP,31,false)," $","")," €",""), "")
)</f>
        <v>0</v>
      </c>
      <c r="AR186" s="1">
        <f>value(IFERROR(SUBSTITUTE(SUBSTITUTE(VLOOKUP($A186,'Quarterly Pipeline vs Target Pi'!$A:$AP,32,false)," $","")," €",""), "")
)</f>
        <v>0</v>
      </c>
      <c r="AS186" s="17" t="str">
        <f t="shared" si="16"/>
        <v/>
      </c>
      <c r="AT186" s="1">
        <f>value(IFERROR(SUBSTITUTE(SUBSTITUTE(VLOOKUP($A186,'Quarterly Pipeline vs Target Pi'!$A:$AP,36,false)," $","")," €",""), "")
)</f>
        <v>0</v>
      </c>
      <c r="AU186" s="1">
        <f>value(IFERROR(SUBSTITUTE(SUBSTITUTE(VLOOKUP($A186,'Quarterly Pipeline vs Target Pi'!$A:$AP,37,false)," $","")," €",""), "")
)</f>
        <v>0</v>
      </c>
      <c r="AV186" s="17" t="str">
        <f t="shared" si="17"/>
        <v/>
      </c>
      <c r="AW186" s="1">
        <f>value(IFERROR(SUBSTITUTE(SUBSTITUTE(VLOOKUP($A186,'Quarterly Pipeline vs Target Pi'!$A:$AP,41,false)," $","")," €",""), "")
)</f>
        <v>0</v>
      </c>
      <c r="AX186" s="1">
        <f>value(IFERROR(SUBSTITUTE(SUBSTITUTE(VLOOKUP($A186,'Quarterly Pipeline vs Target Pi'!$A:$AP,42,false)," $","")," €",""), "")
)</f>
        <v>0</v>
      </c>
      <c r="AY186" s="17" t="str">
        <f t="shared" si="18"/>
        <v/>
      </c>
      <c r="AZ186" s="1">
        <f t="shared" ref="AZ186:BA186" si="386">sum(AN186,AQ186,AT186,AW186)</f>
        <v>0</v>
      </c>
      <c r="BA186" s="1">
        <f t="shared" si="386"/>
        <v>0</v>
      </c>
      <c r="BB186" s="17" t="str">
        <f t="shared" si="20"/>
        <v/>
      </c>
    </row>
    <row r="187">
      <c r="A187" s="1" t="str">
        <f>IFERROR(__xludf.DUMMYFUNCTION("""COMPUTED_VALUE"""),"63ea6e9452ad6968805cec23")</f>
        <v>63ea6e9452ad6968805cec23</v>
      </c>
      <c r="B187" s="1" t="str">
        <f>IFERROR(__xludf.DUMMYFUNCTION("""COMPUTED_VALUE"""),"FT Fernmeldetechnik GmbH")</f>
        <v>FT Fernmeldetechnik GmbH</v>
      </c>
      <c r="C187" s="1" t="str">
        <f>IFERROR(__xludf.DUMMYFUNCTION("""COMPUTED_VALUE"""),"andreas.grossheimann@al-enterprise.com, katrin.pfeiffer@al-enterprise.com, andre.ramm@al-enterprise.com, sibylle.klopfer@al-enterprise.com, igor.leko@al-enterprise.com")</f>
        <v>andreas.grossheimann@al-enterprise.com, katrin.pfeiffer@al-enterprise.com, andre.ramm@al-enterprise.com, sibylle.klopfer@al-enterprise.com, igor.leko@al-enterprise.com</v>
      </c>
      <c r="D187" s="1" t="str">
        <f>IFERROR(__xludf.DUMMYFUNCTION("""COMPUTED_VALUE"""),"germany")</f>
        <v>germany</v>
      </c>
      <c r="E187" s="1" t="str">
        <f>IFERROR(__xludf.DUMMYFUNCTION("""COMPUTED_VALUE"""),"DE")</f>
        <v>DE</v>
      </c>
      <c r="F187" s="1" t="str">
        <f>IFERROR(__xludf.DUMMYFUNCTION("""COMPUTED_VALUE"""),"expert_200")</f>
        <v>expert_200</v>
      </c>
      <c r="G187" s="1">
        <f>iferror(VLOOKUP(A187,'Business Plan Setup and Accepta'!A:G,6,false),"")</f>
        <v>0</v>
      </c>
      <c r="H187" s="1">
        <f>iferror(VLOOKUP(A187,'Business Plan Setup and Accepta'!A:G,7,false),"")</f>
        <v>1</v>
      </c>
      <c r="I187" s="17">
        <f t="shared" si="3"/>
        <v>0</v>
      </c>
      <c r="J187" s="1">
        <f>IFERROR(VALUE(SUBSTITUTE(VLOOKUP(A187,'Sales IN Revenues vs Sales targ'!A:G,6,false)," $","")), "")
</f>
        <v>64.68</v>
      </c>
      <c r="K187" s="1">
        <f>IFERROR(VALUE(SUBSTITUTE(VLOOKUP(A187,'Sales IN Revenues vs Sales targ'!A:G,7,false)," $","")), "")
</f>
        <v>230.2</v>
      </c>
      <c r="L187" s="17">
        <f t="shared" si="4"/>
        <v>0.2809730669</v>
      </c>
      <c r="M187" s="1">
        <f>value(SUBSTITUTE(IFERROR(VLOOKUP(A187,'Certifications achievements vs '!A:G,6,false),""),"#","")
)</f>
        <v>18</v>
      </c>
      <c r="N187" s="1">
        <f>value(SUBSTITUTE(IFERROR(VLOOKUP(A187,'Certifications achievements vs '!A:G,7,false),""),"#","")
)</f>
        <v>52</v>
      </c>
      <c r="O187" s="17">
        <f t="shared" si="5"/>
        <v>0.3461538462</v>
      </c>
      <c r="P187" s="1">
        <f>value(SUBSTITUTE(IFERROR(VLOOKUP(A187,'Communications - Solution Speci'!A:G,6,false),""),"#","")
)</f>
        <v>1</v>
      </c>
      <c r="Q187" s="1">
        <f>value(SUBSTITUTE(IFERROR(VLOOKUP(A187,'Communications - Solution Speci'!A:G,7,false),""),"#","")
)</f>
        <v>1</v>
      </c>
      <c r="R187" s="17">
        <f t="shared" si="6"/>
        <v>1</v>
      </c>
      <c r="S187" s="1">
        <f>value(SUBSTITUTE(IFERROR(VLOOKUP(A187,'Networking - Solution Specializ'!A:G,6,false),""),"#","")
)</f>
        <v>0</v>
      </c>
      <c r="T187" s="1">
        <f>value(SUBSTITUTE(IFERROR(VLOOKUP(A187,'Networking - Solution Specializ'!A:G,7,false),""),"#","")
)</f>
        <v>1</v>
      </c>
      <c r="U187" s="17">
        <f t="shared" si="7"/>
        <v>0</v>
      </c>
      <c r="V187" s="1">
        <f>iferror(vlookup(A187,'Marketing Plan (extract summary'!A:G,6,false),"")</f>
        <v>0</v>
      </c>
      <c r="W187" s="1">
        <f>iferror(vlookup(A187,'Marketing Plan (extract summary'!A:G,7,false),"")</f>
        <v>1</v>
      </c>
      <c r="X187" s="17">
        <f t="shared" si="8"/>
        <v>0</v>
      </c>
      <c r="Y187" s="1">
        <f>value(IFERROR(SUBSTITUTE(SUBSTITUTE(VLOOKUP(A187,'Quarterly Pipeline vs Target Pi'!A:G,6,false)," $","")," €",""), "")
)</f>
        <v>9.89</v>
      </c>
      <c r="Z187" s="1">
        <f>value(IFERROR(SUBSTITUTE(SUBSTITUTE(VLOOKUP(A187,'Quarterly Pipeline vs Target Pi'!A:G,7,false)," $","")," €",""), "")
)</f>
        <v>0</v>
      </c>
      <c r="AA187" s="17" t="str">
        <f t="shared" si="9"/>
        <v/>
      </c>
      <c r="AB187" s="1">
        <f>value(IFERROR(SUBSTITUTE(SUBSTITUTE(VLOOKUP($A187,'Quarterly Pipeline vs Target Pi'!$A:$V,11,false)," $","")," €",""), "")
)</f>
        <v>12.06</v>
      </c>
      <c r="AC187" s="1">
        <f>value(IFERROR(SUBSTITUTE(SUBSTITUTE(VLOOKUP($A187,'Quarterly Pipeline vs Target Pi'!$A:$V,12,false)," $","")," €",""), "")
)</f>
        <v>79.31</v>
      </c>
      <c r="AD187" s="17">
        <f t="shared" si="10"/>
        <v>0.1520615307</v>
      </c>
      <c r="AE187" s="1">
        <f>value(IFERROR(SUBSTITUTE(SUBSTITUTE(VLOOKUP($A187,'Quarterly Pipeline vs Target Pi'!$A:$V,16,false)," $","")," €",""), "")
)</f>
        <v>11.58</v>
      </c>
      <c r="AF187" s="1">
        <f>value(IFERROR(SUBSTITUTE(SUBSTITUTE(VLOOKUP($A187,'Quarterly Pipeline vs Target Pi'!$A:$V,17,false)," $","")," €",""), "")
)</f>
        <v>119.14</v>
      </c>
      <c r="AG187" s="17">
        <f t="shared" si="11"/>
        <v>0.09719657546</v>
      </c>
      <c r="AH187" s="1">
        <f>value(IFERROR(SUBSTITUTE(SUBSTITUTE(VLOOKUP($A187,'Quarterly Pipeline vs Target Pi'!$A:$V,21,false)," $","")," €",""), "")
)</f>
        <v>0</v>
      </c>
      <c r="AI187" s="1">
        <f>value(IFERROR(SUBSTITUTE(SUBSTITUTE(VLOOKUP($A187,'Quarterly Pipeline vs Target Pi'!$A:$V,22,false)," $","")," €",""), "")
)</f>
        <v>119.14</v>
      </c>
      <c r="AJ187" s="17">
        <f t="shared" si="12"/>
        <v>0</v>
      </c>
      <c r="AK187" s="1">
        <f t="shared" ref="AK187:AL187" si="387">sum(Y187,AB187,AE187,AH187)</f>
        <v>33.53</v>
      </c>
      <c r="AL187" s="1">
        <f t="shared" si="387"/>
        <v>317.59</v>
      </c>
      <c r="AM187" s="17">
        <f t="shared" si="14"/>
        <v>0.1055763721</v>
      </c>
      <c r="AN187" s="1">
        <f>value(IFERROR(SUBSTITUTE(SUBSTITUTE(VLOOKUP($A187,'Quarterly Pipeline vs Target Pi'!$A:$AP,26,false)," $","")," €",""), "")
)</f>
        <v>0</v>
      </c>
      <c r="AO187" s="1">
        <f>value(IFERROR(SUBSTITUTE(SUBSTITUTE(VLOOKUP($A187,'Quarterly Pipeline vs Target Pi'!$A:$AP,27,false)," $","")," €",""), "")
)</f>
        <v>0</v>
      </c>
      <c r="AP187" s="17" t="str">
        <f t="shared" si="15"/>
        <v/>
      </c>
      <c r="AQ187" s="1">
        <f>value(IFERROR(SUBSTITUTE(SUBSTITUTE(VLOOKUP($A187,'Quarterly Pipeline vs Target Pi'!$A:$AP,31,false)," $","")," €",""), "")
)</f>
        <v>0</v>
      </c>
      <c r="AR187" s="1">
        <f>value(IFERROR(SUBSTITUTE(SUBSTITUTE(VLOOKUP($A187,'Quarterly Pipeline vs Target Pi'!$A:$AP,32,false)," $","")," €",""), "")
)</f>
        <v>0</v>
      </c>
      <c r="AS187" s="17" t="str">
        <f t="shared" si="16"/>
        <v/>
      </c>
      <c r="AT187" s="1">
        <f>value(IFERROR(SUBSTITUTE(SUBSTITUTE(VLOOKUP($A187,'Quarterly Pipeline vs Target Pi'!$A:$AP,36,false)," $","")," €",""), "")
)</f>
        <v>0</v>
      </c>
      <c r="AU187" s="1">
        <f>value(IFERROR(SUBSTITUTE(SUBSTITUTE(VLOOKUP($A187,'Quarterly Pipeline vs Target Pi'!$A:$AP,37,false)," $","")," €",""), "")
)</f>
        <v>0</v>
      </c>
      <c r="AV187" s="17" t="str">
        <f t="shared" si="17"/>
        <v/>
      </c>
      <c r="AW187" s="1">
        <f>value(IFERROR(SUBSTITUTE(SUBSTITUTE(VLOOKUP($A187,'Quarterly Pipeline vs Target Pi'!$A:$AP,41,false)," $","")," €",""), "")
)</f>
        <v>0</v>
      </c>
      <c r="AX187" s="1">
        <f>value(IFERROR(SUBSTITUTE(SUBSTITUTE(VLOOKUP($A187,'Quarterly Pipeline vs Target Pi'!$A:$AP,42,false)," $","")," €",""), "")
)</f>
        <v>0</v>
      </c>
      <c r="AY187" s="17" t="str">
        <f t="shared" si="18"/>
        <v/>
      </c>
      <c r="AZ187" s="1">
        <f t="shared" ref="AZ187:BA187" si="388">sum(AN187,AQ187,AT187,AW187)</f>
        <v>0</v>
      </c>
      <c r="BA187" s="1">
        <f t="shared" si="388"/>
        <v>0</v>
      </c>
      <c r="BB187" s="17" t="str">
        <f t="shared" si="20"/>
        <v/>
      </c>
    </row>
    <row r="188">
      <c r="A188" s="1" t="str">
        <f>IFERROR(__xludf.DUMMYFUNCTION("""COMPUTED_VALUE"""),"63ea6e9652ad6968805cf02f")</f>
        <v>63ea6e9652ad6968805cf02f</v>
      </c>
      <c r="B188" s="1" t="str">
        <f>IFERROR(__xludf.DUMMYFUNCTION("""COMPUTED_VALUE"""),"Funktechnik Frehse GmbH")</f>
        <v>Funktechnik Frehse GmbH</v>
      </c>
      <c r="C188" s="1" t="str">
        <f>IFERROR(__xludf.DUMMYFUNCTION("""COMPUTED_VALUE"""),"andreas.grossheimann@al-enterprise.com, andre.ramm@al-enterprise.com")</f>
        <v>andreas.grossheimann@al-enterprise.com, andre.ramm@al-enterprise.com</v>
      </c>
      <c r="D188" s="1" t="str">
        <f>IFERROR(__xludf.DUMMYFUNCTION("""COMPUTED_VALUE"""),"germany")</f>
        <v>germany</v>
      </c>
      <c r="E188" s="1" t="str">
        <f>IFERROR(__xludf.DUMMYFUNCTION("""COMPUTED_VALUE"""),"DE")</f>
        <v>DE</v>
      </c>
      <c r="F188" s="1"/>
      <c r="G188" s="1" t="str">
        <f>iferror(VLOOKUP(A188,'Business Plan Setup and Accepta'!A:G,6,false),"")</f>
        <v/>
      </c>
      <c r="H188" s="1" t="str">
        <f>iferror(VLOOKUP(A188,'Business Plan Setup and Accepta'!A:G,7,false),"")</f>
        <v/>
      </c>
      <c r="I188" s="17" t="str">
        <f t="shared" si="3"/>
        <v/>
      </c>
      <c r="J188" s="1" t="str">
        <f>IFERROR(VALUE(SUBSTITUTE(VLOOKUP(A188,'Sales IN Revenues vs Sales targ'!A:G,6,false)," $","")), "")
</f>
        <v/>
      </c>
      <c r="K188" s="1" t="str">
        <f>IFERROR(VALUE(SUBSTITUTE(VLOOKUP(A188,'Sales IN Revenues vs Sales targ'!A:G,7,false)," $","")), "")
</f>
        <v/>
      </c>
      <c r="L188" s="17" t="str">
        <f t="shared" si="4"/>
        <v/>
      </c>
      <c r="M188" s="1">
        <f>value(SUBSTITUTE(IFERROR(VLOOKUP(A188,'Certifications achievements vs '!A:G,6,false),""),"#","")
)</f>
        <v>0</v>
      </c>
      <c r="N188" s="1">
        <f>value(SUBSTITUTE(IFERROR(VLOOKUP(A188,'Certifications achievements vs '!A:G,7,false),""),"#","")
)</f>
        <v>0</v>
      </c>
      <c r="O188" s="17" t="str">
        <f t="shared" si="5"/>
        <v/>
      </c>
      <c r="P188" s="1">
        <f>value(SUBSTITUTE(IFERROR(VLOOKUP(A188,'Communications - Solution Speci'!A:G,6,false),""),"#","")
)</f>
        <v>0</v>
      </c>
      <c r="Q188" s="1">
        <f>value(SUBSTITUTE(IFERROR(VLOOKUP(A188,'Communications - Solution Speci'!A:G,7,false),""),"#","")
)</f>
        <v>0</v>
      </c>
      <c r="R188" s="17" t="str">
        <f t="shared" si="6"/>
        <v/>
      </c>
      <c r="S188" s="1">
        <f>value(SUBSTITUTE(IFERROR(VLOOKUP(A188,'Networking - Solution Specializ'!A:G,6,false),""),"#","")
)</f>
        <v>0</v>
      </c>
      <c r="T188" s="1">
        <f>value(SUBSTITUTE(IFERROR(VLOOKUP(A188,'Networking - Solution Specializ'!A:G,7,false),""),"#","")
)</f>
        <v>0</v>
      </c>
      <c r="U188" s="17" t="str">
        <f t="shared" si="7"/>
        <v/>
      </c>
      <c r="V188" s="1" t="str">
        <f>iferror(vlookup(A188,'Marketing Plan (extract summary'!A:G,6,false),"")</f>
        <v/>
      </c>
      <c r="W188" s="1" t="str">
        <f>iferror(vlookup(A188,'Marketing Plan (extract summary'!A:G,7,false),"")</f>
        <v/>
      </c>
      <c r="X188" s="17" t="str">
        <f t="shared" si="8"/>
        <v/>
      </c>
      <c r="Y188" s="1">
        <f>value(IFERROR(SUBSTITUTE(SUBSTITUTE(VLOOKUP(A188,'Quarterly Pipeline vs Target Pi'!A:G,6,false)," $","")," €",""), "")
)</f>
        <v>0</v>
      </c>
      <c r="Z188" s="1">
        <f>value(IFERROR(SUBSTITUTE(SUBSTITUTE(VLOOKUP(A188,'Quarterly Pipeline vs Target Pi'!A:G,7,false)," $","")," €",""), "")
)</f>
        <v>0</v>
      </c>
      <c r="AA188" s="17" t="str">
        <f t="shared" si="9"/>
        <v/>
      </c>
      <c r="AB188" s="1">
        <f>value(IFERROR(SUBSTITUTE(SUBSTITUTE(VLOOKUP($A188,'Quarterly Pipeline vs Target Pi'!$A:$V,11,false)," $","")," €",""), "")
)</f>
        <v>0</v>
      </c>
      <c r="AC188" s="1">
        <f>value(IFERROR(SUBSTITUTE(SUBSTITUTE(VLOOKUP($A188,'Quarterly Pipeline vs Target Pi'!$A:$V,12,false)," $","")," €",""), "")
)</f>
        <v>0</v>
      </c>
      <c r="AD188" s="17" t="str">
        <f t="shared" si="10"/>
        <v/>
      </c>
      <c r="AE188" s="1">
        <f>value(IFERROR(SUBSTITUTE(SUBSTITUTE(VLOOKUP($A188,'Quarterly Pipeline vs Target Pi'!$A:$V,16,false)," $","")," €",""), "")
)</f>
        <v>0</v>
      </c>
      <c r="AF188" s="1">
        <f>value(IFERROR(SUBSTITUTE(SUBSTITUTE(VLOOKUP($A188,'Quarterly Pipeline vs Target Pi'!$A:$V,17,false)," $","")," €",""), "")
)</f>
        <v>0</v>
      </c>
      <c r="AG188" s="17" t="str">
        <f t="shared" si="11"/>
        <v/>
      </c>
      <c r="AH188" s="1">
        <f>value(IFERROR(SUBSTITUTE(SUBSTITUTE(VLOOKUP($A188,'Quarterly Pipeline vs Target Pi'!$A:$V,21,false)," $","")," €",""), "")
)</f>
        <v>0</v>
      </c>
      <c r="AI188" s="1">
        <f>value(IFERROR(SUBSTITUTE(SUBSTITUTE(VLOOKUP($A188,'Quarterly Pipeline vs Target Pi'!$A:$V,22,false)," $","")," €",""), "")
)</f>
        <v>0</v>
      </c>
      <c r="AJ188" s="17" t="str">
        <f t="shared" si="12"/>
        <v/>
      </c>
      <c r="AK188" s="1">
        <f t="shared" ref="AK188:AL188" si="389">sum(Y188,AB188,AE188,AH188)</f>
        <v>0</v>
      </c>
      <c r="AL188" s="1">
        <f t="shared" si="389"/>
        <v>0</v>
      </c>
      <c r="AM188" s="17" t="str">
        <f t="shared" si="14"/>
        <v/>
      </c>
      <c r="AN188" s="1">
        <f>value(IFERROR(SUBSTITUTE(SUBSTITUTE(VLOOKUP($A188,'Quarterly Pipeline vs Target Pi'!$A:$AP,26,false)," $","")," €",""), "")
)</f>
        <v>0</v>
      </c>
      <c r="AO188" s="1">
        <f>value(IFERROR(SUBSTITUTE(SUBSTITUTE(VLOOKUP($A188,'Quarterly Pipeline vs Target Pi'!$A:$AP,27,false)," $","")," €",""), "")
)</f>
        <v>0</v>
      </c>
      <c r="AP188" s="17" t="str">
        <f t="shared" si="15"/>
        <v/>
      </c>
      <c r="AQ188" s="1">
        <f>value(IFERROR(SUBSTITUTE(SUBSTITUTE(VLOOKUP($A188,'Quarterly Pipeline vs Target Pi'!$A:$AP,31,false)," $","")," €",""), "")
)</f>
        <v>0</v>
      </c>
      <c r="AR188" s="1">
        <f>value(IFERROR(SUBSTITUTE(SUBSTITUTE(VLOOKUP($A188,'Quarterly Pipeline vs Target Pi'!$A:$AP,32,false)," $","")," €",""), "")
)</f>
        <v>0</v>
      </c>
      <c r="AS188" s="17" t="str">
        <f t="shared" si="16"/>
        <v/>
      </c>
      <c r="AT188" s="1">
        <f>value(IFERROR(SUBSTITUTE(SUBSTITUTE(VLOOKUP($A188,'Quarterly Pipeline vs Target Pi'!$A:$AP,36,false)," $","")," €",""), "")
)</f>
        <v>0</v>
      </c>
      <c r="AU188" s="1">
        <f>value(IFERROR(SUBSTITUTE(SUBSTITUTE(VLOOKUP($A188,'Quarterly Pipeline vs Target Pi'!$A:$AP,37,false)," $","")," €",""), "")
)</f>
        <v>0</v>
      </c>
      <c r="AV188" s="17" t="str">
        <f t="shared" si="17"/>
        <v/>
      </c>
      <c r="AW188" s="1">
        <f>value(IFERROR(SUBSTITUTE(SUBSTITUTE(VLOOKUP($A188,'Quarterly Pipeline vs Target Pi'!$A:$AP,41,false)," $","")," €",""), "")
)</f>
        <v>0</v>
      </c>
      <c r="AX188" s="1">
        <f>value(IFERROR(SUBSTITUTE(SUBSTITUTE(VLOOKUP($A188,'Quarterly Pipeline vs Target Pi'!$A:$AP,42,false)," $","")," €",""), "")
)</f>
        <v>0</v>
      </c>
      <c r="AY188" s="17" t="str">
        <f t="shared" si="18"/>
        <v/>
      </c>
      <c r="AZ188" s="1">
        <f t="shared" ref="AZ188:BA188" si="390">sum(AN188,AQ188,AT188,AW188)</f>
        <v>0</v>
      </c>
      <c r="BA188" s="1">
        <f t="shared" si="390"/>
        <v>0</v>
      </c>
      <c r="BB188" s="17" t="str">
        <f t="shared" si="20"/>
        <v/>
      </c>
    </row>
    <row r="189">
      <c r="A189" s="1" t="str">
        <f>IFERROR(__xludf.DUMMYFUNCTION("""COMPUTED_VALUE"""),"63ced84ec5c820531c2698ab")</f>
        <v>63ced84ec5c820531c2698ab</v>
      </c>
      <c r="B189" s="1" t="str">
        <f>IFERROR(__xludf.DUMMYFUNCTION("""COMPUTED_VALUE"""),"Garber Connect")</f>
        <v>Garber Connect</v>
      </c>
      <c r="C189" s="1" t="str">
        <f>IFERROR(__xludf.DUMMYFUNCTION("""COMPUTED_VALUE"""),"brendan.flaherty@al-enterprise.com")</f>
        <v>brendan.flaherty@al-enterprise.com</v>
      </c>
      <c r="D189" s="1" t="str">
        <f>IFERROR(__xludf.DUMMYFUNCTION("""COMPUTED_VALUE"""),"americas")</f>
        <v>americas</v>
      </c>
      <c r="E189" s="1" t="str">
        <f>IFERROR(__xludf.DUMMYFUNCTION("""COMPUTED_VALUE"""),"US")</f>
        <v>US</v>
      </c>
      <c r="F189" s="1"/>
      <c r="G189" s="1" t="str">
        <f>iferror(VLOOKUP(A189,'Business Plan Setup and Accepta'!A:G,6,false),"")</f>
        <v/>
      </c>
      <c r="H189" s="1" t="str">
        <f>iferror(VLOOKUP(A189,'Business Plan Setup and Accepta'!A:G,7,false),"")</f>
        <v/>
      </c>
      <c r="I189" s="17" t="str">
        <f t="shared" si="3"/>
        <v/>
      </c>
      <c r="J189" s="1" t="str">
        <f>IFERROR(VALUE(SUBSTITUTE(VLOOKUP(A189,'Sales IN Revenues vs Sales targ'!A:G,6,false)," $","")), "")
</f>
        <v/>
      </c>
      <c r="K189" s="1" t="str">
        <f>IFERROR(VALUE(SUBSTITUTE(VLOOKUP(A189,'Sales IN Revenues vs Sales targ'!A:G,7,false)," $","")), "")
</f>
        <v/>
      </c>
      <c r="L189" s="17" t="str">
        <f t="shared" si="4"/>
        <v/>
      </c>
      <c r="M189" s="1">
        <f>value(SUBSTITUTE(IFERROR(VLOOKUP(A189,'Certifications achievements vs '!A:G,6,false),""),"#","")
)</f>
        <v>0</v>
      </c>
      <c r="N189" s="1">
        <f>value(SUBSTITUTE(IFERROR(VLOOKUP(A189,'Certifications achievements vs '!A:G,7,false),""),"#","")
)</f>
        <v>0</v>
      </c>
      <c r="O189" s="17" t="str">
        <f t="shared" si="5"/>
        <v/>
      </c>
      <c r="P189" s="1">
        <f>value(SUBSTITUTE(IFERROR(VLOOKUP(A189,'Communications - Solution Speci'!A:G,6,false),""),"#","")
)</f>
        <v>0</v>
      </c>
      <c r="Q189" s="1">
        <f>value(SUBSTITUTE(IFERROR(VLOOKUP(A189,'Communications - Solution Speci'!A:G,7,false),""),"#","")
)</f>
        <v>0</v>
      </c>
      <c r="R189" s="17" t="str">
        <f t="shared" si="6"/>
        <v/>
      </c>
      <c r="S189" s="1">
        <f>value(SUBSTITUTE(IFERROR(VLOOKUP(A189,'Networking - Solution Specializ'!A:G,6,false),""),"#","")
)</f>
        <v>0</v>
      </c>
      <c r="T189" s="1">
        <f>value(SUBSTITUTE(IFERROR(VLOOKUP(A189,'Networking - Solution Specializ'!A:G,7,false),""),"#","")
)</f>
        <v>0</v>
      </c>
      <c r="U189" s="17" t="str">
        <f t="shared" si="7"/>
        <v/>
      </c>
      <c r="V189" s="1" t="str">
        <f>iferror(vlookup(A189,'Marketing Plan (extract summary'!A:G,6,false),"")</f>
        <v/>
      </c>
      <c r="W189" s="1" t="str">
        <f>iferror(vlookup(A189,'Marketing Plan (extract summary'!A:G,7,false),"")</f>
        <v/>
      </c>
      <c r="X189" s="17" t="str">
        <f t="shared" si="8"/>
        <v/>
      </c>
      <c r="Y189" s="1">
        <f>value(IFERROR(SUBSTITUTE(SUBSTITUTE(VLOOKUP(A189,'Quarterly Pipeline vs Target Pi'!A:G,6,false)," $","")," €",""), "")
)</f>
        <v>0</v>
      </c>
      <c r="Z189" s="1">
        <f>value(IFERROR(SUBSTITUTE(SUBSTITUTE(VLOOKUP(A189,'Quarterly Pipeline vs Target Pi'!A:G,7,false)," $","")," €",""), "")
)</f>
        <v>0</v>
      </c>
      <c r="AA189" s="17" t="str">
        <f t="shared" si="9"/>
        <v/>
      </c>
      <c r="AB189" s="1">
        <f>value(IFERROR(SUBSTITUTE(SUBSTITUTE(VLOOKUP($A189,'Quarterly Pipeline vs Target Pi'!$A:$V,11,false)," $","")," €",""), "")
)</f>
        <v>0</v>
      </c>
      <c r="AC189" s="1">
        <f>value(IFERROR(SUBSTITUTE(SUBSTITUTE(VLOOKUP($A189,'Quarterly Pipeline vs Target Pi'!$A:$V,12,false)," $","")," €",""), "")
)</f>
        <v>0</v>
      </c>
      <c r="AD189" s="17" t="str">
        <f t="shared" si="10"/>
        <v/>
      </c>
      <c r="AE189" s="1">
        <f>value(IFERROR(SUBSTITUTE(SUBSTITUTE(VLOOKUP($A189,'Quarterly Pipeline vs Target Pi'!$A:$V,16,false)," $","")," €",""), "")
)</f>
        <v>0</v>
      </c>
      <c r="AF189" s="1">
        <f>value(IFERROR(SUBSTITUTE(SUBSTITUTE(VLOOKUP($A189,'Quarterly Pipeline vs Target Pi'!$A:$V,17,false)," $","")," €",""), "")
)</f>
        <v>0</v>
      </c>
      <c r="AG189" s="17" t="str">
        <f t="shared" si="11"/>
        <v/>
      </c>
      <c r="AH189" s="1">
        <f>value(IFERROR(SUBSTITUTE(SUBSTITUTE(VLOOKUP($A189,'Quarterly Pipeline vs Target Pi'!$A:$V,21,false)," $","")," €",""), "")
)</f>
        <v>0</v>
      </c>
      <c r="AI189" s="1">
        <f>value(IFERROR(SUBSTITUTE(SUBSTITUTE(VLOOKUP($A189,'Quarterly Pipeline vs Target Pi'!$A:$V,22,false)," $","")," €",""), "")
)</f>
        <v>0</v>
      </c>
      <c r="AJ189" s="17" t="str">
        <f t="shared" si="12"/>
        <v/>
      </c>
      <c r="AK189" s="1">
        <f t="shared" ref="AK189:AL189" si="391">sum(Y189,AB189,AE189,AH189)</f>
        <v>0</v>
      </c>
      <c r="AL189" s="1">
        <f t="shared" si="391"/>
        <v>0</v>
      </c>
      <c r="AM189" s="17" t="str">
        <f t="shared" si="14"/>
        <v/>
      </c>
      <c r="AN189" s="1">
        <f>value(IFERROR(SUBSTITUTE(SUBSTITUTE(VLOOKUP($A189,'Quarterly Pipeline vs Target Pi'!$A:$AP,26,false)," $","")," €",""), "")
)</f>
        <v>0</v>
      </c>
      <c r="AO189" s="1">
        <f>value(IFERROR(SUBSTITUTE(SUBSTITUTE(VLOOKUP($A189,'Quarterly Pipeline vs Target Pi'!$A:$AP,27,false)," $","")," €",""), "")
)</f>
        <v>0</v>
      </c>
      <c r="AP189" s="17" t="str">
        <f t="shared" si="15"/>
        <v/>
      </c>
      <c r="AQ189" s="1">
        <f>value(IFERROR(SUBSTITUTE(SUBSTITUTE(VLOOKUP($A189,'Quarterly Pipeline vs Target Pi'!$A:$AP,31,false)," $","")," €",""), "")
)</f>
        <v>0</v>
      </c>
      <c r="AR189" s="1">
        <f>value(IFERROR(SUBSTITUTE(SUBSTITUTE(VLOOKUP($A189,'Quarterly Pipeline vs Target Pi'!$A:$AP,32,false)," $","")," €",""), "")
)</f>
        <v>0</v>
      </c>
      <c r="AS189" s="17" t="str">
        <f t="shared" si="16"/>
        <v/>
      </c>
      <c r="AT189" s="1">
        <f>value(IFERROR(SUBSTITUTE(SUBSTITUTE(VLOOKUP($A189,'Quarterly Pipeline vs Target Pi'!$A:$AP,36,false)," $","")," €",""), "")
)</f>
        <v>0</v>
      </c>
      <c r="AU189" s="1">
        <f>value(IFERROR(SUBSTITUTE(SUBSTITUTE(VLOOKUP($A189,'Quarterly Pipeline vs Target Pi'!$A:$AP,37,false)," $","")," €",""), "")
)</f>
        <v>0</v>
      </c>
      <c r="AV189" s="17" t="str">
        <f t="shared" si="17"/>
        <v/>
      </c>
      <c r="AW189" s="1">
        <f>value(IFERROR(SUBSTITUTE(SUBSTITUTE(VLOOKUP($A189,'Quarterly Pipeline vs Target Pi'!$A:$AP,41,false)," $","")," €",""), "")
)</f>
        <v>0</v>
      </c>
      <c r="AX189" s="1">
        <f>value(IFERROR(SUBSTITUTE(SUBSTITUTE(VLOOKUP($A189,'Quarterly Pipeline vs Target Pi'!$A:$AP,42,false)," $","")," €",""), "")
)</f>
        <v>0</v>
      </c>
      <c r="AY189" s="17" t="str">
        <f t="shared" si="18"/>
        <v/>
      </c>
      <c r="AZ189" s="1">
        <f t="shared" ref="AZ189:BA189" si="392">sum(AN189,AQ189,AT189,AW189)</f>
        <v>0</v>
      </c>
      <c r="BA189" s="1">
        <f t="shared" si="392"/>
        <v>0</v>
      </c>
      <c r="BB189" s="17" t="str">
        <f t="shared" si="20"/>
        <v/>
      </c>
    </row>
    <row r="190">
      <c r="A190" s="1" t="str">
        <f>IFERROR(__xludf.DUMMYFUNCTION("""COMPUTED_VALUE"""),"63ef9d58384f27260c1ba3f3")</f>
        <v>63ef9d58384f27260c1ba3f3</v>
      </c>
      <c r="B190" s="1" t="str">
        <f>IFERROR(__xludf.DUMMYFUNCTION("""COMPUTED_VALUE"""),"GDL Telecomunicaciones S.A de C.V")</f>
        <v>GDL Telecomunicaciones S.A de C.V</v>
      </c>
      <c r="C190" s="1" t="str">
        <f>IFERROR(__xludf.DUMMYFUNCTION("""COMPUTED_VALUE"""),"hector.villa@al-enterprise.com")</f>
        <v>hector.villa@al-enterprise.com</v>
      </c>
      <c r="D190" s="1" t="str">
        <f>IFERROR(__xludf.DUMMYFUNCTION("""COMPUTED_VALUE"""),"americas")</f>
        <v>americas</v>
      </c>
      <c r="E190" s="1" t="str">
        <f>IFERROR(__xludf.DUMMYFUNCTION("""COMPUTED_VALUE"""),"MX")</f>
        <v>MX</v>
      </c>
      <c r="F190" s="1" t="str">
        <f>IFERROR(__xludf.DUMMYFUNCTION("""COMPUTED_VALUE"""),"expert_200")</f>
        <v>expert_200</v>
      </c>
      <c r="G190" s="1">
        <f>iferror(VLOOKUP(A190,'Business Plan Setup and Accepta'!A:G,6,false),"")</f>
        <v>0</v>
      </c>
      <c r="H190" s="1">
        <f>iferror(VLOOKUP(A190,'Business Plan Setup and Accepta'!A:G,7,false),"")</f>
        <v>1</v>
      </c>
      <c r="I190" s="17">
        <f t="shared" si="3"/>
        <v>0</v>
      </c>
      <c r="J190" s="1">
        <f>IFERROR(VALUE(SUBSTITUTE(VLOOKUP(A190,'Sales IN Revenues vs Sales targ'!A:G,6,false)," $","")), "")
</f>
        <v>179.8</v>
      </c>
      <c r="K190" s="1">
        <f>IFERROR(VALUE(SUBSTITUTE(VLOOKUP(A190,'Sales IN Revenues vs Sales targ'!A:G,7,false)," $","")), "")
</f>
        <v>0</v>
      </c>
      <c r="L190" s="17" t="str">
        <f t="shared" si="4"/>
        <v/>
      </c>
      <c r="M190" s="1">
        <f>value(SUBSTITUTE(IFERROR(VLOOKUP(A190,'Certifications achievements vs '!A:G,6,false),""),"#","")
)</f>
        <v>10</v>
      </c>
      <c r="N190" s="1">
        <f>value(SUBSTITUTE(IFERROR(VLOOKUP(A190,'Certifications achievements vs '!A:G,7,false),""),"#","")
)</f>
        <v>0</v>
      </c>
      <c r="O190" s="17" t="str">
        <f t="shared" si="5"/>
        <v/>
      </c>
      <c r="P190" s="1">
        <f>value(SUBSTITUTE(IFERROR(VLOOKUP(A190,'Communications - Solution Speci'!A:G,6,false),""),"#","")
)</f>
        <v>0</v>
      </c>
      <c r="Q190" s="1">
        <f>value(SUBSTITUTE(IFERROR(VLOOKUP(A190,'Communications - Solution Speci'!A:G,7,false),""),"#","")
)</f>
        <v>1</v>
      </c>
      <c r="R190" s="17">
        <f t="shared" si="6"/>
        <v>0</v>
      </c>
      <c r="S190" s="1">
        <f>value(SUBSTITUTE(IFERROR(VLOOKUP(A190,'Networking - Solution Specializ'!A:G,6,false),""),"#","")
)</f>
        <v>0</v>
      </c>
      <c r="T190" s="1">
        <f>value(SUBSTITUTE(IFERROR(VLOOKUP(A190,'Networking - Solution Specializ'!A:G,7,false),""),"#","")
)</f>
        <v>1</v>
      </c>
      <c r="U190" s="17">
        <f t="shared" si="7"/>
        <v>0</v>
      </c>
      <c r="V190" s="1">
        <f>iferror(vlookup(A190,'Marketing Plan (extract summary'!A:G,6,false),"")</f>
        <v>0</v>
      </c>
      <c r="W190" s="1">
        <f>iferror(vlookup(A190,'Marketing Plan (extract summary'!A:G,7,false),"")</f>
        <v>1</v>
      </c>
      <c r="X190" s="17">
        <f t="shared" si="8"/>
        <v>0</v>
      </c>
      <c r="Y190" s="1">
        <f>value(IFERROR(SUBSTITUTE(SUBSTITUTE(VLOOKUP(A190,'Quarterly Pipeline vs Target Pi'!A:G,6,false)," $","")," €",""), "")
)</f>
        <v>16.59</v>
      </c>
      <c r="Z190" s="1">
        <f>value(IFERROR(SUBSTITUTE(SUBSTITUTE(VLOOKUP(A190,'Quarterly Pipeline vs Target Pi'!A:G,7,false)," $","")," €",""), "")
)</f>
        <v>0</v>
      </c>
      <c r="AA190" s="17" t="str">
        <f t="shared" si="9"/>
        <v/>
      </c>
      <c r="AB190" s="1">
        <f>value(IFERROR(SUBSTITUTE(SUBSTITUTE(VLOOKUP($A190,'Quarterly Pipeline vs Target Pi'!$A:$V,11,false)," $","")," €",""), "")
)</f>
        <v>43.77</v>
      </c>
      <c r="AC190" s="1">
        <f>value(IFERROR(SUBSTITUTE(SUBSTITUTE(VLOOKUP($A190,'Quarterly Pipeline vs Target Pi'!$A:$V,12,false)," $","")," €",""), "")
)</f>
        <v>0</v>
      </c>
      <c r="AD190" s="17" t="str">
        <f t="shared" si="10"/>
        <v/>
      </c>
      <c r="AE190" s="1">
        <f>value(IFERROR(SUBSTITUTE(SUBSTITUTE(VLOOKUP($A190,'Quarterly Pipeline vs Target Pi'!$A:$V,16,false)," $","")," €",""), "")
)</f>
        <v>30</v>
      </c>
      <c r="AF190" s="1">
        <f>value(IFERROR(SUBSTITUTE(SUBSTITUTE(VLOOKUP($A190,'Quarterly Pipeline vs Target Pi'!$A:$V,17,false)," $","")," €",""), "")
)</f>
        <v>0</v>
      </c>
      <c r="AG190" s="17" t="str">
        <f t="shared" si="11"/>
        <v/>
      </c>
      <c r="AH190" s="1">
        <f>value(IFERROR(SUBSTITUTE(SUBSTITUTE(VLOOKUP($A190,'Quarterly Pipeline vs Target Pi'!$A:$V,21,false)," $","")," €",""), "")
)</f>
        <v>34.99</v>
      </c>
      <c r="AI190" s="1">
        <f>value(IFERROR(SUBSTITUTE(SUBSTITUTE(VLOOKUP($A190,'Quarterly Pipeline vs Target Pi'!$A:$V,22,false)," $","")," €",""), "")
)</f>
        <v>0</v>
      </c>
      <c r="AJ190" s="17" t="str">
        <f t="shared" si="12"/>
        <v/>
      </c>
      <c r="AK190" s="1">
        <f t="shared" ref="AK190:AL190" si="393">sum(Y190,AB190,AE190,AH190)</f>
        <v>125.35</v>
      </c>
      <c r="AL190" s="1">
        <f t="shared" si="393"/>
        <v>0</v>
      </c>
      <c r="AM190" s="17" t="str">
        <f t="shared" si="14"/>
        <v/>
      </c>
      <c r="AN190" s="1">
        <f>value(IFERROR(SUBSTITUTE(SUBSTITUTE(VLOOKUP($A190,'Quarterly Pipeline vs Target Pi'!$A:$AP,26,false)," $","")," €",""), "")
)</f>
        <v>0</v>
      </c>
      <c r="AO190" s="1">
        <f>value(IFERROR(SUBSTITUTE(SUBSTITUTE(VLOOKUP($A190,'Quarterly Pipeline vs Target Pi'!$A:$AP,27,false)," $","")," €",""), "")
)</f>
        <v>0</v>
      </c>
      <c r="AP190" s="17" t="str">
        <f t="shared" si="15"/>
        <v/>
      </c>
      <c r="AQ190" s="1">
        <f>value(IFERROR(SUBSTITUTE(SUBSTITUTE(VLOOKUP($A190,'Quarterly Pipeline vs Target Pi'!$A:$AP,31,false)," $","")," €",""), "")
)</f>
        <v>0</v>
      </c>
      <c r="AR190" s="1">
        <f>value(IFERROR(SUBSTITUTE(SUBSTITUTE(VLOOKUP($A190,'Quarterly Pipeline vs Target Pi'!$A:$AP,32,false)," $","")," €",""), "")
)</f>
        <v>0</v>
      </c>
      <c r="AS190" s="17" t="str">
        <f t="shared" si="16"/>
        <v/>
      </c>
      <c r="AT190" s="1">
        <f>value(IFERROR(SUBSTITUTE(SUBSTITUTE(VLOOKUP($A190,'Quarterly Pipeline vs Target Pi'!$A:$AP,36,false)," $","")," €",""), "")
)</f>
        <v>0</v>
      </c>
      <c r="AU190" s="1">
        <f>value(IFERROR(SUBSTITUTE(SUBSTITUTE(VLOOKUP($A190,'Quarterly Pipeline vs Target Pi'!$A:$AP,37,false)," $","")," €",""), "")
)</f>
        <v>0</v>
      </c>
      <c r="AV190" s="17" t="str">
        <f t="shared" si="17"/>
        <v/>
      </c>
      <c r="AW190" s="1">
        <f>value(IFERROR(SUBSTITUTE(SUBSTITUTE(VLOOKUP($A190,'Quarterly Pipeline vs Target Pi'!$A:$AP,41,false)," $","")," €",""), "")
)</f>
        <v>0</v>
      </c>
      <c r="AX190" s="1">
        <f>value(IFERROR(SUBSTITUTE(SUBSTITUTE(VLOOKUP($A190,'Quarterly Pipeline vs Target Pi'!$A:$AP,42,false)," $","")," €",""), "")
)</f>
        <v>0</v>
      </c>
      <c r="AY190" s="17" t="str">
        <f t="shared" si="18"/>
        <v/>
      </c>
      <c r="AZ190" s="1">
        <f t="shared" ref="AZ190:BA190" si="394">sum(AN190,AQ190,AT190,AW190)</f>
        <v>0</v>
      </c>
      <c r="BA190" s="1">
        <f t="shared" si="394"/>
        <v>0</v>
      </c>
      <c r="BB190" s="17" t="str">
        <f t="shared" si="20"/>
        <v/>
      </c>
    </row>
    <row r="191">
      <c r="A191" s="1" t="str">
        <f>IFERROR(__xludf.DUMMYFUNCTION("""COMPUTED_VALUE"""),"63ced848c5c820531c268d02")</f>
        <v>63ced848c5c820531c268d02</v>
      </c>
      <c r="B191" s="1" t="str">
        <f>IFERROR(__xludf.DUMMYFUNCTION("""COMPUTED_VALUE"""),"GE - ALSTOM POWER INC")</f>
        <v>GE - ALSTOM POWER INC</v>
      </c>
      <c r="C191" s="1" t="str">
        <f>IFERROR(__xludf.DUMMYFUNCTION("""COMPUTED_VALUE"""),"brendan.flaherty@al-enterprise.com")</f>
        <v>brendan.flaherty@al-enterprise.com</v>
      </c>
      <c r="D191" s="1" t="str">
        <f>IFERROR(__xludf.DUMMYFUNCTION("""COMPUTED_VALUE"""),"americas")</f>
        <v>americas</v>
      </c>
      <c r="E191" s="1" t="str">
        <f>IFERROR(__xludf.DUMMYFUNCTION("""COMPUTED_VALUE"""),"US")</f>
        <v>US</v>
      </c>
      <c r="F191" s="1"/>
      <c r="G191" s="1" t="str">
        <f>iferror(VLOOKUP(A191,'Business Plan Setup and Accepta'!A:G,6,false),"")</f>
        <v/>
      </c>
      <c r="H191" s="1" t="str">
        <f>iferror(VLOOKUP(A191,'Business Plan Setup and Accepta'!A:G,7,false),"")</f>
        <v/>
      </c>
      <c r="I191" s="17" t="str">
        <f t="shared" si="3"/>
        <v/>
      </c>
      <c r="J191" s="1" t="str">
        <f>IFERROR(VALUE(SUBSTITUTE(VLOOKUP(A191,'Sales IN Revenues vs Sales targ'!A:G,6,false)," $","")), "")
</f>
        <v/>
      </c>
      <c r="K191" s="1" t="str">
        <f>IFERROR(VALUE(SUBSTITUTE(VLOOKUP(A191,'Sales IN Revenues vs Sales targ'!A:G,7,false)," $","")), "")
</f>
        <v/>
      </c>
      <c r="L191" s="17" t="str">
        <f t="shared" si="4"/>
        <v/>
      </c>
      <c r="M191" s="1">
        <f>value(SUBSTITUTE(IFERROR(VLOOKUP(A191,'Certifications achievements vs '!A:G,6,false),""),"#","")
)</f>
        <v>0</v>
      </c>
      <c r="N191" s="1">
        <f>value(SUBSTITUTE(IFERROR(VLOOKUP(A191,'Certifications achievements vs '!A:G,7,false),""),"#","")
)</f>
        <v>0</v>
      </c>
      <c r="O191" s="17" t="str">
        <f t="shared" si="5"/>
        <v/>
      </c>
      <c r="P191" s="1">
        <f>value(SUBSTITUTE(IFERROR(VLOOKUP(A191,'Communications - Solution Speci'!A:G,6,false),""),"#","")
)</f>
        <v>0</v>
      </c>
      <c r="Q191" s="1">
        <f>value(SUBSTITUTE(IFERROR(VLOOKUP(A191,'Communications - Solution Speci'!A:G,7,false),""),"#","")
)</f>
        <v>0</v>
      </c>
      <c r="R191" s="17" t="str">
        <f t="shared" si="6"/>
        <v/>
      </c>
      <c r="S191" s="1">
        <f>value(SUBSTITUTE(IFERROR(VLOOKUP(A191,'Networking - Solution Specializ'!A:G,6,false),""),"#","")
)</f>
        <v>0</v>
      </c>
      <c r="T191" s="1">
        <f>value(SUBSTITUTE(IFERROR(VLOOKUP(A191,'Networking - Solution Specializ'!A:G,7,false),""),"#","")
)</f>
        <v>0</v>
      </c>
      <c r="U191" s="17" t="str">
        <f t="shared" si="7"/>
        <v/>
      </c>
      <c r="V191" s="1" t="str">
        <f>iferror(vlookup(A191,'Marketing Plan (extract summary'!A:G,6,false),"")</f>
        <v/>
      </c>
      <c r="W191" s="1" t="str">
        <f>iferror(vlookup(A191,'Marketing Plan (extract summary'!A:G,7,false),"")</f>
        <v/>
      </c>
      <c r="X191" s="17" t="str">
        <f t="shared" si="8"/>
        <v/>
      </c>
      <c r="Y191" s="1">
        <f>value(IFERROR(SUBSTITUTE(SUBSTITUTE(VLOOKUP(A191,'Quarterly Pipeline vs Target Pi'!A:G,6,false)," $","")," €",""), "")
)</f>
        <v>0</v>
      </c>
      <c r="Z191" s="1">
        <f>value(IFERROR(SUBSTITUTE(SUBSTITUTE(VLOOKUP(A191,'Quarterly Pipeline vs Target Pi'!A:G,7,false)," $","")," €",""), "")
)</f>
        <v>0</v>
      </c>
      <c r="AA191" s="17" t="str">
        <f t="shared" si="9"/>
        <v/>
      </c>
      <c r="AB191" s="1">
        <f>value(IFERROR(SUBSTITUTE(SUBSTITUTE(VLOOKUP($A191,'Quarterly Pipeline vs Target Pi'!$A:$V,11,false)," $","")," €",""), "")
)</f>
        <v>0</v>
      </c>
      <c r="AC191" s="1">
        <f>value(IFERROR(SUBSTITUTE(SUBSTITUTE(VLOOKUP($A191,'Quarterly Pipeline vs Target Pi'!$A:$V,12,false)," $","")," €",""), "")
)</f>
        <v>0</v>
      </c>
      <c r="AD191" s="17" t="str">
        <f t="shared" si="10"/>
        <v/>
      </c>
      <c r="AE191" s="1">
        <f>value(IFERROR(SUBSTITUTE(SUBSTITUTE(VLOOKUP($A191,'Quarterly Pipeline vs Target Pi'!$A:$V,16,false)," $","")," €",""), "")
)</f>
        <v>0</v>
      </c>
      <c r="AF191" s="1">
        <f>value(IFERROR(SUBSTITUTE(SUBSTITUTE(VLOOKUP($A191,'Quarterly Pipeline vs Target Pi'!$A:$V,17,false)," $","")," €",""), "")
)</f>
        <v>0</v>
      </c>
      <c r="AG191" s="17" t="str">
        <f t="shared" si="11"/>
        <v/>
      </c>
      <c r="AH191" s="1">
        <f>value(IFERROR(SUBSTITUTE(SUBSTITUTE(VLOOKUP($A191,'Quarterly Pipeline vs Target Pi'!$A:$V,21,false)," $","")," €",""), "")
)</f>
        <v>0</v>
      </c>
      <c r="AI191" s="1">
        <f>value(IFERROR(SUBSTITUTE(SUBSTITUTE(VLOOKUP($A191,'Quarterly Pipeline vs Target Pi'!$A:$V,22,false)," $","")," €",""), "")
)</f>
        <v>0</v>
      </c>
      <c r="AJ191" s="17" t="str">
        <f t="shared" si="12"/>
        <v/>
      </c>
      <c r="AK191" s="1">
        <f t="shared" ref="AK191:AL191" si="395">sum(Y191,AB191,AE191,AH191)</f>
        <v>0</v>
      </c>
      <c r="AL191" s="1">
        <f t="shared" si="395"/>
        <v>0</v>
      </c>
      <c r="AM191" s="17" t="str">
        <f t="shared" si="14"/>
        <v/>
      </c>
      <c r="AN191" s="1">
        <f>value(IFERROR(SUBSTITUTE(SUBSTITUTE(VLOOKUP($A191,'Quarterly Pipeline vs Target Pi'!$A:$AP,26,false)," $","")," €",""), "")
)</f>
        <v>0</v>
      </c>
      <c r="AO191" s="1">
        <f>value(IFERROR(SUBSTITUTE(SUBSTITUTE(VLOOKUP($A191,'Quarterly Pipeline vs Target Pi'!$A:$AP,27,false)," $","")," €",""), "")
)</f>
        <v>0</v>
      </c>
      <c r="AP191" s="17" t="str">
        <f t="shared" si="15"/>
        <v/>
      </c>
      <c r="AQ191" s="1">
        <f>value(IFERROR(SUBSTITUTE(SUBSTITUTE(VLOOKUP($A191,'Quarterly Pipeline vs Target Pi'!$A:$AP,31,false)," $","")," €",""), "")
)</f>
        <v>0</v>
      </c>
      <c r="AR191" s="1">
        <f>value(IFERROR(SUBSTITUTE(SUBSTITUTE(VLOOKUP($A191,'Quarterly Pipeline vs Target Pi'!$A:$AP,32,false)," $","")," €",""), "")
)</f>
        <v>0</v>
      </c>
      <c r="AS191" s="17" t="str">
        <f t="shared" si="16"/>
        <v/>
      </c>
      <c r="AT191" s="1">
        <f>value(IFERROR(SUBSTITUTE(SUBSTITUTE(VLOOKUP($A191,'Quarterly Pipeline vs Target Pi'!$A:$AP,36,false)," $","")," €",""), "")
)</f>
        <v>0</v>
      </c>
      <c r="AU191" s="1">
        <f>value(IFERROR(SUBSTITUTE(SUBSTITUTE(VLOOKUP($A191,'Quarterly Pipeline vs Target Pi'!$A:$AP,37,false)," $","")," €",""), "")
)</f>
        <v>0</v>
      </c>
      <c r="AV191" s="17" t="str">
        <f t="shared" si="17"/>
        <v/>
      </c>
      <c r="AW191" s="1">
        <f>value(IFERROR(SUBSTITUTE(SUBSTITUTE(VLOOKUP($A191,'Quarterly Pipeline vs Target Pi'!$A:$AP,41,false)," $","")," €",""), "")
)</f>
        <v>0</v>
      </c>
      <c r="AX191" s="1">
        <f>value(IFERROR(SUBSTITUTE(SUBSTITUTE(VLOOKUP($A191,'Quarterly Pipeline vs Target Pi'!$A:$AP,42,false)," $","")," €",""), "")
)</f>
        <v>0</v>
      </c>
      <c r="AY191" s="17" t="str">
        <f t="shared" si="18"/>
        <v/>
      </c>
      <c r="AZ191" s="1">
        <f t="shared" ref="AZ191:BA191" si="396">sum(AN191,AQ191,AT191,AW191)</f>
        <v>0</v>
      </c>
      <c r="BA191" s="1">
        <f t="shared" si="396"/>
        <v>0</v>
      </c>
      <c r="BB191" s="17" t="str">
        <f t="shared" si="20"/>
        <v/>
      </c>
    </row>
    <row r="192">
      <c r="A192" s="1" t="str">
        <f>IFERROR(__xludf.DUMMYFUNCTION("""COMPUTED_VALUE"""),"63ea6e9652ad6968805cf021")</f>
        <v>63ea6e9652ad6968805cf021</v>
      </c>
      <c r="B192" s="1" t="str">
        <f>IFERROR(__xludf.DUMMYFUNCTION("""COMPUTED_VALUE"""),"GECKO mbh")</f>
        <v>GECKO mbh</v>
      </c>
      <c r="C192" s="1" t="str">
        <f>IFERROR(__xludf.DUMMYFUNCTION("""COMPUTED_VALUE"""),"andreas.grossheimann@al-enterprise.com, andre.ramm@al-enterprise.com")</f>
        <v>andreas.grossheimann@al-enterprise.com, andre.ramm@al-enterprise.com</v>
      </c>
      <c r="D192" s="1" t="str">
        <f>IFERROR(__xludf.DUMMYFUNCTION("""COMPUTED_VALUE"""),"germany")</f>
        <v>germany</v>
      </c>
      <c r="E192" s="1" t="str">
        <f>IFERROR(__xludf.DUMMYFUNCTION("""COMPUTED_VALUE"""),"DE")</f>
        <v>DE</v>
      </c>
      <c r="F192" s="1"/>
      <c r="G192" s="1" t="str">
        <f>iferror(VLOOKUP(A192,'Business Plan Setup and Accepta'!A:G,6,false),"")</f>
        <v/>
      </c>
      <c r="H192" s="1" t="str">
        <f>iferror(VLOOKUP(A192,'Business Plan Setup and Accepta'!A:G,7,false),"")</f>
        <v/>
      </c>
      <c r="I192" s="17" t="str">
        <f t="shared" si="3"/>
        <v/>
      </c>
      <c r="J192" s="1" t="str">
        <f>IFERROR(VALUE(SUBSTITUTE(VLOOKUP(A192,'Sales IN Revenues vs Sales targ'!A:G,6,false)," $","")), "")
</f>
        <v/>
      </c>
      <c r="K192" s="1" t="str">
        <f>IFERROR(VALUE(SUBSTITUTE(VLOOKUP(A192,'Sales IN Revenues vs Sales targ'!A:G,7,false)," $","")), "")
</f>
        <v/>
      </c>
      <c r="L192" s="17" t="str">
        <f t="shared" si="4"/>
        <v/>
      </c>
      <c r="M192" s="1">
        <f>value(SUBSTITUTE(IFERROR(VLOOKUP(A192,'Certifications achievements vs '!A:G,6,false),""),"#","")
)</f>
        <v>0</v>
      </c>
      <c r="N192" s="1">
        <f>value(SUBSTITUTE(IFERROR(VLOOKUP(A192,'Certifications achievements vs '!A:G,7,false),""),"#","")
)</f>
        <v>0</v>
      </c>
      <c r="O192" s="17" t="str">
        <f t="shared" si="5"/>
        <v/>
      </c>
      <c r="P192" s="1">
        <f>value(SUBSTITUTE(IFERROR(VLOOKUP(A192,'Communications - Solution Speci'!A:G,6,false),""),"#","")
)</f>
        <v>0</v>
      </c>
      <c r="Q192" s="1">
        <f>value(SUBSTITUTE(IFERROR(VLOOKUP(A192,'Communications - Solution Speci'!A:G,7,false),""),"#","")
)</f>
        <v>0</v>
      </c>
      <c r="R192" s="17" t="str">
        <f t="shared" si="6"/>
        <v/>
      </c>
      <c r="S192" s="1">
        <f>value(SUBSTITUTE(IFERROR(VLOOKUP(A192,'Networking - Solution Specializ'!A:G,6,false),""),"#","")
)</f>
        <v>0</v>
      </c>
      <c r="T192" s="1">
        <f>value(SUBSTITUTE(IFERROR(VLOOKUP(A192,'Networking - Solution Specializ'!A:G,7,false),""),"#","")
)</f>
        <v>0</v>
      </c>
      <c r="U192" s="17" t="str">
        <f t="shared" si="7"/>
        <v/>
      </c>
      <c r="V192" s="1" t="str">
        <f>iferror(vlookup(A192,'Marketing Plan (extract summary'!A:G,6,false),"")</f>
        <v/>
      </c>
      <c r="W192" s="1" t="str">
        <f>iferror(vlookup(A192,'Marketing Plan (extract summary'!A:G,7,false),"")</f>
        <v/>
      </c>
      <c r="X192" s="17" t="str">
        <f t="shared" si="8"/>
        <v/>
      </c>
      <c r="Y192" s="1">
        <f>value(IFERROR(SUBSTITUTE(SUBSTITUTE(VLOOKUP(A192,'Quarterly Pipeline vs Target Pi'!A:G,6,false)," $","")," €",""), "")
)</f>
        <v>0</v>
      </c>
      <c r="Z192" s="1">
        <f>value(IFERROR(SUBSTITUTE(SUBSTITUTE(VLOOKUP(A192,'Quarterly Pipeline vs Target Pi'!A:G,7,false)," $","")," €",""), "")
)</f>
        <v>0</v>
      </c>
      <c r="AA192" s="17" t="str">
        <f t="shared" si="9"/>
        <v/>
      </c>
      <c r="AB192" s="1">
        <f>value(IFERROR(SUBSTITUTE(SUBSTITUTE(VLOOKUP($A192,'Quarterly Pipeline vs Target Pi'!$A:$V,11,false)," $","")," €",""), "")
)</f>
        <v>0</v>
      </c>
      <c r="AC192" s="1">
        <f>value(IFERROR(SUBSTITUTE(SUBSTITUTE(VLOOKUP($A192,'Quarterly Pipeline vs Target Pi'!$A:$V,12,false)," $","")," €",""), "")
)</f>
        <v>0</v>
      </c>
      <c r="AD192" s="17" t="str">
        <f t="shared" si="10"/>
        <v/>
      </c>
      <c r="AE192" s="1">
        <f>value(IFERROR(SUBSTITUTE(SUBSTITUTE(VLOOKUP($A192,'Quarterly Pipeline vs Target Pi'!$A:$V,16,false)," $","")," €",""), "")
)</f>
        <v>0</v>
      </c>
      <c r="AF192" s="1">
        <f>value(IFERROR(SUBSTITUTE(SUBSTITUTE(VLOOKUP($A192,'Quarterly Pipeline vs Target Pi'!$A:$V,17,false)," $","")," €",""), "")
)</f>
        <v>0</v>
      </c>
      <c r="AG192" s="17" t="str">
        <f t="shared" si="11"/>
        <v/>
      </c>
      <c r="AH192" s="1">
        <f>value(IFERROR(SUBSTITUTE(SUBSTITUTE(VLOOKUP($A192,'Quarterly Pipeline vs Target Pi'!$A:$V,21,false)," $","")," €",""), "")
)</f>
        <v>0</v>
      </c>
      <c r="AI192" s="1">
        <f>value(IFERROR(SUBSTITUTE(SUBSTITUTE(VLOOKUP($A192,'Quarterly Pipeline vs Target Pi'!$A:$V,22,false)," $","")," €",""), "")
)</f>
        <v>0</v>
      </c>
      <c r="AJ192" s="17" t="str">
        <f t="shared" si="12"/>
        <v/>
      </c>
      <c r="AK192" s="1">
        <f t="shared" ref="AK192:AL192" si="397">sum(Y192,AB192,AE192,AH192)</f>
        <v>0</v>
      </c>
      <c r="AL192" s="1">
        <f t="shared" si="397"/>
        <v>0</v>
      </c>
      <c r="AM192" s="17" t="str">
        <f t="shared" si="14"/>
        <v/>
      </c>
      <c r="AN192" s="1">
        <f>value(IFERROR(SUBSTITUTE(SUBSTITUTE(VLOOKUP($A192,'Quarterly Pipeline vs Target Pi'!$A:$AP,26,false)," $","")," €",""), "")
)</f>
        <v>0</v>
      </c>
      <c r="AO192" s="1">
        <f>value(IFERROR(SUBSTITUTE(SUBSTITUTE(VLOOKUP($A192,'Quarterly Pipeline vs Target Pi'!$A:$AP,27,false)," $","")," €",""), "")
)</f>
        <v>0</v>
      </c>
      <c r="AP192" s="17" t="str">
        <f t="shared" si="15"/>
        <v/>
      </c>
      <c r="AQ192" s="1">
        <f>value(IFERROR(SUBSTITUTE(SUBSTITUTE(VLOOKUP($A192,'Quarterly Pipeline vs Target Pi'!$A:$AP,31,false)," $","")," €",""), "")
)</f>
        <v>0</v>
      </c>
      <c r="AR192" s="1">
        <f>value(IFERROR(SUBSTITUTE(SUBSTITUTE(VLOOKUP($A192,'Quarterly Pipeline vs Target Pi'!$A:$AP,32,false)," $","")," €",""), "")
)</f>
        <v>0</v>
      </c>
      <c r="AS192" s="17" t="str">
        <f t="shared" si="16"/>
        <v/>
      </c>
      <c r="AT192" s="1">
        <f>value(IFERROR(SUBSTITUTE(SUBSTITUTE(VLOOKUP($A192,'Quarterly Pipeline vs Target Pi'!$A:$AP,36,false)," $","")," €",""), "")
)</f>
        <v>0</v>
      </c>
      <c r="AU192" s="1">
        <f>value(IFERROR(SUBSTITUTE(SUBSTITUTE(VLOOKUP($A192,'Quarterly Pipeline vs Target Pi'!$A:$AP,37,false)," $","")," €",""), "")
)</f>
        <v>0</v>
      </c>
      <c r="AV192" s="17" t="str">
        <f t="shared" si="17"/>
        <v/>
      </c>
      <c r="AW192" s="1">
        <f>value(IFERROR(SUBSTITUTE(SUBSTITUTE(VLOOKUP($A192,'Quarterly Pipeline vs Target Pi'!$A:$AP,41,false)," $","")," €",""), "")
)</f>
        <v>0</v>
      </c>
      <c r="AX192" s="1">
        <f>value(IFERROR(SUBSTITUTE(SUBSTITUTE(VLOOKUP($A192,'Quarterly Pipeline vs Target Pi'!$A:$AP,42,false)," $","")," €",""), "")
)</f>
        <v>0</v>
      </c>
      <c r="AY192" s="17" t="str">
        <f t="shared" si="18"/>
        <v/>
      </c>
      <c r="AZ192" s="1">
        <f t="shared" ref="AZ192:BA192" si="398">sum(AN192,AQ192,AT192,AW192)</f>
        <v>0</v>
      </c>
      <c r="BA192" s="1">
        <f t="shared" si="398"/>
        <v>0</v>
      </c>
      <c r="BB192" s="17" t="str">
        <f t="shared" si="20"/>
        <v/>
      </c>
    </row>
    <row r="193">
      <c r="A193" s="1" t="str">
        <f>IFERROR(__xludf.DUMMYFUNCTION("""COMPUTED_VALUE"""),"63ced84ec5c820531c269950")</f>
        <v>63ced84ec5c820531c269950</v>
      </c>
      <c r="B193" s="1" t="str">
        <f>IFERROR(__xludf.DUMMYFUNCTION("""COMPUTED_VALUE"""),"Genie Innovations, LLC")</f>
        <v>Genie Innovations, LLC</v>
      </c>
      <c r="C193" s="1" t="str">
        <f>IFERROR(__xludf.DUMMYFUNCTION("""COMPUTED_VALUE"""),"brendan.flaherty@al-enterprise.com")</f>
        <v>brendan.flaherty@al-enterprise.com</v>
      </c>
      <c r="D193" s="1" t="str">
        <f>IFERROR(__xludf.DUMMYFUNCTION("""COMPUTED_VALUE"""),"americas")</f>
        <v>americas</v>
      </c>
      <c r="E193" s="1" t="str">
        <f>IFERROR(__xludf.DUMMYFUNCTION("""COMPUTED_VALUE"""),"US")</f>
        <v>US</v>
      </c>
      <c r="F193" s="1"/>
      <c r="G193" s="1" t="str">
        <f>iferror(VLOOKUP(A193,'Business Plan Setup and Accepta'!A:G,6,false),"")</f>
        <v/>
      </c>
      <c r="H193" s="1" t="str">
        <f>iferror(VLOOKUP(A193,'Business Plan Setup and Accepta'!A:G,7,false),"")</f>
        <v/>
      </c>
      <c r="I193" s="17" t="str">
        <f t="shared" si="3"/>
        <v/>
      </c>
      <c r="J193" s="1" t="str">
        <f>IFERROR(VALUE(SUBSTITUTE(VLOOKUP(A193,'Sales IN Revenues vs Sales targ'!A:G,6,false)," $","")), "")
</f>
        <v/>
      </c>
      <c r="K193" s="1" t="str">
        <f>IFERROR(VALUE(SUBSTITUTE(VLOOKUP(A193,'Sales IN Revenues vs Sales targ'!A:G,7,false)," $","")), "")
</f>
        <v/>
      </c>
      <c r="L193" s="17" t="str">
        <f t="shared" si="4"/>
        <v/>
      </c>
      <c r="M193" s="1">
        <f>value(SUBSTITUTE(IFERROR(VLOOKUP(A193,'Certifications achievements vs '!A:G,6,false),""),"#","")
)</f>
        <v>0</v>
      </c>
      <c r="N193" s="1">
        <f>value(SUBSTITUTE(IFERROR(VLOOKUP(A193,'Certifications achievements vs '!A:G,7,false),""),"#","")
)</f>
        <v>0</v>
      </c>
      <c r="O193" s="17" t="str">
        <f t="shared" si="5"/>
        <v/>
      </c>
      <c r="P193" s="1">
        <f>value(SUBSTITUTE(IFERROR(VLOOKUP(A193,'Communications - Solution Speci'!A:G,6,false),""),"#","")
)</f>
        <v>0</v>
      </c>
      <c r="Q193" s="1">
        <f>value(SUBSTITUTE(IFERROR(VLOOKUP(A193,'Communications - Solution Speci'!A:G,7,false),""),"#","")
)</f>
        <v>0</v>
      </c>
      <c r="R193" s="17" t="str">
        <f t="shared" si="6"/>
        <v/>
      </c>
      <c r="S193" s="1">
        <f>value(SUBSTITUTE(IFERROR(VLOOKUP(A193,'Networking - Solution Specializ'!A:G,6,false),""),"#","")
)</f>
        <v>0</v>
      </c>
      <c r="T193" s="1">
        <f>value(SUBSTITUTE(IFERROR(VLOOKUP(A193,'Networking - Solution Specializ'!A:G,7,false),""),"#","")
)</f>
        <v>0</v>
      </c>
      <c r="U193" s="17" t="str">
        <f t="shared" si="7"/>
        <v/>
      </c>
      <c r="V193" s="1" t="str">
        <f>iferror(vlookup(A193,'Marketing Plan (extract summary'!A:G,6,false),"")</f>
        <v/>
      </c>
      <c r="W193" s="1" t="str">
        <f>iferror(vlookup(A193,'Marketing Plan (extract summary'!A:G,7,false),"")</f>
        <v/>
      </c>
      <c r="X193" s="17" t="str">
        <f t="shared" si="8"/>
        <v/>
      </c>
      <c r="Y193" s="1">
        <f>value(IFERROR(SUBSTITUTE(SUBSTITUTE(VLOOKUP(A193,'Quarterly Pipeline vs Target Pi'!A:G,6,false)," $","")," €",""), "")
)</f>
        <v>0</v>
      </c>
      <c r="Z193" s="1">
        <f>value(IFERROR(SUBSTITUTE(SUBSTITUTE(VLOOKUP(A193,'Quarterly Pipeline vs Target Pi'!A:G,7,false)," $","")," €",""), "")
)</f>
        <v>0</v>
      </c>
      <c r="AA193" s="17" t="str">
        <f t="shared" si="9"/>
        <v/>
      </c>
      <c r="AB193" s="1">
        <f>value(IFERROR(SUBSTITUTE(SUBSTITUTE(VLOOKUP($A193,'Quarterly Pipeline vs Target Pi'!$A:$V,11,false)," $","")," €",""), "")
)</f>
        <v>0</v>
      </c>
      <c r="AC193" s="1">
        <f>value(IFERROR(SUBSTITUTE(SUBSTITUTE(VLOOKUP($A193,'Quarterly Pipeline vs Target Pi'!$A:$V,12,false)," $","")," €",""), "")
)</f>
        <v>0</v>
      </c>
      <c r="AD193" s="17" t="str">
        <f t="shared" si="10"/>
        <v/>
      </c>
      <c r="AE193" s="1">
        <f>value(IFERROR(SUBSTITUTE(SUBSTITUTE(VLOOKUP($A193,'Quarterly Pipeline vs Target Pi'!$A:$V,16,false)," $","")," €",""), "")
)</f>
        <v>0</v>
      </c>
      <c r="AF193" s="1">
        <f>value(IFERROR(SUBSTITUTE(SUBSTITUTE(VLOOKUP($A193,'Quarterly Pipeline vs Target Pi'!$A:$V,17,false)," $","")," €",""), "")
)</f>
        <v>0</v>
      </c>
      <c r="AG193" s="17" t="str">
        <f t="shared" si="11"/>
        <v/>
      </c>
      <c r="AH193" s="1">
        <f>value(IFERROR(SUBSTITUTE(SUBSTITUTE(VLOOKUP($A193,'Quarterly Pipeline vs Target Pi'!$A:$V,21,false)," $","")," €",""), "")
)</f>
        <v>0</v>
      </c>
      <c r="AI193" s="1">
        <f>value(IFERROR(SUBSTITUTE(SUBSTITUTE(VLOOKUP($A193,'Quarterly Pipeline vs Target Pi'!$A:$V,22,false)," $","")," €",""), "")
)</f>
        <v>0</v>
      </c>
      <c r="AJ193" s="17" t="str">
        <f t="shared" si="12"/>
        <v/>
      </c>
      <c r="AK193" s="1">
        <f t="shared" ref="AK193:AL193" si="399">sum(Y193,AB193,AE193,AH193)</f>
        <v>0</v>
      </c>
      <c r="AL193" s="1">
        <f t="shared" si="399"/>
        <v>0</v>
      </c>
      <c r="AM193" s="17" t="str">
        <f t="shared" si="14"/>
        <v/>
      </c>
      <c r="AN193" s="1">
        <f>value(IFERROR(SUBSTITUTE(SUBSTITUTE(VLOOKUP($A193,'Quarterly Pipeline vs Target Pi'!$A:$AP,26,false)," $","")," €",""), "")
)</f>
        <v>0</v>
      </c>
      <c r="AO193" s="1">
        <f>value(IFERROR(SUBSTITUTE(SUBSTITUTE(VLOOKUP($A193,'Quarterly Pipeline vs Target Pi'!$A:$AP,27,false)," $","")," €",""), "")
)</f>
        <v>0</v>
      </c>
      <c r="AP193" s="17" t="str">
        <f t="shared" si="15"/>
        <v/>
      </c>
      <c r="AQ193" s="1">
        <f>value(IFERROR(SUBSTITUTE(SUBSTITUTE(VLOOKUP($A193,'Quarterly Pipeline vs Target Pi'!$A:$AP,31,false)," $","")," €",""), "")
)</f>
        <v>0</v>
      </c>
      <c r="AR193" s="1">
        <f>value(IFERROR(SUBSTITUTE(SUBSTITUTE(VLOOKUP($A193,'Quarterly Pipeline vs Target Pi'!$A:$AP,32,false)," $","")," €",""), "")
)</f>
        <v>0</v>
      </c>
      <c r="AS193" s="17" t="str">
        <f t="shared" si="16"/>
        <v/>
      </c>
      <c r="AT193" s="1">
        <f>value(IFERROR(SUBSTITUTE(SUBSTITUTE(VLOOKUP($A193,'Quarterly Pipeline vs Target Pi'!$A:$AP,36,false)," $","")," €",""), "")
)</f>
        <v>0</v>
      </c>
      <c r="AU193" s="1">
        <f>value(IFERROR(SUBSTITUTE(SUBSTITUTE(VLOOKUP($A193,'Quarterly Pipeline vs Target Pi'!$A:$AP,37,false)," $","")," €",""), "")
)</f>
        <v>0</v>
      </c>
      <c r="AV193" s="17" t="str">
        <f t="shared" si="17"/>
        <v/>
      </c>
      <c r="AW193" s="1">
        <f>value(IFERROR(SUBSTITUTE(SUBSTITUTE(VLOOKUP($A193,'Quarterly Pipeline vs Target Pi'!$A:$AP,41,false)," $","")," €",""), "")
)</f>
        <v>0</v>
      </c>
      <c r="AX193" s="1">
        <f>value(IFERROR(SUBSTITUTE(SUBSTITUTE(VLOOKUP($A193,'Quarterly Pipeline vs Target Pi'!$A:$AP,42,false)," $","")," €",""), "")
)</f>
        <v>0</v>
      </c>
      <c r="AY193" s="17" t="str">
        <f t="shared" si="18"/>
        <v/>
      </c>
      <c r="AZ193" s="1">
        <f t="shared" ref="AZ193:BA193" si="400">sum(AN193,AQ193,AT193,AW193)</f>
        <v>0</v>
      </c>
      <c r="BA193" s="1">
        <f t="shared" si="400"/>
        <v>0</v>
      </c>
      <c r="BB193" s="17" t="str">
        <f t="shared" si="20"/>
        <v/>
      </c>
    </row>
    <row r="194">
      <c r="A194" s="1" t="str">
        <f>IFERROR(__xludf.DUMMYFUNCTION("""COMPUTED_VALUE"""),"63ced849c5c820531c268fc3")</f>
        <v>63ced849c5c820531c268fc3</v>
      </c>
      <c r="B194" s="1" t="str">
        <f>IFERROR(__xludf.DUMMYFUNCTION("""COMPUTED_VALUE"""),"Gervasoni Ingenieria S.R.L.")</f>
        <v>Gervasoni Ingenieria S.R.L.</v>
      </c>
      <c r="C194" s="1" t="str">
        <f>IFERROR(__xludf.DUMMYFUNCTION("""COMPUTED_VALUE"""),"luis.arriagada@al-enterprise.com")</f>
        <v>luis.arriagada@al-enterprise.com</v>
      </c>
      <c r="D194" s="1" t="str">
        <f>IFERROR(__xludf.DUMMYFUNCTION("""COMPUTED_VALUE"""),"americas")</f>
        <v>americas</v>
      </c>
      <c r="E194" s="1" t="str">
        <f>IFERROR(__xludf.DUMMYFUNCTION("""COMPUTED_VALUE"""),"AR")</f>
        <v>AR</v>
      </c>
      <c r="F194" s="1"/>
      <c r="G194" s="1" t="str">
        <f>iferror(VLOOKUP(A194,'Business Plan Setup and Accepta'!A:G,6,false),"")</f>
        <v/>
      </c>
      <c r="H194" s="1" t="str">
        <f>iferror(VLOOKUP(A194,'Business Plan Setup and Accepta'!A:G,7,false),"")</f>
        <v/>
      </c>
      <c r="I194" s="17" t="str">
        <f t="shared" si="3"/>
        <v/>
      </c>
      <c r="J194" s="1" t="str">
        <f>IFERROR(VALUE(SUBSTITUTE(VLOOKUP(A194,'Sales IN Revenues vs Sales targ'!A:G,6,false)," $","")), "")
</f>
        <v/>
      </c>
      <c r="K194" s="1" t="str">
        <f>IFERROR(VALUE(SUBSTITUTE(VLOOKUP(A194,'Sales IN Revenues vs Sales targ'!A:G,7,false)," $","")), "")
</f>
        <v/>
      </c>
      <c r="L194" s="17" t="str">
        <f t="shared" si="4"/>
        <v/>
      </c>
      <c r="M194" s="1">
        <f>value(SUBSTITUTE(IFERROR(VLOOKUP(A194,'Certifications achievements vs '!A:G,6,false),""),"#","")
)</f>
        <v>12</v>
      </c>
      <c r="N194" s="1">
        <f>value(SUBSTITUTE(IFERROR(VLOOKUP(A194,'Certifications achievements vs '!A:G,7,false),""),"#","")
)</f>
        <v>0</v>
      </c>
      <c r="O194" s="17" t="str">
        <f t="shared" si="5"/>
        <v/>
      </c>
      <c r="P194" s="1">
        <f>value(SUBSTITUTE(IFERROR(VLOOKUP(A194,'Communications - Solution Speci'!A:G,6,false),""),"#","")
)</f>
        <v>0</v>
      </c>
      <c r="Q194" s="1">
        <f>value(SUBSTITUTE(IFERROR(VLOOKUP(A194,'Communications - Solution Speci'!A:G,7,false),""),"#","")
)</f>
        <v>0</v>
      </c>
      <c r="R194" s="17" t="str">
        <f t="shared" si="6"/>
        <v/>
      </c>
      <c r="S194" s="1">
        <f>value(SUBSTITUTE(IFERROR(VLOOKUP(A194,'Networking - Solution Specializ'!A:G,6,false),""),"#","")
)</f>
        <v>0</v>
      </c>
      <c r="T194" s="1">
        <f>value(SUBSTITUTE(IFERROR(VLOOKUP(A194,'Networking - Solution Specializ'!A:G,7,false),""),"#","")
)</f>
        <v>0</v>
      </c>
      <c r="U194" s="17" t="str">
        <f t="shared" si="7"/>
        <v/>
      </c>
      <c r="V194" s="1" t="str">
        <f>iferror(vlookup(A194,'Marketing Plan (extract summary'!A:G,6,false),"")</f>
        <v/>
      </c>
      <c r="W194" s="1" t="str">
        <f>iferror(vlookup(A194,'Marketing Plan (extract summary'!A:G,7,false),"")</f>
        <v/>
      </c>
      <c r="X194" s="17" t="str">
        <f t="shared" si="8"/>
        <v/>
      </c>
      <c r="Y194" s="1">
        <f>value(IFERROR(SUBSTITUTE(SUBSTITUTE(VLOOKUP(A194,'Quarterly Pipeline vs Target Pi'!A:G,6,false)," $","")," €",""), "")
)</f>
        <v>0</v>
      </c>
      <c r="Z194" s="1">
        <f>value(IFERROR(SUBSTITUTE(SUBSTITUTE(VLOOKUP(A194,'Quarterly Pipeline vs Target Pi'!A:G,7,false)," $","")," €",""), "")
)</f>
        <v>0</v>
      </c>
      <c r="AA194" s="17" t="str">
        <f t="shared" si="9"/>
        <v/>
      </c>
      <c r="AB194" s="1">
        <f>value(IFERROR(SUBSTITUTE(SUBSTITUTE(VLOOKUP($A194,'Quarterly Pipeline vs Target Pi'!$A:$V,11,false)," $","")," €",""), "")
)</f>
        <v>0</v>
      </c>
      <c r="AC194" s="1">
        <f>value(IFERROR(SUBSTITUTE(SUBSTITUTE(VLOOKUP($A194,'Quarterly Pipeline vs Target Pi'!$A:$V,12,false)," $","")," €",""), "")
)</f>
        <v>0</v>
      </c>
      <c r="AD194" s="17" t="str">
        <f t="shared" si="10"/>
        <v/>
      </c>
      <c r="AE194" s="1">
        <f>value(IFERROR(SUBSTITUTE(SUBSTITUTE(VLOOKUP($A194,'Quarterly Pipeline vs Target Pi'!$A:$V,16,false)," $","")," €",""), "")
)</f>
        <v>0</v>
      </c>
      <c r="AF194" s="1">
        <f>value(IFERROR(SUBSTITUTE(SUBSTITUTE(VLOOKUP($A194,'Quarterly Pipeline vs Target Pi'!$A:$V,17,false)," $","")," €",""), "")
)</f>
        <v>0</v>
      </c>
      <c r="AG194" s="17" t="str">
        <f t="shared" si="11"/>
        <v/>
      </c>
      <c r="AH194" s="1">
        <f>value(IFERROR(SUBSTITUTE(SUBSTITUTE(VLOOKUP($A194,'Quarterly Pipeline vs Target Pi'!$A:$V,21,false)," $","")," €",""), "")
)</f>
        <v>0</v>
      </c>
      <c r="AI194" s="1">
        <f>value(IFERROR(SUBSTITUTE(SUBSTITUTE(VLOOKUP($A194,'Quarterly Pipeline vs Target Pi'!$A:$V,22,false)," $","")," €",""), "")
)</f>
        <v>0</v>
      </c>
      <c r="AJ194" s="17" t="str">
        <f t="shared" si="12"/>
        <v/>
      </c>
      <c r="AK194" s="1">
        <f t="shared" ref="AK194:AL194" si="401">sum(Y194,AB194,AE194,AH194)</f>
        <v>0</v>
      </c>
      <c r="AL194" s="1">
        <f t="shared" si="401"/>
        <v>0</v>
      </c>
      <c r="AM194" s="17" t="str">
        <f t="shared" si="14"/>
        <v/>
      </c>
      <c r="AN194" s="1">
        <f>value(IFERROR(SUBSTITUTE(SUBSTITUTE(VLOOKUP($A194,'Quarterly Pipeline vs Target Pi'!$A:$AP,26,false)," $","")," €",""), "")
)</f>
        <v>0</v>
      </c>
      <c r="AO194" s="1">
        <f>value(IFERROR(SUBSTITUTE(SUBSTITUTE(VLOOKUP($A194,'Quarterly Pipeline vs Target Pi'!$A:$AP,27,false)," $","")," €",""), "")
)</f>
        <v>0</v>
      </c>
      <c r="AP194" s="17" t="str">
        <f t="shared" si="15"/>
        <v/>
      </c>
      <c r="AQ194" s="1">
        <f>value(IFERROR(SUBSTITUTE(SUBSTITUTE(VLOOKUP($A194,'Quarterly Pipeline vs Target Pi'!$A:$AP,31,false)," $","")," €",""), "")
)</f>
        <v>0</v>
      </c>
      <c r="AR194" s="1">
        <f>value(IFERROR(SUBSTITUTE(SUBSTITUTE(VLOOKUP($A194,'Quarterly Pipeline vs Target Pi'!$A:$AP,32,false)," $","")," €",""), "")
)</f>
        <v>0</v>
      </c>
      <c r="AS194" s="17" t="str">
        <f t="shared" si="16"/>
        <v/>
      </c>
      <c r="AT194" s="1">
        <f>value(IFERROR(SUBSTITUTE(SUBSTITUTE(VLOOKUP($A194,'Quarterly Pipeline vs Target Pi'!$A:$AP,36,false)," $","")," €",""), "")
)</f>
        <v>0</v>
      </c>
      <c r="AU194" s="1">
        <f>value(IFERROR(SUBSTITUTE(SUBSTITUTE(VLOOKUP($A194,'Quarterly Pipeline vs Target Pi'!$A:$AP,37,false)," $","")," €",""), "")
)</f>
        <v>0</v>
      </c>
      <c r="AV194" s="17" t="str">
        <f t="shared" si="17"/>
        <v/>
      </c>
      <c r="AW194" s="1">
        <f>value(IFERROR(SUBSTITUTE(SUBSTITUTE(VLOOKUP($A194,'Quarterly Pipeline vs Target Pi'!$A:$AP,41,false)," $","")," €",""), "")
)</f>
        <v>0</v>
      </c>
      <c r="AX194" s="1">
        <f>value(IFERROR(SUBSTITUTE(SUBSTITUTE(VLOOKUP($A194,'Quarterly Pipeline vs Target Pi'!$A:$AP,42,false)," $","")," €",""), "")
)</f>
        <v>0</v>
      </c>
      <c r="AY194" s="17" t="str">
        <f t="shared" si="18"/>
        <v/>
      </c>
      <c r="AZ194" s="1">
        <f t="shared" ref="AZ194:BA194" si="402">sum(AN194,AQ194,AT194,AW194)</f>
        <v>0</v>
      </c>
      <c r="BA194" s="1">
        <f t="shared" si="402"/>
        <v>0</v>
      </c>
      <c r="BB194" s="17" t="str">
        <f t="shared" si="20"/>
        <v/>
      </c>
    </row>
    <row r="195">
      <c r="A195" s="1" t="str">
        <f>IFERROR(__xludf.DUMMYFUNCTION("""COMPUTED_VALUE"""),"63ef9d53384f27260c1b9e03")</f>
        <v>63ef9d53384f27260c1b9e03</v>
      </c>
      <c r="B195" s="1" t="str">
        <f>IFERROR(__xludf.DUMMYFUNCTION("""COMPUTED_VALUE"""),"GFT Gemeinschaft Fernmelde Technik eG")</f>
        <v>GFT Gemeinschaft Fernmelde Technik eG</v>
      </c>
      <c r="C195" s="1" t="str">
        <f>IFERROR(__xludf.DUMMYFUNCTION("""COMPUTED_VALUE"""),"katrin.pfeiffer@al-enterprise.com")</f>
        <v>katrin.pfeiffer@al-enterprise.com</v>
      </c>
      <c r="D195" s="1" t="str">
        <f>IFERROR(__xludf.DUMMYFUNCTION("""COMPUTED_VALUE"""),"germany")</f>
        <v>germany</v>
      </c>
      <c r="E195" s="1" t="str">
        <f>IFERROR(__xludf.DUMMYFUNCTION("""COMPUTED_VALUE"""),"DE")</f>
        <v>DE</v>
      </c>
      <c r="F195" s="1"/>
      <c r="G195" s="1" t="str">
        <f>iferror(VLOOKUP(A195,'Business Plan Setup and Accepta'!A:G,6,false),"")</f>
        <v/>
      </c>
      <c r="H195" s="1" t="str">
        <f>iferror(VLOOKUP(A195,'Business Plan Setup and Accepta'!A:G,7,false),"")</f>
        <v/>
      </c>
      <c r="I195" s="17" t="str">
        <f t="shared" si="3"/>
        <v/>
      </c>
      <c r="J195" s="1" t="str">
        <f>IFERROR(VALUE(SUBSTITUTE(VLOOKUP(A195,'Sales IN Revenues vs Sales targ'!A:G,6,false)," $","")), "")
</f>
        <v/>
      </c>
      <c r="K195" s="1" t="str">
        <f>IFERROR(VALUE(SUBSTITUTE(VLOOKUP(A195,'Sales IN Revenues vs Sales targ'!A:G,7,false)," $","")), "")
</f>
        <v/>
      </c>
      <c r="L195" s="17" t="str">
        <f t="shared" si="4"/>
        <v/>
      </c>
      <c r="M195" s="1">
        <f>value(SUBSTITUTE(IFERROR(VLOOKUP(A195,'Certifications achievements vs '!A:G,6,false),""),"#","")
)</f>
        <v>0</v>
      </c>
      <c r="N195" s="1">
        <f>value(SUBSTITUTE(IFERROR(VLOOKUP(A195,'Certifications achievements vs '!A:G,7,false),""),"#","")
)</f>
        <v>0</v>
      </c>
      <c r="O195" s="17" t="str">
        <f t="shared" si="5"/>
        <v/>
      </c>
      <c r="P195" s="1">
        <f>value(SUBSTITUTE(IFERROR(VLOOKUP(A195,'Communications - Solution Speci'!A:G,6,false),""),"#","")
)</f>
        <v>0</v>
      </c>
      <c r="Q195" s="1">
        <f>value(SUBSTITUTE(IFERROR(VLOOKUP(A195,'Communications - Solution Speci'!A:G,7,false),""),"#","")
)</f>
        <v>0</v>
      </c>
      <c r="R195" s="17" t="str">
        <f t="shared" si="6"/>
        <v/>
      </c>
      <c r="S195" s="1">
        <f>value(SUBSTITUTE(IFERROR(VLOOKUP(A195,'Networking - Solution Specializ'!A:G,6,false),""),"#","")
)</f>
        <v>0</v>
      </c>
      <c r="T195" s="1">
        <f>value(SUBSTITUTE(IFERROR(VLOOKUP(A195,'Networking - Solution Specializ'!A:G,7,false),""),"#","")
)</f>
        <v>0</v>
      </c>
      <c r="U195" s="17" t="str">
        <f t="shared" si="7"/>
        <v/>
      </c>
      <c r="V195" s="1" t="str">
        <f>iferror(vlookup(A195,'Marketing Plan (extract summary'!A:G,6,false),"")</f>
        <v/>
      </c>
      <c r="W195" s="1" t="str">
        <f>iferror(vlookup(A195,'Marketing Plan (extract summary'!A:G,7,false),"")</f>
        <v/>
      </c>
      <c r="X195" s="17" t="str">
        <f t="shared" si="8"/>
        <v/>
      </c>
      <c r="Y195" s="1">
        <f>value(IFERROR(SUBSTITUTE(SUBSTITUTE(VLOOKUP(A195,'Quarterly Pipeline vs Target Pi'!A:G,6,false)," $","")," €",""), "")
)</f>
        <v>0</v>
      </c>
      <c r="Z195" s="1">
        <f>value(IFERROR(SUBSTITUTE(SUBSTITUTE(VLOOKUP(A195,'Quarterly Pipeline vs Target Pi'!A:G,7,false)," $","")," €",""), "")
)</f>
        <v>0</v>
      </c>
      <c r="AA195" s="17" t="str">
        <f t="shared" si="9"/>
        <v/>
      </c>
      <c r="AB195" s="1">
        <f>value(IFERROR(SUBSTITUTE(SUBSTITUTE(VLOOKUP($A195,'Quarterly Pipeline vs Target Pi'!$A:$V,11,false)," $","")," €",""), "")
)</f>
        <v>0</v>
      </c>
      <c r="AC195" s="1">
        <f>value(IFERROR(SUBSTITUTE(SUBSTITUTE(VLOOKUP($A195,'Quarterly Pipeline vs Target Pi'!$A:$V,12,false)," $","")," €",""), "")
)</f>
        <v>0</v>
      </c>
      <c r="AD195" s="17" t="str">
        <f t="shared" si="10"/>
        <v/>
      </c>
      <c r="AE195" s="1">
        <f>value(IFERROR(SUBSTITUTE(SUBSTITUTE(VLOOKUP($A195,'Quarterly Pipeline vs Target Pi'!$A:$V,16,false)," $","")," €",""), "")
)</f>
        <v>0</v>
      </c>
      <c r="AF195" s="1">
        <f>value(IFERROR(SUBSTITUTE(SUBSTITUTE(VLOOKUP($A195,'Quarterly Pipeline vs Target Pi'!$A:$V,17,false)," $","")," €",""), "")
)</f>
        <v>0</v>
      </c>
      <c r="AG195" s="17" t="str">
        <f t="shared" si="11"/>
        <v/>
      </c>
      <c r="AH195" s="1">
        <f>value(IFERROR(SUBSTITUTE(SUBSTITUTE(VLOOKUP($A195,'Quarterly Pipeline vs Target Pi'!$A:$V,21,false)," $","")," €",""), "")
)</f>
        <v>0</v>
      </c>
      <c r="AI195" s="1">
        <f>value(IFERROR(SUBSTITUTE(SUBSTITUTE(VLOOKUP($A195,'Quarterly Pipeline vs Target Pi'!$A:$V,22,false)," $","")," €",""), "")
)</f>
        <v>0</v>
      </c>
      <c r="AJ195" s="17" t="str">
        <f t="shared" si="12"/>
        <v/>
      </c>
      <c r="AK195" s="1">
        <f t="shared" ref="AK195:AL195" si="403">sum(Y195,AB195,AE195,AH195)</f>
        <v>0</v>
      </c>
      <c r="AL195" s="1">
        <f t="shared" si="403"/>
        <v>0</v>
      </c>
      <c r="AM195" s="17" t="str">
        <f t="shared" si="14"/>
        <v/>
      </c>
      <c r="AN195" s="1">
        <f>value(IFERROR(SUBSTITUTE(SUBSTITUTE(VLOOKUP($A195,'Quarterly Pipeline vs Target Pi'!$A:$AP,26,false)," $","")," €",""), "")
)</f>
        <v>0</v>
      </c>
      <c r="AO195" s="1">
        <f>value(IFERROR(SUBSTITUTE(SUBSTITUTE(VLOOKUP($A195,'Quarterly Pipeline vs Target Pi'!$A:$AP,27,false)," $","")," €",""), "")
)</f>
        <v>0</v>
      </c>
      <c r="AP195" s="17" t="str">
        <f t="shared" si="15"/>
        <v/>
      </c>
      <c r="AQ195" s="1">
        <f>value(IFERROR(SUBSTITUTE(SUBSTITUTE(VLOOKUP($A195,'Quarterly Pipeline vs Target Pi'!$A:$AP,31,false)," $","")," €",""), "")
)</f>
        <v>0</v>
      </c>
      <c r="AR195" s="1">
        <f>value(IFERROR(SUBSTITUTE(SUBSTITUTE(VLOOKUP($A195,'Quarterly Pipeline vs Target Pi'!$A:$AP,32,false)," $","")," €",""), "")
)</f>
        <v>0</v>
      </c>
      <c r="AS195" s="17" t="str">
        <f t="shared" si="16"/>
        <v/>
      </c>
      <c r="AT195" s="1">
        <f>value(IFERROR(SUBSTITUTE(SUBSTITUTE(VLOOKUP($A195,'Quarterly Pipeline vs Target Pi'!$A:$AP,36,false)," $","")," €",""), "")
)</f>
        <v>0</v>
      </c>
      <c r="AU195" s="1">
        <f>value(IFERROR(SUBSTITUTE(SUBSTITUTE(VLOOKUP($A195,'Quarterly Pipeline vs Target Pi'!$A:$AP,37,false)," $","")," €",""), "")
)</f>
        <v>0</v>
      </c>
      <c r="AV195" s="17" t="str">
        <f t="shared" si="17"/>
        <v/>
      </c>
      <c r="AW195" s="1">
        <f>value(IFERROR(SUBSTITUTE(SUBSTITUTE(VLOOKUP($A195,'Quarterly Pipeline vs Target Pi'!$A:$AP,41,false)," $","")," €",""), "")
)</f>
        <v>0</v>
      </c>
      <c r="AX195" s="1">
        <f>value(IFERROR(SUBSTITUTE(SUBSTITUTE(VLOOKUP($A195,'Quarterly Pipeline vs Target Pi'!$A:$AP,42,false)," $","")," €",""), "")
)</f>
        <v>0</v>
      </c>
      <c r="AY195" s="17" t="str">
        <f t="shared" si="18"/>
        <v/>
      </c>
      <c r="AZ195" s="1">
        <f t="shared" ref="AZ195:BA195" si="404">sum(AN195,AQ195,AT195,AW195)</f>
        <v>0</v>
      </c>
      <c r="BA195" s="1">
        <f t="shared" si="404"/>
        <v>0</v>
      </c>
      <c r="BB195" s="17" t="str">
        <f t="shared" si="20"/>
        <v/>
      </c>
    </row>
    <row r="196">
      <c r="A196" s="1" t="str">
        <f>IFERROR(__xludf.DUMMYFUNCTION("""COMPUTED_VALUE"""),"67a4e1cd75e72d5ecf0d1142")</f>
        <v>67a4e1cd75e72d5ecf0d1142</v>
      </c>
      <c r="B196" s="1" t="str">
        <f>IFERROR(__xludf.DUMMYFUNCTION("""COMPUTED_VALUE"""),"GHA Technologies, Inc.")</f>
        <v>GHA Technologies, Inc.</v>
      </c>
      <c r="C196" s="1" t="str">
        <f>IFERROR(__xludf.DUMMYFUNCTION("""COMPUTED_VALUE"""),"bill.rademacher@al-enterprise.com")</f>
        <v>bill.rademacher@al-enterprise.com</v>
      </c>
      <c r="D196" s="1" t="str">
        <f>IFERROR(__xludf.DUMMYFUNCTION("""COMPUTED_VALUE"""),"americas")</f>
        <v>americas</v>
      </c>
      <c r="E196" s="1" t="str">
        <f>IFERROR(__xludf.DUMMYFUNCTION("""COMPUTED_VALUE"""),"US")</f>
        <v>US</v>
      </c>
      <c r="F196" s="1" t="str">
        <f>IFERROR(__xludf.DUMMYFUNCTION("""COMPUTED_VALUE"""),"expert_200")</f>
        <v>expert_200</v>
      </c>
      <c r="G196" s="1">
        <f>iferror(VLOOKUP(A196,'Business Plan Setup and Accepta'!A:G,6,false),"")</f>
        <v>0</v>
      </c>
      <c r="H196" s="1">
        <f>iferror(VLOOKUP(A196,'Business Plan Setup and Accepta'!A:G,7,false),"")</f>
        <v>1</v>
      </c>
      <c r="I196" s="17">
        <f t="shared" si="3"/>
        <v>0</v>
      </c>
      <c r="J196" s="1">
        <f>IFERROR(VALUE(SUBSTITUTE(VLOOKUP(A196,'Sales IN Revenues vs Sales targ'!A:G,6,false)," $","")), "")
</f>
        <v>0</v>
      </c>
      <c r="K196" s="1">
        <f>IFERROR(VALUE(SUBSTITUTE(VLOOKUP(A196,'Sales IN Revenues vs Sales targ'!A:G,7,false)," $","")), "")
</f>
        <v>0</v>
      </c>
      <c r="L196" s="17" t="str">
        <f t="shared" si="4"/>
        <v/>
      </c>
      <c r="M196" s="1">
        <f>value(SUBSTITUTE(IFERROR(VLOOKUP(A196,'Certifications achievements vs '!A:G,6,false),""),"#","")
)</f>
        <v>0</v>
      </c>
      <c r="N196" s="1">
        <f>value(SUBSTITUTE(IFERROR(VLOOKUP(A196,'Certifications achievements vs '!A:G,7,false),""),"#","")
)</f>
        <v>0</v>
      </c>
      <c r="O196" s="17" t="str">
        <f t="shared" si="5"/>
        <v/>
      </c>
      <c r="P196" s="1">
        <f>value(SUBSTITUTE(IFERROR(VLOOKUP(A196,'Communications - Solution Speci'!A:G,6,false),""),"#","")
)</f>
        <v>0</v>
      </c>
      <c r="Q196" s="1">
        <f>value(SUBSTITUTE(IFERROR(VLOOKUP(A196,'Communications - Solution Speci'!A:G,7,false),""),"#","")
)</f>
        <v>1</v>
      </c>
      <c r="R196" s="17">
        <f t="shared" si="6"/>
        <v>0</v>
      </c>
      <c r="S196" s="1">
        <f>value(SUBSTITUTE(IFERROR(VLOOKUP(A196,'Networking - Solution Specializ'!A:G,6,false),""),"#","")
)</f>
        <v>0</v>
      </c>
      <c r="T196" s="1">
        <f>value(SUBSTITUTE(IFERROR(VLOOKUP(A196,'Networking - Solution Specializ'!A:G,7,false),""),"#","")
)</f>
        <v>1</v>
      </c>
      <c r="U196" s="17">
        <f t="shared" si="7"/>
        <v>0</v>
      </c>
      <c r="V196" s="1">
        <f>iferror(vlookup(A196,'Marketing Plan (extract summary'!A:G,6,false),"")</f>
        <v>0</v>
      </c>
      <c r="W196" s="1">
        <f>iferror(vlookup(A196,'Marketing Plan (extract summary'!A:G,7,false),"")</f>
        <v>1</v>
      </c>
      <c r="X196" s="17">
        <f t="shared" si="8"/>
        <v>0</v>
      </c>
      <c r="Y196" s="1">
        <f>value(IFERROR(SUBSTITUTE(SUBSTITUTE(VLOOKUP(A196,'Quarterly Pipeline vs Target Pi'!A:G,6,false)," $","")," €",""), "")
)</f>
        <v>0</v>
      </c>
      <c r="Z196" s="1">
        <f>value(IFERROR(SUBSTITUTE(SUBSTITUTE(VLOOKUP(A196,'Quarterly Pipeline vs Target Pi'!A:G,7,false)," $","")," €",""), "")
)</f>
        <v>0</v>
      </c>
      <c r="AA196" s="17" t="str">
        <f t="shared" si="9"/>
        <v/>
      </c>
      <c r="AB196" s="1">
        <f>value(IFERROR(SUBSTITUTE(SUBSTITUTE(VLOOKUP($A196,'Quarterly Pipeline vs Target Pi'!$A:$V,11,false)," $","")," €",""), "")
)</f>
        <v>0</v>
      </c>
      <c r="AC196" s="1">
        <f>value(IFERROR(SUBSTITUTE(SUBSTITUTE(VLOOKUP($A196,'Quarterly Pipeline vs Target Pi'!$A:$V,12,false)," $","")," €",""), "")
)</f>
        <v>0</v>
      </c>
      <c r="AD196" s="17" t="str">
        <f t="shared" si="10"/>
        <v/>
      </c>
      <c r="AE196" s="1">
        <f>value(IFERROR(SUBSTITUTE(SUBSTITUTE(VLOOKUP($A196,'Quarterly Pipeline vs Target Pi'!$A:$V,16,false)," $","")," €",""), "")
)</f>
        <v>95</v>
      </c>
      <c r="AF196" s="1">
        <f>value(IFERROR(SUBSTITUTE(SUBSTITUTE(VLOOKUP($A196,'Quarterly Pipeline vs Target Pi'!$A:$V,17,false)," $","")," €",""), "")
)</f>
        <v>0</v>
      </c>
      <c r="AG196" s="17" t="str">
        <f t="shared" si="11"/>
        <v/>
      </c>
      <c r="AH196" s="1">
        <f>value(IFERROR(SUBSTITUTE(SUBSTITUTE(VLOOKUP($A196,'Quarterly Pipeline vs Target Pi'!$A:$V,21,false)," $","")," €",""), "")
)</f>
        <v>95</v>
      </c>
      <c r="AI196" s="1">
        <f>value(IFERROR(SUBSTITUTE(SUBSTITUTE(VLOOKUP($A196,'Quarterly Pipeline vs Target Pi'!$A:$V,22,false)," $","")," €",""), "")
)</f>
        <v>0</v>
      </c>
      <c r="AJ196" s="17" t="str">
        <f t="shared" si="12"/>
        <v/>
      </c>
      <c r="AK196" s="1">
        <f t="shared" ref="AK196:AL196" si="405">sum(Y196,AB196,AE196,AH196)</f>
        <v>190</v>
      </c>
      <c r="AL196" s="1">
        <f t="shared" si="405"/>
        <v>0</v>
      </c>
      <c r="AM196" s="17" t="str">
        <f t="shared" si="14"/>
        <v/>
      </c>
      <c r="AN196" s="1">
        <f>value(IFERROR(SUBSTITUTE(SUBSTITUTE(VLOOKUP($A196,'Quarterly Pipeline vs Target Pi'!$A:$AP,26,false)," $","")," €",""), "")
)</f>
        <v>95</v>
      </c>
      <c r="AO196" s="1">
        <f>value(IFERROR(SUBSTITUTE(SUBSTITUTE(VLOOKUP($A196,'Quarterly Pipeline vs Target Pi'!$A:$AP,27,false)," $","")," €",""), "")
)</f>
        <v>0</v>
      </c>
      <c r="AP196" s="17" t="str">
        <f t="shared" si="15"/>
        <v/>
      </c>
      <c r="AQ196" s="1">
        <f>value(IFERROR(SUBSTITUTE(SUBSTITUTE(VLOOKUP($A196,'Quarterly Pipeline vs Target Pi'!$A:$AP,31,false)," $","")," €",""), "")
)</f>
        <v>0</v>
      </c>
      <c r="AR196" s="1">
        <f>value(IFERROR(SUBSTITUTE(SUBSTITUTE(VLOOKUP($A196,'Quarterly Pipeline vs Target Pi'!$A:$AP,32,false)," $","")," €",""), "")
)</f>
        <v>0</v>
      </c>
      <c r="AS196" s="17" t="str">
        <f t="shared" si="16"/>
        <v/>
      </c>
      <c r="AT196" s="1">
        <f>value(IFERROR(SUBSTITUTE(SUBSTITUTE(VLOOKUP($A196,'Quarterly Pipeline vs Target Pi'!$A:$AP,36,false)," $","")," €",""), "")
)</f>
        <v>0</v>
      </c>
      <c r="AU196" s="1">
        <f>value(IFERROR(SUBSTITUTE(SUBSTITUTE(VLOOKUP($A196,'Quarterly Pipeline vs Target Pi'!$A:$AP,37,false)," $","")," €",""), "")
)</f>
        <v>0</v>
      </c>
      <c r="AV196" s="17" t="str">
        <f t="shared" si="17"/>
        <v/>
      </c>
      <c r="AW196" s="1">
        <f>value(IFERROR(SUBSTITUTE(SUBSTITUTE(VLOOKUP($A196,'Quarterly Pipeline vs Target Pi'!$A:$AP,41,false)," $","")," €",""), "")
)</f>
        <v>0</v>
      </c>
      <c r="AX196" s="1">
        <f>value(IFERROR(SUBSTITUTE(SUBSTITUTE(VLOOKUP($A196,'Quarterly Pipeline vs Target Pi'!$A:$AP,42,false)," $","")," €",""), "")
)</f>
        <v>0</v>
      </c>
      <c r="AY196" s="17" t="str">
        <f t="shared" si="18"/>
        <v/>
      </c>
      <c r="AZ196" s="1">
        <f t="shared" ref="AZ196:BA196" si="406">sum(AN196,AQ196,AT196,AW196)</f>
        <v>95</v>
      </c>
      <c r="BA196" s="1">
        <f t="shared" si="406"/>
        <v>0</v>
      </c>
      <c r="BB196" s="17" t="str">
        <f t="shared" si="20"/>
        <v/>
      </c>
    </row>
    <row r="197">
      <c r="A197" s="1" t="str">
        <f>IFERROR(__xludf.DUMMYFUNCTION("""COMPUTED_VALUE"""),"63ef9d56384f27260c1ba0cb")</f>
        <v>63ef9d56384f27260c1ba0cb</v>
      </c>
      <c r="B197" s="1" t="str">
        <f>IFERROR(__xludf.DUMMYFUNCTION("""COMPUTED_VALUE"""),"GIGAS HOSTING, S.A.")</f>
        <v>GIGAS HOSTING, S.A.</v>
      </c>
      <c r="C197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197" s="1" t="str">
        <f>IFERROR(__xludf.DUMMYFUNCTION("""COMPUTED_VALUE"""),"emea")</f>
        <v>emea</v>
      </c>
      <c r="E197" s="1" t="str">
        <f>IFERROR(__xludf.DUMMYFUNCTION("""COMPUTED_VALUE"""),"ES")</f>
        <v>ES</v>
      </c>
      <c r="F197" s="1" t="str">
        <f>IFERROR(__xludf.DUMMYFUNCTION("""COMPUTED_VALUE"""),"yes")</f>
        <v>yes</v>
      </c>
      <c r="G197" s="1">
        <f>iferror(VLOOKUP(A197,'Business Plan Setup and Accepta'!A:G,6,false),"")</f>
        <v>1</v>
      </c>
      <c r="H197" s="1">
        <f>iferror(VLOOKUP(A197,'Business Plan Setup and Accepta'!A:G,7,false),"")</f>
        <v>1</v>
      </c>
      <c r="I197" s="17">
        <f t="shared" si="3"/>
        <v>1</v>
      </c>
      <c r="J197" s="1">
        <f>IFERROR(VALUE(SUBSTITUTE(VLOOKUP(A197,'Sales IN Revenues vs Sales targ'!A:G,6,false)," $","")), "")
</f>
        <v>1170.06</v>
      </c>
      <c r="K197" s="1">
        <f>IFERROR(VALUE(SUBSTITUTE(VLOOKUP(A197,'Sales IN Revenues vs Sales targ'!A:G,7,false)," $","")), "")
</f>
        <v>2291</v>
      </c>
      <c r="L197" s="17">
        <f t="shared" si="4"/>
        <v>0.5107202095</v>
      </c>
      <c r="M197" s="1">
        <f>value(SUBSTITUTE(IFERROR(VLOOKUP(A197,'Certifications achievements vs '!A:G,6,false),""),"#","")
)</f>
        <v>108</v>
      </c>
      <c r="N197" s="1">
        <f>value(SUBSTITUTE(IFERROR(VLOOKUP(A197,'Certifications achievements vs '!A:G,7,false),""),"#","")
)</f>
        <v>52</v>
      </c>
      <c r="O197" s="17">
        <f t="shared" si="5"/>
        <v>2.076923077</v>
      </c>
      <c r="P197" s="1">
        <f>value(SUBSTITUTE(IFERROR(VLOOKUP(A197,'Communications - Solution Speci'!A:G,6,false),""),"#","")
)</f>
        <v>1</v>
      </c>
      <c r="Q197" s="1">
        <f>value(SUBSTITUTE(IFERROR(VLOOKUP(A197,'Communications - Solution Speci'!A:G,7,false),""),"#","")
)</f>
        <v>1</v>
      </c>
      <c r="R197" s="17">
        <f t="shared" si="6"/>
        <v>1</v>
      </c>
      <c r="S197" s="1">
        <f>value(SUBSTITUTE(IFERROR(VLOOKUP(A197,'Networking - Solution Specializ'!A:G,6,false),""),"#","")
)</f>
        <v>1</v>
      </c>
      <c r="T197" s="1">
        <f>value(SUBSTITUTE(IFERROR(VLOOKUP(A197,'Networking - Solution Specializ'!A:G,7,false),""),"#","")
)</f>
        <v>1</v>
      </c>
      <c r="U197" s="17">
        <f t="shared" si="7"/>
        <v>1</v>
      </c>
      <c r="V197" s="1">
        <f>iferror(vlookup(A197,'Marketing Plan (extract summary'!A:G,6,false),"")</f>
        <v>0</v>
      </c>
      <c r="W197" s="1">
        <f>iferror(vlookup(A197,'Marketing Plan (extract summary'!A:G,7,false),"")</f>
        <v>1</v>
      </c>
      <c r="X197" s="17">
        <f t="shared" si="8"/>
        <v>0</v>
      </c>
      <c r="Y197" s="1">
        <f>value(IFERROR(SUBSTITUTE(SUBSTITUTE(VLOOKUP(A197,'Quarterly Pipeline vs Target Pi'!A:G,6,false)," $","")," €",""), "")
)</f>
        <v>4.21</v>
      </c>
      <c r="Z197" s="1">
        <f>value(IFERROR(SUBSTITUTE(SUBSTITUTE(VLOOKUP(A197,'Quarterly Pipeline vs Target Pi'!A:G,7,false)," $","")," €",""), "")
)</f>
        <v>0</v>
      </c>
      <c r="AA197" s="17" t="str">
        <f t="shared" si="9"/>
        <v/>
      </c>
      <c r="AB197" s="1">
        <f>value(IFERROR(SUBSTITUTE(SUBSTITUTE(VLOOKUP($A197,'Quarterly Pipeline vs Target Pi'!$A:$V,11,false)," $","")," €",""), "")
)</f>
        <v>46.87</v>
      </c>
      <c r="AC197" s="1">
        <f>value(IFERROR(SUBSTITUTE(SUBSTITUTE(VLOOKUP($A197,'Quarterly Pipeline vs Target Pi'!$A:$V,12,false)," $","")," €",""), "")
)</f>
        <v>1171.28</v>
      </c>
      <c r="AD197" s="17">
        <f t="shared" si="10"/>
        <v>0.04001605082</v>
      </c>
      <c r="AE197" s="1">
        <f>value(IFERROR(SUBSTITUTE(SUBSTITUTE(VLOOKUP($A197,'Quarterly Pipeline vs Target Pi'!$A:$V,16,false)," $","")," €",""), "")
)</f>
        <v>335.92</v>
      </c>
      <c r="AF197" s="1">
        <f>value(IFERROR(SUBSTITUTE(SUBSTITUTE(VLOOKUP($A197,'Quarterly Pipeline vs Target Pi'!$A:$V,17,false)," $","")," €",""), "")
)</f>
        <v>1179.79</v>
      </c>
      <c r="AG197" s="17">
        <f t="shared" si="11"/>
        <v>0.2847286381</v>
      </c>
      <c r="AH197" s="1">
        <f>value(IFERROR(SUBSTITUTE(SUBSTITUTE(VLOOKUP($A197,'Quarterly Pipeline vs Target Pi'!$A:$V,21,false)," $","")," €",""), "")
)</f>
        <v>768.11</v>
      </c>
      <c r="AI197" s="1">
        <f>value(IFERROR(SUBSTITUTE(SUBSTITUTE(VLOOKUP($A197,'Quarterly Pipeline vs Target Pi'!$A:$V,22,false)," $","")," €",""), "")
)</f>
        <v>1298.94</v>
      </c>
      <c r="AJ197" s="17">
        <f t="shared" si="12"/>
        <v>0.5913360124</v>
      </c>
      <c r="AK197" s="1">
        <f t="shared" ref="AK197:AL197" si="407">sum(Y197,AB197,AE197,AH197)</f>
        <v>1155.11</v>
      </c>
      <c r="AL197" s="1">
        <f t="shared" si="407"/>
        <v>3650.01</v>
      </c>
      <c r="AM197" s="17">
        <f t="shared" si="14"/>
        <v>0.3164676261</v>
      </c>
      <c r="AN197" s="1">
        <f>value(IFERROR(SUBSTITUTE(SUBSTITUTE(VLOOKUP($A197,'Quarterly Pipeline vs Target Pi'!$A:$AP,26,false)," $","")," €",""), "")
)</f>
        <v>25.93</v>
      </c>
      <c r="AO197" s="1">
        <f>value(IFERROR(SUBSTITUTE(SUBSTITUTE(VLOOKUP($A197,'Quarterly Pipeline vs Target Pi'!$A:$AP,27,false)," $","")," €",""), "")
)</f>
        <v>0</v>
      </c>
      <c r="AP197" s="17" t="str">
        <f t="shared" si="15"/>
        <v/>
      </c>
      <c r="AQ197" s="1">
        <f>value(IFERROR(SUBSTITUTE(SUBSTITUTE(VLOOKUP($A197,'Quarterly Pipeline vs Target Pi'!$A:$AP,31,false)," $","")," €",""), "")
)</f>
        <v>840.08</v>
      </c>
      <c r="AR197" s="1">
        <f>value(IFERROR(SUBSTITUTE(SUBSTITUTE(VLOOKUP($A197,'Quarterly Pipeline vs Target Pi'!$A:$AP,32,false)," $","")," €",""), "")
)</f>
        <v>0</v>
      </c>
      <c r="AS197" s="17" t="str">
        <f t="shared" si="16"/>
        <v/>
      </c>
      <c r="AT197" s="1">
        <f>value(IFERROR(SUBSTITUTE(SUBSTITUTE(VLOOKUP($A197,'Quarterly Pipeline vs Target Pi'!$A:$AP,36,false)," $","")," €",""), "")
)</f>
        <v>21.8</v>
      </c>
      <c r="AU197" s="1">
        <f>value(IFERROR(SUBSTITUTE(SUBSTITUTE(VLOOKUP($A197,'Quarterly Pipeline vs Target Pi'!$A:$AP,37,false)," $","")," €",""), "")
)</f>
        <v>0</v>
      </c>
      <c r="AV197" s="17" t="str">
        <f t="shared" si="17"/>
        <v/>
      </c>
      <c r="AW197" s="1">
        <f>value(IFERROR(SUBSTITUTE(SUBSTITUTE(VLOOKUP($A197,'Quarterly Pipeline vs Target Pi'!$A:$AP,41,false)," $","")," €",""), "")
)</f>
        <v>402.95</v>
      </c>
      <c r="AX197" s="1">
        <f>value(IFERROR(SUBSTITUTE(SUBSTITUTE(VLOOKUP($A197,'Quarterly Pipeline vs Target Pi'!$A:$AP,42,false)," $","")," €",""), "")
)</f>
        <v>0</v>
      </c>
      <c r="AY197" s="17" t="str">
        <f t="shared" si="18"/>
        <v/>
      </c>
      <c r="AZ197" s="1">
        <f t="shared" ref="AZ197:BA197" si="408">sum(AN197,AQ197,AT197,AW197)</f>
        <v>1290.76</v>
      </c>
      <c r="BA197" s="1">
        <f t="shared" si="408"/>
        <v>0</v>
      </c>
      <c r="BB197" s="17" t="str">
        <f t="shared" si="20"/>
        <v/>
      </c>
    </row>
    <row r="198">
      <c r="A198" s="1" t="str">
        <f>IFERROR(__xludf.DUMMYFUNCTION("""COMPUTED_VALUE"""),"63ced84ec5c820531c269a31")</f>
        <v>63ced84ec5c820531c269a31</v>
      </c>
      <c r="B198" s="1" t="str">
        <f>IFERROR(__xludf.DUMMYFUNCTION("""COMPUTED_VALUE"""),"Glass House Systems Inc")</f>
        <v>Glass House Systems Inc</v>
      </c>
      <c r="C198" s="1" t="str">
        <f>IFERROR(__xludf.DUMMYFUNCTION("""COMPUTED_VALUE"""),"brendan.flaherty@al-enterprise.com")</f>
        <v>brendan.flaherty@al-enterprise.com</v>
      </c>
      <c r="D198" s="1" t="str">
        <f>IFERROR(__xludf.DUMMYFUNCTION("""COMPUTED_VALUE"""),"americas")</f>
        <v>americas</v>
      </c>
      <c r="E198" s="1" t="str">
        <f>IFERROR(__xludf.DUMMYFUNCTION("""COMPUTED_VALUE"""),"US")</f>
        <v>US</v>
      </c>
      <c r="F198" s="1"/>
      <c r="G198" s="1" t="str">
        <f>iferror(VLOOKUP(A198,'Business Plan Setup and Accepta'!A:G,6,false),"")</f>
        <v/>
      </c>
      <c r="H198" s="1" t="str">
        <f>iferror(VLOOKUP(A198,'Business Plan Setup and Accepta'!A:G,7,false),"")</f>
        <v/>
      </c>
      <c r="I198" s="17" t="str">
        <f t="shared" si="3"/>
        <v/>
      </c>
      <c r="J198" s="1" t="str">
        <f>IFERROR(VALUE(SUBSTITUTE(VLOOKUP(A198,'Sales IN Revenues vs Sales targ'!A:G,6,false)," $","")), "")
</f>
        <v/>
      </c>
      <c r="K198" s="1" t="str">
        <f>IFERROR(VALUE(SUBSTITUTE(VLOOKUP(A198,'Sales IN Revenues vs Sales targ'!A:G,7,false)," $","")), "")
</f>
        <v/>
      </c>
      <c r="L198" s="17" t="str">
        <f t="shared" si="4"/>
        <v/>
      </c>
      <c r="M198" s="1">
        <f>value(SUBSTITUTE(IFERROR(VLOOKUP(A198,'Certifications achievements vs '!A:G,6,false),""),"#","")
)</f>
        <v>0</v>
      </c>
      <c r="N198" s="1">
        <f>value(SUBSTITUTE(IFERROR(VLOOKUP(A198,'Certifications achievements vs '!A:G,7,false),""),"#","")
)</f>
        <v>0</v>
      </c>
      <c r="O198" s="17" t="str">
        <f t="shared" si="5"/>
        <v/>
      </c>
      <c r="P198" s="1">
        <f>value(SUBSTITUTE(IFERROR(VLOOKUP(A198,'Communications - Solution Speci'!A:G,6,false),""),"#","")
)</f>
        <v>0</v>
      </c>
      <c r="Q198" s="1">
        <f>value(SUBSTITUTE(IFERROR(VLOOKUP(A198,'Communications - Solution Speci'!A:G,7,false),""),"#","")
)</f>
        <v>0</v>
      </c>
      <c r="R198" s="17" t="str">
        <f t="shared" si="6"/>
        <v/>
      </c>
      <c r="S198" s="1">
        <f>value(SUBSTITUTE(IFERROR(VLOOKUP(A198,'Networking - Solution Specializ'!A:G,6,false),""),"#","")
)</f>
        <v>0</v>
      </c>
      <c r="T198" s="1">
        <f>value(SUBSTITUTE(IFERROR(VLOOKUP(A198,'Networking - Solution Specializ'!A:G,7,false),""),"#","")
)</f>
        <v>0</v>
      </c>
      <c r="U198" s="17" t="str">
        <f t="shared" si="7"/>
        <v/>
      </c>
      <c r="V198" s="1" t="str">
        <f>iferror(vlookup(A198,'Marketing Plan (extract summary'!A:G,6,false),"")</f>
        <v/>
      </c>
      <c r="W198" s="1" t="str">
        <f>iferror(vlookup(A198,'Marketing Plan (extract summary'!A:G,7,false),"")</f>
        <v/>
      </c>
      <c r="X198" s="17" t="str">
        <f t="shared" si="8"/>
        <v/>
      </c>
      <c r="Y198" s="1">
        <f>value(IFERROR(SUBSTITUTE(SUBSTITUTE(VLOOKUP(A198,'Quarterly Pipeline vs Target Pi'!A:G,6,false)," $","")," €",""), "")
)</f>
        <v>0</v>
      </c>
      <c r="Z198" s="1">
        <f>value(IFERROR(SUBSTITUTE(SUBSTITUTE(VLOOKUP(A198,'Quarterly Pipeline vs Target Pi'!A:G,7,false)," $","")," €",""), "")
)</f>
        <v>0</v>
      </c>
      <c r="AA198" s="17" t="str">
        <f t="shared" si="9"/>
        <v/>
      </c>
      <c r="AB198" s="1">
        <f>value(IFERROR(SUBSTITUTE(SUBSTITUTE(VLOOKUP($A198,'Quarterly Pipeline vs Target Pi'!$A:$V,11,false)," $","")," €",""), "")
)</f>
        <v>0</v>
      </c>
      <c r="AC198" s="1">
        <f>value(IFERROR(SUBSTITUTE(SUBSTITUTE(VLOOKUP($A198,'Quarterly Pipeline vs Target Pi'!$A:$V,12,false)," $","")," €",""), "")
)</f>
        <v>0</v>
      </c>
      <c r="AD198" s="17" t="str">
        <f t="shared" si="10"/>
        <v/>
      </c>
      <c r="AE198" s="1">
        <f>value(IFERROR(SUBSTITUTE(SUBSTITUTE(VLOOKUP($A198,'Quarterly Pipeline vs Target Pi'!$A:$V,16,false)," $","")," €",""), "")
)</f>
        <v>0</v>
      </c>
      <c r="AF198" s="1">
        <f>value(IFERROR(SUBSTITUTE(SUBSTITUTE(VLOOKUP($A198,'Quarterly Pipeline vs Target Pi'!$A:$V,17,false)," $","")," €",""), "")
)</f>
        <v>0</v>
      </c>
      <c r="AG198" s="17" t="str">
        <f t="shared" si="11"/>
        <v/>
      </c>
      <c r="AH198" s="1">
        <f>value(IFERROR(SUBSTITUTE(SUBSTITUTE(VLOOKUP($A198,'Quarterly Pipeline vs Target Pi'!$A:$V,21,false)," $","")," €",""), "")
)</f>
        <v>0</v>
      </c>
      <c r="AI198" s="1">
        <f>value(IFERROR(SUBSTITUTE(SUBSTITUTE(VLOOKUP($A198,'Quarterly Pipeline vs Target Pi'!$A:$V,22,false)," $","")," €",""), "")
)</f>
        <v>0</v>
      </c>
      <c r="AJ198" s="17" t="str">
        <f t="shared" si="12"/>
        <v/>
      </c>
      <c r="AK198" s="1">
        <f t="shared" ref="AK198:AL198" si="409">sum(Y198,AB198,AE198,AH198)</f>
        <v>0</v>
      </c>
      <c r="AL198" s="1">
        <f t="shared" si="409"/>
        <v>0</v>
      </c>
      <c r="AM198" s="17" t="str">
        <f t="shared" si="14"/>
        <v/>
      </c>
      <c r="AN198" s="1">
        <f>value(IFERROR(SUBSTITUTE(SUBSTITUTE(VLOOKUP($A198,'Quarterly Pipeline vs Target Pi'!$A:$AP,26,false)," $","")," €",""), "")
)</f>
        <v>0</v>
      </c>
      <c r="AO198" s="1">
        <f>value(IFERROR(SUBSTITUTE(SUBSTITUTE(VLOOKUP($A198,'Quarterly Pipeline vs Target Pi'!$A:$AP,27,false)," $","")," €",""), "")
)</f>
        <v>0</v>
      </c>
      <c r="AP198" s="17" t="str">
        <f t="shared" si="15"/>
        <v/>
      </c>
      <c r="AQ198" s="1">
        <f>value(IFERROR(SUBSTITUTE(SUBSTITUTE(VLOOKUP($A198,'Quarterly Pipeline vs Target Pi'!$A:$AP,31,false)," $","")," €",""), "")
)</f>
        <v>0</v>
      </c>
      <c r="AR198" s="1">
        <f>value(IFERROR(SUBSTITUTE(SUBSTITUTE(VLOOKUP($A198,'Quarterly Pipeline vs Target Pi'!$A:$AP,32,false)," $","")," €",""), "")
)</f>
        <v>0</v>
      </c>
      <c r="AS198" s="17" t="str">
        <f t="shared" si="16"/>
        <v/>
      </c>
      <c r="AT198" s="1">
        <f>value(IFERROR(SUBSTITUTE(SUBSTITUTE(VLOOKUP($A198,'Quarterly Pipeline vs Target Pi'!$A:$AP,36,false)," $","")," €",""), "")
)</f>
        <v>0</v>
      </c>
      <c r="AU198" s="1">
        <f>value(IFERROR(SUBSTITUTE(SUBSTITUTE(VLOOKUP($A198,'Quarterly Pipeline vs Target Pi'!$A:$AP,37,false)," $","")," €",""), "")
)</f>
        <v>0</v>
      </c>
      <c r="AV198" s="17" t="str">
        <f t="shared" si="17"/>
        <v/>
      </c>
      <c r="AW198" s="1">
        <f>value(IFERROR(SUBSTITUTE(SUBSTITUTE(VLOOKUP($A198,'Quarterly Pipeline vs Target Pi'!$A:$AP,41,false)," $","")," €",""), "")
)</f>
        <v>0</v>
      </c>
      <c r="AX198" s="1">
        <f>value(IFERROR(SUBSTITUTE(SUBSTITUTE(VLOOKUP($A198,'Quarterly Pipeline vs Target Pi'!$A:$AP,42,false)," $","")," €",""), "")
)</f>
        <v>0</v>
      </c>
      <c r="AY198" s="17" t="str">
        <f t="shared" si="18"/>
        <v/>
      </c>
      <c r="AZ198" s="1">
        <f t="shared" ref="AZ198:BA198" si="410">sum(AN198,AQ198,AT198,AW198)</f>
        <v>0</v>
      </c>
      <c r="BA198" s="1">
        <f t="shared" si="410"/>
        <v>0</v>
      </c>
      <c r="BB198" s="17" t="str">
        <f t="shared" si="20"/>
        <v/>
      </c>
    </row>
    <row r="199">
      <c r="A199" s="1" t="str">
        <f>IFERROR(__xludf.DUMMYFUNCTION("""COMPUTED_VALUE"""),"63ced84ec5c820531c269a6d")</f>
        <v>63ced84ec5c820531c269a6d</v>
      </c>
      <c r="B199" s="1" t="str">
        <f>IFERROR(__xludf.DUMMYFUNCTION("""COMPUTED_VALUE"""),"Glessner Protective Services, Inc.")</f>
        <v>Glessner Protective Services, Inc.</v>
      </c>
      <c r="C199" s="1" t="str">
        <f>IFERROR(__xludf.DUMMYFUNCTION("""COMPUTED_VALUE"""),"brendan.flaherty@al-enterprise.com")</f>
        <v>brendan.flaherty@al-enterprise.com</v>
      </c>
      <c r="D199" s="1" t="str">
        <f>IFERROR(__xludf.DUMMYFUNCTION("""COMPUTED_VALUE"""),"americas")</f>
        <v>americas</v>
      </c>
      <c r="E199" s="1" t="str">
        <f>IFERROR(__xludf.DUMMYFUNCTION("""COMPUTED_VALUE"""),"US")</f>
        <v>US</v>
      </c>
      <c r="F199" s="1"/>
      <c r="G199" s="1" t="str">
        <f>iferror(VLOOKUP(A199,'Business Plan Setup and Accepta'!A:G,6,false),"")</f>
        <v/>
      </c>
      <c r="H199" s="1" t="str">
        <f>iferror(VLOOKUP(A199,'Business Plan Setup and Accepta'!A:G,7,false),"")</f>
        <v/>
      </c>
      <c r="I199" s="17" t="str">
        <f t="shared" si="3"/>
        <v/>
      </c>
      <c r="J199" s="1" t="str">
        <f>IFERROR(VALUE(SUBSTITUTE(VLOOKUP(A199,'Sales IN Revenues vs Sales targ'!A:G,6,false)," $","")), "")
</f>
        <v/>
      </c>
      <c r="K199" s="1" t="str">
        <f>IFERROR(VALUE(SUBSTITUTE(VLOOKUP(A199,'Sales IN Revenues vs Sales targ'!A:G,7,false)," $","")), "")
</f>
        <v/>
      </c>
      <c r="L199" s="17" t="str">
        <f t="shared" si="4"/>
        <v/>
      </c>
      <c r="M199" s="1">
        <f>value(SUBSTITUTE(IFERROR(VLOOKUP(A199,'Certifications achievements vs '!A:G,6,false),""),"#","")
)</f>
        <v>0</v>
      </c>
      <c r="N199" s="1">
        <f>value(SUBSTITUTE(IFERROR(VLOOKUP(A199,'Certifications achievements vs '!A:G,7,false),""),"#","")
)</f>
        <v>0</v>
      </c>
      <c r="O199" s="17" t="str">
        <f t="shared" si="5"/>
        <v/>
      </c>
      <c r="P199" s="1">
        <f>value(SUBSTITUTE(IFERROR(VLOOKUP(A199,'Communications - Solution Speci'!A:G,6,false),""),"#","")
)</f>
        <v>0</v>
      </c>
      <c r="Q199" s="1">
        <f>value(SUBSTITUTE(IFERROR(VLOOKUP(A199,'Communications - Solution Speci'!A:G,7,false),""),"#","")
)</f>
        <v>0</v>
      </c>
      <c r="R199" s="17" t="str">
        <f t="shared" si="6"/>
        <v/>
      </c>
      <c r="S199" s="1">
        <f>value(SUBSTITUTE(IFERROR(VLOOKUP(A199,'Networking - Solution Specializ'!A:G,6,false),""),"#","")
)</f>
        <v>0</v>
      </c>
      <c r="T199" s="1">
        <f>value(SUBSTITUTE(IFERROR(VLOOKUP(A199,'Networking - Solution Specializ'!A:G,7,false),""),"#","")
)</f>
        <v>0</v>
      </c>
      <c r="U199" s="17" t="str">
        <f t="shared" si="7"/>
        <v/>
      </c>
      <c r="V199" s="1" t="str">
        <f>iferror(vlookup(A199,'Marketing Plan (extract summary'!A:G,6,false),"")</f>
        <v/>
      </c>
      <c r="W199" s="1" t="str">
        <f>iferror(vlookup(A199,'Marketing Plan (extract summary'!A:G,7,false),"")</f>
        <v/>
      </c>
      <c r="X199" s="17" t="str">
        <f t="shared" si="8"/>
        <v/>
      </c>
      <c r="Y199" s="1">
        <f>value(IFERROR(SUBSTITUTE(SUBSTITUTE(VLOOKUP(A199,'Quarterly Pipeline vs Target Pi'!A:G,6,false)," $","")," €",""), "")
)</f>
        <v>0</v>
      </c>
      <c r="Z199" s="1">
        <f>value(IFERROR(SUBSTITUTE(SUBSTITUTE(VLOOKUP(A199,'Quarterly Pipeline vs Target Pi'!A:G,7,false)," $","")," €",""), "")
)</f>
        <v>0</v>
      </c>
      <c r="AA199" s="17" t="str">
        <f t="shared" si="9"/>
        <v/>
      </c>
      <c r="AB199" s="1">
        <f>value(IFERROR(SUBSTITUTE(SUBSTITUTE(VLOOKUP($A199,'Quarterly Pipeline vs Target Pi'!$A:$V,11,false)," $","")," €",""), "")
)</f>
        <v>0</v>
      </c>
      <c r="AC199" s="1">
        <f>value(IFERROR(SUBSTITUTE(SUBSTITUTE(VLOOKUP($A199,'Quarterly Pipeline vs Target Pi'!$A:$V,12,false)," $","")," €",""), "")
)</f>
        <v>0</v>
      </c>
      <c r="AD199" s="17" t="str">
        <f t="shared" si="10"/>
        <v/>
      </c>
      <c r="AE199" s="1">
        <f>value(IFERROR(SUBSTITUTE(SUBSTITUTE(VLOOKUP($A199,'Quarterly Pipeline vs Target Pi'!$A:$V,16,false)," $","")," €",""), "")
)</f>
        <v>0</v>
      </c>
      <c r="AF199" s="1">
        <f>value(IFERROR(SUBSTITUTE(SUBSTITUTE(VLOOKUP($A199,'Quarterly Pipeline vs Target Pi'!$A:$V,17,false)," $","")," €",""), "")
)</f>
        <v>0</v>
      </c>
      <c r="AG199" s="17" t="str">
        <f t="shared" si="11"/>
        <v/>
      </c>
      <c r="AH199" s="1">
        <f>value(IFERROR(SUBSTITUTE(SUBSTITUTE(VLOOKUP($A199,'Quarterly Pipeline vs Target Pi'!$A:$V,21,false)," $","")," €",""), "")
)</f>
        <v>0</v>
      </c>
      <c r="AI199" s="1">
        <f>value(IFERROR(SUBSTITUTE(SUBSTITUTE(VLOOKUP($A199,'Quarterly Pipeline vs Target Pi'!$A:$V,22,false)," $","")," €",""), "")
)</f>
        <v>0</v>
      </c>
      <c r="AJ199" s="17" t="str">
        <f t="shared" si="12"/>
        <v/>
      </c>
      <c r="AK199" s="1">
        <f t="shared" ref="AK199:AL199" si="411">sum(Y199,AB199,AE199,AH199)</f>
        <v>0</v>
      </c>
      <c r="AL199" s="1">
        <f t="shared" si="411"/>
        <v>0</v>
      </c>
      <c r="AM199" s="17" t="str">
        <f t="shared" si="14"/>
        <v/>
      </c>
      <c r="AN199" s="1">
        <f>value(IFERROR(SUBSTITUTE(SUBSTITUTE(VLOOKUP($A199,'Quarterly Pipeline vs Target Pi'!$A:$AP,26,false)," $","")," €",""), "")
)</f>
        <v>0</v>
      </c>
      <c r="AO199" s="1">
        <f>value(IFERROR(SUBSTITUTE(SUBSTITUTE(VLOOKUP($A199,'Quarterly Pipeline vs Target Pi'!$A:$AP,27,false)," $","")," €",""), "")
)</f>
        <v>0</v>
      </c>
      <c r="AP199" s="17" t="str">
        <f t="shared" si="15"/>
        <v/>
      </c>
      <c r="AQ199" s="1">
        <f>value(IFERROR(SUBSTITUTE(SUBSTITUTE(VLOOKUP($A199,'Quarterly Pipeline vs Target Pi'!$A:$AP,31,false)," $","")," €",""), "")
)</f>
        <v>0</v>
      </c>
      <c r="AR199" s="1">
        <f>value(IFERROR(SUBSTITUTE(SUBSTITUTE(VLOOKUP($A199,'Quarterly Pipeline vs Target Pi'!$A:$AP,32,false)," $","")," €",""), "")
)</f>
        <v>0</v>
      </c>
      <c r="AS199" s="17" t="str">
        <f t="shared" si="16"/>
        <v/>
      </c>
      <c r="AT199" s="1">
        <f>value(IFERROR(SUBSTITUTE(SUBSTITUTE(VLOOKUP($A199,'Quarterly Pipeline vs Target Pi'!$A:$AP,36,false)," $","")," €",""), "")
)</f>
        <v>0</v>
      </c>
      <c r="AU199" s="1">
        <f>value(IFERROR(SUBSTITUTE(SUBSTITUTE(VLOOKUP($A199,'Quarterly Pipeline vs Target Pi'!$A:$AP,37,false)," $","")," €",""), "")
)</f>
        <v>0</v>
      </c>
      <c r="AV199" s="17" t="str">
        <f t="shared" si="17"/>
        <v/>
      </c>
      <c r="AW199" s="1">
        <f>value(IFERROR(SUBSTITUTE(SUBSTITUTE(VLOOKUP($A199,'Quarterly Pipeline vs Target Pi'!$A:$AP,41,false)," $","")," €",""), "")
)</f>
        <v>0</v>
      </c>
      <c r="AX199" s="1">
        <f>value(IFERROR(SUBSTITUTE(SUBSTITUTE(VLOOKUP($A199,'Quarterly Pipeline vs Target Pi'!$A:$AP,42,false)," $","")," €",""), "")
)</f>
        <v>0</v>
      </c>
      <c r="AY199" s="17" t="str">
        <f t="shared" si="18"/>
        <v/>
      </c>
      <c r="AZ199" s="1">
        <f t="shared" ref="AZ199:BA199" si="412">sum(AN199,AQ199,AT199,AW199)</f>
        <v>0</v>
      </c>
      <c r="BA199" s="1">
        <f t="shared" si="412"/>
        <v>0</v>
      </c>
      <c r="BB199" s="17" t="str">
        <f t="shared" si="20"/>
        <v/>
      </c>
    </row>
    <row r="200">
      <c r="A200" s="1" t="str">
        <f>IFERROR(__xludf.DUMMYFUNCTION("""COMPUTED_VALUE"""),"63ced848c5c820531c268da7")</f>
        <v>63ced848c5c820531c268da7</v>
      </c>
      <c r="B200" s="1" t="str">
        <f>IFERROR(__xludf.DUMMYFUNCTION("""COMPUTED_VALUE"""),"Glotech GmbH")</f>
        <v>Glotech GmbH</v>
      </c>
      <c r="C200" s="1" t="str">
        <f>IFERROR(__xludf.DUMMYFUNCTION("""COMPUTED_VALUE"""),"alena.charnaokaya@al-enterprise.com")</f>
        <v>alena.charnaokaya@al-enterprise.com</v>
      </c>
      <c r="D200" s="1" t="str">
        <f>IFERROR(__xludf.DUMMYFUNCTION("""COMPUTED_VALUE"""),"germany")</f>
        <v>germany</v>
      </c>
      <c r="E200" s="1" t="str">
        <f>IFERROR(__xludf.DUMMYFUNCTION("""COMPUTED_VALUE"""),"DE")</f>
        <v>DE</v>
      </c>
      <c r="F200" s="1"/>
      <c r="G200" s="1" t="str">
        <f>iferror(VLOOKUP(A200,'Business Plan Setup and Accepta'!A:G,6,false),"")</f>
        <v/>
      </c>
      <c r="H200" s="1" t="str">
        <f>iferror(VLOOKUP(A200,'Business Plan Setup and Accepta'!A:G,7,false),"")</f>
        <v/>
      </c>
      <c r="I200" s="17" t="str">
        <f t="shared" si="3"/>
        <v/>
      </c>
      <c r="J200" s="1" t="str">
        <f>IFERROR(VALUE(SUBSTITUTE(VLOOKUP(A200,'Sales IN Revenues vs Sales targ'!A:G,6,false)," $","")), "")
</f>
        <v/>
      </c>
      <c r="K200" s="1" t="str">
        <f>IFERROR(VALUE(SUBSTITUTE(VLOOKUP(A200,'Sales IN Revenues vs Sales targ'!A:G,7,false)," $","")), "")
</f>
        <v/>
      </c>
      <c r="L200" s="17" t="str">
        <f t="shared" si="4"/>
        <v/>
      </c>
      <c r="M200" s="1">
        <f>value(SUBSTITUTE(IFERROR(VLOOKUP(A200,'Certifications achievements vs '!A:G,6,false),""),"#","")
)</f>
        <v>0</v>
      </c>
      <c r="N200" s="1">
        <f>value(SUBSTITUTE(IFERROR(VLOOKUP(A200,'Certifications achievements vs '!A:G,7,false),""),"#","")
)</f>
        <v>0</v>
      </c>
      <c r="O200" s="17" t="str">
        <f t="shared" si="5"/>
        <v/>
      </c>
      <c r="P200" s="1">
        <f>value(SUBSTITUTE(IFERROR(VLOOKUP(A200,'Communications - Solution Speci'!A:G,6,false),""),"#","")
)</f>
        <v>0</v>
      </c>
      <c r="Q200" s="1">
        <f>value(SUBSTITUTE(IFERROR(VLOOKUP(A200,'Communications - Solution Speci'!A:G,7,false),""),"#","")
)</f>
        <v>0</v>
      </c>
      <c r="R200" s="17" t="str">
        <f t="shared" si="6"/>
        <v/>
      </c>
      <c r="S200" s="1">
        <f>value(SUBSTITUTE(IFERROR(VLOOKUP(A200,'Networking - Solution Specializ'!A:G,6,false),""),"#","")
)</f>
        <v>0</v>
      </c>
      <c r="T200" s="1">
        <f>value(SUBSTITUTE(IFERROR(VLOOKUP(A200,'Networking - Solution Specializ'!A:G,7,false),""),"#","")
)</f>
        <v>0</v>
      </c>
      <c r="U200" s="17" t="str">
        <f t="shared" si="7"/>
        <v/>
      </c>
      <c r="V200" s="1" t="str">
        <f>iferror(vlookup(A200,'Marketing Plan (extract summary'!A:G,6,false),"")</f>
        <v/>
      </c>
      <c r="W200" s="1" t="str">
        <f>iferror(vlookup(A200,'Marketing Plan (extract summary'!A:G,7,false),"")</f>
        <v/>
      </c>
      <c r="X200" s="17" t="str">
        <f t="shared" si="8"/>
        <v/>
      </c>
      <c r="Y200" s="1">
        <f>value(IFERROR(SUBSTITUTE(SUBSTITUTE(VLOOKUP(A200,'Quarterly Pipeline vs Target Pi'!A:G,6,false)," $","")," €",""), "")
)</f>
        <v>0</v>
      </c>
      <c r="Z200" s="1">
        <f>value(IFERROR(SUBSTITUTE(SUBSTITUTE(VLOOKUP(A200,'Quarterly Pipeline vs Target Pi'!A:G,7,false)," $","")," €",""), "")
)</f>
        <v>0</v>
      </c>
      <c r="AA200" s="17" t="str">
        <f t="shared" si="9"/>
        <v/>
      </c>
      <c r="AB200" s="1">
        <f>value(IFERROR(SUBSTITUTE(SUBSTITUTE(VLOOKUP($A200,'Quarterly Pipeline vs Target Pi'!$A:$V,11,false)," $","")," €",""), "")
)</f>
        <v>0</v>
      </c>
      <c r="AC200" s="1">
        <f>value(IFERROR(SUBSTITUTE(SUBSTITUTE(VLOOKUP($A200,'Quarterly Pipeline vs Target Pi'!$A:$V,12,false)," $","")," €",""), "")
)</f>
        <v>0</v>
      </c>
      <c r="AD200" s="17" t="str">
        <f t="shared" si="10"/>
        <v/>
      </c>
      <c r="AE200" s="1">
        <f>value(IFERROR(SUBSTITUTE(SUBSTITUTE(VLOOKUP($A200,'Quarterly Pipeline vs Target Pi'!$A:$V,16,false)," $","")," €",""), "")
)</f>
        <v>0</v>
      </c>
      <c r="AF200" s="1">
        <f>value(IFERROR(SUBSTITUTE(SUBSTITUTE(VLOOKUP($A200,'Quarterly Pipeline vs Target Pi'!$A:$V,17,false)," $","")," €",""), "")
)</f>
        <v>0</v>
      </c>
      <c r="AG200" s="17" t="str">
        <f t="shared" si="11"/>
        <v/>
      </c>
      <c r="AH200" s="1">
        <f>value(IFERROR(SUBSTITUTE(SUBSTITUTE(VLOOKUP($A200,'Quarterly Pipeline vs Target Pi'!$A:$V,21,false)," $","")," €",""), "")
)</f>
        <v>0</v>
      </c>
      <c r="AI200" s="1">
        <f>value(IFERROR(SUBSTITUTE(SUBSTITUTE(VLOOKUP($A200,'Quarterly Pipeline vs Target Pi'!$A:$V,22,false)," $","")," €",""), "")
)</f>
        <v>0</v>
      </c>
      <c r="AJ200" s="17" t="str">
        <f t="shared" si="12"/>
        <v/>
      </c>
      <c r="AK200" s="1">
        <f t="shared" ref="AK200:AL200" si="413">sum(Y200,AB200,AE200,AH200)</f>
        <v>0</v>
      </c>
      <c r="AL200" s="1">
        <f t="shared" si="413"/>
        <v>0</v>
      </c>
      <c r="AM200" s="17" t="str">
        <f t="shared" si="14"/>
        <v/>
      </c>
      <c r="AN200" s="1">
        <f>value(IFERROR(SUBSTITUTE(SUBSTITUTE(VLOOKUP($A200,'Quarterly Pipeline vs Target Pi'!$A:$AP,26,false)," $","")," €",""), "")
)</f>
        <v>0</v>
      </c>
      <c r="AO200" s="1">
        <f>value(IFERROR(SUBSTITUTE(SUBSTITUTE(VLOOKUP($A200,'Quarterly Pipeline vs Target Pi'!$A:$AP,27,false)," $","")," €",""), "")
)</f>
        <v>0</v>
      </c>
      <c r="AP200" s="17" t="str">
        <f t="shared" si="15"/>
        <v/>
      </c>
      <c r="AQ200" s="1">
        <f>value(IFERROR(SUBSTITUTE(SUBSTITUTE(VLOOKUP($A200,'Quarterly Pipeline vs Target Pi'!$A:$AP,31,false)," $","")," €",""), "")
)</f>
        <v>0</v>
      </c>
      <c r="AR200" s="1">
        <f>value(IFERROR(SUBSTITUTE(SUBSTITUTE(VLOOKUP($A200,'Quarterly Pipeline vs Target Pi'!$A:$AP,32,false)," $","")," €",""), "")
)</f>
        <v>0</v>
      </c>
      <c r="AS200" s="17" t="str">
        <f t="shared" si="16"/>
        <v/>
      </c>
      <c r="AT200" s="1">
        <f>value(IFERROR(SUBSTITUTE(SUBSTITUTE(VLOOKUP($A200,'Quarterly Pipeline vs Target Pi'!$A:$AP,36,false)," $","")," €",""), "")
)</f>
        <v>0</v>
      </c>
      <c r="AU200" s="1">
        <f>value(IFERROR(SUBSTITUTE(SUBSTITUTE(VLOOKUP($A200,'Quarterly Pipeline vs Target Pi'!$A:$AP,37,false)," $","")," €",""), "")
)</f>
        <v>0</v>
      </c>
      <c r="AV200" s="17" t="str">
        <f t="shared" si="17"/>
        <v/>
      </c>
      <c r="AW200" s="1">
        <f>value(IFERROR(SUBSTITUTE(SUBSTITUTE(VLOOKUP($A200,'Quarterly Pipeline vs Target Pi'!$A:$AP,41,false)," $","")," €",""), "")
)</f>
        <v>0</v>
      </c>
      <c r="AX200" s="1">
        <f>value(IFERROR(SUBSTITUTE(SUBSTITUTE(VLOOKUP($A200,'Quarterly Pipeline vs Target Pi'!$A:$AP,42,false)," $","")," €",""), "")
)</f>
        <v>0</v>
      </c>
      <c r="AY200" s="17" t="str">
        <f t="shared" si="18"/>
        <v/>
      </c>
      <c r="AZ200" s="1">
        <f t="shared" ref="AZ200:BA200" si="414">sum(AN200,AQ200,AT200,AW200)</f>
        <v>0</v>
      </c>
      <c r="BA200" s="1">
        <f t="shared" si="414"/>
        <v>0</v>
      </c>
      <c r="BB200" s="17" t="str">
        <f t="shared" si="20"/>
        <v/>
      </c>
    </row>
    <row r="201">
      <c r="A201" s="1" t="str">
        <f>IFERROR(__xludf.DUMMYFUNCTION("""COMPUTED_VALUE"""),"63ea6e9652ad6968805cefbf")</f>
        <v>63ea6e9652ad6968805cefbf</v>
      </c>
      <c r="B201" s="1" t="str">
        <f>IFERROR(__xludf.DUMMYFUNCTION("""COMPUTED_VALUE"""),"GND TELEKOM")</f>
        <v>GND TELEKOM</v>
      </c>
      <c r="C201" s="1" t="str">
        <f>IFERROR(__xludf.DUMMYFUNCTION("""COMPUTED_VALUE"""),"andreas.grossheimann@al-enterprise.com, andre.ramm@al-enterprise.com")</f>
        <v>andreas.grossheimann@al-enterprise.com, andre.ramm@al-enterprise.com</v>
      </c>
      <c r="D201" s="1" t="str">
        <f>IFERROR(__xludf.DUMMYFUNCTION("""COMPUTED_VALUE"""),"germany")</f>
        <v>germany</v>
      </c>
      <c r="E201" s="1" t="str">
        <f>IFERROR(__xludf.DUMMYFUNCTION("""COMPUTED_VALUE"""),"DE")</f>
        <v>DE</v>
      </c>
      <c r="F201" s="1"/>
      <c r="G201" s="1" t="str">
        <f>iferror(VLOOKUP(A201,'Business Plan Setup and Accepta'!A:G,6,false),"")</f>
        <v/>
      </c>
      <c r="H201" s="1" t="str">
        <f>iferror(VLOOKUP(A201,'Business Plan Setup and Accepta'!A:G,7,false),"")</f>
        <v/>
      </c>
      <c r="I201" s="17" t="str">
        <f t="shared" si="3"/>
        <v/>
      </c>
      <c r="J201" s="1" t="str">
        <f>IFERROR(VALUE(SUBSTITUTE(VLOOKUP(A201,'Sales IN Revenues vs Sales targ'!A:G,6,false)," $","")), "")
</f>
        <v/>
      </c>
      <c r="K201" s="1" t="str">
        <f>IFERROR(VALUE(SUBSTITUTE(VLOOKUP(A201,'Sales IN Revenues vs Sales targ'!A:G,7,false)," $","")), "")
</f>
        <v/>
      </c>
      <c r="L201" s="17" t="str">
        <f t="shared" si="4"/>
        <v/>
      </c>
      <c r="M201" s="1">
        <f>value(SUBSTITUTE(IFERROR(VLOOKUP(A201,'Certifications achievements vs '!A:G,6,false),""),"#","")
)</f>
        <v>0</v>
      </c>
      <c r="N201" s="1">
        <f>value(SUBSTITUTE(IFERROR(VLOOKUP(A201,'Certifications achievements vs '!A:G,7,false),""),"#","")
)</f>
        <v>0</v>
      </c>
      <c r="O201" s="17" t="str">
        <f t="shared" si="5"/>
        <v/>
      </c>
      <c r="P201" s="1">
        <f>value(SUBSTITUTE(IFERROR(VLOOKUP(A201,'Communications - Solution Speci'!A:G,6,false),""),"#","")
)</f>
        <v>0</v>
      </c>
      <c r="Q201" s="1">
        <f>value(SUBSTITUTE(IFERROR(VLOOKUP(A201,'Communications - Solution Speci'!A:G,7,false),""),"#","")
)</f>
        <v>0</v>
      </c>
      <c r="R201" s="17" t="str">
        <f t="shared" si="6"/>
        <v/>
      </c>
      <c r="S201" s="1">
        <f>value(SUBSTITUTE(IFERROR(VLOOKUP(A201,'Networking - Solution Specializ'!A:G,6,false),""),"#","")
)</f>
        <v>0</v>
      </c>
      <c r="T201" s="1">
        <f>value(SUBSTITUTE(IFERROR(VLOOKUP(A201,'Networking - Solution Specializ'!A:G,7,false),""),"#","")
)</f>
        <v>0</v>
      </c>
      <c r="U201" s="17" t="str">
        <f t="shared" si="7"/>
        <v/>
      </c>
      <c r="V201" s="1" t="str">
        <f>iferror(vlookup(A201,'Marketing Plan (extract summary'!A:G,6,false),"")</f>
        <v/>
      </c>
      <c r="W201" s="1" t="str">
        <f>iferror(vlookup(A201,'Marketing Plan (extract summary'!A:G,7,false),"")</f>
        <v/>
      </c>
      <c r="X201" s="17" t="str">
        <f t="shared" si="8"/>
        <v/>
      </c>
      <c r="Y201" s="1">
        <f>value(IFERROR(SUBSTITUTE(SUBSTITUTE(VLOOKUP(A201,'Quarterly Pipeline vs Target Pi'!A:G,6,false)," $","")," €",""), "")
)</f>
        <v>0</v>
      </c>
      <c r="Z201" s="1">
        <f>value(IFERROR(SUBSTITUTE(SUBSTITUTE(VLOOKUP(A201,'Quarterly Pipeline vs Target Pi'!A:G,7,false)," $","")," €",""), "")
)</f>
        <v>0</v>
      </c>
      <c r="AA201" s="17" t="str">
        <f t="shared" si="9"/>
        <v/>
      </c>
      <c r="AB201" s="1">
        <f>value(IFERROR(SUBSTITUTE(SUBSTITUTE(VLOOKUP($A201,'Quarterly Pipeline vs Target Pi'!$A:$V,11,false)," $","")," €",""), "")
)</f>
        <v>0</v>
      </c>
      <c r="AC201" s="1">
        <f>value(IFERROR(SUBSTITUTE(SUBSTITUTE(VLOOKUP($A201,'Quarterly Pipeline vs Target Pi'!$A:$V,12,false)," $","")," €",""), "")
)</f>
        <v>0</v>
      </c>
      <c r="AD201" s="17" t="str">
        <f t="shared" si="10"/>
        <v/>
      </c>
      <c r="AE201" s="1">
        <f>value(IFERROR(SUBSTITUTE(SUBSTITUTE(VLOOKUP($A201,'Quarterly Pipeline vs Target Pi'!$A:$V,16,false)," $","")," €",""), "")
)</f>
        <v>0</v>
      </c>
      <c r="AF201" s="1">
        <f>value(IFERROR(SUBSTITUTE(SUBSTITUTE(VLOOKUP($A201,'Quarterly Pipeline vs Target Pi'!$A:$V,17,false)," $","")," €",""), "")
)</f>
        <v>0</v>
      </c>
      <c r="AG201" s="17" t="str">
        <f t="shared" si="11"/>
        <v/>
      </c>
      <c r="AH201" s="1">
        <f>value(IFERROR(SUBSTITUTE(SUBSTITUTE(VLOOKUP($A201,'Quarterly Pipeline vs Target Pi'!$A:$V,21,false)," $","")," €",""), "")
)</f>
        <v>0</v>
      </c>
      <c r="AI201" s="1">
        <f>value(IFERROR(SUBSTITUTE(SUBSTITUTE(VLOOKUP($A201,'Quarterly Pipeline vs Target Pi'!$A:$V,22,false)," $","")," €",""), "")
)</f>
        <v>0</v>
      </c>
      <c r="AJ201" s="17" t="str">
        <f t="shared" si="12"/>
        <v/>
      </c>
      <c r="AK201" s="1">
        <f t="shared" ref="AK201:AL201" si="415">sum(Y201,AB201,AE201,AH201)</f>
        <v>0</v>
      </c>
      <c r="AL201" s="1">
        <f t="shared" si="415"/>
        <v>0</v>
      </c>
      <c r="AM201" s="17" t="str">
        <f t="shared" si="14"/>
        <v/>
      </c>
      <c r="AN201" s="1">
        <f>value(IFERROR(SUBSTITUTE(SUBSTITUTE(VLOOKUP($A201,'Quarterly Pipeline vs Target Pi'!$A:$AP,26,false)," $","")," €",""), "")
)</f>
        <v>0</v>
      </c>
      <c r="AO201" s="1">
        <f>value(IFERROR(SUBSTITUTE(SUBSTITUTE(VLOOKUP($A201,'Quarterly Pipeline vs Target Pi'!$A:$AP,27,false)," $","")," €",""), "")
)</f>
        <v>0</v>
      </c>
      <c r="AP201" s="17" t="str">
        <f t="shared" si="15"/>
        <v/>
      </c>
      <c r="AQ201" s="1">
        <f>value(IFERROR(SUBSTITUTE(SUBSTITUTE(VLOOKUP($A201,'Quarterly Pipeline vs Target Pi'!$A:$AP,31,false)," $","")," €",""), "")
)</f>
        <v>0</v>
      </c>
      <c r="AR201" s="1">
        <f>value(IFERROR(SUBSTITUTE(SUBSTITUTE(VLOOKUP($A201,'Quarterly Pipeline vs Target Pi'!$A:$AP,32,false)," $","")," €",""), "")
)</f>
        <v>0</v>
      </c>
      <c r="AS201" s="17" t="str">
        <f t="shared" si="16"/>
        <v/>
      </c>
      <c r="AT201" s="1">
        <f>value(IFERROR(SUBSTITUTE(SUBSTITUTE(VLOOKUP($A201,'Quarterly Pipeline vs Target Pi'!$A:$AP,36,false)," $","")," €",""), "")
)</f>
        <v>0</v>
      </c>
      <c r="AU201" s="1">
        <f>value(IFERROR(SUBSTITUTE(SUBSTITUTE(VLOOKUP($A201,'Quarterly Pipeline vs Target Pi'!$A:$AP,37,false)," $","")," €",""), "")
)</f>
        <v>0</v>
      </c>
      <c r="AV201" s="17" t="str">
        <f t="shared" si="17"/>
        <v/>
      </c>
      <c r="AW201" s="1">
        <f>value(IFERROR(SUBSTITUTE(SUBSTITUTE(VLOOKUP($A201,'Quarterly Pipeline vs Target Pi'!$A:$AP,41,false)," $","")," €",""), "")
)</f>
        <v>0</v>
      </c>
      <c r="AX201" s="1">
        <f>value(IFERROR(SUBSTITUTE(SUBSTITUTE(VLOOKUP($A201,'Quarterly Pipeline vs Target Pi'!$A:$AP,42,false)," $","")," €",""), "")
)</f>
        <v>0</v>
      </c>
      <c r="AY201" s="17" t="str">
        <f t="shared" si="18"/>
        <v/>
      </c>
      <c r="AZ201" s="1">
        <f t="shared" ref="AZ201:BA201" si="416">sum(AN201,AQ201,AT201,AW201)</f>
        <v>0</v>
      </c>
      <c r="BA201" s="1">
        <f t="shared" si="416"/>
        <v>0</v>
      </c>
      <c r="BB201" s="17" t="str">
        <f t="shared" si="20"/>
        <v/>
      </c>
    </row>
    <row r="202">
      <c r="A202" s="1" t="str">
        <f>IFERROR(__xludf.DUMMYFUNCTION("""COMPUTED_VALUE"""),"63ced846c5c820531c268816")</f>
        <v>63ced846c5c820531c268816</v>
      </c>
      <c r="B202" s="1" t="str">
        <f>IFERROR(__xludf.DUMMYFUNCTION("""COMPUTED_VALUE"""),"GOTOR COMUNICACIONES S.A.")</f>
        <v>GOTOR COMUNICACIONES S.A.</v>
      </c>
      <c r="C202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202" s="1" t="str">
        <f>IFERROR(__xludf.DUMMYFUNCTION("""COMPUTED_VALUE"""),"emea")</f>
        <v>emea</v>
      </c>
      <c r="E202" s="1" t="str">
        <f>IFERROR(__xludf.DUMMYFUNCTION("""COMPUTED_VALUE"""),"ES")</f>
        <v>ES</v>
      </c>
      <c r="F202" s="1" t="str">
        <f>IFERROR(__xludf.DUMMYFUNCTION("""COMPUTED_VALUE"""),"expert_200")</f>
        <v>expert_200</v>
      </c>
      <c r="G202" s="1">
        <f>iferror(VLOOKUP(A202,'Business Plan Setup and Accepta'!A:G,6,false),"")</f>
        <v>1</v>
      </c>
      <c r="H202" s="1">
        <f>iferror(VLOOKUP(A202,'Business Plan Setup and Accepta'!A:G,7,false),"")</f>
        <v>1</v>
      </c>
      <c r="I202" s="17">
        <f t="shared" si="3"/>
        <v>1</v>
      </c>
      <c r="J202" s="1">
        <f>IFERROR(VALUE(SUBSTITUTE(VLOOKUP(A202,'Sales IN Revenues vs Sales targ'!A:G,6,false)," $","")), "")
</f>
        <v>254.87</v>
      </c>
      <c r="K202" s="1">
        <f>IFERROR(VALUE(SUBSTITUTE(VLOOKUP(A202,'Sales IN Revenues vs Sales targ'!A:G,7,false)," $","")), "")
</f>
        <v>750</v>
      </c>
      <c r="L202" s="17">
        <f t="shared" si="4"/>
        <v>0.3398266667</v>
      </c>
      <c r="M202" s="1">
        <f>value(SUBSTITUTE(IFERROR(VLOOKUP(A202,'Certifications achievements vs '!A:G,6,false),""),"#","")
)</f>
        <v>44</v>
      </c>
      <c r="N202" s="1">
        <f>value(SUBSTITUTE(IFERROR(VLOOKUP(A202,'Certifications achievements vs '!A:G,7,false),""),"#","")
)</f>
        <v>52</v>
      </c>
      <c r="O202" s="17">
        <f t="shared" si="5"/>
        <v>0.8461538462</v>
      </c>
      <c r="P202" s="1">
        <f>value(SUBSTITUTE(IFERROR(VLOOKUP(A202,'Communications - Solution Speci'!A:G,6,false),""),"#","")
)</f>
        <v>1</v>
      </c>
      <c r="Q202" s="1">
        <f>value(SUBSTITUTE(IFERROR(VLOOKUP(A202,'Communications - Solution Speci'!A:G,7,false),""),"#","")
)</f>
        <v>1</v>
      </c>
      <c r="R202" s="17">
        <f t="shared" si="6"/>
        <v>1</v>
      </c>
      <c r="S202" s="1">
        <f>value(SUBSTITUTE(IFERROR(VLOOKUP(A202,'Networking - Solution Specializ'!A:G,6,false),""),"#","")
)</f>
        <v>1</v>
      </c>
      <c r="T202" s="1">
        <f>value(SUBSTITUTE(IFERROR(VLOOKUP(A202,'Networking - Solution Specializ'!A:G,7,false),""),"#","")
)</f>
        <v>1</v>
      </c>
      <c r="U202" s="17">
        <f t="shared" si="7"/>
        <v>1</v>
      </c>
      <c r="V202" s="1">
        <f>iferror(vlookup(A202,'Marketing Plan (extract summary'!A:G,6,false),"")</f>
        <v>0</v>
      </c>
      <c r="W202" s="1">
        <f>iferror(vlookup(A202,'Marketing Plan (extract summary'!A:G,7,false),"")</f>
        <v>1</v>
      </c>
      <c r="X202" s="17">
        <f t="shared" si="8"/>
        <v>0</v>
      </c>
      <c r="Y202" s="1">
        <f>value(IFERROR(SUBSTITUTE(SUBSTITUTE(VLOOKUP(A202,'Quarterly Pipeline vs Target Pi'!A:G,6,false)," $","")," €",""), "")
)</f>
        <v>7.54</v>
      </c>
      <c r="Z202" s="1">
        <f>value(IFERROR(SUBSTITUTE(SUBSTITUTE(VLOOKUP(A202,'Quarterly Pipeline vs Target Pi'!A:G,7,false)," $","")," €",""), "")
)</f>
        <v>0</v>
      </c>
      <c r="AA202" s="17" t="str">
        <f t="shared" si="9"/>
        <v/>
      </c>
      <c r="AB202" s="1">
        <f>value(IFERROR(SUBSTITUTE(SUBSTITUTE(VLOOKUP($A202,'Quarterly Pipeline vs Target Pi'!$A:$V,11,false)," $","")," €",""), "")
)</f>
        <v>51.15</v>
      </c>
      <c r="AC202" s="1">
        <f>value(IFERROR(SUBSTITUTE(SUBSTITUTE(VLOOKUP($A202,'Quarterly Pipeline vs Target Pi'!$A:$V,12,false)," $","")," €",""), "")
)</f>
        <v>297.62</v>
      </c>
      <c r="AD202" s="17">
        <f t="shared" si="10"/>
        <v>0.17186345</v>
      </c>
      <c r="AE202" s="1">
        <f>value(IFERROR(SUBSTITUTE(SUBSTITUTE(VLOOKUP($A202,'Quarterly Pipeline vs Target Pi'!$A:$V,16,false)," $","")," €",""), "")
)</f>
        <v>135.96</v>
      </c>
      <c r="AF202" s="1">
        <f>value(IFERROR(SUBSTITUTE(SUBSTITUTE(VLOOKUP($A202,'Quarterly Pipeline vs Target Pi'!$A:$V,17,false)," $","")," €",""), "")
)</f>
        <v>297.62</v>
      </c>
      <c r="AG202" s="17">
        <f t="shared" si="11"/>
        <v>0.4568241382</v>
      </c>
      <c r="AH202" s="1">
        <f>value(IFERROR(SUBSTITUTE(SUBSTITUTE(VLOOKUP($A202,'Quarterly Pipeline vs Target Pi'!$A:$V,21,false)," $","")," €",""), "")
)</f>
        <v>115.37</v>
      </c>
      <c r="AI202" s="1">
        <f>value(IFERROR(SUBSTITUTE(SUBSTITUTE(VLOOKUP($A202,'Quarterly Pipeline vs Target Pi'!$A:$V,22,false)," $","")," €",""), "")
)</f>
        <v>297.62</v>
      </c>
      <c r="AJ202" s="17">
        <f t="shared" si="12"/>
        <v>0.3876419595</v>
      </c>
      <c r="AK202" s="1">
        <f t="shared" ref="AK202:AL202" si="417">sum(Y202,AB202,AE202,AH202)</f>
        <v>310.02</v>
      </c>
      <c r="AL202" s="1">
        <f t="shared" si="417"/>
        <v>892.86</v>
      </c>
      <c r="AM202" s="17">
        <f t="shared" si="14"/>
        <v>0.3472212889</v>
      </c>
      <c r="AN202" s="1">
        <f>value(IFERROR(SUBSTITUTE(SUBSTITUTE(VLOOKUP($A202,'Quarterly Pipeline vs Target Pi'!$A:$AP,26,false)," $","")," €",""), "")
)</f>
        <v>5.56</v>
      </c>
      <c r="AO202" s="1">
        <f>value(IFERROR(SUBSTITUTE(SUBSTITUTE(VLOOKUP($A202,'Quarterly Pipeline vs Target Pi'!$A:$AP,27,false)," $","")," €",""), "")
)</f>
        <v>0</v>
      </c>
      <c r="AP202" s="17" t="str">
        <f t="shared" si="15"/>
        <v/>
      </c>
      <c r="AQ202" s="1">
        <f>value(IFERROR(SUBSTITUTE(SUBSTITUTE(VLOOKUP($A202,'Quarterly Pipeline vs Target Pi'!$A:$AP,31,false)," $","")," €",""), "")
)</f>
        <v>110.94</v>
      </c>
      <c r="AR202" s="1">
        <f>value(IFERROR(SUBSTITUTE(SUBSTITUTE(VLOOKUP($A202,'Quarterly Pipeline vs Target Pi'!$A:$AP,32,false)," $","")," €",""), "")
)</f>
        <v>0</v>
      </c>
      <c r="AS202" s="17" t="str">
        <f t="shared" si="16"/>
        <v/>
      </c>
      <c r="AT202" s="1">
        <f>value(IFERROR(SUBSTITUTE(SUBSTITUTE(VLOOKUP($A202,'Quarterly Pipeline vs Target Pi'!$A:$AP,36,false)," $","")," €",""), "")
)</f>
        <v>47.63</v>
      </c>
      <c r="AU202" s="1">
        <f>value(IFERROR(SUBSTITUTE(SUBSTITUTE(VLOOKUP($A202,'Quarterly Pipeline vs Target Pi'!$A:$AP,37,false)," $","")," €",""), "")
)</f>
        <v>0</v>
      </c>
      <c r="AV202" s="17" t="str">
        <f t="shared" si="17"/>
        <v/>
      </c>
      <c r="AW202" s="1">
        <f>value(IFERROR(SUBSTITUTE(SUBSTITUTE(VLOOKUP($A202,'Quarterly Pipeline vs Target Pi'!$A:$AP,41,false)," $","")," €",""), "")
)</f>
        <v>66</v>
      </c>
      <c r="AX202" s="1">
        <f>value(IFERROR(SUBSTITUTE(SUBSTITUTE(VLOOKUP($A202,'Quarterly Pipeline vs Target Pi'!$A:$AP,42,false)," $","")," €",""), "")
)</f>
        <v>0</v>
      </c>
      <c r="AY202" s="17" t="str">
        <f t="shared" si="18"/>
        <v/>
      </c>
      <c r="AZ202" s="1">
        <f t="shared" ref="AZ202:BA202" si="418">sum(AN202,AQ202,AT202,AW202)</f>
        <v>230.13</v>
      </c>
      <c r="BA202" s="1">
        <f t="shared" si="418"/>
        <v>0</v>
      </c>
      <c r="BB202" s="17" t="str">
        <f t="shared" si="20"/>
        <v/>
      </c>
    </row>
    <row r="203">
      <c r="A203" s="1" t="str">
        <f>IFERROR(__xludf.DUMMYFUNCTION("""COMPUTED_VALUE"""),"63fcbb85a107c871cf565517")</f>
        <v>63fcbb85a107c871cf565517</v>
      </c>
      <c r="B203" s="1" t="str">
        <f>IFERROR(__xludf.DUMMYFUNCTION("""COMPUTED_VALUE"""),"GOVERNMENT SECURE SOLUTIONS CGI INC")</f>
        <v>GOVERNMENT SECURE SOLUTIONS CGI INC</v>
      </c>
      <c r="C203" s="1" t="str">
        <f>IFERROR(__xludf.DUMMYFUNCTION("""COMPUTED_VALUE"""),"skleinpe@al-enterprise.com")</f>
        <v>skleinpe@al-enterprise.com</v>
      </c>
      <c r="D203" s="1" t="str">
        <f>IFERROR(__xludf.DUMMYFUNCTION("""COMPUTED_VALUE"""),"americas")</f>
        <v>americas</v>
      </c>
      <c r="E203" s="1" t="str">
        <f>IFERROR(__xludf.DUMMYFUNCTION("""COMPUTED_VALUE"""),"US")</f>
        <v>US</v>
      </c>
      <c r="F203" s="1"/>
      <c r="G203" s="1" t="str">
        <f>iferror(VLOOKUP(A203,'Business Plan Setup and Accepta'!A:G,6,false),"")</f>
        <v/>
      </c>
      <c r="H203" s="1" t="str">
        <f>iferror(VLOOKUP(A203,'Business Plan Setup and Accepta'!A:G,7,false),"")</f>
        <v/>
      </c>
      <c r="I203" s="17" t="str">
        <f t="shared" si="3"/>
        <v/>
      </c>
      <c r="J203" s="1" t="str">
        <f>IFERROR(VALUE(SUBSTITUTE(VLOOKUP(A203,'Sales IN Revenues vs Sales targ'!A:G,6,false)," $","")), "")
</f>
        <v/>
      </c>
      <c r="K203" s="1" t="str">
        <f>IFERROR(VALUE(SUBSTITUTE(VLOOKUP(A203,'Sales IN Revenues vs Sales targ'!A:G,7,false)," $","")), "")
</f>
        <v/>
      </c>
      <c r="L203" s="17" t="str">
        <f t="shared" si="4"/>
        <v/>
      </c>
      <c r="M203" s="1">
        <f>value(SUBSTITUTE(IFERROR(VLOOKUP(A203,'Certifications achievements vs '!A:G,6,false),""),"#","")
)</f>
        <v>0</v>
      </c>
      <c r="N203" s="1">
        <f>value(SUBSTITUTE(IFERROR(VLOOKUP(A203,'Certifications achievements vs '!A:G,7,false),""),"#","")
)</f>
        <v>0</v>
      </c>
      <c r="O203" s="17" t="str">
        <f t="shared" si="5"/>
        <v/>
      </c>
      <c r="P203" s="1">
        <f>value(SUBSTITUTE(IFERROR(VLOOKUP(A203,'Communications - Solution Speci'!A:G,6,false),""),"#","")
)</f>
        <v>0</v>
      </c>
      <c r="Q203" s="1">
        <f>value(SUBSTITUTE(IFERROR(VLOOKUP(A203,'Communications - Solution Speci'!A:G,7,false),""),"#","")
)</f>
        <v>0</v>
      </c>
      <c r="R203" s="17" t="str">
        <f t="shared" si="6"/>
        <v/>
      </c>
      <c r="S203" s="1">
        <f>value(SUBSTITUTE(IFERROR(VLOOKUP(A203,'Networking - Solution Specializ'!A:G,6,false),""),"#","")
)</f>
        <v>0</v>
      </c>
      <c r="T203" s="1">
        <f>value(SUBSTITUTE(IFERROR(VLOOKUP(A203,'Networking - Solution Specializ'!A:G,7,false),""),"#","")
)</f>
        <v>0</v>
      </c>
      <c r="U203" s="17" t="str">
        <f t="shared" si="7"/>
        <v/>
      </c>
      <c r="V203" s="1" t="str">
        <f>iferror(vlookup(A203,'Marketing Plan (extract summary'!A:G,6,false),"")</f>
        <v/>
      </c>
      <c r="W203" s="1" t="str">
        <f>iferror(vlookup(A203,'Marketing Plan (extract summary'!A:G,7,false),"")</f>
        <v/>
      </c>
      <c r="X203" s="17" t="str">
        <f t="shared" si="8"/>
        <v/>
      </c>
      <c r="Y203" s="1">
        <f>value(IFERROR(SUBSTITUTE(SUBSTITUTE(VLOOKUP(A203,'Quarterly Pipeline vs Target Pi'!A:G,6,false)," $","")," €",""), "")
)</f>
        <v>0</v>
      </c>
      <c r="Z203" s="1">
        <f>value(IFERROR(SUBSTITUTE(SUBSTITUTE(VLOOKUP(A203,'Quarterly Pipeline vs Target Pi'!A:G,7,false)," $","")," €",""), "")
)</f>
        <v>0</v>
      </c>
      <c r="AA203" s="17" t="str">
        <f t="shared" si="9"/>
        <v/>
      </c>
      <c r="AB203" s="1">
        <f>value(IFERROR(SUBSTITUTE(SUBSTITUTE(VLOOKUP($A203,'Quarterly Pipeline vs Target Pi'!$A:$V,11,false)," $","")," €",""), "")
)</f>
        <v>0</v>
      </c>
      <c r="AC203" s="1">
        <f>value(IFERROR(SUBSTITUTE(SUBSTITUTE(VLOOKUP($A203,'Quarterly Pipeline vs Target Pi'!$A:$V,12,false)," $","")," €",""), "")
)</f>
        <v>0</v>
      </c>
      <c r="AD203" s="17" t="str">
        <f t="shared" si="10"/>
        <v/>
      </c>
      <c r="AE203" s="1">
        <f>value(IFERROR(SUBSTITUTE(SUBSTITUTE(VLOOKUP($A203,'Quarterly Pipeline vs Target Pi'!$A:$V,16,false)," $","")," €",""), "")
)</f>
        <v>0</v>
      </c>
      <c r="AF203" s="1">
        <f>value(IFERROR(SUBSTITUTE(SUBSTITUTE(VLOOKUP($A203,'Quarterly Pipeline vs Target Pi'!$A:$V,17,false)," $","")," €",""), "")
)</f>
        <v>0</v>
      </c>
      <c r="AG203" s="17" t="str">
        <f t="shared" si="11"/>
        <v/>
      </c>
      <c r="AH203" s="1">
        <f>value(IFERROR(SUBSTITUTE(SUBSTITUTE(VLOOKUP($A203,'Quarterly Pipeline vs Target Pi'!$A:$V,21,false)," $","")," €",""), "")
)</f>
        <v>0</v>
      </c>
      <c r="AI203" s="1">
        <f>value(IFERROR(SUBSTITUTE(SUBSTITUTE(VLOOKUP($A203,'Quarterly Pipeline vs Target Pi'!$A:$V,22,false)," $","")," €",""), "")
)</f>
        <v>0</v>
      </c>
      <c r="AJ203" s="17" t="str">
        <f t="shared" si="12"/>
        <v/>
      </c>
      <c r="AK203" s="1">
        <f t="shared" ref="AK203:AL203" si="419">sum(Y203,AB203,AE203,AH203)</f>
        <v>0</v>
      </c>
      <c r="AL203" s="1">
        <f t="shared" si="419"/>
        <v>0</v>
      </c>
      <c r="AM203" s="17" t="str">
        <f t="shared" si="14"/>
        <v/>
      </c>
      <c r="AN203" s="1">
        <f>value(IFERROR(SUBSTITUTE(SUBSTITUTE(VLOOKUP($A203,'Quarterly Pipeline vs Target Pi'!$A:$AP,26,false)," $","")," €",""), "")
)</f>
        <v>0</v>
      </c>
      <c r="AO203" s="1">
        <f>value(IFERROR(SUBSTITUTE(SUBSTITUTE(VLOOKUP($A203,'Quarterly Pipeline vs Target Pi'!$A:$AP,27,false)," $","")," €",""), "")
)</f>
        <v>0</v>
      </c>
      <c r="AP203" s="17" t="str">
        <f t="shared" si="15"/>
        <v/>
      </c>
      <c r="AQ203" s="1">
        <f>value(IFERROR(SUBSTITUTE(SUBSTITUTE(VLOOKUP($A203,'Quarterly Pipeline vs Target Pi'!$A:$AP,31,false)," $","")," €",""), "")
)</f>
        <v>0</v>
      </c>
      <c r="AR203" s="1">
        <f>value(IFERROR(SUBSTITUTE(SUBSTITUTE(VLOOKUP($A203,'Quarterly Pipeline vs Target Pi'!$A:$AP,32,false)," $","")," €",""), "")
)</f>
        <v>0</v>
      </c>
      <c r="AS203" s="17" t="str">
        <f t="shared" si="16"/>
        <v/>
      </c>
      <c r="AT203" s="1">
        <f>value(IFERROR(SUBSTITUTE(SUBSTITUTE(VLOOKUP($A203,'Quarterly Pipeline vs Target Pi'!$A:$AP,36,false)," $","")," €",""), "")
)</f>
        <v>0</v>
      </c>
      <c r="AU203" s="1">
        <f>value(IFERROR(SUBSTITUTE(SUBSTITUTE(VLOOKUP($A203,'Quarterly Pipeline vs Target Pi'!$A:$AP,37,false)," $","")," €",""), "")
)</f>
        <v>0</v>
      </c>
      <c r="AV203" s="17" t="str">
        <f t="shared" si="17"/>
        <v/>
      </c>
      <c r="AW203" s="1">
        <f>value(IFERROR(SUBSTITUTE(SUBSTITUTE(VLOOKUP($A203,'Quarterly Pipeline vs Target Pi'!$A:$AP,41,false)," $","")," €",""), "")
)</f>
        <v>0</v>
      </c>
      <c r="AX203" s="1">
        <f>value(IFERROR(SUBSTITUTE(SUBSTITUTE(VLOOKUP($A203,'Quarterly Pipeline vs Target Pi'!$A:$AP,42,false)," $","")," €",""), "")
)</f>
        <v>0</v>
      </c>
      <c r="AY203" s="17" t="str">
        <f t="shared" si="18"/>
        <v/>
      </c>
      <c r="AZ203" s="1">
        <f t="shared" ref="AZ203:BA203" si="420">sum(AN203,AQ203,AT203,AW203)</f>
        <v>0</v>
      </c>
      <c r="BA203" s="1">
        <f t="shared" si="420"/>
        <v>0</v>
      </c>
      <c r="BB203" s="17" t="str">
        <f t="shared" si="20"/>
        <v/>
      </c>
    </row>
    <row r="204">
      <c r="A204" s="1" t="str">
        <f>IFERROR(__xludf.DUMMYFUNCTION("""COMPUTED_VALUE"""),"63ea6e9652ad6968805cf04b")</f>
        <v>63ea6e9652ad6968805cf04b</v>
      </c>
      <c r="B204" s="1" t="str">
        <f>IFERROR(__xludf.DUMMYFUNCTION("""COMPUTED_VALUE"""),"grainscom")</f>
        <v>grainscom</v>
      </c>
      <c r="C204" s="1" t="str">
        <f>IFERROR(__xludf.DUMMYFUNCTION("""COMPUTED_VALUE"""),"andreas.grossheimann@al-enterprise.com, andre.ramm@al-enterprise.com")</f>
        <v>andreas.grossheimann@al-enterprise.com, andre.ramm@al-enterprise.com</v>
      </c>
      <c r="D204" s="1" t="str">
        <f>IFERROR(__xludf.DUMMYFUNCTION("""COMPUTED_VALUE"""),"germany")</f>
        <v>germany</v>
      </c>
      <c r="E204" s="1" t="str">
        <f>IFERROR(__xludf.DUMMYFUNCTION("""COMPUTED_VALUE"""),"DE")</f>
        <v>DE</v>
      </c>
      <c r="F204" s="1"/>
      <c r="G204" s="1" t="str">
        <f>iferror(VLOOKUP(A204,'Business Plan Setup and Accepta'!A:G,6,false),"")</f>
        <v/>
      </c>
      <c r="H204" s="1" t="str">
        <f>iferror(VLOOKUP(A204,'Business Plan Setup and Accepta'!A:G,7,false),"")</f>
        <v/>
      </c>
      <c r="I204" s="17" t="str">
        <f t="shared" si="3"/>
        <v/>
      </c>
      <c r="J204" s="1" t="str">
        <f>IFERROR(VALUE(SUBSTITUTE(VLOOKUP(A204,'Sales IN Revenues vs Sales targ'!A:G,6,false)," $","")), "")
</f>
        <v/>
      </c>
      <c r="K204" s="1" t="str">
        <f>IFERROR(VALUE(SUBSTITUTE(VLOOKUP(A204,'Sales IN Revenues vs Sales targ'!A:G,7,false)," $","")), "")
</f>
        <v/>
      </c>
      <c r="L204" s="17" t="str">
        <f t="shared" si="4"/>
        <v/>
      </c>
      <c r="M204" s="1">
        <f>value(SUBSTITUTE(IFERROR(VLOOKUP(A204,'Certifications achievements vs '!A:G,6,false),""),"#","")
)</f>
        <v>0</v>
      </c>
      <c r="N204" s="1">
        <f>value(SUBSTITUTE(IFERROR(VLOOKUP(A204,'Certifications achievements vs '!A:G,7,false),""),"#","")
)</f>
        <v>0</v>
      </c>
      <c r="O204" s="17" t="str">
        <f t="shared" si="5"/>
        <v/>
      </c>
      <c r="P204" s="1">
        <f>value(SUBSTITUTE(IFERROR(VLOOKUP(A204,'Communications - Solution Speci'!A:G,6,false),""),"#","")
)</f>
        <v>0</v>
      </c>
      <c r="Q204" s="1">
        <f>value(SUBSTITUTE(IFERROR(VLOOKUP(A204,'Communications - Solution Speci'!A:G,7,false),""),"#","")
)</f>
        <v>0</v>
      </c>
      <c r="R204" s="17" t="str">
        <f t="shared" si="6"/>
        <v/>
      </c>
      <c r="S204" s="1">
        <f>value(SUBSTITUTE(IFERROR(VLOOKUP(A204,'Networking - Solution Specializ'!A:G,6,false),""),"#","")
)</f>
        <v>0</v>
      </c>
      <c r="T204" s="1">
        <f>value(SUBSTITUTE(IFERROR(VLOOKUP(A204,'Networking - Solution Specializ'!A:G,7,false),""),"#","")
)</f>
        <v>0</v>
      </c>
      <c r="U204" s="17" t="str">
        <f t="shared" si="7"/>
        <v/>
      </c>
      <c r="V204" s="1" t="str">
        <f>iferror(vlookup(A204,'Marketing Plan (extract summary'!A:G,6,false),"")</f>
        <v/>
      </c>
      <c r="W204" s="1" t="str">
        <f>iferror(vlookup(A204,'Marketing Plan (extract summary'!A:G,7,false),"")</f>
        <v/>
      </c>
      <c r="X204" s="17" t="str">
        <f t="shared" si="8"/>
        <v/>
      </c>
      <c r="Y204" s="1">
        <f>value(IFERROR(SUBSTITUTE(SUBSTITUTE(VLOOKUP(A204,'Quarterly Pipeline vs Target Pi'!A:G,6,false)," $","")," €",""), "")
)</f>
        <v>0</v>
      </c>
      <c r="Z204" s="1">
        <f>value(IFERROR(SUBSTITUTE(SUBSTITUTE(VLOOKUP(A204,'Quarterly Pipeline vs Target Pi'!A:G,7,false)," $","")," €",""), "")
)</f>
        <v>0</v>
      </c>
      <c r="AA204" s="17" t="str">
        <f t="shared" si="9"/>
        <v/>
      </c>
      <c r="AB204" s="1">
        <f>value(IFERROR(SUBSTITUTE(SUBSTITUTE(VLOOKUP($A204,'Quarterly Pipeline vs Target Pi'!$A:$V,11,false)," $","")," €",""), "")
)</f>
        <v>0</v>
      </c>
      <c r="AC204" s="1">
        <f>value(IFERROR(SUBSTITUTE(SUBSTITUTE(VLOOKUP($A204,'Quarterly Pipeline vs Target Pi'!$A:$V,12,false)," $","")," €",""), "")
)</f>
        <v>0</v>
      </c>
      <c r="AD204" s="17" t="str">
        <f t="shared" si="10"/>
        <v/>
      </c>
      <c r="AE204" s="1">
        <f>value(IFERROR(SUBSTITUTE(SUBSTITUTE(VLOOKUP($A204,'Quarterly Pipeline vs Target Pi'!$A:$V,16,false)," $","")," €",""), "")
)</f>
        <v>0</v>
      </c>
      <c r="AF204" s="1">
        <f>value(IFERROR(SUBSTITUTE(SUBSTITUTE(VLOOKUP($A204,'Quarterly Pipeline vs Target Pi'!$A:$V,17,false)," $","")," €",""), "")
)</f>
        <v>0</v>
      </c>
      <c r="AG204" s="17" t="str">
        <f t="shared" si="11"/>
        <v/>
      </c>
      <c r="AH204" s="1">
        <f>value(IFERROR(SUBSTITUTE(SUBSTITUTE(VLOOKUP($A204,'Quarterly Pipeline vs Target Pi'!$A:$V,21,false)," $","")," €",""), "")
)</f>
        <v>0</v>
      </c>
      <c r="AI204" s="1">
        <f>value(IFERROR(SUBSTITUTE(SUBSTITUTE(VLOOKUP($A204,'Quarterly Pipeline vs Target Pi'!$A:$V,22,false)," $","")," €",""), "")
)</f>
        <v>0</v>
      </c>
      <c r="AJ204" s="17" t="str">
        <f t="shared" si="12"/>
        <v/>
      </c>
      <c r="AK204" s="1">
        <f t="shared" ref="AK204:AL204" si="421">sum(Y204,AB204,AE204,AH204)</f>
        <v>0</v>
      </c>
      <c r="AL204" s="1">
        <f t="shared" si="421"/>
        <v>0</v>
      </c>
      <c r="AM204" s="17" t="str">
        <f t="shared" si="14"/>
        <v/>
      </c>
      <c r="AN204" s="1">
        <f>value(IFERROR(SUBSTITUTE(SUBSTITUTE(VLOOKUP($A204,'Quarterly Pipeline vs Target Pi'!$A:$AP,26,false)," $","")," €",""), "")
)</f>
        <v>0</v>
      </c>
      <c r="AO204" s="1">
        <f>value(IFERROR(SUBSTITUTE(SUBSTITUTE(VLOOKUP($A204,'Quarterly Pipeline vs Target Pi'!$A:$AP,27,false)," $","")," €",""), "")
)</f>
        <v>0</v>
      </c>
      <c r="AP204" s="17" t="str">
        <f t="shared" si="15"/>
        <v/>
      </c>
      <c r="AQ204" s="1">
        <f>value(IFERROR(SUBSTITUTE(SUBSTITUTE(VLOOKUP($A204,'Quarterly Pipeline vs Target Pi'!$A:$AP,31,false)," $","")," €",""), "")
)</f>
        <v>0</v>
      </c>
      <c r="AR204" s="1">
        <f>value(IFERROR(SUBSTITUTE(SUBSTITUTE(VLOOKUP($A204,'Quarterly Pipeline vs Target Pi'!$A:$AP,32,false)," $","")," €",""), "")
)</f>
        <v>0</v>
      </c>
      <c r="AS204" s="17" t="str">
        <f t="shared" si="16"/>
        <v/>
      </c>
      <c r="AT204" s="1">
        <f>value(IFERROR(SUBSTITUTE(SUBSTITUTE(VLOOKUP($A204,'Quarterly Pipeline vs Target Pi'!$A:$AP,36,false)," $","")," €",""), "")
)</f>
        <v>0</v>
      </c>
      <c r="AU204" s="1">
        <f>value(IFERROR(SUBSTITUTE(SUBSTITUTE(VLOOKUP($A204,'Quarterly Pipeline vs Target Pi'!$A:$AP,37,false)," $","")," €",""), "")
)</f>
        <v>0</v>
      </c>
      <c r="AV204" s="17" t="str">
        <f t="shared" si="17"/>
        <v/>
      </c>
      <c r="AW204" s="1">
        <f>value(IFERROR(SUBSTITUTE(SUBSTITUTE(VLOOKUP($A204,'Quarterly Pipeline vs Target Pi'!$A:$AP,41,false)," $","")," €",""), "")
)</f>
        <v>0</v>
      </c>
      <c r="AX204" s="1">
        <f>value(IFERROR(SUBSTITUTE(SUBSTITUTE(VLOOKUP($A204,'Quarterly Pipeline vs Target Pi'!$A:$AP,42,false)," $","")," €",""), "")
)</f>
        <v>0</v>
      </c>
      <c r="AY204" s="17" t="str">
        <f t="shared" si="18"/>
        <v/>
      </c>
      <c r="AZ204" s="1">
        <f t="shared" ref="AZ204:BA204" si="422">sum(AN204,AQ204,AT204,AW204)</f>
        <v>0</v>
      </c>
      <c r="BA204" s="1">
        <f t="shared" si="422"/>
        <v>0</v>
      </c>
      <c r="BB204" s="17" t="str">
        <f t="shared" si="20"/>
        <v/>
      </c>
    </row>
    <row r="205">
      <c r="A205" s="1" t="str">
        <f>IFERROR(__xludf.DUMMYFUNCTION("""COMPUTED_VALUE"""),"63ced84ec5c820531c269a04")</f>
        <v>63ced84ec5c820531c269a04</v>
      </c>
      <c r="B205" s="1" t="str">
        <f>IFERROR(__xludf.DUMMYFUNCTION("""COMPUTED_VALUE"""),"Granite Communication Inc.")</f>
        <v>Granite Communication Inc.</v>
      </c>
      <c r="C205" s="1" t="str">
        <f>IFERROR(__xludf.DUMMYFUNCTION("""COMPUTED_VALUE"""),"brendan.flaherty@al-enterprise.com")</f>
        <v>brendan.flaherty@al-enterprise.com</v>
      </c>
      <c r="D205" s="1" t="str">
        <f>IFERROR(__xludf.DUMMYFUNCTION("""COMPUTED_VALUE"""),"americas")</f>
        <v>americas</v>
      </c>
      <c r="E205" s="1" t="str">
        <f>IFERROR(__xludf.DUMMYFUNCTION("""COMPUTED_VALUE"""),"US")</f>
        <v>US</v>
      </c>
      <c r="F205" s="1"/>
      <c r="G205" s="1" t="str">
        <f>iferror(VLOOKUP(A205,'Business Plan Setup and Accepta'!A:G,6,false),"")</f>
        <v/>
      </c>
      <c r="H205" s="1" t="str">
        <f>iferror(VLOOKUP(A205,'Business Plan Setup and Accepta'!A:G,7,false),"")</f>
        <v/>
      </c>
      <c r="I205" s="17" t="str">
        <f t="shared" si="3"/>
        <v/>
      </c>
      <c r="J205" s="1" t="str">
        <f>IFERROR(VALUE(SUBSTITUTE(VLOOKUP(A205,'Sales IN Revenues vs Sales targ'!A:G,6,false)," $","")), "")
</f>
        <v/>
      </c>
      <c r="K205" s="1" t="str">
        <f>IFERROR(VALUE(SUBSTITUTE(VLOOKUP(A205,'Sales IN Revenues vs Sales targ'!A:G,7,false)," $","")), "")
</f>
        <v/>
      </c>
      <c r="L205" s="17" t="str">
        <f t="shared" si="4"/>
        <v/>
      </c>
      <c r="M205" s="1">
        <f>value(SUBSTITUTE(IFERROR(VLOOKUP(A205,'Certifications achievements vs '!A:G,6,false),""),"#","")
)</f>
        <v>0</v>
      </c>
      <c r="N205" s="1">
        <f>value(SUBSTITUTE(IFERROR(VLOOKUP(A205,'Certifications achievements vs '!A:G,7,false),""),"#","")
)</f>
        <v>0</v>
      </c>
      <c r="O205" s="17" t="str">
        <f t="shared" si="5"/>
        <v/>
      </c>
      <c r="P205" s="1">
        <f>value(SUBSTITUTE(IFERROR(VLOOKUP(A205,'Communications - Solution Speci'!A:G,6,false),""),"#","")
)</f>
        <v>0</v>
      </c>
      <c r="Q205" s="1">
        <f>value(SUBSTITUTE(IFERROR(VLOOKUP(A205,'Communications - Solution Speci'!A:G,7,false),""),"#","")
)</f>
        <v>0</v>
      </c>
      <c r="R205" s="17" t="str">
        <f t="shared" si="6"/>
        <v/>
      </c>
      <c r="S205" s="1">
        <f>value(SUBSTITUTE(IFERROR(VLOOKUP(A205,'Networking - Solution Specializ'!A:G,6,false),""),"#","")
)</f>
        <v>0</v>
      </c>
      <c r="T205" s="1">
        <f>value(SUBSTITUTE(IFERROR(VLOOKUP(A205,'Networking - Solution Specializ'!A:G,7,false),""),"#","")
)</f>
        <v>0</v>
      </c>
      <c r="U205" s="17" t="str">
        <f t="shared" si="7"/>
        <v/>
      </c>
      <c r="V205" s="1" t="str">
        <f>iferror(vlookup(A205,'Marketing Plan (extract summary'!A:G,6,false),"")</f>
        <v/>
      </c>
      <c r="W205" s="1" t="str">
        <f>iferror(vlookup(A205,'Marketing Plan (extract summary'!A:G,7,false),"")</f>
        <v/>
      </c>
      <c r="X205" s="17" t="str">
        <f t="shared" si="8"/>
        <v/>
      </c>
      <c r="Y205" s="1">
        <f>value(IFERROR(SUBSTITUTE(SUBSTITUTE(VLOOKUP(A205,'Quarterly Pipeline vs Target Pi'!A:G,6,false)," $","")," €",""), "")
)</f>
        <v>0</v>
      </c>
      <c r="Z205" s="1">
        <f>value(IFERROR(SUBSTITUTE(SUBSTITUTE(VLOOKUP(A205,'Quarterly Pipeline vs Target Pi'!A:G,7,false)," $","")," €",""), "")
)</f>
        <v>0</v>
      </c>
      <c r="AA205" s="17" t="str">
        <f t="shared" si="9"/>
        <v/>
      </c>
      <c r="AB205" s="1">
        <f>value(IFERROR(SUBSTITUTE(SUBSTITUTE(VLOOKUP($A205,'Quarterly Pipeline vs Target Pi'!$A:$V,11,false)," $","")," €",""), "")
)</f>
        <v>0</v>
      </c>
      <c r="AC205" s="1">
        <f>value(IFERROR(SUBSTITUTE(SUBSTITUTE(VLOOKUP($A205,'Quarterly Pipeline vs Target Pi'!$A:$V,12,false)," $","")," €",""), "")
)</f>
        <v>0</v>
      </c>
      <c r="AD205" s="17" t="str">
        <f t="shared" si="10"/>
        <v/>
      </c>
      <c r="AE205" s="1">
        <f>value(IFERROR(SUBSTITUTE(SUBSTITUTE(VLOOKUP($A205,'Quarterly Pipeline vs Target Pi'!$A:$V,16,false)," $","")," €",""), "")
)</f>
        <v>0</v>
      </c>
      <c r="AF205" s="1">
        <f>value(IFERROR(SUBSTITUTE(SUBSTITUTE(VLOOKUP($A205,'Quarterly Pipeline vs Target Pi'!$A:$V,17,false)," $","")," €",""), "")
)</f>
        <v>0</v>
      </c>
      <c r="AG205" s="17" t="str">
        <f t="shared" si="11"/>
        <v/>
      </c>
      <c r="AH205" s="1">
        <f>value(IFERROR(SUBSTITUTE(SUBSTITUTE(VLOOKUP($A205,'Quarterly Pipeline vs Target Pi'!$A:$V,21,false)," $","")," €",""), "")
)</f>
        <v>0</v>
      </c>
      <c r="AI205" s="1">
        <f>value(IFERROR(SUBSTITUTE(SUBSTITUTE(VLOOKUP($A205,'Quarterly Pipeline vs Target Pi'!$A:$V,22,false)," $","")," €",""), "")
)</f>
        <v>0</v>
      </c>
      <c r="AJ205" s="17" t="str">
        <f t="shared" si="12"/>
        <v/>
      </c>
      <c r="AK205" s="1">
        <f t="shared" ref="AK205:AL205" si="423">sum(Y205,AB205,AE205,AH205)</f>
        <v>0</v>
      </c>
      <c r="AL205" s="1">
        <f t="shared" si="423"/>
        <v>0</v>
      </c>
      <c r="AM205" s="17" t="str">
        <f t="shared" si="14"/>
        <v/>
      </c>
      <c r="AN205" s="1">
        <f>value(IFERROR(SUBSTITUTE(SUBSTITUTE(VLOOKUP($A205,'Quarterly Pipeline vs Target Pi'!$A:$AP,26,false)," $","")," €",""), "")
)</f>
        <v>0</v>
      </c>
      <c r="AO205" s="1">
        <f>value(IFERROR(SUBSTITUTE(SUBSTITUTE(VLOOKUP($A205,'Quarterly Pipeline vs Target Pi'!$A:$AP,27,false)," $","")," €",""), "")
)</f>
        <v>0</v>
      </c>
      <c r="AP205" s="17" t="str">
        <f t="shared" si="15"/>
        <v/>
      </c>
      <c r="AQ205" s="1">
        <f>value(IFERROR(SUBSTITUTE(SUBSTITUTE(VLOOKUP($A205,'Quarterly Pipeline vs Target Pi'!$A:$AP,31,false)," $","")," €",""), "")
)</f>
        <v>0</v>
      </c>
      <c r="AR205" s="1">
        <f>value(IFERROR(SUBSTITUTE(SUBSTITUTE(VLOOKUP($A205,'Quarterly Pipeline vs Target Pi'!$A:$AP,32,false)," $","")," €",""), "")
)</f>
        <v>0</v>
      </c>
      <c r="AS205" s="17" t="str">
        <f t="shared" si="16"/>
        <v/>
      </c>
      <c r="AT205" s="1">
        <f>value(IFERROR(SUBSTITUTE(SUBSTITUTE(VLOOKUP($A205,'Quarterly Pipeline vs Target Pi'!$A:$AP,36,false)," $","")," €",""), "")
)</f>
        <v>0</v>
      </c>
      <c r="AU205" s="1">
        <f>value(IFERROR(SUBSTITUTE(SUBSTITUTE(VLOOKUP($A205,'Quarterly Pipeline vs Target Pi'!$A:$AP,37,false)," $","")," €",""), "")
)</f>
        <v>0</v>
      </c>
      <c r="AV205" s="17" t="str">
        <f t="shared" si="17"/>
        <v/>
      </c>
      <c r="AW205" s="1">
        <f>value(IFERROR(SUBSTITUTE(SUBSTITUTE(VLOOKUP($A205,'Quarterly Pipeline vs Target Pi'!$A:$AP,41,false)," $","")," €",""), "")
)</f>
        <v>0</v>
      </c>
      <c r="AX205" s="1">
        <f>value(IFERROR(SUBSTITUTE(SUBSTITUTE(VLOOKUP($A205,'Quarterly Pipeline vs Target Pi'!$A:$AP,42,false)," $","")," €",""), "")
)</f>
        <v>0</v>
      </c>
      <c r="AY205" s="17" t="str">
        <f t="shared" si="18"/>
        <v/>
      </c>
      <c r="AZ205" s="1">
        <f t="shared" ref="AZ205:BA205" si="424">sum(AN205,AQ205,AT205,AW205)</f>
        <v>0</v>
      </c>
      <c r="BA205" s="1">
        <f t="shared" si="424"/>
        <v>0</v>
      </c>
      <c r="BB205" s="17" t="str">
        <f t="shared" si="20"/>
        <v/>
      </c>
    </row>
    <row r="206">
      <c r="A206" s="1" t="str">
        <f>IFERROR(__xludf.DUMMYFUNCTION("""COMPUTED_VALUE"""),"63ced84ec5c820531c269905")</f>
        <v>63ced84ec5c820531c269905</v>
      </c>
      <c r="B206" s="1" t="str">
        <f>IFERROR(__xludf.DUMMYFUNCTION("""COMPUTED_VALUE"""),"Grapevine Telephone Network Solutio")</f>
        <v>Grapevine Telephone Network Solutio</v>
      </c>
      <c r="C206" s="1" t="str">
        <f>IFERROR(__xludf.DUMMYFUNCTION("""COMPUTED_VALUE"""),"brendan.flaherty@al-enterprise.com")</f>
        <v>brendan.flaherty@al-enterprise.com</v>
      </c>
      <c r="D206" s="1" t="str">
        <f>IFERROR(__xludf.DUMMYFUNCTION("""COMPUTED_VALUE"""),"americas")</f>
        <v>americas</v>
      </c>
      <c r="E206" s="1" t="str">
        <f>IFERROR(__xludf.DUMMYFUNCTION("""COMPUTED_VALUE"""),"US")</f>
        <v>US</v>
      </c>
      <c r="F206" s="1"/>
      <c r="G206" s="1" t="str">
        <f>iferror(VLOOKUP(A206,'Business Plan Setup and Accepta'!A:G,6,false),"")</f>
        <v/>
      </c>
      <c r="H206" s="1" t="str">
        <f>iferror(VLOOKUP(A206,'Business Plan Setup and Accepta'!A:G,7,false),"")</f>
        <v/>
      </c>
      <c r="I206" s="17" t="str">
        <f t="shared" si="3"/>
        <v/>
      </c>
      <c r="J206" s="1" t="str">
        <f>IFERROR(VALUE(SUBSTITUTE(VLOOKUP(A206,'Sales IN Revenues vs Sales targ'!A:G,6,false)," $","")), "")
</f>
        <v/>
      </c>
      <c r="K206" s="1" t="str">
        <f>IFERROR(VALUE(SUBSTITUTE(VLOOKUP(A206,'Sales IN Revenues vs Sales targ'!A:G,7,false)," $","")), "")
</f>
        <v/>
      </c>
      <c r="L206" s="17" t="str">
        <f t="shared" si="4"/>
        <v/>
      </c>
      <c r="M206" s="1">
        <f>value(SUBSTITUTE(IFERROR(VLOOKUP(A206,'Certifications achievements vs '!A:G,6,false),""),"#","")
)</f>
        <v>0</v>
      </c>
      <c r="N206" s="1">
        <f>value(SUBSTITUTE(IFERROR(VLOOKUP(A206,'Certifications achievements vs '!A:G,7,false),""),"#","")
)</f>
        <v>0</v>
      </c>
      <c r="O206" s="17" t="str">
        <f t="shared" si="5"/>
        <v/>
      </c>
      <c r="P206" s="1">
        <f>value(SUBSTITUTE(IFERROR(VLOOKUP(A206,'Communications - Solution Speci'!A:G,6,false),""),"#","")
)</f>
        <v>0</v>
      </c>
      <c r="Q206" s="1">
        <f>value(SUBSTITUTE(IFERROR(VLOOKUP(A206,'Communications - Solution Speci'!A:G,7,false),""),"#","")
)</f>
        <v>0</v>
      </c>
      <c r="R206" s="17" t="str">
        <f t="shared" si="6"/>
        <v/>
      </c>
      <c r="S206" s="1">
        <f>value(SUBSTITUTE(IFERROR(VLOOKUP(A206,'Networking - Solution Specializ'!A:G,6,false),""),"#","")
)</f>
        <v>0</v>
      </c>
      <c r="T206" s="1">
        <f>value(SUBSTITUTE(IFERROR(VLOOKUP(A206,'Networking - Solution Specializ'!A:G,7,false),""),"#","")
)</f>
        <v>0</v>
      </c>
      <c r="U206" s="17" t="str">
        <f t="shared" si="7"/>
        <v/>
      </c>
      <c r="V206" s="1" t="str">
        <f>iferror(vlookup(A206,'Marketing Plan (extract summary'!A:G,6,false),"")</f>
        <v/>
      </c>
      <c r="W206" s="1" t="str">
        <f>iferror(vlookup(A206,'Marketing Plan (extract summary'!A:G,7,false),"")</f>
        <v/>
      </c>
      <c r="X206" s="17" t="str">
        <f t="shared" si="8"/>
        <v/>
      </c>
      <c r="Y206" s="1">
        <f>value(IFERROR(SUBSTITUTE(SUBSTITUTE(VLOOKUP(A206,'Quarterly Pipeline vs Target Pi'!A:G,6,false)," $","")," €",""), "")
)</f>
        <v>0</v>
      </c>
      <c r="Z206" s="1">
        <f>value(IFERROR(SUBSTITUTE(SUBSTITUTE(VLOOKUP(A206,'Quarterly Pipeline vs Target Pi'!A:G,7,false)," $","")," €",""), "")
)</f>
        <v>0</v>
      </c>
      <c r="AA206" s="17" t="str">
        <f t="shared" si="9"/>
        <v/>
      </c>
      <c r="AB206" s="1">
        <f>value(IFERROR(SUBSTITUTE(SUBSTITUTE(VLOOKUP($A206,'Quarterly Pipeline vs Target Pi'!$A:$V,11,false)," $","")," €",""), "")
)</f>
        <v>0</v>
      </c>
      <c r="AC206" s="1">
        <f>value(IFERROR(SUBSTITUTE(SUBSTITUTE(VLOOKUP($A206,'Quarterly Pipeline vs Target Pi'!$A:$V,12,false)," $","")," €",""), "")
)</f>
        <v>0</v>
      </c>
      <c r="AD206" s="17" t="str">
        <f t="shared" si="10"/>
        <v/>
      </c>
      <c r="AE206" s="1">
        <f>value(IFERROR(SUBSTITUTE(SUBSTITUTE(VLOOKUP($A206,'Quarterly Pipeline vs Target Pi'!$A:$V,16,false)," $","")," €",""), "")
)</f>
        <v>0</v>
      </c>
      <c r="AF206" s="1">
        <f>value(IFERROR(SUBSTITUTE(SUBSTITUTE(VLOOKUP($A206,'Quarterly Pipeline vs Target Pi'!$A:$V,17,false)," $","")," €",""), "")
)</f>
        <v>0</v>
      </c>
      <c r="AG206" s="17" t="str">
        <f t="shared" si="11"/>
        <v/>
      </c>
      <c r="AH206" s="1">
        <f>value(IFERROR(SUBSTITUTE(SUBSTITUTE(VLOOKUP($A206,'Quarterly Pipeline vs Target Pi'!$A:$V,21,false)," $","")," €",""), "")
)</f>
        <v>0</v>
      </c>
      <c r="AI206" s="1">
        <f>value(IFERROR(SUBSTITUTE(SUBSTITUTE(VLOOKUP($A206,'Quarterly Pipeline vs Target Pi'!$A:$V,22,false)," $","")," €",""), "")
)</f>
        <v>0</v>
      </c>
      <c r="AJ206" s="17" t="str">
        <f t="shared" si="12"/>
        <v/>
      </c>
      <c r="AK206" s="1">
        <f t="shared" ref="AK206:AL206" si="425">sum(Y206,AB206,AE206,AH206)</f>
        <v>0</v>
      </c>
      <c r="AL206" s="1">
        <f t="shared" si="425"/>
        <v>0</v>
      </c>
      <c r="AM206" s="17" t="str">
        <f t="shared" si="14"/>
        <v/>
      </c>
      <c r="AN206" s="1">
        <f>value(IFERROR(SUBSTITUTE(SUBSTITUTE(VLOOKUP($A206,'Quarterly Pipeline vs Target Pi'!$A:$AP,26,false)," $","")," €",""), "")
)</f>
        <v>0</v>
      </c>
      <c r="AO206" s="1">
        <f>value(IFERROR(SUBSTITUTE(SUBSTITUTE(VLOOKUP($A206,'Quarterly Pipeline vs Target Pi'!$A:$AP,27,false)," $","")," €",""), "")
)</f>
        <v>0</v>
      </c>
      <c r="AP206" s="17" t="str">
        <f t="shared" si="15"/>
        <v/>
      </c>
      <c r="AQ206" s="1">
        <f>value(IFERROR(SUBSTITUTE(SUBSTITUTE(VLOOKUP($A206,'Quarterly Pipeline vs Target Pi'!$A:$AP,31,false)," $","")," €",""), "")
)</f>
        <v>0</v>
      </c>
      <c r="AR206" s="1">
        <f>value(IFERROR(SUBSTITUTE(SUBSTITUTE(VLOOKUP($A206,'Quarterly Pipeline vs Target Pi'!$A:$AP,32,false)," $","")," €",""), "")
)</f>
        <v>0</v>
      </c>
      <c r="AS206" s="17" t="str">
        <f t="shared" si="16"/>
        <v/>
      </c>
      <c r="AT206" s="1">
        <f>value(IFERROR(SUBSTITUTE(SUBSTITUTE(VLOOKUP($A206,'Quarterly Pipeline vs Target Pi'!$A:$AP,36,false)," $","")," €",""), "")
)</f>
        <v>0</v>
      </c>
      <c r="AU206" s="1">
        <f>value(IFERROR(SUBSTITUTE(SUBSTITUTE(VLOOKUP($A206,'Quarterly Pipeline vs Target Pi'!$A:$AP,37,false)," $","")," €",""), "")
)</f>
        <v>0</v>
      </c>
      <c r="AV206" s="17" t="str">
        <f t="shared" si="17"/>
        <v/>
      </c>
      <c r="AW206" s="1">
        <f>value(IFERROR(SUBSTITUTE(SUBSTITUTE(VLOOKUP($A206,'Quarterly Pipeline vs Target Pi'!$A:$AP,41,false)," $","")," €",""), "")
)</f>
        <v>0</v>
      </c>
      <c r="AX206" s="1">
        <f>value(IFERROR(SUBSTITUTE(SUBSTITUTE(VLOOKUP($A206,'Quarterly Pipeline vs Target Pi'!$A:$AP,42,false)," $","")," €",""), "")
)</f>
        <v>0</v>
      </c>
      <c r="AY206" s="17" t="str">
        <f t="shared" si="18"/>
        <v/>
      </c>
      <c r="AZ206" s="1">
        <f t="shared" ref="AZ206:BA206" si="426">sum(AN206,AQ206,AT206,AW206)</f>
        <v>0</v>
      </c>
      <c r="BA206" s="1">
        <f t="shared" si="426"/>
        <v>0</v>
      </c>
      <c r="BB206" s="17" t="str">
        <f t="shared" si="20"/>
        <v/>
      </c>
    </row>
    <row r="207">
      <c r="A207" s="1" t="str">
        <f>IFERROR(__xludf.DUMMYFUNCTION("""COMPUTED_VALUE"""),"63fcbb7ea107c871cf5646fb")</f>
        <v>63fcbb7ea107c871cf5646fb</v>
      </c>
      <c r="B207" s="1" t="str">
        <f>IFERROR(__xludf.DUMMYFUNCTION("""COMPUTED_VALUE"""),"GRUPO OSABA URK, S.L.")</f>
        <v>GRUPO OSABA URK, S.L.</v>
      </c>
      <c r="C207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207" s="1" t="str">
        <f>IFERROR(__xludf.DUMMYFUNCTION("""COMPUTED_VALUE"""),"emea")</f>
        <v>emea</v>
      </c>
      <c r="E207" s="1" t="str">
        <f>IFERROR(__xludf.DUMMYFUNCTION("""COMPUTED_VALUE"""),"ES")</f>
        <v>ES</v>
      </c>
      <c r="F207" s="1"/>
      <c r="G207" s="1">
        <f>iferror(VLOOKUP(A207,'Business Plan Setup and Accepta'!A:G,6,false),"")</f>
        <v>1</v>
      </c>
      <c r="H207" s="1">
        <f>iferror(VLOOKUP(A207,'Business Plan Setup and Accepta'!A:G,7,false),"")</f>
        <v>1</v>
      </c>
      <c r="I207" s="17">
        <f t="shared" si="3"/>
        <v>1</v>
      </c>
      <c r="J207" s="1">
        <f>IFERROR(VALUE(SUBSTITUTE(VLOOKUP(A207,'Sales IN Revenues vs Sales targ'!A:G,6,false)," $","")), "")
</f>
        <v>93.97</v>
      </c>
      <c r="K207" s="1">
        <f>IFERROR(VALUE(SUBSTITUTE(VLOOKUP(A207,'Sales IN Revenues vs Sales targ'!A:G,7,false)," $","")), "")
</f>
        <v>200</v>
      </c>
      <c r="L207" s="17">
        <f t="shared" si="4"/>
        <v>0.46985</v>
      </c>
      <c r="M207" s="1">
        <f>value(SUBSTITUTE(IFERROR(VLOOKUP(A207,'Certifications achievements vs '!A:G,6,false),""),"#","")
)</f>
        <v>0</v>
      </c>
      <c r="N207" s="1">
        <f>value(SUBSTITUTE(IFERROR(VLOOKUP(A207,'Certifications achievements vs '!A:G,7,false),""),"#","")
)</f>
        <v>0</v>
      </c>
      <c r="O207" s="17" t="str">
        <f t="shared" si="5"/>
        <v/>
      </c>
      <c r="P207" s="1">
        <f>value(SUBSTITUTE(IFERROR(VLOOKUP(A207,'Communications - Solution Speci'!A:G,6,false),""),"#","")
)</f>
        <v>1</v>
      </c>
      <c r="Q207" s="1">
        <f>value(SUBSTITUTE(IFERROR(VLOOKUP(A207,'Communications - Solution Speci'!A:G,7,false),""),"#","")
)</f>
        <v>1</v>
      </c>
      <c r="R207" s="17">
        <f t="shared" si="6"/>
        <v>1</v>
      </c>
      <c r="S207" s="1">
        <f>value(SUBSTITUTE(IFERROR(VLOOKUP(A207,'Networking - Solution Specializ'!A:G,6,false),""),"#","")
)</f>
        <v>1</v>
      </c>
      <c r="T207" s="1">
        <f>value(SUBSTITUTE(IFERROR(VLOOKUP(A207,'Networking - Solution Specializ'!A:G,7,false),""),"#","")
)</f>
        <v>1</v>
      </c>
      <c r="U207" s="17">
        <f t="shared" si="7"/>
        <v>1</v>
      </c>
      <c r="V207" s="1">
        <f>iferror(vlookup(A207,'Marketing Plan (extract summary'!A:G,6,false),"")</f>
        <v>0</v>
      </c>
      <c r="W207" s="1">
        <f>iferror(vlookup(A207,'Marketing Plan (extract summary'!A:G,7,false),"")</f>
        <v>1</v>
      </c>
      <c r="X207" s="17">
        <f t="shared" si="8"/>
        <v>0</v>
      </c>
      <c r="Y207" s="1">
        <f>value(IFERROR(SUBSTITUTE(SUBSTITUTE(VLOOKUP(A207,'Quarterly Pipeline vs Target Pi'!A:G,6,false)," $","")," €",""), "")
)</f>
        <v>0</v>
      </c>
      <c r="Z207" s="1">
        <f>value(IFERROR(SUBSTITUTE(SUBSTITUTE(VLOOKUP(A207,'Quarterly Pipeline vs Target Pi'!A:G,7,false)," $","")," €",""), "")
)</f>
        <v>0</v>
      </c>
      <c r="AA207" s="17" t="str">
        <f t="shared" si="9"/>
        <v/>
      </c>
      <c r="AB207" s="1">
        <f>value(IFERROR(SUBSTITUTE(SUBSTITUTE(VLOOKUP($A207,'Quarterly Pipeline vs Target Pi'!$A:$V,11,false)," $","")," €",""), "")
)</f>
        <v>17.21</v>
      </c>
      <c r="AC207" s="1">
        <f>value(IFERROR(SUBSTITUTE(SUBSTITUTE(VLOOKUP($A207,'Quarterly Pipeline vs Target Pi'!$A:$V,12,false)," $","")," €",""), "")
)</f>
        <v>0</v>
      </c>
      <c r="AD207" s="17" t="str">
        <f t="shared" si="10"/>
        <v/>
      </c>
      <c r="AE207" s="1">
        <f>value(IFERROR(SUBSTITUTE(SUBSTITUTE(VLOOKUP($A207,'Quarterly Pipeline vs Target Pi'!$A:$V,16,false)," $","")," €",""), "")
)</f>
        <v>182</v>
      </c>
      <c r="AF207" s="1">
        <f>value(IFERROR(SUBSTITUTE(SUBSTITUTE(VLOOKUP($A207,'Quarterly Pipeline vs Target Pi'!$A:$V,17,false)," $","")," €",""), "")
)</f>
        <v>134.67</v>
      </c>
      <c r="AG207" s="17">
        <f t="shared" si="11"/>
        <v>1.351451697</v>
      </c>
      <c r="AH207" s="1">
        <f>value(IFERROR(SUBSTITUTE(SUBSTITUTE(VLOOKUP($A207,'Quarterly Pipeline vs Target Pi'!$A:$V,21,false)," $","")," €",""), "")
)</f>
        <v>400.67</v>
      </c>
      <c r="AI207" s="1">
        <f>value(IFERROR(SUBSTITUTE(SUBSTITUTE(VLOOKUP($A207,'Quarterly Pipeline vs Target Pi'!$A:$V,22,false)," $","")," €",""), "")
)</f>
        <v>232</v>
      </c>
      <c r="AJ207" s="17">
        <f t="shared" si="12"/>
        <v>1.727025862</v>
      </c>
      <c r="AK207" s="1">
        <f t="shared" ref="AK207:AL207" si="427">sum(Y207,AB207,AE207,AH207)</f>
        <v>599.88</v>
      </c>
      <c r="AL207" s="1">
        <f t="shared" si="427"/>
        <v>366.67</v>
      </c>
      <c r="AM207" s="17">
        <f t="shared" si="14"/>
        <v>1.636021491</v>
      </c>
      <c r="AN207" s="1">
        <f>value(IFERROR(SUBSTITUTE(SUBSTITUTE(VLOOKUP($A207,'Quarterly Pipeline vs Target Pi'!$A:$AP,26,false)," $","")," €",""), "")
)</f>
        <v>0</v>
      </c>
      <c r="AO207" s="1">
        <f>value(IFERROR(SUBSTITUTE(SUBSTITUTE(VLOOKUP($A207,'Quarterly Pipeline vs Target Pi'!$A:$AP,27,false)," $","")," €",""), "")
)</f>
        <v>0</v>
      </c>
      <c r="AP207" s="17" t="str">
        <f t="shared" si="15"/>
        <v/>
      </c>
      <c r="AQ207" s="1">
        <f>value(IFERROR(SUBSTITUTE(SUBSTITUTE(VLOOKUP($A207,'Quarterly Pipeline vs Target Pi'!$A:$AP,31,false)," $","")," €",""), "")
)</f>
        <v>0</v>
      </c>
      <c r="AR207" s="1">
        <f>value(IFERROR(SUBSTITUTE(SUBSTITUTE(VLOOKUP($A207,'Quarterly Pipeline vs Target Pi'!$A:$AP,32,false)," $","")," €",""), "")
)</f>
        <v>0</v>
      </c>
      <c r="AS207" s="17" t="str">
        <f t="shared" si="16"/>
        <v/>
      </c>
      <c r="AT207" s="1">
        <f>value(IFERROR(SUBSTITUTE(SUBSTITUTE(VLOOKUP($A207,'Quarterly Pipeline vs Target Pi'!$A:$AP,36,false)," $","")," €",""), "")
)</f>
        <v>0</v>
      </c>
      <c r="AU207" s="1">
        <f>value(IFERROR(SUBSTITUTE(SUBSTITUTE(VLOOKUP($A207,'Quarterly Pipeline vs Target Pi'!$A:$AP,37,false)," $","")," €",""), "")
)</f>
        <v>0</v>
      </c>
      <c r="AV207" s="17" t="str">
        <f t="shared" si="17"/>
        <v/>
      </c>
      <c r="AW207" s="1">
        <f>value(IFERROR(SUBSTITUTE(SUBSTITUTE(VLOOKUP($A207,'Quarterly Pipeline vs Target Pi'!$A:$AP,41,false)," $","")," €",""), "")
)</f>
        <v>0</v>
      </c>
      <c r="AX207" s="1">
        <f>value(IFERROR(SUBSTITUTE(SUBSTITUTE(VLOOKUP($A207,'Quarterly Pipeline vs Target Pi'!$A:$AP,42,false)," $","")," €",""), "")
)</f>
        <v>0</v>
      </c>
      <c r="AY207" s="17" t="str">
        <f t="shared" si="18"/>
        <v/>
      </c>
      <c r="AZ207" s="1">
        <f t="shared" ref="AZ207:BA207" si="428">sum(AN207,AQ207,AT207,AW207)</f>
        <v>0</v>
      </c>
      <c r="BA207" s="1">
        <f t="shared" si="428"/>
        <v>0</v>
      </c>
      <c r="BB207" s="17" t="str">
        <f t="shared" si="20"/>
        <v/>
      </c>
    </row>
    <row r="208">
      <c r="A208" s="1" t="str">
        <f>IFERROR(__xludf.DUMMYFUNCTION("""COMPUTED_VALUE"""),"63fcbb7fa107c871cf564901")</f>
        <v>63fcbb7fa107c871cf564901</v>
      </c>
      <c r="B208" s="1" t="str">
        <f>IFERROR(__xludf.DUMMYFUNCTION("""COMPUTED_VALUE"""),"GRUPO ROYAL TELECOM S L")</f>
        <v>GRUPO ROYAL TELECOM S L</v>
      </c>
      <c r="C208" s="1" t="str">
        <f>IFERROR(__xludf.DUMMYFUNCTION("""COMPUTED_VALUE"""),"astrid.savorani@al-enterprise.com, rafael.andreo@al-enterprise.com, esther.alonso@al-enterprise.com, marcos.rodriguez@al-enterprise.com")</f>
        <v>astrid.savorani@al-enterprise.com, rafael.andreo@al-enterprise.com, esther.alonso@al-enterprise.com, marcos.rodriguez@al-enterprise.com</v>
      </c>
      <c r="D208" s="1" t="str">
        <f>IFERROR(__xludf.DUMMYFUNCTION("""COMPUTED_VALUE"""),"emea")</f>
        <v>emea</v>
      </c>
      <c r="E208" s="1" t="str">
        <f>IFERROR(__xludf.DUMMYFUNCTION("""COMPUTED_VALUE"""),"ES")</f>
        <v>ES</v>
      </c>
      <c r="F208" s="1"/>
      <c r="G208" s="1" t="str">
        <f>iferror(VLOOKUP(A208,'Business Plan Setup and Accepta'!A:G,6,false),"")</f>
        <v/>
      </c>
      <c r="H208" s="1" t="str">
        <f>iferror(VLOOKUP(A208,'Business Plan Setup and Accepta'!A:G,7,false),"")</f>
        <v/>
      </c>
      <c r="I208" s="17" t="str">
        <f t="shared" si="3"/>
        <v/>
      </c>
      <c r="J208" s="1" t="str">
        <f>IFERROR(VALUE(SUBSTITUTE(VLOOKUP(A208,'Sales IN Revenues vs Sales targ'!A:G,6,false)," $","")), "")
</f>
        <v/>
      </c>
      <c r="K208" s="1" t="str">
        <f>IFERROR(VALUE(SUBSTITUTE(VLOOKUP(A208,'Sales IN Revenues vs Sales targ'!A:G,7,false)," $","")), "")
</f>
        <v/>
      </c>
      <c r="L208" s="17" t="str">
        <f t="shared" si="4"/>
        <v/>
      </c>
      <c r="M208" s="1">
        <f>value(SUBSTITUTE(IFERROR(VLOOKUP(A208,'Certifications achievements vs '!A:G,6,false),""),"#","")
)</f>
        <v>0</v>
      </c>
      <c r="N208" s="1">
        <f>value(SUBSTITUTE(IFERROR(VLOOKUP(A208,'Certifications achievements vs '!A:G,7,false),""),"#","")
)</f>
        <v>0</v>
      </c>
      <c r="O208" s="17" t="str">
        <f t="shared" si="5"/>
        <v/>
      </c>
      <c r="P208" s="1">
        <f>value(SUBSTITUTE(IFERROR(VLOOKUP(A208,'Communications - Solution Speci'!A:G,6,false),""),"#","")
)</f>
        <v>0</v>
      </c>
      <c r="Q208" s="1">
        <f>value(SUBSTITUTE(IFERROR(VLOOKUP(A208,'Communications - Solution Speci'!A:G,7,false),""),"#","")
)</f>
        <v>0</v>
      </c>
      <c r="R208" s="17" t="str">
        <f t="shared" si="6"/>
        <v/>
      </c>
      <c r="S208" s="1">
        <f>value(SUBSTITUTE(IFERROR(VLOOKUP(A208,'Networking - Solution Specializ'!A:G,6,false),""),"#","")
)</f>
        <v>0</v>
      </c>
      <c r="T208" s="1">
        <f>value(SUBSTITUTE(IFERROR(VLOOKUP(A208,'Networking - Solution Specializ'!A:G,7,false),""),"#","")
)</f>
        <v>0</v>
      </c>
      <c r="U208" s="17" t="str">
        <f t="shared" si="7"/>
        <v/>
      </c>
      <c r="V208" s="1" t="str">
        <f>iferror(vlookup(A208,'Marketing Plan (extract summary'!A:G,6,false),"")</f>
        <v/>
      </c>
      <c r="W208" s="1" t="str">
        <f>iferror(vlookup(A208,'Marketing Plan (extract summary'!A:G,7,false),"")</f>
        <v/>
      </c>
      <c r="X208" s="17" t="str">
        <f t="shared" si="8"/>
        <v/>
      </c>
      <c r="Y208" s="1">
        <f>value(IFERROR(SUBSTITUTE(SUBSTITUTE(VLOOKUP(A208,'Quarterly Pipeline vs Target Pi'!A:G,6,false)," $","")," €",""), "")
)</f>
        <v>0</v>
      </c>
      <c r="Z208" s="1">
        <f>value(IFERROR(SUBSTITUTE(SUBSTITUTE(VLOOKUP(A208,'Quarterly Pipeline vs Target Pi'!A:G,7,false)," $","")," €",""), "")
)</f>
        <v>0</v>
      </c>
      <c r="AA208" s="17" t="str">
        <f t="shared" si="9"/>
        <v/>
      </c>
      <c r="AB208" s="1">
        <f>value(IFERROR(SUBSTITUTE(SUBSTITUTE(VLOOKUP($A208,'Quarterly Pipeline vs Target Pi'!$A:$V,11,false)," $","")," €",""), "")
)</f>
        <v>0</v>
      </c>
      <c r="AC208" s="1">
        <f>value(IFERROR(SUBSTITUTE(SUBSTITUTE(VLOOKUP($A208,'Quarterly Pipeline vs Target Pi'!$A:$V,12,false)," $","")," €",""), "")
)</f>
        <v>0</v>
      </c>
      <c r="AD208" s="17" t="str">
        <f t="shared" si="10"/>
        <v/>
      </c>
      <c r="AE208" s="1">
        <f>value(IFERROR(SUBSTITUTE(SUBSTITUTE(VLOOKUP($A208,'Quarterly Pipeline vs Target Pi'!$A:$V,16,false)," $","")," €",""), "")
)</f>
        <v>0</v>
      </c>
      <c r="AF208" s="1">
        <f>value(IFERROR(SUBSTITUTE(SUBSTITUTE(VLOOKUP($A208,'Quarterly Pipeline vs Target Pi'!$A:$V,17,false)," $","")," €",""), "")
)</f>
        <v>0</v>
      </c>
      <c r="AG208" s="17" t="str">
        <f t="shared" si="11"/>
        <v/>
      </c>
      <c r="AH208" s="1">
        <f>value(IFERROR(SUBSTITUTE(SUBSTITUTE(VLOOKUP($A208,'Quarterly Pipeline vs Target Pi'!$A:$V,21,false)," $","")," €",""), "")
)</f>
        <v>0</v>
      </c>
      <c r="AI208" s="1">
        <f>value(IFERROR(SUBSTITUTE(SUBSTITUTE(VLOOKUP($A208,'Quarterly Pipeline vs Target Pi'!$A:$V,22,false)," $","")," €",""), "")
)</f>
        <v>0</v>
      </c>
      <c r="AJ208" s="17" t="str">
        <f t="shared" si="12"/>
        <v/>
      </c>
      <c r="AK208" s="1">
        <f t="shared" ref="AK208:AL208" si="429">sum(Y208,AB208,AE208,AH208)</f>
        <v>0</v>
      </c>
      <c r="AL208" s="1">
        <f t="shared" si="429"/>
        <v>0</v>
      </c>
      <c r="AM208" s="17" t="str">
        <f t="shared" si="14"/>
        <v/>
      </c>
      <c r="AN208" s="1">
        <f>value(IFERROR(SUBSTITUTE(SUBSTITUTE(VLOOKUP($A208,'Quarterly Pipeline vs Target Pi'!$A:$AP,26,false)," $","")," €",""), "")
)</f>
        <v>0</v>
      </c>
      <c r="AO208" s="1">
        <f>value(IFERROR(SUBSTITUTE(SUBSTITUTE(VLOOKUP($A208,'Quarterly Pipeline vs Target Pi'!$A:$AP,27,false)," $","")," €",""), "")
)</f>
        <v>0</v>
      </c>
      <c r="AP208" s="17" t="str">
        <f t="shared" si="15"/>
        <v/>
      </c>
      <c r="AQ208" s="1">
        <f>value(IFERROR(SUBSTITUTE(SUBSTITUTE(VLOOKUP($A208,'Quarterly Pipeline vs Target Pi'!$A:$AP,31,false)," $","")," €",""), "")
)</f>
        <v>0</v>
      </c>
      <c r="AR208" s="1">
        <f>value(IFERROR(SUBSTITUTE(SUBSTITUTE(VLOOKUP($A208,'Quarterly Pipeline vs Target Pi'!$A:$AP,32,false)," $","")," €",""), "")
)</f>
        <v>0</v>
      </c>
      <c r="AS208" s="17" t="str">
        <f t="shared" si="16"/>
        <v/>
      </c>
      <c r="AT208" s="1">
        <f>value(IFERROR(SUBSTITUTE(SUBSTITUTE(VLOOKUP($A208,'Quarterly Pipeline vs Target Pi'!$A:$AP,36,false)," $","")," €",""), "")
)</f>
        <v>0</v>
      </c>
      <c r="AU208" s="1">
        <f>value(IFERROR(SUBSTITUTE(SUBSTITUTE(VLOOKUP($A208,'Quarterly Pipeline vs Target Pi'!$A:$AP,37,false)," $","")," €",""), "")
)</f>
        <v>0</v>
      </c>
      <c r="AV208" s="17" t="str">
        <f t="shared" si="17"/>
        <v/>
      </c>
      <c r="AW208" s="1">
        <f>value(IFERROR(SUBSTITUTE(SUBSTITUTE(VLOOKUP($A208,'Quarterly Pipeline vs Target Pi'!$A:$AP,41,false)," $","")," €",""), "")
)</f>
        <v>0</v>
      </c>
      <c r="AX208" s="1">
        <f>value(IFERROR(SUBSTITUTE(SUBSTITUTE(VLOOKUP($A208,'Quarterly Pipeline vs Target Pi'!$A:$AP,42,false)," $","")," €",""), "")
)</f>
        <v>0</v>
      </c>
      <c r="AY208" s="17" t="str">
        <f t="shared" si="18"/>
        <v/>
      </c>
      <c r="AZ208" s="1">
        <f t="shared" ref="AZ208:BA208" si="430">sum(AN208,AQ208,AT208,AW208)</f>
        <v>0</v>
      </c>
      <c r="BA208" s="1">
        <f t="shared" si="430"/>
        <v>0</v>
      </c>
      <c r="BB208" s="17" t="str">
        <f t="shared" si="20"/>
        <v/>
      </c>
    </row>
    <row r="209">
      <c r="A209" s="1" t="str">
        <f>IFERROR(__xludf.DUMMYFUNCTION("""COMPUTED_VALUE"""),"63ea6e9552ad6968805cee53")</f>
        <v>63ea6e9552ad6968805cee53</v>
      </c>
      <c r="B209" s="1" t="str">
        <f>IFERROR(__xludf.DUMMYFUNCTION("""COMPUTED_VALUE"""),"Gunter &amp; Partner Telecom GmbH")</f>
        <v>Gunter &amp; Partner Telecom GmbH</v>
      </c>
      <c r="C209" s="1" t="str">
        <f>IFERROR(__xludf.DUMMYFUNCTION("""COMPUTED_VALUE"""),"ralf.kloeppels@al-enterprise.com, andreas.grossheimann@al-enterprise.com")</f>
        <v>ralf.kloeppels@al-enterprise.com, andreas.grossheimann@al-enterprise.com</v>
      </c>
      <c r="D209" s="1" t="str">
        <f>IFERROR(__xludf.DUMMYFUNCTION("""COMPUTED_VALUE"""),"germany")</f>
        <v>germany</v>
      </c>
      <c r="E209" s="1" t="str">
        <f>IFERROR(__xludf.DUMMYFUNCTION("""COMPUTED_VALUE"""),"DE")</f>
        <v>DE</v>
      </c>
      <c r="F209" s="1"/>
      <c r="G209" s="1" t="str">
        <f>iferror(VLOOKUP(A209,'Business Plan Setup and Accepta'!A:G,6,false),"")</f>
        <v/>
      </c>
      <c r="H209" s="1" t="str">
        <f>iferror(VLOOKUP(A209,'Business Plan Setup and Accepta'!A:G,7,false),"")</f>
        <v/>
      </c>
      <c r="I209" s="17" t="str">
        <f t="shared" si="3"/>
        <v/>
      </c>
      <c r="J209" s="1" t="str">
        <f>IFERROR(VALUE(SUBSTITUTE(VLOOKUP(A209,'Sales IN Revenues vs Sales targ'!A:G,6,false)," $","")), "")
</f>
        <v/>
      </c>
      <c r="K209" s="1" t="str">
        <f>IFERROR(VALUE(SUBSTITUTE(VLOOKUP(A209,'Sales IN Revenues vs Sales targ'!A:G,7,false)," $","")), "")
</f>
        <v/>
      </c>
      <c r="L209" s="17" t="str">
        <f t="shared" si="4"/>
        <v/>
      </c>
      <c r="M209" s="1">
        <f>value(SUBSTITUTE(IFERROR(VLOOKUP(A209,'Certifications achievements vs '!A:G,6,false),""),"#","")
)</f>
        <v>0</v>
      </c>
      <c r="N209" s="1">
        <f>value(SUBSTITUTE(IFERROR(VLOOKUP(A209,'Certifications achievements vs '!A:G,7,false),""),"#","")
)</f>
        <v>0</v>
      </c>
      <c r="O209" s="17" t="str">
        <f t="shared" si="5"/>
        <v/>
      </c>
      <c r="P209" s="1">
        <f>value(SUBSTITUTE(IFERROR(VLOOKUP(A209,'Communications - Solution Speci'!A:G,6,false),""),"#","")
)</f>
        <v>0</v>
      </c>
      <c r="Q209" s="1">
        <f>value(SUBSTITUTE(IFERROR(VLOOKUP(A209,'Communications - Solution Speci'!A:G,7,false),""),"#","")
)</f>
        <v>0</v>
      </c>
      <c r="R209" s="17" t="str">
        <f t="shared" si="6"/>
        <v/>
      </c>
      <c r="S209" s="1">
        <f>value(SUBSTITUTE(IFERROR(VLOOKUP(A209,'Networking - Solution Specializ'!A:G,6,false),""),"#","")
)</f>
        <v>0</v>
      </c>
      <c r="T209" s="1">
        <f>value(SUBSTITUTE(IFERROR(VLOOKUP(A209,'Networking - Solution Specializ'!A:G,7,false),""),"#","")
)</f>
        <v>0</v>
      </c>
      <c r="U209" s="17" t="str">
        <f t="shared" si="7"/>
        <v/>
      </c>
      <c r="V209" s="1" t="str">
        <f>iferror(vlookup(A209,'Marketing Plan (extract summary'!A:G,6,false),"")</f>
        <v/>
      </c>
      <c r="W209" s="1" t="str">
        <f>iferror(vlookup(A209,'Marketing Plan (extract summary'!A:G,7,false),"")</f>
        <v/>
      </c>
      <c r="X209" s="17" t="str">
        <f t="shared" si="8"/>
        <v/>
      </c>
      <c r="Y209" s="1">
        <f>value(IFERROR(SUBSTITUTE(SUBSTITUTE(VLOOKUP(A209,'Quarterly Pipeline vs Target Pi'!A:G,6,false)," $","")," €",""), "")
)</f>
        <v>0</v>
      </c>
      <c r="Z209" s="1">
        <f>value(IFERROR(SUBSTITUTE(SUBSTITUTE(VLOOKUP(A209,'Quarterly Pipeline vs Target Pi'!A:G,7,false)," $","")," €",""), "")
)</f>
        <v>0</v>
      </c>
      <c r="AA209" s="17" t="str">
        <f t="shared" si="9"/>
        <v/>
      </c>
      <c r="AB209" s="1">
        <f>value(IFERROR(SUBSTITUTE(SUBSTITUTE(VLOOKUP($A209,'Quarterly Pipeline vs Target Pi'!$A:$V,11,false)," $","")," €",""), "")
)</f>
        <v>0</v>
      </c>
      <c r="AC209" s="1">
        <f>value(IFERROR(SUBSTITUTE(SUBSTITUTE(VLOOKUP($A209,'Quarterly Pipeline vs Target Pi'!$A:$V,12,false)," $","")," €",""), "")
)</f>
        <v>0</v>
      </c>
      <c r="AD209" s="17" t="str">
        <f t="shared" si="10"/>
        <v/>
      </c>
      <c r="AE209" s="1">
        <f>value(IFERROR(SUBSTITUTE(SUBSTITUTE(VLOOKUP($A209,'Quarterly Pipeline vs Target Pi'!$A:$V,16,false)," $","")," €",""), "")
)</f>
        <v>0</v>
      </c>
      <c r="AF209" s="1">
        <f>value(IFERROR(SUBSTITUTE(SUBSTITUTE(VLOOKUP($A209,'Quarterly Pipeline vs Target Pi'!$A:$V,17,false)," $","")," €",""), "")
)</f>
        <v>0</v>
      </c>
      <c r="AG209" s="17" t="str">
        <f t="shared" si="11"/>
        <v/>
      </c>
      <c r="AH209" s="1">
        <f>value(IFERROR(SUBSTITUTE(SUBSTITUTE(VLOOKUP($A209,'Quarterly Pipeline vs Target Pi'!$A:$V,21,false)," $","")," €",""), "")
)</f>
        <v>0</v>
      </c>
      <c r="AI209" s="1">
        <f>value(IFERROR(SUBSTITUTE(SUBSTITUTE(VLOOKUP($A209,'Quarterly Pipeline vs Target Pi'!$A:$V,22,false)," $","")," €",""), "")
)</f>
        <v>0</v>
      </c>
      <c r="AJ209" s="17" t="str">
        <f t="shared" si="12"/>
        <v/>
      </c>
      <c r="AK209" s="1">
        <f t="shared" ref="AK209:AL209" si="431">sum(Y209,AB209,AE209,AH209)</f>
        <v>0</v>
      </c>
      <c r="AL209" s="1">
        <f t="shared" si="431"/>
        <v>0</v>
      </c>
      <c r="AM209" s="17" t="str">
        <f t="shared" si="14"/>
        <v/>
      </c>
      <c r="AN209" s="1">
        <f>value(IFERROR(SUBSTITUTE(SUBSTITUTE(VLOOKUP($A209,'Quarterly Pipeline vs Target Pi'!$A:$AP,26,false)," $","")," €",""), "")
)</f>
        <v>0</v>
      </c>
      <c r="AO209" s="1">
        <f>value(IFERROR(SUBSTITUTE(SUBSTITUTE(VLOOKUP($A209,'Quarterly Pipeline vs Target Pi'!$A:$AP,27,false)," $","")," €",""), "")
)</f>
        <v>0</v>
      </c>
      <c r="AP209" s="17" t="str">
        <f t="shared" si="15"/>
        <v/>
      </c>
      <c r="AQ209" s="1">
        <f>value(IFERROR(SUBSTITUTE(SUBSTITUTE(VLOOKUP($A209,'Quarterly Pipeline vs Target Pi'!$A:$AP,31,false)," $","")," €",""), "")
)</f>
        <v>0</v>
      </c>
      <c r="AR209" s="1">
        <f>value(IFERROR(SUBSTITUTE(SUBSTITUTE(VLOOKUP($A209,'Quarterly Pipeline vs Target Pi'!$A:$AP,32,false)," $","")," €",""), "")
)</f>
        <v>0</v>
      </c>
      <c r="AS209" s="17" t="str">
        <f t="shared" si="16"/>
        <v/>
      </c>
      <c r="AT209" s="1">
        <f>value(IFERROR(SUBSTITUTE(SUBSTITUTE(VLOOKUP($A209,'Quarterly Pipeline vs Target Pi'!$A:$AP,36,false)," $","")," €",""), "")
)</f>
        <v>0</v>
      </c>
      <c r="AU209" s="1">
        <f>value(IFERROR(SUBSTITUTE(SUBSTITUTE(VLOOKUP($A209,'Quarterly Pipeline vs Target Pi'!$A:$AP,37,false)," $","")," €",""), "")
)</f>
        <v>0</v>
      </c>
      <c r="AV209" s="17" t="str">
        <f t="shared" si="17"/>
        <v/>
      </c>
      <c r="AW209" s="1">
        <f>value(IFERROR(SUBSTITUTE(SUBSTITUTE(VLOOKUP($A209,'Quarterly Pipeline vs Target Pi'!$A:$AP,41,false)," $","")," €",""), "")
)</f>
        <v>0</v>
      </c>
      <c r="AX209" s="1">
        <f>value(IFERROR(SUBSTITUTE(SUBSTITUTE(VLOOKUP($A209,'Quarterly Pipeline vs Target Pi'!$A:$AP,42,false)," $","")," €",""), "")
)</f>
        <v>0</v>
      </c>
      <c r="AY209" s="17" t="str">
        <f t="shared" si="18"/>
        <v/>
      </c>
      <c r="AZ209" s="1">
        <f t="shared" ref="AZ209:BA209" si="432">sum(AN209,AQ209,AT209,AW209)</f>
        <v>0</v>
      </c>
      <c r="BA209" s="1">
        <f t="shared" si="432"/>
        <v>0</v>
      </c>
      <c r="BB209" s="17" t="str">
        <f t="shared" si="20"/>
        <v/>
      </c>
    </row>
    <row r="210">
      <c r="A210" s="1" t="str">
        <f>IFERROR(__xludf.DUMMYFUNCTION("""COMPUTED_VALUE"""),"63ea6e9752ad6968805cf10f")</f>
        <v>63ea6e9752ad6968805cf10f</v>
      </c>
      <c r="B210" s="1" t="str">
        <f>IFERROR(__xludf.DUMMYFUNCTION("""COMPUTED_VALUE"""),"Harms &amp; Pieper GmbH &amp; Co. KG")</f>
        <v>Harms &amp; Pieper GmbH &amp; Co. KG</v>
      </c>
      <c r="C210" s="1" t="str">
        <f>IFERROR(__xludf.DUMMYFUNCTION("""COMPUTED_VALUE"""),"andreas.grossheimann@al-enterprise.com, andre.ramm@al-enterprise.com")</f>
        <v>andreas.grossheimann@al-enterprise.com, andre.ramm@al-enterprise.com</v>
      </c>
      <c r="D210" s="1" t="str">
        <f>IFERROR(__xludf.DUMMYFUNCTION("""COMPUTED_VALUE"""),"germany")</f>
        <v>germany</v>
      </c>
      <c r="E210" s="1" t="str">
        <f>IFERROR(__xludf.DUMMYFUNCTION("""COMPUTED_VALUE"""),"DE")</f>
        <v>DE</v>
      </c>
      <c r="F210" s="1"/>
      <c r="G210" s="1" t="str">
        <f>iferror(VLOOKUP(A210,'Business Plan Setup and Accepta'!A:G,6,false),"")</f>
        <v/>
      </c>
      <c r="H210" s="1" t="str">
        <f>iferror(VLOOKUP(A210,'Business Plan Setup and Accepta'!A:G,7,false),"")</f>
        <v/>
      </c>
      <c r="I210" s="17" t="str">
        <f t="shared" si="3"/>
        <v/>
      </c>
      <c r="J210" s="1" t="str">
        <f>IFERROR(VALUE(SUBSTITUTE(VLOOKUP(A210,'Sales IN Revenues vs Sales targ'!A:G,6,false)," $","")), "")
</f>
        <v/>
      </c>
      <c r="K210" s="1" t="str">
        <f>IFERROR(VALUE(SUBSTITUTE(VLOOKUP(A210,'Sales IN Revenues vs Sales targ'!A:G,7,false)," $","")), "")
</f>
        <v/>
      </c>
      <c r="L210" s="17" t="str">
        <f t="shared" si="4"/>
        <v/>
      </c>
      <c r="M210" s="1">
        <f>value(SUBSTITUTE(IFERROR(VLOOKUP(A210,'Certifications achievements vs '!A:G,6,false),""),"#","")
)</f>
        <v>0</v>
      </c>
      <c r="N210" s="1">
        <f>value(SUBSTITUTE(IFERROR(VLOOKUP(A210,'Certifications achievements vs '!A:G,7,false),""),"#","")
)</f>
        <v>0</v>
      </c>
      <c r="O210" s="17" t="str">
        <f t="shared" si="5"/>
        <v/>
      </c>
      <c r="P210" s="1">
        <f>value(SUBSTITUTE(IFERROR(VLOOKUP(A210,'Communications - Solution Speci'!A:G,6,false),""),"#","")
)</f>
        <v>0</v>
      </c>
      <c r="Q210" s="1">
        <f>value(SUBSTITUTE(IFERROR(VLOOKUP(A210,'Communications - Solution Speci'!A:G,7,false),""),"#","")
)</f>
        <v>0</v>
      </c>
      <c r="R210" s="17" t="str">
        <f t="shared" si="6"/>
        <v/>
      </c>
      <c r="S210" s="1">
        <f>value(SUBSTITUTE(IFERROR(VLOOKUP(A210,'Networking - Solution Specializ'!A:G,6,false),""),"#","")
)</f>
        <v>0</v>
      </c>
      <c r="T210" s="1">
        <f>value(SUBSTITUTE(IFERROR(VLOOKUP(A210,'Networking - Solution Specializ'!A:G,7,false),""),"#","")
)</f>
        <v>0</v>
      </c>
      <c r="U210" s="17" t="str">
        <f t="shared" si="7"/>
        <v/>
      </c>
      <c r="V210" s="1" t="str">
        <f>iferror(vlookup(A210,'Marketing Plan (extract summary'!A:G,6,false),"")</f>
        <v/>
      </c>
      <c r="W210" s="1" t="str">
        <f>iferror(vlookup(A210,'Marketing Plan (extract summary'!A:G,7,false),"")</f>
        <v/>
      </c>
      <c r="X210" s="17" t="str">
        <f t="shared" si="8"/>
        <v/>
      </c>
      <c r="Y210" s="1">
        <f>value(IFERROR(SUBSTITUTE(SUBSTITUTE(VLOOKUP(A210,'Quarterly Pipeline vs Target Pi'!A:G,6,false)," $","")," €",""), "")
)</f>
        <v>0</v>
      </c>
      <c r="Z210" s="1">
        <f>value(IFERROR(SUBSTITUTE(SUBSTITUTE(VLOOKUP(A210,'Quarterly Pipeline vs Target Pi'!A:G,7,false)," $","")," €",""), "")
)</f>
        <v>0</v>
      </c>
      <c r="AA210" s="17" t="str">
        <f t="shared" si="9"/>
        <v/>
      </c>
      <c r="AB210" s="1">
        <f>value(IFERROR(SUBSTITUTE(SUBSTITUTE(VLOOKUP($A210,'Quarterly Pipeline vs Target Pi'!$A:$V,11,false)," $","")," €",""), "")
)</f>
        <v>0</v>
      </c>
      <c r="AC210" s="1">
        <f>value(IFERROR(SUBSTITUTE(SUBSTITUTE(VLOOKUP($A210,'Quarterly Pipeline vs Target Pi'!$A:$V,12,false)," $","")," €",""), "")
)</f>
        <v>0</v>
      </c>
      <c r="AD210" s="17" t="str">
        <f t="shared" si="10"/>
        <v/>
      </c>
      <c r="AE210" s="1">
        <f>value(IFERROR(SUBSTITUTE(SUBSTITUTE(VLOOKUP($A210,'Quarterly Pipeline vs Target Pi'!$A:$V,16,false)," $","")," €",""), "")
)</f>
        <v>0</v>
      </c>
      <c r="AF210" s="1">
        <f>value(IFERROR(SUBSTITUTE(SUBSTITUTE(VLOOKUP($A210,'Quarterly Pipeline vs Target Pi'!$A:$V,17,false)," $","")," €",""), "")
)</f>
        <v>0</v>
      </c>
      <c r="AG210" s="17" t="str">
        <f t="shared" si="11"/>
        <v/>
      </c>
      <c r="AH210" s="1">
        <f>value(IFERROR(SUBSTITUTE(SUBSTITUTE(VLOOKUP($A210,'Quarterly Pipeline vs Target Pi'!$A:$V,21,false)," $","")," €",""), "")
)</f>
        <v>0</v>
      </c>
      <c r="AI210" s="1">
        <f>value(IFERROR(SUBSTITUTE(SUBSTITUTE(VLOOKUP($A210,'Quarterly Pipeline vs Target Pi'!$A:$V,22,false)," $","")," €",""), "")
)</f>
        <v>0</v>
      </c>
      <c r="AJ210" s="17" t="str">
        <f t="shared" si="12"/>
        <v/>
      </c>
      <c r="AK210" s="1">
        <f t="shared" ref="AK210:AL210" si="433">sum(Y210,AB210,AE210,AH210)</f>
        <v>0</v>
      </c>
      <c r="AL210" s="1">
        <f t="shared" si="433"/>
        <v>0</v>
      </c>
      <c r="AM210" s="17" t="str">
        <f t="shared" si="14"/>
        <v/>
      </c>
      <c r="AN210" s="1">
        <f>value(IFERROR(SUBSTITUTE(SUBSTITUTE(VLOOKUP($A210,'Quarterly Pipeline vs Target Pi'!$A:$AP,26,false)," $","")," €",""), "")
)</f>
        <v>0</v>
      </c>
      <c r="AO210" s="1">
        <f>value(IFERROR(SUBSTITUTE(SUBSTITUTE(VLOOKUP($A210,'Quarterly Pipeline vs Target Pi'!$A:$AP,27,false)," $","")," €",""), "")
)</f>
        <v>0</v>
      </c>
      <c r="AP210" s="17" t="str">
        <f t="shared" si="15"/>
        <v/>
      </c>
      <c r="AQ210" s="1">
        <f>value(IFERROR(SUBSTITUTE(SUBSTITUTE(VLOOKUP($A210,'Quarterly Pipeline vs Target Pi'!$A:$AP,31,false)," $","")," €",""), "")
)</f>
        <v>0</v>
      </c>
      <c r="AR210" s="1">
        <f>value(IFERROR(SUBSTITUTE(SUBSTITUTE(VLOOKUP($A210,'Quarterly Pipeline vs Target Pi'!$A:$AP,32,false)," $","")," €",""), "")
)</f>
        <v>0</v>
      </c>
      <c r="AS210" s="17" t="str">
        <f t="shared" si="16"/>
        <v/>
      </c>
      <c r="AT210" s="1">
        <f>value(IFERROR(SUBSTITUTE(SUBSTITUTE(VLOOKUP($A210,'Quarterly Pipeline vs Target Pi'!$A:$AP,36,false)," $","")," €",""), "")
)</f>
        <v>0</v>
      </c>
      <c r="AU210" s="1">
        <f>value(IFERROR(SUBSTITUTE(SUBSTITUTE(VLOOKUP($A210,'Quarterly Pipeline vs Target Pi'!$A:$AP,37,false)," $","")," €",""), "")
)</f>
        <v>0</v>
      </c>
      <c r="AV210" s="17" t="str">
        <f t="shared" si="17"/>
        <v/>
      </c>
      <c r="AW210" s="1">
        <f>value(IFERROR(SUBSTITUTE(SUBSTITUTE(VLOOKUP($A210,'Quarterly Pipeline vs Target Pi'!$A:$AP,41,false)," $","")," €",""), "")
)</f>
        <v>0</v>
      </c>
      <c r="AX210" s="1">
        <f>value(IFERROR(SUBSTITUTE(SUBSTITUTE(VLOOKUP($A210,'Quarterly Pipeline vs Target Pi'!$A:$AP,42,false)," $","")," €",""), "")
)</f>
        <v>0</v>
      </c>
      <c r="AY210" s="17" t="str">
        <f t="shared" si="18"/>
        <v/>
      </c>
      <c r="AZ210" s="1">
        <f t="shared" ref="AZ210:BA210" si="434">sum(AN210,AQ210,AT210,AW210)</f>
        <v>0</v>
      </c>
      <c r="BA210" s="1">
        <f t="shared" si="434"/>
        <v>0</v>
      </c>
      <c r="BB210" s="17" t="str">
        <f t="shared" si="20"/>
        <v/>
      </c>
    </row>
    <row r="211">
      <c r="A211" s="1" t="str">
        <f>IFERROR(__xludf.DUMMYFUNCTION("""COMPUTED_VALUE"""),"63ea6e9652ad6968805cefe9")</f>
        <v>63ea6e9652ad6968805cefe9</v>
      </c>
      <c r="B211" s="1" t="str">
        <f>IFERROR(__xludf.DUMMYFUNCTION("""COMPUTED_VALUE"""),"HB Fernmeldetechnik")</f>
        <v>HB Fernmeldetechnik</v>
      </c>
      <c r="C211" s="1" t="str">
        <f>IFERROR(__xludf.DUMMYFUNCTION("""COMPUTED_VALUE"""),"andreas.grossheimann@al-enterprise.com, andre.ramm@al-enterprise.com")</f>
        <v>andreas.grossheimann@al-enterprise.com, andre.ramm@al-enterprise.com</v>
      </c>
      <c r="D211" s="1" t="str">
        <f>IFERROR(__xludf.DUMMYFUNCTION("""COMPUTED_VALUE"""),"germany")</f>
        <v>germany</v>
      </c>
      <c r="E211" s="1" t="str">
        <f>IFERROR(__xludf.DUMMYFUNCTION("""COMPUTED_VALUE"""),"DE")</f>
        <v>DE</v>
      </c>
      <c r="F211" s="1"/>
      <c r="G211" s="1" t="str">
        <f>iferror(VLOOKUP(A211,'Business Plan Setup and Accepta'!A:G,6,false),"")</f>
        <v/>
      </c>
      <c r="H211" s="1" t="str">
        <f>iferror(VLOOKUP(A211,'Business Plan Setup and Accepta'!A:G,7,false),"")</f>
        <v/>
      </c>
      <c r="I211" s="17" t="str">
        <f t="shared" si="3"/>
        <v/>
      </c>
      <c r="J211" s="1" t="str">
        <f>IFERROR(VALUE(SUBSTITUTE(VLOOKUP(A211,'Sales IN Revenues vs Sales targ'!A:G,6,false)," $","")), "")
</f>
        <v/>
      </c>
      <c r="K211" s="1" t="str">
        <f>IFERROR(VALUE(SUBSTITUTE(VLOOKUP(A211,'Sales IN Revenues vs Sales targ'!A:G,7,false)," $","")), "")
</f>
        <v/>
      </c>
      <c r="L211" s="17" t="str">
        <f t="shared" si="4"/>
        <v/>
      </c>
      <c r="M211" s="1">
        <f>value(SUBSTITUTE(IFERROR(VLOOKUP(A211,'Certifications achievements vs '!A:G,6,false),""),"#","")
)</f>
        <v>0</v>
      </c>
      <c r="N211" s="1">
        <f>value(SUBSTITUTE(IFERROR(VLOOKUP(A211,'Certifications achievements vs '!A:G,7,false),""),"#","")
)</f>
        <v>0</v>
      </c>
      <c r="O211" s="17" t="str">
        <f t="shared" si="5"/>
        <v/>
      </c>
      <c r="P211" s="1">
        <f>value(SUBSTITUTE(IFERROR(VLOOKUP(A211,'Communications - Solution Speci'!A:G,6,false),""),"#","")
)</f>
        <v>0</v>
      </c>
      <c r="Q211" s="1">
        <f>value(SUBSTITUTE(IFERROR(VLOOKUP(A211,'Communications - Solution Speci'!A:G,7,false),""),"#","")
)</f>
        <v>0</v>
      </c>
      <c r="R211" s="17" t="str">
        <f t="shared" si="6"/>
        <v/>
      </c>
      <c r="S211" s="1">
        <f>value(SUBSTITUTE(IFERROR(VLOOKUP(A211,'Networking - Solution Specializ'!A:G,6,false),""),"#","")
)</f>
        <v>0</v>
      </c>
      <c r="T211" s="1">
        <f>value(SUBSTITUTE(IFERROR(VLOOKUP(A211,'Networking - Solution Specializ'!A:G,7,false),""),"#","")
)</f>
        <v>0</v>
      </c>
      <c r="U211" s="17" t="str">
        <f t="shared" si="7"/>
        <v/>
      </c>
      <c r="V211" s="1" t="str">
        <f>iferror(vlookup(A211,'Marketing Plan (extract summary'!A:G,6,false),"")</f>
        <v/>
      </c>
      <c r="W211" s="1" t="str">
        <f>iferror(vlookup(A211,'Marketing Plan (extract summary'!A:G,7,false),"")</f>
        <v/>
      </c>
      <c r="X211" s="17" t="str">
        <f t="shared" si="8"/>
        <v/>
      </c>
      <c r="Y211" s="1">
        <f>value(IFERROR(SUBSTITUTE(SUBSTITUTE(VLOOKUP(A211,'Quarterly Pipeline vs Target Pi'!A:G,6,false)," $","")," €",""), "")
)</f>
        <v>0</v>
      </c>
      <c r="Z211" s="1">
        <f>value(IFERROR(SUBSTITUTE(SUBSTITUTE(VLOOKUP(A211,'Quarterly Pipeline vs Target Pi'!A:G,7,false)," $","")," €",""), "")
)</f>
        <v>0</v>
      </c>
      <c r="AA211" s="17" t="str">
        <f t="shared" si="9"/>
        <v/>
      </c>
      <c r="AB211" s="1">
        <f>value(IFERROR(SUBSTITUTE(SUBSTITUTE(VLOOKUP($A211,'Quarterly Pipeline vs Target Pi'!$A:$V,11,false)," $","")," €",""), "")
)</f>
        <v>0</v>
      </c>
      <c r="AC211" s="1">
        <f>value(IFERROR(SUBSTITUTE(SUBSTITUTE(VLOOKUP($A211,'Quarterly Pipeline vs Target Pi'!$A:$V,12,false)," $","")," €",""), "")
)</f>
        <v>0</v>
      </c>
      <c r="AD211" s="17" t="str">
        <f t="shared" si="10"/>
        <v/>
      </c>
      <c r="AE211" s="1">
        <f>value(IFERROR(SUBSTITUTE(SUBSTITUTE(VLOOKUP($A211,'Quarterly Pipeline vs Target Pi'!$A:$V,16,false)," $","")," €",""), "")
)</f>
        <v>0</v>
      </c>
      <c r="AF211" s="1">
        <f>value(IFERROR(SUBSTITUTE(SUBSTITUTE(VLOOKUP($A211,'Quarterly Pipeline vs Target Pi'!$A:$V,17,false)," $","")," €",""), "")
)</f>
        <v>0</v>
      </c>
      <c r="AG211" s="17" t="str">
        <f t="shared" si="11"/>
        <v/>
      </c>
      <c r="AH211" s="1">
        <f>value(IFERROR(SUBSTITUTE(SUBSTITUTE(VLOOKUP($A211,'Quarterly Pipeline vs Target Pi'!$A:$V,21,false)," $","")," €",""), "")
)</f>
        <v>0</v>
      </c>
      <c r="AI211" s="1">
        <f>value(IFERROR(SUBSTITUTE(SUBSTITUTE(VLOOKUP($A211,'Quarterly Pipeline vs Target Pi'!$A:$V,22,false)," $","")," €",""), "")
)</f>
        <v>0</v>
      </c>
      <c r="AJ211" s="17" t="str">
        <f t="shared" si="12"/>
        <v/>
      </c>
      <c r="AK211" s="1">
        <f t="shared" ref="AK211:AL211" si="435">sum(Y211,AB211,AE211,AH211)</f>
        <v>0</v>
      </c>
      <c r="AL211" s="1">
        <f t="shared" si="435"/>
        <v>0</v>
      </c>
      <c r="AM211" s="17" t="str">
        <f t="shared" si="14"/>
        <v/>
      </c>
      <c r="AN211" s="1">
        <f>value(IFERROR(SUBSTITUTE(SUBSTITUTE(VLOOKUP($A211,'Quarterly Pipeline vs Target Pi'!$A:$AP,26,false)," $","")," €",""), "")
)</f>
        <v>0</v>
      </c>
      <c r="AO211" s="1">
        <f>value(IFERROR(SUBSTITUTE(SUBSTITUTE(VLOOKUP($A211,'Quarterly Pipeline vs Target Pi'!$A:$AP,27,false)," $","")," €",""), "")
)</f>
        <v>0</v>
      </c>
      <c r="AP211" s="17" t="str">
        <f t="shared" si="15"/>
        <v/>
      </c>
      <c r="AQ211" s="1">
        <f>value(IFERROR(SUBSTITUTE(SUBSTITUTE(VLOOKUP($A211,'Quarterly Pipeline vs Target Pi'!$A:$AP,31,false)," $","")," €",""), "")
)</f>
        <v>0</v>
      </c>
      <c r="AR211" s="1">
        <f>value(IFERROR(SUBSTITUTE(SUBSTITUTE(VLOOKUP($A211,'Quarterly Pipeline vs Target Pi'!$A:$AP,32,false)," $","")," €",""), "")
)</f>
        <v>0</v>
      </c>
      <c r="AS211" s="17" t="str">
        <f t="shared" si="16"/>
        <v/>
      </c>
      <c r="AT211" s="1">
        <f>value(IFERROR(SUBSTITUTE(SUBSTITUTE(VLOOKUP($A211,'Quarterly Pipeline vs Target Pi'!$A:$AP,36,false)," $","")," €",""), "")
)</f>
        <v>0</v>
      </c>
      <c r="AU211" s="1">
        <f>value(IFERROR(SUBSTITUTE(SUBSTITUTE(VLOOKUP($A211,'Quarterly Pipeline vs Target Pi'!$A:$AP,37,false)," $","")," €",""), "")
)</f>
        <v>0</v>
      </c>
      <c r="AV211" s="17" t="str">
        <f t="shared" si="17"/>
        <v/>
      </c>
      <c r="AW211" s="1">
        <f>value(IFERROR(SUBSTITUTE(SUBSTITUTE(VLOOKUP($A211,'Quarterly Pipeline vs Target Pi'!$A:$AP,41,false)," $","")," €",""), "")
)</f>
        <v>0</v>
      </c>
      <c r="AX211" s="1">
        <f>value(IFERROR(SUBSTITUTE(SUBSTITUTE(VLOOKUP($A211,'Quarterly Pipeline vs Target Pi'!$A:$AP,42,false)," $","")," €",""), "")
)</f>
        <v>0</v>
      </c>
      <c r="AY211" s="17" t="str">
        <f t="shared" si="18"/>
        <v/>
      </c>
      <c r="AZ211" s="1">
        <f t="shared" ref="AZ211:BA211" si="436">sum(AN211,AQ211,AT211,AW211)</f>
        <v>0</v>
      </c>
      <c r="BA211" s="1">
        <f t="shared" si="436"/>
        <v>0</v>
      </c>
      <c r="BB211" s="17" t="str">
        <f t="shared" si="20"/>
        <v/>
      </c>
    </row>
    <row r="212">
      <c r="A212" s="1" t="str">
        <f>IFERROR(__xludf.DUMMYFUNCTION("""COMPUTED_VALUE"""),"63ea6e9752ad6968805cf075")</f>
        <v>63ea6e9752ad6968805cf075</v>
      </c>
      <c r="B212" s="1" t="str">
        <f>IFERROR(__xludf.DUMMYFUNCTION("""COMPUTED_VALUE"""),"hecom computer Inh.: Andreas Heim")</f>
        <v>hecom computer Inh.: Andreas Heim</v>
      </c>
      <c r="C212" s="1" t="str">
        <f>IFERROR(__xludf.DUMMYFUNCTION("""COMPUTED_VALUE"""),"andreas.grossheimann@al-enterprise.com, andre.ramm@al-enterprise.com")</f>
        <v>andreas.grossheimann@al-enterprise.com, andre.ramm@al-enterprise.com</v>
      </c>
      <c r="D212" s="1" t="str">
        <f>IFERROR(__xludf.DUMMYFUNCTION("""COMPUTED_VALUE"""),"germany")</f>
        <v>germany</v>
      </c>
      <c r="E212" s="1" t="str">
        <f>IFERROR(__xludf.DUMMYFUNCTION("""COMPUTED_VALUE"""),"DE")</f>
        <v>DE</v>
      </c>
      <c r="F212" s="1"/>
      <c r="G212" s="1" t="str">
        <f>iferror(VLOOKUP(A212,'Business Plan Setup and Accepta'!A:G,6,false),"")</f>
        <v/>
      </c>
      <c r="H212" s="1" t="str">
        <f>iferror(VLOOKUP(A212,'Business Plan Setup and Accepta'!A:G,7,false),"")</f>
        <v/>
      </c>
      <c r="I212" s="17" t="str">
        <f t="shared" si="3"/>
        <v/>
      </c>
      <c r="J212" s="1" t="str">
        <f>IFERROR(VALUE(SUBSTITUTE(VLOOKUP(A212,'Sales IN Revenues vs Sales targ'!A:G,6,false)," $","")), "")
</f>
        <v/>
      </c>
      <c r="K212" s="1" t="str">
        <f>IFERROR(VALUE(SUBSTITUTE(VLOOKUP(A212,'Sales IN Revenues vs Sales targ'!A:G,7,false)," $","")), "")
</f>
        <v/>
      </c>
      <c r="L212" s="17" t="str">
        <f t="shared" si="4"/>
        <v/>
      </c>
      <c r="M212" s="1">
        <f>value(SUBSTITUTE(IFERROR(VLOOKUP(A212,'Certifications achievements vs '!A:G,6,false),""),"#","")
)</f>
        <v>0</v>
      </c>
      <c r="N212" s="1">
        <f>value(SUBSTITUTE(IFERROR(VLOOKUP(A212,'Certifications achievements vs '!A:G,7,false),""),"#","")
)</f>
        <v>0</v>
      </c>
      <c r="O212" s="17" t="str">
        <f t="shared" si="5"/>
        <v/>
      </c>
      <c r="P212" s="1">
        <f>value(SUBSTITUTE(IFERROR(VLOOKUP(A212,'Communications - Solution Speci'!A:G,6,false),""),"#","")
)</f>
        <v>0</v>
      </c>
      <c r="Q212" s="1">
        <f>value(SUBSTITUTE(IFERROR(VLOOKUP(A212,'Communications - Solution Speci'!A:G,7,false),""),"#","")
)</f>
        <v>0</v>
      </c>
      <c r="R212" s="17" t="str">
        <f t="shared" si="6"/>
        <v/>
      </c>
      <c r="S212" s="1">
        <f>value(SUBSTITUTE(IFERROR(VLOOKUP(A212,'Networking - Solution Specializ'!A:G,6,false),""),"#","")
)</f>
        <v>0</v>
      </c>
      <c r="T212" s="1">
        <f>value(SUBSTITUTE(IFERROR(VLOOKUP(A212,'Networking - Solution Specializ'!A:G,7,false),""),"#","")
)</f>
        <v>0</v>
      </c>
      <c r="U212" s="17" t="str">
        <f t="shared" si="7"/>
        <v/>
      </c>
      <c r="V212" s="1" t="str">
        <f>iferror(vlookup(A212,'Marketing Plan (extract summary'!A:G,6,false),"")</f>
        <v/>
      </c>
      <c r="W212" s="1" t="str">
        <f>iferror(vlookup(A212,'Marketing Plan (extract summary'!A:G,7,false),"")</f>
        <v/>
      </c>
      <c r="X212" s="17" t="str">
        <f t="shared" si="8"/>
        <v/>
      </c>
      <c r="Y212" s="1">
        <f>value(IFERROR(SUBSTITUTE(SUBSTITUTE(VLOOKUP(A212,'Quarterly Pipeline vs Target Pi'!A:G,6,false)," $","")," €",""), "")
)</f>
        <v>0</v>
      </c>
      <c r="Z212" s="1">
        <f>value(IFERROR(SUBSTITUTE(SUBSTITUTE(VLOOKUP(A212,'Quarterly Pipeline vs Target Pi'!A:G,7,false)," $","")," €",""), "")
)</f>
        <v>0</v>
      </c>
      <c r="AA212" s="17" t="str">
        <f t="shared" si="9"/>
        <v/>
      </c>
      <c r="AB212" s="1">
        <f>value(IFERROR(SUBSTITUTE(SUBSTITUTE(VLOOKUP($A212,'Quarterly Pipeline vs Target Pi'!$A:$V,11,false)," $","")," €",""), "")
)</f>
        <v>0</v>
      </c>
      <c r="AC212" s="1">
        <f>value(IFERROR(SUBSTITUTE(SUBSTITUTE(VLOOKUP($A212,'Quarterly Pipeline vs Target Pi'!$A:$V,12,false)," $","")," €",""), "")
)</f>
        <v>0</v>
      </c>
      <c r="AD212" s="17" t="str">
        <f t="shared" si="10"/>
        <v/>
      </c>
      <c r="AE212" s="1">
        <f>value(IFERROR(SUBSTITUTE(SUBSTITUTE(VLOOKUP($A212,'Quarterly Pipeline vs Target Pi'!$A:$V,16,false)," $","")," €",""), "")
)</f>
        <v>0</v>
      </c>
      <c r="AF212" s="1">
        <f>value(IFERROR(SUBSTITUTE(SUBSTITUTE(VLOOKUP($A212,'Quarterly Pipeline vs Target Pi'!$A:$V,17,false)," $","")," €",""), "")
)</f>
        <v>0</v>
      </c>
      <c r="AG212" s="17" t="str">
        <f t="shared" si="11"/>
        <v/>
      </c>
      <c r="AH212" s="1">
        <f>value(IFERROR(SUBSTITUTE(SUBSTITUTE(VLOOKUP($A212,'Quarterly Pipeline vs Target Pi'!$A:$V,21,false)," $","")," €",""), "")
)</f>
        <v>0</v>
      </c>
      <c r="AI212" s="1">
        <f>value(IFERROR(SUBSTITUTE(SUBSTITUTE(VLOOKUP($A212,'Quarterly Pipeline vs Target Pi'!$A:$V,22,false)," $","")," €",""), "")
)</f>
        <v>0</v>
      </c>
      <c r="AJ212" s="17" t="str">
        <f t="shared" si="12"/>
        <v/>
      </c>
      <c r="AK212" s="1">
        <f t="shared" ref="AK212:AL212" si="437">sum(Y212,AB212,AE212,AH212)</f>
        <v>0</v>
      </c>
      <c r="AL212" s="1">
        <f t="shared" si="437"/>
        <v>0</v>
      </c>
      <c r="AM212" s="17" t="str">
        <f t="shared" si="14"/>
        <v/>
      </c>
      <c r="AN212" s="1">
        <f>value(IFERROR(SUBSTITUTE(SUBSTITUTE(VLOOKUP($A212,'Quarterly Pipeline vs Target Pi'!$A:$AP,26,false)," $","")," €",""), "")
)</f>
        <v>0</v>
      </c>
      <c r="AO212" s="1">
        <f>value(IFERROR(SUBSTITUTE(SUBSTITUTE(VLOOKUP($A212,'Quarterly Pipeline vs Target Pi'!$A:$AP,27,false)," $","")," €",""), "")
)</f>
        <v>0</v>
      </c>
      <c r="AP212" s="17" t="str">
        <f t="shared" si="15"/>
        <v/>
      </c>
      <c r="AQ212" s="1">
        <f>value(IFERROR(SUBSTITUTE(SUBSTITUTE(VLOOKUP($A212,'Quarterly Pipeline vs Target Pi'!$A:$AP,31,false)," $","")," €",""), "")
)</f>
        <v>0</v>
      </c>
      <c r="AR212" s="1">
        <f>value(IFERROR(SUBSTITUTE(SUBSTITUTE(VLOOKUP($A212,'Quarterly Pipeline vs Target Pi'!$A:$AP,32,false)," $","")," €",""), "")
)</f>
        <v>0</v>
      </c>
      <c r="AS212" s="17" t="str">
        <f t="shared" si="16"/>
        <v/>
      </c>
      <c r="AT212" s="1">
        <f>value(IFERROR(SUBSTITUTE(SUBSTITUTE(VLOOKUP($A212,'Quarterly Pipeline vs Target Pi'!$A:$AP,36,false)," $","")," €",""), "")
)</f>
        <v>0</v>
      </c>
      <c r="AU212" s="1">
        <f>value(IFERROR(SUBSTITUTE(SUBSTITUTE(VLOOKUP($A212,'Quarterly Pipeline vs Target Pi'!$A:$AP,37,false)," $","")," €",""), "")
)</f>
        <v>0</v>
      </c>
      <c r="AV212" s="17" t="str">
        <f t="shared" si="17"/>
        <v/>
      </c>
      <c r="AW212" s="1">
        <f>value(IFERROR(SUBSTITUTE(SUBSTITUTE(VLOOKUP($A212,'Quarterly Pipeline vs Target Pi'!$A:$AP,41,false)," $","")," €",""), "")
)</f>
        <v>0</v>
      </c>
      <c r="AX212" s="1">
        <f>value(IFERROR(SUBSTITUTE(SUBSTITUTE(VLOOKUP($A212,'Quarterly Pipeline vs Target Pi'!$A:$AP,42,false)," $","")," €",""), "")
)</f>
        <v>0</v>
      </c>
      <c r="AY212" s="17" t="str">
        <f t="shared" si="18"/>
        <v/>
      </c>
      <c r="AZ212" s="1">
        <f t="shared" ref="AZ212:BA212" si="438">sum(AN212,AQ212,AT212,AW212)</f>
        <v>0</v>
      </c>
      <c r="BA212" s="1">
        <f t="shared" si="438"/>
        <v>0</v>
      </c>
      <c r="BB212" s="17" t="str">
        <f t="shared" si="20"/>
        <v/>
      </c>
    </row>
    <row r="213">
      <c r="A213" s="1" t="str">
        <f>IFERROR(__xludf.DUMMYFUNCTION("""COMPUTED_VALUE"""),"63ea6e9452ad6968805ceca1")</f>
        <v>63ea6e9452ad6968805ceca1</v>
      </c>
      <c r="B213" s="1" t="str">
        <f>IFERROR(__xludf.DUMMYFUNCTION("""COMPUTED_VALUE"""),"Heinz Communication Systems GmbH")</f>
        <v>Heinz Communication Systems GmbH</v>
      </c>
      <c r="C213" s="1" t="str">
        <f>IFERROR(__xludf.DUMMYFUNCTION("""COMPUTED_VALUE"""),"thomas.ullmann@al-enterprise.com, andreas.grossheimann@al-enterprise.com")</f>
        <v>thomas.ullmann@al-enterprise.com, andreas.grossheimann@al-enterprise.com</v>
      </c>
      <c r="D213" s="1" t="str">
        <f>IFERROR(__xludf.DUMMYFUNCTION("""COMPUTED_VALUE"""),"germany")</f>
        <v>germany</v>
      </c>
      <c r="E213" s="1" t="str">
        <f>IFERROR(__xludf.DUMMYFUNCTION("""COMPUTED_VALUE"""),"DE")</f>
        <v>DE</v>
      </c>
      <c r="F213" s="1"/>
      <c r="G213" s="1" t="str">
        <f>iferror(VLOOKUP(A213,'Business Plan Setup and Accepta'!A:G,6,false),"")</f>
        <v/>
      </c>
      <c r="H213" s="1" t="str">
        <f>iferror(VLOOKUP(A213,'Business Plan Setup and Accepta'!A:G,7,false),"")</f>
        <v/>
      </c>
      <c r="I213" s="17" t="str">
        <f t="shared" si="3"/>
        <v/>
      </c>
      <c r="J213" s="1" t="str">
        <f>IFERROR(VALUE(SUBSTITUTE(VLOOKUP(A213,'Sales IN Revenues vs Sales targ'!A:G,6,false)," $","")), "")
</f>
        <v/>
      </c>
      <c r="K213" s="1" t="str">
        <f>IFERROR(VALUE(SUBSTITUTE(VLOOKUP(A213,'Sales IN Revenues vs Sales targ'!A:G,7,false)," $","")), "")
</f>
        <v/>
      </c>
      <c r="L213" s="17" t="str">
        <f t="shared" si="4"/>
        <v/>
      </c>
      <c r="M213" s="1">
        <f>value(SUBSTITUTE(IFERROR(VLOOKUP(A213,'Certifications achievements vs '!A:G,6,false),""),"#","")
)</f>
        <v>0</v>
      </c>
      <c r="N213" s="1">
        <f>value(SUBSTITUTE(IFERROR(VLOOKUP(A213,'Certifications achievements vs '!A:G,7,false),""),"#","")
)</f>
        <v>0</v>
      </c>
      <c r="O213" s="17" t="str">
        <f t="shared" si="5"/>
        <v/>
      </c>
      <c r="P213" s="1">
        <f>value(SUBSTITUTE(IFERROR(VLOOKUP(A213,'Communications - Solution Speci'!A:G,6,false),""),"#","")
)</f>
        <v>0</v>
      </c>
      <c r="Q213" s="1">
        <f>value(SUBSTITUTE(IFERROR(VLOOKUP(A213,'Communications - Solution Speci'!A:G,7,false),""),"#","")
)</f>
        <v>0</v>
      </c>
      <c r="R213" s="17" t="str">
        <f t="shared" si="6"/>
        <v/>
      </c>
      <c r="S213" s="1">
        <f>value(SUBSTITUTE(IFERROR(VLOOKUP(A213,'Networking - Solution Specializ'!A:G,6,false),""),"#","")
)</f>
        <v>0</v>
      </c>
      <c r="T213" s="1">
        <f>value(SUBSTITUTE(IFERROR(VLOOKUP(A213,'Networking - Solution Specializ'!A:G,7,false),""),"#","")
)</f>
        <v>0</v>
      </c>
      <c r="U213" s="17" t="str">
        <f t="shared" si="7"/>
        <v/>
      </c>
      <c r="V213" s="1" t="str">
        <f>iferror(vlookup(A213,'Marketing Plan (extract summary'!A:G,6,false),"")</f>
        <v/>
      </c>
      <c r="W213" s="1" t="str">
        <f>iferror(vlookup(A213,'Marketing Plan (extract summary'!A:G,7,false),"")</f>
        <v/>
      </c>
      <c r="X213" s="17" t="str">
        <f t="shared" si="8"/>
        <v/>
      </c>
      <c r="Y213" s="1">
        <f>value(IFERROR(SUBSTITUTE(SUBSTITUTE(VLOOKUP(A213,'Quarterly Pipeline vs Target Pi'!A:G,6,false)," $","")," €",""), "")
)</f>
        <v>0</v>
      </c>
      <c r="Z213" s="1">
        <f>value(IFERROR(SUBSTITUTE(SUBSTITUTE(VLOOKUP(A213,'Quarterly Pipeline vs Target Pi'!A:G,7,false)," $","")," €",""), "")
)</f>
        <v>0</v>
      </c>
      <c r="AA213" s="17" t="str">
        <f t="shared" si="9"/>
        <v/>
      </c>
      <c r="AB213" s="1">
        <f>value(IFERROR(SUBSTITUTE(SUBSTITUTE(VLOOKUP($A213,'Quarterly Pipeline vs Target Pi'!$A:$V,11,false)," $","")," €",""), "")
)</f>
        <v>0</v>
      </c>
      <c r="AC213" s="1">
        <f>value(IFERROR(SUBSTITUTE(SUBSTITUTE(VLOOKUP($A213,'Quarterly Pipeline vs Target Pi'!$A:$V,12,false)," $","")," €",""), "")
)</f>
        <v>0</v>
      </c>
      <c r="AD213" s="17" t="str">
        <f t="shared" si="10"/>
        <v/>
      </c>
      <c r="AE213" s="1">
        <f>value(IFERROR(SUBSTITUTE(SUBSTITUTE(VLOOKUP($A213,'Quarterly Pipeline vs Target Pi'!$A:$V,16,false)," $","")," €",""), "")
)</f>
        <v>0</v>
      </c>
      <c r="AF213" s="1">
        <f>value(IFERROR(SUBSTITUTE(SUBSTITUTE(VLOOKUP($A213,'Quarterly Pipeline vs Target Pi'!$A:$V,17,false)," $","")," €",""), "")
)</f>
        <v>0</v>
      </c>
      <c r="AG213" s="17" t="str">
        <f t="shared" si="11"/>
        <v/>
      </c>
      <c r="AH213" s="1">
        <f>value(IFERROR(SUBSTITUTE(SUBSTITUTE(VLOOKUP($A213,'Quarterly Pipeline vs Target Pi'!$A:$V,21,false)," $","")," €",""), "")
)</f>
        <v>0</v>
      </c>
      <c r="AI213" s="1">
        <f>value(IFERROR(SUBSTITUTE(SUBSTITUTE(VLOOKUP($A213,'Quarterly Pipeline vs Target Pi'!$A:$V,22,false)," $","")," €",""), "")
)</f>
        <v>0</v>
      </c>
      <c r="AJ213" s="17" t="str">
        <f t="shared" si="12"/>
        <v/>
      </c>
      <c r="AK213" s="1">
        <f t="shared" ref="AK213:AL213" si="439">sum(Y213,AB213,AE213,AH213)</f>
        <v>0</v>
      </c>
      <c r="AL213" s="1">
        <f t="shared" si="439"/>
        <v>0</v>
      </c>
      <c r="AM213" s="17" t="str">
        <f t="shared" si="14"/>
        <v/>
      </c>
      <c r="AN213" s="1">
        <f>value(IFERROR(SUBSTITUTE(SUBSTITUTE(VLOOKUP($A213,'Quarterly Pipeline vs Target Pi'!$A:$AP,26,false)," $","")," €",""), "")
)</f>
        <v>0</v>
      </c>
      <c r="AO213" s="1">
        <f>value(IFERROR(SUBSTITUTE(SUBSTITUTE(VLOOKUP($A213,'Quarterly Pipeline vs Target Pi'!$A:$AP,27,false)," $","")," €",""), "")
)</f>
        <v>0</v>
      </c>
      <c r="AP213" s="17" t="str">
        <f t="shared" si="15"/>
        <v/>
      </c>
      <c r="AQ213" s="1">
        <f>value(IFERROR(SUBSTITUTE(SUBSTITUTE(VLOOKUP($A213,'Quarterly Pipeline vs Target Pi'!$A:$AP,31,false)," $","")," €",""), "")
)</f>
        <v>0</v>
      </c>
      <c r="AR213" s="1">
        <f>value(IFERROR(SUBSTITUTE(SUBSTITUTE(VLOOKUP($A213,'Quarterly Pipeline vs Target Pi'!$A:$AP,32,false)," $","")," €",""), "")
)</f>
        <v>0</v>
      </c>
      <c r="AS213" s="17" t="str">
        <f t="shared" si="16"/>
        <v/>
      </c>
      <c r="AT213" s="1">
        <f>value(IFERROR(SUBSTITUTE(SUBSTITUTE(VLOOKUP($A213,'Quarterly Pipeline vs Target Pi'!$A:$AP,36,false)," $","")," €",""), "")
)</f>
        <v>0</v>
      </c>
      <c r="AU213" s="1">
        <f>value(IFERROR(SUBSTITUTE(SUBSTITUTE(VLOOKUP($A213,'Quarterly Pipeline vs Target Pi'!$A:$AP,37,false)," $","")," €",""), "")
)</f>
        <v>0</v>
      </c>
      <c r="AV213" s="17" t="str">
        <f t="shared" si="17"/>
        <v/>
      </c>
      <c r="AW213" s="1">
        <f>value(IFERROR(SUBSTITUTE(SUBSTITUTE(VLOOKUP($A213,'Quarterly Pipeline vs Target Pi'!$A:$AP,41,false)," $","")," €",""), "")
)</f>
        <v>0</v>
      </c>
      <c r="AX213" s="1">
        <f>value(IFERROR(SUBSTITUTE(SUBSTITUTE(VLOOKUP($A213,'Quarterly Pipeline vs Target Pi'!$A:$AP,42,false)," $","")," €",""), "")
)</f>
        <v>0</v>
      </c>
      <c r="AY213" s="17" t="str">
        <f t="shared" si="18"/>
        <v/>
      </c>
      <c r="AZ213" s="1">
        <f t="shared" ref="AZ213:BA213" si="440">sum(AN213,AQ213,AT213,AW213)</f>
        <v>0</v>
      </c>
      <c r="BA213" s="1">
        <f t="shared" si="440"/>
        <v>0</v>
      </c>
      <c r="BB213" s="17" t="str">
        <f t="shared" si="20"/>
        <v/>
      </c>
    </row>
    <row r="214">
      <c r="A214" s="1" t="str">
        <f>IFERROR(__xludf.DUMMYFUNCTION("""COMPUTED_VALUE"""),"63ea6e9552ad6968805cee7d")</f>
        <v>63ea6e9552ad6968805cee7d</v>
      </c>
      <c r="B214" s="1" t="str">
        <f>IFERROR(__xludf.DUMMYFUNCTION("""COMPUTED_VALUE"""),"HELD - Tec GmbH")</f>
        <v>HELD - Tec GmbH</v>
      </c>
      <c r="C214" s="1" t="str">
        <f>IFERROR(__xludf.DUMMYFUNCTION("""COMPUTED_VALUE"""),"andreas.grossheimann@al-enterprise.com, andre.ramm@al-enterprise.com")</f>
        <v>andreas.grossheimann@al-enterprise.com, andre.ramm@al-enterprise.com</v>
      </c>
      <c r="D214" s="1" t="str">
        <f>IFERROR(__xludf.DUMMYFUNCTION("""COMPUTED_VALUE"""),"germany")</f>
        <v>germany</v>
      </c>
      <c r="E214" s="1" t="str">
        <f>IFERROR(__xludf.DUMMYFUNCTION("""COMPUTED_VALUE"""),"DE")</f>
        <v>DE</v>
      </c>
      <c r="F214" s="1"/>
      <c r="G214" s="1" t="str">
        <f>iferror(VLOOKUP(A214,'Business Plan Setup and Accepta'!A:G,6,false),"")</f>
        <v/>
      </c>
      <c r="H214" s="1" t="str">
        <f>iferror(VLOOKUP(A214,'Business Plan Setup and Accepta'!A:G,7,false),"")</f>
        <v/>
      </c>
      <c r="I214" s="17" t="str">
        <f t="shared" si="3"/>
        <v/>
      </c>
      <c r="J214" s="1" t="str">
        <f>IFERROR(VALUE(SUBSTITUTE(VLOOKUP(A214,'Sales IN Revenues vs Sales targ'!A:G,6,false)," $","")), "")
</f>
        <v/>
      </c>
      <c r="K214" s="1" t="str">
        <f>IFERROR(VALUE(SUBSTITUTE(VLOOKUP(A214,'Sales IN Revenues vs Sales targ'!A:G,7,false)," $","")), "")
</f>
        <v/>
      </c>
      <c r="L214" s="17" t="str">
        <f t="shared" si="4"/>
        <v/>
      </c>
      <c r="M214" s="1">
        <f>value(SUBSTITUTE(IFERROR(VLOOKUP(A214,'Certifications achievements vs '!A:G,6,false),""),"#","")
)</f>
        <v>0</v>
      </c>
      <c r="N214" s="1">
        <f>value(SUBSTITUTE(IFERROR(VLOOKUP(A214,'Certifications achievements vs '!A:G,7,false),""),"#","")
)</f>
        <v>0</v>
      </c>
      <c r="O214" s="17" t="str">
        <f t="shared" si="5"/>
        <v/>
      </c>
      <c r="P214" s="1">
        <f>value(SUBSTITUTE(IFERROR(VLOOKUP(A214,'Communications - Solution Speci'!A:G,6,false),""),"#","")
)</f>
        <v>0</v>
      </c>
      <c r="Q214" s="1">
        <f>value(SUBSTITUTE(IFERROR(VLOOKUP(A214,'Communications - Solution Speci'!A:G,7,false),""),"#","")
)</f>
        <v>0</v>
      </c>
      <c r="R214" s="17" t="str">
        <f t="shared" si="6"/>
        <v/>
      </c>
      <c r="S214" s="1">
        <f>value(SUBSTITUTE(IFERROR(VLOOKUP(A214,'Networking - Solution Specializ'!A:G,6,false),""),"#","")
)</f>
        <v>0</v>
      </c>
      <c r="T214" s="1">
        <f>value(SUBSTITUTE(IFERROR(VLOOKUP(A214,'Networking - Solution Specializ'!A:G,7,false),""),"#","")
)</f>
        <v>0</v>
      </c>
      <c r="U214" s="17" t="str">
        <f t="shared" si="7"/>
        <v/>
      </c>
      <c r="V214" s="1" t="str">
        <f>iferror(vlookup(A214,'Marketing Plan (extract summary'!A:G,6,false),"")</f>
        <v/>
      </c>
      <c r="W214" s="1" t="str">
        <f>iferror(vlookup(A214,'Marketing Plan (extract summary'!A:G,7,false),"")</f>
        <v/>
      </c>
      <c r="X214" s="17" t="str">
        <f t="shared" si="8"/>
        <v/>
      </c>
      <c r="Y214" s="1">
        <f>value(IFERROR(SUBSTITUTE(SUBSTITUTE(VLOOKUP(A214,'Quarterly Pipeline vs Target Pi'!A:G,6,false)," $","")," €",""), "")
)</f>
        <v>0</v>
      </c>
      <c r="Z214" s="1">
        <f>value(IFERROR(SUBSTITUTE(SUBSTITUTE(VLOOKUP(A214,'Quarterly Pipeline vs Target Pi'!A:G,7,false)," $","")," €",""), "")
)</f>
        <v>0</v>
      </c>
      <c r="AA214" s="17" t="str">
        <f t="shared" si="9"/>
        <v/>
      </c>
      <c r="AB214" s="1">
        <f>value(IFERROR(SUBSTITUTE(SUBSTITUTE(VLOOKUP($A214,'Quarterly Pipeline vs Target Pi'!$A:$V,11,false)," $","")," €",""), "")
)</f>
        <v>0</v>
      </c>
      <c r="AC214" s="1">
        <f>value(IFERROR(SUBSTITUTE(SUBSTITUTE(VLOOKUP($A214,'Quarterly Pipeline vs Target Pi'!$A:$V,12,false)," $","")," €",""), "")
)</f>
        <v>0</v>
      </c>
      <c r="AD214" s="17" t="str">
        <f t="shared" si="10"/>
        <v/>
      </c>
      <c r="AE214" s="1">
        <f>value(IFERROR(SUBSTITUTE(SUBSTITUTE(VLOOKUP($A214,'Quarterly Pipeline vs Target Pi'!$A:$V,16,false)," $","")," €",""), "")
)</f>
        <v>0</v>
      </c>
      <c r="AF214" s="1">
        <f>value(IFERROR(SUBSTITUTE(SUBSTITUTE(VLOOKUP($A214,'Quarterly Pipeline vs Target Pi'!$A:$V,17,false)," $","")," €",""), "")
)</f>
        <v>0</v>
      </c>
      <c r="AG214" s="17" t="str">
        <f t="shared" si="11"/>
        <v/>
      </c>
      <c r="AH214" s="1">
        <f>value(IFERROR(SUBSTITUTE(SUBSTITUTE(VLOOKUP($A214,'Quarterly Pipeline vs Target Pi'!$A:$V,21,false)," $","")," €",""), "")
)</f>
        <v>0</v>
      </c>
      <c r="AI214" s="1">
        <f>value(IFERROR(SUBSTITUTE(SUBSTITUTE(VLOOKUP($A214,'Quarterly Pipeline vs Target Pi'!$A:$V,22,false)," $","")," €",""), "")
)</f>
        <v>0</v>
      </c>
      <c r="AJ214" s="17" t="str">
        <f t="shared" si="12"/>
        <v/>
      </c>
      <c r="AK214" s="1">
        <f t="shared" ref="AK214:AL214" si="441">sum(Y214,AB214,AE214,AH214)</f>
        <v>0</v>
      </c>
      <c r="AL214" s="1">
        <f t="shared" si="441"/>
        <v>0</v>
      </c>
      <c r="AM214" s="17" t="str">
        <f t="shared" si="14"/>
        <v/>
      </c>
      <c r="AN214" s="1">
        <f>value(IFERROR(SUBSTITUTE(SUBSTITUTE(VLOOKUP($A214,'Quarterly Pipeline vs Target Pi'!$A:$AP,26,false)," $","")," €",""), "")
)</f>
        <v>0</v>
      </c>
      <c r="AO214" s="1">
        <f>value(IFERROR(SUBSTITUTE(SUBSTITUTE(VLOOKUP($A214,'Quarterly Pipeline vs Target Pi'!$A:$AP,27,false)," $","")," €",""), "")
)</f>
        <v>0</v>
      </c>
      <c r="AP214" s="17" t="str">
        <f t="shared" si="15"/>
        <v/>
      </c>
      <c r="AQ214" s="1">
        <f>value(IFERROR(SUBSTITUTE(SUBSTITUTE(VLOOKUP($A214,'Quarterly Pipeline vs Target Pi'!$A:$AP,31,false)," $","")," €",""), "")
)</f>
        <v>0</v>
      </c>
      <c r="AR214" s="1">
        <f>value(IFERROR(SUBSTITUTE(SUBSTITUTE(VLOOKUP($A214,'Quarterly Pipeline vs Target Pi'!$A:$AP,32,false)," $","")," €",""), "")
)</f>
        <v>0</v>
      </c>
      <c r="AS214" s="17" t="str">
        <f t="shared" si="16"/>
        <v/>
      </c>
      <c r="AT214" s="1">
        <f>value(IFERROR(SUBSTITUTE(SUBSTITUTE(VLOOKUP($A214,'Quarterly Pipeline vs Target Pi'!$A:$AP,36,false)," $","")," €",""), "")
)</f>
        <v>0</v>
      </c>
      <c r="AU214" s="1">
        <f>value(IFERROR(SUBSTITUTE(SUBSTITUTE(VLOOKUP($A214,'Quarterly Pipeline vs Target Pi'!$A:$AP,37,false)," $","")," €",""), "")
)</f>
        <v>0</v>
      </c>
      <c r="AV214" s="17" t="str">
        <f t="shared" si="17"/>
        <v/>
      </c>
      <c r="AW214" s="1">
        <f>value(IFERROR(SUBSTITUTE(SUBSTITUTE(VLOOKUP($A214,'Quarterly Pipeline vs Target Pi'!$A:$AP,41,false)," $","")," €",""), "")
)</f>
        <v>0</v>
      </c>
      <c r="AX214" s="1">
        <f>value(IFERROR(SUBSTITUTE(SUBSTITUTE(VLOOKUP($A214,'Quarterly Pipeline vs Target Pi'!$A:$AP,42,false)," $","")," €",""), "")
)</f>
        <v>0</v>
      </c>
      <c r="AY214" s="17" t="str">
        <f t="shared" si="18"/>
        <v/>
      </c>
      <c r="AZ214" s="1">
        <f t="shared" ref="AZ214:BA214" si="442">sum(AN214,AQ214,AT214,AW214)</f>
        <v>0</v>
      </c>
      <c r="BA214" s="1">
        <f t="shared" si="442"/>
        <v>0</v>
      </c>
      <c r="BB214" s="17" t="str">
        <f t="shared" si="20"/>
        <v/>
      </c>
    </row>
    <row r="215">
      <c r="A215" s="1" t="str">
        <f>IFERROR(__xludf.DUMMYFUNCTION("""COMPUTED_VALUE"""),"63ced847c5c820531c268b4f")</f>
        <v>63ced847c5c820531c268b4f</v>
      </c>
      <c r="B215" s="1" t="str">
        <f>IFERROR(__xludf.DUMMYFUNCTION("""COMPUTED_VALUE"""),"HELDELE GmbH")</f>
        <v>HELDELE GmbH</v>
      </c>
      <c r="C215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215" s="1" t="str">
        <f>IFERROR(__xludf.DUMMYFUNCTION("""COMPUTED_VALUE"""),"germany")</f>
        <v>germany</v>
      </c>
      <c r="E215" s="1" t="str">
        <f>IFERROR(__xludf.DUMMYFUNCTION("""COMPUTED_VALUE"""),"DE")</f>
        <v>DE</v>
      </c>
      <c r="F215" s="1" t="str">
        <f>IFERROR(__xludf.DUMMYFUNCTION("""COMPUTED_VALUE"""),"expert_1000")</f>
        <v>expert_1000</v>
      </c>
      <c r="G215" s="1">
        <f>iferror(VLOOKUP(A215,'Business Plan Setup and Accepta'!A:G,6,false),"")</f>
        <v>1</v>
      </c>
      <c r="H215" s="1">
        <f>iferror(VLOOKUP(A215,'Business Plan Setup and Accepta'!A:G,7,false),"")</f>
        <v>1</v>
      </c>
      <c r="I215" s="17">
        <f t="shared" si="3"/>
        <v>1</v>
      </c>
      <c r="J215" s="1">
        <f>IFERROR(VALUE(SUBSTITUTE(VLOOKUP(A215,'Sales IN Revenues vs Sales targ'!A:G,6,false)," $","")), "")
</f>
        <v>1051.95</v>
      </c>
      <c r="K215" s="1">
        <f>IFERROR(VALUE(SUBSTITUTE(VLOOKUP(A215,'Sales IN Revenues vs Sales targ'!A:G,7,false)," $","")), "")
</f>
        <v>2600</v>
      </c>
      <c r="L215" s="17">
        <f t="shared" si="4"/>
        <v>0.4045961538</v>
      </c>
      <c r="M215" s="1">
        <f>value(SUBSTITUTE(IFERROR(VLOOKUP(A215,'Certifications achievements vs '!A:G,6,false),""),"#","")
)</f>
        <v>55</v>
      </c>
      <c r="N215" s="1">
        <f>value(SUBSTITUTE(IFERROR(VLOOKUP(A215,'Certifications achievements vs '!A:G,7,false),""),"#","")
)</f>
        <v>52</v>
      </c>
      <c r="O215" s="17">
        <f t="shared" si="5"/>
        <v>1.057692308</v>
      </c>
      <c r="P215" s="1">
        <f>value(SUBSTITUTE(IFERROR(VLOOKUP(A215,'Communications - Solution Speci'!A:G,6,false),""),"#","")
)</f>
        <v>1</v>
      </c>
      <c r="Q215" s="1">
        <f>value(SUBSTITUTE(IFERROR(VLOOKUP(A215,'Communications - Solution Speci'!A:G,7,false),""),"#","")
)</f>
        <v>1</v>
      </c>
      <c r="R215" s="17">
        <f t="shared" si="6"/>
        <v>1</v>
      </c>
      <c r="S215" s="1">
        <f>value(SUBSTITUTE(IFERROR(VLOOKUP(A215,'Networking - Solution Specializ'!A:G,6,false),""),"#","")
)</f>
        <v>1</v>
      </c>
      <c r="T215" s="1">
        <f>value(SUBSTITUTE(IFERROR(VLOOKUP(A215,'Networking - Solution Specializ'!A:G,7,false),""),"#","")
)</f>
        <v>1</v>
      </c>
      <c r="U215" s="17">
        <f t="shared" si="7"/>
        <v>1</v>
      </c>
      <c r="V215" s="1">
        <f>iferror(vlookup(A215,'Marketing Plan (extract summary'!A:G,6,false),"")</f>
        <v>1</v>
      </c>
      <c r="W215" s="1">
        <f>iferror(vlookup(A215,'Marketing Plan (extract summary'!A:G,7,false),"")</f>
        <v>1</v>
      </c>
      <c r="X215" s="17">
        <f t="shared" si="8"/>
        <v>1</v>
      </c>
      <c r="Y215" s="1">
        <f>value(IFERROR(SUBSTITUTE(SUBSTITUTE(VLOOKUP(A215,'Quarterly Pipeline vs Target Pi'!A:G,6,false)," $","")," €",""), "")
)</f>
        <v>12.02</v>
      </c>
      <c r="Z215" s="1">
        <f>value(IFERROR(SUBSTITUTE(SUBSTITUTE(VLOOKUP(A215,'Quarterly Pipeline vs Target Pi'!A:G,7,false)," $","")," €",""), "")
)</f>
        <v>1689</v>
      </c>
      <c r="AA215" s="17">
        <f t="shared" si="9"/>
        <v>0.007116637063</v>
      </c>
      <c r="AB215" s="1">
        <f>value(IFERROR(SUBSTITUTE(SUBSTITUTE(VLOOKUP($A215,'Quarterly Pipeline vs Target Pi'!$A:$V,11,false)," $","")," €",""), "")
)</f>
        <v>6.41</v>
      </c>
      <c r="AC215" s="1">
        <f>value(IFERROR(SUBSTITUTE(SUBSTITUTE(VLOOKUP($A215,'Quarterly Pipeline vs Target Pi'!$A:$V,12,false)," $","")," €",""), "")
)</f>
        <v>1405.41</v>
      </c>
      <c r="AD215" s="17">
        <f t="shared" si="10"/>
        <v>0.004560946628</v>
      </c>
      <c r="AE215" s="1">
        <f>value(IFERROR(SUBSTITUTE(SUBSTITUTE(VLOOKUP($A215,'Quarterly Pipeline vs Target Pi'!$A:$V,16,false)," $","")," €",""), "")
)</f>
        <v>604.58</v>
      </c>
      <c r="AF215" s="1">
        <f>value(IFERROR(SUBSTITUTE(SUBSTITUTE(VLOOKUP($A215,'Quarterly Pipeline vs Target Pi'!$A:$V,17,false)," $","")," €",""), "")
)</f>
        <v>2108.11</v>
      </c>
      <c r="AG215" s="17">
        <f t="shared" si="11"/>
        <v>0.2867876913</v>
      </c>
      <c r="AH215" s="1">
        <f>value(IFERROR(SUBSTITUTE(SUBSTITUTE(VLOOKUP($A215,'Quarterly Pipeline vs Target Pi'!$A:$V,21,false)," $","")," €",""), "")
)</f>
        <v>1813.96</v>
      </c>
      <c r="AI215" s="1">
        <f>value(IFERROR(SUBSTITUTE(SUBSTITUTE(VLOOKUP($A215,'Quarterly Pipeline vs Target Pi'!$A:$V,22,false)," $","")," €",""), "")
)</f>
        <v>2108.11</v>
      </c>
      <c r="AJ215" s="17">
        <f t="shared" si="12"/>
        <v>0.8604674329</v>
      </c>
      <c r="AK215" s="1">
        <f t="shared" ref="AK215:AL215" si="443">sum(Y215,AB215,AE215,AH215)</f>
        <v>2436.97</v>
      </c>
      <c r="AL215" s="1">
        <f t="shared" si="443"/>
        <v>7310.63</v>
      </c>
      <c r="AM215" s="17">
        <f t="shared" si="14"/>
        <v>0.3333461001</v>
      </c>
      <c r="AN215" s="1">
        <f>value(IFERROR(SUBSTITUTE(SUBSTITUTE(VLOOKUP($A215,'Quarterly Pipeline vs Target Pi'!$A:$AP,26,false)," $","")," €",""), "")
)</f>
        <v>166.36</v>
      </c>
      <c r="AO215" s="1">
        <f>value(IFERROR(SUBSTITUTE(SUBSTITUTE(VLOOKUP($A215,'Quarterly Pipeline vs Target Pi'!$A:$AP,27,false)," $","")," €",""), "")
)</f>
        <v>0</v>
      </c>
      <c r="AP215" s="17" t="str">
        <f t="shared" si="15"/>
        <v/>
      </c>
      <c r="AQ215" s="1">
        <f>value(IFERROR(SUBSTITUTE(SUBSTITUTE(VLOOKUP($A215,'Quarterly Pipeline vs Target Pi'!$A:$AP,31,false)," $","")," €",""), "")
)</f>
        <v>188.37</v>
      </c>
      <c r="AR215" s="1">
        <f>value(IFERROR(SUBSTITUTE(SUBSTITUTE(VLOOKUP($A215,'Quarterly Pipeline vs Target Pi'!$A:$AP,32,false)," $","")," €",""), "")
)</f>
        <v>0</v>
      </c>
      <c r="AS215" s="17" t="str">
        <f t="shared" si="16"/>
        <v/>
      </c>
      <c r="AT215" s="1">
        <f>value(IFERROR(SUBSTITUTE(SUBSTITUTE(VLOOKUP($A215,'Quarterly Pipeline vs Target Pi'!$A:$AP,36,false)," $","")," €",""), "")
)</f>
        <v>23.73</v>
      </c>
      <c r="AU215" s="1">
        <f>value(IFERROR(SUBSTITUTE(SUBSTITUTE(VLOOKUP($A215,'Quarterly Pipeline vs Target Pi'!$A:$AP,37,false)," $","")," €",""), "")
)</f>
        <v>0</v>
      </c>
      <c r="AV215" s="17" t="str">
        <f t="shared" si="17"/>
        <v/>
      </c>
      <c r="AW215" s="1">
        <f>value(IFERROR(SUBSTITUTE(SUBSTITUTE(VLOOKUP($A215,'Quarterly Pipeline vs Target Pi'!$A:$AP,41,false)," $","")," €",""), "")
)</f>
        <v>103.4</v>
      </c>
      <c r="AX215" s="1">
        <f>value(IFERROR(SUBSTITUTE(SUBSTITUTE(VLOOKUP($A215,'Quarterly Pipeline vs Target Pi'!$A:$AP,42,false)," $","")," €",""), "")
)</f>
        <v>0</v>
      </c>
      <c r="AY215" s="17" t="str">
        <f t="shared" si="18"/>
        <v/>
      </c>
      <c r="AZ215" s="1">
        <f t="shared" ref="AZ215:BA215" si="444">sum(AN215,AQ215,AT215,AW215)</f>
        <v>481.86</v>
      </c>
      <c r="BA215" s="1">
        <f t="shared" si="444"/>
        <v>0</v>
      </c>
      <c r="BB215" s="17" t="str">
        <f t="shared" si="20"/>
        <v/>
      </c>
    </row>
    <row r="216">
      <c r="A216" s="1" t="str">
        <f>IFERROR(__xludf.DUMMYFUNCTION("""COMPUTED_VALUE"""),"63ea6e9652ad6968805ceff7")</f>
        <v>63ea6e9652ad6968805ceff7</v>
      </c>
      <c r="B216" s="1" t="str">
        <f>IFERROR(__xludf.DUMMYFUNCTION("""COMPUTED_VALUE"""),"Hero Funk-Technik Telefonanlagen")</f>
        <v>Hero Funk-Technik Telefonanlagen</v>
      </c>
      <c r="C216" s="1" t="str">
        <f>IFERROR(__xludf.DUMMYFUNCTION("""COMPUTED_VALUE"""),"andreas.grossheimann@al-enterprise.com, andre.ramm@al-enterprise.com")</f>
        <v>andreas.grossheimann@al-enterprise.com, andre.ramm@al-enterprise.com</v>
      </c>
      <c r="D216" s="1" t="str">
        <f>IFERROR(__xludf.DUMMYFUNCTION("""COMPUTED_VALUE"""),"germany")</f>
        <v>germany</v>
      </c>
      <c r="E216" s="1" t="str">
        <f>IFERROR(__xludf.DUMMYFUNCTION("""COMPUTED_VALUE"""),"DE")</f>
        <v>DE</v>
      </c>
      <c r="F216" s="1"/>
      <c r="G216" s="1" t="str">
        <f>iferror(VLOOKUP(A216,'Business Plan Setup and Accepta'!A:G,6,false),"")</f>
        <v/>
      </c>
      <c r="H216" s="1" t="str">
        <f>iferror(VLOOKUP(A216,'Business Plan Setup and Accepta'!A:G,7,false),"")</f>
        <v/>
      </c>
      <c r="I216" s="17" t="str">
        <f t="shared" si="3"/>
        <v/>
      </c>
      <c r="J216" s="1" t="str">
        <f>IFERROR(VALUE(SUBSTITUTE(VLOOKUP(A216,'Sales IN Revenues vs Sales targ'!A:G,6,false)," $","")), "")
</f>
        <v/>
      </c>
      <c r="K216" s="1" t="str">
        <f>IFERROR(VALUE(SUBSTITUTE(VLOOKUP(A216,'Sales IN Revenues vs Sales targ'!A:G,7,false)," $","")), "")
</f>
        <v/>
      </c>
      <c r="L216" s="17" t="str">
        <f t="shared" si="4"/>
        <v/>
      </c>
      <c r="M216" s="1">
        <f>value(SUBSTITUTE(IFERROR(VLOOKUP(A216,'Certifications achievements vs '!A:G,6,false),""),"#","")
)</f>
        <v>0</v>
      </c>
      <c r="N216" s="1">
        <f>value(SUBSTITUTE(IFERROR(VLOOKUP(A216,'Certifications achievements vs '!A:G,7,false),""),"#","")
)</f>
        <v>0</v>
      </c>
      <c r="O216" s="17" t="str">
        <f t="shared" si="5"/>
        <v/>
      </c>
      <c r="P216" s="1">
        <f>value(SUBSTITUTE(IFERROR(VLOOKUP(A216,'Communications - Solution Speci'!A:G,6,false),""),"#","")
)</f>
        <v>0</v>
      </c>
      <c r="Q216" s="1">
        <f>value(SUBSTITUTE(IFERROR(VLOOKUP(A216,'Communications - Solution Speci'!A:G,7,false),""),"#","")
)</f>
        <v>0</v>
      </c>
      <c r="R216" s="17" t="str">
        <f t="shared" si="6"/>
        <v/>
      </c>
      <c r="S216" s="1">
        <f>value(SUBSTITUTE(IFERROR(VLOOKUP(A216,'Networking - Solution Specializ'!A:G,6,false),""),"#","")
)</f>
        <v>0</v>
      </c>
      <c r="T216" s="1">
        <f>value(SUBSTITUTE(IFERROR(VLOOKUP(A216,'Networking - Solution Specializ'!A:G,7,false),""),"#","")
)</f>
        <v>0</v>
      </c>
      <c r="U216" s="17" t="str">
        <f t="shared" si="7"/>
        <v/>
      </c>
      <c r="V216" s="1" t="str">
        <f>iferror(vlookup(A216,'Marketing Plan (extract summary'!A:G,6,false),"")</f>
        <v/>
      </c>
      <c r="W216" s="1" t="str">
        <f>iferror(vlookup(A216,'Marketing Plan (extract summary'!A:G,7,false),"")</f>
        <v/>
      </c>
      <c r="X216" s="17" t="str">
        <f t="shared" si="8"/>
        <v/>
      </c>
      <c r="Y216" s="1">
        <f>value(IFERROR(SUBSTITUTE(SUBSTITUTE(VLOOKUP(A216,'Quarterly Pipeline vs Target Pi'!A:G,6,false)," $","")," €",""), "")
)</f>
        <v>0</v>
      </c>
      <c r="Z216" s="1">
        <f>value(IFERROR(SUBSTITUTE(SUBSTITUTE(VLOOKUP(A216,'Quarterly Pipeline vs Target Pi'!A:G,7,false)," $","")," €",""), "")
)</f>
        <v>0</v>
      </c>
      <c r="AA216" s="17" t="str">
        <f t="shared" si="9"/>
        <v/>
      </c>
      <c r="AB216" s="1">
        <f>value(IFERROR(SUBSTITUTE(SUBSTITUTE(VLOOKUP($A216,'Quarterly Pipeline vs Target Pi'!$A:$V,11,false)," $","")," €",""), "")
)</f>
        <v>0</v>
      </c>
      <c r="AC216" s="1">
        <f>value(IFERROR(SUBSTITUTE(SUBSTITUTE(VLOOKUP($A216,'Quarterly Pipeline vs Target Pi'!$A:$V,12,false)," $","")," €",""), "")
)</f>
        <v>0</v>
      </c>
      <c r="AD216" s="17" t="str">
        <f t="shared" si="10"/>
        <v/>
      </c>
      <c r="AE216" s="1">
        <f>value(IFERROR(SUBSTITUTE(SUBSTITUTE(VLOOKUP($A216,'Quarterly Pipeline vs Target Pi'!$A:$V,16,false)," $","")," €",""), "")
)</f>
        <v>0</v>
      </c>
      <c r="AF216" s="1">
        <f>value(IFERROR(SUBSTITUTE(SUBSTITUTE(VLOOKUP($A216,'Quarterly Pipeline vs Target Pi'!$A:$V,17,false)," $","")," €",""), "")
)</f>
        <v>0</v>
      </c>
      <c r="AG216" s="17" t="str">
        <f t="shared" si="11"/>
        <v/>
      </c>
      <c r="AH216" s="1">
        <f>value(IFERROR(SUBSTITUTE(SUBSTITUTE(VLOOKUP($A216,'Quarterly Pipeline vs Target Pi'!$A:$V,21,false)," $","")," €",""), "")
)</f>
        <v>0</v>
      </c>
      <c r="AI216" s="1">
        <f>value(IFERROR(SUBSTITUTE(SUBSTITUTE(VLOOKUP($A216,'Quarterly Pipeline vs Target Pi'!$A:$V,22,false)," $","")," €",""), "")
)</f>
        <v>0</v>
      </c>
      <c r="AJ216" s="17" t="str">
        <f t="shared" si="12"/>
        <v/>
      </c>
      <c r="AK216" s="1">
        <f t="shared" ref="AK216:AL216" si="445">sum(Y216,AB216,AE216,AH216)</f>
        <v>0</v>
      </c>
      <c r="AL216" s="1">
        <f t="shared" si="445"/>
        <v>0</v>
      </c>
      <c r="AM216" s="17" t="str">
        <f t="shared" si="14"/>
        <v/>
      </c>
      <c r="AN216" s="1">
        <f>value(IFERROR(SUBSTITUTE(SUBSTITUTE(VLOOKUP($A216,'Quarterly Pipeline vs Target Pi'!$A:$AP,26,false)," $","")," €",""), "")
)</f>
        <v>0</v>
      </c>
      <c r="AO216" s="1">
        <f>value(IFERROR(SUBSTITUTE(SUBSTITUTE(VLOOKUP($A216,'Quarterly Pipeline vs Target Pi'!$A:$AP,27,false)," $","")," €",""), "")
)</f>
        <v>0</v>
      </c>
      <c r="AP216" s="17" t="str">
        <f t="shared" si="15"/>
        <v/>
      </c>
      <c r="AQ216" s="1">
        <f>value(IFERROR(SUBSTITUTE(SUBSTITUTE(VLOOKUP($A216,'Quarterly Pipeline vs Target Pi'!$A:$AP,31,false)," $","")," €",""), "")
)</f>
        <v>0</v>
      </c>
      <c r="AR216" s="1">
        <f>value(IFERROR(SUBSTITUTE(SUBSTITUTE(VLOOKUP($A216,'Quarterly Pipeline vs Target Pi'!$A:$AP,32,false)," $","")," €",""), "")
)</f>
        <v>0</v>
      </c>
      <c r="AS216" s="17" t="str">
        <f t="shared" si="16"/>
        <v/>
      </c>
      <c r="AT216" s="1">
        <f>value(IFERROR(SUBSTITUTE(SUBSTITUTE(VLOOKUP($A216,'Quarterly Pipeline vs Target Pi'!$A:$AP,36,false)," $","")," €",""), "")
)</f>
        <v>0</v>
      </c>
      <c r="AU216" s="1">
        <f>value(IFERROR(SUBSTITUTE(SUBSTITUTE(VLOOKUP($A216,'Quarterly Pipeline vs Target Pi'!$A:$AP,37,false)," $","")," €",""), "")
)</f>
        <v>0</v>
      </c>
      <c r="AV216" s="17" t="str">
        <f t="shared" si="17"/>
        <v/>
      </c>
      <c r="AW216" s="1">
        <f>value(IFERROR(SUBSTITUTE(SUBSTITUTE(VLOOKUP($A216,'Quarterly Pipeline vs Target Pi'!$A:$AP,41,false)," $","")," €",""), "")
)</f>
        <v>0</v>
      </c>
      <c r="AX216" s="1">
        <f>value(IFERROR(SUBSTITUTE(SUBSTITUTE(VLOOKUP($A216,'Quarterly Pipeline vs Target Pi'!$A:$AP,42,false)," $","")," €",""), "")
)</f>
        <v>0</v>
      </c>
      <c r="AY216" s="17" t="str">
        <f t="shared" si="18"/>
        <v/>
      </c>
      <c r="AZ216" s="1">
        <f t="shared" ref="AZ216:BA216" si="446">sum(AN216,AQ216,AT216,AW216)</f>
        <v>0</v>
      </c>
      <c r="BA216" s="1">
        <f t="shared" si="446"/>
        <v>0</v>
      </c>
      <c r="BB216" s="17" t="str">
        <f t="shared" si="20"/>
        <v/>
      </c>
    </row>
    <row r="217">
      <c r="A217" s="1" t="str">
        <f>IFERROR(__xludf.DUMMYFUNCTION("""COMPUTED_VALUE"""),"63ced841c5c820531c267e20")</f>
        <v>63ced841c5c820531c267e20</v>
      </c>
      <c r="B217" s="1" t="str">
        <f>IFERROR(__xludf.DUMMYFUNCTION("""COMPUTED_VALUE"""),"HITACHI RAIL STS USA, Inc.")</f>
        <v>HITACHI RAIL STS USA, Inc.</v>
      </c>
      <c r="C217" s="1" t="str">
        <f>IFERROR(__xludf.DUMMYFUNCTION("""COMPUTED_VALUE"""),"kyle.stetar@al-enterprise.com")</f>
        <v>kyle.stetar@al-enterprise.com</v>
      </c>
      <c r="D217" s="1" t="str">
        <f>IFERROR(__xludf.DUMMYFUNCTION("""COMPUTED_VALUE"""),"americas")</f>
        <v>americas</v>
      </c>
      <c r="E217" s="1" t="str">
        <f>IFERROR(__xludf.DUMMYFUNCTION("""COMPUTED_VALUE"""),"US")</f>
        <v>US</v>
      </c>
      <c r="F217" s="1"/>
      <c r="G217" s="1" t="str">
        <f>iferror(VLOOKUP(A217,'Business Plan Setup and Accepta'!A:G,6,false),"")</f>
        <v/>
      </c>
      <c r="H217" s="1" t="str">
        <f>iferror(VLOOKUP(A217,'Business Plan Setup and Accepta'!A:G,7,false),"")</f>
        <v/>
      </c>
      <c r="I217" s="17" t="str">
        <f t="shared" si="3"/>
        <v/>
      </c>
      <c r="J217" s="1" t="str">
        <f>IFERROR(VALUE(SUBSTITUTE(VLOOKUP(A217,'Sales IN Revenues vs Sales targ'!A:G,6,false)," $","")), "")
</f>
        <v/>
      </c>
      <c r="K217" s="1" t="str">
        <f>IFERROR(VALUE(SUBSTITUTE(VLOOKUP(A217,'Sales IN Revenues vs Sales targ'!A:G,7,false)," $","")), "")
</f>
        <v/>
      </c>
      <c r="L217" s="17" t="str">
        <f t="shared" si="4"/>
        <v/>
      </c>
      <c r="M217" s="1">
        <f>value(SUBSTITUTE(IFERROR(VLOOKUP(A217,'Certifications achievements vs '!A:G,6,false),""),"#","")
)</f>
        <v>0</v>
      </c>
      <c r="N217" s="1">
        <f>value(SUBSTITUTE(IFERROR(VLOOKUP(A217,'Certifications achievements vs '!A:G,7,false),""),"#","")
)</f>
        <v>0</v>
      </c>
      <c r="O217" s="17" t="str">
        <f t="shared" si="5"/>
        <v/>
      </c>
      <c r="P217" s="1">
        <f>value(SUBSTITUTE(IFERROR(VLOOKUP(A217,'Communications - Solution Speci'!A:G,6,false),""),"#","")
)</f>
        <v>0</v>
      </c>
      <c r="Q217" s="1">
        <f>value(SUBSTITUTE(IFERROR(VLOOKUP(A217,'Communications - Solution Speci'!A:G,7,false),""),"#","")
)</f>
        <v>0</v>
      </c>
      <c r="R217" s="17" t="str">
        <f t="shared" si="6"/>
        <v/>
      </c>
      <c r="S217" s="1">
        <f>value(SUBSTITUTE(IFERROR(VLOOKUP(A217,'Networking - Solution Specializ'!A:G,6,false),""),"#","")
)</f>
        <v>0</v>
      </c>
      <c r="T217" s="1">
        <f>value(SUBSTITUTE(IFERROR(VLOOKUP(A217,'Networking - Solution Specializ'!A:G,7,false),""),"#","")
)</f>
        <v>0</v>
      </c>
      <c r="U217" s="17" t="str">
        <f t="shared" si="7"/>
        <v/>
      </c>
      <c r="V217" s="1" t="str">
        <f>iferror(vlookup(A217,'Marketing Plan (extract summary'!A:G,6,false),"")</f>
        <v/>
      </c>
      <c r="W217" s="1" t="str">
        <f>iferror(vlookup(A217,'Marketing Plan (extract summary'!A:G,7,false),"")</f>
        <v/>
      </c>
      <c r="X217" s="17" t="str">
        <f t="shared" si="8"/>
        <v/>
      </c>
      <c r="Y217" s="1">
        <f>value(IFERROR(SUBSTITUTE(SUBSTITUTE(VLOOKUP(A217,'Quarterly Pipeline vs Target Pi'!A:G,6,false)," $","")," €",""), "")
)</f>
        <v>0</v>
      </c>
      <c r="Z217" s="1">
        <f>value(IFERROR(SUBSTITUTE(SUBSTITUTE(VLOOKUP(A217,'Quarterly Pipeline vs Target Pi'!A:G,7,false)," $","")," €",""), "")
)</f>
        <v>0</v>
      </c>
      <c r="AA217" s="17" t="str">
        <f t="shared" si="9"/>
        <v/>
      </c>
      <c r="AB217" s="1">
        <f>value(IFERROR(SUBSTITUTE(SUBSTITUTE(VLOOKUP($A217,'Quarterly Pipeline vs Target Pi'!$A:$V,11,false)," $","")," €",""), "")
)</f>
        <v>0</v>
      </c>
      <c r="AC217" s="1">
        <f>value(IFERROR(SUBSTITUTE(SUBSTITUTE(VLOOKUP($A217,'Quarterly Pipeline vs Target Pi'!$A:$V,12,false)," $","")," €",""), "")
)</f>
        <v>0</v>
      </c>
      <c r="AD217" s="17" t="str">
        <f t="shared" si="10"/>
        <v/>
      </c>
      <c r="AE217" s="1">
        <f>value(IFERROR(SUBSTITUTE(SUBSTITUTE(VLOOKUP($A217,'Quarterly Pipeline vs Target Pi'!$A:$V,16,false)," $","")," €",""), "")
)</f>
        <v>0</v>
      </c>
      <c r="AF217" s="1">
        <f>value(IFERROR(SUBSTITUTE(SUBSTITUTE(VLOOKUP($A217,'Quarterly Pipeline vs Target Pi'!$A:$V,17,false)," $","")," €",""), "")
)</f>
        <v>0</v>
      </c>
      <c r="AG217" s="17" t="str">
        <f t="shared" si="11"/>
        <v/>
      </c>
      <c r="AH217" s="1">
        <f>value(IFERROR(SUBSTITUTE(SUBSTITUTE(VLOOKUP($A217,'Quarterly Pipeline vs Target Pi'!$A:$V,21,false)," $","")," €",""), "")
)</f>
        <v>0</v>
      </c>
      <c r="AI217" s="1">
        <f>value(IFERROR(SUBSTITUTE(SUBSTITUTE(VLOOKUP($A217,'Quarterly Pipeline vs Target Pi'!$A:$V,22,false)," $","")," €",""), "")
)</f>
        <v>0</v>
      </c>
      <c r="AJ217" s="17" t="str">
        <f t="shared" si="12"/>
        <v/>
      </c>
      <c r="AK217" s="1">
        <f t="shared" ref="AK217:AL217" si="447">sum(Y217,AB217,AE217,AH217)</f>
        <v>0</v>
      </c>
      <c r="AL217" s="1">
        <f t="shared" si="447"/>
        <v>0</v>
      </c>
      <c r="AM217" s="17" t="str">
        <f t="shared" si="14"/>
        <v/>
      </c>
      <c r="AN217" s="1">
        <f>value(IFERROR(SUBSTITUTE(SUBSTITUTE(VLOOKUP($A217,'Quarterly Pipeline vs Target Pi'!$A:$AP,26,false)," $","")," €",""), "")
)</f>
        <v>0</v>
      </c>
      <c r="AO217" s="1">
        <f>value(IFERROR(SUBSTITUTE(SUBSTITUTE(VLOOKUP($A217,'Quarterly Pipeline vs Target Pi'!$A:$AP,27,false)," $","")," €",""), "")
)</f>
        <v>0</v>
      </c>
      <c r="AP217" s="17" t="str">
        <f t="shared" si="15"/>
        <v/>
      </c>
      <c r="AQ217" s="1">
        <f>value(IFERROR(SUBSTITUTE(SUBSTITUTE(VLOOKUP($A217,'Quarterly Pipeline vs Target Pi'!$A:$AP,31,false)," $","")," €",""), "")
)</f>
        <v>0</v>
      </c>
      <c r="AR217" s="1">
        <f>value(IFERROR(SUBSTITUTE(SUBSTITUTE(VLOOKUP($A217,'Quarterly Pipeline vs Target Pi'!$A:$AP,32,false)," $","")," €",""), "")
)</f>
        <v>0</v>
      </c>
      <c r="AS217" s="17" t="str">
        <f t="shared" si="16"/>
        <v/>
      </c>
      <c r="AT217" s="1">
        <f>value(IFERROR(SUBSTITUTE(SUBSTITUTE(VLOOKUP($A217,'Quarterly Pipeline vs Target Pi'!$A:$AP,36,false)," $","")," €",""), "")
)</f>
        <v>0</v>
      </c>
      <c r="AU217" s="1">
        <f>value(IFERROR(SUBSTITUTE(SUBSTITUTE(VLOOKUP($A217,'Quarterly Pipeline vs Target Pi'!$A:$AP,37,false)," $","")," €",""), "")
)</f>
        <v>0</v>
      </c>
      <c r="AV217" s="17" t="str">
        <f t="shared" si="17"/>
        <v/>
      </c>
      <c r="AW217" s="1">
        <f>value(IFERROR(SUBSTITUTE(SUBSTITUTE(VLOOKUP($A217,'Quarterly Pipeline vs Target Pi'!$A:$AP,41,false)," $","")," €",""), "")
)</f>
        <v>0</v>
      </c>
      <c r="AX217" s="1">
        <f>value(IFERROR(SUBSTITUTE(SUBSTITUTE(VLOOKUP($A217,'Quarterly Pipeline vs Target Pi'!$A:$AP,42,false)," $","")," €",""), "")
)</f>
        <v>0</v>
      </c>
      <c r="AY217" s="17" t="str">
        <f t="shared" si="18"/>
        <v/>
      </c>
      <c r="AZ217" s="1">
        <f t="shared" ref="AZ217:BA217" si="448">sum(AN217,AQ217,AT217,AW217)</f>
        <v>0</v>
      </c>
      <c r="BA217" s="1">
        <f t="shared" si="448"/>
        <v>0</v>
      </c>
      <c r="BB217" s="17" t="str">
        <f t="shared" si="20"/>
        <v/>
      </c>
    </row>
    <row r="218">
      <c r="A218" s="1" t="str">
        <f>IFERROR(__xludf.DUMMYFUNCTION("""COMPUTED_VALUE"""),"63ced847c5c820531c2689ba")</f>
        <v>63ced847c5c820531c2689ba</v>
      </c>
      <c r="B218" s="1" t="str">
        <f>IFERROR(__xludf.DUMMYFUNCTION("""COMPUTED_VALUE"""),"HOC House of Communication")</f>
        <v>HOC House of Communication</v>
      </c>
      <c r="C218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218" s="1" t="str">
        <f>IFERROR(__xludf.DUMMYFUNCTION("""COMPUTED_VALUE"""),"germany")</f>
        <v>germany</v>
      </c>
      <c r="E218" s="1" t="str">
        <f>IFERROR(__xludf.DUMMYFUNCTION("""COMPUTED_VALUE"""),"DE")</f>
        <v>DE</v>
      </c>
      <c r="F218" s="1" t="str">
        <f>IFERROR(__xludf.DUMMYFUNCTION("""COMPUTED_VALUE"""),"expert_1000")</f>
        <v>expert_1000</v>
      </c>
      <c r="G218" s="1">
        <f>iferror(VLOOKUP(A218,'Business Plan Setup and Accepta'!A:G,6,false),"")</f>
        <v>1</v>
      </c>
      <c r="H218" s="1">
        <f>iferror(VLOOKUP(A218,'Business Plan Setup and Accepta'!A:G,7,false),"")</f>
        <v>1</v>
      </c>
      <c r="I218" s="17">
        <f t="shared" si="3"/>
        <v>1</v>
      </c>
      <c r="J218" s="1">
        <f>IFERROR(VALUE(SUBSTITUTE(VLOOKUP(A218,'Sales IN Revenues vs Sales targ'!A:G,6,false)," $","")), "")
</f>
        <v>480.36</v>
      </c>
      <c r="K218" s="1">
        <f>IFERROR(VALUE(SUBSTITUTE(VLOOKUP(A218,'Sales IN Revenues vs Sales targ'!A:G,7,false)," $","")), "")
</f>
        <v>1060</v>
      </c>
      <c r="L218" s="17">
        <f t="shared" si="4"/>
        <v>0.4531698113</v>
      </c>
      <c r="M218" s="1">
        <f>value(SUBSTITUTE(IFERROR(VLOOKUP(A218,'Certifications achievements vs '!A:G,6,false),""),"#","")
)</f>
        <v>33</v>
      </c>
      <c r="N218" s="1">
        <f>value(SUBSTITUTE(IFERROR(VLOOKUP(A218,'Certifications achievements vs '!A:G,7,false),""),"#","")
)</f>
        <v>52</v>
      </c>
      <c r="O218" s="17">
        <f t="shared" si="5"/>
        <v>0.6346153846</v>
      </c>
      <c r="P218" s="1">
        <f>value(SUBSTITUTE(IFERROR(VLOOKUP(A218,'Communications - Solution Speci'!A:G,6,false),""),"#","")
)</f>
        <v>1</v>
      </c>
      <c r="Q218" s="1">
        <f>value(SUBSTITUTE(IFERROR(VLOOKUP(A218,'Communications - Solution Speci'!A:G,7,false),""),"#","")
)</f>
        <v>1</v>
      </c>
      <c r="R218" s="17">
        <f t="shared" si="6"/>
        <v>1</v>
      </c>
      <c r="S218" s="1">
        <f>value(SUBSTITUTE(IFERROR(VLOOKUP(A218,'Networking - Solution Specializ'!A:G,6,false),""),"#","")
)</f>
        <v>0</v>
      </c>
      <c r="T218" s="1">
        <f>value(SUBSTITUTE(IFERROR(VLOOKUP(A218,'Networking - Solution Specializ'!A:G,7,false),""),"#","")
)</f>
        <v>1</v>
      </c>
      <c r="U218" s="17">
        <f t="shared" si="7"/>
        <v>0</v>
      </c>
      <c r="V218" s="1">
        <f>iferror(vlookup(A218,'Marketing Plan (extract summary'!A:G,6,false),"")</f>
        <v>1</v>
      </c>
      <c r="W218" s="1">
        <f>iferror(vlookup(A218,'Marketing Plan (extract summary'!A:G,7,false),"")</f>
        <v>1</v>
      </c>
      <c r="X218" s="17">
        <f t="shared" si="8"/>
        <v>1</v>
      </c>
      <c r="Y218" s="1">
        <f>value(IFERROR(SUBSTITUTE(SUBSTITUTE(VLOOKUP(A218,'Quarterly Pipeline vs Target Pi'!A:G,6,false)," $","")," €",""), "")
)</f>
        <v>13.33</v>
      </c>
      <c r="Z218" s="1">
        <f>value(IFERROR(SUBSTITUTE(SUBSTITUTE(VLOOKUP(A218,'Quarterly Pipeline vs Target Pi'!A:G,7,false)," $","")," €",""), "")
)</f>
        <v>0</v>
      </c>
      <c r="AA218" s="17" t="str">
        <f t="shared" si="9"/>
        <v/>
      </c>
      <c r="AB218" s="1">
        <f>value(IFERROR(SUBSTITUTE(SUBSTITUTE(VLOOKUP($A218,'Quarterly Pipeline vs Target Pi'!$A:$V,11,false)," $","")," €",""), "")
)</f>
        <v>42.89</v>
      </c>
      <c r="AC218" s="1">
        <f>value(IFERROR(SUBSTITUTE(SUBSTITUTE(VLOOKUP($A218,'Quarterly Pipeline vs Target Pi'!$A:$V,12,false)," $","")," €",""), "")
)</f>
        <v>623.53</v>
      </c>
      <c r="AD218" s="17">
        <f t="shared" si="10"/>
        <v>0.06878578416</v>
      </c>
      <c r="AE218" s="1">
        <f>value(IFERROR(SUBSTITUTE(SUBSTITUTE(VLOOKUP($A218,'Quarterly Pipeline vs Target Pi'!$A:$V,16,false)," $","")," €",""), "")
)</f>
        <v>212.38</v>
      </c>
      <c r="AF218" s="1">
        <f>value(IFERROR(SUBSTITUTE(SUBSTITUTE(VLOOKUP($A218,'Quarterly Pipeline vs Target Pi'!$A:$V,17,false)," $","")," €",""), "")
)</f>
        <v>935.29</v>
      </c>
      <c r="AG218" s="17">
        <f t="shared" si="11"/>
        <v>0.2270739557</v>
      </c>
      <c r="AH218" s="1">
        <f>value(IFERROR(SUBSTITUTE(SUBSTITUTE(VLOOKUP($A218,'Quarterly Pipeline vs Target Pi'!$A:$V,21,false)," $","")," €",""), "")
)</f>
        <v>1570.66</v>
      </c>
      <c r="AI218" s="1">
        <f>value(IFERROR(SUBSTITUTE(SUBSTITUTE(VLOOKUP($A218,'Quarterly Pipeline vs Target Pi'!$A:$V,22,false)," $","")," €",""), "")
)</f>
        <v>935.29</v>
      </c>
      <c r="AJ218" s="17">
        <f t="shared" si="12"/>
        <v>1.679329406</v>
      </c>
      <c r="AK218" s="1">
        <f t="shared" ref="AK218:AL218" si="449">sum(Y218,AB218,AE218,AH218)</f>
        <v>1839.26</v>
      </c>
      <c r="AL218" s="1">
        <f t="shared" si="449"/>
        <v>2494.11</v>
      </c>
      <c r="AM218" s="17">
        <f t="shared" si="14"/>
        <v>0.737441412</v>
      </c>
      <c r="AN218" s="1">
        <f>value(IFERROR(SUBSTITUTE(SUBSTITUTE(VLOOKUP($A218,'Quarterly Pipeline vs Target Pi'!$A:$AP,26,false)," $","")," €",""), "")
)</f>
        <v>19.98</v>
      </c>
      <c r="AO218" s="1">
        <f>value(IFERROR(SUBSTITUTE(SUBSTITUTE(VLOOKUP($A218,'Quarterly Pipeline vs Target Pi'!$A:$AP,27,false)," $","")," €",""), "")
)</f>
        <v>0</v>
      </c>
      <c r="AP218" s="17" t="str">
        <f t="shared" si="15"/>
        <v/>
      </c>
      <c r="AQ218" s="1">
        <f>value(IFERROR(SUBSTITUTE(SUBSTITUTE(VLOOKUP($A218,'Quarterly Pipeline vs Target Pi'!$A:$AP,31,false)," $","")," €",""), "")
)</f>
        <v>29.15</v>
      </c>
      <c r="AR218" s="1">
        <f>value(IFERROR(SUBSTITUTE(SUBSTITUTE(VLOOKUP($A218,'Quarterly Pipeline vs Target Pi'!$A:$AP,32,false)," $","")," €",""), "")
)</f>
        <v>0</v>
      </c>
      <c r="AS218" s="17" t="str">
        <f t="shared" si="16"/>
        <v/>
      </c>
      <c r="AT218" s="1">
        <f>value(IFERROR(SUBSTITUTE(SUBSTITUTE(VLOOKUP($A218,'Quarterly Pipeline vs Target Pi'!$A:$AP,36,false)," $","")," €",""), "")
)</f>
        <v>4.46</v>
      </c>
      <c r="AU218" s="1">
        <f>value(IFERROR(SUBSTITUTE(SUBSTITUTE(VLOOKUP($A218,'Quarterly Pipeline vs Target Pi'!$A:$AP,37,false)," $","")," €",""), "")
)</f>
        <v>0</v>
      </c>
      <c r="AV218" s="17" t="str">
        <f t="shared" si="17"/>
        <v/>
      </c>
      <c r="AW218" s="1">
        <f>value(IFERROR(SUBSTITUTE(SUBSTITUTE(VLOOKUP($A218,'Quarterly Pipeline vs Target Pi'!$A:$AP,41,false)," $","")," €",""), "")
)</f>
        <v>83.05</v>
      </c>
      <c r="AX218" s="1">
        <f>value(IFERROR(SUBSTITUTE(SUBSTITUTE(VLOOKUP($A218,'Quarterly Pipeline vs Target Pi'!$A:$AP,42,false)," $","")," €",""), "")
)</f>
        <v>0</v>
      </c>
      <c r="AY218" s="17" t="str">
        <f t="shared" si="18"/>
        <v/>
      </c>
      <c r="AZ218" s="1">
        <f t="shared" ref="AZ218:BA218" si="450">sum(AN218,AQ218,AT218,AW218)</f>
        <v>136.64</v>
      </c>
      <c r="BA218" s="1">
        <f t="shared" si="450"/>
        <v>0</v>
      </c>
      <c r="BB218" s="17" t="str">
        <f t="shared" si="20"/>
        <v/>
      </c>
    </row>
    <row r="219">
      <c r="A219" s="1" t="str">
        <f>IFERROR(__xludf.DUMMYFUNCTION("""COMPUTED_VALUE"""),"67a4e284ae6a5d263d03c692")</f>
        <v>67a4e284ae6a5d263d03c692</v>
      </c>
      <c r="B219" s="1" t="str">
        <f>IFERROR(__xludf.DUMMYFUNCTION("""COMPUTED_VALUE"""),"Howard Industries, Inc.")</f>
        <v>Howard Industries, Inc.</v>
      </c>
      <c r="C219" s="1" t="str">
        <f>IFERROR(__xludf.DUMMYFUNCTION("""COMPUTED_VALUE"""),"bill.rademacher@al-enterprise.com")</f>
        <v>bill.rademacher@al-enterprise.com</v>
      </c>
      <c r="D219" s="1" t="str">
        <f>IFERROR(__xludf.DUMMYFUNCTION("""COMPUTED_VALUE"""),"americas")</f>
        <v>americas</v>
      </c>
      <c r="E219" s="1" t="str">
        <f>IFERROR(__xludf.DUMMYFUNCTION("""COMPUTED_VALUE"""),"US")</f>
        <v>US</v>
      </c>
      <c r="F219" s="1" t="str">
        <f>IFERROR(__xludf.DUMMYFUNCTION("""COMPUTED_VALUE"""),"expert_200")</f>
        <v>expert_200</v>
      </c>
      <c r="G219" s="1">
        <f>iferror(VLOOKUP(A219,'Business Plan Setup and Accepta'!A:G,6,false),"")</f>
        <v>0</v>
      </c>
      <c r="H219" s="1">
        <f>iferror(VLOOKUP(A219,'Business Plan Setup and Accepta'!A:G,7,false),"")</f>
        <v>1</v>
      </c>
      <c r="I219" s="17">
        <f t="shared" si="3"/>
        <v>0</v>
      </c>
      <c r="J219" s="1">
        <f>IFERROR(VALUE(SUBSTITUTE(VLOOKUP(A219,'Sales IN Revenues vs Sales targ'!A:G,6,false)," $","")), "")
</f>
        <v>0</v>
      </c>
      <c r="K219" s="1">
        <f>IFERROR(VALUE(SUBSTITUTE(VLOOKUP(A219,'Sales IN Revenues vs Sales targ'!A:G,7,false)," $","")), "")
</f>
        <v>0</v>
      </c>
      <c r="L219" s="17" t="str">
        <f t="shared" si="4"/>
        <v/>
      </c>
      <c r="M219" s="1">
        <f>value(SUBSTITUTE(IFERROR(VLOOKUP(A219,'Certifications achievements vs '!A:G,6,false),""),"#","")
)</f>
        <v>0</v>
      </c>
      <c r="N219" s="1">
        <f>value(SUBSTITUTE(IFERROR(VLOOKUP(A219,'Certifications achievements vs '!A:G,7,false),""),"#","")
)</f>
        <v>0</v>
      </c>
      <c r="O219" s="17" t="str">
        <f t="shared" si="5"/>
        <v/>
      </c>
      <c r="P219" s="1">
        <f>value(SUBSTITUTE(IFERROR(VLOOKUP(A219,'Communications - Solution Speci'!A:G,6,false),""),"#","")
)</f>
        <v>0</v>
      </c>
      <c r="Q219" s="1">
        <f>value(SUBSTITUTE(IFERROR(VLOOKUP(A219,'Communications - Solution Speci'!A:G,7,false),""),"#","")
)</f>
        <v>1</v>
      </c>
      <c r="R219" s="17">
        <f t="shared" si="6"/>
        <v>0</v>
      </c>
      <c r="S219" s="1">
        <f>value(SUBSTITUTE(IFERROR(VLOOKUP(A219,'Networking - Solution Specializ'!A:G,6,false),""),"#","")
)</f>
        <v>0</v>
      </c>
      <c r="T219" s="1">
        <f>value(SUBSTITUTE(IFERROR(VLOOKUP(A219,'Networking - Solution Specializ'!A:G,7,false),""),"#","")
)</f>
        <v>1</v>
      </c>
      <c r="U219" s="17">
        <f t="shared" si="7"/>
        <v>0</v>
      </c>
      <c r="V219" s="1">
        <f>iferror(vlookup(A219,'Marketing Plan (extract summary'!A:G,6,false),"")</f>
        <v>0</v>
      </c>
      <c r="W219" s="1">
        <f>iferror(vlookup(A219,'Marketing Plan (extract summary'!A:G,7,false),"")</f>
        <v>1</v>
      </c>
      <c r="X219" s="17">
        <f t="shared" si="8"/>
        <v>0</v>
      </c>
      <c r="Y219" s="1">
        <f>value(IFERROR(SUBSTITUTE(SUBSTITUTE(VLOOKUP(A219,'Quarterly Pipeline vs Target Pi'!A:G,6,false)," $","")," €",""), "")
)</f>
        <v>0</v>
      </c>
      <c r="Z219" s="1">
        <f>value(IFERROR(SUBSTITUTE(SUBSTITUTE(VLOOKUP(A219,'Quarterly Pipeline vs Target Pi'!A:G,7,false)," $","")," €",""), "")
)</f>
        <v>0</v>
      </c>
      <c r="AA219" s="17" t="str">
        <f t="shared" si="9"/>
        <v/>
      </c>
      <c r="AB219" s="1">
        <f>value(IFERROR(SUBSTITUTE(SUBSTITUTE(VLOOKUP($A219,'Quarterly Pipeline vs Target Pi'!$A:$V,11,false)," $","")," €",""), "")
)</f>
        <v>34.05</v>
      </c>
      <c r="AC219" s="1">
        <f>value(IFERROR(SUBSTITUTE(SUBSTITUTE(VLOOKUP($A219,'Quarterly Pipeline vs Target Pi'!$A:$V,12,false)," $","")," €",""), "")
)</f>
        <v>0</v>
      </c>
      <c r="AD219" s="17" t="str">
        <f t="shared" si="10"/>
        <v/>
      </c>
      <c r="AE219" s="1">
        <f>value(IFERROR(SUBSTITUTE(SUBSTITUTE(VLOOKUP($A219,'Quarterly Pipeline vs Target Pi'!$A:$V,16,false)," $","")," €",""), "")
)</f>
        <v>128.01</v>
      </c>
      <c r="AF219" s="1">
        <f>value(IFERROR(SUBSTITUTE(SUBSTITUTE(VLOOKUP($A219,'Quarterly Pipeline vs Target Pi'!$A:$V,17,false)," $","")," €",""), "")
)</f>
        <v>0</v>
      </c>
      <c r="AG219" s="17" t="str">
        <f t="shared" si="11"/>
        <v/>
      </c>
      <c r="AH219" s="1">
        <f>value(IFERROR(SUBSTITUTE(SUBSTITUTE(VLOOKUP($A219,'Quarterly Pipeline vs Target Pi'!$A:$V,21,false)," $","")," €",""), "")
)</f>
        <v>128.01</v>
      </c>
      <c r="AI219" s="1">
        <f>value(IFERROR(SUBSTITUTE(SUBSTITUTE(VLOOKUP($A219,'Quarterly Pipeline vs Target Pi'!$A:$V,22,false)," $","")," €",""), "")
)</f>
        <v>0</v>
      </c>
      <c r="AJ219" s="17" t="str">
        <f t="shared" si="12"/>
        <v/>
      </c>
      <c r="AK219" s="1">
        <f t="shared" ref="AK219:AL219" si="451">sum(Y219,AB219,AE219,AH219)</f>
        <v>290.07</v>
      </c>
      <c r="AL219" s="1">
        <f t="shared" si="451"/>
        <v>0</v>
      </c>
      <c r="AM219" s="17" t="str">
        <f t="shared" si="14"/>
        <v/>
      </c>
      <c r="AN219" s="1">
        <f>value(IFERROR(SUBSTITUTE(SUBSTITUTE(VLOOKUP($A219,'Quarterly Pipeline vs Target Pi'!$A:$AP,26,false)," $","")," €",""), "")
)</f>
        <v>0</v>
      </c>
      <c r="AO219" s="1">
        <f>value(IFERROR(SUBSTITUTE(SUBSTITUTE(VLOOKUP($A219,'Quarterly Pipeline vs Target Pi'!$A:$AP,27,false)," $","")," €",""), "")
)</f>
        <v>0</v>
      </c>
      <c r="AP219" s="17" t="str">
        <f t="shared" si="15"/>
        <v/>
      </c>
      <c r="AQ219" s="1">
        <f>value(IFERROR(SUBSTITUTE(SUBSTITUTE(VLOOKUP($A219,'Quarterly Pipeline vs Target Pi'!$A:$AP,31,false)," $","")," €",""), "")
)</f>
        <v>0</v>
      </c>
      <c r="AR219" s="1">
        <f>value(IFERROR(SUBSTITUTE(SUBSTITUTE(VLOOKUP($A219,'Quarterly Pipeline vs Target Pi'!$A:$AP,32,false)," $","")," €",""), "")
)</f>
        <v>0</v>
      </c>
      <c r="AS219" s="17" t="str">
        <f t="shared" si="16"/>
        <v/>
      </c>
      <c r="AT219" s="1">
        <f>value(IFERROR(SUBSTITUTE(SUBSTITUTE(VLOOKUP($A219,'Quarterly Pipeline vs Target Pi'!$A:$AP,36,false)," $","")," €",""), "")
)</f>
        <v>0</v>
      </c>
      <c r="AU219" s="1">
        <f>value(IFERROR(SUBSTITUTE(SUBSTITUTE(VLOOKUP($A219,'Quarterly Pipeline vs Target Pi'!$A:$AP,37,false)," $","")," €",""), "")
)</f>
        <v>0</v>
      </c>
      <c r="AV219" s="17" t="str">
        <f t="shared" si="17"/>
        <v/>
      </c>
      <c r="AW219" s="1">
        <f>value(IFERROR(SUBSTITUTE(SUBSTITUTE(VLOOKUP($A219,'Quarterly Pipeline vs Target Pi'!$A:$AP,41,false)," $","")," €",""), "")
)</f>
        <v>0</v>
      </c>
      <c r="AX219" s="1">
        <f>value(IFERROR(SUBSTITUTE(SUBSTITUTE(VLOOKUP($A219,'Quarterly Pipeline vs Target Pi'!$A:$AP,42,false)," $","")," €",""), "")
)</f>
        <v>0</v>
      </c>
      <c r="AY219" s="17" t="str">
        <f t="shared" si="18"/>
        <v/>
      </c>
      <c r="AZ219" s="1">
        <f t="shared" ref="AZ219:BA219" si="452">sum(AN219,AQ219,AT219,AW219)</f>
        <v>0</v>
      </c>
      <c r="BA219" s="1">
        <f t="shared" si="452"/>
        <v>0</v>
      </c>
      <c r="BB219" s="17" t="str">
        <f t="shared" si="20"/>
        <v/>
      </c>
    </row>
    <row r="220">
      <c r="A220" s="1" t="str">
        <f>IFERROR(__xludf.DUMMYFUNCTION("""COMPUTED_VALUE"""),"63ced847c5c820531c268b6d")</f>
        <v>63ced847c5c820531c268b6d</v>
      </c>
      <c r="B220" s="1" t="str">
        <f>IFERROR(__xludf.DUMMYFUNCTION("""COMPUTED_VALUE"""),"Huber &amp; Feneberg GmbH")</f>
        <v>Huber &amp; Feneberg GmbH</v>
      </c>
      <c r="C220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220" s="1" t="str">
        <f>IFERROR(__xludf.DUMMYFUNCTION("""COMPUTED_VALUE"""),"germany")</f>
        <v>germany</v>
      </c>
      <c r="E220" s="1" t="str">
        <f>IFERROR(__xludf.DUMMYFUNCTION("""COMPUTED_VALUE"""),"DE")</f>
        <v>DE</v>
      </c>
      <c r="F220" s="1" t="str">
        <f>IFERROR(__xludf.DUMMYFUNCTION("""COMPUTED_VALUE"""),"expert_1000")</f>
        <v>expert_1000</v>
      </c>
      <c r="G220" s="1">
        <f>iferror(VLOOKUP(A220,'Business Plan Setup and Accepta'!A:G,6,false),"")</f>
        <v>0</v>
      </c>
      <c r="H220" s="1">
        <f>iferror(VLOOKUP(A220,'Business Plan Setup and Accepta'!A:G,7,false),"")</f>
        <v>1</v>
      </c>
      <c r="I220" s="17">
        <f t="shared" si="3"/>
        <v>0</v>
      </c>
      <c r="J220" s="1">
        <f>IFERROR(VALUE(SUBSTITUTE(VLOOKUP(A220,'Sales IN Revenues vs Sales targ'!A:G,6,false)," $","")), "")
</f>
        <v>972.91</v>
      </c>
      <c r="K220" s="1">
        <f>IFERROR(VALUE(SUBSTITUTE(VLOOKUP(A220,'Sales IN Revenues vs Sales targ'!A:G,7,false)," $","")), "")
</f>
        <v>2500</v>
      </c>
      <c r="L220" s="17">
        <f t="shared" si="4"/>
        <v>0.389164</v>
      </c>
      <c r="M220" s="1">
        <f>value(SUBSTITUTE(IFERROR(VLOOKUP(A220,'Certifications achievements vs '!A:G,6,false),""),"#","")
)</f>
        <v>52</v>
      </c>
      <c r="N220" s="1">
        <f>value(SUBSTITUTE(IFERROR(VLOOKUP(A220,'Certifications achievements vs '!A:G,7,false),""),"#","")
)</f>
        <v>55</v>
      </c>
      <c r="O220" s="17">
        <f t="shared" si="5"/>
        <v>0.9454545455</v>
      </c>
      <c r="P220" s="1">
        <f>value(SUBSTITUTE(IFERROR(VLOOKUP(A220,'Communications - Solution Speci'!A:G,6,false),""),"#","")
)</f>
        <v>1</v>
      </c>
      <c r="Q220" s="1">
        <f>value(SUBSTITUTE(IFERROR(VLOOKUP(A220,'Communications - Solution Speci'!A:G,7,false),""),"#","")
)</f>
        <v>1</v>
      </c>
      <c r="R220" s="17">
        <f t="shared" si="6"/>
        <v>1</v>
      </c>
      <c r="S220" s="1">
        <f>value(SUBSTITUTE(IFERROR(VLOOKUP(A220,'Networking - Solution Specializ'!A:G,6,false),""),"#","")
)</f>
        <v>1</v>
      </c>
      <c r="T220" s="1">
        <f>value(SUBSTITUTE(IFERROR(VLOOKUP(A220,'Networking - Solution Specializ'!A:G,7,false),""),"#","")
)</f>
        <v>1</v>
      </c>
      <c r="U220" s="17">
        <f t="shared" si="7"/>
        <v>1</v>
      </c>
      <c r="V220" s="1">
        <f>iferror(vlookup(A220,'Marketing Plan (extract summary'!A:G,6,false),"")</f>
        <v>0</v>
      </c>
      <c r="W220" s="1">
        <f>iferror(vlookup(A220,'Marketing Plan (extract summary'!A:G,7,false),"")</f>
        <v>1</v>
      </c>
      <c r="X220" s="17">
        <f t="shared" si="8"/>
        <v>0</v>
      </c>
      <c r="Y220" s="1">
        <f>value(IFERROR(SUBSTITUTE(SUBSTITUTE(VLOOKUP(A220,'Quarterly Pipeline vs Target Pi'!A:G,6,false)," $","")," €",""), "")
)</f>
        <v>11.93</v>
      </c>
      <c r="Z220" s="1">
        <f>value(IFERROR(SUBSTITUTE(SUBSTITUTE(VLOOKUP(A220,'Quarterly Pipeline vs Target Pi'!A:G,7,false)," $","")," €",""), "")
)</f>
        <v>0</v>
      </c>
      <c r="AA220" s="17" t="str">
        <f t="shared" si="9"/>
        <v/>
      </c>
      <c r="AB220" s="1">
        <f>value(IFERROR(SUBSTITUTE(SUBSTITUTE(VLOOKUP($A220,'Quarterly Pipeline vs Target Pi'!$A:$V,11,false)," $","")," €",""), "")
)</f>
        <v>0.69</v>
      </c>
      <c r="AC220" s="1">
        <f>value(IFERROR(SUBSTITUTE(SUBSTITUTE(VLOOKUP($A220,'Quarterly Pipeline vs Target Pi'!$A:$V,12,false)," $","")," €",""), "")
)</f>
        <v>772.31</v>
      </c>
      <c r="AD220" s="17">
        <f t="shared" si="10"/>
        <v>0.0008934236252</v>
      </c>
      <c r="AE220" s="1">
        <f>value(IFERROR(SUBSTITUTE(SUBSTITUTE(VLOOKUP($A220,'Quarterly Pipeline vs Target Pi'!$A:$V,16,false)," $","")," €",""), "")
)</f>
        <v>301.35</v>
      </c>
      <c r="AF220" s="1">
        <f>value(IFERROR(SUBSTITUTE(SUBSTITUTE(VLOOKUP($A220,'Quarterly Pipeline vs Target Pi'!$A:$V,17,false)," $","")," €",""), "")
)</f>
        <v>1150.77</v>
      </c>
      <c r="AG220" s="17">
        <f t="shared" si="11"/>
        <v>0.2618681405</v>
      </c>
      <c r="AH220" s="1">
        <f>value(IFERROR(SUBSTITUTE(SUBSTITUTE(VLOOKUP($A220,'Quarterly Pipeline vs Target Pi'!$A:$V,21,false)," $","")," €",""), "")
)</f>
        <v>1554.98</v>
      </c>
      <c r="AI220" s="1">
        <f>value(IFERROR(SUBSTITUTE(SUBSTITUTE(VLOOKUP($A220,'Quarterly Pipeline vs Target Pi'!$A:$V,22,false)," $","")," €",""), "")
)</f>
        <v>1150.77</v>
      </c>
      <c r="AJ220" s="17">
        <f t="shared" si="12"/>
        <v>1.351251771</v>
      </c>
      <c r="AK220" s="1">
        <f t="shared" ref="AK220:AL220" si="453">sum(Y220,AB220,AE220,AH220)</f>
        <v>1868.95</v>
      </c>
      <c r="AL220" s="1">
        <f t="shared" si="453"/>
        <v>3073.85</v>
      </c>
      <c r="AM220" s="17">
        <f t="shared" si="14"/>
        <v>0.608016006</v>
      </c>
      <c r="AN220" s="1">
        <f>value(IFERROR(SUBSTITUTE(SUBSTITUTE(VLOOKUP($A220,'Quarterly Pipeline vs Target Pi'!$A:$AP,26,false)," $","")," €",""), "")
)</f>
        <v>634.58</v>
      </c>
      <c r="AO220" s="1">
        <f>value(IFERROR(SUBSTITUTE(SUBSTITUTE(VLOOKUP($A220,'Quarterly Pipeline vs Target Pi'!$A:$AP,27,false)," $","")," €",""), "")
)</f>
        <v>0</v>
      </c>
      <c r="AP220" s="17" t="str">
        <f t="shared" si="15"/>
        <v/>
      </c>
      <c r="AQ220" s="1">
        <f>value(IFERROR(SUBSTITUTE(SUBSTITUTE(VLOOKUP($A220,'Quarterly Pipeline vs Target Pi'!$A:$AP,31,false)," $","")," €",""), "")
)</f>
        <v>832.25</v>
      </c>
      <c r="AR220" s="1">
        <f>value(IFERROR(SUBSTITUTE(SUBSTITUTE(VLOOKUP($A220,'Quarterly Pipeline vs Target Pi'!$A:$AP,32,false)," $","")," €",""), "")
)</f>
        <v>0</v>
      </c>
      <c r="AS220" s="17" t="str">
        <f t="shared" si="16"/>
        <v/>
      </c>
      <c r="AT220" s="1">
        <f>value(IFERROR(SUBSTITUTE(SUBSTITUTE(VLOOKUP($A220,'Quarterly Pipeline vs Target Pi'!$A:$AP,36,false)," $","")," €",""), "")
)</f>
        <v>1120</v>
      </c>
      <c r="AU220" s="1">
        <f>value(IFERROR(SUBSTITUTE(SUBSTITUTE(VLOOKUP($A220,'Quarterly Pipeline vs Target Pi'!$A:$AP,37,false)," $","")," €",""), "")
)</f>
        <v>0</v>
      </c>
      <c r="AV220" s="17" t="str">
        <f t="shared" si="17"/>
        <v/>
      </c>
      <c r="AW220" s="1">
        <f>value(IFERROR(SUBSTITUTE(SUBSTITUTE(VLOOKUP($A220,'Quarterly Pipeline vs Target Pi'!$A:$AP,41,false)," $","")," €",""), "")
)</f>
        <v>8.48</v>
      </c>
      <c r="AX220" s="1">
        <f>value(IFERROR(SUBSTITUTE(SUBSTITUTE(VLOOKUP($A220,'Quarterly Pipeline vs Target Pi'!$A:$AP,42,false)," $","")," €",""), "")
)</f>
        <v>0</v>
      </c>
      <c r="AY220" s="17" t="str">
        <f t="shared" si="18"/>
        <v/>
      </c>
      <c r="AZ220" s="1">
        <f t="shared" ref="AZ220:BA220" si="454">sum(AN220,AQ220,AT220,AW220)</f>
        <v>2595.31</v>
      </c>
      <c r="BA220" s="1">
        <f t="shared" si="454"/>
        <v>0</v>
      </c>
      <c r="BB220" s="17" t="str">
        <f t="shared" si="20"/>
        <v/>
      </c>
    </row>
    <row r="221">
      <c r="A221" s="1" t="str">
        <f>IFERROR(__xludf.DUMMYFUNCTION("""COMPUTED_VALUE"""),"63ea6e9552ad6968805cedd5")</f>
        <v>63ea6e9552ad6968805cedd5</v>
      </c>
      <c r="B221" s="1" t="str">
        <f>IFERROR(__xludf.DUMMYFUNCTION("""COMPUTED_VALUE"""),"Human Art Computersysteme GmbH")</f>
        <v>Human Art Computersysteme GmbH</v>
      </c>
      <c r="C221" s="1" t="str">
        <f>IFERROR(__xludf.DUMMYFUNCTION("""COMPUTED_VALUE"""),"andreas.grossheimann@al-enterprise.com, andre.ramm@al-enterprise.com")</f>
        <v>andreas.grossheimann@al-enterprise.com, andre.ramm@al-enterprise.com</v>
      </c>
      <c r="D221" s="1" t="str">
        <f>IFERROR(__xludf.DUMMYFUNCTION("""COMPUTED_VALUE"""),"germany")</f>
        <v>germany</v>
      </c>
      <c r="E221" s="1" t="str">
        <f>IFERROR(__xludf.DUMMYFUNCTION("""COMPUTED_VALUE"""),"DE")</f>
        <v>DE</v>
      </c>
      <c r="F221" s="1"/>
      <c r="G221" s="1" t="str">
        <f>iferror(VLOOKUP(A221,'Business Plan Setup and Accepta'!A:G,6,false),"")</f>
        <v/>
      </c>
      <c r="H221" s="1" t="str">
        <f>iferror(VLOOKUP(A221,'Business Plan Setup and Accepta'!A:G,7,false),"")</f>
        <v/>
      </c>
      <c r="I221" s="17" t="str">
        <f t="shared" si="3"/>
        <v/>
      </c>
      <c r="J221" s="1" t="str">
        <f>IFERROR(VALUE(SUBSTITUTE(VLOOKUP(A221,'Sales IN Revenues vs Sales targ'!A:G,6,false)," $","")), "")
</f>
        <v/>
      </c>
      <c r="K221" s="1" t="str">
        <f>IFERROR(VALUE(SUBSTITUTE(VLOOKUP(A221,'Sales IN Revenues vs Sales targ'!A:G,7,false)," $","")), "")
</f>
        <v/>
      </c>
      <c r="L221" s="17" t="str">
        <f t="shared" si="4"/>
        <v/>
      </c>
      <c r="M221" s="1">
        <f>value(SUBSTITUTE(IFERROR(VLOOKUP(A221,'Certifications achievements vs '!A:G,6,false),""),"#","")
)</f>
        <v>0</v>
      </c>
      <c r="N221" s="1">
        <f>value(SUBSTITUTE(IFERROR(VLOOKUP(A221,'Certifications achievements vs '!A:G,7,false),""),"#","")
)</f>
        <v>0</v>
      </c>
      <c r="O221" s="17" t="str">
        <f t="shared" si="5"/>
        <v/>
      </c>
      <c r="P221" s="1">
        <f>value(SUBSTITUTE(IFERROR(VLOOKUP(A221,'Communications - Solution Speci'!A:G,6,false),""),"#","")
)</f>
        <v>0</v>
      </c>
      <c r="Q221" s="1">
        <f>value(SUBSTITUTE(IFERROR(VLOOKUP(A221,'Communications - Solution Speci'!A:G,7,false),""),"#","")
)</f>
        <v>0</v>
      </c>
      <c r="R221" s="17" t="str">
        <f t="shared" si="6"/>
        <v/>
      </c>
      <c r="S221" s="1">
        <f>value(SUBSTITUTE(IFERROR(VLOOKUP(A221,'Networking - Solution Specializ'!A:G,6,false),""),"#","")
)</f>
        <v>0</v>
      </c>
      <c r="T221" s="1">
        <f>value(SUBSTITUTE(IFERROR(VLOOKUP(A221,'Networking - Solution Specializ'!A:G,7,false),""),"#","")
)</f>
        <v>0</v>
      </c>
      <c r="U221" s="17" t="str">
        <f t="shared" si="7"/>
        <v/>
      </c>
      <c r="V221" s="1" t="str">
        <f>iferror(vlookup(A221,'Marketing Plan (extract summary'!A:G,6,false),"")</f>
        <v/>
      </c>
      <c r="W221" s="1" t="str">
        <f>iferror(vlookup(A221,'Marketing Plan (extract summary'!A:G,7,false),"")</f>
        <v/>
      </c>
      <c r="X221" s="17" t="str">
        <f t="shared" si="8"/>
        <v/>
      </c>
      <c r="Y221" s="1">
        <f>value(IFERROR(SUBSTITUTE(SUBSTITUTE(VLOOKUP(A221,'Quarterly Pipeline vs Target Pi'!A:G,6,false)," $","")," €",""), "")
)</f>
        <v>0</v>
      </c>
      <c r="Z221" s="1">
        <f>value(IFERROR(SUBSTITUTE(SUBSTITUTE(VLOOKUP(A221,'Quarterly Pipeline vs Target Pi'!A:G,7,false)," $","")," €",""), "")
)</f>
        <v>0</v>
      </c>
      <c r="AA221" s="17" t="str">
        <f t="shared" si="9"/>
        <v/>
      </c>
      <c r="AB221" s="1">
        <f>value(IFERROR(SUBSTITUTE(SUBSTITUTE(VLOOKUP($A221,'Quarterly Pipeline vs Target Pi'!$A:$V,11,false)," $","")," €",""), "")
)</f>
        <v>0</v>
      </c>
      <c r="AC221" s="1">
        <f>value(IFERROR(SUBSTITUTE(SUBSTITUTE(VLOOKUP($A221,'Quarterly Pipeline vs Target Pi'!$A:$V,12,false)," $","")," €",""), "")
)</f>
        <v>0</v>
      </c>
      <c r="AD221" s="17" t="str">
        <f t="shared" si="10"/>
        <v/>
      </c>
      <c r="AE221" s="1">
        <f>value(IFERROR(SUBSTITUTE(SUBSTITUTE(VLOOKUP($A221,'Quarterly Pipeline vs Target Pi'!$A:$V,16,false)," $","")," €",""), "")
)</f>
        <v>0</v>
      </c>
      <c r="AF221" s="1">
        <f>value(IFERROR(SUBSTITUTE(SUBSTITUTE(VLOOKUP($A221,'Quarterly Pipeline vs Target Pi'!$A:$V,17,false)," $","")," €",""), "")
)</f>
        <v>0</v>
      </c>
      <c r="AG221" s="17" t="str">
        <f t="shared" si="11"/>
        <v/>
      </c>
      <c r="AH221" s="1">
        <f>value(IFERROR(SUBSTITUTE(SUBSTITUTE(VLOOKUP($A221,'Quarterly Pipeline vs Target Pi'!$A:$V,21,false)," $","")," €",""), "")
)</f>
        <v>0</v>
      </c>
      <c r="AI221" s="1">
        <f>value(IFERROR(SUBSTITUTE(SUBSTITUTE(VLOOKUP($A221,'Quarterly Pipeline vs Target Pi'!$A:$V,22,false)," $","")," €",""), "")
)</f>
        <v>0</v>
      </c>
      <c r="AJ221" s="17" t="str">
        <f t="shared" si="12"/>
        <v/>
      </c>
      <c r="AK221" s="1">
        <f t="shared" ref="AK221:AL221" si="455">sum(Y221,AB221,AE221,AH221)</f>
        <v>0</v>
      </c>
      <c r="AL221" s="1">
        <f t="shared" si="455"/>
        <v>0</v>
      </c>
      <c r="AM221" s="17" t="str">
        <f t="shared" si="14"/>
        <v/>
      </c>
      <c r="AN221" s="1">
        <f>value(IFERROR(SUBSTITUTE(SUBSTITUTE(VLOOKUP($A221,'Quarterly Pipeline vs Target Pi'!$A:$AP,26,false)," $","")," €",""), "")
)</f>
        <v>0</v>
      </c>
      <c r="AO221" s="1">
        <f>value(IFERROR(SUBSTITUTE(SUBSTITUTE(VLOOKUP($A221,'Quarterly Pipeline vs Target Pi'!$A:$AP,27,false)," $","")," €",""), "")
)</f>
        <v>0</v>
      </c>
      <c r="AP221" s="17" t="str">
        <f t="shared" si="15"/>
        <v/>
      </c>
      <c r="AQ221" s="1">
        <f>value(IFERROR(SUBSTITUTE(SUBSTITUTE(VLOOKUP($A221,'Quarterly Pipeline vs Target Pi'!$A:$AP,31,false)," $","")," €",""), "")
)</f>
        <v>0</v>
      </c>
      <c r="AR221" s="1">
        <f>value(IFERROR(SUBSTITUTE(SUBSTITUTE(VLOOKUP($A221,'Quarterly Pipeline vs Target Pi'!$A:$AP,32,false)," $","")," €",""), "")
)</f>
        <v>0</v>
      </c>
      <c r="AS221" s="17" t="str">
        <f t="shared" si="16"/>
        <v/>
      </c>
      <c r="AT221" s="1">
        <f>value(IFERROR(SUBSTITUTE(SUBSTITUTE(VLOOKUP($A221,'Quarterly Pipeline vs Target Pi'!$A:$AP,36,false)," $","")," €",""), "")
)</f>
        <v>0</v>
      </c>
      <c r="AU221" s="1">
        <f>value(IFERROR(SUBSTITUTE(SUBSTITUTE(VLOOKUP($A221,'Quarterly Pipeline vs Target Pi'!$A:$AP,37,false)," $","")," €",""), "")
)</f>
        <v>0</v>
      </c>
      <c r="AV221" s="17" t="str">
        <f t="shared" si="17"/>
        <v/>
      </c>
      <c r="AW221" s="1">
        <f>value(IFERROR(SUBSTITUTE(SUBSTITUTE(VLOOKUP($A221,'Quarterly Pipeline vs Target Pi'!$A:$AP,41,false)," $","")," €",""), "")
)</f>
        <v>0</v>
      </c>
      <c r="AX221" s="1">
        <f>value(IFERROR(SUBSTITUTE(SUBSTITUTE(VLOOKUP($A221,'Quarterly Pipeline vs Target Pi'!$A:$AP,42,false)," $","")," €",""), "")
)</f>
        <v>0</v>
      </c>
      <c r="AY221" s="17" t="str">
        <f t="shared" si="18"/>
        <v/>
      </c>
      <c r="AZ221" s="1">
        <f t="shared" ref="AZ221:BA221" si="456">sum(AN221,AQ221,AT221,AW221)</f>
        <v>0</v>
      </c>
      <c r="BA221" s="1">
        <f t="shared" si="456"/>
        <v>0</v>
      </c>
      <c r="BB221" s="17" t="str">
        <f t="shared" si="20"/>
        <v/>
      </c>
    </row>
    <row r="222">
      <c r="A222" s="1" t="str">
        <f>IFERROR(__xludf.DUMMYFUNCTION("""COMPUTED_VALUE"""),"63ea6e9652ad6968805cefcd")</f>
        <v>63ea6e9652ad6968805cefcd</v>
      </c>
      <c r="B222" s="1" t="str">
        <f>IFERROR(__xludf.DUMMYFUNCTION("""COMPUTED_VALUE"""),"Hummel Systemhaus GmbH &amp; Co. KG")</f>
        <v>Hummel Systemhaus GmbH &amp; Co. KG</v>
      </c>
      <c r="C222" s="1" t="str">
        <f>IFERROR(__xludf.DUMMYFUNCTION("""COMPUTED_VALUE"""),"andreas.grossheimann@al-enterprise.com, andre.ramm@al-enterprise.com")</f>
        <v>andreas.grossheimann@al-enterprise.com, andre.ramm@al-enterprise.com</v>
      </c>
      <c r="D222" s="1" t="str">
        <f>IFERROR(__xludf.DUMMYFUNCTION("""COMPUTED_VALUE"""),"germany")</f>
        <v>germany</v>
      </c>
      <c r="E222" s="1" t="str">
        <f>IFERROR(__xludf.DUMMYFUNCTION("""COMPUTED_VALUE"""),"DE")</f>
        <v>DE</v>
      </c>
      <c r="F222" s="1"/>
      <c r="G222" s="1" t="str">
        <f>iferror(VLOOKUP(A222,'Business Plan Setup and Accepta'!A:G,6,false),"")</f>
        <v/>
      </c>
      <c r="H222" s="1" t="str">
        <f>iferror(VLOOKUP(A222,'Business Plan Setup and Accepta'!A:G,7,false),"")</f>
        <v/>
      </c>
      <c r="I222" s="17" t="str">
        <f t="shared" si="3"/>
        <v/>
      </c>
      <c r="J222" s="1" t="str">
        <f>IFERROR(VALUE(SUBSTITUTE(VLOOKUP(A222,'Sales IN Revenues vs Sales targ'!A:G,6,false)," $","")), "")
</f>
        <v/>
      </c>
      <c r="K222" s="1" t="str">
        <f>IFERROR(VALUE(SUBSTITUTE(VLOOKUP(A222,'Sales IN Revenues vs Sales targ'!A:G,7,false)," $","")), "")
</f>
        <v/>
      </c>
      <c r="L222" s="17" t="str">
        <f t="shared" si="4"/>
        <v/>
      </c>
      <c r="M222" s="1">
        <f>value(SUBSTITUTE(IFERROR(VLOOKUP(A222,'Certifications achievements vs '!A:G,6,false),""),"#","")
)</f>
        <v>0</v>
      </c>
      <c r="N222" s="1">
        <f>value(SUBSTITUTE(IFERROR(VLOOKUP(A222,'Certifications achievements vs '!A:G,7,false),""),"#","")
)</f>
        <v>0</v>
      </c>
      <c r="O222" s="17" t="str">
        <f t="shared" si="5"/>
        <v/>
      </c>
      <c r="P222" s="1">
        <f>value(SUBSTITUTE(IFERROR(VLOOKUP(A222,'Communications - Solution Speci'!A:G,6,false),""),"#","")
)</f>
        <v>0</v>
      </c>
      <c r="Q222" s="1">
        <f>value(SUBSTITUTE(IFERROR(VLOOKUP(A222,'Communications - Solution Speci'!A:G,7,false),""),"#","")
)</f>
        <v>0</v>
      </c>
      <c r="R222" s="17" t="str">
        <f t="shared" si="6"/>
        <v/>
      </c>
      <c r="S222" s="1">
        <f>value(SUBSTITUTE(IFERROR(VLOOKUP(A222,'Networking - Solution Specializ'!A:G,6,false),""),"#","")
)</f>
        <v>0</v>
      </c>
      <c r="T222" s="1">
        <f>value(SUBSTITUTE(IFERROR(VLOOKUP(A222,'Networking - Solution Specializ'!A:G,7,false),""),"#","")
)</f>
        <v>0</v>
      </c>
      <c r="U222" s="17" t="str">
        <f t="shared" si="7"/>
        <v/>
      </c>
      <c r="V222" s="1" t="str">
        <f>iferror(vlookup(A222,'Marketing Plan (extract summary'!A:G,6,false),"")</f>
        <v/>
      </c>
      <c r="W222" s="1" t="str">
        <f>iferror(vlookup(A222,'Marketing Plan (extract summary'!A:G,7,false),"")</f>
        <v/>
      </c>
      <c r="X222" s="17" t="str">
        <f t="shared" si="8"/>
        <v/>
      </c>
      <c r="Y222" s="1">
        <f>value(IFERROR(SUBSTITUTE(SUBSTITUTE(VLOOKUP(A222,'Quarterly Pipeline vs Target Pi'!A:G,6,false)," $","")," €",""), "")
)</f>
        <v>0</v>
      </c>
      <c r="Z222" s="1">
        <f>value(IFERROR(SUBSTITUTE(SUBSTITUTE(VLOOKUP(A222,'Quarterly Pipeline vs Target Pi'!A:G,7,false)," $","")," €",""), "")
)</f>
        <v>0</v>
      </c>
      <c r="AA222" s="17" t="str">
        <f t="shared" si="9"/>
        <v/>
      </c>
      <c r="AB222" s="1">
        <f>value(IFERROR(SUBSTITUTE(SUBSTITUTE(VLOOKUP($A222,'Quarterly Pipeline vs Target Pi'!$A:$V,11,false)," $","")," €",""), "")
)</f>
        <v>0</v>
      </c>
      <c r="AC222" s="1">
        <f>value(IFERROR(SUBSTITUTE(SUBSTITUTE(VLOOKUP($A222,'Quarterly Pipeline vs Target Pi'!$A:$V,12,false)," $","")," €",""), "")
)</f>
        <v>0</v>
      </c>
      <c r="AD222" s="17" t="str">
        <f t="shared" si="10"/>
        <v/>
      </c>
      <c r="AE222" s="1">
        <f>value(IFERROR(SUBSTITUTE(SUBSTITUTE(VLOOKUP($A222,'Quarterly Pipeline vs Target Pi'!$A:$V,16,false)," $","")," €",""), "")
)</f>
        <v>0</v>
      </c>
      <c r="AF222" s="1">
        <f>value(IFERROR(SUBSTITUTE(SUBSTITUTE(VLOOKUP($A222,'Quarterly Pipeline vs Target Pi'!$A:$V,17,false)," $","")," €",""), "")
)</f>
        <v>0</v>
      </c>
      <c r="AG222" s="17" t="str">
        <f t="shared" si="11"/>
        <v/>
      </c>
      <c r="AH222" s="1">
        <f>value(IFERROR(SUBSTITUTE(SUBSTITUTE(VLOOKUP($A222,'Quarterly Pipeline vs Target Pi'!$A:$V,21,false)," $","")," €",""), "")
)</f>
        <v>0</v>
      </c>
      <c r="AI222" s="1">
        <f>value(IFERROR(SUBSTITUTE(SUBSTITUTE(VLOOKUP($A222,'Quarterly Pipeline vs Target Pi'!$A:$V,22,false)," $","")," €",""), "")
)</f>
        <v>0</v>
      </c>
      <c r="AJ222" s="17" t="str">
        <f t="shared" si="12"/>
        <v/>
      </c>
      <c r="AK222" s="1">
        <f t="shared" ref="AK222:AL222" si="457">sum(Y222,AB222,AE222,AH222)</f>
        <v>0</v>
      </c>
      <c r="AL222" s="1">
        <f t="shared" si="457"/>
        <v>0</v>
      </c>
      <c r="AM222" s="17" t="str">
        <f t="shared" si="14"/>
        <v/>
      </c>
      <c r="AN222" s="1">
        <f>value(IFERROR(SUBSTITUTE(SUBSTITUTE(VLOOKUP($A222,'Quarterly Pipeline vs Target Pi'!$A:$AP,26,false)," $","")," €",""), "")
)</f>
        <v>0</v>
      </c>
      <c r="AO222" s="1">
        <f>value(IFERROR(SUBSTITUTE(SUBSTITUTE(VLOOKUP($A222,'Quarterly Pipeline vs Target Pi'!$A:$AP,27,false)," $","")," €",""), "")
)</f>
        <v>0</v>
      </c>
      <c r="AP222" s="17" t="str">
        <f t="shared" si="15"/>
        <v/>
      </c>
      <c r="AQ222" s="1">
        <f>value(IFERROR(SUBSTITUTE(SUBSTITUTE(VLOOKUP($A222,'Quarterly Pipeline vs Target Pi'!$A:$AP,31,false)," $","")," €",""), "")
)</f>
        <v>0</v>
      </c>
      <c r="AR222" s="1">
        <f>value(IFERROR(SUBSTITUTE(SUBSTITUTE(VLOOKUP($A222,'Quarterly Pipeline vs Target Pi'!$A:$AP,32,false)," $","")," €",""), "")
)</f>
        <v>0</v>
      </c>
      <c r="AS222" s="17" t="str">
        <f t="shared" si="16"/>
        <v/>
      </c>
      <c r="AT222" s="1">
        <f>value(IFERROR(SUBSTITUTE(SUBSTITUTE(VLOOKUP($A222,'Quarterly Pipeline vs Target Pi'!$A:$AP,36,false)," $","")," €",""), "")
)</f>
        <v>0</v>
      </c>
      <c r="AU222" s="1">
        <f>value(IFERROR(SUBSTITUTE(SUBSTITUTE(VLOOKUP($A222,'Quarterly Pipeline vs Target Pi'!$A:$AP,37,false)," $","")," €",""), "")
)</f>
        <v>0</v>
      </c>
      <c r="AV222" s="17" t="str">
        <f t="shared" si="17"/>
        <v/>
      </c>
      <c r="AW222" s="1">
        <f>value(IFERROR(SUBSTITUTE(SUBSTITUTE(VLOOKUP($A222,'Quarterly Pipeline vs Target Pi'!$A:$AP,41,false)," $","")," €",""), "")
)</f>
        <v>0</v>
      </c>
      <c r="AX222" s="1">
        <f>value(IFERROR(SUBSTITUTE(SUBSTITUTE(VLOOKUP($A222,'Quarterly Pipeline vs Target Pi'!$A:$AP,42,false)," $","")," €",""), "")
)</f>
        <v>0</v>
      </c>
      <c r="AY222" s="17" t="str">
        <f t="shared" si="18"/>
        <v/>
      </c>
      <c r="AZ222" s="1">
        <f t="shared" ref="AZ222:BA222" si="458">sum(AN222,AQ222,AT222,AW222)</f>
        <v>0</v>
      </c>
      <c r="BA222" s="1">
        <f t="shared" si="458"/>
        <v>0</v>
      </c>
      <c r="BB222" s="17" t="str">
        <f t="shared" si="20"/>
        <v/>
      </c>
    </row>
    <row r="223">
      <c r="A223" s="1" t="str">
        <f>IFERROR(__xludf.DUMMYFUNCTION("""COMPUTED_VALUE"""),"63ced84bc5c820531c269347")</f>
        <v>63ced84bc5c820531c269347</v>
      </c>
      <c r="B223" s="1" t="str">
        <f>IFERROR(__xludf.DUMMYFUNCTION("""COMPUTED_VALUE"""),"ICON Voice Networks, LLC")</f>
        <v>ICON Voice Networks, LLC</v>
      </c>
      <c r="C223" s="1" t="str">
        <f>IFERROR(__xludf.DUMMYFUNCTION("""COMPUTED_VALUE"""),"holly.berger@al-enterprise.com")</f>
        <v>holly.berger@al-enterprise.com</v>
      </c>
      <c r="D223" s="1" t="str">
        <f>IFERROR(__xludf.DUMMYFUNCTION("""COMPUTED_VALUE"""),"americas")</f>
        <v>americas</v>
      </c>
      <c r="E223" s="1" t="str">
        <f>IFERROR(__xludf.DUMMYFUNCTION("""COMPUTED_VALUE"""),"US")</f>
        <v>US</v>
      </c>
      <c r="F223" s="1" t="str">
        <f>IFERROR(__xludf.DUMMYFUNCTION("""COMPUTED_VALUE"""),"distributor_1000")</f>
        <v>distributor_1000</v>
      </c>
      <c r="G223" s="1">
        <f>iferror(VLOOKUP(A223,'Business Plan Setup and Accepta'!A:G,6,false),"")</f>
        <v>0</v>
      </c>
      <c r="H223" s="1">
        <f>iferror(VLOOKUP(A223,'Business Plan Setup and Accepta'!A:G,7,false),"")</f>
        <v>1</v>
      </c>
      <c r="I223" s="17">
        <f t="shared" si="3"/>
        <v>0</v>
      </c>
      <c r="J223" s="1">
        <f>IFERROR(VALUE(SUBSTITUTE(VLOOKUP(A223,'Sales IN Revenues vs Sales targ'!A:G,6,false)," $","")), "")
</f>
        <v>3920.99</v>
      </c>
      <c r="K223" s="1">
        <f>IFERROR(VALUE(SUBSTITUTE(VLOOKUP(A223,'Sales IN Revenues vs Sales targ'!A:G,7,false)," $","")), "")
</f>
        <v>6979.94</v>
      </c>
      <c r="L223" s="17">
        <f t="shared" si="4"/>
        <v>0.5617512471</v>
      </c>
      <c r="M223" s="1">
        <f>value(SUBSTITUTE(IFERROR(VLOOKUP(A223,'Certifications achievements vs '!A:G,6,false),""),"#","")
)</f>
        <v>16</v>
      </c>
      <c r="N223" s="1">
        <f>value(SUBSTITUTE(IFERROR(VLOOKUP(A223,'Certifications achievements vs '!A:G,7,false),""),"#","")
)</f>
        <v>56</v>
      </c>
      <c r="O223" s="17">
        <f t="shared" si="5"/>
        <v>0.2857142857</v>
      </c>
      <c r="P223" s="1">
        <f>value(SUBSTITUTE(IFERROR(VLOOKUP(A223,'Communications - Solution Speci'!A:G,6,false),""),"#","")
)</f>
        <v>0</v>
      </c>
      <c r="Q223" s="1">
        <f>value(SUBSTITUTE(IFERROR(VLOOKUP(A223,'Communications - Solution Speci'!A:G,7,false),""),"#","")
)</f>
        <v>1</v>
      </c>
      <c r="R223" s="17">
        <f t="shared" si="6"/>
        <v>0</v>
      </c>
      <c r="S223" s="1">
        <f>value(SUBSTITUTE(IFERROR(VLOOKUP(A223,'Networking - Solution Specializ'!A:G,6,false),""),"#","")
)</f>
        <v>0</v>
      </c>
      <c r="T223" s="1">
        <f>value(SUBSTITUTE(IFERROR(VLOOKUP(A223,'Networking - Solution Specializ'!A:G,7,false),""),"#","")
)</f>
        <v>1</v>
      </c>
      <c r="U223" s="17">
        <f t="shared" si="7"/>
        <v>0</v>
      </c>
      <c r="V223" s="1">
        <f>iferror(vlookup(A223,'Marketing Plan (extract summary'!A:G,6,false),"")</f>
        <v>0</v>
      </c>
      <c r="W223" s="1">
        <f>iferror(vlookup(A223,'Marketing Plan (extract summary'!A:G,7,false),"")</f>
        <v>1</v>
      </c>
      <c r="X223" s="17">
        <f t="shared" si="8"/>
        <v>0</v>
      </c>
      <c r="Y223" s="1">
        <f>value(IFERROR(SUBSTITUTE(SUBSTITUTE(VLOOKUP(A223,'Quarterly Pipeline vs Target Pi'!A:G,6,false)," $","")," €",""), "")
)</f>
        <v>1.25</v>
      </c>
      <c r="Z223" s="1">
        <f>value(IFERROR(SUBSTITUTE(SUBSTITUTE(VLOOKUP(A223,'Quarterly Pipeline vs Target Pi'!A:G,7,false)," $","")," €",""), "")
)</f>
        <v>0</v>
      </c>
      <c r="AA223" s="17" t="str">
        <f t="shared" si="9"/>
        <v/>
      </c>
      <c r="AB223" s="1">
        <f>value(IFERROR(SUBSTITUTE(SUBSTITUTE(VLOOKUP($A223,'Quarterly Pipeline vs Target Pi'!$A:$V,11,false)," $","")," €",""), "")
)</f>
        <v>25.76</v>
      </c>
      <c r="AC223" s="1">
        <f>value(IFERROR(SUBSTITUTE(SUBSTITUTE(VLOOKUP($A223,'Quarterly Pipeline vs Target Pi'!$A:$V,12,false)," $","")," €",""), "")
)</f>
        <v>4656.62</v>
      </c>
      <c r="AD223" s="17">
        <f t="shared" si="10"/>
        <v>0.005531909411</v>
      </c>
      <c r="AE223" s="1">
        <f>value(IFERROR(SUBSTITUTE(SUBSTITUTE(VLOOKUP($A223,'Quarterly Pipeline vs Target Pi'!$A:$V,16,false)," $","")," €",""), "")
)</f>
        <v>154.87</v>
      </c>
      <c r="AF223" s="1">
        <f>value(IFERROR(SUBSTITUTE(SUBSTITUTE(VLOOKUP($A223,'Quarterly Pipeline vs Target Pi'!$A:$V,17,false)," $","")," €",""), "")
)</f>
        <v>6983.28</v>
      </c>
      <c r="AG223" s="17">
        <f t="shared" si="11"/>
        <v>0.02217725768</v>
      </c>
      <c r="AH223" s="1">
        <f>value(IFERROR(SUBSTITUTE(SUBSTITUTE(VLOOKUP($A223,'Quarterly Pipeline vs Target Pi'!$A:$V,21,false)," $","")," €",""), "")
)</f>
        <v>44.91</v>
      </c>
      <c r="AI223" s="1">
        <f>value(IFERROR(SUBSTITUTE(SUBSTITUTE(VLOOKUP($A223,'Quarterly Pipeline vs Target Pi'!$A:$V,22,false)," $","")," €",""), "")
)</f>
        <v>6976.61</v>
      </c>
      <c r="AJ223" s="17">
        <f t="shared" si="12"/>
        <v>0.006437223809</v>
      </c>
      <c r="AK223" s="1">
        <f t="shared" ref="AK223:AL223" si="459">sum(Y223,AB223,AE223,AH223)</f>
        <v>226.79</v>
      </c>
      <c r="AL223" s="1">
        <f t="shared" si="459"/>
        <v>18616.51</v>
      </c>
      <c r="AM223" s="17">
        <f t="shared" si="14"/>
        <v>0.01218219742</v>
      </c>
      <c r="AN223" s="1">
        <f>value(IFERROR(SUBSTITUTE(SUBSTITUTE(VLOOKUP($A223,'Quarterly Pipeline vs Target Pi'!$A:$AP,26,false)," $","")," €",""), "")
)</f>
        <v>142.5</v>
      </c>
      <c r="AO223" s="1">
        <f>value(IFERROR(SUBSTITUTE(SUBSTITUTE(VLOOKUP($A223,'Quarterly Pipeline vs Target Pi'!$A:$AP,27,false)," $","")," €",""), "")
)</f>
        <v>0</v>
      </c>
      <c r="AP223" s="17" t="str">
        <f t="shared" si="15"/>
        <v/>
      </c>
      <c r="AQ223" s="1">
        <f>value(IFERROR(SUBSTITUTE(SUBSTITUTE(VLOOKUP($A223,'Quarterly Pipeline vs Target Pi'!$A:$AP,31,false)," $","")," €",""), "")
)</f>
        <v>297.08</v>
      </c>
      <c r="AR223" s="1">
        <f>value(IFERROR(SUBSTITUTE(SUBSTITUTE(VLOOKUP($A223,'Quarterly Pipeline vs Target Pi'!$A:$AP,32,false)," $","")," €",""), "")
)</f>
        <v>0</v>
      </c>
      <c r="AS223" s="17" t="str">
        <f t="shared" si="16"/>
        <v/>
      </c>
      <c r="AT223" s="1">
        <f>value(IFERROR(SUBSTITUTE(SUBSTITUTE(VLOOKUP($A223,'Quarterly Pipeline vs Target Pi'!$A:$AP,36,false)," $","")," €",""), "")
)</f>
        <v>429.68</v>
      </c>
      <c r="AU223" s="1">
        <f>value(IFERROR(SUBSTITUTE(SUBSTITUTE(VLOOKUP($A223,'Quarterly Pipeline vs Target Pi'!$A:$AP,37,false)," $","")," €",""), "")
)</f>
        <v>0</v>
      </c>
      <c r="AV223" s="17" t="str">
        <f t="shared" si="17"/>
        <v/>
      </c>
      <c r="AW223" s="1">
        <f>value(IFERROR(SUBSTITUTE(SUBSTITUTE(VLOOKUP($A223,'Quarterly Pipeline vs Target Pi'!$A:$AP,41,false)," $","")," €",""), "")
)</f>
        <v>14.17</v>
      </c>
      <c r="AX223" s="1">
        <f>value(IFERROR(SUBSTITUTE(SUBSTITUTE(VLOOKUP($A223,'Quarterly Pipeline vs Target Pi'!$A:$AP,42,false)," $","")," €",""), "")
)</f>
        <v>0</v>
      </c>
      <c r="AY223" s="17" t="str">
        <f t="shared" si="18"/>
        <v/>
      </c>
      <c r="AZ223" s="1">
        <f t="shared" ref="AZ223:BA223" si="460">sum(AN223,AQ223,AT223,AW223)</f>
        <v>883.43</v>
      </c>
      <c r="BA223" s="1">
        <f t="shared" si="460"/>
        <v>0</v>
      </c>
      <c r="BB223" s="17" t="str">
        <f t="shared" si="20"/>
        <v/>
      </c>
    </row>
    <row r="224">
      <c r="A224" s="1" t="str">
        <f>IFERROR(__xludf.DUMMYFUNCTION("""COMPUTED_VALUE"""),"63ea6e9652ad6968805cf059")</f>
        <v>63ea6e9652ad6968805cf059</v>
      </c>
      <c r="B224" s="1" t="str">
        <f>IFERROR(__xludf.DUMMYFUNCTION("""COMPUTED_VALUE"""),"imcam GmbH")</f>
        <v>imcam GmbH</v>
      </c>
      <c r="C224" s="1" t="str">
        <f>IFERROR(__xludf.DUMMYFUNCTION("""COMPUTED_VALUE"""),"andreas.grossheimann@al-enterprise.com, andre.ramm@al-enterprise.com")</f>
        <v>andreas.grossheimann@al-enterprise.com, andre.ramm@al-enterprise.com</v>
      </c>
      <c r="D224" s="1" t="str">
        <f>IFERROR(__xludf.DUMMYFUNCTION("""COMPUTED_VALUE"""),"germany")</f>
        <v>germany</v>
      </c>
      <c r="E224" s="1" t="str">
        <f>IFERROR(__xludf.DUMMYFUNCTION("""COMPUTED_VALUE"""),"DE")</f>
        <v>DE</v>
      </c>
      <c r="F224" s="1"/>
      <c r="G224" s="1" t="str">
        <f>iferror(VLOOKUP(A224,'Business Plan Setup and Accepta'!A:G,6,false),"")</f>
        <v/>
      </c>
      <c r="H224" s="1" t="str">
        <f>iferror(VLOOKUP(A224,'Business Plan Setup and Accepta'!A:G,7,false),"")</f>
        <v/>
      </c>
      <c r="I224" s="17" t="str">
        <f t="shared" si="3"/>
        <v/>
      </c>
      <c r="J224" s="1" t="str">
        <f>IFERROR(VALUE(SUBSTITUTE(VLOOKUP(A224,'Sales IN Revenues vs Sales targ'!A:G,6,false)," $","")), "")
</f>
        <v/>
      </c>
      <c r="K224" s="1" t="str">
        <f>IFERROR(VALUE(SUBSTITUTE(VLOOKUP(A224,'Sales IN Revenues vs Sales targ'!A:G,7,false)," $","")), "")
</f>
        <v/>
      </c>
      <c r="L224" s="17" t="str">
        <f t="shared" si="4"/>
        <v/>
      </c>
      <c r="M224" s="1">
        <f>value(SUBSTITUTE(IFERROR(VLOOKUP(A224,'Certifications achievements vs '!A:G,6,false),""),"#","")
)</f>
        <v>0</v>
      </c>
      <c r="N224" s="1">
        <f>value(SUBSTITUTE(IFERROR(VLOOKUP(A224,'Certifications achievements vs '!A:G,7,false),""),"#","")
)</f>
        <v>0</v>
      </c>
      <c r="O224" s="17" t="str">
        <f t="shared" si="5"/>
        <v/>
      </c>
      <c r="P224" s="1">
        <f>value(SUBSTITUTE(IFERROR(VLOOKUP(A224,'Communications - Solution Speci'!A:G,6,false),""),"#","")
)</f>
        <v>0</v>
      </c>
      <c r="Q224" s="1">
        <f>value(SUBSTITUTE(IFERROR(VLOOKUP(A224,'Communications - Solution Speci'!A:G,7,false),""),"#","")
)</f>
        <v>0</v>
      </c>
      <c r="R224" s="17" t="str">
        <f t="shared" si="6"/>
        <v/>
      </c>
      <c r="S224" s="1">
        <f>value(SUBSTITUTE(IFERROR(VLOOKUP(A224,'Networking - Solution Specializ'!A:G,6,false),""),"#","")
)</f>
        <v>0</v>
      </c>
      <c r="T224" s="1">
        <f>value(SUBSTITUTE(IFERROR(VLOOKUP(A224,'Networking - Solution Specializ'!A:G,7,false),""),"#","")
)</f>
        <v>0</v>
      </c>
      <c r="U224" s="17" t="str">
        <f t="shared" si="7"/>
        <v/>
      </c>
      <c r="V224" s="1" t="str">
        <f>iferror(vlookup(A224,'Marketing Plan (extract summary'!A:G,6,false),"")</f>
        <v/>
      </c>
      <c r="W224" s="1" t="str">
        <f>iferror(vlookup(A224,'Marketing Plan (extract summary'!A:G,7,false),"")</f>
        <v/>
      </c>
      <c r="X224" s="17" t="str">
        <f t="shared" si="8"/>
        <v/>
      </c>
      <c r="Y224" s="1">
        <f>value(IFERROR(SUBSTITUTE(SUBSTITUTE(VLOOKUP(A224,'Quarterly Pipeline vs Target Pi'!A:G,6,false)," $","")," €",""), "")
)</f>
        <v>0</v>
      </c>
      <c r="Z224" s="1">
        <f>value(IFERROR(SUBSTITUTE(SUBSTITUTE(VLOOKUP(A224,'Quarterly Pipeline vs Target Pi'!A:G,7,false)," $","")," €",""), "")
)</f>
        <v>0</v>
      </c>
      <c r="AA224" s="17" t="str">
        <f t="shared" si="9"/>
        <v/>
      </c>
      <c r="AB224" s="1">
        <f>value(IFERROR(SUBSTITUTE(SUBSTITUTE(VLOOKUP($A224,'Quarterly Pipeline vs Target Pi'!$A:$V,11,false)," $","")," €",""), "")
)</f>
        <v>0</v>
      </c>
      <c r="AC224" s="1">
        <f>value(IFERROR(SUBSTITUTE(SUBSTITUTE(VLOOKUP($A224,'Quarterly Pipeline vs Target Pi'!$A:$V,12,false)," $","")," €",""), "")
)</f>
        <v>0</v>
      </c>
      <c r="AD224" s="17" t="str">
        <f t="shared" si="10"/>
        <v/>
      </c>
      <c r="AE224" s="1">
        <f>value(IFERROR(SUBSTITUTE(SUBSTITUTE(VLOOKUP($A224,'Quarterly Pipeline vs Target Pi'!$A:$V,16,false)," $","")," €",""), "")
)</f>
        <v>0</v>
      </c>
      <c r="AF224" s="1">
        <f>value(IFERROR(SUBSTITUTE(SUBSTITUTE(VLOOKUP($A224,'Quarterly Pipeline vs Target Pi'!$A:$V,17,false)," $","")," €",""), "")
)</f>
        <v>0</v>
      </c>
      <c r="AG224" s="17" t="str">
        <f t="shared" si="11"/>
        <v/>
      </c>
      <c r="AH224" s="1">
        <f>value(IFERROR(SUBSTITUTE(SUBSTITUTE(VLOOKUP($A224,'Quarterly Pipeline vs Target Pi'!$A:$V,21,false)," $","")," €",""), "")
)</f>
        <v>0</v>
      </c>
      <c r="AI224" s="1">
        <f>value(IFERROR(SUBSTITUTE(SUBSTITUTE(VLOOKUP($A224,'Quarterly Pipeline vs Target Pi'!$A:$V,22,false)," $","")," €",""), "")
)</f>
        <v>0</v>
      </c>
      <c r="AJ224" s="17" t="str">
        <f t="shared" si="12"/>
        <v/>
      </c>
      <c r="AK224" s="1">
        <f t="shared" ref="AK224:AL224" si="461">sum(Y224,AB224,AE224,AH224)</f>
        <v>0</v>
      </c>
      <c r="AL224" s="1">
        <f t="shared" si="461"/>
        <v>0</v>
      </c>
      <c r="AM224" s="17" t="str">
        <f t="shared" si="14"/>
        <v/>
      </c>
      <c r="AN224" s="1">
        <f>value(IFERROR(SUBSTITUTE(SUBSTITUTE(VLOOKUP($A224,'Quarterly Pipeline vs Target Pi'!$A:$AP,26,false)," $","")," €",""), "")
)</f>
        <v>0</v>
      </c>
      <c r="AO224" s="1">
        <f>value(IFERROR(SUBSTITUTE(SUBSTITUTE(VLOOKUP($A224,'Quarterly Pipeline vs Target Pi'!$A:$AP,27,false)," $","")," €",""), "")
)</f>
        <v>0</v>
      </c>
      <c r="AP224" s="17" t="str">
        <f t="shared" si="15"/>
        <v/>
      </c>
      <c r="AQ224" s="1">
        <f>value(IFERROR(SUBSTITUTE(SUBSTITUTE(VLOOKUP($A224,'Quarterly Pipeline vs Target Pi'!$A:$AP,31,false)," $","")," €",""), "")
)</f>
        <v>0</v>
      </c>
      <c r="AR224" s="1">
        <f>value(IFERROR(SUBSTITUTE(SUBSTITUTE(VLOOKUP($A224,'Quarterly Pipeline vs Target Pi'!$A:$AP,32,false)," $","")," €",""), "")
)</f>
        <v>0</v>
      </c>
      <c r="AS224" s="17" t="str">
        <f t="shared" si="16"/>
        <v/>
      </c>
      <c r="AT224" s="1">
        <f>value(IFERROR(SUBSTITUTE(SUBSTITUTE(VLOOKUP($A224,'Quarterly Pipeline vs Target Pi'!$A:$AP,36,false)," $","")," €",""), "")
)</f>
        <v>0</v>
      </c>
      <c r="AU224" s="1">
        <f>value(IFERROR(SUBSTITUTE(SUBSTITUTE(VLOOKUP($A224,'Quarterly Pipeline vs Target Pi'!$A:$AP,37,false)," $","")," €",""), "")
)</f>
        <v>0</v>
      </c>
      <c r="AV224" s="17" t="str">
        <f t="shared" si="17"/>
        <v/>
      </c>
      <c r="AW224" s="1">
        <f>value(IFERROR(SUBSTITUTE(SUBSTITUTE(VLOOKUP($A224,'Quarterly Pipeline vs Target Pi'!$A:$AP,41,false)," $","")," €",""), "")
)</f>
        <v>0</v>
      </c>
      <c r="AX224" s="1">
        <f>value(IFERROR(SUBSTITUTE(SUBSTITUTE(VLOOKUP($A224,'Quarterly Pipeline vs Target Pi'!$A:$AP,42,false)," $","")," €",""), "")
)</f>
        <v>0</v>
      </c>
      <c r="AY224" s="17" t="str">
        <f t="shared" si="18"/>
        <v/>
      </c>
      <c r="AZ224" s="1">
        <f t="shared" ref="AZ224:BA224" si="462">sum(AN224,AQ224,AT224,AW224)</f>
        <v>0</v>
      </c>
      <c r="BA224" s="1">
        <f t="shared" si="462"/>
        <v>0</v>
      </c>
      <c r="BB224" s="17" t="str">
        <f t="shared" si="20"/>
        <v/>
      </c>
    </row>
    <row r="225">
      <c r="A225" s="1" t="str">
        <f>IFERROR(__xludf.DUMMYFUNCTION("""COMPUTED_VALUE"""),"63ced84dc5c820531c269851")</f>
        <v>63ced84dc5c820531c269851</v>
      </c>
      <c r="B225" s="1" t="str">
        <f>IFERROR(__xludf.DUMMYFUNCTION("""COMPUTED_VALUE"""),"Independent Telecommunications Corp")</f>
        <v>Independent Telecommunications Corp</v>
      </c>
      <c r="C225" s="1" t="str">
        <f>IFERROR(__xludf.DUMMYFUNCTION("""COMPUTED_VALUE"""),"brendan.flaherty@al-enterprise.com")</f>
        <v>brendan.flaherty@al-enterprise.com</v>
      </c>
      <c r="D225" s="1" t="str">
        <f>IFERROR(__xludf.DUMMYFUNCTION("""COMPUTED_VALUE"""),"americas")</f>
        <v>americas</v>
      </c>
      <c r="E225" s="1" t="str">
        <f>IFERROR(__xludf.DUMMYFUNCTION("""COMPUTED_VALUE"""),"US")</f>
        <v>US</v>
      </c>
      <c r="F225" s="1"/>
      <c r="G225" s="1" t="str">
        <f>iferror(VLOOKUP(A225,'Business Plan Setup and Accepta'!A:G,6,false),"")</f>
        <v/>
      </c>
      <c r="H225" s="1" t="str">
        <f>iferror(VLOOKUP(A225,'Business Plan Setup and Accepta'!A:G,7,false),"")</f>
        <v/>
      </c>
      <c r="I225" s="17" t="str">
        <f t="shared" si="3"/>
        <v/>
      </c>
      <c r="J225" s="1" t="str">
        <f>IFERROR(VALUE(SUBSTITUTE(VLOOKUP(A225,'Sales IN Revenues vs Sales targ'!A:G,6,false)," $","")), "")
</f>
        <v/>
      </c>
      <c r="K225" s="1" t="str">
        <f>IFERROR(VALUE(SUBSTITUTE(VLOOKUP(A225,'Sales IN Revenues vs Sales targ'!A:G,7,false)," $","")), "")
</f>
        <v/>
      </c>
      <c r="L225" s="17" t="str">
        <f t="shared" si="4"/>
        <v/>
      </c>
      <c r="M225" s="1">
        <f>value(SUBSTITUTE(IFERROR(VLOOKUP(A225,'Certifications achievements vs '!A:G,6,false),""),"#","")
)</f>
        <v>0</v>
      </c>
      <c r="N225" s="1">
        <f>value(SUBSTITUTE(IFERROR(VLOOKUP(A225,'Certifications achievements vs '!A:G,7,false),""),"#","")
)</f>
        <v>0</v>
      </c>
      <c r="O225" s="17" t="str">
        <f t="shared" si="5"/>
        <v/>
      </c>
      <c r="P225" s="1">
        <f>value(SUBSTITUTE(IFERROR(VLOOKUP(A225,'Communications - Solution Speci'!A:G,6,false),""),"#","")
)</f>
        <v>0</v>
      </c>
      <c r="Q225" s="1">
        <f>value(SUBSTITUTE(IFERROR(VLOOKUP(A225,'Communications - Solution Speci'!A:G,7,false),""),"#","")
)</f>
        <v>0</v>
      </c>
      <c r="R225" s="17" t="str">
        <f t="shared" si="6"/>
        <v/>
      </c>
      <c r="S225" s="1">
        <f>value(SUBSTITUTE(IFERROR(VLOOKUP(A225,'Networking - Solution Specializ'!A:G,6,false),""),"#","")
)</f>
        <v>0</v>
      </c>
      <c r="T225" s="1">
        <f>value(SUBSTITUTE(IFERROR(VLOOKUP(A225,'Networking - Solution Specializ'!A:G,7,false),""),"#","")
)</f>
        <v>0</v>
      </c>
      <c r="U225" s="17" t="str">
        <f t="shared" si="7"/>
        <v/>
      </c>
      <c r="V225" s="1" t="str">
        <f>iferror(vlookup(A225,'Marketing Plan (extract summary'!A:G,6,false),"")</f>
        <v/>
      </c>
      <c r="W225" s="1" t="str">
        <f>iferror(vlookup(A225,'Marketing Plan (extract summary'!A:G,7,false),"")</f>
        <v/>
      </c>
      <c r="X225" s="17" t="str">
        <f t="shared" si="8"/>
        <v/>
      </c>
      <c r="Y225" s="1">
        <f>value(IFERROR(SUBSTITUTE(SUBSTITUTE(VLOOKUP(A225,'Quarterly Pipeline vs Target Pi'!A:G,6,false)," $","")," €",""), "")
)</f>
        <v>0</v>
      </c>
      <c r="Z225" s="1">
        <f>value(IFERROR(SUBSTITUTE(SUBSTITUTE(VLOOKUP(A225,'Quarterly Pipeline vs Target Pi'!A:G,7,false)," $","")," €",""), "")
)</f>
        <v>0</v>
      </c>
      <c r="AA225" s="17" t="str">
        <f t="shared" si="9"/>
        <v/>
      </c>
      <c r="AB225" s="1">
        <f>value(IFERROR(SUBSTITUTE(SUBSTITUTE(VLOOKUP($A225,'Quarterly Pipeline vs Target Pi'!$A:$V,11,false)," $","")," €",""), "")
)</f>
        <v>0</v>
      </c>
      <c r="AC225" s="1">
        <f>value(IFERROR(SUBSTITUTE(SUBSTITUTE(VLOOKUP($A225,'Quarterly Pipeline vs Target Pi'!$A:$V,12,false)," $","")," €",""), "")
)</f>
        <v>0</v>
      </c>
      <c r="AD225" s="17" t="str">
        <f t="shared" si="10"/>
        <v/>
      </c>
      <c r="AE225" s="1">
        <f>value(IFERROR(SUBSTITUTE(SUBSTITUTE(VLOOKUP($A225,'Quarterly Pipeline vs Target Pi'!$A:$V,16,false)," $","")," €",""), "")
)</f>
        <v>0</v>
      </c>
      <c r="AF225" s="1">
        <f>value(IFERROR(SUBSTITUTE(SUBSTITUTE(VLOOKUP($A225,'Quarterly Pipeline vs Target Pi'!$A:$V,17,false)," $","")," €",""), "")
)</f>
        <v>0</v>
      </c>
      <c r="AG225" s="17" t="str">
        <f t="shared" si="11"/>
        <v/>
      </c>
      <c r="AH225" s="1">
        <f>value(IFERROR(SUBSTITUTE(SUBSTITUTE(VLOOKUP($A225,'Quarterly Pipeline vs Target Pi'!$A:$V,21,false)," $","")," €",""), "")
)</f>
        <v>0</v>
      </c>
      <c r="AI225" s="1">
        <f>value(IFERROR(SUBSTITUTE(SUBSTITUTE(VLOOKUP($A225,'Quarterly Pipeline vs Target Pi'!$A:$V,22,false)," $","")," €",""), "")
)</f>
        <v>0</v>
      </c>
      <c r="AJ225" s="17" t="str">
        <f t="shared" si="12"/>
        <v/>
      </c>
      <c r="AK225" s="1">
        <f t="shared" ref="AK225:AL225" si="463">sum(Y225,AB225,AE225,AH225)</f>
        <v>0</v>
      </c>
      <c r="AL225" s="1">
        <f t="shared" si="463"/>
        <v>0</v>
      </c>
      <c r="AM225" s="17" t="str">
        <f t="shared" si="14"/>
        <v/>
      </c>
      <c r="AN225" s="1">
        <f>value(IFERROR(SUBSTITUTE(SUBSTITUTE(VLOOKUP($A225,'Quarterly Pipeline vs Target Pi'!$A:$AP,26,false)," $","")," €",""), "")
)</f>
        <v>0</v>
      </c>
      <c r="AO225" s="1">
        <f>value(IFERROR(SUBSTITUTE(SUBSTITUTE(VLOOKUP($A225,'Quarterly Pipeline vs Target Pi'!$A:$AP,27,false)," $","")," €",""), "")
)</f>
        <v>0</v>
      </c>
      <c r="AP225" s="17" t="str">
        <f t="shared" si="15"/>
        <v/>
      </c>
      <c r="AQ225" s="1">
        <f>value(IFERROR(SUBSTITUTE(SUBSTITUTE(VLOOKUP($A225,'Quarterly Pipeline vs Target Pi'!$A:$AP,31,false)," $","")," €",""), "")
)</f>
        <v>0</v>
      </c>
      <c r="AR225" s="1">
        <f>value(IFERROR(SUBSTITUTE(SUBSTITUTE(VLOOKUP($A225,'Quarterly Pipeline vs Target Pi'!$A:$AP,32,false)," $","")," €",""), "")
)</f>
        <v>0</v>
      </c>
      <c r="AS225" s="17" t="str">
        <f t="shared" si="16"/>
        <v/>
      </c>
      <c r="AT225" s="1">
        <f>value(IFERROR(SUBSTITUTE(SUBSTITUTE(VLOOKUP($A225,'Quarterly Pipeline vs Target Pi'!$A:$AP,36,false)," $","")," €",""), "")
)</f>
        <v>0</v>
      </c>
      <c r="AU225" s="1">
        <f>value(IFERROR(SUBSTITUTE(SUBSTITUTE(VLOOKUP($A225,'Quarterly Pipeline vs Target Pi'!$A:$AP,37,false)," $","")," €",""), "")
)</f>
        <v>0</v>
      </c>
      <c r="AV225" s="17" t="str">
        <f t="shared" si="17"/>
        <v/>
      </c>
      <c r="AW225" s="1">
        <f>value(IFERROR(SUBSTITUTE(SUBSTITUTE(VLOOKUP($A225,'Quarterly Pipeline vs Target Pi'!$A:$AP,41,false)," $","")," €",""), "")
)</f>
        <v>0</v>
      </c>
      <c r="AX225" s="1">
        <f>value(IFERROR(SUBSTITUTE(SUBSTITUTE(VLOOKUP($A225,'Quarterly Pipeline vs Target Pi'!$A:$AP,42,false)," $","")," €",""), "")
)</f>
        <v>0</v>
      </c>
      <c r="AY225" s="17" t="str">
        <f t="shared" si="18"/>
        <v/>
      </c>
      <c r="AZ225" s="1">
        <f t="shared" ref="AZ225:BA225" si="464">sum(AN225,AQ225,AT225,AW225)</f>
        <v>0</v>
      </c>
      <c r="BA225" s="1">
        <f t="shared" si="464"/>
        <v>0</v>
      </c>
      <c r="BB225" s="17" t="str">
        <f t="shared" si="20"/>
        <v/>
      </c>
    </row>
    <row r="226">
      <c r="A226" s="1" t="str">
        <f>IFERROR(__xludf.DUMMYFUNCTION("""COMPUTED_VALUE"""),"63fcbb7ea107c871cf56484b")</f>
        <v>63fcbb7ea107c871cf56484b</v>
      </c>
      <c r="B226" s="1" t="str">
        <f>IFERROR(__xludf.DUMMYFUNCTION("""COMPUTED_VALUE"""),"INDRA SISTEMAS S.A.")</f>
        <v>INDRA SISTEMAS S.A.</v>
      </c>
      <c r="C226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226" s="1" t="str">
        <f>IFERROR(__xludf.DUMMYFUNCTION("""COMPUTED_VALUE"""),"emea")</f>
        <v>emea</v>
      </c>
      <c r="E226" s="1" t="str">
        <f>IFERROR(__xludf.DUMMYFUNCTION("""COMPUTED_VALUE"""),"ES")</f>
        <v>ES</v>
      </c>
      <c r="F226" s="1"/>
      <c r="G226" s="1">
        <f>iferror(VLOOKUP(A226,'Business Plan Setup and Accepta'!A:G,6,false),"")</f>
        <v>1</v>
      </c>
      <c r="H226" s="1">
        <f>iferror(VLOOKUP(A226,'Business Plan Setup and Accepta'!A:G,7,false),"")</f>
        <v>1</v>
      </c>
      <c r="I226" s="17">
        <f t="shared" si="3"/>
        <v>1</v>
      </c>
      <c r="J226" s="1">
        <f>IFERROR(VALUE(SUBSTITUTE(VLOOKUP(A226,'Sales IN Revenues vs Sales targ'!A:G,6,false)," $","")), "")
</f>
        <v>17.17</v>
      </c>
      <c r="K226" s="1">
        <f>IFERROR(VALUE(SUBSTITUTE(VLOOKUP(A226,'Sales IN Revenues vs Sales targ'!A:G,7,false)," $","")), "")
</f>
        <v>200</v>
      </c>
      <c r="L226" s="17">
        <f t="shared" si="4"/>
        <v>0.08585</v>
      </c>
      <c r="M226" s="1">
        <f>value(SUBSTITUTE(IFERROR(VLOOKUP(A226,'Certifications achievements vs '!A:G,6,false),""),"#","")
)</f>
        <v>14</v>
      </c>
      <c r="N226" s="1">
        <f>value(SUBSTITUTE(IFERROR(VLOOKUP(A226,'Certifications achievements vs '!A:G,7,false),""),"#","")
)</f>
        <v>0</v>
      </c>
      <c r="O226" s="17" t="str">
        <f t="shared" si="5"/>
        <v/>
      </c>
      <c r="P226" s="1">
        <f>value(SUBSTITUTE(IFERROR(VLOOKUP(A226,'Communications - Solution Speci'!A:G,6,false),""),"#","")
)</f>
        <v>0</v>
      </c>
      <c r="Q226" s="1">
        <f>value(SUBSTITUTE(IFERROR(VLOOKUP(A226,'Communications - Solution Speci'!A:G,7,false),""),"#","")
)</f>
        <v>1</v>
      </c>
      <c r="R226" s="17">
        <f t="shared" si="6"/>
        <v>0</v>
      </c>
      <c r="S226" s="1">
        <f>value(SUBSTITUTE(IFERROR(VLOOKUP(A226,'Networking - Solution Specializ'!A:G,6,false),""),"#","")
)</f>
        <v>1</v>
      </c>
      <c r="T226" s="1">
        <f>value(SUBSTITUTE(IFERROR(VLOOKUP(A226,'Networking - Solution Specializ'!A:G,7,false),""),"#","")
)</f>
        <v>1</v>
      </c>
      <c r="U226" s="17">
        <f t="shared" si="7"/>
        <v>1</v>
      </c>
      <c r="V226" s="1">
        <f>iferror(vlookup(A226,'Marketing Plan (extract summary'!A:G,6,false),"")</f>
        <v>0</v>
      </c>
      <c r="W226" s="1">
        <f>iferror(vlookup(A226,'Marketing Plan (extract summary'!A:G,7,false),"")</f>
        <v>1</v>
      </c>
      <c r="X226" s="17">
        <f t="shared" si="8"/>
        <v>0</v>
      </c>
      <c r="Y226" s="1">
        <f>value(IFERROR(SUBSTITUTE(SUBSTITUTE(VLOOKUP(A226,'Quarterly Pipeline vs Target Pi'!A:G,6,false)," $","")," €",""), "")
)</f>
        <v>0</v>
      </c>
      <c r="Z226" s="1">
        <f>value(IFERROR(SUBSTITUTE(SUBSTITUTE(VLOOKUP(A226,'Quarterly Pipeline vs Target Pi'!A:G,7,false)," $","")," €",""), "")
)</f>
        <v>0</v>
      </c>
      <c r="AA226" s="17" t="str">
        <f t="shared" si="9"/>
        <v/>
      </c>
      <c r="AB226" s="1">
        <f>value(IFERROR(SUBSTITUTE(SUBSTITUTE(VLOOKUP($A226,'Quarterly Pipeline vs Target Pi'!$A:$V,11,false)," $","")," €",""), "")
)</f>
        <v>41.17</v>
      </c>
      <c r="AC226" s="1">
        <f>value(IFERROR(SUBSTITUTE(SUBSTITUTE(VLOOKUP($A226,'Quarterly Pipeline vs Target Pi'!$A:$V,12,false)," $","")," €",""), "")
)</f>
        <v>0</v>
      </c>
      <c r="AD226" s="17" t="str">
        <f t="shared" si="10"/>
        <v/>
      </c>
      <c r="AE226" s="1">
        <f>value(IFERROR(SUBSTITUTE(SUBSTITUTE(VLOOKUP($A226,'Quarterly Pipeline vs Target Pi'!$A:$V,16,false)," $","")," €",""), "")
)</f>
        <v>46</v>
      </c>
      <c r="AF226" s="1">
        <f>value(IFERROR(SUBSTITUTE(SUBSTITUTE(VLOOKUP($A226,'Quarterly Pipeline vs Target Pi'!$A:$V,17,false)," $","")," €",""), "")
)</f>
        <v>166.67</v>
      </c>
      <c r="AG226" s="17">
        <f t="shared" si="11"/>
        <v>0.2759944801</v>
      </c>
      <c r="AH226" s="1">
        <f>value(IFERROR(SUBSTITUTE(SUBSTITUTE(VLOOKUP($A226,'Quarterly Pipeline vs Target Pi'!$A:$V,21,false)," $","")," €",""), "")
)</f>
        <v>0</v>
      </c>
      <c r="AI226" s="1">
        <f>value(IFERROR(SUBSTITUTE(SUBSTITUTE(VLOOKUP($A226,'Quarterly Pipeline vs Target Pi'!$A:$V,22,false)," $","")," €",""), "")
)</f>
        <v>166.67</v>
      </c>
      <c r="AJ226" s="17">
        <f t="shared" si="12"/>
        <v>0</v>
      </c>
      <c r="AK226" s="1">
        <f t="shared" ref="AK226:AL226" si="465">sum(Y226,AB226,AE226,AH226)</f>
        <v>87.17</v>
      </c>
      <c r="AL226" s="1">
        <f t="shared" si="465"/>
        <v>333.34</v>
      </c>
      <c r="AM226" s="17">
        <f t="shared" si="14"/>
        <v>0.2615047699</v>
      </c>
      <c r="AN226" s="1">
        <f>value(IFERROR(SUBSTITUTE(SUBSTITUTE(VLOOKUP($A226,'Quarterly Pipeline vs Target Pi'!$A:$AP,26,false)," $","")," €",""), "")
)</f>
        <v>0</v>
      </c>
      <c r="AO226" s="1">
        <f>value(IFERROR(SUBSTITUTE(SUBSTITUTE(VLOOKUP($A226,'Quarterly Pipeline vs Target Pi'!$A:$AP,27,false)," $","")," €",""), "")
)</f>
        <v>0</v>
      </c>
      <c r="AP226" s="17" t="str">
        <f t="shared" si="15"/>
        <v/>
      </c>
      <c r="AQ226" s="1">
        <f>value(IFERROR(SUBSTITUTE(SUBSTITUTE(VLOOKUP($A226,'Quarterly Pipeline vs Target Pi'!$A:$AP,31,false)," $","")," €",""), "")
)</f>
        <v>0</v>
      </c>
      <c r="AR226" s="1">
        <f>value(IFERROR(SUBSTITUTE(SUBSTITUTE(VLOOKUP($A226,'Quarterly Pipeline vs Target Pi'!$A:$AP,32,false)," $","")," €",""), "")
)</f>
        <v>0</v>
      </c>
      <c r="AS226" s="17" t="str">
        <f t="shared" si="16"/>
        <v/>
      </c>
      <c r="AT226" s="1">
        <f>value(IFERROR(SUBSTITUTE(SUBSTITUTE(VLOOKUP($A226,'Quarterly Pipeline vs Target Pi'!$A:$AP,36,false)," $","")," €",""), "")
)</f>
        <v>0</v>
      </c>
      <c r="AU226" s="1">
        <f>value(IFERROR(SUBSTITUTE(SUBSTITUTE(VLOOKUP($A226,'Quarterly Pipeline vs Target Pi'!$A:$AP,37,false)," $","")," €",""), "")
)</f>
        <v>0</v>
      </c>
      <c r="AV226" s="17" t="str">
        <f t="shared" si="17"/>
        <v/>
      </c>
      <c r="AW226" s="1">
        <f>value(IFERROR(SUBSTITUTE(SUBSTITUTE(VLOOKUP($A226,'Quarterly Pipeline vs Target Pi'!$A:$AP,41,false)," $","")," €",""), "")
)</f>
        <v>0</v>
      </c>
      <c r="AX226" s="1">
        <f>value(IFERROR(SUBSTITUTE(SUBSTITUTE(VLOOKUP($A226,'Quarterly Pipeline vs Target Pi'!$A:$AP,42,false)," $","")," €",""), "")
)</f>
        <v>0</v>
      </c>
      <c r="AY226" s="17" t="str">
        <f t="shared" si="18"/>
        <v/>
      </c>
      <c r="AZ226" s="1">
        <f t="shared" ref="AZ226:BA226" si="466">sum(AN226,AQ226,AT226,AW226)</f>
        <v>0</v>
      </c>
      <c r="BA226" s="1">
        <f t="shared" si="466"/>
        <v>0</v>
      </c>
      <c r="BB226" s="17" t="str">
        <f t="shared" si="20"/>
        <v/>
      </c>
    </row>
    <row r="227">
      <c r="A227" s="1" t="str">
        <f>IFERROR(__xludf.DUMMYFUNCTION("""COMPUTED_VALUE"""),"63ced84dc5c820531c269725")</f>
        <v>63ced84dc5c820531c269725</v>
      </c>
      <c r="B227" s="1" t="str">
        <f>IFERROR(__xludf.DUMMYFUNCTION("""COMPUTED_VALUE"""),"Infinity Technology")</f>
        <v>Infinity Technology</v>
      </c>
      <c r="C227" s="1" t="str">
        <f>IFERROR(__xludf.DUMMYFUNCTION("""COMPUTED_VALUE"""),"brendan.flaherty@al-enterprise.com")</f>
        <v>brendan.flaherty@al-enterprise.com</v>
      </c>
      <c r="D227" s="1" t="str">
        <f>IFERROR(__xludf.DUMMYFUNCTION("""COMPUTED_VALUE"""),"americas")</f>
        <v>americas</v>
      </c>
      <c r="E227" s="1" t="str">
        <f>IFERROR(__xludf.DUMMYFUNCTION("""COMPUTED_VALUE"""),"US")</f>
        <v>US</v>
      </c>
      <c r="F227" s="1"/>
      <c r="G227" s="1" t="str">
        <f>iferror(VLOOKUP(A227,'Business Plan Setup and Accepta'!A:G,6,false),"")</f>
        <v/>
      </c>
      <c r="H227" s="1" t="str">
        <f>iferror(VLOOKUP(A227,'Business Plan Setup and Accepta'!A:G,7,false),"")</f>
        <v/>
      </c>
      <c r="I227" s="17" t="str">
        <f t="shared" si="3"/>
        <v/>
      </c>
      <c r="J227" s="1" t="str">
        <f>IFERROR(VALUE(SUBSTITUTE(VLOOKUP(A227,'Sales IN Revenues vs Sales targ'!A:G,6,false)," $","")), "")
</f>
        <v/>
      </c>
      <c r="K227" s="1" t="str">
        <f>IFERROR(VALUE(SUBSTITUTE(VLOOKUP(A227,'Sales IN Revenues vs Sales targ'!A:G,7,false)," $","")), "")
</f>
        <v/>
      </c>
      <c r="L227" s="17" t="str">
        <f t="shared" si="4"/>
        <v/>
      </c>
      <c r="M227" s="1">
        <f>value(SUBSTITUTE(IFERROR(VLOOKUP(A227,'Certifications achievements vs '!A:G,6,false),""),"#","")
)</f>
        <v>0</v>
      </c>
      <c r="N227" s="1">
        <f>value(SUBSTITUTE(IFERROR(VLOOKUP(A227,'Certifications achievements vs '!A:G,7,false),""),"#","")
)</f>
        <v>0</v>
      </c>
      <c r="O227" s="17" t="str">
        <f t="shared" si="5"/>
        <v/>
      </c>
      <c r="P227" s="1">
        <f>value(SUBSTITUTE(IFERROR(VLOOKUP(A227,'Communications - Solution Speci'!A:G,6,false),""),"#","")
)</f>
        <v>0</v>
      </c>
      <c r="Q227" s="1">
        <f>value(SUBSTITUTE(IFERROR(VLOOKUP(A227,'Communications - Solution Speci'!A:G,7,false),""),"#","")
)</f>
        <v>0</v>
      </c>
      <c r="R227" s="17" t="str">
        <f t="shared" si="6"/>
        <v/>
      </c>
      <c r="S227" s="1">
        <f>value(SUBSTITUTE(IFERROR(VLOOKUP(A227,'Networking - Solution Specializ'!A:G,6,false),""),"#","")
)</f>
        <v>0</v>
      </c>
      <c r="T227" s="1">
        <f>value(SUBSTITUTE(IFERROR(VLOOKUP(A227,'Networking - Solution Specializ'!A:G,7,false),""),"#","")
)</f>
        <v>0</v>
      </c>
      <c r="U227" s="17" t="str">
        <f t="shared" si="7"/>
        <v/>
      </c>
      <c r="V227" s="1" t="str">
        <f>iferror(vlookup(A227,'Marketing Plan (extract summary'!A:G,6,false),"")</f>
        <v/>
      </c>
      <c r="W227" s="1" t="str">
        <f>iferror(vlookup(A227,'Marketing Plan (extract summary'!A:G,7,false),"")</f>
        <v/>
      </c>
      <c r="X227" s="17" t="str">
        <f t="shared" si="8"/>
        <v/>
      </c>
      <c r="Y227" s="1">
        <f>value(IFERROR(SUBSTITUTE(SUBSTITUTE(VLOOKUP(A227,'Quarterly Pipeline vs Target Pi'!A:G,6,false)," $","")," €",""), "")
)</f>
        <v>0</v>
      </c>
      <c r="Z227" s="1">
        <f>value(IFERROR(SUBSTITUTE(SUBSTITUTE(VLOOKUP(A227,'Quarterly Pipeline vs Target Pi'!A:G,7,false)," $","")," €",""), "")
)</f>
        <v>0</v>
      </c>
      <c r="AA227" s="17" t="str">
        <f t="shared" si="9"/>
        <v/>
      </c>
      <c r="AB227" s="1">
        <f>value(IFERROR(SUBSTITUTE(SUBSTITUTE(VLOOKUP($A227,'Quarterly Pipeline vs Target Pi'!$A:$V,11,false)," $","")," €",""), "")
)</f>
        <v>0</v>
      </c>
      <c r="AC227" s="1">
        <f>value(IFERROR(SUBSTITUTE(SUBSTITUTE(VLOOKUP($A227,'Quarterly Pipeline vs Target Pi'!$A:$V,12,false)," $","")," €",""), "")
)</f>
        <v>0</v>
      </c>
      <c r="AD227" s="17" t="str">
        <f t="shared" si="10"/>
        <v/>
      </c>
      <c r="AE227" s="1">
        <f>value(IFERROR(SUBSTITUTE(SUBSTITUTE(VLOOKUP($A227,'Quarterly Pipeline vs Target Pi'!$A:$V,16,false)," $","")," €",""), "")
)</f>
        <v>0</v>
      </c>
      <c r="AF227" s="1">
        <f>value(IFERROR(SUBSTITUTE(SUBSTITUTE(VLOOKUP($A227,'Quarterly Pipeline vs Target Pi'!$A:$V,17,false)," $","")," €",""), "")
)</f>
        <v>0</v>
      </c>
      <c r="AG227" s="17" t="str">
        <f t="shared" si="11"/>
        <v/>
      </c>
      <c r="AH227" s="1">
        <f>value(IFERROR(SUBSTITUTE(SUBSTITUTE(VLOOKUP($A227,'Quarterly Pipeline vs Target Pi'!$A:$V,21,false)," $","")," €",""), "")
)</f>
        <v>0</v>
      </c>
      <c r="AI227" s="1">
        <f>value(IFERROR(SUBSTITUTE(SUBSTITUTE(VLOOKUP($A227,'Quarterly Pipeline vs Target Pi'!$A:$V,22,false)," $","")," €",""), "")
)</f>
        <v>0</v>
      </c>
      <c r="AJ227" s="17" t="str">
        <f t="shared" si="12"/>
        <v/>
      </c>
      <c r="AK227" s="1">
        <f t="shared" ref="AK227:AL227" si="467">sum(Y227,AB227,AE227,AH227)</f>
        <v>0</v>
      </c>
      <c r="AL227" s="1">
        <f t="shared" si="467"/>
        <v>0</v>
      </c>
      <c r="AM227" s="17" t="str">
        <f t="shared" si="14"/>
        <v/>
      </c>
      <c r="AN227" s="1">
        <f>value(IFERROR(SUBSTITUTE(SUBSTITUTE(VLOOKUP($A227,'Quarterly Pipeline vs Target Pi'!$A:$AP,26,false)," $","")," €",""), "")
)</f>
        <v>0</v>
      </c>
      <c r="AO227" s="1">
        <f>value(IFERROR(SUBSTITUTE(SUBSTITUTE(VLOOKUP($A227,'Quarterly Pipeline vs Target Pi'!$A:$AP,27,false)," $","")," €",""), "")
)</f>
        <v>0</v>
      </c>
      <c r="AP227" s="17" t="str">
        <f t="shared" si="15"/>
        <v/>
      </c>
      <c r="AQ227" s="1">
        <f>value(IFERROR(SUBSTITUTE(SUBSTITUTE(VLOOKUP($A227,'Quarterly Pipeline vs Target Pi'!$A:$AP,31,false)," $","")," €",""), "")
)</f>
        <v>0</v>
      </c>
      <c r="AR227" s="1">
        <f>value(IFERROR(SUBSTITUTE(SUBSTITUTE(VLOOKUP($A227,'Quarterly Pipeline vs Target Pi'!$A:$AP,32,false)," $","")," €",""), "")
)</f>
        <v>0</v>
      </c>
      <c r="AS227" s="17" t="str">
        <f t="shared" si="16"/>
        <v/>
      </c>
      <c r="AT227" s="1">
        <f>value(IFERROR(SUBSTITUTE(SUBSTITUTE(VLOOKUP($A227,'Quarterly Pipeline vs Target Pi'!$A:$AP,36,false)," $","")," €",""), "")
)</f>
        <v>0</v>
      </c>
      <c r="AU227" s="1">
        <f>value(IFERROR(SUBSTITUTE(SUBSTITUTE(VLOOKUP($A227,'Quarterly Pipeline vs Target Pi'!$A:$AP,37,false)," $","")," €",""), "")
)</f>
        <v>0</v>
      </c>
      <c r="AV227" s="17" t="str">
        <f t="shared" si="17"/>
        <v/>
      </c>
      <c r="AW227" s="1">
        <f>value(IFERROR(SUBSTITUTE(SUBSTITUTE(VLOOKUP($A227,'Quarterly Pipeline vs Target Pi'!$A:$AP,41,false)," $","")," €",""), "")
)</f>
        <v>0</v>
      </c>
      <c r="AX227" s="1">
        <f>value(IFERROR(SUBSTITUTE(SUBSTITUTE(VLOOKUP($A227,'Quarterly Pipeline vs Target Pi'!$A:$AP,42,false)," $","")," €",""), "")
)</f>
        <v>0</v>
      </c>
      <c r="AY227" s="17" t="str">
        <f t="shared" si="18"/>
        <v/>
      </c>
      <c r="AZ227" s="1">
        <f t="shared" ref="AZ227:BA227" si="468">sum(AN227,AQ227,AT227,AW227)</f>
        <v>0</v>
      </c>
      <c r="BA227" s="1">
        <f t="shared" si="468"/>
        <v>0</v>
      </c>
      <c r="BB227" s="17" t="str">
        <f t="shared" si="20"/>
        <v/>
      </c>
    </row>
    <row r="228">
      <c r="A228" s="1" t="str">
        <f>IFERROR(__xludf.DUMMYFUNCTION("""COMPUTED_VALUE"""),"63fcbb82a107c871cf564e87")</f>
        <v>63fcbb82a107c871cf564e87</v>
      </c>
      <c r="B228" s="1" t="str">
        <f>IFERROR(__xludf.DUMMYFUNCTION("""COMPUTED_VALUE"""),"Innova-ITC")</f>
        <v>Innova-ITC</v>
      </c>
      <c r="C228" s="1" t="str">
        <f>IFERROR(__xludf.DUMMYFUNCTION("""COMPUTED_VALUE"""),"philippe.girard@al-enterprise.com, rui.silva@al-enterprise.com, nuno.ribas@al-enterprise.com, carolina.rodriguez@al-enterprise.com")</f>
        <v>philippe.girard@al-enterprise.com, rui.silva@al-enterprise.com, nuno.ribas@al-enterprise.com, carolina.rodriguez@al-enterprise.com</v>
      </c>
      <c r="D228" s="1" t="str">
        <f>IFERROR(__xludf.DUMMYFUNCTION("""COMPUTED_VALUE"""),"americas")</f>
        <v>americas</v>
      </c>
      <c r="E228" s="1" t="str">
        <f>IFERROR(__xludf.DUMMYFUNCTION("""COMPUTED_VALUE"""),"PE")</f>
        <v>PE</v>
      </c>
      <c r="F228" s="1" t="str">
        <f>IFERROR(__xludf.DUMMYFUNCTION("""COMPUTED_VALUE"""),"expert_200")</f>
        <v>expert_200</v>
      </c>
      <c r="G228" s="1">
        <f>iferror(VLOOKUP(A228,'Business Plan Setup and Accepta'!A:G,6,false),"")</f>
        <v>0</v>
      </c>
      <c r="H228" s="1">
        <f>iferror(VLOOKUP(A228,'Business Plan Setup and Accepta'!A:G,7,false),"")</f>
        <v>1</v>
      </c>
      <c r="I228" s="17">
        <f t="shared" si="3"/>
        <v>0</v>
      </c>
      <c r="J228" s="1">
        <f>IFERROR(VALUE(SUBSTITUTE(VLOOKUP(A228,'Sales IN Revenues vs Sales targ'!A:G,6,false)," $","")), "")
</f>
        <v>98.25</v>
      </c>
      <c r="K228" s="1">
        <f>IFERROR(VALUE(SUBSTITUTE(VLOOKUP(A228,'Sales IN Revenues vs Sales targ'!A:G,7,false)," $","")), "")
</f>
        <v>503</v>
      </c>
      <c r="L228" s="17">
        <f t="shared" si="4"/>
        <v>0.1953280318</v>
      </c>
      <c r="M228" s="1">
        <f>value(SUBSTITUTE(IFERROR(VLOOKUP(A228,'Certifications achievements vs '!A:G,6,false),""),"#","")
)</f>
        <v>36</v>
      </c>
      <c r="N228" s="1">
        <f>value(SUBSTITUTE(IFERROR(VLOOKUP(A228,'Certifications achievements vs '!A:G,7,false),""),"#","")
)</f>
        <v>22</v>
      </c>
      <c r="O228" s="17">
        <f t="shared" si="5"/>
        <v>1.636363636</v>
      </c>
      <c r="P228" s="1">
        <f>value(SUBSTITUTE(IFERROR(VLOOKUP(A228,'Communications - Solution Speci'!A:G,6,false),""),"#","")
)</f>
        <v>0</v>
      </c>
      <c r="Q228" s="1">
        <f>value(SUBSTITUTE(IFERROR(VLOOKUP(A228,'Communications - Solution Speci'!A:G,7,false),""),"#","")
)</f>
        <v>1</v>
      </c>
      <c r="R228" s="17">
        <f t="shared" si="6"/>
        <v>0</v>
      </c>
      <c r="S228" s="1">
        <f>value(SUBSTITUTE(IFERROR(VLOOKUP(A228,'Networking - Solution Specializ'!A:G,6,false),""),"#","")
)</f>
        <v>1</v>
      </c>
      <c r="T228" s="1">
        <f>value(SUBSTITUTE(IFERROR(VLOOKUP(A228,'Networking - Solution Specializ'!A:G,7,false),""),"#","")
)</f>
        <v>1</v>
      </c>
      <c r="U228" s="17">
        <f t="shared" si="7"/>
        <v>1</v>
      </c>
      <c r="V228" s="1">
        <f>iferror(vlookup(A228,'Marketing Plan (extract summary'!A:G,6,false),"")</f>
        <v>0</v>
      </c>
      <c r="W228" s="1">
        <f>iferror(vlookup(A228,'Marketing Plan (extract summary'!A:G,7,false),"")</f>
        <v>1</v>
      </c>
      <c r="X228" s="17">
        <f t="shared" si="8"/>
        <v>0</v>
      </c>
      <c r="Y228" s="1">
        <f>value(IFERROR(SUBSTITUTE(SUBSTITUTE(VLOOKUP(A228,'Quarterly Pipeline vs Target Pi'!A:G,6,false)," $","")," €",""), "")
)</f>
        <v>30</v>
      </c>
      <c r="Z228" s="1">
        <f>value(IFERROR(SUBSTITUTE(SUBSTITUTE(VLOOKUP(A228,'Quarterly Pipeline vs Target Pi'!A:G,7,false)," $","")," €",""), "")
)</f>
        <v>0</v>
      </c>
      <c r="AA228" s="17" t="str">
        <f t="shared" si="9"/>
        <v/>
      </c>
      <c r="AB228" s="1">
        <f>value(IFERROR(SUBSTITUTE(SUBSTITUTE(VLOOKUP($A228,'Quarterly Pipeline vs Target Pi'!$A:$V,11,false)," $","")," €",""), "")
)</f>
        <v>20</v>
      </c>
      <c r="AC228" s="1">
        <f>value(IFERROR(SUBSTITUTE(SUBSTITUTE(VLOOKUP($A228,'Quarterly Pipeline vs Target Pi'!$A:$V,12,false)," $","")," €",""), "")
)</f>
        <v>353.31</v>
      </c>
      <c r="AD228" s="17">
        <f t="shared" si="10"/>
        <v>0.05660751182</v>
      </c>
      <c r="AE228" s="1">
        <f>value(IFERROR(SUBSTITUTE(SUBSTITUTE(VLOOKUP($A228,'Quarterly Pipeline vs Target Pi'!$A:$V,16,false)," $","")," €",""), "")
)</f>
        <v>131.35</v>
      </c>
      <c r="AF228" s="1">
        <f>value(IFERROR(SUBSTITUTE(SUBSTITUTE(VLOOKUP($A228,'Quarterly Pipeline vs Target Pi'!$A:$V,17,false)," $","")," €",""), "")
)</f>
        <v>643.34</v>
      </c>
      <c r="AG228" s="17">
        <f t="shared" si="11"/>
        <v>0.2041688687</v>
      </c>
      <c r="AH228" s="1">
        <f>value(IFERROR(SUBSTITUTE(SUBSTITUTE(VLOOKUP($A228,'Quarterly Pipeline vs Target Pi'!$A:$V,21,false)," $","")," €",""), "")
)</f>
        <v>1847.85</v>
      </c>
      <c r="AI228" s="1">
        <f>value(IFERROR(SUBSTITUTE(SUBSTITUTE(VLOOKUP($A228,'Quarterly Pipeline vs Target Pi'!$A:$V,22,false)," $","")," €",""), "")
)</f>
        <v>576.64</v>
      </c>
      <c r="AJ228" s="17">
        <f t="shared" si="12"/>
        <v>3.204512347</v>
      </c>
      <c r="AK228" s="1">
        <f t="shared" ref="AK228:AL228" si="469">sum(Y228,AB228,AE228,AH228)</f>
        <v>2029.2</v>
      </c>
      <c r="AL228" s="1">
        <f t="shared" si="469"/>
        <v>1573.29</v>
      </c>
      <c r="AM228" s="17">
        <f t="shared" si="14"/>
        <v>1.289781286</v>
      </c>
      <c r="AN228" s="1">
        <f>value(IFERROR(SUBSTITUTE(SUBSTITUTE(VLOOKUP($A228,'Quarterly Pipeline vs Target Pi'!$A:$AP,26,false)," $","")," €",""), "")
)</f>
        <v>100</v>
      </c>
      <c r="AO228" s="1">
        <f>value(IFERROR(SUBSTITUTE(SUBSTITUTE(VLOOKUP($A228,'Quarterly Pipeline vs Target Pi'!$A:$AP,27,false)," $","")," €",""), "")
)</f>
        <v>0</v>
      </c>
      <c r="AP228" s="17" t="str">
        <f t="shared" si="15"/>
        <v/>
      </c>
      <c r="AQ228" s="1">
        <f>value(IFERROR(SUBSTITUTE(SUBSTITUTE(VLOOKUP($A228,'Quarterly Pipeline vs Target Pi'!$A:$AP,31,false)," $","")," €",""), "")
)</f>
        <v>0</v>
      </c>
      <c r="AR228" s="1">
        <f>value(IFERROR(SUBSTITUTE(SUBSTITUTE(VLOOKUP($A228,'Quarterly Pipeline vs Target Pi'!$A:$AP,32,false)," $","")," €",""), "")
)</f>
        <v>0</v>
      </c>
      <c r="AS228" s="17" t="str">
        <f t="shared" si="16"/>
        <v/>
      </c>
      <c r="AT228" s="1">
        <f>value(IFERROR(SUBSTITUTE(SUBSTITUTE(VLOOKUP($A228,'Quarterly Pipeline vs Target Pi'!$A:$AP,36,false)," $","")," €",""), "")
)</f>
        <v>0</v>
      </c>
      <c r="AU228" s="1">
        <f>value(IFERROR(SUBSTITUTE(SUBSTITUTE(VLOOKUP($A228,'Quarterly Pipeline vs Target Pi'!$A:$AP,37,false)," $","")," €",""), "")
)</f>
        <v>0</v>
      </c>
      <c r="AV228" s="17" t="str">
        <f t="shared" si="17"/>
        <v/>
      </c>
      <c r="AW228" s="1">
        <f>value(IFERROR(SUBSTITUTE(SUBSTITUTE(VLOOKUP($A228,'Quarterly Pipeline vs Target Pi'!$A:$AP,41,false)," $","")," €",""), "")
)</f>
        <v>0</v>
      </c>
      <c r="AX228" s="1">
        <f>value(IFERROR(SUBSTITUTE(SUBSTITUTE(VLOOKUP($A228,'Quarterly Pipeline vs Target Pi'!$A:$AP,42,false)," $","")," €",""), "")
)</f>
        <v>0</v>
      </c>
      <c r="AY228" s="17" t="str">
        <f t="shared" si="18"/>
        <v/>
      </c>
      <c r="AZ228" s="1">
        <f t="shared" ref="AZ228:BA228" si="470">sum(AN228,AQ228,AT228,AW228)</f>
        <v>100</v>
      </c>
      <c r="BA228" s="1">
        <f t="shared" si="470"/>
        <v>0</v>
      </c>
      <c r="BB228" s="17" t="str">
        <f t="shared" si="20"/>
        <v/>
      </c>
    </row>
    <row r="229">
      <c r="A229" s="1" t="str">
        <f>IFERROR(__xludf.DUMMYFUNCTION("""COMPUTED_VALUE"""),"63ced84ec5c820531c2699c8")</f>
        <v>63ced84ec5c820531c2699c8</v>
      </c>
      <c r="B229" s="1" t="str">
        <f>IFERROR(__xludf.DUMMYFUNCTION("""COMPUTED_VALUE"""),"Innovative Network Systems, Inc.")</f>
        <v>Innovative Network Systems, Inc.</v>
      </c>
      <c r="C229" s="1" t="str">
        <f>IFERROR(__xludf.DUMMYFUNCTION("""COMPUTED_VALUE"""),"brendan.flaherty@al-enterprise.com")</f>
        <v>brendan.flaherty@al-enterprise.com</v>
      </c>
      <c r="D229" s="1" t="str">
        <f>IFERROR(__xludf.DUMMYFUNCTION("""COMPUTED_VALUE"""),"americas")</f>
        <v>americas</v>
      </c>
      <c r="E229" s="1" t="str">
        <f>IFERROR(__xludf.DUMMYFUNCTION("""COMPUTED_VALUE"""),"US")</f>
        <v>US</v>
      </c>
      <c r="F229" s="1"/>
      <c r="G229" s="1" t="str">
        <f>iferror(VLOOKUP(A229,'Business Plan Setup and Accepta'!A:G,6,false),"")</f>
        <v/>
      </c>
      <c r="H229" s="1" t="str">
        <f>iferror(VLOOKUP(A229,'Business Plan Setup and Accepta'!A:G,7,false),"")</f>
        <v/>
      </c>
      <c r="I229" s="17" t="str">
        <f t="shared" si="3"/>
        <v/>
      </c>
      <c r="J229" s="1" t="str">
        <f>IFERROR(VALUE(SUBSTITUTE(VLOOKUP(A229,'Sales IN Revenues vs Sales targ'!A:G,6,false)," $","")), "")
</f>
        <v/>
      </c>
      <c r="K229" s="1" t="str">
        <f>IFERROR(VALUE(SUBSTITUTE(VLOOKUP(A229,'Sales IN Revenues vs Sales targ'!A:G,7,false)," $","")), "")
</f>
        <v/>
      </c>
      <c r="L229" s="17" t="str">
        <f t="shared" si="4"/>
        <v/>
      </c>
      <c r="M229" s="1">
        <f>value(SUBSTITUTE(IFERROR(VLOOKUP(A229,'Certifications achievements vs '!A:G,6,false),""),"#","")
)</f>
        <v>0</v>
      </c>
      <c r="N229" s="1">
        <f>value(SUBSTITUTE(IFERROR(VLOOKUP(A229,'Certifications achievements vs '!A:G,7,false),""),"#","")
)</f>
        <v>0</v>
      </c>
      <c r="O229" s="17" t="str">
        <f t="shared" si="5"/>
        <v/>
      </c>
      <c r="P229" s="1">
        <f>value(SUBSTITUTE(IFERROR(VLOOKUP(A229,'Communications - Solution Speci'!A:G,6,false),""),"#","")
)</f>
        <v>0</v>
      </c>
      <c r="Q229" s="1">
        <f>value(SUBSTITUTE(IFERROR(VLOOKUP(A229,'Communications - Solution Speci'!A:G,7,false),""),"#","")
)</f>
        <v>0</v>
      </c>
      <c r="R229" s="17" t="str">
        <f t="shared" si="6"/>
        <v/>
      </c>
      <c r="S229" s="1">
        <f>value(SUBSTITUTE(IFERROR(VLOOKUP(A229,'Networking - Solution Specializ'!A:G,6,false),""),"#","")
)</f>
        <v>0</v>
      </c>
      <c r="T229" s="1">
        <f>value(SUBSTITUTE(IFERROR(VLOOKUP(A229,'Networking - Solution Specializ'!A:G,7,false),""),"#","")
)</f>
        <v>0</v>
      </c>
      <c r="U229" s="17" t="str">
        <f t="shared" si="7"/>
        <v/>
      </c>
      <c r="V229" s="1" t="str">
        <f>iferror(vlookup(A229,'Marketing Plan (extract summary'!A:G,6,false),"")</f>
        <v/>
      </c>
      <c r="W229" s="1" t="str">
        <f>iferror(vlookup(A229,'Marketing Plan (extract summary'!A:G,7,false),"")</f>
        <v/>
      </c>
      <c r="X229" s="17" t="str">
        <f t="shared" si="8"/>
        <v/>
      </c>
      <c r="Y229" s="1">
        <f>value(IFERROR(SUBSTITUTE(SUBSTITUTE(VLOOKUP(A229,'Quarterly Pipeline vs Target Pi'!A:G,6,false)," $","")," €",""), "")
)</f>
        <v>0</v>
      </c>
      <c r="Z229" s="1">
        <f>value(IFERROR(SUBSTITUTE(SUBSTITUTE(VLOOKUP(A229,'Quarterly Pipeline vs Target Pi'!A:G,7,false)," $","")," €",""), "")
)</f>
        <v>0</v>
      </c>
      <c r="AA229" s="17" t="str">
        <f t="shared" si="9"/>
        <v/>
      </c>
      <c r="AB229" s="1">
        <f>value(IFERROR(SUBSTITUTE(SUBSTITUTE(VLOOKUP($A229,'Quarterly Pipeline vs Target Pi'!$A:$V,11,false)," $","")," €",""), "")
)</f>
        <v>0</v>
      </c>
      <c r="AC229" s="1">
        <f>value(IFERROR(SUBSTITUTE(SUBSTITUTE(VLOOKUP($A229,'Quarterly Pipeline vs Target Pi'!$A:$V,12,false)," $","")," €",""), "")
)</f>
        <v>0</v>
      </c>
      <c r="AD229" s="17" t="str">
        <f t="shared" si="10"/>
        <v/>
      </c>
      <c r="AE229" s="1">
        <f>value(IFERROR(SUBSTITUTE(SUBSTITUTE(VLOOKUP($A229,'Quarterly Pipeline vs Target Pi'!$A:$V,16,false)," $","")," €",""), "")
)</f>
        <v>0</v>
      </c>
      <c r="AF229" s="1">
        <f>value(IFERROR(SUBSTITUTE(SUBSTITUTE(VLOOKUP($A229,'Quarterly Pipeline vs Target Pi'!$A:$V,17,false)," $","")," €",""), "")
)</f>
        <v>0</v>
      </c>
      <c r="AG229" s="17" t="str">
        <f t="shared" si="11"/>
        <v/>
      </c>
      <c r="AH229" s="1">
        <f>value(IFERROR(SUBSTITUTE(SUBSTITUTE(VLOOKUP($A229,'Quarterly Pipeline vs Target Pi'!$A:$V,21,false)," $","")," €",""), "")
)</f>
        <v>0</v>
      </c>
      <c r="AI229" s="1">
        <f>value(IFERROR(SUBSTITUTE(SUBSTITUTE(VLOOKUP($A229,'Quarterly Pipeline vs Target Pi'!$A:$V,22,false)," $","")," €",""), "")
)</f>
        <v>0</v>
      </c>
      <c r="AJ229" s="17" t="str">
        <f t="shared" si="12"/>
        <v/>
      </c>
      <c r="AK229" s="1">
        <f t="shared" ref="AK229:AL229" si="471">sum(Y229,AB229,AE229,AH229)</f>
        <v>0</v>
      </c>
      <c r="AL229" s="1">
        <f t="shared" si="471"/>
        <v>0</v>
      </c>
      <c r="AM229" s="17" t="str">
        <f t="shared" si="14"/>
        <v/>
      </c>
      <c r="AN229" s="1">
        <f>value(IFERROR(SUBSTITUTE(SUBSTITUTE(VLOOKUP($A229,'Quarterly Pipeline vs Target Pi'!$A:$AP,26,false)," $","")," €",""), "")
)</f>
        <v>0</v>
      </c>
      <c r="AO229" s="1">
        <f>value(IFERROR(SUBSTITUTE(SUBSTITUTE(VLOOKUP($A229,'Quarterly Pipeline vs Target Pi'!$A:$AP,27,false)," $","")," €",""), "")
)</f>
        <v>0</v>
      </c>
      <c r="AP229" s="17" t="str">
        <f t="shared" si="15"/>
        <v/>
      </c>
      <c r="AQ229" s="1">
        <f>value(IFERROR(SUBSTITUTE(SUBSTITUTE(VLOOKUP($A229,'Quarterly Pipeline vs Target Pi'!$A:$AP,31,false)," $","")," €",""), "")
)</f>
        <v>0</v>
      </c>
      <c r="AR229" s="1">
        <f>value(IFERROR(SUBSTITUTE(SUBSTITUTE(VLOOKUP($A229,'Quarterly Pipeline vs Target Pi'!$A:$AP,32,false)," $","")," €",""), "")
)</f>
        <v>0</v>
      </c>
      <c r="AS229" s="17" t="str">
        <f t="shared" si="16"/>
        <v/>
      </c>
      <c r="AT229" s="1">
        <f>value(IFERROR(SUBSTITUTE(SUBSTITUTE(VLOOKUP($A229,'Quarterly Pipeline vs Target Pi'!$A:$AP,36,false)," $","")," €",""), "")
)</f>
        <v>0</v>
      </c>
      <c r="AU229" s="1">
        <f>value(IFERROR(SUBSTITUTE(SUBSTITUTE(VLOOKUP($A229,'Quarterly Pipeline vs Target Pi'!$A:$AP,37,false)," $","")," €",""), "")
)</f>
        <v>0</v>
      </c>
      <c r="AV229" s="17" t="str">
        <f t="shared" si="17"/>
        <v/>
      </c>
      <c r="AW229" s="1">
        <f>value(IFERROR(SUBSTITUTE(SUBSTITUTE(VLOOKUP($A229,'Quarterly Pipeline vs Target Pi'!$A:$AP,41,false)," $","")," €",""), "")
)</f>
        <v>0</v>
      </c>
      <c r="AX229" s="1">
        <f>value(IFERROR(SUBSTITUTE(SUBSTITUTE(VLOOKUP($A229,'Quarterly Pipeline vs Target Pi'!$A:$AP,42,false)," $","")," €",""), "")
)</f>
        <v>0</v>
      </c>
      <c r="AY229" s="17" t="str">
        <f t="shared" si="18"/>
        <v/>
      </c>
      <c r="AZ229" s="1">
        <f t="shared" ref="AZ229:BA229" si="472">sum(AN229,AQ229,AT229,AW229)</f>
        <v>0</v>
      </c>
      <c r="BA229" s="1">
        <f t="shared" si="472"/>
        <v>0</v>
      </c>
      <c r="BB229" s="17" t="str">
        <f t="shared" si="20"/>
        <v/>
      </c>
    </row>
    <row r="230">
      <c r="A230" s="1" t="str">
        <f>IFERROR(__xludf.DUMMYFUNCTION("""COMPUTED_VALUE"""),"63ced84fc5c820531c269a7c")</f>
        <v>63ced84fc5c820531c269a7c</v>
      </c>
      <c r="B230" s="1" t="str">
        <f>IFERROR(__xludf.DUMMYFUNCTION("""COMPUTED_VALUE"""),"Innovative Office Solutions Inc.")</f>
        <v>Innovative Office Solutions Inc.</v>
      </c>
      <c r="C230" s="1" t="str">
        <f>IFERROR(__xludf.DUMMYFUNCTION("""COMPUTED_VALUE"""),"brendan.flaherty@al-enterprise.com")</f>
        <v>brendan.flaherty@al-enterprise.com</v>
      </c>
      <c r="D230" s="1" t="str">
        <f>IFERROR(__xludf.DUMMYFUNCTION("""COMPUTED_VALUE"""),"americas")</f>
        <v>americas</v>
      </c>
      <c r="E230" s="1" t="str">
        <f>IFERROR(__xludf.DUMMYFUNCTION("""COMPUTED_VALUE"""),"US")</f>
        <v>US</v>
      </c>
      <c r="F230" s="1"/>
      <c r="G230" s="1" t="str">
        <f>iferror(VLOOKUP(A230,'Business Plan Setup and Accepta'!A:G,6,false),"")</f>
        <v/>
      </c>
      <c r="H230" s="1" t="str">
        <f>iferror(VLOOKUP(A230,'Business Plan Setup and Accepta'!A:G,7,false),"")</f>
        <v/>
      </c>
      <c r="I230" s="17" t="str">
        <f t="shared" si="3"/>
        <v/>
      </c>
      <c r="J230" s="1" t="str">
        <f>IFERROR(VALUE(SUBSTITUTE(VLOOKUP(A230,'Sales IN Revenues vs Sales targ'!A:G,6,false)," $","")), "")
</f>
        <v/>
      </c>
      <c r="K230" s="1" t="str">
        <f>IFERROR(VALUE(SUBSTITUTE(VLOOKUP(A230,'Sales IN Revenues vs Sales targ'!A:G,7,false)," $","")), "")
</f>
        <v/>
      </c>
      <c r="L230" s="17" t="str">
        <f t="shared" si="4"/>
        <v/>
      </c>
      <c r="M230" s="1">
        <f>value(SUBSTITUTE(IFERROR(VLOOKUP(A230,'Certifications achievements vs '!A:G,6,false),""),"#","")
)</f>
        <v>0</v>
      </c>
      <c r="N230" s="1">
        <f>value(SUBSTITUTE(IFERROR(VLOOKUP(A230,'Certifications achievements vs '!A:G,7,false),""),"#","")
)</f>
        <v>0</v>
      </c>
      <c r="O230" s="17" t="str">
        <f t="shared" si="5"/>
        <v/>
      </c>
      <c r="P230" s="1">
        <f>value(SUBSTITUTE(IFERROR(VLOOKUP(A230,'Communications - Solution Speci'!A:G,6,false),""),"#","")
)</f>
        <v>0</v>
      </c>
      <c r="Q230" s="1">
        <f>value(SUBSTITUTE(IFERROR(VLOOKUP(A230,'Communications - Solution Speci'!A:G,7,false),""),"#","")
)</f>
        <v>0</v>
      </c>
      <c r="R230" s="17" t="str">
        <f t="shared" si="6"/>
        <v/>
      </c>
      <c r="S230" s="1">
        <f>value(SUBSTITUTE(IFERROR(VLOOKUP(A230,'Networking - Solution Specializ'!A:G,6,false),""),"#","")
)</f>
        <v>0</v>
      </c>
      <c r="T230" s="1">
        <f>value(SUBSTITUTE(IFERROR(VLOOKUP(A230,'Networking - Solution Specializ'!A:G,7,false),""),"#","")
)</f>
        <v>0</v>
      </c>
      <c r="U230" s="17" t="str">
        <f t="shared" si="7"/>
        <v/>
      </c>
      <c r="V230" s="1" t="str">
        <f>iferror(vlookup(A230,'Marketing Plan (extract summary'!A:G,6,false),"")</f>
        <v/>
      </c>
      <c r="W230" s="1" t="str">
        <f>iferror(vlookup(A230,'Marketing Plan (extract summary'!A:G,7,false),"")</f>
        <v/>
      </c>
      <c r="X230" s="17" t="str">
        <f t="shared" si="8"/>
        <v/>
      </c>
      <c r="Y230" s="1">
        <f>value(IFERROR(SUBSTITUTE(SUBSTITUTE(VLOOKUP(A230,'Quarterly Pipeline vs Target Pi'!A:G,6,false)," $","")," €",""), "")
)</f>
        <v>0</v>
      </c>
      <c r="Z230" s="1">
        <f>value(IFERROR(SUBSTITUTE(SUBSTITUTE(VLOOKUP(A230,'Quarterly Pipeline vs Target Pi'!A:G,7,false)," $","")," €",""), "")
)</f>
        <v>0</v>
      </c>
      <c r="AA230" s="17" t="str">
        <f t="shared" si="9"/>
        <v/>
      </c>
      <c r="AB230" s="1">
        <f>value(IFERROR(SUBSTITUTE(SUBSTITUTE(VLOOKUP($A230,'Quarterly Pipeline vs Target Pi'!$A:$V,11,false)," $","")," €",""), "")
)</f>
        <v>0</v>
      </c>
      <c r="AC230" s="1">
        <f>value(IFERROR(SUBSTITUTE(SUBSTITUTE(VLOOKUP($A230,'Quarterly Pipeline vs Target Pi'!$A:$V,12,false)," $","")," €",""), "")
)</f>
        <v>0</v>
      </c>
      <c r="AD230" s="17" t="str">
        <f t="shared" si="10"/>
        <v/>
      </c>
      <c r="AE230" s="1">
        <f>value(IFERROR(SUBSTITUTE(SUBSTITUTE(VLOOKUP($A230,'Quarterly Pipeline vs Target Pi'!$A:$V,16,false)," $","")," €",""), "")
)</f>
        <v>0</v>
      </c>
      <c r="AF230" s="1">
        <f>value(IFERROR(SUBSTITUTE(SUBSTITUTE(VLOOKUP($A230,'Quarterly Pipeline vs Target Pi'!$A:$V,17,false)," $","")," €",""), "")
)</f>
        <v>0</v>
      </c>
      <c r="AG230" s="17" t="str">
        <f t="shared" si="11"/>
        <v/>
      </c>
      <c r="AH230" s="1">
        <f>value(IFERROR(SUBSTITUTE(SUBSTITUTE(VLOOKUP($A230,'Quarterly Pipeline vs Target Pi'!$A:$V,21,false)," $","")," €",""), "")
)</f>
        <v>0</v>
      </c>
      <c r="AI230" s="1">
        <f>value(IFERROR(SUBSTITUTE(SUBSTITUTE(VLOOKUP($A230,'Quarterly Pipeline vs Target Pi'!$A:$V,22,false)," $","")," €",""), "")
)</f>
        <v>0</v>
      </c>
      <c r="AJ230" s="17" t="str">
        <f t="shared" si="12"/>
        <v/>
      </c>
      <c r="AK230" s="1">
        <f t="shared" ref="AK230:AL230" si="473">sum(Y230,AB230,AE230,AH230)</f>
        <v>0</v>
      </c>
      <c r="AL230" s="1">
        <f t="shared" si="473"/>
        <v>0</v>
      </c>
      <c r="AM230" s="17" t="str">
        <f t="shared" si="14"/>
        <v/>
      </c>
      <c r="AN230" s="1">
        <f>value(IFERROR(SUBSTITUTE(SUBSTITUTE(VLOOKUP($A230,'Quarterly Pipeline vs Target Pi'!$A:$AP,26,false)," $","")," €",""), "")
)</f>
        <v>0</v>
      </c>
      <c r="AO230" s="1">
        <f>value(IFERROR(SUBSTITUTE(SUBSTITUTE(VLOOKUP($A230,'Quarterly Pipeline vs Target Pi'!$A:$AP,27,false)," $","")," €",""), "")
)</f>
        <v>0</v>
      </c>
      <c r="AP230" s="17" t="str">
        <f t="shared" si="15"/>
        <v/>
      </c>
      <c r="AQ230" s="1">
        <f>value(IFERROR(SUBSTITUTE(SUBSTITUTE(VLOOKUP($A230,'Quarterly Pipeline vs Target Pi'!$A:$AP,31,false)," $","")," €",""), "")
)</f>
        <v>0</v>
      </c>
      <c r="AR230" s="1">
        <f>value(IFERROR(SUBSTITUTE(SUBSTITUTE(VLOOKUP($A230,'Quarterly Pipeline vs Target Pi'!$A:$AP,32,false)," $","")," €",""), "")
)</f>
        <v>0</v>
      </c>
      <c r="AS230" s="17" t="str">
        <f t="shared" si="16"/>
        <v/>
      </c>
      <c r="AT230" s="1">
        <f>value(IFERROR(SUBSTITUTE(SUBSTITUTE(VLOOKUP($A230,'Quarterly Pipeline vs Target Pi'!$A:$AP,36,false)," $","")," €",""), "")
)</f>
        <v>0</v>
      </c>
      <c r="AU230" s="1">
        <f>value(IFERROR(SUBSTITUTE(SUBSTITUTE(VLOOKUP($A230,'Quarterly Pipeline vs Target Pi'!$A:$AP,37,false)," $","")," €",""), "")
)</f>
        <v>0</v>
      </c>
      <c r="AV230" s="17" t="str">
        <f t="shared" si="17"/>
        <v/>
      </c>
      <c r="AW230" s="1">
        <f>value(IFERROR(SUBSTITUTE(SUBSTITUTE(VLOOKUP($A230,'Quarterly Pipeline vs Target Pi'!$A:$AP,41,false)," $","")," €",""), "")
)</f>
        <v>0</v>
      </c>
      <c r="AX230" s="1">
        <f>value(IFERROR(SUBSTITUTE(SUBSTITUTE(VLOOKUP($A230,'Quarterly Pipeline vs Target Pi'!$A:$AP,42,false)," $","")," €",""), "")
)</f>
        <v>0</v>
      </c>
      <c r="AY230" s="17" t="str">
        <f t="shared" si="18"/>
        <v/>
      </c>
      <c r="AZ230" s="1">
        <f t="shared" ref="AZ230:BA230" si="474">sum(AN230,AQ230,AT230,AW230)</f>
        <v>0</v>
      </c>
      <c r="BA230" s="1">
        <f t="shared" si="474"/>
        <v>0</v>
      </c>
      <c r="BB230" s="17" t="str">
        <f t="shared" si="20"/>
        <v/>
      </c>
    </row>
    <row r="231">
      <c r="A231" s="1" t="str">
        <f>IFERROR(__xludf.DUMMYFUNCTION("""COMPUTED_VALUE"""),"63fcbb83a107c871cf565071")</f>
        <v>63fcbb83a107c871cf565071</v>
      </c>
      <c r="B231" s="1" t="str">
        <f>IFERROR(__xludf.DUMMYFUNCTION("""COMPUTED_VALUE"""),"INSC-INNOVACIÓN EN SERVICIOS DE")</f>
        <v>INSC-INNOVACIÓN EN SERVICIOS DE</v>
      </c>
      <c r="C231" s="1" t="str">
        <f>IFERROR(__xludf.DUMMYFUNCTION("""COMPUTED_VALUE"""),"saul.montiel@al-enterprise.com")</f>
        <v>saul.montiel@al-enterprise.com</v>
      </c>
      <c r="D231" s="1" t="str">
        <f>IFERROR(__xludf.DUMMYFUNCTION("""COMPUTED_VALUE"""),"americas")</f>
        <v>americas</v>
      </c>
      <c r="E231" s="1" t="str">
        <f>IFERROR(__xludf.DUMMYFUNCTION("""COMPUTED_VALUE"""),"MX")</f>
        <v>MX</v>
      </c>
      <c r="F231" s="1"/>
      <c r="G231" s="1" t="str">
        <f>iferror(VLOOKUP(A231,'Business Plan Setup and Accepta'!A:G,6,false),"")</f>
        <v/>
      </c>
      <c r="H231" s="1" t="str">
        <f>iferror(VLOOKUP(A231,'Business Plan Setup and Accepta'!A:G,7,false),"")</f>
        <v/>
      </c>
      <c r="I231" s="17" t="str">
        <f t="shared" si="3"/>
        <v/>
      </c>
      <c r="J231" s="1" t="str">
        <f>IFERROR(VALUE(SUBSTITUTE(VLOOKUP(A231,'Sales IN Revenues vs Sales targ'!A:G,6,false)," $","")), "")
</f>
        <v/>
      </c>
      <c r="K231" s="1" t="str">
        <f>IFERROR(VALUE(SUBSTITUTE(VLOOKUP(A231,'Sales IN Revenues vs Sales targ'!A:G,7,false)," $","")), "")
</f>
        <v/>
      </c>
      <c r="L231" s="17" t="str">
        <f t="shared" si="4"/>
        <v/>
      </c>
      <c r="M231" s="1">
        <f>value(SUBSTITUTE(IFERROR(VLOOKUP(A231,'Certifications achievements vs '!A:G,6,false),""),"#","")
)</f>
        <v>0</v>
      </c>
      <c r="N231" s="1">
        <f>value(SUBSTITUTE(IFERROR(VLOOKUP(A231,'Certifications achievements vs '!A:G,7,false),""),"#","")
)</f>
        <v>0</v>
      </c>
      <c r="O231" s="17" t="str">
        <f t="shared" si="5"/>
        <v/>
      </c>
      <c r="P231" s="1">
        <f>value(SUBSTITUTE(IFERROR(VLOOKUP(A231,'Communications - Solution Speci'!A:G,6,false),""),"#","")
)</f>
        <v>0</v>
      </c>
      <c r="Q231" s="1">
        <f>value(SUBSTITUTE(IFERROR(VLOOKUP(A231,'Communications - Solution Speci'!A:G,7,false),""),"#","")
)</f>
        <v>0</v>
      </c>
      <c r="R231" s="17" t="str">
        <f t="shared" si="6"/>
        <v/>
      </c>
      <c r="S231" s="1">
        <f>value(SUBSTITUTE(IFERROR(VLOOKUP(A231,'Networking - Solution Specializ'!A:G,6,false),""),"#","")
)</f>
        <v>0</v>
      </c>
      <c r="T231" s="1">
        <f>value(SUBSTITUTE(IFERROR(VLOOKUP(A231,'Networking - Solution Specializ'!A:G,7,false),""),"#","")
)</f>
        <v>0</v>
      </c>
      <c r="U231" s="17" t="str">
        <f t="shared" si="7"/>
        <v/>
      </c>
      <c r="V231" s="1" t="str">
        <f>iferror(vlookup(A231,'Marketing Plan (extract summary'!A:G,6,false),"")</f>
        <v/>
      </c>
      <c r="W231" s="1" t="str">
        <f>iferror(vlookup(A231,'Marketing Plan (extract summary'!A:G,7,false),"")</f>
        <v/>
      </c>
      <c r="X231" s="17" t="str">
        <f t="shared" si="8"/>
        <v/>
      </c>
      <c r="Y231" s="1">
        <f>value(IFERROR(SUBSTITUTE(SUBSTITUTE(VLOOKUP(A231,'Quarterly Pipeline vs Target Pi'!A:G,6,false)," $","")," €",""), "")
)</f>
        <v>0</v>
      </c>
      <c r="Z231" s="1">
        <f>value(IFERROR(SUBSTITUTE(SUBSTITUTE(VLOOKUP(A231,'Quarterly Pipeline vs Target Pi'!A:G,7,false)," $","")," €",""), "")
)</f>
        <v>0</v>
      </c>
      <c r="AA231" s="17" t="str">
        <f t="shared" si="9"/>
        <v/>
      </c>
      <c r="AB231" s="1">
        <f>value(IFERROR(SUBSTITUTE(SUBSTITUTE(VLOOKUP($A231,'Quarterly Pipeline vs Target Pi'!$A:$V,11,false)," $","")," €",""), "")
)</f>
        <v>0</v>
      </c>
      <c r="AC231" s="1">
        <f>value(IFERROR(SUBSTITUTE(SUBSTITUTE(VLOOKUP($A231,'Quarterly Pipeline vs Target Pi'!$A:$V,12,false)," $","")," €",""), "")
)</f>
        <v>0</v>
      </c>
      <c r="AD231" s="17" t="str">
        <f t="shared" si="10"/>
        <v/>
      </c>
      <c r="AE231" s="1">
        <f>value(IFERROR(SUBSTITUTE(SUBSTITUTE(VLOOKUP($A231,'Quarterly Pipeline vs Target Pi'!$A:$V,16,false)," $","")," €",""), "")
)</f>
        <v>0</v>
      </c>
      <c r="AF231" s="1">
        <f>value(IFERROR(SUBSTITUTE(SUBSTITUTE(VLOOKUP($A231,'Quarterly Pipeline vs Target Pi'!$A:$V,17,false)," $","")," €",""), "")
)</f>
        <v>0</v>
      </c>
      <c r="AG231" s="17" t="str">
        <f t="shared" si="11"/>
        <v/>
      </c>
      <c r="AH231" s="1">
        <f>value(IFERROR(SUBSTITUTE(SUBSTITUTE(VLOOKUP($A231,'Quarterly Pipeline vs Target Pi'!$A:$V,21,false)," $","")," €",""), "")
)</f>
        <v>0</v>
      </c>
      <c r="AI231" s="1">
        <f>value(IFERROR(SUBSTITUTE(SUBSTITUTE(VLOOKUP($A231,'Quarterly Pipeline vs Target Pi'!$A:$V,22,false)," $","")," €",""), "")
)</f>
        <v>0</v>
      </c>
      <c r="AJ231" s="17" t="str">
        <f t="shared" si="12"/>
        <v/>
      </c>
      <c r="AK231" s="1">
        <f t="shared" ref="AK231:AL231" si="475">sum(Y231,AB231,AE231,AH231)</f>
        <v>0</v>
      </c>
      <c r="AL231" s="1">
        <f t="shared" si="475"/>
        <v>0</v>
      </c>
      <c r="AM231" s="17" t="str">
        <f t="shared" si="14"/>
        <v/>
      </c>
      <c r="AN231" s="1">
        <f>value(IFERROR(SUBSTITUTE(SUBSTITUTE(VLOOKUP($A231,'Quarterly Pipeline vs Target Pi'!$A:$AP,26,false)," $","")," €",""), "")
)</f>
        <v>0</v>
      </c>
      <c r="AO231" s="1">
        <f>value(IFERROR(SUBSTITUTE(SUBSTITUTE(VLOOKUP($A231,'Quarterly Pipeline vs Target Pi'!$A:$AP,27,false)," $","")," €",""), "")
)</f>
        <v>0</v>
      </c>
      <c r="AP231" s="17" t="str">
        <f t="shared" si="15"/>
        <v/>
      </c>
      <c r="AQ231" s="1">
        <f>value(IFERROR(SUBSTITUTE(SUBSTITUTE(VLOOKUP($A231,'Quarterly Pipeline vs Target Pi'!$A:$AP,31,false)," $","")," €",""), "")
)</f>
        <v>0</v>
      </c>
      <c r="AR231" s="1">
        <f>value(IFERROR(SUBSTITUTE(SUBSTITUTE(VLOOKUP($A231,'Quarterly Pipeline vs Target Pi'!$A:$AP,32,false)," $","")," €",""), "")
)</f>
        <v>0</v>
      </c>
      <c r="AS231" s="17" t="str">
        <f t="shared" si="16"/>
        <v/>
      </c>
      <c r="AT231" s="1">
        <f>value(IFERROR(SUBSTITUTE(SUBSTITUTE(VLOOKUP($A231,'Quarterly Pipeline vs Target Pi'!$A:$AP,36,false)," $","")," €",""), "")
)</f>
        <v>0</v>
      </c>
      <c r="AU231" s="1">
        <f>value(IFERROR(SUBSTITUTE(SUBSTITUTE(VLOOKUP($A231,'Quarterly Pipeline vs Target Pi'!$A:$AP,37,false)," $","")," €",""), "")
)</f>
        <v>0</v>
      </c>
      <c r="AV231" s="17" t="str">
        <f t="shared" si="17"/>
        <v/>
      </c>
      <c r="AW231" s="1">
        <f>value(IFERROR(SUBSTITUTE(SUBSTITUTE(VLOOKUP($A231,'Quarterly Pipeline vs Target Pi'!$A:$AP,41,false)," $","")," €",""), "")
)</f>
        <v>0</v>
      </c>
      <c r="AX231" s="1">
        <f>value(IFERROR(SUBSTITUTE(SUBSTITUTE(VLOOKUP($A231,'Quarterly Pipeline vs Target Pi'!$A:$AP,42,false)," $","")," €",""), "")
)</f>
        <v>0</v>
      </c>
      <c r="AY231" s="17" t="str">
        <f t="shared" si="18"/>
        <v/>
      </c>
      <c r="AZ231" s="1">
        <f t="shared" ref="AZ231:BA231" si="476">sum(AN231,AQ231,AT231,AW231)</f>
        <v>0</v>
      </c>
      <c r="BA231" s="1">
        <f t="shared" si="476"/>
        <v>0</v>
      </c>
      <c r="BB231" s="17" t="str">
        <f t="shared" si="20"/>
        <v/>
      </c>
    </row>
    <row r="232">
      <c r="A232" s="1" t="str">
        <f>IFERROR(__xludf.DUMMYFUNCTION("""COMPUTED_VALUE"""),"67766fb5137213659d0c9be2")</f>
        <v>67766fb5137213659d0c9be2</v>
      </c>
      <c r="B232" s="1" t="str">
        <f>IFERROR(__xludf.DUMMYFUNCTION("""COMPUTED_VALUE"""),"Intech Southwest Services LLC")</f>
        <v>Intech Southwest Services LLC</v>
      </c>
      <c r="C232" s="1" t="str">
        <f>IFERROR(__xludf.DUMMYFUNCTION("""COMPUTED_VALUE"""),"bill.rademacher@al-enterprise.com, jack.jachner@al-enterprise.com")</f>
        <v>bill.rademacher@al-enterprise.com, jack.jachner@al-enterprise.com</v>
      </c>
      <c r="D232" s="1" t="str">
        <f>IFERROR(__xludf.DUMMYFUNCTION("""COMPUTED_VALUE"""),"americas")</f>
        <v>americas</v>
      </c>
      <c r="E232" s="1" t="str">
        <f>IFERROR(__xludf.DUMMYFUNCTION("""COMPUTED_VALUE"""),"US")</f>
        <v>US</v>
      </c>
      <c r="F232" s="1" t="str">
        <f>IFERROR(__xludf.DUMMYFUNCTION("""COMPUTED_VALUE"""),"expert_1000")</f>
        <v>expert_1000</v>
      </c>
      <c r="G232" s="1">
        <f>iferror(VLOOKUP(A232,'Business Plan Setup and Accepta'!A:G,6,false),"")</f>
        <v>1</v>
      </c>
      <c r="H232" s="1">
        <f>iferror(VLOOKUP(A232,'Business Plan Setup and Accepta'!A:G,7,false),"")</f>
        <v>1</v>
      </c>
      <c r="I232" s="17">
        <f t="shared" si="3"/>
        <v>1</v>
      </c>
      <c r="J232" s="1">
        <f>IFERROR(VALUE(SUBSTITUTE(VLOOKUP(A232,'Sales IN Revenues vs Sales targ'!A:G,6,false)," $","")), "")
</f>
        <v>239.68</v>
      </c>
      <c r="K232" s="1">
        <f>IFERROR(VALUE(SUBSTITUTE(VLOOKUP(A232,'Sales IN Revenues vs Sales targ'!A:G,7,false)," $","")), "")
</f>
        <v>3349.97</v>
      </c>
      <c r="L232" s="17">
        <f t="shared" si="4"/>
        <v>0.07154690938</v>
      </c>
      <c r="M232" s="1">
        <f>value(SUBSTITUTE(IFERROR(VLOOKUP(A232,'Certifications achievements vs '!A:G,6,false),""),"#","")
)</f>
        <v>5</v>
      </c>
      <c r="N232" s="1">
        <f>value(SUBSTITUTE(IFERROR(VLOOKUP(A232,'Certifications achievements vs '!A:G,7,false),""),"#","")
)</f>
        <v>0</v>
      </c>
      <c r="O232" s="17" t="str">
        <f t="shared" si="5"/>
        <v/>
      </c>
      <c r="P232" s="1">
        <f>value(SUBSTITUTE(IFERROR(VLOOKUP(A232,'Communications - Solution Speci'!A:G,6,false),""),"#","")
)</f>
        <v>0</v>
      </c>
      <c r="Q232" s="1">
        <f>value(SUBSTITUTE(IFERROR(VLOOKUP(A232,'Communications - Solution Speci'!A:G,7,false),""),"#","")
)</f>
        <v>1</v>
      </c>
      <c r="R232" s="17">
        <f t="shared" si="6"/>
        <v>0</v>
      </c>
      <c r="S232" s="1">
        <f>value(SUBSTITUTE(IFERROR(VLOOKUP(A232,'Networking - Solution Specializ'!A:G,6,false),""),"#","")
)</f>
        <v>0</v>
      </c>
      <c r="T232" s="1">
        <f>value(SUBSTITUTE(IFERROR(VLOOKUP(A232,'Networking - Solution Specializ'!A:G,7,false),""),"#","")
)</f>
        <v>1</v>
      </c>
      <c r="U232" s="17">
        <f t="shared" si="7"/>
        <v>0</v>
      </c>
      <c r="V232" s="1">
        <f>iferror(vlookup(A232,'Marketing Plan (extract summary'!A:G,6,false),"")</f>
        <v>0</v>
      </c>
      <c r="W232" s="1">
        <f>iferror(vlookup(A232,'Marketing Plan (extract summary'!A:G,7,false),"")</f>
        <v>1</v>
      </c>
      <c r="X232" s="17">
        <f t="shared" si="8"/>
        <v>0</v>
      </c>
      <c r="Y232" s="1">
        <f>value(IFERROR(SUBSTITUTE(SUBSTITUTE(VLOOKUP(A232,'Quarterly Pipeline vs Target Pi'!A:G,6,false)," $","")," €",""), "")
)</f>
        <v>13.05</v>
      </c>
      <c r="Z232" s="1">
        <f>value(IFERROR(SUBSTITUTE(SUBSTITUTE(VLOOKUP(A232,'Quarterly Pipeline vs Target Pi'!A:G,7,false)," $","")," €",""), "")
)</f>
        <v>0</v>
      </c>
      <c r="AA232" s="17" t="str">
        <f t="shared" si="9"/>
        <v/>
      </c>
      <c r="AB232" s="1">
        <f>value(IFERROR(SUBSTITUTE(SUBSTITUTE(VLOOKUP($A232,'Quarterly Pipeline vs Target Pi'!$A:$V,11,false)," $","")," €",""), "")
)</f>
        <v>25.07</v>
      </c>
      <c r="AC232" s="1">
        <f>value(IFERROR(SUBSTITUTE(SUBSTITUTE(VLOOKUP($A232,'Quarterly Pipeline vs Target Pi'!$A:$V,12,false)," $","")," €",""), "")
)</f>
        <v>1883.3</v>
      </c>
      <c r="AD232" s="17">
        <f t="shared" si="10"/>
        <v>0.01331174003</v>
      </c>
      <c r="AE232" s="1">
        <f>value(IFERROR(SUBSTITUTE(SUBSTITUTE(VLOOKUP($A232,'Quarterly Pipeline vs Target Pi'!$A:$V,16,false)," $","")," €",""), "")
)</f>
        <v>66.54</v>
      </c>
      <c r="AF232" s="1">
        <f>value(IFERROR(SUBSTITUTE(SUBSTITUTE(VLOOKUP($A232,'Quarterly Pipeline vs Target Pi'!$A:$V,17,false)," $","")," €",""), "")
)</f>
        <v>5316.63</v>
      </c>
      <c r="AG232" s="17">
        <f t="shared" si="11"/>
        <v>0.01251544681</v>
      </c>
      <c r="AH232" s="1">
        <f>value(IFERROR(SUBSTITUTE(SUBSTITUTE(VLOOKUP($A232,'Quarterly Pipeline vs Target Pi'!$A:$V,21,false)," $","")," €",""), "")
)</f>
        <v>5169.93</v>
      </c>
      <c r="AI232" s="1">
        <f>value(IFERROR(SUBSTITUTE(SUBSTITUTE(VLOOKUP($A232,'Quarterly Pipeline vs Target Pi'!$A:$V,22,false)," $","")," €",""), "")
)</f>
        <v>3966.63</v>
      </c>
      <c r="AJ232" s="17">
        <f t="shared" si="12"/>
        <v>1.303355745</v>
      </c>
      <c r="AK232" s="1">
        <f t="shared" ref="AK232:AL232" si="477">sum(Y232,AB232,AE232,AH232)</f>
        <v>5274.59</v>
      </c>
      <c r="AL232" s="1">
        <f t="shared" si="477"/>
        <v>11166.56</v>
      </c>
      <c r="AM232" s="17">
        <f t="shared" si="14"/>
        <v>0.4723558553</v>
      </c>
      <c r="AN232" s="1">
        <f>value(IFERROR(SUBSTITUTE(SUBSTITUTE(VLOOKUP($A232,'Quarterly Pipeline vs Target Pi'!$A:$AP,26,false)," $","")," €",""), "")
)</f>
        <v>6267.99</v>
      </c>
      <c r="AO232" s="1">
        <f>value(IFERROR(SUBSTITUTE(SUBSTITUTE(VLOOKUP($A232,'Quarterly Pipeline vs Target Pi'!$A:$AP,27,false)," $","")," €",""), "")
)</f>
        <v>0</v>
      </c>
      <c r="AP232" s="17" t="str">
        <f t="shared" si="15"/>
        <v/>
      </c>
      <c r="AQ232" s="1">
        <f>value(IFERROR(SUBSTITUTE(SUBSTITUTE(VLOOKUP($A232,'Quarterly Pipeline vs Target Pi'!$A:$AP,31,false)," $","")," €",""), "")
)</f>
        <v>6</v>
      </c>
      <c r="AR232" s="1">
        <f>value(IFERROR(SUBSTITUTE(SUBSTITUTE(VLOOKUP($A232,'Quarterly Pipeline vs Target Pi'!$A:$AP,32,false)," $","")," €",""), "")
)</f>
        <v>0</v>
      </c>
      <c r="AS232" s="17" t="str">
        <f t="shared" si="16"/>
        <v/>
      </c>
      <c r="AT232" s="1">
        <f>value(IFERROR(SUBSTITUTE(SUBSTITUTE(VLOOKUP($A232,'Quarterly Pipeline vs Target Pi'!$A:$AP,36,false)," $","")," €",""), "")
)</f>
        <v>0</v>
      </c>
      <c r="AU232" s="1">
        <f>value(IFERROR(SUBSTITUTE(SUBSTITUTE(VLOOKUP($A232,'Quarterly Pipeline vs Target Pi'!$A:$AP,37,false)," $","")," €",""), "")
)</f>
        <v>0</v>
      </c>
      <c r="AV232" s="17" t="str">
        <f t="shared" si="17"/>
        <v/>
      </c>
      <c r="AW232" s="1">
        <f>value(IFERROR(SUBSTITUTE(SUBSTITUTE(VLOOKUP($A232,'Quarterly Pipeline vs Target Pi'!$A:$AP,41,false)," $","")," €",""), "")
)</f>
        <v>6624.78</v>
      </c>
      <c r="AX232" s="1">
        <f>value(IFERROR(SUBSTITUTE(SUBSTITUTE(VLOOKUP($A232,'Quarterly Pipeline vs Target Pi'!$A:$AP,42,false)," $","")," €",""), "")
)</f>
        <v>0</v>
      </c>
      <c r="AY232" s="17" t="str">
        <f t="shared" si="18"/>
        <v/>
      </c>
      <c r="AZ232" s="1">
        <f t="shared" ref="AZ232:BA232" si="478">sum(AN232,AQ232,AT232,AW232)</f>
        <v>12898.77</v>
      </c>
      <c r="BA232" s="1">
        <f t="shared" si="478"/>
        <v>0</v>
      </c>
      <c r="BB232" s="17" t="str">
        <f t="shared" si="20"/>
        <v/>
      </c>
    </row>
    <row r="233">
      <c r="A233" s="1" t="str">
        <f>IFERROR(__xludf.DUMMYFUNCTION("""COMPUTED_VALUE"""),"63ced84ec5c820531c269a22")</f>
        <v>63ced84ec5c820531c269a22</v>
      </c>
      <c r="B233" s="1" t="str">
        <f>IFERROR(__xludf.DUMMYFUNCTION("""COMPUTED_VALUE"""),"Intelligent Communications Systems")</f>
        <v>Intelligent Communications Systems</v>
      </c>
      <c r="C233" s="1" t="str">
        <f>IFERROR(__xludf.DUMMYFUNCTION("""COMPUTED_VALUE"""),"brendan.flaherty@al-enterprise.com")</f>
        <v>brendan.flaherty@al-enterprise.com</v>
      </c>
      <c r="D233" s="1" t="str">
        <f>IFERROR(__xludf.DUMMYFUNCTION("""COMPUTED_VALUE"""),"americas")</f>
        <v>americas</v>
      </c>
      <c r="E233" s="1" t="str">
        <f>IFERROR(__xludf.DUMMYFUNCTION("""COMPUTED_VALUE"""),"US")</f>
        <v>US</v>
      </c>
      <c r="F233" s="1"/>
      <c r="G233" s="1" t="str">
        <f>iferror(VLOOKUP(A233,'Business Plan Setup and Accepta'!A:G,6,false),"")</f>
        <v/>
      </c>
      <c r="H233" s="1" t="str">
        <f>iferror(VLOOKUP(A233,'Business Plan Setup and Accepta'!A:G,7,false),"")</f>
        <v/>
      </c>
      <c r="I233" s="17" t="str">
        <f t="shared" si="3"/>
        <v/>
      </c>
      <c r="J233" s="1" t="str">
        <f>IFERROR(VALUE(SUBSTITUTE(VLOOKUP(A233,'Sales IN Revenues vs Sales targ'!A:G,6,false)," $","")), "")
</f>
        <v/>
      </c>
      <c r="K233" s="1" t="str">
        <f>IFERROR(VALUE(SUBSTITUTE(VLOOKUP(A233,'Sales IN Revenues vs Sales targ'!A:G,7,false)," $","")), "")
</f>
        <v/>
      </c>
      <c r="L233" s="17" t="str">
        <f t="shared" si="4"/>
        <v/>
      </c>
      <c r="M233" s="1">
        <f>value(SUBSTITUTE(IFERROR(VLOOKUP(A233,'Certifications achievements vs '!A:G,6,false),""),"#","")
)</f>
        <v>0</v>
      </c>
      <c r="N233" s="1">
        <f>value(SUBSTITUTE(IFERROR(VLOOKUP(A233,'Certifications achievements vs '!A:G,7,false),""),"#","")
)</f>
        <v>0</v>
      </c>
      <c r="O233" s="17" t="str">
        <f t="shared" si="5"/>
        <v/>
      </c>
      <c r="P233" s="1">
        <f>value(SUBSTITUTE(IFERROR(VLOOKUP(A233,'Communications - Solution Speci'!A:G,6,false),""),"#","")
)</f>
        <v>0</v>
      </c>
      <c r="Q233" s="1">
        <f>value(SUBSTITUTE(IFERROR(VLOOKUP(A233,'Communications - Solution Speci'!A:G,7,false),""),"#","")
)</f>
        <v>0</v>
      </c>
      <c r="R233" s="17" t="str">
        <f t="shared" si="6"/>
        <v/>
      </c>
      <c r="S233" s="1">
        <f>value(SUBSTITUTE(IFERROR(VLOOKUP(A233,'Networking - Solution Specializ'!A:G,6,false),""),"#","")
)</f>
        <v>0</v>
      </c>
      <c r="T233" s="1">
        <f>value(SUBSTITUTE(IFERROR(VLOOKUP(A233,'Networking - Solution Specializ'!A:G,7,false),""),"#","")
)</f>
        <v>0</v>
      </c>
      <c r="U233" s="17" t="str">
        <f t="shared" si="7"/>
        <v/>
      </c>
      <c r="V233" s="1" t="str">
        <f>iferror(vlookup(A233,'Marketing Plan (extract summary'!A:G,6,false),"")</f>
        <v/>
      </c>
      <c r="W233" s="1" t="str">
        <f>iferror(vlookup(A233,'Marketing Plan (extract summary'!A:G,7,false),"")</f>
        <v/>
      </c>
      <c r="X233" s="17" t="str">
        <f t="shared" si="8"/>
        <v/>
      </c>
      <c r="Y233" s="1">
        <f>value(IFERROR(SUBSTITUTE(SUBSTITUTE(VLOOKUP(A233,'Quarterly Pipeline vs Target Pi'!A:G,6,false)," $","")," €",""), "")
)</f>
        <v>0</v>
      </c>
      <c r="Z233" s="1">
        <f>value(IFERROR(SUBSTITUTE(SUBSTITUTE(VLOOKUP(A233,'Quarterly Pipeline vs Target Pi'!A:G,7,false)," $","")," €",""), "")
)</f>
        <v>0</v>
      </c>
      <c r="AA233" s="17" t="str">
        <f t="shared" si="9"/>
        <v/>
      </c>
      <c r="AB233" s="1">
        <f>value(IFERROR(SUBSTITUTE(SUBSTITUTE(VLOOKUP($A233,'Quarterly Pipeline vs Target Pi'!$A:$V,11,false)," $","")," €",""), "")
)</f>
        <v>0</v>
      </c>
      <c r="AC233" s="1">
        <f>value(IFERROR(SUBSTITUTE(SUBSTITUTE(VLOOKUP($A233,'Quarterly Pipeline vs Target Pi'!$A:$V,12,false)," $","")," €",""), "")
)</f>
        <v>0</v>
      </c>
      <c r="AD233" s="17" t="str">
        <f t="shared" si="10"/>
        <v/>
      </c>
      <c r="AE233" s="1">
        <f>value(IFERROR(SUBSTITUTE(SUBSTITUTE(VLOOKUP($A233,'Quarterly Pipeline vs Target Pi'!$A:$V,16,false)," $","")," €",""), "")
)</f>
        <v>0</v>
      </c>
      <c r="AF233" s="1">
        <f>value(IFERROR(SUBSTITUTE(SUBSTITUTE(VLOOKUP($A233,'Quarterly Pipeline vs Target Pi'!$A:$V,17,false)," $","")," €",""), "")
)</f>
        <v>0</v>
      </c>
      <c r="AG233" s="17" t="str">
        <f t="shared" si="11"/>
        <v/>
      </c>
      <c r="AH233" s="1">
        <f>value(IFERROR(SUBSTITUTE(SUBSTITUTE(VLOOKUP($A233,'Quarterly Pipeline vs Target Pi'!$A:$V,21,false)," $","")," €",""), "")
)</f>
        <v>0</v>
      </c>
      <c r="AI233" s="1">
        <f>value(IFERROR(SUBSTITUTE(SUBSTITUTE(VLOOKUP($A233,'Quarterly Pipeline vs Target Pi'!$A:$V,22,false)," $","")," €",""), "")
)</f>
        <v>0</v>
      </c>
      <c r="AJ233" s="17" t="str">
        <f t="shared" si="12"/>
        <v/>
      </c>
      <c r="AK233" s="1">
        <f t="shared" ref="AK233:AL233" si="479">sum(Y233,AB233,AE233,AH233)</f>
        <v>0</v>
      </c>
      <c r="AL233" s="1">
        <f t="shared" si="479"/>
        <v>0</v>
      </c>
      <c r="AM233" s="17" t="str">
        <f t="shared" si="14"/>
        <v/>
      </c>
      <c r="AN233" s="1">
        <f>value(IFERROR(SUBSTITUTE(SUBSTITUTE(VLOOKUP($A233,'Quarterly Pipeline vs Target Pi'!$A:$AP,26,false)," $","")," €",""), "")
)</f>
        <v>0</v>
      </c>
      <c r="AO233" s="1">
        <f>value(IFERROR(SUBSTITUTE(SUBSTITUTE(VLOOKUP($A233,'Quarterly Pipeline vs Target Pi'!$A:$AP,27,false)," $","")," €",""), "")
)</f>
        <v>0</v>
      </c>
      <c r="AP233" s="17" t="str">
        <f t="shared" si="15"/>
        <v/>
      </c>
      <c r="AQ233" s="1">
        <f>value(IFERROR(SUBSTITUTE(SUBSTITUTE(VLOOKUP($A233,'Quarterly Pipeline vs Target Pi'!$A:$AP,31,false)," $","")," €",""), "")
)</f>
        <v>0</v>
      </c>
      <c r="AR233" s="1">
        <f>value(IFERROR(SUBSTITUTE(SUBSTITUTE(VLOOKUP($A233,'Quarterly Pipeline vs Target Pi'!$A:$AP,32,false)," $","")," €",""), "")
)</f>
        <v>0</v>
      </c>
      <c r="AS233" s="17" t="str">
        <f t="shared" si="16"/>
        <v/>
      </c>
      <c r="AT233" s="1">
        <f>value(IFERROR(SUBSTITUTE(SUBSTITUTE(VLOOKUP($A233,'Quarterly Pipeline vs Target Pi'!$A:$AP,36,false)," $","")," €",""), "")
)</f>
        <v>0</v>
      </c>
      <c r="AU233" s="1">
        <f>value(IFERROR(SUBSTITUTE(SUBSTITUTE(VLOOKUP($A233,'Quarterly Pipeline vs Target Pi'!$A:$AP,37,false)," $","")," €",""), "")
)</f>
        <v>0</v>
      </c>
      <c r="AV233" s="17" t="str">
        <f t="shared" si="17"/>
        <v/>
      </c>
      <c r="AW233" s="1">
        <f>value(IFERROR(SUBSTITUTE(SUBSTITUTE(VLOOKUP($A233,'Quarterly Pipeline vs Target Pi'!$A:$AP,41,false)," $","")," €",""), "")
)</f>
        <v>0</v>
      </c>
      <c r="AX233" s="1">
        <f>value(IFERROR(SUBSTITUTE(SUBSTITUTE(VLOOKUP($A233,'Quarterly Pipeline vs Target Pi'!$A:$AP,42,false)," $","")," €",""), "")
)</f>
        <v>0</v>
      </c>
      <c r="AY233" s="17" t="str">
        <f t="shared" si="18"/>
        <v/>
      </c>
      <c r="AZ233" s="1">
        <f t="shared" ref="AZ233:BA233" si="480">sum(AN233,AQ233,AT233,AW233)</f>
        <v>0</v>
      </c>
      <c r="BA233" s="1">
        <f t="shared" si="480"/>
        <v>0</v>
      </c>
      <c r="BB233" s="17" t="str">
        <f t="shared" si="20"/>
        <v/>
      </c>
    </row>
    <row r="234">
      <c r="A234" s="1" t="str">
        <f>IFERROR(__xludf.DUMMYFUNCTION("""COMPUTED_VALUE"""),"67a4e33adfd0cfbf1304451f")</f>
        <v>67a4e33adfd0cfbf1304451f</v>
      </c>
      <c r="B234" s="1" t="str">
        <f>IFERROR(__xludf.DUMMYFUNCTION("""COMPUTED_VALUE"""),"INTELLIGENT TRANSPORTATION SERVICES")</f>
        <v>INTELLIGENT TRANSPORTATION SERVICES</v>
      </c>
      <c r="C234" s="1" t="str">
        <f>IFERROR(__xludf.DUMMYFUNCTION("""COMPUTED_VALUE"""),"luigy.estevanell@al-enterprise.com")</f>
        <v>luigy.estevanell@al-enterprise.com</v>
      </c>
      <c r="D234" s="1" t="str">
        <f>IFERROR(__xludf.DUMMYFUNCTION("""COMPUTED_VALUE"""),"americas")</f>
        <v>americas</v>
      </c>
      <c r="E234" s="1" t="str">
        <f>IFERROR(__xludf.DUMMYFUNCTION("""COMPUTED_VALUE"""),"US")</f>
        <v>US</v>
      </c>
      <c r="F234" s="1" t="str">
        <f>IFERROR(__xludf.DUMMYFUNCTION("""COMPUTED_VALUE"""),"expert_200")</f>
        <v>expert_200</v>
      </c>
      <c r="G234" s="1">
        <f>iferror(VLOOKUP(A234,'Business Plan Setup and Accepta'!A:G,6,false),"")</f>
        <v>0</v>
      </c>
      <c r="H234" s="1">
        <f>iferror(VLOOKUP(A234,'Business Plan Setup and Accepta'!A:G,7,false),"")</f>
        <v>1</v>
      </c>
      <c r="I234" s="17">
        <f t="shared" si="3"/>
        <v>0</v>
      </c>
      <c r="J234" s="1">
        <f>IFERROR(VALUE(SUBSTITUTE(VLOOKUP(A234,'Sales IN Revenues vs Sales targ'!A:G,6,false)," $","")), "")
</f>
        <v>0</v>
      </c>
      <c r="K234" s="1">
        <f>IFERROR(VALUE(SUBSTITUTE(VLOOKUP(A234,'Sales IN Revenues vs Sales targ'!A:G,7,false)," $","")), "")
</f>
        <v>0</v>
      </c>
      <c r="L234" s="17" t="str">
        <f t="shared" si="4"/>
        <v/>
      </c>
      <c r="M234" s="1">
        <f>value(SUBSTITUTE(IFERROR(VLOOKUP(A234,'Certifications achievements vs '!A:G,6,false),""),"#","")
)</f>
        <v>0</v>
      </c>
      <c r="N234" s="1">
        <f>value(SUBSTITUTE(IFERROR(VLOOKUP(A234,'Certifications achievements vs '!A:G,7,false),""),"#","")
)</f>
        <v>0</v>
      </c>
      <c r="O234" s="17" t="str">
        <f t="shared" si="5"/>
        <v/>
      </c>
      <c r="P234" s="1">
        <f>value(SUBSTITUTE(IFERROR(VLOOKUP(A234,'Communications - Solution Speci'!A:G,6,false),""),"#","")
)</f>
        <v>0</v>
      </c>
      <c r="Q234" s="1">
        <f>value(SUBSTITUTE(IFERROR(VLOOKUP(A234,'Communications - Solution Speci'!A:G,7,false),""),"#","")
)</f>
        <v>1</v>
      </c>
      <c r="R234" s="17">
        <f t="shared" si="6"/>
        <v>0</v>
      </c>
      <c r="S234" s="1">
        <f>value(SUBSTITUTE(IFERROR(VLOOKUP(A234,'Networking - Solution Specializ'!A:G,6,false),""),"#","")
)</f>
        <v>0</v>
      </c>
      <c r="T234" s="1">
        <f>value(SUBSTITUTE(IFERROR(VLOOKUP(A234,'Networking - Solution Specializ'!A:G,7,false),""),"#","")
)</f>
        <v>1</v>
      </c>
      <c r="U234" s="17">
        <f t="shared" si="7"/>
        <v>0</v>
      </c>
      <c r="V234" s="1">
        <f>iferror(vlookup(A234,'Marketing Plan (extract summary'!A:G,6,false),"")</f>
        <v>0</v>
      </c>
      <c r="W234" s="1">
        <f>iferror(vlookup(A234,'Marketing Plan (extract summary'!A:G,7,false),"")</f>
        <v>1</v>
      </c>
      <c r="X234" s="17">
        <f t="shared" si="8"/>
        <v>0</v>
      </c>
      <c r="Y234" s="1">
        <f>value(IFERROR(SUBSTITUTE(SUBSTITUTE(VLOOKUP(A234,'Quarterly Pipeline vs Target Pi'!A:G,6,false)," $","")," €",""), "")
)</f>
        <v>0</v>
      </c>
      <c r="Z234" s="1">
        <f>value(IFERROR(SUBSTITUTE(SUBSTITUTE(VLOOKUP(A234,'Quarterly Pipeline vs Target Pi'!A:G,7,false)," $","")," €",""), "")
)</f>
        <v>0</v>
      </c>
      <c r="AA234" s="17" t="str">
        <f t="shared" si="9"/>
        <v/>
      </c>
      <c r="AB234" s="1">
        <f>value(IFERROR(SUBSTITUTE(SUBSTITUTE(VLOOKUP($A234,'Quarterly Pipeline vs Target Pi'!$A:$V,11,false)," $","")," €",""), "")
)</f>
        <v>0</v>
      </c>
      <c r="AC234" s="1">
        <f>value(IFERROR(SUBSTITUTE(SUBSTITUTE(VLOOKUP($A234,'Quarterly Pipeline vs Target Pi'!$A:$V,12,false)," $","")," €",""), "")
)</f>
        <v>0</v>
      </c>
      <c r="AD234" s="17" t="str">
        <f t="shared" si="10"/>
        <v/>
      </c>
      <c r="AE234" s="1">
        <f>value(IFERROR(SUBSTITUTE(SUBSTITUTE(VLOOKUP($A234,'Quarterly Pipeline vs Target Pi'!$A:$V,16,false)," $","")," €",""), "")
)</f>
        <v>0</v>
      </c>
      <c r="AF234" s="1">
        <f>value(IFERROR(SUBSTITUTE(SUBSTITUTE(VLOOKUP($A234,'Quarterly Pipeline vs Target Pi'!$A:$V,17,false)," $","")," €",""), "")
)</f>
        <v>0</v>
      </c>
      <c r="AG234" s="17" t="str">
        <f t="shared" si="11"/>
        <v/>
      </c>
      <c r="AH234" s="1">
        <f>value(IFERROR(SUBSTITUTE(SUBSTITUTE(VLOOKUP($A234,'Quarterly Pipeline vs Target Pi'!$A:$V,21,false)," $","")," €",""), "")
)</f>
        <v>0</v>
      </c>
      <c r="AI234" s="1">
        <f>value(IFERROR(SUBSTITUTE(SUBSTITUTE(VLOOKUP($A234,'Quarterly Pipeline vs Target Pi'!$A:$V,22,false)," $","")," €",""), "")
)</f>
        <v>0</v>
      </c>
      <c r="AJ234" s="17" t="str">
        <f t="shared" si="12"/>
        <v/>
      </c>
      <c r="AK234" s="1">
        <f t="shared" ref="AK234:AL234" si="481">sum(Y234,AB234,AE234,AH234)</f>
        <v>0</v>
      </c>
      <c r="AL234" s="1">
        <f t="shared" si="481"/>
        <v>0</v>
      </c>
      <c r="AM234" s="17" t="str">
        <f t="shared" si="14"/>
        <v/>
      </c>
      <c r="AN234" s="1">
        <f>value(IFERROR(SUBSTITUTE(SUBSTITUTE(VLOOKUP($A234,'Quarterly Pipeline vs Target Pi'!$A:$AP,26,false)," $","")," €",""), "")
)</f>
        <v>0</v>
      </c>
      <c r="AO234" s="1">
        <f>value(IFERROR(SUBSTITUTE(SUBSTITUTE(VLOOKUP($A234,'Quarterly Pipeline vs Target Pi'!$A:$AP,27,false)," $","")," €",""), "")
)</f>
        <v>0</v>
      </c>
      <c r="AP234" s="17" t="str">
        <f t="shared" si="15"/>
        <v/>
      </c>
      <c r="AQ234" s="1">
        <f>value(IFERROR(SUBSTITUTE(SUBSTITUTE(VLOOKUP($A234,'Quarterly Pipeline vs Target Pi'!$A:$AP,31,false)," $","")," €",""), "")
)</f>
        <v>0</v>
      </c>
      <c r="AR234" s="1">
        <f>value(IFERROR(SUBSTITUTE(SUBSTITUTE(VLOOKUP($A234,'Quarterly Pipeline vs Target Pi'!$A:$AP,32,false)," $","")," €",""), "")
)</f>
        <v>0</v>
      </c>
      <c r="AS234" s="17" t="str">
        <f t="shared" si="16"/>
        <v/>
      </c>
      <c r="AT234" s="1">
        <f>value(IFERROR(SUBSTITUTE(SUBSTITUTE(VLOOKUP($A234,'Quarterly Pipeline vs Target Pi'!$A:$AP,36,false)," $","")," €",""), "")
)</f>
        <v>0</v>
      </c>
      <c r="AU234" s="1">
        <f>value(IFERROR(SUBSTITUTE(SUBSTITUTE(VLOOKUP($A234,'Quarterly Pipeline vs Target Pi'!$A:$AP,37,false)," $","")," €",""), "")
)</f>
        <v>0</v>
      </c>
      <c r="AV234" s="17" t="str">
        <f t="shared" si="17"/>
        <v/>
      </c>
      <c r="AW234" s="1">
        <f>value(IFERROR(SUBSTITUTE(SUBSTITUTE(VLOOKUP($A234,'Quarterly Pipeline vs Target Pi'!$A:$AP,41,false)," $","")," €",""), "")
)</f>
        <v>0</v>
      </c>
      <c r="AX234" s="1">
        <f>value(IFERROR(SUBSTITUTE(SUBSTITUTE(VLOOKUP($A234,'Quarterly Pipeline vs Target Pi'!$A:$AP,42,false)," $","")," €",""), "")
)</f>
        <v>0</v>
      </c>
      <c r="AY234" s="17" t="str">
        <f t="shared" si="18"/>
        <v/>
      </c>
      <c r="AZ234" s="1">
        <f t="shared" ref="AZ234:BA234" si="482">sum(AN234,AQ234,AT234,AW234)</f>
        <v>0</v>
      </c>
      <c r="BA234" s="1">
        <f t="shared" si="482"/>
        <v>0</v>
      </c>
      <c r="BB234" s="17" t="str">
        <f t="shared" si="20"/>
        <v/>
      </c>
    </row>
    <row r="235">
      <c r="A235" s="1" t="str">
        <f>IFERROR(__xludf.DUMMYFUNCTION("""COMPUTED_VALUE"""),"63ced84dc5c820531c269833")</f>
        <v>63ced84dc5c820531c269833</v>
      </c>
      <c r="B235" s="1" t="str">
        <f>IFERROR(__xludf.DUMMYFUNCTION("""COMPUTED_VALUE"""),"Internal Telecommunication Systems")</f>
        <v>Internal Telecommunication Systems</v>
      </c>
      <c r="C235" s="1" t="str">
        <f>IFERROR(__xludf.DUMMYFUNCTION("""COMPUTED_VALUE"""),"brendan.flaherty@al-enterprise.com")</f>
        <v>brendan.flaherty@al-enterprise.com</v>
      </c>
      <c r="D235" s="1" t="str">
        <f>IFERROR(__xludf.DUMMYFUNCTION("""COMPUTED_VALUE"""),"americas")</f>
        <v>americas</v>
      </c>
      <c r="E235" s="1" t="str">
        <f>IFERROR(__xludf.DUMMYFUNCTION("""COMPUTED_VALUE"""),"US")</f>
        <v>US</v>
      </c>
      <c r="F235" s="1"/>
      <c r="G235" s="1" t="str">
        <f>iferror(VLOOKUP(A235,'Business Plan Setup and Accepta'!A:G,6,false),"")</f>
        <v/>
      </c>
      <c r="H235" s="1" t="str">
        <f>iferror(VLOOKUP(A235,'Business Plan Setup and Accepta'!A:G,7,false),"")</f>
        <v/>
      </c>
      <c r="I235" s="17" t="str">
        <f t="shared" si="3"/>
        <v/>
      </c>
      <c r="J235" s="1" t="str">
        <f>IFERROR(VALUE(SUBSTITUTE(VLOOKUP(A235,'Sales IN Revenues vs Sales targ'!A:G,6,false)," $","")), "")
</f>
        <v/>
      </c>
      <c r="K235" s="1" t="str">
        <f>IFERROR(VALUE(SUBSTITUTE(VLOOKUP(A235,'Sales IN Revenues vs Sales targ'!A:G,7,false)," $","")), "")
</f>
        <v/>
      </c>
      <c r="L235" s="17" t="str">
        <f t="shared" si="4"/>
        <v/>
      </c>
      <c r="M235" s="1">
        <f>value(SUBSTITUTE(IFERROR(VLOOKUP(A235,'Certifications achievements vs '!A:G,6,false),""),"#","")
)</f>
        <v>0</v>
      </c>
      <c r="N235" s="1">
        <f>value(SUBSTITUTE(IFERROR(VLOOKUP(A235,'Certifications achievements vs '!A:G,7,false),""),"#","")
)</f>
        <v>0</v>
      </c>
      <c r="O235" s="17" t="str">
        <f t="shared" si="5"/>
        <v/>
      </c>
      <c r="P235" s="1">
        <f>value(SUBSTITUTE(IFERROR(VLOOKUP(A235,'Communications - Solution Speci'!A:G,6,false),""),"#","")
)</f>
        <v>0</v>
      </c>
      <c r="Q235" s="1">
        <f>value(SUBSTITUTE(IFERROR(VLOOKUP(A235,'Communications - Solution Speci'!A:G,7,false),""),"#","")
)</f>
        <v>0</v>
      </c>
      <c r="R235" s="17" t="str">
        <f t="shared" si="6"/>
        <v/>
      </c>
      <c r="S235" s="1">
        <f>value(SUBSTITUTE(IFERROR(VLOOKUP(A235,'Networking - Solution Specializ'!A:G,6,false),""),"#","")
)</f>
        <v>0</v>
      </c>
      <c r="T235" s="1">
        <f>value(SUBSTITUTE(IFERROR(VLOOKUP(A235,'Networking - Solution Specializ'!A:G,7,false),""),"#","")
)</f>
        <v>0</v>
      </c>
      <c r="U235" s="17" t="str">
        <f t="shared" si="7"/>
        <v/>
      </c>
      <c r="V235" s="1" t="str">
        <f>iferror(vlookup(A235,'Marketing Plan (extract summary'!A:G,6,false),"")</f>
        <v/>
      </c>
      <c r="W235" s="1" t="str">
        <f>iferror(vlookup(A235,'Marketing Plan (extract summary'!A:G,7,false),"")</f>
        <v/>
      </c>
      <c r="X235" s="17" t="str">
        <f t="shared" si="8"/>
        <v/>
      </c>
      <c r="Y235" s="1">
        <f>value(IFERROR(SUBSTITUTE(SUBSTITUTE(VLOOKUP(A235,'Quarterly Pipeline vs Target Pi'!A:G,6,false)," $","")," €",""), "")
)</f>
        <v>0</v>
      </c>
      <c r="Z235" s="1">
        <f>value(IFERROR(SUBSTITUTE(SUBSTITUTE(VLOOKUP(A235,'Quarterly Pipeline vs Target Pi'!A:G,7,false)," $","")," €",""), "")
)</f>
        <v>0</v>
      </c>
      <c r="AA235" s="17" t="str">
        <f t="shared" si="9"/>
        <v/>
      </c>
      <c r="AB235" s="1">
        <f>value(IFERROR(SUBSTITUTE(SUBSTITUTE(VLOOKUP($A235,'Quarterly Pipeline vs Target Pi'!$A:$V,11,false)," $","")," €",""), "")
)</f>
        <v>0</v>
      </c>
      <c r="AC235" s="1">
        <f>value(IFERROR(SUBSTITUTE(SUBSTITUTE(VLOOKUP($A235,'Quarterly Pipeline vs Target Pi'!$A:$V,12,false)," $","")," €",""), "")
)</f>
        <v>0</v>
      </c>
      <c r="AD235" s="17" t="str">
        <f t="shared" si="10"/>
        <v/>
      </c>
      <c r="AE235" s="1">
        <f>value(IFERROR(SUBSTITUTE(SUBSTITUTE(VLOOKUP($A235,'Quarterly Pipeline vs Target Pi'!$A:$V,16,false)," $","")," €",""), "")
)</f>
        <v>0</v>
      </c>
      <c r="AF235" s="1">
        <f>value(IFERROR(SUBSTITUTE(SUBSTITUTE(VLOOKUP($A235,'Quarterly Pipeline vs Target Pi'!$A:$V,17,false)," $","")," €",""), "")
)</f>
        <v>0</v>
      </c>
      <c r="AG235" s="17" t="str">
        <f t="shared" si="11"/>
        <v/>
      </c>
      <c r="AH235" s="1">
        <f>value(IFERROR(SUBSTITUTE(SUBSTITUTE(VLOOKUP($A235,'Quarterly Pipeline vs Target Pi'!$A:$V,21,false)," $","")," €",""), "")
)</f>
        <v>0</v>
      </c>
      <c r="AI235" s="1">
        <f>value(IFERROR(SUBSTITUTE(SUBSTITUTE(VLOOKUP($A235,'Quarterly Pipeline vs Target Pi'!$A:$V,22,false)," $","")," €",""), "")
)</f>
        <v>0</v>
      </c>
      <c r="AJ235" s="17" t="str">
        <f t="shared" si="12"/>
        <v/>
      </c>
      <c r="AK235" s="1">
        <f t="shared" ref="AK235:AL235" si="483">sum(Y235,AB235,AE235,AH235)</f>
        <v>0</v>
      </c>
      <c r="AL235" s="1">
        <f t="shared" si="483"/>
        <v>0</v>
      </c>
      <c r="AM235" s="17" t="str">
        <f t="shared" si="14"/>
        <v/>
      </c>
      <c r="AN235" s="1">
        <f>value(IFERROR(SUBSTITUTE(SUBSTITUTE(VLOOKUP($A235,'Quarterly Pipeline vs Target Pi'!$A:$AP,26,false)," $","")," €",""), "")
)</f>
        <v>0</v>
      </c>
      <c r="AO235" s="1">
        <f>value(IFERROR(SUBSTITUTE(SUBSTITUTE(VLOOKUP($A235,'Quarterly Pipeline vs Target Pi'!$A:$AP,27,false)," $","")," €",""), "")
)</f>
        <v>0</v>
      </c>
      <c r="AP235" s="17" t="str">
        <f t="shared" si="15"/>
        <v/>
      </c>
      <c r="AQ235" s="1">
        <f>value(IFERROR(SUBSTITUTE(SUBSTITUTE(VLOOKUP($A235,'Quarterly Pipeline vs Target Pi'!$A:$AP,31,false)," $","")," €",""), "")
)</f>
        <v>0</v>
      </c>
      <c r="AR235" s="1">
        <f>value(IFERROR(SUBSTITUTE(SUBSTITUTE(VLOOKUP($A235,'Quarterly Pipeline vs Target Pi'!$A:$AP,32,false)," $","")," €",""), "")
)</f>
        <v>0</v>
      </c>
      <c r="AS235" s="17" t="str">
        <f t="shared" si="16"/>
        <v/>
      </c>
      <c r="AT235" s="1">
        <f>value(IFERROR(SUBSTITUTE(SUBSTITUTE(VLOOKUP($A235,'Quarterly Pipeline vs Target Pi'!$A:$AP,36,false)," $","")," €",""), "")
)</f>
        <v>0</v>
      </c>
      <c r="AU235" s="1">
        <f>value(IFERROR(SUBSTITUTE(SUBSTITUTE(VLOOKUP($A235,'Quarterly Pipeline vs Target Pi'!$A:$AP,37,false)," $","")," €",""), "")
)</f>
        <v>0</v>
      </c>
      <c r="AV235" s="17" t="str">
        <f t="shared" si="17"/>
        <v/>
      </c>
      <c r="AW235" s="1">
        <f>value(IFERROR(SUBSTITUTE(SUBSTITUTE(VLOOKUP($A235,'Quarterly Pipeline vs Target Pi'!$A:$AP,41,false)," $","")," €",""), "")
)</f>
        <v>0</v>
      </c>
      <c r="AX235" s="1">
        <f>value(IFERROR(SUBSTITUTE(SUBSTITUTE(VLOOKUP($A235,'Quarterly Pipeline vs Target Pi'!$A:$AP,42,false)," $","")," €",""), "")
)</f>
        <v>0</v>
      </c>
      <c r="AY235" s="17" t="str">
        <f t="shared" si="18"/>
        <v/>
      </c>
      <c r="AZ235" s="1">
        <f t="shared" ref="AZ235:BA235" si="484">sum(AN235,AQ235,AT235,AW235)</f>
        <v>0</v>
      </c>
      <c r="BA235" s="1">
        <f t="shared" si="484"/>
        <v>0</v>
      </c>
      <c r="BB235" s="17" t="str">
        <f t="shared" si="20"/>
        <v/>
      </c>
    </row>
    <row r="236">
      <c r="A236" s="1" t="str">
        <f>IFERROR(__xludf.DUMMYFUNCTION("""COMPUTED_VALUE"""),"63fcbb7ea107c871cf5646c3")</f>
        <v>63fcbb7ea107c871cf5646c3</v>
      </c>
      <c r="B236" s="1" t="str">
        <f>IFERROR(__xludf.DUMMYFUNCTION("""COMPUTED_VALUE"""),"INTERTRADE gruppe")</f>
        <v>INTERTRADE gruppe</v>
      </c>
      <c r="C236" s="1" t="str">
        <f>IFERROR(__xludf.DUMMYFUNCTION("""COMPUTED_VALUE"""),"marcel.marx@al-enterprise.com")</f>
        <v>marcel.marx@al-enterprise.com</v>
      </c>
      <c r="D236" s="1" t="str">
        <f>IFERROR(__xludf.DUMMYFUNCTION("""COMPUTED_VALUE"""),"germany")</f>
        <v>germany</v>
      </c>
      <c r="E236" s="1" t="str">
        <f>IFERROR(__xludf.DUMMYFUNCTION("""COMPUTED_VALUE"""),"DE")</f>
        <v>DE</v>
      </c>
      <c r="F236" s="1"/>
      <c r="G236" s="1" t="str">
        <f>iferror(VLOOKUP(A236,'Business Plan Setup and Accepta'!A:G,6,false),"")</f>
        <v/>
      </c>
      <c r="H236" s="1" t="str">
        <f>iferror(VLOOKUP(A236,'Business Plan Setup and Accepta'!A:G,7,false),"")</f>
        <v/>
      </c>
      <c r="I236" s="17" t="str">
        <f t="shared" si="3"/>
        <v/>
      </c>
      <c r="J236" s="1" t="str">
        <f>IFERROR(VALUE(SUBSTITUTE(VLOOKUP(A236,'Sales IN Revenues vs Sales targ'!A:G,6,false)," $","")), "")
</f>
        <v/>
      </c>
      <c r="K236" s="1" t="str">
        <f>IFERROR(VALUE(SUBSTITUTE(VLOOKUP(A236,'Sales IN Revenues vs Sales targ'!A:G,7,false)," $","")), "")
</f>
        <v/>
      </c>
      <c r="L236" s="17" t="str">
        <f t="shared" si="4"/>
        <v/>
      </c>
      <c r="M236" s="1">
        <f>value(SUBSTITUTE(IFERROR(VLOOKUP(A236,'Certifications achievements vs '!A:G,6,false),""),"#","")
)</f>
        <v>5</v>
      </c>
      <c r="N236" s="1">
        <f>value(SUBSTITUTE(IFERROR(VLOOKUP(A236,'Certifications achievements vs '!A:G,7,false),""),"#","")
)</f>
        <v>0</v>
      </c>
      <c r="O236" s="17" t="str">
        <f t="shared" si="5"/>
        <v/>
      </c>
      <c r="P236" s="1">
        <f>value(SUBSTITUTE(IFERROR(VLOOKUP(A236,'Communications - Solution Speci'!A:G,6,false),""),"#","")
)</f>
        <v>0</v>
      </c>
      <c r="Q236" s="1">
        <f>value(SUBSTITUTE(IFERROR(VLOOKUP(A236,'Communications - Solution Speci'!A:G,7,false),""),"#","")
)</f>
        <v>0</v>
      </c>
      <c r="R236" s="17" t="str">
        <f t="shared" si="6"/>
        <v/>
      </c>
      <c r="S236" s="1">
        <f>value(SUBSTITUTE(IFERROR(VLOOKUP(A236,'Networking - Solution Specializ'!A:G,6,false),""),"#","")
)</f>
        <v>0</v>
      </c>
      <c r="T236" s="1">
        <f>value(SUBSTITUTE(IFERROR(VLOOKUP(A236,'Networking - Solution Specializ'!A:G,7,false),""),"#","")
)</f>
        <v>0</v>
      </c>
      <c r="U236" s="17" t="str">
        <f t="shared" si="7"/>
        <v/>
      </c>
      <c r="V236" s="1" t="str">
        <f>iferror(vlookup(A236,'Marketing Plan (extract summary'!A:G,6,false),"")</f>
        <v/>
      </c>
      <c r="W236" s="1" t="str">
        <f>iferror(vlookup(A236,'Marketing Plan (extract summary'!A:G,7,false),"")</f>
        <v/>
      </c>
      <c r="X236" s="17" t="str">
        <f t="shared" si="8"/>
        <v/>
      </c>
      <c r="Y236" s="1">
        <f>value(IFERROR(SUBSTITUTE(SUBSTITUTE(VLOOKUP(A236,'Quarterly Pipeline vs Target Pi'!A:G,6,false)," $","")," €",""), "")
)</f>
        <v>0</v>
      </c>
      <c r="Z236" s="1">
        <f>value(IFERROR(SUBSTITUTE(SUBSTITUTE(VLOOKUP(A236,'Quarterly Pipeline vs Target Pi'!A:G,7,false)," $","")," €",""), "")
)</f>
        <v>0</v>
      </c>
      <c r="AA236" s="17" t="str">
        <f t="shared" si="9"/>
        <v/>
      </c>
      <c r="AB236" s="1">
        <f>value(IFERROR(SUBSTITUTE(SUBSTITUTE(VLOOKUP($A236,'Quarterly Pipeline vs Target Pi'!$A:$V,11,false)," $","")," €",""), "")
)</f>
        <v>0</v>
      </c>
      <c r="AC236" s="1">
        <f>value(IFERROR(SUBSTITUTE(SUBSTITUTE(VLOOKUP($A236,'Quarterly Pipeline vs Target Pi'!$A:$V,12,false)," $","")," €",""), "")
)</f>
        <v>0</v>
      </c>
      <c r="AD236" s="17" t="str">
        <f t="shared" si="10"/>
        <v/>
      </c>
      <c r="AE236" s="1">
        <f>value(IFERROR(SUBSTITUTE(SUBSTITUTE(VLOOKUP($A236,'Quarterly Pipeline vs Target Pi'!$A:$V,16,false)," $","")," €",""), "")
)</f>
        <v>0</v>
      </c>
      <c r="AF236" s="1">
        <f>value(IFERROR(SUBSTITUTE(SUBSTITUTE(VLOOKUP($A236,'Quarterly Pipeline vs Target Pi'!$A:$V,17,false)," $","")," €",""), "")
)</f>
        <v>0</v>
      </c>
      <c r="AG236" s="17" t="str">
        <f t="shared" si="11"/>
        <v/>
      </c>
      <c r="AH236" s="1">
        <f>value(IFERROR(SUBSTITUTE(SUBSTITUTE(VLOOKUP($A236,'Quarterly Pipeline vs Target Pi'!$A:$V,21,false)," $","")," €",""), "")
)</f>
        <v>0</v>
      </c>
      <c r="AI236" s="1">
        <f>value(IFERROR(SUBSTITUTE(SUBSTITUTE(VLOOKUP($A236,'Quarterly Pipeline vs Target Pi'!$A:$V,22,false)," $","")," €",""), "")
)</f>
        <v>0</v>
      </c>
      <c r="AJ236" s="17" t="str">
        <f t="shared" si="12"/>
        <v/>
      </c>
      <c r="AK236" s="1">
        <f t="shared" ref="AK236:AL236" si="485">sum(Y236,AB236,AE236,AH236)</f>
        <v>0</v>
      </c>
      <c r="AL236" s="1">
        <f t="shared" si="485"/>
        <v>0</v>
      </c>
      <c r="AM236" s="17" t="str">
        <f t="shared" si="14"/>
        <v/>
      </c>
      <c r="AN236" s="1">
        <f>value(IFERROR(SUBSTITUTE(SUBSTITUTE(VLOOKUP($A236,'Quarterly Pipeline vs Target Pi'!$A:$AP,26,false)," $","")," €",""), "")
)</f>
        <v>0</v>
      </c>
      <c r="AO236" s="1">
        <f>value(IFERROR(SUBSTITUTE(SUBSTITUTE(VLOOKUP($A236,'Quarterly Pipeline vs Target Pi'!$A:$AP,27,false)," $","")," €",""), "")
)</f>
        <v>0</v>
      </c>
      <c r="AP236" s="17" t="str">
        <f t="shared" si="15"/>
        <v/>
      </c>
      <c r="AQ236" s="1">
        <f>value(IFERROR(SUBSTITUTE(SUBSTITUTE(VLOOKUP($A236,'Quarterly Pipeline vs Target Pi'!$A:$AP,31,false)," $","")," €",""), "")
)</f>
        <v>0</v>
      </c>
      <c r="AR236" s="1">
        <f>value(IFERROR(SUBSTITUTE(SUBSTITUTE(VLOOKUP($A236,'Quarterly Pipeline vs Target Pi'!$A:$AP,32,false)," $","")," €",""), "")
)</f>
        <v>0</v>
      </c>
      <c r="AS236" s="17" t="str">
        <f t="shared" si="16"/>
        <v/>
      </c>
      <c r="AT236" s="1">
        <f>value(IFERROR(SUBSTITUTE(SUBSTITUTE(VLOOKUP($A236,'Quarterly Pipeline vs Target Pi'!$A:$AP,36,false)," $","")," €",""), "")
)</f>
        <v>0</v>
      </c>
      <c r="AU236" s="1">
        <f>value(IFERROR(SUBSTITUTE(SUBSTITUTE(VLOOKUP($A236,'Quarterly Pipeline vs Target Pi'!$A:$AP,37,false)," $","")," €",""), "")
)</f>
        <v>0</v>
      </c>
      <c r="AV236" s="17" t="str">
        <f t="shared" si="17"/>
        <v/>
      </c>
      <c r="AW236" s="1">
        <f>value(IFERROR(SUBSTITUTE(SUBSTITUTE(VLOOKUP($A236,'Quarterly Pipeline vs Target Pi'!$A:$AP,41,false)," $","")," €",""), "")
)</f>
        <v>0</v>
      </c>
      <c r="AX236" s="1">
        <f>value(IFERROR(SUBSTITUTE(SUBSTITUTE(VLOOKUP($A236,'Quarterly Pipeline vs Target Pi'!$A:$AP,42,false)," $","")," €",""), "")
)</f>
        <v>0</v>
      </c>
      <c r="AY236" s="17" t="str">
        <f t="shared" si="18"/>
        <v/>
      </c>
      <c r="AZ236" s="1">
        <f t="shared" ref="AZ236:BA236" si="486">sum(AN236,AQ236,AT236,AW236)</f>
        <v>0</v>
      </c>
      <c r="BA236" s="1">
        <f t="shared" si="486"/>
        <v>0</v>
      </c>
      <c r="BB236" s="17" t="str">
        <f t="shared" si="20"/>
        <v/>
      </c>
    </row>
    <row r="237">
      <c r="A237" s="1" t="str">
        <f>IFERROR(__xludf.DUMMYFUNCTION("""COMPUTED_VALUE"""),"63ef9d60384f27260c1bb20d")</f>
        <v>63ef9d60384f27260c1bb20d</v>
      </c>
      <c r="B237" s="1" t="str">
        <f>IFERROR(__xludf.DUMMYFUNCTION("""COMPUTED_VALUE"""),"IP PRODUCTOS Y SERVICIOS S.A. DE C.")</f>
        <v>IP PRODUCTOS Y SERVICIOS S.A. DE C.</v>
      </c>
      <c r="C237" s="1" t="str">
        <f>IFERROR(__xludf.DUMMYFUNCTION("""COMPUTED_VALUE"""),"rui.silva@al-enterprise.com, saul.montiel@al-enterprise.com, joaquin.flores@al-enterprise.com")</f>
        <v>rui.silva@al-enterprise.com, saul.montiel@al-enterprise.com, joaquin.flores@al-enterprise.com</v>
      </c>
      <c r="D237" s="1" t="str">
        <f>IFERROR(__xludf.DUMMYFUNCTION("""COMPUTED_VALUE"""),"americas")</f>
        <v>americas</v>
      </c>
      <c r="E237" s="1" t="str">
        <f>IFERROR(__xludf.DUMMYFUNCTION("""COMPUTED_VALUE"""),"MX")</f>
        <v>MX</v>
      </c>
      <c r="F237" s="1" t="str">
        <f>IFERROR(__xludf.DUMMYFUNCTION("""COMPUTED_VALUE"""),"expert_200")</f>
        <v>expert_200</v>
      </c>
      <c r="G237" s="1">
        <f>iferror(VLOOKUP(A237,'Business Plan Setup and Accepta'!A:G,6,false),"")</f>
        <v>0</v>
      </c>
      <c r="H237" s="1">
        <f>iferror(VLOOKUP(A237,'Business Plan Setup and Accepta'!A:G,7,false),"")</f>
        <v>1</v>
      </c>
      <c r="I237" s="17">
        <f t="shared" si="3"/>
        <v>0</v>
      </c>
      <c r="J237" s="1">
        <f>IFERROR(VALUE(SUBSTITUTE(VLOOKUP(A237,'Sales IN Revenues vs Sales targ'!A:G,6,false)," $","")), "")
</f>
        <v>0</v>
      </c>
      <c r="K237" s="1">
        <f>IFERROR(VALUE(SUBSTITUTE(VLOOKUP(A237,'Sales IN Revenues vs Sales targ'!A:G,7,false)," $","")), "")
</f>
        <v>0</v>
      </c>
      <c r="L237" s="17" t="str">
        <f t="shared" si="4"/>
        <v/>
      </c>
      <c r="M237" s="1">
        <f>value(SUBSTITUTE(IFERROR(VLOOKUP(A237,'Certifications achievements vs '!A:G,6,false),""),"#","")
)</f>
        <v>25</v>
      </c>
      <c r="N237" s="1">
        <f>value(SUBSTITUTE(IFERROR(VLOOKUP(A237,'Certifications achievements vs '!A:G,7,false),""),"#","")
)</f>
        <v>52</v>
      </c>
      <c r="O237" s="17">
        <f t="shared" si="5"/>
        <v>0.4807692308</v>
      </c>
      <c r="P237" s="1">
        <f>value(SUBSTITUTE(IFERROR(VLOOKUP(A237,'Communications - Solution Speci'!A:G,6,false),""),"#","")
)</f>
        <v>0</v>
      </c>
      <c r="Q237" s="1">
        <f>value(SUBSTITUTE(IFERROR(VLOOKUP(A237,'Communications - Solution Speci'!A:G,7,false),""),"#","")
)</f>
        <v>1</v>
      </c>
      <c r="R237" s="17">
        <f t="shared" si="6"/>
        <v>0</v>
      </c>
      <c r="S237" s="1">
        <f>value(SUBSTITUTE(IFERROR(VLOOKUP(A237,'Networking - Solution Specializ'!A:G,6,false),""),"#","")
)</f>
        <v>0</v>
      </c>
      <c r="T237" s="1">
        <f>value(SUBSTITUTE(IFERROR(VLOOKUP(A237,'Networking - Solution Specializ'!A:G,7,false),""),"#","")
)</f>
        <v>1</v>
      </c>
      <c r="U237" s="17">
        <f t="shared" si="7"/>
        <v>0</v>
      </c>
      <c r="V237" s="1">
        <f>iferror(vlookup(A237,'Marketing Plan (extract summary'!A:G,6,false),"")</f>
        <v>0</v>
      </c>
      <c r="W237" s="1">
        <f>iferror(vlookup(A237,'Marketing Plan (extract summary'!A:G,7,false),"")</f>
        <v>1</v>
      </c>
      <c r="X237" s="17">
        <f t="shared" si="8"/>
        <v>0</v>
      </c>
      <c r="Y237" s="1">
        <f>value(IFERROR(SUBSTITUTE(SUBSTITUTE(VLOOKUP(A237,'Quarterly Pipeline vs Target Pi'!A:G,6,false)," $","")," €",""), "")
)</f>
        <v>0</v>
      </c>
      <c r="Z237" s="1">
        <f>value(IFERROR(SUBSTITUTE(SUBSTITUTE(VLOOKUP(A237,'Quarterly Pipeline vs Target Pi'!A:G,7,false)," $","")," €",""), "")
)</f>
        <v>0</v>
      </c>
      <c r="AA237" s="17" t="str">
        <f t="shared" si="9"/>
        <v/>
      </c>
      <c r="AB237" s="1">
        <f>value(IFERROR(SUBSTITUTE(SUBSTITUTE(VLOOKUP($A237,'Quarterly Pipeline vs Target Pi'!$A:$V,11,false)," $","")," €",""), "")
)</f>
        <v>0</v>
      </c>
      <c r="AC237" s="1">
        <f>value(IFERROR(SUBSTITUTE(SUBSTITUTE(VLOOKUP($A237,'Quarterly Pipeline vs Target Pi'!$A:$V,12,false)," $","")," €",""), "")
)</f>
        <v>0</v>
      </c>
      <c r="AD237" s="17" t="str">
        <f t="shared" si="10"/>
        <v/>
      </c>
      <c r="AE237" s="1">
        <f>value(IFERROR(SUBSTITUTE(SUBSTITUTE(VLOOKUP($A237,'Quarterly Pipeline vs Target Pi'!$A:$V,16,false)," $","")," €",""), "")
)</f>
        <v>0</v>
      </c>
      <c r="AF237" s="1">
        <f>value(IFERROR(SUBSTITUTE(SUBSTITUTE(VLOOKUP($A237,'Quarterly Pipeline vs Target Pi'!$A:$V,17,false)," $","")," €",""), "")
)</f>
        <v>0</v>
      </c>
      <c r="AG237" s="17" t="str">
        <f t="shared" si="11"/>
        <v/>
      </c>
      <c r="AH237" s="1">
        <f>value(IFERROR(SUBSTITUTE(SUBSTITUTE(VLOOKUP($A237,'Quarterly Pipeline vs Target Pi'!$A:$V,21,false)," $","")," €",""), "")
)</f>
        <v>0</v>
      </c>
      <c r="AI237" s="1">
        <f>value(IFERROR(SUBSTITUTE(SUBSTITUTE(VLOOKUP($A237,'Quarterly Pipeline vs Target Pi'!$A:$V,22,false)," $","")," €",""), "")
)</f>
        <v>0</v>
      </c>
      <c r="AJ237" s="17" t="str">
        <f t="shared" si="12"/>
        <v/>
      </c>
      <c r="AK237" s="1">
        <f t="shared" ref="AK237:AL237" si="487">sum(Y237,AB237,AE237,AH237)</f>
        <v>0</v>
      </c>
      <c r="AL237" s="1">
        <f t="shared" si="487"/>
        <v>0</v>
      </c>
      <c r="AM237" s="17" t="str">
        <f t="shared" si="14"/>
        <v/>
      </c>
      <c r="AN237" s="1">
        <f>value(IFERROR(SUBSTITUTE(SUBSTITUTE(VLOOKUP($A237,'Quarterly Pipeline vs Target Pi'!$A:$AP,26,false)," $","")," €",""), "")
)</f>
        <v>0</v>
      </c>
      <c r="AO237" s="1">
        <f>value(IFERROR(SUBSTITUTE(SUBSTITUTE(VLOOKUP($A237,'Quarterly Pipeline vs Target Pi'!$A:$AP,27,false)," $","")," €",""), "")
)</f>
        <v>0</v>
      </c>
      <c r="AP237" s="17" t="str">
        <f t="shared" si="15"/>
        <v/>
      </c>
      <c r="AQ237" s="1">
        <f>value(IFERROR(SUBSTITUTE(SUBSTITUTE(VLOOKUP($A237,'Quarterly Pipeline vs Target Pi'!$A:$AP,31,false)," $","")," €",""), "")
)</f>
        <v>0</v>
      </c>
      <c r="AR237" s="1">
        <f>value(IFERROR(SUBSTITUTE(SUBSTITUTE(VLOOKUP($A237,'Quarterly Pipeline vs Target Pi'!$A:$AP,32,false)," $","")," €",""), "")
)</f>
        <v>0</v>
      </c>
      <c r="AS237" s="17" t="str">
        <f t="shared" si="16"/>
        <v/>
      </c>
      <c r="AT237" s="1">
        <f>value(IFERROR(SUBSTITUTE(SUBSTITUTE(VLOOKUP($A237,'Quarterly Pipeline vs Target Pi'!$A:$AP,36,false)," $","")," €",""), "")
)</f>
        <v>0</v>
      </c>
      <c r="AU237" s="1">
        <f>value(IFERROR(SUBSTITUTE(SUBSTITUTE(VLOOKUP($A237,'Quarterly Pipeline vs Target Pi'!$A:$AP,37,false)," $","")," €",""), "")
)</f>
        <v>0</v>
      </c>
      <c r="AV237" s="17" t="str">
        <f t="shared" si="17"/>
        <v/>
      </c>
      <c r="AW237" s="1">
        <f>value(IFERROR(SUBSTITUTE(SUBSTITUTE(VLOOKUP($A237,'Quarterly Pipeline vs Target Pi'!$A:$AP,41,false)," $","")," €",""), "")
)</f>
        <v>0</v>
      </c>
      <c r="AX237" s="1">
        <f>value(IFERROR(SUBSTITUTE(SUBSTITUTE(VLOOKUP($A237,'Quarterly Pipeline vs Target Pi'!$A:$AP,42,false)," $","")," €",""), "")
)</f>
        <v>0</v>
      </c>
      <c r="AY237" s="17" t="str">
        <f t="shared" si="18"/>
        <v/>
      </c>
      <c r="AZ237" s="1">
        <f t="shared" ref="AZ237:BA237" si="488">sum(AN237,AQ237,AT237,AW237)</f>
        <v>0</v>
      </c>
      <c r="BA237" s="1">
        <f t="shared" si="488"/>
        <v>0</v>
      </c>
      <c r="BB237" s="17" t="str">
        <f t="shared" si="20"/>
        <v/>
      </c>
    </row>
    <row r="238">
      <c r="A238" s="1" t="str">
        <f>IFERROR(__xludf.DUMMYFUNCTION("""COMPUTED_VALUE"""),"63ced842c5c820531c268087")</f>
        <v>63ced842c5c820531c268087</v>
      </c>
      <c r="B238" s="1" t="str">
        <f>IFERROR(__xludf.DUMMYFUNCTION("""COMPUTED_VALUE"""),"ISBEL S.A.")</f>
        <v>ISBEL S.A.</v>
      </c>
      <c r="C238" s="1" t="str">
        <f>IFERROR(__xludf.DUMMYFUNCTION("""COMPUTED_VALUE"""),"luis.arriagada@al-enterprise.com")</f>
        <v>luis.arriagada@al-enterprise.com</v>
      </c>
      <c r="D238" s="1" t="str">
        <f>IFERROR(__xludf.DUMMYFUNCTION("""COMPUTED_VALUE"""),"americas")</f>
        <v>americas</v>
      </c>
      <c r="E238" s="1" t="str">
        <f>IFERROR(__xludf.DUMMYFUNCTION("""COMPUTED_VALUE"""),"UY")</f>
        <v>UY</v>
      </c>
      <c r="F238" s="1" t="str">
        <f>IFERROR(__xludf.DUMMYFUNCTION("""COMPUTED_VALUE"""),"expert_200")</f>
        <v>expert_200</v>
      </c>
      <c r="G238" s="1">
        <f>iferror(VLOOKUP(A238,'Business Plan Setup and Accepta'!A:G,6,false),"")</f>
        <v>0</v>
      </c>
      <c r="H238" s="1">
        <f>iferror(VLOOKUP(A238,'Business Plan Setup and Accepta'!A:G,7,false),"")</f>
        <v>1</v>
      </c>
      <c r="I238" s="17">
        <f t="shared" si="3"/>
        <v>0</v>
      </c>
      <c r="J238" s="1">
        <f>IFERROR(VALUE(SUBSTITUTE(VLOOKUP(A238,'Sales IN Revenues vs Sales targ'!A:G,6,false)," $","")), "")
</f>
        <v>140.32</v>
      </c>
      <c r="K238" s="1">
        <f>IFERROR(VALUE(SUBSTITUTE(VLOOKUP(A238,'Sales IN Revenues vs Sales targ'!A:G,7,false)," $","")), "")
</f>
        <v>0</v>
      </c>
      <c r="L238" s="17" t="str">
        <f t="shared" si="4"/>
        <v/>
      </c>
      <c r="M238" s="1">
        <f>value(SUBSTITUTE(IFERROR(VLOOKUP(A238,'Certifications achievements vs '!A:G,6,false),""),"#","")
)</f>
        <v>16</v>
      </c>
      <c r="N238" s="1">
        <f>value(SUBSTITUTE(IFERROR(VLOOKUP(A238,'Certifications achievements vs '!A:G,7,false),""),"#","")
)</f>
        <v>52</v>
      </c>
      <c r="O238" s="17">
        <f t="shared" si="5"/>
        <v>0.3076923077</v>
      </c>
      <c r="P238" s="1">
        <f>value(SUBSTITUTE(IFERROR(VLOOKUP(A238,'Communications - Solution Speci'!A:G,6,false),""),"#","")
)</f>
        <v>0</v>
      </c>
      <c r="Q238" s="1">
        <f>value(SUBSTITUTE(IFERROR(VLOOKUP(A238,'Communications - Solution Speci'!A:G,7,false),""),"#","")
)</f>
        <v>1</v>
      </c>
      <c r="R238" s="17">
        <f t="shared" si="6"/>
        <v>0</v>
      </c>
      <c r="S238" s="1">
        <f>value(SUBSTITUTE(IFERROR(VLOOKUP(A238,'Networking - Solution Specializ'!A:G,6,false),""),"#","")
)</f>
        <v>0</v>
      </c>
      <c r="T238" s="1">
        <f>value(SUBSTITUTE(IFERROR(VLOOKUP(A238,'Networking - Solution Specializ'!A:G,7,false),""),"#","")
)</f>
        <v>1</v>
      </c>
      <c r="U238" s="17">
        <f t="shared" si="7"/>
        <v>0</v>
      </c>
      <c r="V238" s="1">
        <f>iferror(vlookup(A238,'Marketing Plan (extract summary'!A:G,6,false),"")</f>
        <v>0</v>
      </c>
      <c r="W238" s="1">
        <f>iferror(vlookup(A238,'Marketing Plan (extract summary'!A:G,7,false),"")</f>
        <v>1</v>
      </c>
      <c r="X238" s="17">
        <f t="shared" si="8"/>
        <v>0</v>
      </c>
      <c r="Y238" s="1">
        <f>value(IFERROR(SUBSTITUTE(SUBSTITUTE(VLOOKUP(A238,'Quarterly Pipeline vs Target Pi'!A:G,6,false)," $","")," €",""), "")
)</f>
        <v>33</v>
      </c>
      <c r="Z238" s="1">
        <f>value(IFERROR(SUBSTITUTE(SUBSTITUTE(VLOOKUP(A238,'Quarterly Pipeline vs Target Pi'!A:G,7,false)," $","")," €",""), "")
)</f>
        <v>0</v>
      </c>
      <c r="AA238" s="17" t="str">
        <f t="shared" si="9"/>
        <v/>
      </c>
      <c r="AB238" s="1">
        <f>value(IFERROR(SUBSTITUTE(SUBSTITUTE(VLOOKUP($A238,'Quarterly Pipeline vs Target Pi'!$A:$V,11,false)," $","")," €",""), "")
)</f>
        <v>8.75</v>
      </c>
      <c r="AC238" s="1">
        <f>value(IFERROR(SUBSTITUTE(SUBSTITUTE(VLOOKUP($A238,'Quarterly Pipeline vs Target Pi'!$A:$V,12,false)," $","")," €",""), "")
)</f>
        <v>0</v>
      </c>
      <c r="AD238" s="17" t="str">
        <f t="shared" si="10"/>
        <v/>
      </c>
      <c r="AE238" s="1">
        <f>value(IFERROR(SUBSTITUTE(SUBSTITUTE(VLOOKUP($A238,'Quarterly Pipeline vs Target Pi'!$A:$V,16,false)," $","")," €",""), "")
)</f>
        <v>2.61</v>
      </c>
      <c r="AF238" s="1">
        <f>value(IFERROR(SUBSTITUTE(SUBSTITUTE(VLOOKUP($A238,'Quarterly Pipeline vs Target Pi'!$A:$V,17,false)," $","")," €",""), "")
)</f>
        <v>0</v>
      </c>
      <c r="AG238" s="17" t="str">
        <f t="shared" si="11"/>
        <v/>
      </c>
      <c r="AH238" s="1">
        <f>value(IFERROR(SUBSTITUTE(SUBSTITUTE(VLOOKUP($A238,'Quarterly Pipeline vs Target Pi'!$A:$V,21,false)," $","")," €",""), "")
)</f>
        <v>107.13</v>
      </c>
      <c r="AI238" s="1">
        <f>value(IFERROR(SUBSTITUTE(SUBSTITUTE(VLOOKUP($A238,'Quarterly Pipeline vs Target Pi'!$A:$V,22,false)," $","")," €",""), "")
)</f>
        <v>0</v>
      </c>
      <c r="AJ238" s="17" t="str">
        <f t="shared" si="12"/>
        <v/>
      </c>
      <c r="AK238" s="1">
        <f t="shared" ref="AK238:AL238" si="489">sum(Y238,AB238,AE238,AH238)</f>
        <v>151.49</v>
      </c>
      <c r="AL238" s="1">
        <f t="shared" si="489"/>
        <v>0</v>
      </c>
      <c r="AM238" s="17" t="str">
        <f t="shared" si="14"/>
        <v/>
      </c>
      <c r="AN238" s="1">
        <f>value(IFERROR(SUBSTITUTE(SUBSTITUTE(VLOOKUP($A238,'Quarterly Pipeline vs Target Pi'!$A:$AP,26,false)," $","")," €",""), "")
)</f>
        <v>0</v>
      </c>
      <c r="AO238" s="1">
        <f>value(IFERROR(SUBSTITUTE(SUBSTITUTE(VLOOKUP($A238,'Quarterly Pipeline vs Target Pi'!$A:$AP,27,false)," $","")," €",""), "")
)</f>
        <v>0</v>
      </c>
      <c r="AP238" s="17" t="str">
        <f t="shared" si="15"/>
        <v/>
      </c>
      <c r="AQ238" s="1">
        <f>value(IFERROR(SUBSTITUTE(SUBSTITUTE(VLOOKUP($A238,'Quarterly Pipeline vs Target Pi'!$A:$AP,31,false)," $","")," €",""), "")
)</f>
        <v>15.44</v>
      </c>
      <c r="AR238" s="1">
        <f>value(IFERROR(SUBSTITUTE(SUBSTITUTE(VLOOKUP($A238,'Quarterly Pipeline vs Target Pi'!$A:$AP,32,false)," $","")," €",""), "")
)</f>
        <v>0</v>
      </c>
      <c r="AS238" s="17" t="str">
        <f t="shared" si="16"/>
        <v/>
      </c>
      <c r="AT238" s="1">
        <f>value(IFERROR(SUBSTITUTE(SUBSTITUTE(VLOOKUP($A238,'Quarterly Pipeline vs Target Pi'!$A:$AP,36,false)," $","")," €",""), "")
)</f>
        <v>0</v>
      </c>
      <c r="AU238" s="1">
        <f>value(IFERROR(SUBSTITUTE(SUBSTITUTE(VLOOKUP($A238,'Quarterly Pipeline vs Target Pi'!$A:$AP,37,false)," $","")," €",""), "")
)</f>
        <v>0</v>
      </c>
      <c r="AV238" s="17" t="str">
        <f t="shared" si="17"/>
        <v/>
      </c>
      <c r="AW238" s="1">
        <f>value(IFERROR(SUBSTITUTE(SUBSTITUTE(VLOOKUP($A238,'Quarterly Pipeline vs Target Pi'!$A:$AP,41,false)," $","")," €",""), "")
)</f>
        <v>14.96</v>
      </c>
      <c r="AX238" s="1">
        <f>value(IFERROR(SUBSTITUTE(SUBSTITUTE(VLOOKUP($A238,'Quarterly Pipeline vs Target Pi'!$A:$AP,42,false)," $","")," €",""), "")
)</f>
        <v>0</v>
      </c>
      <c r="AY238" s="17" t="str">
        <f t="shared" si="18"/>
        <v/>
      </c>
      <c r="AZ238" s="1">
        <f t="shared" ref="AZ238:BA238" si="490">sum(AN238,AQ238,AT238,AW238)</f>
        <v>30.4</v>
      </c>
      <c r="BA238" s="1">
        <f t="shared" si="490"/>
        <v>0</v>
      </c>
      <c r="BB238" s="17" t="str">
        <f t="shared" si="20"/>
        <v/>
      </c>
    </row>
    <row r="239">
      <c r="A239" s="1" t="str">
        <f>IFERROR(__xludf.DUMMYFUNCTION("""COMPUTED_VALUE"""),"63ced849c5c820531c268ef1")</f>
        <v>63ced849c5c820531c268ef1</v>
      </c>
      <c r="B239" s="1" t="str">
        <f>IFERROR(__xludf.DUMMYFUNCTION("""COMPUTED_VALUE"""),"IT DACAS PERU SAC")</f>
        <v>IT DACAS PERU SAC</v>
      </c>
      <c r="C239" s="1" t="str">
        <f>IFERROR(__xludf.DUMMYFUNCTION("""COMPUTED_VALUE"""),"carolina.rodriguez@al-enterprise.com")</f>
        <v>carolina.rodriguez@al-enterprise.com</v>
      </c>
      <c r="D239" s="1" t="str">
        <f>IFERROR(__xludf.DUMMYFUNCTION("""COMPUTED_VALUE"""),"americas")</f>
        <v>americas</v>
      </c>
      <c r="E239" s="1" t="str">
        <f>IFERROR(__xludf.DUMMYFUNCTION("""COMPUTED_VALUE"""),"PE")</f>
        <v>PE</v>
      </c>
      <c r="F239" s="1"/>
      <c r="G239" s="1" t="str">
        <f>iferror(VLOOKUP(A239,'Business Plan Setup and Accepta'!A:G,6,false),"")</f>
        <v/>
      </c>
      <c r="H239" s="1" t="str">
        <f>iferror(VLOOKUP(A239,'Business Plan Setup and Accepta'!A:G,7,false),"")</f>
        <v/>
      </c>
      <c r="I239" s="17" t="str">
        <f t="shared" si="3"/>
        <v/>
      </c>
      <c r="J239" s="1" t="str">
        <f>IFERROR(VALUE(SUBSTITUTE(VLOOKUP(A239,'Sales IN Revenues vs Sales targ'!A:G,6,false)," $","")), "")
</f>
        <v/>
      </c>
      <c r="K239" s="1" t="str">
        <f>IFERROR(VALUE(SUBSTITUTE(VLOOKUP(A239,'Sales IN Revenues vs Sales targ'!A:G,7,false)," $","")), "")
</f>
        <v/>
      </c>
      <c r="L239" s="17" t="str">
        <f t="shared" si="4"/>
        <v/>
      </c>
      <c r="M239" s="1">
        <f>value(SUBSTITUTE(IFERROR(VLOOKUP(A239,'Certifications achievements vs '!A:G,6,false),""),"#","")
)</f>
        <v>0</v>
      </c>
      <c r="N239" s="1">
        <f>value(SUBSTITUTE(IFERROR(VLOOKUP(A239,'Certifications achievements vs '!A:G,7,false),""),"#","")
)</f>
        <v>0</v>
      </c>
      <c r="O239" s="17" t="str">
        <f t="shared" si="5"/>
        <v/>
      </c>
      <c r="P239" s="1">
        <f>value(SUBSTITUTE(IFERROR(VLOOKUP(A239,'Communications - Solution Speci'!A:G,6,false),""),"#","")
)</f>
        <v>0</v>
      </c>
      <c r="Q239" s="1">
        <f>value(SUBSTITUTE(IFERROR(VLOOKUP(A239,'Communications - Solution Speci'!A:G,7,false),""),"#","")
)</f>
        <v>0</v>
      </c>
      <c r="R239" s="17" t="str">
        <f t="shared" si="6"/>
        <v/>
      </c>
      <c r="S239" s="1">
        <f>value(SUBSTITUTE(IFERROR(VLOOKUP(A239,'Networking - Solution Specializ'!A:G,6,false),""),"#","")
)</f>
        <v>0</v>
      </c>
      <c r="T239" s="1">
        <f>value(SUBSTITUTE(IFERROR(VLOOKUP(A239,'Networking - Solution Specializ'!A:G,7,false),""),"#","")
)</f>
        <v>0</v>
      </c>
      <c r="U239" s="17" t="str">
        <f t="shared" si="7"/>
        <v/>
      </c>
      <c r="V239" s="1" t="str">
        <f>iferror(vlookup(A239,'Marketing Plan (extract summary'!A:G,6,false),"")</f>
        <v/>
      </c>
      <c r="W239" s="1" t="str">
        <f>iferror(vlookup(A239,'Marketing Plan (extract summary'!A:G,7,false),"")</f>
        <v/>
      </c>
      <c r="X239" s="17" t="str">
        <f t="shared" si="8"/>
        <v/>
      </c>
      <c r="Y239" s="1">
        <f>value(IFERROR(SUBSTITUTE(SUBSTITUTE(VLOOKUP(A239,'Quarterly Pipeline vs Target Pi'!A:G,6,false)," $","")," €",""), "")
)</f>
        <v>0</v>
      </c>
      <c r="Z239" s="1">
        <f>value(IFERROR(SUBSTITUTE(SUBSTITUTE(VLOOKUP(A239,'Quarterly Pipeline vs Target Pi'!A:G,7,false)," $","")," €",""), "")
)</f>
        <v>0</v>
      </c>
      <c r="AA239" s="17" t="str">
        <f t="shared" si="9"/>
        <v/>
      </c>
      <c r="AB239" s="1">
        <f>value(IFERROR(SUBSTITUTE(SUBSTITUTE(VLOOKUP($A239,'Quarterly Pipeline vs Target Pi'!$A:$V,11,false)," $","")," €",""), "")
)</f>
        <v>0</v>
      </c>
      <c r="AC239" s="1">
        <f>value(IFERROR(SUBSTITUTE(SUBSTITUTE(VLOOKUP($A239,'Quarterly Pipeline vs Target Pi'!$A:$V,12,false)," $","")," €",""), "")
)</f>
        <v>0</v>
      </c>
      <c r="AD239" s="17" t="str">
        <f t="shared" si="10"/>
        <v/>
      </c>
      <c r="AE239" s="1">
        <f>value(IFERROR(SUBSTITUTE(SUBSTITUTE(VLOOKUP($A239,'Quarterly Pipeline vs Target Pi'!$A:$V,16,false)," $","")," €",""), "")
)</f>
        <v>0</v>
      </c>
      <c r="AF239" s="1">
        <f>value(IFERROR(SUBSTITUTE(SUBSTITUTE(VLOOKUP($A239,'Quarterly Pipeline vs Target Pi'!$A:$V,17,false)," $","")," €",""), "")
)</f>
        <v>0</v>
      </c>
      <c r="AG239" s="17" t="str">
        <f t="shared" si="11"/>
        <v/>
      </c>
      <c r="AH239" s="1">
        <f>value(IFERROR(SUBSTITUTE(SUBSTITUTE(VLOOKUP($A239,'Quarterly Pipeline vs Target Pi'!$A:$V,21,false)," $","")," €",""), "")
)</f>
        <v>0</v>
      </c>
      <c r="AI239" s="1">
        <f>value(IFERROR(SUBSTITUTE(SUBSTITUTE(VLOOKUP($A239,'Quarterly Pipeline vs Target Pi'!$A:$V,22,false)," $","")," €",""), "")
)</f>
        <v>0</v>
      </c>
      <c r="AJ239" s="17" t="str">
        <f t="shared" si="12"/>
        <v/>
      </c>
      <c r="AK239" s="1">
        <f t="shared" ref="AK239:AL239" si="491">sum(Y239,AB239,AE239,AH239)</f>
        <v>0</v>
      </c>
      <c r="AL239" s="1">
        <f t="shared" si="491"/>
        <v>0</v>
      </c>
      <c r="AM239" s="17" t="str">
        <f t="shared" si="14"/>
        <v/>
      </c>
      <c r="AN239" s="1">
        <f>value(IFERROR(SUBSTITUTE(SUBSTITUTE(VLOOKUP($A239,'Quarterly Pipeline vs Target Pi'!$A:$AP,26,false)," $","")," €",""), "")
)</f>
        <v>0</v>
      </c>
      <c r="AO239" s="1">
        <f>value(IFERROR(SUBSTITUTE(SUBSTITUTE(VLOOKUP($A239,'Quarterly Pipeline vs Target Pi'!$A:$AP,27,false)," $","")," €",""), "")
)</f>
        <v>0</v>
      </c>
      <c r="AP239" s="17" t="str">
        <f t="shared" si="15"/>
        <v/>
      </c>
      <c r="AQ239" s="1">
        <f>value(IFERROR(SUBSTITUTE(SUBSTITUTE(VLOOKUP($A239,'Quarterly Pipeline vs Target Pi'!$A:$AP,31,false)," $","")," €",""), "")
)</f>
        <v>0</v>
      </c>
      <c r="AR239" s="1">
        <f>value(IFERROR(SUBSTITUTE(SUBSTITUTE(VLOOKUP($A239,'Quarterly Pipeline vs Target Pi'!$A:$AP,32,false)," $","")," €",""), "")
)</f>
        <v>0</v>
      </c>
      <c r="AS239" s="17" t="str">
        <f t="shared" si="16"/>
        <v/>
      </c>
      <c r="AT239" s="1">
        <f>value(IFERROR(SUBSTITUTE(SUBSTITUTE(VLOOKUP($A239,'Quarterly Pipeline vs Target Pi'!$A:$AP,36,false)," $","")," €",""), "")
)</f>
        <v>0</v>
      </c>
      <c r="AU239" s="1">
        <f>value(IFERROR(SUBSTITUTE(SUBSTITUTE(VLOOKUP($A239,'Quarterly Pipeline vs Target Pi'!$A:$AP,37,false)," $","")," €",""), "")
)</f>
        <v>0</v>
      </c>
      <c r="AV239" s="17" t="str">
        <f t="shared" si="17"/>
        <v/>
      </c>
      <c r="AW239" s="1">
        <f>value(IFERROR(SUBSTITUTE(SUBSTITUTE(VLOOKUP($A239,'Quarterly Pipeline vs Target Pi'!$A:$AP,41,false)," $","")," €",""), "")
)</f>
        <v>0</v>
      </c>
      <c r="AX239" s="1">
        <f>value(IFERROR(SUBSTITUTE(SUBSTITUTE(VLOOKUP($A239,'Quarterly Pipeline vs Target Pi'!$A:$AP,42,false)," $","")," €",""), "")
)</f>
        <v>0</v>
      </c>
      <c r="AY239" s="17" t="str">
        <f t="shared" si="18"/>
        <v/>
      </c>
      <c r="AZ239" s="1">
        <f t="shared" ref="AZ239:BA239" si="492">sum(AN239,AQ239,AT239,AW239)</f>
        <v>0</v>
      </c>
      <c r="BA239" s="1">
        <f t="shared" si="492"/>
        <v>0</v>
      </c>
      <c r="BB239" s="17" t="str">
        <f t="shared" si="20"/>
        <v/>
      </c>
    </row>
    <row r="240">
      <c r="A240" s="1" t="str">
        <f>IFERROR(__xludf.DUMMYFUNCTION("""COMPUTED_VALUE"""),"67a4e3d0b05936bb7003d3d2")</f>
        <v>67a4e3d0b05936bb7003d3d2</v>
      </c>
      <c r="B240" s="1" t="str">
        <f>IFERROR(__xludf.DUMMYFUNCTION("""COMPUTED_VALUE"""),"iT1 Source LLC")</f>
        <v>iT1 Source LLC</v>
      </c>
      <c r="C240" s="1" t="str">
        <f>IFERROR(__xludf.DUMMYFUNCTION("""COMPUTED_VALUE"""),"bill.rademacher@al-enterprise.com")</f>
        <v>bill.rademacher@al-enterprise.com</v>
      </c>
      <c r="D240" s="1" t="str">
        <f>IFERROR(__xludf.DUMMYFUNCTION("""COMPUTED_VALUE"""),"americas")</f>
        <v>americas</v>
      </c>
      <c r="E240" s="1" t="str">
        <f>IFERROR(__xludf.DUMMYFUNCTION("""COMPUTED_VALUE"""),"US")</f>
        <v>US</v>
      </c>
      <c r="F240" s="1" t="str">
        <f>IFERROR(__xludf.DUMMYFUNCTION("""COMPUTED_VALUE"""),"expert_200")</f>
        <v>expert_200</v>
      </c>
      <c r="G240" s="1">
        <f>iferror(VLOOKUP(A240,'Business Plan Setup and Accepta'!A:G,6,false),"")</f>
        <v>0</v>
      </c>
      <c r="H240" s="1">
        <f>iferror(VLOOKUP(A240,'Business Plan Setup and Accepta'!A:G,7,false),"")</f>
        <v>1</v>
      </c>
      <c r="I240" s="17">
        <f t="shared" si="3"/>
        <v>0</v>
      </c>
      <c r="J240" s="1">
        <f>IFERROR(VALUE(SUBSTITUTE(VLOOKUP(A240,'Sales IN Revenues vs Sales targ'!A:G,6,false)," $","")), "")
</f>
        <v>0</v>
      </c>
      <c r="K240" s="1">
        <f>IFERROR(VALUE(SUBSTITUTE(VLOOKUP(A240,'Sales IN Revenues vs Sales targ'!A:G,7,false)," $","")), "")
</f>
        <v>0</v>
      </c>
      <c r="L240" s="17" t="str">
        <f t="shared" si="4"/>
        <v/>
      </c>
      <c r="M240" s="1">
        <f>value(SUBSTITUTE(IFERROR(VLOOKUP(A240,'Certifications achievements vs '!A:G,6,false),""),"#","")
)</f>
        <v>0</v>
      </c>
      <c r="N240" s="1">
        <f>value(SUBSTITUTE(IFERROR(VLOOKUP(A240,'Certifications achievements vs '!A:G,7,false),""),"#","")
)</f>
        <v>0</v>
      </c>
      <c r="O240" s="17" t="str">
        <f t="shared" si="5"/>
        <v/>
      </c>
      <c r="P240" s="1">
        <f>value(SUBSTITUTE(IFERROR(VLOOKUP(A240,'Communications - Solution Speci'!A:G,6,false),""),"#","")
)</f>
        <v>0</v>
      </c>
      <c r="Q240" s="1">
        <f>value(SUBSTITUTE(IFERROR(VLOOKUP(A240,'Communications - Solution Speci'!A:G,7,false),""),"#","")
)</f>
        <v>1</v>
      </c>
      <c r="R240" s="17">
        <f t="shared" si="6"/>
        <v>0</v>
      </c>
      <c r="S240" s="1">
        <f>value(SUBSTITUTE(IFERROR(VLOOKUP(A240,'Networking - Solution Specializ'!A:G,6,false),""),"#","")
)</f>
        <v>0</v>
      </c>
      <c r="T240" s="1">
        <f>value(SUBSTITUTE(IFERROR(VLOOKUP(A240,'Networking - Solution Specializ'!A:G,7,false),""),"#","")
)</f>
        <v>1</v>
      </c>
      <c r="U240" s="17">
        <f t="shared" si="7"/>
        <v>0</v>
      </c>
      <c r="V240" s="1">
        <f>iferror(vlookup(A240,'Marketing Plan (extract summary'!A:G,6,false),"")</f>
        <v>0</v>
      </c>
      <c r="W240" s="1">
        <f>iferror(vlookup(A240,'Marketing Plan (extract summary'!A:G,7,false),"")</f>
        <v>1</v>
      </c>
      <c r="X240" s="17">
        <f t="shared" si="8"/>
        <v>0</v>
      </c>
      <c r="Y240" s="1">
        <f>value(IFERROR(SUBSTITUTE(SUBSTITUTE(VLOOKUP(A240,'Quarterly Pipeline vs Target Pi'!A:G,6,false)," $","")," €",""), "")
)</f>
        <v>0</v>
      </c>
      <c r="Z240" s="1">
        <f>value(IFERROR(SUBSTITUTE(SUBSTITUTE(VLOOKUP(A240,'Quarterly Pipeline vs Target Pi'!A:G,7,false)," $","")," €",""), "")
)</f>
        <v>0</v>
      </c>
      <c r="AA240" s="17" t="str">
        <f t="shared" si="9"/>
        <v/>
      </c>
      <c r="AB240" s="1">
        <f>value(IFERROR(SUBSTITUTE(SUBSTITUTE(VLOOKUP($A240,'Quarterly Pipeline vs Target Pi'!$A:$V,11,false)," $","")," €",""), "")
)</f>
        <v>0</v>
      </c>
      <c r="AC240" s="1">
        <f>value(IFERROR(SUBSTITUTE(SUBSTITUTE(VLOOKUP($A240,'Quarterly Pipeline vs Target Pi'!$A:$V,12,false)," $","")," €",""), "")
)</f>
        <v>0</v>
      </c>
      <c r="AD240" s="17" t="str">
        <f t="shared" si="10"/>
        <v/>
      </c>
      <c r="AE240" s="1">
        <f>value(IFERROR(SUBSTITUTE(SUBSTITUTE(VLOOKUP($A240,'Quarterly Pipeline vs Target Pi'!$A:$V,16,false)," $","")," €",""), "")
)</f>
        <v>2966.81</v>
      </c>
      <c r="AF240" s="1">
        <f>value(IFERROR(SUBSTITUTE(SUBSTITUTE(VLOOKUP($A240,'Quarterly Pipeline vs Target Pi'!$A:$V,17,false)," $","")," €",""), "")
)</f>
        <v>0</v>
      </c>
      <c r="AG240" s="17" t="str">
        <f t="shared" si="11"/>
        <v/>
      </c>
      <c r="AH240" s="1">
        <f>value(IFERROR(SUBSTITUTE(SUBSTITUTE(VLOOKUP($A240,'Quarterly Pipeline vs Target Pi'!$A:$V,21,false)," $","")," €",""), "")
)</f>
        <v>0</v>
      </c>
      <c r="AI240" s="1">
        <f>value(IFERROR(SUBSTITUTE(SUBSTITUTE(VLOOKUP($A240,'Quarterly Pipeline vs Target Pi'!$A:$V,22,false)," $","")," €",""), "")
)</f>
        <v>0</v>
      </c>
      <c r="AJ240" s="17" t="str">
        <f t="shared" si="12"/>
        <v/>
      </c>
      <c r="AK240" s="1">
        <f t="shared" ref="AK240:AL240" si="493">sum(Y240,AB240,AE240,AH240)</f>
        <v>2966.81</v>
      </c>
      <c r="AL240" s="1">
        <f t="shared" si="493"/>
        <v>0</v>
      </c>
      <c r="AM240" s="17" t="str">
        <f t="shared" si="14"/>
        <v/>
      </c>
      <c r="AN240" s="1">
        <f>value(IFERROR(SUBSTITUTE(SUBSTITUTE(VLOOKUP($A240,'Quarterly Pipeline vs Target Pi'!$A:$AP,26,false)," $","")," €",""), "")
)</f>
        <v>0</v>
      </c>
      <c r="AO240" s="1">
        <f>value(IFERROR(SUBSTITUTE(SUBSTITUTE(VLOOKUP($A240,'Quarterly Pipeline vs Target Pi'!$A:$AP,27,false)," $","")," €",""), "")
)</f>
        <v>0</v>
      </c>
      <c r="AP240" s="17" t="str">
        <f t="shared" si="15"/>
        <v/>
      </c>
      <c r="AQ240" s="1">
        <f>value(IFERROR(SUBSTITUTE(SUBSTITUTE(VLOOKUP($A240,'Quarterly Pipeline vs Target Pi'!$A:$AP,31,false)," $","")," €",""), "")
)</f>
        <v>0</v>
      </c>
      <c r="AR240" s="1">
        <f>value(IFERROR(SUBSTITUTE(SUBSTITUTE(VLOOKUP($A240,'Quarterly Pipeline vs Target Pi'!$A:$AP,32,false)," $","")," €",""), "")
)</f>
        <v>0</v>
      </c>
      <c r="AS240" s="17" t="str">
        <f t="shared" si="16"/>
        <v/>
      </c>
      <c r="AT240" s="1">
        <f>value(IFERROR(SUBSTITUTE(SUBSTITUTE(VLOOKUP($A240,'Quarterly Pipeline vs Target Pi'!$A:$AP,36,false)," $","")," €",""), "")
)</f>
        <v>0</v>
      </c>
      <c r="AU240" s="1">
        <f>value(IFERROR(SUBSTITUTE(SUBSTITUTE(VLOOKUP($A240,'Quarterly Pipeline vs Target Pi'!$A:$AP,37,false)," $","")," €",""), "")
)</f>
        <v>0</v>
      </c>
      <c r="AV240" s="17" t="str">
        <f t="shared" si="17"/>
        <v/>
      </c>
      <c r="AW240" s="1">
        <f>value(IFERROR(SUBSTITUTE(SUBSTITUTE(VLOOKUP($A240,'Quarterly Pipeline vs Target Pi'!$A:$AP,41,false)," $","")," €",""), "")
)</f>
        <v>0</v>
      </c>
      <c r="AX240" s="1">
        <f>value(IFERROR(SUBSTITUTE(SUBSTITUTE(VLOOKUP($A240,'Quarterly Pipeline vs Target Pi'!$A:$AP,42,false)," $","")," €",""), "")
)</f>
        <v>0</v>
      </c>
      <c r="AY240" s="17" t="str">
        <f t="shared" si="18"/>
        <v/>
      </c>
      <c r="AZ240" s="1">
        <f t="shared" ref="AZ240:BA240" si="494">sum(AN240,AQ240,AT240,AW240)</f>
        <v>0</v>
      </c>
      <c r="BA240" s="1">
        <f t="shared" si="494"/>
        <v>0</v>
      </c>
      <c r="BB240" s="17" t="str">
        <f t="shared" si="20"/>
        <v/>
      </c>
    </row>
    <row r="241">
      <c r="A241" s="1" t="str">
        <f>IFERROR(__xludf.DUMMYFUNCTION("""COMPUTED_VALUE"""),"63ced84bc5c820531c26922a")</f>
        <v>63ced84bc5c820531c26922a</v>
      </c>
      <c r="B241" s="1" t="str">
        <f>IFERROR(__xludf.DUMMYFUNCTION("""COMPUTED_VALUE"""),"ITANCIA Spain")</f>
        <v>ITANCIA Spain</v>
      </c>
      <c r="C241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241" s="1" t="str">
        <f>IFERROR(__xludf.DUMMYFUNCTION("""COMPUTED_VALUE"""),"emea")</f>
        <v>emea</v>
      </c>
      <c r="E241" s="1" t="str">
        <f>IFERROR(__xludf.DUMMYFUNCTION("""COMPUTED_VALUE"""),"ES")</f>
        <v>ES</v>
      </c>
      <c r="F241" s="1"/>
      <c r="G241" s="1" t="str">
        <f>iferror(VLOOKUP(A241,'Business Plan Setup and Accepta'!A:G,6,false),"")</f>
        <v/>
      </c>
      <c r="H241" s="1" t="str">
        <f>iferror(VLOOKUP(A241,'Business Plan Setup and Accepta'!A:G,7,false),"")</f>
        <v/>
      </c>
      <c r="I241" s="17" t="str">
        <f t="shared" si="3"/>
        <v/>
      </c>
      <c r="J241" s="1" t="str">
        <f>IFERROR(VALUE(SUBSTITUTE(VLOOKUP(A241,'Sales IN Revenues vs Sales targ'!A:G,6,false)," $","")), "")
</f>
        <v/>
      </c>
      <c r="K241" s="1" t="str">
        <f>IFERROR(VALUE(SUBSTITUTE(VLOOKUP(A241,'Sales IN Revenues vs Sales targ'!A:G,7,false)," $","")), "")
</f>
        <v/>
      </c>
      <c r="L241" s="17" t="str">
        <f t="shared" si="4"/>
        <v/>
      </c>
      <c r="M241" s="1">
        <f>value(SUBSTITUTE(IFERROR(VLOOKUP(A241,'Certifications achievements vs '!A:G,6,false),""),"#","")
)</f>
        <v>0</v>
      </c>
      <c r="N241" s="1">
        <f>value(SUBSTITUTE(IFERROR(VLOOKUP(A241,'Certifications achievements vs '!A:G,7,false),""),"#","")
)</f>
        <v>0</v>
      </c>
      <c r="O241" s="17" t="str">
        <f t="shared" si="5"/>
        <v/>
      </c>
      <c r="P241" s="1">
        <f>value(SUBSTITUTE(IFERROR(VLOOKUP(A241,'Communications - Solution Speci'!A:G,6,false),""),"#","")
)</f>
        <v>0</v>
      </c>
      <c r="Q241" s="1">
        <f>value(SUBSTITUTE(IFERROR(VLOOKUP(A241,'Communications - Solution Speci'!A:G,7,false),""),"#","")
)</f>
        <v>0</v>
      </c>
      <c r="R241" s="17" t="str">
        <f t="shared" si="6"/>
        <v/>
      </c>
      <c r="S241" s="1">
        <f>value(SUBSTITUTE(IFERROR(VLOOKUP(A241,'Networking - Solution Specializ'!A:G,6,false),""),"#","")
)</f>
        <v>0</v>
      </c>
      <c r="T241" s="1">
        <f>value(SUBSTITUTE(IFERROR(VLOOKUP(A241,'Networking - Solution Specializ'!A:G,7,false),""),"#","")
)</f>
        <v>0</v>
      </c>
      <c r="U241" s="17" t="str">
        <f t="shared" si="7"/>
        <v/>
      </c>
      <c r="V241" s="1" t="str">
        <f>iferror(vlookup(A241,'Marketing Plan (extract summary'!A:G,6,false),"")</f>
        <v/>
      </c>
      <c r="W241" s="1" t="str">
        <f>iferror(vlookup(A241,'Marketing Plan (extract summary'!A:G,7,false),"")</f>
        <v/>
      </c>
      <c r="X241" s="17" t="str">
        <f t="shared" si="8"/>
        <v/>
      </c>
      <c r="Y241" s="1">
        <f>value(IFERROR(SUBSTITUTE(SUBSTITUTE(VLOOKUP(A241,'Quarterly Pipeline vs Target Pi'!A:G,6,false)," $","")," €",""), "")
)</f>
        <v>0</v>
      </c>
      <c r="Z241" s="1">
        <f>value(IFERROR(SUBSTITUTE(SUBSTITUTE(VLOOKUP(A241,'Quarterly Pipeline vs Target Pi'!A:G,7,false)," $","")," €",""), "")
)</f>
        <v>0</v>
      </c>
      <c r="AA241" s="17" t="str">
        <f t="shared" si="9"/>
        <v/>
      </c>
      <c r="AB241" s="1">
        <f>value(IFERROR(SUBSTITUTE(SUBSTITUTE(VLOOKUP($A241,'Quarterly Pipeline vs Target Pi'!$A:$V,11,false)," $","")," €",""), "")
)</f>
        <v>0</v>
      </c>
      <c r="AC241" s="1">
        <f>value(IFERROR(SUBSTITUTE(SUBSTITUTE(VLOOKUP($A241,'Quarterly Pipeline vs Target Pi'!$A:$V,12,false)," $","")," €",""), "")
)</f>
        <v>0</v>
      </c>
      <c r="AD241" s="17" t="str">
        <f t="shared" si="10"/>
        <v/>
      </c>
      <c r="AE241" s="1">
        <f>value(IFERROR(SUBSTITUTE(SUBSTITUTE(VLOOKUP($A241,'Quarterly Pipeline vs Target Pi'!$A:$V,16,false)," $","")," €",""), "")
)</f>
        <v>0</v>
      </c>
      <c r="AF241" s="1">
        <f>value(IFERROR(SUBSTITUTE(SUBSTITUTE(VLOOKUP($A241,'Quarterly Pipeline vs Target Pi'!$A:$V,17,false)," $","")," €",""), "")
)</f>
        <v>0</v>
      </c>
      <c r="AG241" s="17" t="str">
        <f t="shared" si="11"/>
        <v/>
      </c>
      <c r="AH241" s="1">
        <f>value(IFERROR(SUBSTITUTE(SUBSTITUTE(VLOOKUP($A241,'Quarterly Pipeline vs Target Pi'!$A:$V,21,false)," $","")," €",""), "")
)</f>
        <v>0</v>
      </c>
      <c r="AI241" s="1">
        <f>value(IFERROR(SUBSTITUTE(SUBSTITUTE(VLOOKUP($A241,'Quarterly Pipeline vs Target Pi'!$A:$V,22,false)," $","")," €",""), "")
)</f>
        <v>0</v>
      </c>
      <c r="AJ241" s="17" t="str">
        <f t="shared" si="12"/>
        <v/>
      </c>
      <c r="AK241" s="1">
        <f t="shared" ref="AK241:AL241" si="495">sum(Y241,AB241,AE241,AH241)</f>
        <v>0</v>
      </c>
      <c r="AL241" s="1">
        <f t="shared" si="495"/>
        <v>0</v>
      </c>
      <c r="AM241" s="17" t="str">
        <f t="shared" si="14"/>
        <v/>
      </c>
      <c r="AN241" s="1">
        <f>value(IFERROR(SUBSTITUTE(SUBSTITUTE(VLOOKUP($A241,'Quarterly Pipeline vs Target Pi'!$A:$AP,26,false)," $","")," €",""), "")
)</f>
        <v>0</v>
      </c>
      <c r="AO241" s="1">
        <f>value(IFERROR(SUBSTITUTE(SUBSTITUTE(VLOOKUP($A241,'Quarterly Pipeline vs Target Pi'!$A:$AP,27,false)," $","")," €",""), "")
)</f>
        <v>0</v>
      </c>
      <c r="AP241" s="17" t="str">
        <f t="shared" si="15"/>
        <v/>
      </c>
      <c r="AQ241" s="1">
        <f>value(IFERROR(SUBSTITUTE(SUBSTITUTE(VLOOKUP($A241,'Quarterly Pipeline vs Target Pi'!$A:$AP,31,false)," $","")," €",""), "")
)</f>
        <v>0</v>
      </c>
      <c r="AR241" s="1">
        <f>value(IFERROR(SUBSTITUTE(SUBSTITUTE(VLOOKUP($A241,'Quarterly Pipeline vs Target Pi'!$A:$AP,32,false)," $","")," €",""), "")
)</f>
        <v>0</v>
      </c>
      <c r="AS241" s="17" t="str">
        <f t="shared" si="16"/>
        <v/>
      </c>
      <c r="AT241" s="1">
        <f>value(IFERROR(SUBSTITUTE(SUBSTITUTE(VLOOKUP($A241,'Quarterly Pipeline vs Target Pi'!$A:$AP,36,false)," $","")," €",""), "")
)</f>
        <v>0</v>
      </c>
      <c r="AU241" s="1">
        <f>value(IFERROR(SUBSTITUTE(SUBSTITUTE(VLOOKUP($A241,'Quarterly Pipeline vs Target Pi'!$A:$AP,37,false)," $","")," €",""), "")
)</f>
        <v>0</v>
      </c>
      <c r="AV241" s="17" t="str">
        <f t="shared" si="17"/>
        <v/>
      </c>
      <c r="AW241" s="1">
        <f>value(IFERROR(SUBSTITUTE(SUBSTITUTE(VLOOKUP($A241,'Quarterly Pipeline vs Target Pi'!$A:$AP,41,false)," $","")," €",""), "")
)</f>
        <v>0</v>
      </c>
      <c r="AX241" s="1">
        <f>value(IFERROR(SUBSTITUTE(SUBSTITUTE(VLOOKUP($A241,'Quarterly Pipeline vs Target Pi'!$A:$AP,42,false)," $","")," €",""), "")
)</f>
        <v>0</v>
      </c>
      <c r="AY241" s="17" t="str">
        <f t="shared" si="18"/>
        <v/>
      </c>
      <c r="AZ241" s="1">
        <f t="shared" ref="AZ241:BA241" si="496">sum(AN241,AQ241,AT241,AW241)</f>
        <v>0</v>
      </c>
      <c r="BA241" s="1">
        <f t="shared" si="496"/>
        <v>0</v>
      </c>
      <c r="BB241" s="17" t="str">
        <f t="shared" si="20"/>
        <v/>
      </c>
    </row>
    <row r="242">
      <c r="A242" s="1" t="str">
        <f>IFERROR(__xludf.DUMMYFUNCTION("""COMPUTED_VALUE"""),"63ced849c5c820531c268f69")</f>
        <v>63ced849c5c820531c268f69</v>
      </c>
      <c r="B242" s="1" t="str">
        <f>IFERROR(__xludf.DUMMYFUNCTION("""COMPUTED_VALUE"""),"ITAS AG")</f>
        <v>ITAS AG</v>
      </c>
      <c r="C242" s="1" t="str">
        <f>IFERROR(__xludf.DUMMYFUNCTION("""COMPUTED_VALUE"""),"michael.moog@al-enterprise.com, katrin.pfeiffer@al-enterprise.com, sibylle.klopfer@al-enterprise.com, igor.leko@al-enterprise.com")</f>
        <v>michael.moog@al-enterprise.com, katrin.pfeiffer@al-enterprise.com, sibylle.klopfer@al-enterprise.com, igor.leko@al-enterprise.com</v>
      </c>
      <c r="D242" s="1" t="str">
        <f>IFERROR(__xludf.DUMMYFUNCTION("""COMPUTED_VALUE"""),"germany")</f>
        <v>germany</v>
      </c>
      <c r="E242" s="1" t="str">
        <f>IFERROR(__xludf.DUMMYFUNCTION("""COMPUTED_VALUE"""),"DE")</f>
        <v>DE</v>
      </c>
      <c r="F242" s="1" t="str">
        <f>IFERROR(__xludf.DUMMYFUNCTION("""COMPUTED_VALUE"""),"distributor_1000")</f>
        <v>distributor_1000</v>
      </c>
      <c r="G242" s="1">
        <f>iferror(VLOOKUP(A242,'Business Plan Setup and Accepta'!A:G,6,false),"")</f>
        <v>0</v>
      </c>
      <c r="H242" s="1">
        <f>iferror(VLOOKUP(A242,'Business Plan Setup and Accepta'!A:G,7,false),"")</f>
        <v>1</v>
      </c>
      <c r="I242" s="17">
        <f t="shared" si="3"/>
        <v>0</v>
      </c>
      <c r="J242" s="1">
        <f>IFERROR(VALUE(SUBSTITUTE(VLOOKUP(A242,'Sales IN Revenues vs Sales targ'!A:G,6,false)," $","")), "")
</f>
        <v>2665.78</v>
      </c>
      <c r="K242" s="1">
        <f>IFERROR(VALUE(SUBSTITUTE(VLOOKUP(A242,'Sales IN Revenues vs Sales targ'!A:G,7,false)," $","")), "")
</f>
        <v>5320</v>
      </c>
      <c r="L242" s="17">
        <f t="shared" si="4"/>
        <v>0.5010864662</v>
      </c>
      <c r="M242" s="1">
        <f>value(SUBSTITUTE(IFERROR(VLOOKUP(A242,'Certifications achievements vs '!A:G,6,false),""),"#","")
)</f>
        <v>26</v>
      </c>
      <c r="N242" s="1">
        <f>value(SUBSTITUTE(IFERROR(VLOOKUP(A242,'Certifications achievements vs '!A:G,7,false),""),"#","")
)</f>
        <v>58</v>
      </c>
      <c r="O242" s="17">
        <f t="shared" si="5"/>
        <v>0.4482758621</v>
      </c>
      <c r="P242" s="1">
        <f>value(SUBSTITUTE(IFERROR(VLOOKUP(A242,'Communications - Solution Speci'!A:G,6,false),""),"#","")
)</f>
        <v>1</v>
      </c>
      <c r="Q242" s="1">
        <f>value(SUBSTITUTE(IFERROR(VLOOKUP(A242,'Communications - Solution Speci'!A:G,7,false),""),"#","")
)</f>
        <v>1</v>
      </c>
      <c r="R242" s="17">
        <f t="shared" si="6"/>
        <v>1</v>
      </c>
      <c r="S242" s="1">
        <f>value(SUBSTITUTE(IFERROR(VLOOKUP(A242,'Networking - Solution Specializ'!A:G,6,false),""),"#","")
)</f>
        <v>0</v>
      </c>
      <c r="T242" s="1">
        <f>value(SUBSTITUTE(IFERROR(VLOOKUP(A242,'Networking - Solution Specializ'!A:G,7,false),""),"#","")
)</f>
        <v>1</v>
      </c>
      <c r="U242" s="17">
        <f t="shared" si="7"/>
        <v>0</v>
      </c>
      <c r="V242" s="1">
        <f>iferror(vlookup(A242,'Marketing Plan (extract summary'!A:G,6,false),"")</f>
        <v>0</v>
      </c>
      <c r="W242" s="1">
        <f>iferror(vlookup(A242,'Marketing Plan (extract summary'!A:G,7,false),"")</f>
        <v>1</v>
      </c>
      <c r="X242" s="17">
        <f t="shared" si="8"/>
        <v>0</v>
      </c>
      <c r="Y242" s="1">
        <f>value(IFERROR(SUBSTITUTE(SUBSTITUTE(VLOOKUP(A242,'Quarterly Pipeline vs Target Pi'!A:G,6,false)," $","")," €",""), "")
)</f>
        <v>51.82</v>
      </c>
      <c r="Z242" s="1">
        <f>value(IFERROR(SUBSTITUTE(SUBSTITUTE(VLOOKUP(A242,'Quarterly Pipeline vs Target Pi'!A:G,7,false)," $","")," €",""), "")
)</f>
        <v>0</v>
      </c>
      <c r="AA242" s="17" t="str">
        <f t="shared" si="9"/>
        <v/>
      </c>
      <c r="AB242" s="1">
        <f>value(IFERROR(SUBSTITUTE(SUBSTITUTE(VLOOKUP($A242,'Quarterly Pipeline vs Target Pi'!$A:$V,11,false)," $","")," €",""), "")
)</f>
        <v>14.8</v>
      </c>
      <c r="AC242" s="1">
        <f>value(IFERROR(SUBSTITUTE(SUBSTITUTE(VLOOKUP($A242,'Quarterly Pipeline vs Target Pi'!$A:$V,12,false)," $","")," €",""), "")
)</f>
        <v>1922.22</v>
      </c>
      <c r="AD242" s="17">
        <f t="shared" si="10"/>
        <v>0.007699430866</v>
      </c>
      <c r="AE242" s="1">
        <f>value(IFERROR(SUBSTITUTE(SUBSTITUTE(VLOOKUP($A242,'Quarterly Pipeline vs Target Pi'!$A:$V,16,false)," $","")," €",""), "")
)</f>
        <v>127.71</v>
      </c>
      <c r="AF242" s="1">
        <f>value(IFERROR(SUBSTITUTE(SUBSTITUTE(VLOOKUP($A242,'Quarterly Pipeline vs Target Pi'!$A:$V,17,false)," $","")," €",""), "")
)</f>
        <v>2787.3</v>
      </c>
      <c r="AG242" s="17">
        <f t="shared" si="11"/>
        <v>0.04581853407</v>
      </c>
      <c r="AH242" s="1">
        <f>value(IFERROR(SUBSTITUTE(SUBSTITUTE(VLOOKUP($A242,'Quarterly Pipeline vs Target Pi'!$A:$V,21,false)," $","")," €",""), "")
)</f>
        <v>667.73</v>
      </c>
      <c r="AI242" s="1">
        <f>value(IFERROR(SUBSTITUTE(SUBSTITUTE(VLOOKUP($A242,'Quarterly Pipeline vs Target Pi'!$A:$V,22,false)," $","")," €",""), "")
)</f>
        <v>2884.13</v>
      </c>
      <c r="AJ242" s="17">
        <f t="shared" si="12"/>
        <v>0.2315186902</v>
      </c>
      <c r="AK242" s="1">
        <f t="shared" ref="AK242:AL242" si="497">sum(Y242,AB242,AE242,AH242)</f>
        <v>862.06</v>
      </c>
      <c r="AL242" s="1">
        <f t="shared" si="497"/>
        <v>7593.65</v>
      </c>
      <c r="AM242" s="17">
        <f t="shared" si="14"/>
        <v>0.1135237995</v>
      </c>
      <c r="AN242" s="1">
        <f>value(IFERROR(SUBSTITUTE(SUBSTITUTE(VLOOKUP($A242,'Quarterly Pipeline vs Target Pi'!$A:$AP,26,false)," $","")," €",""), "")
)</f>
        <v>34.4</v>
      </c>
      <c r="AO242" s="1">
        <f>value(IFERROR(SUBSTITUTE(SUBSTITUTE(VLOOKUP($A242,'Quarterly Pipeline vs Target Pi'!$A:$AP,27,false)," $","")," €",""), "")
)</f>
        <v>0</v>
      </c>
      <c r="AP242" s="17" t="str">
        <f t="shared" si="15"/>
        <v/>
      </c>
      <c r="AQ242" s="1">
        <f>value(IFERROR(SUBSTITUTE(SUBSTITUTE(VLOOKUP($A242,'Quarterly Pipeline vs Target Pi'!$A:$AP,31,false)," $","")," €",""), "")
)</f>
        <v>68.18</v>
      </c>
      <c r="AR242" s="1">
        <f>value(IFERROR(SUBSTITUTE(SUBSTITUTE(VLOOKUP($A242,'Quarterly Pipeline vs Target Pi'!$A:$AP,32,false)," $","")," €",""), "")
)</f>
        <v>0</v>
      </c>
      <c r="AS242" s="17" t="str">
        <f t="shared" si="16"/>
        <v/>
      </c>
      <c r="AT242" s="1">
        <f>value(IFERROR(SUBSTITUTE(SUBSTITUTE(VLOOKUP($A242,'Quarterly Pipeline vs Target Pi'!$A:$AP,36,false)," $","")," €",""), "")
)</f>
        <v>16.88</v>
      </c>
      <c r="AU242" s="1">
        <f>value(IFERROR(SUBSTITUTE(SUBSTITUTE(VLOOKUP($A242,'Quarterly Pipeline vs Target Pi'!$A:$AP,37,false)," $","")," €",""), "")
)</f>
        <v>0</v>
      </c>
      <c r="AV242" s="17" t="str">
        <f t="shared" si="17"/>
        <v/>
      </c>
      <c r="AW242" s="1">
        <f>value(IFERROR(SUBSTITUTE(SUBSTITUTE(VLOOKUP($A242,'Quarterly Pipeline vs Target Pi'!$A:$AP,41,false)," $","")," €",""), "")
)</f>
        <v>206.64</v>
      </c>
      <c r="AX242" s="1">
        <f>value(IFERROR(SUBSTITUTE(SUBSTITUTE(VLOOKUP($A242,'Quarterly Pipeline vs Target Pi'!$A:$AP,42,false)," $","")," €",""), "")
)</f>
        <v>0</v>
      </c>
      <c r="AY242" s="17" t="str">
        <f t="shared" si="18"/>
        <v/>
      </c>
      <c r="AZ242" s="1">
        <f t="shared" ref="AZ242:BA242" si="498">sum(AN242,AQ242,AT242,AW242)</f>
        <v>326.1</v>
      </c>
      <c r="BA242" s="1">
        <f t="shared" si="498"/>
        <v>0</v>
      </c>
      <c r="BB242" s="17" t="str">
        <f t="shared" si="20"/>
        <v/>
      </c>
    </row>
    <row r="243">
      <c r="A243" s="1" t="str">
        <f>IFERROR(__xludf.DUMMYFUNCTION("""COMPUTED_VALUE"""),"63ced843c5c820531c2681c2")</f>
        <v>63ced843c5c820531c2681c2</v>
      </c>
      <c r="B243" s="1" t="str">
        <f>IFERROR(__xludf.DUMMYFUNCTION("""COMPUTED_VALUE"""),"ITELCA")</f>
        <v>ITELCA</v>
      </c>
      <c r="C243" s="1" t="str">
        <f>IFERROR(__xludf.DUMMYFUNCTION("""COMPUTED_VALUE"""),"javier.largacha@al-enterprise.com")</f>
        <v>javier.largacha@al-enterprise.com</v>
      </c>
      <c r="D243" s="1" t="str">
        <f>IFERROR(__xludf.DUMMYFUNCTION("""COMPUTED_VALUE"""),"americas")</f>
        <v>americas</v>
      </c>
      <c r="E243" s="1" t="str">
        <f>IFERROR(__xludf.DUMMYFUNCTION("""COMPUTED_VALUE"""),"CO")</f>
        <v>CO</v>
      </c>
      <c r="F243" s="1" t="str">
        <f>IFERROR(__xludf.DUMMYFUNCTION("""COMPUTED_VALUE"""),"expert_200")</f>
        <v>expert_200</v>
      </c>
      <c r="G243" s="1">
        <f>iferror(VLOOKUP(A243,'Business Plan Setup and Accepta'!A:G,6,false),"")</f>
        <v>1</v>
      </c>
      <c r="H243" s="1">
        <f>iferror(VLOOKUP(A243,'Business Plan Setup and Accepta'!A:G,7,false),"")</f>
        <v>1</v>
      </c>
      <c r="I243" s="17">
        <f t="shared" si="3"/>
        <v>1</v>
      </c>
      <c r="J243" s="1">
        <f>IFERROR(VALUE(SUBSTITUTE(VLOOKUP(A243,'Sales IN Revenues vs Sales targ'!A:G,6,false)," $","")), "")
</f>
        <v>225</v>
      </c>
      <c r="K243" s="1">
        <f>IFERROR(VALUE(SUBSTITUTE(VLOOKUP(A243,'Sales IN Revenues vs Sales targ'!A:G,7,false)," $","")), "")
</f>
        <v>470</v>
      </c>
      <c r="L243" s="17">
        <f t="shared" si="4"/>
        <v>0.4787234043</v>
      </c>
      <c r="M243" s="1">
        <f>value(SUBSTITUTE(IFERROR(VLOOKUP(A243,'Certifications achievements vs '!A:G,6,false),""),"#","")
)</f>
        <v>31</v>
      </c>
      <c r="N243" s="1">
        <f>value(SUBSTITUTE(IFERROR(VLOOKUP(A243,'Certifications achievements vs '!A:G,7,false),""),"#","")
)</f>
        <v>52</v>
      </c>
      <c r="O243" s="17">
        <f t="shared" si="5"/>
        <v>0.5961538462</v>
      </c>
      <c r="P243" s="1">
        <f>value(SUBSTITUTE(IFERROR(VLOOKUP(A243,'Communications - Solution Speci'!A:G,6,false),""),"#","")
)</f>
        <v>0</v>
      </c>
      <c r="Q243" s="1">
        <f>value(SUBSTITUTE(IFERROR(VLOOKUP(A243,'Communications - Solution Speci'!A:G,7,false),""),"#","")
)</f>
        <v>1</v>
      </c>
      <c r="R243" s="17">
        <f t="shared" si="6"/>
        <v>0</v>
      </c>
      <c r="S243" s="1">
        <f>value(SUBSTITUTE(IFERROR(VLOOKUP(A243,'Networking - Solution Specializ'!A:G,6,false),""),"#","")
)</f>
        <v>0</v>
      </c>
      <c r="T243" s="1">
        <f>value(SUBSTITUTE(IFERROR(VLOOKUP(A243,'Networking - Solution Specializ'!A:G,7,false),""),"#","")
)</f>
        <v>1</v>
      </c>
      <c r="U243" s="17">
        <f t="shared" si="7"/>
        <v>0</v>
      </c>
      <c r="V243" s="1">
        <f>iferror(vlookup(A243,'Marketing Plan (extract summary'!A:G,6,false),"")</f>
        <v>1</v>
      </c>
      <c r="W243" s="1">
        <f>iferror(vlookup(A243,'Marketing Plan (extract summary'!A:G,7,false),"")</f>
        <v>1</v>
      </c>
      <c r="X243" s="17">
        <f t="shared" si="8"/>
        <v>1</v>
      </c>
      <c r="Y243" s="1">
        <f>value(IFERROR(SUBSTITUTE(SUBSTITUTE(VLOOKUP(A243,'Quarterly Pipeline vs Target Pi'!A:G,6,false)," $","")," €",""), "")
)</f>
        <v>0.7</v>
      </c>
      <c r="Z243" s="1">
        <f>value(IFERROR(SUBSTITUTE(SUBSTITUTE(VLOOKUP(A243,'Quarterly Pipeline vs Target Pi'!A:G,7,false)," $","")," €",""), "")
)</f>
        <v>0</v>
      </c>
      <c r="AA243" s="17" t="str">
        <f t="shared" si="9"/>
        <v/>
      </c>
      <c r="AB243" s="1">
        <f>value(IFERROR(SUBSTITUTE(SUBSTITUTE(VLOOKUP($A243,'Quarterly Pipeline vs Target Pi'!$A:$V,11,false)," $","")," €",""), "")
)</f>
        <v>5</v>
      </c>
      <c r="AC243" s="1">
        <f>value(IFERROR(SUBSTITUTE(SUBSTITUTE(VLOOKUP($A243,'Quarterly Pipeline vs Target Pi'!$A:$V,12,false)," $","")," €",""), "")
)</f>
        <v>483.34</v>
      </c>
      <c r="AD243" s="17">
        <f t="shared" si="10"/>
        <v>0.0103446849</v>
      </c>
      <c r="AE243" s="1">
        <f>value(IFERROR(SUBSTITUTE(SUBSTITUTE(VLOOKUP($A243,'Quarterly Pipeline vs Target Pi'!$A:$V,16,false)," $","")," €",""), "")
)</f>
        <v>193.58</v>
      </c>
      <c r="AF243" s="1">
        <f>value(IFERROR(SUBSTITUTE(SUBSTITUTE(VLOOKUP($A243,'Quarterly Pipeline vs Target Pi'!$A:$V,17,false)," $","")," €",""), "")
)</f>
        <v>483.34</v>
      </c>
      <c r="AG243" s="17">
        <f t="shared" si="11"/>
        <v>0.4005048206</v>
      </c>
      <c r="AH243" s="1">
        <f>value(IFERROR(SUBSTITUTE(SUBSTITUTE(VLOOKUP($A243,'Quarterly Pipeline vs Target Pi'!$A:$V,21,false)," $","")," €",""), "")
)</f>
        <v>293.99</v>
      </c>
      <c r="AI243" s="1">
        <f>value(IFERROR(SUBSTITUTE(SUBSTITUTE(VLOOKUP($A243,'Quarterly Pipeline vs Target Pi'!$A:$V,22,false)," $","")," €",""), "")
)</f>
        <v>416.68</v>
      </c>
      <c r="AJ243" s="17">
        <f t="shared" si="12"/>
        <v>0.7055534223</v>
      </c>
      <c r="AK243" s="1">
        <f t="shared" ref="AK243:AL243" si="499">sum(Y243,AB243,AE243,AH243)</f>
        <v>493.27</v>
      </c>
      <c r="AL243" s="1">
        <f t="shared" si="499"/>
        <v>1383.36</v>
      </c>
      <c r="AM243" s="17">
        <f t="shared" si="14"/>
        <v>0.3565738492</v>
      </c>
      <c r="AN243" s="1">
        <f>value(IFERROR(SUBSTITUTE(SUBSTITUTE(VLOOKUP($A243,'Quarterly Pipeline vs Target Pi'!$A:$AP,26,false)," $","")," €",""), "")
)</f>
        <v>0</v>
      </c>
      <c r="AO243" s="1">
        <f>value(IFERROR(SUBSTITUTE(SUBSTITUTE(VLOOKUP($A243,'Quarterly Pipeline vs Target Pi'!$A:$AP,27,false)," $","")," €",""), "")
)</f>
        <v>0</v>
      </c>
      <c r="AP243" s="17" t="str">
        <f t="shared" si="15"/>
        <v/>
      </c>
      <c r="AQ243" s="1">
        <f>value(IFERROR(SUBSTITUTE(SUBSTITUTE(VLOOKUP($A243,'Quarterly Pipeline vs Target Pi'!$A:$AP,31,false)," $","")," €",""), "")
)</f>
        <v>258</v>
      </c>
      <c r="AR243" s="1">
        <f>value(IFERROR(SUBSTITUTE(SUBSTITUTE(VLOOKUP($A243,'Quarterly Pipeline vs Target Pi'!$A:$AP,32,false)," $","")," €",""), "")
)</f>
        <v>0</v>
      </c>
      <c r="AS243" s="17" t="str">
        <f t="shared" si="16"/>
        <v/>
      </c>
      <c r="AT243" s="1">
        <f>value(IFERROR(SUBSTITUTE(SUBSTITUTE(VLOOKUP($A243,'Quarterly Pipeline vs Target Pi'!$A:$AP,36,false)," $","")," €",""), "")
)</f>
        <v>0</v>
      </c>
      <c r="AU243" s="1">
        <f>value(IFERROR(SUBSTITUTE(SUBSTITUTE(VLOOKUP($A243,'Quarterly Pipeline vs Target Pi'!$A:$AP,37,false)," $","")," €",""), "")
)</f>
        <v>0</v>
      </c>
      <c r="AV243" s="17" t="str">
        <f t="shared" si="17"/>
        <v/>
      </c>
      <c r="AW243" s="1">
        <f>value(IFERROR(SUBSTITUTE(SUBSTITUTE(VLOOKUP($A243,'Quarterly Pipeline vs Target Pi'!$A:$AP,41,false)," $","")," €",""), "")
)</f>
        <v>0</v>
      </c>
      <c r="AX243" s="1">
        <f>value(IFERROR(SUBSTITUTE(SUBSTITUTE(VLOOKUP($A243,'Quarterly Pipeline vs Target Pi'!$A:$AP,42,false)," $","")," €",""), "")
)</f>
        <v>0</v>
      </c>
      <c r="AY243" s="17" t="str">
        <f t="shared" si="18"/>
        <v/>
      </c>
      <c r="AZ243" s="1">
        <f t="shared" ref="AZ243:BA243" si="500">sum(AN243,AQ243,AT243,AW243)</f>
        <v>258</v>
      </c>
      <c r="BA243" s="1">
        <f t="shared" si="500"/>
        <v>0</v>
      </c>
      <c r="BB243" s="17" t="str">
        <f t="shared" si="20"/>
        <v/>
      </c>
    </row>
    <row r="244">
      <c r="A244" s="1" t="str">
        <f>IFERROR(__xludf.DUMMYFUNCTION("""COMPUTED_VALUE"""),"63ea6e9452ad6968805ceb97")</f>
        <v>63ea6e9452ad6968805ceb97</v>
      </c>
      <c r="B244" s="1" t="str">
        <f>IFERROR(__xludf.DUMMYFUNCTION("""COMPUTED_VALUE"""),"ITES GmbH")</f>
        <v>ITES GmbH</v>
      </c>
      <c r="C244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244" s="1" t="str">
        <f>IFERROR(__xludf.DUMMYFUNCTION("""COMPUTED_VALUE"""),"germany")</f>
        <v>germany</v>
      </c>
      <c r="E244" s="1" t="str">
        <f>IFERROR(__xludf.DUMMYFUNCTION("""COMPUTED_VALUE"""),"DE")</f>
        <v>DE</v>
      </c>
      <c r="F244" s="1" t="str">
        <f>IFERROR(__xludf.DUMMYFUNCTION("""COMPUTED_VALUE"""),"expert_200")</f>
        <v>expert_200</v>
      </c>
      <c r="G244" s="1">
        <f>iferror(VLOOKUP(A244,'Business Plan Setup and Accepta'!A:G,6,false),"")</f>
        <v>0</v>
      </c>
      <c r="H244" s="1">
        <f>iferror(VLOOKUP(A244,'Business Plan Setup and Accepta'!A:G,7,false),"")</f>
        <v>1</v>
      </c>
      <c r="I244" s="17">
        <f t="shared" si="3"/>
        <v>0</v>
      </c>
      <c r="J244" s="1">
        <f>IFERROR(VALUE(SUBSTITUTE(VLOOKUP(A244,'Sales IN Revenues vs Sales targ'!A:G,6,false)," $","")), "")
</f>
        <v>52.8</v>
      </c>
      <c r="K244" s="1">
        <f>IFERROR(VALUE(SUBSTITUTE(VLOOKUP(A244,'Sales IN Revenues vs Sales targ'!A:G,7,false)," $","")), "")
</f>
        <v>275</v>
      </c>
      <c r="L244" s="17">
        <f t="shared" si="4"/>
        <v>0.192</v>
      </c>
      <c r="M244" s="1">
        <f>value(SUBSTITUTE(IFERROR(VLOOKUP(A244,'Certifications achievements vs '!A:G,6,false),""),"#","")
)</f>
        <v>45</v>
      </c>
      <c r="N244" s="1">
        <f>value(SUBSTITUTE(IFERROR(VLOOKUP(A244,'Certifications achievements vs '!A:G,7,false),""),"#","")
)</f>
        <v>52</v>
      </c>
      <c r="O244" s="17">
        <f t="shared" si="5"/>
        <v>0.8653846154</v>
      </c>
      <c r="P244" s="1">
        <f>value(SUBSTITUTE(IFERROR(VLOOKUP(A244,'Communications - Solution Speci'!A:G,6,false),""),"#","")
)</f>
        <v>1</v>
      </c>
      <c r="Q244" s="1">
        <f>value(SUBSTITUTE(IFERROR(VLOOKUP(A244,'Communications - Solution Speci'!A:G,7,false),""),"#","")
)</f>
        <v>1</v>
      </c>
      <c r="R244" s="17">
        <f t="shared" si="6"/>
        <v>1</v>
      </c>
      <c r="S244" s="1">
        <f>value(SUBSTITUTE(IFERROR(VLOOKUP(A244,'Networking - Solution Specializ'!A:G,6,false),""),"#","")
)</f>
        <v>1</v>
      </c>
      <c r="T244" s="1">
        <f>value(SUBSTITUTE(IFERROR(VLOOKUP(A244,'Networking - Solution Specializ'!A:G,7,false),""),"#","")
)</f>
        <v>1</v>
      </c>
      <c r="U244" s="17">
        <f t="shared" si="7"/>
        <v>1</v>
      </c>
      <c r="V244" s="1">
        <f>iferror(vlookup(A244,'Marketing Plan (extract summary'!A:G,6,false),"")</f>
        <v>0</v>
      </c>
      <c r="W244" s="1">
        <f>iferror(vlookup(A244,'Marketing Plan (extract summary'!A:G,7,false),"")</f>
        <v>1</v>
      </c>
      <c r="X244" s="17">
        <f t="shared" si="8"/>
        <v>0</v>
      </c>
      <c r="Y244" s="1">
        <f>value(IFERROR(SUBSTITUTE(SUBSTITUTE(VLOOKUP(A244,'Quarterly Pipeline vs Target Pi'!A:G,6,false)," $","")," €",""), "")
)</f>
        <v>25</v>
      </c>
      <c r="Z244" s="1">
        <f>value(IFERROR(SUBSTITUTE(SUBSTITUTE(VLOOKUP(A244,'Quarterly Pipeline vs Target Pi'!A:G,7,false)," $","")," €",""), "")
)</f>
        <v>0</v>
      </c>
      <c r="AA244" s="17" t="str">
        <f t="shared" si="9"/>
        <v/>
      </c>
      <c r="AB244" s="1">
        <f>value(IFERROR(SUBSTITUTE(SUBSTITUTE(VLOOKUP($A244,'Quarterly Pipeline vs Target Pi'!$A:$V,11,false)," $","")," €",""), "")
)</f>
        <v>65</v>
      </c>
      <c r="AC244" s="1">
        <f>value(IFERROR(SUBSTITUTE(SUBSTITUTE(VLOOKUP($A244,'Quarterly Pipeline vs Target Pi'!$A:$V,12,false)," $","")," €",""), "")
)</f>
        <v>183.33</v>
      </c>
      <c r="AD244" s="17">
        <f t="shared" si="10"/>
        <v>0.3545519009</v>
      </c>
      <c r="AE244" s="1">
        <f>value(IFERROR(SUBSTITUTE(SUBSTITUTE(VLOOKUP($A244,'Quarterly Pipeline vs Target Pi'!$A:$V,16,false)," $","")," €",""), "")
)</f>
        <v>139.76</v>
      </c>
      <c r="AF244" s="1">
        <f>value(IFERROR(SUBSTITUTE(SUBSTITUTE(VLOOKUP($A244,'Quarterly Pipeline vs Target Pi'!$A:$V,17,false)," $","")," €",""), "")
)</f>
        <v>274.57</v>
      </c>
      <c r="AG244" s="17">
        <f t="shared" si="11"/>
        <v>0.5090140948</v>
      </c>
      <c r="AH244" s="1">
        <f>value(IFERROR(SUBSTITUTE(SUBSTITUTE(VLOOKUP($A244,'Quarterly Pipeline vs Target Pi'!$A:$V,21,false)," $","")," €",""), "")
)</f>
        <v>70</v>
      </c>
      <c r="AI244" s="1">
        <f>value(IFERROR(SUBSTITUTE(SUBSTITUTE(VLOOKUP($A244,'Quarterly Pipeline vs Target Pi'!$A:$V,22,false)," $","")," €",""), "")
)</f>
        <v>275.33</v>
      </c>
      <c r="AJ244" s="17">
        <f t="shared" si="12"/>
        <v>0.2542403661</v>
      </c>
      <c r="AK244" s="1">
        <f t="shared" ref="AK244:AL244" si="501">sum(Y244,AB244,AE244,AH244)</f>
        <v>299.76</v>
      </c>
      <c r="AL244" s="1">
        <f t="shared" si="501"/>
        <v>733.23</v>
      </c>
      <c r="AM244" s="17">
        <f t="shared" si="14"/>
        <v>0.408821243</v>
      </c>
      <c r="AN244" s="1">
        <f>value(IFERROR(SUBSTITUTE(SUBSTITUTE(VLOOKUP($A244,'Quarterly Pipeline vs Target Pi'!$A:$AP,26,false)," $","")," €",""), "")
)</f>
        <v>85</v>
      </c>
      <c r="AO244" s="1">
        <f>value(IFERROR(SUBSTITUTE(SUBSTITUTE(VLOOKUP($A244,'Quarterly Pipeline vs Target Pi'!$A:$AP,27,false)," $","")," €",""), "")
)</f>
        <v>0</v>
      </c>
      <c r="AP244" s="17" t="str">
        <f t="shared" si="15"/>
        <v/>
      </c>
      <c r="AQ244" s="1">
        <f>value(IFERROR(SUBSTITUTE(SUBSTITUTE(VLOOKUP($A244,'Quarterly Pipeline vs Target Pi'!$A:$AP,31,false)," $","")," €",""), "")
)</f>
        <v>75.8</v>
      </c>
      <c r="AR244" s="1">
        <f>value(IFERROR(SUBSTITUTE(SUBSTITUTE(VLOOKUP($A244,'Quarterly Pipeline vs Target Pi'!$A:$AP,32,false)," $","")," €",""), "")
)</f>
        <v>0</v>
      </c>
      <c r="AS244" s="17" t="str">
        <f t="shared" si="16"/>
        <v/>
      </c>
      <c r="AT244" s="1">
        <f>value(IFERROR(SUBSTITUTE(SUBSTITUTE(VLOOKUP($A244,'Quarterly Pipeline vs Target Pi'!$A:$AP,36,false)," $","")," €",""), "")
)</f>
        <v>0</v>
      </c>
      <c r="AU244" s="1">
        <f>value(IFERROR(SUBSTITUTE(SUBSTITUTE(VLOOKUP($A244,'Quarterly Pipeline vs Target Pi'!$A:$AP,37,false)," $","")," €",""), "")
)</f>
        <v>0</v>
      </c>
      <c r="AV244" s="17" t="str">
        <f t="shared" si="17"/>
        <v/>
      </c>
      <c r="AW244" s="1">
        <f>value(IFERROR(SUBSTITUTE(SUBSTITUTE(VLOOKUP($A244,'Quarterly Pipeline vs Target Pi'!$A:$AP,41,false)," $","")," €",""), "")
)</f>
        <v>0</v>
      </c>
      <c r="AX244" s="1">
        <f>value(IFERROR(SUBSTITUTE(SUBSTITUTE(VLOOKUP($A244,'Quarterly Pipeline vs Target Pi'!$A:$AP,42,false)," $","")," €",""), "")
)</f>
        <v>0</v>
      </c>
      <c r="AY244" s="17" t="str">
        <f t="shared" si="18"/>
        <v/>
      </c>
      <c r="AZ244" s="1">
        <f t="shared" ref="AZ244:BA244" si="502">sum(AN244,AQ244,AT244,AW244)</f>
        <v>160.8</v>
      </c>
      <c r="BA244" s="1">
        <f t="shared" si="502"/>
        <v>0</v>
      </c>
      <c r="BB244" s="17" t="str">
        <f t="shared" si="20"/>
        <v/>
      </c>
    </row>
    <row r="245">
      <c r="A245" s="1" t="str">
        <f>IFERROR(__xludf.DUMMYFUNCTION("""COMPUTED_VALUE"""),"63ef9d58384f27260c1ba3b3")</f>
        <v>63ef9d58384f27260c1ba3b3</v>
      </c>
      <c r="B245" s="1" t="str">
        <f>IFERROR(__xludf.DUMMYFUNCTION("""COMPUTED_VALUE"""),"ITISA INGENIERIA EN TELECOMUNICACIO")</f>
        <v>ITISA INGENIERIA EN TELECOMUNICACIO</v>
      </c>
      <c r="C245" s="1" t="str">
        <f>IFERROR(__xludf.DUMMYFUNCTION("""COMPUTED_VALUE"""),"hector.villa@al-enterprise.com")</f>
        <v>hector.villa@al-enterprise.com</v>
      </c>
      <c r="D245" s="1" t="str">
        <f>IFERROR(__xludf.DUMMYFUNCTION("""COMPUTED_VALUE"""),"americas")</f>
        <v>americas</v>
      </c>
      <c r="E245" s="1" t="str">
        <f>IFERROR(__xludf.DUMMYFUNCTION("""COMPUTED_VALUE"""),"MX")</f>
        <v>MX</v>
      </c>
      <c r="F245" s="1"/>
      <c r="G245" s="1" t="str">
        <f>iferror(VLOOKUP(A245,'Business Plan Setup and Accepta'!A:G,6,false),"")</f>
        <v/>
      </c>
      <c r="H245" s="1" t="str">
        <f>iferror(VLOOKUP(A245,'Business Plan Setup and Accepta'!A:G,7,false),"")</f>
        <v/>
      </c>
      <c r="I245" s="17" t="str">
        <f t="shared" si="3"/>
        <v/>
      </c>
      <c r="J245" s="1" t="str">
        <f>IFERROR(VALUE(SUBSTITUTE(VLOOKUP(A245,'Sales IN Revenues vs Sales targ'!A:G,6,false)," $","")), "")
</f>
        <v/>
      </c>
      <c r="K245" s="1" t="str">
        <f>IFERROR(VALUE(SUBSTITUTE(VLOOKUP(A245,'Sales IN Revenues vs Sales targ'!A:G,7,false)," $","")), "")
</f>
        <v/>
      </c>
      <c r="L245" s="17" t="str">
        <f t="shared" si="4"/>
        <v/>
      </c>
      <c r="M245" s="1">
        <f>value(SUBSTITUTE(IFERROR(VLOOKUP(A245,'Certifications achievements vs '!A:G,6,false),""),"#","")
)</f>
        <v>0</v>
      </c>
      <c r="N245" s="1">
        <f>value(SUBSTITUTE(IFERROR(VLOOKUP(A245,'Certifications achievements vs '!A:G,7,false),""),"#","")
)</f>
        <v>0</v>
      </c>
      <c r="O245" s="17" t="str">
        <f t="shared" si="5"/>
        <v/>
      </c>
      <c r="P245" s="1">
        <f>value(SUBSTITUTE(IFERROR(VLOOKUP(A245,'Communications - Solution Speci'!A:G,6,false),""),"#","")
)</f>
        <v>0</v>
      </c>
      <c r="Q245" s="1">
        <f>value(SUBSTITUTE(IFERROR(VLOOKUP(A245,'Communications - Solution Speci'!A:G,7,false),""),"#","")
)</f>
        <v>0</v>
      </c>
      <c r="R245" s="17" t="str">
        <f t="shared" si="6"/>
        <v/>
      </c>
      <c r="S245" s="1">
        <f>value(SUBSTITUTE(IFERROR(VLOOKUP(A245,'Networking - Solution Specializ'!A:G,6,false),""),"#","")
)</f>
        <v>0</v>
      </c>
      <c r="T245" s="1">
        <f>value(SUBSTITUTE(IFERROR(VLOOKUP(A245,'Networking - Solution Specializ'!A:G,7,false),""),"#","")
)</f>
        <v>0</v>
      </c>
      <c r="U245" s="17" t="str">
        <f t="shared" si="7"/>
        <v/>
      </c>
      <c r="V245" s="1" t="str">
        <f>iferror(vlookup(A245,'Marketing Plan (extract summary'!A:G,6,false),"")</f>
        <v/>
      </c>
      <c r="W245" s="1" t="str">
        <f>iferror(vlookup(A245,'Marketing Plan (extract summary'!A:G,7,false),"")</f>
        <v/>
      </c>
      <c r="X245" s="17" t="str">
        <f t="shared" si="8"/>
        <v/>
      </c>
      <c r="Y245" s="1">
        <f>value(IFERROR(SUBSTITUTE(SUBSTITUTE(VLOOKUP(A245,'Quarterly Pipeline vs Target Pi'!A:G,6,false)," $","")," €",""), "")
)</f>
        <v>0</v>
      </c>
      <c r="Z245" s="1">
        <f>value(IFERROR(SUBSTITUTE(SUBSTITUTE(VLOOKUP(A245,'Quarterly Pipeline vs Target Pi'!A:G,7,false)," $","")," €",""), "")
)</f>
        <v>0</v>
      </c>
      <c r="AA245" s="17" t="str">
        <f t="shared" si="9"/>
        <v/>
      </c>
      <c r="AB245" s="1">
        <f>value(IFERROR(SUBSTITUTE(SUBSTITUTE(VLOOKUP($A245,'Quarterly Pipeline vs Target Pi'!$A:$V,11,false)," $","")," €",""), "")
)</f>
        <v>0</v>
      </c>
      <c r="AC245" s="1">
        <f>value(IFERROR(SUBSTITUTE(SUBSTITUTE(VLOOKUP($A245,'Quarterly Pipeline vs Target Pi'!$A:$V,12,false)," $","")," €",""), "")
)</f>
        <v>0</v>
      </c>
      <c r="AD245" s="17" t="str">
        <f t="shared" si="10"/>
        <v/>
      </c>
      <c r="AE245" s="1">
        <f>value(IFERROR(SUBSTITUTE(SUBSTITUTE(VLOOKUP($A245,'Quarterly Pipeline vs Target Pi'!$A:$V,16,false)," $","")," €",""), "")
)</f>
        <v>0</v>
      </c>
      <c r="AF245" s="1">
        <f>value(IFERROR(SUBSTITUTE(SUBSTITUTE(VLOOKUP($A245,'Quarterly Pipeline vs Target Pi'!$A:$V,17,false)," $","")," €",""), "")
)</f>
        <v>0</v>
      </c>
      <c r="AG245" s="17" t="str">
        <f t="shared" si="11"/>
        <v/>
      </c>
      <c r="AH245" s="1">
        <f>value(IFERROR(SUBSTITUTE(SUBSTITUTE(VLOOKUP($A245,'Quarterly Pipeline vs Target Pi'!$A:$V,21,false)," $","")," €",""), "")
)</f>
        <v>0</v>
      </c>
      <c r="AI245" s="1">
        <f>value(IFERROR(SUBSTITUTE(SUBSTITUTE(VLOOKUP($A245,'Quarterly Pipeline vs Target Pi'!$A:$V,22,false)," $","")," €",""), "")
)</f>
        <v>0</v>
      </c>
      <c r="AJ245" s="17" t="str">
        <f t="shared" si="12"/>
        <v/>
      </c>
      <c r="AK245" s="1">
        <f t="shared" ref="AK245:AL245" si="503">sum(Y245,AB245,AE245,AH245)</f>
        <v>0</v>
      </c>
      <c r="AL245" s="1">
        <f t="shared" si="503"/>
        <v>0</v>
      </c>
      <c r="AM245" s="17" t="str">
        <f t="shared" si="14"/>
        <v/>
      </c>
      <c r="AN245" s="1">
        <f>value(IFERROR(SUBSTITUTE(SUBSTITUTE(VLOOKUP($A245,'Quarterly Pipeline vs Target Pi'!$A:$AP,26,false)," $","")," €",""), "")
)</f>
        <v>0</v>
      </c>
      <c r="AO245" s="1">
        <f>value(IFERROR(SUBSTITUTE(SUBSTITUTE(VLOOKUP($A245,'Quarterly Pipeline vs Target Pi'!$A:$AP,27,false)," $","")," €",""), "")
)</f>
        <v>0</v>
      </c>
      <c r="AP245" s="17" t="str">
        <f t="shared" si="15"/>
        <v/>
      </c>
      <c r="AQ245" s="1">
        <f>value(IFERROR(SUBSTITUTE(SUBSTITUTE(VLOOKUP($A245,'Quarterly Pipeline vs Target Pi'!$A:$AP,31,false)," $","")," €",""), "")
)</f>
        <v>0</v>
      </c>
      <c r="AR245" s="1">
        <f>value(IFERROR(SUBSTITUTE(SUBSTITUTE(VLOOKUP($A245,'Quarterly Pipeline vs Target Pi'!$A:$AP,32,false)," $","")," €",""), "")
)</f>
        <v>0</v>
      </c>
      <c r="AS245" s="17" t="str">
        <f t="shared" si="16"/>
        <v/>
      </c>
      <c r="AT245" s="1">
        <f>value(IFERROR(SUBSTITUTE(SUBSTITUTE(VLOOKUP($A245,'Quarterly Pipeline vs Target Pi'!$A:$AP,36,false)," $","")," €",""), "")
)</f>
        <v>0</v>
      </c>
      <c r="AU245" s="1">
        <f>value(IFERROR(SUBSTITUTE(SUBSTITUTE(VLOOKUP($A245,'Quarterly Pipeline vs Target Pi'!$A:$AP,37,false)," $","")," €",""), "")
)</f>
        <v>0</v>
      </c>
      <c r="AV245" s="17" t="str">
        <f t="shared" si="17"/>
        <v/>
      </c>
      <c r="AW245" s="1">
        <f>value(IFERROR(SUBSTITUTE(SUBSTITUTE(VLOOKUP($A245,'Quarterly Pipeline vs Target Pi'!$A:$AP,41,false)," $","")," €",""), "")
)</f>
        <v>0</v>
      </c>
      <c r="AX245" s="1">
        <f>value(IFERROR(SUBSTITUTE(SUBSTITUTE(VLOOKUP($A245,'Quarterly Pipeline vs Target Pi'!$A:$AP,42,false)," $","")," €",""), "")
)</f>
        <v>0</v>
      </c>
      <c r="AY245" s="17" t="str">
        <f t="shared" si="18"/>
        <v/>
      </c>
      <c r="AZ245" s="1">
        <f t="shared" ref="AZ245:BA245" si="504">sum(AN245,AQ245,AT245,AW245)</f>
        <v>0</v>
      </c>
      <c r="BA245" s="1">
        <f t="shared" si="504"/>
        <v>0</v>
      </c>
      <c r="BB245" s="17" t="str">
        <f t="shared" si="20"/>
        <v/>
      </c>
    </row>
    <row r="246">
      <c r="A246" s="1" t="str">
        <f>IFERROR(__xludf.DUMMYFUNCTION("""COMPUTED_VALUE"""),"63ea6e9552ad6968805ced49")</f>
        <v>63ea6e9552ad6968805ced49</v>
      </c>
      <c r="B246" s="1" t="str">
        <f>IFERROR(__xludf.DUMMYFUNCTION("""COMPUTED_VALUE"""),"itk communications GmbH")</f>
        <v>itk communications GmbH</v>
      </c>
      <c r="C246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246" s="1" t="str">
        <f>IFERROR(__xludf.DUMMYFUNCTION("""COMPUTED_VALUE"""),"germany")</f>
        <v>germany</v>
      </c>
      <c r="E246" s="1" t="str">
        <f>IFERROR(__xludf.DUMMYFUNCTION("""COMPUTED_VALUE"""),"DE")</f>
        <v>DE</v>
      </c>
      <c r="F246" s="1" t="str">
        <f>IFERROR(__xludf.DUMMYFUNCTION("""COMPUTED_VALUE"""),"expert_200")</f>
        <v>expert_200</v>
      </c>
      <c r="G246" s="1">
        <f>iferror(VLOOKUP(A246,'Business Plan Setup and Accepta'!A:G,6,false),"")</f>
        <v>1</v>
      </c>
      <c r="H246" s="1">
        <f>iferror(VLOOKUP(A246,'Business Plan Setup and Accepta'!A:G,7,false),"")</f>
        <v>1</v>
      </c>
      <c r="I246" s="17">
        <f t="shared" si="3"/>
        <v>1</v>
      </c>
      <c r="J246" s="1">
        <f>IFERROR(VALUE(SUBSTITUTE(VLOOKUP(A246,'Sales IN Revenues vs Sales targ'!A:G,6,false)," $","")), "")
</f>
        <v>303.99</v>
      </c>
      <c r="K246" s="1">
        <f>IFERROR(VALUE(SUBSTITUTE(VLOOKUP(A246,'Sales IN Revenues vs Sales targ'!A:G,7,false)," $","")), "")
</f>
        <v>265</v>
      </c>
      <c r="L246" s="17">
        <f t="shared" si="4"/>
        <v>1.147132075</v>
      </c>
      <c r="M246" s="1">
        <f>value(SUBSTITUTE(IFERROR(VLOOKUP(A246,'Certifications achievements vs '!A:G,6,false),""),"#","")
)</f>
        <v>16</v>
      </c>
      <c r="N246" s="1">
        <f>value(SUBSTITUTE(IFERROR(VLOOKUP(A246,'Certifications achievements vs '!A:G,7,false),""),"#","")
)</f>
        <v>11</v>
      </c>
      <c r="O246" s="17">
        <f t="shared" si="5"/>
        <v>1.454545455</v>
      </c>
      <c r="P246" s="1">
        <f>value(SUBSTITUTE(IFERROR(VLOOKUP(A246,'Communications - Solution Speci'!A:G,6,false),""),"#","")
)</f>
        <v>1</v>
      </c>
      <c r="Q246" s="1">
        <f>value(SUBSTITUTE(IFERROR(VLOOKUP(A246,'Communications - Solution Speci'!A:G,7,false),""),"#","")
)</f>
        <v>1</v>
      </c>
      <c r="R246" s="17">
        <f t="shared" si="6"/>
        <v>1</v>
      </c>
      <c r="S246" s="1">
        <f>value(SUBSTITUTE(IFERROR(VLOOKUP(A246,'Networking - Solution Specializ'!A:G,6,false),""),"#","")
)</f>
        <v>0</v>
      </c>
      <c r="T246" s="1">
        <f>value(SUBSTITUTE(IFERROR(VLOOKUP(A246,'Networking - Solution Specializ'!A:G,7,false),""),"#","")
)</f>
        <v>1</v>
      </c>
      <c r="U246" s="17">
        <f t="shared" si="7"/>
        <v>0</v>
      </c>
      <c r="V246" s="1">
        <f>iferror(vlookup(A246,'Marketing Plan (extract summary'!A:G,6,false),"")</f>
        <v>0</v>
      </c>
      <c r="W246" s="1">
        <f>iferror(vlookup(A246,'Marketing Plan (extract summary'!A:G,7,false),"")</f>
        <v>1</v>
      </c>
      <c r="X246" s="17">
        <f t="shared" si="8"/>
        <v>0</v>
      </c>
      <c r="Y246" s="1">
        <f>value(IFERROR(SUBSTITUTE(SUBSTITUTE(VLOOKUP(A246,'Quarterly Pipeline vs Target Pi'!A:G,6,false)," $","")," €",""), "")
)</f>
        <v>30</v>
      </c>
      <c r="Z246" s="1">
        <f>value(IFERROR(SUBSTITUTE(SUBSTITUTE(VLOOKUP(A246,'Quarterly Pipeline vs Target Pi'!A:G,7,false)," $","")," €",""), "")
)</f>
        <v>0</v>
      </c>
      <c r="AA246" s="17" t="str">
        <f t="shared" si="9"/>
        <v/>
      </c>
      <c r="AB246" s="1">
        <f>value(IFERROR(SUBSTITUTE(SUBSTITUTE(VLOOKUP($A246,'Quarterly Pipeline vs Target Pi'!$A:$V,11,false)," $","")," €",""), "")
)</f>
        <v>45</v>
      </c>
      <c r="AC246" s="1">
        <f>value(IFERROR(SUBSTITUTE(SUBSTITUTE(VLOOKUP($A246,'Quarterly Pipeline vs Target Pi'!$A:$V,12,false)," $","")," €",""), "")
)</f>
        <v>176.67</v>
      </c>
      <c r="AD246" s="17">
        <f t="shared" si="10"/>
        <v>0.2547121752</v>
      </c>
      <c r="AE246" s="1">
        <f>value(IFERROR(SUBSTITUTE(SUBSTITUTE(VLOOKUP($A246,'Quarterly Pipeline vs Target Pi'!$A:$V,16,false)," $","")," €",""), "")
)</f>
        <v>45.55</v>
      </c>
      <c r="AF246" s="1">
        <f>value(IFERROR(SUBSTITUTE(SUBSTITUTE(VLOOKUP($A246,'Quarterly Pipeline vs Target Pi'!$A:$V,17,false)," $","")," €",""), "")
)</f>
        <v>265</v>
      </c>
      <c r="AG246" s="17">
        <f t="shared" si="11"/>
        <v>0.1718867925</v>
      </c>
      <c r="AH246" s="1">
        <f>value(IFERROR(SUBSTITUTE(SUBSTITUTE(VLOOKUP($A246,'Quarterly Pipeline vs Target Pi'!$A:$V,21,false)," $","")," €",""), "")
)</f>
        <v>49.97</v>
      </c>
      <c r="AI246" s="1">
        <f>value(IFERROR(SUBSTITUTE(SUBSTITUTE(VLOOKUP($A246,'Quarterly Pipeline vs Target Pi'!$A:$V,22,false)," $","")," €",""), "")
)</f>
        <v>265</v>
      </c>
      <c r="AJ246" s="17">
        <f t="shared" si="12"/>
        <v>0.1885660377</v>
      </c>
      <c r="AK246" s="1">
        <f t="shared" ref="AK246:AL246" si="505">sum(Y246,AB246,AE246,AH246)</f>
        <v>170.52</v>
      </c>
      <c r="AL246" s="1">
        <f t="shared" si="505"/>
        <v>706.67</v>
      </c>
      <c r="AM246" s="17">
        <f t="shared" si="14"/>
        <v>0.2413007486</v>
      </c>
      <c r="AN246" s="1">
        <f>value(IFERROR(SUBSTITUTE(SUBSTITUTE(VLOOKUP($A246,'Quarterly Pipeline vs Target Pi'!$A:$AP,26,false)," $","")," €",""), "")
)</f>
        <v>0</v>
      </c>
      <c r="AO246" s="1">
        <f>value(IFERROR(SUBSTITUTE(SUBSTITUTE(VLOOKUP($A246,'Quarterly Pipeline vs Target Pi'!$A:$AP,27,false)," $","")," €",""), "")
)</f>
        <v>0</v>
      </c>
      <c r="AP246" s="17" t="str">
        <f t="shared" si="15"/>
        <v/>
      </c>
      <c r="AQ246" s="1">
        <f>value(IFERROR(SUBSTITUTE(SUBSTITUTE(VLOOKUP($A246,'Quarterly Pipeline vs Target Pi'!$A:$AP,31,false)," $","")," €",""), "")
)</f>
        <v>14.43</v>
      </c>
      <c r="AR246" s="1">
        <f>value(IFERROR(SUBSTITUTE(SUBSTITUTE(VLOOKUP($A246,'Quarterly Pipeline vs Target Pi'!$A:$AP,32,false)," $","")," €",""), "")
)</f>
        <v>0</v>
      </c>
      <c r="AS246" s="17" t="str">
        <f t="shared" si="16"/>
        <v/>
      </c>
      <c r="AT246" s="1">
        <f>value(IFERROR(SUBSTITUTE(SUBSTITUTE(VLOOKUP($A246,'Quarterly Pipeline vs Target Pi'!$A:$AP,36,false)," $","")," €",""), "")
)</f>
        <v>0</v>
      </c>
      <c r="AU246" s="1">
        <f>value(IFERROR(SUBSTITUTE(SUBSTITUTE(VLOOKUP($A246,'Quarterly Pipeline vs Target Pi'!$A:$AP,37,false)," $","")," €",""), "")
)</f>
        <v>0</v>
      </c>
      <c r="AV246" s="17" t="str">
        <f t="shared" si="17"/>
        <v/>
      </c>
      <c r="AW246" s="1">
        <f>value(IFERROR(SUBSTITUTE(SUBSTITUTE(VLOOKUP($A246,'Quarterly Pipeline vs Target Pi'!$A:$AP,41,false)," $","")," €",""), "")
)</f>
        <v>0</v>
      </c>
      <c r="AX246" s="1">
        <f>value(IFERROR(SUBSTITUTE(SUBSTITUTE(VLOOKUP($A246,'Quarterly Pipeline vs Target Pi'!$A:$AP,42,false)," $","")," €",""), "")
)</f>
        <v>0</v>
      </c>
      <c r="AY246" s="17" t="str">
        <f t="shared" si="18"/>
        <v/>
      </c>
      <c r="AZ246" s="1">
        <f t="shared" ref="AZ246:BA246" si="506">sum(AN246,AQ246,AT246,AW246)</f>
        <v>14.43</v>
      </c>
      <c r="BA246" s="1">
        <f t="shared" si="506"/>
        <v>0</v>
      </c>
      <c r="BB246" s="17" t="str">
        <f t="shared" si="20"/>
        <v/>
      </c>
    </row>
    <row r="247">
      <c r="A247" s="1" t="str">
        <f>IFERROR(__xludf.DUMMYFUNCTION("""COMPUTED_VALUE"""),"63ea6e9552ad6968805cedb9")</f>
        <v>63ea6e9552ad6968805cedb9</v>
      </c>
      <c r="B247" s="1" t="str">
        <f>IFERROR(__xludf.DUMMYFUNCTION("""COMPUTED_VALUE"""),"ITK Deutschland GmbH")</f>
        <v>ITK Deutschland GmbH</v>
      </c>
      <c r="C247" s="1" t="str">
        <f>IFERROR(__xludf.DUMMYFUNCTION("""COMPUTED_VALUE"""),"andreas.grossheimann@al-enterprise.com")</f>
        <v>andreas.grossheimann@al-enterprise.com</v>
      </c>
      <c r="D247" s="1" t="str">
        <f>IFERROR(__xludf.DUMMYFUNCTION("""COMPUTED_VALUE"""),"germany")</f>
        <v>germany</v>
      </c>
      <c r="E247" s="1" t="str">
        <f>IFERROR(__xludf.DUMMYFUNCTION("""COMPUTED_VALUE"""),"DE")</f>
        <v>DE</v>
      </c>
      <c r="F247" s="1"/>
      <c r="G247" s="1" t="str">
        <f>iferror(VLOOKUP(A247,'Business Plan Setup and Accepta'!A:G,6,false),"")</f>
        <v/>
      </c>
      <c r="H247" s="1" t="str">
        <f>iferror(VLOOKUP(A247,'Business Plan Setup and Accepta'!A:G,7,false),"")</f>
        <v/>
      </c>
      <c r="I247" s="17" t="str">
        <f t="shared" si="3"/>
        <v/>
      </c>
      <c r="J247" s="1" t="str">
        <f>IFERROR(VALUE(SUBSTITUTE(VLOOKUP(A247,'Sales IN Revenues vs Sales targ'!A:G,6,false)," $","")), "")
</f>
        <v/>
      </c>
      <c r="K247" s="1" t="str">
        <f>IFERROR(VALUE(SUBSTITUTE(VLOOKUP(A247,'Sales IN Revenues vs Sales targ'!A:G,7,false)," $","")), "")
</f>
        <v/>
      </c>
      <c r="L247" s="17" t="str">
        <f t="shared" si="4"/>
        <v/>
      </c>
      <c r="M247" s="1">
        <f>value(SUBSTITUTE(IFERROR(VLOOKUP(A247,'Certifications achievements vs '!A:G,6,false),""),"#","")
)</f>
        <v>0</v>
      </c>
      <c r="N247" s="1">
        <f>value(SUBSTITUTE(IFERROR(VLOOKUP(A247,'Certifications achievements vs '!A:G,7,false),""),"#","")
)</f>
        <v>0</v>
      </c>
      <c r="O247" s="17" t="str">
        <f t="shared" si="5"/>
        <v/>
      </c>
      <c r="P247" s="1">
        <f>value(SUBSTITUTE(IFERROR(VLOOKUP(A247,'Communications - Solution Speci'!A:G,6,false),""),"#","")
)</f>
        <v>0</v>
      </c>
      <c r="Q247" s="1">
        <f>value(SUBSTITUTE(IFERROR(VLOOKUP(A247,'Communications - Solution Speci'!A:G,7,false),""),"#","")
)</f>
        <v>0</v>
      </c>
      <c r="R247" s="17" t="str">
        <f t="shared" si="6"/>
        <v/>
      </c>
      <c r="S247" s="1">
        <f>value(SUBSTITUTE(IFERROR(VLOOKUP(A247,'Networking - Solution Specializ'!A:G,6,false),""),"#","")
)</f>
        <v>0</v>
      </c>
      <c r="T247" s="1">
        <f>value(SUBSTITUTE(IFERROR(VLOOKUP(A247,'Networking - Solution Specializ'!A:G,7,false),""),"#","")
)</f>
        <v>0</v>
      </c>
      <c r="U247" s="17" t="str">
        <f t="shared" si="7"/>
        <v/>
      </c>
      <c r="V247" s="1" t="str">
        <f>iferror(vlookup(A247,'Marketing Plan (extract summary'!A:G,6,false),"")</f>
        <v/>
      </c>
      <c r="W247" s="1" t="str">
        <f>iferror(vlookup(A247,'Marketing Plan (extract summary'!A:G,7,false),"")</f>
        <v/>
      </c>
      <c r="X247" s="17" t="str">
        <f t="shared" si="8"/>
        <v/>
      </c>
      <c r="Y247" s="1">
        <f>value(IFERROR(SUBSTITUTE(SUBSTITUTE(VLOOKUP(A247,'Quarterly Pipeline vs Target Pi'!A:G,6,false)," $","")," €",""), "")
)</f>
        <v>0</v>
      </c>
      <c r="Z247" s="1">
        <f>value(IFERROR(SUBSTITUTE(SUBSTITUTE(VLOOKUP(A247,'Quarterly Pipeline vs Target Pi'!A:G,7,false)," $","")," €",""), "")
)</f>
        <v>0</v>
      </c>
      <c r="AA247" s="17" t="str">
        <f t="shared" si="9"/>
        <v/>
      </c>
      <c r="AB247" s="1">
        <f>value(IFERROR(SUBSTITUTE(SUBSTITUTE(VLOOKUP($A247,'Quarterly Pipeline vs Target Pi'!$A:$V,11,false)," $","")," €",""), "")
)</f>
        <v>0</v>
      </c>
      <c r="AC247" s="1">
        <f>value(IFERROR(SUBSTITUTE(SUBSTITUTE(VLOOKUP($A247,'Quarterly Pipeline vs Target Pi'!$A:$V,12,false)," $","")," €",""), "")
)</f>
        <v>0</v>
      </c>
      <c r="AD247" s="17" t="str">
        <f t="shared" si="10"/>
        <v/>
      </c>
      <c r="AE247" s="1">
        <f>value(IFERROR(SUBSTITUTE(SUBSTITUTE(VLOOKUP($A247,'Quarterly Pipeline vs Target Pi'!$A:$V,16,false)," $","")," €",""), "")
)</f>
        <v>0</v>
      </c>
      <c r="AF247" s="1">
        <f>value(IFERROR(SUBSTITUTE(SUBSTITUTE(VLOOKUP($A247,'Quarterly Pipeline vs Target Pi'!$A:$V,17,false)," $","")," €",""), "")
)</f>
        <v>0</v>
      </c>
      <c r="AG247" s="17" t="str">
        <f t="shared" si="11"/>
        <v/>
      </c>
      <c r="AH247" s="1">
        <f>value(IFERROR(SUBSTITUTE(SUBSTITUTE(VLOOKUP($A247,'Quarterly Pipeline vs Target Pi'!$A:$V,21,false)," $","")," €",""), "")
)</f>
        <v>0</v>
      </c>
      <c r="AI247" s="1">
        <f>value(IFERROR(SUBSTITUTE(SUBSTITUTE(VLOOKUP($A247,'Quarterly Pipeline vs Target Pi'!$A:$V,22,false)," $","")," €",""), "")
)</f>
        <v>0</v>
      </c>
      <c r="AJ247" s="17" t="str">
        <f t="shared" si="12"/>
        <v/>
      </c>
      <c r="AK247" s="1">
        <f t="shared" ref="AK247:AL247" si="507">sum(Y247,AB247,AE247,AH247)</f>
        <v>0</v>
      </c>
      <c r="AL247" s="1">
        <f t="shared" si="507"/>
        <v>0</v>
      </c>
      <c r="AM247" s="17" t="str">
        <f t="shared" si="14"/>
        <v/>
      </c>
      <c r="AN247" s="1">
        <f>value(IFERROR(SUBSTITUTE(SUBSTITUTE(VLOOKUP($A247,'Quarterly Pipeline vs Target Pi'!$A:$AP,26,false)," $","")," €",""), "")
)</f>
        <v>0</v>
      </c>
      <c r="AO247" s="1">
        <f>value(IFERROR(SUBSTITUTE(SUBSTITUTE(VLOOKUP($A247,'Quarterly Pipeline vs Target Pi'!$A:$AP,27,false)," $","")," €",""), "")
)</f>
        <v>0</v>
      </c>
      <c r="AP247" s="17" t="str">
        <f t="shared" si="15"/>
        <v/>
      </c>
      <c r="AQ247" s="1">
        <f>value(IFERROR(SUBSTITUTE(SUBSTITUTE(VLOOKUP($A247,'Quarterly Pipeline vs Target Pi'!$A:$AP,31,false)," $","")," €",""), "")
)</f>
        <v>0</v>
      </c>
      <c r="AR247" s="1">
        <f>value(IFERROR(SUBSTITUTE(SUBSTITUTE(VLOOKUP($A247,'Quarterly Pipeline vs Target Pi'!$A:$AP,32,false)," $","")," €",""), "")
)</f>
        <v>0</v>
      </c>
      <c r="AS247" s="17" t="str">
        <f t="shared" si="16"/>
        <v/>
      </c>
      <c r="AT247" s="1">
        <f>value(IFERROR(SUBSTITUTE(SUBSTITUTE(VLOOKUP($A247,'Quarterly Pipeline vs Target Pi'!$A:$AP,36,false)," $","")," €",""), "")
)</f>
        <v>0</v>
      </c>
      <c r="AU247" s="1">
        <f>value(IFERROR(SUBSTITUTE(SUBSTITUTE(VLOOKUP($A247,'Quarterly Pipeline vs Target Pi'!$A:$AP,37,false)," $","")," €",""), "")
)</f>
        <v>0</v>
      </c>
      <c r="AV247" s="17" t="str">
        <f t="shared" si="17"/>
        <v/>
      </c>
      <c r="AW247" s="1">
        <f>value(IFERROR(SUBSTITUTE(SUBSTITUTE(VLOOKUP($A247,'Quarterly Pipeline vs Target Pi'!$A:$AP,41,false)," $","")," €",""), "")
)</f>
        <v>0</v>
      </c>
      <c r="AX247" s="1">
        <f>value(IFERROR(SUBSTITUTE(SUBSTITUTE(VLOOKUP($A247,'Quarterly Pipeline vs Target Pi'!$A:$AP,42,false)," $","")," €",""), "")
)</f>
        <v>0</v>
      </c>
      <c r="AY247" s="17" t="str">
        <f t="shared" si="18"/>
        <v/>
      </c>
      <c r="AZ247" s="1">
        <f t="shared" ref="AZ247:BA247" si="508">sum(AN247,AQ247,AT247,AW247)</f>
        <v>0</v>
      </c>
      <c r="BA247" s="1">
        <f t="shared" si="508"/>
        <v>0</v>
      </c>
      <c r="BB247" s="17" t="str">
        <f t="shared" si="20"/>
        <v/>
      </c>
    </row>
    <row r="248">
      <c r="A248" s="1" t="str">
        <f>IFERROR(__xludf.DUMMYFUNCTION("""COMPUTED_VALUE"""),"64466fad136de17627345712")</f>
        <v>64466fad136de17627345712</v>
      </c>
      <c r="B248" s="1" t="str">
        <f>IFERROR(__xludf.DUMMYFUNCTION("""COMPUTED_VALUE"""),"ITM")</f>
        <v>ITM</v>
      </c>
      <c r="C248" s="1" t="str">
        <f>IFERROR(__xludf.DUMMYFUNCTION("""COMPUTED_VALUE"""),"jaime.tor@al-enterprise.com, astrid.savorani@al-enterprise.com, rafael.andreo@al-enterprise.com, esther.alonso@al-enterprise.com, marcos.rodriguez@al-enterprise.com")</f>
        <v>jaime.tor@al-enterprise.com, astrid.savorani@al-enterprise.com, rafael.andreo@al-enterprise.com, esther.alonso@al-enterprise.com, marcos.rodriguez@al-enterprise.com</v>
      </c>
      <c r="D248" s="1" t="str">
        <f>IFERROR(__xludf.DUMMYFUNCTION("""COMPUTED_VALUE"""),"emea")</f>
        <v>emea</v>
      </c>
      <c r="E248" s="1" t="str">
        <f>IFERROR(__xludf.DUMMYFUNCTION("""COMPUTED_VALUE"""),"ES")</f>
        <v>ES</v>
      </c>
      <c r="F248" s="1"/>
      <c r="G248" s="1" t="str">
        <f>iferror(VLOOKUP(A248,'Business Plan Setup and Accepta'!A:G,6,false),"")</f>
        <v/>
      </c>
      <c r="H248" s="1" t="str">
        <f>iferror(VLOOKUP(A248,'Business Plan Setup and Accepta'!A:G,7,false),"")</f>
        <v/>
      </c>
      <c r="I248" s="17" t="str">
        <f t="shared" si="3"/>
        <v/>
      </c>
      <c r="J248" s="1" t="str">
        <f>IFERROR(VALUE(SUBSTITUTE(VLOOKUP(A248,'Sales IN Revenues vs Sales targ'!A:G,6,false)," $","")), "")
</f>
        <v/>
      </c>
      <c r="K248" s="1" t="str">
        <f>IFERROR(VALUE(SUBSTITUTE(VLOOKUP(A248,'Sales IN Revenues vs Sales targ'!A:G,7,false)," $","")), "")
</f>
        <v/>
      </c>
      <c r="L248" s="17" t="str">
        <f t="shared" si="4"/>
        <v/>
      </c>
      <c r="M248" s="1">
        <f>value(SUBSTITUTE(IFERROR(VLOOKUP(A248,'Certifications achievements vs '!A:G,6,false),""),"#","")
)</f>
        <v>0</v>
      </c>
      <c r="N248" s="1">
        <f>value(SUBSTITUTE(IFERROR(VLOOKUP(A248,'Certifications achievements vs '!A:G,7,false),""),"#","")
)</f>
        <v>0</v>
      </c>
      <c r="O248" s="17" t="str">
        <f t="shared" si="5"/>
        <v/>
      </c>
      <c r="P248" s="1">
        <f>value(SUBSTITUTE(IFERROR(VLOOKUP(A248,'Communications - Solution Speci'!A:G,6,false),""),"#","")
)</f>
        <v>0</v>
      </c>
      <c r="Q248" s="1">
        <f>value(SUBSTITUTE(IFERROR(VLOOKUP(A248,'Communications - Solution Speci'!A:G,7,false),""),"#","")
)</f>
        <v>0</v>
      </c>
      <c r="R248" s="17" t="str">
        <f t="shared" si="6"/>
        <v/>
      </c>
      <c r="S248" s="1">
        <f>value(SUBSTITUTE(IFERROR(VLOOKUP(A248,'Networking - Solution Specializ'!A:G,6,false),""),"#","")
)</f>
        <v>0</v>
      </c>
      <c r="T248" s="1">
        <f>value(SUBSTITUTE(IFERROR(VLOOKUP(A248,'Networking - Solution Specializ'!A:G,7,false),""),"#","")
)</f>
        <v>0</v>
      </c>
      <c r="U248" s="17" t="str">
        <f t="shared" si="7"/>
        <v/>
      </c>
      <c r="V248" s="1" t="str">
        <f>iferror(vlookup(A248,'Marketing Plan (extract summary'!A:G,6,false),"")</f>
        <v/>
      </c>
      <c r="W248" s="1" t="str">
        <f>iferror(vlookup(A248,'Marketing Plan (extract summary'!A:G,7,false),"")</f>
        <v/>
      </c>
      <c r="X248" s="17" t="str">
        <f t="shared" si="8"/>
        <v/>
      </c>
      <c r="Y248" s="1">
        <f>value(IFERROR(SUBSTITUTE(SUBSTITUTE(VLOOKUP(A248,'Quarterly Pipeline vs Target Pi'!A:G,6,false)," $","")," €",""), "")
)</f>
        <v>0</v>
      </c>
      <c r="Z248" s="1">
        <f>value(IFERROR(SUBSTITUTE(SUBSTITUTE(VLOOKUP(A248,'Quarterly Pipeline vs Target Pi'!A:G,7,false)," $","")," €",""), "")
)</f>
        <v>0</v>
      </c>
      <c r="AA248" s="17" t="str">
        <f t="shared" si="9"/>
        <v/>
      </c>
      <c r="AB248" s="1">
        <f>value(IFERROR(SUBSTITUTE(SUBSTITUTE(VLOOKUP($A248,'Quarterly Pipeline vs Target Pi'!$A:$V,11,false)," $","")," €",""), "")
)</f>
        <v>0</v>
      </c>
      <c r="AC248" s="1">
        <f>value(IFERROR(SUBSTITUTE(SUBSTITUTE(VLOOKUP($A248,'Quarterly Pipeline vs Target Pi'!$A:$V,12,false)," $","")," €",""), "")
)</f>
        <v>0</v>
      </c>
      <c r="AD248" s="17" t="str">
        <f t="shared" si="10"/>
        <v/>
      </c>
      <c r="AE248" s="1">
        <f>value(IFERROR(SUBSTITUTE(SUBSTITUTE(VLOOKUP($A248,'Quarterly Pipeline vs Target Pi'!$A:$V,16,false)," $","")," €",""), "")
)</f>
        <v>0</v>
      </c>
      <c r="AF248" s="1">
        <f>value(IFERROR(SUBSTITUTE(SUBSTITUTE(VLOOKUP($A248,'Quarterly Pipeline vs Target Pi'!$A:$V,17,false)," $","")," €",""), "")
)</f>
        <v>0</v>
      </c>
      <c r="AG248" s="17" t="str">
        <f t="shared" si="11"/>
        <v/>
      </c>
      <c r="AH248" s="1">
        <f>value(IFERROR(SUBSTITUTE(SUBSTITUTE(VLOOKUP($A248,'Quarterly Pipeline vs Target Pi'!$A:$V,21,false)," $","")," €",""), "")
)</f>
        <v>0</v>
      </c>
      <c r="AI248" s="1">
        <f>value(IFERROR(SUBSTITUTE(SUBSTITUTE(VLOOKUP($A248,'Quarterly Pipeline vs Target Pi'!$A:$V,22,false)," $","")," €",""), "")
)</f>
        <v>0</v>
      </c>
      <c r="AJ248" s="17" t="str">
        <f t="shared" si="12"/>
        <v/>
      </c>
      <c r="AK248" s="1">
        <f t="shared" ref="AK248:AL248" si="509">sum(Y248,AB248,AE248,AH248)</f>
        <v>0</v>
      </c>
      <c r="AL248" s="1">
        <f t="shared" si="509"/>
        <v>0</v>
      </c>
      <c r="AM248" s="17" t="str">
        <f t="shared" si="14"/>
        <v/>
      </c>
      <c r="AN248" s="1">
        <f>value(IFERROR(SUBSTITUTE(SUBSTITUTE(VLOOKUP($A248,'Quarterly Pipeline vs Target Pi'!$A:$AP,26,false)," $","")," €",""), "")
)</f>
        <v>0</v>
      </c>
      <c r="AO248" s="1">
        <f>value(IFERROR(SUBSTITUTE(SUBSTITUTE(VLOOKUP($A248,'Quarterly Pipeline vs Target Pi'!$A:$AP,27,false)," $","")," €",""), "")
)</f>
        <v>0</v>
      </c>
      <c r="AP248" s="17" t="str">
        <f t="shared" si="15"/>
        <v/>
      </c>
      <c r="AQ248" s="1">
        <f>value(IFERROR(SUBSTITUTE(SUBSTITUTE(VLOOKUP($A248,'Quarterly Pipeline vs Target Pi'!$A:$AP,31,false)," $","")," €",""), "")
)</f>
        <v>0</v>
      </c>
      <c r="AR248" s="1">
        <f>value(IFERROR(SUBSTITUTE(SUBSTITUTE(VLOOKUP($A248,'Quarterly Pipeline vs Target Pi'!$A:$AP,32,false)," $","")," €",""), "")
)</f>
        <v>0</v>
      </c>
      <c r="AS248" s="17" t="str">
        <f t="shared" si="16"/>
        <v/>
      </c>
      <c r="AT248" s="1">
        <f>value(IFERROR(SUBSTITUTE(SUBSTITUTE(VLOOKUP($A248,'Quarterly Pipeline vs Target Pi'!$A:$AP,36,false)," $","")," €",""), "")
)</f>
        <v>0</v>
      </c>
      <c r="AU248" s="1">
        <f>value(IFERROR(SUBSTITUTE(SUBSTITUTE(VLOOKUP($A248,'Quarterly Pipeline vs Target Pi'!$A:$AP,37,false)," $","")," €",""), "")
)</f>
        <v>0</v>
      </c>
      <c r="AV248" s="17" t="str">
        <f t="shared" si="17"/>
        <v/>
      </c>
      <c r="AW248" s="1">
        <f>value(IFERROR(SUBSTITUTE(SUBSTITUTE(VLOOKUP($A248,'Quarterly Pipeline vs Target Pi'!$A:$AP,41,false)," $","")," €",""), "")
)</f>
        <v>0</v>
      </c>
      <c r="AX248" s="1">
        <f>value(IFERROR(SUBSTITUTE(SUBSTITUTE(VLOOKUP($A248,'Quarterly Pipeline vs Target Pi'!$A:$AP,42,false)," $","")," €",""), "")
)</f>
        <v>0</v>
      </c>
      <c r="AY248" s="17" t="str">
        <f t="shared" si="18"/>
        <v/>
      </c>
      <c r="AZ248" s="1">
        <f t="shared" ref="AZ248:BA248" si="510">sum(AN248,AQ248,AT248,AW248)</f>
        <v>0</v>
      </c>
      <c r="BA248" s="1">
        <f t="shared" si="510"/>
        <v>0</v>
      </c>
      <c r="BB248" s="17" t="str">
        <f t="shared" si="20"/>
        <v/>
      </c>
    </row>
    <row r="249">
      <c r="A249" s="1" t="str">
        <f>IFERROR(__xludf.DUMMYFUNCTION("""COMPUTED_VALUE"""),"63ea6e9652ad6968805cef79")</f>
        <v>63ea6e9652ad6968805cef79</v>
      </c>
      <c r="B249" s="1" t="str">
        <f>IFERROR(__xludf.DUMMYFUNCTION("""COMPUTED_VALUE"""),"itparts Inhaber: Dag Geisler")</f>
        <v>itparts Inhaber: Dag Geisler</v>
      </c>
      <c r="C249" s="1" t="str">
        <f>IFERROR(__xludf.DUMMYFUNCTION("""COMPUTED_VALUE"""),"andreas.grossheimann@al-enterprise.com, andre.ramm@al-enterprise.com")</f>
        <v>andreas.grossheimann@al-enterprise.com, andre.ramm@al-enterprise.com</v>
      </c>
      <c r="D249" s="1" t="str">
        <f>IFERROR(__xludf.DUMMYFUNCTION("""COMPUTED_VALUE"""),"germany")</f>
        <v>germany</v>
      </c>
      <c r="E249" s="1" t="str">
        <f>IFERROR(__xludf.DUMMYFUNCTION("""COMPUTED_VALUE"""),"DE")</f>
        <v>DE</v>
      </c>
      <c r="F249" s="1"/>
      <c r="G249" s="1" t="str">
        <f>iferror(VLOOKUP(A249,'Business Plan Setup and Accepta'!A:G,6,false),"")</f>
        <v/>
      </c>
      <c r="H249" s="1" t="str">
        <f>iferror(VLOOKUP(A249,'Business Plan Setup and Accepta'!A:G,7,false),"")</f>
        <v/>
      </c>
      <c r="I249" s="17" t="str">
        <f t="shared" si="3"/>
        <v/>
      </c>
      <c r="J249" s="1" t="str">
        <f>IFERROR(VALUE(SUBSTITUTE(VLOOKUP(A249,'Sales IN Revenues vs Sales targ'!A:G,6,false)," $","")), "")
</f>
        <v/>
      </c>
      <c r="K249" s="1" t="str">
        <f>IFERROR(VALUE(SUBSTITUTE(VLOOKUP(A249,'Sales IN Revenues vs Sales targ'!A:G,7,false)," $","")), "")
</f>
        <v/>
      </c>
      <c r="L249" s="17" t="str">
        <f t="shared" si="4"/>
        <v/>
      </c>
      <c r="M249" s="1">
        <f>value(SUBSTITUTE(IFERROR(VLOOKUP(A249,'Certifications achievements vs '!A:G,6,false),""),"#","")
)</f>
        <v>0</v>
      </c>
      <c r="N249" s="1">
        <f>value(SUBSTITUTE(IFERROR(VLOOKUP(A249,'Certifications achievements vs '!A:G,7,false),""),"#","")
)</f>
        <v>0</v>
      </c>
      <c r="O249" s="17" t="str">
        <f t="shared" si="5"/>
        <v/>
      </c>
      <c r="P249" s="1">
        <f>value(SUBSTITUTE(IFERROR(VLOOKUP(A249,'Communications - Solution Speci'!A:G,6,false),""),"#","")
)</f>
        <v>0</v>
      </c>
      <c r="Q249" s="1">
        <f>value(SUBSTITUTE(IFERROR(VLOOKUP(A249,'Communications - Solution Speci'!A:G,7,false),""),"#","")
)</f>
        <v>0</v>
      </c>
      <c r="R249" s="17" t="str">
        <f t="shared" si="6"/>
        <v/>
      </c>
      <c r="S249" s="1">
        <f>value(SUBSTITUTE(IFERROR(VLOOKUP(A249,'Networking - Solution Specializ'!A:G,6,false),""),"#","")
)</f>
        <v>0</v>
      </c>
      <c r="T249" s="1">
        <f>value(SUBSTITUTE(IFERROR(VLOOKUP(A249,'Networking - Solution Specializ'!A:G,7,false),""),"#","")
)</f>
        <v>0</v>
      </c>
      <c r="U249" s="17" t="str">
        <f t="shared" si="7"/>
        <v/>
      </c>
      <c r="V249" s="1" t="str">
        <f>iferror(vlookup(A249,'Marketing Plan (extract summary'!A:G,6,false),"")</f>
        <v/>
      </c>
      <c r="W249" s="1" t="str">
        <f>iferror(vlookup(A249,'Marketing Plan (extract summary'!A:G,7,false),"")</f>
        <v/>
      </c>
      <c r="X249" s="17" t="str">
        <f t="shared" si="8"/>
        <v/>
      </c>
      <c r="Y249" s="1">
        <f>value(IFERROR(SUBSTITUTE(SUBSTITUTE(VLOOKUP(A249,'Quarterly Pipeline vs Target Pi'!A:G,6,false)," $","")," €",""), "")
)</f>
        <v>0</v>
      </c>
      <c r="Z249" s="1">
        <f>value(IFERROR(SUBSTITUTE(SUBSTITUTE(VLOOKUP(A249,'Quarterly Pipeline vs Target Pi'!A:G,7,false)," $","")," €",""), "")
)</f>
        <v>0</v>
      </c>
      <c r="AA249" s="17" t="str">
        <f t="shared" si="9"/>
        <v/>
      </c>
      <c r="AB249" s="1">
        <f>value(IFERROR(SUBSTITUTE(SUBSTITUTE(VLOOKUP($A249,'Quarterly Pipeline vs Target Pi'!$A:$V,11,false)," $","")," €",""), "")
)</f>
        <v>0</v>
      </c>
      <c r="AC249" s="1">
        <f>value(IFERROR(SUBSTITUTE(SUBSTITUTE(VLOOKUP($A249,'Quarterly Pipeline vs Target Pi'!$A:$V,12,false)," $","")," €",""), "")
)</f>
        <v>0</v>
      </c>
      <c r="AD249" s="17" t="str">
        <f t="shared" si="10"/>
        <v/>
      </c>
      <c r="AE249" s="1">
        <f>value(IFERROR(SUBSTITUTE(SUBSTITUTE(VLOOKUP($A249,'Quarterly Pipeline vs Target Pi'!$A:$V,16,false)," $","")," €",""), "")
)</f>
        <v>0</v>
      </c>
      <c r="AF249" s="1">
        <f>value(IFERROR(SUBSTITUTE(SUBSTITUTE(VLOOKUP($A249,'Quarterly Pipeline vs Target Pi'!$A:$V,17,false)," $","")," €",""), "")
)</f>
        <v>0</v>
      </c>
      <c r="AG249" s="17" t="str">
        <f t="shared" si="11"/>
        <v/>
      </c>
      <c r="AH249" s="1">
        <f>value(IFERROR(SUBSTITUTE(SUBSTITUTE(VLOOKUP($A249,'Quarterly Pipeline vs Target Pi'!$A:$V,21,false)," $","")," €",""), "")
)</f>
        <v>0</v>
      </c>
      <c r="AI249" s="1">
        <f>value(IFERROR(SUBSTITUTE(SUBSTITUTE(VLOOKUP($A249,'Quarterly Pipeline vs Target Pi'!$A:$V,22,false)," $","")," €",""), "")
)</f>
        <v>0</v>
      </c>
      <c r="AJ249" s="17" t="str">
        <f t="shared" si="12"/>
        <v/>
      </c>
      <c r="AK249" s="1">
        <f t="shared" ref="AK249:AL249" si="511">sum(Y249,AB249,AE249,AH249)</f>
        <v>0</v>
      </c>
      <c r="AL249" s="1">
        <f t="shared" si="511"/>
        <v>0</v>
      </c>
      <c r="AM249" s="17" t="str">
        <f t="shared" si="14"/>
        <v/>
      </c>
      <c r="AN249" s="1">
        <f>value(IFERROR(SUBSTITUTE(SUBSTITUTE(VLOOKUP($A249,'Quarterly Pipeline vs Target Pi'!$A:$AP,26,false)," $","")," €",""), "")
)</f>
        <v>0</v>
      </c>
      <c r="AO249" s="1">
        <f>value(IFERROR(SUBSTITUTE(SUBSTITUTE(VLOOKUP($A249,'Quarterly Pipeline vs Target Pi'!$A:$AP,27,false)," $","")," €",""), "")
)</f>
        <v>0</v>
      </c>
      <c r="AP249" s="17" t="str">
        <f t="shared" si="15"/>
        <v/>
      </c>
      <c r="AQ249" s="1">
        <f>value(IFERROR(SUBSTITUTE(SUBSTITUTE(VLOOKUP($A249,'Quarterly Pipeline vs Target Pi'!$A:$AP,31,false)," $","")," €",""), "")
)</f>
        <v>0</v>
      </c>
      <c r="AR249" s="1">
        <f>value(IFERROR(SUBSTITUTE(SUBSTITUTE(VLOOKUP($A249,'Quarterly Pipeline vs Target Pi'!$A:$AP,32,false)," $","")," €",""), "")
)</f>
        <v>0</v>
      </c>
      <c r="AS249" s="17" t="str">
        <f t="shared" si="16"/>
        <v/>
      </c>
      <c r="AT249" s="1">
        <f>value(IFERROR(SUBSTITUTE(SUBSTITUTE(VLOOKUP($A249,'Quarterly Pipeline vs Target Pi'!$A:$AP,36,false)," $","")," €",""), "")
)</f>
        <v>0</v>
      </c>
      <c r="AU249" s="1">
        <f>value(IFERROR(SUBSTITUTE(SUBSTITUTE(VLOOKUP($A249,'Quarterly Pipeline vs Target Pi'!$A:$AP,37,false)," $","")," €",""), "")
)</f>
        <v>0</v>
      </c>
      <c r="AV249" s="17" t="str">
        <f t="shared" si="17"/>
        <v/>
      </c>
      <c r="AW249" s="1">
        <f>value(IFERROR(SUBSTITUTE(SUBSTITUTE(VLOOKUP($A249,'Quarterly Pipeline vs Target Pi'!$A:$AP,41,false)," $","")," €",""), "")
)</f>
        <v>0</v>
      </c>
      <c r="AX249" s="1">
        <f>value(IFERROR(SUBSTITUTE(SUBSTITUTE(VLOOKUP($A249,'Quarterly Pipeline vs Target Pi'!$A:$AP,42,false)," $","")," €",""), "")
)</f>
        <v>0</v>
      </c>
      <c r="AY249" s="17" t="str">
        <f t="shared" si="18"/>
        <v/>
      </c>
      <c r="AZ249" s="1">
        <f t="shared" ref="AZ249:BA249" si="512">sum(AN249,AQ249,AT249,AW249)</f>
        <v>0</v>
      </c>
      <c r="BA249" s="1">
        <f t="shared" si="512"/>
        <v>0</v>
      </c>
      <c r="BB249" s="17" t="str">
        <f t="shared" si="20"/>
        <v/>
      </c>
    </row>
    <row r="250">
      <c r="A250" s="1" t="str">
        <f>IFERROR(__xludf.DUMMYFUNCTION("""COMPUTED_VALUE"""),"63ced847c5c820531c268b7c")</f>
        <v>63ced847c5c820531c268b7c</v>
      </c>
      <c r="B250" s="1" t="str">
        <f>IFERROR(__xludf.DUMMYFUNCTION("""COMPUTED_VALUE"""),"ITR AG")</f>
        <v>ITR AG</v>
      </c>
      <c r="C250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250" s="1" t="str">
        <f>IFERROR(__xludf.DUMMYFUNCTION("""COMPUTED_VALUE"""),"germany")</f>
        <v>germany</v>
      </c>
      <c r="E250" s="1" t="str">
        <f>IFERROR(__xludf.DUMMYFUNCTION("""COMPUTED_VALUE"""),"DE")</f>
        <v>DE</v>
      </c>
      <c r="F250" s="1" t="str">
        <f>IFERROR(__xludf.DUMMYFUNCTION("""COMPUTED_VALUE"""),"expert_1000")</f>
        <v>expert_1000</v>
      </c>
      <c r="G250" s="1">
        <f>iferror(VLOOKUP(A250,'Business Plan Setup and Accepta'!A:G,6,false),"")</f>
        <v>1</v>
      </c>
      <c r="H250" s="1">
        <f>iferror(VLOOKUP(A250,'Business Plan Setup and Accepta'!A:G,7,false),"")</f>
        <v>1</v>
      </c>
      <c r="I250" s="17">
        <f t="shared" si="3"/>
        <v>1</v>
      </c>
      <c r="J250" s="1">
        <f>IFERROR(VALUE(SUBSTITUTE(VLOOKUP(A250,'Sales IN Revenues vs Sales targ'!A:G,6,false)," $","")), "")
</f>
        <v>341.41</v>
      </c>
      <c r="K250" s="1">
        <f>IFERROR(VALUE(SUBSTITUTE(VLOOKUP(A250,'Sales IN Revenues vs Sales targ'!A:G,7,false)," $","")), "")
</f>
        <v>1350</v>
      </c>
      <c r="L250" s="17">
        <f t="shared" si="4"/>
        <v>0.2528962963</v>
      </c>
      <c r="M250" s="1">
        <f>value(SUBSTITUTE(IFERROR(VLOOKUP(A250,'Certifications achievements vs '!A:G,6,false),""),"#","")
)</f>
        <v>35</v>
      </c>
      <c r="N250" s="1">
        <f>value(SUBSTITUTE(IFERROR(VLOOKUP(A250,'Certifications achievements vs '!A:G,7,false),""),"#","")
)</f>
        <v>52</v>
      </c>
      <c r="O250" s="17">
        <f t="shared" si="5"/>
        <v>0.6730769231</v>
      </c>
      <c r="P250" s="1">
        <f>value(SUBSTITUTE(IFERROR(VLOOKUP(A250,'Communications - Solution Speci'!A:G,6,false),""),"#","")
)</f>
        <v>1</v>
      </c>
      <c r="Q250" s="1">
        <f>value(SUBSTITUTE(IFERROR(VLOOKUP(A250,'Communications - Solution Speci'!A:G,7,false),""),"#","")
)</f>
        <v>1</v>
      </c>
      <c r="R250" s="17">
        <f t="shared" si="6"/>
        <v>1</v>
      </c>
      <c r="S250" s="1">
        <f>value(SUBSTITUTE(IFERROR(VLOOKUP(A250,'Networking - Solution Specializ'!A:G,6,false),""),"#","")
)</f>
        <v>0</v>
      </c>
      <c r="T250" s="1">
        <f>value(SUBSTITUTE(IFERROR(VLOOKUP(A250,'Networking - Solution Specializ'!A:G,7,false),""),"#","")
)</f>
        <v>1</v>
      </c>
      <c r="U250" s="17">
        <f t="shared" si="7"/>
        <v>0</v>
      </c>
      <c r="V250" s="1">
        <f>iferror(vlookup(A250,'Marketing Plan (extract summary'!A:G,6,false),"")</f>
        <v>0</v>
      </c>
      <c r="W250" s="1">
        <f>iferror(vlookup(A250,'Marketing Plan (extract summary'!A:G,7,false),"")</f>
        <v>1</v>
      </c>
      <c r="X250" s="17">
        <f t="shared" si="8"/>
        <v>0</v>
      </c>
      <c r="Y250" s="1">
        <f>value(IFERROR(SUBSTITUTE(SUBSTITUTE(VLOOKUP(A250,'Quarterly Pipeline vs Target Pi'!A:G,6,false)," $","")," €",""), "")
)</f>
        <v>4.37</v>
      </c>
      <c r="Z250" s="1">
        <f>value(IFERROR(SUBSTITUTE(SUBSTITUTE(VLOOKUP(A250,'Quarterly Pipeline vs Target Pi'!A:G,7,false)," $","")," €",""), "")
)</f>
        <v>810</v>
      </c>
      <c r="AA250" s="17">
        <f t="shared" si="9"/>
        <v>0.005395061728</v>
      </c>
      <c r="AB250" s="1">
        <f>value(IFERROR(SUBSTITUTE(SUBSTITUTE(VLOOKUP($A250,'Quarterly Pipeline vs Target Pi'!$A:$V,11,false)," $","")," €",""), "")
)</f>
        <v>15.67</v>
      </c>
      <c r="AC250" s="1">
        <f>value(IFERROR(SUBSTITUTE(SUBSTITUTE(VLOOKUP($A250,'Quarterly Pipeline vs Target Pi'!$A:$V,12,false)," $","")," €",""), "")
)</f>
        <v>540</v>
      </c>
      <c r="AD250" s="17">
        <f t="shared" si="10"/>
        <v>0.02901851852</v>
      </c>
      <c r="AE250" s="1">
        <f>value(IFERROR(SUBSTITUTE(SUBSTITUTE(VLOOKUP($A250,'Quarterly Pipeline vs Target Pi'!$A:$V,16,false)," $","")," €",""), "")
)</f>
        <v>187.1</v>
      </c>
      <c r="AF250" s="1">
        <f>value(IFERROR(SUBSTITUTE(SUBSTITUTE(VLOOKUP($A250,'Quarterly Pipeline vs Target Pi'!$A:$V,17,false)," $","")," €",""), "")
)</f>
        <v>810</v>
      </c>
      <c r="AG250" s="17">
        <f t="shared" si="11"/>
        <v>0.2309876543</v>
      </c>
      <c r="AH250" s="1">
        <f>value(IFERROR(SUBSTITUTE(SUBSTITUTE(VLOOKUP($A250,'Quarterly Pipeline vs Target Pi'!$A:$V,21,false)," $","")," €",""), "")
)</f>
        <v>197.84</v>
      </c>
      <c r="AI250" s="1">
        <f>value(IFERROR(SUBSTITUTE(SUBSTITUTE(VLOOKUP($A250,'Quarterly Pipeline vs Target Pi'!$A:$V,22,false)," $","")," €",""), "")
)</f>
        <v>810</v>
      </c>
      <c r="AJ250" s="17">
        <f t="shared" si="12"/>
        <v>0.2442469136</v>
      </c>
      <c r="AK250" s="1">
        <f t="shared" ref="AK250:AL250" si="513">sum(Y250,AB250,AE250,AH250)</f>
        <v>404.98</v>
      </c>
      <c r="AL250" s="1">
        <f t="shared" si="513"/>
        <v>2970</v>
      </c>
      <c r="AM250" s="17">
        <f t="shared" si="14"/>
        <v>0.1363569024</v>
      </c>
      <c r="AN250" s="1">
        <f>value(IFERROR(SUBSTITUTE(SUBSTITUTE(VLOOKUP($A250,'Quarterly Pipeline vs Target Pi'!$A:$AP,26,false)," $","")," €",""), "")
)</f>
        <v>211.14</v>
      </c>
      <c r="AO250" s="1">
        <f>value(IFERROR(SUBSTITUTE(SUBSTITUTE(VLOOKUP($A250,'Quarterly Pipeline vs Target Pi'!$A:$AP,27,false)," $","")," €",""), "")
)</f>
        <v>0</v>
      </c>
      <c r="AP250" s="17" t="str">
        <f t="shared" si="15"/>
        <v/>
      </c>
      <c r="AQ250" s="1">
        <f>value(IFERROR(SUBSTITUTE(SUBSTITUTE(VLOOKUP($A250,'Quarterly Pipeline vs Target Pi'!$A:$AP,31,false)," $","")," €",""), "")
)</f>
        <v>125.49</v>
      </c>
      <c r="AR250" s="1">
        <f>value(IFERROR(SUBSTITUTE(SUBSTITUTE(VLOOKUP($A250,'Quarterly Pipeline vs Target Pi'!$A:$AP,32,false)," $","")," €",""), "")
)</f>
        <v>0</v>
      </c>
      <c r="AS250" s="17" t="str">
        <f t="shared" si="16"/>
        <v/>
      </c>
      <c r="AT250" s="1">
        <f>value(IFERROR(SUBSTITUTE(SUBSTITUTE(VLOOKUP($A250,'Quarterly Pipeline vs Target Pi'!$A:$AP,36,false)," $","")," €",""), "")
)</f>
        <v>44.84</v>
      </c>
      <c r="AU250" s="1">
        <f>value(IFERROR(SUBSTITUTE(SUBSTITUTE(VLOOKUP($A250,'Quarterly Pipeline vs Target Pi'!$A:$AP,37,false)," $","")," €",""), "")
)</f>
        <v>0</v>
      </c>
      <c r="AV250" s="17" t="str">
        <f t="shared" si="17"/>
        <v/>
      </c>
      <c r="AW250" s="1">
        <f>value(IFERROR(SUBSTITUTE(SUBSTITUTE(VLOOKUP($A250,'Quarterly Pipeline vs Target Pi'!$A:$AP,41,false)," $","")," €",""), "")
)</f>
        <v>31.95</v>
      </c>
      <c r="AX250" s="1">
        <f>value(IFERROR(SUBSTITUTE(SUBSTITUTE(VLOOKUP($A250,'Quarterly Pipeline vs Target Pi'!$A:$AP,42,false)," $","")," €",""), "")
)</f>
        <v>0</v>
      </c>
      <c r="AY250" s="17" t="str">
        <f t="shared" si="18"/>
        <v/>
      </c>
      <c r="AZ250" s="1">
        <f t="shared" ref="AZ250:BA250" si="514">sum(AN250,AQ250,AT250,AW250)</f>
        <v>413.42</v>
      </c>
      <c r="BA250" s="1">
        <f t="shared" si="514"/>
        <v>0</v>
      </c>
      <c r="BB250" s="17" t="str">
        <f t="shared" si="20"/>
        <v/>
      </c>
    </row>
    <row r="251">
      <c r="A251" s="1" t="str">
        <f>IFERROR(__xludf.DUMMYFUNCTION("""COMPUTED_VALUE"""),"63ced848c5c820531c268d5c")</f>
        <v>63ced848c5c820531c268d5c</v>
      </c>
      <c r="B251" s="1" t="str">
        <f>IFERROR(__xludf.DUMMYFUNCTION("""COMPUTED_VALUE"""),"IZERTIS S.A.")</f>
        <v>IZERTIS S.A.</v>
      </c>
      <c r="C251" s="1" t="str">
        <f>IFERROR(__xludf.DUMMYFUNCTION("""COMPUTED_VALUE"""),"astrid.savorani@al-enterprise.com, marcos.rodriguez@al-enterprise.com")</f>
        <v>astrid.savorani@al-enterprise.com, marcos.rodriguez@al-enterprise.com</v>
      </c>
      <c r="D251" s="1" t="str">
        <f>IFERROR(__xludf.DUMMYFUNCTION("""COMPUTED_VALUE"""),"emea")</f>
        <v>emea</v>
      </c>
      <c r="E251" s="1" t="str">
        <f>IFERROR(__xludf.DUMMYFUNCTION("""COMPUTED_VALUE"""),"ES")</f>
        <v>ES</v>
      </c>
      <c r="F251" s="1" t="str">
        <f>IFERROR(__xludf.DUMMYFUNCTION("""COMPUTED_VALUE"""),"expert_200")</f>
        <v>expert_200</v>
      </c>
      <c r="G251" s="1">
        <f>iferror(VLOOKUP(A251,'Business Plan Setup and Accepta'!A:G,6,false),"")</f>
        <v>1</v>
      </c>
      <c r="H251" s="1">
        <f>iferror(VLOOKUP(A251,'Business Plan Setup and Accepta'!A:G,7,false),"")</f>
        <v>1</v>
      </c>
      <c r="I251" s="17">
        <f t="shared" si="3"/>
        <v>1</v>
      </c>
      <c r="J251" s="1">
        <f>IFERROR(VALUE(SUBSTITUTE(VLOOKUP(A251,'Sales IN Revenues vs Sales targ'!A:G,6,false)," $","")), "")
</f>
        <v>121.19</v>
      </c>
      <c r="K251" s="1">
        <f>IFERROR(VALUE(SUBSTITUTE(VLOOKUP(A251,'Sales IN Revenues vs Sales targ'!A:G,7,false)," $","")), "")
</f>
        <v>249.6</v>
      </c>
      <c r="L251" s="17">
        <f t="shared" si="4"/>
        <v>0.485536859</v>
      </c>
      <c r="M251" s="1">
        <f>value(SUBSTITUTE(IFERROR(VLOOKUP(A251,'Certifications achievements vs '!A:G,6,false),""),"#","")
)</f>
        <v>90</v>
      </c>
      <c r="N251" s="1">
        <f>value(SUBSTITUTE(IFERROR(VLOOKUP(A251,'Certifications achievements vs '!A:G,7,false),""),"#","")
)</f>
        <v>52</v>
      </c>
      <c r="O251" s="17">
        <f t="shared" si="5"/>
        <v>1.730769231</v>
      </c>
      <c r="P251" s="1">
        <f>value(SUBSTITUTE(IFERROR(VLOOKUP(A251,'Communications - Solution Speci'!A:G,6,false),""),"#","")
)</f>
        <v>1</v>
      </c>
      <c r="Q251" s="1">
        <f>value(SUBSTITUTE(IFERROR(VLOOKUP(A251,'Communications - Solution Speci'!A:G,7,false),""),"#","")
)</f>
        <v>1</v>
      </c>
      <c r="R251" s="17">
        <f t="shared" si="6"/>
        <v>1</v>
      </c>
      <c r="S251" s="1">
        <f>value(SUBSTITUTE(IFERROR(VLOOKUP(A251,'Networking - Solution Specializ'!A:G,6,false),""),"#","")
)</f>
        <v>1</v>
      </c>
      <c r="T251" s="1">
        <f>value(SUBSTITUTE(IFERROR(VLOOKUP(A251,'Networking - Solution Specializ'!A:G,7,false),""),"#","")
)</f>
        <v>1</v>
      </c>
      <c r="U251" s="17">
        <f t="shared" si="7"/>
        <v>1</v>
      </c>
      <c r="V251" s="1">
        <f>iferror(vlookup(A251,'Marketing Plan (extract summary'!A:G,6,false),"")</f>
        <v>0</v>
      </c>
      <c r="W251" s="1">
        <f>iferror(vlookup(A251,'Marketing Plan (extract summary'!A:G,7,false),"")</f>
        <v>1</v>
      </c>
      <c r="X251" s="17">
        <f t="shared" si="8"/>
        <v>0</v>
      </c>
      <c r="Y251" s="1">
        <f>value(IFERROR(SUBSTITUTE(SUBSTITUTE(VLOOKUP(A251,'Quarterly Pipeline vs Target Pi'!A:G,6,false)," $","")," €",""), "")
)</f>
        <v>0.73</v>
      </c>
      <c r="Z251" s="1">
        <f>value(IFERROR(SUBSTITUTE(SUBSTITUTE(VLOOKUP(A251,'Quarterly Pipeline vs Target Pi'!A:G,7,false)," $","")," €",""), "")
)</f>
        <v>0</v>
      </c>
      <c r="AA251" s="17" t="str">
        <f t="shared" si="9"/>
        <v/>
      </c>
      <c r="AB251" s="1">
        <f>value(IFERROR(SUBSTITUTE(SUBSTITUTE(VLOOKUP($A251,'Quarterly Pipeline vs Target Pi'!$A:$V,11,false)," $","")," €",""), "")
)</f>
        <v>5.85</v>
      </c>
      <c r="AC251" s="1">
        <f>value(IFERROR(SUBSTITUTE(SUBSTITUTE(VLOOKUP($A251,'Quarterly Pipeline vs Target Pi'!$A:$V,12,false)," $","")," €",""), "")
)</f>
        <v>178.29</v>
      </c>
      <c r="AD251" s="17">
        <f t="shared" si="10"/>
        <v>0.03281171126</v>
      </c>
      <c r="AE251" s="1">
        <f>value(IFERROR(SUBSTITUTE(SUBSTITUTE(VLOOKUP($A251,'Quarterly Pipeline vs Target Pi'!$A:$V,16,false)," $","")," €",""), "")
)</f>
        <v>6.57</v>
      </c>
      <c r="AF251" s="1">
        <f>value(IFERROR(SUBSTITUTE(SUBSTITUTE(VLOOKUP($A251,'Quarterly Pipeline vs Target Pi'!$A:$V,17,false)," $","")," €",""), "")
)</f>
        <v>178.29</v>
      </c>
      <c r="AG251" s="17">
        <f t="shared" si="11"/>
        <v>0.03685007572</v>
      </c>
      <c r="AH251" s="1">
        <f>value(IFERROR(SUBSTITUTE(SUBSTITUTE(VLOOKUP($A251,'Quarterly Pipeline vs Target Pi'!$A:$V,21,false)," $","")," €",""), "")
)</f>
        <v>41.71</v>
      </c>
      <c r="AI251" s="1">
        <f>value(IFERROR(SUBSTITUTE(SUBSTITUTE(VLOOKUP($A251,'Quarterly Pipeline vs Target Pi'!$A:$V,22,false)," $","")," €",""), "")
)</f>
        <v>178.29</v>
      </c>
      <c r="AJ251" s="17">
        <f t="shared" si="12"/>
        <v>0.2339446968</v>
      </c>
      <c r="AK251" s="1">
        <f t="shared" ref="AK251:AL251" si="515">sum(Y251,AB251,AE251,AH251)</f>
        <v>54.86</v>
      </c>
      <c r="AL251" s="1">
        <f t="shared" si="515"/>
        <v>534.87</v>
      </c>
      <c r="AM251" s="17">
        <f t="shared" si="14"/>
        <v>0.1025669789</v>
      </c>
      <c r="AN251" s="1">
        <f>value(IFERROR(SUBSTITUTE(SUBSTITUTE(VLOOKUP($A251,'Quarterly Pipeline vs Target Pi'!$A:$AP,26,false)," $","")," €",""), "")
)</f>
        <v>0.72</v>
      </c>
      <c r="AO251" s="1">
        <f>value(IFERROR(SUBSTITUTE(SUBSTITUTE(VLOOKUP($A251,'Quarterly Pipeline vs Target Pi'!$A:$AP,27,false)," $","")," €",""), "")
)</f>
        <v>0</v>
      </c>
      <c r="AP251" s="17" t="str">
        <f t="shared" si="15"/>
        <v/>
      </c>
      <c r="AQ251" s="1">
        <f>value(IFERROR(SUBSTITUTE(SUBSTITUTE(VLOOKUP($A251,'Quarterly Pipeline vs Target Pi'!$A:$AP,31,false)," $","")," €",""), "")
)</f>
        <v>13</v>
      </c>
      <c r="AR251" s="1">
        <f>value(IFERROR(SUBSTITUTE(SUBSTITUTE(VLOOKUP($A251,'Quarterly Pipeline vs Target Pi'!$A:$AP,32,false)," $","")," €",""), "")
)</f>
        <v>0</v>
      </c>
      <c r="AS251" s="17" t="str">
        <f t="shared" si="16"/>
        <v/>
      </c>
      <c r="AT251" s="1">
        <f>value(IFERROR(SUBSTITUTE(SUBSTITUTE(VLOOKUP($A251,'Quarterly Pipeline vs Target Pi'!$A:$AP,36,false)," $","")," €",""), "")
)</f>
        <v>0</v>
      </c>
      <c r="AU251" s="1">
        <f>value(IFERROR(SUBSTITUTE(SUBSTITUTE(VLOOKUP($A251,'Quarterly Pipeline vs Target Pi'!$A:$AP,37,false)," $","")," €",""), "")
)</f>
        <v>0</v>
      </c>
      <c r="AV251" s="17" t="str">
        <f t="shared" si="17"/>
        <v/>
      </c>
      <c r="AW251" s="1">
        <f>value(IFERROR(SUBSTITUTE(SUBSTITUTE(VLOOKUP($A251,'Quarterly Pipeline vs Target Pi'!$A:$AP,41,false)," $","")," €",""), "")
)</f>
        <v>0</v>
      </c>
      <c r="AX251" s="1">
        <f>value(IFERROR(SUBSTITUTE(SUBSTITUTE(VLOOKUP($A251,'Quarterly Pipeline vs Target Pi'!$A:$AP,42,false)," $","")," €",""), "")
)</f>
        <v>0</v>
      </c>
      <c r="AY251" s="17" t="str">
        <f t="shared" si="18"/>
        <v/>
      </c>
      <c r="AZ251" s="1">
        <f t="shared" ref="AZ251:BA251" si="516">sum(AN251,AQ251,AT251,AW251)</f>
        <v>13.72</v>
      </c>
      <c r="BA251" s="1">
        <f t="shared" si="516"/>
        <v>0</v>
      </c>
      <c r="BB251" s="17" t="str">
        <f t="shared" si="20"/>
        <v/>
      </c>
    </row>
    <row r="252">
      <c r="A252" s="1" t="str">
        <f>IFERROR(__xludf.DUMMYFUNCTION("""COMPUTED_VALUE"""),"63fcbb7ea107c871cf5646a7")</f>
        <v>63fcbb7ea107c871cf5646a7</v>
      </c>
      <c r="B252" s="1" t="str">
        <f>IFERROR(__xludf.DUMMYFUNCTION("""COMPUTED_VALUE"""),"Jacob Elektronik GmbH")</f>
        <v>Jacob Elektronik GmbH</v>
      </c>
      <c r="C252" s="1" t="str">
        <f>IFERROR(__xludf.DUMMYFUNCTION("""COMPUTED_VALUE"""),"michael.moog@al-enterprise.com")</f>
        <v>michael.moog@al-enterprise.com</v>
      </c>
      <c r="D252" s="1" t="str">
        <f>IFERROR(__xludf.DUMMYFUNCTION("""COMPUTED_VALUE"""),"germany")</f>
        <v>germany</v>
      </c>
      <c r="E252" s="1" t="str">
        <f>IFERROR(__xludf.DUMMYFUNCTION("""COMPUTED_VALUE"""),"DE")</f>
        <v>DE</v>
      </c>
      <c r="F252" s="1"/>
      <c r="G252" s="1" t="str">
        <f>iferror(VLOOKUP(A252,'Business Plan Setup and Accepta'!A:G,6,false),"")</f>
        <v/>
      </c>
      <c r="H252" s="1" t="str">
        <f>iferror(VLOOKUP(A252,'Business Plan Setup and Accepta'!A:G,7,false),"")</f>
        <v/>
      </c>
      <c r="I252" s="17" t="str">
        <f t="shared" si="3"/>
        <v/>
      </c>
      <c r="J252" s="1" t="str">
        <f>IFERROR(VALUE(SUBSTITUTE(VLOOKUP(A252,'Sales IN Revenues vs Sales targ'!A:G,6,false)," $","")), "")
</f>
        <v/>
      </c>
      <c r="K252" s="1" t="str">
        <f>IFERROR(VALUE(SUBSTITUTE(VLOOKUP(A252,'Sales IN Revenues vs Sales targ'!A:G,7,false)," $","")), "")
</f>
        <v/>
      </c>
      <c r="L252" s="17" t="str">
        <f t="shared" si="4"/>
        <v/>
      </c>
      <c r="M252" s="1">
        <f>value(SUBSTITUTE(IFERROR(VLOOKUP(A252,'Certifications achievements vs '!A:G,6,false),""),"#","")
)</f>
        <v>0</v>
      </c>
      <c r="N252" s="1">
        <f>value(SUBSTITUTE(IFERROR(VLOOKUP(A252,'Certifications achievements vs '!A:G,7,false),""),"#","")
)</f>
        <v>0</v>
      </c>
      <c r="O252" s="17" t="str">
        <f t="shared" si="5"/>
        <v/>
      </c>
      <c r="P252" s="1">
        <f>value(SUBSTITUTE(IFERROR(VLOOKUP(A252,'Communications - Solution Speci'!A:G,6,false),""),"#","")
)</f>
        <v>0</v>
      </c>
      <c r="Q252" s="1">
        <f>value(SUBSTITUTE(IFERROR(VLOOKUP(A252,'Communications - Solution Speci'!A:G,7,false),""),"#","")
)</f>
        <v>0</v>
      </c>
      <c r="R252" s="17" t="str">
        <f t="shared" si="6"/>
        <v/>
      </c>
      <c r="S252" s="1">
        <f>value(SUBSTITUTE(IFERROR(VLOOKUP(A252,'Networking - Solution Specializ'!A:G,6,false),""),"#","")
)</f>
        <v>0</v>
      </c>
      <c r="T252" s="1">
        <f>value(SUBSTITUTE(IFERROR(VLOOKUP(A252,'Networking - Solution Specializ'!A:G,7,false),""),"#","")
)</f>
        <v>0</v>
      </c>
      <c r="U252" s="17" t="str">
        <f t="shared" si="7"/>
        <v/>
      </c>
      <c r="V252" s="1" t="str">
        <f>iferror(vlookup(A252,'Marketing Plan (extract summary'!A:G,6,false),"")</f>
        <v/>
      </c>
      <c r="W252" s="1" t="str">
        <f>iferror(vlookup(A252,'Marketing Plan (extract summary'!A:G,7,false),"")</f>
        <v/>
      </c>
      <c r="X252" s="17" t="str">
        <f t="shared" si="8"/>
        <v/>
      </c>
      <c r="Y252" s="1">
        <f>value(IFERROR(SUBSTITUTE(SUBSTITUTE(VLOOKUP(A252,'Quarterly Pipeline vs Target Pi'!A:G,6,false)," $","")," €",""), "")
)</f>
        <v>0</v>
      </c>
      <c r="Z252" s="1">
        <f>value(IFERROR(SUBSTITUTE(SUBSTITUTE(VLOOKUP(A252,'Quarterly Pipeline vs Target Pi'!A:G,7,false)," $","")," €",""), "")
)</f>
        <v>0</v>
      </c>
      <c r="AA252" s="17" t="str">
        <f t="shared" si="9"/>
        <v/>
      </c>
      <c r="AB252" s="1">
        <f>value(IFERROR(SUBSTITUTE(SUBSTITUTE(VLOOKUP($A252,'Quarterly Pipeline vs Target Pi'!$A:$V,11,false)," $","")," €",""), "")
)</f>
        <v>0</v>
      </c>
      <c r="AC252" s="1">
        <f>value(IFERROR(SUBSTITUTE(SUBSTITUTE(VLOOKUP($A252,'Quarterly Pipeline vs Target Pi'!$A:$V,12,false)," $","")," €",""), "")
)</f>
        <v>0</v>
      </c>
      <c r="AD252" s="17" t="str">
        <f t="shared" si="10"/>
        <v/>
      </c>
      <c r="AE252" s="1">
        <f>value(IFERROR(SUBSTITUTE(SUBSTITUTE(VLOOKUP($A252,'Quarterly Pipeline vs Target Pi'!$A:$V,16,false)," $","")," €",""), "")
)</f>
        <v>0</v>
      </c>
      <c r="AF252" s="1">
        <f>value(IFERROR(SUBSTITUTE(SUBSTITUTE(VLOOKUP($A252,'Quarterly Pipeline vs Target Pi'!$A:$V,17,false)," $","")," €",""), "")
)</f>
        <v>0</v>
      </c>
      <c r="AG252" s="17" t="str">
        <f t="shared" si="11"/>
        <v/>
      </c>
      <c r="AH252" s="1">
        <f>value(IFERROR(SUBSTITUTE(SUBSTITUTE(VLOOKUP($A252,'Quarterly Pipeline vs Target Pi'!$A:$V,21,false)," $","")," €",""), "")
)</f>
        <v>0</v>
      </c>
      <c r="AI252" s="1">
        <f>value(IFERROR(SUBSTITUTE(SUBSTITUTE(VLOOKUP($A252,'Quarterly Pipeline vs Target Pi'!$A:$V,22,false)," $","")," €",""), "")
)</f>
        <v>0</v>
      </c>
      <c r="AJ252" s="17" t="str">
        <f t="shared" si="12"/>
        <v/>
      </c>
      <c r="AK252" s="1">
        <f t="shared" ref="AK252:AL252" si="517">sum(Y252,AB252,AE252,AH252)</f>
        <v>0</v>
      </c>
      <c r="AL252" s="1">
        <f t="shared" si="517"/>
        <v>0</v>
      </c>
      <c r="AM252" s="17" t="str">
        <f t="shared" si="14"/>
        <v/>
      </c>
      <c r="AN252" s="1">
        <f>value(IFERROR(SUBSTITUTE(SUBSTITUTE(VLOOKUP($A252,'Quarterly Pipeline vs Target Pi'!$A:$AP,26,false)," $","")," €",""), "")
)</f>
        <v>0</v>
      </c>
      <c r="AO252" s="1">
        <f>value(IFERROR(SUBSTITUTE(SUBSTITUTE(VLOOKUP($A252,'Quarterly Pipeline vs Target Pi'!$A:$AP,27,false)," $","")," €",""), "")
)</f>
        <v>0</v>
      </c>
      <c r="AP252" s="17" t="str">
        <f t="shared" si="15"/>
        <v/>
      </c>
      <c r="AQ252" s="1">
        <f>value(IFERROR(SUBSTITUTE(SUBSTITUTE(VLOOKUP($A252,'Quarterly Pipeline vs Target Pi'!$A:$AP,31,false)," $","")," €",""), "")
)</f>
        <v>0</v>
      </c>
      <c r="AR252" s="1">
        <f>value(IFERROR(SUBSTITUTE(SUBSTITUTE(VLOOKUP($A252,'Quarterly Pipeline vs Target Pi'!$A:$AP,32,false)," $","")," €",""), "")
)</f>
        <v>0</v>
      </c>
      <c r="AS252" s="17" t="str">
        <f t="shared" si="16"/>
        <v/>
      </c>
      <c r="AT252" s="1">
        <f>value(IFERROR(SUBSTITUTE(SUBSTITUTE(VLOOKUP($A252,'Quarterly Pipeline vs Target Pi'!$A:$AP,36,false)," $","")," €",""), "")
)</f>
        <v>0</v>
      </c>
      <c r="AU252" s="1">
        <f>value(IFERROR(SUBSTITUTE(SUBSTITUTE(VLOOKUP($A252,'Quarterly Pipeline vs Target Pi'!$A:$AP,37,false)," $","")," €",""), "")
)</f>
        <v>0</v>
      </c>
      <c r="AV252" s="17" t="str">
        <f t="shared" si="17"/>
        <v/>
      </c>
      <c r="AW252" s="1">
        <f>value(IFERROR(SUBSTITUTE(SUBSTITUTE(VLOOKUP($A252,'Quarterly Pipeline vs Target Pi'!$A:$AP,41,false)," $","")," €",""), "")
)</f>
        <v>0</v>
      </c>
      <c r="AX252" s="1">
        <f>value(IFERROR(SUBSTITUTE(SUBSTITUTE(VLOOKUP($A252,'Quarterly Pipeline vs Target Pi'!$A:$AP,42,false)," $","")," €",""), "")
)</f>
        <v>0</v>
      </c>
      <c r="AY252" s="17" t="str">
        <f t="shared" si="18"/>
        <v/>
      </c>
      <c r="AZ252" s="1">
        <f t="shared" ref="AZ252:BA252" si="518">sum(AN252,AQ252,AT252,AW252)</f>
        <v>0</v>
      </c>
      <c r="BA252" s="1">
        <f t="shared" si="518"/>
        <v>0</v>
      </c>
      <c r="BB252" s="17" t="str">
        <f t="shared" si="20"/>
        <v/>
      </c>
    </row>
    <row r="253">
      <c r="A253" s="1" t="str">
        <f>IFERROR(__xludf.DUMMYFUNCTION("""COMPUTED_VALUE"""),"63ea6e9652ad6968805cef4f")</f>
        <v>63ea6e9652ad6968805cef4f</v>
      </c>
      <c r="B253" s="18" t="str">
        <f>IFERROR(__xludf.DUMMYFUNCTION("""COMPUTED_VALUE"""),"Jarrath.com")</f>
        <v>Jarrath.com</v>
      </c>
      <c r="C253" s="1" t="str">
        <f>IFERROR(__xludf.DUMMYFUNCTION("""COMPUTED_VALUE"""),"andreas.grossheimann@al-enterprise.com, andre.ramm@al-enterprise.com")</f>
        <v>andreas.grossheimann@al-enterprise.com, andre.ramm@al-enterprise.com</v>
      </c>
      <c r="D253" s="1" t="str">
        <f>IFERROR(__xludf.DUMMYFUNCTION("""COMPUTED_VALUE"""),"germany")</f>
        <v>germany</v>
      </c>
      <c r="E253" s="1" t="str">
        <f>IFERROR(__xludf.DUMMYFUNCTION("""COMPUTED_VALUE"""),"DE")</f>
        <v>DE</v>
      </c>
      <c r="F253" s="1"/>
      <c r="G253" s="1" t="str">
        <f>iferror(VLOOKUP(A253,'Business Plan Setup and Accepta'!A:G,6,false),"")</f>
        <v/>
      </c>
      <c r="H253" s="1" t="str">
        <f>iferror(VLOOKUP(A253,'Business Plan Setup and Accepta'!A:G,7,false),"")</f>
        <v/>
      </c>
      <c r="I253" s="17" t="str">
        <f t="shared" si="3"/>
        <v/>
      </c>
      <c r="J253" s="1" t="str">
        <f>IFERROR(VALUE(SUBSTITUTE(VLOOKUP(A253,'Sales IN Revenues vs Sales targ'!A:G,6,false)," $","")), "")
</f>
        <v/>
      </c>
      <c r="K253" s="1" t="str">
        <f>IFERROR(VALUE(SUBSTITUTE(VLOOKUP(A253,'Sales IN Revenues vs Sales targ'!A:G,7,false)," $","")), "")
</f>
        <v/>
      </c>
      <c r="L253" s="17" t="str">
        <f t="shared" si="4"/>
        <v/>
      </c>
      <c r="M253" s="1">
        <f>value(SUBSTITUTE(IFERROR(VLOOKUP(A253,'Certifications achievements vs '!A:G,6,false),""),"#","")
)</f>
        <v>0</v>
      </c>
      <c r="N253" s="1">
        <f>value(SUBSTITUTE(IFERROR(VLOOKUP(A253,'Certifications achievements vs '!A:G,7,false),""),"#","")
)</f>
        <v>0</v>
      </c>
      <c r="O253" s="17" t="str">
        <f t="shared" si="5"/>
        <v/>
      </c>
      <c r="P253" s="1">
        <f>value(SUBSTITUTE(IFERROR(VLOOKUP(A253,'Communications - Solution Speci'!A:G,6,false),""),"#","")
)</f>
        <v>0</v>
      </c>
      <c r="Q253" s="1">
        <f>value(SUBSTITUTE(IFERROR(VLOOKUP(A253,'Communications - Solution Speci'!A:G,7,false),""),"#","")
)</f>
        <v>0</v>
      </c>
      <c r="R253" s="17" t="str">
        <f t="shared" si="6"/>
        <v/>
      </c>
      <c r="S253" s="1">
        <f>value(SUBSTITUTE(IFERROR(VLOOKUP(A253,'Networking - Solution Specializ'!A:G,6,false),""),"#","")
)</f>
        <v>0</v>
      </c>
      <c r="T253" s="1">
        <f>value(SUBSTITUTE(IFERROR(VLOOKUP(A253,'Networking - Solution Specializ'!A:G,7,false),""),"#","")
)</f>
        <v>0</v>
      </c>
      <c r="U253" s="17" t="str">
        <f t="shared" si="7"/>
        <v/>
      </c>
      <c r="V253" s="1" t="str">
        <f>iferror(vlookup(A253,'Marketing Plan (extract summary'!A:G,6,false),"")</f>
        <v/>
      </c>
      <c r="W253" s="1" t="str">
        <f>iferror(vlookup(A253,'Marketing Plan (extract summary'!A:G,7,false),"")</f>
        <v/>
      </c>
      <c r="X253" s="17" t="str">
        <f t="shared" si="8"/>
        <v/>
      </c>
      <c r="Y253" s="1">
        <f>value(IFERROR(SUBSTITUTE(SUBSTITUTE(VLOOKUP(A253,'Quarterly Pipeline vs Target Pi'!A:G,6,false)," $","")," €",""), "")
)</f>
        <v>0</v>
      </c>
      <c r="Z253" s="1">
        <f>value(IFERROR(SUBSTITUTE(SUBSTITUTE(VLOOKUP(A253,'Quarterly Pipeline vs Target Pi'!A:G,7,false)," $","")," €",""), "")
)</f>
        <v>0</v>
      </c>
      <c r="AA253" s="17" t="str">
        <f t="shared" si="9"/>
        <v/>
      </c>
      <c r="AB253" s="1">
        <f>value(IFERROR(SUBSTITUTE(SUBSTITUTE(VLOOKUP($A253,'Quarterly Pipeline vs Target Pi'!$A:$V,11,false)," $","")," €",""), "")
)</f>
        <v>0</v>
      </c>
      <c r="AC253" s="1">
        <f>value(IFERROR(SUBSTITUTE(SUBSTITUTE(VLOOKUP($A253,'Quarterly Pipeline vs Target Pi'!$A:$V,12,false)," $","")," €",""), "")
)</f>
        <v>0</v>
      </c>
      <c r="AD253" s="17" t="str">
        <f t="shared" si="10"/>
        <v/>
      </c>
      <c r="AE253" s="1">
        <f>value(IFERROR(SUBSTITUTE(SUBSTITUTE(VLOOKUP($A253,'Quarterly Pipeline vs Target Pi'!$A:$V,16,false)," $","")," €",""), "")
)</f>
        <v>0</v>
      </c>
      <c r="AF253" s="1">
        <f>value(IFERROR(SUBSTITUTE(SUBSTITUTE(VLOOKUP($A253,'Quarterly Pipeline vs Target Pi'!$A:$V,17,false)," $","")," €",""), "")
)</f>
        <v>0</v>
      </c>
      <c r="AG253" s="17" t="str">
        <f t="shared" si="11"/>
        <v/>
      </c>
      <c r="AH253" s="1">
        <f>value(IFERROR(SUBSTITUTE(SUBSTITUTE(VLOOKUP($A253,'Quarterly Pipeline vs Target Pi'!$A:$V,21,false)," $","")," €",""), "")
)</f>
        <v>0</v>
      </c>
      <c r="AI253" s="1">
        <f>value(IFERROR(SUBSTITUTE(SUBSTITUTE(VLOOKUP($A253,'Quarterly Pipeline vs Target Pi'!$A:$V,22,false)," $","")," €",""), "")
)</f>
        <v>0</v>
      </c>
      <c r="AJ253" s="17" t="str">
        <f t="shared" si="12"/>
        <v/>
      </c>
      <c r="AK253" s="1">
        <f t="shared" ref="AK253:AL253" si="519">sum(Y253,AB253,AE253,AH253)</f>
        <v>0</v>
      </c>
      <c r="AL253" s="1">
        <f t="shared" si="519"/>
        <v>0</v>
      </c>
      <c r="AM253" s="17" t="str">
        <f t="shared" si="14"/>
        <v/>
      </c>
      <c r="AN253" s="1">
        <f>value(IFERROR(SUBSTITUTE(SUBSTITUTE(VLOOKUP($A253,'Quarterly Pipeline vs Target Pi'!$A:$AP,26,false)," $","")," €",""), "")
)</f>
        <v>0</v>
      </c>
      <c r="AO253" s="1">
        <f>value(IFERROR(SUBSTITUTE(SUBSTITUTE(VLOOKUP($A253,'Quarterly Pipeline vs Target Pi'!$A:$AP,27,false)," $","")," €",""), "")
)</f>
        <v>0</v>
      </c>
      <c r="AP253" s="17" t="str">
        <f t="shared" si="15"/>
        <v/>
      </c>
      <c r="AQ253" s="1">
        <f>value(IFERROR(SUBSTITUTE(SUBSTITUTE(VLOOKUP($A253,'Quarterly Pipeline vs Target Pi'!$A:$AP,31,false)," $","")," €",""), "")
)</f>
        <v>0</v>
      </c>
      <c r="AR253" s="1">
        <f>value(IFERROR(SUBSTITUTE(SUBSTITUTE(VLOOKUP($A253,'Quarterly Pipeline vs Target Pi'!$A:$AP,32,false)," $","")," €",""), "")
)</f>
        <v>0</v>
      </c>
      <c r="AS253" s="17" t="str">
        <f t="shared" si="16"/>
        <v/>
      </c>
      <c r="AT253" s="1">
        <f>value(IFERROR(SUBSTITUTE(SUBSTITUTE(VLOOKUP($A253,'Quarterly Pipeline vs Target Pi'!$A:$AP,36,false)," $","")," €",""), "")
)</f>
        <v>0</v>
      </c>
      <c r="AU253" s="1">
        <f>value(IFERROR(SUBSTITUTE(SUBSTITUTE(VLOOKUP($A253,'Quarterly Pipeline vs Target Pi'!$A:$AP,37,false)," $","")," €",""), "")
)</f>
        <v>0</v>
      </c>
      <c r="AV253" s="17" t="str">
        <f t="shared" si="17"/>
        <v/>
      </c>
      <c r="AW253" s="1">
        <f>value(IFERROR(SUBSTITUTE(SUBSTITUTE(VLOOKUP($A253,'Quarterly Pipeline vs Target Pi'!$A:$AP,41,false)," $","")," €",""), "")
)</f>
        <v>0</v>
      </c>
      <c r="AX253" s="1">
        <f>value(IFERROR(SUBSTITUTE(SUBSTITUTE(VLOOKUP($A253,'Quarterly Pipeline vs Target Pi'!$A:$AP,42,false)," $","")," €",""), "")
)</f>
        <v>0</v>
      </c>
      <c r="AY253" s="17" t="str">
        <f t="shared" si="18"/>
        <v/>
      </c>
      <c r="AZ253" s="1">
        <f t="shared" ref="AZ253:BA253" si="520">sum(AN253,AQ253,AT253,AW253)</f>
        <v>0</v>
      </c>
      <c r="BA253" s="1">
        <f t="shared" si="520"/>
        <v>0</v>
      </c>
      <c r="BB253" s="17" t="str">
        <f t="shared" si="20"/>
        <v/>
      </c>
    </row>
    <row r="254">
      <c r="A254" s="1" t="str">
        <f>IFERROR(__xludf.DUMMYFUNCTION("""COMPUTED_VALUE"""),"62a8808bd600031ebc100c89")</f>
        <v>62a8808bd600031ebc100c89</v>
      </c>
      <c r="B254" s="1" t="str">
        <f>IFERROR(__xludf.DUMMYFUNCTION("""COMPUTED_VALUE"""),"Jay Kay Systems Consulting Inc")</f>
        <v>Jay Kay Systems Consulting Inc</v>
      </c>
      <c r="C254" s="1" t="str">
        <f>IFERROR(__xludf.DUMMYFUNCTION("""COMPUTED_VALUE"""),"rui.silva@al-enterprise.com, margret.moyle@al-enterprise.com, charlotte.holtzer@al-enterprise.com")</f>
        <v>rui.silva@al-enterprise.com, margret.moyle@al-enterprise.com, charlotte.holtzer@al-enterprise.com</v>
      </c>
      <c r="D254" s="1" t="str">
        <f>IFERROR(__xludf.DUMMYFUNCTION("""COMPUTED_VALUE"""),"americas")</f>
        <v>americas</v>
      </c>
      <c r="E254" s="1" t="str">
        <f>IFERROR(__xludf.DUMMYFUNCTION("""COMPUTED_VALUE"""),"CA")</f>
        <v>CA</v>
      </c>
      <c r="F254" s="1"/>
      <c r="G254" s="1" t="str">
        <f>iferror(VLOOKUP(A254,'Business Plan Setup and Accepta'!A:G,6,false),"")</f>
        <v/>
      </c>
      <c r="H254" s="1" t="str">
        <f>iferror(VLOOKUP(A254,'Business Plan Setup and Accepta'!A:G,7,false),"")</f>
        <v/>
      </c>
      <c r="I254" s="17" t="str">
        <f t="shared" si="3"/>
        <v/>
      </c>
      <c r="J254" s="1" t="str">
        <f>IFERROR(VALUE(SUBSTITUTE(VLOOKUP(A254,'Sales IN Revenues vs Sales targ'!A:G,6,false)," $","")), "")
</f>
        <v/>
      </c>
      <c r="K254" s="1" t="str">
        <f>IFERROR(VALUE(SUBSTITUTE(VLOOKUP(A254,'Sales IN Revenues vs Sales targ'!A:G,7,false)," $","")), "")
</f>
        <v/>
      </c>
      <c r="L254" s="17" t="str">
        <f t="shared" si="4"/>
        <v/>
      </c>
      <c r="M254" s="1">
        <f>value(SUBSTITUTE(IFERROR(VLOOKUP(A254,'Certifications achievements vs '!A:G,6,false),""),"#","")
)</f>
        <v>8</v>
      </c>
      <c r="N254" s="1">
        <f>value(SUBSTITUTE(IFERROR(VLOOKUP(A254,'Certifications achievements vs '!A:G,7,false),""),"#","")
)</f>
        <v>0</v>
      </c>
      <c r="O254" s="17" t="str">
        <f t="shared" si="5"/>
        <v/>
      </c>
      <c r="P254" s="1">
        <f>value(SUBSTITUTE(IFERROR(VLOOKUP(A254,'Communications - Solution Speci'!A:G,6,false),""),"#","")
)</f>
        <v>0</v>
      </c>
      <c r="Q254" s="1">
        <f>value(SUBSTITUTE(IFERROR(VLOOKUP(A254,'Communications - Solution Speci'!A:G,7,false),""),"#","")
)</f>
        <v>0</v>
      </c>
      <c r="R254" s="17" t="str">
        <f t="shared" si="6"/>
        <v/>
      </c>
      <c r="S254" s="1">
        <f>value(SUBSTITUTE(IFERROR(VLOOKUP(A254,'Networking - Solution Specializ'!A:G,6,false),""),"#","")
)</f>
        <v>0</v>
      </c>
      <c r="T254" s="1">
        <f>value(SUBSTITUTE(IFERROR(VLOOKUP(A254,'Networking - Solution Specializ'!A:G,7,false),""),"#","")
)</f>
        <v>0</v>
      </c>
      <c r="U254" s="17" t="str">
        <f t="shared" si="7"/>
        <v/>
      </c>
      <c r="V254" s="1" t="str">
        <f>iferror(vlookup(A254,'Marketing Plan (extract summary'!A:G,6,false),"")</f>
        <v/>
      </c>
      <c r="W254" s="1" t="str">
        <f>iferror(vlookup(A254,'Marketing Plan (extract summary'!A:G,7,false),"")</f>
        <v/>
      </c>
      <c r="X254" s="17" t="str">
        <f t="shared" si="8"/>
        <v/>
      </c>
      <c r="Y254" s="1">
        <f>value(IFERROR(SUBSTITUTE(SUBSTITUTE(VLOOKUP(A254,'Quarterly Pipeline vs Target Pi'!A:G,6,false)," $","")," €",""), "")
)</f>
        <v>0</v>
      </c>
      <c r="Z254" s="1">
        <f>value(IFERROR(SUBSTITUTE(SUBSTITUTE(VLOOKUP(A254,'Quarterly Pipeline vs Target Pi'!A:G,7,false)," $","")," €",""), "")
)</f>
        <v>0</v>
      </c>
      <c r="AA254" s="17" t="str">
        <f t="shared" si="9"/>
        <v/>
      </c>
      <c r="AB254" s="1">
        <f>value(IFERROR(SUBSTITUTE(SUBSTITUTE(VLOOKUP($A254,'Quarterly Pipeline vs Target Pi'!$A:$V,11,false)," $","")," €",""), "")
)</f>
        <v>0</v>
      </c>
      <c r="AC254" s="1">
        <f>value(IFERROR(SUBSTITUTE(SUBSTITUTE(VLOOKUP($A254,'Quarterly Pipeline vs Target Pi'!$A:$V,12,false)," $","")," €",""), "")
)</f>
        <v>0</v>
      </c>
      <c r="AD254" s="17" t="str">
        <f t="shared" si="10"/>
        <v/>
      </c>
      <c r="AE254" s="1">
        <f>value(IFERROR(SUBSTITUTE(SUBSTITUTE(VLOOKUP($A254,'Quarterly Pipeline vs Target Pi'!$A:$V,16,false)," $","")," €",""), "")
)</f>
        <v>0</v>
      </c>
      <c r="AF254" s="1">
        <f>value(IFERROR(SUBSTITUTE(SUBSTITUTE(VLOOKUP($A254,'Quarterly Pipeline vs Target Pi'!$A:$V,17,false)," $","")," €",""), "")
)</f>
        <v>0</v>
      </c>
      <c r="AG254" s="17" t="str">
        <f t="shared" si="11"/>
        <v/>
      </c>
      <c r="AH254" s="1">
        <f>value(IFERROR(SUBSTITUTE(SUBSTITUTE(VLOOKUP($A254,'Quarterly Pipeline vs Target Pi'!$A:$V,21,false)," $","")," €",""), "")
)</f>
        <v>0</v>
      </c>
      <c r="AI254" s="1">
        <f>value(IFERROR(SUBSTITUTE(SUBSTITUTE(VLOOKUP($A254,'Quarterly Pipeline vs Target Pi'!$A:$V,22,false)," $","")," €",""), "")
)</f>
        <v>0</v>
      </c>
      <c r="AJ254" s="17" t="str">
        <f t="shared" si="12"/>
        <v/>
      </c>
      <c r="AK254" s="1">
        <f t="shared" ref="AK254:AL254" si="521">sum(Y254,AB254,AE254,AH254)</f>
        <v>0</v>
      </c>
      <c r="AL254" s="1">
        <f t="shared" si="521"/>
        <v>0</v>
      </c>
      <c r="AM254" s="17" t="str">
        <f t="shared" si="14"/>
        <v/>
      </c>
      <c r="AN254" s="1">
        <f>value(IFERROR(SUBSTITUTE(SUBSTITUTE(VLOOKUP($A254,'Quarterly Pipeline vs Target Pi'!$A:$AP,26,false)," $","")," €",""), "")
)</f>
        <v>0</v>
      </c>
      <c r="AO254" s="1">
        <f>value(IFERROR(SUBSTITUTE(SUBSTITUTE(VLOOKUP($A254,'Quarterly Pipeline vs Target Pi'!$A:$AP,27,false)," $","")," €",""), "")
)</f>
        <v>0</v>
      </c>
      <c r="AP254" s="17" t="str">
        <f t="shared" si="15"/>
        <v/>
      </c>
      <c r="AQ254" s="1">
        <f>value(IFERROR(SUBSTITUTE(SUBSTITUTE(VLOOKUP($A254,'Quarterly Pipeline vs Target Pi'!$A:$AP,31,false)," $","")," €",""), "")
)</f>
        <v>0</v>
      </c>
      <c r="AR254" s="1">
        <f>value(IFERROR(SUBSTITUTE(SUBSTITUTE(VLOOKUP($A254,'Quarterly Pipeline vs Target Pi'!$A:$AP,32,false)," $","")," €",""), "")
)</f>
        <v>0</v>
      </c>
      <c r="AS254" s="17" t="str">
        <f t="shared" si="16"/>
        <v/>
      </c>
      <c r="AT254" s="1">
        <f>value(IFERROR(SUBSTITUTE(SUBSTITUTE(VLOOKUP($A254,'Quarterly Pipeline vs Target Pi'!$A:$AP,36,false)," $","")," €",""), "")
)</f>
        <v>0</v>
      </c>
      <c r="AU254" s="1">
        <f>value(IFERROR(SUBSTITUTE(SUBSTITUTE(VLOOKUP($A254,'Quarterly Pipeline vs Target Pi'!$A:$AP,37,false)," $","")," €",""), "")
)</f>
        <v>0</v>
      </c>
      <c r="AV254" s="17" t="str">
        <f t="shared" si="17"/>
        <v/>
      </c>
      <c r="AW254" s="1">
        <f>value(IFERROR(SUBSTITUTE(SUBSTITUTE(VLOOKUP($A254,'Quarterly Pipeline vs Target Pi'!$A:$AP,41,false)," $","")," €",""), "")
)</f>
        <v>0</v>
      </c>
      <c r="AX254" s="1">
        <f>value(IFERROR(SUBSTITUTE(SUBSTITUTE(VLOOKUP($A254,'Quarterly Pipeline vs Target Pi'!$A:$AP,42,false)," $","")," €",""), "")
)</f>
        <v>0</v>
      </c>
      <c r="AY254" s="17" t="str">
        <f t="shared" si="18"/>
        <v/>
      </c>
      <c r="AZ254" s="1">
        <f t="shared" ref="AZ254:BA254" si="522">sum(AN254,AQ254,AT254,AW254)</f>
        <v>0</v>
      </c>
      <c r="BA254" s="1">
        <f t="shared" si="522"/>
        <v>0</v>
      </c>
      <c r="BB254" s="17" t="str">
        <f t="shared" si="20"/>
        <v/>
      </c>
    </row>
    <row r="255">
      <c r="A255" s="1" t="str">
        <f>IFERROR(__xludf.DUMMYFUNCTION("""COMPUTED_VALUE"""),"63ea6e9552ad6968805cedff")</f>
        <v>63ea6e9552ad6968805cedff</v>
      </c>
      <c r="B255" s="1" t="str">
        <f>IFERROR(__xludf.DUMMYFUNCTION("""COMPUTED_VALUE"""),"JEKOM GmbH")</f>
        <v>JEKOM GmbH</v>
      </c>
      <c r="C255" s="1" t="str">
        <f>IFERROR(__xludf.DUMMYFUNCTION("""COMPUTED_VALUE"""),"andreas.grossheimann@al-enterprise.com, andre.ramm@al-enterprise.com")</f>
        <v>andreas.grossheimann@al-enterprise.com, andre.ramm@al-enterprise.com</v>
      </c>
      <c r="D255" s="1" t="str">
        <f>IFERROR(__xludf.DUMMYFUNCTION("""COMPUTED_VALUE"""),"germany")</f>
        <v>germany</v>
      </c>
      <c r="E255" s="1" t="str">
        <f>IFERROR(__xludf.DUMMYFUNCTION("""COMPUTED_VALUE"""),"DE")</f>
        <v>DE</v>
      </c>
      <c r="F255" s="1"/>
      <c r="G255" s="1" t="str">
        <f>iferror(VLOOKUP(A255,'Business Plan Setup and Accepta'!A:G,6,false),"")</f>
        <v/>
      </c>
      <c r="H255" s="1" t="str">
        <f>iferror(VLOOKUP(A255,'Business Plan Setup and Accepta'!A:G,7,false),"")</f>
        <v/>
      </c>
      <c r="I255" s="17" t="str">
        <f t="shared" si="3"/>
        <v/>
      </c>
      <c r="J255" s="1" t="str">
        <f>IFERROR(VALUE(SUBSTITUTE(VLOOKUP(A255,'Sales IN Revenues vs Sales targ'!A:G,6,false)," $","")), "")
</f>
        <v/>
      </c>
      <c r="K255" s="1" t="str">
        <f>IFERROR(VALUE(SUBSTITUTE(VLOOKUP(A255,'Sales IN Revenues vs Sales targ'!A:G,7,false)," $","")), "")
</f>
        <v/>
      </c>
      <c r="L255" s="17" t="str">
        <f t="shared" si="4"/>
        <v/>
      </c>
      <c r="M255" s="1">
        <f>value(SUBSTITUTE(IFERROR(VLOOKUP(A255,'Certifications achievements vs '!A:G,6,false),""),"#","")
)</f>
        <v>0</v>
      </c>
      <c r="N255" s="1">
        <f>value(SUBSTITUTE(IFERROR(VLOOKUP(A255,'Certifications achievements vs '!A:G,7,false),""),"#","")
)</f>
        <v>0</v>
      </c>
      <c r="O255" s="17" t="str">
        <f t="shared" si="5"/>
        <v/>
      </c>
      <c r="P255" s="1">
        <f>value(SUBSTITUTE(IFERROR(VLOOKUP(A255,'Communications - Solution Speci'!A:G,6,false),""),"#","")
)</f>
        <v>0</v>
      </c>
      <c r="Q255" s="1">
        <f>value(SUBSTITUTE(IFERROR(VLOOKUP(A255,'Communications - Solution Speci'!A:G,7,false),""),"#","")
)</f>
        <v>0</v>
      </c>
      <c r="R255" s="17" t="str">
        <f t="shared" si="6"/>
        <v/>
      </c>
      <c r="S255" s="1">
        <f>value(SUBSTITUTE(IFERROR(VLOOKUP(A255,'Networking - Solution Specializ'!A:G,6,false),""),"#","")
)</f>
        <v>0</v>
      </c>
      <c r="T255" s="1">
        <f>value(SUBSTITUTE(IFERROR(VLOOKUP(A255,'Networking - Solution Specializ'!A:G,7,false),""),"#","")
)</f>
        <v>0</v>
      </c>
      <c r="U255" s="17" t="str">
        <f t="shared" si="7"/>
        <v/>
      </c>
      <c r="V255" s="1" t="str">
        <f>iferror(vlookup(A255,'Marketing Plan (extract summary'!A:G,6,false),"")</f>
        <v/>
      </c>
      <c r="W255" s="1" t="str">
        <f>iferror(vlookup(A255,'Marketing Plan (extract summary'!A:G,7,false),"")</f>
        <v/>
      </c>
      <c r="X255" s="17" t="str">
        <f t="shared" si="8"/>
        <v/>
      </c>
      <c r="Y255" s="1">
        <f>value(IFERROR(SUBSTITUTE(SUBSTITUTE(VLOOKUP(A255,'Quarterly Pipeline vs Target Pi'!A:G,6,false)," $","")," €",""), "")
)</f>
        <v>0</v>
      </c>
      <c r="Z255" s="1">
        <f>value(IFERROR(SUBSTITUTE(SUBSTITUTE(VLOOKUP(A255,'Quarterly Pipeline vs Target Pi'!A:G,7,false)," $","")," €",""), "")
)</f>
        <v>0</v>
      </c>
      <c r="AA255" s="17" t="str">
        <f t="shared" si="9"/>
        <v/>
      </c>
      <c r="AB255" s="1">
        <f>value(IFERROR(SUBSTITUTE(SUBSTITUTE(VLOOKUP($A255,'Quarterly Pipeline vs Target Pi'!$A:$V,11,false)," $","")," €",""), "")
)</f>
        <v>0</v>
      </c>
      <c r="AC255" s="1">
        <f>value(IFERROR(SUBSTITUTE(SUBSTITUTE(VLOOKUP($A255,'Quarterly Pipeline vs Target Pi'!$A:$V,12,false)," $","")," €",""), "")
)</f>
        <v>0</v>
      </c>
      <c r="AD255" s="17" t="str">
        <f t="shared" si="10"/>
        <v/>
      </c>
      <c r="AE255" s="1">
        <f>value(IFERROR(SUBSTITUTE(SUBSTITUTE(VLOOKUP($A255,'Quarterly Pipeline vs Target Pi'!$A:$V,16,false)," $","")," €",""), "")
)</f>
        <v>0</v>
      </c>
      <c r="AF255" s="1">
        <f>value(IFERROR(SUBSTITUTE(SUBSTITUTE(VLOOKUP($A255,'Quarterly Pipeline vs Target Pi'!$A:$V,17,false)," $","")," €",""), "")
)</f>
        <v>0</v>
      </c>
      <c r="AG255" s="17" t="str">
        <f t="shared" si="11"/>
        <v/>
      </c>
      <c r="AH255" s="1">
        <f>value(IFERROR(SUBSTITUTE(SUBSTITUTE(VLOOKUP($A255,'Quarterly Pipeline vs Target Pi'!$A:$V,21,false)," $","")," €",""), "")
)</f>
        <v>0</v>
      </c>
      <c r="AI255" s="1">
        <f>value(IFERROR(SUBSTITUTE(SUBSTITUTE(VLOOKUP($A255,'Quarterly Pipeline vs Target Pi'!$A:$V,22,false)," $","")," €",""), "")
)</f>
        <v>0</v>
      </c>
      <c r="AJ255" s="17" t="str">
        <f t="shared" si="12"/>
        <v/>
      </c>
      <c r="AK255" s="1">
        <f t="shared" ref="AK255:AL255" si="523">sum(Y255,AB255,AE255,AH255)</f>
        <v>0</v>
      </c>
      <c r="AL255" s="1">
        <f t="shared" si="523"/>
        <v>0</v>
      </c>
      <c r="AM255" s="17" t="str">
        <f t="shared" si="14"/>
        <v/>
      </c>
      <c r="AN255" s="1">
        <f>value(IFERROR(SUBSTITUTE(SUBSTITUTE(VLOOKUP($A255,'Quarterly Pipeline vs Target Pi'!$A:$AP,26,false)," $","")," €",""), "")
)</f>
        <v>0</v>
      </c>
      <c r="AO255" s="1">
        <f>value(IFERROR(SUBSTITUTE(SUBSTITUTE(VLOOKUP($A255,'Quarterly Pipeline vs Target Pi'!$A:$AP,27,false)," $","")," €",""), "")
)</f>
        <v>0</v>
      </c>
      <c r="AP255" s="17" t="str">
        <f t="shared" si="15"/>
        <v/>
      </c>
      <c r="AQ255" s="1">
        <f>value(IFERROR(SUBSTITUTE(SUBSTITUTE(VLOOKUP($A255,'Quarterly Pipeline vs Target Pi'!$A:$AP,31,false)," $","")," €",""), "")
)</f>
        <v>0</v>
      </c>
      <c r="AR255" s="1">
        <f>value(IFERROR(SUBSTITUTE(SUBSTITUTE(VLOOKUP($A255,'Quarterly Pipeline vs Target Pi'!$A:$AP,32,false)," $","")," €",""), "")
)</f>
        <v>0</v>
      </c>
      <c r="AS255" s="17" t="str">
        <f t="shared" si="16"/>
        <v/>
      </c>
      <c r="AT255" s="1">
        <f>value(IFERROR(SUBSTITUTE(SUBSTITUTE(VLOOKUP($A255,'Quarterly Pipeline vs Target Pi'!$A:$AP,36,false)," $","")," €",""), "")
)</f>
        <v>0</v>
      </c>
      <c r="AU255" s="1">
        <f>value(IFERROR(SUBSTITUTE(SUBSTITUTE(VLOOKUP($A255,'Quarterly Pipeline vs Target Pi'!$A:$AP,37,false)," $","")," €",""), "")
)</f>
        <v>0</v>
      </c>
      <c r="AV255" s="17" t="str">
        <f t="shared" si="17"/>
        <v/>
      </c>
      <c r="AW255" s="1">
        <f>value(IFERROR(SUBSTITUTE(SUBSTITUTE(VLOOKUP($A255,'Quarterly Pipeline vs Target Pi'!$A:$AP,41,false)," $","")," €",""), "")
)</f>
        <v>0</v>
      </c>
      <c r="AX255" s="1">
        <f>value(IFERROR(SUBSTITUTE(SUBSTITUTE(VLOOKUP($A255,'Quarterly Pipeline vs Target Pi'!$A:$AP,42,false)," $","")," €",""), "")
)</f>
        <v>0</v>
      </c>
      <c r="AY255" s="17" t="str">
        <f t="shared" si="18"/>
        <v/>
      </c>
      <c r="AZ255" s="1">
        <f t="shared" ref="AZ255:BA255" si="524">sum(AN255,AQ255,AT255,AW255)</f>
        <v>0</v>
      </c>
      <c r="BA255" s="1">
        <f t="shared" si="524"/>
        <v>0</v>
      </c>
      <c r="BB255" s="17" t="str">
        <f t="shared" si="20"/>
        <v/>
      </c>
    </row>
    <row r="256">
      <c r="A256" s="1" t="str">
        <f>IFERROR(__xludf.DUMMYFUNCTION("""COMPUTED_VALUE"""),"63ea6e9452ad6968805cebcf")</f>
        <v>63ea6e9452ad6968805cebcf</v>
      </c>
      <c r="B256" s="1" t="str">
        <f>IFERROR(__xludf.DUMMYFUNCTION("""COMPUTED_VALUE"""),"Jens Verlaat Service GmbH")</f>
        <v>Jens Verlaat Service GmbH</v>
      </c>
      <c r="C256" s="1" t="str">
        <f>IFERROR(__xludf.DUMMYFUNCTION("""COMPUTED_VALUE"""),"andreas.grossheimann@al-enterprise.com, katrin.pfeiffer@al-enterprise.com, sibylle.klopfer@al-enterprise.com, igor.leko@al-enterprise.com, philipp.bode@al-enterprise.com")</f>
        <v>andreas.grossheimann@al-enterprise.com, katrin.pfeiffer@al-enterprise.com, sibylle.klopfer@al-enterprise.com, igor.leko@al-enterprise.com, philipp.bode@al-enterprise.com</v>
      </c>
      <c r="D256" s="1" t="str">
        <f>IFERROR(__xludf.DUMMYFUNCTION("""COMPUTED_VALUE"""),"germany")</f>
        <v>germany</v>
      </c>
      <c r="E256" s="1" t="str">
        <f>IFERROR(__xludf.DUMMYFUNCTION("""COMPUTED_VALUE"""),"DE")</f>
        <v>DE</v>
      </c>
      <c r="F256" s="1" t="str">
        <f>IFERROR(__xludf.DUMMYFUNCTION("""COMPUTED_VALUE"""),"expert_200")</f>
        <v>expert_200</v>
      </c>
      <c r="G256" s="1">
        <f>iferror(VLOOKUP(A256,'Business Plan Setup and Accepta'!A:G,6,false),"")</f>
        <v>1</v>
      </c>
      <c r="H256" s="1">
        <f>iferror(VLOOKUP(A256,'Business Plan Setup and Accepta'!A:G,7,false),"")</f>
        <v>1</v>
      </c>
      <c r="I256" s="17">
        <f t="shared" si="3"/>
        <v>1</v>
      </c>
      <c r="J256" s="1">
        <f>IFERROR(VALUE(SUBSTITUTE(VLOOKUP(A256,'Sales IN Revenues vs Sales targ'!A:G,6,false)," $","")), "")
</f>
        <v>249.91</v>
      </c>
      <c r="K256" s="1">
        <f>IFERROR(VALUE(SUBSTITUTE(VLOOKUP(A256,'Sales IN Revenues vs Sales targ'!A:G,7,false)," $","")), "")
</f>
        <v>300</v>
      </c>
      <c r="L256" s="17">
        <f t="shared" si="4"/>
        <v>0.8330333333</v>
      </c>
      <c r="M256" s="1">
        <f>value(SUBSTITUTE(IFERROR(VLOOKUP(A256,'Certifications achievements vs '!A:G,6,false),""),"#","")
)</f>
        <v>2</v>
      </c>
      <c r="N256" s="1">
        <f>value(SUBSTITUTE(IFERROR(VLOOKUP(A256,'Certifications achievements vs '!A:G,7,false),""),"#","")
)</f>
        <v>52</v>
      </c>
      <c r="O256" s="17">
        <f t="shared" si="5"/>
        <v>0.03846153846</v>
      </c>
      <c r="P256" s="1">
        <f>value(SUBSTITUTE(IFERROR(VLOOKUP(A256,'Communications - Solution Speci'!A:G,6,false),""),"#","")
)</f>
        <v>0</v>
      </c>
      <c r="Q256" s="1">
        <f>value(SUBSTITUTE(IFERROR(VLOOKUP(A256,'Communications - Solution Speci'!A:G,7,false),""),"#","")
)</f>
        <v>1</v>
      </c>
      <c r="R256" s="17">
        <f t="shared" si="6"/>
        <v>0</v>
      </c>
      <c r="S256" s="1">
        <f>value(SUBSTITUTE(IFERROR(VLOOKUP(A256,'Networking - Solution Specializ'!A:G,6,false),""),"#","")
)</f>
        <v>1</v>
      </c>
      <c r="T256" s="1">
        <f>value(SUBSTITUTE(IFERROR(VLOOKUP(A256,'Networking - Solution Specializ'!A:G,7,false),""),"#","")
)</f>
        <v>1</v>
      </c>
      <c r="U256" s="17">
        <f t="shared" si="7"/>
        <v>1</v>
      </c>
      <c r="V256" s="1">
        <f>iferror(vlookup(A256,'Marketing Plan (extract summary'!A:G,6,false),"")</f>
        <v>0</v>
      </c>
      <c r="W256" s="1">
        <f>iferror(vlookup(A256,'Marketing Plan (extract summary'!A:G,7,false),"")</f>
        <v>1</v>
      </c>
      <c r="X256" s="17">
        <f t="shared" si="8"/>
        <v>0</v>
      </c>
      <c r="Y256" s="1">
        <f>value(IFERROR(SUBSTITUTE(SUBSTITUTE(VLOOKUP(A256,'Quarterly Pipeline vs Target Pi'!A:G,6,false)," $","")," €",""), "")
)</f>
        <v>0</v>
      </c>
      <c r="Z256" s="1">
        <f>value(IFERROR(SUBSTITUTE(SUBSTITUTE(VLOOKUP(A256,'Quarterly Pipeline vs Target Pi'!A:G,7,false)," $","")," €",""), "")
)</f>
        <v>0</v>
      </c>
      <c r="AA256" s="17" t="str">
        <f t="shared" si="9"/>
        <v/>
      </c>
      <c r="AB256" s="1">
        <f>value(IFERROR(SUBSTITUTE(SUBSTITUTE(VLOOKUP($A256,'Quarterly Pipeline vs Target Pi'!$A:$V,11,false)," $","")," €",""), "")
)</f>
        <v>67</v>
      </c>
      <c r="AC256" s="1">
        <f>value(IFERROR(SUBSTITUTE(SUBSTITUTE(VLOOKUP($A256,'Quarterly Pipeline vs Target Pi'!$A:$V,12,false)," $","")," €",""), "")
)</f>
        <v>87.5</v>
      </c>
      <c r="AD256" s="17">
        <f t="shared" si="10"/>
        <v>0.7657142857</v>
      </c>
      <c r="AE256" s="1">
        <f>value(IFERROR(SUBSTITUTE(SUBSTITUTE(VLOOKUP($A256,'Quarterly Pipeline vs Target Pi'!$A:$V,16,false)," $","")," €",""), "")
)</f>
        <v>100</v>
      </c>
      <c r="AF256" s="1">
        <f>value(IFERROR(SUBSTITUTE(SUBSTITUTE(VLOOKUP($A256,'Quarterly Pipeline vs Target Pi'!$A:$V,17,false)," $","")," €",""), "")
)</f>
        <v>100</v>
      </c>
      <c r="AG256" s="17">
        <f t="shared" si="11"/>
        <v>1</v>
      </c>
      <c r="AH256" s="1">
        <f>value(IFERROR(SUBSTITUTE(SUBSTITUTE(VLOOKUP($A256,'Quarterly Pipeline vs Target Pi'!$A:$V,21,false)," $","")," €",""), "")
)</f>
        <v>48</v>
      </c>
      <c r="AI256" s="1">
        <f>value(IFERROR(SUBSTITUTE(SUBSTITUTE(VLOOKUP($A256,'Quarterly Pipeline vs Target Pi'!$A:$V,22,false)," $","")," €",""), "")
)</f>
        <v>100</v>
      </c>
      <c r="AJ256" s="17">
        <f t="shared" si="12"/>
        <v>0.48</v>
      </c>
      <c r="AK256" s="1">
        <f t="shared" ref="AK256:AL256" si="525">sum(Y256,AB256,AE256,AH256)</f>
        <v>215</v>
      </c>
      <c r="AL256" s="1">
        <f t="shared" si="525"/>
        <v>287.5</v>
      </c>
      <c r="AM256" s="17">
        <f t="shared" si="14"/>
        <v>0.747826087</v>
      </c>
      <c r="AN256" s="1">
        <f>value(IFERROR(SUBSTITUTE(SUBSTITUTE(VLOOKUP($A256,'Quarterly Pipeline vs Target Pi'!$A:$AP,26,false)," $","")," €",""), "")
)</f>
        <v>0</v>
      </c>
      <c r="AO256" s="1">
        <f>value(IFERROR(SUBSTITUTE(SUBSTITUTE(VLOOKUP($A256,'Quarterly Pipeline vs Target Pi'!$A:$AP,27,false)," $","")," €",""), "")
)</f>
        <v>0</v>
      </c>
      <c r="AP256" s="17" t="str">
        <f t="shared" si="15"/>
        <v/>
      </c>
      <c r="AQ256" s="1">
        <f>value(IFERROR(SUBSTITUTE(SUBSTITUTE(VLOOKUP($A256,'Quarterly Pipeline vs Target Pi'!$A:$AP,31,false)," $","")," €",""), "")
)</f>
        <v>10</v>
      </c>
      <c r="AR256" s="1">
        <f>value(IFERROR(SUBSTITUTE(SUBSTITUTE(VLOOKUP($A256,'Quarterly Pipeline vs Target Pi'!$A:$AP,32,false)," $","")," €",""), "")
)</f>
        <v>0</v>
      </c>
      <c r="AS256" s="17" t="str">
        <f t="shared" si="16"/>
        <v/>
      </c>
      <c r="AT256" s="1">
        <f>value(IFERROR(SUBSTITUTE(SUBSTITUTE(VLOOKUP($A256,'Quarterly Pipeline vs Target Pi'!$A:$AP,36,false)," $","")," €",""), "")
)</f>
        <v>0</v>
      </c>
      <c r="AU256" s="1">
        <f>value(IFERROR(SUBSTITUTE(SUBSTITUTE(VLOOKUP($A256,'Quarterly Pipeline vs Target Pi'!$A:$AP,37,false)," $","")," €",""), "")
)</f>
        <v>0</v>
      </c>
      <c r="AV256" s="17" t="str">
        <f t="shared" si="17"/>
        <v/>
      </c>
      <c r="AW256" s="1">
        <f>value(IFERROR(SUBSTITUTE(SUBSTITUTE(VLOOKUP($A256,'Quarterly Pipeline vs Target Pi'!$A:$AP,41,false)," $","")," €",""), "")
)</f>
        <v>0</v>
      </c>
      <c r="AX256" s="1">
        <f>value(IFERROR(SUBSTITUTE(SUBSTITUTE(VLOOKUP($A256,'Quarterly Pipeline vs Target Pi'!$A:$AP,42,false)," $","")," €",""), "")
)</f>
        <v>0</v>
      </c>
      <c r="AY256" s="17" t="str">
        <f t="shared" si="18"/>
        <v/>
      </c>
      <c r="AZ256" s="1">
        <f t="shared" ref="AZ256:BA256" si="526">sum(AN256,AQ256,AT256,AW256)</f>
        <v>10</v>
      </c>
      <c r="BA256" s="1">
        <f t="shared" si="526"/>
        <v>0</v>
      </c>
      <c r="BB256" s="17" t="str">
        <f t="shared" si="20"/>
        <v/>
      </c>
    </row>
    <row r="257">
      <c r="A257" s="1" t="str">
        <f>IFERROR(__xludf.DUMMYFUNCTION("""COMPUTED_VALUE"""),"63ced84dc5c820531c2697d9")</f>
        <v>63ced84dc5c820531c2697d9</v>
      </c>
      <c r="B257" s="1" t="str">
        <f>IFERROR(__xludf.DUMMYFUNCTION("""COMPUTED_VALUE"""),"JETCOM COMMUNICATIONS INC.")</f>
        <v>JETCOM COMMUNICATIONS INC.</v>
      </c>
      <c r="C257" s="1" t="str">
        <f>IFERROR(__xludf.DUMMYFUNCTION("""COMPUTED_VALUE"""),"brendan.flaherty@al-enterprise.com")</f>
        <v>brendan.flaherty@al-enterprise.com</v>
      </c>
      <c r="D257" s="1" t="str">
        <f>IFERROR(__xludf.DUMMYFUNCTION("""COMPUTED_VALUE"""),"americas")</f>
        <v>americas</v>
      </c>
      <c r="E257" s="1" t="str">
        <f>IFERROR(__xludf.DUMMYFUNCTION("""COMPUTED_VALUE"""),"US")</f>
        <v>US</v>
      </c>
      <c r="F257" s="1"/>
      <c r="G257" s="1" t="str">
        <f>iferror(VLOOKUP(A257,'Business Plan Setup and Accepta'!A:G,6,false),"")</f>
        <v/>
      </c>
      <c r="H257" s="1" t="str">
        <f>iferror(VLOOKUP(A257,'Business Plan Setup and Accepta'!A:G,7,false),"")</f>
        <v/>
      </c>
      <c r="I257" s="17" t="str">
        <f t="shared" si="3"/>
        <v/>
      </c>
      <c r="J257" s="1" t="str">
        <f>IFERROR(VALUE(SUBSTITUTE(VLOOKUP(A257,'Sales IN Revenues vs Sales targ'!A:G,6,false)," $","")), "")
</f>
        <v/>
      </c>
      <c r="K257" s="1" t="str">
        <f>IFERROR(VALUE(SUBSTITUTE(VLOOKUP(A257,'Sales IN Revenues vs Sales targ'!A:G,7,false)," $","")), "")
</f>
        <v/>
      </c>
      <c r="L257" s="17" t="str">
        <f t="shared" si="4"/>
        <v/>
      </c>
      <c r="M257" s="1">
        <f>value(SUBSTITUTE(IFERROR(VLOOKUP(A257,'Certifications achievements vs '!A:G,6,false),""),"#","")
)</f>
        <v>0</v>
      </c>
      <c r="N257" s="1">
        <f>value(SUBSTITUTE(IFERROR(VLOOKUP(A257,'Certifications achievements vs '!A:G,7,false),""),"#","")
)</f>
        <v>0</v>
      </c>
      <c r="O257" s="17" t="str">
        <f t="shared" si="5"/>
        <v/>
      </c>
      <c r="P257" s="1">
        <f>value(SUBSTITUTE(IFERROR(VLOOKUP(A257,'Communications - Solution Speci'!A:G,6,false),""),"#","")
)</f>
        <v>0</v>
      </c>
      <c r="Q257" s="1">
        <f>value(SUBSTITUTE(IFERROR(VLOOKUP(A257,'Communications - Solution Speci'!A:G,7,false),""),"#","")
)</f>
        <v>0</v>
      </c>
      <c r="R257" s="17" t="str">
        <f t="shared" si="6"/>
        <v/>
      </c>
      <c r="S257" s="1">
        <f>value(SUBSTITUTE(IFERROR(VLOOKUP(A257,'Networking - Solution Specializ'!A:G,6,false),""),"#","")
)</f>
        <v>0</v>
      </c>
      <c r="T257" s="1">
        <f>value(SUBSTITUTE(IFERROR(VLOOKUP(A257,'Networking - Solution Specializ'!A:G,7,false),""),"#","")
)</f>
        <v>0</v>
      </c>
      <c r="U257" s="17" t="str">
        <f t="shared" si="7"/>
        <v/>
      </c>
      <c r="V257" s="1" t="str">
        <f>iferror(vlookup(A257,'Marketing Plan (extract summary'!A:G,6,false),"")</f>
        <v/>
      </c>
      <c r="W257" s="1" t="str">
        <f>iferror(vlookup(A257,'Marketing Plan (extract summary'!A:G,7,false),"")</f>
        <v/>
      </c>
      <c r="X257" s="17" t="str">
        <f t="shared" si="8"/>
        <v/>
      </c>
      <c r="Y257" s="1">
        <f>value(IFERROR(SUBSTITUTE(SUBSTITUTE(VLOOKUP(A257,'Quarterly Pipeline vs Target Pi'!A:G,6,false)," $","")," €",""), "")
)</f>
        <v>0</v>
      </c>
      <c r="Z257" s="1">
        <f>value(IFERROR(SUBSTITUTE(SUBSTITUTE(VLOOKUP(A257,'Quarterly Pipeline vs Target Pi'!A:G,7,false)," $","")," €",""), "")
)</f>
        <v>0</v>
      </c>
      <c r="AA257" s="17" t="str">
        <f t="shared" si="9"/>
        <v/>
      </c>
      <c r="AB257" s="1">
        <f>value(IFERROR(SUBSTITUTE(SUBSTITUTE(VLOOKUP($A257,'Quarterly Pipeline vs Target Pi'!$A:$V,11,false)," $","")," €",""), "")
)</f>
        <v>0</v>
      </c>
      <c r="AC257" s="1">
        <f>value(IFERROR(SUBSTITUTE(SUBSTITUTE(VLOOKUP($A257,'Quarterly Pipeline vs Target Pi'!$A:$V,12,false)," $","")," €",""), "")
)</f>
        <v>0</v>
      </c>
      <c r="AD257" s="17" t="str">
        <f t="shared" si="10"/>
        <v/>
      </c>
      <c r="AE257" s="1">
        <f>value(IFERROR(SUBSTITUTE(SUBSTITUTE(VLOOKUP($A257,'Quarterly Pipeline vs Target Pi'!$A:$V,16,false)," $","")," €",""), "")
)</f>
        <v>0</v>
      </c>
      <c r="AF257" s="1">
        <f>value(IFERROR(SUBSTITUTE(SUBSTITUTE(VLOOKUP($A257,'Quarterly Pipeline vs Target Pi'!$A:$V,17,false)," $","")," €",""), "")
)</f>
        <v>0</v>
      </c>
      <c r="AG257" s="17" t="str">
        <f t="shared" si="11"/>
        <v/>
      </c>
      <c r="AH257" s="1">
        <f>value(IFERROR(SUBSTITUTE(SUBSTITUTE(VLOOKUP($A257,'Quarterly Pipeline vs Target Pi'!$A:$V,21,false)," $","")," €",""), "")
)</f>
        <v>0</v>
      </c>
      <c r="AI257" s="1">
        <f>value(IFERROR(SUBSTITUTE(SUBSTITUTE(VLOOKUP($A257,'Quarterly Pipeline vs Target Pi'!$A:$V,22,false)," $","")," €",""), "")
)</f>
        <v>0</v>
      </c>
      <c r="AJ257" s="17" t="str">
        <f t="shared" si="12"/>
        <v/>
      </c>
      <c r="AK257" s="1">
        <f t="shared" ref="AK257:AL257" si="527">sum(Y257,AB257,AE257,AH257)</f>
        <v>0</v>
      </c>
      <c r="AL257" s="1">
        <f t="shared" si="527"/>
        <v>0</v>
      </c>
      <c r="AM257" s="17" t="str">
        <f t="shared" si="14"/>
        <v/>
      </c>
      <c r="AN257" s="1">
        <f>value(IFERROR(SUBSTITUTE(SUBSTITUTE(VLOOKUP($A257,'Quarterly Pipeline vs Target Pi'!$A:$AP,26,false)," $","")," €",""), "")
)</f>
        <v>0</v>
      </c>
      <c r="AO257" s="1">
        <f>value(IFERROR(SUBSTITUTE(SUBSTITUTE(VLOOKUP($A257,'Quarterly Pipeline vs Target Pi'!$A:$AP,27,false)," $","")," €",""), "")
)</f>
        <v>0</v>
      </c>
      <c r="AP257" s="17" t="str">
        <f t="shared" si="15"/>
        <v/>
      </c>
      <c r="AQ257" s="1">
        <f>value(IFERROR(SUBSTITUTE(SUBSTITUTE(VLOOKUP($A257,'Quarterly Pipeline vs Target Pi'!$A:$AP,31,false)," $","")," €",""), "")
)</f>
        <v>0</v>
      </c>
      <c r="AR257" s="1">
        <f>value(IFERROR(SUBSTITUTE(SUBSTITUTE(VLOOKUP($A257,'Quarterly Pipeline vs Target Pi'!$A:$AP,32,false)," $","")," €",""), "")
)</f>
        <v>0</v>
      </c>
      <c r="AS257" s="17" t="str">
        <f t="shared" si="16"/>
        <v/>
      </c>
      <c r="AT257" s="1">
        <f>value(IFERROR(SUBSTITUTE(SUBSTITUTE(VLOOKUP($A257,'Quarterly Pipeline vs Target Pi'!$A:$AP,36,false)," $","")," €",""), "")
)</f>
        <v>0</v>
      </c>
      <c r="AU257" s="1">
        <f>value(IFERROR(SUBSTITUTE(SUBSTITUTE(VLOOKUP($A257,'Quarterly Pipeline vs Target Pi'!$A:$AP,37,false)," $","")," €",""), "")
)</f>
        <v>0</v>
      </c>
      <c r="AV257" s="17" t="str">
        <f t="shared" si="17"/>
        <v/>
      </c>
      <c r="AW257" s="1">
        <f>value(IFERROR(SUBSTITUTE(SUBSTITUTE(VLOOKUP($A257,'Quarterly Pipeline vs Target Pi'!$A:$AP,41,false)," $","")," €",""), "")
)</f>
        <v>0</v>
      </c>
      <c r="AX257" s="1">
        <f>value(IFERROR(SUBSTITUTE(SUBSTITUTE(VLOOKUP($A257,'Quarterly Pipeline vs Target Pi'!$A:$AP,42,false)," $","")," €",""), "")
)</f>
        <v>0</v>
      </c>
      <c r="AY257" s="17" t="str">
        <f t="shared" si="18"/>
        <v/>
      </c>
      <c r="AZ257" s="1">
        <f t="shared" ref="AZ257:BA257" si="528">sum(AN257,AQ257,AT257,AW257)</f>
        <v>0</v>
      </c>
      <c r="BA257" s="1">
        <f t="shared" si="528"/>
        <v>0</v>
      </c>
      <c r="BB257" s="17" t="str">
        <f t="shared" si="20"/>
        <v/>
      </c>
    </row>
    <row r="258">
      <c r="A258" s="1" t="str">
        <f>IFERROR(__xludf.DUMMYFUNCTION("""COMPUTED_VALUE"""),"66bccb7ddbb92ff298050552")</f>
        <v>66bccb7ddbb92ff298050552</v>
      </c>
      <c r="B258" s="1" t="str">
        <f>IFERROR(__xludf.DUMMYFUNCTION("""COMPUTED_VALUE"""),"Johnson Controls, Inc.")</f>
        <v>Johnson Controls, Inc.</v>
      </c>
      <c r="C258" s="1" t="str">
        <f>IFERROR(__xludf.DUMMYFUNCTION("""COMPUTED_VALUE"""),"bill.cusack@al-enterprise.com")</f>
        <v>bill.cusack@al-enterprise.com</v>
      </c>
      <c r="D258" s="1" t="str">
        <f>IFERROR(__xludf.DUMMYFUNCTION("""COMPUTED_VALUE"""),"americas")</f>
        <v>americas</v>
      </c>
      <c r="E258" s="1" t="str">
        <f>IFERROR(__xludf.DUMMYFUNCTION("""COMPUTED_VALUE"""),"US")</f>
        <v>US</v>
      </c>
      <c r="F258" s="1" t="str">
        <f>IFERROR(__xludf.DUMMYFUNCTION("""COMPUTED_VALUE"""),"expert_200")</f>
        <v>expert_200</v>
      </c>
      <c r="G258" s="1">
        <f>iferror(VLOOKUP(A258,'Business Plan Setup and Accepta'!A:G,6,false),"")</f>
        <v>0</v>
      </c>
      <c r="H258" s="1">
        <f>iferror(VLOOKUP(A258,'Business Plan Setup and Accepta'!A:G,7,false),"")</f>
        <v>1</v>
      </c>
      <c r="I258" s="17">
        <f t="shared" si="3"/>
        <v>0</v>
      </c>
      <c r="J258" s="1">
        <f>IFERROR(VALUE(SUBSTITUTE(VLOOKUP(A258,'Sales IN Revenues vs Sales targ'!A:G,6,false)," $","")), "")
</f>
        <v>175.38</v>
      </c>
      <c r="K258" s="1">
        <f>IFERROR(VALUE(SUBSTITUTE(VLOOKUP(A258,'Sales IN Revenues vs Sales targ'!A:G,7,false)," $","")), "")
</f>
        <v>250</v>
      </c>
      <c r="L258" s="17">
        <f t="shared" si="4"/>
        <v>0.70152</v>
      </c>
      <c r="M258" s="1">
        <f>value(SUBSTITUTE(IFERROR(VLOOKUP(A258,'Certifications achievements vs '!A:G,6,false),""),"#","")
)</f>
        <v>0</v>
      </c>
      <c r="N258" s="1">
        <f>value(SUBSTITUTE(IFERROR(VLOOKUP(A258,'Certifications achievements vs '!A:G,7,false),""),"#","")
)</f>
        <v>0</v>
      </c>
      <c r="O258" s="17" t="str">
        <f t="shared" si="5"/>
        <v/>
      </c>
      <c r="P258" s="1">
        <f>value(SUBSTITUTE(IFERROR(VLOOKUP(A258,'Communications - Solution Speci'!A:G,6,false),""),"#","")
)</f>
        <v>0</v>
      </c>
      <c r="Q258" s="1">
        <f>value(SUBSTITUTE(IFERROR(VLOOKUP(A258,'Communications - Solution Speci'!A:G,7,false),""),"#","")
)</f>
        <v>1</v>
      </c>
      <c r="R258" s="17">
        <f t="shared" si="6"/>
        <v>0</v>
      </c>
      <c r="S258" s="1">
        <f>value(SUBSTITUTE(IFERROR(VLOOKUP(A258,'Networking - Solution Specializ'!A:G,6,false),""),"#","")
)</f>
        <v>0</v>
      </c>
      <c r="T258" s="1">
        <f>value(SUBSTITUTE(IFERROR(VLOOKUP(A258,'Networking - Solution Specializ'!A:G,7,false),""),"#","")
)</f>
        <v>1</v>
      </c>
      <c r="U258" s="17">
        <f t="shared" si="7"/>
        <v>0</v>
      </c>
      <c r="V258" s="1">
        <f>iferror(vlookup(A258,'Marketing Plan (extract summary'!A:G,6,false),"")</f>
        <v>0</v>
      </c>
      <c r="W258" s="1">
        <f>iferror(vlookup(A258,'Marketing Plan (extract summary'!A:G,7,false),"")</f>
        <v>1</v>
      </c>
      <c r="X258" s="17">
        <f t="shared" si="8"/>
        <v>0</v>
      </c>
      <c r="Y258" s="1">
        <f>value(IFERROR(SUBSTITUTE(SUBSTITUTE(VLOOKUP(A258,'Quarterly Pipeline vs Target Pi'!A:G,6,false)," $","")," €",""), "")
)</f>
        <v>0</v>
      </c>
      <c r="Z258" s="1">
        <f>value(IFERROR(SUBSTITUTE(SUBSTITUTE(VLOOKUP(A258,'Quarterly Pipeline vs Target Pi'!A:G,7,false)," $","")," €",""), "")
)</f>
        <v>0</v>
      </c>
      <c r="AA258" s="17" t="str">
        <f t="shared" si="9"/>
        <v/>
      </c>
      <c r="AB258" s="1">
        <f>value(IFERROR(SUBSTITUTE(SUBSTITUTE(VLOOKUP($A258,'Quarterly Pipeline vs Target Pi'!$A:$V,11,false)," $","")," €",""), "")
)</f>
        <v>0</v>
      </c>
      <c r="AC258" s="1">
        <f>value(IFERROR(SUBSTITUTE(SUBSTITUTE(VLOOKUP($A258,'Quarterly Pipeline vs Target Pi'!$A:$V,12,false)," $","")," €",""), "")
)</f>
        <v>166.67</v>
      </c>
      <c r="AD258" s="17">
        <f t="shared" si="10"/>
        <v>0</v>
      </c>
      <c r="AE258" s="1">
        <f>value(IFERROR(SUBSTITUTE(SUBSTITUTE(VLOOKUP($A258,'Quarterly Pipeline vs Target Pi'!$A:$V,16,false)," $","")," €",""), "")
)</f>
        <v>0</v>
      </c>
      <c r="AF258" s="1">
        <f>value(IFERROR(SUBSTITUTE(SUBSTITUTE(VLOOKUP($A258,'Quarterly Pipeline vs Target Pi'!$A:$V,17,false)," $","")," €",""), "")
)</f>
        <v>250.01</v>
      </c>
      <c r="AG258" s="17">
        <f t="shared" si="11"/>
        <v>0</v>
      </c>
      <c r="AH258" s="1">
        <f>value(IFERROR(SUBSTITUTE(SUBSTITUTE(VLOOKUP($A258,'Quarterly Pipeline vs Target Pi'!$A:$V,21,false)," $","")," €",""), "")
)</f>
        <v>0</v>
      </c>
      <c r="AI258" s="1">
        <f>value(IFERROR(SUBSTITUTE(SUBSTITUTE(VLOOKUP($A258,'Quarterly Pipeline vs Target Pi'!$A:$V,22,false)," $","")," €",""), "")
)</f>
        <v>250.01</v>
      </c>
      <c r="AJ258" s="17">
        <f t="shared" si="12"/>
        <v>0</v>
      </c>
      <c r="AK258" s="1">
        <f t="shared" ref="AK258:AL258" si="529">sum(Y258,AB258,AE258,AH258)</f>
        <v>0</v>
      </c>
      <c r="AL258" s="1">
        <f t="shared" si="529"/>
        <v>666.69</v>
      </c>
      <c r="AM258" s="17">
        <f t="shared" si="14"/>
        <v>0</v>
      </c>
      <c r="AN258" s="1">
        <f>value(IFERROR(SUBSTITUTE(SUBSTITUTE(VLOOKUP($A258,'Quarterly Pipeline vs Target Pi'!$A:$AP,26,false)," $","")," €",""), "")
)</f>
        <v>0</v>
      </c>
      <c r="AO258" s="1">
        <f>value(IFERROR(SUBSTITUTE(SUBSTITUTE(VLOOKUP($A258,'Quarterly Pipeline vs Target Pi'!$A:$AP,27,false)," $","")," €",""), "")
)</f>
        <v>0</v>
      </c>
      <c r="AP258" s="17" t="str">
        <f t="shared" si="15"/>
        <v/>
      </c>
      <c r="AQ258" s="1">
        <f>value(IFERROR(SUBSTITUTE(SUBSTITUTE(VLOOKUP($A258,'Quarterly Pipeline vs Target Pi'!$A:$AP,31,false)," $","")," €",""), "")
)</f>
        <v>0</v>
      </c>
      <c r="AR258" s="1">
        <f>value(IFERROR(SUBSTITUTE(SUBSTITUTE(VLOOKUP($A258,'Quarterly Pipeline vs Target Pi'!$A:$AP,32,false)," $","")," €",""), "")
)</f>
        <v>0</v>
      </c>
      <c r="AS258" s="17" t="str">
        <f t="shared" si="16"/>
        <v/>
      </c>
      <c r="AT258" s="1">
        <f>value(IFERROR(SUBSTITUTE(SUBSTITUTE(VLOOKUP($A258,'Quarterly Pipeline vs Target Pi'!$A:$AP,36,false)," $","")," €",""), "")
)</f>
        <v>0</v>
      </c>
      <c r="AU258" s="1">
        <f>value(IFERROR(SUBSTITUTE(SUBSTITUTE(VLOOKUP($A258,'Quarterly Pipeline vs Target Pi'!$A:$AP,37,false)," $","")," €",""), "")
)</f>
        <v>0</v>
      </c>
      <c r="AV258" s="17" t="str">
        <f t="shared" si="17"/>
        <v/>
      </c>
      <c r="AW258" s="1">
        <f>value(IFERROR(SUBSTITUTE(SUBSTITUTE(VLOOKUP($A258,'Quarterly Pipeline vs Target Pi'!$A:$AP,41,false)," $","")," €",""), "")
)</f>
        <v>0</v>
      </c>
      <c r="AX258" s="1">
        <f>value(IFERROR(SUBSTITUTE(SUBSTITUTE(VLOOKUP($A258,'Quarterly Pipeline vs Target Pi'!$A:$AP,42,false)," $","")," €",""), "")
)</f>
        <v>0</v>
      </c>
      <c r="AY258" s="17" t="str">
        <f t="shared" si="18"/>
        <v/>
      </c>
      <c r="AZ258" s="1">
        <f t="shared" ref="AZ258:BA258" si="530">sum(AN258,AQ258,AT258,AW258)</f>
        <v>0</v>
      </c>
      <c r="BA258" s="1">
        <f t="shared" si="530"/>
        <v>0</v>
      </c>
      <c r="BB258" s="17" t="str">
        <f t="shared" si="20"/>
        <v/>
      </c>
    </row>
    <row r="259">
      <c r="A259" s="1" t="str">
        <f>IFERROR(__xludf.DUMMYFUNCTION("""COMPUTED_VALUE"""),"63fcbb7ea107c871cf5647cd")</f>
        <v>63fcbb7ea107c871cf5647cd</v>
      </c>
      <c r="B259" s="1" t="str">
        <f>IFERROR(__xludf.DUMMYFUNCTION("""COMPUTED_VALUE"""),"K-USA LLC, DBA Dymec")</f>
        <v>K-USA LLC, DBA Dymec</v>
      </c>
      <c r="C259" s="1" t="str">
        <f>IFERROR(__xludf.DUMMYFUNCTION("""COMPUTED_VALUE"""),"steve.mcglasson@al-enterprise.com")</f>
        <v>steve.mcglasson@al-enterprise.com</v>
      </c>
      <c r="D259" s="1" t="str">
        <f>IFERROR(__xludf.DUMMYFUNCTION("""COMPUTED_VALUE"""),"americas")</f>
        <v>americas</v>
      </c>
      <c r="E259" s="1" t="str">
        <f>IFERROR(__xludf.DUMMYFUNCTION("""COMPUTED_VALUE"""),"US")</f>
        <v>US</v>
      </c>
      <c r="F259" s="1"/>
      <c r="G259" s="1" t="str">
        <f>iferror(VLOOKUP(A259,'Business Plan Setup and Accepta'!A:G,6,false),"")</f>
        <v/>
      </c>
      <c r="H259" s="1" t="str">
        <f>iferror(VLOOKUP(A259,'Business Plan Setup and Accepta'!A:G,7,false),"")</f>
        <v/>
      </c>
      <c r="I259" s="17" t="str">
        <f t="shared" si="3"/>
        <v/>
      </c>
      <c r="J259" s="1" t="str">
        <f>IFERROR(VALUE(SUBSTITUTE(VLOOKUP(A259,'Sales IN Revenues vs Sales targ'!A:G,6,false)," $","")), "")
</f>
        <v/>
      </c>
      <c r="K259" s="1" t="str">
        <f>IFERROR(VALUE(SUBSTITUTE(VLOOKUP(A259,'Sales IN Revenues vs Sales targ'!A:G,7,false)," $","")), "")
</f>
        <v/>
      </c>
      <c r="L259" s="17" t="str">
        <f t="shared" si="4"/>
        <v/>
      </c>
      <c r="M259" s="1">
        <f>value(SUBSTITUTE(IFERROR(VLOOKUP(A259,'Certifications achievements vs '!A:G,6,false),""),"#","")
)</f>
        <v>0</v>
      </c>
      <c r="N259" s="1">
        <f>value(SUBSTITUTE(IFERROR(VLOOKUP(A259,'Certifications achievements vs '!A:G,7,false),""),"#","")
)</f>
        <v>0</v>
      </c>
      <c r="O259" s="17" t="str">
        <f t="shared" si="5"/>
        <v/>
      </c>
      <c r="P259" s="1">
        <f>value(SUBSTITUTE(IFERROR(VLOOKUP(A259,'Communications - Solution Speci'!A:G,6,false),""),"#","")
)</f>
        <v>0</v>
      </c>
      <c r="Q259" s="1">
        <f>value(SUBSTITUTE(IFERROR(VLOOKUP(A259,'Communications - Solution Speci'!A:G,7,false),""),"#","")
)</f>
        <v>0</v>
      </c>
      <c r="R259" s="17" t="str">
        <f t="shared" si="6"/>
        <v/>
      </c>
      <c r="S259" s="1">
        <f>value(SUBSTITUTE(IFERROR(VLOOKUP(A259,'Networking - Solution Specializ'!A:G,6,false),""),"#","")
)</f>
        <v>0</v>
      </c>
      <c r="T259" s="1">
        <f>value(SUBSTITUTE(IFERROR(VLOOKUP(A259,'Networking - Solution Specializ'!A:G,7,false),""),"#","")
)</f>
        <v>0</v>
      </c>
      <c r="U259" s="17" t="str">
        <f t="shared" si="7"/>
        <v/>
      </c>
      <c r="V259" s="1" t="str">
        <f>iferror(vlookup(A259,'Marketing Plan (extract summary'!A:G,6,false),"")</f>
        <v/>
      </c>
      <c r="W259" s="1" t="str">
        <f>iferror(vlookup(A259,'Marketing Plan (extract summary'!A:G,7,false),"")</f>
        <v/>
      </c>
      <c r="X259" s="17" t="str">
        <f t="shared" si="8"/>
        <v/>
      </c>
      <c r="Y259" s="1">
        <f>value(IFERROR(SUBSTITUTE(SUBSTITUTE(VLOOKUP(A259,'Quarterly Pipeline vs Target Pi'!A:G,6,false)," $","")," €",""), "")
)</f>
        <v>0</v>
      </c>
      <c r="Z259" s="1">
        <f>value(IFERROR(SUBSTITUTE(SUBSTITUTE(VLOOKUP(A259,'Quarterly Pipeline vs Target Pi'!A:G,7,false)," $","")," €",""), "")
)</f>
        <v>0</v>
      </c>
      <c r="AA259" s="17" t="str">
        <f t="shared" si="9"/>
        <v/>
      </c>
      <c r="AB259" s="1">
        <f>value(IFERROR(SUBSTITUTE(SUBSTITUTE(VLOOKUP($A259,'Quarterly Pipeline vs Target Pi'!$A:$V,11,false)," $","")," €",""), "")
)</f>
        <v>0</v>
      </c>
      <c r="AC259" s="1">
        <f>value(IFERROR(SUBSTITUTE(SUBSTITUTE(VLOOKUP($A259,'Quarterly Pipeline vs Target Pi'!$A:$V,12,false)," $","")," €",""), "")
)</f>
        <v>0</v>
      </c>
      <c r="AD259" s="17" t="str">
        <f t="shared" si="10"/>
        <v/>
      </c>
      <c r="AE259" s="1">
        <f>value(IFERROR(SUBSTITUTE(SUBSTITUTE(VLOOKUP($A259,'Quarterly Pipeline vs Target Pi'!$A:$V,16,false)," $","")," €",""), "")
)</f>
        <v>0</v>
      </c>
      <c r="AF259" s="1">
        <f>value(IFERROR(SUBSTITUTE(SUBSTITUTE(VLOOKUP($A259,'Quarterly Pipeline vs Target Pi'!$A:$V,17,false)," $","")," €",""), "")
)</f>
        <v>0</v>
      </c>
      <c r="AG259" s="17" t="str">
        <f t="shared" si="11"/>
        <v/>
      </c>
      <c r="AH259" s="1">
        <f>value(IFERROR(SUBSTITUTE(SUBSTITUTE(VLOOKUP($A259,'Quarterly Pipeline vs Target Pi'!$A:$V,21,false)," $","")," €",""), "")
)</f>
        <v>0</v>
      </c>
      <c r="AI259" s="1">
        <f>value(IFERROR(SUBSTITUTE(SUBSTITUTE(VLOOKUP($A259,'Quarterly Pipeline vs Target Pi'!$A:$V,22,false)," $","")," €",""), "")
)</f>
        <v>0</v>
      </c>
      <c r="AJ259" s="17" t="str">
        <f t="shared" si="12"/>
        <v/>
      </c>
      <c r="AK259" s="1">
        <f t="shared" ref="AK259:AL259" si="531">sum(Y259,AB259,AE259,AH259)</f>
        <v>0</v>
      </c>
      <c r="AL259" s="1">
        <f t="shared" si="531"/>
        <v>0</v>
      </c>
      <c r="AM259" s="17" t="str">
        <f t="shared" si="14"/>
        <v/>
      </c>
      <c r="AN259" s="1">
        <f>value(IFERROR(SUBSTITUTE(SUBSTITUTE(VLOOKUP($A259,'Quarterly Pipeline vs Target Pi'!$A:$AP,26,false)," $","")," €",""), "")
)</f>
        <v>0</v>
      </c>
      <c r="AO259" s="1">
        <f>value(IFERROR(SUBSTITUTE(SUBSTITUTE(VLOOKUP($A259,'Quarterly Pipeline vs Target Pi'!$A:$AP,27,false)," $","")," €",""), "")
)</f>
        <v>0</v>
      </c>
      <c r="AP259" s="17" t="str">
        <f t="shared" si="15"/>
        <v/>
      </c>
      <c r="AQ259" s="1">
        <f>value(IFERROR(SUBSTITUTE(SUBSTITUTE(VLOOKUP($A259,'Quarterly Pipeline vs Target Pi'!$A:$AP,31,false)," $","")," €",""), "")
)</f>
        <v>0</v>
      </c>
      <c r="AR259" s="1">
        <f>value(IFERROR(SUBSTITUTE(SUBSTITUTE(VLOOKUP($A259,'Quarterly Pipeline vs Target Pi'!$A:$AP,32,false)," $","")," €",""), "")
)</f>
        <v>0</v>
      </c>
      <c r="AS259" s="17" t="str">
        <f t="shared" si="16"/>
        <v/>
      </c>
      <c r="AT259" s="1">
        <f>value(IFERROR(SUBSTITUTE(SUBSTITUTE(VLOOKUP($A259,'Quarterly Pipeline vs Target Pi'!$A:$AP,36,false)," $","")," €",""), "")
)</f>
        <v>0</v>
      </c>
      <c r="AU259" s="1">
        <f>value(IFERROR(SUBSTITUTE(SUBSTITUTE(VLOOKUP($A259,'Quarterly Pipeline vs Target Pi'!$A:$AP,37,false)," $","")," €",""), "")
)</f>
        <v>0</v>
      </c>
      <c r="AV259" s="17" t="str">
        <f t="shared" si="17"/>
        <v/>
      </c>
      <c r="AW259" s="1">
        <f>value(IFERROR(SUBSTITUTE(SUBSTITUTE(VLOOKUP($A259,'Quarterly Pipeline vs Target Pi'!$A:$AP,41,false)," $","")," €",""), "")
)</f>
        <v>0</v>
      </c>
      <c r="AX259" s="1">
        <f>value(IFERROR(SUBSTITUTE(SUBSTITUTE(VLOOKUP($A259,'Quarterly Pipeline vs Target Pi'!$A:$AP,42,false)," $","")," €",""), "")
)</f>
        <v>0</v>
      </c>
      <c r="AY259" s="17" t="str">
        <f t="shared" si="18"/>
        <v/>
      </c>
      <c r="AZ259" s="1">
        <f t="shared" ref="AZ259:BA259" si="532">sum(AN259,AQ259,AT259,AW259)</f>
        <v>0</v>
      </c>
      <c r="BA259" s="1">
        <f t="shared" si="532"/>
        <v>0</v>
      </c>
      <c r="BB259" s="17" t="str">
        <f t="shared" si="20"/>
        <v/>
      </c>
    </row>
    <row r="260">
      <c r="A260" s="1" t="str">
        <f>IFERROR(__xludf.DUMMYFUNCTION("""COMPUTED_VALUE"""),"63ea6e9452ad6968805ced11")</f>
        <v>63ea6e9452ad6968805ced11</v>
      </c>
      <c r="B260" s="1" t="str">
        <f>IFERROR(__xludf.DUMMYFUNCTION("""COMPUTED_VALUE"""),"K. H. Steinkuhler GmbH &amp; Co. KG")</f>
        <v>K. H. Steinkuhler GmbH &amp; Co. KG</v>
      </c>
      <c r="C260" s="1" t="str">
        <f>IFERROR(__xludf.DUMMYFUNCTION("""COMPUTED_VALUE"""),"andreas.grossheimann@al-enterprise.com, andre.ramm@al-enterprise.com")</f>
        <v>andreas.grossheimann@al-enterprise.com, andre.ramm@al-enterprise.com</v>
      </c>
      <c r="D260" s="1" t="str">
        <f>IFERROR(__xludf.DUMMYFUNCTION("""COMPUTED_VALUE"""),"germany")</f>
        <v>germany</v>
      </c>
      <c r="E260" s="1" t="str">
        <f>IFERROR(__xludf.DUMMYFUNCTION("""COMPUTED_VALUE"""),"DE")</f>
        <v>DE</v>
      </c>
      <c r="F260" s="1"/>
      <c r="G260" s="1" t="str">
        <f>iferror(VLOOKUP(A260,'Business Plan Setup and Accepta'!A:G,6,false),"")</f>
        <v/>
      </c>
      <c r="H260" s="1" t="str">
        <f>iferror(VLOOKUP(A260,'Business Plan Setup and Accepta'!A:G,7,false),"")</f>
        <v/>
      </c>
      <c r="I260" s="17" t="str">
        <f t="shared" si="3"/>
        <v/>
      </c>
      <c r="J260" s="1" t="str">
        <f>IFERROR(VALUE(SUBSTITUTE(VLOOKUP(A260,'Sales IN Revenues vs Sales targ'!A:G,6,false)," $","")), "")
</f>
        <v/>
      </c>
      <c r="K260" s="1" t="str">
        <f>IFERROR(VALUE(SUBSTITUTE(VLOOKUP(A260,'Sales IN Revenues vs Sales targ'!A:G,7,false)," $","")), "")
</f>
        <v/>
      </c>
      <c r="L260" s="17" t="str">
        <f t="shared" si="4"/>
        <v/>
      </c>
      <c r="M260" s="1">
        <f>value(SUBSTITUTE(IFERROR(VLOOKUP(A260,'Certifications achievements vs '!A:G,6,false),""),"#","")
)</f>
        <v>0</v>
      </c>
      <c r="N260" s="1">
        <f>value(SUBSTITUTE(IFERROR(VLOOKUP(A260,'Certifications achievements vs '!A:G,7,false),""),"#","")
)</f>
        <v>0</v>
      </c>
      <c r="O260" s="17" t="str">
        <f t="shared" si="5"/>
        <v/>
      </c>
      <c r="P260" s="1">
        <f>value(SUBSTITUTE(IFERROR(VLOOKUP(A260,'Communications - Solution Speci'!A:G,6,false),""),"#","")
)</f>
        <v>0</v>
      </c>
      <c r="Q260" s="1">
        <f>value(SUBSTITUTE(IFERROR(VLOOKUP(A260,'Communications - Solution Speci'!A:G,7,false),""),"#","")
)</f>
        <v>0</v>
      </c>
      <c r="R260" s="17" t="str">
        <f t="shared" si="6"/>
        <v/>
      </c>
      <c r="S260" s="1">
        <f>value(SUBSTITUTE(IFERROR(VLOOKUP(A260,'Networking - Solution Specializ'!A:G,6,false),""),"#","")
)</f>
        <v>0</v>
      </c>
      <c r="T260" s="1">
        <f>value(SUBSTITUTE(IFERROR(VLOOKUP(A260,'Networking - Solution Specializ'!A:G,7,false),""),"#","")
)</f>
        <v>0</v>
      </c>
      <c r="U260" s="17" t="str">
        <f t="shared" si="7"/>
        <v/>
      </c>
      <c r="V260" s="1" t="str">
        <f>iferror(vlookup(A260,'Marketing Plan (extract summary'!A:G,6,false),"")</f>
        <v/>
      </c>
      <c r="W260" s="1" t="str">
        <f>iferror(vlookup(A260,'Marketing Plan (extract summary'!A:G,7,false),"")</f>
        <v/>
      </c>
      <c r="X260" s="17" t="str">
        <f t="shared" si="8"/>
        <v/>
      </c>
      <c r="Y260" s="1">
        <f>value(IFERROR(SUBSTITUTE(SUBSTITUTE(VLOOKUP(A260,'Quarterly Pipeline vs Target Pi'!A:G,6,false)," $","")," €",""), "")
)</f>
        <v>0</v>
      </c>
      <c r="Z260" s="1">
        <f>value(IFERROR(SUBSTITUTE(SUBSTITUTE(VLOOKUP(A260,'Quarterly Pipeline vs Target Pi'!A:G,7,false)," $","")," €",""), "")
)</f>
        <v>0</v>
      </c>
      <c r="AA260" s="17" t="str">
        <f t="shared" si="9"/>
        <v/>
      </c>
      <c r="AB260" s="1">
        <f>value(IFERROR(SUBSTITUTE(SUBSTITUTE(VLOOKUP($A260,'Quarterly Pipeline vs Target Pi'!$A:$V,11,false)," $","")," €",""), "")
)</f>
        <v>0</v>
      </c>
      <c r="AC260" s="1">
        <f>value(IFERROR(SUBSTITUTE(SUBSTITUTE(VLOOKUP($A260,'Quarterly Pipeline vs Target Pi'!$A:$V,12,false)," $","")," €",""), "")
)</f>
        <v>0</v>
      </c>
      <c r="AD260" s="17" t="str">
        <f t="shared" si="10"/>
        <v/>
      </c>
      <c r="AE260" s="1">
        <f>value(IFERROR(SUBSTITUTE(SUBSTITUTE(VLOOKUP($A260,'Quarterly Pipeline vs Target Pi'!$A:$V,16,false)," $","")," €",""), "")
)</f>
        <v>0</v>
      </c>
      <c r="AF260" s="1">
        <f>value(IFERROR(SUBSTITUTE(SUBSTITUTE(VLOOKUP($A260,'Quarterly Pipeline vs Target Pi'!$A:$V,17,false)," $","")," €",""), "")
)</f>
        <v>0</v>
      </c>
      <c r="AG260" s="17" t="str">
        <f t="shared" si="11"/>
        <v/>
      </c>
      <c r="AH260" s="1">
        <f>value(IFERROR(SUBSTITUTE(SUBSTITUTE(VLOOKUP($A260,'Quarterly Pipeline vs Target Pi'!$A:$V,21,false)," $","")," €",""), "")
)</f>
        <v>0</v>
      </c>
      <c r="AI260" s="1">
        <f>value(IFERROR(SUBSTITUTE(SUBSTITUTE(VLOOKUP($A260,'Quarterly Pipeline vs Target Pi'!$A:$V,22,false)," $","")," €",""), "")
)</f>
        <v>0</v>
      </c>
      <c r="AJ260" s="17" t="str">
        <f t="shared" si="12"/>
        <v/>
      </c>
      <c r="AK260" s="1">
        <f t="shared" ref="AK260:AL260" si="533">sum(Y260,AB260,AE260,AH260)</f>
        <v>0</v>
      </c>
      <c r="AL260" s="1">
        <f t="shared" si="533"/>
        <v>0</v>
      </c>
      <c r="AM260" s="17" t="str">
        <f t="shared" si="14"/>
        <v/>
      </c>
      <c r="AN260" s="1">
        <f>value(IFERROR(SUBSTITUTE(SUBSTITUTE(VLOOKUP($A260,'Quarterly Pipeline vs Target Pi'!$A:$AP,26,false)," $","")," €",""), "")
)</f>
        <v>0</v>
      </c>
      <c r="AO260" s="1">
        <f>value(IFERROR(SUBSTITUTE(SUBSTITUTE(VLOOKUP($A260,'Quarterly Pipeline vs Target Pi'!$A:$AP,27,false)," $","")," €",""), "")
)</f>
        <v>0</v>
      </c>
      <c r="AP260" s="17" t="str">
        <f t="shared" si="15"/>
        <v/>
      </c>
      <c r="AQ260" s="1">
        <f>value(IFERROR(SUBSTITUTE(SUBSTITUTE(VLOOKUP($A260,'Quarterly Pipeline vs Target Pi'!$A:$AP,31,false)," $","")," €",""), "")
)</f>
        <v>0</v>
      </c>
      <c r="AR260" s="1">
        <f>value(IFERROR(SUBSTITUTE(SUBSTITUTE(VLOOKUP($A260,'Quarterly Pipeline vs Target Pi'!$A:$AP,32,false)," $","")," €",""), "")
)</f>
        <v>0</v>
      </c>
      <c r="AS260" s="17" t="str">
        <f t="shared" si="16"/>
        <v/>
      </c>
      <c r="AT260" s="1">
        <f>value(IFERROR(SUBSTITUTE(SUBSTITUTE(VLOOKUP($A260,'Quarterly Pipeline vs Target Pi'!$A:$AP,36,false)," $","")," €",""), "")
)</f>
        <v>0</v>
      </c>
      <c r="AU260" s="1">
        <f>value(IFERROR(SUBSTITUTE(SUBSTITUTE(VLOOKUP($A260,'Quarterly Pipeline vs Target Pi'!$A:$AP,37,false)," $","")," €",""), "")
)</f>
        <v>0</v>
      </c>
      <c r="AV260" s="17" t="str">
        <f t="shared" si="17"/>
        <v/>
      </c>
      <c r="AW260" s="1">
        <f>value(IFERROR(SUBSTITUTE(SUBSTITUTE(VLOOKUP($A260,'Quarterly Pipeline vs Target Pi'!$A:$AP,41,false)," $","")," €",""), "")
)</f>
        <v>0</v>
      </c>
      <c r="AX260" s="1">
        <f>value(IFERROR(SUBSTITUTE(SUBSTITUTE(VLOOKUP($A260,'Quarterly Pipeline vs Target Pi'!$A:$AP,42,false)," $","")," €",""), "")
)</f>
        <v>0</v>
      </c>
      <c r="AY260" s="17" t="str">
        <f t="shared" si="18"/>
        <v/>
      </c>
      <c r="AZ260" s="1">
        <f t="shared" ref="AZ260:BA260" si="534">sum(AN260,AQ260,AT260,AW260)</f>
        <v>0</v>
      </c>
      <c r="BA260" s="1">
        <f t="shared" si="534"/>
        <v>0</v>
      </c>
      <c r="BB260" s="17" t="str">
        <f t="shared" si="20"/>
        <v/>
      </c>
    </row>
    <row r="261">
      <c r="A261" s="1" t="str">
        <f>IFERROR(__xludf.DUMMYFUNCTION("""COMPUTED_VALUE"""),"63ea6e9452ad6968805cecbd")</f>
        <v>63ea6e9452ad6968805cecbd</v>
      </c>
      <c r="B261" s="1" t="str">
        <f>IFERROR(__xludf.DUMMYFUNCTION("""COMPUTED_VALUE"""),"key-IT Ge?ner-Steiner GbR")</f>
        <v>key-IT Ge?ner-Steiner GbR</v>
      </c>
      <c r="C261" s="1" t="str">
        <f>IFERROR(__xludf.DUMMYFUNCTION("""COMPUTED_VALUE"""),"andreas.grossheimann@al-enterprise.com, andre.ramm@al-enterprise.com")</f>
        <v>andreas.grossheimann@al-enterprise.com, andre.ramm@al-enterprise.com</v>
      </c>
      <c r="D261" s="1" t="str">
        <f>IFERROR(__xludf.DUMMYFUNCTION("""COMPUTED_VALUE"""),"germany")</f>
        <v>germany</v>
      </c>
      <c r="E261" s="1" t="str">
        <f>IFERROR(__xludf.DUMMYFUNCTION("""COMPUTED_VALUE"""),"DE")</f>
        <v>DE</v>
      </c>
      <c r="F261" s="1"/>
      <c r="G261" s="1" t="str">
        <f>iferror(VLOOKUP(A261,'Business Plan Setup and Accepta'!A:G,6,false),"")</f>
        <v/>
      </c>
      <c r="H261" s="1" t="str">
        <f>iferror(VLOOKUP(A261,'Business Plan Setup and Accepta'!A:G,7,false),"")</f>
        <v/>
      </c>
      <c r="I261" s="17" t="str">
        <f t="shared" si="3"/>
        <v/>
      </c>
      <c r="J261" s="1" t="str">
        <f>IFERROR(VALUE(SUBSTITUTE(VLOOKUP(A261,'Sales IN Revenues vs Sales targ'!A:G,6,false)," $","")), "")
</f>
        <v/>
      </c>
      <c r="K261" s="1" t="str">
        <f>IFERROR(VALUE(SUBSTITUTE(VLOOKUP(A261,'Sales IN Revenues vs Sales targ'!A:G,7,false)," $","")), "")
</f>
        <v/>
      </c>
      <c r="L261" s="17" t="str">
        <f t="shared" si="4"/>
        <v/>
      </c>
      <c r="M261" s="1">
        <f>value(SUBSTITUTE(IFERROR(VLOOKUP(A261,'Certifications achievements vs '!A:G,6,false),""),"#","")
)</f>
        <v>0</v>
      </c>
      <c r="N261" s="1">
        <f>value(SUBSTITUTE(IFERROR(VLOOKUP(A261,'Certifications achievements vs '!A:G,7,false),""),"#","")
)</f>
        <v>0</v>
      </c>
      <c r="O261" s="17" t="str">
        <f t="shared" si="5"/>
        <v/>
      </c>
      <c r="P261" s="1">
        <f>value(SUBSTITUTE(IFERROR(VLOOKUP(A261,'Communications - Solution Speci'!A:G,6,false),""),"#","")
)</f>
        <v>0</v>
      </c>
      <c r="Q261" s="1">
        <f>value(SUBSTITUTE(IFERROR(VLOOKUP(A261,'Communications - Solution Speci'!A:G,7,false),""),"#","")
)</f>
        <v>0</v>
      </c>
      <c r="R261" s="17" t="str">
        <f t="shared" si="6"/>
        <v/>
      </c>
      <c r="S261" s="1">
        <f>value(SUBSTITUTE(IFERROR(VLOOKUP(A261,'Networking - Solution Specializ'!A:G,6,false),""),"#","")
)</f>
        <v>0</v>
      </c>
      <c r="T261" s="1">
        <f>value(SUBSTITUTE(IFERROR(VLOOKUP(A261,'Networking - Solution Specializ'!A:G,7,false),""),"#","")
)</f>
        <v>0</v>
      </c>
      <c r="U261" s="17" t="str">
        <f t="shared" si="7"/>
        <v/>
      </c>
      <c r="V261" s="1" t="str">
        <f>iferror(vlookup(A261,'Marketing Plan (extract summary'!A:G,6,false),"")</f>
        <v/>
      </c>
      <c r="W261" s="1" t="str">
        <f>iferror(vlookup(A261,'Marketing Plan (extract summary'!A:G,7,false),"")</f>
        <v/>
      </c>
      <c r="X261" s="17" t="str">
        <f t="shared" si="8"/>
        <v/>
      </c>
      <c r="Y261" s="1">
        <f>value(IFERROR(SUBSTITUTE(SUBSTITUTE(VLOOKUP(A261,'Quarterly Pipeline vs Target Pi'!A:G,6,false)," $","")," €",""), "")
)</f>
        <v>0</v>
      </c>
      <c r="Z261" s="1">
        <f>value(IFERROR(SUBSTITUTE(SUBSTITUTE(VLOOKUP(A261,'Quarterly Pipeline vs Target Pi'!A:G,7,false)," $","")," €",""), "")
)</f>
        <v>0</v>
      </c>
      <c r="AA261" s="17" t="str">
        <f t="shared" si="9"/>
        <v/>
      </c>
      <c r="AB261" s="1">
        <f>value(IFERROR(SUBSTITUTE(SUBSTITUTE(VLOOKUP($A261,'Quarterly Pipeline vs Target Pi'!$A:$V,11,false)," $","")," €",""), "")
)</f>
        <v>0</v>
      </c>
      <c r="AC261" s="1">
        <f>value(IFERROR(SUBSTITUTE(SUBSTITUTE(VLOOKUP($A261,'Quarterly Pipeline vs Target Pi'!$A:$V,12,false)," $","")," €",""), "")
)</f>
        <v>0</v>
      </c>
      <c r="AD261" s="17" t="str">
        <f t="shared" si="10"/>
        <v/>
      </c>
      <c r="AE261" s="1">
        <f>value(IFERROR(SUBSTITUTE(SUBSTITUTE(VLOOKUP($A261,'Quarterly Pipeline vs Target Pi'!$A:$V,16,false)," $","")," €",""), "")
)</f>
        <v>0</v>
      </c>
      <c r="AF261" s="1">
        <f>value(IFERROR(SUBSTITUTE(SUBSTITUTE(VLOOKUP($A261,'Quarterly Pipeline vs Target Pi'!$A:$V,17,false)," $","")," €",""), "")
)</f>
        <v>0</v>
      </c>
      <c r="AG261" s="17" t="str">
        <f t="shared" si="11"/>
        <v/>
      </c>
      <c r="AH261" s="1">
        <f>value(IFERROR(SUBSTITUTE(SUBSTITUTE(VLOOKUP($A261,'Quarterly Pipeline vs Target Pi'!$A:$V,21,false)," $","")," €",""), "")
)</f>
        <v>0</v>
      </c>
      <c r="AI261" s="1">
        <f>value(IFERROR(SUBSTITUTE(SUBSTITUTE(VLOOKUP($A261,'Quarterly Pipeline vs Target Pi'!$A:$V,22,false)," $","")," €",""), "")
)</f>
        <v>0</v>
      </c>
      <c r="AJ261" s="17" t="str">
        <f t="shared" si="12"/>
        <v/>
      </c>
      <c r="AK261" s="1">
        <f t="shared" ref="AK261:AL261" si="535">sum(Y261,AB261,AE261,AH261)</f>
        <v>0</v>
      </c>
      <c r="AL261" s="1">
        <f t="shared" si="535"/>
        <v>0</v>
      </c>
      <c r="AM261" s="17" t="str">
        <f t="shared" si="14"/>
        <v/>
      </c>
      <c r="AN261" s="1">
        <f>value(IFERROR(SUBSTITUTE(SUBSTITUTE(VLOOKUP($A261,'Quarterly Pipeline vs Target Pi'!$A:$AP,26,false)," $","")," €",""), "")
)</f>
        <v>0</v>
      </c>
      <c r="AO261" s="1">
        <f>value(IFERROR(SUBSTITUTE(SUBSTITUTE(VLOOKUP($A261,'Quarterly Pipeline vs Target Pi'!$A:$AP,27,false)," $","")," €",""), "")
)</f>
        <v>0</v>
      </c>
      <c r="AP261" s="17" t="str">
        <f t="shared" si="15"/>
        <v/>
      </c>
      <c r="AQ261" s="1">
        <f>value(IFERROR(SUBSTITUTE(SUBSTITUTE(VLOOKUP($A261,'Quarterly Pipeline vs Target Pi'!$A:$AP,31,false)," $","")," €",""), "")
)</f>
        <v>0</v>
      </c>
      <c r="AR261" s="1">
        <f>value(IFERROR(SUBSTITUTE(SUBSTITUTE(VLOOKUP($A261,'Quarterly Pipeline vs Target Pi'!$A:$AP,32,false)," $","")," €",""), "")
)</f>
        <v>0</v>
      </c>
      <c r="AS261" s="17" t="str">
        <f t="shared" si="16"/>
        <v/>
      </c>
      <c r="AT261" s="1">
        <f>value(IFERROR(SUBSTITUTE(SUBSTITUTE(VLOOKUP($A261,'Quarterly Pipeline vs Target Pi'!$A:$AP,36,false)," $","")," €",""), "")
)</f>
        <v>0</v>
      </c>
      <c r="AU261" s="1">
        <f>value(IFERROR(SUBSTITUTE(SUBSTITUTE(VLOOKUP($A261,'Quarterly Pipeline vs Target Pi'!$A:$AP,37,false)," $","")," €",""), "")
)</f>
        <v>0</v>
      </c>
      <c r="AV261" s="17" t="str">
        <f t="shared" si="17"/>
        <v/>
      </c>
      <c r="AW261" s="1">
        <f>value(IFERROR(SUBSTITUTE(SUBSTITUTE(VLOOKUP($A261,'Quarterly Pipeline vs Target Pi'!$A:$AP,41,false)," $","")," €",""), "")
)</f>
        <v>0</v>
      </c>
      <c r="AX261" s="1">
        <f>value(IFERROR(SUBSTITUTE(SUBSTITUTE(VLOOKUP($A261,'Quarterly Pipeline vs Target Pi'!$A:$AP,42,false)," $","")," €",""), "")
)</f>
        <v>0</v>
      </c>
      <c r="AY261" s="17" t="str">
        <f t="shared" si="18"/>
        <v/>
      </c>
      <c r="AZ261" s="1">
        <f t="shared" ref="AZ261:BA261" si="536">sum(AN261,AQ261,AT261,AW261)</f>
        <v>0</v>
      </c>
      <c r="BA261" s="1">
        <f t="shared" si="536"/>
        <v>0</v>
      </c>
      <c r="BB261" s="17" t="str">
        <f t="shared" si="20"/>
        <v/>
      </c>
    </row>
    <row r="262">
      <c r="A262" s="1" t="str">
        <f>IFERROR(__xludf.DUMMYFUNCTION("""COMPUTED_VALUE"""),"67766946b2d056a637007f82")</f>
        <v>67766946b2d056a637007f82</v>
      </c>
      <c r="B262" s="1" t="str">
        <f>IFERROR(__xludf.DUMMYFUNCTION("""COMPUTED_VALUE"""),"KIT Services LLC")</f>
        <v>KIT Services LLC</v>
      </c>
      <c r="C262" s="1" t="str">
        <f>IFERROR(__xludf.DUMMYFUNCTION("""COMPUTED_VALUE"""),"brendan.flaherty@al-enterprise.com")</f>
        <v>brendan.flaherty@al-enterprise.com</v>
      </c>
      <c r="D262" s="1" t="str">
        <f>IFERROR(__xludf.DUMMYFUNCTION("""COMPUTED_VALUE"""),"americas")</f>
        <v>americas</v>
      </c>
      <c r="E262" s="1" t="str">
        <f>IFERROR(__xludf.DUMMYFUNCTION("""COMPUTED_VALUE"""),"US")</f>
        <v>US</v>
      </c>
      <c r="F262" s="1" t="str">
        <f>IFERROR(__xludf.DUMMYFUNCTION("""COMPUTED_VALUE"""),"expert_200")</f>
        <v>expert_200</v>
      </c>
      <c r="G262" s="1">
        <f>iferror(VLOOKUP(A262,'Business Plan Setup and Accepta'!A:G,6,false),"")</f>
        <v>0</v>
      </c>
      <c r="H262" s="1">
        <f>iferror(VLOOKUP(A262,'Business Plan Setup and Accepta'!A:G,7,false),"")</f>
        <v>1</v>
      </c>
      <c r="I262" s="17">
        <f t="shared" si="3"/>
        <v>0</v>
      </c>
      <c r="J262" s="1">
        <f>IFERROR(VALUE(SUBSTITUTE(VLOOKUP(A262,'Sales IN Revenues vs Sales targ'!A:G,6,false)," $","")), "")
</f>
        <v>14.61</v>
      </c>
      <c r="K262" s="1">
        <f>IFERROR(VALUE(SUBSTITUTE(VLOOKUP(A262,'Sales IN Revenues vs Sales targ'!A:G,7,false)," $","")), "")
</f>
        <v>0</v>
      </c>
      <c r="L262" s="17" t="str">
        <f t="shared" si="4"/>
        <v/>
      </c>
      <c r="M262" s="1">
        <f>value(SUBSTITUTE(IFERROR(VLOOKUP(A262,'Certifications achievements vs '!A:G,6,false),""),"#","")
)</f>
        <v>9</v>
      </c>
      <c r="N262" s="1">
        <f>value(SUBSTITUTE(IFERROR(VLOOKUP(A262,'Certifications achievements vs '!A:G,7,false),""),"#","")
)</f>
        <v>0</v>
      </c>
      <c r="O262" s="17" t="str">
        <f t="shared" si="5"/>
        <v/>
      </c>
      <c r="P262" s="1">
        <f>value(SUBSTITUTE(IFERROR(VLOOKUP(A262,'Communications - Solution Speci'!A:G,6,false),""),"#","")
)</f>
        <v>0</v>
      </c>
      <c r="Q262" s="1">
        <f>value(SUBSTITUTE(IFERROR(VLOOKUP(A262,'Communications - Solution Speci'!A:G,7,false),""),"#","")
)</f>
        <v>1</v>
      </c>
      <c r="R262" s="17">
        <f t="shared" si="6"/>
        <v>0</v>
      </c>
      <c r="S262" s="1">
        <f>value(SUBSTITUTE(IFERROR(VLOOKUP(A262,'Networking - Solution Specializ'!A:G,6,false),""),"#","")
)</f>
        <v>0</v>
      </c>
      <c r="T262" s="1">
        <f>value(SUBSTITUTE(IFERROR(VLOOKUP(A262,'Networking - Solution Specializ'!A:G,7,false),""),"#","")
)</f>
        <v>1</v>
      </c>
      <c r="U262" s="17">
        <f t="shared" si="7"/>
        <v>0</v>
      </c>
      <c r="V262" s="1">
        <f>iferror(vlookup(A262,'Marketing Plan (extract summary'!A:G,6,false),"")</f>
        <v>0</v>
      </c>
      <c r="W262" s="1">
        <f>iferror(vlookup(A262,'Marketing Plan (extract summary'!A:G,7,false),"")</f>
        <v>1</v>
      </c>
      <c r="X262" s="17">
        <f t="shared" si="8"/>
        <v>0</v>
      </c>
      <c r="Y262" s="1">
        <f>value(IFERROR(SUBSTITUTE(SUBSTITUTE(VLOOKUP(A262,'Quarterly Pipeline vs Target Pi'!A:G,6,false)," $","")," €",""), "")
)</f>
        <v>0</v>
      </c>
      <c r="Z262" s="1">
        <f>value(IFERROR(SUBSTITUTE(SUBSTITUTE(VLOOKUP(A262,'Quarterly Pipeline vs Target Pi'!A:G,7,false)," $","")," €",""), "")
)</f>
        <v>0</v>
      </c>
      <c r="AA262" s="17" t="str">
        <f t="shared" si="9"/>
        <v/>
      </c>
      <c r="AB262" s="1">
        <f>value(IFERROR(SUBSTITUTE(SUBSTITUTE(VLOOKUP($A262,'Quarterly Pipeline vs Target Pi'!$A:$V,11,false)," $","")," €",""), "")
)</f>
        <v>263.96</v>
      </c>
      <c r="AC262" s="1">
        <f>value(IFERROR(SUBSTITUTE(SUBSTITUTE(VLOOKUP($A262,'Quarterly Pipeline vs Target Pi'!$A:$V,12,false)," $","")," €",""), "")
)</f>
        <v>0</v>
      </c>
      <c r="AD262" s="17" t="str">
        <f t="shared" si="10"/>
        <v/>
      </c>
      <c r="AE262" s="1">
        <f>value(IFERROR(SUBSTITUTE(SUBSTITUTE(VLOOKUP($A262,'Quarterly Pipeline vs Target Pi'!$A:$V,16,false)," $","")," €",""), "")
)</f>
        <v>263.96</v>
      </c>
      <c r="AF262" s="1">
        <f>value(IFERROR(SUBSTITUTE(SUBSTITUTE(VLOOKUP($A262,'Quarterly Pipeline vs Target Pi'!$A:$V,17,false)," $","")," €",""), "")
)</f>
        <v>0</v>
      </c>
      <c r="AG262" s="17" t="str">
        <f t="shared" si="11"/>
        <v/>
      </c>
      <c r="AH262" s="1">
        <f>value(IFERROR(SUBSTITUTE(SUBSTITUTE(VLOOKUP($A262,'Quarterly Pipeline vs Target Pi'!$A:$V,21,false)," $","")," €",""), "")
)</f>
        <v>1031.17</v>
      </c>
      <c r="AI262" s="1">
        <f>value(IFERROR(SUBSTITUTE(SUBSTITUTE(VLOOKUP($A262,'Quarterly Pipeline vs Target Pi'!$A:$V,22,false)," $","")," €",""), "")
)</f>
        <v>0</v>
      </c>
      <c r="AJ262" s="17" t="str">
        <f t="shared" si="12"/>
        <v/>
      </c>
      <c r="AK262" s="1">
        <f t="shared" ref="AK262:AL262" si="537">sum(Y262,AB262,AE262,AH262)</f>
        <v>1559.09</v>
      </c>
      <c r="AL262" s="1">
        <f t="shared" si="537"/>
        <v>0</v>
      </c>
      <c r="AM262" s="17" t="str">
        <f t="shared" si="14"/>
        <v/>
      </c>
      <c r="AN262" s="1">
        <f>value(IFERROR(SUBSTITUTE(SUBSTITUTE(VLOOKUP($A262,'Quarterly Pipeline vs Target Pi'!$A:$AP,26,false)," $","")," €",""), "")
)</f>
        <v>0</v>
      </c>
      <c r="AO262" s="1">
        <f>value(IFERROR(SUBSTITUTE(SUBSTITUTE(VLOOKUP($A262,'Quarterly Pipeline vs Target Pi'!$A:$AP,27,false)," $","")," €",""), "")
)</f>
        <v>0</v>
      </c>
      <c r="AP262" s="17" t="str">
        <f t="shared" si="15"/>
        <v/>
      </c>
      <c r="AQ262" s="1">
        <f>value(IFERROR(SUBSTITUTE(SUBSTITUTE(VLOOKUP($A262,'Quarterly Pipeline vs Target Pi'!$A:$AP,31,false)," $","")," €",""), "")
)</f>
        <v>949.54</v>
      </c>
      <c r="AR262" s="1">
        <f>value(IFERROR(SUBSTITUTE(SUBSTITUTE(VLOOKUP($A262,'Quarterly Pipeline vs Target Pi'!$A:$AP,32,false)," $","")," €",""), "")
)</f>
        <v>0</v>
      </c>
      <c r="AS262" s="17" t="str">
        <f t="shared" si="16"/>
        <v/>
      </c>
      <c r="AT262" s="1">
        <f>value(IFERROR(SUBSTITUTE(SUBSTITUTE(VLOOKUP($A262,'Quarterly Pipeline vs Target Pi'!$A:$AP,36,false)," $","")," €",""), "")
)</f>
        <v>0</v>
      </c>
      <c r="AU262" s="1">
        <f>value(IFERROR(SUBSTITUTE(SUBSTITUTE(VLOOKUP($A262,'Quarterly Pipeline vs Target Pi'!$A:$AP,37,false)," $","")," €",""), "")
)</f>
        <v>0</v>
      </c>
      <c r="AV262" s="17" t="str">
        <f t="shared" si="17"/>
        <v/>
      </c>
      <c r="AW262" s="1">
        <f>value(IFERROR(SUBSTITUTE(SUBSTITUTE(VLOOKUP($A262,'Quarterly Pipeline vs Target Pi'!$A:$AP,41,false)," $","")," €",""), "")
)</f>
        <v>0</v>
      </c>
      <c r="AX262" s="1">
        <f>value(IFERROR(SUBSTITUTE(SUBSTITUTE(VLOOKUP($A262,'Quarterly Pipeline vs Target Pi'!$A:$AP,42,false)," $","")," €",""), "")
)</f>
        <v>0</v>
      </c>
      <c r="AY262" s="17" t="str">
        <f t="shared" si="18"/>
        <v/>
      </c>
      <c r="AZ262" s="1">
        <f t="shared" ref="AZ262:BA262" si="538">sum(AN262,AQ262,AT262,AW262)</f>
        <v>949.54</v>
      </c>
      <c r="BA262" s="1">
        <f t="shared" si="538"/>
        <v>0</v>
      </c>
      <c r="BB262" s="17" t="str">
        <f t="shared" si="20"/>
        <v/>
      </c>
    </row>
    <row r="263">
      <c r="A263" s="1" t="str">
        <f>IFERROR(__xludf.DUMMYFUNCTION("""COMPUTED_VALUE"""),"63ea6e9752ad6968805cf067")</f>
        <v>63ea6e9752ad6968805cf067</v>
      </c>
      <c r="B263" s="1" t="str">
        <f>IFERROR(__xludf.DUMMYFUNCTION("""COMPUTED_VALUE"""),"KMM - T.D.KOM Telefon-Daten-")</f>
        <v>KMM - T.D.KOM Telefon-Daten-</v>
      </c>
      <c r="C263" s="1" t="str">
        <f>IFERROR(__xludf.DUMMYFUNCTION("""COMPUTED_VALUE"""),"andreas.grossheimann@al-enterprise.com, andre.ramm@al-enterprise.com")</f>
        <v>andreas.grossheimann@al-enterprise.com, andre.ramm@al-enterprise.com</v>
      </c>
      <c r="D263" s="1" t="str">
        <f>IFERROR(__xludf.DUMMYFUNCTION("""COMPUTED_VALUE"""),"germany")</f>
        <v>germany</v>
      </c>
      <c r="E263" s="1" t="str">
        <f>IFERROR(__xludf.DUMMYFUNCTION("""COMPUTED_VALUE"""),"DE")</f>
        <v>DE</v>
      </c>
      <c r="F263" s="1"/>
      <c r="G263" s="1" t="str">
        <f>iferror(VLOOKUP(A263,'Business Plan Setup and Accepta'!A:G,6,false),"")</f>
        <v/>
      </c>
      <c r="H263" s="1" t="str">
        <f>iferror(VLOOKUP(A263,'Business Plan Setup and Accepta'!A:G,7,false),"")</f>
        <v/>
      </c>
      <c r="I263" s="17" t="str">
        <f t="shared" si="3"/>
        <v/>
      </c>
      <c r="J263" s="1" t="str">
        <f>IFERROR(VALUE(SUBSTITUTE(VLOOKUP(A263,'Sales IN Revenues vs Sales targ'!A:G,6,false)," $","")), "")
</f>
        <v/>
      </c>
      <c r="K263" s="1" t="str">
        <f>IFERROR(VALUE(SUBSTITUTE(VLOOKUP(A263,'Sales IN Revenues vs Sales targ'!A:G,7,false)," $","")), "")
</f>
        <v/>
      </c>
      <c r="L263" s="17" t="str">
        <f t="shared" si="4"/>
        <v/>
      </c>
      <c r="M263" s="1">
        <f>value(SUBSTITUTE(IFERROR(VLOOKUP(A263,'Certifications achievements vs '!A:G,6,false),""),"#","")
)</f>
        <v>0</v>
      </c>
      <c r="N263" s="1">
        <f>value(SUBSTITUTE(IFERROR(VLOOKUP(A263,'Certifications achievements vs '!A:G,7,false),""),"#","")
)</f>
        <v>0</v>
      </c>
      <c r="O263" s="17" t="str">
        <f t="shared" si="5"/>
        <v/>
      </c>
      <c r="P263" s="1">
        <f>value(SUBSTITUTE(IFERROR(VLOOKUP(A263,'Communications - Solution Speci'!A:G,6,false),""),"#","")
)</f>
        <v>0</v>
      </c>
      <c r="Q263" s="1">
        <f>value(SUBSTITUTE(IFERROR(VLOOKUP(A263,'Communications - Solution Speci'!A:G,7,false),""),"#","")
)</f>
        <v>0</v>
      </c>
      <c r="R263" s="17" t="str">
        <f t="shared" si="6"/>
        <v/>
      </c>
      <c r="S263" s="1">
        <f>value(SUBSTITUTE(IFERROR(VLOOKUP(A263,'Networking - Solution Specializ'!A:G,6,false),""),"#","")
)</f>
        <v>0</v>
      </c>
      <c r="T263" s="1">
        <f>value(SUBSTITUTE(IFERROR(VLOOKUP(A263,'Networking - Solution Specializ'!A:G,7,false),""),"#","")
)</f>
        <v>0</v>
      </c>
      <c r="U263" s="17" t="str">
        <f t="shared" si="7"/>
        <v/>
      </c>
      <c r="V263" s="1" t="str">
        <f>iferror(vlookup(A263,'Marketing Plan (extract summary'!A:G,6,false),"")</f>
        <v/>
      </c>
      <c r="W263" s="1" t="str">
        <f>iferror(vlookup(A263,'Marketing Plan (extract summary'!A:G,7,false),"")</f>
        <v/>
      </c>
      <c r="X263" s="17" t="str">
        <f t="shared" si="8"/>
        <v/>
      </c>
      <c r="Y263" s="1">
        <f>value(IFERROR(SUBSTITUTE(SUBSTITUTE(VLOOKUP(A263,'Quarterly Pipeline vs Target Pi'!A:G,6,false)," $","")," €",""), "")
)</f>
        <v>0</v>
      </c>
      <c r="Z263" s="1">
        <f>value(IFERROR(SUBSTITUTE(SUBSTITUTE(VLOOKUP(A263,'Quarterly Pipeline vs Target Pi'!A:G,7,false)," $","")," €",""), "")
)</f>
        <v>0</v>
      </c>
      <c r="AA263" s="17" t="str">
        <f t="shared" si="9"/>
        <v/>
      </c>
      <c r="AB263" s="1">
        <f>value(IFERROR(SUBSTITUTE(SUBSTITUTE(VLOOKUP($A263,'Quarterly Pipeline vs Target Pi'!$A:$V,11,false)," $","")," €",""), "")
)</f>
        <v>0</v>
      </c>
      <c r="AC263" s="1">
        <f>value(IFERROR(SUBSTITUTE(SUBSTITUTE(VLOOKUP($A263,'Quarterly Pipeline vs Target Pi'!$A:$V,12,false)," $","")," €",""), "")
)</f>
        <v>0</v>
      </c>
      <c r="AD263" s="17" t="str">
        <f t="shared" si="10"/>
        <v/>
      </c>
      <c r="AE263" s="1">
        <f>value(IFERROR(SUBSTITUTE(SUBSTITUTE(VLOOKUP($A263,'Quarterly Pipeline vs Target Pi'!$A:$V,16,false)," $","")," €",""), "")
)</f>
        <v>0</v>
      </c>
      <c r="AF263" s="1">
        <f>value(IFERROR(SUBSTITUTE(SUBSTITUTE(VLOOKUP($A263,'Quarterly Pipeline vs Target Pi'!$A:$V,17,false)," $","")," €",""), "")
)</f>
        <v>0</v>
      </c>
      <c r="AG263" s="17" t="str">
        <f t="shared" si="11"/>
        <v/>
      </c>
      <c r="AH263" s="1">
        <f>value(IFERROR(SUBSTITUTE(SUBSTITUTE(VLOOKUP($A263,'Quarterly Pipeline vs Target Pi'!$A:$V,21,false)," $","")," €",""), "")
)</f>
        <v>0</v>
      </c>
      <c r="AI263" s="1">
        <f>value(IFERROR(SUBSTITUTE(SUBSTITUTE(VLOOKUP($A263,'Quarterly Pipeline vs Target Pi'!$A:$V,22,false)," $","")," €",""), "")
)</f>
        <v>0</v>
      </c>
      <c r="AJ263" s="17" t="str">
        <f t="shared" si="12"/>
        <v/>
      </c>
      <c r="AK263" s="1">
        <f t="shared" ref="AK263:AL263" si="539">sum(Y263,AB263,AE263,AH263)</f>
        <v>0</v>
      </c>
      <c r="AL263" s="1">
        <f t="shared" si="539"/>
        <v>0</v>
      </c>
      <c r="AM263" s="17" t="str">
        <f t="shared" si="14"/>
        <v/>
      </c>
      <c r="AN263" s="1">
        <f>value(IFERROR(SUBSTITUTE(SUBSTITUTE(VLOOKUP($A263,'Quarterly Pipeline vs Target Pi'!$A:$AP,26,false)," $","")," €",""), "")
)</f>
        <v>0</v>
      </c>
      <c r="AO263" s="1">
        <f>value(IFERROR(SUBSTITUTE(SUBSTITUTE(VLOOKUP($A263,'Quarterly Pipeline vs Target Pi'!$A:$AP,27,false)," $","")," €",""), "")
)</f>
        <v>0</v>
      </c>
      <c r="AP263" s="17" t="str">
        <f t="shared" si="15"/>
        <v/>
      </c>
      <c r="AQ263" s="1">
        <f>value(IFERROR(SUBSTITUTE(SUBSTITUTE(VLOOKUP($A263,'Quarterly Pipeline vs Target Pi'!$A:$AP,31,false)," $","")," €",""), "")
)</f>
        <v>0</v>
      </c>
      <c r="AR263" s="1">
        <f>value(IFERROR(SUBSTITUTE(SUBSTITUTE(VLOOKUP($A263,'Quarterly Pipeline vs Target Pi'!$A:$AP,32,false)," $","")," €",""), "")
)</f>
        <v>0</v>
      </c>
      <c r="AS263" s="17" t="str">
        <f t="shared" si="16"/>
        <v/>
      </c>
      <c r="AT263" s="1">
        <f>value(IFERROR(SUBSTITUTE(SUBSTITUTE(VLOOKUP($A263,'Quarterly Pipeline vs Target Pi'!$A:$AP,36,false)," $","")," €",""), "")
)</f>
        <v>0</v>
      </c>
      <c r="AU263" s="1">
        <f>value(IFERROR(SUBSTITUTE(SUBSTITUTE(VLOOKUP($A263,'Quarterly Pipeline vs Target Pi'!$A:$AP,37,false)," $","")," €",""), "")
)</f>
        <v>0</v>
      </c>
      <c r="AV263" s="17" t="str">
        <f t="shared" si="17"/>
        <v/>
      </c>
      <c r="AW263" s="1">
        <f>value(IFERROR(SUBSTITUTE(SUBSTITUTE(VLOOKUP($A263,'Quarterly Pipeline vs Target Pi'!$A:$AP,41,false)," $","")," €",""), "")
)</f>
        <v>0</v>
      </c>
      <c r="AX263" s="1">
        <f>value(IFERROR(SUBSTITUTE(SUBSTITUTE(VLOOKUP($A263,'Quarterly Pipeline vs Target Pi'!$A:$AP,42,false)," $","")," €",""), "")
)</f>
        <v>0</v>
      </c>
      <c r="AY263" s="17" t="str">
        <f t="shared" si="18"/>
        <v/>
      </c>
      <c r="AZ263" s="1">
        <f t="shared" ref="AZ263:BA263" si="540">sum(AN263,AQ263,AT263,AW263)</f>
        <v>0</v>
      </c>
      <c r="BA263" s="1">
        <f t="shared" si="540"/>
        <v>0</v>
      </c>
      <c r="BB263" s="17" t="str">
        <f t="shared" si="20"/>
        <v/>
      </c>
    </row>
    <row r="264">
      <c r="A264" s="1" t="str">
        <f>IFERROR(__xludf.DUMMYFUNCTION("""COMPUTED_VALUE"""),"63ced842c5c820531c2680a5")</f>
        <v>63ced842c5c820531c2680a5</v>
      </c>
      <c r="B264" s="1" t="str">
        <f>IFERROR(__xludf.DUMMYFUNCTION("""COMPUTED_VALUE"""),"Know How S.A.")</f>
        <v>Know How S.A.</v>
      </c>
      <c r="C264" s="1" t="str">
        <f>IFERROR(__xludf.DUMMYFUNCTION("""COMPUTED_VALUE"""),"luis.arriagada@al-enterprise.com")</f>
        <v>luis.arriagada@al-enterprise.com</v>
      </c>
      <c r="D264" s="1" t="str">
        <f>IFERROR(__xludf.DUMMYFUNCTION("""COMPUTED_VALUE"""),"americas")</f>
        <v>americas</v>
      </c>
      <c r="E264" s="1" t="str">
        <f>IFERROR(__xludf.DUMMYFUNCTION("""COMPUTED_VALUE"""),"PY")</f>
        <v>PY</v>
      </c>
      <c r="F264" s="1"/>
      <c r="G264" s="1" t="str">
        <f>iferror(VLOOKUP(A264,'Business Plan Setup and Accepta'!A:G,6,false),"")</f>
        <v/>
      </c>
      <c r="H264" s="1" t="str">
        <f>iferror(VLOOKUP(A264,'Business Plan Setup and Accepta'!A:G,7,false),"")</f>
        <v/>
      </c>
      <c r="I264" s="17" t="str">
        <f t="shared" si="3"/>
        <v/>
      </c>
      <c r="J264" s="1" t="str">
        <f>IFERROR(VALUE(SUBSTITUTE(VLOOKUP(A264,'Sales IN Revenues vs Sales targ'!A:G,6,false)," $","")), "")
</f>
        <v/>
      </c>
      <c r="K264" s="1" t="str">
        <f>IFERROR(VALUE(SUBSTITUTE(VLOOKUP(A264,'Sales IN Revenues vs Sales targ'!A:G,7,false)," $","")), "")
</f>
        <v/>
      </c>
      <c r="L264" s="17" t="str">
        <f t="shared" si="4"/>
        <v/>
      </c>
      <c r="M264" s="1">
        <f>value(SUBSTITUTE(IFERROR(VLOOKUP(A264,'Certifications achievements vs '!A:G,6,false),""),"#","")
)</f>
        <v>15</v>
      </c>
      <c r="N264" s="1">
        <f>value(SUBSTITUTE(IFERROR(VLOOKUP(A264,'Certifications achievements vs '!A:G,7,false),""),"#","")
)</f>
        <v>0</v>
      </c>
      <c r="O264" s="17" t="str">
        <f t="shared" si="5"/>
        <v/>
      </c>
      <c r="P264" s="1">
        <f>value(SUBSTITUTE(IFERROR(VLOOKUP(A264,'Communications - Solution Speci'!A:G,6,false),""),"#","")
)</f>
        <v>0</v>
      </c>
      <c r="Q264" s="1">
        <f>value(SUBSTITUTE(IFERROR(VLOOKUP(A264,'Communications - Solution Speci'!A:G,7,false),""),"#","")
)</f>
        <v>0</v>
      </c>
      <c r="R264" s="17" t="str">
        <f t="shared" si="6"/>
        <v/>
      </c>
      <c r="S264" s="1">
        <f>value(SUBSTITUTE(IFERROR(VLOOKUP(A264,'Networking - Solution Specializ'!A:G,6,false),""),"#","")
)</f>
        <v>0</v>
      </c>
      <c r="T264" s="1">
        <f>value(SUBSTITUTE(IFERROR(VLOOKUP(A264,'Networking - Solution Specializ'!A:G,7,false),""),"#","")
)</f>
        <v>0</v>
      </c>
      <c r="U264" s="17" t="str">
        <f t="shared" si="7"/>
        <v/>
      </c>
      <c r="V264" s="1" t="str">
        <f>iferror(vlookup(A264,'Marketing Plan (extract summary'!A:G,6,false),"")</f>
        <v/>
      </c>
      <c r="W264" s="1" t="str">
        <f>iferror(vlookup(A264,'Marketing Plan (extract summary'!A:G,7,false),"")</f>
        <v/>
      </c>
      <c r="X264" s="17" t="str">
        <f t="shared" si="8"/>
        <v/>
      </c>
      <c r="Y264" s="1">
        <f>value(IFERROR(SUBSTITUTE(SUBSTITUTE(VLOOKUP(A264,'Quarterly Pipeline vs Target Pi'!A:G,6,false)," $","")," €",""), "")
)</f>
        <v>0</v>
      </c>
      <c r="Z264" s="1">
        <f>value(IFERROR(SUBSTITUTE(SUBSTITUTE(VLOOKUP(A264,'Quarterly Pipeline vs Target Pi'!A:G,7,false)," $","")," €",""), "")
)</f>
        <v>0</v>
      </c>
      <c r="AA264" s="17" t="str">
        <f t="shared" si="9"/>
        <v/>
      </c>
      <c r="AB264" s="1">
        <f>value(IFERROR(SUBSTITUTE(SUBSTITUTE(VLOOKUP($A264,'Quarterly Pipeline vs Target Pi'!$A:$V,11,false)," $","")," €",""), "")
)</f>
        <v>0</v>
      </c>
      <c r="AC264" s="1">
        <f>value(IFERROR(SUBSTITUTE(SUBSTITUTE(VLOOKUP($A264,'Quarterly Pipeline vs Target Pi'!$A:$V,12,false)," $","")," €",""), "")
)</f>
        <v>0</v>
      </c>
      <c r="AD264" s="17" t="str">
        <f t="shared" si="10"/>
        <v/>
      </c>
      <c r="AE264" s="1">
        <f>value(IFERROR(SUBSTITUTE(SUBSTITUTE(VLOOKUP($A264,'Quarterly Pipeline vs Target Pi'!$A:$V,16,false)," $","")," €",""), "")
)</f>
        <v>0</v>
      </c>
      <c r="AF264" s="1">
        <f>value(IFERROR(SUBSTITUTE(SUBSTITUTE(VLOOKUP($A264,'Quarterly Pipeline vs Target Pi'!$A:$V,17,false)," $","")," €",""), "")
)</f>
        <v>0</v>
      </c>
      <c r="AG264" s="17" t="str">
        <f t="shared" si="11"/>
        <v/>
      </c>
      <c r="AH264" s="1">
        <f>value(IFERROR(SUBSTITUTE(SUBSTITUTE(VLOOKUP($A264,'Quarterly Pipeline vs Target Pi'!$A:$V,21,false)," $","")," €",""), "")
)</f>
        <v>0</v>
      </c>
      <c r="AI264" s="1">
        <f>value(IFERROR(SUBSTITUTE(SUBSTITUTE(VLOOKUP($A264,'Quarterly Pipeline vs Target Pi'!$A:$V,22,false)," $","")," €",""), "")
)</f>
        <v>0</v>
      </c>
      <c r="AJ264" s="17" t="str">
        <f t="shared" si="12"/>
        <v/>
      </c>
      <c r="AK264" s="1">
        <f t="shared" ref="AK264:AL264" si="541">sum(Y264,AB264,AE264,AH264)</f>
        <v>0</v>
      </c>
      <c r="AL264" s="1">
        <f t="shared" si="541"/>
        <v>0</v>
      </c>
      <c r="AM264" s="17" t="str">
        <f t="shared" si="14"/>
        <v/>
      </c>
      <c r="AN264" s="1">
        <f>value(IFERROR(SUBSTITUTE(SUBSTITUTE(VLOOKUP($A264,'Quarterly Pipeline vs Target Pi'!$A:$AP,26,false)," $","")," €",""), "")
)</f>
        <v>0</v>
      </c>
      <c r="AO264" s="1">
        <f>value(IFERROR(SUBSTITUTE(SUBSTITUTE(VLOOKUP($A264,'Quarterly Pipeline vs Target Pi'!$A:$AP,27,false)," $","")," €",""), "")
)</f>
        <v>0</v>
      </c>
      <c r="AP264" s="17" t="str">
        <f t="shared" si="15"/>
        <v/>
      </c>
      <c r="AQ264" s="1">
        <f>value(IFERROR(SUBSTITUTE(SUBSTITUTE(VLOOKUP($A264,'Quarterly Pipeline vs Target Pi'!$A:$AP,31,false)," $","")," €",""), "")
)</f>
        <v>0</v>
      </c>
      <c r="AR264" s="1">
        <f>value(IFERROR(SUBSTITUTE(SUBSTITUTE(VLOOKUP($A264,'Quarterly Pipeline vs Target Pi'!$A:$AP,32,false)," $","")," €",""), "")
)</f>
        <v>0</v>
      </c>
      <c r="AS264" s="17" t="str">
        <f t="shared" si="16"/>
        <v/>
      </c>
      <c r="AT264" s="1">
        <f>value(IFERROR(SUBSTITUTE(SUBSTITUTE(VLOOKUP($A264,'Quarterly Pipeline vs Target Pi'!$A:$AP,36,false)," $","")," €",""), "")
)</f>
        <v>0</v>
      </c>
      <c r="AU264" s="1">
        <f>value(IFERROR(SUBSTITUTE(SUBSTITUTE(VLOOKUP($A264,'Quarterly Pipeline vs Target Pi'!$A:$AP,37,false)," $","")," €",""), "")
)</f>
        <v>0</v>
      </c>
      <c r="AV264" s="17" t="str">
        <f t="shared" si="17"/>
        <v/>
      </c>
      <c r="AW264" s="1">
        <f>value(IFERROR(SUBSTITUTE(SUBSTITUTE(VLOOKUP($A264,'Quarterly Pipeline vs Target Pi'!$A:$AP,41,false)," $","")," €",""), "")
)</f>
        <v>0</v>
      </c>
      <c r="AX264" s="1">
        <f>value(IFERROR(SUBSTITUTE(SUBSTITUTE(VLOOKUP($A264,'Quarterly Pipeline vs Target Pi'!$A:$AP,42,false)," $","")," €",""), "")
)</f>
        <v>0</v>
      </c>
      <c r="AY264" s="17" t="str">
        <f t="shared" si="18"/>
        <v/>
      </c>
      <c r="AZ264" s="1">
        <f t="shared" ref="AZ264:BA264" si="542">sum(AN264,AQ264,AT264,AW264)</f>
        <v>0</v>
      </c>
      <c r="BA264" s="1">
        <f t="shared" si="542"/>
        <v>0</v>
      </c>
      <c r="BB264" s="17" t="str">
        <f t="shared" si="20"/>
        <v/>
      </c>
    </row>
    <row r="265">
      <c r="A265" s="1" t="str">
        <f>IFERROR(__xludf.DUMMYFUNCTION("""COMPUTED_VALUE"""),"63ea6e9652ad6968805cef95")</f>
        <v>63ea6e9652ad6968805cef95</v>
      </c>
      <c r="B265" s="1" t="str">
        <f>IFERROR(__xludf.DUMMYFUNCTION("""COMPUTED_VALUE"""),"Kommunikationsanlagen Schneider")</f>
        <v>Kommunikationsanlagen Schneider</v>
      </c>
      <c r="C265" s="1" t="str">
        <f>IFERROR(__xludf.DUMMYFUNCTION("""COMPUTED_VALUE"""),"andreas.grossheimann@al-enterprise.com, andre.ramm@al-enterprise.com")</f>
        <v>andreas.grossheimann@al-enterprise.com, andre.ramm@al-enterprise.com</v>
      </c>
      <c r="D265" s="1" t="str">
        <f>IFERROR(__xludf.DUMMYFUNCTION("""COMPUTED_VALUE"""),"germany")</f>
        <v>germany</v>
      </c>
      <c r="E265" s="1" t="str">
        <f>IFERROR(__xludf.DUMMYFUNCTION("""COMPUTED_VALUE"""),"DE")</f>
        <v>DE</v>
      </c>
      <c r="F265" s="1"/>
      <c r="G265" s="1" t="str">
        <f>iferror(VLOOKUP(A265,'Business Plan Setup and Accepta'!A:G,6,false),"")</f>
        <v/>
      </c>
      <c r="H265" s="1" t="str">
        <f>iferror(VLOOKUP(A265,'Business Plan Setup and Accepta'!A:G,7,false),"")</f>
        <v/>
      </c>
      <c r="I265" s="17" t="str">
        <f t="shared" si="3"/>
        <v/>
      </c>
      <c r="J265" s="1" t="str">
        <f>IFERROR(VALUE(SUBSTITUTE(VLOOKUP(A265,'Sales IN Revenues vs Sales targ'!A:G,6,false)," $","")), "")
</f>
        <v/>
      </c>
      <c r="K265" s="1" t="str">
        <f>IFERROR(VALUE(SUBSTITUTE(VLOOKUP(A265,'Sales IN Revenues vs Sales targ'!A:G,7,false)," $","")), "")
</f>
        <v/>
      </c>
      <c r="L265" s="17" t="str">
        <f t="shared" si="4"/>
        <v/>
      </c>
      <c r="M265" s="1">
        <f>value(SUBSTITUTE(IFERROR(VLOOKUP(A265,'Certifications achievements vs '!A:G,6,false),""),"#","")
)</f>
        <v>0</v>
      </c>
      <c r="N265" s="1">
        <f>value(SUBSTITUTE(IFERROR(VLOOKUP(A265,'Certifications achievements vs '!A:G,7,false),""),"#","")
)</f>
        <v>0</v>
      </c>
      <c r="O265" s="17" t="str">
        <f t="shared" si="5"/>
        <v/>
      </c>
      <c r="P265" s="1">
        <f>value(SUBSTITUTE(IFERROR(VLOOKUP(A265,'Communications - Solution Speci'!A:G,6,false),""),"#","")
)</f>
        <v>0</v>
      </c>
      <c r="Q265" s="1">
        <f>value(SUBSTITUTE(IFERROR(VLOOKUP(A265,'Communications - Solution Speci'!A:G,7,false),""),"#","")
)</f>
        <v>0</v>
      </c>
      <c r="R265" s="17" t="str">
        <f t="shared" si="6"/>
        <v/>
      </c>
      <c r="S265" s="1">
        <f>value(SUBSTITUTE(IFERROR(VLOOKUP(A265,'Networking - Solution Specializ'!A:G,6,false),""),"#","")
)</f>
        <v>0</v>
      </c>
      <c r="T265" s="1">
        <f>value(SUBSTITUTE(IFERROR(VLOOKUP(A265,'Networking - Solution Specializ'!A:G,7,false),""),"#","")
)</f>
        <v>0</v>
      </c>
      <c r="U265" s="17" t="str">
        <f t="shared" si="7"/>
        <v/>
      </c>
      <c r="V265" s="1" t="str">
        <f>iferror(vlookup(A265,'Marketing Plan (extract summary'!A:G,6,false),"")</f>
        <v/>
      </c>
      <c r="W265" s="1" t="str">
        <f>iferror(vlookup(A265,'Marketing Plan (extract summary'!A:G,7,false),"")</f>
        <v/>
      </c>
      <c r="X265" s="17" t="str">
        <f t="shared" si="8"/>
        <v/>
      </c>
      <c r="Y265" s="1">
        <f>value(IFERROR(SUBSTITUTE(SUBSTITUTE(VLOOKUP(A265,'Quarterly Pipeline vs Target Pi'!A:G,6,false)," $","")," €",""), "")
)</f>
        <v>0</v>
      </c>
      <c r="Z265" s="1">
        <f>value(IFERROR(SUBSTITUTE(SUBSTITUTE(VLOOKUP(A265,'Quarterly Pipeline vs Target Pi'!A:G,7,false)," $","")," €",""), "")
)</f>
        <v>0</v>
      </c>
      <c r="AA265" s="17" t="str">
        <f t="shared" si="9"/>
        <v/>
      </c>
      <c r="AB265" s="1">
        <f>value(IFERROR(SUBSTITUTE(SUBSTITUTE(VLOOKUP($A265,'Quarterly Pipeline vs Target Pi'!$A:$V,11,false)," $","")," €",""), "")
)</f>
        <v>0</v>
      </c>
      <c r="AC265" s="1">
        <f>value(IFERROR(SUBSTITUTE(SUBSTITUTE(VLOOKUP($A265,'Quarterly Pipeline vs Target Pi'!$A:$V,12,false)," $","")," €",""), "")
)</f>
        <v>0</v>
      </c>
      <c r="AD265" s="17" t="str">
        <f t="shared" si="10"/>
        <v/>
      </c>
      <c r="AE265" s="1">
        <f>value(IFERROR(SUBSTITUTE(SUBSTITUTE(VLOOKUP($A265,'Quarterly Pipeline vs Target Pi'!$A:$V,16,false)," $","")," €",""), "")
)</f>
        <v>0</v>
      </c>
      <c r="AF265" s="1">
        <f>value(IFERROR(SUBSTITUTE(SUBSTITUTE(VLOOKUP($A265,'Quarterly Pipeline vs Target Pi'!$A:$V,17,false)," $","")," €",""), "")
)</f>
        <v>0</v>
      </c>
      <c r="AG265" s="17" t="str">
        <f t="shared" si="11"/>
        <v/>
      </c>
      <c r="AH265" s="1">
        <f>value(IFERROR(SUBSTITUTE(SUBSTITUTE(VLOOKUP($A265,'Quarterly Pipeline vs Target Pi'!$A:$V,21,false)," $","")," €",""), "")
)</f>
        <v>0</v>
      </c>
      <c r="AI265" s="1">
        <f>value(IFERROR(SUBSTITUTE(SUBSTITUTE(VLOOKUP($A265,'Quarterly Pipeline vs Target Pi'!$A:$V,22,false)," $","")," €",""), "")
)</f>
        <v>0</v>
      </c>
      <c r="AJ265" s="17" t="str">
        <f t="shared" si="12"/>
        <v/>
      </c>
      <c r="AK265" s="1">
        <f t="shared" ref="AK265:AL265" si="543">sum(Y265,AB265,AE265,AH265)</f>
        <v>0</v>
      </c>
      <c r="AL265" s="1">
        <f t="shared" si="543"/>
        <v>0</v>
      </c>
      <c r="AM265" s="17" t="str">
        <f t="shared" si="14"/>
        <v/>
      </c>
      <c r="AN265" s="1">
        <f>value(IFERROR(SUBSTITUTE(SUBSTITUTE(VLOOKUP($A265,'Quarterly Pipeline vs Target Pi'!$A:$AP,26,false)," $","")," €",""), "")
)</f>
        <v>0</v>
      </c>
      <c r="AO265" s="1">
        <f>value(IFERROR(SUBSTITUTE(SUBSTITUTE(VLOOKUP($A265,'Quarterly Pipeline vs Target Pi'!$A:$AP,27,false)," $","")," €",""), "")
)</f>
        <v>0</v>
      </c>
      <c r="AP265" s="17" t="str">
        <f t="shared" si="15"/>
        <v/>
      </c>
      <c r="AQ265" s="1">
        <f>value(IFERROR(SUBSTITUTE(SUBSTITUTE(VLOOKUP($A265,'Quarterly Pipeline vs Target Pi'!$A:$AP,31,false)," $","")," €",""), "")
)</f>
        <v>0</v>
      </c>
      <c r="AR265" s="1">
        <f>value(IFERROR(SUBSTITUTE(SUBSTITUTE(VLOOKUP($A265,'Quarterly Pipeline vs Target Pi'!$A:$AP,32,false)," $","")," €",""), "")
)</f>
        <v>0</v>
      </c>
      <c r="AS265" s="17" t="str">
        <f t="shared" si="16"/>
        <v/>
      </c>
      <c r="AT265" s="1">
        <f>value(IFERROR(SUBSTITUTE(SUBSTITUTE(VLOOKUP($A265,'Quarterly Pipeline vs Target Pi'!$A:$AP,36,false)," $","")," €",""), "")
)</f>
        <v>0</v>
      </c>
      <c r="AU265" s="1">
        <f>value(IFERROR(SUBSTITUTE(SUBSTITUTE(VLOOKUP($A265,'Quarterly Pipeline vs Target Pi'!$A:$AP,37,false)," $","")," €",""), "")
)</f>
        <v>0</v>
      </c>
      <c r="AV265" s="17" t="str">
        <f t="shared" si="17"/>
        <v/>
      </c>
      <c r="AW265" s="1">
        <f>value(IFERROR(SUBSTITUTE(SUBSTITUTE(VLOOKUP($A265,'Quarterly Pipeline vs Target Pi'!$A:$AP,41,false)," $","")," €",""), "")
)</f>
        <v>0</v>
      </c>
      <c r="AX265" s="1">
        <f>value(IFERROR(SUBSTITUTE(SUBSTITUTE(VLOOKUP($A265,'Quarterly Pipeline vs Target Pi'!$A:$AP,42,false)," $","")," €",""), "")
)</f>
        <v>0</v>
      </c>
      <c r="AY265" s="17" t="str">
        <f t="shared" si="18"/>
        <v/>
      </c>
      <c r="AZ265" s="1">
        <f t="shared" ref="AZ265:BA265" si="544">sum(AN265,AQ265,AT265,AW265)</f>
        <v>0</v>
      </c>
      <c r="BA265" s="1">
        <f t="shared" si="544"/>
        <v>0</v>
      </c>
      <c r="BB265" s="17" t="str">
        <f t="shared" si="20"/>
        <v/>
      </c>
    </row>
    <row r="266">
      <c r="A266" s="1" t="str">
        <f>IFERROR(__xludf.DUMMYFUNCTION("""COMPUTED_VALUE"""),"63ea6e9552ad6968805cee8b")</f>
        <v>63ea6e9552ad6968805cee8b</v>
      </c>
      <c r="B266" s="1" t="str">
        <f>IFERROR(__xludf.DUMMYFUNCTION("""COMPUTED_VALUE"""),"Kommunikationstechnik Frank Albinus")</f>
        <v>Kommunikationstechnik Frank Albinus</v>
      </c>
      <c r="C266" s="1" t="str">
        <f>IFERROR(__xludf.DUMMYFUNCTION("""COMPUTED_VALUE"""),"andreas.grossheimann@al-enterprise.com, andre.ramm@al-enterprise.com")</f>
        <v>andreas.grossheimann@al-enterprise.com, andre.ramm@al-enterprise.com</v>
      </c>
      <c r="D266" s="1" t="str">
        <f>IFERROR(__xludf.DUMMYFUNCTION("""COMPUTED_VALUE"""),"germany")</f>
        <v>germany</v>
      </c>
      <c r="E266" s="1" t="str">
        <f>IFERROR(__xludf.DUMMYFUNCTION("""COMPUTED_VALUE"""),"DE")</f>
        <v>DE</v>
      </c>
      <c r="F266" s="1"/>
      <c r="G266" s="1" t="str">
        <f>iferror(VLOOKUP(A266,'Business Plan Setup and Accepta'!A:G,6,false),"")</f>
        <v/>
      </c>
      <c r="H266" s="1" t="str">
        <f>iferror(VLOOKUP(A266,'Business Plan Setup and Accepta'!A:G,7,false),"")</f>
        <v/>
      </c>
      <c r="I266" s="17" t="str">
        <f t="shared" si="3"/>
        <v/>
      </c>
      <c r="J266" s="1" t="str">
        <f>IFERROR(VALUE(SUBSTITUTE(VLOOKUP(A266,'Sales IN Revenues vs Sales targ'!A:G,6,false)," $","")), "")
</f>
        <v/>
      </c>
      <c r="K266" s="1" t="str">
        <f>IFERROR(VALUE(SUBSTITUTE(VLOOKUP(A266,'Sales IN Revenues vs Sales targ'!A:G,7,false)," $","")), "")
</f>
        <v/>
      </c>
      <c r="L266" s="17" t="str">
        <f t="shared" si="4"/>
        <v/>
      </c>
      <c r="M266" s="1">
        <f>value(SUBSTITUTE(IFERROR(VLOOKUP(A266,'Certifications achievements vs '!A:G,6,false),""),"#","")
)</f>
        <v>0</v>
      </c>
      <c r="N266" s="1">
        <f>value(SUBSTITUTE(IFERROR(VLOOKUP(A266,'Certifications achievements vs '!A:G,7,false),""),"#","")
)</f>
        <v>0</v>
      </c>
      <c r="O266" s="17" t="str">
        <f t="shared" si="5"/>
        <v/>
      </c>
      <c r="P266" s="1">
        <f>value(SUBSTITUTE(IFERROR(VLOOKUP(A266,'Communications - Solution Speci'!A:G,6,false),""),"#","")
)</f>
        <v>0</v>
      </c>
      <c r="Q266" s="1">
        <f>value(SUBSTITUTE(IFERROR(VLOOKUP(A266,'Communications - Solution Speci'!A:G,7,false),""),"#","")
)</f>
        <v>0</v>
      </c>
      <c r="R266" s="17" t="str">
        <f t="shared" si="6"/>
        <v/>
      </c>
      <c r="S266" s="1">
        <f>value(SUBSTITUTE(IFERROR(VLOOKUP(A266,'Networking - Solution Specializ'!A:G,6,false),""),"#","")
)</f>
        <v>0</v>
      </c>
      <c r="T266" s="1">
        <f>value(SUBSTITUTE(IFERROR(VLOOKUP(A266,'Networking - Solution Specializ'!A:G,7,false),""),"#","")
)</f>
        <v>0</v>
      </c>
      <c r="U266" s="17" t="str">
        <f t="shared" si="7"/>
        <v/>
      </c>
      <c r="V266" s="1" t="str">
        <f>iferror(vlookup(A266,'Marketing Plan (extract summary'!A:G,6,false),"")</f>
        <v/>
      </c>
      <c r="W266" s="1" t="str">
        <f>iferror(vlookup(A266,'Marketing Plan (extract summary'!A:G,7,false),"")</f>
        <v/>
      </c>
      <c r="X266" s="17" t="str">
        <f t="shared" si="8"/>
        <v/>
      </c>
      <c r="Y266" s="1">
        <f>value(IFERROR(SUBSTITUTE(SUBSTITUTE(VLOOKUP(A266,'Quarterly Pipeline vs Target Pi'!A:G,6,false)," $","")," €",""), "")
)</f>
        <v>0</v>
      </c>
      <c r="Z266" s="1">
        <f>value(IFERROR(SUBSTITUTE(SUBSTITUTE(VLOOKUP(A266,'Quarterly Pipeline vs Target Pi'!A:G,7,false)," $","")," €",""), "")
)</f>
        <v>0</v>
      </c>
      <c r="AA266" s="17" t="str">
        <f t="shared" si="9"/>
        <v/>
      </c>
      <c r="AB266" s="1">
        <f>value(IFERROR(SUBSTITUTE(SUBSTITUTE(VLOOKUP($A266,'Quarterly Pipeline vs Target Pi'!$A:$V,11,false)," $","")," €",""), "")
)</f>
        <v>0</v>
      </c>
      <c r="AC266" s="1">
        <f>value(IFERROR(SUBSTITUTE(SUBSTITUTE(VLOOKUP($A266,'Quarterly Pipeline vs Target Pi'!$A:$V,12,false)," $","")," €",""), "")
)</f>
        <v>0</v>
      </c>
      <c r="AD266" s="17" t="str">
        <f t="shared" si="10"/>
        <v/>
      </c>
      <c r="AE266" s="1">
        <f>value(IFERROR(SUBSTITUTE(SUBSTITUTE(VLOOKUP($A266,'Quarterly Pipeline vs Target Pi'!$A:$V,16,false)," $","")," €",""), "")
)</f>
        <v>0</v>
      </c>
      <c r="AF266" s="1">
        <f>value(IFERROR(SUBSTITUTE(SUBSTITUTE(VLOOKUP($A266,'Quarterly Pipeline vs Target Pi'!$A:$V,17,false)," $","")," €",""), "")
)</f>
        <v>0</v>
      </c>
      <c r="AG266" s="17" t="str">
        <f t="shared" si="11"/>
        <v/>
      </c>
      <c r="AH266" s="1">
        <f>value(IFERROR(SUBSTITUTE(SUBSTITUTE(VLOOKUP($A266,'Quarterly Pipeline vs Target Pi'!$A:$V,21,false)," $","")," €",""), "")
)</f>
        <v>0</v>
      </c>
      <c r="AI266" s="1">
        <f>value(IFERROR(SUBSTITUTE(SUBSTITUTE(VLOOKUP($A266,'Quarterly Pipeline vs Target Pi'!$A:$V,22,false)," $","")," €",""), "")
)</f>
        <v>0</v>
      </c>
      <c r="AJ266" s="17" t="str">
        <f t="shared" si="12"/>
        <v/>
      </c>
      <c r="AK266" s="1">
        <f t="shared" ref="AK266:AL266" si="545">sum(Y266,AB266,AE266,AH266)</f>
        <v>0</v>
      </c>
      <c r="AL266" s="1">
        <f t="shared" si="545"/>
        <v>0</v>
      </c>
      <c r="AM266" s="17" t="str">
        <f t="shared" si="14"/>
        <v/>
      </c>
      <c r="AN266" s="1">
        <f>value(IFERROR(SUBSTITUTE(SUBSTITUTE(VLOOKUP($A266,'Quarterly Pipeline vs Target Pi'!$A:$AP,26,false)," $","")," €",""), "")
)</f>
        <v>0</v>
      </c>
      <c r="AO266" s="1">
        <f>value(IFERROR(SUBSTITUTE(SUBSTITUTE(VLOOKUP($A266,'Quarterly Pipeline vs Target Pi'!$A:$AP,27,false)," $","")," €",""), "")
)</f>
        <v>0</v>
      </c>
      <c r="AP266" s="17" t="str">
        <f t="shared" si="15"/>
        <v/>
      </c>
      <c r="AQ266" s="1">
        <f>value(IFERROR(SUBSTITUTE(SUBSTITUTE(VLOOKUP($A266,'Quarterly Pipeline vs Target Pi'!$A:$AP,31,false)," $","")," €",""), "")
)</f>
        <v>0</v>
      </c>
      <c r="AR266" s="1">
        <f>value(IFERROR(SUBSTITUTE(SUBSTITUTE(VLOOKUP($A266,'Quarterly Pipeline vs Target Pi'!$A:$AP,32,false)," $","")," €",""), "")
)</f>
        <v>0</v>
      </c>
      <c r="AS266" s="17" t="str">
        <f t="shared" si="16"/>
        <v/>
      </c>
      <c r="AT266" s="1">
        <f>value(IFERROR(SUBSTITUTE(SUBSTITUTE(VLOOKUP($A266,'Quarterly Pipeline vs Target Pi'!$A:$AP,36,false)," $","")," €",""), "")
)</f>
        <v>0</v>
      </c>
      <c r="AU266" s="1">
        <f>value(IFERROR(SUBSTITUTE(SUBSTITUTE(VLOOKUP($A266,'Quarterly Pipeline vs Target Pi'!$A:$AP,37,false)," $","")," €",""), "")
)</f>
        <v>0</v>
      </c>
      <c r="AV266" s="17" t="str">
        <f t="shared" si="17"/>
        <v/>
      </c>
      <c r="AW266" s="1">
        <f>value(IFERROR(SUBSTITUTE(SUBSTITUTE(VLOOKUP($A266,'Quarterly Pipeline vs Target Pi'!$A:$AP,41,false)," $","")," €",""), "")
)</f>
        <v>0</v>
      </c>
      <c r="AX266" s="1">
        <f>value(IFERROR(SUBSTITUTE(SUBSTITUTE(VLOOKUP($A266,'Quarterly Pipeline vs Target Pi'!$A:$AP,42,false)," $","")," €",""), "")
)</f>
        <v>0</v>
      </c>
      <c r="AY266" s="17" t="str">
        <f t="shared" si="18"/>
        <v/>
      </c>
      <c r="AZ266" s="1">
        <f t="shared" ref="AZ266:BA266" si="546">sum(AN266,AQ266,AT266,AW266)</f>
        <v>0</v>
      </c>
      <c r="BA266" s="1">
        <f t="shared" si="546"/>
        <v>0</v>
      </c>
      <c r="BB266" s="17" t="str">
        <f t="shared" si="20"/>
        <v/>
      </c>
    </row>
    <row r="267">
      <c r="A267" s="1" t="str">
        <f>IFERROR(__xludf.DUMMYFUNCTION("""COMPUTED_VALUE"""),"63ced84bc5c820531c269419")</f>
        <v>63ced84bc5c820531c269419</v>
      </c>
      <c r="B267" s="1" t="str">
        <f>IFERROR(__xludf.DUMMYFUNCTION("""COMPUTED_VALUE"""),"KOMSA AG")</f>
        <v>KOMSA AG</v>
      </c>
      <c r="C267" s="1" t="str">
        <f>IFERROR(__xludf.DUMMYFUNCTION("""COMPUTED_VALUE"""),"marcel.marx@al-enterprise.com, katrin.pfeiffer@al-enterprise.com, sibylle.klopfer@al-enterprise.com, igor.leko@al-enterprise.com")</f>
        <v>marcel.marx@al-enterprise.com, katrin.pfeiffer@al-enterprise.com, sibylle.klopfer@al-enterprise.com, igor.leko@al-enterprise.com</v>
      </c>
      <c r="D267" s="1" t="str">
        <f>IFERROR(__xludf.DUMMYFUNCTION("""COMPUTED_VALUE"""),"germany")</f>
        <v>germany</v>
      </c>
      <c r="E267" s="1" t="str">
        <f>IFERROR(__xludf.DUMMYFUNCTION("""COMPUTED_VALUE"""),"DE")</f>
        <v>DE</v>
      </c>
      <c r="F267" s="1" t="str">
        <f>IFERROR(__xludf.DUMMYFUNCTION("""COMPUTED_VALUE"""),"distributor_1000")</f>
        <v>distributor_1000</v>
      </c>
      <c r="G267" s="1">
        <f>iferror(VLOOKUP(A267,'Business Plan Setup and Accepta'!A:G,6,false),"")</f>
        <v>0</v>
      </c>
      <c r="H267" s="1">
        <f>iferror(VLOOKUP(A267,'Business Plan Setup and Accepta'!A:G,7,false),"")</f>
        <v>1</v>
      </c>
      <c r="I267" s="17">
        <f t="shared" si="3"/>
        <v>0</v>
      </c>
      <c r="J267" s="1">
        <f>IFERROR(VALUE(SUBSTITUTE(VLOOKUP(A267,'Sales IN Revenues vs Sales targ'!A:G,6,false)," $","")), "")
</f>
        <v>7981.71</v>
      </c>
      <c r="K267" s="1">
        <f>IFERROR(VALUE(SUBSTITUTE(VLOOKUP(A267,'Sales IN Revenues vs Sales targ'!A:G,7,false)," $","")), "")
</f>
        <v>18900</v>
      </c>
      <c r="L267" s="17">
        <f t="shared" si="4"/>
        <v>0.4223126984</v>
      </c>
      <c r="M267" s="1">
        <f>value(SUBSTITUTE(IFERROR(VLOOKUP(A267,'Certifications achievements vs '!A:G,6,false),""),"#","")
)</f>
        <v>65</v>
      </c>
      <c r="N267" s="1">
        <f>value(SUBSTITUTE(IFERROR(VLOOKUP(A267,'Certifications achievements vs '!A:G,7,false),""),"#","")
)</f>
        <v>82</v>
      </c>
      <c r="O267" s="17">
        <f t="shared" si="5"/>
        <v>0.7926829268</v>
      </c>
      <c r="P267" s="1">
        <f>value(SUBSTITUTE(IFERROR(VLOOKUP(A267,'Communications - Solution Speci'!A:G,6,false),""),"#","")
)</f>
        <v>1</v>
      </c>
      <c r="Q267" s="1">
        <f>value(SUBSTITUTE(IFERROR(VLOOKUP(A267,'Communications - Solution Speci'!A:G,7,false),""),"#","")
)</f>
        <v>1</v>
      </c>
      <c r="R267" s="17">
        <f t="shared" si="6"/>
        <v>1</v>
      </c>
      <c r="S267" s="1">
        <f>value(SUBSTITUTE(IFERROR(VLOOKUP(A267,'Networking - Solution Specializ'!A:G,6,false),""),"#","")
)</f>
        <v>1</v>
      </c>
      <c r="T267" s="1">
        <f>value(SUBSTITUTE(IFERROR(VLOOKUP(A267,'Networking - Solution Specializ'!A:G,7,false),""),"#","")
)</f>
        <v>1</v>
      </c>
      <c r="U267" s="17">
        <f t="shared" si="7"/>
        <v>1</v>
      </c>
      <c r="V267" s="1">
        <f>iferror(vlookup(A267,'Marketing Plan (extract summary'!A:G,6,false),"")</f>
        <v>0</v>
      </c>
      <c r="W267" s="1">
        <f>iferror(vlookup(A267,'Marketing Plan (extract summary'!A:G,7,false),"")</f>
        <v>1</v>
      </c>
      <c r="X267" s="17">
        <f t="shared" si="8"/>
        <v>0</v>
      </c>
      <c r="Y267" s="1">
        <f>value(IFERROR(SUBSTITUTE(SUBSTITUTE(VLOOKUP(A267,'Quarterly Pipeline vs Target Pi'!A:G,6,false)," $","")," €",""), "")
)</f>
        <v>2.16</v>
      </c>
      <c r="Z267" s="1">
        <f>value(IFERROR(SUBSTITUTE(SUBSTITUTE(VLOOKUP(A267,'Quarterly Pipeline vs Target Pi'!A:G,7,false)," $","")," €",""), "")
)</f>
        <v>0</v>
      </c>
      <c r="AA267" s="17" t="str">
        <f t="shared" si="9"/>
        <v/>
      </c>
      <c r="AB267" s="1">
        <f>value(IFERROR(SUBSTITUTE(SUBSTITUTE(VLOOKUP($A267,'Quarterly Pipeline vs Target Pi'!$A:$V,11,false)," $","")," €",""), "")
)</f>
        <v>15.14</v>
      </c>
      <c r="AC267" s="1">
        <f>value(IFERROR(SUBSTITUTE(SUBSTITUTE(VLOOKUP($A267,'Quarterly Pipeline vs Target Pi'!$A:$V,12,false)," $","")," €",""), "")
)</f>
        <v>9083.33</v>
      </c>
      <c r="AD267" s="17">
        <f t="shared" si="10"/>
        <v>0.001666789602</v>
      </c>
      <c r="AE267" s="1">
        <f>value(IFERROR(SUBSTITUTE(SUBSTITUTE(VLOOKUP($A267,'Quarterly Pipeline vs Target Pi'!$A:$V,16,false)," $","")," €",""), "")
)</f>
        <v>530.27</v>
      </c>
      <c r="AF267" s="1">
        <f>value(IFERROR(SUBSTITUTE(SUBSTITUTE(VLOOKUP($A267,'Quarterly Pipeline vs Target Pi'!$A:$V,17,false)," $","")," €",""), "")
)</f>
        <v>9083.33</v>
      </c>
      <c r="AG267" s="17">
        <f t="shared" si="11"/>
        <v>0.05837837005</v>
      </c>
      <c r="AH267" s="1">
        <f>value(IFERROR(SUBSTITUTE(SUBSTITUTE(VLOOKUP($A267,'Quarterly Pipeline vs Target Pi'!$A:$V,21,false)," $","")," €",""), "")
)</f>
        <v>623.26</v>
      </c>
      <c r="AI267" s="1">
        <f>value(IFERROR(SUBSTITUTE(SUBSTITUTE(VLOOKUP($A267,'Quarterly Pipeline vs Target Pi'!$A:$V,22,false)," $","")," €",""), "")
)</f>
        <v>9083.33</v>
      </c>
      <c r="AJ267" s="17">
        <f t="shared" si="12"/>
        <v>0.068615805</v>
      </c>
      <c r="AK267" s="1">
        <f t="shared" ref="AK267:AL267" si="547">sum(Y267,AB267,AE267,AH267)</f>
        <v>1170.83</v>
      </c>
      <c r="AL267" s="1">
        <f t="shared" si="547"/>
        <v>27249.99</v>
      </c>
      <c r="AM267" s="17">
        <f t="shared" si="14"/>
        <v>0.0429662543</v>
      </c>
      <c r="AN267" s="1">
        <f>value(IFERROR(SUBSTITUTE(SUBSTITUTE(VLOOKUP($A267,'Quarterly Pipeline vs Target Pi'!$A:$AP,26,false)," $","")," €",""), "")
)</f>
        <v>110.46</v>
      </c>
      <c r="AO267" s="1">
        <f>value(IFERROR(SUBSTITUTE(SUBSTITUTE(VLOOKUP($A267,'Quarterly Pipeline vs Target Pi'!$A:$AP,27,false)," $","")," €",""), "")
)</f>
        <v>0</v>
      </c>
      <c r="AP267" s="17" t="str">
        <f t="shared" si="15"/>
        <v/>
      </c>
      <c r="AQ267" s="1">
        <f>value(IFERROR(SUBSTITUTE(SUBSTITUTE(VLOOKUP($A267,'Quarterly Pipeline vs Target Pi'!$A:$AP,31,false)," $","")," €",""), "")
)</f>
        <v>205.25</v>
      </c>
      <c r="AR267" s="1">
        <f>value(IFERROR(SUBSTITUTE(SUBSTITUTE(VLOOKUP($A267,'Quarterly Pipeline vs Target Pi'!$A:$AP,32,false)," $","")," €",""), "")
)</f>
        <v>0</v>
      </c>
      <c r="AS267" s="17" t="str">
        <f t="shared" si="16"/>
        <v/>
      </c>
      <c r="AT267" s="1">
        <f>value(IFERROR(SUBSTITUTE(SUBSTITUTE(VLOOKUP($A267,'Quarterly Pipeline vs Target Pi'!$A:$AP,36,false)," $","")," €",""), "")
)</f>
        <v>56.56</v>
      </c>
      <c r="AU267" s="1">
        <f>value(IFERROR(SUBSTITUTE(SUBSTITUTE(VLOOKUP($A267,'Quarterly Pipeline vs Target Pi'!$A:$AP,37,false)," $","")," €",""), "")
)</f>
        <v>0</v>
      </c>
      <c r="AV267" s="17" t="str">
        <f t="shared" si="17"/>
        <v/>
      </c>
      <c r="AW267" s="1">
        <f>value(IFERROR(SUBSTITUTE(SUBSTITUTE(VLOOKUP($A267,'Quarterly Pipeline vs Target Pi'!$A:$AP,41,false)," $","")," €",""), "")
)</f>
        <v>67.41</v>
      </c>
      <c r="AX267" s="1">
        <f>value(IFERROR(SUBSTITUTE(SUBSTITUTE(VLOOKUP($A267,'Quarterly Pipeline vs Target Pi'!$A:$AP,42,false)," $","")," €",""), "")
)</f>
        <v>0</v>
      </c>
      <c r="AY267" s="17" t="str">
        <f t="shared" si="18"/>
        <v/>
      </c>
      <c r="AZ267" s="1">
        <f t="shared" ref="AZ267:BA267" si="548">sum(AN267,AQ267,AT267,AW267)</f>
        <v>439.68</v>
      </c>
      <c r="BA267" s="1">
        <f t="shared" si="548"/>
        <v>0</v>
      </c>
      <c r="BB267" s="17" t="str">
        <f t="shared" si="20"/>
        <v/>
      </c>
    </row>
    <row r="268">
      <c r="A268" s="1" t="str">
        <f>IFERROR(__xludf.DUMMYFUNCTION("""COMPUTED_VALUE"""),"63ea6e9652ad6968805cf005")</f>
        <v>63ea6e9652ad6968805cf005</v>
      </c>
      <c r="B268" s="1" t="str">
        <f>IFERROR(__xludf.DUMMYFUNCTION("""COMPUTED_VALUE"""),"KTS Kommunikationstechnik")</f>
        <v>KTS Kommunikationstechnik</v>
      </c>
      <c r="C268" s="1" t="str">
        <f>IFERROR(__xludf.DUMMYFUNCTION("""COMPUTED_VALUE"""),"andreas.grossheimann@al-enterprise.com, andre.ramm@al-enterprise.com")</f>
        <v>andreas.grossheimann@al-enterprise.com, andre.ramm@al-enterprise.com</v>
      </c>
      <c r="D268" s="1" t="str">
        <f>IFERROR(__xludf.DUMMYFUNCTION("""COMPUTED_VALUE"""),"germany")</f>
        <v>germany</v>
      </c>
      <c r="E268" s="1" t="str">
        <f>IFERROR(__xludf.DUMMYFUNCTION("""COMPUTED_VALUE"""),"DE")</f>
        <v>DE</v>
      </c>
      <c r="F268" s="1"/>
      <c r="G268" s="1" t="str">
        <f>iferror(VLOOKUP(A268,'Business Plan Setup and Accepta'!A:G,6,false),"")</f>
        <v/>
      </c>
      <c r="H268" s="1" t="str">
        <f>iferror(VLOOKUP(A268,'Business Plan Setup and Accepta'!A:G,7,false),"")</f>
        <v/>
      </c>
      <c r="I268" s="17" t="str">
        <f t="shared" si="3"/>
        <v/>
      </c>
      <c r="J268" s="1" t="str">
        <f>IFERROR(VALUE(SUBSTITUTE(VLOOKUP(A268,'Sales IN Revenues vs Sales targ'!A:G,6,false)," $","")), "")
</f>
        <v/>
      </c>
      <c r="K268" s="1" t="str">
        <f>IFERROR(VALUE(SUBSTITUTE(VLOOKUP(A268,'Sales IN Revenues vs Sales targ'!A:G,7,false)," $","")), "")
</f>
        <v/>
      </c>
      <c r="L268" s="17" t="str">
        <f t="shared" si="4"/>
        <v/>
      </c>
      <c r="M268" s="1">
        <f>value(SUBSTITUTE(IFERROR(VLOOKUP(A268,'Certifications achievements vs '!A:G,6,false),""),"#","")
)</f>
        <v>0</v>
      </c>
      <c r="N268" s="1">
        <f>value(SUBSTITUTE(IFERROR(VLOOKUP(A268,'Certifications achievements vs '!A:G,7,false),""),"#","")
)</f>
        <v>0</v>
      </c>
      <c r="O268" s="17" t="str">
        <f t="shared" si="5"/>
        <v/>
      </c>
      <c r="P268" s="1">
        <f>value(SUBSTITUTE(IFERROR(VLOOKUP(A268,'Communications - Solution Speci'!A:G,6,false),""),"#","")
)</f>
        <v>0</v>
      </c>
      <c r="Q268" s="1">
        <f>value(SUBSTITUTE(IFERROR(VLOOKUP(A268,'Communications - Solution Speci'!A:G,7,false),""),"#","")
)</f>
        <v>0</v>
      </c>
      <c r="R268" s="17" t="str">
        <f t="shared" si="6"/>
        <v/>
      </c>
      <c r="S268" s="1">
        <f>value(SUBSTITUTE(IFERROR(VLOOKUP(A268,'Networking - Solution Specializ'!A:G,6,false),""),"#","")
)</f>
        <v>0</v>
      </c>
      <c r="T268" s="1">
        <f>value(SUBSTITUTE(IFERROR(VLOOKUP(A268,'Networking - Solution Specializ'!A:G,7,false),""),"#","")
)</f>
        <v>0</v>
      </c>
      <c r="U268" s="17" t="str">
        <f t="shared" si="7"/>
        <v/>
      </c>
      <c r="V268" s="1" t="str">
        <f>iferror(vlookup(A268,'Marketing Plan (extract summary'!A:G,6,false),"")</f>
        <v/>
      </c>
      <c r="W268" s="1" t="str">
        <f>iferror(vlookup(A268,'Marketing Plan (extract summary'!A:G,7,false),"")</f>
        <v/>
      </c>
      <c r="X268" s="17" t="str">
        <f t="shared" si="8"/>
        <v/>
      </c>
      <c r="Y268" s="1">
        <f>value(IFERROR(SUBSTITUTE(SUBSTITUTE(VLOOKUP(A268,'Quarterly Pipeline vs Target Pi'!A:G,6,false)," $","")," €",""), "")
)</f>
        <v>0</v>
      </c>
      <c r="Z268" s="1">
        <f>value(IFERROR(SUBSTITUTE(SUBSTITUTE(VLOOKUP(A268,'Quarterly Pipeline vs Target Pi'!A:G,7,false)," $","")," €",""), "")
)</f>
        <v>0</v>
      </c>
      <c r="AA268" s="17" t="str">
        <f t="shared" si="9"/>
        <v/>
      </c>
      <c r="AB268" s="1">
        <f>value(IFERROR(SUBSTITUTE(SUBSTITUTE(VLOOKUP($A268,'Quarterly Pipeline vs Target Pi'!$A:$V,11,false)," $","")," €",""), "")
)</f>
        <v>0</v>
      </c>
      <c r="AC268" s="1">
        <f>value(IFERROR(SUBSTITUTE(SUBSTITUTE(VLOOKUP($A268,'Quarterly Pipeline vs Target Pi'!$A:$V,12,false)," $","")," €",""), "")
)</f>
        <v>0</v>
      </c>
      <c r="AD268" s="17" t="str">
        <f t="shared" si="10"/>
        <v/>
      </c>
      <c r="AE268" s="1">
        <f>value(IFERROR(SUBSTITUTE(SUBSTITUTE(VLOOKUP($A268,'Quarterly Pipeline vs Target Pi'!$A:$V,16,false)," $","")," €",""), "")
)</f>
        <v>0</v>
      </c>
      <c r="AF268" s="1">
        <f>value(IFERROR(SUBSTITUTE(SUBSTITUTE(VLOOKUP($A268,'Quarterly Pipeline vs Target Pi'!$A:$V,17,false)," $","")," €",""), "")
)</f>
        <v>0</v>
      </c>
      <c r="AG268" s="17" t="str">
        <f t="shared" si="11"/>
        <v/>
      </c>
      <c r="AH268" s="1">
        <f>value(IFERROR(SUBSTITUTE(SUBSTITUTE(VLOOKUP($A268,'Quarterly Pipeline vs Target Pi'!$A:$V,21,false)," $","")," €",""), "")
)</f>
        <v>0</v>
      </c>
      <c r="AI268" s="1">
        <f>value(IFERROR(SUBSTITUTE(SUBSTITUTE(VLOOKUP($A268,'Quarterly Pipeline vs Target Pi'!$A:$V,22,false)," $","")," €",""), "")
)</f>
        <v>0</v>
      </c>
      <c r="AJ268" s="17" t="str">
        <f t="shared" si="12"/>
        <v/>
      </c>
      <c r="AK268" s="1">
        <f t="shared" ref="AK268:AL268" si="549">sum(Y268,AB268,AE268,AH268)</f>
        <v>0</v>
      </c>
      <c r="AL268" s="1">
        <f t="shared" si="549"/>
        <v>0</v>
      </c>
      <c r="AM268" s="17" t="str">
        <f t="shared" si="14"/>
        <v/>
      </c>
      <c r="AN268" s="1">
        <f>value(IFERROR(SUBSTITUTE(SUBSTITUTE(VLOOKUP($A268,'Quarterly Pipeline vs Target Pi'!$A:$AP,26,false)," $","")," €",""), "")
)</f>
        <v>0</v>
      </c>
      <c r="AO268" s="1">
        <f>value(IFERROR(SUBSTITUTE(SUBSTITUTE(VLOOKUP($A268,'Quarterly Pipeline vs Target Pi'!$A:$AP,27,false)," $","")," €",""), "")
)</f>
        <v>0</v>
      </c>
      <c r="AP268" s="17" t="str">
        <f t="shared" si="15"/>
        <v/>
      </c>
      <c r="AQ268" s="1">
        <f>value(IFERROR(SUBSTITUTE(SUBSTITUTE(VLOOKUP($A268,'Quarterly Pipeline vs Target Pi'!$A:$AP,31,false)," $","")," €",""), "")
)</f>
        <v>0</v>
      </c>
      <c r="AR268" s="1">
        <f>value(IFERROR(SUBSTITUTE(SUBSTITUTE(VLOOKUP($A268,'Quarterly Pipeline vs Target Pi'!$A:$AP,32,false)," $","")," €",""), "")
)</f>
        <v>0</v>
      </c>
      <c r="AS268" s="17" t="str">
        <f t="shared" si="16"/>
        <v/>
      </c>
      <c r="AT268" s="1">
        <f>value(IFERROR(SUBSTITUTE(SUBSTITUTE(VLOOKUP($A268,'Quarterly Pipeline vs Target Pi'!$A:$AP,36,false)," $","")," €",""), "")
)</f>
        <v>0</v>
      </c>
      <c r="AU268" s="1">
        <f>value(IFERROR(SUBSTITUTE(SUBSTITUTE(VLOOKUP($A268,'Quarterly Pipeline vs Target Pi'!$A:$AP,37,false)," $","")," €",""), "")
)</f>
        <v>0</v>
      </c>
      <c r="AV268" s="17" t="str">
        <f t="shared" si="17"/>
        <v/>
      </c>
      <c r="AW268" s="1">
        <f>value(IFERROR(SUBSTITUTE(SUBSTITUTE(VLOOKUP($A268,'Quarterly Pipeline vs Target Pi'!$A:$AP,41,false)," $","")," €",""), "")
)</f>
        <v>0</v>
      </c>
      <c r="AX268" s="1">
        <f>value(IFERROR(SUBSTITUTE(SUBSTITUTE(VLOOKUP($A268,'Quarterly Pipeline vs Target Pi'!$A:$AP,42,false)," $","")," €",""), "")
)</f>
        <v>0</v>
      </c>
      <c r="AY268" s="17" t="str">
        <f t="shared" si="18"/>
        <v/>
      </c>
      <c r="AZ268" s="1">
        <f t="shared" ref="AZ268:BA268" si="550">sum(AN268,AQ268,AT268,AW268)</f>
        <v>0</v>
      </c>
      <c r="BA268" s="1">
        <f t="shared" si="550"/>
        <v>0</v>
      </c>
      <c r="BB268" s="17" t="str">
        <f t="shared" si="20"/>
        <v/>
      </c>
    </row>
    <row r="269">
      <c r="A269" s="1" t="str">
        <f>IFERROR(__xludf.DUMMYFUNCTION("""COMPUTED_VALUE"""),"6572ea531bcb0fe1330807e7")</f>
        <v>6572ea531bcb0fe1330807e7</v>
      </c>
      <c r="B269" s="1" t="str">
        <f>IFERROR(__xludf.DUMMYFUNCTION("""COMPUTED_VALUE"""),"LANRover Network Services, Inc.")</f>
        <v>LANRover Network Services, Inc.</v>
      </c>
      <c r="C269" s="1" t="str">
        <f>IFERROR(__xludf.DUMMYFUNCTION("""COMPUTED_VALUE"""),"philippe.girard@al-enterprise.com, rui.silva@al-enterprise.com, melissa.mercier@al-enterprise.com, brendan.flaherty@al-enterprise.com, michael-j.francis@al-enterprise.com, steve.aliberti@al-enterprise.com, Steve.roos@al-enterprise.com, jack.jachner@al-ent"&amp;"erprise.com")</f>
        <v>philippe.girard@al-enterprise.com, rui.silva@al-enterprise.com, melissa.mercier@al-enterprise.com, brendan.flaherty@al-enterprise.com, michael-j.francis@al-enterprise.com, steve.aliberti@al-enterprise.com, Steve.roos@al-enterprise.com, jack.jachner@al-enterprise.com</v>
      </c>
      <c r="D269" s="1" t="str">
        <f>IFERROR(__xludf.DUMMYFUNCTION("""COMPUTED_VALUE"""),"americas")</f>
        <v>americas</v>
      </c>
      <c r="E269" s="1" t="str">
        <f>IFERROR(__xludf.DUMMYFUNCTION("""COMPUTED_VALUE"""),"US")</f>
        <v>US</v>
      </c>
      <c r="F269" s="1" t="str">
        <f>IFERROR(__xludf.DUMMYFUNCTION("""COMPUTED_VALUE"""),"expert_1000")</f>
        <v>expert_1000</v>
      </c>
      <c r="G269" s="1">
        <f>iferror(VLOOKUP(A269,'Business Plan Setup and Accepta'!A:G,6,false),"")</f>
        <v>1</v>
      </c>
      <c r="H269" s="1">
        <f>iferror(VLOOKUP(A269,'Business Plan Setup and Accepta'!A:G,7,false),"")</f>
        <v>1</v>
      </c>
      <c r="I269" s="17">
        <f t="shared" si="3"/>
        <v>1</v>
      </c>
      <c r="J269" s="1">
        <f>IFERROR(VALUE(SUBSTITUTE(VLOOKUP(A269,'Sales IN Revenues vs Sales targ'!A:G,6,false)," $","")), "")
</f>
        <v>360.63</v>
      </c>
      <c r="K269" s="1">
        <f>IFERROR(VALUE(SUBSTITUTE(VLOOKUP(A269,'Sales IN Revenues vs Sales targ'!A:G,7,false)," $","")), "")
</f>
        <v>1361.99</v>
      </c>
      <c r="L269" s="17">
        <f t="shared" si="4"/>
        <v>0.2647816797</v>
      </c>
      <c r="M269" s="1">
        <f>value(SUBSTITUTE(IFERROR(VLOOKUP(A269,'Certifications achievements vs '!A:G,6,false),""),"#","")
)</f>
        <v>28</v>
      </c>
      <c r="N269" s="1">
        <f>value(SUBSTITUTE(IFERROR(VLOOKUP(A269,'Certifications achievements vs '!A:G,7,false),""),"#","")
)</f>
        <v>43</v>
      </c>
      <c r="O269" s="17">
        <f t="shared" si="5"/>
        <v>0.6511627907</v>
      </c>
      <c r="P269" s="1">
        <f>value(SUBSTITUTE(IFERROR(VLOOKUP(A269,'Communications - Solution Speci'!A:G,6,false),""),"#","")
)</f>
        <v>0</v>
      </c>
      <c r="Q269" s="1">
        <f>value(SUBSTITUTE(IFERROR(VLOOKUP(A269,'Communications - Solution Speci'!A:G,7,false),""),"#","")
)</f>
        <v>1</v>
      </c>
      <c r="R269" s="17">
        <f t="shared" si="6"/>
        <v>0</v>
      </c>
      <c r="S269" s="1">
        <f>value(SUBSTITUTE(IFERROR(VLOOKUP(A269,'Networking - Solution Specializ'!A:G,6,false),""),"#","")
)</f>
        <v>1</v>
      </c>
      <c r="T269" s="1">
        <f>value(SUBSTITUTE(IFERROR(VLOOKUP(A269,'Networking - Solution Specializ'!A:G,7,false),""),"#","")
)</f>
        <v>1</v>
      </c>
      <c r="U269" s="17">
        <f t="shared" si="7"/>
        <v>1</v>
      </c>
      <c r="V269" s="1">
        <f>iferror(vlookup(A269,'Marketing Plan (extract summary'!A:G,6,false),"")</f>
        <v>1</v>
      </c>
      <c r="W269" s="1">
        <f>iferror(vlookup(A269,'Marketing Plan (extract summary'!A:G,7,false),"")</f>
        <v>1</v>
      </c>
      <c r="X269" s="17">
        <f t="shared" si="8"/>
        <v>1</v>
      </c>
      <c r="Y269" s="1">
        <f>value(IFERROR(SUBSTITUTE(SUBSTITUTE(VLOOKUP(A269,'Quarterly Pipeline vs Target Pi'!A:G,6,false)," $","")," €",""), "")
)</f>
        <v>28.38</v>
      </c>
      <c r="Z269" s="1">
        <f>value(IFERROR(SUBSTITUTE(SUBSTITUTE(VLOOKUP(A269,'Quarterly Pipeline vs Target Pi'!A:G,7,false)," $","")," €",""), "")
)</f>
        <v>0</v>
      </c>
      <c r="AA269" s="17" t="str">
        <f t="shared" si="9"/>
        <v/>
      </c>
      <c r="AB269" s="1">
        <f>value(IFERROR(SUBSTITUTE(SUBSTITUTE(VLOOKUP($A269,'Quarterly Pipeline vs Target Pi'!$A:$V,11,false)," $","")," €",""), "")
)</f>
        <v>53.57</v>
      </c>
      <c r="AC269" s="1">
        <f>value(IFERROR(SUBSTITUTE(SUBSTITUTE(VLOOKUP($A269,'Quarterly Pipeline vs Target Pi'!$A:$V,12,false)," $","")," €",""), "")
)</f>
        <v>464.64</v>
      </c>
      <c r="AD269" s="17">
        <f t="shared" si="10"/>
        <v>0.1152935606</v>
      </c>
      <c r="AE269" s="1">
        <f>value(IFERROR(SUBSTITUTE(SUBSTITUTE(VLOOKUP($A269,'Quarterly Pipeline vs Target Pi'!$A:$V,16,false)," $","")," €",""), "")
)</f>
        <v>1242.68</v>
      </c>
      <c r="AF269" s="1">
        <f>value(IFERROR(SUBSTITUTE(SUBSTITUTE(VLOOKUP($A269,'Quarterly Pipeline vs Target Pi'!$A:$V,17,false)," $","")," €",""), "")
)</f>
        <v>1706.67</v>
      </c>
      <c r="AG269" s="17">
        <f t="shared" si="11"/>
        <v>0.7281313904</v>
      </c>
      <c r="AH269" s="1">
        <f>value(IFERROR(SUBSTITUTE(SUBSTITUTE(VLOOKUP($A269,'Quarterly Pipeline vs Target Pi'!$A:$V,21,false)," $","")," €",""), "")
)</f>
        <v>1035.7</v>
      </c>
      <c r="AI269" s="1">
        <f>value(IFERROR(SUBSTITUTE(SUBSTITUTE(VLOOKUP($A269,'Quarterly Pipeline vs Target Pi'!$A:$V,22,false)," $","")," €",""), "")
)</f>
        <v>966.65</v>
      </c>
      <c r="AJ269" s="17">
        <f t="shared" si="12"/>
        <v>1.071432266</v>
      </c>
      <c r="AK269" s="1">
        <f t="shared" ref="AK269:AL269" si="551">sum(Y269,AB269,AE269,AH269)</f>
        <v>2360.33</v>
      </c>
      <c r="AL269" s="1">
        <f t="shared" si="551"/>
        <v>3137.96</v>
      </c>
      <c r="AM269" s="17">
        <f t="shared" si="14"/>
        <v>0.7521861337</v>
      </c>
      <c r="AN269" s="1">
        <f>value(IFERROR(SUBSTITUTE(SUBSTITUTE(VLOOKUP($A269,'Quarterly Pipeline vs Target Pi'!$A:$AP,26,false)," $","")," €",""), "")
)</f>
        <v>0</v>
      </c>
      <c r="AO269" s="1">
        <f>value(IFERROR(SUBSTITUTE(SUBSTITUTE(VLOOKUP($A269,'Quarterly Pipeline vs Target Pi'!$A:$AP,27,false)," $","")," €",""), "")
)</f>
        <v>0</v>
      </c>
      <c r="AP269" s="17" t="str">
        <f t="shared" si="15"/>
        <v/>
      </c>
      <c r="AQ269" s="1">
        <f>value(IFERROR(SUBSTITUTE(SUBSTITUTE(VLOOKUP($A269,'Quarterly Pipeline vs Target Pi'!$A:$AP,31,false)," $","")," €",""), "")
)</f>
        <v>56.8</v>
      </c>
      <c r="AR269" s="1">
        <f>value(IFERROR(SUBSTITUTE(SUBSTITUTE(VLOOKUP($A269,'Quarterly Pipeline vs Target Pi'!$A:$AP,32,false)," $","")," €",""), "")
)</f>
        <v>0</v>
      </c>
      <c r="AS269" s="17" t="str">
        <f t="shared" si="16"/>
        <v/>
      </c>
      <c r="AT269" s="1">
        <f>value(IFERROR(SUBSTITUTE(SUBSTITUTE(VLOOKUP($A269,'Quarterly Pipeline vs Target Pi'!$A:$AP,36,false)," $","")," €",""), "")
)</f>
        <v>276.76</v>
      </c>
      <c r="AU269" s="1">
        <f>value(IFERROR(SUBSTITUTE(SUBSTITUTE(VLOOKUP($A269,'Quarterly Pipeline vs Target Pi'!$A:$AP,37,false)," $","")," €",""), "")
)</f>
        <v>0</v>
      </c>
      <c r="AV269" s="17" t="str">
        <f t="shared" si="17"/>
        <v/>
      </c>
      <c r="AW269" s="1">
        <f>value(IFERROR(SUBSTITUTE(SUBSTITUTE(VLOOKUP($A269,'Quarterly Pipeline vs Target Pi'!$A:$AP,41,false)," $","")," €",""), "")
)</f>
        <v>0</v>
      </c>
      <c r="AX269" s="1">
        <f>value(IFERROR(SUBSTITUTE(SUBSTITUTE(VLOOKUP($A269,'Quarterly Pipeline vs Target Pi'!$A:$AP,42,false)," $","")," €",""), "")
)</f>
        <v>0</v>
      </c>
      <c r="AY269" s="17" t="str">
        <f t="shared" si="18"/>
        <v/>
      </c>
      <c r="AZ269" s="1">
        <f t="shared" ref="AZ269:BA269" si="552">sum(AN269,AQ269,AT269,AW269)</f>
        <v>333.56</v>
      </c>
      <c r="BA269" s="1">
        <f t="shared" si="552"/>
        <v>0</v>
      </c>
      <c r="BB269" s="17" t="str">
        <f t="shared" si="20"/>
        <v/>
      </c>
    </row>
    <row r="270">
      <c r="A270" s="1" t="str">
        <f>IFERROR(__xludf.DUMMYFUNCTION("""COMPUTED_VALUE"""),"63fcbb85a107c871cf565499")</f>
        <v>63fcbb85a107c871cf565499</v>
      </c>
      <c r="B270" s="1" t="str">
        <f>IFERROR(__xludf.DUMMYFUNCTION("""COMPUTED_VALUE"""),"Lantek Inc.")</f>
        <v>Lantek Inc.</v>
      </c>
      <c r="C270" s="1" t="str">
        <f>IFERROR(__xludf.DUMMYFUNCTION("""COMPUTED_VALUE"""),"steve.mcglasson@al-enterprise.com")</f>
        <v>steve.mcglasson@al-enterprise.com</v>
      </c>
      <c r="D270" s="1" t="str">
        <f>IFERROR(__xludf.DUMMYFUNCTION("""COMPUTED_VALUE"""),"americas")</f>
        <v>americas</v>
      </c>
      <c r="E270" s="1" t="str">
        <f>IFERROR(__xludf.DUMMYFUNCTION("""COMPUTED_VALUE"""),"US")</f>
        <v>US</v>
      </c>
      <c r="F270" s="1"/>
      <c r="G270" s="1" t="str">
        <f>iferror(VLOOKUP(A270,'Business Plan Setup and Accepta'!A:G,6,false),"")</f>
        <v/>
      </c>
      <c r="H270" s="1" t="str">
        <f>iferror(VLOOKUP(A270,'Business Plan Setup and Accepta'!A:G,7,false),"")</f>
        <v/>
      </c>
      <c r="I270" s="17" t="str">
        <f t="shared" si="3"/>
        <v/>
      </c>
      <c r="J270" s="1" t="str">
        <f>IFERROR(VALUE(SUBSTITUTE(VLOOKUP(A270,'Sales IN Revenues vs Sales targ'!A:G,6,false)," $","")), "")
</f>
        <v/>
      </c>
      <c r="K270" s="1" t="str">
        <f>IFERROR(VALUE(SUBSTITUTE(VLOOKUP(A270,'Sales IN Revenues vs Sales targ'!A:G,7,false)," $","")), "")
</f>
        <v/>
      </c>
      <c r="L270" s="17" t="str">
        <f t="shared" si="4"/>
        <v/>
      </c>
      <c r="M270" s="1">
        <f>value(SUBSTITUTE(IFERROR(VLOOKUP(A270,'Certifications achievements vs '!A:G,6,false),""),"#","")
)</f>
        <v>0</v>
      </c>
      <c r="N270" s="1">
        <f>value(SUBSTITUTE(IFERROR(VLOOKUP(A270,'Certifications achievements vs '!A:G,7,false),""),"#","")
)</f>
        <v>0</v>
      </c>
      <c r="O270" s="17" t="str">
        <f t="shared" si="5"/>
        <v/>
      </c>
      <c r="P270" s="1">
        <f>value(SUBSTITUTE(IFERROR(VLOOKUP(A270,'Communications - Solution Speci'!A:G,6,false),""),"#","")
)</f>
        <v>0</v>
      </c>
      <c r="Q270" s="1">
        <f>value(SUBSTITUTE(IFERROR(VLOOKUP(A270,'Communications - Solution Speci'!A:G,7,false),""),"#","")
)</f>
        <v>0</v>
      </c>
      <c r="R270" s="17" t="str">
        <f t="shared" si="6"/>
        <v/>
      </c>
      <c r="S270" s="1">
        <f>value(SUBSTITUTE(IFERROR(VLOOKUP(A270,'Networking - Solution Specializ'!A:G,6,false),""),"#","")
)</f>
        <v>0</v>
      </c>
      <c r="T270" s="1">
        <f>value(SUBSTITUTE(IFERROR(VLOOKUP(A270,'Networking - Solution Specializ'!A:G,7,false),""),"#","")
)</f>
        <v>0</v>
      </c>
      <c r="U270" s="17" t="str">
        <f t="shared" si="7"/>
        <v/>
      </c>
      <c r="V270" s="1" t="str">
        <f>iferror(vlookup(A270,'Marketing Plan (extract summary'!A:G,6,false),"")</f>
        <v/>
      </c>
      <c r="W270" s="1" t="str">
        <f>iferror(vlookup(A270,'Marketing Plan (extract summary'!A:G,7,false),"")</f>
        <v/>
      </c>
      <c r="X270" s="17" t="str">
        <f t="shared" si="8"/>
        <v/>
      </c>
      <c r="Y270" s="1">
        <f>value(IFERROR(SUBSTITUTE(SUBSTITUTE(VLOOKUP(A270,'Quarterly Pipeline vs Target Pi'!A:G,6,false)," $","")," €",""), "")
)</f>
        <v>0</v>
      </c>
      <c r="Z270" s="1">
        <f>value(IFERROR(SUBSTITUTE(SUBSTITUTE(VLOOKUP(A270,'Quarterly Pipeline vs Target Pi'!A:G,7,false)," $","")," €",""), "")
)</f>
        <v>0</v>
      </c>
      <c r="AA270" s="17" t="str">
        <f t="shared" si="9"/>
        <v/>
      </c>
      <c r="AB270" s="1">
        <f>value(IFERROR(SUBSTITUTE(SUBSTITUTE(VLOOKUP($A270,'Quarterly Pipeline vs Target Pi'!$A:$V,11,false)," $","")," €",""), "")
)</f>
        <v>0</v>
      </c>
      <c r="AC270" s="1">
        <f>value(IFERROR(SUBSTITUTE(SUBSTITUTE(VLOOKUP($A270,'Quarterly Pipeline vs Target Pi'!$A:$V,12,false)," $","")," €",""), "")
)</f>
        <v>0</v>
      </c>
      <c r="AD270" s="17" t="str">
        <f t="shared" si="10"/>
        <v/>
      </c>
      <c r="AE270" s="1">
        <f>value(IFERROR(SUBSTITUTE(SUBSTITUTE(VLOOKUP($A270,'Quarterly Pipeline vs Target Pi'!$A:$V,16,false)," $","")," €",""), "")
)</f>
        <v>0</v>
      </c>
      <c r="AF270" s="1">
        <f>value(IFERROR(SUBSTITUTE(SUBSTITUTE(VLOOKUP($A270,'Quarterly Pipeline vs Target Pi'!$A:$V,17,false)," $","")," €",""), "")
)</f>
        <v>0</v>
      </c>
      <c r="AG270" s="17" t="str">
        <f t="shared" si="11"/>
        <v/>
      </c>
      <c r="AH270" s="1">
        <f>value(IFERROR(SUBSTITUTE(SUBSTITUTE(VLOOKUP($A270,'Quarterly Pipeline vs Target Pi'!$A:$V,21,false)," $","")," €",""), "")
)</f>
        <v>0</v>
      </c>
      <c r="AI270" s="1">
        <f>value(IFERROR(SUBSTITUTE(SUBSTITUTE(VLOOKUP($A270,'Quarterly Pipeline vs Target Pi'!$A:$V,22,false)," $","")," €",""), "")
)</f>
        <v>0</v>
      </c>
      <c r="AJ270" s="17" t="str">
        <f t="shared" si="12"/>
        <v/>
      </c>
      <c r="AK270" s="1">
        <f t="shared" ref="AK270:AL270" si="553">sum(Y270,AB270,AE270,AH270)</f>
        <v>0</v>
      </c>
      <c r="AL270" s="1">
        <f t="shared" si="553"/>
        <v>0</v>
      </c>
      <c r="AM270" s="17" t="str">
        <f t="shared" si="14"/>
        <v/>
      </c>
      <c r="AN270" s="1">
        <f>value(IFERROR(SUBSTITUTE(SUBSTITUTE(VLOOKUP($A270,'Quarterly Pipeline vs Target Pi'!$A:$AP,26,false)," $","")," €",""), "")
)</f>
        <v>0</v>
      </c>
      <c r="AO270" s="1">
        <f>value(IFERROR(SUBSTITUTE(SUBSTITUTE(VLOOKUP($A270,'Quarterly Pipeline vs Target Pi'!$A:$AP,27,false)," $","")," €",""), "")
)</f>
        <v>0</v>
      </c>
      <c r="AP270" s="17" t="str">
        <f t="shared" si="15"/>
        <v/>
      </c>
      <c r="AQ270" s="1">
        <f>value(IFERROR(SUBSTITUTE(SUBSTITUTE(VLOOKUP($A270,'Quarterly Pipeline vs Target Pi'!$A:$AP,31,false)," $","")," €",""), "")
)</f>
        <v>0</v>
      </c>
      <c r="AR270" s="1">
        <f>value(IFERROR(SUBSTITUTE(SUBSTITUTE(VLOOKUP($A270,'Quarterly Pipeline vs Target Pi'!$A:$AP,32,false)," $","")," €",""), "")
)</f>
        <v>0</v>
      </c>
      <c r="AS270" s="17" t="str">
        <f t="shared" si="16"/>
        <v/>
      </c>
      <c r="AT270" s="1">
        <f>value(IFERROR(SUBSTITUTE(SUBSTITUTE(VLOOKUP($A270,'Quarterly Pipeline vs Target Pi'!$A:$AP,36,false)," $","")," €",""), "")
)</f>
        <v>0</v>
      </c>
      <c r="AU270" s="1">
        <f>value(IFERROR(SUBSTITUTE(SUBSTITUTE(VLOOKUP($A270,'Quarterly Pipeline vs Target Pi'!$A:$AP,37,false)," $","")," €",""), "")
)</f>
        <v>0</v>
      </c>
      <c r="AV270" s="17" t="str">
        <f t="shared" si="17"/>
        <v/>
      </c>
      <c r="AW270" s="1">
        <f>value(IFERROR(SUBSTITUTE(SUBSTITUTE(VLOOKUP($A270,'Quarterly Pipeline vs Target Pi'!$A:$AP,41,false)," $","")," €",""), "")
)</f>
        <v>0</v>
      </c>
      <c r="AX270" s="1">
        <f>value(IFERROR(SUBSTITUTE(SUBSTITUTE(VLOOKUP($A270,'Quarterly Pipeline vs Target Pi'!$A:$AP,42,false)," $","")," €",""), "")
)</f>
        <v>0</v>
      </c>
      <c r="AY270" s="17" t="str">
        <f t="shared" si="18"/>
        <v/>
      </c>
      <c r="AZ270" s="1">
        <f t="shared" ref="AZ270:BA270" si="554">sum(AN270,AQ270,AT270,AW270)</f>
        <v>0</v>
      </c>
      <c r="BA270" s="1">
        <f t="shared" si="554"/>
        <v>0</v>
      </c>
      <c r="BB270" s="17" t="str">
        <f t="shared" si="20"/>
        <v/>
      </c>
    </row>
    <row r="271">
      <c r="A271" s="1" t="str">
        <f>IFERROR(__xludf.DUMMYFUNCTION("""COMPUTED_VALUE"""),"63ef9d57384f27260c1ba351")</f>
        <v>63ef9d57384f27260c1ba351</v>
      </c>
      <c r="B271" s="1" t="str">
        <f>IFERROR(__xludf.DUMMYFUNCTION("""COMPUTED_VALUE"""),"LCN- Division of EG Sawyer Co Inc")</f>
        <v>LCN- Division of EG Sawyer Co Inc</v>
      </c>
      <c r="C271" s="1" t="str">
        <f>IFERROR(__xludf.DUMMYFUNCTION("""COMPUTED_VALUE"""),"brendan.flaherty@al-enterprise.com, eric.bumann@al-enterprise.com")</f>
        <v>brendan.flaherty@al-enterprise.com, eric.bumann@al-enterprise.com</v>
      </c>
      <c r="D271" s="1" t="str">
        <f>IFERROR(__xludf.DUMMYFUNCTION("""COMPUTED_VALUE"""),"americas")</f>
        <v>americas</v>
      </c>
      <c r="E271" s="1" t="str">
        <f>IFERROR(__xludf.DUMMYFUNCTION("""COMPUTED_VALUE"""),"US")</f>
        <v>US</v>
      </c>
      <c r="F271" s="1" t="str">
        <f>IFERROR(__xludf.DUMMYFUNCTION("""COMPUTED_VALUE"""),"expert_200")</f>
        <v>expert_200</v>
      </c>
      <c r="G271" s="1">
        <f>iferror(VLOOKUP(A271,'Business Plan Setup and Accepta'!A:G,6,false),"")</f>
        <v>0</v>
      </c>
      <c r="H271" s="1">
        <f>iferror(VLOOKUP(A271,'Business Plan Setup and Accepta'!A:G,7,false),"")</f>
        <v>1</v>
      </c>
      <c r="I271" s="17">
        <f t="shared" si="3"/>
        <v>0</v>
      </c>
      <c r="J271" s="1">
        <f>IFERROR(VALUE(SUBSTITUTE(VLOOKUP(A271,'Sales IN Revenues vs Sales targ'!A:G,6,false)," $","")), "")
</f>
        <v>399.51</v>
      </c>
      <c r="K271" s="1">
        <f>IFERROR(VALUE(SUBSTITUTE(VLOOKUP(A271,'Sales IN Revenues vs Sales targ'!A:G,7,false)," $","")), "")
</f>
        <v>687.99</v>
      </c>
      <c r="L271" s="17">
        <f t="shared" si="4"/>
        <v>0.5806915798</v>
      </c>
      <c r="M271" s="1">
        <f>value(SUBSTITUTE(IFERROR(VLOOKUP(A271,'Certifications achievements vs '!A:G,6,false),""),"#","")
)</f>
        <v>6</v>
      </c>
      <c r="N271" s="1">
        <f>value(SUBSTITUTE(IFERROR(VLOOKUP(A271,'Certifications achievements vs '!A:G,7,false),""),"#","")
)</f>
        <v>52</v>
      </c>
      <c r="O271" s="17">
        <f t="shared" si="5"/>
        <v>0.1153846154</v>
      </c>
      <c r="P271" s="1">
        <f>value(SUBSTITUTE(IFERROR(VLOOKUP(A271,'Communications - Solution Speci'!A:G,6,false),""),"#","")
)</f>
        <v>0</v>
      </c>
      <c r="Q271" s="1">
        <f>value(SUBSTITUTE(IFERROR(VLOOKUP(A271,'Communications - Solution Speci'!A:G,7,false),""),"#","")
)</f>
        <v>1</v>
      </c>
      <c r="R271" s="17">
        <f t="shared" si="6"/>
        <v>0</v>
      </c>
      <c r="S271" s="1">
        <f>value(SUBSTITUTE(IFERROR(VLOOKUP(A271,'Networking - Solution Specializ'!A:G,6,false),""),"#","")
)</f>
        <v>0</v>
      </c>
      <c r="T271" s="1">
        <f>value(SUBSTITUTE(IFERROR(VLOOKUP(A271,'Networking - Solution Specializ'!A:G,7,false),""),"#","")
)</f>
        <v>1</v>
      </c>
      <c r="U271" s="17">
        <f t="shared" si="7"/>
        <v>0</v>
      </c>
      <c r="V271" s="1">
        <f>iferror(vlookup(A271,'Marketing Plan (extract summary'!A:G,6,false),"")</f>
        <v>0</v>
      </c>
      <c r="W271" s="1">
        <f>iferror(vlookup(A271,'Marketing Plan (extract summary'!A:G,7,false),"")</f>
        <v>1</v>
      </c>
      <c r="X271" s="17">
        <f t="shared" si="8"/>
        <v>0</v>
      </c>
      <c r="Y271" s="1">
        <f>value(IFERROR(SUBSTITUTE(SUBSTITUTE(VLOOKUP(A271,'Quarterly Pipeline vs Target Pi'!A:G,6,false)," $","")," €",""), "")
)</f>
        <v>8.57</v>
      </c>
      <c r="Z271" s="1">
        <f>value(IFERROR(SUBSTITUTE(SUBSTITUTE(VLOOKUP(A271,'Quarterly Pipeline vs Target Pi'!A:G,7,false)," $","")," €",""), "")
)</f>
        <v>0</v>
      </c>
      <c r="AA271" s="17" t="str">
        <f t="shared" si="9"/>
        <v/>
      </c>
      <c r="AB271" s="1">
        <f>value(IFERROR(SUBSTITUTE(SUBSTITUTE(VLOOKUP($A271,'Quarterly Pipeline vs Target Pi'!$A:$V,11,false)," $","")," €",""), "")
)</f>
        <v>16.47</v>
      </c>
      <c r="AC271" s="1">
        <f>value(IFERROR(SUBSTITUTE(SUBSTITUTE(VLOOKUP($A271,'Quarterly Pipeline vs Target Pi'!$A:$V,12,false)," $","")," €",""), "")
)</f>
        <v>383.33</v>
      </c>
      <c r="AD271" s="17">
        <f t="shared" si="10"/>
        <v>0.04296559101</v>
      </c>
      <c r="AE271" s="1">
        <f>value(IFERROR(SUBSTITUTE(SUBSTITUTE(VLOOKUP($A271,'Quarterly Pipeline vs Target Pi'!$A:$V,16,false)," $","")," €",""), "")
)</f>
        <v>194.91</v>
      </c>
      <c r="AF271" s="1">
        <f>value(IFERROR(SUBSTITUTE(SUBSTITUTE(VLOOKUP($A271,'Quarterly Pipeline vs Target Pi'!$A:$V,17,false)," $","")," €",""), "")
)</f>
        <v>572.21</v>
      </c>
      <c r="AG271" s="17">
        <f t="shared" si="11"/>
        <v>0.340626693</v>
      </c>
      <c r="AH271" s="1">
        <f>value(IFERROR(SUBSTITUTE(SUBSTITUTE(VLOOKUP($A271,'Quarterly Pipeline vs Target Pi'!$A:$V,21,false)," $","")," €",""), "")
)</f>
        <v>44</v>
      </c>
      <c r="AI271" s="1">
        <f>value(IFERROR(SUBSTITUTE(SUBSTITUTE(VLOOKUP($A271,'Quarterly Pipeline vs Target Pi'!$A:$V,22,false)," $","")," €",""), "")
)</f>
        <v>572.21</v>
      </c>
      <c r="AJ271" s="17">
        <f t="shared" si="12"/>
        <v>0.0768948463</v>
      </c>
      <c r="AK271" s="1">
        <f t="shared" ref="AK271:AL271" si="555">sum(Y271,AB271,AE271,AH271)</f>
        <v>263.95</v>
      </c>
      <c r="AL271" s="1">
        <f t="shared" si="555"/>
        <v>1527.75</v>
      </c>
      <c r="AM271" s="17">
        <f t="shared" si="14"/>
        <v>0.172770414</v>
      </c>
      <c r="AN271" s="1">
        <f>value(IFERROR(SUBSTITUTE(SUBSTITUTE(VLOOKUP($A271,'Quarterly Pipeline vs Target Pi'!$A:$AP,26,false)," $","")," €",""), "")
)</f>
        <v>0</v>
      </c>
      <c r="AO271" s="1">
        <f>value(IFERROR(SUBSTITUTE(SUBSTITUTE(VLOOKUP($A271,'Quarterly Pipeline vs Target Pi'!$A:$AP,27,false)," $","")," €",""), "")
)</f>
        <v>0</v>
      </c>
      <c r="AP271" s="17" t="str">
        <f t="shared" si="15"/>
        <v/>
      </c>
      <c r="AQ271" s="1">
        <f>value(IFERROR(SUBSTITUTE(SUBSTITUTE(VLOOKUP($A271,'Quarterly Pipeline vs Target Pi'!$A:$AP,31,false)," $","")," €",""), "")
)</f>
        <v>0</v>
      </c>
      <c r="AR271" s="1">
        <f>value(IFERROR(SUBSTITUTE(SUBSTITUTE(VLOOKUP($A271,'Quarterly Pipeline vs Target Pi'!$A:$AP,32,false)," $","")," €",""), "")
)</f>
        <v>0</v>
      </c>
      <c r="AS271" s="17" t="str">
        <f t="shared" si="16"/>
        <v/>
      </c>
      <c r="AT271" s="1">
        <f>value(IFERROR(SUBSTITUTE(SUBSTITUTE(VLOOKUP($A271,'Quarterly Pipeline vs Target Pi'!$A:$AP,36,false)," $","")," €",""), "")
)</f>
        <v>0</v>
      </c>
      <c r="AU271" s="1">
        <f>value(IFERROR(SUBSTITUTE(SUBSTITUTE(VLOOKUP($A271,'Quarterly Pipeline vs Target Pi'!$A:$AP,37,false)," $","")," €",""), "")
)</f>
        <v>0</v>
      </c>
      <c r="AV271" s="17" t="str">
        <f t="shared" si="17"/>
        <v/>
      </c>
      <c r="AW271" s="1">
        <f>value(IFERROR(SUBSTITUTE(SUBSTITUTE(VLOOKUP($A271,'Quarterly Pipeline vs Target Pi'!$A:$AP,41,false)," $","")," €",""), "")
)</f>
        <v>0</v>
      </c>
      <c r="AX271" s="1">
        <f>value(IFERROR(SUBSTITUTE(SUBSTITUTE(VLOOKUP($A271,'Quarterly Pipeline vs Target Pi'!$A:$AP,42,false)," $","")," €",""), "")
)</f>
        <v>0</v>
      </c>
      <c r="AY271" s="17" t="str">
        <f t="shared" si="18"/>
        <v/>
      </c>
      <c r="AZ271" s="1">
        <f t="shared" ref="AZ271:BA271" si="556">sum(AN271,AQ271,AT271,AW271)</f>
        <v>0</v>
      </c>
      <c r="BA271" s="1">
        <f t="shared" si="556"/>
        <v>0</v>
      </c>
      <c r="BB271" s="17" t="str">
        <f t="shared" si="20"/>
        <v/>
      </c>
    </row>
    <row r="272">
      <c r="A272" s="1" t="str">
        <f>IFERROR(__xludf.DUMMYFUNCTION("""COMPUTED_VALUE"""),"63ea6e9352ad6968805ceb35")</f>
        <v>63ea6e9352ad6968805ceb35</v>
      </c>
      <c r="B272" s="1" t="str">
        <f>IFERROR(__xludf.DUMMYFUNCTION("""COMPUTED_VALUE"""),"Lecos GmbH")</f>
        <v>Lecos GmbH</v>
      </c>
      <c r="C272" s="1" t="str">
        <f>IFERROR(__xludf.DUMMYFUNCTION("""COMPUTED_VALUE"""),"thomas.ullmann@al-enterprise.com, andreas.grossheimann@al-enterprise.com")</f>
        <v>thomas.ullmann@al-enterprise.com, andreas.grossheimann@al-enterprise.com</v>
      </c>
      <c r="D272" s="1" t="str">
        <f>IFERROR(__xludf.DUMMYFUNCTION("""COMPUTED_VALUE"""),"germany")</f>
        <v>germany</v>
      </c>
      <c r="E272" s="1" t="str">
        <f>IFERROR(__xludf.DUMMYFUNCTION("""COMPUTED_VALUE"""),"DE")</f>
        <v>DE</v>
      </c>
      <c r="F272" s="1"/>
      <c r="G272" s="1" t="str">
        <f>iferror(VLOOKUP(A272,'Business Plan Setup and Accepta'!A:G,6,false),"")</f>
        <v/>
      </c>
      <c r="H272" s="1" t="str">
        <f>iferror(VLOOKUP(A272,'Business Plan Setup and Accepta'!A:G,7,false),"")</f>
        <v/>
      </c>
      <c r="I272" s="17" t="str">
        <f t="shared" si="3"/>
        <v/>
      </c>
      <c r="J272" s="1" t="str">
        <f>IFERROR(VALUE(SUBSTITUTE(VLOOKUP(A272,'Sales IN Revenues vs Sales targ'!A:G,6,false)," $","")), "")
</f>
        <v/>
      </c>
      <c r="K272" s="1" t="str">
        <f>IFERROR(VALUE(SUBSTITUTE(VLOOKUP(A272,'Sales IN Revenues vs Sales targ'!A:G,7,false)," $","")), "")
</f>
        <v/>
      </c>
      <c r="L272" s="17" t="str">
        <f t="shared" si="4"/>
        <v/>
      </c>
      <c r="M272" s="1">
        <f>value(SUBSTITUTE(IFERROR(VLOOKUP(A272,'Certifications achievements vs '!A:G,6,false),""),"#","")
)</f>
        <v>0</v>
      </c>
      <c r="N272" s="1">
        <f>value(SUBSTITUTE(IFERROR(VLOOKUP(A272,'Certifications achievements vs '!A:G,7,false),""),"#","")
)</f>
        <v>0</v>
      </c>
      <c r="O272" s="17" t="str">
        <f t="shared" si="5"/>
        <v/>
      </c>
      <c r="P272" s="1">
        <f>value(SUBSTITUTE(IFERROR(VLOOKUP(A272,'Communications - Solution Speci'!A:G,6,false),""),"#","")
)</f>
        <v>0</v>
      </c>
      <c r="Q272" s="1">
        <f>value(SUBSTITUTE(IFERROR(VLOOKUP(A272,'Communications - Solution Speci'!A:G,7,false),""),"#","")
)</f>
        <v>0</v>
      </c>
      <c r="R272" s="17" t="str">
        <f t="shared" si="6"/>
        <v/>
      </c>
      <c r="S272" s="1">
        <f>value(SUBSTITUTE(IFERROR(VLOOKUP(A272,'Networking - Solution Specializ'!A:G,6,false),""),"#","")
)</f>
        <v>0</v>
      </c>
      <c r="T272" s="1">
        <f>value(SUBSTITUTE(IFERROR(VLOOKUP(A272,'Networking - Solution Specializ'!A:G,7,false),""),"#","")
)</f>
        <v>0</v>
      </c>
      <c r="U272" s="17" t="str">
        <f t="shared" si="7"/>
        <v/>
      </c>
      <c r="V272" s="1" t="str">
        <f>iferror(vlookup(A272,'Marketing Plan (extract summary'!A:G,6,false),"")</f>
        <v/>
      </c>
      <c r="W272" s="1" t="str">
        <f>iferror(vlookup(A272,'Marketing Plan (extract summary'!A:G,7,false),"")</f>
        <v/>
      </c>
      <c r="X272" s="17" t="str">
        <f t="shared" si="8"/>
        <v/>
      </c>
      <c r="Y272" s="1">
        <f>value(IFERROR(SUBSTITUTE(SUBSTITUTE(VLOOKUP(A272,'Quarterly Pipeline vs Target Pi'!A:G,6,false)," $","")," €",""), "")
)</f>
        <v>0</v>
      </c>
      <c r="Z272" s="1">
        <f>value(IFERROR(SUBSTITUTE(SUBSTITUTE(VLOOKUP(A272,'Quarterly Pipeline vs Target Pi'!A:G,7,false)," $","")," €",""), "")
)</f>
        <v>0</v>
      </c>
      <c r="AA272" s="17" t="str">
        <f t="shared" si="9"/>
        <v/>
      </c>
      <c r="AB272" s="1">
        <f>value(IFERROR(SUBSTITUTE(SUBSTITUTE(VLOOKUP($A272,'Quarterly Pipeline vs Target Pi'!$A:$V,11,false)," $","")," €",""), "")
)</f>
        <v>0</v>
      </c>
      <c r="AC272" s="1">
        <f>value(IFERROR(SUBSTITUTE(SUBSTITUTE(VLOOKUP($A272,'Quarterly Pipeline vs Target Pi'!$A:$V,12,false)," $","")," €",""), "")
)</f>
        <v>0</v>
      </c>
      <c r="AD272" s="17" t="str">
        <f t="shared" si="10"/>
        <v/>
      </c>
      <c r="AE272" s="1">
        <f>value(IFERROR(SUBSTITUTE(SUBSTITUTE(VLOOKUP($A272,'Quarterly Pipeline vs Target Pi'!$A:$V,16,false)," $","")," €",""), "")
)</f>
        <v>0</v>
      </c>
      <c r="AF272" s="1">
        <f>value(IFERROR(SUBSTITUTE(SUBSTITUTE(VLOOKUP($A272,'Quarterly Pipeline vs Target Pi'!$A:$V,17,false)," $","")," €",""), "")
)</f>
        <v>0</v>
      </c>
      <c r="AG272" s="17" t="str">
        <f t="shared" si="11"/>
        <v/>
      </c>
      <c r="AH272" s="1">
        <f>value(IFERROR(SUBSTITUTE(SUBSTITUTE(VLOOKUP($A272,'Quarterly Pipeline vs Target Pi'!$A:$V,21,false)," $","")," €",""), "")
)</f>
        <v>0</v>
      </c>
      <c r="AI272" s="1">
        <f>value(IFERROR(SUBSTITUTE(SUBSTITUTE(VLOOKUP($A272,'Quarterly Pipeline vs Target Pi'!$A:$V,22,false)," $","")," €",""), "")
)</f>
        <v>0</v>
      </c>
      <c r="AJ272" s="17" t="str">
        <f t="shared" si="12"/>
        <v/>
      </c>
      <c r="AK272" s="1">
        <f t="shared" ref="AK272:AL272" si="557">sum(Y272,AB272,AE272,AH272)</f>
        <v>0</v>
      </c>
      <c r="AL272" s="1">
        <f t="shared" si="557"/>
        <v>0</v>
      </c>
      <c r="AM272" s="17" t="str">
        <f t="shared" si="14"/>
        <v/>
      </c>
      <c r="AN272" s="1">
        <f>value(IFERROR(SUBSTITUTE(SUBSTITUTE(VLOOKUP($A272,'Quarterly Pipeline vs Target Pi'!$A:$AP,26,false)," $","")," €",""), "")
)</f>
        <v>0</v>
      </c>
      <c r="AO272" s="1">
        <f>value(IFERROR(SUBSTITUTE(SUBSTITUTE(VLOOKUP($A272,'Quarterly Pipeline vs Target Pi'!$A:$AP,27,false)," $","")," €",""), "")
)</f>
        <v>0</v>
      </c>
      <c r="AP272" s="17" t="str">
        <f t="shared" si="15"/>
        <v/>
      </c>
      <c r="AQ272" s="1">
        <f>value(IFERROR(SUBSTITUTE(SUBSTITUTE(VLOOKUP($A272,'Quarterly Pipeline vs Target Pi'!$A:$AP,31,false)," $","")," €",""), "")
)</f>
        <v>0</v>
      </c>
      <c r="AR272" s="1">
        <f>value(IFERROR(SUBSTITUTE(SUBSTITUTE(VLOOKUP($A272,'Quarterly Pipeline vs Target Pi'!$A:$AP,32,false)," $","")," €",""), "")
)</f>
        <v>0</v>
      </c>
      <c r="AS272" s="17" t="str">
        <f t="shared" si="16"/>
        <v/>
      </c>
      <c r="AT272" s="1">
        <f>value(IFERROR(SUBSTITUTE(SUBSTITUTE(VLOOKUP($A272,'Quarterly Pipeline vs Target Pi'!$A:$AP,36,false)," $","")," €",""), "")
)</f>
        <v>0</v>
      </c>
      <c r="AU272" s="1">
        <f>value(IFERROR(SUBSTITUTE(SUBSTITUTE(VLOOKUP($A272,'Quarterly Pipeline vs Target Pi'!$A:$AP,37,false)," $","")," €",""), "")
)</f>
        <v>0</v>
      </c>
      <c r="AV272" s="17" t="str">
        <f t="shared" si="17"/>
        <v/>
      </c>
      <c r="AW272" s="1">
        <f>value(IFERROR(SUBSTITUTE(SUBSTITUTE(VLOOKUP($A272,'Quarterly Pipeline vs Target Pi'!$A:$AP,41,false)," $","")," €",""), "")
)</f>
        <v>0</v>
      </c>
      <c r="AX272" s="1">
        <f>value(IFERROR(SUBSTITUTE(SUBSTITUTE(VLOOKUP($A272,'Quarterly Pipeline vs Target Pi'!$A:$AP,42,false)," $","")," €",""), "")
)</f>
        <v>0</v>
      </c>
      <c r="AY272" s="17" t="str">
        <f t="shared" si="18"/>
        <v/>
      </c>
      <c r="AZ272" s="1">
        <f t="shared" ref="AZ272:BA272" si="558">sum(AN272,AQ272,AT272,AW272)</f>
        <v>0</v>
      </c>
      <c r="BA272" s="1">
        <f t="shared" si="558"/>
        <v>0</v>
      </c>
      <c r="BB272" s="17" t="str">
        <f t="shared" si="20"/>
        <v/>
      </c>
    </row>
    <row r="273">
      <c r="A273" s="1" t="str">
        <f>IFERROR(__xludf.DUMMYFUNCTION("""COMPUTED_VALUE"""),"63ced849c5c820531c268e2e")</f>
        <v>63ced849c5c820531c268e2e</v>
      </c>
      <c r="B273" s="1" t="str">
        <f>IFERROR(__xludf.DUMMYFUNCTION("""COMPUTED_VALUE"""),"LETTEL DISTRIBUIDORA DE TELEFONIA")</f>
        <v>LETTEL DISTRIBUIDORA DE TELEFONIA</v>
      </c>
      <c r="C273" s="1" t="str">
        <f>IFERROR(__xludf.DUMMYFUNCTION("""COMPUTED_VALUE"""),"gabriel.pires@al-enterprise.com")</f>
        <v>gabriel.pires@al-enterprise.com</v>
      </c>
      <c r="D273" s="1" t="str">
        <f>IFERROR(__xludf.DUMMYFUNCTION("""COMPUTED_VALUE"""),"americas")</f>
        <v>americas</v>
      </c>
      <c r="E273" s="1" t="str">
        <f>IFERROR(__xludf.DUMMYFUNCTION("""COMPUTED_VALUE"""),"BR")</f>
        <v>BR</v>
      </c>
      <c r="F273" s="1" t="str">
        <f>IFERROR(__xludf.DUMMYFUNCTION("""COMPUTED_VALUE"""),"distributor_1000")</f>
        <v>distributor_1000</v>
      </c>
      <c r="G273" s="1">
        <f>iferror(VLOOKUP(A273,'Business Plan Setup and Accepta'!A:G,6,false),"")</f>
        <v>1</v>
      </c>
      <c r="H273" s="1">
        <f>iferror(VLOOKUP(A273,'Business Plan Setup and Accepta'!A:G,7,false),"")</f>
        <v>1</v>
      </c>
      <c r="I273" s="17">
        <f t="shared" si="3"/>
        <v>1</v>
      </c>
      <c r="J273" s="1">
        <f>IFERROR(VALUE(SUBSTITUTE(VLOOKUP(A273,'Sales IN Revenues vs Sales targ'!A:G,6,false)," $","")), "")
</f>
        <v>1075.83</v>
      </c>
      <c r="K273" s="1">
        <f>IFERROR(VALUE(SUBSTITUTE(VLOOKUP(A273,'Sales IN Revenues vs Sales targ'!A:G,7,false)," $","")), "")
</f>
        <v>5999.95</v>
      </c>
      <c r="L273" s="17">
        <f t="shared" si="4"/>
        <v>0.1793064942</v>
      </c>
      <c r="M273" s="1">
        <f>value(SUBSTITUTE(IFERROR(VLOOKUP(A273,'Certifications achievements vs '!A:G,6,false),""),"#","")
)</f>
        <v>50</v>
      </c>
      <c r="N273" s="1">
        <f>value(SUBSTITUTE(IFERROR(VLOOKUP(A273,'Certifications achievements vs '!A:G,7,false),""),"#","")
)</f>
        <v>66</v>
      </c>
      <c r="O273" s="17">
        <f t="shared" si="5"/>
        <v>0.7575757576</v>
      </c>
      <c r="P273" s="1">
        <f>value(SUBSTITUTE(IFERROR(VLOOKUP(A273,'Communications - Solution Speci'!A:G,6,false),""),"#","")
)</f>
        <v>1</v>
      </c>
      <c r="Q273" s="1">
        <f>value(SUBSTITUTE(IFERROR(VLOOKUP(A273,'Communications - Solution Speci'!A:G,7,false),""),"#","")
)</f>
        <v>1</v>
      </c>
      <c r="R273" s="17">
        <f t="shared" si="6"/>
        <v>1</v>
      </c>
      <c r="S273" s="1">
        <f>value(SUBSTITUTE(IFERROR(VLOOKUP(A273,'Networking - Solution Specializ'!A:G,6,false),""),"#","")
)</f>
        <v>1</v>
      </c>
      <c r="T273" s="1">
        <f>value(SUBSTITUTE(IFERROR(VLOOKUP(A273,'Networking - Solution Specializ'!A:G,7,false),""),"#","")
)</f>
        <v>1</v>
      </c>
      <c r="U273" s="17">
        <f t="shared" si="7"/>
        <v>1</v>
      </c>
      <c r="V273" s="1">
        <f>iferror(vlookup(A273,'Marketing Plan (extract summary'!A:G,6,false),"")</f>
        <v>1</v>
      </c>
      <c r="W273" s="1">
        <f>iferror(vlookup(A273,'Marketing Plan (extract summary'!A:G,7,false),"")</f>
        <v>1</v>
      </c>
      <c r="X273" s="17">
        <f t="shared" si="8"/>
        <v>1</v>
      </c>
      <c r="Y273" s="1">
        <f>value(IFERROR(SUBSTITUTE(SUBSTITUTE(VLOOKUP(A273,'Quarterly Pipeline vs Target Pi'!A:G,6,false)," $","")," €",""), "")
)</f>
        <v>0.72</v>
      </c>
      <c r="Z273" s="1">
        <f>value(IFERROR(SUBSTITUTE(SUBSTITUTE(VLOOKUP(A273,'Quarterly Pipeline vs Target Pi'!A:G,7,false)," $","")," €",""), "")
)</f>
        <v>0</v>
      </c>
      <c r="AA273" s="17" t="str">
        <f t="shared" si="9"/>
        <v/>
      </c>
      <c r="AB273" s="1">
        <f>value(IFERROR(SUBSTITUTE(SUBSTITUTE(VLOOKUP($A273,'Quarterly Pipeline vs Target Pi'!$A:$V,11,false)," $","")," €",""), "")
)</f>
        <v>67.47</v>
      </c>
      <c r="AC273" s="1">
        <f>value(IFERROR(SUBSTITUTE(SUBSTITUTE(VLOOKUP($A273,'Quarterly Pipeline vs Target Pi'!$A:$V,12,false)," $","")," €",""), "")
)</f>
        <v>2545.43</v>
      </c>
      <c r="AD273" s="17">
        <f t="shared" si="10"/>
        <v>0.02650632703</v>
      </c>
      <c r="AE273" s="1">
        <f>value(IFERROR(SUBSTITUTE(SUBSTITUTE(VLOOKUP($A273,'Quarterly Pipeline vs Target Pi'!$A:$V,16,false)," $","")," €",""), "")
)</f>
        <v>361.28</v>
      </c>
      <c r="AF273" s="1">
        <f>value(IFERROR(SUBSTITUTE(SUBSTITUTE(VLOOKUP($A273,'Quarterly Pipeline vs Target Pi'!$A:$V,17,false)," $","")," €",""), "")
)</f>
        <v>2981.8</v>
      </c>
      <c r="AG273" s="17">
        <f t="shared" si="11"/>
        <v>0.1211617144</v>
      </c>
      <c r="AH273" s="1">
        <f>value(IFERROR(SUBSTITUTE(SUBSTITUTE(VLOOKUP($A273,'Quarterly Pipeline vs Target Pi'!$A:$V,21,false)," $","")," €",""), "")
)</f>
        <v>4504.09</v>
      </c>
      <c r="AI273" s="1">
        <f>value(IFERROR(SUBSTITUTE(SUBSTITUTE(VLOOKUP($A273,'Quarterly Pipeline vs Target Pi'!$A:$V,22,false)," $","")," €",""), "")
)</f>
        <v>3018.16</v>
      </c>
      <c r="AJ273" s="17">
        <f t="shared" si="12"/>
        <v>1.492329764</v>
      </c>
      <c r="AK273" s="1">
        <f t="shared" ref="AK273:AL273" si="559">sum(Y273,AB273,AE273,AH273)</f>
        <v>4933.56</v>
      </c>
      <c r="AL273" s="1">
        <f t="shared" si="559"/>
        <v>8545.39</v>
      </c>
      <c r="AM273" s="17">
        <f t="shared" si="14"/>
        <v>0.5773358501</v>
      </c>
      <c r="AN273" s="1">
        <f>value(IFERROR(SUBSTITUTE(SUBSTITUTE(VLOOKUP($A273,'Quarterly Pipeline vs Target Pi'!$A:$AP,26,false)," $","")," €",""), "")
)</f>
        <v>2.63</v>
      </c>
      <c r="AO273" s="1">
        <f>value(IFERROR(SUBSTITUTE(SUBSTITUTE(VLOOKUP($A273,'Quarterly Pipeline vs Target Pi'!$A:$AP,27,false)," $","")," €",""), "")
)</f>
        <v>0</v>
      </c>
      <c r="AP273" s="17" t="str">
        <f t="shared" si="15"/>
        <v/>
      </c>
      <c r="AQ273" s="1">
        <f>value(IFERROR(SUBSTITUTE(SUBSTITUTE(VLOOKUP($A273,'Quarterly Pipeline vs Target Pi'!$A:$AP,31,false)," $","")," €",""), "")
)</f>
        <v>35.53</v>
      </c>
      <c r="AR273" s="1">
        <f>value(IFERROR(SUBSTITUTE(SUBSTITUTE(VLOOKUP($A273,'Quarterly Pipeline vs Target Pi'!$A:$AP,32,false)," $","")," €",""), "")
)</f>
        <v>0</v>
      </c>
      <c r="AS273" s="17" t="str">
        <f t="shared" si="16"/>
        <v/>
      </c>
      <c r="AT273" s="1">
        <f>value(IFERROR(SUBSTITUTE(SUBSTITUTE(VLOOKUP($A273,'Quarterly Pipeline vs Target Pi'!$A:$AP,36,false)," $","")," €",""), "")
)</f>
        <v>0</v>
      </c>
      <c r="AU273" s="1">
        <f>value(IFERROR(SUBSTITUTE(SUBSTITUTE(VLOOKUP($A273,'Quarterly Pipeline vs Target Pi'!$A:$AP,37,false)," $","")," €",""), "")
)</f>
        <v>0</v>
      </c>
      <c r="AV273" s="17" t="str">
        <f t="shared" si="17"/>
        <v/>
      </c>
      <c r="AW273" s="1">
        <f>value(IFERROR(SUBSTITUTE(SUBSTITUTE(VLOOKUP($A273,'Quarterly Pipeline vs Target Pi'!$A:$AP,41,false)," $","")," €",""), "")
)</f>
        <v>51.32</v>
      </c>
      <c r="AX273" s="1">
        <f>value(IFERROR(SUBSTITUTE(SUBSTITUTE(VLOOKUP($A273,'Quarterly Pipeline vs Target Pi'!$A:$AP,42,false)," $","")," €",""), "")
)</f>
        <v>0</v>
      </c>
      <c r="AY273" s="17" t="str">
        <f t="shared" si="18"/>
        <v/>
      </c>
      <c r="AZ273" s="1">
        <f t="shared" ref="AZ273:BA273" si="560">sum(AN273,AQ273,AT273,AW273)</f>
        <v>89.48</v>
      </c>
      <c r="BA273" s="1">
        <f t="shared" si="560"/>
        <v>0</v>
      </c>
      <c r="BB273" s="17" t="str">
        <f t="shared" si="20"/>
        <v/>
      </c>
    </row>
    <row r="274">
      <c r="A274" s="1" t="str">
        <f>IFERROR(__xludf.DUMMYFUNCTION("""COMPUTED_VALUE"""),"63fcbb7fa107c871cf564a51")</f>
        <v>63fcbb7fa107c871cf564a51</v>
      </c>
      <c r="B274" s="1" t="str">
        <f>IFERROR(__xludf.DUMMYFUNCTION("""COMPUTED_VALUE"""),"Levengood Supply Co., Inc.")</f>
        <v>Levengood Supply Co., Inc.</v>
      </c>
      <c r="C274" s="1" t="str">
        <f>IFERROR(__xludf.DUMMYFUNCTION("""COMPUTED_VALUE"""),"brendan.flaherty@al-enterprise.com")</f>
        <v>brendan.flaherty@al-enterprise.com</v>
      </c>
      <c r="D274" s="1" t="str">
        <f>IFERROR(__xludf.DUMMYFUNCTION("""COMPUTED_VALUE"""),"americas")</f>
        <v>americas</v>
      </c>
      <c r="E274" s="1" t="str">
        <f>IFERROR(__xludf.DUMMYFUNCTION("""COMPUTED_VALUE"""),"US")</f>
        <v>US</v>
      </c>
      <c r="F274" s="1"/>
      <c r="G274" s="1" t="str">
        <f>iferror(VLOOKUP(A274,'Business Plan Setup and Accepta'!A:G,6,false),"")</f>
        <v/>
      </c>
      <c r="H274" s="1" t="str">
        <f>iferror(VLOOKUP(A274,'Business Plan Setup and Accepta'!A:G,7,false),"")</f>
        <v/>
      </c>
      <c r="I274" s="17" t="str">
        <f t="shared" si="3"/>
        <v/>
      </c>
      <c r="J274" s="1" t="str">
        <f>IFERROR(VALUE(SUBSTITUTE(VLOOKUP(A274,'Sales IN Revenues vs Sales targ'!A:G,6,false)," $","")), "")
</f>
        <v/>
      </c>
      <c r="K274" s="1" t="str">
        <f>IFERROR(VALUE(SUBSTITUTE(VLOOKUP(A274,'Sales IN Revenues vs Sales targ'!A:G,7,false)," $","")), "")
</f>
        <v/>
      </c>
      <c r="L274" s="17" t="str">
        <f t="shared" si="4"/>
        <v/>
      </c>
      <c r="M274" s="1">
        <f>value(SUBSTITUTE(IFERROR(VLOOKUP(A274,'Certifications achievements vs '!A:G,6,false),""),"#","")
)</f>
        <v>0</v>
      </c>
      <c r="N274" s="1">
        <f>value(SUBSTITUTE(IFERROR(VLOOKUP(A274,'Certifications achievements vs '!A:G,7,false),""),"#","")
)</f>
        <v>0</v>
      </c>
      <c r="O274" s="17" t="str">
        <f t="shared" si="5"/>
        <v/>
      </c>
      <c r="P274" s="1">
        <f>value(SUBSTITUTE(IFERROR(VLOOKUP(A274,'Communications - Solution Speci'!A:G,6,false),""),"#","")
)</f>
        <v>0</v>
      </c>
      <c r="Q274" s="1">
        <f>value(SUBSTITUTE(IFERROR(VLOOKUP(A274,'Communications - Solution Speci'!A:G,7,false),""),"#","")
)</f>
        <v>0</v>
      </c>
      <c r="R274" s="17" t="str">
        <f t="shared" si="6"/>
        <v/>
      </c>
      <c r="S274" s="1">
        <f>value(SUBSTITUTE(IFERROR(VLOOKUP(A274,'Networking - Solution Specializ'!A:G,6,false),""),"#","")
)</f>
        <v>0</v>
      </c>
      <c r="T274" s="1">
        <f>value(SUBSTITUTE(IFERROR(VLOOKUP(A274,'Networking - Solution Specializ'!A:G,7,false),""),"#","")
)</f>
        <v>0</v>
      </c>
      <c r="U274" s="17" t="str">
        <f t="shared" si="7"/>
        <v/>
      </c>
      <c r="V274" s="1" t="str">
        <f>iferror(vlookup(A274,'Marketing Plan (extract summary'!A:G,6,false),"")</f>
        <v/>
      </c>
      <c r="W274" s="1" t="str">
        <f>iferror(vlookup(A274,'Marketing Plan (extract summary'!A:G,7,false),"")</f>
        <v/>
      </c>
      <c r="X274" s="17" t="str">
        <f t="shared" si="8"/>
        <v/>
      </c>
      <c r="Y274" s="1">
        <f>value(IFERROR(SUBSTITUTE(SUBSTITUTE(VLOOKUP(A274,'Quarterly Pipeline vs Target Pi'!A:G,6,false)," $","")," €",""), "")
)</f>
        <v>0</v>
      </c>
      <c r="Z274" s="1">
        <f>value(IFERROR(SUBSTITUTE(SUBSTITUTE(VLOOKUP(A274,'Quarterly Pipeline vs Target Pi'!A:G,7,false)," $","")," €",""), "")
)</f>
        <v>0</v>
      </c>
      <c r="AA274" s="17" t="str">
        <f t="shared" si="9"/>
        <v/>
      </c>
      <c r="AB274" s="1">
        <f>value(IFERROR(SUBSTITUTE(SUBSTITUTE(VLOOKUP($A274,'Quarterly Pipeline vs Target Pi'!$A:$V,11,false)," $","")," €",""), "")
)</f>
        <v>0</v>
      </c>
      <c r="AC274" s="1">
        <f>value(IFERROR(SUBSTITUTE(SUBSTITUTE(VLOOKUP($A274,'Quarterly Pipeline vs Target Pi'!$A:$V,12,false)," $","")," €",""), "")
)</f>
        <v>0</v>
      </c>
      <c r="AD274" s="17" t="str">
        <f t="shared" si="10"/>
        <v/>
      </c>
      <c r="AE274" s="1">
        <f>value(IFERROR(SUBSTITUTE(SUBSTITUTE(VLOOKUP($A274,'Quarterly Pipeline vs Target Pi'!$A:$V,16,false)," $","")," €",""), "")
)</f>
        <v>0</v>
      </c>
      <c r="AF274" s="1">
        <f>value(IFERROR(SUBSTITUTE(SUBSTITUTE(VLOOKUP($A274,'Quarterly Pipeline vs Target Pi'!$A:$V,17,false)," $","")," €",""), "")
)</f>
        <v>0</v>
      </c>
      <c r="AG274" s="17" t="str">
        <f t="shared" si="11"/>
        <v/>
      </c>
      <c r="AH274" s="1">
        <f>value(IFERROR(SUBSTITUTE(SUBSTITUTE(VLOOKUP($A274,'Quarterly Pipeline vs Target Pi'!$A:$V,21,false)," $","")," €",""), "")
)</f>
        <v>0</v>
      </c>
      <c r="AI274" s="1">
        <f>value(IFERROR(SUBSTITUTE(SUBSTITUTE(VLOOKUP($A274,'Quarterly Pipeline vs Target Pi'!$A:$V,22,false)," $","")," €",""), "")
)</f>
        <v>0</v>
      </c>
      <c r="AJ274" s="17" t="str">
        <f t="shared" si="12"/>
        <v/>
      </c>
      <c r="AK274" s="1">
        <f t="shared" ref="AK274:AL274" si="561">sum(Y274,AB274,AE274,AH274)</f>
        <v>0</v>
      </c>
      <c r="AL274" s="1">
        <f t="shared" si="561"/>
        <v>0</v>
      </c>
      <c r="AM274" s="17" t="str">
        <f t="shared" si="14"/>
        <v/>
      </c>
      <c r="AN274" s="1">
        <f>value(IFERROR(SUBSTITUTE(SUBSTITUTE(VLOOKUP($A274,'Quarterly Pipeline vs Target Pi'!$A:$AP,26,false)," $","")," €",""), "")
)</f>
        <v>0</v>
      </c>
      <c r="AO274" s="1">
        <f>value(IFERROR(SUBSTITUTE(SUBSTITUTE(VLOOKUP($A274,'Quarterly Pipeline vs Target Pi'!$A:$AP,27,false)," $","")," €",""), "")
)</f>
        <v>0</v>
      </c>
      <c r="AP274" s="17" t="str">
        <f t="shared" si="15"/>
        <v/>
      </c>
      <c r="AQ274" s="1">
        <f>value(IFERROR(SUBSTITUTE(SUBSTITUTE(VLOOKUP($A274,'Quarterly Pipeline vs Target Pi'!$A:$AP,31,false)," $","")," €",""), "")
)</f>
        <v>0</v>
      </c>
      <c r="AR274" s="1">
        <f>value(IFERROR(SUBSTITUTE(SUBSTITUTE(VLOOKUP($A274,'Quarterly Pipeline vs Target Pi'!$A:$AP,32,false)," $","")," €",""), "")
)</f>
        <v>0</v>
      </c>
      <c r="AS274" s="17" t="str">
        <f t="shared" si="16"/>
        <v/>
      </c>
      <c r="AT274" s="1">
        <f>value(IFERROR(SUBSTITUTE(SUBSTITUTE(VLOOKUP($A274,'Quarterly Pipeline vs Target Pi'!$A:$AP,36,false)," $","")," €",""), "")
)</f>
        <v>0</v>
      </c>
      <c r="AU274" s="1">
        <f>value(IFERROR(SUBSTITUTE(SUBSTITUTE(VLOOKUP($A274,'Quarterly Pipeline vs Target Pi'!$A:$AP,37,false)," $","")," €",""), "")
)</f>
        <v>0</v>
      </c>
      <c r="AV274" s="17" t="str">
        <f t="shared" si="17"/>
        <v/>
      </c>
      <c r="AW274" s="1">
        <f>value(IFERROR(SUBSTITUTE(SUBSTITUTE(VLOOKUP($A274,'Quarterly Pipeline vs Target Pi'!$A:$AP,41,false)," $","")," €",""), "")
)</f>
        <v>0</v>
      </c>
      <c r="AX274" s="1">
        <f>value(IFERROR(SUBSTITUTE(SUBSTITUTE(VLOOKUP($A274,'Quarterly Pipeline vs Target Pi'!$A:$AP,42,false)," $","")," €",""), "")
)</f>
        <v>0</v>
      </c>
      <c r="AY274" s="17" t="str">
        <f t="shared" si="18"/>
        <v/>
      </c>
      <c r="AZ274" s="1">
        <f t="shared" ref="AZ274:BA274" si="562">sum(AN274,AQ274,AT274,AW274)</f>
        <v>0</v>
      </c>
      <c r="BA274" s="1">
        <f t="shared" si="562"/>
        <v>0</v>
      </c>
      <c r="BB274" s="17" t="str">
        <f t="shared" si="20"/>
        <v/>
      </c>
    </row>
    <row r="275">
      <c r="A275" s="1" t="str">
        <f>IFERROR(__xludf.DUMMYFUNCTION("""COMPUTED_VALUE"""),"63ced84dc5c820531c26979d")</f>
        <v>63ced84dc5c820531c26979d</v>
      </c>
      <c r="B275" s="1" t="str">
        <f>IFERROR(__xludf.DUMMYFUNCTION("""COMPUTED_VALUE"""),"LightSpeed Technologies, Inc")</f>
        <v>LightSpeed Technologies, Inc</v>
      </c>
      <c r="C275" s="1" t="str">
        <f>IFERROR(__xludf.DUMMYFUNCTION("""COMPUTED_VALUE"""),"brendan.flaherty@al-enterprise.com")</f>
        <v>brendan.flaherty@al-enterprise.com</v>
      </c>
      <c r="D275" s="1" t="str">
        <f>IFERROR(__xludf.DUMMYFUNCTION("""COMPUTED_VALUE"""),"americas")</f>
        <v>americas</v>
      </c>
      <c r="E275" s="1" t="str">
        <f>IFERROR(__xludf.DUMMYFUNCTION("""COMPUTED_VALUE"""),"US")</f>
        <v>US</v>
      </c>
      <c r="F275" s="1"/>
      <c r="G275" s="1" t="str">
        <f>iferror(VLOOKUP(A275,'Business Plan Setup and Accepta'!A:G,6,false),"")</f>
        <v/>
      </c>
      <c r="H275" s="1" t="str">
        <f>iferror(VLOOKUP(A275,'Business Plan Setup and Accepta'!A:G,7,false),"")</f>
        <v/>
      </c>
      <c r="I275" s="17" t="str">
        <f t="shared" si="3"/>
        <v/>
      </c>
      <c r="J275" s="1" t="str">
        <f>IFERROR(VALUE(SUBSTITUTE(VLOOKUP(A275,'Sales IN Revenues vs Sales targ'!A:G,6,false)," $","")), "")
</f>
        <v/>
      </c>
      <c r="K275" s="1" t="str">
        <f>IFERROR(VALUE(SUBSTITUTE(VLOOKUP(A275,'Sales IN Revenues vs Sales targ'!A:G,7,false)," $","")), "")
</f>
        <v/>
      </c>
      <c r="L275" s="17" t="str">
        <f t="shared" si="4"/>
        <v/>
      </c>
      <c r="M275" s="1">
        <f>value(SUBSTITUTE(IFERROR(VLOOKUP(A275,'Certifications achievements vs '!A:G,6,false),""),"#","")
)</f>
        <v>7</v>
      </c>
      <c r="N275" s="1">
        <f>value(SUBSTITUTE(IFERROR(VLOOKUP(A275,'Certifications achievements vs '!A:G,7,false),""),"#","")
)</f>
        <v>52</v>
      </c>
      <c r="O275" s="17">
        <f t="shared" si="5"/>
        <v>0.1346153846</v>
      </c>
      <c r="P275" s="1">
        <f>value(SUBSTITUTE(IFERROR(VLOOKUP(A275,'Communications - Solution Speci'!A:G,6,false),""),"#","")
)</f>
        <v>0</v>
      </c>
      <c r="Q275" s="1">
        <f>value(SUBSTITUTE(IFERROR(VLOOKUP(A275,'Communications - Solution Speci'!A:G,7,false),""),"#","")
)</f>
        <v>0</v>
      </c>
      <c r="R275" s="17" t="str">
        <f t="shared" si="6"/>
        <v/>
      </c>
      <c r="S275" s="1">
        <f>value(SUBSTITUTE(IFERROR(VLOOKUP(A275,'Networking - Solution Specializ'!A:G,6,false),""),"#","")
)</f>
        <v>0</v>
      </c>
      <c r="T275" s="1">
        <f>value(SUBSTITUTE(IFERROR(VLOOKUP(A275,'Networking - Solution Specializ'!A:G,7,false),""),"#","")
)</f>
        <v>0</v>
      </c>
      <c r="U275" s="17" t="str">
        <f t="shared" si="7"/>
        <v/>
      </c>
      <c r="V275" s="1" t="str">
        <f>iferror(vlookup(A275,'Marketing Plan (extract summary'!A:G,6,false),"")</f>
        <v/>
      </c>
      <c r="W275" s="1" t="str">
        <f>iferror(vlookup(A275,'Marketing Plan (extract summary'!A:G,7,false),"")</f>
        <v/>
      </c>
      <c r="X275" s="17" t="str">
        <f t="shared" si="8"/>
        <v/>
      </c>
      <c r="Y275" s="1">
        <f>value(IFERROR(SUBSTITUTE(SUBSTITUTE(VLOOKUP(A275,'Quarterly Pipeline vs Target Pi'!A:G,6,false)," $","")," €",""), "")
)</f>
        <v>0</v>
      </c>
      <c r="Z275" s="1">
        <f>value(IFERROR(SUBSTITUTE(SUBSTITUTE(VLOOKUP(A275,'Quarterly Pipeline vs Target Pi'!A:G,7,false)," $","")," €",""), "")
)</f>
        <v>0</v>
      </c>
      <c r="AA275" s="17" t="str">
        <f t="shared" si="9"/>
        <v/>
      </c>
      <c r="AB275" s="1">
        <f>value(IFERROR(SUBSTITUTE(SUBSTITUTE(VLOOKUP($A275,'Quarterly Pipeline vs Target Pi'!$A:$V,11,false)," $","")," €",""), "")
)</f>
        <v>0</v>
      </c>
      <c r="AC275" s="1">
        <f>value(IFERROR(SUBSTITUTE(SUBSTITUTE(VLOOKUP($A275,'Quarterly Pipeline vs Target Pi'!$A:$V,12,false)," $","")," €",""), "")
)</f>
        <v>0</v>
      </c>
      <c r="AD275" s="17" t="str">
        <f t="shared" si="10"/>
        <v/>
      </c>
      <c r="AE275" s="1">
        <f>value(IFERROR(SUBSTITUTE(SUBSTITUTE(VLOOKUP($A275,'Quarterly Pipeline vs Target Pi'!$A:$V,16,false)," $","")," €",""), "")
)</f>
        <v>0</v>
      </c>
      <c r="AF275" s="1">
        <f>value(IFERROR(SUBSTITUTE(SUBSTITUTE(VLOOKUP($A275,'Quarterly Pipeline vs Target Pi'!$A:$V,17,false)," $","")," €",""), "")
)</f>
        <v>0</v>
      </c>
      <c r="AG275" s="17" t="str">
        <f t="shared" si="11"/>
        <v/>
      </c>
      <c r="AH275" s="1">
        <f>value(IFERROR(SUBSTITUTE(SUBSTITUTE(VLOOKUP($A275,'Quarterly Pipeline vs Target Pi'!$A:$V,21,false)," $","")," €",""), "")
)</f>
        <v>0</v>
      </c>
      <c r="AI275" s="1">
        <f>value(IFERROR(SUBSTITUTE(SUBSTITUTE(VLOOKUP($A275,'Quarterly Pipeline vs Target Pi'!$A:$V,22,false)," $","")," €",""), "")
)</f>
        <v>0</v>
      </c>
      <c r="AJ275" s="17" t="str">
        <f t="shared" si="12"/>
        <v/>
      </c>
      <c r="AK275" s="1">
        <f t="shared" ref="AK275:AL275" si="563">sum(Y275,AB275,AE275,AH275)</f>
        <v>0</v>
      </c>
      <c r="AL275" s="1">
        <f t="shared" si="563"/>
        <v>0</v>
      </c>
      <c r="AM275" s="17" t="str">
        <f t="shared" si="14"/>
        <v/>
      </c>
      <c r="AN275" s="1">
        <f>value(IFERROR(SUBSTITUTE(SUBSTITUTE(VLOOKUP($A275,'Quarterly Pipeline vs Target Pi'!$A:$AP,26,false)," $","")," €",""), "")
)</f>
        <v>0</v>
      </c>
      <c r="AO275" s="1">
        <f>value(IFERROR(SUBSTITUTE(SUBSTITUTE(VLOOKUP($A275,'Quarterly Pipeline vs Target Pi'!$A:$AP,27,false)," $","")," €",""), "")
)</f>
        <v>0</v>
      </c>
      <c r="AP275" s="17" t="str">
        <f t="shared" si="15"/>
        <v/>
      </c>
      <c r="AQ275" s="1">
        <f>value(IFERROR(SUBSTITUTE(SUBSTITUTE(VLOOKUP($A275,'Quarterly Pipeline vs Target Pi'!$A:$AP,31,false)," $","")," €",""), "")
)</f>
        <v>0</v>
      </c>
      <c r="AR275" s="1">
        <f>value(IFERROR(SUBSTITUTE(SUBSTITUTE(VLOOKUP($A275,'Quarterly Pipeline vs Target Pi'!$A:$AP,32,false)," $","")," €",""), "")
)</f>
        <v>0</v>
      </c>
      <c r="AS275" s="17" t="str">
        <f t="shared" si="16"/>
        <v/>
      </c>
      <c r="AT275" s="1">
        <f>value(IFERROR(SUBSTITUTE(SUBSTITUTE(VLOOKUP($A275,'Quarterly Pipeline vs Target Pi'!$A:$AP,36,false)," $","")," €",""), "")
)</f>
        <v>0</v>
      </c>
      <c r="AU275" s="1">
        <f>value(IFERROR(SUBSTITUTE(SUBSTITUTE(VLOOKUP($A275,'Quarterly Pipeline vs Target Pi'!$A:$AP,37,false)," $","")," €",""), "")
)</f>
        <v>0</v>
      </c>
      <c r="AV275" s="17" t="str">
        <f t="shared" si="17"/>
        <v/>
      </c>
      <c r="AW275" s="1">
        <f>value(IFERROR(SUBSTITUTE(SUBSTITUTE(VLOOKUP($A275,'Quarterly Pipeline vs Target Pi'!$A:$AP,41,false)," $","")," €",""), "")
)</f>
        <v>0</v>
      </c>
      <c r="AX275" s="1">
        <f>value(IFERROR(SUBSTITUTE(SUBSTITUTE(VLOOKUP($A275,'Quarterly Pipeline vs Target Pi'!$A:$AP,42,false)," $","")," €",""), "")
)</f>
        <v>0</v>
      </c>
      <c r="AY275" s="17" t="str">
        <f t="shared" si="18"/>
        <v/>
      </c>
      <c r="AZ275" s="1">
        <f t="shared" ref="AZ275:BA275" si="564">sum(AN275,AQ275,AT275,AW275)</f>
        <v>0</v>
      </c>
      <c r="BA275" s="1">
        <f t="shared" si="564"/>
        <v>0</v>
      </c>
      <c r="BB275" s="17" t="str">
        <f t="shared" si="20"/>
        <v/>
      </c>
    </row>
    <row r="276">
      <c r="A276" s="1" t="str">
        <f>IFERROR(__xludf.DUMMYFUNCTION("""COMPUTED_VALUE"""),"63ea6e9352ad6968805ceb5f")</f>
        <v>63ea6e9352ad6968805ceb5f</v>
      </c>
      <c r="B276" s="1" t="str">
        <f>IFERROR(__xludf.DUMMYFUNCTION("""COMPUTED_VALUE"""),"link protect GmbH")</f>
        <v>link protect GmbH</v>
      </c>
      <c r="C276" s="1" t="str">
        <f>IFERROR(__xludf.DUMMYFUNCTION("""COMPUTED_VALUE"""),"andreas.grossheimann@al-enterprise.com, katrin.pfeiffer@al-enterprise.com, sibylle.klopfer@al-enterprise.com, igor.leko@al-enterprise.com, hakan.adiguezel@al-enterprise.com")</f>
        <v>andreas.grossheimann@al-enterprise.com, katrin.pfeiffer@al-enterprise.com, sibylle.klopfer@al-enterprise.com, igor.leko@al-enterprise.com, hakan.adiguezel@al-enterprise.com</v>
      </c>
      <c r="D276" s="1" t="str">
        <f>IFERROR(__xludf.DUMMYFUNCTION("""COMPUTED_VALUE"""),"germany")</f>
        <v>germany</v>
      </c>
      <c r="E276" s="1" t="str">
        <f>IFERROR(__xludf.DUMMYFUNCTION("""COMPUTED_VALUE"""),"DE")</f>
        <v>DE</v>
      </c>
      <c r="F276" s="1" t="str">
        <f>IFERROR(__xludf.DUMMYFUNCTION("""COMPUTED_VALUE"""),"expert_1000")</f>
        <v>expert_1000</v>
      </c>
      <c r="G276" s="1">
        <f>iferror(VLOOKUP(A276,'Business Plan Setup and Accepta'!A:G,6,false),"")</f>
        <v>0</v>
      </c>
      <c r="H276" s="1">
        <f>iferror(VLOOKUP(A276,'Business Plan Setup and Accepta'!A:G,7,false),"")</f>
        <v>1</v>
      </c>
      <c r="I276" s="17">
        <f t="shared" si="3"/>
        <v>0</v>
      </c>
      <c r="J276" s="1">
        <f>IFERROR(VALUE(SUBSTITUTE(VLOOKUP(A276,'Sales IN Revenues vs Sales targ'!A:G,6,false)," $","")), "")
</f>
        <v>310.88</v>
      </c>
      <c r="K276" s="1">
        <f>IFERROR(VALUE(SUBSTITUTE(VLOOKUP(A276,'Sales IN Revenues vs Sales targ'!A:G,7,false)," $","")), "")
</f>
        <v>1000</v>
      </c>
      <c r="L276" s="17">
        <f t="shared" si="4"/>
        <v>0.31088</v>
      </c>
      <c r="M276" s="1">
        <f>value(SUBSTITUTE(IFERROR(VLOOKUP(A276,'Certifications achievements vs '!A:G,6,false),""),"#","")
)</f>
        <v>12</v>
      </c>
      <c r="N276" s="1">
        <f>value(SUBSTITUTE(IFERROR(VLOOKUP(A276,'Certifications achievements vs '!A:G,7,false),""),"#","")
)</f>
        <v>52</v>
      </c>
      <c r="O276" s="17">
        <f t="shared" si="5"/>
        <v>0.2307692308</v>
      </c>
      <c r="P276" s="1">
        <f>value(SUBSTITUTE(IFERROR(VLOOKUP(A276,'Communications - Solution Speci'!A:G,6,false),""),"#","")
)</f>
        <v>0</v>
      </c>
      <c r="Q276" s="1">
        <f>value(SUBSTITUTE(IFERROR(VLOOKUP(A276,'Communications - Solution Speci'!A:G,7,false),""),"#","")
)</f>
        <v>1</v>
      </c>
      <c r="R276" s="17">
        <f t="shared" si="6"/>
        <v>0</v>
      </c>
      <c r="S276" s="1">
        <f>value(SUBSTITUTE(IFERROR(VLOOKUP(A276,'Networking - Solution Specializ'!A:G,6,false),""),"#","")
)</f>
        <v>1</v>
      </c>
      <c r="T276" s="1">
        <f>value(SUBSTITUTE(IFERROR(VLOOKUP(A276,'Networking - Solution Specializ'!A:G,7,false),""),"#","")
)</f>
        <v>1</v>
      </c>
      <c r="U276" s="17">
        <f t="shared" si="7"/>
        <v>1</v>
      </c>
      <c r="V276" s="1">
        <f>iferror(vlookup(A276,'Marketing Plan (extract summary'!A:G,6,false),"")</f>
        <v>0</v>
      </c>
      <c r="W276" s="1">
        <f>iferror(vlookup(A276,'Marketing Plan (extract summary'!A:G,7,false),"")</f>
        <v>1</v>
      </c>
      <c r="X276" s="17">
        <f t="shared" si="8"/>
        <v>0</v>
      </c>
      <c r="Y276" s="1">
        <f>value(IFERROR(SUBSTITUTE(SUBSTITUTE(VLOOKUP(A276,'Quarterly Pipeline vs Target Pi'!A:G,6,false)," $","")," €",""), "")
)</f>
        <v>45</v>
      </c>
      <c r="Z276" s="1">
        <f>value(IFERROR(SUBSTITUTE(SUBSTITUTE(VLOOKUP(A276,'Quarterly Pipeline vs Target Pi'!A:G,7,false)," $","")," €",""), "")
)</f>
        <v>0</v>
      </c>
      <c r="AA276" s="17" t="str">
        <f t="shared" si="9"/>
        <v/>
      </c>
      <c r="AB276" s="1">
        <f>value(IFERROR(SUBSTITUTE(SUBSTITUTE(VLOOKUP($A276,'Quarterly Pipeline vs Target Pi'!$A:$V,11,false)," $","")," €",""), "")
)</f>
        <v>50</v>
      </c>
      <c r="AC276" s="1">
        <f>value(IFERROR(SUBSTITUTE(SUBSTITUTE(VLOOKUP($A276,'Quarterly Pipeline vs Target Pi'!$A:$V,12,false)," $","")," €",""), "")
)</f>
        <v>500</v>
      </c>
      <c r="AD276" s="17">
        <f t="shared" si="10"/>
        <v>0.1</v>
      </c>
      <c r="AE276" s="1">
        <f>value(IFERROR(SUBSTITUTE(SUBSTITUTE(VLOOKUP($A276,'Quarterly Pipeline vs Target Pi'!$A:$V,16,false)," $","")," €",""), "")
)</f>
        <v>111.99</v>
      </c>
      <c r="AF276" s="1">
        <f>value(IFERROR(SUBSTITUTE(SUBSTITUTE(VLOOKUP($A276,'Quarterly Pipeline vs Target Pi'!$A:$V,17,false)," $","")," €",""), "")
)</f>
        <v>750</v>
      </c>
      <c r="AG276" s="17">
        <f t="shared" si="11"/>
        <v>0.14932</v>
      </c>
      <c r="AH276" s="1">
        <f>value(IFERROR(SUBSTITUTE(SUBSTITUTE(VLOOKUP($A276,'Quarterly Pipeline vs Target Pi'!$A:$V,21,false)," $","")," €",""), "")
)</f>
        <v>4463.3</v>
      </c>
      <c r="AI276" s="1">
        <f>value(IFERROR(SUBSTITUTE(SUBSTITUTE(VLOOKUP($A276,'Quarterly Pipeline vs Target Pi'!$A:$V,22,false)," $","")," €",""), "")
)</f>
        <v>750</v>
      </c>
      <c r="AJ276" s="17">
        <f t="shared" si="12"/>
        <v>5.951066667</v>
      </c>
      <c r="AK276" s="1">
        <f t="shared" ref="AK276:AL276" si="565">sum(Y276,AB276,AE276,AH276)</f>
        <v>4670.29</v>
      </c>
      <c r="AL276" s="1">
        <f t="shared" si="565"/>
        <v>2000</v>
      </c>
      <c r="AM276" s="17">
        <f t="shared" si="14"/>
        <v>2.335145</v>
      </c>
      <c r="AN276" s="1">
        <f>value(IFERROR(SUBSTITUTE(SUBSTITUTE(VLOOKUP($A276,'Quarterly Pipeline vs Target Pi'!$A:$AP,26,false)," $","")," €",""), "")
)</f>
        <v>0</v>
      </c>
      <c r="AO276" s="1">
        <f>value(IFERROR(SUBSTITUTE(SUBSTITUTE(VLOOKUP($A276,'Quarterly Pipeline vs Target Pi'!$A:$AP,27,false)," $","")," €",""), "")
)</f>
        <v>0</v>
      </c>
      <c r="AP276" s="17" t="str">
        <f t="shared" si="15"/>
        <v/>
      </c>
      <c r="AQ276" s="1">
        <f>value(IFERROR(SUBSTITUTE(SUBSTITUTE(VLOOKUP($A276,'Quarterly Pipeline vs Target Pi'!$A:$AP,31,false)," $","")," €",""), "")
)</f>
        <v>165</v>
      </c>
      <c r="AR276" s="1">
        <f>value(IFERROR(SUBSTITUTE(SUBSTITUTE(VLOOKUP($A276,'Quarterly Pipeline vs Target Pi'!$A:$AP,32,false)," $","")," €",""), "")
)</f>
        <v>0</v>
      </c>
      <c r="AS276" s="17" t="str">
        <f t="shared" si="16"/>
        <v/>
      </c>
      <c r="AT276" s="1">
        <f>value(IFERROR(SUBSTITUTE(SUBSTITUTE(VLOOKUP($A276,'Quarterly Pipeline vs Target Pi'!$A:$AP,36,false)," $","")," €",""), "")
)</f>
        <v>0</v>
      </c>
      <c r="AU276" s="1">
        <f>value(IFERROR(SUBSTITUTE(SUBSTITUTE(VLOOKUP($A276,'Quarterly Pipeline vs Target Pi'!$A:$AP,37,false)," $","")," €",""), "")
)</f>
        <v>0</v>
      </c>
      <c r="AV276" s="17" t="str">
        <f t="shared" si="17"/>
        <v/>
      </c>
      <c r="AW276" s="1">
        <f>value(IFERROR(SUBSTITUTE(SUBSTITUTE(VLOOKUP($A276,'Quarterly Pipeline vs Target Pi'!$A:$AP,41,false)," $","")," €",""), "")
)</f>
        <v>0</v>
      </c>
      <c r="AX276" s="1">
        <f>value(IFERROR(SUBSTITUTE(SUBSTITUTE(VLOOKUP($A276,'Quarterly Pipeline vs Target Pi'!$A:$AP,42,false)," $","")," €",""), "")
)</f>
        <v>0</v>
      </c>
      <c r="AY276" s="17" t="str">
        <f t="shared" si="18"/>
        <v/>
      </c>
      <c r="AZ276" s="1">
        <f t="shared" ref="AZ276:BA276" si="566">sum(AN276,AQ276,AT276,AW276)</f>
        <v>165</v>
      </c>
      <c r="BA276" s="1">
        <f t="shared" si="566"/>
        <v>0</v>
      </c>
      <c r="BB276" s="17" t="str">
        <f t="shared" si="20"/>
        <v/>
      </c>
    </row>
    <row r="277">
      <c r="A277" s="1" t="str">
        <f>IFERROR(__xludf.DUMMYFUNCTION("""COMPUTED_VALUE"""),"63ced84dc5c820531c269743")</f>
        <v>63ced84dc5c820531c269743</v>
      </c>
      <c r="B277" s="1" t="str">
        <f>IFERROR(__xludf.DUMMYFUNCTION("""COMPUTED_VALUE"""),"Logical Systems, Inc.")</f>
        <v>Logical Systems, Inc.</v>
      </c>
      <c r="C277" s="1" t="str">
        <f>IFERROR(__xludf.DUMMYFUNCTION("""COMPUTED_VALUE"""),"luigy.estevanell@al-enterprise.com")</f>
        <v>luigy.estevanell@al-enterprise.com</v>
      </c>
      <c r="D277" s="1" t="str">
        <f>IFERROR(__xludf.DUMMYFUNCTION("""COMPUTED_VALUE"""),"americas")</f>
        <v>americas</v>
      </c>
      <c r="E277" s="1" t="str">
        <f>IFERROR(__xludf.DUMMYFUNCTION("""COMPUTED_VALUE"""),"US")</f>
        <v>US</v>
      </c>
      <c r="F277" s="1" t="str">
        <f>IFERROR(__xludf.DUMMYFUNCTION("""COMPUTED_VALUE"""),"expert_200")</f>
        <v>expert_200</v>
      </c>
      <c r="G277" s="1">
        <f>iferror(VLOOKUP(A277,'Business Plan Setup and Accepta'!A:G,6,false),"")</f>
        <v>0</v>
      </c>
      <c r="H277" s="1">
        <f>iferror(VLOOKUP(A277,'Business Plan Setup and Accepta'!A:G,7,false),"")</f>
        <v>1</v>
      </c>
      <c r="I277" s="17">
        <f t="shared" si="3"/>
        <v>0</v>
      </c>
      <c r="J277" s="1">
        <f>IFERROR(VALUE(SUBSTITUTE(VLOOKUP(A277,'Sales IN Revenues vs Sales targ'!A:G,6,false)," $","")), "")
</f>
        <v>28.73</v>
      </c>
      <c r="K277" s="1">
        <f>IFERROR(VALUE(SUBSTITUTE(VLOOKUP(A277,'Sales IN Revenues vs Sales targ'!A:G,7,false)," $","")), "")
</f>
        <v>124.8</v>
      </c>
      <c r="L277" s="17">
        <f t="shared" si="4"/>
        <v>0.2302083333</v>
      </c>
      <c r="M277" s="1">
        <f>value(SUBSTITUTE(IFERROR(VLOOKUP(A277,'Certifications achievements vs '!A:G,6,false),""),"#","")
)</f>
        <v>0</v>
      </c>
      <c r="N277" s="1">
        <f>value(SUBSTITUTE(IFERROR(VLOOKUP(A277,'Certifications achievements vs '!A:G,7,false),""),"#","")
)</f>
        <v>0</v>
      </c>
      <c r="O277" s="17" t="str">
        <f t="shared" si="5"/>
        <v/>
      </c>
      <c r="P277" s="1">
        <f>value(SUBSTITUTE(IFERROR(VLOOKUP(A277,'Communications - Solution Speci'!A:G,6,false),""),"#","")
)</f>
        <v>0</v>
      </c>
      <c r="Q277" s="1">
        <f>value(SUBSTITUTE(IFERROR(VLOOKUP(A277,'Communications - Solution Speci'!A:G,7,false),""),"#","")
)</f>
        <v>1</v>
      </c>
      <c r="R277" s="17">
        <f t="shared" si="6"/>
        <v>0</v>
      </c>
      <c r="S277" s="1">
        <f>value(SUBSTITUTE(IFERROR(VLOOKUP(A277,'Networking - Solution Specializ'!A:G,6,false),""),"#","")
)</f>
        <v>0</v>
      </c>
      <c r="T277" s="1">
        <f>value(SUBSTITUTE(IFERROR(VLOOKUP(A277,'Networking - Solution Specializ'!A:G,7,false),""),"#","")
)</f>
        <v>1</v>
      </c>
      <c r="U277" s="17">
        <f t="shared" si="7"/>
        <v>0</v>
      </c>
      <c r="V277" s="1">
        <f>iferror(vlookup(A277,'Marketing Plan (extract summary'!A:G,6,false),"")</f>
        <v>0</v>
      </c>
      <c r="W277" s="1">
        <f>iferror(vlookup(A277,'Marketing Plan (extract summary'!A:G,7,false),"")</f>
        <v>1</v>
      </c>
      <c r="X277" s="17">
        <f t="shared" si="8"/>
        <v>0</v>
      </c>
      <c r="Y277" s="1">
        <f>value(IFERROR(SUBSTITUTE(SUBSTITUTE(VLOOKUP(A277,'Quarterly Pipeline vs Target Pi'!A:G,6,false)," $","")," €",""), "")
)</f>
        <v>9.98</v>
      </c>
      <c r="Z277" s="1">
        <f>value(IFERROR(SUBSTITUTE(SUBSTITUTE(VLOOKUP(A277,'Quarterly Pipeline vs Target Pi'!A:G,7,false)," $","")," €",""), "")
)</f>
        <v>0</v>
      </c>
      <c r="AA277" s="17" t="str">
        <f t="shared" si="9"/>
        <v/>
      </c>
      <c r="AB277" s="1">
        <f>value(IFERROR(SUBSTITUTE(SUBSTITUTE(VLOOKUP($A277,'Quarterly Pipeline vs Target Pi'!$A:$V,11,false)," $","")," €",""), "")
)</f>
        <v>9.98</v>
      </c>
      <c r="AC277" s="1">
        <f>value(IFERROR(SUBSTITUTE(SUBSTITUTE(VLOOKUP($A277,'Quarterly Pipeline vs Target Pi'!$A:$V,12,false)," $","")," €",""), "")
)</f>
        <v>74.42</v>
      </c>
      <c r="AD277" s="17">
        <f t="shared" si="10"/>
        <v>0.1341037356</v>
      </c>
      <c r="AE277" s="1">
        <f>value(IFERROR(SUBSTITUTE(SUBSTITUTE(VLOOKUP($A277,'Quarterly Pipeline vs Target Pi'!$A:$V,16,false)," $","")," €",""), "")
)</f>
        <v>13.88</v>
      </c>
      <c r="AF277" s="1">
        <f>value(IFERROR(SUBSTITUTE(SUBSTITUTE(VLOOKUP($A277,'Quarterly Pipeline vs Target Pi'!$A:$V,17,false)," $","")," €",""), "")
)</f>
        <v>109.11</v>
      </c>
      <c r="AG277" s="17">
        <f t="shared" si="11"/>
        <v>0.1272110714</v>
      </c>
      <c r="AH277" s="1">
        <f>value(IFERROR(SUBSTITUTE(SUBSTITUTE(VLOOKUP($A277,'Quarterly Pipeline vs Target Pi'!$A:$V,21,false)," $","")," €",""), "")
)</f>
        <v>65</v>
      </c>
      <c r="AI277" s="1">
        <f>value(IFERROR(SUBSTITUTE(SUBSTITUTE(VLOOKUP($A277,'Quarterly Pipeline vs Target Pi'!$A:$V,22,false)," $","")," €",""), "")
)</f>
        <v>109.11</v>
      </c>
      <c r="AJ277" s="17">
        <f t="shared" si="12"/>
        <v>0.5957290807</v>
      </c>
      <c r="AK277" s="1">
        <f t="shared" ref="AK277:AL277" si="567">sum(Y277,AB277,AE277,AH277)</f>
        <v>98.84</v>
      </c>
      <c r="AL277" s="1">
        <f t="shared" si="567"/>
        <v>292.64</v>
      </c>
      <c r="AM277" s="17">
        <f t="shared" si="14"/>
        <v>0.3377528704</v>
      </c>
      <c r="AN277" s="1">
        <f>value(IFERROR(SUBSTITUTE(SUBSTITUTE(VLOOKUP($A277,'Quarterly Pipeline vs Target Pi'!$A:$AP,26,false)," $","")," €",""), "")
)</f>
        <v>0</v>
      </c>
      <c r="AO277" s="1">
        <f>value(IFERROR(SUBSTITUTE(SUBSTITUTE(VLOOKUP($A277,'Quarterly Pipeline vs Target Pi'!$A:$AP,27,false)," $","")," €",""), "")
)</f>
        <v>0</v>
      </c>
      <c r="AP277" s="17" t="str">
        <f t="shared" si="15"/>
        <v/>
      </c>
      <c r="AQ277" s="1">
        <f>value(IFERROR(SUBSTITUTE(SUBSTITUTE(VLOOKUP($A277,'Quarterly Pipeline vs Target Pi'!$A:$AP,31,false)," $","")," €",""), "")
)</f>
        <v>0</v>
      </c>
      <c r="AR277" s="1">
        <f>value(IFERROR(SUBSTITUTE(SUBSTITUTE(VLOOKUP($A277,'Quarterly Pipeline vs Target Pi'!$A:$AP,32,false)," $","")," €",""), "")
)</f>
        <v>0</v>
      </c>
      <c r="AS277" s="17" t="str">
        <f t="shared" si="16"/>
        <v/>
      </c>
      <c r="AT277" s="1">
        <f>value(IFERROR(SUBSTITUTE(SUBSTITUTE(VLOOKUP($A277,'Quarterly Pipeline vs Target Pi'!$A:$AP,36,false)," $","")," €",""), "")
)</f>
        <v>0</v>
      </c>
      <c r="AU277" s="1">
        <f>value(IFERROR(SUBSTITUTE(SUBSTITUTE(VLOOKUP($A277,'Quarterly Pipeline vs Target Pi'!$A:$AP,37,false)," $","")," €",""), "")
)</f>
        <v>0</v>
      </c>
      <c r="AV277" s="17" t="str">
        <f t="shared" si="17"/>
        <v/>
      </c>
      <c r="AW277" s="1">
        <f>value(IFERROR(SUBSTITUTE(SUBSTITUTE(VLOOKUP($A277,'Quarterly Pipeline vs Target Pi'!$A:$AP,41,false)," $","")," €",""), "")
)</f>
        <v>0</v>
      </c>
      <c r="AX277" s="1">
        <f>value(IFERROR(SUBSTITUTE(SUBSTITUTE(VLOOKUP($A277,'Quarterly Pipeline vs Target Pi'!$A:$AP,42,false)," $","")," €",""), "")
)</f>
        <v>0</v>
      </c>
      <c r="AY277" s="17" t="str">
        <f t="shared" si="18"/>
        <v/>
      </c>
      <c r="AZ277" s="1">
        <f t="shared" ref="AZ277:BA277" si="568">sum(AN277,AQ277,AT277,AW277)</f>
        <v>0</v>
      </c>
      <c r="BA277" s="1">
        <f t="shared" si="568"/>
        <v>0</v>
      </c>
      <c r="BB277" s="17" t="str">
        <f t="shared" si="20"/>
        <v/>
      </c>
    </row>
    <row r="278">
      <c r="A278" s="1" t="str">
        <f>IFERROR(__xludf.DUMMYFUNCTION("""COMPUTED_VALUE"""),"63fcbb7da107c871cf56451f")</f>
        <v>63fcbb7da107c871cf56451f</v>
      </c>
      <c r="B278" s="1" t="str">
        <f>IFERROR(__xludf.DUMMYFUNCTION("""COMPUTED_VALUE"""),"LYME COMPUTER SYSTEMS, INC.")</f>
        <v>LYME COMPUTER SYSTEMS, INC.</v>
      </c>
      <c r="C278" s="1" t="str">
        <f>IFERROR(__xludf.DUMMYFUNCTION("""COMPUTED_VALUE"""),"skleinpe@al-enterprise.com")</f>
        <v>skleinpe@al-enterprise.com</v>
      </c>
      <c r="D278" s="1" t="str">
        <f>IFERROR(__xludf.DUMMYFUNCTION("""COMPUTED_VALUE"""),"americas")</f>
        <v>americas</v>
      </c>
      <c r="E278" s="1" t="str">
        <f>IFERROR(__xludf.DUMMYFUNCTION("""COMPUTED_VALUE"""),"US")</f>
        <v>US</v>
      </c>
      <c r="F278" s="1"/>
      <c r="G278" s="1" t="str">
        <f>iferror(VLOOKUP(A278,'Business Plan Setup and Accepta'!A:G,6,false),"")</f>
        <v/>
      </c>
      <c r="H278" s="1" t="str">
        <f>iferror(VLOOKUP(A278,'Business Plan Setup and Accepta'!A:G,7,false),"")</f>
        <v/>
      </c>
      <c r="I278" s="17" t="str">
        <f t="shared" si="3"/>
        <v/>
      </c>
      <c r="J278" s="1" t="str">
        <f>IFERROR(VALUE(SUBSTITUTE(VLOOKUP(A278,'Sales IN Revenues vs Sales targ'!A:G,6,false)," $","")), "")
</f>
        <v/>
      </c>
      <c r="K278" s="1" t="str">
        <f>IFERROR(VALUE(SUBSTITUTE(VLOOKUP(A278,'Sales IN Revenues vs Sales targ'!A:G,7,false)," $","")), "")
</f>
        <v/>
      </c>
      <c r="L278" s="17" t="str">
        <f t="shared" si="4"/>
        <v/>
      </c>
      <c r="M278" s="1">
        <f>value(SUBSTITUTE(IFERROR(VLOOKUP(A278,'Certifications achievements vs '!A:G,6,false),""),"#","")
)</f>
        <v>0</v>
      </c>
      <c r="N278" s="1">
        <f>value(SUBSTITUTE(IFERROR(VLOOKUP(A278,'Certifications achievements vs '!A:G,7,false),""),"#","")
)</f>
        <v>0</v>
      </c>
      <c r="O278" s="17" t="str">
        <f t="shared" si="5"/>
        <v/>
      </c>
      <c r="P278" s="1">
        <f>value(SUBSTITUTE(IFERROR(VLOOKUP(A278,'Communications - Solution Speci'!A:G,6,false),""),"#","")
)</f>
        <v>0</v>
      </c>
      <c r="Q278" s="1">
        <f>value(SUBSTITUTE(IFERROR(VLOOKUP(A278,'Communications - Solution Speci'!A:G,7,false),""),"#","")
)</f>
        <v>0</v>
      </c>
      <c r="R278" s="17" t="str">
        <f t="shared" si="6"/>
        <v/>
      </c>
      <c r="S278" s="1">
        <f>value(SUBSTITUTE(IFERROR(VLOOKUP(A278,'Networking - Solution Specializ'!A:G,6,false),""),"#","")
)</f>
        <v>0</v>
      </c>
      <c r="T278" s="1">
        <f>value(SUBSTITUTE(IFERROR(VLOOKUP(A278,'Networking - Solution Specializ'!A:G,7,false),""),"#","")
)</f>
        <v>0</v>
      </c>
      <c r="U278" s="17" t="str">
        <f t="shared" si="7"/>
        <v/>
      </c>
      <c r="V278" s="1" t="str">
        <f>iferror(vlookup(A278,'Marketing Plan (extract summary'!A:G,6,false),"")</f>
        <v/>
      </c>
      <c r="W278" s="1" t="str">
        <f>iferror(vlookup(A278,'Marketing Plan (extract summary'!A:G,7,false),"")</f>
        <v/>
      </c>
      <c r="X278" s="17" t="str">
        <f t="shared" si="8"/>
        <v/>
      </c>
      <c r="Y278" s="1">
        <f>value(IFERROR(SUBSTITUTE(SUBSTITUTE(VLOOKUP(A278,'Quarterly Pipeline vs Target Pi'!A:G,6,false)," $","")," €",""), "")
)</f>
        <v>0</v>
      </c>
      <c r="Z278" s="1">
        <f>value(IFERROR(SUBSTITUTE(SUBSTITUTE(VLOOKUP(A278,'Quarterly Pipeline vs Target Pi'!A:G,7,false)," $","")," €",""), "")
)</f>
        <v>0</v>
      </c>
      <c r="AA278" s="17" t="str">
        <f t="shared" si="9"/>
        <v/>
      </c>
      <c r="AB278" s="1">
        <f>value(IFERROR(SUBSTITUTE(SUBSTITUTE(VLOOKUP($A278,'Quarterly Pipeline vs Target Pi'!$A:$V,11,false)," $","")," €",""), "")
)</f>
        <v>0</v>
      </c>
      <c r="AC278" s="1">
        <f>value(IFERROR(SUBSTITUTE(SUBSTITUTE(VLOOKUP($A278,'Quarterly Pipeline vs Target Pi'!$A:$V,12,false)," $","")," €",""), "")
)</f>
        <v>0</v>
      </c>
      <c r="AD278" s="17" t="str">
        <f t="shared" si="10"/>
        <v/>
      </c>
      <c r="AE278" s="1">
        <f>value(IFERROR(SUBSTITUTE(SUBSTITUTE(VLOOKUP($A278,'Quarterly Pipeline vs Target Pi'!$A:$V,16,false)," $","")," €",""), "")
)</f>
        <v>0</v>
      </c>
      <c r="AF278" s="1">
        <f>value(IFERROR(SUBSTITUTE(SUBSTITUTE(VLOOKUP($A278,'Quarterly Pipeline vs Target Pi'!$A:$V,17,false)," $","")," €",""), "")
)</f>
        <v>0</v>
      </c>
      <c r="AG278" s="17" t="str">
        <f t="shared" si="11"/>
        <v/>
      </c>
      <c r="AH278" s="1">
        <f>value(IFERROR(SUBSTITUTE(SUBSTITUTE(VLOOKUP($A278,'Quarterly Pipeline vs Target Pi'!$A:$V,21,false)," $","")," €",""), "")
)</f>
        <v>0</v>
      </c>
      <c r="AI278" s="1">
        <f>value(IFERROR(SUBSTITUTE(SUBSTITUTE(VLOOKUP($A278,'Quarterly Pipeline vs Target Pi'!$A:$V,22,false)," $","")," €",""), "")
)</f>
        <v>0</v>
      </c>
      <c r="AJ278" s="17" t="str">
        <f t="shared" si="12"/>
        <v/>
      </c>
      <c r="AK278" s="1">
        <f t="shared" ref="AK278:AL278" si="569">sum(Y278,AB278,AE278,AH278)</f>
        <v>0</v>
      </c>
      <c r="AL278" s="1">
        <f t="shared" si="569"/>
        <v>0</v>
      </c>
      <c r="AM278" s="17" t="str">
        <f t="shared" si="14"/>
        <v/>
      </c>
      <c r="AN278" s="1">
        <f>value(IFERROR(SUBSTITUTE(SUBSTITUTE(VLOOKUP($A278,'Quarterly Pipeline vs Target Pi'!$A:$AP,26,false)," $","")," €",""), "")
)</f>
        <v>0</v>
      </c>
      <c r="AO278" s="1">
        <f>value(IFERROR(SUBSTITUTE(SUBSTITUTE(VLOOKUP($A278,'Quarterly Pipeline vs Target Pi'!$A:$AP,27,false)," $","")," €",""), "")
)</f>
        <v>0</v>
      </c>
      <c r="AP278" s="17" t="str">
        <f t="shared" si="15"/>
        <v/>
      </c>
      <c r="AQ278" s="1">
        <f>value(IFERROR(SUBSTITUTE(SUBSTITUTE(VLOOKUP($A278,'Quarterly Pipeline vs Target Pi'!$A:$AP,31,false)," $","")," €",""), "")
)</f>
        <v>0</v>
      </c>
      <c r="AR278" s="1">
        <f>value(IFERROR(SUBSTITUTE(SUBSTITUTE(VLOOKUP($A278,'Quarterly Pipeline vs Target Pi'!$A:$AP,32,false)," $","")," €",""), "")
)</f>
        <v>0</v>
      </c>
      <c r="AS278" s="17" t="str">
        <f t="shared" si="16"/>
        <v/>
      </c>
      <c r="AT278" s="1">
        <f>value(IFERROR(SUBSTITUTE(SUBSTITUTE(VLOOKUP($A278,'Quarterly Pipeline vs Target Pi'!$A:$AP,36,false)," $","")," €",""), "")
)</f>
        <v>0</v>
      </c>
      <c r="AU278" s="1">
        <f>value(IFERROR(SUBSTITUTE(SUBSTITUTE(VLOOKUP($A278,'Quarterly Pipeline vs Target Pi'!$A:$AP,37,false)," $","")," €",""), "")
)</f>
        <v>0</v>
      </c>
      <c r="AV278" s="17" t="str">
        <f t="shared" si="17"/>
        <v/>
      </c>
      <c r="AW278" s="1">
        <f>value(IFERROR(SUBSTITUTE(SUBSTITUTE(VLOOKUP($A278,'Quarterly Pipeline vs Target Pi'!$A:$AP,41,false)," $","")," €",""), "")
)</f>
        <v>0</v>
      </c>
      <c r="AX278" s="1">
        <f>value(IFERROR(SUBSTITUTE(SUBSTITUTE(VLOOKUP($A278,'Quarterly Pipeline vs Target Pi'!$A:$AP,42,false)," $","")," €",""), "")
)</f>
        <v>0</v>
      </c>
      <c r="AY278" s="17" t="str">
        <f t="shared" si="18"/>
        <v/>
      </c>
      <c r="AZ278" s="1">
        <f t="shared" ref="AZ278:BA278" si="570">sum(AN278,AQ278,AT278,AW278)</f>
        <v>0</v>
      </c>
      <c r="BA278" s="1">
        <f t="shared" si="570"/>
        <v>0</v>
      </c>
      <c r="BB278" s="17" t="str">
        <f t="shared" si="20"/>
        <v/>
      </c>
    </row>
    <row r="279">
      <c r="A279" s="1" t="str">
        <f>IFERROR(__xludf.DUMMYFUNCTION("""COMPUTED_VALUE"""),"63ced84ec5c820531c269a13")</f>
        <v>63ced84ec5c820531c269a13</v>
      </c>
      <c r="B279" s="1" t="str">
        <f>IFERROR(__xludf.DUMMYFUNCTION("""COMPUTED_VALUE"""),"Mach4")</f>
        <v>Mach4</v>
      </c>
      <c r="C279" s="1" t="str">
        <f>IFERROR(__xludf.DUMMYFUNCTION("""COMPUTED_VALUE"""),"brendan.flaherty@al-enterprise.com")</f>
        <v>brendan.flaherty@al-enterprise.com</v>
      </c>
      <c r="D279" s="1" t="str">
        <f>IFERROR(__xludf.DUMMYFUNCTION("""COMPUTED_VALUE"""),"americas")</f>
        <v>americas</v>
      </c>
      <c r="E279" s="1" t="str">
        <f>IFERROR(__xludf.DUMMYFUNCTION("""COMPUTED_VALUE"""),"US")</f>
        <v>US</v>
      </c>
      <c r="F279" s="1"/>
      <c r="G279" s="1" t="str">
        <f>iferror(VLOOKUP(A279,'Business Plan Setup and Accepta'!A:G,6,false),"")</f>
        <v/>
      </c>
      <c r="H279" s="1" t="str">
        <f>iferror(VLOOKUP(A279,'Business Plan Setup and Accepta'!A:G,7,false),"")</f>
        <v/>
      </c>
      <c r="I279" s="17" t="str">
        <f t="shared" si="3"/>
        <v/>
      </c>
      <c r="J279" s="1" t="str">
        <f>IFERROR(VALUE(SUBSTITUTE(VLOOKUP(A279,'Sales IN Revenues vs Sales targ'!A:G,6,false)," $","")), "")
</f>
        <v/>
      </c>
      <c r="K279" s="1" t="str">
        <f>IFERROR(VALUE(SUBSTITUTE(VLOOKUP(A279,'Sales IN Revenues vs Sales targ'!A:G,7,false)," $","")), "")
</f>
        <v/>
      </c>
      <c r="L279" s="17" t="str">
        <f t="shared" si="4"/>
        <v/>
      </c>
      <c r="M279" s="1">
        <f>value(SUBSTITUTE(IFERROR(VLOOKUP(A279,'Certifications achievements vs '!A:G,6,false),""),"#","")
)</f>
        <v>0</v>
      </c>
      <c r="N279" s="1">
        <f>value(SUBSTITUTE(IFERROR(VLOOKUP(A279,'Certifications achievements vs '!A:G,7,false),""),"#","")
)</f>
        <v>0</v>
      </c>
      <c r="O279" s="17" t="str">
        <f t="shared" si="5"/>
        <v/>
      </c>
      <c r="P279" s="1">
        <f>value(SUBSTITUTE(IFERROR(VLOOKUP(A279,'Communications - Solution Speci'!A:G,6,false),""),"#","")
)</f>
        <v>0</v>
      </c>
      <c r="Q279" s="1">
        <f>value(SUBSTITUTE(IFERROR(VLOOKUP(A279,'Communications - Solution Speci'!A:G,7,false),""),"#","")
)</f>
        <v>0</v>
      </c>
      <c r="R279" s="17" t="str">
        <f t="shared" si="6"/>
        <v/>
      </c>
      <c r="S279" s="1">
        <f>value(SUBSTITUTE(IFERROR(VLOOKUP(A279,'Networking - Solution Specializ'!A:G,6,false),""),"#","")
)</f>
        <v>0</v>
      </c>
      <c r="T279" s="1">
        <f>value(SUBSTITUTE(IFERROR(VLOOKUP(A279,'Networking - Solution Specializ'!A:G,7,false),""),"#","")
)</f>
        <v>0</v>
      </c>
      <c r="U279" s="17" t="str">
        <f t="shared" si="7"/>
        <v/>
      </c>
      <c r="V279" s="1" t="str">
        <f>iferror(vlookup(A279,'Marketing Plan (extract summary'!A:G,6,false),"")</f>
        <v/>
      </c>
      <c r="W279" s="1" t="str">
        <f>iferror(vlookup(A279,'Marketing Plan (extract summary'!A:G,7,false),"")</f>
        <v/>
      </c>
      <c r="X279" s="17" t="str">
        <f t="shared" si="8"/>
        <v/>
      </c>
      <c r="Y279" s="1">
        <f>value(IFERROR(SUBSTITUTE(SUBSTITUTE(VLOOKUP(A279,'Quarterly Pipeline vs Target Pi'!A:G,6,false)," $","")," €",""), "")
)</f>
        <v>0</v>
      </c>
      <c r="Z279" s="1">
        <f>value(IFERROR(SUBSTITUTE(SUBSTITUTE(VLOOKUP(A279,'Quarterly Pipeline vs Target Pi'!A:G,7,false)," $","")," €",""), "")
)</f>
        <v>0</v>
      </c>
      <c r="AA279" s="17" t="str">
        <f t="shared" si="9"/>
        <v/>
      </c>
      <c r="AB279" s="1">
        <f>value(IFERROR(SUBSTITUTE(SUBSTITUTE(VLOOKUP($A279,'Quarterly Pipeline vs Target Pi'!$A:$V,11,false)," $","")," €",""), "")
)</f>
        <v>0</v>
      </c>
      <c r="AC279" s="1">
        <f>value(IFERROR(SUBSTITUTE(SUBSTITUTE(VLOOKUP($A279,'Quarterly Pipeline vs Target Pi'!$A:$V,12,false)," $","")," €",""), "")
)</f>
        <v>0</v>
      </c>
      <c r="AD279" s="17" t="str">
        <f t="shared" si="10"/>
        <v/>
      </c>
      <c r="AE279" s="1">
        <f>value(IFERROR(SUBSTITUTE(SUBSTITUTE(VLOOKUP($A279,'Quarterly Pipeline vs Target Pi'!$A:$V,16,false)," $","")," €",""), "")
)</f>
        <v>0</v>
      </c>
      <c r="AF279" s="1">
        <f>value(IFERROR(SUBSTITUTE(SUBSTITUTE(VLOOKUP($A279,'Quarterly Pipeline vs Target Pi'!$A:$V,17,false)," $","")," €",""), "")
)</f>
        <v>0</v>
      </c>
      <c r="AG279" s="17" t="str">
        <f t="shared" si="11"/>
        <v/>
      </c>
      <c r="AH279" s="1">
        <f>value(IFERROR(SUBSTITUTE(SUBSTITUTE(VLOOKUP($A279,'Quarterly Pipeline vs Target Pi'!$A:$V,21,false)," $","")," €",""), "")
)</f>
        <v>0</v>
      </c>
      <c r="AI279" s="1">
        <f>value(IFERROR(SUBSTITUTE(SUBSTITUTE(VLOOKUP($A279,'Quarterly Pipeline vs Target Pi'!$A:$V,22,false)," $","")," €",""), "")
)</f>
        <v>0</v>
      </c>
      <c r="AJ279" s="17" t="str">
        <f t="shared" si="12"/>
        <v/>
      </c>
      <c r="AK279" s="1">
        <f t="shared" ref="AK279:AL279" si="571">sum(Y279,AB279,AE279,AH279)</f>
        <v>0</v>
      </c>
      <c r="AL279" s="1">
        <f t="shared" si="571"/>
        <v>0</v>
      </c>
      <c r="AM279" s="17" t="str">
        <f t="shared" si="14"/>
        <v/>
      </c>
      <c r="AN279" s="1">
        <f>value(IFERROR(SUBSTITUTE(SUBSTITUTE(VLOOKUP($A279,'Quarterly Pipeline vs Target Pi'!$A:$AP,26,false)," $","")," €",""), "")
)</f>
        <v>0</v>
      </c>
      <c r="AO279" s="1">
        <f>value(IFERROR(SUBSTITUTE(SUBSTITUTE(VLOOKUP($A279,'Quarterly Pipeline vs Target Pi'!$A:$AP,27,false)," $","")," €",""), "")
)</f>
        <v>0</v>
      </c>
      <c r="AP279" s="17" t="str">
        <f t="shared" si="15"/>
        <v/>
      </c>
      <c r="AQ279" s="1">
        <f>value(IFERROR(SUBSTITUTE(SUBSTITUTE(VLOOKUP($A279,'Quarterly Pipeline vs Target Pi'!$A:$AP,31,false)," $","")," €",""), "")
)</f>
        <v>0</v>
      </c>
      <c r="AR279" s="1">
        <f>value(IFERROR(SUBSTITUTE(SUBSTITUTE(VLOOKUP($A279,'Quarterly Pipeline vs Target Pi'!$A:$AP,32,false)," $","")," €",""), "")
)</f>
        <v>0</v>
      </c>
      <c r="AS279" s="17" t="str">
        <f t="shared" si="16"/>
        <v/>
      </c>
      <c r="AT279" s="1">
        <f>value(IFERROR(SUBSTITUTE(SUBSTITUTE(VLOOKUP($A279,'Quarterly Pipeline vs Target Pi'!$A:$AP,36,false)," $","")," €",""), "")
)</f>
        <v>0</v>
      </c>
      <c r="AU279" s="1">
        <f>value(IFERROR(SUBSTITUTE(SUBSTITUTE(VLOOKUP($A279,'Quarterly Pipeline vs Target Pi'!$A:$AP,37,false)," $","")," €",""), "")
)</f>
        <v>0</v>
      </c>
      <c r="AV279" s="17" t="str">
        <f t="shared" si="17"/>
        <v/>
      </c>
      <c r="AW279" s="1">
        <f>value(IFERROR(SUBSTITUTE(SUBSTITUTE(VLOOKUP($A279,'Quarterly Pipeline vs Target Pi'!$A:$AP,41,false)," $","")," €",""), "")
)</f>
        <v>0</v>
      </c>
      <c r="AX279" s="1">
        <f>value(IFERROR(SUBSTITUTE(SUBSTITUTE(VLOOKUP($A279,'Quarterly Pipeline vs Target Pi'!$A:$AP,42,false)," $","")," €",""), "")
)</f>
        <v>0</v>
      </c>
      <c r="AY279" s="17" t="str">
        <f t="shared" si="18"/>
        <v/>
      </c>
      <c r="AZ279" s="1">
        <f t="shared" ref="AZ279:BA279" si="572">sum(AN279,AQ279,AT279,AW279)</f>
        <v>0</v>
      </c>
      <c r="BA279" s="1">
        <f t="shared" si="572"/>
        <v>0</v>
      </c>
      <c r="BB279" s="17" t="str">
        <f t="shared" si="20"/>
        <v/>
      </c>
    </row>
    <row r="280">
      <c r="A280" s="1" t="str">
        <f>IFERROR(__xludf.DUMMYFUNCTION("""COMPUTED_VALUE"""),"63ced84dc5c820531c269806")</f>
        <v>63ced84dc5c820531c269806</v>
      </c>
      <c r="B280" s="1" t="str">
        <f>IFERROR(__xludf.DUMMYFUNCTION("""COMPUTED_VALUE"""),"Magothy Technology, LLC")</f>
        <v>Magothy Technology, LLC</v>
      </c>
      <c r="C280" s="1" t="str">
        <f>IFERROR(__xludf.DUMMYFUNCTION("""COMPUTED_VALUE"""),"brendan.flaherty@al-enterprise.com, robert.ewell@al-enterprise.com, jack.jachner@al-enterprise.com")</f>
        <v>brendan.flaherty@al-enterprise.com, robert.ewell@al-enterprise.com, jack.jachner@al-enterprise.com</v>
      </c>
      <c r="D280" s="1" t="str">
        <f>IFERROR(__xludf.DUMMYFUNCTION("""COMPUTED_VALUE"""),"americas")</f>
        <v>americas</v>
      </c>
      <c r="E280" s="1" t="str">
        <f>IFERROR(__xludf.DUMMYFUNCTION("""COMPUTED_VALUE"""),"US")</f>
        <v>US</v>
      </c>
      <c r="F280" s="1" t="str">
        <f>IFERROR(__xludf.DUMMYFUNCTION("""COMPUTED_VALUE"""),"expert_1000")</f>
        <v>expert_1000</v>
      </c>
      <c r="G280" s="1">
        <f>iferror(VLOOKUP(A280,'Business Plan Setup and Accepta'!A:G,6,false),"")</f>
        <v>1</v>
      </c>
      <c r="H280" s="1">
        <f>iferror(VLOOKUP(A280,'Business Plan Setup and Accepta'!A:G,7,false),"")</f>
        <v>1</v>
      </c>
      <c r="I280" s="17">
        <f t="shared" si="3"/>
        <v>1</v>
      </c>
      <c r="J280" s="1">
        <f>IFERROR(VALUE(SUBSTITUTE(VLOOKUP(A280,'Sales IN Revenues vs Sales targ'!A:G,6,false)," $","")), "")
</f>
        <v>1291.42</v>
      </c>
      <c r="K280" s="1">
        <f>IFERROR(VALUE(SUBSTITUTE(VLOOKUP(A280,'Sales IN Revenues vs Sales targ'!A:G,7,false)," $","")), "")
</f>
        <v>1367.19</v>
      </c>
      <c r="L280" s="17">
        <f t="shared" si="4"/>
        <v>0.9445797585</v>
      </c>
      <c r="M280" s="1">
        <f>value(SUBSTITUTE(IFERROR(VLOOKUP(A280,'Certifications achievements vs '!A:G,6,false),""),"#","")
)</f>
        <v>0</v>
      </c>
      <c r="N280" s="1">
        <f>value(SUBSTITUTE(IFERROR(VLOOKUP(A280,'Certifications achievements vs '!A:G,7,false),""),"#","")
)</f>
        <v>56</v>
      </c>
      <c r="O280" s="17">
        <f t="shared" si="5"/>
        <v>0</v>
      </c>
      <c r="P280" s="1">
        <f>value(SUBSTITUTE(IFERROR(VLOOKUP(A280,'Communications - Solution Speci'!A:G,6,false),""),"#","")
)</f>
        <v>0</v>
      </c>
      <c r="Q280" s="1">
        <f>value(SUBSTITUTE(IFERROR(VLOOKUP(A280,'Communications - Solution Speci'!A:G,7,false),""),"#","")
)</f>
        <v>1</v>
      </c>
      <c r="R280" s="17">
        <f t="shared" si="6"/>
        <v>0</v>
      </c>
      <c r="S280" s="1">
        <f>value(SUBSTITUTE(IFERROR(VLOOKUP(A280,'Networking - Solution Specializ'!A:G,6,false),""),"#","")
)</f>
        <v>0</v>
      </c>
      <c r="T280" s="1">
        <f>value(SUBSTITUTE(IFERROR(VLOOKUP(A280,'Networking - Solution Specializ'!A:G,7,false),""),"#","")
)</f>
        <v>1</v>
      </c>
      <c r="U280" s="17">
        <f t="shared" si="7"/>
        <v>0</v>
      </c>
      <c r="V280" s="1">
        <f>iferror(vlookup(A280,'Marketing Plan (extract summary'!A:G,6,false),"")</f>
        <v>0</v>
      </c>
      <c r="W280" s="1">
        <f>iferror(vlookup(A280,'Marketing Plan (extract summary'!A:G,7,false),"")</f>
        <v>1</v>
      </c>
      <c r="X280" s="17">
        <f t="shared" si="8"/>
        <v>0</v>
      </c>
      <c r="Y280" s="1">
        <f>value(IFERROR(SUBSTITUTE(SUBSTITUTE(VLOOKUP(A280,'Quarterly Pipeline vs Target Pi'!A:G,6,false)," $","")," €",""), "")
)</f>
        <v>656.13</v>
      </c>
      <c r="Z280" s="1">
        <f>value(IFERROR(SUBSTITUTE(SUBSTITUTE(VLOOKUP(A280,'Quarterly Pipeline vs Target Pi'!A:G,7,false)," $","")," €",""), "")
)</f>
        <v>0</v>
      </c>
      <c r="AA280" s="17" t="str">
        <f t="shared" si="9"/>
        <v/>
      </c>
      <c r="AB280" s="1">
        <f>value(IFERROR(SUBSTITUTE(SUBSTITUTE(VLOOKUP($A280,'Quarterly Pipeline vs Target Pi'!$A:$V,11,false)," $","")," €",""), "")
)</f>
        <v>180.87</v>
      </c>
      <c r="AC280" s="1">
        <f>value(IFERROR(SUBSTITUTE(SUBSTITUTE(VLOOKUP($A280,'Quarterly Pipeline vs Target Pi'!$A:$V,12,false)," $","")," €",""), "")
)</f>
        <v>331.21</v>
      </c>
      <c r="AD280" s="17">
        <f t="shared" si="10"/>
        <v>0.5460885843</v>
      </c>
      <c r="AE280" s="1">
        <f>value(IFERROR(SUBSTITUTE(SUBSTITUTE(VLOOKUP($A280,'Quarterly Pipeline vs Target Pi'!$A:$V,16,false)," $","")," €",""), "")
)</f>
        <v>759.8</v>
      </c>
      <c r="AF280" s="1">
        <f>value(IFERROR(SUBSTITUTE(SUBSTITUTE(VLOOKUP($A280,'Quarterly Pipeline vs Target Pi'!$A:$V,17,false)," $","")," €",""), "")
)</f>
        <v>486.58</v>
      </c>
      <c r="AG280" s="17">
        <f t="shared" si="11"/>
        <v>1.561510954</v>
      </c>
      <c r="AH280" s="1">
        <f>value(IFERROR(SUBSTITUTE(SUBSTITUTE(VLOOKUP($A280,'Quarterly Pipeline vs Target Pi'!$A:$V,21,false)," $","")," €",""), "")
)</f>
        <v>85.95</v>
      </c>
      <c r="AI280" s="1">
        <f>value(IFERROR(SUBSTITUTE(SUBSTITUTE(VLOOKUP($A280,'Quarterly Pipeline vs Target Pi'!$A:$V,22,false)," $","")," €",""), "")
)</f>
        <v>518.3</v>
      </c>
      <c r="AJ280" s="17">
        <f t="shared" si="12"/>
        <v>0.1658306</v>
      </c>
      <c r="AK280" s="1">
        <f t="shared" ref="AK280:AL280" si="573">sum(Y280,AB280,AE280,AH280)</f>
        <v>1682.75</v>
      </c>
      <c r="AL280" s="1">
        <f t="shared" si="573"/>
        <v>1336.09</v>
      </c>
      <c r="AM280" s="17">
        <f t="shared" si="14"/>
        <v>1.259458569</v>
      </c>
      <c r="AN280" s="1">
        <f>value(IFERROR(SUBSTITUTE(SUBSTITUTE(VLOOKUP($A280,'Quarterly Pipeline vs Target Pi'!$A:$AP,26,false)," $","")," €",""), "")
)</f>
        <v>897.88</v>
      </c>
      <c r="AO280" s="1">
        <f>value(IFERROR(SUBSTITUTE(SUBSTITUTE(VLOOKUP($A280,'Quarterly Pipeline vs Target Pi'!$A:$AP,27,false)," $","")," €",""), "")
)</f>
        <v>0</v>
      </c>
      <c r="AP280" s="17" t="str">
        <f t="shared" si="15"/>
        <v/>
      </c>
      <c r="AQ280" s="1">
        <f>value(IFERROR(SUBSTITUTE(SUBSTITUTE(VLOOKUP($A280,'Quarterly Pipeline vs Target Pi'!$A:$AP,31,false)," $","")," €",""), "")
)</f>
        <v>887.59</v>
      </c>
      <c r="AR280" s="1">
        <f>value(IFERROR(SUBSTITUTE(SUBSTITUTE(VLOOKUP($A280,'Quarterly Pipeline vs Target Pi'!$A:$AP,32,false)," $","")," €",""), "")
)</f>
        <v>0</v>
      </c>
      <c r="AS280" s="17" t="str">
        <f t="shared" si="16"/>
        <v/>
      </c>
      <c r="AT280" s="1">
        <f>value(IFERROR(SUBSTITUTE(SUBSTITUTE(VLOOKUP($A280,'Quarterly Pipeline vs Target Pi'!$A:$AP,36,false)," $","")," €",""), "")
)</f>
        <v>0</v>
      </c>
      <c r="AU280" s="1">
        <f>value(IFERROR(SUBSTITUTE(SUBSTITUTE(VLOOKUP($A280,'Quarterly Pipeline vs Target Pi'!$A:$AP,37,false)," $","")," €",""), "")
)</f>
        <v>0</v>
      </c>
      <c r="AV280" s="17" t="str">
        <f t="shared" si="17"/>
        <v/>
      </c>
      <c r="AW280" s="1">
        <f>value(IFERROR(SUBSTITUTE(SUBSTITUTE(VLOOKUP($A280,'Quarterly Pipeline vs Target Pi'!$A:$AP,41,false)," $","")," €",""), "")
)</f>
        <v>0</v>
      </c>
      <c r="AX280" s="1">
        <f>value(IFERROR(SUBSTITUTE(SUBSTITUTE(VLOOKUP($A280,'Quarterly Pipeline vs Target Pi'!$A:$AP,42,false)," $","")," €",""), "")
)</f>
        <v>0</v>
      </c>
      <c r="AY280" s="17" t="str">
        <f t="shared" si="18"/>
        <v/>
      </c>
      <c r="AZ280" s="1">
        <f t="shared" ref="AZ280:BA280" si="574">sum(AN280,AQ280,AT280,AW280)</f>
        <v>1785.47</v>
      </c>
      <c r="BA280" s="1">
        <f t="shared" si="574"/>
        <v>0</v>
      </c>
      <c r="BB280" s="17" t="str">
        <f t="shared" si="20"/>
        <v/>
      </c>
    </row>
    <row r="281">
      <c r="A281" s="1" t="str">
        <f>IFERROR(__xludf.DUMMYFUNCTION("""COMPUTED_VALUE"""),"63ced842c5c820531c2680b4")</f>
        <v>63ced842c5c820531c2680b4</v>
      </c>
      <c r="B281" s="1" t="str">
        <f>IFERROR(__xludf.DUMMYFUNCTION("""COMPUTED_VALUE"""),"MAGRI TELEFONIA SRL")</f>
        <v>MAGRI TELEFONIA SRL</v>
      </c>
      <c r="C281" s="1" t="str">
        <f>IFERROR(__xludf.DUMMYFUNCTION("""COMPUTED_VALUE"""),"luis.arriagada@al-enterprise.com")</f>
        <v>luis.arriagada@al-enterprise.com</v>
      </c>
      <c r="D281" s="1" t="str">
        <f>IFERROR(__xludf.DUMMYFUNCTION("""COMPUTED_VALUE"""),"americas")</f>
        <v>americas</v>
      </c>
      <c r="E281" s="1" t="str">
        <f>IFERROR(__xludf.DUMMYFUNCTION("""COMPUTED_VALUE"""),"AR")</f>
        <v>AR</v>
      </c>
      <c r="F281" s="1"/>
      <c r="G281" s="1" t="str">
        <f>iferror(VLOOKUP(A281,'Business Plan Setup and Accepta'!A:G,6,false),"")</f>
        <v/>
      </c>
      <c r="H281" s="1" t="str">
        <f>iferror(VLOOKUP(A281,'Business Plan Setup and Accepta'!A:G,7,false),"")</f>
        <v/>
      </c>
      <c r="I281" s="17" t="str">
        <f t="shared" si="3"/>
        <v/>
      </c>
      <c r="J281" s="1" t="str">
        <f>IFERROR(VALUE(SUBSTITUTE(VLOOKUP(A281,'Sales IN Revenues vs Sales targ'!A:G,6,false)," $","")), "")
</f>
        <v/>
      </c>
      <c r="K281" s="1" t="str">
        <f>IFERROR(VALUE(SUBSTITUTE(VLOOKUP(A281,'Sales IN Revenues vs Sales targ'!A:G,7,false)," $","")), "")
</f>
        <v/>
      </c>
      <c r="L281" s="17" t="str">
        <f t="shared" si="4"/>
        <v/>
      </c>
      <c r="M281" s="1">
        <f>value(SUBSTITUTE(IFERROR(VLOOKUP(A281,'Certifications achievements vs '!A:G,6,false),""),"#","")
)</f>
        <v>24</v>
      </c>
      <c r="N281" s="1">
        <f>value(SUBSTITUTE(IFERROR(VLOOKUP(A281,'Certifications achievements vs '!A:G,7,false),""),"#","")
)</f>
        <v>0</v>
      </c>
      <c r="O281" s="17" t="str">
        <f t="shared" si="5"/>
        <v/>
      </c>
      <c r="P281" s="1">
        <f>value(SUBSTITUTE(IFERROR(VLOOKUP(A281,'Communications - Solution Speci'!A:G,6,false),""),"#","")
)</f>
        <v>0</v>
      </c>
      <c r="Q281" s="1">
        <f>value(SUBSTITUTE(IFERROR(VLOOKUP(A281,'Communications - Solution Speci'!A:G,7,false),""),"#","")
)</f>
        <v>0</v>
      </c>
      <c r="R281" s="17" t="str">
        <f t="shared" si="6"/>
        <v/>
      </c>
      <c r="S281" s="1">
        <f>value(SUBSTITUTE(IFERROR(VLOOKUP(A281,'Networking - Solution Specializ'!A:G,6,false),""),"#","")
)</f>
        <v>0</v>
      </c>
      <c r="T281" s="1">
        <f>value(SUBSTITUTE(IFERROR(VLOOKUP(A281,'Networking - Solution Specializ'!A:G,7,false),""),"#","")
)</f>
        <v>0</v>
      </c>
      <c r="U281" s="17" t="str">
        <f t="shared" si="7"/>
        <v/>
      </c>
      <c r="V281" s="1" t="str">
        <f>iferror(vlookup(A281,'Marketing Plan (extract summary'!A:G,6,false),"")</f>
        <v/>
      </c>
      <c r="W281" s="1" t="str">
        <f>iferror(vlookup(A281,'Marketing Plan (extract summary'!A:G,7,false),"")</f>
        <v/>
      </c>
      <c r="X281" s="17" t="str">
        <f t="shared" si="8"/>
        <v/>
      </c>
      <c r="Y281" s="1">
        <f>value(IFERROR(SUBSTITUTE(SUBSTITUTE(VLOOKUP(A281,'Quarterly Pipeline vs Target Pi'!A:G,6,false)," $","")," €",""), "")
)</f>
        <v>0</v>
      </c>
      <c r="Z281" s="1">
        <f>value(IFERROR(SUBSTITUTE(SUBSTITUTE(VLOOKUP(A281,'Quarterly Pipeline vs Target Pi'!A:G,7,false)," $","")," €",""), "")
)</f>
        <v>0</v>
      </c>
      <c r="AA281" s="17" t="str">
        <f t="shared" si="9"/>
        <v/>
      </c>
      <c r="AB281" s="1">
        <f>value(IFERROR(SUBSTITUTE(SUBSTITUTE(VLOOKUP($A281,'Quarterly Pipeline vs Target Pi'!$A:$V,11,false)," $","")," €",""), "")
)</f>
        <v>0</v>
      </c>
      <c r="AC281" s="1">
        <f>value(IFERROR(SUBSTITUTE(SUBSTITUTE(VLOOKUP($A281,'Quarterly Pipeline vs Target Pi'!$A:$V,12,false)," $","")," €",""), "")
)</f>
        <v>0</v>
      </c>
      <c r="AD281" s="17" t="str">
        <f t="shared" si="10"/>
        <v/>
      </c>
      <c r="AE281" s="1">
        <f>value(IFERROR(SUBSTITUTE(SUBSTITUTE(VLOOKUP($A281,'Quarterly Pipeline vs Target Pi'!$A:$V,16,false)," $","")," €",""), "")
)</f>
        <v>0</v>
      </c>
      <c r="AF281" s="1">
        <f>value(IFERROR(SUBSTITUTE(SUBSTITUTE(VLOOKUP($A281,'Quarterly Pipeline vs Target Pi'!$A:$V,17,false)," $","")," €",""), "")
)</f>
        <v>0</v>
      </c>
      <c r="AG281" s="17" t="str">
        <f t="shared" si="11"/>
        <v/>
      </c>
      <c r="AH281" s="1">
        <f>value(IFERROR(SUBSTITUTE(SUBSTITUTE(VLOOKUP($A281,'Quarterly Pipeline vs Target Pi'!$A:$V,21,false)," $","")," €",""), "")
)</f>
        <v>0</v>
      </c>
      <c r="AI281" s="1">
        <f>value(IFERROR(SUBSTITUTE(SUBSTITUTE(VLOOKUP($A281,'Quarterly Pipeline vs Target Pi'!$A:$V,22,false)," $","")," €",""), "")
)</f>
        <v>0</v>
      </c>
      <c r="AJ281" s="17" t="str">
        <f t="shared" si="12"/>
        <v/>
      </c>
      <c r="AK281" s="1">
        <f t="shared" ref="AK281:AL281" si="575">sum(Y281,AB281,AE281,AH281)</f>
        <v>0</v>
      </c>
      <c r="AL281" s="1">
        <f t="shared" si="575"/>
        <v>0</v>
      </c>
      <c r="AM281" s="17" t="str">
        <f t="shared" si="14"/>
        <v/>
      </c>
      <c r="AN281" s="1">
        <f>value(IFERROR(SUBSTITUTE(SUBSTITUTE(VLOOKUP($A281,'Quarterly Pipeline vs Target Pi'!$A:$AP,26,false)," $","")," €",""), "")
)</f>
        <v>0</v>
      </c>
      <c r="AO281" s="1">
        <f>value(IFERROR(SUBSTITUTE(SUBSTITUTE(VLOOKUP($A281,'Quarterly Pipeline vs Target Pi'!$A:$AP,27,false)," $","")," €",""), "")
)</f>
        <v>0</v>
      </c>
      <c r="AP281" s="17" t="str">
        <f t="shared" si="15"/>
        <v/>
      </c>
      <c r="AQ281" s="1">
        <f>value(IFERROR(SUBSTITUTE(SUBSTITUTE(VLOOKUP($A281,'Quarterly Pipeline vs Target Pi'!$A:$AP,31,false)," $","")," €",""), "")
)</f>
        <v>0</v>
      </c>
      <c r="AR281" s="1">
        <f>value(IFERROR(SUBSTITUTE(SUBSTITUTE(VLOOKUP($A281,'Quarterly Pipeline vs Target Pi'!$A:$AP,32,false)," $","")," €",""), "")
)</f>
        <v>0</v>
      </c>
      <c r="AS281" s="17" t="str">
        <f t="shared" si="16"/>
        <v/>
      </c>
      <c r="AT281" s="1">
        <f>value(IFERROR(SUBSTITUTE(SUBSTITUTE(VLOOKUP($A281,'Quarterly Pipeline vs Target Pi'!$A:$AP,36,false)," $","")," €",""), "")
)</f>
        <v>0</v>
      </c>
      <c r="AU281" s="1">
        <f>value(IFERROR(SUBSTITUTE(SUBSTITUTE(VLOOKUP($A281,'Quarterly Pipeline vs Target Pi'!$A:$AP,37,false)," $","")," €",""), "")
)</f>
        <v>0</v>
      </c>
      <c r="AV281" s="17" t="str">
        <f t="shared" si="17"/>
        <v/>
      </c>
      <c r="AW281" s="1">
        <f>value(IFERROR(SUBSTITUTE(SUBSTITUTE(VLOOKUP($A281,'Quarterly Pipeline vs Target Pi'!$A:$AP,41,false)," $","")," €",""), "")
)</f>
        <v>0</v>
      </c>
      <c r="AX281" s="1">
        <f>value(IFERROR(SUBSTITUTE(SUBSTITUTE(VLOOKUP($A281,'Quarterly Pipeline vs Target Pi'!$A:$AP,42,false)," $","")," €",""), "")
)</f>
        <v>0</v>
      </c>
      <c r="AY281" s="17" t="str">
        <f t="shared" si="18"/>
        <v/>
      </c>
      <c r="AZ281" s="1">
        <f t="shared" ref="AZ281:BA281" si="576">sum(AN281,AQ281,AT281,AW281)</f>
        <v>0</v>
      </c>
      <c r="BA281" s="1">
        <f t="shared" si="576"/>
        <v>0</v>
      </c>
      <c r="BB281" s="17" t="str">
        <f t="shared" si="20"/>
        <v/>
      </c>
    </row>
    <row r="282">
      <c r="A282" s="1" t="str">
        <f>IFERROR(__xludf.DUMMYFUNCTION("""COMPUTED_VALUE"""),"633594225a4f364541330f92")</f>
        <v>633594225a4f364541330f92</v>
      </c>
      <c r="B282" s="1" t="str">
        <f>IFERROR(__xludf.DUMMYFUNCTION("""COMPUTED_VALUE"""),"MAGTEL OPERACIONES S.L.U")</f>
        <v>MAGTEL OPERACIONES S.L.U</v>
      </c>
      <c r="C282" s="1" t="str">
        <f>IFERROR(__xludf.DUMMYFUNCTION("""COMPUTED_VALUE"""),"rui.silva@al-enterprise.com, rafael.andreo@al-enterprise.com, hubert.chapelle@al-enterprise.com, marcos.rodriguez@al-enterprise.com")</f>
        <v>rui.silva@al-enterprise.com, rafael.andreo@al-enterprise.com, hubert.chapelle@al-enterprise.com, marcos.rodriguez@al-enterprise.com</v>
      </c>
      <c r="D282" s="1" t="str">
        <f>IFERROR(__xludf.DUMMYFUNCTION("""COMPUTED_VALUE"""),"emea")</f>
        <v>emea</v>
      </c>
      <c r="E282" s="1" t="str">
        <f>IFERROR(__xludf.DUMMYFUNCTION("""COMPUTED_VALUE"""),"ES")</f>
        <v>ES</v>
      </c>
      <c r="F282" s="1"/>
      <c r="G282" s="1" t="str">
        <f>iferror(VLOOKUP(A282,'Business Plan Setup and Accepta'!A:G,6,false),"")</f>
        <v/>
      </c>
      <c r="H282" s="1" t="str">
        <f>iferror(VLOOKUP(A282,'Business Plan Setup and Accepta'!A:G,7,false),"")</f>
        <v/>
      </c>
      <c r="I282" s="17" t="str">
        <f t="shared" si="3"/>
        <v/>
      </c>
      <c r="J282" s="1" t="str">
        <f>IFERROR(VALUE(SUBSTITUTE(VLOOKUP(A282,'Sales IN Revenues vs Sales targ'!A:G,6,false)," $","")), "")
</f>
        <v/>
      </c>
      <c r="K282" s="1" t="str">
        <f>IFERROR(VALUE(SUBSTITUTE(VLOOKUP(A282,'Sales IN Revenues vs Sales targ'!A:G,7,false)," $","")), "")
</f>
        <v/>
      </c>
      <c r="L282" s="17" t="str">
        <f t="shared" si="4"/>
        <v/>
      </c>
      <c r="M282" s="1">
        <f>value(SUBSTITUTE(IFERROR(VLOOKUP(A282,'Certifications achievements vs '!A:G,6,false),""),"#","")
)</f>
        <v>9</v>
      </c>
      <c r="N282" s="1">
        <f>value(SUBSTITUTE(IFERROR(VLOOKUP(A282,'Certifications achievements vs '!A:G,7,false),""),"#","")
)</f>
        <v>52</v>
      </c>
      <c r="O282" s="17">
        <f t="shared" si="5"/>
        <v>0.1730769231</v>
      </c>
      <c r="P282" s="1">
        <f>value(SUBSTITUTE(IFERROR(VLOOKUP(A282,'Communications - Solution Speci'!A:G,6,false),""),"#","")
)</f>
        <v>0</v>
      </c>
      <c r="Q282" s="1">
        <f>value(SUBSTITUTE(IFERROR(VLOOKUP(A282,'Communications - Solution Speci'!A:G,7,false),""),"#","")
)</f>
        <v>0</v>
      </c>
      <c r="R282" s="17" t="str">
        <f t="shared" si="6"/>
        <v/>
      </c>
      <c r="S282" s="1">
        <f>value(SUBSTITUTE(IFERROR(VLOOKUP(A282,'Networking - Solution Specializ'!A:G,6,false),""),"#","")
)</f>
        <v>0</v>
      </c>
      <c r="T282" s="1">
        <f>value(SUBSTITUTE(IFERROR(VLOOKUP(A282,'Networking - Solution Specializ'!A:G,7,false),""),"#","")
)</f>
        <v>0</v>
      </c>
      <c r="U282" s="17" t="str">
        <f t="shared" si="7"/>
        <v/>
      </c>
      <c r="V282" s="1" t="str">
        <f>iferror(vlookup(A282,'Marketing Plan (extract summary'!A:G,6,false),"")</f>
        <v/>
      </c>
      <c r="W282" s="1" t="str">
        <f>iferror(vlookup(A282,'Marketing Plan (extract summary'!A:G,7,false),"")</f>
        <v/>
      </c>
      <c r="X282" s="17" t="str">
        <f t="shared" si="8"/>
        <v/>
      </c>
      <c r="Y282" s="1">
        <f>value(IFERROR(SUBSTITUTE(SUBSTITUTE(VLOOKUP(A282,'Quarterly Pipeline vs Target Pi'!A:G,6,false)," $","")," €",""), "")
)</f>
        <v>0</v>
      </c>
      <c r="Z282" s="1">
        <f>value(IFERROR(SUBSTITUTE(SUBSTITUTE(VLOOKUP(A282,'Quarterly Pipeline vs Target Pi'!A:G,7,false)," $","")," €",""), "")
)</f>
        <v>0</v>
      </c>
      <c r="AA282" s="17" t="str">
        <f t="shared" si="9"/>
        <v/>
      </c>
      <c r="AB282" s="1">
        <f>value(IFERROR(SUBSTITUTE(SUBSTITUTE(VLOOKUP($A282,'Quarterly Pipeline vs Target Pi'!$A:$V,11,false)," $","")," €",""), "")
)</f>
        <v>0</v>
      </c>
      <c r="AC282" s="1">
        <f>value(IFERROR(SUBSTITUTE(SUBSTITUTE(VLOOKUP($A282,'Quarterly Pipeline vs Target Pi'!$A:$V,12,false)," $","")," €",""), "")
)</f>
        <v>0</v>
      </c>
      <c r="AD282" s="17" t="str">
        <f t="shared" si="10"/>
        <v/>
      </c>
      <c r="AE282" s="1">
        <f>value(IFERROR(SUBSTITUTE(SUBSTITUTE(VLOOKUP($A282,'Quarterly Pipeline vs Target Pi'!$A:$V,16,false)," $","")," €",""), "")
)</f>
        <v>0</v>
      </c>
      <c r="AF282" s="1">
        <f>value(IFERROR(SUBSTITUTE(SUBSTITUTE(VLOOKUP($A282,'Quarterly Pipeline vs Target Pi'!$A:$V,17,false)," $","")," €",""), "")
)</f>
        <v>0</v>
      </c>
      <c r="AG282" s="17" t="str">
        <f t="shared" si="11"/>
        <v/>
      </c>
      <c r="AH282" s="1">
        <f>value(IFERROR(SUBSTITUTE(SUBSTITUTE(VLOOKUP($A282,'Quarterly Pipeline vs Target Pi'!$A:$V,21,false)," $","")," €",""), "")
)</f>
        <v>0</v>
      </c>
      <c r="AI282" s="1">
        <f>value(IFERROR(SUBSTITUTE(SUBSTITUTE(VLOOKUP($A282,'Quarterly Pipeline vs Target Pi'!$A:$V,22,false)," $","")," €",""), "")
)</f>
        <v>0</v>
      </c>
      <c r="AJ282" s="17" t="str">
        <f t="shared" si="12"/>
        <v/>
      </c>
      <c r="AK282" s="1">
        <f t="shared" ref="AK282:AL282" si="577">sum(Y282,AB282,AE282,AH282)</f>
        <v>0</v>
      </c>
      <c r="AL282" s="1">
        <f t="shared" si="577"/>
        <v>0</v>
      </c>
      <c r="AM282" s="17" t="str">
        <f t="shared" si="14"/>
        <v/>
      </c>
      <c r="AN282" s="1">
        <f>value(IFERROR(SUBSTITUTE(SUBSTITUTE(VLOOKUP($A282,'Quarterly Pipeline vs Target Pi'!$A:$AP,26,false)," $","")," €",""), "")
)</f>
        <v>0</v>
      </c>
      <c r="AO282" s="1">
        <f>value(IFERROR(SUBSTITUTE(SUBSTITUTE(VLOOKUP($A282,'Quarterly Pipeline vs Target Pi'!$A:$AP,27,false)," $","")," €",""), "")
)</f>
        <v>0</v>
      </c>
      <c r="AP282" s="17" t="str">
        <f t="shared" si="15"/>
        <v/>
      </c>
      <c r="AQ282" s="1">
        <f>value(IFERROR(SUBSTITUTE(SUBSTITUTE(VLOOKUP($A282,'Quarterly Pipeline vs Target Pi'!$A:$AP,31,false)," $","")," €",""), "")
)</f>
        <v>0</v>
      </c>
      <c r="AR282" s="1">
        <f>value(IFERROR(SUBSTITUTE(SUBSTITUTE(VLOOKUP($A282,'Quarterly Pipeline vs Target Pi'!$A:$AP,32,false)," $","")," €",""), "")
)</f>
        <v>0</v>
      </c>
      <c r="AS282" s="17" t="str">
        <f t="shared" si="16"/>
        <v/>
      </c>
      <c r="AT282" s="1">
        <f>value(IFERROR(SUBSTITUTE(SUBSTITUTE(VLOOKUP($A282,'Quarterly Pipeline vs Target Pi'!$A:$AP,36,false)," $","")," €",""), "")
)</f>
        <v>0</v>
      </c>
      <c r="AU282" s="1">
        <f>value(IFERROR(SUBSTITUTE(SUBSTITUTE(VLOOKUP($A282,'Quarterly Pipeline vs Target Pi'!$A:$AP,37,false)," $","")," €",""), "")
)</f>
        <v>0</v>
      </c>
      <c r="AV282" s="17" t="str">
        <f t="shared" si="17"/>
        <v/>
      </c>
      <c r="AW282" s="1">
        <f>value(IFERROR(SUBSTITUTE(SUBSTITUTE(VLOOKUP($A282,'Quarterly Pipeline vs Target Pi'!$A:$AP,41,false)," $","")," €",""), "")
)</f>
        <v>0</v>
      </c>
      <c r="AX282" s="1">
        <f>value(IFERROR(SUBSTITUTE(SUBSTITUTE(VLOOKUP($A282,'Quarterly Pipeline vs Target Pi'!$A:$AP,42,false)," $","")," €",""), "")
)</f>
        <v>0</v>
      </c>
      <c r="AY282" s="17" t="str">
        <f t="shared" si="18"/>
        <v/>
      </c>
      <c r="AZ282" s="1">
        <f t="shared" ref="AZ282:BA282" si="578">sum(AN282,AQ282,AT282,AW282)</f>
        <v>0</v>
      </c>
      <c r="BA282" s="1">
        <f t="shared" si="578"/>
        <v>0</v>
      </c>
      <c r="BB282" s="17" t="str">
        <f t="shared" si="20"/>
        <v/>
      </c>
    </row>
    <row r="283">
      <c r="A283" s="1" t="str">
        <f>IFERROR(__xludf.DUMMYFUNCTION("""COMPUTED_VALUE"""),"63ced843c5c820531c2681b3")</f>
        <v>63ced843c5c820531c2681b3</v>
      </c>
      <c r="B283" s="1" t="str">
        <f>IFERROR(__xludf.DUMMYFUNCTION("""COMPUTED_VALUE"""),"MAICROTEL S.A.S.")</f>
        <v>MAICROTEL S.A.S.</v>
      </c>
      <c r="C283" s="1" t="str">
        <f>IFERROR(__xludf.DUMMYFUNCTION("""COMPUTED_VALUE"""),"javier.largacha@al-enterprise.com")</f>
        <v>javier.largacha@al-enterprise.com</v>
      </c>
      <c r="D283" s="1" t="str">
        <f>IFERROR(__xludf.DUMMYFUNCTION("""COMPUTED_VALUE"""),"americas")</f>
        <v>americas</v>
      </c>
      <c r="E283" s="1" t="str">
        <f>IFERROR(__xludf.DUMMYFUNCTION("""COMPUTED_VALUE"""),"CO")</f>
        <v>CO</v>
      </c>
      <c r="F283" s="1"/>
      <c r="G283" s="1" t="str">
        <f>iferror(VLOOKUP(A283,'Business Plan Setup and Accepta'!A:G,6,false),"")</f>
        <v/>
      </c>
      <c r="H283" s="1" t="str">
        <f>iferror(VLOOKUP(A283,'Business Plan Setup and Accepta'!A:G,7,false),"")</f>
        <v/>
      </c>
      <c r="I283" s="17" t="str">
        <f t="shared" si="3"/>
        <v/>
      </c>
      <c r="J283" s="1" t="str">
        <f>IFERROR(VALUE(SUBSTITUTE(VLOOKUP(A283,'Sales IN Revenues vs Sales targ'!A:G,6,false)," $","")), "")
</f>
        <v/>
      </c>
      <c r="K283" s="1" t="str">
        <f>IFERROR(VALUE(SUBSTITUTE(VLOOKUP(A283,'Sales IN Revenues vs Sales targ'!A:G,7,false)," $","")), "")
</f>
        <v/>
      </c>
      <c r="L283" s="17" t="str">
        <f t="shared" si="4"/>
        <v/>
      </c>
      <c r="M283" s="1">
        <f>value(SUBSTITUTE(IFERROR(VLOOKUP(A283,'Certifications achievements vs '!A:G,6,false),""),"#","")
)</f>
        <v>75</v>
      </c>
      <c r="N283" s="1">
        <f>value(SUBSTITUTE(IFERROR(VLOOKUP(A283,'Certifications achievements vs '!A:G,7,false),""),"#","")
)</f>
        <v>52</v>
      </c>
      <c r="O283" s="17">
        <f t="shared" si="5"/>
        <v>1.442307692</v>
      </c>
      <c r="P283" s="1">
        <f>value(SUBSTITUTE(IFERROR(VLOOKUP(A283,'Communications - Solution Speci'!A:G,6,false),""),"#","")
)</f>
        <v>0</v>
      </c>
      <c r="Q283" s="1">
        <f>value(SUBSTITUTE(IFERROR(VLOOKUP(A283,'Communications - Solution Speci'!A:G,7,false),""),"#","")
)</f>
        <v>0</v>
      </c>
      <c r="R283" s="17" t="str">
        <f t="shared" si="6"/>
        <v/>
      </c>
      <c r="S283" s="1">
        <f>value(SUBSTITUTE(IFERROR(VLOOKUP(A283,'Networking - Solution Specializ'!A:G,6,false),""),"#","")
)</f>
        <v>0</v>
      </c>
      <c r="T283" s="1">
        <f>value(SUBSTITUTE(IFERROR(VLOOKUP(A283,'Networking - Solution Specializ'!A:G,7,false),""),"#","")
)</f>
        <v>0</v>
      </c>
      <c r="U283" s="17" t="str">
        <f t="shared" si="7"/>
        <v/>
      </c>
      <c r="V283" s="1" t="str">
        <f>iferror(vlookup(A283,'Marketing Plan (extract summary'!A:G,6,false),"")</f>
        <v/>
      </c>
      <c r="W283" s="1" t="str">
        <f>iferror(vlookup(A283,'Marketing Plan (extract summary'!A:G,7,false),"")</f>
        <v/>
      </c>
      <c r="X283" s="17" t="str">
        <f t="shared" si="8"/>
        <v/>
      </c>
      <c r="Y283" s="1">
        <f>value(IFERROR(SUBSTITUTE(SUBSTITUTE(VLOOKUP(A283,'Quarterly Pipeline vs Target Pi'!A:G,6,false)," $","")," €",""), "")
)</f>
        <v>0</v>
      </c>
      <c r="Z283" s="1">
        <f>value(IFERROR(SUBSTITUTE(SUBSTITUTE(VLOOKUP(A283,'Quarterly Pipeline vs Target Pi'!A:G,7,false)," $","")," €",""), "")
)</f>
        <v>0</v>
      </c>
      <c r="AA283" s="17" t="str">
        <f t="shared" si="9"/>
        <v/>
      </c>
      <c r="AB283" s="1">
        <f>value(IFERROR(SUBSTITUTE(SUBSTITUTE(VLOOKUP($A283,'Quarterly Pipeline vs Target Pi'!$A:$V,11,false)," $","")," €",""), "")
)</f>
        <v>0</v>
      </c>
      <c r="AC283" s="1">
        <f>value(IFERROR(SUBSTITUTE(SUBSTITUTE(VLOOKUP($A283,'Quarterly Pipeline vs Target Pi'!$A:$V,12,false)," $","")," €",""), "")
)</f>
        <v>0</v>
      </c>
      <c r="AD283" s="17" t="str">
        <f t="shared" si="10"/>
        <v/>
      </c>
      <c r="AE283" s="1">
        <f>value(IFERROR(SUBSTITUTE(SUBSTITUTE(VLOOKUP($A283,'Quarterly Pipeline vs Target Pi'!$A:$V,16,false)," $","")," €",""), "")
)</f>
        <v>0</v>
      </c>
      <c r="AF283" s="1">
        <f>value(IFERROR(SUBSTITUTE(SUBSTITUTE(VLOOKUP($A283,'Quarterly Pipeline vs Target Pi'!$A:$V,17,false)," $","")," €",""), "")
)</f>
        <v>0</v>
      </c>
      <c r="AG283" s="17" t="str">
        <f t="shared" si="11"/>
        <v/>
      </c>
      <c r="AH283" s="1">
        <f>value(IFERROR(SUBSTITUTE(SUBSTITUTE(VLOOKUP($A283,'Quarterly Pipeline vs Target Pi'!$A:$V,21,false)," $","")," €",""), "")
)</f>
        <v>0</v>
      </c>
      <c r="AI283" s="1">
        <f>value(IFERROR(SUBSTITUTE(SUBSTITUTE(VLOOKUP($A283,'Quarterly Pipeline vs Target Pi'!$A:$V,22,false)," $","")," €",""), "")
)</f>
        <v>0</v>
      </c>
      <c r="AJ283" s="17" t="str">
        <f t="shared" si="12"/>
        <v/>
      </c>
      <c r="AK283" s="1">
        <f t="shared" ref="AK283:AL283" si="579">sum(Y283,AB283,AE283,AH283)</f>
        <v>0</v>
      </c>
      <c r="AL283" s="1">
        <f t="shared" si="579"/>
        <v>0</v>
      </c>
      <c r="AM283" s="17" t="str">
        <f t="shared" si="14"/>
        <v/>
      </c>
      <c r="AN283" s="1">
        <f>value(IFERROR(SUBSTITUTE(SUBSTITUTE(VLOOKUP($A283,'Quarterly Pipeline vs Target Pi'!$A:$AP,26,false)," $","")," €",""), "")
)</f>
        <v>0</v>
      </c>
      <c r="AO283" s="1">
        <f>value(IFERROR(SUBSTITUTE(SUBSTITUTE(VLOOKUP($A283,'Quarterly Pipeline vs Target Pi'!$A:$AP,27,false)," $","")," €",""), "")
)</f>
        <v>0</v>
      </c>
      <c r="AP283" s="17" t="str">
        <f t="shared" si="15"/>
        <v/>
      </c>
      <c r="AQ283" s="1">
        <f>value(IFERROR(SUBSTITUTE(SUBSTITUTE(VLOOKUP($A283,'Quarterly Pipeline vs Target Pi'!$A:$AP,31,false)," $","")," €",""), "")
)</f>
        <v>0</v>
      </c>
      <c r="AR283" s="1">
        <f>value(IFERROR(SUBSTITUTE(SUBSTITUTE(VLOOKUP($A283,'Quarterly Pipeline vs Target Pi'!$A:$AP,32,false)," $","")," €",""), "")
)</f>
        <v>0</v>
      </c>
      <c r="AS283" s="17" t="str">
        <f t="shared" si="16"/>
        <v/>
      </c>
      <c r="AT283" s="1">
        <f>value(IFERROR(SUBSTITUTE(SUBSTITUTE(VLOOKUP($A283,'Quarterly Pipeline vs Target Pi'!$A:$AP,36,false)," $","")," €",""), "")
)</f>
        <v>0</v>
      </c>
      <c r="AU283" s="1">
        <f>value(IFERROR(SUBSTITUTE(SUBSTITUTE(VLOOKUP($A283,'Quarterly Pipeline vs Target Pi'!$A:$AP,37,false)," $","")," €",""), "")
)</f>
        <v>0</v>
      </c>
      <c r="AV283" s="17" t="str">
        <f t="shared" si="17"/>
        <v/>
      </c>
      <c r="AW283" s="1">
        <f>value(IFERROR(SUBSTITUTE(SUBSTITUTE(VLOOKUP($A283,'Quarterly Pipeline vs Target Pi'!$A:$AP,41,false)," $","")," €",""), "")
)</f>
        <v>0</v>
      </c>
      <c r="AX283" s="1">
        <f>value(IFERROR(SUBSTITUTE(SUBSTITUTE(VLOOKUP($A283,'Quarterly Pipeline vs Target Pi'!$A:$AP,42,false)," $","")," €",""), "")
)</f>
        <v>0</v>
      </c>
      <c r="AY283" s="17" t="str">
        <f t="shared" si="18"/>
        <v/>
      </c>
      <c r="AZ283" s="1">
        <f t="shared" ref="AZ283:BA283" si="580">sum(AN283,AQ283,AT283,AW283)</f>
        <v>0</v>
      </c>
      <c r="BA283" s="1">
        <f t="shared" si="580"/>
        <v>0</v>
      </c>
      <c r="BB283" s="17" t="str">
        <f t="shared" si="20"/>
        <v/>
      </c>
    </row>
    <row r="284">
      <c r="A284" s="1" t="str">
        <f>IFERROR(__xludf.DUMMYFUNCTION("""COMPUTED_VALUE"""),"63ced84bc5c820531c2693fb")</f>
        <v>63ced84bc5c820531c2693fb</v>
      </c>
      <c r="B284" s="1" t="str">
        <f>IFERROR(__xludf.DUMMYFUNCTION("""COMPUTED_VALUE"""),"MAKRO Soluciones de Tecnologia S.A.")</f>
        <v>MAKRO Soluciones de Tecnologia S.A.</v>
      </c>
      <c r="C284" s="1" t="str">
        <f>IFERROR(__xludf.DUMMYFUNCTION("""COMPUTED_VALUE"""),"saul.montiel@al-enterprise.com, joaquin.flores@al-enterprise.com")</f>
        <v>saul.montiel@al-enterprise.com, joaquin.flores@al-enterprise.com</v>
      </c>
      <c r="D284" s="1" t="str">
        <f>IFERROR(__xludf.DUMMYFUNCTION("""COMPUTED_VALUE"""),"americas")</f>
        <v>americas</v>
      </c>
      <c r="E284" s="1" t="str">
        <f>IFERROR(__xludf.DUMMYFUNCTION("""COMPUTED_VALUE"""),"MX")</f>
        <v>MX</v>
      </c>
      <c r="F284" s="1" t="str">
        <f>IFERROR(__xludf.DUMMYFUNCTION("""COMPUTED_VALUE"""),"distributor")</f>
        <v>distributor</v>
      </c>
      <c r="G284" s="1">
        <f>iferror(VLOOKUP(A284,'Business Plan Setup and Accepta'!A:G,6,false),"")</f>
        <v>0</v>
      </c>
      <c r="H284" s="1">
        <f>iferror(VLOOKUP(A284,'Business Plan Setup and Accepta'!A:G,7,false),"")</f>
        <v>1</v>
      </c>
      <c r="I284" s="17">
        <f t="shared" si="3"/>
        <v>0</v>
      </c>
      <c r="J284" s="1">
        <f>IFERROR(VALUE(SUBSTITUTE(VLOOKUP(A284,'Sales IN Revenues vs Sales targ'!A:G,6,false)," $","")), "")
</f>
        <v>41.21</v>
      </c>
      <c r="K284" s="1">
        <f>IFERROR(VALUE(SUBSTITUTE(VLOOKUP(A284,'Sales IN Revenues vs Sales targ'!A:G,7,false)," $","")), "")
</f>
        <v>505</v>
      </c>
      <c r="L284" s="17">
        <f t="shared" si="4"/>
        <v>0.0816039604</v>
      </c>
      <c r="M284" s="1">
        <f>value(SUBSTITUTE(IFERROR(VLOOKUP(A284,'Certifications achievements vs '!A:G,6,false),""),"#","")
)</f>
        <v>3</v>
      </c>
      <c r="N284" s="1">
        <f>value(SUBSTITUTE(IFERROR(VLOOKUP(A284,'Certifications achievements vs '!A:G,7,false),""),"#","")
)</f>
        <v>52</v>
      </c>
      <c r="O284" s="17">
        <f t="shared" si="5"/>
        <v>0.05769230769</v>
      </c>
      <c r="P284" s="1">
        <f>value(SUBSTITUTE(IFERROR(VLOOKUP(A284,'Communications - Solution Speci'!A:G,6,false),""),"#","")
)</f>
        <v>0</v>
      </c>
      <c r="Q284" s="1">
        <f>value(SUBSTITUTE(IFERROR(VLOOKUP(A284,'Communications - Solution Speci'!A:G,7,false),""),"#","")
)</f>
        <v>1</v>
      </c>
      <c r="R284" s="17">
        <f t="shared" si="6"/>
        <v>0</v>
      </c>
      <c r="S284" s="1">
        <f>value(SUBSTITUTE(IFERROR(VLOOKUP(A284,'Networking - Solution Specializ'!A:G,6,false),""),"#","")
)</f>
        <v>0</v>
      </c>
      <c r="T284" s="1">
        <f>value(SUBSTITUTE(IFERROR(VLOOKUP(A284,'Networking - Solution Specializ'!A:G,7,false),""),"#","")
)</f>
        <v>1</v>
      </c>
      <c r="U284" s="17">
        <f t="shared" si="7"/>
        <v>0</v>
      </c>
      <c r="V284" s="1">
        <f>iferror(vlookup(A284,'Marketing Plan (extract summary'!A:G,6,false),"")</f>
        <v>0</v>
      </c>
      <c r="W284" s="1">
        <f>iferror(vlookup(A284,'Marketing Plan (extract summary'!A:G,7,false),"")</f>
        <v>1</v>
      </c>
      <c r="X284" s="17">
        <f t="shared" si="8"/>
        <v>0</v>
      </c>
      <c r="Y284" s="1">
        <f>value(IFERROR(SUBSTITUTE(SUBSTITUTE(VLOOKUP(A284,'Quarterly Pipeline vs Target Pi'!A:G,6,false)," $","")," €",""), "")
)</f>
        <v>2.09</v>
      </c>
      <c r="Z284" s="1">
        <f>value(IFERROR(SUBSTITUTE(SUBSTITUTE(VLOOKUP(A284,'Quarterly Pipeline vs Target Pi'!A:G,7,false)," $","")," €",""), "")
)</f>
        <v>0</v>
      </c>
      <c r="AA284" s="17" t="str">
        <f t="shared" si="9"/>
        <v/>
      </c>
      <c r="AB284" s="1">
        <f>value(IFERROR(SUBSTITUTE(SUBSTITUTE(VLOOKUP($A284,'Quarterly Pipeline vs Target Pi'!$A:$V,11,false)," $","")," €",""), "")
)</f>
        <v>2.09</v>
      </c>
      <c r="AC284" s="1">
        <f>value(IFERROR(SUBSTITUTE(SUBSTITUTE(VLOOKUP($A284,'Quarterly Pipeline vs Target Pi'!$A:$V,12,false)," $","")," €",""), "")
)</f>
        <v>300</v>
      </c>
      <c r="AD284" s="17">
        <f t="shared" si="10"/>
        <v>0.006966666667</v>
      </c>
      <c r="AE284" s="1">
        <f>value(IFERROR(SUBSTITUTE(SUBSTITUTE(VLOOKUP($A284,'Quarterly Pipeline vs Target Pi'!$A:$V,16,false)," $","")," €",""), "")
)</f>
        <v>42.2</v>
      </c>
      <c r="AF284" s="1">
        <f>value(IFERROR(SUBSTITUTE(SUBSTITUTE(VLOOKUP($A284,'Quarterly Pipeline vs Target Pi'!$A:$V,17,false)," $","")," €",""), "")
)</f>
        <v>550.01</v>
      </c>
      <c r="AG284" s="17">
        <f t="shared" si="11"/>
        <v>0.07672587771</v>
      </c>
      <c r="AH284" s="1">
        <f>value(IFERROR(SUBSTITUTE(SUBSTITUTE(VLOOKUP($A284,'Quarterly Pipeline vs Target Pi'!$A:$V,21,false)," $","")," €",""), "")
)</f>
        <v>0.48</v>
      </c>
      <c r="AI284" s="1">
        <f>value(IFERROR(SUBSTITUTE(SUBSTITUTE(VLOOKUP($A284,'Quarterly Pipeline vs Target Pi'!$A:$V,22,false)," $","")," €",""), "")
)</f>
        <v>616.66</v>
      </c>
      <c r="AJ284" s="17">
        <f t="shared" si="12"/>
        <v>0.0007783867934</v>
      </c>
      <c r="AK284" s="1">
        <f t="shared" ref="AK284:AL284" si="581">sum(Y284,AB284,AE284,AH284)</f>
        <v>46.86</v>
      </c>
      <c r="AL284" s="1">
        <f t="shared" si="581"/>
        <v>1466.67</v>
      </c>
      <c r="AM284" s="17">
        <f t="shared" si="14"/>
        <v>0.03194992739</v>
      </c>
      <c r="AN284" s="1">
        <f>value(IFERROR(SUBSTITUTE(SUBSTITUTE(VLOOKUP($A284,'Quarterly Pipeline vs Target Pi'!$A:$AP,26,false)," $","")," €",""), "")
)</f>
        <v>0.66</v>
      </c>
      <c r="AO284" s="1">
        <f>value(IFERROR(SUBSTITUTE(SUBSTITUTE(VLOOKUP($A284,'Quarterly Pipeline vs Target Pi'!$A:$AP,27,false)," $","")," €",""), "")
)</f>
        <v>0</v>
      </c>
      <c r="AP284" s="17" t="str">
        <f t="shared" si="15"/>
        <v/>
      </c>
      <c r="AQ284" s="1">
        <f>value(IFERROR(SUBSTITUTE(SUBSTITUTE(VLOOKUP($A284,'Quarterly Pipeline vs Target Pi'!$A:$AP,31,false)," $","")," €",""), "")
)</f>
        <v>0</v>
      </c>
      <c r="AR284" s="1">
        <f>value(IFERROR(SUBSTITUTE(SUBSTITUTE(VLOOKUP($A284,'Quarterly Pipeline vs Target Pi'!$A:$AP,32,false)," $","")," €",""), "")
)</f>
        <v>0</v>
      </c>
      <c r="AS284" s="17" t="str">
        <f t="shared" si="16"/>
        <v/>
      </c>
      <c r="AT284" s="1">
        <f>value(IFERROR(SUBSTITUTE(SUBSTITUTE(VLOOKUP($A284,'Quarterly Pipeline vs Target Pi'!$A:$AP,36,false)," $","")," €",""), "")
)</f>
        <v>1.77</v>
      </c>
      <c r="AU284" s="1">
        <f>value(IFERROR(SUBSTITUTE(SUBSTITUTE(VLOOKUP($A284,'Quarterly Pipeline vs Target Pi'!$A:$AP,37,false)," $","")," €",""), "")
)</f>
        <v>0</v>
      </c>
      <c r="AV284" s="17" t="str">
        <f t="shared" si="17"/>
        <v/>
      </c>
      <c r="AW284" s="1">
        <f>value(IFERROR(SUBSTITUTE(SUBSTITUTE(VLOOKUP($A284,'Quarterly Pipeline vs Target Pi'!$A:$AP,41,false)," $","")," €",""), "")
)</f>
        <v>4.23</v>
      </c>
      <c r="AX284" s="1">
        <f>value(IFERROR(SUBSTITUTE(SUBSTITUTE(VLOOKUP($A284,'Quarterly Pipeline vs Target Pi'!$A:$AP,42,false)," $","")," €",""), "")
)</f>
        <v>0</v>
      </c>
      <c r="AY284" s="17" t="str">
        <f t="shared" si="18"/>
        <v/>
      </c>
      <c r="AZ284" s="1">
        <f t="shared" ref="AZ284:BA284" si="582">sum(AN284,AQ284,AT284,AW284)</f>
        <v>6.66</v>
      </c>
      <c r="BA284" s="1">
        <f t="shared" si="582"/>
        <v>0</v>
      </c>
      <c r="BB284" s="17" t="str">
        <f t="shared" si="20"/>
        <v/>
      </c>
    </row>
    <row r="285">
      <c r="A285" s="1" t="str">
        <f>IFERROR(__xludf.DUMMYFUNCTION("""COMPUTED_VALUE"""),"63ced84ec5c820531c26996e")</f>
        <v>63ced84ec5c820531c26996e</v>
      </c>
      <c r="B285" s="1" t="str">
        <f>IFERROR(__xludf.DUMMYFUNCTION("""COMPUTED_VALUE"""),"Marcum Technology LLC")</f>
        <v>Marcum Technology LLC</v>
      </c>
      <c r="C285" s="1" t="str">
        <f>IFERROR(__xludf.DUMMYFUNCTION("""COMPUTED_VALUE"""),"brendan.flaherty@al-enterprise.com")</f>
        <v>brendan.flaherty@al-enterprise.com</v>
      </c>
      <c r="D285" s="1" t="str">
        <f>IFERROR(__xludf.DUMMYFUNCTION("""COMPUTED_VALUE"""),"americas")</f>
        <v>americas</v>
      </c>
      <c r="E285" s="1" t="str">
        <f>IFERROR(__xludf.DUMMYFUNCTION("""COMPUTED_VALUE"""),"US")</f>
        <v>US</v>
      </c>
      <c r="F285" s="1"/>
      <c r="G285" s="1" t="str">
        <f>iferror(VLOOKUP(A285,'Business Plan Setup and Accepta'!A:G,6,false),"")</f>
        <v/>
      </c>
      <c r="H285" s="1" t="str">
        <f>iferror(VLOOKUP(A285,'Business Plan Setup and Accepta'!A:G,7,false),"")</f>
        <v/>
      </c>
      <c r="I285" s="17" t="str">
        <f t="shared" si="3"/>
        <v/>
      </c>
      <c r="J285" s="1" t="str">
        <f>IFERROR(VALUE(SUBSTITUTE(VLOOKUP(A285,'Sales IN Revenues vs Sales targ'!A:G,6,false)," $","")), "")
</f>
        <v/>
      </c>
      <c r="K285" s="1" t="str">
        <f>IFERROR(VALUE(SUBSTITUTE(VLOOKUP(A285,'Sales IN Revenues vs Sales targ'!A:G,7,false)," $","")), "")
</f>
        <v/>
      </c>
      <c r="L285" s="17" t="str">
        <f t="shared" si="4"/>
        <v/>
      </c>
      <c r="M285" s="1">
        <f>value(SUBSTITUTE(IFERROR(VLOOKUP(A285,'Certifications achievements vs '!A:G,6,false),""),"#","")
)</f>
        <v>0</v>
      </c>
      <c r="N285" s="1">
        <f>value(SUBSTITUTE(IFERROR(VLOOKUP(A285,'Certifications achievements vs '!A:G,7,false),""),"#","")
)</f>
        <v>0</v>
      </c>
      <c r="O285" s="17" t="str">
        <f t="shared" si="5"/>
        <v/>
      </c>
      <c r="P285" s="1">
        <f>value(SUBSTITUTE(IFERROR(VLOOKUP(A285,'Communications - Solution Speci'!A:G,6,false),""),"#","")
)</f>
        <v>0</v>
      </c>
      <c r="Q285" s="1">
        <f>value(SUBSTITUTE(IFERROR(VLOOKUP(A285,'Communications - Solution Speci'!A:G,7,false),""),"#","")
)</f>
        <v>0</v>
      </c>
      <c r="R285" s="17" t="str">
        <f t="shared" si="6"/>
        <v/>
      </c>
      <c r="S285" s="1">
        <f>value(SUBSTITUTE(IFERROR(VLOOKUP(A285,'Networking - Solution Specializ'!A:G,6,false),""),"#","")
)</f>
        <v>0</v>
      </c>
      <c r="T285" s="1">
        <f>value(SUBSTITUTE(IFERROR(VLOOKUP(A285,'Networking - Solution Specializ'!A:G,7,false),""),"#","")
)</f>
        <v>0</v>
      </c>
      <c r="U285" s="17" t="str">
        <f t="shared" si="7"/>
        <v/>
      </c>
      <c r="V285" s="1" t="str">
        <f>iferror(vlookup(A285,'Marketing Plan (extract summary'!A:G,6,false),"")</f>
        <v/>
      </c>
      <c r="W285" s="1" t="str">
        <f>iferror(vlookup(A285,'Marketing Plan (extract summary'!A:G,7,false),"")</f>
        <v/>
      </c>
      <c r="X285" s="17" t="str">
        <f t="shared" si="8"/>
        <v/>
      </c>
      <c r="Y285" s="1">
        <f>value(IFERROR(SUBSTITUTE(SUBSTITUTE(VLOOKUP(A285,'Quarterly Pipeline vs Target Pi'!A:G,6,false)," $","")," €",""), "")
)</f>
        <v>0</v>
      </c>
      <c r="Z285" s="1">
        <f>value(IFERROR(SUBSTITUTE(SUBSTITUTE(VLOOKUP(A285,'Quarterly Pipeline vs Target Pi'!A:G,7,false)," $","")," €",""), "")
)</f>
        <v>0</v>
      </c>
      <c r="AA285" s="17" t="str">
        <f t="shared" si="9"/>
        <v/>
      </c>
      <c r="AB285" s="1">
        <f>value(IFERROR(SUBSTITUTE(SUBSTITUTE(VLOOKUP($A285,'Quarterly Pipeline vs Target Pi'!$A:$V,11,false)," $","")," €",""), "")
)</f>
        <v>0</v>
      </c>
      <c r="AC285" s="1">
        <f>value(IFERROR(SUBSTITUTE(SUBSTITUTE(VLOOKUP($A285,'Quarterly Pipeline vs Target Pi'!$A:$V,12,false)," $","")," €",""), "")
)</f>
        <v>0</v>
      </c>
      <c r="AD285" s="17" t="str">
        <f t="shared" si="10"/>
        <v/>
      </c>
      <c r="AE285" s="1">
        <f>value(IFERROR(SUBSTITUTE(SUBSTITUTE(VLOOKUP($A285,'Quarterly Pipeline vs Target Pi'!$A:$V,16,false)," $","")," €",""), "")
)</f>
        <v>0</v>
      </c>
      <c r="AF285" s="1">
        <f>value(IFERROR(SUBSTITUTE(SUBSTITUTE(VLOOKUP($A285,'Quarterly Pipeline vs Target Pi'!$A:$V,17,false)," $","")," €",""), "")
)</f>
        <v>0</v>
      </c>
      <c r="AG285" s="17" t="str">
        <f t="shared" si="11"/>
        <v/>
      </c>
      <c r="AH285" s="1">
        <f>value(IFERROR(SUBSTITUTE(SUBSTITUTE(VLOOKUP($A285,'Quarterly Pipeline vs Target Pi'!$A:$V,21,false)," $","")," €",""), "")
)</f>
        <v>0</v>
      </c>
      <c r="AI285" s="1">
        <f>value(IFERROR(SUBSTITUTE(SUBSTITUTE(VLOOKUP($A285,'Quarterly Pipeline vs Target Pi'!$A:$V,22,false)," $","")," €",""), "")
)</f>
        <v>0</v>
      </c>
      <c r="AJ285" s="17" t="str">
        <f t="shared" si="12"/>
        <v/>
      </c>
      <c r="AK285" s="1">
        <f t="shared" ref="AK285:AL285" si="583">sum(Y285,AB285,AE285,AH285)</f>
        <v>0</v>
      </c>
      <c r="AL285" s="1">
        <f t="shared" si="583"/>
        <v>0</v>
      </c>
      <c r="AM285" s="17" t="str">
        <f t="shared" si="14"/>
        <v/>
      </c>
      <c r="AN285" s="1">
        <f>value(IFERROR(SUBSTITUTE(SUBSTITUTE(VLOOKUP($A285,'Quarterly Pipeline vs Target Pi'!$A:$AP,26,false)," $","")," €",""), "")
)</f>
        <v>0</v>
      </c>
      <c r="AO285" s="1">
        <f>value(IFERROR(SUBSTITUTE(SUBSTITUTE(VLOOKUP($A285,'Quarterly Pipeline vs Target Pi'!$A:$AP,27,false)," $","")," €",""), "")
)</f>
        <v>0</v>
      </c>
      <c r="AP285" s="17" t="str">
        <f t="shared" si="15"/>
        <v/>
      </c>
      <c r="AQ285" s="1">
        <f>value(IFERROR(SUBSTITUTE(SUBSTITUTE(VLOOKUP($A285,'Quarterly Pipeline vs Target Pi'!$A:$AP,31,false)," $","")," €",""), "")
)</f>
        <v>0</v>
      </c>
      <c r="AR285" s="1">
        <f>value(IFERROR(SUBSTITUTE(SUBSTITUTE(VLOOKUP($A285,'Quarterly Pipeline vs Target Pi'!$A:$AP,32,false)," $","")," €",""), "")
)</f>
        <v>0</v>
      </c>
      <c r="AS285" s="17" t="str">
        <f t="shared" si="16"/>
        <v/>
      </c>
      <c r="AT285" s="1">
        <f>value(IFERROR(SUBSTITUTE(SUBSTITUTE(VLOOKUP($A285,'Quarterly Pipeline vs Target Pi'!$A:$AP,36,false)," $","")," €",""), "")
)</f>
        <v>0</v>
      </c>
      <c r="AU285" s="1">
        <f>value(IFERROR(SUBSTITUTE(SUBSTITUTE(VLOOKUP($A285,'Quarterly Pipeline vs Target Pi'!$A:$AP,37,false)," $","")," €",""), "")
)</f>
        <v>0</v>
      </c>
      <c r="AV285" s="17" t="str">
        <f t="shared" si="17"/>
        <v/>
      </c>
      <c r="AW285" s="1">
        <f>value(IFERROR(SUBSTITUTE(SUBSTITUTE(VLOOKUP($A285,'Quarterly Pipeline vs Target Pi'!$A:$AP,41,false)," $","")," €",""), "")
)</f>
        <v>0</v>
      </c>
      <c r="AX285" s="1">
        <f>value(IFERROR(SUBSTITUTE(SUBSTITUTE(VLOOKUP($A285,'Quarterly Pipeline vs Target Pi'!$A:$AP,42,false)," $","")," €",""), "")
)</f>
        <v>0</v>
      </c>
      <c r="AY285" s="17" t="str">
        <f t="shared" si="18"/>
        <v/>
      </c>
      <c r="AZ285" s="1">
        <f t="shared" ref="AZ285:BA285" si="584">sum(AN285,AQ285,AT285,AW285)</f>
        <v>0</v>
      </c>
      <c r="BA285" s="1">
        <f t="shared" si="584"/>
        <v>0</v>
      </c>
      <c r="BB285" s="17" t="str">
        <f t="shared" si="20"/>
        <v/>
      </c>
    </row>
    <row r="286">
      <c r="A286" s="1" t="str">
        <f>IFERROR(__xludf.DUMMYFUNCTION("""COMPUTED_VALUE"""),"63ef9d57384f27260c1ba22d")</f>
        <v>63ef9d57384f27260c1ba22d</v>
      </c>
      <c r="B286" s="1" t="str">
        <f>IFERROR(__xludf.DUMMYFUNCTION("""COMPUTED_VALUE"""),"Masscomm Innova, S.L.")</f>
        <v>Masscomm Innova, S.L.</v>
      </c>
      <c r="C286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286" s="1" t="str">
        <f>IFERROR(__xludf.DUMMYFUNCTION("""COMPUTED_VALUE"""),"emea")</f>
        <v>emea</v>
      </c>
      <c r="E286" s="1" t="str">
        <f>IFERROR(__xludf.DUMMYFUNCTION("""COMPUTED_VALUE"""),"ES")</f>
        <v>ES</v>
      </c>
      <c r="F286" s="1" t="str">
        <f>IFERROR(__xludf.DUMMYFUNCTION("""COMPUTED_VALUE"""),"distributor_1000")</f>
        <v>distributor_1000</v>
      </c>
      <c r="G286" s="1">
        <f>iferror(VLOOKUP(A286,'Business Plan Setup and Accepta'!A:G,6,false),"")</f>
        <v>1</v>
      </c>
      <c r="H286" s="1">
        <f>iferror(VLOOKUP(A286,'Business Plan Setup and Accepta'!A:G,7,false),"")</f>
        <v>1</v>
      </c>
      <c r="I286" s="17">
        <f t="shared" si="3"/>
        <v>1</v>
      </c>
      <c r="J286" s="1">
        <f>IFERROR(VALUE(SUBSTITUTE(VLOOKUP(A286,'Sales IN Revenues vs Sales targ'!A:G,6,false)," $","")), "")
</f>
        <v>1353.74</v>
      </c>
      <c r="K286" s="1">
        <f>IFERROR(VALUE(SUBSTITUTE(VLOOKUP(A286,'Sales IN Revenues vs Sales targ'!A:G,7,false)," $","")), "")
</f>
        <v>3600</v>
      </c>
      <c r="L286" s="17">
        <f t="shared" si="4"/>
        <v>0.3760388889</v>
      </c>
      <c r="M286" s="1">
        <f>value(SUBSTITUTE(IFERROR(VLOOKUP(A286,'Certifications achievements vs '!A:G,6,false),""),"#","")
)</f>
        <v>56</v>
      </c>
      <c r="N286" s="1">
        <f>value(SUBSTITUTE(IFERROR(VLOOKUP(A286,'Certifications achievements vs '!A:G,7,false),""),"#","")
)</f>
        <v>58</v>
      </c>
      <c r="O286" s="17">
        <f t="shared" si="5"/>
        <v>0.9655172414</v>
      </c>
      <c r="P286" s="1">
        <f>value(SUBSTITUTE(IFERROR(VLOOKUP(A286,'Communications - Solution Speci'!A:G,6,false),""),"#","")
)</f>
        <v>1</v>
      </c>
      <c r="Q286" s="1">
        <f>value(SUBSTITUTE(IFERROR(VLOOKUP(A286,'Communications - Solution Speci'!A:G,7,false),""),"#","")
)</f>
        <v>1</v>
      </c>
      <c r="R286" s="17">
        <f t="shared" si="6"/>
        <v>1</v>
      </c>
      <c r="S286" s="1">
        <f>value(SUBSTITUTE(IFERROR(VLOOKUP(A286,'Networking - Solution Specializ'!A:G,6,false),""),"#","")
)</f>
        <v>1</v>
      </c>
      <c r="T286" s="1">
        <f>value(SUBSTITUTE(IFERROR(VLOOKUP(A286,'Networking - Solution Specializ'!A:G,7,false),""),"#","")
)</f>
        <v>1</v>
      </c>
      <c r="U286" s="17">
        <f t="shared" si="7"/>
        <v>1</v>
      </c>
      <c r="V286" s="1">
        <f>iferror(vlookup(A286,'Marketing Plan (extract summary'!A:G,6,false),"")</f>
        <v>0</v>
      </c>
      <c r="W286" s="1">
        <f>iferror(vlookup(A286,'Marketing Plan (extract summary'!A:G,7,false),"")</f>
        <v>1</v>
      </c>
      <c r="X286" s="17">
        <f t="shared" si="8"/>
        <v>0</v>
      </c>
      <c r="Y286" s="1">
        <f>value(IFERROR(SUBSTITUTE(SUBSTITUTE(VLOOKUP(A286,'Quarterly Pipeline vs Target Pi'!A:G,6,false)," $","")," €",""), "")
)</f>
        <v>0.71</v>
      </c>
      <c r="Z286" s="1">
        <f>value(IFERROR(SUBSTITUTE(SUBSTITUTE(VLOOKUP(A286,'Quarterly Pipeline vs Target Pi'!A:G,7,false)," $","")," €",""), "")
)</f>
        <v>0</v>
      </c>
      <c r="AA286" s="17" t="str">
        <f t="shared" si="9"/>
        <v/>
      </c>
      <c r="AB286" s="1">
        <f>value(IFERROR(SUBSTITUTE(SUBSTITUTE(VLOOKUP($A286,'Quarterly Pipeline vs Target Pi'!$A:$V,11,false)," $","")," €",""), "")
)</f>
        <v>2.92</v>
      </c>
      <c r="AC286" s="1">
        <f>value(IFERROR(SUBSTITUTE(SUBSTITUTE(VLOOKUP($A286,'Quarterly Pipeline vs Target Pi'!$A:$V,12,false)," $","")," €",""), "")
)</f>
        <v>3015.67</v>
      </c>
      <c r="AD286" s="17">
        <f t="shared" si="10"/>
        <v>0.0009682757066</v>
      </c>
      <c r="AE286" s="1">
        <f>value(IFERROR(SUBSTITUTE(SUBSTITUTE(VLOOKUP($A286,'Quarterly Pipeline vs Target Pi'!$A:$V,16,false)," $","")," €",""), "")
)</f>
        <v>344.17</v>
      </c>
      <c r="AF286" s="1">
        <f>value(IFERROR(SUBSTITUTE(SUBSTITUTE(VLOOKUP($A286,'Quarterly Pipeline vs Target Pi'!$A:$V,17,false)," $","")," €",""), "")
)</f>
        <v>2890</v>
      </c>
      <c r="AG286" s="17">
        <f t="shared" si="11"/>
        <v>0.1190899654</v>
      </c>
      <c r="AH286" s="1">
        <f>value(IFERROR(SUBSTITUTE(SUBSTITUTE(VLOOKUP($A286,'Quarterly Pipeline vs Target Pi'!$A:$V,21,false)," $","")," €",""), "")
)</f>
        <v>1575.66</v>
      </c>
      <c r="AI286" s="1">
        <f>value(IFERROR(SUBSTITUTE(SUBSTITUTE(VLOOKUP($A286,'Quarterly Pipeline vs Target Pi'!$A:$V,22,false)," $","")," €",""), "")
)</f>
        <v>3393.33</v>
      </c>
      <c r="AJ286" s="17">
        <f t="shared" si="12"/>
        <v>0.4643403383</v>
      </c>
      <c r="AK286" s="1">
        <f t="shared" ref="AK286:AL286" si="585">sum(Y286,AB286,AE286,AH286)</f>
        <v>1923.46</v>
      </c>
      <c r="AL286" s="1">
        <f t="shared" si="585"/>
        <v>9299</v>
      </c>
      <c r="AM286" s="17">
        <f t="shared" si="14"/>
        <v>0.2068458974</v>
      </c>
      <c r="AN286" s="1">
        <f>value(IFERROR(SUBSTITUTE(SUBSTITUTE(VLOOKUP($A286,'Quarterly Pipeline vs Target Pi'!$A:$AP,26,false)," $","")," €",""), "")
)</f>
        <v>8.82</v>
      </c>
      <c r="AO286" s="1">
        <f>value(IFERROR(SUBSTITUTE(SUBSTITUTE(VLOOKUP($A286,'Quarterly Pipeline vs Target Pi'!$A:$AP,27,false)," $","")," €",""), "")
)</f>
        <v>0</v>
      </c>
      <c r="AP286" s="17" t="str">
        <f t="shared" si="15"/>
        <v/>
      </c>
      <c r="AQ286" s="1">
        <f>value(IFERROR(SUBSTITUTE(SUBSTITUTE(VLOOKUP($A286,'Quarterly Pipeline vs Target Pi'!$A:$AP,31,false)," $","")," €",""), "")
)</f>
        <v>41.51</v>
      </c>
      <c r="AR286" s="1">
        <f>value(IFERROR(SUBSTITUTE(SUBSTITUTE(VLOOKUP($A286,'Quarterly Pipeline vs Target Pi'!$A:$AP,32,false)," $","")," €",""), "")
)</f>
        <v>0</v>
      </c>
      <c r="AS286" s="17" t="str">
        <f t="shared" si="16"/>
        <v/>
      </c>
      <c r="AT286" s="1">
        <f>value(IFERROR(SUBSTITUTE(SUBSTITUTE(VLOOKUP($A286,'Quarterly Pipeline vs Target Pi'!$A:$AP,36,false)," $","")," €",""), "")
)</f>
        <v>2.29</v>
      </c>
      <c r="AU286" s="1">
        <f>value(IFERROR(SUBSTITUTE(SUBSTITUTE(VLOOKUP($A286,'Quarterly Pipeline vs Target Pi'!$A:$AP,37,false)," $","")," €",""), "")
)</f>
        <v>0</v>
      </c>
      <c r="AV286" s="17" t="str">
        <f t="shared" si="17"/>
        <v/>
      </c>
      <c r="AW286" s="1">
        <f>value(IFERROR(SUBSTITUTE(SUBSTITUTE(VLOOKUP($A286,'Quarterly Pipeline vs Target Pi'!$A:$AP,41,false)," $","")," €",""), "")
)</f>
        <v>33.64</v>
      </c>
      <c r="AX286" s="1">
        <f>value(IFERROR(SUBSTITUTE(SUBSTITUTE(VLOOKUP($A286,'Quarterly Pipeline vs Target Pi'!$A:$AP,42,false)," $","")," €",""), "")
)</f>
        <v>0</v>
      </c>
      <c r="AY286" s="17" t="str">
        <f t="shared" si="18"/>
        <v/>
      </c>
      <c r="AZ286" s="1">
        <f t="shared" ref="AZ286:BA286" si="586">sum(AN286,AQ286,AT286,AW286)</f>
        <v>86.26</v>
      </c>
      <c r="BA286" s="1">
        <f t="shared" si="586"/>
        <v>0</v>
      </c>
      <c r="BB286" s="17" t="str">
        <f t="shared" si="20"/>
        <v/>
      </c>
    </row>
    <row r="287">
      <c r="A287" s="1" t="str">
        <f>IFERROR(__xludf.DUMMYFUNCTION("""COMPUTED_VALUE"""),"65dcd9ba019929778f07c4df")</f>
        <v>65dcd9ba019929778f07c4df</v>
      </c>
      <c r="B287" s="1" t="str">
        <f>IFERROR(__xludf.DUMMYFUNCTION("""COMPUTED_VALUE"""),"Maya Quetzal Comunicaciones,S.A CV")</f>
        <v>Maya Quetzal Comunicaciones,S.A CV</v>
      </c>
      <c r="C287" s="1" t="str">
        <f>IFERROR(__xludf.DUMMYFUNCTION("""COMPUTED_VALUE"""),"philippe.girard@al-enterprise.com, rui.silva@al-enterprise.com, saul.montiel@al-enterprise.com, joaquin.flores@al-enterprise.com")</f>
        <v>philippe.girard@al-enterprise.com, rui.silva@al-enterprise.com, saul.montiel@al-enterprise.com, joaquin.flores@al-enterprise.com</v>
      </c>
      <c r="D287" s="1" t="str">
        <f>IFERROR(__xludf.DUMMYFUNCTION("""COMPUTED_VALUE"""),"americas")</f>
        <v>americas</v>
      </c>
      <c r="E287" s="1" t="str">
        <f>IFERROR(__xludf.DUMMYFUNCTION("""COMPUTED_VALUE"""),"MX")</f>
        <v>MX</v>
      </c>
      <c r="F287" s="1" t="str">
        <f>IFERROR(__xludf.DUMMYFUNCTION("""COMPUTED_VALUE"""),"expert_200")</f>
        <v>expert_200</v>
      </c>
      <c r="G287" s="1">
        <f>iferror(VLOOKUP(A287,'Business Plan Setup and Accepta'!A:G,6,false),"")</f>
        <v>0</v>
      </c>
      <c r="H287" s="1">
        <f>iferror(VLOOKUP(A287,'Business Plan Setup and Accepta'!A:G,7,false),"")</f>
        <v>1</v>
      </c>
      <c r="I287" s="17">
        <f t="shared" si="3"/>
        <v>0</v>
      </c>
      <c r="J287" s="1">
        <f>IFERROR(VALUE(SUBSTITUTE(VLOOKUP(A287,'Sales IN Revenues vs Sales targ'!A:G,6,false)," $","")), "")
</f>
        <v>0</v>
      </c>
      <c r="K287" s="1">
        <f>IFERROR(VALUE(SUBSTITUTE(VLOOKUP(A287,'Sales IN Revenues vs Sales targ'!A:G,7,false)," $","")), "")
</f>
        <v>0</v>
      </c>
      <c r="L287" s="17" t="str">
        <f t="shared" si="4"/>
        <v/>
      </c>
      <c r="M287" s="1">
        <f>value(SUBSTITUTE(IFERROR(VLOOKUP(A287,'Certifications achievements vs '!A:G,6,false),""),"#","")
)</f>
        <v>12</v>
      </c>
      <c r="N287" s="1">
        <f>value(SUBSTITUTE(IFERROR(VLOOKUP(A287,'Certifications achievements vs '!A:G,7,false),""),"#","")
)</f>
        <v>20</v>
      </c>
      <c r="O287" s="17">
        <f t="shared" si="5"/>
        <v>0.6</v>
      </c>
      <c r="P287" s="1">
        <f>value(SUBSTITUTE(IFERROR(VLOOKUP(A287,'Communications - Solution Speci'!A:G,6,false),""),"#","")
)</f>
        <v>0</v>
      </c>
      <c r="Q287" s="1">
        <f>value(SUBSTITUTE(IFERROR(VLOOKUP(A287,'Communications - Solution Speci'!A:G,7,false),""),"#","")
)</f>
        <v>1</v>
      </c>
      <c r="R287" s="17">
        <f t="shared" si="6"/>
        <v>0</v>
      </c>
      <c r="S287" s="1">
        <f>value(SUBSTITUTE(IFERROR(VLOOKUP(A287,'Networking - Solution Specializ'!A:G,6,false),""),"#","")
)</f>
        <v>0</v>
      </c>
      <c r="T287" s="1">
        <f>value(SUBSTITUTE(IFERROR(VLOOKUP(A287,'Networking - Solution Specializ'!A:G,7,false),""),"#","")
)</f>
        <v>1</v>
      </c>
      <c r="U287" s="17">
        <f t="shared" si="7"/>
        <v>0</v>
      </c>
      <c r="V287" s="1">
        <f>iferror(vlookup(A287,'Marketing Plan (extract summary'!A:G,6,false),"")</f>
        <v>0</v>
      </c>
      <c r="W287" s="1">
        <f>iferror(vlookup(A287,'Marketing Plan (extract summary'!A:G,7,false),"")</f>
        <v>1</v>
      </c>
      <c r="X287" s="17">
        <f t="shared" si="8"/>
        <v>0</v>
      </c>
      <c r="Y287" s="1">
        <f>value(IFERROR(SUBSTITUTE(SUBSTITUTE(VLOOKUP(A287,'Quarterly Pipeline vs Target Pi'!A:G,6,false)," $","")," €",""), "")
)</f>
        <v>0</v>
      </c>
      <c r="Z287" s="1">
        <f>value(IFERROR(SUBSTITUTE(SUBSTITUTE(VLOOKUP(A287,'Quarterly Pipeline vs Target Pi'!A:G,7,false)," $","")," €",""), "")
)</f>
        <v>0</v>
      </c>
      <c r="AA287" s="17" t="str">
        <f t="shared" si="9"/>
        <v/>
      </c>
      <c r="AB287" s="1">
        <f>value(IFERROR(SUBSTITUTE(SUBSTITUTE(VLOOKUP($A287,'Quarterly Pipeline vs Target Pi'!$A:$V,11,false)," $","")," €",""), "")
)</f>
        <v>20</v>
      </c>
      <c r="AC287" s="1">
        <f>value(IFERROR(SUBSTITUTE(SUBSTITUTE(VLOOKUP($A287,'Quarterly Pipeline vs Target Pi'!$A:$V,12,false)," $","")," €",""), "")
)</f>
        <v>0</v>
      </c>
      <c r="AD287" s="17" t="str">
        <f t="shared" si="10"/>
        <v/>
      </c>
      <c r="AE287" s="1">
        <f>value(IFERROR(SUBSTITUTE(SUBSTITUTE(VLOOKUP($A287,'Quarterly Pipeline vs Target Pi'!$A:$V,16,false)," $","")," €",""), "")
)</f>
        <v>50</v>
      </c>
      <c r="AF287" s="1">
        <f>value(IFERROR(SUBSTITUTE(SUBSTITUTE(VLOOKUP($A287,'Quarterly Pipeline vs Target Pi'!$A:$V,17,false)," $","")," €",""), "")
)</f>
        <v>0</v>
      </c>
      <c r="AG287" s="17" t="str">
        <f t="shared" si="11"/>
        <v/>
      </c>
      <c r="AH287" s="1">
        <f>value(IFERROR(SUBSTITUTE(SUBSTITUTE(VLOOKUP($A287,'Quarterly Pipeline vs Target Pi'!$A:$V,21,false)," $","")," €",""), "")
)</f>
        <v>379.99</v>
      </c>
      <c r="AI287" s="1">
        <f>value(IFERROR(SUBSTITUTE(SUBSTITUTE(VLOOKUP($A287,'Quarterly Pipeline vs Target Pi'!$A:$V,22,false)," $","")," €",""), "")
)</f>
        <v>0</v>
      </c>
      <c r="AJ287" s="17" t="str">
        <f t="shared" si="12"/>
        <v/>
      </c>
      <c r="AK287" s="1">
        <f t="shared" ref="AK287:AL287" si="587">sum(Y287,AB287,AE287,AH287)</f>
        <v>449.99</v>
      </c>
      <c r="AL287" s="1">
        <f t="shared" si="587"/>
        <v>0</v>
      </c>
      <c r="AM287" s="17" t="str">
        <f t="shared" si="14"/>
        <v/>
      </c>
      <c r="AN287" s="1">
        <f>value(IFERROR(SUBSTITUTE(SUBSTITUTE(VLOOKUP($A287,'Quarterly Pipeline vs Target Pi'!$A:$AP,26,false)," $","")," €",""), "")
)</f>
        <v>0</v>
      </c>
      <c r="AO287" s="1">
        <f>value(IFERROR(SUBSTITUTE(SUBSTITUTE(VLOOKUP($A287,'Quarterly Pipeline vs Target Pi'!$A:$AP,27,false)," $","")," €",""), "")
)</f>
        <v>0</v>
      </c>
      <c r="AP287" s="17" t="str">
        <f t="shared" si="15"/>
        <v/>
      </c>
      <c r="AQ287" s="1">
        <f>value(IFERROR(SUBSTITUTE(SUBSTITUTE(VLOOKUP($A287,'Quarterly Pipeline vs Target Pi'!$A:$AP,31,false)," $","")," €",""), "")
)</f>
        <v>0</v>
      </c>
      <c r="AR287" s="1">
        <f>value(IFERROR(SUBSTITUTE(SUBSTITUTE(VLOOKUP($A287,'Quarterly Pipeline vs Target Pi'!$A:$AP,32,false)," $","")," €",""), "")
)</f>
        <v>0</v>
      </c>
      <c r="AS287" s="17" t="str">
        <f t="shared" si="16"/>
        <v/>
      </c>
      <c r="AT287" s="1">
        <f>value(IFERROR(SUBSTITUTE(SUBSTITUTE(VLOOKUP($A287,'Quarterly Pipeline vs Target Pi'!$A:$AP,36,false)," $","")," €",""), "")
)</f>
        <v>0</v>
      </c>
      <c r="AU287" s="1">
        <f>value(IFERROR(SUBSTITUTE(SUBSTITUTE(VLOOKUP($A287,'Quarterly Pipeline vs Target Pi'!$A:$AP,37,false)," $","")," €",""), "")
)</f>
        <v>0</v>
      </c>
      <c r="AV287" s="17" t="str">
        <f t="shared" si="17"/>
        <v/>
      </c>
      <c r="AW287" s="1">
        <f>value(IFERROR(SUBSTITUTE(SUBSTITUTE(VLOOKUP($A287,'Quarterly Pipeline vs Target Pi'!$A:$AP,41,false)," $","")," €",""), "")
)</f>
        <v>0</v>
      </c>
      <c r="AX287" s="1">
        <f>value(IFERROR(SUBSTITUTE(SUBSTITUTE(VLOOKUP($A287,'Quarterly Pipeline vs Target Pi'!$A:$AP,42,false)," $","")," €",""), "")
)</f>
        <v>0</v>
      </c>
      <c r="AY287" s="17" t="str">
        <f t="shared" si="18"/>
        <v/>
      </c>
      <c r="AZ287" s="1">
        <f t="shared" ref="AZ287:BA287" si="588">sum(AN287,AQ287,AT287,AW287)</f>
        <v>0</v>
      </c>
      <c r="BA287" s="1">
        <f t="shared" si="588"/>
        <v>0</v>
      </c>
      <c r="BB287" s="17" t="str">
        <f t="shared" si="20"/>
        <v/>
      </c>
    </row>
    <row r="288">
      <c r="A288" s="1" t="str">
        <f>IFERROR(__xludf.DUMMYFUNCTION("""COMPUTED_VALUE"""),"63ced84bc5c820531c269374")</f>
        <v>63ced84bc5c820531c269374</v>
      </c>
      <c r="B288" s="1" t="str">
        <f>IFERROR(__xludf.DUMMYFUNCTION("""COMPUTED_VALUE"""),"MAYVA Global Services, S.L.")</f>
        <v>MAYVA Global Services, S.L.</v>
      </c>
      <c r="C288" s="1" t="str">
        <f>IFERROR(__xludf.DUMMYFUNCTION("""COMPUTED_VALUE"""),"jaime.tor@al-enterprise.com, astrid.savorani@al-enterprise.com, rafael.andreo@al-enterprise.com, esther.alonso@al-enterprise.com, marcos.rodriguez@al-enterprise.com")</f>
        <v>jaime.tor@al-enterprise.com, astrid.savorani@al-enterprise.com, rafael.andreo@al-enterprise.com, esther.alonso@al-enterprise.com, marcos.rodriguez@al-enterprise.com</v>
      </c>
      <c r="D288" s="1" t="str">
        <f>IFERROR(__xludf.DUMMYFUNCTION("""COMPUTED_VALUE"""),"emea")</f>
        <v>emea</v>
      </c>
      <c r="E288" s="1" t="str">
        <f>IFERROR(__xludf.DUMMYFUNCTION("""COMPUTED_VALUE"""),"ES")</f>
        <v>ES</v>
      </c>
      <c r="F288" s="1"/>
      <c r="G288" s="1" t="str">
        <f>iferror(VLOOKUP(A288,'Business Plan Setup and Accepta'!A:G,6,false),"")</f>
        <v/>
      </c>
      <c r="H288" s="1" t="str">
        <f>iferror(VLOOKUP(A288,'Business Plan Setup and Accepta'!A:G,7,false),"")</f>
        <v/>
      </c>
      <c r="I288" s="17" t="str">
        <f t="shared" si="3"/>
        <v/>
      </c>
      <c r="J288" s="1" t="str">
        <f>IFERROR(VALUE(SUBSTITUTE(VLOOKUP(A288,'Sales IN Revenues vs Sales targ'!A:G,6,false)," $","")), "")
</f>
        <v/>
      </c>
      <c r="K288" s="1" t="str">
        <f>IFERROR(VALUE(SUBSTITUTE(VLOOKUP(A288,'Sales IN Revenues vs Sales targ'!A:G,7,false)," $","")), "")
</f>
        <v/>
      </c>
      <c r="L288" s="17" t="str">
        <f t="shared" si="4"/>
        <v/>
      </c>
      <c r="M288" s="1">
        <f>value(SUBSTITUTE(IFERROR(VLOOKUP(A288,'Certifications achievements vs '!A:G,6,false),""),"#","")
)</f>
        <v>0</v>
      </c>
      <c r="N288" s="1">
        <f>value(SUBSTITUTE(IFERROR(VLOOKUP(A288,'Certifications achievements vs '!A:G,7,false),""),"#","")
)</f>
        <v>0</v>
      </c>
      <c r="O288" s="17" t="str">
        <f t="shared" si="5"/>
        <v/>
      </c>
      <c r="P288" s="1">
        <f>value(SUBSTITUTE(IFERROR(VLOOKUP(A288,'Communications - Solution Speci'!A:G,6,false),""),"#","")
)</f>
        <v>0</v>
      </c>
      <c r="Q288" s="1">
        <f>value(SUBSTITUTE(IFERROR(VLOOKUP(A288,'Communications - Solution Speci'!A:G,7,false),""),"#","")
)</f>
        <v>0</v>
      </c>
      <c r="R288" s="17" t="str">
        <f t="shared" si="6"/>
        <v/>
      </c>
      <c r="S288" s="1">
        <f>value(SUBSTITUTE(IFERROR(VLOOKUP(A288,'Networking - Solution Specializ'!A:G,6,false),""),"#","")
)</f>
        <v>0</v>
      </c>
      <c r="T288" s="1">
        <f>value(SUBSTITUTE(IFERROR(VLOOKUP(A288,'Networking - Solution Specializ'!A:G,7,false),""),"#","")
)</f>
        <v>0</v>
      </c>
      <c r="U288" s="17" t="str">
        <f t="shared" si="7"/>
        <v/>
      </c>
      <c r="V288" s="1" t="str">
        <f>iferror(vlookup(A288,'Marketing Plan (extract summary'!A:G,6,false),"")</f>
        <v/>
      </c>
      <c r="W288" s="1" t="str">
        <f>iferror(vlookup(A288,'Marketing Plan (extract summary'!A:G,7,false),"")</f>
        <v/>
      </c>
      <c r="X288" s="17" t="str">
        <f t="shared" si="8"/>
        <v/>
      </c>
      <c r="Y288" s="1">
        <f>value(IFERROR(SUBSTITUTE(SUBSTITUTE(VLOOKUP(A288,'Quarterly Pipeline vs Target Pi'!A:G,6,false)," $","")," €",""), "")
)</f>
        <v>0</v>
      </c>
      <c r="Z288" s="1">
        <f>value(IFERROR(SUBSTITUTE(SUBSTITUTE(VLOOKUP(A288,'Quarterly Pipeline vs Target Pi'!A:G,7,false)," $","")," €",""), "")
)</f>
        <v>0</v>
      </c>
      <c r="AA288" s="17" t="str">
        <f t="shared" si="9"/>
        <v/>
      </c>
      <c r="AB288" s="1">
        <f>value(IFERROR(SUBSTITUTE(SUBSTITUTE(VLOOKUP($A288,'Quarterly Pipeline vs Target Pi'!$A:$V,11,false)," $","")," €",""), "")
)</f>
        <v>0</v>
      </c>
      <c r="AC288" s="1">
        <f>value(IFERROR(SUBSTITUTE(SUBSTITUTE(VLOOKUP($A288,'Quarterly Pipeline vs Target Pi'!$A:$V,12,false)," $","")," €",""), "")
)</f>
        <v>0</v>
      </c>
      <c r="AD288" s="17" t="str">
        <f t="shared" si="10"/>
        <v/>
      </c>
      <c r="AE288" s="1">
        <f>value(IFERROR(SUBSTITUTE(SUBSTITUTE(VLOOKUP($A288,'Quarterly Pipeline vs Target Pi'!$A:$V,16,false)," $","")," €",""), "")
)</f>
        <v>0</v>
      </c>
      <c r="AF288" s="1">
        <f>value(IFERROR(SUBSTITUTE(SUBSTITUTE(VLOOKUP($A288,'Quarterly Pipeline vs Target Pi'!$A:$V,17,false)," $","")," €",""), "")
)</f>
        <v>0</v>
      </c>
      <c r="AG288" s="17" t="str">
        <f t="shared" si="11"/>
        <v/>
      </c>
      <c r="AH288" s="1">
        <f>value(IFERROR(SUBSTITUTE(SUBSTITUTE(VLOOKUP($A288,'Quarterly Pipeline vs Target Pi'!$A:$V,21,false)," $","")," €",""), "")
)</f>
        <v>0</v>
      </c>
      <c r="AI288" s="1">
        <f>value(IFERROR(SUBSTITUTE(SUBSTITUTE(VLOOKUP($A288,'Quarterly Pipeline vs Target Pi'!$A:$V,22,false)," $","")," €",""), "")
)</f>
        <v>0</v>
      </c>
      <c r="AJ288" s="17" t="str">
        <f t="shared" si="12"/>
        <v/>
      </c>
      <c r="AK288" s="1">
        <f t="shared" ref="AK288:AL288" si="589">sum(Y288,AB288,AE288,AH288)</f>
        <v>0</v>
      </c>
      <c r="AL288" s="1">
        <f t="shared" si="589"/>
        <v>0</v>
      </c>
      <c r="AM288" s="17" t="str">
        <f t="shared" si="14"/>
        <v/>
      </c>
      <c r="AN288" s="1">
        <f>value(IFERROR(SUBSTITUTE(SUBSTITUTE(VLOOKUP($A288,'Quarterly Pipeline vs Target Pi'!$A:$AP,26,false)," $","")," €",""), "")
)</f>
        <v>0</v>
      </c>
      <c r="AO288" s="1">
        <f>value(IFERROR(SUBSTITUTE(SUBSTITUTE(VLOOKUP($A288,'Quarterly Pipeline vs Target Pi'!$A:$AP,27,false)," $","")," €",""), "")
)</f>
        <v>0</v>
      </c>
      <c r="AP288" s="17" t="str">
        <f t="shared" si="15"/>
        <v/>
      </c>
      <c r="AQ288" s="1">
        <f>value(IFERROR(SUBSTITUTE(SUBSTITUTE(VLOOKUP($A288,'Quarterly Pipeline vs Target Pi'!$A:$AP,31,false)," $","")," €",""), "")
)</f>
        <v>0</v>
      </c>
      <c r="AR288" s="1">
        <f>value(IFERROR(SUBSTITUTE(SUBSTITUTE(VLOOKUP($A288,'Quarterly Pipeline vs Target Pi'!$A:$AP,32,false)," $","")," €",""), "")
)</f>
        <v>0</v>
      </c>
      <c r="AS288" s="17" t="str">
        <f t="shared" si="16"/>
        <v/>
      </c>
      <c r="AT288" s="1">
        <f>value(IFERROR(SUBSTITUTE(SUBSTITUTE(VLOOKUP($A288,'Quarterly Pipeline vs Target Pi'!$A:$AP,36,false)," $","")," €",""), "")
)</f>
        <v>0</v>
      </c>
      <c r="AU288" s="1">
        <f>value(IFERROR(SUBSTITUTE(SUBSTITUTE(VLOOKUP($A288,'Quarterly Pipeline vs Target Pi'!$A:$AP,37,false)," $","")," €",""), "")
)</f>
        <v>0</v>
      </c>
      <c r="AV288" s="17" t="str">
        <f t="shared" si="17"/>
        <v/>
      </c>
      <c r="AW288" s="1">
        <f>value(IFERROR(SUBSTITUTE(SUBSTITUTE(VLOOKUP($A288,'Quarterly Pipeline vs Target Pi'!$A:$AP,41,false)," $","")," €",""), "")
)</f>
        <v>0</v>
      </c>
      <c r="AX288" s="1">
        <f>value(IFERROR(SUBSTITUTE(SUBSTITUTE(VLOOKUP($A288,'Quarterly Pipeline vs Target Pi'!$A:$AP,42,false)," $","")," €",""), "")
)</f>
        <v>0</v>
      </c>
      <c r="AY288" s="17" t="str">
        <f t="shared" si="18"/>
        <v/>
      </c>
      <c r="AZ288" s="1">
        <f t="shared" ref="AZ288:BA288" si="590">sum(AN288,AQ288,AT288,AW288)</f>
        <v>0</v>
      </c>
      <c r="BA288" s="1">
        <f t="shared" si="590"/>
        <v>0</v>
      </c>
      <c r="BB288" s="17" t="str">
        <f t="shared" si="20"/>
        <v/>
      </c>
    </row>
    <row r="289">
      <c r="A289" s="1" t="str">
        <f>IFERROR(__xludf.DUMMYFUNCTION("""COMPUTED_VALUE"""),"67a5dd1c818802cbbf055652")</f>
        <v>67a5dd1c818802cbbf055652</v>
      </c>
      <c r="B289" s="1" t="str">
        <f>IFERROR(__xludf.DUMMYFUNCTION("""COMPUTED_VALUE"""),"MCA | Mobile Communications America HQ")</f>
        <v>MCA | Mobile Communications America HQ</v>
      </c>
      <c r="C289" s="1" t="str">
        <f>IFERROR(__xludf.DUMMYFUNCTION("""COMPUTED_VALUE"""),"luigy.estevanell@al-enterprise.com")</f>
        <v>luigy.estevanell@al-enterprise.com</v>
      </c>
      <c r="D289" s="1" t="str">
        <f>IFERROR(__xludf.DUMMYFUNCTION("""COMPUTED_VALUE"""),"americas")</f>
        <v>americas</v>
      </c>
      <c r="E289" s="1" t="str">
        <f>IFERROR(__xludf.DUMMYFUNCTION("""COMPUTED_VALUE"""),"US")</f>
        <v>US</v>
      </c>
      <c r="F289" s="1" t="str">
        <f>IFERROR(__xludf.DUMMYFUNCTION("""COMPUTED_VALUE"""),"expert_200")</f>
        <v>expert_200</v>
      </c>
      <c r="G289" s="1">
        <f>iferror(VLOOKUP(A289,'Business Plan Setup and Accepta'!A:G,6,false),"")</f>
        <v>0</v>
      </c>
      <c r="H289" s="1">
        <f>iferror(VLOOKUP(A289,'Business Plan Setup and Accepta'!A:G,7,false),"")</f>
        <v>1</v>
      </c>
      <c r="I289" s="17">
        <f t="shared" si="3"/>
        <v>0</v>
      </c>
      <c r="J289" s="1">
        <f>IFERROR(VALUE(SUBSTITUTE(VLOOKUP(A289,'Sales IN Revenues vs Sales targ'!A:G,6,false)," $","")), "")
</f>
        <v>12.47</v>
      </c>
      <c r="K289" s="1">
        <f>IFERROR(VALUE(SUBSTITUTE(VLOOKUP(A289,'Sales IN Revenues vs Sales targ'!A:G,7,false)," $","")), "")
</f>
        <v>107.2</v>
      </c>
      <c r="L289" s="17">
        <f t="shared" si="4"/>
        <v>0.1163246269</v>
      </c>
      <c r="M289" s="1">
        <f>value(SUBSTITUTE(IFERROR(VLOOKUP(A289,'Certifications achievements vs '!A:G,6,false),""),"#","")
)</f>
        <v>0</v>
      </c>
      <c r="N289" s="1">
        <f>value(SUBSTITUTE(IFERROR(VLOOKUP(A289,'Certifications achievements vs '!A:G,7,false),""),"#","")
)</f>
        <v>0</v>
      </c>
      <c r="O289" s="17" t="str">
        <f t="shared" si="5"/>
        <v/>
      </c>
      <c r="P289" s="1">
        <f>value(SUBSTITUTE(IFERROR(VLOOKUP(A289,'Communications - Solution Speci'!A:G,6,false),""),"#","")
)</f>
        <v>0</v>
      </c>
      <c r="Q289" s="1">
        <f>value(SUBSTITUTE(IFERROR(VLOOKUP(A289,'Communications - Solution Speci'!A:G,7,false),""),"#","")
)</f>
        <v>1</v>
      </c>
      <c r="R289" s="17">
        <f t="shared" si="6"/>
        <v>0</v>
      </c>
      <c r="S289" s="1">
        <f>value(SUBSTITUTE(IFERROR(VLOOKUP(A289,'Networking - Solution Specializ'!A:G,6,false),""),"#","")
)</f>
        <v>1</v>
      </c>
      <c r="T289" s="1">
        <f>value(SUBSTITUTE(IFERROR(VLOOKUP(A289,'Networking - Solution Specializ'!A:G,7,false),""),"#","")
)</f>
        <v>1</v>
      </c>
      <c r="U289" s="17">
        <f t="shared" si="7"/>
        <v>1</v>
      </c>
      <c r="V289" s="1">
        <f>iferror(vlookup(A289,'Marketing Plan (extract summary'!A:G,6,false),"")</f>
        <v>0</v>
      </c>
      <c r="W289" s="1">
        <f>iferror(vlookup(A289,'Marketing Plan (extract summary'!A:G,7,false),"")</f>
        <v>1</v>
      </c>
      <c r="X289" s="17">
        <f t="shared" si="8"/>
        <v>0</v>
      </c>
      <c r="Y289" s="1">
        <f>value(IFERROR(SUBSTITUTE(SUBSTITUTE(VLOOKUP(A289,'Quarterly Pipeline vs Target Pi'!A:G,6,false)," $","")," €",""), "")
)</f>
        <v>4.52</v>
      </c>
      <c r="Z289" s="1">
        <f>value(IFERROR(SUBSTITUTE(SUBSTITUTE(VLOOKUP(A289,'Quarterly Pipeline vs Target Pi'!A:G,7,false)," $","")," €",""), "")
)</f>
        <v>0</v>
      </c>
      <c r="AA289" s="17" t="str">
        <f t="shared" si="9"/>
        <v/>
      </c>
      <c r="AB289" s="1">
        <f>value(IFERROR(SUBSTITUTE(SUBSTITUTE(VLOOKUP($A289,'Quarterly Pipeline vs Target Pi'!$A:$V,11,false)," $","")," €",""), "")
)</f>
        <v>19.33</v>
      </c>
      <c r="AC289" s="1">
        <f>value(IFERROR(SUBSTITUTE(SUBSTITUTE(VLOOKUP($A289,'Quarterly Pipeline vs Target Pi'!$A:$V,12,false)," $","")," €",""), "")
)</f>
        <v>71.33</v>
      </c>
      <c r="AD289" s="17">
        <f t="shared" si="10"/>
        <v>0.2709939717</v>
      </c>
      <c r="AE289" s="1">
        <f>value(IFERROR(SUBSTITUTE(SUBSTITUTE(VLOOKUP($A289,'Quarterly Pipeline vs Target Pi'!$A:$V,16,false)," $","")," €",""), "")
)</f>
        <v>60.1</v>
      </c>
      <c r="AF289" s="1">
        <f>value(IFERROR(SUBSTITUTE(SUBSTITUTE(VLOOKUP($A289,'Quarterly Pipeline vs Target Pi'!$A:$V,17,false)," $","")," €",""), "")
)</f>
        <v>107.33</v>
      </c>
      <c r="AG289" s="17">
        <f t="shared" si="11"/>
        <v>0.5599552781</v>
      </c>
      <c r="AH289" s="1">
        <f>value(IFERROR(SUBSTITUTE(SUBSTITUTE(VLOOKUP($A289,'Quarterly Pipeline vs Target Pi'!$A:$V,21,false)," $","")," €",""), "")
)</f>
        <v>244.99</v>
      </c>
      <c r="AI289" s="1">
        <f>value(IFERROR(SUBSTITUTE(SUBSTITUTE(VLOOKUP($A289,'Quarterly Pipeline vs Target Pi'!$A:$V,22,false)," $","")," €",""), "")
)</f>
        <v>107.33</v>
      </c>
      <c r="AJ289" s="17">
        <f t="shared" si="12"/>
        <v>2.282586416</v>
      </c>
      <c r="AK289" s="1">
        <f t="shared" ref="AK289:AL289" si="591">sum(Y289,AB289,AE289,AH289)</f>
        <v>328.94</v>
      </c>
      <c r="AL289" s="1">
        <f t="shared" si="591"/>
        <v>285.99</v>
      </c>
      <c r="AM289" s="17">
        <f t="shared" si="14"/>
        <v>1.150180076</v>
      </c>
      <c r="AN289" s="1">
        <f>value(IFERROR(SUBSTITUTE(SUBSTITUTE(VLOOKUP($A289,'Quarterly Pipeline vs Target Pi'!$A:$AP,26,false)," $","")," €",""), "")
)</f>
        <v>0</v>
      </c>
      <c r="AO289" s="1">
        <f>value(IFERROR(SUBSTITUTE(SUBSTITUTE(VLOOKUP($A289,'Quarterly Pipeline vs Target Pi'!$A:$AP,27,false)," $","")," €",""), "")
)</f>
        <v>0</v>
      </c>
      <c r="AP289" s="17" t="str">
        <f t="shared" si="15"/>
        <v/>
      </c>
      <c r="AQ289" s="1">
        <f>value(IFERROR(SUBSTITUTE(SUBSTITUTE(VLOOKUP($A289,'Quarterly Pipeline vs Target Pi'!$A:$AP,31,false)," $","")," €",""), "")
)</f>
        <v>25</v>
      </c>
      <c r="AR289" s="1">
        <f>value(IFERROR(SUBSTITUTE(SUBSTITUTE(VLOOKUP($A289,'Quarterly Pipeline vs Target Pi'!$A:$AP,32,false)," $","")," €",""), "")
)</f>
        <v>0</v>
      </c>
      <c r="AS289" s="17" t="str">
        <f t="shared" si="16"/>
        <v/>
      </c>
      <c r="AT289" s="1">
        <f>value(IFERROR(SUBSTITUTE(SUBSTITUTE(VLOOKUP($A289,'Quarterly Pipeline vs Target Pi'!$A:$AP,36,false)," $","")," €",""), "")
)</f>
        <v>0</v>
      </c>
      <c r="AU289" s="1">
        <f>value(IFERROR(SUBSTITUTE(SUBSTITUTE(VLOOKUP($A289,'Quarterly Pipeline vs Target Pi'!$A:$AP,37,false)," $","")," €",""), "")
)</f>
        <v>0</v>
      </c>
      <c r="AV289" s="17" t="str">
        <f t="shared" si="17"/>
        <v/>
      </c>
      <c r="AW289" s="1">
        <f>value(IFERROR(SUBSTITUTE(SUBSTITUTE(VLOOKUP($A289,'Quarterly Pipeline vs Target Pi'!$A:$AP,41,false)," $","")," €",""), "")
)</f>
        <v>0</v>
      </c>
      <c r="AX289" s="1">
        <f>value(IFERROR(SUBSTITUTE(SUBSTITUTE(VLOOKUP($A289,'Quarterly Pipeline vs Target Pi'!$A:$AP,42,false)," $","")," €",""), "")
)</f>
        <v>0</v>
      </c>
      <c r="AY289" s="17" t="str">
        <f t="shared" si="18"/>
        <v/>
      </c>
      <c r="AZ289" s="1">
        <f t="shared" ref="AZ289:BA289" si="592">sum(AN289,AQ289,AT289,AW289)</f>
        <v>25</v>
      </c>
      <c r="BA289" s="1">
        <f t="shared" si="592"/>
        <v>0</v>
      </c>
      <c r="BB289" s="17" t="str">
        <f t="shared" si="20"/>
        <v/>
      </c>
    </row>
    <row r="290">
      <c r="A290" s="1" t="str">
        <f>IFERROR(__xludf.DUMMYFUNCTION("""COMPUTED_VALUE"""),"678e728878e2544f92063cd2")</f>
        <v>678e728878e2544f92063cd2</v>
      </c>
      <c r="B290" s="1" t="str">
        <f>IFERROR(__xludf.DUMMYFUNCTION("""COMPUTED_VALUE"""),"MD Informatique Inc")</f>
        <v>MD Informatique Inc</v>
      </c>
      <c r="C290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290" s="1" t="str">
        <f>IFERROR(__xludf.DUMMYFUNCTION("""COMPUTED_VALUE"""),"americas")</f>
        <v>americas</v>
      </c>
      <c r="E290" s="1" t="str">
        <f>IFERROR(__xludf.DUMMYFUNCTION("""COMPUTED_VALUE"""),"CA")</f>
        <v>CA</v>
      </c>
      <c r="F290" s="1" t="str">
        <f>IFERROR(__xludf.DUMMYFUNCTION("""COMPUTED_VALUE"""),"expert_200")</f>
        <v>expert_200</v>
      </c>
      <c r="G290" s="1">
        <f>iferror(VLOOKUP(A290,'Business Plan Setup and Accepta'!A:G,6,false),"")</f>
        <v>1</v>
      </c>
      <c r="H290" s="1">
        <f>iferror(VLOOKUP(A290,'Business Plan Setup and Accepta'!A:G,7,false),"")</f>
        <v>1</v>
      </c>
      <c r="I290" s="17">
        <f t="shared" si="3"/>
        <v>1</v>
      </c>
      <c r="J290" s="1">
        <f>IFERROR(VALUE(SUBSTITUTE(VLOOKUP(A290,'Sales IN Revenues vs Sales targ'!A:G,6,false)," $","")), "")
</f>
        <v>0</v>
      </c>
      <c r="K290" s="1">
        <f>IFERROR(VALUE(SUBSTITUTE(VLOOKUP(A290,'Sales IN Revenues vs Sales targ'!A:G,7,false)," $","")), "")
</f>
        <v>100</v>
      </c>
      <c r="L290" s="17">
        <f t="shared" si="4"/>
        <v>0</v>
      </c>
      <c r="M290" s="1">
        <f>value(SUBSTITUTE(IFERROR(VLOOKUP(A290,'Certifications achievements vs '!A:G,6,false),""),"#","")
)</f>
        <v>0</v>
      </c>
      <c r="N290" s="1">
        <f>value(SUBSTITUTE(IFERROR(VLOOKUP(A290,'Certifications achievements vs '!A:G,7,false),""),"#","")
)</f>
        <v>0</v>
      </c>
      <c r="O290" s="17" t="str">
        <f t="shared" si="5"/>
        <v/>
      </c>
      <c r="P290" s="1">
        <f>value(SUBSTITUTE(IFERROR(VLOOKUP(A290,'Communications - Solution Speci'!A:G,6,false),""),"#","")
)</f>
        <v>0</v>
      </c>
      <c r="Q290" s="1">
        <f>value(SUBSTITUTE(IFERROR(VLOOKUP(A290,'Communications - Solution Speci'!A:G,7,false),""),"#","")
)</f>
        <v>1</v>
      </c>
      <c r="R290" s="17">
        <f t="shared" si="6"/>
        <v>0</v>
      </c>
      <c r="S290" s="1">
        <f>value(SUBSTITUTE(IFERROR(VLOOKUP(A290,'Networking - Solution Specializ'!A:G,6,false),""),"#","")
)</f>
        <v>0</v>
      </c>
      <c r="T290" s="1">
        <f>value(SUBSTITUTE(IFERROR(VLOOKUP(A290,'Networking - Solution Specializ'!A:G,7,false),""),"#","")
)</f>
        <v>1</v>
      </c>
      <c r="U290" s="17">
        <f t="shared" si="7"/>
        <v>0</v>
      </c>
      <c r="V290" s="1">
        <f>iferror(vlookup(A290,'Marketing Plan (extract summary'!A:G,6,false),"")</f>
        <v>0</v>
      </c>
      <c r="W290" s="1">
        <f>iferror(vlookup(A290,'Marketing Plan (extract summary'!A:G,7,false),"")</f>
        <v>1</v>
      </c>
      <c r="X290" s="17">
        <f t="shared" si="8"/>
        <v>0</v>
      </c>
      <c r="Y290" s="1">
        <f>value(IFERROR(SUBSTITUTE(SUBSTITUTE(VLOOKUP(A290,'Quarterly Pipeline vs Target Pi'!A:G,6,false)," $","")," €",""), "")
)</f>
        <v>370.7</v>
      </c>
      <c r="Z290" s="1">
        <f>value(IFERROR(SUBSTITUTE(SUBSTITUTE(VLOOKUP(A290,'Quarterly Pipeline vs Target Pi'!A:G,7,false)," $","")," €",""), "")
)</f>
        <v>0</v>
      </c>
      <c r="AA290" s="17" t="str">
        <f t="shared" si="9"/>
        <v/>
      </c>
      <c r="AB290" s="1">
        <f>value(IFERROR(SUBSTITUTE(SUBSTITUTE(VLOOKUP($A290,'Quarterly Pipeline vs Target Pi'!$A:$V,11,false)," $","")," €",""), "")
)</f>
        <v>5.57</v>
      </c>
      <c r="AC290" s="1">
        <f>value(IFERROR(SUBSTITUTE(SUBSTITUTE(VLOOKUP($A290,'Quarterly Pipeline vs Target Pi'!$A:$V,12,false)," $","")," €",""), "")
)</f>
        <v>116.64</v>
      </c>
      <c r="AD290" s="17">
        <f t="shared" si="10"/>
        <v>0.04775377229</v>
      </c>
      <c r="AE290" s="1">
        <f>value(IFERROR(SUBSTITUTE(SUBSTITUTE(VLOOKUP($A290,'Quarterly Pipeline vs Target Pi'!$A:$V,16,false)," $","")," €",""), "")
)</f>
        <v>370.7</v>
      </c>
      <c r="AF290" s="1">
        <f>value(IFERROR(SUBSTITUTE(SUBSTITUTE(VLOOKUP($A290,'Quarterly Pipeline vs Target Pi'!$A:$V,17,false)," $","")," €",""), "")
)</f>
        <v>116.64</v>
      </c>
      <c r="AG290" s="17">
        <f t="shared" si="11"/>
        <v>3.178155007</v>
      </c>
      <c r="AH290" s="1">
        <f>value(IFERROR(SUBSTITUTE(SUBSTITUTE(VLOOKUP($A290,'Quarterly Pipeline vs Target Pi'!$A:$V,21,false)," $","")," €",""), "")
)</f>
        <v>0</v>
      </c>
      <c r="AI290" s="1">
        <f>value(IFERROR(SUBSTITUTE(SUBSTITUTE(VLOOKUP($A290,'Quarterly Pipeline vs Target Pi'!$A:$V,22,false)," $","")," €",""), "")
)</f>
        <v>83.34</v>
      </c>
      <c r="AJ290" s="17">
        <f t="shared" si="12"/>
        <v>0</v>
      </c>
      <c r="AK290" s="1">
        <f t="shared" ref="AK290:AL290" si="593">sum(Y290,AB290,AE290,AH290)</f>
        <v>746.97</v>
      </c>
      <c r="AL290" s="1">
        <f t="shared" si="593"/>
        <v>316.62</v>
      </c>
      <c r="AM290" s="17">
        <f t="shared" si="14"/>
        <v>2.359200303</v>
      </c>
      <c r="AN290" s="1">
        <f>value(IFERROR(SUBSTITUTE(SUBSTITUTE(VLOOKUP($A290,'Quarterly Pipeline vs Target Pi'!$A:$AP,26,false)," $","")," €",""), "")
)</f>
        <v>0</v>
      </c>
      <c r="AO290" s="1">
        <f>value(IFERROR(SUBSTITUTE(SUBSTITUTE(VLOOKUP($A290,'Quarterly Pipeline vs Target Pi'!$A:$AP,27,false)," $","")," €",""), "")
)</f>
        <v>0</v>
      </c>
      <c r="AP290" s="17" t="str">
        <f t="shared" si="15"/>
        <v/>
      </c>
      <c r="AQ290" s="1">
        <f>value(IFERROR(SUBSTITUTE(SUBSTITUTE(VLOOKUP($A290,'Quarterly Pipeline vs Target Pi'!$A:$AP,31,false)," $","")," €",""), "")
)</f>
        <v>0</v>
      </c>
      <c r="AR290" s="1">
        <f>value(IFERROR(SUBSTITUTE(SUBSTITUTE(VLOOKUP($A290,'Quarterly Pipeline vs Target Pi'!$A:$AP,32,false)," $","")," €",""), "")
)</f>
        <v>0</v>
      </c>
      <c r="AS290" s="17" t="str">
        <f t="shared" si="16"/>
        <v/>
      </c>
      <c r="AT290" s="1">
        <f>value(IFERROR(SUBSTITUTE(SUBSTITUTE(VLOOKUP($A290,'Quarterly Pipeline vs Target Pi'!$A:$AP,36,false)," $","")," €",""), "")
)</f>
        <v>0</v>
      </c>
      <c r="AU290" s="1">
        <f>value(IFERROR(SUBSTITUTE(SUBSTITUTE(VLOOKUP($A290,'Quarterly Pipeline vs Target Pi'!$A:$AP,37,false)," $","")," €",""), "")
)</f>
        <v>0</v>
      </c>
      <c r="AV290" s="17" t="str">
        <f t="shared" si="17"/>
        <v/>
      </c>
      <c r="AW290" s="1">
        <f>value(IFERROR(SUBSTITUTE(SUBSTITUTE(VLOOKUP($A290,'Quarterly Pipeline vs Target Pi'!$A:$AP,41,false)," $","")," €",""), "")
)</f>
        <v>0</v>
      </c>
      <c r="AX290" s="1">
        <f>value(IFERROR(SUBSTITUTE(SUBSTITUTE(VLOOKUP($A290,'Quarterly Pipeline vs Target Pi'!$A:$AP,42,false)," $","")," €",""), "")
)</f>
        <v>0</v>
      </c>
      <c r="AY290" s="17" t="str">
        <f t="shared" si="18"/>
        <v/>
      </c>
      <c r="AZ290" s="1">
        <f t="shared" ref="AZ290:BA290" si="594">sum(AN290,AQ290,AT290,AW290)</f>
        <v>0</v>
      </c>
      <c r="BA290" s="1">
        <f t="shared" si="594"/>
        <v>0</v>
      </c>
      <c r="BB290" s="17" t="str">
        <f t="shared" si="20"/>
        <v/>
      </c>
    </row>
    <row r="291">
      <c r="A291" s="1" t="str">
        <f>IFERROR(__xludf.DUMMYFUNCTION("""COMPUTED_VALUE"""),"63ef9d5d384f27260c1bacc9")</f>
        <v>63ef9d5d384f27260c1bacc9</v>
      </c>
      <c r="B291" s="1" t="str">
        <f>IFERROR(__xludf.DUMMYFUNCTION("""COMPUTED_VALUE"""),"MDTEL")</f>
        <v>MDTEL</v>
      </c>
      <c r="C291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291" s="1" t="str">
        <f>IFERROR(__xludf.DUMMYFUNCTION("""COMPUTED_VALUE"""),"emea")</f>
        <v>emea</v>
      </c>
      <c r="E291" s="1" t="str">
        <f>IFERROR(__xludf.DUMMYFUNCTION("""COMPUTED_VALUE"""),"ES")</f>
        <v>ES</v>
      </c>
      <c r="F291" s="1"/>
      <c r="G291" s="1">
        <f>iferror(VLOOKUP(A291,'Business Plan Setup and Accepta'!A:G,6,false),"")</f>
        <v>1</v>
      </c>
      <c r="H291" s="1">
        <f>iferror(VLOOKUP(A291,'Business Plan Setup and Accepta'!A:G,7,false),"")</f>
        <v>1</v>
      </c>
      <c r="I291" s="17">
        <f t="shared" si="3"/>
        <v>1</v>
      </c>
      <c r="J291" s="1">
        <f>IFERROR(VALUE(SUBSTITUTE(VLOOKUP(A291,'Sales IN Revenues vs Sales targ'!A:G,6,false)," $","")), "")
</f>
        <v>15.23</v>
      </c>
      <c r="K291" s="1">
        <f>IFERROR(VALUE(SUBSTITUTE(VLOOKUP(A291,'Sales IN Revenues vs Sales targ'!A:G,7,false)," $","")), "")
</f>
        <v>200</v>
      </c>
      <c r="L291" s="17">
        <f t="shared" si="4"/>
        <v>0.07615</v>
      </c>
      <c r="M291" s="1">
        <f>value(SUBSTITUTE(IFERROR(VLOOKUP(A291,'Certifications achievements vs '!A:G,6,false),""),"#","")
)</f>
        <v>11</v>
      </c>
      <c r="N291" s="1">
        <f>value(SUBSTITUTE(IFERROR(VLOOKUP(A291,'Certifications achievements vs '!A:G,7,false),""),"#","")
)</f>
        <v>52</v>
      </c>
      <c r="O291" s="17">
        <f t="shared" si="5"/>
        <v>0.2115384615</v>
      </c>
      <c r="P291" s="1">
        <f>value(SUBSTITUTE(IFERROR(VLOOKUP(A291,'Communications - Solution Speci'!A:G,6,false),""),"#","")
)</f>
        <v>0</v>
      </c>
      <c r="Q291" s="1">
        <f>value(SUBSTITUTE(IFERROR(VLOOKUP(A291,'Communications - Solution Speci'!A:G,7,false),""),"#","")
)</f>
        <v>1</v>
      </c>
      <c r="R291" s="17">
        <f t="shared" si="6"/>
        <v>0</v>
      </c>
      <c r="S291" s="1">
        <f>value(SUBSTITUTE(IFERROR(VLOOKUP(A291,'Networking - Solution Specializ'!A:G,6,false),""),"#","")
)</f>
        <v>1</v>
      </c>
      <c r="T291" s="1">
        <f>value(SUBSTITUTE(IFERROR(VLOOKUP(A291,'Networking - Solution Specializ'!A:G,7,false),""),"#","")
)</f>
        <v>1</v>
      </c>
      <c r="U291" s="17">
        <f t="shared" si="7"/>
        <v>1</v>
      </c>
      <c r="V291" s="1">
        <f>iferror(vlookup(A291,'Marketing Plan (extract summary'!A:G,6,false),"")</f>
        <v>0</v>
      </c>
      <c r="W291" s="1">
        <f>iferror(vlookup(A291,'Marketing Plan (extract summary'!A:G,7,false),"")</f>
        <v>1</v>
      </c>
      <c r="X291" s="17">
        <f t="shared" si="8"/>
        <v>0</v>
      </c>
      <c r="Y291" s="1">
        <f>value(IFERROR(SUBSTITUTE(SUBSTITUTE(VLOOKUP(A291,'Quarterly Pipeline vs Target Pi'!A:G,6,false)," $","")," €",""), "")
)</f>
        <v>0</v>
      </c>
      <c r="Z291" s="1">
        <f>value(IFERROR(SUBSTITUTE(SUBSTITUTE(VLOOKUP(A291,'Quarterly Pipeline vs Target Pi'!A:G,7,false)," $","")," €",""), "")
)</f>
        <v>0</v>
      </c>
      <c r="AA291" s="17" t="str">
        <f t="shared" si="9"/>
        <v/>
      </c>
      <c r="AB291" s="1">
        <f>value(IFERROR(SUBSTITUTE(SUBSTITUTE(VLOOKUP($A291,'Quarterly Pipeline vs Target Pi'!$A:$V,11,false)," $","")," €",""), "")
)</f>
        <v>11.7</v>
      </c>
      <c r="AC291" s="1">
        <f>value(IFERROR(SUBSTITUTE(SUBSTITUTE(VLOOKUP($A291,'Quarterly Pipeline vs Target Pi'!$A:$V,12,false)," $","")," €",""), "")
)</f>
        <v>0</v>
      </c>
      <c r="AD291" s="17" t="str">
        <f t="shared" si="10"/>
        <v/>
      </c>
      <c r="AE291" s="1">
        <f>value(IFERROR(SUBSTITUTE(SUBSTITUTE(VLOOKUP($A291,'Quarterly Pipeline vs Target Pi'!$A:$V,16,false)," $","")," €",""), "")
)</f>
        <v>11.3</v>
      </c>
      <c r="AF291" s="1">
        <f>value(IFERROR(SUBSTITUTE(SUBSTITUTE(VLOOKUP($A291,'Quarterly Pipeline vs Target Pi'!$A:$V,17,false)," $","")," €",""), "")
)</f>
        <v>166.67</v>
      </c>
      <c r="AG291" s="17">
        <f t="shared" si="11"/>
        <v>0.06779864403</v>
      </c>
      <c r="AH291" s="1">
        <f>value(IFERROR(SUBSTITUTE(SUBSTITUTE(VLOOKUP($A291,'Quarterly Pipeline vs Target Pi'!$A:$V,21,false)," $","")," €",""), "")
)</f>
        <v>45</v>
      </c>
      <c r="AI291" s="1">
        <f>value(IFERROR(SUBSTITUTE(SUBSTITUTE(VLOOKUP($A291,'Quarterly Pipeline vs Target Pi'!$A:$V,22,false)," $","")," €",""), "")
)</f>
        <v>166.67</v>
      </c>
      <c r="AJ291" s="17">
        <f t="shared" si="12"/>
        <v>0.2699946001</v>
      </c>
      <c r="AK291" s="1">
        <f t="shared" ref="AK291:AL291" si="595">sum(Y291,AB291,AE291,AH291)</f>
        <v>68</v>
      </c>
      <c r="AL291" s="1">
        <f t="shared" si="595"/>
        <v>333.34</v>
      </c>
      <c r="AM291" s="17">
        <f t="shared" si="14"/>
        <v>0.2039959201</v>
      </c>
      <c r="AN291" s="1">
        <f>value(IFERROR(SUBSTITUTE(SUBSTITUTE(VLOOKUP($A291,'Quarterly Pipeline vs Target Pi'!$A:$AP,26,false)," $","")," €",""), "")
)</f>
        <v>0</v>
      </c>
      <c r="AO291" s="1">
        <f>value(IFERROR(SUBSTITUTE(SUBSTITUTE(VLOOKUP($A291,'Quarterly Pipeline vs Target Pi'!$A:$AP,27,false)," $","")," €",""), "")
)</f>
        <v>0</v>
      </c>
      <c r="AP291" s="17" t="str">
        <f t="shared" si="15"/>
        <v/>
      </c>
      <c r="AQ291" s="1">
        <f>value(IFERROR(SUBSTITUTE(SUBSTITUTE(VLOOKUP($A291,'Quarterly Pipeline vs Target Pi'!$A:$AP,31,false)," $","")," €",""), "")
)</f>
        <v>0</v>
      </c>
      <c r="AR291" s="1">
        <f>value(IFERROR(SUBSTITUTE(SUBSTITUTE(VLOOKUP($A291,'Quarterly Pipeline vs Target Pi'!$A:$AP,32,false)," $","")," €",""), "")
)</f>
        <v>0</v>
      </c>
      <c r="AS291" s="17" t="str">
        <f t="shared" si="16"/>
        <v/>
      </c>
      <c r="AT291" s="1">
        <f>value(IFERROR(SUBSTITUTE(SUBSTITUTE(VLOOKUP($A291,'Quarterly Pipeline vs Target Pi'!$A:$AP,36,false)," $","")," €",""), "")
)</f>
        <v>0</v>
      </c>
      <c r="AU291" s="1">
        <f>value(IFERROR(SUBSTITUTE(SUBSTITUTE(VLOOKUP($A291,'Quarterly Pipeline vs Target Pi'!$A:$AP,37,false)," $","")," €",""), "")
)</f>
        <v>0</v>
      </c>
      <c r="AV291" s="17" t="str">
        <f t="shared" si="17"/>
        <v/>
      </c>
      <c r="AW291" s="1">
        <f>value(IFERROR(SUBSTITUTE(SUBSTITUTE(VLOOKUP($A291,'Quarterly Pipeline vs Target Pi'!$A:$AP,41,false)," $","")," €",""), "")
)</f>
        <v>300</v>
      </c>
      <c r="AX291" s="1">
        <f>value(IFERROR(SUBSTITUTE(SUBSTITUTE(VLOOKUP($A291,'Quarterly Pipeline vs Target Pi'!$A:$AP,42,false)," $","")," €",""), "")
)</f>
        <v>0</v>
      </c>
      <c r="AY291" s="17" t="str">
        <f t="shared" si="18"/>
        <v/>
      </c>
      <c r="AZ291" s="1">
        <f t="shared" ref="AZ291:BA291" si="596">sum(AN291,AQ291,AT291,AW291)</f>
        <v>300</v>
      </c>
      <c r="BA291" s="1">
        <f t="shared" si="596"/>
        <v>0</v>
      </c>
      <c r="BB291" s="17" t="str">
        <f t="shared" si="20"/>
        <v/>
      </c>
    </row>
    <row r="292">
      <c r="A292" s="1" t="str">
        <f>IFERROR(__xludf.DUMMYFUNCTION("""COMPUTED_VALUE"""),"63fcbb86a107c871cf565701")</f>
        <v>63fcbb86a107c871cf565701</v>
      </c>
      <c r="B292" s="1" t="str">
        <f>IFERROR(__xludf.DUMMYFUNCTION("""COMPUTED_VALUE"""),"Medip Health S.L.")</f>
        <v>Medip Health S.L.</v>
      </c>
      <c r="C292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292" s="1" t="str">
        <f>IFERROR(__xludf.DUMMYFUNCTION("""COMPUTED_VALUE"""),"emea")</f>
        <v>emea</v>
      </c>
      <c r="E292" s="1" t="str">
        <f>IFERROR(__xludf.DUMMYFUNCTION("""COMPUTED_VALUE"""),"ES")</f>
        <v>ES</v>
      </c>
      <c r="F292" s="1"/>
      <c r="G292" s="1" t="str">
        <f>iferror(VLOOKUP(A292,'Business Plan Setup and Accepta'!A:G,6,false),"")</f>
        <v/>
      </c>
      <c r="H292" s="1" t="str">
        <f>iferror(VLOOKUP(A292,'Business Plan Setup and Accepta'!A:G,7,false),"")</f>
        <v/>
      </c>
      <c r="I292" s="17" t="str">
        <f t="shared" si="3"/>
        <v/>
      </c>
      <c r="J292" s="1" t="str">
        <f>IFERROR(VALUE(SUBSTITUTE(VLOOKUP(A292,'Sales IN Revenues vs Sales targ'!A:G,6,false)," $","")), "")
</f>
        <v/>
      </c>
      <c r="K292" s="1" t="str">
        <f>IFERROR(VALUE(SUBSTITUTE(VLOOKUP(A292,'Sales IN Revenues vs Sales targ'!A:G,7,false)," $","")), "")
</f>
        <v/>
      </c>
      <c r="L292" s="17" t="str">
        <f t="shared" si="4"/>
        <v/>
      </c>
      <c r="M292" s="1">
        <f>value(SUBSTITUTE(IFERROR(VLOOKUP(A292,'Certifications achievements vs '!A:G,6,false),""),"#","")
)</f>
        <v>0</v>
      </c>
      <c r="N292" s="1">
        <f>value(SUBSTITUTE(IFERROR(VLOOKUP(A292,'Certifications achievements vs '!A:G,7,false),""),"#","")
)</f>
        <v>0</v>
      </c>
      <c r="O292" s="17" t="str">
        <f t="shared" si="5"/>
        <v/>
      </c>
      <c r="P292" s="1">
        <f>value(SUBSTITUTE(IFERROR(VLOOKUP(A292,'Communications - Solution Speci'!A:G,6,false),""),"#","")
)</f>
        <v>0</v>
      </c>
      <c r="Q292" s="1">
        <f>value(SUBSTITUTE(IFERROR(VLOOKUP(A292,'Communications - Solution Speci'!A:G,7,false),""),"#","")
)</f>
        <v>0</v>
      </c>
      <c r="R292" s="17" t="str">
        <f t="shared" si="6"/>
        <v/>
      </c>
      <c r="S292" s="1">
        <f>value(SUBSTITUTE(IFERROR(VLOOKUP(A292,'Networking - Solution Specializ'!A:G,6,false),""),"#","")
)</f>
        <v>0</v>
      </c>
      <c r="T292" s="1">
        <f>value(SUBSTITUTE(IFERROR(VLOOKUP(A292,'Networking - Solution Specializ'!A:G,7,false),""),"#","")
)</f>
        <v>0</v>
      </c>
      <c r="U292" s="17" t="str">
        <f t="shared" si="7"/>
        <v/>
      </c>
      <c r="V292" s="1" t="str">
        <f>iferror(vlookup(A292,'Marketing Plan (extract summary'!A:G,6,false),"")</f>
        <v/>
      </c>
      <c r="W292" s="1" t="str">
        <f>iferror(vlookup(A292,'Marketing Plan (extract summary'!A:G,7,false),"")</f>
        <v/>
      </c>
      <c r="X292" s="17" t="str">
        <f t="shared" si="8"/>
        <v/>
      </c>
      <c r="Y292" s="1">
        <f>value(IFERROR(SUBSTITUTE(SUBSTITUTE(VLOOKUP(A292,'Quarterly Pipeline vs Target Pi'!A:G,6,false)," $","")," €",""), "")
)</f>
        <v>0</v>
      </c>
      <c r="Z292" s="1">
        <f>value(IFERROR(SUBSTITUTE(SUBSTITUTE(VLOOKUP(A292,'Quarterly Pipeline vs Target Pi'!A:G,7,false)," $","")," €",""), "")
)</f>
        <v>0</v>
      </c>
      <c r="AA292" s="17" t="str">
        <f t="shared" si="9"/>
        <v/>
      </c>
      <c r="AB292" s="1">
        <f>value(IFERROR(SUBSTITUTE(SUBSTITUTE(VLOOKUP($A292,'Quarterly Pipeline vs Target Pi'!$A:$V,11,false)," $","")," €",""), "")
)</f>
        <v>0</v>
      </c>
      <c r="AC292" s="1">
        <f>value(IFERROR(SUBSTITUTE(SUBSTITUTE(VLOOKUP($A292,'Quarterly Pipeline vs Target Pi'!$A:$V,12,false)," $","")," €",""), "")
)</f>
        <v>0</v>
      </c>
      <c r="AD292" s="17" t="str">
        <f t="shared" si="10"/>
        <v/>
      </c>
      <c r="AE292" s="1">
        <f>value(IFERROR(SUBSTITUTE(SUBSTITUTE(VLOOKUP($A292,'Quarterly Pipeline vs Target Pi'!$A:$V,16,false)," $","")," €",""), "")
)</f>
        <v>0</v>
      </c>
      <c r="AF292" s="1">
        <f>value(IFERROR(SUBSTITUTE(SUBSTITUTE(VLOOKUP($A292,'Quarterly Pipeline vs Target Pi'!$A:$V,17,false)," $","")," €",""), "")
)</f>
        <v>0</v>
      </c>
      <c r="AG292" s="17" t="str">
        <f t="shared" si="11"/>
        <v/>
      </c>
      <c r="AH292" s="1">
        <f>value(IFERROR(SUBSTITUTE(SUBSTITUTE(VLOOKUP($A292,'Quarterly Pipeline vs Target Pi'!$A:$V,21,false)," $","")," €",""), "")
)</f>
        <v>0</v>
      </c>
      <c r="AI292" s="1">
        <f>value(IFERROR(SUBSTITUTE(SUBSTITUTE(VLOOKUP($A292,'Quarterly Pipeline vs Target Pi'!$A:$V,22,false)," $","")," €",""), "")
)</f>
        <v>0</v>
      </c>
      <c r="AJ292" s="17" t="str">
        <f t="shared" si="12"/>
        <v/>
      </c>
      <c r="AK292" s="1">
        <f t="shared" ref="AK292:AL292" si="597">sum(Y292,AB292,AE292,AH292)</f>
        <v>0</v>
      </c>
      <c r="AL292" s="1">
        <f t="shared" si="597"/>
        <v>0</v>
      </c>
      <c r="AM292" s="17" t="str">
        <f t="shared" si="14"/>
        <v/>
      </c>
      <c r="AN292" s="1">
        <f>value(IFERROR(SUBSTITUTE(SUBSTITUTE(VLOOKUP($A292,'Quarterly Pipeline vs Target Pi'!$A:$AP,26,false)," $","")," €",""), "")
)</f>
        <v>0</v>
      </c>
      <c r="AO292" s="1">
        <f>value(IFERROR(SUBSTITUTE(SUBSTITUTE(VLOOKUP($A292,'Quarterly Pipeline vs Target Pi'!$A:$AP,27,false)," $","")," €",""), "")
)</f>
        <v>0</v>
      </c>
      <c r="AP292" s="17" t="str">
        <f t="shared" si="15"/>
        <v/>
      </c>
      <c r="AQ292" s="1">
        <f>value(IFERROR(SUBSTITUTE(SUBSTITUTE(VLOOKUP($A292,'Quarterly Pipeline vs Target Pi'!$A:$AP,31,false)," $","")," €",""), "")
)</f>
        <v>0</v>
      </c>
      <c r="AR292" s="1">
        <f>value(IFERROR(SUBSTITUTE(SUBSTITUTE(VLOOKUP($A292,'Quarterly Pipeline vs Target Pi'!$A:$AP,32,false)," $","")," €",""), "")
)</f>
        <v>0</v>
      </c>
      <c r="AS292" s="17" t="str">
        <f t="shared" si="16"/>
        <v/>
      </c>
      <c r="AT292" s="1">
        <f>value(IFERROR(SUBSTITUTE(SUBSTITUTE(VLOOKUP($A292,'Quarterly Pipeline vs Target Pi'!$A:$AP,36,false)," $","")," €",""), "")
)</f>
        <v>0</v>
      </c>
      <c r="AU292" s="1">
        <f>value(IFERROR(SUBSTITUTE(SUBSTITUTE(VLOOKUP($A292,'Quarterly Pipeline vs Target Pi'!$A:$AP,37,false)," $","")," €",""), "")
)</f>
        <v>0</v>
      </c>
      <c r="AV292" s="17" t="str">
        <f t="shared" si="17"/>
        <v/>
      </c>
      <c r="AW292" s="1">
        <f>value(IFERROR(SUBSTITUTE(SUBSTITUTE(VLOOKUP($A292,'Quarterly Pipeline vs Target Pi'!$A:$AP,41,false)," $","")," €",""), "")
)</f>
        <v>0</v>
      </c>
      <c r="AX292" s="1">
        <f>value(IFERROR(SUBSTITUTE(SUBSTITUTE(VLOOKUP($A292,'Quarterly Pipeline vs Target Pi'!$A:$AP,42,false)," $","")," €",""), "")
)</f>
        <v>0</v>
      </c>
      <c r="AY292" s="17" t="str">
        <f t="shared" si="18"/>
        <v/>
      </c>
      <c r="AZ292" s="1">
        <f t="shared" ref="AZ292:BA292" si="598">sum(AN292,AQ292,AT292,AW292)</f>
        <v>0</v>
      </c>
      <c r="BA292" s="1">
        <f t="shared" si="598"/>
        <v>0</v>
      </c>
      <c r="BB292" s="17" t="str">
        <f t="shared" si="20"/>
        <v/>
      </c>
    </row>
    <row r="293">
      <c r="A293" s="1" t="str">
        <f>IFERROR(__xludf.DUMMYFUNCTION("""COMPUTED_VALUE"""),"63ced84dc5c820531c269752")</f>
        <v>63ced84dc5c820531c269752</v>
      </c>
      <c r="B293" s="1" t="str">
        <f>IFERROR(__xludf.DUMMYFUNCTION("""COMPUTED_VALUE"""),"Melsernet, Inc.")</f>
        <v>Melsernet, Inc.</v>
      </c>
      <c r="C293" s="1" t="str">
        <f>IFERROR(__xludf.DUMMYFUNCTION("""COMPUTED_VALUE"""),"brendan.flaherty@al-enterprise.com")</f>
        <v>brendan.flaherty@al-enterprise.com</v>
      </c>
      <c r="D293" s="1" t="str">
        <f>IFERROR(__xludf.DUMMYFUNCTION("""COMPUTED_VALUE"""),"americas")</f>
        <v>americas</v>
      </c>
      <c r="E293" s="1" t="str">
        <f>IFERROR(__xludf.DUMMYFUNCTION("""COMPUTED_VALUE"""),"US")</f>
        <v>US</v>
      </c>
      <c r="F293" s="1"/>
      <c r="G293" s="1" t="str">
        <f>iferror(VLOOKUP(A293,'Business Plan Setup and Accepta'!A:G,6,false),"")</f>
        <v/>
      </c>
      <c r="H293" s="1" t="str">
        <f>iferror(VLOOKUP(A293,'Business Plan Setup and Accepta'!A:G,7,false),"")</f>
        <v/>
      </c>
      <c r="I293" s="17" t="str">
        <f t="shared" si="3"/>
        <v/>
      </c>
      <c r="J293" s="1" t="str">
        <f>IFERROR(VALUE(SUBSTITUTE(VLOOKUP(A293,'Sales IN Revenues vs Sales targ'!A:G,6,false)," $","")), "")
</f>
        <v/>
      </c>
      <c r="K293" s="1" t="str">
        <f>IFERROR(VALUE(SUBSTITUTE(VLOOKUP(A293,'Sales IN Revenues vs Sales targ'!A:G,7,false)," $","")), "")
</f>
        <v/>
      </c>
      <c r="L293" s="17" t="str">
        <f t="shared" si="4"/>
        <v/>
      </c>
      <c r="M293" s="1">
        <f>value(SUBSTITUTE(IFERROR(VLOOKUP(A293,'Certifications achievements vs '!A:G,6,false),""),"#","")
)</f>
        <v>0</v>
      </c>
      <c r="N293" s="1">
        <f>value(SUBSTITUTE(IFERROR(VLOOKUP(A293,'Certifications achievements vs '!A:G,7,false),""),"#","")
)</f>
        <v>0</v>
      </c>
      <c r="O293" s="17" t="str">
        <f t="shared" si="5"/>
        <v/>
      </c>
      <c r="P293" s="1">
        <f>value(SUBSTITUTE(IFERROR(VLOOKUP(A293,'Communications - Solution Speci'!A:G,6,false),""),"#","")
)</f>
        <v>0</v>
      </c>
      <c r="Q293" s="1">
        <f>value(SUBSTITUTE(IFERROR(VLOOKUP(A293,'Communications - Solution Speci'!A:G,7,false),""),"#","")
)</f>
        <v>0</v>
      </c>
      <c r="R293" s="17" t="str">
        <f t="shared" si="6"/>
        <v/>
      </c>
      <c r="S293" s="1">
        <f>value(SUBSTITUTE(IFERROR(VLOOKUP(A293,'Networking - Solution Specializ'!A:G,6,false),""),"#","")
)</f>
        <v>0</v>
      </c>
      <c r="T293" s="1">
        <f>value(SUBSTITUTE(IFERROR(VLOOKUP(A293,'Networking - Solution Specializ'!A:G,7,false),""),"#","")
)</f>
        <v>0</v>
      </c>
      <c r="U293" s="17" t="str">
        <f t="shared" si="7"/>
        <v/>
      </c>
      <c r="V293" s="1" t="str">
        <f>iferror(vlookup(A293,'Marketing Plan (extract summary'!A:G,6,false),"")</f>
        <v/>
      </c>
      <c r="W293" s="1" t="str">
        <f>iferror(vlookup(A293,'Marketing Plan (extract summary'!A:G,7,false),"")</f>
        <v/>
      </c>
      <c r="X293" s="17" t="str">
        <f t="shared" si="8"/>
        <v/>
      </c>
      <c r="Y293" s="1">
        <f>value(IFERROR(SUBSTITUTE(SUBSTITUTE(VLOOKUP(A293,'Quarterly Pipeline vs Target Pi'!A:G,6,false)," $","")," €",""), "")
)</f>
        <v>0</v>
      </c>
      <c r="Z293" s="1">
        <f>value(IFERROR(SUBSTITUTE(SUBSTITUTE(VLOOKUP(A293,'Quarterly Pipeline vs Target Pi'!A:G,7,false)," $","")," €",""), "")
)</f>
        <v>0</v>
      </c>
      <c r="AA293" s="17" t="str">
        <f t="shared" si="9"/>
        <v/>
      </c>
      <c r="AB293" s="1">
        <f>value(IFERROR(SUBSTITUTE(SUBSTITUTE(VLOOKUP($A293,'Quarterly Pipeline vs Target Pi'!$A:$V,11,false)," $","")," €",""), "")
)</f>
        <v>0</v>
      </c>
      <c r="AC293" s="1">
        <f>value(IFERROR(SUBSTITUTE(SUBSTITUTE(VLOOKUP($A293,'Quarterly Pipeline vs Target Pi'!$A:$V,12,false)," $","")," €",""), "")
)</f>
        <v>0</v>
      </c>
      <c r="AD293" s="17" t="str">
        <f t="shared" si="10"/>
        <v/>
      </c>
      <c r="AE293" s="1">
        <f>value(IFERROR(SUBSTITUTE(SUBSTITUTE(VLOOKUP($A293,'Quarterly Pipeline vs Target Pi'!$A:$V,16,false)," $","")," €",""), "")
)</f>
        <v>0</v>
      </c>
      <c r="AF293" s="1">
        <f>value(IFERROR(SUBSTITUTE(SUBSTITUTE(VLOOKUP($A293,'Quarterly Pipeline vs Target Pi'!$A:$V,17,false)," $","")," €",""), "")
)</f>
        <v>0</v>
      </c>
      <c r="AG293" s="17" t="str">
        <f t="shared" si="11"/>
        <v/>
      </c>
      <c r="AH293" s="1">
        <f>value(IFERROR(SUBSTITUTE(SUBSTITUTE(VLOOKUP($A293,'Quarterly Pipeline vs Target Pi'!$A:$V,21,false)," $","")," €",""), "")
)</f>
        <v>0</v>
      </c>
      <c r="AI293" s="1">
        <f>value(IFERROR(SUBSTITUTE(SUBSTITUTE(VLOOKUP($A293,'Quarterly Pipeline vs Target Pi'!$A:$V,22,false)," $","")," €",""), "")
)</f>
        <v>0</v>
      </c>
      <c r="AJ293" s="17" t="str">
        <f t="shared" si="12"/>
        <v/>
      </c>
      <c r="AK293" s="1">
        <f t="shared" ref="AK293:AL293" si="599">sum(Y293,AB293,AE293,AH293)</f>
        <v>0</v>
      </c>
      <c r="AL293" s="1">
        <f t="shared" si="599"/>
        <v>0</v>
      </c>
      <c r="AM293" s="17" t="str">
        <f t="shared" si="14"/>
        <v/>
      </c>
      <c r="AN293" s="1">
        <f>value(IFERROR(SUBSTITUTE(SUBSTITUTE(VLOOKUP($A293,'Quarterly Pipeline vs Target Pi'!$A:$AP,26,false)," $","")," €",""), "")
)</f>
        <v>0</v>
      </c>
      <c r="AO293" s="1">
        <f>value(IFERROR(SUBSTITUTE(SUBSTITUTE(VLOOKUP($A293,'Quarterly Pipeline vs Target Pi'!$A:$AP,27,false)," $","")," €",""), "")
)</f>
        <v>0</v>
      </c>
      <c r="AP293" s="17" t="str">
        <f t="shared" si="15"/>
        <v/>
      </c>
      <c r="AQ293" s="1">
        <f>value(IFERROR(SUBSTITUTE(SUBSTITUTE(VLOOKUP($A293,'Quarterly Pipeline vs Target Pi'!$A:$AP,31,false)," $","")," €",""), "")
)</f>
        <v>0</v>
      </c>
      <c r="AR293" s="1">
        <f>value(IFERROR(SUBSTITUTE(SUBSTITUTE(VLOOKUP($A293,'Quarterly Pipeline vs Target Pi'!$A:$AP,32,false)," $","")," €",""), "")
)</f>
        <v>0</v>
      </c>
      <c r="AS293" s="17" t="str">
        <f t="shared" si="16"/>
        <v/>
      </c>
      <c r="AT293" s="1">
        <f>value(IFERROR(SUBSTITUTE(SUBSTITUTE(VLOOKUP($A293,'Quarterly Pipeline vs Target Pi'!$A:$AP,36,false)," $","")," €",""), "")
)</f>
        <v>0</v>
      </c>
      <c r="AU293" s="1">
        <f>value(IFERROR(SUBSTITUTE(SUBSTITUTE(VLOOKUP($A293,'Quarterly Pipeline vs Target Pi'!$A:$AP,37,false)," $","")," €",""), "")
)</f>
        <v>0</v>
      </c>
      <c r="AV293" s="17" t="str">
        <f t="shared" si="17"/>
        <v/>
      </c>
      <c r="AW293" s="1">
        <f>value(IFERROR(SUBSTITUTE(SUBSTITUTE(VLOOKUP($A293,'Quarterly Pipeline vs Target Pi'!$A:$AP,41,false)," $","")," €",""), "")
)</f>
        <v>0</v>
      </c>
      <c r="AX293" s="1">
        <f>value(IFERROR(SUBSTITUTE(SUBSTITUTE(VLOOKUP($A293,'Quarterly Pipeline vs Target Pi'!$A:$AP,42,false)," $","")," €",""), "")
)</f>
        <v>0</v>
      </c>
      <c r="AY293" s="17" t="str">
        <f t="shared" si="18"/>
        <v/>
      </c>
      <c r="AZ293" s="1">
        <f t="shared" ref="AZ293:BA293" si="600">sum(AN293,AQ293,AT293,AW293)</f>
        <v>0</v>
      </c>
      <c r="BA293" s="1">
        <f t="shared" si="600"/>
        <v>0</v>
      </c>
      <c r="BB293" s="17" t="str">
        <f t="shared" si="20"/>
        <v/>
      </c>
    </row>
    <row r="294">
      <c r="A294" s="1" t="str">
        <f>IFERROR(__xludf.DUMMYFUNCTION("""COMPUTED_VALUE"""),"63ea6e9752ad6968805cf1c5")</f>
        <v>63ea6e9752ad6968805cf1c5</v>
      </c>
      <c r="B294" s="1" t="str">
        <f>IFERROR(__xludf.DUMMYFUNCTION("""COMPUTED_VALUE"""),"Michael Becker Sicherheitstechnik GmbH")</f>
        <v>Michael Becker Sicherheitstechnik GmbH</v>
      </c>
      <c r="C294" s="1" t="str">
        <f>IFERROR(__xludf.DUMMYFUNCTION("""COMPUTED_VALUE"""),"andreas.grossheimann@al-enterprise.com, andre.ramm@al-enterprise.com")</f>
        <v>andreas.grossheimann@al-enterprise.com, andre.ramm@al-enterprise.com</v>
      </c>
      <c r="D294" s="1" t="str">
        <f>IFERROR(__xludf.DUMMYFUNCTION("""COMPUTED_VALUE"""),"germany")</f>
        <v>germany</v>
      </c>
      <c r="E294" s="1" t="str">
        <f>IFERROR(__xludf.DUMMYFUNCTION("""COMPUTED_VALUE"""),"DE")</f>
        <v>DE</v>
      </c>
      <c r="F294" s="1"/>
      <c r="G294" s="1" t="str">
        <f>iferror(VLOOKUP(A294,'Business Plan Setup and Accepta'!A:G,6,false),"")</f>
        <v/>
      </c>
      <c r="H294" s="1" t="str">
        <f>iferror(VLOOKUP(A294,'Business Plan Setup and Accepta'!A:G,7,false),"")</f>
        <v/>
      </c>
      <c r="I294" s="17" t="str">
        <f t="shared" si="3"/>
        <v/>
      </c>
      <c r="J294" s="1" t="str">
        <f>IFERROR(VALUE(SUBSTITUTE(VLOOKUP(A294,'Sales IN Revenues vs Sales targ'!A:G,6,false)," $","")), "")
</f>
        <v/>
      </c>
      <c r="K294" s="1" t="str">
        <f>IFERROR(VALUE(SUBSTITUTE(VLOOKUP(A294,'Sales IN Revenues vs Sales targ'!A:G,7,false)," $","")), "")
</f>
        <v/>
      </c>
      <c r="L294" s="17" t="str">
        <f t="shared" si="4"/>
        <v/>
      </c>
      <c r="M294" s="1">
        <f>value(SUBSTITUTE(IFERROR(VLOOKUP(A294,'Certifications achievements vs '!A:G,6,false),""),"#","")
)</f>
        <v>0</v>
      </c>
      <c r="N294" s="1">
        <f>value(SUBSTITUTE(IFERROR(VLOOKUP(A294,'Certifications achievements vs '!A:G,7,false),""),"#","")
)</f>
        <v>0</v>
      </c>
      <c r="O294" s="17" t="str">
        <f t="shared" si="5"/>
        <v/>
      </c>
      <c r="P294" s="1">
        <f>value(SUBSTITUTE(IFERROR(VLOOKUP(A294,'Communications - Solution Speci'!A:G,6,false),""),"#","")
)</f>
        <v>0</v>
      </c>
      <c r="Q294" s="1">
        <f>value(SUBSTITUTE(IFERROR(VLOOKUP(A294,'Communications - Solution Speci'!A:G,7,false),""),"#","")
)</f>
        <v>0</v>
      </c>
      <c r="R294" s="17" t="str">
        <f t="shared" si="6"/>
        <v/>
      </c>
      <c r="S294" s="1">
        <f>value(SUBSTITUTE(IFERROR(VLOOKUP(A294,'Networking - Solution Specializ'!A:G,6,false),""),"#","")
)</f>
        <v>0</v>
      </c>
      <c r="T294" s="1">
        <f>value(SUBSTITUTE(IFERROR(VLOOKUP(A294,'Networking - Solution Specializ'!A:G,7,false),""),"#","")
)</f>
        <v>0</v>
      </c>
      <c r="U294" s="17" t="str">
        <f t="shared" si="7"/>
        <v/>
      </c>
      <c r="V294" s="1" t="str">
        <f>iferror(vlookup(A294,'Marketing Plan (extract summary'!A:G,6,false),"")</f>
        <v/>
      </c>
      <c r="W294" s="1" t="str">
        <f>iferror(vlookup(A294,'Marketing Plan (extract summary'!A:G,7,false),"")</f>
        <v/>
      </c>
      <c r="X294" s="17" t="str">
        <f t="shared" si="8"/>
        <v/>
      </c>
      <c r="Y294" s="1">
        <f>value(IFERROR(SUBSTITUTE(SUBSTITUTE(VLOOKUP(A294,'Quarterly Pipeline vs Target Pi'!A:G,6,false)," $","")," €",""), "")
)</f>
        <v>0</v>
      </c>
      <c r="Z294" s="1">
        <f>value(IFERROR(SUBSTITUTE(SUBSTITUTE(VLOOKUP(A294,'Quarterly Pipeline vs Target Pi'!A:G,7,false)," $","")," €",""), "")
)</f>
        <v>0</v>
      </c>
      <c r="AA294" s="17" t="str">
        <f t="shared" si="9"/>
        <v/>
      </c>
      <c r="AB294" s="1">
        <f>value(IFERROR(SUBSTITUTE(SUBSTITUTE(VLOOKUP($A294,'Quarterly Pipeline vs Target Pi'!$A:$V,11,false)," $","")," €",""), "")
)</f>
        <v>0</v>
      </c>
      <c r="AC294" s="1">
        <f>value(IFERROR(SUBSTITUTE(SUBSTITUTE(VLOOKUP($A294,'Quarterly Pipeline vs Target Pi'!$A:$V,12,false)," $","")," €",""), "")
)</f>
        <v>0</v>
      </c>
      <c r="AD294" s="17" t="str">
        <f t="shared" si="10"/>
        <v/>
      </c>
      <c r="AE294" s="1">
        <f>value(IFERROR(SUBSTITUTE(SUBSTITUTE(VLOOKUP($A294,'Quarterly Pipeline vs Target Pi'!$A:$V,16,false)," $","")," €",""), "")
)</f>
        <v>0</v>
      </c>
      <c r="AF294" s="1">
        <f>value(IFERROR(SUBSTITUTE(SUBSTITUTE(VLOOKUP($A294,'Quarterly Pipeline vs Target Pi'!$A:$V,17,false)," $","")," €",""), "")
)</f>
        <v>0</v>
      </c>
      <c r="AG294" s="17" t="str">
        <f t="shared" si="11"/>
        <v/>
      </c>
      <c r="AH294" s="1">
        <f>value(IFERROR(SUBSTITUTE(SUBSTITUTE(VLOOKUP($A294,'Quarterly Pipeline vs Target Pi'!$A:$V,21,false)," $","")," €",""), "")
)</f>
        <v>0</v>
      </c>
      <c r="AI294" s="1">
        <f>value(IFERROR(SUBSTITUTE(SUBSTITUTE(VLOOKUP($A294,'Quarterly Pipeline vs Target Pi'!$A:$V,22,false)," $","")," €",""), "")
)</f>
        <v>0</v>
      </c>
      <c r="AJ294" s="17" t="str">
        <f t="shared" si="12"/>
        <v/>
      </c>
      <c r="AK294" s="1">
        <f t="shared" ref="AK294:AL294" si="601">sum(Y294,AB294,AE294,AH294)</f>
        <v>0</v>
      </c>
      <c r="AL294" s="1">
        <f t="shared" si="601"/>
        <v>0</v>
      </c>
      <c r="AM294" s="17" t="str">
        <f t="shared" si="14"/>
        <v/>
      </c>
      <c r="AN294" s="1">
        <f>value(IFERROR(SUBSTITUTE(SUBSTITUTE(VLOOKUP($A294,'Quarterly Pipeline vs Target Pi'!$A:$AP,26,false)," $","")," €",""), "")
)</f>
        <v>0</v>
      </c>
      <c r="AO294" s="1">
        <f>value(IFERROR(SUBSTITUTE(SUBSTITUTE(VLOOKUP($A294,'Quarterly Pipeline vs Target Pi'!$A:$AP,27,false)," $","")," €",""), "")
)</f>
        <v>0</v>
      </c>
      <c r="AP294" s="17" t="str">
        <f t="shared" si="15"/>
        <v/>
      </c>
      <c r="AQ294" s="1">
        <f>value(IFERROR(SUBSTITUTE(SUBSTITUTE(VLOOKUP($A294,'Quarterly Pipeline vs Target Pi'!$A:$AP,31,false)," $","")," €",""), "")
)</f>
        <v>0</v>
      </c>
      <c r="AR294" s="1">
        <f>value(IFERROR(SUBSTITUTE(SUBSTITUTE(VLOOKUP($A294,'Quarterly Pipeline vs Target Pi'!$A:$AP,32,false)," $","")," €",""), "")
)</f>
        <v>0</v>
      </c>
      <c r="AS294" s="17" t="str">
        <f t="shared" si="16"/>
        <v/>
      </c>
      <c r="AT294" s="1">
        <f>value(IFERROR(SUBSTITUTE(SUBSTITUTE(VLOOKUP($A294,'Quarterly Pipeline vs Target Pi'!$A:$AP,36,false)," $","")," €",""), "")
)</f>
        <v>0</v>
      </c>
      <c r="AU294" s="1">
        <f>value(IFERROR(SUBSTITUTE(SUBSTITUTE(VLOOKUP($A294,'Quarterly Pipeline vs Target Pi'!$A:$AP,37,false)," $","")," €",""), "")
)</f>
        <v>0</v>
      </c>
      <c r="AV294" s="17" t="str">
        <f t="shared" si="17"/>
        <v/>
      </c>
      <c r="AW294" s="1">
        <f>value(IFERROR(SUBSTITUTE(SUBSTITUTE(VLOOKUP($A294,'Quarterly Pipeline vs Target Pi'!$A:$AP,41,false)," $","")," €",""), "")
)</f>
        <v>0</v>
      </c>
      <c r="AX294" s="1">
        <f>value(IFERROR(SUBSTITUTE(SUBSTITUTE(VLOOKUP($A294,'Quarterly Pipeline vs Target Pi'!$A:$AP,42,false)," $","")," €",""), "")
)</f>
        <v>0</v>
      </c>
      <c r="AY294" s="17" t="str">
        <f t="shared" si="18"/>
        <v/>
      </c>
      <c r="AZ294" s="1">
        <f t="shared" ref="AZ294:BA294" si="602">sum(AN294,AQ294,AT294,AW294)</f>
        <v>0</v>
      </c>
      <c r="BA294" s="1">
        <f t="shared" si="602"/>
        <v>0</v>
      </c>
      <c r="BB294" s="17" t="str">
        <f t="shared" si="20"/>
        <v/>
      </c>
    </row>
    <row r="295">
      <c r="A295" s="1" t="str">
        <f>IFERROR(__xludf.DUMMYFUNCTION("""COMPUTED_VALUE"""),"63ced84dc5c820531c269761")</f>
        <v>63ced84dc5c820531c269761</v>
      </c>
      <c r="B295" s="1" t="str">
        <f>IFERROR(__xludf.DUMMYFUNCTION("""COMPUTED_VALUE"""),"Micro Technology Consultants, Inc.")</f>
        <v>Micro Technology Consultants, Inc.</v>
      </c>
      <c r="C295" s="1" t="str">
        <f>IFERROR(__xludf.DUMMYFUNCTION("""COMPUTED_VALUE"""),"luigy.estevanell@al-enterprise.com, jack.jachner@al-enterprise.com")</f>
        <v>luigy.estevanell@al-enterprise.com, jack.jachner@al-enterprise.com</v>
      </c>
      <c r="D295" s="1" t="str">
        <f>IFERROR(__xludf.DUMMYFUNCTION("""COMPUTED_VALUE"""),"americas")</f>
        <v>americas</v>
      </c>
      <c r="E295" s="1" t="str">
        <f>IFERROR(__xludf.DUMMYFUNCTION("""COMPUTED_VALUE"""),"US")</f>
        <v>US</v>
      </c>
      <c r="F295" s="1" t="str">
        <f>IFERROR(__xludf.DUMMYFUNCTION("""COMPUTED_VALUE"""),"expert_200")</f>
        <v>expert_200</v>
      </c>
      <c r="G295" s="1">
        <f>iferror(VLOOKUP(A295,'Business Plan Setup and Accepta'!A:G,6,false),"")</f>
        <v>0</v>
      </c>
      <c r="H295" s="1">
        <f>iferror(VLOOKUP(A295,'Business Plan Setup and Accepta'!A:G,7,false),"")</f>
        <v>1</v>
      </c>
      <c r="I295" s="17">
        <f t="shared" si="3"/>
        <v>0</v>
      </c>
      <c r="J295" s="1">
        <f>IFERROR(VALUE(SUBSTITUTE(VLOOKUP(A295,'Sales IN Revenues vs Sales targ'!A:G,6,false)," $","")), "")
</f>
        <v>1.77</v>
      </c>
      <c r="K295" s="1">
        <f>IFERROR(VALUE(SUBSTITUTE(VLOOKUP(A295,'Sales IN Revenues vs Sales targ'!A:G,7,false)," $","")), "")
</f>
        <v>457.2</v>
      </c>
      <c r="L295" s="17">
        <f t="shared" si="4"/>
        <v>0.003871391076</v>
      </c>
      <c r="M295" s="1">
        <f>value(SUBSTITUTE(IFERROR(VLOOKUP(A295,'Certifications achievements vs '!A:G,6,false),""),"#","")
)</f>
        <v>0</v>
      </c>
      <c r="N295" s="1">
        <f>value(SUBSTITUTE(IFERROR(VLOOKUP(A295,'Certifications achievements vs '!A:G,7,false),""),"#","")
)</f>
        <v>56</v>
      </c>
      <c r="O295" s="17">
        <f t="shared" si="5"/>
        <v>0</v>
      </c>
      <c r="P295" s="1">
        <f>value(SUBSTITUTE(IFERROR(VLOOKUP(A295,'Communications - Solution Speci'!A:G,6,false),""),"#","")
)</f>
        <v>0</v>
      </c>
      <c r="Q295" s="1">
        <f>value(SUBSTITUTE(IFERROR(VLOOKUP(A295,'Communications - Solution Speci'!A:G,7,false),""),"#","")
)</f>
        <v>1</v>
      </c>
      <c r="R295" s="17">
        <f t="shared" si="6"/>
        <v>0</v>
      </c>
      <c r="S295" s="1">
        <f>value(SUBSTITUTE(IFERROR(VLOOKUP(A295,'Networking - Solution Specializ'!A:G,6,false),""),"#","")
)</f>
        <v>0</v>
      </c>
      <c r="T295" s="1">
        <f>value(SUBSTITUTE(IFERROR(VLOOKUP(A295,'Networking - Solution Specializ'!A:G,7,false),""),"#","")
)</f>
        <v>1</v>
      </c>
      <c r="U295" s="17">
        <f t="shared" si="7"/>
        <v>0</v>
      </c>
      <c r="V295" s="1">
        <f>iferror(vlookup(A295,'Marketing Plan (extract summary'!A:G,6,false),"")</f>
        <v>0</v>
      </c>
      <c r="W295" s="1">
        <f>iferror(vlookup(A295,'Marketing Plan (extract summary'!A:G,7,false),"")</f>
        <v>1</v>
      </c>
      <c r="X295" s="17">
        <f t="shared" si="8"/>
        <v>0</v>
      </c>
      <c r="Y295" s="1">
        <f>value(IFERROR(SUBSTITUTE(SUBSTITUTE(VLOOKUP(A295,'Quarterly Pipeline vs Target Pi'!A:G,6,false)," $","")," €",""), "")
)</f>
        <v>50</v>
      </c>
      <c r="Z295" s="1">
        <f>value(IFERROR(SUBSTITUTE(SUBSTITUTE(VLOOKUP(A295,'Quarterly Pipeline vs Target Pi'!A:G,7,false)," $","")," €",""), "")
)</f>
        <v>0</v>
      </c>
      <c r="AA295" s="17" t="str">
        <f t="shared" si="9"/>
        <v/>
      </c>
      <c r="AB295" s="1">
        <f>value(IFERROR(SUBSTITUTE(SUBSTITUTE(VLOOKUP($A295,'Quarterly Pipeline vs Target Pi'!$A:$V,11,false)," $","")," €",""), "")
)</f>
        <v>50</v>
      </c>
      <c r="AC295" s="1">
        <f>value(IFERROR(SUBSTITUTE(SUBSTITUTE(VLOOKUP($A295,'Quarterly Pipeline vs Target Pi'!$A:$V,12,false)," $","")," €",""), "")
)</f>
        <v>103.87</v>
      </c>
      <c r="AD295" s="17">
        <f t="shared" si="10"/>
        <v>0.4813709444</v>
      </c>
      <c r="AE295" s="1">
        <f>value(IFERROR(SUBSTITUTE(SUBSTITUTE(VLOOKUP($A295,'Quarterly Pipeline vs Target Pi'!$A:$V,16,false)," $","")," €",""), "")
)</f>
        <v>45.13</v>
      </c>
      <c r="AF295" s="1">
        <f>value(IFERROR(SUBSTITUTE(SUBSTITUTE(VLOOKUP($A295,'Quarterly Pipeline vs Target Pi'!$A:$V,17,false)," $","")," €",""), "")
)</f>
        <v>155.9</v>
      </c>
      <c r="AG295" s="17">
        <f t="shared" si="11"/>
        <v>0.2894804362</v>
      </c>
      <c r="AH295" s="1">
        <f>value(IFERROR(SUBSTITUTE(SUBSTITUTE(VLOOKUP($A295,'Quarterly Pipeline vs Target Pi'!$A:$V,21,false)," $","")," €",""), "")
)</f>
        <v>0</v>
      </c>
      <c r="AI295" s="1">
        <f>value(IFERROR(SUBSTITUTE(SUBSTITUTE(VLOOKUP($A295,'Quarterly Pipeline vs Target Pi'!$A:$V,22,false)," $","")," €",""), "")
)</f>
        <v>155.9</v>
      </c>
      <c r="AJ295" s="17">
        <f t="shared" si="12"/>
        <v>0</v>
      </c>
      <c r="AK295" s="1">
        <f t="shared" ref="AK295:AL295" si="603">sum(Y295,AB295,AE295,AH295)</f>
        <v>145.13</v>
      </c>
      <c r="AL295" s="1">
        <f t="shared" si="603"/>
        <v>415.67</v>
      </c>
      <c r="AM295" s="17">
        <f t="shared" si="14"/>
        <v>0.34914716</v>
      </c>
      <c r="AN295" s="1">
        <f>value(IFERROR(SUBSTITUTE(SUBSTITUTE(VLOOKUP($A295,'Quarterly Pipeline vs Target Pi'!$A:$AP,26,false)," $","")," €",""), "")
)</f>
        <v>0</v>
      </c>
      <c r="AO295" s="1">
        <f>value(IFERROR(SUBSTITUTE(SUBSTITUTE(VLOOKUP($A295,'Quarterly Pipeline vs Target Pi'!$A:$AP,27,false)," $","")," €",""), "")
)</f>
        <v>0</v>
      </c>
      <c r="AP295" s="17" t="str">
        <f t="shared" si="15"/>
        <v/>
      </c>
      <c r="AQ295" s="1">
        <f>value(IFERROR(SUBSTITUTE(SUBSTITUTE(VLOOKUP($A295,'Quarterly Pipeline vs Target Pi'!$A:$AP,31,false)," $","")," €",""), "")
)</f>
        <v>0</v>
      </c>
      <c r="AR295" s="1">
        <f>value(IFERROR(SUBSTITUTE(SUBSTITUTE(VLOOKUP($A295,'Quarterly Pipeline vs Target Pi'!$A:$AP,32,false)," $","")," €",""), "")
)</f>
        <v>0</v>
      </c>
      <c r="AS295" s="17" t="str">
        <f t="shared" si="16"/>
        <v/>
      </c>
      <c r="AT295" s="1">
        <f>value(IFERROR(SUBSTITUTE(SUBSTITUTE(VLOOKUP($A295,'Quarterly Pipeline vs Target Pi'!$A:$AP,36,false)," $","")," €",""), "")
)</f>
        <v>95.55</v>
      </c>
      <c r="AU295" s="1">
        <f>value(IFERROR(SUBSTITUTE(SUBSTITUTE(VLOOKUP($A295,'Quarterly Pipeline vs Target Pi'!$A:$AP,37,false)," $","")," €",""), "")
)</f>
        <v>0</v>
      </c>
      <c r="AV295" s="17" t="str">
        <f t="shared" si="17"/>
        <v/>
      </c>
      <c r="AW295" s="1">
        <f>value(IFERROR(SUBSTITUTE(SUBSTITUTE(VLOOKUP($A295,'Quarterly Pipeline vs Target Pi'!$A:$AP,41,false)," $","")," €",""), "")
)</f>
        <v>0</v>
      </c>
      <c r="AX295" s="1">
        <f>value(IFERROR(SUBSTITUTE(SUBSTITUTE(VLOOKUP($A295,'Quarterly Pipeline vs Target Pi'!$A:$AP,42,false)," $","")," €",""), "")
)</f>
        <v>0</v>
      </c>
      <c r="AY295" s="17" t="str">
        <f t="shared" si="18"/>
        <v/>
      </c>
      <c r="AZ295" s="1">
        <f t="shared" ref="AZ295:BA295" si="604">sum(AN295,AQ295,AT295,AW295)</f>
        <v>95.55</v>
      </c>
      <c r="BA295" s="1">
        <f t="shared" si="604"/>
        <v>0</v>
      </c>
      <c r="BB295" s="17" t="str">
        <f t="shared" si="20"/>
        <v/>
      </c>
    </row>
    <row r="296">
      <c r="A296" s="1" t="str">
        <f>IFERROR(__xludf.DUMMYFUNCTION("""COMPUTED_VALUE"""),"63ea6e9452ad6968805cecf5")</f>
        <v>63ea6e9452ad6968805cecf5</v>
      </c>
      <c r="B296" s="1" t="str">
        <f>IFERROR(__xludf.DUMMYFUNCTION("""COMPUTED_VALUE"""),"Minck Elektro- und Fernmeldetechnik")</f>
        <v>Minck Elektro- und Fernmeldetechnik</v>
      </c>
      <c r="C296" s="1" t="str">
        <f>IFERROR(__xludf.DUMMYFUNCTION("""COMPUTED_VALUE"""),"andreas.grossheimann@al-enterprise.com, andre.ramm@al-enterprise.com, daniel.scheidl@al-enterprise.com, hakan.adiguezel@al-enterprise.com")</f>
        <v>andreas.grossheimann@al-enterprise.com, andre.ramm@al-enterprise.com, daniel.scheidl@al-enterprise.com, hakan.adiguezel@al-enterprise.com</v>
      </c>
      <c r="D296" s="1" t="str">
        <f>IFERROR(__xludf.DUMMYFUNCTION("""COMPUTED_VALUE"""),"germany")</f>
        <v>germany</v>
      </c>
      <c r="E296" s="1" t="str">
        <f>IFERROR(__xludf.DUMMYFUNCTION("""COMPUTED_VALUE"""),"DE")</f>
        <v>DE</v>
      </c>
      <c r="F296" s="1"/>
      <c r="G296" s="1" t="str">
        <f>iferror(VLOOKUP(A296,'Business Plan Setup and Accepta'!A:G,6,false),"")</f>
        <v/>
      </c>
      <c r="H296" s="1" t="str">
        <f>iferror(VLOOKUP(A296,'Business Plan Setup and Accepta'!A:G,7,false),"")</f>
        <v/>
      </c>
      <c r="I296" s="17" t="str">
        <f t="shared" si="3"/>
        <v/>
      </c>
      <c r="J296" s="1" t="str">
        <f>IFERROR(VALUE(SUBSTITUTE(VLOOKUP(A296,'Sales IN Revenues vs Sales targ'!A:G,6,false)," $","")), "")
</f>
        <v/>
      </c>
      <c r="K296" s="1" t="str">
        <f>IFERROR(VALUE(SUBSTITUTE(VLOOKUP(A296,'Sales IN Revenues vs Sales targ'!A:G,7,false)," $","")), "")
</f>
        <v/>
      </c>
      <c r="L296" s="17" t="str">
        <f t="shared" si="4"/>
        <v/>
      </c>
      <c r="M296" s="1">
        <f>value(SUBSTITUTE(IFERROR(VLOOKUP(A296,'Certifications achievements vs '!A:G,6,false),""),"#","")
)</f>
        <v>0</v>
      </c>
      <c r="N296" s="1">
        <f>value(SUBSTITUTE(IFERROR(VLOOKUP(A296,'Certifications achievements vs '!A:G,7,false),""),"#","")
)</f>
        <v>0</v>
      </c>
      <c r="O296" s="17" t="str">
        <f t="shared" si="5"/>
        <v/>
      </c>
      <c r="P296" s="1">
        <f>value(SUBSTITUTE(IFERROR(VLOOKUP(A296,'Communications - Solution Speci'!A:G,6,false),""),"#","")
)</f>
        <v>0</v>
      </c>
      <c r="Q296" s="1">
        <f>value(SUBSTITUTE(IFERROR(VLOOKUP(A296,'Communications - Solution Speci'!A:G,7,false),""),"#","")
)</f>
        <v>0</v>
      </c>
      <c r="R296" s="17" t="str">
        <f t="shared" si="6"/>
        <v/>
      </c>
      <c r="S296" s="1">
        <f>value(SUBSTITUTE(IFERROR(VLOOKUP(A296,'Networking - Solution Specializ'!A:G,6,false),""),"#","")
)</f>
        <v>0</v>
      </c>
      <c r="T296" s="1">
        <f>value(SUBSTITUTE(IFERROR(VLOOKUP(A296,'Networking - Solution Specializ'!A:G,7,false),""),"#","")
)</f>
        <v>0</v>
      </c>
      <c r="U296" s="17" t="str">
        <f t="shared" si="7"/>
        <v/>
      </c>
      <c r="V296" s="1" t="str">
        <f>iferror(vlookup(A296,'Marketing Plan (extract summary'!A:G,6,false),"")</f>
        <v/>
      </c>
      <c r="W296" s="1" t="str">
        <f>iferror(vlookup(A296,'Marketing Plan (extract summary'!A:G,7,false),"")</f>
        <v/>
      </c>
      <c r="X296" s="17" t="str">
        <f t="shared" si="8"/>
        <v/>
      </c>
      <c r="Y296" s="1">
        <f>value(IFERROR(SUBSTITUTE(SUBSTITUTE(VLOOKUP(A296,'Quarterly Pipeline vs Target Pi'!A:G,6,false)," $","")," €",""), "")
)</f>
        <v>0</v>
      </c>
      <c r="Z296" s="1">
        <f>value(IFERROR(SUBSTITUTE(SUBSTITUTE(VLOOKUP(A296,'Quarterly Pipeline vs Target Pi'!A:G,7,false)," $","")," €",""), "")
)</f>
        <v>0</v>
      </c>
      <c r="AA296" s="17" t="str">
        <f t="shared" si="9"/>
        <v/>
      </c>
      <c r="AB296" s="1">
        <f>value(IFERROR(SUBSTITUTE(SUBSTITUTE(VLOOKUP($A296,'Quarterly Pipeline vs Target Pi'!$A:$V,11,false)," $","")," €",""), "")
)</f>
        <v>0</v>
      </c>
      <c r="AC296" s="1">
        <f>value(IFERROR(SUBSTITUTE(SUBSTITUTE(VLOOKUP($A296,'Quarterly Pipeline vs Target Pi'!$A:$V,12,false)," $","")," €",""), "")
)</f>
        <v>0</v>
      </c>
      <c r="AD296" s="17" t="str">
        <f t="shared" si="10"/>
        <v/>
      </c>
      <c r="AE296" s="1">
        <f>value(IFERROR(SUBSTITUTE(SUBSTITUTE(VLOOKUP($A296,'Quarterly Pipeline vs Target Pi'!$A:$V,16,false)," $","")," €",""), "")
)</f>
        <v>0</v>
      </c>
      <c r="AF296" s="1">
        <f>value(IFERROR(SUBSTITUTE(SUBSTITUTE(VLOOKUP($A296,'Quarterly Pipeline vs Target Pi'!$A:$V,17,false)," $","")," €",""), "")
)</f>
        <v>0</v>
      </c>
      <c r="AG296" s="17" t="str">
        <f t="shared" si="11"/>
        <v/>
      </c>
      <c r="AH296" s="1">
        <f>value(IFERROR(SUBSTITUTE(SUBSTITUTE(VLOOKUP($A296,'Quarterly Pipeline vs Target Pi'!$A:$V,21,false)," $","")," €",""), "")
)</f>
        <v>0</v>
      </c>
      <c r="AI296" s="1">
        <f>value(IFERROR(SUBSTITUTE(SUBSTITUTE(VLOOKUP($A296,'Quarterly Pipeline vs Target Pi'!$A:$V,22,false)," $","")," €",""), "")
)</f>
        <v>0</v>
      </c>
      <c r="AJ296" s="17" t="str">
        <f t="shared" si="12"/>
        <v/>
      </c>
      <c r="AK296" s="1">
        <f t="shared" ref="AK296:AL296" si="605">sum(Y296,AB296,AE296,AH296)</f>
        <v>0</v>
      </c>
      <c r="AL296" s="1">
        <f t="shared" si="605"/>
        <v>0</v>
      </c>
      <c r="AM296" s="17" t="str">
        <f t="shared" si="14"/>
        <v/>
      </c>
      <c r="AN296" s="1">
        <f>value(IFERROR(SUBSTITUTE(SUBSTITUTE(VLOOKUP($A296,'Quarterly Pipeline vs Target Pi'!$A:$AP,26,false)," $","")," €",""), "")
)</f>
        <v>0</v>
      </c>
      <c r="AO296" s="1">
        <f>value(IFERROR(SUBSTITUTE(SUBSTITUTE(VLOOKUP($A296,'Quarterly Pipeline vs Target Pi'!$A:$AP,27,false)," $","")," €",""), "")
)</f>
        <v>0</v>
      </c>
      <c r="AP296" s="17" t="str">
        <f t="shared" si="15"/>
        <v/>
      </c>
      <c r="AQ296" s="1">
        <f>value(IFERROR(SUBSTITUTE(SUBSTITUTE(VLOOKUP($A296,'Quarterly Pipeline vs Target Pi'!$A:$AP,31,false)," $","")," €",""), "")
)</f>
        <v>0</v>
      </c>
      <c r="AR296" s="1">
        <f>value(IFERROR(SUBSTITUTE(SUBSTITUTE(VLOOKUP($A296,'Quarterly Pipeline vs Target Pi'!$A:$AP,32,false)," $","")," €",""), "")
)</f>
        <v>0</v>
      </c>
      <c r="AS296" s="17" t="str">
        <f t="shared" si="16"/>
        <v/>
      </c>
      <c r="AT296" s="1">
        <f>value(IFERROR(SUBSTITUTE(SUBSTITUTE(VLOOKUP($A296,'Quarterly Pipeline vs Target Pi'!$A:$AP,36,false)," $","")," €",""), "")
)</f>
        <v>0</v>
      </c>
      <c r="AU296" s="1">
        <f>value(IFERROR(SUBSTITUTE(SUBSTITUTE(VLOOKUP($A296,'Quarterly Pipeline vs Target Pi'!$A:$AP,37,false)," $","")," €",""), "")
)</f>
        <v>0</v>
      </c>
      <c r="AV296" s="17" t="str">
        <f t="shared" si="17"/>
        <v/>
      </c>
      <c r="AW296" s="1">
        <f>value(IFERROR(SUBSTITUTE(SUBSTITUTE(VLOOKUP($A296,'Quarterly Pipeline vs Target Pi'!$A:$AP,41,false)," $","")," €",""), "")
)</f>
        <v>0</v>
      </c>
      <c r="AX296" s="1">
        <f>value(IFERROR(SUBSTITUTE(SUBSTITUTE(VLOOKUP($A296,'Quarterly Pipeline vs Target Pi'!$A:$AP,42,false)," $","")," €",""), "")
)</f>
        <v>0</v>
      </c>
      <c r="AY296" s="17" t="str">
        <f t="shared" si="18"/>
        <v/>
      </c>
      <c r="AZ296" s="1">
        <f t="shared" ref="AZ296:BA296" si="606">sum(AN296,AQ296,AT296,AW296)</f>
        <v>0</v>
      </c>
      <c r="BA296" s="1">
        <f t="shared" si="606"/>
        <v>0</v>
      </c>
      <c r="BB296" s="17" t="str">
        <f t="shared" si="20"/>
        <v/>
      </c>
    </row>
    <row r="297">
      <c r="A297" s="1" t="str">
        <f>IFERROR(__xludf.DUMMYFUNCTION("""COMPUTED_VALUE"""),"63ea6e9752ad6968805cf0c9")</f>
        <v>63ea6e9752ad6968805cf0c9</v>
      </c>
      <c r="B297" s="1" t="str">
        <f>IFERROR(__xludf.DUMMYFUNCTION("""COMPUTED_VALUE"""),"ML Network DV-Systeme")</f>
        <v>ML Network DV-Systeme</v>
      </c>
      <c r="C297" s="1" t="str">
        <f>IFERROR(__xludf.DUMMYFUNCTION("""COMPUTED_VALUE"""),"andreas.grossheimann@al-enterprise.com, andre.ramm@al-enterprise.com")</f>
        <v>andreas.grossheimann@al-enterprise.com, andre.ramm@al-enterprise.com</v>
      </c>
      <c r="D297" s="1" t="str">
        <f>IFERROR(__xludf.DUMMYFUNCTION("""COMPUTED_VALUE"""),"germany")</f>
        <v>germany</v>
      </c>
      <c r="E297" s="1" t="str">
        <f>IFERROR(__xludf.DUMMYFUNCTION("""COMPUTED_VALUE"""),"DE")</f>
        <v>DE</v>
      </c>
      <c r="F297" s="1"/>
      <c r="G297" s="1" t="str">
        <f>iferror(VLOOKUP(A297,'Business Plan Setup and Accepta'!A:G,6,false),"")</f>
        <v/>
      </c>
      <c r="H297" s="1" t="str">
        <f>iferror(VLOOKUP(A297,'Business Plan Setup and Accepta'!A:G,7,false),"")</f>
        <v/>
      </c>
      <c r="I297" s="17" t="str">
        <f t="shared" si="3"/>
        <v/>
      </c>
      <c r="J297" s="1" t="str">
        <f>IFERROR(VALUE(SUBSTITUTE(VLOOKUP(A297,'Sales IN Revenues vs Sales targ'!A:G,6,false)," $","")), "")
</f>
        <v/>
      </c>
      <c r="K297" s="1" t="str">
        <f>IFERROR(VALUE(SUBSTITUTE(VLOOKUP(A297,'Sales IN Revenues vs Sales targ'!A:G,7,false)," $","")), "")
</f>
        <v/>
      </c>
      <c r="L297" s="17" t="str">
        <f t="shared" si="4"/>
        <v/>
      </c>
      <c r="M297" s="1">
        <f>value(SUBSTITUTE(IFERROR(VLOOKUP(A297,'Certifications achievements vs '!A:G,6,false),""),"#","")
)</f>
        <v>0</v>
      </c>
      <c r="N297" s="1">
        <f>value(SUBSTITUTE(IFERROR(VLOOKUP(A297,'Certifications achievements vs '!A:G,7,false),""),"#","")
)</f>
        <v>0</v>
      </c>
      <c r="O297" s="17" t="str">
        <f t="shared" si="5"/>
        <v/>
      </c>
      <c r="P297" s="1">
        <f>value(SUBSTITUTE(IFERROR(VLOOKUP(A297,'Communications - Solution Speci'!A:G,6,false),""),"#","")
)</f>
        <v>0</v>
      </c>
      <c r="Q297" s="1">
        <f>value(SUBSTITUTE(IFERROR(VLOOKUP(A297,'Communications - Solution Speci'!A:G,7,false),""),"#","")
)</f>
        <v>0</v>
      </c>
      <c r="R297" s="17" t="str">
        <f t="shared" si="6"/>
        <v/>
      </c>
      <c r="S297" s="1">
        <f>value(SUBSTITUTE(IFERROR(VLOOKUP(A297,'Networking - Solution Specializ'!A:G,6,false),""),"#","")
)</f>
        <v>0</v>
      </c>
      <c r="T297" s="1">
        <f>value(SUBSTITUTE(IFERROR(VLOOKUP(A297,'Networking - Solution Specializ'!A:G,7,false),""),"#","")
)</f>
        <v>0</v>
      </c>
      <c r="U297" s="17" t="str">
        <f t="shared" si="7"/>
        <v/>
      </c>
      <c r="V297" s="1" t="str">
        <f>iferror(vlookup(A297,'Marketing Plan (extract summary'!A:G,6,false),"")</f>
        <v/>
      </c>
      <c r="W297" s="1" t="str">
        <f>iferror(vlookup(A297,'Marketing Plan (extract summary'!A:G,7,false),"")</f>
        <v/>
      </c>
      <c r="X297" s="17" t="str">
        <f t="shared" si="8"/>
        <v/>
      </c>
      <c r="Y297" s="1">
        <f>value(IFERROR(SUBSTITUTE(SUBSTITUTE(VLOOKUP(A297,'Quarterly Pipeline vs Target Pi'!A:G,6,false)," $","")," €",""), "")
)</f>
        <v>0</v>
      </c>
      <c r="Z297" s="1">
        <f>value(IFERROR(SUBSTITUTE(SUBSTITUTE(VLOOKUP(A297,'Quarterly Pipeline vs Target Pi'!A:G,7,false)," $","")," €",""), "")
)</f>
        <v>0</v>
      </c>
      <c r="AA297" s="17" t="str">
        <f t="shared" si="9"/>
        <v/>
      </c>
      <c r="AB297" s="1">
        <f>value(IFERROR(SUBSTITUTE(SUBSTITUTE(VLOOKUP($A297,'Quarterly Pipeline vs Target Pi'!$A:$V,11,false)," $","")," €",""), "")
)</f>
        <v>0</v>
      </c>
      <c r="AC297" s="1">
        <f>value(IFERROR(SUBSTITUTE(SUBSTITUTE(VLOOKUP($A297,'Quarterly Pipeline vs Target Pi'!$A:$V,12,false)," $","")," €",""), "")
)</f>
        <v>0</v>
      </c>
      <c r="AD297" s="17" t="str">
        <f t="shared" si="10"/>
        <v/>
      </c>
      <c r="AE297" s="1">
        <f>value(IFERROR(SUBSTITUTE(SUBSTITUTE(VLOOKUP($A297,'Quarterly Pipeline vs Target Pi'!$A:$V,16,false)," $","")," €",""), "")
)</f>
        <v>0</v>
      </c>
      <c r="AF297" s="1">
        <f>value(IFERROR(SUBSTITUTE(SUBSTITUTE(VLOOKUP($A297,'Quarterly Pipeline vs Target Pi'!$A:$V,17,false)," $","")," €",""), "")
)</f>
        <v>0</v>
      </c>
      <c r="AG297" s="17" t="str">
        <f t="shared" si="11"/>
        <v/>
      </c>
      <c r="AH297" s="1">
        <f>value(IFERROR(SUBSTITUTE(SUBSTITUTE(VLOOKUP($A297,'Quarterly Pipeline vs Target Pi'!$A:$V,21,false)," $","")," €",""), "")
)</f>
        <v>0</v>
      </c>
      <c r="AI297" s="1">
        <f>value(IFERROR(SUBSTITUTE(SUBSTITUTE(VLOOKUP($A297,'Quarterly Pipeline vs Target Pi'!$A:$V,22,false)," $","")," €",""), "")
)</f>
        <v>0</v>
      </c>
      <c r="AJ297" s="17" t="str">
        <f t="shared" si="12"/>
        <v/>
      </c>
      <c r="AK297" s="1">
        <f t="shared" ref="AK297:AL297" si="607">sum(Y297,AB297,AE297,AH297)</f>
        <v>0</v>
      </c>
      <c r="AL297" s="1">
        <f t="shared" si="607"/>
        <v>0</v>
      </c>
      <c r="AM297" s="17" t="str">
        <f t="shared" si="14"/>
        <v/>
      </c>
      <c r="AN297" s="1">
        <f>value(IFERROR(SUBSTITUTE(SUBSTITUTE(VLOOKUP($A297,'Quarterly Pipeline vs Target Pi'!$A:$AP,26,false)," $","")," €",""), "")
)</f>
        <v>0</v>
      </c>
      <c r="AO297" s="1">
        <f>value(IFERROR(SUBSTITUTE(SUBSTITUTE(VLOOKUP($A297,'Quarterly Pipeline vs Target Pi'!$A:$AP,27,false)," $","")," €",""), "")
)</f>
        <v>0</v>
      </c>
      <c r="AP297" s="17" t="str">
        <f t="shared" si="15"/>
        <v/>
      </c>
      <c r="AQ297" s="1">
        <f>value(IFERROR(SUBSTITUTE(SUBSTITUTE(VLOOKUP($A297,'Quarterly Pipeline vs Target Pi'!$A:$AP,31,false)," $","")," €",""), "")
)</f>
        <v>0</v>
      </c>
      <c r="AR297" s="1">
        <f>value(IFERROR(SUBSTITUTE(SUBSTITUTE(VLOOKUP($A297,'Quarterly Pipeline vs Target Pi'!$A:$AP,32,false)," $","")," €",""), "")
)</f>
        <v>0</v>
      </c>
      <c r="AS297" s="17" t="str">
        <f t="shared" si="16"/>
        <v/>
      </c>
      <c r="AT297" s="1">
        <f>value(IFERROR(SUBSTITUTE(SUBSTITUTE(VLOOKUP($A297,'Quarterly Pipeline vs Target Pi'!$A:$AP,36,false)," $","")," €",""), "")
)</f>
        <v>0</v>
      </c>
      <c r="AU297" s="1">
        <f>value(IFERROR(SUBSTITUTE(SUBSTITUTE(VLOOKUP($A297,'Quarterly Pipeline vs Target Pi'!$A:$AP,37,false)," $","")," €",""), "")
)</f>
        <v>0</v>
      </c>
      <c r="AV297" s="17" t="str">
        <f t="shared" si="17"/>
        <v/>
      </c>
      <c r="AW297" s="1">
        <f>value(IFERROR(SUBSTITUTE(SUBSTITUTE(VLOOKUP($A297,'Quarterly Pipeline vs Target Pi'!$A:$AP,41,false)," $","")," €",""), "")
)</f>
        <v>0</v>
      </c>
      <c r="AX297" s="1">
        <f>value(IFERROR(SUBSTITUTE(SUBSTITUTE(VLOOKUP($A297,'Quarterly Pipeline vs Target Pi'!$A:$AP,42,false)," $","")," €",""), "")
)</f>
        <v>0</v>
      </c>
      <c r="AY297" s="17" t="str">
        <f t="shared" si="18"/>
        <v/>
      </c>
      <c r="AZ297" s="1">
        <f t="shared" ref="AZ297:BA297" si="608">sum(AN297,AQ297,AT297,AW297)</f>
        <v>0</v>
      </c>
      <c r="BA297" s="1">
        <f t="shared" si="608"/>
        <v>0</v>
      </c>
      <c r="BB297" s="17" t="str">
        <f t="shared" si="20"/>
        <v/>
      </c>
    </row>
    <row r="298">
      <c r="A298" s="1" t="str">
        <f>IFERROR(__xludf.DUMMYFUNCTION("""COMPUTED_VALUE"""),"63ea6e9752ad6968805cf0ad")</f>
        <v>63ea6e9752ad6968805cf0ad</v>
      </c>
      <c r="B298" s="1" t="str">
        <f>IFERROR(__xludf.DUMMYFUNCTION("""COMPUTED_VALUE"""),"ModernCom Systems GmbH &amp; Co. KG")</f>
        <v>ModernCom Systems GmbH &amp; Co. KG</v>
      </c>
      <c r="C298" s="1" t="str">
        <f>IFERROR(__xludf.DUMMYFUNCTION("""COMPUTED_VALUE"""),"andreas.grossheimann@al-enterprise.com, andre.ramm@al-enterprise.com")</f>
        <v>andreas.grossheimann@al-enterprise.com, andre.ramm@al-enterprise.com</v>
      </c>
      <c r="D298" s="1" t="str">
        <f>IFERROR(__xludf.DUMMYFUNCTION("""COMPUTED_VALUE"""),"germany")</f>
        <v>germany</v>
      </c>
      <c r="E298" s="1" t="str">
        <f>IFERROR(__xludf.DUMMYFUNCTION("""COMPUTED_VALUE"""),"DE")</f>
        <v>DE</v>
      </c>
      <c r="F298" s="1"/>
      <c r="G298" s="1" t="str">
        <f>iferror(VLOOKUP(A298,'Business Plan Setup and Accepta'!A:G,6,false),"")</f>
        <v/>
      </c>
      <c r="H298" s="1" t="str">
        <f>iferror(VLOOKUP(A298,'Business Plan Setup and Accepta'!A:G,7,false),"")</f>
        <v/>
      </c>
      <c r="I298" s="17" t="str">
        <f t="shared" si="3"/>
        <v/>
      </c>
      <c r="J298" s="1" t="str">
        <f>IFERROR(VALUE(SUBSTITUTE(VLOOKUP(A298,'Sales IN Revenues vs Sales targ'!A:G,6,false)," $","")), "")
</f>
        <v/>
      </c>
      <c r="K298" s="1" t="str">
        <f>IFERROR(VALUE(SUBSTITUTE(VLOOKUP(A298,'Sales IN Revenues vs Sales targ'!A:G,7,false)," $","")), "")
</f>
        <v/>
      </c>
      <c r="L298" s="17" t="str">
        <f t="shared" si="4"/>
        <v/>
      </c>
      <c r="M298" s="1">
        <f>value(SUBSTITUTE(IFERROR(VLOOKUP(A298,'Certifications achievements vs '!A:G,6,false),""),"#","")
)</f>
        <v>0</v>
      </c>
      <c r="N298" s="1">
        <f>value(SUBSTITUTE(IFERROR(VLOOKUP(A298,'Certifications achievements vs '!A:G,7,false),""),"#","")
)</f>
        <v>0</v>
      </c>
      <c r="O298" s="17" t="str">
        <f t="shared" si="5"/>
        <v/>
      </c>
      <c r="P298" s="1">
        <f>value(SUBSTITUTE(IFERROR(VLOOKUP(A298,'Communications - Solution Speci'!A:G,6,false),""),"#","")
)</f>
        <v>0</v>
      </c>
      <c r="Q298" s="1">
        <f>value(SUBSTITUTE(IFERROR(VLOOKUP(A298,'Communications - Solution Speci'!A:G,7,false),""),"#","")
)</f>
        <v>0</v>
      </c>
      <c r="R298" s="17" t="str">
        <f t="shared" si="6"/>
        <v/>
      </c>
      <c r="S298" s="1">
        <f>value(SUBSTITUTE(IFERROR(VLOOKUP(A298,'Networking - Solution Specializ'!A:G,6,false),""),"#","")
)</f>
        <v>0</v>
      </c>
      <c r="T298" s="1">
        <f>value(SUBSTITUTE(IFERROR(VLOOKUP(A298,'Networking - Solution Specializ'!A:G,7,false),""),"#","")
)</f>
        <v>0</v>
      </c>
      <c r="U298" s="17" t="str">
        <f t="shared" si="7"/>
        <v/>
      </c>
      <c r="V298" s="1" t="str">
        <f>iferror(vlookup(A298,'Marketing Plan (extract summary'!A:G,6,false),"")</f>
        <v/>
      </c>
      <c r="W298" s="1" t="str">
        <f>iferror(vlookup(A298,'Marketing Plan (extract summary'!A:G,7,false),"")</f>
        <v/>
      </c>
      <c r="X298" s="17" t="str">
        <f t="shared" si="8"/>
        <v/>
      </c>
      <c r="Y298" s="1">
        <f>value(IFERROR(SUBSTITUTE(SUBSTITUTE(VLOOKUP(A298,'Quarterly Pipeline vs Target Pi'!A:G,6,false)," $","")," €",""), "")
)</f>
        <v>0</v>
      </c>
      <c r="Z298" s="1">
        <f>value(IFERROR(SUBSTITUTE(SUBSTITUTE(VLOOKUP(A298,'Quarterly Pipeline vs Target Pi'!A:G,7,false)," $","")," €",""), "")
)</f>
        <v>0</v>
      </c>
      <c r="AA298" s="17" t="str">
        <f t="shared" si="9"/>
        <v/>
      </c>
      <c r="AB298" s="1">
        <f>value(IFERROR(SUBSTITUTE(SUBSTITUTE(VLOOKUP($A298,'Quarterly Pipeline vs Target Pi'!$A:$V,11,false)," $","")," €",""), "")
)</f>
        <v>0</v>
      </c>
      <c r="AC298" s="1">
        <f>value(IFERROR(SUBSTITUTE(SUBSTITUTE(VLOOKUP($A298,'Quarterly Pipeline vs Target Pi'!$A:$V,12,false)," $","")," €",""), "")
)</f>
        <v>0</v>
      </c>
      <c r="AD298" s="17" t="str">
        <f t="shared" si="10"/>
        <v/>
      </c>
      <c r="AE298" s="1">
        <f>value(IFERROR(SUBSTITUTE(SUBSTITUTE(VLOOKUP($A298,'Quarterly Pipeline vs Target Pi'!$A:$V,16,false)," $","")," €",""), "")
)</f>
        <v>0</v>
      </c>
      <c r="AF298" s="1">
        <f>value(IFERROR(SUBSTITUTE(SUBSTITUTE(VLOOKUP($A298,'Quarterly Pipeline vs Target Pi'!$A:$V,17,false)," $","")," €",""), "")
)</f>
        <v>0</v>
      </c>
      <c r="AG298" s="17" t="str">
        <f t="shared" si="11"/>
        <v/>
      </c>
      <c r="AH298" s="1">
        <f>value(IFERROR(SUBSTITUTE(SUBSTITUTE(VLOOKUP($A298,'Quarterly Pipeline vs Target Pi'!$A:$V,21,false)," $","")," €",""), "")
)</f>
        <v>0</v>
      </c>
      <c r="AI298" s="1">
        <f>value(IFERROR(SUBSTITUTE(SUBSTITUTE(VLOOKUP($A298,'Quarterly Pipeline vs Target Pi'!$A:$V,22,false)," $","")," €",""), "")
)</f>
        <v>0</v>
      </c>
      <c r="AJ298" s="17" t="str">
        <f t="shared" si="12"/>
        <v/>
      </c>
      <c r="AK298" s="1">
        <f t="shared" ref="AK298:AL298" si="609">sum(Y298,AB298,AE298,AH298)</f>
        <v>0</v>
      </c>
      <c r="AL298" s="1">
        <f t="shared" si="609"/>
        <v>0</v>
      </c>
      <c r="AM298" s="17" t="str">
        <f t="shared" si="14"/>
        <v/>
      </c>
      <c r="AN298" s="1">
        <f>value(IFERROR(SUBSTITUTE(SUBSTITUTE(VLOOKUP($A298,'Quarterly Pipeline vs Target Pi'!$A:$AP,26,false)," $","")," €",""), "")
)</f>
        <v>0</v>
      </c>
      <c r="AO298" s="1">
        <f>value(IFERROR(SUBSTITUTE(SUBSTITUTE(VLOOKUP($A298,'Quarterly Pipeline vs Target Pi'!$A:$AP,27,false)," $","")," €",""), "")
)</f>
        <v>0</v>
      </c>
      <c r="AP298" s="17" t="str">
        <f t="shared" si="15"/>
        <v/>
      </c>
      <c r="AQ298" s="1">
        <f>value(IFERROR(SUBSTITUTE(SUBSTITUTE(VLOOKUP($A298,'Quarterly Pipeline vs Target Pi'!$A:$AP,31,false)," $","")," €",""), "")
)</f>
        <v>0</v>
      </c>
      <c r="AR298" s="1">
        <f>value(IFERROR(SUBSTITUTE(SUBSTITUTE(VLOOKUP($A298,'Quarterly Pipeline vs Target Pi'!$A:$AP,32,false)," $","")," €",""), "")
)</f>
        <v>0</v>
      </c>
      <c r="AS298" s="17" t="str">
        <f t="shared" si="16"/>
        <v/>
      </c>
      <c r="AT298" s="1">
        <f>value(IFERROR(SUBSTITUTE(SUBSTITUTE(VLOOKUP($A298,'Quarterly Pipeline vs Target Pi'!$A:$AP,36,false)," $","")," €",""), "")
)</f>
        <v>0</v>
      </c>
      <c r="AU298" s="1">
        <f>value(IFERROR(SUBSTITUTE(SUBSTITUTE(VLOOKUP($A298,'Quarterly Pipeline vs Target Pi'!$A:$AP,37,false)," $","")," €",""), "")
)</f>
        <v>0</v>
      </c>
      <c r="AV298" s="17" t="str">
        <f t="shared" si="17"/>
        <v/>
      </c>
      <c r="AW298" s="1">
        <f>value(IFERROR(SUBSTITUTE(SUBSTITUTE(VLOOKUP($A298,'Quarterly Pipeline vs Target Pi'!$A:$AP,41,false)," $","")," €",""), "")
)</f>
        <v>0</v>
      </c>
      <c r="AX298" s="1">
        <f>value(IFERROR(SUBSTITUTE(SUBSTITUTE(VLOOKUP($A298,'Quarterly Pipeline vs Target Pi'!$A:$AP,42,false)," $","")," €",""), "")
)</f>
        <v>0</v>
      </c>
      <c r="AY298" s="17" t="str">
        <f t="shared" si="18"/>
        <v/>
      </c>
      <c r="AZ298" s="1">
        <f t="shared" ref="AZ298:BA298" si="610">sum(AN298,AQ298,AT298,AW298)</f>
        <v>0</v>
      </c>
      <c r="BA298" s="1">
        <f t="shared" si="610"/>
        <v>0</v>
      </c>
      <c r="BB298" s="17" t="str">
        <f t="shared" si="20"/>
        <v/>
      </c>
    </row>
    <row r="299">
      <c r="A299" s="1" t="str">
        <f>IFERROR(__xludf.DUMMYFUNCTION("""COMPUTED_VALUE"""),"65bcb6033b604a1b390563b7")</f>
        <v>65bcb6033b604a1b390563b7</v>
      </c>
      <c r="B299" s="1" t="str">
        <f>IFERROR(__xludf.DUMMYFUNCTION("""COMPUTED_VALUE"""),"Morefield")</f>
        <v>Morefield</v>
      </c>
      <c r="C299" s="1" t="str">
        <f>IFERROR(__xludf.DUMMYFUNCTION("""COMPUTED_VALUE"""),"brendan.flaherty@al-enterprise.com")</f>
        <v>brendan.flaherty@al-enterprise.com</v>
      </c>
      <c r="D299" s="1" t="str">
        <f>IFERROR(__xludf.DUMMYFUNCTION("""COMPUTED_VALUE"""),"americas")</f>
        <v>americas</v>
      </c>
      <c r="E299" s="1" t="str">
        <f>IFERROR(__xludf.DUMMYFUNCTION("""COMPUTED_VALUE"""),"US")</f>
        <v>US</v>
      </c>
      <c r="F299" s="1"/>
      <c r="G299" s="1" t="str">
        <f>iferror(VLOOKUP(A299,'Business Plan Setup and Accepta'!A:G,6,false),"")</f>
        <v/>
      </c>
      <c r="H299" s="1" t="str">
        <f>iferror(VLOOKUP(A299,'Business Plan Setup and Accepta'!A:G,7,false),"")</f>
        <v/>
      </c>
      <c r="I299" s="17" t="str">
        <f t="shared" si="3"/>
        <v/>
      </c>
      <c r="J299" s="1" t="str">
        <f>IFERROR(VALUE(SUBSTITUTE(VLOOKUP(A299,'Sales IN Revenues vs Sales targ'!A:G,6,false)," $","")), "")
</f>
        <v/>
      </c>
      <c r="K299" s="1" t="str">
        <f>IFERROR(VALUE(SUBSTITUTE(VLOOKUP(A299,'Sales IN Revenues vs Sales targ'!A:G,7,false)," $","")), "")
</f>
        <v/>
      </c>
      <c r="L299" s="17" t="str">
        <f t="shared" si="4"/>
        <v/>
      </c>
      <c r="M299" s="1">
        <f>value(SUBSTITUTE(IFERROR(VLOOKUP(A299,'Certifications achievements vs '!A:G,6,false),""),"#","")
)</f>
        <v>0</v>
      </c>
      <c r="N299" s="1">
        <f>value(SUBSTITUTE(IFERROR(VLOOKUP(A299,'Certifications achievements vs '!A:G,7,false),""),"#","")
)</f>
        <v>0</v>
      </c>
      <c r="O299" s="17" t="str">
        <f t="shared" si="5"/>
        <v/>
      </c>
      <c r="P299" s="1">
        <f>value(SUBSTITUTE(IFERROR(VLOOKUP(A299,'Communications - Solution Speci'!A:G,6,false),""),"#","")
)</f>
        <v>0</v>
      </c>
      <c r="Q299" s="1">
        <f>value(SUBSTITUTE(IFERROR(VLOOKUP(A299,'Communications - Solution Speci'!A:G,7,false),""),"#","")
)</f>
        <v>0</v>
      </c>
      <c r="R299" s="17" t="str">
        <f t="shared" si="6"/>
        <v/>
      </c>
      <c r="S299" s="1">
        <f>value(SUBSTITUTE(IFERROR(VLOOKUP(A299,'Networking - Solution Specializ'!A:G,6,false),""),"#","")
)</f>
        <v>0</v>
      </c>
      <c r="T299" s="1">
        <f>value(SUBSTITUTE(IFERROR(VLOOKUP(A299,'Networking - Solution Specializ'!A:G,7,false),""),"#","")
)</f>
        <v>0</v>
      </c>
      <c r="U299" s="17" t="str">
        <f t="shared" si="7"/>
        <v/>
      </c>
      <c r="V299" s="1" t="str">
        <f>iferror(vlookup(A299,'Marketing Plan (extract summary'!A:G,6,false),"")</f>
        <v/>
      </c>
      <c r="W299" s="1" t="str">
        <f>iferror(vlookup(A299,'Marketing Plan (extract summary'!A:G,7,false),"")</f>
        <v/>
      </c>
      <c r="X299" s="17" t="str">
        <f t="shared" si="8"/>
        <v/>
      </c>
      <c r="Y299" s="1">
        <f>value(IFERROR(SUBSTITUTE(SUBSTITUTE(VLOOKUP(A299,'Quarterly Pipeline vs Target Pi'!A:G,6,false)," $","")," €",""), "")
)</f>
        <v>0</v>
      </c>
      <c r="Z299" s="1">
        <f>value(IFERROR(SUBSTITUTE(SUBSTITUTE(VLOOKUP(A299,'Quarterly Pipeline vs Target Pi'!A:G,7,false)," $","")," €",""), "")
)</f>
        <v>0</v>
      </c>
      <c r="AA299" s="17" t="str">
        <f t="shared" si="9"/>
        <v/>
      </c>
      <c r="AB299" s="1">
        <f>value(IFERROR(SUBSTITUTE(SUBSTITUTE(VLOOKUP($A299,'Quarterly Pipeline vs Target Pi'!$A:$V,11,false)," $","")," €",""), "")
)</f>
        <v>0</v>
      </c>
      <c r="AC299" s="1">
        <f>value(IFERROR(SUBSTITUTE(SUBSTITUTE(VLOOKUP($A299,'Quarterly Pipeline vs Target Pi'!$A:$V,12,false)," $","")," €",""), "")
)</f>
        <v>0</v>
      </c>
      <c r="AD299" s="17" t="str">
        <f t="shared" si="10"/>
        <v/>
      </c>
      <c r="AE299" s="1">
        <f>value(IFERROR(SUBSTITUTE(SUBSTITUTE(VLOOKUP($A299,'Quarterly Pipeline vs Target Pi'!$A:$V,16,false)," $","")," €",""), "")
)</f>
        <v>0</v>
      </c>
      <c r="AF299" s="1">
        <f>value(IFERROR(SUBSTITUTE(SUBSTITUTE(VLOOKUP($A299,'Quarterly Pipeline vs Target Pi'!$A:$V,17,false)," $","")," €",""), "")
)</f>
        <v>0</v>
      </c>
      <c r="AG299" s="17" t="str">
        <f t="shared" si="11"/>
        <v/>
      </c>
      <c r="AH299" s="1">
        <f>value(IFERROR(SUBSTITUTE(SUBSTITUTE(VLOOKUP($A299,'Quarterly Pipeline vs Target Pi'!$A:$V,21,false)," $","")," €",""), "")
)</f>
        <v>0</v>
      </c>
      <c r="AI299" s="1">
        <f>value(IFERROR(SUBSTITUTE(SUBSTITUTE(VLOOKUP($A299,'Quarterly Pipeline vs Target Pi'!$A:$V,22,false)," $","")," €",""), "")
)</f>
        <v>0</v>
      </c>
      <c r="AJ299" s="17" t="str">
        <f t="shared" si="12"/>
        <v/>
      </c>
      <c r="AK299" s="1">
        <f t="shared" ref="AK299:AL299" si="611">sum(Y299,AB299,AE299,AH299)</f>
        <v>0</v>
      </c>
      <c r="AL299" s="1">
        <f t="shared" si="611"/>
        <v>0</v>
      </c>
      <c r="AM299" s="17" t="str">
        <f t="shared" si="14"/>
        <v/>
      </c>
      <c r="AN299" s="1">
        <f>value(IFERROR(SUBSTITUTE(SUBSTITUTE(VLOOKUP($A299,'Quarterly Pipeline vs Target Pi'!$A:$AP,26,false)," $","")," €",""), "")
)</f>
        <v>0</v>
      </c>
      <c r="AO299" s="1">
        <f>value(IFERROR(SUBSTITUTE(SUBSTITUTE(VLOOKUP($A299,'Quarterly Pipeline vs Target Pi'!$A:$AP,27,false)," $","")," €",""), "")
)</f>
        <v>0</v>
      </c>
      <c r="AP299" s="17" t="str">
        <f t="shared" si="15"/>
        <v/>
      </c>
      <c r="AQ299" s="1">
        <f>value(IFERROR(SUBSTITUTE(SUBSTITUTE(VLOOKUP($A299,'Quarterly Pipeline vs Target Pi'!$A:$AP,31,false)," $","")," €",""), "")
)</f>
        <v>0</v>
      </c>
      <c r="AR299" s="1">
        <f>value(IFERROR(SUBSTITUTE(SUBSTITUTE(VLOOKUP($A299,'Quarterly Pipeline vs Target Pi'!$A:$AP,32,false)," $","")," €",""), "")
)</f>
        <v>0</v>
      </c>
      <c r="AS299" s="17" t="str">
        <f t="shared" si="16"/>
        <v/>
      </c>
      <c r="AT299" s="1">
        <f>value(IFERROR(SUBSTITUTE(SUBSTITUTE(VLOOKUP($A299,'Quarterly Pipeline vs Target Pi'!$A:$AP,36,false)," $","")," €",""), "")
)</f>
        <v>0</v>
      </c>
      <c r="AU299" s="1">
        <f>value(IFERROR(SUBSTITUTE(SUBSTITUTE(VLOOKUP($A299,'Quarterly Pipeline vs Target Pi'!$A:$AP,37,false)," $","")," €",""), "")
)</f>
        <v>0</v>
      </c>
      <c r="AV299" s="17" t="str">
        <f t="shared" si="17"/>
        <v/>
      </c>
      <c r="AW299" s="1">
        <f>value(IFERROR(SUBSTITUTE(SUBSTITUTE(VLOOKUP($A299,'Quarterly Pipeline vs Target Pi'!$A:$AP,41,false)," $","")," €",""), "")
)</f>
        <v>0</v>
      </c>
      <c r="AX299" s="1">
        <f>value(IFERROR(SUBSTITUTE(SUBSTITUTE(VLOOKUP($A299,'Quarterly Pipeline vs Target Pi'!$A:$AP,42,false)," $","")," €",""), "")
)</f>
        <v>0</v>
      </c>
      <c r="AY299" s="17" t="str">
        <f t="shared" si="18"/>
        <v/>
      </c>
      <c r="AZ299" s="1">
        <f t="shared" ref="AZ299:BA299" si="612">sum(AN299,AQ299,AT299,AW299)</f>
        <v>0</v>
      </c>
      <c r="BA299" s="1">
        <f t="shared" si="612"/>
        <v>0</v>
      </c>
      <c r="BB299" s="17" t="str">
        <f t="shared" si="20"/>
        <v/>
      </c>
    </row>
    <row r="300">
      <c r="A300" s="1" t="str">
        <f>IFERROR(__xludf.DUMMYFUNCTION("""COMPUTED_VALUE"""),"63ef9d5c384f27260c1baaa1")</f>
        <v>63ef9d5c384f27260c1baaa1</v>
      </c>
      <c r="B300" s="1" t="str">
        <f>IFERROR(__xludf.DUMMYFUNCTION("""COMPUTED_VALUE"""),"Morse Communications, Inc")</f>
        <v>Morse Communications, Inc</v>
      </c>
      <c r="C300" s="1" t="str">
        <f>IFERROR(__xludf.DUMMYFUNCTION("""COMPUTED_VALUE"""),"luigy.estevanell@al-enterprise.com, robert.stitz@al-enterprise.com, jack.jachner@al-enterprise.com")</f>
        <v>luigy.estevanell@al-enterprise.com, robert.stitz@al-enterprise.com, jack.jachner@al-enterprise.com</v>
      </c>
      <c r="D300" s="1" t="str">
        <f>IFERROR(__xludf.DUMMYFUNCTION("""COMPUTED_VALUE"""),"americas")</f>
        <v>americas</v>
      </c>
      <c r="E300" s="1" t="str">
        <f>IFERROR(__xludf.DUMMYFUNCTION("""COMPUTED_VALUE"""),"US")</f>
        <v>US</v>
      </c>
      <c r="F300" s="1" t="str">
        <f>IFERROR(__xludf.DUMMYFUNCTION("""COMPUTED_VALUE"""),"expert_200")</f>
        <v>expert_200</v>
      </c>
      <c r="G300" s="1">
        <f>iferror(VLOOKUP(A300,'Business Plan Setup and Accepta'!A:G,6,false),"")</f>
        <v>0</v>
      </c>
      <c r="H300" s="1">
        <f>iferror(VLOOKUP(A300,'Business Plan Setup and Accepta'!A:G,7,false),"")</f>
        <v>1</v>
      </c>
      <c r="I300" s="17">
        <f t="shared" si="3"/>
        <v>0</v>
      </c>
      <c r="J300" s="1">
        <f>IFERROR(VALUE(SUBSTITUTE(VLOOKUP(A300,'Sales IN Revenues vs Sales targ'!A:G,6,false)," $","")), "")
</f>
        <v>490.78</v>
      </c>
      <c r="K300" s="1">
        <f>IFERROR(VALUE(SUBSTITUTE(VLOOKUP(A300,'Sales IN Revenues vs Sales targ'!A:G,7,false)," $","")), "")
</f>
        <v>951.39</v>
      </c>
      <c r="L300" s="17">
        <f t="shared" si="4"/>
        <v>0.5158557479</v>
      </c>
      <c r="M300" s="1">
        <f>value(SUBSTITUTE(IFERROR(VLOOKUP(A300,'Certifications achievements vs '!A:G,6,false),""),"#","")
)</f>
        <v>23</v>
      </c>
      <c r="N300" s="1">
        <f>value(SUBSTITUTE(IFERROR(VLOOKUP(A300,'Certifications achievements vs '!A:G,7,false),""),"#","")
)</f>
        <v>52</v>
      </c>
      <c r="O300" s="17">
        <f t="shared" si="5"/>
        <v>0.4423076923</v>
      </c>
      <c r="P300" s="1">
        <f>value(SUBSTITUTE(IFERROR(VLOOKUP(A300,'Communications - Solution Speci'!A:G,6,false),""),"#","")
)</f>
        <v>0</v>
      </c>
      <c r="Q300" s="1">
        <f>value(SUBSTITUTE(IFERROR(VLOOKUP(A300,'Communications - Solution Speci'!A:G,7,false),""),"#","")
)</f>
        <v>1</v>
      </c>
      <c r="R300" s="17">
        <f t="shared" si="6"/>
        <v>0</v>
      </c>
      <c r="S300" s="1">
        <f>value(SUBSTITUTE(IFERROR(VLOOKUP(A300,'Networking - Solution Specializ'!A:G,6,false),""),"#","")
)</f>
        <v>0</v>
      </c>
      <c r="T300" s="1">
        <f>value(SUBSTITUTE(IFERROR(VLOOKUP(A300,'Networking - Solution Specializ'!A:G,7,false),""),"#","")
)</f>
        <v>1</v>
      </c>
      <c r="U300" s="17">
        <f t="shared" si="7"/>
        <v>0</v>
      </c>
      <c r="V300" s="1">
        <f>iferror(vlookup(A300,'Marketing Plan (extract summary'!A:G,6,false),"")</f>
        <v>0</v>
      </c>
      <c r="W300" s="1">
        <f>iferror(vlookup(A300,'Marketing Plan (extract summary'!A:G,7,false),"")</f>
        <v>1</v>
      </c>
      <c r="X300" s="17">
        <f t="shared" si="8"/>
        <v>0</v>
      </c>
      <c r="Y300" s="1">
        <f>value(IFERROR(SUBSTITUTE(SUBSTITUTE(VLOOKUP(A300,'Quarterly Pipeline vs Target Pi'!A:G,6,false)," $","")," €",""), "")
)</f>
        <v>60.94</v>
      </c>
      <c r="Z300" s="1">
        <f>value(IFERROR(SUBSTITUTE(SUBSTITUTE(VLOOKUP(A300,'Quarterly Pipeline vs Target Pi'!A:G,7,false)," $","")," €",""), "")
)</f>
        <v>0</v>
      </c>
      <c r="AA300" s="17" t="str">
        <f t="shared" si="9"/>
        <v/>
      </c>
      <c r="AB300" s="1">
        <f>value(IFERROR(SUBSTITUTE(SUBSTITUTE(VLOOKUP($A300,'Quarterly Pipeline vs Target Pi'!$A:$V,11,false)," $","")," €",""), "")
)</f>
        <v>7.31</v>
      </c>
      <c r="AC300" s="1">
        <f>value(IFERROR(SUBSTITUTE(SUBSTITUTE(VLOOKUP($A300,'Quarterly Pipeline vs Target Pi'!$A:$V,12,false)," $","")," €",""), "")
)</f>
        <v>634.33</v>
      </c>
      <c r="AD300" s="17">
        <f t="shared" si="10"/>
        <v>0.01152397017</v>
      </c>
      <c r="AE300" s="1">
        <f>value(IFERROR(SUBSTITUTE(SUBSTITUTE(VLOOKUP($A300,'Quarterly Pipeline vs Target Pi'!$A:$V,16,false)," $","")," €",""), "")
)</f>
        <v>81.84</v>
      </c>
      <c r="AF300" s="1">
        <f>value(IFERROR(SUBSTITUTE(SUBSTITUTE(VLOOKUP($A300,'Quarterly Pipeline vs Target Pi'!$A:$V,17,false)," $","")," €",""), "")
)</f>
        <v>951.31</v>
      </c>
      <c r="AG300" s="17">
        <f t="shared" si="11"/>
        <v>0.08602873932</v>
      </c>
      <c r="AH300" s="1">
        <f>value(IFERROR(SUBSTITUTE(SUBSTITUTE(VLOOKUP($A300,'Quarterly Pipeline vs Target Pi'!$A:$V,21,false)," $","")," €",""), "")
)</f>
        <v>99.91</v>
      </c>
      <c r="AI300" s="1">
        <f>value(IFERROR(SUBSTITUTE(SUBSTITUTE(VLOOKUP($A300,'Quarterly Pipeline vs Target Pi'!$A:$V,22,false)," $","")," €",""), "")
)</f>
        <v>951.31</v>
      </c>
      <c r="AJ300" s="17">
        <f t="shared" si="12"/>
        <v>0.105023599</v>
      </c>
      <c r="AK300" s="1">
        <f t="shared" ref="AK300:AL300" si="613">sum(Y300,AB300,AE300,AH300)</f>
        <v>250</v>
      </c>
      <c r="AL300" s="1">
        <f t="shared" si="613"/>
        <v>2536.95</v>
      </c>
      <c r="AM300" s="17">
        <f t="shared" si="14"/>
        <v>0.09854352668</v>
      </c>
      <c r="AN300" s="1">
        <f>value(IFERROR(SUBSTITUTE(SUBSTITUTE(VLOOKUP($A300,'Quarterly Pipeline vs Target Pi'!$A:$AP,26,false)," $","")," €",""), "")
)</f>
        <v>100</v>
      </c>
      <c r="AO300" s="1">
        <f>value(IFERROR(SUBSTITUTE(SUBSTITUTE(VLOOKUP($A300,'Quarterly Pipeline vs Target Pi'!$A:$AP,27,false)," $","")," €",""), "")
)</f>
        <v>0</v>
      </c>
      <c r="AP300" s="17" t="str">
        <f t="shared" si="15"/>
        <v/>
      </c>
      <c r="AQ300" s="1">
        <f>value(IFERROR(SUBSTITUTE(SUBSTITUTE(VLOOKUP($A300,'Quarterly Pipeline vs Target Pi'!$A:$AP,31,false)," $","")," €",""), "")
)</f>
        <v>1046.99</v>
      </c>
      <c r="AR300" s="1">
        <f>value(IFERROR(SUBSTITUTE(SUBSTITUTE(VLOOKUP($A300,'Quarterly Pipeline vs Target Pi'!$A:$AP,32,false)," $","")," €",""), "")
)</f>
        <v>0</v>
      </c>
      <c r="AS300" s="17" t="str">
        <f t="shared" si="16"/>
        <v/>
      </c>
      <c r="AT300" s="1">
        <f>value(IFERROR(SUBSTITUTE(SUBSTITUTE(VLOOKUP($A300,'Quarterly Pipeline vs Target Pi'!$A:$AP,36,false)," $","")," €",""), "")
)</f>
        <v>0</v>
      </c>
      <c r="AU300" s="1">
        <f>value(IFERROR(SUBSTITUTE(SUBSTITUTE(VLOOKUP($A300,'Quarterly Pipeline vs Target Pi'!$A:$AP,37,false)," $","")," €",""), "")
)</f>
        <v>0</v>
      </c>
      <c r="AV300" s="17" t="str">
        <f t="shared" si="17"/>
        <v/>
      </c>
      <c r="AW300" s="1">
        <f>value(IFERROR(SUBSTITUTE(SUBSTITUTE(VLOOKUP($A300,'Quarterly Pipeline vs Target Pi'!$A:$AP,41,false)," $","")," €",""), "")
)</f>
        <v>0</v>
      </c>
      <c r="AX300" s="1">
        <f>value(IFERROR(SUBSTITUTE(SUBSTITUTE(VLOOKUP($A300,'Quarterly Pipeline vs Target Pi'!$A:$AP,42,false)," $","")," €",""), "")
)</f>
        <v>0</v>
      </c>
      <c r="AY300" s="17" t="str">
        <f t="shared" si="18"/>
        <v/>
      </c>
      <c r="AZ300" s="1">
        <f t="shared" ref="AZ300:BA300" si="614">sum(AN300,AQ300,AT300,AW300)</f>
        <v>1146.99</v>
      </c>
      <c r="BA300" s="1">
        <f t="shared" si="614"/>
        <v>0</v>
      </c>
      <c r="BB300" s="17" t="str">
        <f t="shared" si="20"/>
        <v/>
      </c>
    </row>
    <row r="301">
      <c r="A301" s="1" t="str">
        <f>IFERROR(__xludf.DUMMYFUNCTION("""COMPUTED_VALUE"""),"63ced84cc5c820531c2694eb")</f>
        <v>63ced84cc5c820531c2694eb</v>
      </c>
      <c r="B301" s="1" t="str">
        <f>IFERROR(__xludf.DUMMYFUNCTION("""COMPUTED_VALUE"""),"Motherboard Express Company")</f>
        <v>Motherboard Express Company</v>
      </c>
      <c r="C301" s="1" t="str">
        <f>IFERROR(__xludf.DUMMYFUNCTION("""COMPUTED_VALUE"""),"holly.berger@al-enterprise.com")</f>
        <v>holly.berger@al-enterprise.com</v>
      </c>
      <c r="D301" s="1" t="str">
        <f>IFERROR(__xludf.DUMMYFUNCTION("""COMPUTED_VALUE"""),"americas")</f>
        <v>americas</v>
      </c>
      <c r="E301" s="1" t="str">
        <f>IFERROR(__xludf.DUMMYFUNCTION("""COMPUTED_VALUE"""),"US")</f>
        <v>US</v>
      </c>
      <c r="F301" s="1"/>
      <c r="G301" s="1" t="str">
        <f>iferror(VLOOKUP(A301,'Business Plan Setup and Accepta'!A:G,6,false),"")</f>
        <v/>
      </c>
      <c r="H301" s="1" t="str">
        <f>iferror(VLOOKUP(A301,'Business Plan Setup and Accepta'!A:G,7,false),"")</f>
        <v/>
      </c>
      <c r="I301" s="17" t="str">
        <f t="shared" si="3"/>
        <v/>
      </c>
      <c r="J301" s="1" t="str">
        <f>IFERROR(VALUE(SUBSTITUTE(VLOOKUP(A301,'Sales IN Revenues vs Sales targ'!A:G,6,false)," $","")), "")
</f>
        <v/>
      </c>
      <c r="K301" s="1" t="str">
        <f>IFERROR(VALUE(SUBSTITUTE(VLOOKUP(A301,'Sales IN Revenues vs Sales targ'!A:G,7,false)," $","")), "")
</f>
        <v/>
      </c>
      <c r="L301" s="17" t="str">
        <f t="shared" si="4"/>
        <v/>
      </c>
      <c r="M301" s="1">
        <f>value(SUBSTITUTE(IFERROR(VLOOKUP(A301,'Certifications achievements vs '!A:G,6,false),""),"#","")
)</f>
        <v>0</v>
      </c>
      <c r="N301" s="1">
        <f>value(SUBSTITUTE(IFERROR(VLOOKUP(A301,'Certifications achievements vs '!A:G,7,false),""),"#","")
)</f>
        <v>0</v>
      </c>
      <c r="O301" s="17" t="str">
        <f t="shared" si="5"/>
        <v/>
      </c>
      <c r="P301" s="1">
        <f>value(SUBSTITUTE(IFERROR(VLOOKUP(A301,'Communications - Solution Speci'!A:G,6,false),""),"#","")
)</f>
        <v>0</v>
      </c>
      <c r="Q301" s="1">
        <f>value(SUBSTITUTE(IFERROR(VLOOKUP(A301,'Communications - Solution Speci'!A:G,7,false),""),"#","")
)</f>
        <v>0</v>
      </c>
      <c r="R301" s="17" t="str">
        <f t="shared" si="6"/>
        <v/>
      </c>
      <c r="S301" s="1">
        <f>value(SUBSTITUTE(IFERROR(VLOOKUP(A301,'Networking - Solution Specializ'!A:G,6,false),""),"#","")
)</f>
        <v>0</v>
      </c>
      <c r="T301" s="1">
        <f>value(SUBSTITUTE(IFERROR(VLOOKUP(A301,'Networking - Solution Specializ'!A:G,7,false),""),"#","")
)</f>
        <v>0</v>
      </c>
      <c r="U301" s="17" t="str">
        <f t="shared" si="7"/>
        <v/>
      </c>
      <c r="V301" s="1" t="str">
        <f>iferror(vlookup(A301,'Marketing Plan (extract summary'!A:G,6,false),"")</f>
        <v/>
      </c>
      <c r="W301" s="1" t="str">
        <f>iferror(vlookup(A301,'Marketing Plan (extract summary'!A:G,7,false),"")</f>
        <v/>
      </c>
      <c r="X301" s="17" t="str">
        <f t="shared" si="8"/>
        <v/>
      </c>
      <c r="Y301" s="1">
        <f>value(IFERROR(SUBSTITUTE(SUBSTITUTE(VLOOKUP(A301,'Quarterly Pipeline vs Target Pi'!A:G,6,false)," $","")," €",""), "")
)</f>
        <v>0</v>
      </c>
      <c r="Z301" s="1">
        <f>value(IFERROR(SUBSTITUTE(SUBSTITUTE(VLOOKUP(A301,'Quarterly Pipeline vs Target Pi'!A:G,7,false)," $","")," €",""), "")
)</f>
        <v>0</v>
      </c>
      <c r="AA301" s="17" t="str">
        <f t="shared" si="9"/>
        <v/>
      </c>
      <c r="AB301" s="1">
        <f>value(IFERROR(SUBSTITUTE(SUBSTITUTE(VLOOKUP($A301,'Quarterly Pipeline vs Target Pi'!$A:$V,11,false)," $","")," €",""), "")
)</f>
        <v>0</v>
      </c>
      <c r="AC301" s="1">
        <f>value(IFERROR(SUBSTITUTE(SUBSTITUTE(VLOOKUP($A301,'Quarterly Pipeline vs Target Pi'!$A:$V,12,false)," $","")," €",""), "")
)</f>
        <v>0</v>
      </c>
      <c r="AD301" s="17" t="str">
        <f t="shared" si="10"/>
        <v/>
      </c>
      <c r="AE301" s="1">
        <f>value(IFERROR(SUBSTITUTE(SUBSTITUTE(VLOOKUP($A301,'Quarterly Pipeline vs Target Pi'!$A:$V,16,false)," $","")," €",""), "")
)</f>
        <v>0</v>
      </c>
      <c r="AF301" s="1">
        <f>value(IFERROR(SUBSTITUTE(SUBSTITUTE(VLOOKUP($A301,'Quarterly Pipeline vs Target Pi'!$A:$V,17,false)," $","")," €",""), "")
)</f>
        <v>0</v>
      </c>
      <c r="AG301" s="17" t="str">
        <f t="shared" si="11"/>
        <v/>
      </c>
      <c r="AH301" s="1">
        <f>value(IFERROR(SUBSTITUTE(SUBSTITUTE(VLOOKUP($A301,'Quarterly Pipeline vs Target Pi'!$A:$V,21,false)," $","")," €",""), "")
)</f>
        <v>0</v>
      </c>
      <c r="AI301" s="1">
        <f>value(IFERROR(SUBSTITUTE(SUBSTITUTE(VLOOKUP($A301,'Quarterly Pipeline vs Target Pi'!$A:$V,22,false)," $","")," €",""), "")
)</f>
        <v>0</v>
      </c>
      <c r="AJ301" s="17" t="str">
        <f t="shared" si="12"/>
        <v/>
      </c>
      <c r="AK301" s="1">
        <f t="shared" ref="AK301:AL301" si="615">sum(Y301,AB301,AE301,AH301)</f>
        <v>0</v>
      </c>
      <c r="AL301" s="1">
        <f t="shared" si="615"/>
        <v>0</v>
      </c>
      <c r="AM301" s="17" t="str">
        <f t="shared" si="14"/>
        <v/>
      </c>
      <c r="AN301" s="1">
        <f>value(IFERROR(SUBSTITUTE(SUBSTITUTE(VLOOKUP($A301,'Quarterly Pipeline vs Target Pi'!$A:$AP,26,false)," $","")," €",""), "")
)</f>
        <v>0</v>
      </c>
      <c r="AO301" s="1">
        <f>value(IFERROR(SUBSTITUTE(SUBSTITUTE(VLOOKUP($A301,'Quarterly Pipeline vs Target Pi'!$A:$AP,27,false)," $","")," €",""), "")
)</f>
        <v>0</v>
      </c>
      <c r="AP301" s="17" t="str">
        <f t="shared" si="15"/>
        <v/>
      </c>
      <c r="AQ301" s="1">
        <f>value(IFERROR(SUBSTITUTE(SUBSTITUTE(VLOOKUP($A301,'Quarterly Pipeline vs Target Pi'!$A:$AP,31,false)," $","")," €",""), "")
)</f>
        <v>0</v>
      </c>
      <c r="AR301" s="1">
        <f>value(IFERROR(SUBSTITUTE(SUBSTITUTE(VLOOKUP($A301,'Quarterly Pipeline vs Target Pi'!$A:$AP,32,false)," $","")," €",""), "")
)</f>
        <v>0</v>
      </c>
      <c r="AS301" s="17" t="str">
        <f t="shared" si="16"/>
        <v/>
      </c>
      <c r="AT301" s="1">
        <f>value(IFERROR(SUBSTITUTE(SUBSTITUTE(VLOOKUP($A301,'Quarterly Pipeline vs Target Pi'!$A:$AP,36,false)," $","")," €",""), "")
)</f>
        <v>0</v>
      </c>
      <c r="AU301" s="1">
        <f>value(IFERROR(SUBSTITUTE(SUBSTITUTE(VLOOKUP($A301,'Quarterly Pipeline vs Target Pi'!$A:$AP,37,false)," $","")," €",""), "")
)</f>
        <v>0</v>
      </c>
      <c r="AV301" s="17" t="str">
        <f t="shared" si="17"/>
        <v/>
      </c>
      <c r="AW301" s="1">
        <f>value(IFERROR(SUBSTITUTE(SUBSTITUTE(VLOOKUP($A301,'Quarterly Pipeline vs Target Pi'!$A:$AP,41,false)," $","")," €",""), "")
)</f>
        <v>0</v>
      </c>
      <c r="AX301" s="1">
        <f>value(IFERROR(SUBSTITUTE(SUBSTITUTE(VLOOKUP($A301,'Quarterly Pipeline vs Target Pi'!$A:$AP,42,false)," $","")," €",""), "")
)</f>
        <v>0</v>
      </c>
      <c r="AY301" s="17" t="str">
        <f t="shared" si="18"/>
        <v/>
      </c>
      <c r="AZ301" s="1">
        <f t="shared" ref="AZ301:BA301" si="616">sum(AN301,AQ301,AT301,AW301)</f>
        <v>0</v>
      </c>
      <c r="BA301" s="1">
        <f t="shared" si="616"/>
        <v>0</v>
      </c>
      <c r="BB301" s="17" t="str">
        <f t="shared" si="20"/>
        <v/>
      </c>
    </row>
    <row r="302">
      <c r="A302" s="1" t="str">
        <f>IFERROR(__xludf.DUMMYFUNCTION("""COMPUTED_VALUE"""),"63ea6e9552ad6968805cee29")</f>
        <v>63ea6e9552ad6968805cee29</v>
      </c>
      <c r="B302" s="1" t="str">
        <f>IFERROR(__xludf.DUMMYFUNCTION("""COMPUTED_VALUE"""),"movetech Systemberatung")</f>
        <v>movetech Systemberatung</v>
      </c>
      <c r="C302" s="1" t="str">
        <f>IFERROR(__xludf.DUMMYFUNCTION("""COMPUTED_VALUE"""),"andreas.grossheimann@al-enterprise.com, andre.ramm@al-enterprise.com")</f>
        <v>andreas.grossheimann@al-enterprise.com, andre.ramm@al-enterprise.com</v>
      </c>
      <c r="D302" s="1" t="str">
        <f>IFERROR(__xludf.DUMMYFUNCTION("""COMPUTED_VALUE"""),"germany")</f>
        <v>germany</v>
      </c>
      <c r="E302" s="1" t="str">
        <f>IFERROR(__xludf.DUMMYFUNCTION("""COMPUTED_VALUE"""),"DE")</f>
        <v>DE</v>
      </c>
      <c r="F302" s="1"/>
      <c r="G302" s="1" t="str">
        <f>iferror(VLOOKUP(A302,'Business Plan Setup and Accepta'!A:G,6,false),"")</f>
        <v/>
      </c>
      <c r="H302" s="1" t="str">
        <f>iferror(VLOOKUP(A302,'Business Plan Setup and Accepta'!A:G,7,false),"")</f>
        <v/>
      </c>
      <c r="I302" s="17" t="str">
        <f t="shared" si="3"/>
        <v/>
      </c>
      <c r="J302" s="1" t="str">
        <f>IFERROR(VALUE(SUBSTITUTE(VLOOKUP(A302,'Sales IN Revenues vs Sales targ'!A:G,6,false)," $","")), "")
</f>
        <v/>
      </c>
      <c r="K302" s="1" t="str">
        <f>IFERROR(VALUE(SUBSTITUTE(VLOOKUP(A302,'Sales IN Revenues vs Sales targ'!A:G,7,false)," $","")), "")
</f>
        <v/>
      </c>
      <c r="L302" s="17" t="str">
        <f t="shared" si="4"/>
        <v/>
      </c>
      <c r="M302" s="1">
        <f>value(SUBSTITUTE(IFERROR(VLOOKUP(A302,'Certifications achievements vs '!A:G,6,false),""),"#","")
)</f>
        <v>0</v>
      </c>
      <c r="N302" s="1">
        <f>value(SUBSTITUTE(IFERROR(VLOOKUP(A302,'Certifications achievements vs '!A:G,7,false),""),"#","")
)</f>
        <v>0</v>
      </c>
      <c r="O302" s="17" t="str">
        <f t="shared" si="5"/>
        <v/>
      </c>
      <c r="P302" s="1">
        <f>value(SUBSTITUTE(IFERROR(VLOOKUP(A302,'Communications - Solution Speci'!A:G,6,false),""),"#","")
)</f>
        <v>0</v>
      </c>
      <c r="Q302" s="1">
        <f>value(SUBSTITUTE(IFERROR(VLOOKUP(A302,'Communications - Solution Speci'!A:G,7,false),""),"#","")
)</f>
        <v>0</v>
      </c>
      <c r="R302" s="17" t="str">
        <f t="shared" si="6"/>
        <v/>
      </c>
      <c r="S302" s="1">
        <f>value(SUBSTITUTE(IFERROR(VLOOKUP(A302,'Networking - Solution Specializ'!A:G,6,false),""),"#","")
)</f>
        <v>0</v>
      </c>
      <c r="T302" s="1">
        <f>value(SUBSTITUTE(IFERROR(VLOOKUP(A302,'Networking - Solution Specializ'!A:G,7,false),""),"#","")
)</f>
        <v>0</v>
      </c>
      <c r="U302" s="17" t="str">
        <f t="shared" si="7"/>
        <v/>
      </c>
      <c r="V302" s="1" t="str">
        <f>iferror(vlookup(A302,'Marketing Plan (extract summary'!A:G,6,false),"")</f>
        <v/>
      </c>
      <c r="W302" s="1" t="str">
        <f>iferror(vlookup(A302,'Marketing Plan (extract summary'!A:G,7,false),"")</f>
        <v/>
      </c>
      <c r="X302" s="17" t="str">
        <f t="shared" si="8"/>
        <v/>
      </c>
      <c r="Y302" s="1">
        <f>value(IFERROR(SUBSTITUTE(SUBSTITUTE(VLOOKUP(A302,'Quarterly Pipeline vs Target Pi'!A:G,6,false)," $","")," €",""), "")
)</f>
        <v>0</v>
      </c>
      <c r="Z302" s="1">
        <f>value(IFERROR(SUBSTITUTE(SUBSTITUTE(VLOOKUP(A302,'Quarterly Pipeline vs Target Pi'!A:G,7,false)," $","")," €",""), "")
)</f>
        <v>0</v>
      </c>
      <c r="AA302" s="17" t="str">
        <f t="shared" si="9"/>
        <v/>
      </c>
      <c r="AB302" s="1">
        <f>value(IFERROR(SUBSTITUTE(SUBSTITUTE(VLOOKUP($A302,'Quarterly Pipeline vs Target Pi'!$A:$V,11,false)," $","")," €",""), "")
)</f>
        <v>0</v>
      </c>
      <c r="AC302" s="1">
        <f>value(IFERROR(SUBSTITUTE(SUBSTITUTE(VLOOKUP($A302,'Quarterly Pipeline vs Target Pi'!$A:$V,12,false)," $","")," €",""), "")
)</f>
        <v>0</v>
      </c>
      <c r="AD302" s="17" t="str">
        <f t="shared" si="10"/>
        <v/>
      </c>
      <c r="AE302" s="1">
        <f>value(IFERROR(SUBSTITUTE(SUBSTITUTE(VLOOKUP($A302,'Quarterly Pipeline vs Target Pi'!$A:$V,16,false)," $","")," €",""), "")
)</f>
        <v>0</v>
      </c>
      <c r="AF302" s="1">
        <f>value(IFERROR(SUBSTITUTE(SUBSTITUTE(VLOOKUP($A302,'Quarterly Pipeline vs Target Pi'!$A:$V,17,false)," $","")," €",""), "")
)</f>
        <v>0</v>
      </c>
      <c r="AG302" s="17" t="str">
        <f t="shared" si="11"/>
        <v/>
      </c>
      <c r="AH302" s="1">
        <f>value(IFERROR(SUBSTITUTE(SUBSTITUTE(VLOOKUP($A302,'Quarterly Pipeline vs Target Pi'!$A:$V,21,false)," $","")," €",""), "")
)</f>
        <v>0</v>
      </c>
      <c r="AI302" s="1">
        <f>value(IFERROR(SUBSTITUTE(SUBSTITUTE(VLOOKUP($A302,'Quarterly Pipeline vs Target Pi'!$A:$V,22,false)," $","")," €",""), "")
)</f>
        <v>0</v>
      </c>
      <c r="AJ302" s="17" t="str">
        <f t="shared" si="12"/>
        <v/>
      </c>
      <c r="AK302" s="1">
        <f t="shared" ref="AK302:AL302" si="617">sum(Y302,AB302,AE302,AH302)</f>
        <v>0</v>
      </c>
      <c r="AL302" s="1">
        <f t="shared" si="617"/>
        <v>0</v>
      </c>
      <c r="AM302" s="17" t="str">
        <f t="shared" si="14"/>
        <v/>
      </c>
      <c r="AN302" s="1">
        <f>value(IFERROR(SUBSTITUTE(SUBSTITUTE(VLOOKUP($A302,'Quarterly Pipeline vs Target Pi'!$A:$AP,26,false)," $","")," €",""), "")
)</f>
        <v>0</v>
      </c>
      <c r="AO302" s="1">
        <f>value(IFERROR(SUBSTITUTE(SUBSTITUTE(VLOOKUP($A302,'Quarterly Pipeline vs Target Pi'!$A:$AP,27,false)," $","")," €",""), "")
)</f>
        <v>0</v>
      </c>
      <c r="AP302" s="17" t="str">
        <f t="shared" si="15"/>
        <v/>
      </c>
      <c r="AQ302" s="1">
        <f>value(IFERROR(SUBSTITUTE(SUBSTITUTE(VLOOKUP($A302,'Quarterly Pipeline vs Target Pi'!$A:$AP,31,false)," $","")," €",""), "")
)</f>
        <v>0</v>
      </c>
      <c r="AR302" s="1">
        <f>value(IFERROR(SUBSTITUTE(SUBSTITUTE(VLOOKUP($A302,'Quarterly Pipeline vs Target Pi'!$A:$AP,32,false)," $","")," €",""), "")
)</f>
        <v>0</v>
      </c>
      <c r="AS302" s="17" t="str">
        <f t="shared" si="16"/>
        <v/>
      </c>
      <c r="AT302" s="1">
        <f>value(IFERROR(SUBSTITUTE(SUBSTITUTE(VLOOKUP($A302,'Quarterly Pipeline vs Target Pi'!$A:$AP,36,false)," $","")," €",""), "")
)</f>
        <v>0</v>
      </c>
      <c r="AU302" s="1">
        <f>value(IFERROR(SUBSTITUTE(SUBSTITUTE(VLOOKUP($A302,'Quarterly Pipeline vs Target Pi'!$A:$AP,37,false)," $","")," €",""), "")
)</f>
        <v>0</v>
      </c>
      <c r="AV302" s="17" t="str">
        <f t="shared" si="17"/>
        <v/>
      </c>
      <c r="AW302" s="1">
        <f>value(IFERROR(SUBSTITUTE(SUBSTITUTE(VLOOKUP($A302,'Quarterly Pipeline vs Target Pi'!$A:$AP,41,false)," $","")," €",""), "")
)</f>
        <v>0</v>
      </c>
      <c r="AX302" s="1">
        <f>value(IFERROR(SUBSTITUTE(SUBSTITUTE(VLOOKUP($A302,'Quarterly Pipeline vs Target Pi'!$A:$AP,42,false)," $","")," €",""), "")
)</f>
        <v>0</v>
      </c>
      <c r="AY302" s="17" t="str">
        <f t="shared" si="18"/>
        <v/>
      </c>
      <c r="AZ302" s="1">
        <f t="shared" ref="AZ302:BA302" si="618">sum(AN302,AQ302,AT302,AW302)</f>
        <v>0</v>
      </c>
      <c r="BA302" s="1">
        <f t="shared" si="618"/>
        <v>0</v>
      </c>
      <c r="BB302" s="17" t="str">
        <f t="shared" si="20"/>
        <v/>
      </c>
    </row>
    <row r="303">
      <c r="A303" s="1" t="str">
        <f>IFERROR(__xludf.DUMMYFUNCTION("""COMPUTED_VALUE"""),"63ea6e9652ad6968805cef09")</f>
        <v>63ea6e9652ad6968805cef09</v>
      </c>
      <c r="B303" s="1" t="str">
        <f>IFERROR(__xludf.DUMMYFUNCTION("""COMPUTED_VALUE"""),"MR Compact GmbH")</f>
        <v>MR Compact GmbH</v>
      </c>
      <c r="C303" s="1" t="str">
        <f>IFERROR(__xludf.DUMMYFUNCTION("""COMPUTED_VALUE"""),"andreas.grossheimann@al-enterprise.com, andre.ramm@al-enterprise.com")</f>
        <v>andreas.grossheimann@al-enterprise.com, andre.ramm@al-enterprise.com</v>
      </c>
      <c r="D303" s="1" t="str">
        <f>IFERROR(__xludf.DUMMYFUNCTION("""COMPUTED_VALUE"""),"germany")</f>
        <v>germany</v>
      </c>
      <c r="E303" s="1" t="str">
        <f>IFERROR(__xludf.DUMMYFUNCTION("""COMPUTED_VALUE"""),"DE")</f>
        <v>DE</v>
      </c>
      <c r="F303" s="1"/>
      <c r="G303" s="1" t="str">
        <f>iferror(VLOOKUP(A303,'Business Plan Setup and Accepta'!A:G,6,false),"")</f>
        <v/>
      </c>
      <c r="H303" s="1" t="str">
        <f>iferror(VLOOKUP(A303,'Business Plan Setup and Accepta'!A:G,7,false),"")</f>
        <v/>
      </c>
      <c r="I303" s="17" t="str">
        <f t="shared" si="3"/>
        <v/>
      </c>
      <c r="J303" s="1" t="str">
        <f>IFERROR(VALUE(SUBSTITUTE(VLOOKUP(A303,'Sales IN Revenues vs Sales targ'!A:G,6,false)," $","")), "")
</f>
        <v/>
      </c>
      <c r="K303" s="1" t="str">
        <f>IFERROR(VALUE(SUBSTITUTE(VLOOKUP(A303,'Sales IN Revenues vs Sales targ'!A:G,7,false)," $","")), "")
</f>
        <v/>
      </c>
      <c r="L303" s="17" t="str">
        <f t="shared" si="4"/>
        <v/>
      </c>
      <c r="M303" s="1">
        <f>value(SUBSTITUTE(IFERROR(VLOOKUP(A303,'Certifications achievements vs '!A:G,6,false),""),"#","")
)</f>
        <v>0</v>
      </c>
      <c r="N303" s="1">
        <f>value(SUBSTITUTE(IFERROR(VLOOKUP(A303,'Certifications achievements vs '!A:G,7,false),""),"#","")
)</f>
        <v>0</v>
      </c>
      <c r="O303" s="17" t="str">
        <f t="shared" si="5"/>
        <v/>
      </c>
      <c r="P303" s="1">
        <f>value(SUBSTITUTE(IFERROR(VLOOKUP(A303,'Communications - Solution Speci'!A:G,6,false),""),"#","")
)</f>
        <v>0</v>
      </c>
      <c r="Q303" s="1">
        <f>value(SUBSTITUTE(IFERROR(VLOOKUP(A303,'Communications - Solution Speci'!A:G,7,false),""),"#","")
)</f>
        <v>0</v>
      </c>
      <c r="R303" s="17" t="str">
        <f t="shared" si="6"/>
        <v/>
      </c>
      <c r="S303" s="1">
        <f>value(SUBSTITUTE(IFERROR(VLOOKUP(A303,'Networking - Solution Specializ'!A:G,6,false),""),"#","")
)</f>
        <v>0</v>
      </c>
      <c r="T303" s="1">
        <f>value(SUBSTITUTE(IFERROR(VLOOKUP(A303,'Networking - Solution Specializ'!A:G,7,false),""),"#","")
)</f>
        <v>0</v>
      </c>
      <c r="U303" s="17" t="str">
        <f t="shared" si="7"/>
        <v/>
      </c>
      <c r="V303" s="1" t="str">
        <f>iferror(vlookup(A303,'Marketing Plan (extract summary'!A:G,6,false),"")</f>
        <v/>
      </c>
      <c r="W303" s="1" t="str">
        <f>iferror(vlookup(A303,'Marketing Plan (extract summary'!A:G,7,false),"")</f>
        <v/>
      </c>
      <c r="X303" s="17" t="str">
        <f t="shared" si="8"/>
        <v/>
      </c>
      <c r="Y303" s="1">
        <f>value(IFERROR(SUBSTITUTE(SUBSTITUTE(VLOOKUP(A303,'Quarterly Pipeline vs Target Pi'!A:G,6,false)," $","")," €",""), "")
)</f>
        <v>0</v>
      </c>
      <c r="Z303" s="1">
        <f>value(IFERROR(SUBSTITUTE(SUBSTITUTE(VLOOKUP(A303,'Quarterly Pipeline vs Target Pi'!A:G,7,false)," $","")," €",""), "")
)</f>
        <v>0</v>
      </c>
      <c r="AA303" s="17" t="str">
        <f t="shared" si="9"/>
        <v/>
      </c>
      <c r="AB303" s="1">
        <f>value(IFERROR(SUBSTITUTE(SUBSTITUTE(VLOOKUP($A303,'Quarterly Pipeline vs Target Pi'!$A:$V,11,false)," $","")," €",""), "")
)</f>
        <v>0</v>
      </c>
      <c r="AC303" s="1">
        <f>value(IFERROR(SUBSTITUTE(SUBSTITUTE(VLOOKUP($A303,'Quarterly Pipeline vs Target Pi'!$A:$V,12,false)," $","")," €",""), "")
)</f>
        <v>0</v>
      </c>
      <c r="AD303" s="17" t="str">
        <f t="shared" si="10"/>
        <v/>
      </c>
      <c r="AE303" s="1">
        <f>value(IFERROR(SUBSTITUTE(SUBSTITUTE(VLOOKUP($A303,'Quarterly Pipeline vs Target Pi'!$A:$V,16,false)," $","")," €",""), "")
)</f>
        <v>0</v>
      </c>
      <c r="AF303" s="1">
        <f>value(IFERROR(SUBSTITUTE(SUBSTITUTE(VLOOKUP($A303,'Quarterly Pipeline vs Target Pi'!$A:$V,17,false)," $","")," €",""), "")
)</f>
        <v>0</v>
      </c>
      <c r="AG303" s="17" t="str">
        <f t="shared" si="11"/>
        <v/>
      </c>
      <c r="AH303" s="1">
        <f>value(IFERROR(SUBSTITUTE(SUBSTITUTE(VLOOKUP($A303,'Quarterly Pipeline vs Target Pi'!$A:$V,21,false)," $","")," €",""), "")
)</f>
        <v>0</v>
      </c>
      <c r="AI303" s="1">
        <f>value(IFERROR(SUBSTITUTE(SUBSTITUTE(VLOOKUP($A303,'Quarterly Pipeline vs Target Pi'!$A:$V,22,false)," $","")," €",""), "")
)</f>
        <v>0</v>
      </c>
      <c r="AJ303" s="17" t="str">
        <f t="shared" si="12"/>
        <v/>
      </c>
      <c r="AK303" s="1">
        <f t="shared" ref="AK303:AL303" si="619">sum(Y303,AB303,AE303,AH303)</f>
        <v>0</v>
      </c>
      <c r="AL303" s="1">
        <f t="shared" si="619"/>
        <v>0</v>
      </c>
      <c r="AM303" s="17" t="str">
        <f t="shared" si="14"/>
        <v/>
      </c>
      <c r="AN303" s="1">
        <f>value(IFERROR(SUBSTITUTE(SUBSTITUTE(VLOOKUP($A303,'Quarterly Pipeline vs Target Pi'!$A:$AP,26,false)," $","")," €",""), "")
)</f>
        <v>0</v>
      </c>
      <c r="AO303" s="1">
        <f>value(IFERROR(SUBSTITUTE(SUBSTITUTE(VLOOKUP($A303,'Quarterly Pipeline vs Target Pi'!$A:$AP,27,false)," $","")," €",""), "")
)</f>
        <v>0</v>
      </c>
      <c r="AP303" s="17" t="str">
        <f t="shared" si="15"/>
        <v/>
      </c>
      <c r="AQ303" s="1">
        <f>value(IFERROR(SUBSTITUTE(SUBSTITUTE(VLOOKUP($A303,'Quarterly Pipeline vs Target Pi'!$A:$AP,31,false)," $","")," €",""), "")
)</f>
        <v>0</v>
      </c>
      <c r="AR303" s="1">
        <f>value(IFERROR(SUBSTITUTE(SUBSTITUTE(VLOOKUP($A303,'Quarterly Pipeline vs Target Pi'!$A:$AP,32,false)," $","")," €",""), "")
)</f>
        <v>0</v>
      </c>
      <c r="AS303" s="17" t="str">
        <f t="shared" si="16"/>
        <v/>
      </c>
      <c r="AT303" s="1">
        <f>value(IFERROR(SUBSTITUTE(SUBSTITUTE(VLOOKUP($A303,'Quarterly Pipeline vs Target Pi'!$A:$AP,36,false)," $","")," €",""), "")
)</f>
        <v>0</v>
      </c>
      <c r="AU303" s="1">
        <f>value(IFERROR(SUBSTITUTE(SUBSTITUTE(VLOOKUP($A303,'Quarterly Pipeline vs Target Pi'!$A:$AP,37,false)," $","")," €",""), "")
)</f>
        <v>0</v>
      </c>
      <c r="AV303" s="17" t="str">
        <f t="shared" si="17"/>
        <v/>
      </c>
      <c r="AW303" s="1">
        <f>value(IFERROR(SUBSTITUTE(SUBSTITUTE(VLOOKUP($A303,'Quarterly Pipeline vs Target Pi'!$A:$AP,41,false)," $","")," €",""), "")
)</f>
        <v>0</v>
      </c>
      <c r="AX303" s="1">
        <f>value(IFERROR(SUBSTITUTE(SUBSTITUTE(VLOOKUP($A303,'Quarterly Pipeline vs Target Pi'!$A:$AP,42,false)," $","")," €",""), "")
)</f>
        <v>0</v>
      </c>
      <c r="AY303" s="17" t="str">
        <f t="shared" si="18"/>
        <v/>
      </c>
      <c r="AZ303" s="1">
        <f t="shared" ref="AZ303:BA303" si="620">sum(AN303,AQ303,AT303,AW303)</f>
        <v>0</v>
      </c>
      <c r="BA303" s="1">
        <f t="shared" si="620"/>
        <v>0</v>
      </c>
      <c r="BB303" s="17" t="str">
        <f t="shared" si="20"/>
        <v/>
      </c>
    </row>
    <row r="304">
      <c r="A304" s="1" t="str">
        <f>IFERROR(__xludf.DUMMYFUNCTION("""COMPUTED_VALUE"""),"63ea6e9752ad6968805cf171")</f>
        <v>63ea6e9752ad6968805cf171</v>
      </c>
      <c r="B304" s="1" t="str">
        <f>IFERROR(__xludf.DUMMYFUNCTION("""COMPUTED_VALUE"""),"Mr. IT - Michael Muller")</f>
        <v>Mr. IT - Michael Muller</v>
      </c>
      <c r="C304" s="1" t="str">
        <f>IFERROR(__xludf.DUMMYFUNCTION("""COMPUTED_VALUE"""),"andreas.grossheimann@al-enterprise.com, andre.ramm@al-enterprise.com")</f>
        <v>andreas.grossheimann@al-enterprise.com, andre.ramm@al-enterprise.com</v>
      </c>
      <c r="D304" s="1" t="str">
        <f>IFERROR(__xludf.DUMMYFUNCTION("""COMPUTED_VALUE"""),"germany")</f>
        <v>germany</v>
      </c>
      <c r="E304" s="1" t="str">
        <f>IFERROR(__xludf.DUMMYFUNCTION("""COMPUTED_VALUE"""),"DE")</f>
        <v>DE</v>
      </c>
      <c r="F304" s="1"/>
      <c r="G304" s="1" t="str">
        <f>iferror(VLOOKUP(A304,'Business Plan Setup and Accepta'!A:G,6,false),"")</f>
        <v/>
      </c>
      <c r="H304" s="1" t="str">
        <f>iferror(VLOOKUP(A304,'Business Plan Setup and Accepta'!A:G,7,false),"")</f>
        <v/>
      </c>
      <c r="I304" s="17" t="str">
        <f t="shared" si="3"/>
        <v/>
      </c>
      <c r="J304" s="1" t="str">
        <f>IFERROR(VALUE(SUBSTITUTE(VLOOKUP(A304,'Sales IN Revenues vs Sales targ'!A:G,6,false)," $","")), "")
</f>
        <v/>
      </c>
      <c r="K304" s="1" t="str">
        <f>IFERROR(VALUE(SUBSTITUTE(VLOOKUP(A304,'Sales IN Revenues vs Sales targ'!A:G,7,false)," $","")), "")
</f>
        <v/>
      </c>
      <c r="L304" s="17" t="str">
        <f t="shared" si="4"/>
        <v/>
      </c>
      <c r="M304" s="1">
        <f>value(SUBSTITUTE(IFERROR(VLOOKUP(A304,'Certifications achievements vs '!A:G,6,false),""),"#","")
)</f>
        <v>0</v>
      </c>
      <c r="N304" s="1">
        <f>value(SUBSTITUTE(IFERROR(VLOOKUP(A304,'Certifications achievements vs '!A:G,7,false),""),"#","")
)</f>
        <v>0</v>
      </c>
      <c r="O304" s="17" t="str">
        <f t="shared" si="5"/>
        <v/>
      </c>
      <c r="P304" s="1">
        <f>value(SUBSTITUTE(IFERROR(VLOOKUP(A304,'Communications - Solution Speci'!A:G,6,false),""),"#","")
)</f>
        <v>0</v>
      </c>
      <c r="Q304" s="1">
        <f>value(SUBSTITUTE(IFERROR(VLOOKUP(A304,'Communications - Solution Speci'!A:G,7,false),""),"#","")
)</f>
        <v>0</v>
      </c>
      <c r="R304" s="17" t="str">
        <f t="shared" si="6"/>
        <v/>
      </c>
      <c r="S304" s="1">
        <f>value(SUBSTITUTE(IFERROR(VLOOKUP(A304,'Networking - Solution Specializ'!A:G,6,false),""),"#","")
)</f>
        <v>0</v>
      </c>
      <c r="T304" s="1">
        <f>value(SUBSTITUTE(IFERROR(VLOOKUP(A304,'Networking - Solution Specializ'!A:G,7,false),""),"#","")
)</f>
        <v>0</v>
      </c>
      <c r="U304" s="17" t="str">
        <f t="shared" si="7"/>
        <v/>
      </c>
      <c r="V304" s="1" t="str">
        <f>iferror(vlookup(A304,'Marketing Plan (extract summary'!A:G,6,false),"")</f>
        <v/>
      </c>
      <c r="W304" s="1" t="str">
        <f>iferror(vlookup(A304,'Marketing Plan (extract summary'!A:G,7,false),"")</f>
        <v/>
      </c>
      <c r="X304" s="17" t="str">
        <f t="shared" si="8"/>
        <v/>
      </c>
      <c r="Y304" s="1">
        <f>value(IFERROR(SUBSTITUTE(SUBSTITUTE(VLOOKUP(A304,'Quarterly Pipeline vs Target Pi'!A:G,6,false)," $","")," €",""), "")
)</f>
        <v>0</v>
      </c>
      <c r="Z304" s="1">
        <f>value(IFERROR(SUBSTITUTE(SUBSTITUTE(VLOOKUP(A304,'Quarterly Pipeline vs Target Pi'!A:G,7,false)," $","")," €",""), "")
)</f>
        <v>0</v>
      </c>
      <c r="AA304" s="17" t="str">
        <f t="shared" si="9"/>
        <v/>
      </c>
      <c r="AB304" s="1">
        <f>value(IFERROR(SUBSTITUTE(SUBSTITUTE(VLOOKUP($A304,'Quarterly Pipeline vs Target Pi'!$A:$V,11,false)," $","")," €",""), "")
)</f>
        <v>0</v>
      </c>
      <c r="AC304" s="1">
        <f>value(IFERROR(SUBSTITUTE(SUBSTITUTE(VLOOKUP($A304,'Quarterly Pipeline vs Target Pi'!$A:$V,12,false)," $","")," €",""), "")
)</f>
        <v>0</v>
      </c>
      <c r="AD304" s="17" t="str">
        <f t="shared" si="10"/>
        <v/>
      </c>
      <c r="AE304" s="1">
        <f>value(IFERROR(SUBSTITUTE(SUBSTITUTE(VLOOKUP($A304,'Quarterly Pipeline vs Target Pi'!$A:$V,16,false)," $","")," €",""), "")
)</f>
        <v>0</v>
      </c>
      <c r="AF304" s="1">
        <f>value(IFERROR(SUBSTITUTE(SUBSTITUTE(VLOOKUP($A304,'Quarterly Pipeline vs Target Pi'!$A:$V,17,false)," $","")," €",""), "")
)</f>
        <v>0</v>
      </c>
      <c r="AG304" s="17" t="str">
        <f t="shared" si="11"/>
        <v/>
      </c>
      <c r="AH304" s="1">
        <f>value(IFERROR(SUBSTITUTE(SUBSTITUTE(VLOOKUP($A304,'Quarterly Pipeline vs Target Pi'!$A:$V,21,false)," $","")," €",""), "")
)</f>
        <v>0</v>
      </c>
      <c r="AI304" s="1">
        <f>value(IFERROR(SUBSTITUTE(SUBSTITUTE(VLOOKUP($A304,'Quarterly Pipeline vs Target Pi'!$A:$V,22,false)," $","")," €",""), "")
)</f>
        <v>0</v>
      </c>
      <c r="AJ304" s="17" t="str">
        <f t="shared" si="12"/>
        <v/>
      </c>
      <c r="AK304" s="1">
        <f t="shared" ref="AK304:AL304" si="621">sum(Y304,AB304,AE304,AH304)</f>
        <v>0</v>
      </c>
      <c r="AL304" s="1">
        <f t="shared" si="621"/>
        <v>0</v>
      </c>
      <c r="AM304" s="17" t="str">
        <f t="shared" si="14"/>
        <v/>
      </c>
      <c r="AN304" s="1">
        <f>value(IFERROR(SUBSTITUTE(SUBSTITUTE(VLOOKUP($A304,'Quarterly Pipeline vs Target Pi'!$A:$AP,26,false)," $","")," €",""), "")
)</f>
        <v>0</v>
      </c>
      <c r="AO304" s="1">
        <f>value(IFERROR(SUBSTITUTE(SUBSTITUTE(VLOOKUP($A304,'Quarterly Pipeline vs Target Pi'!$A:$AP,27,false)," $","")," €",""), "")
)</f>
        <v>0</v>
      </c>
      <c r="AP304" s="17" t="str">
        <f t="shared" si="15"/>
        <v/>
      </c>
      <c r="AQ304" s="1">
        <f>value(IFERROR(SUBSTITUTE(SUBSTITUTE(VLOOKUP($A304,'Quarterly Pipeline vs Target Pi'!$A:$AP,31,false)," $","")," €",""), "")
)</f>
        <v>0</v>
      </c>
      <c r="AR304" s="1">
        <f>value(IFERROR(SUBSTITUTE(SUBSTITUTE(VLOOKUP($A304,'Quarterly Pipeline vs Target Pi'!$A:$AP,32,false)," $","")," €",""), "")
)</f>
        <v>0</v>
      </c>
      <c r="AS304" s="17" t="str">
        <f t="shared" si="16"/>
        <v/>
      </c>
      <c r="AT304" s="1">
        <f>value(IFERROR(SUBSTITUTE(SUBSTITUTE(VLOOKUP($A304,'Quarterly Pipeline vs Target Pi'!$A:$AP,36,false)," $","")," €",""), "")
)</f>
        <v>0</v>
      </c>
      <c r="AU304" s="1">
        <f>value(IFERROR(SUBSTITUTE(SUBSTITUTE(VLOOKUP($A304,'Quarterly Pipeline vs Target Pi'!$A:$AP,37,false)," $","")," €",""), "")
)</f>
        <v>0</v>
      </c>
      <c r="AV304" s="17" t="str">
        <f t="shared" si="17"/>
        <v/>
      </c>
      <c r="AW304" s="1">
        <f>value(IFERROR(SUBSTITUTE(SUBSTITUTE(VLOOKUP($A304,'Quarterly Pipeline vs Target Pi'!$A:$AP,41,false)," $","")," €",""), "")
)</f>
        <v>0</v>
      </c>
      <c r="AX304" s="1">
        <f>value(IFERROR(SUBSTITUTE(SUBSTITUTE(VLOOKUP($A304,'Quarterly Pipeline vs Target Pi'!$A:$AP,42,false)," $","")," €",""), "")
)</f>
        <v>0</v>
      </c>
      <c r="AY304" s="17" t="str">
        <f t="shared" si="18"/>
        <v/>
      </c>
      <c r="AZ304" s="1">
        <f t="shared" ref="AZ304:BA304" si="622">sum(AN304,AQ304,AT304,AW304)</f>
        <v>0</v>
      </c>
      <c r="BA304" s="1">
        <f t="shared" si="622"/>
        <v>0</v>
      </c>
      <c r="BB304" s="17" t="str">
        <f t="shared" si="20"/>
        <v/>
      </c>
    </row>
    <row r="305">
      <c r="A305" s="1" t="str">
        <f>IFERROR(__xludf.DUMMYFUNCTION("""COMPUTED_VALUE"""),"63ea6e9452ad6968805cec3f")</f>
        <v>63ea6e9452ad6968805cec3f</v>
      </c>
      <c r="B305" s="1" t="str">
        <f>IFERROR(__xludf.DUMMYFUNCTION("""COMPUTED_VALUE"""),"MTG-Kommunikations-Technik GmbH")</f>
        <v>MTG-Kommunikations-Technik GmbH</v>
      </c>
      <c r="C305" s="1" t="str">
        <f>IFERROR(__xludf.DUMMYFUNCTION("""COMPUTED_VALUE"""),"andreas.grossheimann@al-enterprise.com, katrin.pfeiffer@al-enterprise.com, sibylle.klopfer@al-enterprise.com, igor.leko@al-enterprise.com, daniel.scheidl@al-enterprise.com, hakan.adiguezel@al-enterprise.com")</f>
        <v>andreas.grossheimann@al-enterprise.com, katrin.pfeiffer@al-enterprise.com, sibylle.klopfer@al-enterprise.com, igor.leko@al-enterprise.com, daniel.scheidl@al-enterprise.com, hakan.adiguezel@al-enterprise.com</v>
      </c>
      <c r="D305" s="1" t="str">
        <f>IFERROR(__xludf.DUMMYFUNCTION("""COMPUTED_VALUE"""),"germany")</f>
        <v>germany</v>
      </c>
      <c r="E305" s="1" t="str">
        <f>IFERROR(__xludf.DUMMYFUNCTION("""COMPUTED_VALUE"""),"DE")</f>
        <v>DE</v>
      </c>
      <c r="F305" s="1"/>
      <c r="G305" s="1" t="str">
        <f>iferror(VLOOKUP(A305,'Business Plan Setup and Accepta'!A:G,6,false),"")</f>
        <v/>
      </c>
      <c r="H305" s="1" t="str">
        <f>iferror(VLOOKUP(A305,'Business Plan Setup and Accepta'!A:G,7,false),"")</f>
        <v/>
      </c>
      <c r="I305" s="17" t="str">
        <f t="shared" si="3"/>
        <v/>
      </c>
      <c r="J305" s="1" t="str">
        <f>IFERROR(VALUE(SUBSTITUTE(VLOOKUP(A305,'Sales IN Revenues vs Sales targ'!A:G,6,false)," $","")), "")
</f>
        <v/>
      </c>
      <c r="K305" s="1" t="str">
        <f>IFERROR(VALUE(SUBSTITUTE(VLOOKUP(A305,'Sales IN Revenues vs Sales targ'!A:G,7,false)," $","")), "")
</f>
        <v/>
      </c>
      <c r="L305" s="17" t="str">
        <f t="shared" si="4"/>
        <v/>
      </c>
      <c r="M305" s="1">
        <f>value(SUBSTITUTE(IFERROR(VLOOKUP(A305,'Certifications achievements vs '!A:G,6,false),""),"#","")
)</f>
        <v>0</v>
      </c>
      <c r="N305" s="1">
        <f>value(SUBSTITUTE(IFERROR(VLOOKUP(A305,'Certifications achievements vs '!A:G,7,false),""),"#","")
)</f>
        <v>0</v>
      </c>
      <c r="O305" s="17" t="str">
        <f t="shared" si="5"/>
        <v/>
      </c>
      <c r="P305" s="1">
        <f>value(SUBSTITUTE(IFERROR(VLOOKUP(A305,'Communications - Solution Speci'!A:G,6,false),""),"#","")
)</f>
        <v>0</v>
      </c>
      <c r="Q305" s="1">
        <f>value(SUBSTITUTE(IFERROR(VLOOKUP(A305,'Communications - Solution Speci'!A:G,7,false),""),"#","")
)</f>
        <v>0</v>
      </c>
      <c r="R305" s="17" t="str">
        <f t="shared" si="6"/>
        <v/>
      </c>
      <c r="S305" s="1">
        <f>value(SUBSTITUTE(IFERROR(VLOOKUP(A305,'Networking - Solution Specializ'!A:G,6,false),""),"#","")
)</f>
        <v>0</v>
      </c>
      <c r="T305" s="1">
        <f>value(SUBSTITUTE(IFERROR(VLOOKUP(A305,'Networking - Solution Specializ'!A:G,7,false),""),"#","")
)</f>
        <v>0</v>
      </c>
      <c r="U305" s="17" t="str">
        <f t="shared" si="7"/>
        <v/>
      </c>
      <c r="V305" s="1" t="str">
        <f>iferror(vlookup(A305,'Marketing Plan (extract summary'!A:G,6,false),"")</f>
        <v/>
      </c>
      <c r="W305" s="1" t="str">
        <f>iferror(vlookup(A305,'Marketing Plan (extract summary'!A:G,7,false),"")</f>
        <v/>
      </c>
      <c r="X305" s="17" t="str">
        <f t="shared" si="8"/>
        <v/>
      </c>
      <c r="Y305" s="1">
        <f>value(IFERROR(SUBSTITUTE(SUBSTITUTE(VLOOKUP(A305,'Quarterly Pipeline vs Target Pi'!A:G,6,false)," $","")," €",""), "")
)</f>
        <v>0</v>
      </c>
      <c r="Z305" s="1">
        <f>value(IFERROR(SUBSTITUTE(SUBSTITUTE(VLOOKUP(A305,'Quarterly Pipeline vs Target Pi'!A:G,7,false)," $","")," €",""), "")
)</f>
        <v>0</v>
      </c>
      <c r="AA305" s="17" t="str">
        <f t="shared" si="9"/>
        <v/>
      </c>
      <c r="AB305" s="1">
        <f>value(IFERROR(SUBSTITUTE(SUBSTITUTE(VLOOKUP($A305,'Quarterly Pipeline vs Target Pi'!$A:$V,11,false)," $","")," €",""), "")
)</f>
        <v>0</v>
      </c>
      <c r="AC305" s="1">
        <f>value(IFERROR(SUBSTITUTE(SUBSTITUTE(VLOOKUP($A305,'Quarterly Pipeline vs Target Pi'!$A:$V,12,false)," $","")," €",""), "")
)</f>
        <v>0</v>
      </c>
      <c r="AD305" s="17" t="str">
        <f t="shared" si="10"/>
        <v/>
      </c>
      <c r="AE305" s="1">
        <f>value(IFERROR(SUBSTITUTE(SUBSTITUTE(VLOOKUP($A305,'Quarterly Pipeline vs Target Pi'!$A:$V,16,false)," $","")," €",""), "")
)</f>
        <v>0</v>
      </c>
      <c r="AF305" s="1">
        <f>value(IFERROR(SUBSTITUTE(SUBSTITUTE(VLOOKUP($A305,'Quarterly Pipeline vs Target Pi'!$A:$V,17,false)," $","")," €",""), "")
)</f>
        <v>0</v>
      </c>
      <c r="AG305" s="17" t="str">
        <f t="shared" si="11"/>
        <v/>
      </c>
      <c r="AH305" s="1">
        <f>value(IFERROR(SUBSTITUTE(SUBSTITUTE(VLOOKUP($A305,'Quarterly Pipeline vs Target Pi'!$A:$V,21,false)," $","")," €",""), "")
)</f>
        <v>0</v>
      </c>
      <c r="AI305" s="1">
        <f>value(IFERROR(SUBSTITUTE(SUBSTITUTE(VLOOKUP($A305,'Quarterly Pipeline vs Target Pi'!$A:$V,22,false)," $","")," €",""), "")
)</f>
        <v>0</v>
      </c>
      <c r="AJ305" s="17" t="str">
        <f t="shared" si="12"/>
        <v/>
      </c>
      <c r="AK305" s="1">
        <f t="shared" ref="AK305:AL305" si="623">sum(Y305,AB305,AE305,AH305)</f>
        <v>0</v>
      </c>
      <c r="AL305" s="1">
        <f t="shared" si="623"/>
        <v>0</v>
      </c>
      <c r="AM305" s="17" t="str">
        <f t="shared" si="14"/>
        <v/>
      </c>
      <c r="AN305" s="1">
        <f>value(IFERROR(SUBSTITUTE(SUBSTITUTE(VLOOKUP($A305,'Quarterly Pipeline vs Target Pi'!$A:$AP,26,false)," $","")," €",""), "")
)</f>
        <v>0</v>
      </c>
      <c r="AO305" s="1">
        <f>value(IFERROR(SUBSTITUTE(SUBSTITUTE(VLOOKUP($A305,'Quarterly Pipeline vs Target Pi'!$A:$AP,27,false)," $","")," €",""), "")
)</f>
        <v>0</v>
      </c>
      <c r="AP305" s="17" t="str">
        <f t="shared" si="15"/>
        <v/>
      </c>
      <c r="AQ305" s="1">
        <f>value(IFERROR(SUBSTITUTE(SUBSTITUTE(VLOOKUP($A305,'Quarterly Pipeline vs Target Pi'!$A:$AP,31,false)," $","")," €",""), "")
)</f>
        <v>0</v>
      </c>
      <c r="AR305" s="1">
        <f>value(IFERROR(SUBSTITUTE(SUBSTITUTE(VLOOKUP($A305,'Quarterly Pipeline vs Target Pi'!$A:$AP,32,false)," $","")," €",""), "")
)</f>
        <v>0</v>
      </c>
      <c r="AS305" s="17" t="str">
        <f t="shared" si="16"/>
        <v/>
      </c>
      <c r="AT305" s="1">
        <f>value(IFERROR(SUBSTITUTE(SUBSTITUTE(VLOOKUP($A305,'Quarterly Pipeline vs Target Pi'!$A:$AP,36,false)," $","")," €",""), "")
)</f>
        <v>0</v>
      </c>
      <c r="AU305" s="1">
        <f>value(IFERROR(SUBSTITUTE(SUBSTITUTE(VLOOKUP($A305,'Quarterly Pipeline vs Target Pi'!$A:$AP,37,false)," $","")," €",""), "")
)</f>
        <v>0</v>
      </c>
      <c r="AV305" s="17" t="str">
        <f t="shared" si="17"/>
        <v/>
      </c>
      <c r="AW305" s="1">
        <f>value(IFERROR(SUBSTITUTE(SUBSTITUTE(VLOOKUP($A305,'Quarterly Pipeline vs Target Pi'!$A:$AP,41,false)," $","")," €",""), "")
)</f>
        <v>0</v>
      </c>
      <c r="AX305" s="1">
        <f>value(IFERROR(SUBSTITUTE(SUBSTITUTE(VLOOKUP($A305,'Quarterly Pipeline vs Target Pi'!$A:$AP,42,false)," $","")," €",""), "")
)</f>
        <v>0</v>
      </c>
      <c r="AY305" s="17" t="str">
        <f t="shared" si="18"/>
        <v/>
      </c>
      <c r="AZ305" s="1">
        <f t="shared" ref="AZ305:BA305" si="624">sum(AN305,AQ305,AT305,AW305)</f>
        <v>0</v>
      </c>
      <c r="BA305" s="1">
        <f t="shared" si="624"/>
        <v>0</v>
      </c>
      <c r="BB305" s="17" t="str">
        <f t="shared" si="20"/>
        <v/>
      </c>
    </row>
    <row r="306">
      <c r="A306" s="1" t="str">
        <f>IFERROR(__xludf.DUMMYFUNCTION("""COMPUTED_VALUE"""),"63ced84ec5c820531c26988d")</f>
        <v>63ced84ec5c820531c26988d</v>
      </c>
      <c r="B306" s="1" t="str">
        <f>IFERROR(__xludf.DUMMYFUNCTION("""COMPUTED_VALUE"""),"Myriad Supply Company")</f>
        <v>Myriad Supply Company</v>
      </c>
      <c r="C306" s="1" t="str">
        <f>IFERROR(__xludf.DUMMYFUNCTION("""COMPUTED_VALUE"""),"brendan.flaherty@al-enterprise.com")</f>
        <v>brendan.flaherty@al-enterprise.com</v>
      </c>
      <c r="D306" s="1" t="str">
        <f>IFERROR(__xludf.DUMMYFUNCTION("""COMPUTED_VALUE"""),"americas")</f>
        <v>americas</v>
      </c>
      <c r="E306" s="1" t="str">
        <f>IFERROR(__xludf.DUMMYFUNCTION("""COMPUTED_VALUE"""),"US")</f>
        <v>US</v>
      </c>
      <c r="F306" s="1"/>
      <c r="G306" s="1" t="str">
        <f>iferror(VLOOKUP(A306,'Business Plan Setup and Accepta'!A:G,6,false),"")</f>
        <v/>
      </c>
      <c r="H306" s="1" t="str">
        <f>iferror(VLOOKUP(A306,'Business Plan Setup and Accepta'!A:G,7,false),"")</f>
        <v/>
      </c>
      <c r="I306" s="17" t="str">
        <f t="shared" si="3"/>
        <v/>
      </c>
      <c r="J306" s="1" t="str">
        <f>IFERROR(VALUE(SUBSTITUTE(VLOOKUP(A306,'Sales IN Revenues vs Sales targ'!A:G,6,false)," $","")), "")
</f>
        <v/>
      </c>
      <c r="K306" s="1" t="str">
        <f>IFERROR(VALUE(SUBSTITUTE(VLOOKUP(A306,'Sales IN Revenues vs Sales targ'!A:G,7,false)," $","")), "")
</f>
        <v/>
      </c>
      <c r="L306" s="17" t="str">
        <f t="shared" si="4"/>
        <v/>
      </c>
      <c r="M306" s="1">
        <f>value(SUBSTITUTE(IFERROR(VLOOKUP(A306,'Certifications achievements vs '!A:G,6,false),""),"#","")
)</f>
        <v>0</v>
      </c>
      <c r="N306" s="1">
        <f>value(SUBSTITUTE(IFERROR(VLOOKUP(A306,'Certifications achievements vs '!A:G,7,false),""),"#","")
)</f>
        <v>0</v>
      </c>
      <c r="O306" s="17" t="str">
        <f t="shared" si="5"/>
        <v/>
      </c>
      <c r="P306" s="1">
        <f>value(SUBSTITUTE(IFERROR(VLOOKUP(A306,'Communications - Solution Speci'!A:G,6,false),""),"#","")
)</f>
        <v>0</v>
      </c>
      <c r="Q306" s="1">
        <f>value(SUBSTITUTE(IFERROR(VLOOKUP(A306,'Communications - Solution Speci'!A:G,7,false),""),"#","")
)</f>
        <v>0</v>
      </c>
      <c r="R306" s="17" t="str">
        <f t="shared" si="6"/>
        <v/>
      </c>
      <c r="S306" s="1">
        <f>value(SUBSTITUTE(IFERROR(VLOOKUP(A306,'Networking - Solution Specializ'!A:G,6,false),""),"#","")
)</f>
        <v>0</v>
      </c>
      <c r="T306" s="1">
        <f>value(SUBSTITUTE(IFERROR(VLOOKUP(A306,'Networking - Solution Specializ'!A:G,7,false),""),"#","")
)</f>
        <v>0</v>
      </c>
      <c r="U306" s="17" t="str">
        <f t="shared" si="7"/>
        <v/>
      </c>
      <c r="V306" s="1" t="str">
        <f>iferror(vlookup(A306,'Marketing Plan (extract summary'!A:G,6,false),"")</f>
        <v/>
      </c>
      <c r="W306" s="1" t="str">
        <f>iferror(vlookup(A306,'Marketing Plan (extract summary'!A:G,7,false),"")</f>
        <v/>
      </c>
      <c r="X306" s="17" t="str">
        <f t="shared" si="8"/>
        <v/>
      </c>
      <c r="Y306" s="1">
        <f>value(IFERROR(SUBSTITUTE(SUBSTITUTE(VLOOKUP(A306,'Quarterly Pipeline vs Target Pi'!A:G,6,false)," $","")," €",""), "")
)</f>
        <v>0</v>
      </c>
      <c r="Z306" s="1">
        <f>value(IFERROR(SUBSTITUTE(SUBSTITUTE(VLOOKUP(A306,'Quarterly Pipeline vs Target Pi'!A:G,7,false)," $","")," €",""), "")
)</f>
        <v>0</v>
      </c>
      <c r="AA306" s="17" t="str">
        <f t="shared" si="9"/>
        <v/>
      </c>
      <c r="AB306" s="1">
        <f>value(IFERROR(SUBSTITUTE(SUBSTITUTE(VLOOKUP($A306,'Quarterly Pipeline vs Target Pi'!$A:$V,11,false)," $","")," €",""), "")
)</f>
        <v>0</v>
      </c>
      <c r="AC306" s="1">
        <f>value(IFERROR(SUBSTITUTE(SUBSTITUTE(VLOOKUP($A306,'Quarterly Pipeline vs Target Pi'!$A:$V,12,false)," $","")," €",""), "")
)</f>
        <v>0</v>
      </c>
      <c r="AD306" s="17" t="str">
        <f t="shared" si="10"/>
        <v/>
      </c>
      <c r="AE306" s="1">
        <f>value(IFERROR(SUBSTITUTE(SUBSTITUTE(VLOOKUP($A306,'Quarterly Pipeline vs Target Pi'!$A:$V,16,false)," $","")," €",""), "")
)</f>
        <v>0</v>
      </c>
      <c r="AF306" s="1">
        <f>value(IFERROR(SUBSTITUTE(SUBSTITUTE(VLOOKUP($A306,'Quarterly Pipeline vs Target Pi'!$A:$V,17,false)," $","")," €",""), "")
)</f>
        <v>0</v>
      </c>
      <c r="AG306" s="17" t="str">
        <f t="shared" si="11"/>
        <v/>
      </c>
      <c r="AH306" s="1">
        <f>value(IFERROR(SUBSTITUTE(SUBSTITUTE(VLOOKUP($A306,'Quarterly Pipeline vs Target Pi'!$A:$V,21,false)," $","")," €",""), "")
)</f>
        <v>0</v>
      </c>
      <c r="AI306" s="1">
        <f>value(IFERROR(SUBSTITUTE(SUBSTITUTE(VLOOKUP($A306,'Quarterly Pipeline vs Target Pi'!$A:$V,22,false)," $","")," €",""), "")
)</f>
        <v>0</v>
      </c>
      <c r="AJ306" s="17" t="str">
        <f t="shared" si="12"/>
        <v/>
      </c>
      <c r="AK306" s="1">
        <f t="shared" ref="AK306:AL306" si="625">sum(Y306,AB306,AE306,AH306)</f>
        <v>0</v>
      </c>
      <c r="AL306" s="1">
        <f t="shared" si="625"/>
        <v>0</v>
      </c>
      <c r="AM306" s="17" t="str">
        <f t="shared" si="14"/>
        <v/>
      </c>
      <c r="AN306" s="1">
        <f>value(IFERROR(SUBSTITUTE(SUBSTITUTE(VLOOKUP($A306,'Quarterly Pipeline vs Target Pi'!$A:$AP,26,false)," $","")," €",""), "")
)</f>
        <v>0</v>
      </c>
      <c r="AO306" s="1">
        <f>value(IFERROR(SUBSTITUTE(SUBSTITUTE(VLOOKUP($A306,'Quarterly Pipeline vs Target Pi'!$A:$AP,27,false)," $","")," €",""), "")
)</f>
        <v>0</v>
      </c>
      <c r="AP306" s="17" t="str">
        <f t="shared" si="15"/>
        <v/>
      </c>
      <c r="AQ306" s="1">
        <f>value(IFERROR(SUBSTITUTE(SUBSTITUTE(VLOOKUP($A306,'Quarterly Pipeline vs Target Pi'!$A:$AP,31,false)," $","")," €",""), "")
)</f>
        <v>0</v>
      </c>
      <c r="AR306" s="1">
        <f>value(IFERROR(SUBSTITUTE(SUBSTITUTE(VLOOKUP($A306,'Quarterly Pipeline vs Target Pi'!$A:$AP,32,false)," $","")," €",""), "")
)</f>
        <v>0</v>
      </c>
      <c r="AS306" s="17" t="str">
        <f t="shared" si="16"/>
        <v/>
      </c>
      <c r="AT306" s="1">
        <f>value(IFERROR(SUBSTITUTE(SUBSTITUTE(VLOOKUP($A306,'Quarterly Pipeline vs Target Pi'!$A:$AP,36,false)," $","")," €",""), "")
)</f>
        <v>0</v>
      </c>
      <c r="AU306" s="1">
        <f>value(IFERROR(SUBSTITUTE(SUBSTITUTE(VLOOKUP($A306,'Quarterly Pipeline vs Target Pi'!$A:$AP,37,false)," $","")," €",""), "")
)</f>
        <v>0</v>
      </c>
      <c r="AV306" s="17" t="str">
        <f t="shared" si="17"/>
        <v/>
      </c>
      <c r="AW306" s="1">
        <f>value(IFERROR(SUBSTITUTE(SUBSTITUTE(VLOOKUP($A306,'Quarterly Pipeline vs Target Pi'!$A:$AP,41,false)," $","")," €",""), "")
)</f>
        <v>0</v>
      </c>
      <c r="AX306" s="1">
        <f>value(IFERROR(SUBSTITUTE(SUBSTITUTE(VLOOKUP($A306,'Quarterly Pipeline vs Target Pi'!$A:$AP,42,false)," $","")," €",""), "")
)</f>
        <v>0</v>
      </c>
      <c r="AY306" s="17" t="str">
        <f t="shared" si="18"/>
        <v/>
      </c>
      <c r="AZ306" s="1">
        <f t="shared" ref="AZ306:BA306" si="626">sum(AN306,AQ306,AT306,AW306)</f>
        <v>0</v>
      </c>
      <c r="BA306" s="1">
        <f t="shared" si="626"/>
        <v>0</v>
      </c>
      <c r="BB306" s="17" t="str">
        <f t="shared" si="20"/>
        <v/>
      </c>
    </row>
    <row r="307">
      <c r="A307" s="1" t="str">
        <f>IFERROR(__xludf.DUMMYFUNCTION("""COMPUTED_VALUE"""),"63ea6e9452ad6968805cec85")</f>
        <v>63ea6e9452ad6968805cec85</v>
      </c>
      <c r="B307" s="1" t="str">
        <f>IFERROR(__xludf.DUMMYFUNCTION("""COMPUTED_VALUE"""),"Nachrichteninstallationstechnik")</f>
        <v>Nachrichteninstallationstechnik</v>
      </c>
      <c r="C307" s="1" t="str">
        <f>IFERROR(__xludf.DUMMYFUNCTION("""COMPUTED_VALUE"""),"andreas.grossheimann@al-enterprise.com, andre.ramm@al-enterprise.com")</f>
        <v>andreas.grossheimann@al-enterprise.com, andre.ramm@al-enterprise.com</v>
      </c>
      <c r="D307" s="1" t="str">
        <f>IFERROR(__xludf.DUMMYFUNCTION("""COMPUTED_VALUE"""),"germany")</f>
        <v>germany</v>
      </c>
      <c r="E307" s="1" t="str">
        <f>IFERROR(__xludf.DUMMYFUNCTION("""COMPUTED_VALUE"""),"DE")</f>
        <v>DE</v>
      </c>
      <c r="F307" s="1"/>
      <c r="G307" s="1" t="str">
        <f>iferror(VLOOKUP(A307,'Business Plan Setup and Accepta'!A:G,6,false),"")</f>
        <v/>
      </c>
      <c r="H307" s="1" t="str">
        <f>iferror(VLOOKUP(A307,'Business Plan Setup and Accepta'!A:G,7,false),"")</f>
        <v/>
      </c>
      <c r="I307" s="17" t="str">
        <f t="shared" si="3"/>
        <v/>
      </c>
      <c r="J307" s="1" t="str">
        <f>IFERROR(VALUE(SUBSTITUTE(VLOOKUP(A307,'Sales IN Revenues vs Sales targ'!A:G,6,false)," $","")), "")
</f>
        <v/>
      </c>
      <c r="K307" s="1" t="str">
        <f>IFERROR(VALUE(SUBSTITUTE(VLOOKUP(A307,'Sales IN Revenues vs Sales targ'!A:G,7,false)," $","")), "")
</f>
        <v/>
      </c>
      <c r="L307" s="17" t="str">
        <f t="shared" si="4"/>
        <v/>
      </c>
      <c r="M307" s="1">
        <f>value(SUBSTITUTE(IFERROR(VLOOKUP(A307,'Certifications achievements vs '!A:G,6,false),""),"#","")
)</f>
        <v>8</v>
      </c>
      <c r="N307" s="1">
        <f>value(SUBSTITUTE(IFERROR(VLOOKUP(A307,'Certifications achievements vs '!A:G,7,false),""),"#","")
)</f>
        <v>1</v>
      </c>
      <c r="O307" s="17">
        <f t="shared" si="5"/>
        <v>8</v>
      </c>
      <c r="P307" s="1">
        <f>value(SUBSTITUTE(IFERROR(VLOOKUP(A307,'Communications - Solution Speci'!A:G,6,false),""),"#","")
)</f>
        <v>0</v>
      </c>
      <c r="Q307" s="1">
        <f>value(SUBSTITUTE(IFERROR(VLOOKUP(A307,'Communications - Solution Speci'!A:G,7,false),""),"#","")
)</f>
        <v>0</v>
      </c>
      <c r="R307" s="17" t="str">
        <f t="shared" si="6"/>
        <v/>
      </c>
      <c r="S307" s="1">
        <f>value(SUBSTITUTE(IFERROR(VLOOKUP(A307,'Networking - Solution Specializ'!A:G,6,false),""),"#","")
)</f>
        <v>0</v>
      </c>
      <c r="T307" s="1">
        <f>value(SUBSTITUTE(IFERROR(VLOOKUP(A307,'Networking - Solution Specializ'!A:G,7,false),""),"#","")
)</f>
        <v>0</v>
      </c>
      <c r="U307" s="17" t="str">
        <f t="shared" si="7"/>
        <v/>
      </c>
      <c r="V307" s="1" t="str">
        <f>iferror(vlookup(A307,'Marketing Plan (extract summary'!A:G,6,false),"")</f>
        <v/>
      </c>
      <c r="W307" s="1" t="str">
        <f>iferror(vlookup(A307,'Marketing Plan (extract summary'!A:G,7,false),"")</f>
        <v/>
      </c>
      <c r="X307" s="17" t="str">
        <f t="shared" si="8"/>
        <v/>
      </c>
      <c r="Y307" s="1">
        <f>value(IFERROR(SUBSTITUTE(SUBSTITUTE(VLOOKUP(A307,'Quarterly Pipeline vs Target Pi'!A:G,6,false)," $","")," €",""), "")
)</f>
        <v>0</v>
      </c>
      <c r="Z307" s="1">
        <f>value(IFERROR(SUBSTITUTE(SUBSTITUTE(VLOOKUP(A307,'Quarterly Pipeline vs Target Pi'!A:G,7,false)," $","")," €",""), "")
)</f>
        <v>0</v>
      </c>
      <c r="AA307" s="17" t="str">
        <f t="shared" si="9"/>
        <v/>
      </c>
      <c r="AB307" s="1">
        <f>value(IFERROR(SUBSTITUTE(SUBSTITUTE(VLOOKUP($A307,'Quarterly Pipeline vs Target Pi'!$A:$V,11,false)," $","")," €",""), "")
)</f>
        <v>0</v>
      </c>
      <c r="AC307" s="1">
        <f>value(IFERROR(SUBSTITUTE(SUBSTITUTE(VLOOKUP($A307,'Quarterly Pipeline vs Target Pi'!$A:$V,12,false)," $","")," €",""), "")
)</f>
        <v>0</v>
      </c>
      <c r="AD307" s="17" t="str">
        <f t="shared" si="10"/>
        <v/>
      </c>
      <c r="AE307" s="1">
        <f>value(IFERROR(SUBSTITUTE(SUBSTITUTE(VLOOKUP($A307,'Quarterly Pipeline vs Target Pi'!$A:$V,16,false)," $","")," €",""), "")
)</f>
        <v>0</v>
      </c>
      <c r="AF307" s="1">
        <f>value(IFERROR(SUBSTITUTE(SUBSTITUTE(VLOOKUP($A307,'Quarterly Pipeline vs Target Pi'!$A:$V,17,false)," $","")," €",""), "")
)</f>
        <v>0</v>
      </c>
      <c r="AG307" s="17" t="str">
        <f t="shared" si="11"/>
        <v/>
      </c>
      <c r="AH307" s="1">
        <f>value(IFERROR(SUBSTITUTE(SUBSTITUTE(VLOOKUP($A307,'Quarterly Pipeline vs Target Pi'!$A:$V,21,false)," $","")," €",""), "")
)</f>
        <v>0</v>
      </c>
      <c r="AI307" s="1">
        <f>value(IFERROR(SUBSTITUTE(SUBSTITUTE(VLOOKUP($A307,'Quarterly Pipeline vs Target Pi'!$A:$V,22,false)," $","")," €",""), "")
)</f>
        <v>0</v>
      </c>
      <c r="AJ307" s="17" t="str">
        <f t="shared" si="12"/>
        <v/>
      </c>
      <c r="AK307" s="1">
        <f t="shared" ref="AK307:AL307" si="627">sum(Y307,AB307,AE307,AH307)</f>
        <v>0</v>
      </c>
      <c r="AL307" s="1">
        <f t="shared" si="627"/>
        <v>0</v>
      </c>
      <c r="AM307" s="17" t="str">
        <f t="shared" si="14"/>
        <v/>
      </c>
      <c r="AN307" s="1">
        <f>value(IFERROR(SUBSTITUTE(SUBSTITUTE(VLOOKUP($A307,'Quarterly Pipeline vs Target Pi'!$A:$AP,26,false)," $","")," €",""), "")
)</f>
        <v>0</v>
      </c>
      <c r="AO307" s="1">
        <f>value(IFERROR(SUBSTITUTE(SUBSTITUTE(VLOOKUP($A307,'Quarterly Pipeline vs Target Pi'!$A:$AP,27,false)," $","")," €",""), "")
)</f>
        <v>0</v>
      </c>
      <c r="AP307" s="17" t="str">
        <f t="shared" si="15"/>
        <v/>
      </c>
      <c r="AQ307" s="1">
        <f>value(IFERROR(SUBSTITUTE(SUBSTITUTE(VLOOKUP($A307,'Quarterly Pipeline vs Target Pi'!$A:$AP,31,false)," $","")," €",""), "")
)</f>
        <v>0</v>
      </c>
      <c r="AR307" s="1">
        <f>value(IFERROR(SUBSTITUTE(SUBSTITUTE(VLOOKUP($A307,'Quarterly Pipeline vs Target Pi'!$A:$AP,32,false)," $","")," €",""), "")
)</f>
        <v>0</v>
      </c>
      <c r="AS307" s="17" t="str">
        <f t="shared" si="16"/>
        <v/>
      </c>
      <c r="AT307" s="1">
        <f>value(IFERROR(SUBSTITUTE(SUBSTITUTE(VLOOKUP($A307,'Quarterly Pipeline vs Target Pi'!$A:$AP,36,false)," $","")," €",""), "")
)</f>
        <v>0</v>
      </c>
      <c r="AU307" s="1">
        <f>value(IFERROR(SUBSTITUTE(SUBSTITUTE(VLOOKUP($A307,'Quarterly Pipeline vs Target Pi'!$A:$AP,37,false)," $","")," €",""), "")
)</f>
        <v>0</v>
      </c>
      <c r="AV307" s="17" t="str">
        <f t="shared" si="17"/>
        <v/>
      </c>
      <c r="AW307" s="1">
        <f>value(IFERROR(SUBSTITUTE(SUBSTITUTE(VLOOKUP($A307,'Quarterly Pipeline vs Target Pi'!$A:$AP,41,false)," $","")," €",""), "")
)</f>
        <v>0</v>
      </c>
      <c r="AX307" s="1">
        <f>value(IFERROR(SUBSTITUTE(SUBSTITUTE(VLOOKUP($A307,'Quarterly Pipeline vs Target Pi'!$A:$AP,42,false)," $","")," €",""), "")
)</f>
        <v>0</v>
      </c>
      <c r="AY307" s="17" t="str">
        <f t="shared" si="18"/>
        <v/>
      </c>
      <c r="AZ307" s="1">
        <f t="shared" ref="AZ307:BA307" si="628">sum(AN307,AQ307,AT307,AW307)</f>
        <v>0</v>
      </c>
      <c r="BA307" s="1">
        <f t="shared" si="628"/>
        <v>0</v>
      </c>
      <c r="BB307" s="17" t="str">
        <f t="shared" si="20"/>
        <v/>
      </c>
    </row>
    <row r="308">
      <c r="A308" s="1" t="str">
        <f>IFERROR(__xludf.DUMMYFUNCTION("""COMPUTED_VALUE"""),"63ea6e9352ad6968805cea2b")</f>
        <v>63ea6e9352ad6968805cea2b</v>
      </c>
      <c r="B308" s="1" t="str">
        <f>IFERROR(__xludf.DUMMYFUNCTION("""COMPUTED_VALUE"""),"NACHRICHTENTECHNIK BIELEFELD GmbH")</f>
        <v>NACHRICHTENTECHNIK BIELEFELD GmbH</v>
      </c>
      <c r="C308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308" s="1" t="str">
        <f>IFERROR(__xludf.DUMMYFUNCTION("""COMPUTED_VALUE"""),"germany")</f>
        <v>germany</v>
      </c>
      <c r="E308" s="1" t="str">
        <f>IFERROR(__xludf.DUMMYFUNCTION("""COMPUTED_VALUE"""),"DE")</f>
        <v>DE</v>
      </c>
      <c r="F308" s="1" t="str">
        <f>IFERROR(__xludf.DUMMYFUNCTION("""COMPUTED_VALUE"""),"expert_1000")</f>
        <v>expert_1000</v>
      </c>
      <c r="G308" s="1">
        <f>iferror(VLOOKUP(A308,'Business Plan Setup and Accepta'!A:G,6,false),"")</f>
        <v>1</v>
      </c>
      <c r="H308" s="1">
        <f>iferror(VLOOKUP(A308,'Business Plan Setup and Accepta'!A:G,7,false),"")</f>
        <v>1</v>
      </c>
      <c r="I308" s="17">
        <f t="shared" si="3"/>
        <v>1</v>
      </c>
      <c r="J308" s="1">
        <f>IFERROR(VALUE(SUBSTITUTE(VLOOKUP(A308,'Sales IN Revenues vs Sales targ'!A:G,6,false)," $","")), "")
</f>
        <v>695.05</v>
      </c>
      <c r="K308" s="1">
        <f>IFERROR(VALUE(SUBSTITUTE(VLOOKUP(A308,'Sales IN Revenues vs Sales targ'!A:G,7,false)," $","")), "")
</f>
        <v>1451</v>
      </c>
      <c r="L308" s="17">
        <f t="shared" si="4"/>
        <v>0.4790144728</v>
      </c>
      <c r="M308" s="1">
        <f>value(SUBSTITUTE(IFERROR(VLOOKUP(A308,'Certifications achievements vs '!A:G,6,false),""),"#","")
)</f>
        <v>57</v>
      </c>
      <c r="N308" s="1">
        <f>value(SUBSTITUTE(IFERROR(VLOOKUP(A308,'Certifications achievements vs '!A:G,7,false),""),"#","")
)</f>
        <v>52</v>
      </c>
      <c r="O308" s="17">
        <f t="shared" si="5"/>
        <v>1.096153846</v>
      </c>
      <c r="P308" s="1">
        <f>value(SUBSTITUTE(IFERROR(VLOOKUP(A308,'Communications - Solution Speci'!A:G,6,false),""),"#","")
)</f>
        <v>1</v>
      </c>
      <c r="Q308" s="1">
        <f>value(SUBSTITUTE(IFERROR(VLOOKUP(A308,'Communications - Solution Speci'!A:G,7,false),""),"#","")
)</f>
        <v>1</v>
      </c>
      <c r="R308" s="17">
        <f t="shared" si="6"/>
        <v>1</v>
      </c>
      <c r="S308" s="1">
        <f>value(SUBSTITUTE(IFERROR(VLOOKUP(A308,'Networking - Solution Specializ'!A:G,6,false),""),"#","")
)</f>
        <v>1</v>
      </c>
      <c r="T308" s="1">
        <f>value(SUBSTITUTE(IFERROR(VLOOKUP(A308,'Networking - Solution Specializ'!A:G,7,false),""),"#","")
)</f>
        <v>1</v>
      </c>
      <c r="U308" s="17">
        <f t="shared" si="7"/>
        <v>1</v>
      </c>
      <c r="V308" s="1">
        <f>iferror(vlookup(A308,'Marketing Plan (extract summary'!A:G,6,false),"")</f>
        <v>0</v>
      </c>
      <c r="W308" s="1">
        <f>iferror(vlookup(A308,'Marketing Plan (extract summary'!A:G,7,false),"")</f>
        <v>1</v>
      </c>
      <c r="X308" s="17">
        <f t="shared" si="8"/>
        <v>0</v>
      </c>
      <c r="Y308" s="1">
        <f>value(IFERROR(SUBSTITUTE(SUBSTITUTE(VLOOKUP(A308,'Quarterly Pipeline vs Target Pi'!A:G,6,false)," $","")," €",""), "")
)</f>
        <v>11.29</v>
      </c>
      <c r="Z308" s="1">
        <f>value(IFERROR(SUBSTITUTE(SUBSTITUTE(VLOOKUP(A308,'Quarterly Pipeline vs Target Pi'!A:G,7,false)," $","")," €",""), "")
)</f>
        <v>0</v>
      </c>
      <c r="AA308" s="17" t="str">
        <f t="shared" si="9"/>
        <v/>
      </c>
      <c r="AB308" s="1">
        <f>value(IFERROR(SUBSTITUTE(SUBSTITUTE(VLOOKUP($A308,'Quarterly Pipeline vs Target Pi'!$A:$V,11,false)," $","")," €",""), "")
)</f>
        <v>18.53</v>
      </c>
      <c r="AC308" s="1">
        <f>value(IFERROR(SUBSTITUTE(SUBSTITUTE(VLOOKUP($A308,'Quarterly Pipeline vs Target Pi'!$A:$V,12,false)," $","")," €",""), "")
)</f>
        <v>549.06</v>
      </c>
      <c r="AD308" s="17">
        <f t="shared" si="10"/>
        <v>0.0337485885</v>
      </c>
      <c r="AE308" s="1">
        <f>value(IFERROR(SUBSTITUTE(SUBSTITUTE(VLOOKUP($A308,'Quarterly Pipeline vs Target Pi'!$A:$V,16,false)," $","")," €",""), "")
)</f>
        <v>1479.52</v>
      </c>
      <c r="AF308" s="1">
        <f>value(IFERROR(SUBSTITUTE(SUBSTITUTE(VLOOKUP($A308,'Quarterly Pipeline vs Target Pi'!$A:$V,17,false)," $","")," €",""), "")
)</f>
        <v>783.02</v>
      </c>
      <c r="AG308" s="17">
        <f t="shared" si="11"/>
        <v>1.889504738</v>
      </c>
      <c r="AH308" s="1">
        <f>value(IFERROR(SUBSTITUTE(SUBSTITUTE(VLOOKUP($A308,'Quarterly Pipeline vs Target Pi'!$A:$V,21,false)," $","")," €",""), "")
)</f>
        <v>761.23</v>
      </c>
      <c r="AI308" s="1">
        <f>value(IFERROR(SUBSTITUTE(SUBSTITUTE(VLOOKUP($A308,'Quarterly Pipeline vs Target Pi'!$A:$V,22,false)," $","")," €",""), "")
)</f>
        <v>858.49</v>
      </c>
      <c r="AJ308" s="17">
        <f t="shared" si="12"/>
        <v>0.8867080572</v>
      </c>
      <c r="AK308" s="1">
        <f t="shared" ref="AK308:AL308" si="629">sum(Y308,AB308,AE308,AH308)</f>
        <v>2270.57</v>
      </c>
      <c r="AL308" s="1">
        <f t="shared" si="629"/>
        <v>2190.57</v>
      </c>
      <c r="AM308" s="17">
        <f t="shared" si="14"/>
        <v>1.036520175</v>
      </c>
      <c r="AN308" s="1">
        <f>value(IFERROR(SUBSTITUTE(SUBSTITUTE(VLOOKUP($A308,'Quarterly Pipeline vs Target Pi'!$A:$AP,26,false)," $","")," €",""), "")
)</f>
        <v>34.77</v>
      </c>
      <c r="AO308" s="1">
        <f>value(IFERROR(SUBSTITUTE(SUBSTITUTE(VLOOKUP($A308,'Quarterly Pipeline vs Target Pi'!$A:$AP,27,false)," $","")," €",""), "")
)</f>
        <v>0</v>
      </c>
      <c r="AP308" s="17" t="str">
        <f t="shared" si="15"/>
        <v/>
      </c>
      <c r="AQ308" s="1">
        <f>value(IFERROR(SUBSTITUTE(SUBSTITUTE(VLOOKUP($A308,'Quarterly Pipeline vs Target Pi'!$A:$AP,31,false)," $","")," €",""), "")
)</f>
        <v>91.21</v>
      </c>
      <c r="AR308" s="1">
        <f>value(IFERROR(SUBSTITUTE(SUBSTITUTE(VLOOKUP($A308,'Quarterly Pipeline vs Target Pi'!$A:$AP,32,false)," $","")," €",""), "")
)</f>
        <v>0</v>
      </c>
      <c r="AS308" s="17" t="str">
        <f t="shared" si="16"/>
        <v/>
      </c>
      <c r="AT308" s="1">
        <f>value(IFERROR(SUBSTITUTE(SUBSTITUTE(VLOOKUP($A308,'Quarterly Pipeline vs Target Pi'!$A:$AP,36,false)," $","")," €",""), "")
)</f>
        <v>11.98</v>
      </c>
      <c r="AU308" s="1">
        <f>value(IFERROR(SUBSTITUTE(SUBSTITUTE(VLOOKUP($A308,'Quarterly Pipeline vs Target Pi'!$A:$AP,37,false)," $","")," €",""), "")
)</f>
        <v>0</v>
      </c>
      <c r="AV308" s="17" t="str">
        <f t="shared" si="17"/>
        <v/>
      </c>
      <c r="AW308" s="1">
        <f>value(IFERROR(SUBSTITUTE(SUBSTITUTE(VLOOKUP($A308,'Quarterly Pipeline vs Target Pi'!$A:$AP,41,false)," $","")," €",""), "")
)</f>
        <v>24.98</v>
      </c>
      <c r="AX308" s="1">
        <f>value(IFERROR(SUBSTITUTE(SUBSTITUTE(VLOOKUP($A308,'Quarterly Pipeline vs Target Pi'!$A:$AP,42,false)," $","")," €",""), "")
)</f>
        <v>0</v>
      </c>
      <c r="AY308" s="17" t="str">
        <f t="shared" si="18"/>
        <v/>
      </c>
      <c r="AZ308" s="1">
        <f t="shared" ref="AZ308:BA308" si="630">sum(AN308,AQ308,AT308,AW308)</f>
        <v>162.94</v>
      </c>
      <c r="BA308" s="1">
        <f t="shared" si="630"/>
        <v>0</v>
      </c>
      <c r="BB308" s="17" t="str">
        <f t="shared" si="20"/>
        <v/>
      </c>
    </row>
    <row r="309">
      <c r="A309" s="1" t="str">
        <f>IFERROR(__xludf.DUMMYFUNCTION("""COMPUTED_VALUE"""),"63ea6e9652ad6968805cf013")</f>
        <v>63ea6e9652ad6968805cf013</v>
      </c>
      <c r="B309" s="1" t="str">
        <f>IFERROR(__xludf.DUMMYFUNCTION("""COMPUTED_VALUE"""),"NACHRICHTENTECHNIK PAULICK GbR")</f>
        <v>NACHRICHTENTECHNIK PAULICK GbR</v>
      </c>
      <c r="C309" s="1" t="str">
        <f>IFERROR(__xludf.DUMMYFUNCTION("""COMPUTED_VALUE"""),"andreas.grossheimann@al-enterprise.com, andre.ramm@al-enterprise.com")</f>
        <v>andreas.grossheimann@al-enterprise.com, andre.ramm@al-enterprise.com</v>
      </c>
      <c r="D309" s="1" t="str">
        <f>IFERROR(__xludf.DUMMYFUNCTION("""COMPUTED_VALUE"""),"germany")</f>
        <v>germany</v>
      </c>
      <c r="E309" s="1" t="str">
        <f>IFERROR(__xludf.DUMMYFUNCTION("""COMPUTED_VALUE"""),"DE")</f>
        <v>DE</v>
      </c>
      <c r="F309" s="1"/>
      <c r="G309" s="1" t="str">
        <f>iferror(VLOOKUP(A309,'Business Plan Setup and Accepta'!A:G,6,false),"")</f>
        <v/>
      </c>
      <c r="H309" s="1" t="str">
        <f>iferror(VLOOKUP(A309,'Business Plan Setup and Accepta'!A:G,7,false),"")</f>
        <v/>
      </c>
      <c r="I309" s="17" t="str">
        <f t="shared" si="3"/>
        <v/>
      </c>
      <c r="J309" s="1" t="str">
        <f>IFERROR(VALUE(SUBSTITUTE(VLOOKUP(A309,'Sales IN Revenues vs Sales targ'!A:G,6,false)," $","")), "")
</f>
        <v/>
      </c>
      <c r="K309" s="1" t="str">
        <f>IFERROR(VALUE(SUBSTITUTE(VLOOKUP(A309,'Sales IN Revenues vs Sales targ'!A:G,7,false)," $","")), "")
</f>
        <v/>
      </c>
      <c r="L309" s="17" t="str">
        <f t="shared" si="4"/>
        <v/>
      </c>
      <c r="M309" s="1">
        <f>value(SUBSTITUTE(IFERROR(VLOOKUP(A309,'Certifications achievements vs '!A:G,6,false),""),"#","")
)</f>
        <v>0</v>
      </c>
      <c r="N309" s="1">
        <f>value(SUBSTITUTE(IFERROR(VLOOKUP(A309,'Certifications achievements vs '!A:G,7,false),""),"#","")
)</f>
        <v>0</v>
      </c>
      <c r="O309" s="17" t="str">
        <f t="shared" si="5"/>
        <v/>
      </c>
      <c r="P309" s="1">
        <f>value(SUBSTITUTE(IFERROR(VLOOKUP(A309,'Communications - Solution Speci'!A:G,6,false),""),"#","")
)</f>
        <v>0</v>
      </c>
      <c r="Q309" s="1">
        <f>value(SUBSTITUTE(IFERROR(VLOOKUP(A309,'Communications - Solution Speci'!A:G,7,false),""),"#","")
)</f>
        <v>0</v>
      </c>
      <c r="R309" s="17" t="str">
        <f t="shared" si="6"/>
        <v/>
      </c>
      <c r="S309" s="1">
        <f>value(SUBSTITUTE(IFERROR(VLOOKUP(A309,'Networking - Solution Specializ'!A:G,6,false),""),"#","")
)</f>
        <v>0</v>
      </c>
      <c r="T309" s="1">
        <f>value(SUBSTITUTE(IFERROR(VLOOKUP(A309,'Networking - Solution Specializ'!A:G,7,false),""),"#","")
)</f>
        <v>0</v>
      </c>
      <c r="U309" s="17" t="str">
        <f t="shared" si="7"/>
        <v/>
      </c>
      <c r="V309" s="1" t="str">
        <f>iferror(vlookup(A309,'Marketing Plan (extract summary'!A:G,6,false),"")</f>
        <v/>
      </c>
      <c r="W309" s="1" t="str">
        <f>iferror(vlookup(A309,'Marketing Plan (extract summary'!A:G,7,false),"")</f>
        <v/>
      </c>
      <c r="X309" s="17" t="str">
        <f t="shared" si="8"/>
        <v/>
      </c>
      <c r="Y309" s="1">
        <f>value(IFERROR(SUBSTITUTE(SUBSTITUTE(VLOOKUP(A309,'Quarterly Pipeline vs Target Pi'!A:G,6,false)," $","")," €",""), "")
)</f>
        <v>0</v>
      </c>
      <c r="Z309" s="1">
        <f>value(IFERROR(SUBSTITUTE(SUBSTITUTE(VLOOKUP(A309,'Quarterly Pipeline vs Target Pi'!A:G,7,false)," $","")," €",""), "")
)</f>
        <v>0</v>
      </c>
      <c r="AA309" s="17" t="str">
        <f t="shared" si="9"/>
        <v/>
      </c>
      <c r="AB309" s="1">
        <f>value(IFERROR(SUBSTITUTE(SUBSTITUTE(VLOOKUP($A309,'Quarterly Pipeline vs Target Pi'!$A:$V,11,false)," $","")," €",""), "")
)</f>
        <v>0</v>
      </c>
      <c r="AC309" s="1">
        <f>value(IFERROR(SUBSTITUTE(SUBSTITUTE(VLOOKUP($A309,'Quarterly Pipeline vs Target Pi'!$A:$V,12,false)," $","")," €",""), "")
)</f>
        <v>0</v>
      </c>
      <c r="AD309" s="17" t="str">
        <f t="shared" si="10"/>
        <v/>
      </c>
      <c r="AE309" s="1">
        <f>value(IFERROR(SUBSTITUTE(SUBSTITUTE(VLOOKUP($A309,'Quarterly Pipeline vs Target Pi'!$A:$V,16,false)," $","")," €",""), "")
)</f>
        <v>0</v>
      </c>
      <c r="AF309" s="1">
        <f>value(IFERROR(SUBSTITUTE(SUBSTITUTE(VLOOKUP($A309,'Quarterly Pipeline vs Target Pi'!$A:$V,17,false)," $","")," €",""), "")
)</f>
        <v>0</v>
      </c>
      <c r="AG309" s="17" t="str">
        <f t="shared" si="11"/>
        <v/>
      </c>
      <c r="AH309" s="1">
        <f>value(IFERROR(SUBSTITUTE(SUBSTITUTE(VLOOKUP($A309,'Quarterly Pipeline vs Target Pi'!$A:$V,21,false)," $","")," €",""), "")
)</f>
        <v>0</v>
      </c>
      <c r="AI309" s="1">
        <f>value(IFERROR(SUBSTITUTE(SUBSTITUTE(VLOOKUP($A309,'Quarterly Pipeline vs Target Pi'!$A:$V,22,false)," $","")," €",""), "")
)</f>
        <v>0</v>
      </c>
      <c r="AJ309" s="17" t="str">
        <f t="shared" si="12"/>
        <v/>
      </c>
      <c r="AK309" s="1">
        <f t="shared" ref="AK309:AL309" si="631">sum(Y309,AB309,AE309,AH309)</f>
        <v>0</v>
      </c>
      <c r="AL309" s="1">
        <f t="shared" si="631"/>
        <v>0</v>
      </c>
      <c r="AM309" s="17" t="str">
        <f t="shared" si="14"/>
        <v/>
      </c>
      <c r="AN309" s="1">
        <f>value(IFERROR(SUBSTITUTE(SUBSTITUTE(VLOOKUP($A309,'Quarterly Pipeline vs Target Pi'!$A:$AP,26,false)," $","")," €",""), "")
)</f>
        <v>0</v>
      </c>
      <c r="AO309" s="1">
        <f>value(IFERROR(SUBSTITUTE(SUBSTITUTE(VLOOKUP($A309,'Quarterly Pipeline vs Target Pi'!$A:$AP,27,false)," $","")," €",""), "")
)</f>
        <v>0</v>
      </c>
      <c r="AP309" s="17" t="str">
        <f t="shared" si="15"/>
        <v/>
      </c>
      <c r="AQ309" s="1">
        <f>value(IFERROR(SUBSTITUTE(SUBSTITUTE(VLOOKUP($A309,'Quarterly Pipeline vs Target Pi'!$A:$AP,31,false)," $","")," €",""), "")
)</f>
        <v>0</v>
      </c>
      <c r="AR309" s="1">
        <f>value(IFERROR(SUBSTITUTE(SUBSTITUTE(VLOOKUP($A309,'Quarterly Pipeline vs Target Pi'!$A:$AP,32,false)," $","")," €",""), "")
)</f>
        <v>0</v>
      </c>
      <c r="AS309" s="17" t="str">
        <f t="shared" si="16"/>
        <v/>
      </c>
      <c r="AT309" s="1">
        <f>value(IFERROR(SUBSTITUTE(SUBSTITUTE(VLOOKUP($A309,'Quarterly Pipeline vs Target Pi'!$A:$AP,36,false)," $","")," €",""), "")
)</f>
        <v>0</v>
      </c>
      <c r="AU309" s="1">
        <f>value(IFERROR(SUBSTITUTE(SUBSTITUTE(VLOOKUP($A309,'Quarterly Pipeline vs Target Pi'!$A:$AP,37,false)," $","")," €",""), "")
)</f>
        <v>0</v>
      </c>
      <c r="AV309" s="17" t="str">
        <f t="shared" si="17"/>
        <v/>
      </c>
      <c r="AW309" s="1">
        <f>value(IFERROR(SUBSTITUTE(SUBSTITUTE(VLOOKUP($A309,'Quarterly Pipeline vs Target Pi'!$A:$AP,41,false)," $","")," €",""), "")
)</f>
        <v>0</v>
      </c>
      <c r="AX309" s="1">
        <f>value(IFERROR(SUBSTITUTE(SUBSTITUTE(VLOOKUP($A309,'Quarterly Pipeline vs Target Pi'!$A:$AP,42,false)," $","")," €",""), "")
)</f>
        <v>0</v>
      </c>
      <c r="AY309" s="17" t="str">
        <f t="shared" si="18"/>
        <v/>
      </c>
      <c r="AZ309" s="1">
        <f t="shared" ref="AZ309:BA309" si="632">sum(AN309,AQ309,AT309,AW309)</f>
        <v>0</v>
      </c>
      <c r="BA309" s="1">
        <f t="shared" si="632"/>
        <v>0</v>
      </c>
      <c r="BB309" s="17" t="str">
        <f t="shared" si="20"/>
        <v/>
      </c>
    </row>
    <row r="310">
      <c r="A310" s="1" t="str">
        <f>IFERROR(__xludf.DUMMYFUNCTION("""COMPUTED_VALUE"""),"63ced847c5c820531c268b5e")</f>
        <v>63ced847c5c820531c268b5e</v>
      </c>
      <c r="B310" s="1" t="str">
        <f>IFERROR(__xludf.DUMMYFUNCTION("""COMPUTED_VALUE"""),"nds Netzwerksysteme GmbH")</f>
        <v>nds Netzwerksysteme GmbH</v>
      </c>
      <c r="C310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310" s="1" t="str">
        <f>IFERROR(__xludf.DUMMYFUNCTION("""COMPUTED_VALUE"""),"germany")</f>
        <v>germany</v>
      </c>
      <c r="E310" s="1" t="str">
        <f>IFERROR(__xludf.DUMMYFUNCTION("""COMPUTED_VALUE"""),"DE")</f>
        <v>DE</v>
      </c>
      <c r="F310" s="1" t="str">
        <f>IFERROR(__xludf.DUMMYFUNCTION("""COMPUTED_VALUE"""),"expert_200")</f>
        <v>expert_200</v>
      </c>
      <c r="G310" s="1">
        <f>iferror(VLOOKUP(A310,'Business Plan Setup and Accepta'!A:G,6,false),"")</f>
        <v>1</v>
      </c>
      <c r="H310" s="1">
        <f>iferror(VLOOKUP(A310,'Business Plan Setup and Accepta'!A:G,7,false),"")</f>
        <v>1</v>
      </c>
      <c r="I310" s="17">
        <f t="shared" si="3"/>
        <v>1</v>
      </c>
      <c r="J310" s="1">
        <f>IFERROR(VALUE(SUBSTITUTE(VLOOKUP(A310,'Sales IN Revenues vs Sales targ'!A:G,6,false)," $","")), "")
</f>
        <v>182.1</v>
      </c>
      <c r="K310" s="1">
        <f>IFERROR(VALUE(SUBSTITUTE(VLOOKUP(A310,'Sales IN Revenues vs Sales targ'!A:G,7,false)," $","")), "")
</f>
        <v>750</v>
      </c>
      <c r="L310" s="17">
        <f t="shared" si="4"/>
        <v>0.2428</v>
      </c>
      <c r="M310" s="1">
        <f>value(SUBSTITUTE(IFERROR(VLOOKUP(A310,'Certifications achievements vs '!A:G,6,false),""),"#","")
)</f>
        <v>16</v>
      </c>
      <c r="N310" s="1">
        <f>value(SUBSTITUTE(IFERROR(VLOOKUP(A310,'Certifications achievements vs '!A:G,7,false),""),"#","")
)</f>
        <v>52</v>
      </c>
      <c r="O310" s="17">
        <f t="shared" si="5"/>
        <v>0.3076923077</v>
      </c>
      <c r="P310" s="1">
        <f>value(SUBSTITUTE(IFERROR(VLOOKUP(A310,'Communications - Solution Speci'!A:G,6,false),""),"#","")
)</f>
        <v>0</v>
      </c>
      <c r="Q310" s="1">
        <f>value(SUBSTITUTE(IFERROR(VLOOKUP(A310,'Communications - Solution Speci'!A:G,7,false),""),"#","")
)</f>
        <v>1</v>
      </c>
      <c r="R310" s="17">
        <f t="shared" si="6"/>
        <v>0</v>
      </c>
      <c r="S310" s="1">
        <f>value(SUBSTITUTE(IFERROR(VLOOKUP(A310,'Networking - Solution Specializ'!A:G,6,false),""),"#","")
)</f>
        <v>0</v>
      </c>
      <c r="T310" s="1">
        <f>value(SUBSTITUTE(IFERROR(VLOOKUP(A310,'Networking - Solution Specializ'!A:G,7,false),""),"#","")
)</f>
        <v>1</v>
      </c>
      <c r="U310" s="17">
        <f t="shared" si="7"/>
        <v>0</v>
      </c>
      <c r="V310" s="1">
        <f>iferror(vlookup(A310,'Marketing Plan (extract summary'!A:G,6,false),"")</f>
        <v>1</v>
      </c>
      <c r="W310" s="1">
        <f>iferror(vlookup(A310,'Marketing Plan (extract summary'!A:G,7,false),"")</f>
        <v>1</v>
      </c>
      <c r="X310" s="17">
        <f t="shared" si="8"/>
        <v>1</v>
      </c>
      <c r="Y310" s="1">
        <f>value(IFERROR(SUBSTITUTE(SUBSTITUTE(VLOOKUP(A310,'Quarterly Pipeline vs Target Pi'!A:G,6,false)," $","")," €",""), "")
)</f>
        <v>94.65</v>
      </c>
      <c r="Z310" s="1">
        <f>value(IFERROR(SUBSTITUTE(SUBSTITUTE(VLOOKUP(A310,'Quarterly Pipeline vs Target Pi'!A:G,7,false)," $","")," €",""), "")
)</f>
        <v>450</v>
      </c>
      <c r="AA310" s="17">
        <f t="shared" si="9"/>
        <v>0.2103333333</v>
      </c>
      <c r="AB310" s="1">
        <f>value(IFERROR(SUBSTITUTE(SUBSTITUTE(VLOOKUP($A310,'Quarterly Pipeline vs Target Pi'!$A:$V,11,false)," $","")," €",""), "")
)</f>
        <v>125.97</v>
      </c>
      <c r="AC310" s="1">
        <f>value(IFERROR(SUBSTITUTE(SUBSTITUTE(VLOOKUP($A310,'Quarterly Pipeline vs Target Pi'!$A:$V,12,false)," $","")," €",""), "")
)</f>
        <v>254.24</v>
      </c>
      <c r="AD310" s="17">
        <f t="shared" si="10"/>
        <v>0.4954767149</v>
      </c>
      <c r="AE310" s="1">
        <f>value(IFERROR(SUBSTITUTE(SUBSTITUTE(VLOOKUP($A310,'Quarterly Pipeline vs Target Pi'!$A:$V,16,false)," $","")," €",""), "")
)</f>
        <v>253.3</v>
      </c>
      <c r="AF310" s="1">
        <f>value(IFERROR(SUBSTITUTE(SUBSTITUTE(VLOOKUP($A310,'Quarterly Pipeline vs Target Pi'!$A:$V,17,false)," $","")," €",""), "")
)</f>
        <v>381.36</v>
      </c>
      <c r="AG310" s="17">
        <f t="shared" si="11"/>
        <v>0.6642018041</v>
      </c>
      <c r="AH310" s="1">
        <f>value(IFERROR(SUBSTITUTE(SUBSTITUTE(VLOOKUP($A310,'Quarterly Pipeline vs Target Pi'!$A:$V,21,false)," $","")," €",""), "")
)</f>
        <v>657.2</v>
      </c>
      <c r="AI310" s="1">
        <f>value(IFERROR(SUBSTITUTE(SUBSTITUTE(VLOOKUP($A310,'Quarterly Pipeline vs Target Pi'!$A:$V,22,false)," $","")," €",""), "")
)</f>
        <v>381.36</v>
      </c>
      <c r="AJ310" s="17">
        <f t="shared" si="12"/>
        <v>1.723306063</v>
      </c>
      <c r="AK310" s="1">
        <f t="shared" ref="AK310:AL310" si="633">sum(Y310,AB310,AE310,AH310)</f>
        <v>1131.12</v>
      </c>
      <c r="AL310" s="1">
        <f t="shared" si="633"/>
        <v>1466.96</v>
      </c>
      <c r="AM310" s="17">
        <f t="shared" si="14"/>
        <v>0.771063969</v>
      </c>
      <c r="AN310" s="1">
        <f>value(IFERROR(SUBSTITUTE(SUBSTITUTE(VLOOKUP($A310,'Quarterly Pipeline vs Target Pi'!$A:$AP,26,false)," $","")," €",""), "")
)</f>
        <v>94.65</v>
      </c>
      <c r="AO310" s="1">
        <f>value(IFERROR(SUBSTITUTE(SUBSTITUTE(VLOOKUP($A310,'Quarterly Pipeline vs Target Pi'!$A:$AP,27,false)," $","")," €",""), "")
)</f>
        <v>0</v>
      </c>
      <c r="AP310" s="17" t="str">
        <f t="shared" si="15"/>
        <v/>
      </c>
      <c r="AQ310" s="1">
        <f>value(IFERROR(SUBSTITUTE(SUBSTITUTE(VLOOKUP($A310,'Quarterly Pipeline vs Target Pi'!$A:$AP,31,false)," $","")," €",""), "")
)</f>
        <v>0</v>
      </c>
      <c r="AR310" s="1">
        <f>value(IFERROR(SUBSTITUTE(SUBSTITUTE(VLOOKUP($A310,'Quarterly Pipeline vs Target Pi'!$A:$AP,32,false)," $","")," €",""), "")
)</f>
        <v>0</v>
      </c>
      <c r="AS310" s="17" t="str">
        <f t="shared" si="16"/>
        <v/>
      </c>
      <c r="AT310" s="1">
        <f>value(IFERROR(SUBSTITUTE(SUBSTITUTE(VLOOKUP($A310,'Quarterly Pipeline vs Target Pi'!$A:$AP,36,false)," $","")," €",""), "")
)</f>
        <v>0</v>
      </c>
      <c r="AU310" s="1">
        <f>value(IFERROR(SUBSTITUTE(SUBSTITUTE(VLOOKUP($A310,'Quarterly Pipeline vs Target Pi'!$A:$AP,37,false)," $","")," €",""), "")
)</f>
        <v>0</v>
      </c>
      <c r="AV310" s="17" t="str">
        <f t="shared" si="17"/>
        <v/>
      </c>
      <c r="AW310" s="1">
        <f>value(IFERROR(SUBSTITUTE(SUBSTITUTE(VLOOKUP($A310,'Quarterly Pipeline vs Target Pi'!$A:$AP,41,false)," $","")," €",""), "")
)</f>
        <v>0</v>
      </c>
      <c r="AX310" s="1">
        <f>value(IFERROR(SUBSTITUTE(SUBSTITUTE(VLOOKUP($A310,'Quarterly Pipeline vs Target Pi'!$A:$AP,42,false)," $","")," €",""), "")
)</f>
        <v>0</v>
      </c>
      <c r="AY310" s="17" t="str">
        <f t="shared" si="18"/>
        <v/>
      </c>
      <c r="AZ310" s="1">
        <f t="shared" ref="AZ310:BA310" si="634">sum(AN310,AQ310,AT310,AW310)</f>
        <v>94.65</v>
      </c>
      <c r="BA310" s="1">
        <f t="shared" si="634"/>
        <v>0</v>
      </c>
      <c r="BB310" s="17" t="str">
        <f t="shared" si="20"/>
        <v/>
      </c>
    </row>
    <row r="311">
      <c r="A311" s="1" t="str">
        <f>IFERROR(__xludf.DUMMYFUNCTION("""COMPUTED_VALUE"""),"67e40b1f4c8bf642980d1202")</f>
        <v>67e40b1f4c8bf642980d1202</v>
      </c>
      <c r="B311" s="1" t="str">
        <f>IFERROR(__xludf.DUMMYFUNCTION("""COMPUTED_VALUE"""),"NECSYS S.A.S.")</f>
        <v>NECSYS S.A.S.</v>
      </c>
      <c r="C311" s="1" t="str">
        <f>IFERROR(__xludf.DUMMYFUNCTION("""COMPUTED_VALUE"""),"rui.silva@al-enterprise.com, javier.largacha@al-enterprise.com")</f>
        <v>rui.silva@al-enterprise.com, javier.largacha@al-enterprise.com</v>
      </c>
      <c r="D311" s="1" t="str">
        <f>IFERROR(__xludf.DUMMYFUNCTION("""COMPUTED_VALUE"""),"americas")</f>
        <v>americas</v>
      </c>
      <c r="E311" s="1" t="str">
        <f>IFERROR(__xludf.DUMMYFUNCTION("""COMPUTED_VALUE"""),"CO")</f>
        <v>CO</v>
      </c>
      <c r="F311" s="1"/>
      <c r="G311" s="1">
        <f>iferror(VLOOKUP(A311,'Business Plan Setup and Accepta'!A:G,6,false),"")</f>
        <v>0</v>
      </c>
      <c r="H311" s="1">
        <f>iferror(VLOOKUP(A311,'Business Plan Setup and Accepta'!A:G,7,false),"")</f>
        <v>1</v>
      </c>
      <c r="I311" s="17">
        <f t="shared" si="3"/>
        <v>0</v>
      </c>
      <c r="J311" s="1">
        <f>IFERROR(VALUE(SUBSTITUTE(VLOOKUP(A311,'Sales IN Revenues vs Sales targ'!A:G,6,false)," $","")), "")
</f>
        <v>0</v>
      </c>
      <c r="K311" s="1">
        <f>IFERROR(VALUE(SUBSTITUTE(VLOOKUP(A311,'Sales IN Revenues vs Sales targ'!A:G,7,false)," $","")), "")
</f>
        <v>240</v>
      </c>
      <c r="L311" s="17">
        <f t="shared" si="4"/>
        <v>0</v>
      </c>
      <c r="M311" s="1">
        <f>value(SUBSTITUTE(IFERROR(VLOOKUP(A311,'Certifications achievements vs '!A:G,6,false),""),"#","")
)</f>
        <v>0</v>
      </c>
      <c r="N311" s="1">
        <f>value(SUBSTITUTE(IFERROR(VLOOKUP(A311,'Certifications achievements vs '!A:G,7,false),""),"#","")
)</f>
        <v>0</v>
      </c>
      <c r="O311" s="17" t="str">
        <f t="shared" si="5"/>
        <v/>
      </c>
      <c r="P311" s="1">
        <f>value(SUBSTITUTE(IFERROR(VLOOKUP(A311,'Communications - Solution Speci'!A:G,6,false),""),"#","")
)</f>
        <v>0</v>
      </c>
      <c r="Q311" s="1">
        <f>value(SUBSTITUTE(IFERROR(VLOOKUP(A311,'Communications - Solution Speci'!A:G,7,false),""),"#","")
)</f>
        <v>1</v>
      </c>
      <c r="R311" s="17">
        <f t="shared" si="6"/>
        <v>0</v>
      </c>
      <c r="S311" s="1">
        <f>value(SUBSTITUTE(IFERROR(VLOOKUP(A311,'Networking - Solution Specializ'!A:G,6,false),""),"#","")
)</f>
        <v>0</v>
      </c>
      <c r="T311" s="1">
        <f>value(SUBSTITUTE(IFERROR(VLOOKUP(A311,'Networking - Solution Specializ'!A:G,7,false),""),"#","")
)</f>
        <v>1</v>
      </c>
      <c r="U311" s="17">
        <f t="shared" si="7"/>
        <v>0</v>
      </c>
      <c r="V311" s="1">
        <f>iferror(vlookup(A311,'Marketing Plan (extract summary'!A:G,6,false),"")</f>
        <v>0</v>
      </c>
      <c r="W311" s="1">
        <f>iferror(vlookup(A311,'Marketing Plan (extract summary'!A:G,7,false),"")</f>
        <v>1</v>
      </c>
      <c r="X311" s="17">
        <f t="shared" si="8"/>
        <v>0</v>
      </c>
      <c r="Y311" s="1">
        <f>value(IFERROR(SUBSTITUTE(SUBSTITUTE(VLOOKUP(A311,'Quarterly Pipeline vs Target Pi'!A:G,6,false)," $","")," €",""), "")
)</f>
        <v>0</v>
      </c>
      <c r="Z311" s="1">
        <f>value(IFERROR(SUBSTITUTE(SUBSTITUTE(VLOOKUP(A311,'Quarterly Pipeline vs Target Pi'!A:G,7,false)," $","")," €",""), "")
)</f>
        <v>0</v>
      </c>
      <c r="AA311" s="17" t="str">
        <f t="shared" si="9"/>
        <v/>
      </c>
      <c r="AB311" s="1">
        <f>value(IFERROR(SUBSTITUTE(SUBSTITUTE(VLOOKUP($A311,'Quarterly Pipeline vs Target Pi'!$A:$V,11,false)," $","")," €",""), "")
)</f>
        <v>30</v>
      </c>
      <c r="AC311" s="1">
        <f>value(IFERROR(SUBSTITUTE(SUBSTITUTE(VLOOKUP($A311,'Quarterly Pipeline vs Target Pi'!$A:$V,12,false)," $","")," €",""), "")
)</f>
        <v>243.34</v>
      </c>
      <c r="AD311" s="17">
        <f t="shared" si="10"/>
        <v>0.1232842936</v>
      </c>
      <c r="AE311" s="1">
        <f>value(IFERROR(SUBSTITUTE(SUBSTITUTE(VLOOKUP($A311,'Quarterly Pipeline vs Target Pi'!$A:$V,16,false)," $","")," €",""), "")
)</f>
        <v>95</v>
      </c>
      <c r="AF311" s="1">
        <f>value(IFERROR(SUBSTITUTE(SUBSTITUTE(VLOOKUP($A311,'Quarterly Pipeline vs Target Pi'!$A:$V,17,false)," $","")," €",""), "")
)</f>
        <v>183.34</v>
      </c>
      <c r="AG311" s="17">
        <f t="shared" si="11"/>
        <v>0.5181629759</v>
      </c>
      <c r="AH311" s="1">
        <f>value(IFERROR(SUBSTITUTE(SUBSTITUTE(VLOOKUP($A311,'Quarterly Pipeline vs Target Pi'!$A:$V,21,false)," $","")," €",""), "")
)</f>
        <v>20</v>
      </c>
      <c r="AI311" s="1">
        <f>value(IFERROR(SUBSTITUTE(SUBSTITUTE(VLOOKUP($A311,'Quarterly Pipeline vs Target Pi'!$A:$V,22,false)," $","")," €",""), "")
)</f>
        <v>289.99</v>
      </c>
      <c r="AJ311" s="17">
        <f t="shared" si="12"/>
        <v>0.06896789544</v>
      </c>
      <c r="AK311" s="1">
        <f t="shared" ref="AK311:AL311" si="635">sum(Y311,AB311,AE311,AH311)</f>
        <v>145</v>
      </c>
      <c r="AL311" s="1">
        <f t="shared" si="635"/>
        <v>716.67</v>
      </c>
      <c r="AM311" s="17">
        <f t="shared" si="14"/>
        <v>0.2023246404</v>
      </c>
      <c r="AN311" s="1">
        <f>value(IFERROR(SUBSTITUTE(SUBSTITUTE(VLOOKUP($A311,'Quarterly Pipeline vs Target Pi'!$A:$AP,26,false)," $","")," €",""), "")
)</f>
        <v>0</v>
      </c>
      <c r="AO311" s="1">
        <f>value(IFERROR(SUBSTITUTE(SUBSTITUTE(VLOOKUP($A311,'Quarterly Pipeline vs Target Pi'!$A:$AP,27,false)," $","")," €",""), "")
)</f>
        <v>0</v>
      </c>
      <c r="AP311" s="17" t="str">
        <f t="shared" si="15"/>
        <v/>
      </c>
      <c r="AQ311" s="1">
        <f>value(IFERROR(SUBSTITUTE(SUBSTITUTE(VLOOKUP($A311,'Quarterly Pipeline vs Target Pi'!$A:$AP,31,false)," $","")," €",""), "")
)</f>
        <v>0</v>
      </c>
      <c r="AR311" s="1">
        <f>value(IFERROR(SUBSTITUTE(SUBSTITUTE(VLOOKUP($A311,'Quarterly Pipeline vs Target Pi'!$A:$AP,32,false)," $","")," €",""), "")
)</f>
        <v>0</v>
      </c>
      <c r="AS311" s="17" t="str">
        <f t="shared" si="16"/>
        <v/>
      </c>
      <c r="AT311" s="1">
        <f>value(IFERROR(SUBSTITUTE(SUBSTITUTE(VLOOKUP($A311,'Quarterly Pipeline vs Target Pi'!$A:$AP,36,false)," $","")," €",""), "")
)</f>
        <v>0</v>
      </c>
      <c r="AU311" s="1">
        <f>value(IFERROR(SUBSTITUTE(SUBSTITUTE(VLOOKUP($A311,'Quarterly Pipeline vs Target Pi'!$A:$AP,37,false)," $","")," €",""), "")
)</f>
        <v>0</v>
      </c>
      <c r="AV311" s="17" t="str">
        <f t="shared" si="17"/>
        <v/>
      </c>
      <c r="AW311" s="1">
        <f>value(IFERROR(SUBSTITUTE(SUBSTITUTE(VLOOKUP($A311,'Quarterly Pipeline vs Target Pi'!$A:$AP,41,false)," $","")," €",""), "")
)</f>
        <v>0</v>
      </c>
      <c r="AX311" s="1">
        <f>value(IFERROR(SUBSTITUTE(SUBSTITUTE(VLOOKUP($A311,'Quarterly Pipeline vs Target Pi'!$A:$AP,42,false)," $","")," €",""), "")
)</f>
        <v>0</v>
      </c>
      <c r="AY311" s="17" t="str">
        <f t="shared" si="18"/>
        <v/>
      </c>
      <c r="AZ311" s="1">
        <f t="shared" ref="AZ311:BA311" si="636">sum(AN311,AQ311,AT311,AW311)</f>
        <v>0</v>
      </c>
      <c r="BA311" s="1">
        <f t="shared" si="636"/>
        <v>0</v>
      </c>
      <c r="BB311" s="17" t="str">
        <f t="shared" si="20"/>
        <v/>
      </c>
    </row>
    <row r="312">
      <c r="A312" s="1" t="str">
        <f>IFERROR(__xludf.DUMMYFUNCTION("""COMPUTED_VALUE"""),"684009a466c3a00d8201c607")</f>
        <v>684009a466c3a00d8201c607</v>
      </c>
      <c r="B312" s="1" t="str">
        <f>IFERROR(__xludf.DUMMYFUNCTION("""COMPUTED_VALUE"""),"Netcom Bayern GmbH")</f>
        <v>Netcom Bayern GmbH</v>
      </c>
      <c r="C312" s="1" t="str">
        <f>IFERROR(__xludf.DUMMYFUNCTION("""COMPUTED_VALUE"""),"philippe.girard@al-enterprise.com, rui.silva@al-enterprise.com, hakan.adiguezel@al-enterprise.com")</f>
        <v>philippe.girard@al-enterprise.com, rui.silva@al-enterprise.com, hakan.adiguezel@al-enterprise.com</v>
      </c>
      <c r="D312" s="1" t="str">
        <f>IFERROR(__xludf.DUMMYFUNCTION("""COMPUTED_VALUE"""),"germany")</f>
        <v>germany</v>
      </c>
      <c r="E312" s="1" t="str">
        <f>IFERROR(__xludf.DUMMYFUNCTION("""COMPUTED_VALUE"""),"DE")</f>
        <v>DE</v>
      </c>
      <c r="F312" s="1"/>
      <c r="G312" s="1">
        <f>iferror(VLOOKUP(A312,'Business Plan Setup and Accepta'!A:G,6,false),"")</f>
        <v>0</v>
      </c>
      <c r="H312" s="1">
        <f>iferror(VLOOKUP(A312,'Business Plan Setup and Accepta'!A:G,7,false),"")</f>
        <v>1</v>
      </c>
      <c r="I312" s="17">
        <f t="shared" si="3"/>
        <v>0</v>
      </c>
      <c r="J312" s="1">
        <f>IFERROR(VALUE(SUBSTITUTE(VLOOKUP(A312,'Sales IN Revenues vs Sales targ'!A:G,6,false)," $","")), "")
</f>
        <v>0.04</v>
      </c>
      <c r="K312" s="1">
        <f>IFERROR(VALUE(SUBSTITUTE(VLOOKUP(A312,'Sales IN Revenues vs Sales targ'!A:G,7,false)," $","")), "")
</f>
        <v>0</v>
      </c>
      <c r="L312" s="17" t="str">
        <f t="shared" si="4"/>
        <v/>
      </c>
      <c r="M312" s="1">
        <f>value(SUBSTITUTE(IFERROR(VLOOKUP(A312,'Certifications achievements vs '!A:G,6,false),""),"#","")
)</f>
        <v>0</v>
      </c>
      <c r="N312" s="1">
        <f>value(SUBSTITUTE(IFERROR(VLOOKUP(A312,'Certifications achievements vs '!A:G,7,false),""),"#","")
)</f>
        <v>0</v>
      </c>
      <c r="O312" s="17" t="str">
        <f t="shared" si="5"/>
        <v/>
      </c>
      <c r="P312" s="1">
        <f>value(SUBSTITUTE(IFERROR(VLOOKUP(A312,'Communications - Solution Speci'!A:G,6,false),""),"#","")
)</f>
        <v>0</v>
      </c>
      <c r="Q312" s="1">
        <f>value(SUBSTITUTE(IFERROR(VLOOKUP(A312,'Communications - Solution Speci'!A:G,7,false),""),"#","")
)</f>
        <v>1</v>
      </c>
      <c r="R312" s="17">
        <f t="shared" si="6"/>
        <v>0</v>
      </c>
      <c r="S312" s="1">
        <f>value(SUBSTITUTE(IFERROR(VLOOKUP(A312,'Networking - Solution Specializ'!A:G,6,false),""),"#","")
)</f>
        <v>0</v>
      </c>
      <c r="T312" s="1">
        <f>value(SUBSTITUTE(IFERROR(VLOOKUP(A312,'Networking - Solution Specializ'!A:G,7,false),""),"#","")
)</f>
        <v>1</v>
      </c>
      <c r="U312" s="17">
        <f t="shared" si="7"/>
        <v>0</v>
      </c>
      <c r="V312" s="1">
        <f>iferror(vlookup(A312,'Marketing Plan (extract summary'!A:G,6,false),"")</f>
        <v>0</v>
      </c>
      <c r="W312" s="1">
        <f>iferror(vlookup(A312,'Marketing Plan (extract summary'!A:G,7,false),"")</f>
        <v>1</v>
      </c>
      <c r="X312" s="17">
        <f t="shared" si="8"/>
        <v>0</v>
      </c>
      <c r="Y312" s="1">
        <f>value(IFERROR(SUBSTITUTE(SUBSTITUTE(VLOOKUP(A312,'Quarterly Pipeline vs Target Pi'!A:G,6,false)," $","")," €",""), "")
)</f>
        <v>0</v>
      </c>
      <c r="Z312" s="1">
        <f>value(IFERROR(SUBSTITUTE(SUBSTITUTE(VLOOKUP(A312,'Quarterly Pipeline vs Target Pi'!A:G,7,false)," $","")," €",""), "")
)</f>
        <v>0</v>
      </c>
      <c r="AA312" s="17" t="str">
        <f t="shared" si="9"/>
        <v/>
      </c>
      <c r="AB312" s="1">
        <f>value(IFERROR(SUBSTITUTE(SUBSTITUTE(VLOOKUP($A312,'Quarterly Pipeline vs Target Pi'!$A:$V,11,false)," $","")," €",""), "")
)</f>
        <v>0</v>
      </c>
      <c r="AC312" s="1">
        <f>value(IFERROR(SUBSTITUTE(SUBSTITUTE(VLOOKUP($A312,'Quarterly Pipeline vs Target Pi'!$A:$V,12,false)," $","")," €",""), "")
)</f>
        <v>0</v>
      </c>
      <c r="AD312" s="17" t="str">
        <f t="shared" si="10"/>
        <v/>
      </c>
      <c r="AE312" s="1">
        <f>value(IFERROR(SUBSTITUTE(SUBSTITUTE(VLOOKUP($A312,'Quarterly Pipeline vs Target Pi'!$A:$V,16,false)," $","")," €",""), "")
)</f>
        <v>0</v>
      </c>
      <c r="AF312" s="1">
        <f>value(IFERROR(SUBSTITUTE(SUBSTITUTE(VLOOKUP($A312,'Quarterly Pipeline vs Target Pi'!$A:$V,17,false)," $","")," €",""), "")
)</f>
        <v>0</v>
      </c>
      <c r="AG312" s="17" t="str">
        <f t="shared" si="11"/>
        <v/>
      </c>
      <c r="AH312" s="1">
        <f>value(IFERROR(SUBSTITUTE(SUBSTITUTE(VLOOKUP($A312,'Quarterly Pipeline vs Target Pi'!$A:$V,21,false)," $","")," €",""), "")
)</f>
        <v>0</v>
      </c>
      <c r="AI312" s="1">
        <f>value(IFERROR(SUBSTITUTE(SUBSTITUTE(VLOOKUP($A312,'Quarterly Pipeline vs Target Pi'!$A:$V,22,false)," $","")," €",""), "")
)</f>
        <v>0</v>
      </c>
      <c r="AJ312" s="17" t="str">
        <f t="shared" si="12"/>
        <v/>
      </c>
      <c r="AK312" s="1">
        <f t="shared" ref="AK312:AL312" si="637">sum(Y312,AB312,AE312,AH312)</f>
        <v>0</v>
      </c>
      <c r="AL312" s="1">
        <f t="shared" si="637"/>
        <v>0</v>
      </c>
      <c r="AM312" s="17" t="str">
        <f t="shared" si="14"/>
        <v/>
      </c>
      <c r="AN312" s="1">
        <f>value(IFERROR(SUBSTITUTE(SUBSTITUTE(VLOOKUP($A312,'Quarterly Pipeline vs Target Pi'!$A:$AP,26,false)," $","")," €",""), "")
)</f>
        <v>0</v>
      </c>
      <c r="AO312" s="1">
        <f>value(IFERROR(SUBSTITUTE(SUBSTITUTE(VLOOKUP($A312,'Quarterly Pipeline vs Target Pi'!$A:$AP,27,false)," $","")," €",""), "")
)</f>
        <v>0</v>
      </c>
      <c r="AP312" s="17" t="str">
        <f t="shared" si="15"/>
        <v/>
      </c>
      <c r="AQ312" s="1">
        <f>value(IFERROR(SUBSTITUTE(SUBSTITUTE(VLOOKUP($A312,'Quarterly Pipeline vs Target Pi'!$A:$AP,31,false)," $","")," €",""), "")
)</f>
        <v>0</v>
      </c>
      <c r="AR312" s="1">
        <f>value(IFERROR(SUBSTITUTE(SUBSTITUTE(VLOOKUP($A312,'Quarterly Pipeline vs Target Pi'!$A:$AP,32,false)," $","")," €",""), "")
)</f>
        <v>0</v>
      </c>
      <c r="AS312" s="17" t="str">
        <f t="shared" si="16"/>
        <v/>
      </c>
      <c r="AT312" s="1">
        <f>value(IFERROR(SUBSTITUTE(SUBSTITUTE(VLOOKUP($A312,'Quarterly Pipeline vs Target Pi'!$A:$AP,36,false)," $","")," €",""), "")
)</f>
        <v>0</v>
      </c>
      <c r="AU312" s="1">
        <f>value(IFERROR(SUBSTITUTE(SUBSTITUTE(VLOOKUP($A312,'Quarterly Pipeline vs Target Pi'!$A:$AP,37,false)," $","")," €",""), "")
)</f>
        <v>0</v>
      </c>
      <c r="AV312" s="17" t="str">
        <f t="shared" si="17"/>
        <v/>
      </c>
      <c r="AW312" s="1">
        <f>value(IFERROR(SUBSTITUTE(SUBSTITUTE(VLOOKUP($A312,'Quarterly Pipeline vs Target Pi'!$A:$AP,41,false)," $","")," €",""), "")
)</f>
        <v>0</v>
      </c>
      <c r="AX312" s="1">
        <f>value(IFERROR(SUBSTITUTE(SUBSTITUTE(VLOOKUP($A312,'Quarterly Pipeline vs Target Pi'!$A:$AP,42,false)," $","")," €",""), "")
)</f>
        <v>0</v>
      </c>
      <c r="AY312" s="17" t="str">
        <f t="shared" si="18"/>
        <v/>
      </c>
      <c r="AZ312" s="1">
        <f t="shared" ref="AZ312:BA312" si="638">sum(AN312,AQ312,AT312,AW312)</f>
        <v>0</v>
      </c>
      <c r="BA312" s="1">
        <f t="shared" si="638"/>
        <v>0</v>
      </c>
      <c r="BB312" s="17" t="str">
        <f t="shared" si="20"/>
        <v/>
      </c>
    </row>
    <row r="313">
      <c r="A313" s="1" t="str">
        <f>IFERROR(__xludf.DUMMYFUNCTION("""COMPUTED_VALUE"""),"63ced84dc5c820531c269770")</f>
        <v>63ced84dc5c820531c269770</v>
      </c>
      <c r="B313" s="1" t="str">
        <f>IFERROR(__xludf.DUMMYFUNCTION("""COMPUTED_VALUE"""),"Netfast Communications, Inc.")</f>
        <v>Netfast Communications, Inc.</v>
      </c>
      <c r="C313" s="1" t="str">
        <f>IFERROR(__xludf.DUMMYFUNCTION("""COMPUTED_VALUE"""),"brendan.flaherty@al-enterprise.com")</f>
        <v>brendan.flaherty@al-enterprise.com</v>
      </c>
      <c r="D313" s="1" t="str">
        <f>IFERROR(__xludf.DUMMYFUNCTION("""COMPUTED_VALUE"""),"americas")</f>
        <v>americas</v>
      </c>
      <c r="E313" s="1" t="str">
        <f>IFERROR(__xludf.DUMMYFUNCTION("""COMPUTED_VALUE"""),"US")</f>
        <v>US</v>
      </c>
      <c r="F313" s="1"/>
      <c r="G313" s="1" t="str">
        <f>iferror(VLOOKUP(A313,'Business Plan Setup and Accepta'!A:G,6,false),"")</f>
        <v/>
      </c>
      <c r="H313" s="1" t="str">
        <f>iferror(VLOOKUP(A313,'Business Plan Setup and Accepta'!A:G,7,false),"")</f>
        <v/>
      </c>
      <c r="I313" s="17" t="str">
        <f t="shared" si="3"/>
        <v/>
      </c>
      <c r="J313" s="1" t="str">
        <f>IFERROR(VALUE(SUBSTITUTE(VLOOKUP(A313,'Sales IN Revenues vs Sales targ'!A:G,6,false)," $","")), "")
</f>
        <v/>
      </c>
      <c r="K313" s="1" t="str">
        <f>IFERROR(VALUE(SUBSTITUTE(VLOOKUP(A313,'Sales IN Revenues vs Sales targ'!A:G,7,false)," $","")), "")
</f>
        <v/>
      </c>
      <c r="L313" s="17" t="str">
        <f t="shared" si="4"/>
        <v/>
      </c>
      <c r="M313" s="1">
        <f>value(SUBSTITUTE(IFERROR(VLOOKUP(A313,'Certifications achievements vs '!A:G,6,false),""),"#","")
)</f>
        <v>0</v>
      </c>
      <c r="N313" s="1">
        <f>value(SUBSTITUTE(IFERROR(VLOOKUP(A313,'Certifications achievements vs '!A:G,7,false),""),"#","")
)</f>
        <v>0</v>
      </c>
      <c r="O313" s="17" t="str">
        <f t="shared" si="5"/>
        <v/>
      </c>
      <c r="P313" s="1">
        <f>value(SUBSTITUTE(IFERROR(VLOOKUP(A313,'Communications - Solution Speci'!A:G,6,false),""),"#","")
)</f>
        <v>0</v>
      </c>
      <c r="Q313" s="1">
        <f>value(SUBSTITUTE(IFERROR(VLOOKUP(A313,'Communications - Solution Speci'!A:G,7,false),""),"#","")
)</f>
        <v>0</v>
      </c>
      <c r="R313" s="17" t="str">
        <f t="shared" si="6"/>
        <v/>
      </c>
      <c r="S313" s="1">
        <f>value(SUBSTITUTE(IFERROR(VLOOKUP(A313,'Networking - Solution Specializ'!A:G,6,false),""),"#","")
)</f>
        <v>0</v>
      </c>
      <c r="T313" s="1">
        <f>value(SUBSTITUTE(IFERROR(VLOOKUP(A313,'Networking - Solution Specializ'!A:G,7,false),""),"#","")
)</f>
        <v>0</v>
      </c>
      <c r="U313" s="17" t="str">
        <f t="shared" si="7"/>
        <v/>
      </c>
      <c r="V313" s="1" t="str">
        <f>iferror(vlookup(A313,'Marketing Plan (extract summary'!A:G,6,false),"")</f>
        <v/>
      </c>
      <c r="W313" s="1" t="str">
        <f>iferror(vlookup(A313,'Marketing Plan (extract summary'!A:G,7,false),"")</f>
        <v/>
      </c>
      <c r="X313" s="17" t="str">
        <f t="shared" si="8"/>
        <v/>
      </c>
      <c r="Y313" s="1">
        <f>value(IFERROR(SUBSTITUTE(SUBSTITUTE(VLOOKUP(A313,'Quarterly Pipeline vs Target Pi'!A:G,6,false)," $","")," €",""), "")
)</f>
        <v>0</v>
      </c>
      <c r="Z313" s="1">
        <f>value(IFERROR(SUBSTITUTE(SUBSTITUTE(VLOOKUP(A313,'Quarterly Pipeline vs Target Pi'!A:G,7,false)," $","")," €",""), "")
)</f>
        <v>0</v>
      </c>
      <c r="AA313" s="17" t="str">
        <f t="shared" si="9"/>
        <v/>
      </c>
      <c r="AB313" s="1">
        <f>value(IFERROR(SUBSTITUTE(SUBSTITUTE(VLOOKUP($A313,'Quarterly Pipeline vs Target Pi'!$A:$V,11,false)," $","")," €",""), "")
)</f>
        <v>0</v>
      </c>
      <c r="AC313" s="1">
        <f>value(IFERROR(SUBSTITUTE(SUBSTITUTE(VLOOKUP($A313,'Quarterly Pipeline vs Target Pi'!$A:$V,12,false)," $","")," €",""), "")
)</f>
        <v>0</v>
      </c>
      <c r="AD313" s="17" t="str">
        <f t="shared" si="10"/>
        <v/>
      </c>
      <c r="AE313" s="1">
        <f>value(IFERROR(SUBSTITUTE(SUBSTITUTE(VLOOKUP($A313,'Quarterly Pipeline vs Target Pi'!$A:$V,16,false)," $","")," €",""), "")
)</f>
        <v>0</v>
      </c>
      <c r="AF313" s="1">
        <f>value(IFERROR(SUBSTITUTE(SUBSTITUTE(VLOOKUP($A313,'Quarterly Pipeline vs Target Pi'!$A:$V,17,false)," $","")," €",""), "")
)</f>
        <v>0</v>
      </c>
      <c r="AG313" s="17" t="str">
        <f t="shared" si="11"/>
        <v/>
      </c>
      <c r="AH313" s="1">
        <f>value(IFERROR(SUBSTITUTE(SUBSTITUTE(VLOOKUP($A313,'Quarterly Pipeline vs Target Pi'!$A:$V,21,false)," $","")," €",""), "")
)</f>
        <v>0</v>
      </c>
      <c r="AI313" s="1">
        <f>value(IFERROR(SUBSTITUTE(SUBSTITUTE(VLOOKUP($A313,'Quarterly Pipeline vs Target Pi'!$A:$V,22,false)," $","")," €",""), "")
)</f>
        <v>0</v>
      </c>
      <c r="AJ313" s="17" t="str">
        <f t="shared" si="12"/>
        <v/>
      </c>
      <c r="AK313" s="1">
        <f t="shared" ref="AK313:AL313" si="639">sum(Y313,AB313,AE313,AH313)</f>
        <v>0</v>
      </c>
      <c r="AL313" s="1">
        <f t="shared" si="639"/>
        <v>0</v>
      </c>
      <c r="AM313" s="17" t="str">
        <f t="shared" si="14"/>
        <v/>
      </c>
      <c r="AN313" s="1">
        <f>value(IFERROR(SUBSTITUTE(SUBSTITUTE(VLOOKUP($A313,'Quarterly Pipeline vs Target Pi'!$A:$AP,26,false)," $","")," €",""), "")
)</f>
        <v>0</v>
      </c>
      <c r="AO313" s="1">
        <f>value(IFERROR(SUBSTITUTE(SUBSTITUTE(VLOOKUP($A313,'Quarterly Pipeline vs Target Pi'!$A:$AP,27,false)," $","")," €",""), "")
)</f>
        <v>0</v>
      </c>
      <c r="AP313" s="17" t="str">
        <f t="shared" si="15"/>
        <v/>
      </c>
      <c r="AQ313" s="1">
        <f>value(IFERROR(SUBSTITUTE(SUBSTITUTE(VLOOKUP($A313,'Quarterly Pipeline vs Target Pi'!$A:$AP,31,false)," $","")," €",""), "")
)</f>
        <v>0</v>
      </c>
      <c r="AR313" s="1">
        <f>value(IFERROR(SUBSTITUTE(SUBSTITUTE(VLOOKUP($A313,'Quarterly Pipeline vs Target Pi'!$A:$AP,32,false)," $","")," €",""), "")
)</f>
        <v>0</v>
      </c>
      <c r="AS313" s="17" t="str">
        <f t="shared" si="16"/>
        <v/>
      </c>
      <c r="AT313" s="1">
        <f>value(IFERROR(SUBSTITUTE(SUBSTITUTE(VLOOKUP($A313,'Quarterly Pipeline vs Target Pi'!$A:$AP,36,false)," $","")," €",""), "")
)</f>
        <v>0</v>
      </c>
      <c r="AU313" s="1">
        <f>value(IFERROR(SUBSTITUTE(SUBSTITUTE(VLOOKUP($A313,'Quarterly Pipeline vs Target Pi'!$A:$AP,37,false)," $","")," €",""), "")
)</f>
        <v>0</v>
      </c>
      <c r="AV313" s="17" t="str">
        <f t="shared" si="17"/>
        <v/>
      </c>
      <c r="AW313" s="1">
        <f>value(IFERROR(SUBSTITUTE(SUBSTITUTE(VLOOKUP($A313,'Quarterly Pipeline vs Target Pi'!$A:$AP,41,false)," $","")," €",""), "")
)</f>
        <v>0</v>
      </c>
      <c r="AX313" s="1">
        <f>value(IFERROR(SUBSTITUTE(SUBSTITUTE(VLOOKUP($A313,'Quarterly Pipeline vs Target Pi'!$A:$AP,42,false)," $","")," €",""), "")
)</f>
        <v>0</v>
      </c>
      <c r="AY313" s="17" t="str">
        <f t="shared" si="18"/>
        <v/>
      </c>
      <c r="AZ313" s="1">
        <f t="shared" ref="AZ313:BA313" si="640">sum(AN313,AQ313,AT313,AW313)</f>
        <v>0</v>
      </c>
      <c r="BA313" s="1">
        <f t="shared" si="640"/>
        <v>0</v>
      </c>
      <c r="BB313" s="17" t="str">
        <f t="shared" si="20"/>
        <v/>
      </c>
    </row>
    <row r="314">
      <c r="A314" s="1" t="str">
        <f>IFERROR(__xludf.DUMMYFUNCTION("""COMPUTED_VALUE"""),"63ea6e9352ad6968805ceaef")</f>
        <v>63ea6e9352ad6968805ceaef</v>
      </c>
      <c r="B314" s="1" t="str">
        <f>IFERROR(__xludf.DUMMYFUNCTION("""COMPUTED_VALUE"""),"Netkom GmbH")</f>
        <v>Netkom GmbH</v>
      </c>
      <c r="C314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314" s="1" t="str">
        <f>IFERROR(__xludf.DUMMYFUNCTION("""COMPUTED_VALUE"""),"germany")</f>
        <v>germany</v>
      </c>
      <c r="E314" s="1" t="str">
        <f>IFERROR(__xludf.DUMMYFUNCTION("""COMPUTED_VALUE"""),"DE")</f>
        <v>DE</v>
      </c>
      <c r="F314" s="1" t="str">
        <f>IFERROR(__xludf.DUMMYFUNCTION("""COMPUTED_VALUE"""),"expert_200")</f>
        <v>expert_200</v>
      </c>
      <c r="G314" s="1">
        <f>iferror(VLOOKUP(A314,'Business Plan Setup and Accepta'!A:G,6,false),"")</f>
        <v>0</v>
      </c>
      <c r="H314" s="1">
        <f>iferror(VLOOKUP(A314,'Business Plan Setup and Accepta'!A:G,7,false),"")</f>
        <v>1</v>
      </c>
      <c r="I314" s="17">
        <f t="shared" si="3"/>
        <v>0</v>
      </c>
      <c r="J314" s="1">
        <f>IFERROR(VALUE(SUBSTITUTE(VLOOKUP(A314,'Sales IN Revenues vs Sales targ'!A:G,6,false)," $","")), "")
</f>
        <v>110.73</v>
      </c>
      <c r="K314" s="1">
        <f>IFERROR(VALUE(SUBSTITUTE(VLOOKUP(A314,'Sales IN Revenues vs Sales targ'!A:G,7,false)," $","")), "")
</f>
        <v>368.5</v>
      </c>
      <c r="L314" s="17">
        <f t="shared" si="4"/>
        <v>0.3004884668</v>
      </c>
      <c r="M314" s="1">
        <f>value(SUBSTITUTE(IFERROR(VLOOKUP(A314,'Certifications achievements vs '!A:G,6,false),""),"#","")
)</f>
        <v>9</v>
      </c>
      <c r="N314" s="1">
        <f>value(SUBSTITUTE(IFERROR(VLOOKUP(A314,'Certifications achievements vs '!A:G,7,false),""),"#","")
)</f>
        <v>52</v>
      </c>
      <c r="O314" s="17">
        <f t="shared" si="5"/>
        <v>0.1730769231</v>
      </c>
      <c r="P314" s="1">
        <f>value(SUBSTITUTE(IFERROR(VLOOKUP(A314,'Communications - Solution Speci'!A:G,6,false),""),"#","")
)</f>
        <v>1</v>
      </c>
      <c r="Q314" s="1">
        <f>value(SUBSTITUTE(IFERROR(VLOOKUP(A314,'Communications - Solution Speci'!A:G,7,false),""),"#","")
)</f>
        <v>1</v>
      </c>
      <c r="R314" s="17">
        <f t="shared" si="6"/>
        <v>1</v>
      </c>
      <c r="S314" s="1">
        <f>value(SUBSTITUTE(IFERROR(VLOOKUP(A314,'Networking - Solution Specializ'!A:G,6,false),""),"#","")
)</f>
        <v>0</v>
      </c>
      <c r="T314" s="1">
        <f>value(SUBSTITUTE(IFERROR(VLOOKUP(A314,'Networking - Solution Specializ'!A:G,7,false),""),"#","")
)</f>
        <v>1</v>
      </c>
      <c r="U314" s="17">
        <f t="shared" si="7"/>
        <v>0</v>
      </c>
      <c r="V314" s="1">
        <f>iferror(vlookup(A314,'Marketing Plan (extract summary'!A:G,6,false),"")</f>
        <v>0</v>
      </c>
      <c r="W314" s="1">
        <f>iferror(vlookup(A314,'Marketing Plan (extract summary'!A:G,7,false),"")</f>
        <v>1</v>
      </c>
      <c r="X314" s="17">
        <f t="shared" si="8"/>
        <v>0</v>
      </c>
      <c r="Y314" s="1">
        <f>value(IFERROR(SUBSTITUTE(SUBSTITUTE(VLOOKUP(A314,'Quarterly Pipeline vs Target Pi'!A:G,6,false)," $","")," €",""), "")
)</f>
        <v>0</v>
      </c>
      <c r="Z314" s="1">
        <f>value(IFERROR(SUBSTITUTE(SUBSTITUTE(VLOOKUP(A314,'Quarterly Pipeline vs Target Pi'!A:G,7,false)," $","")," €",""), "")
)</f>
        <v>0</v>
      </c>
      <c r="AA314" s="17" t="str">
        <f t="shared" si="9"/>
        <v/>
      </c>
      <c r="AB314" s="1">
        <f>value(IFERROR(SUBSTITUTE(SUBSTITUTE(VLOOKUP($A314,'Quarterly Pipeline vs Target Pi'!$A:$V,11,false)," $","")," €",""), "")
)</f>
        <v>4.94</v>
      </c>
      <c r="AC314" s="1">
        <f>value(IFERROR(SUBSTITUTE(SUBSTITUTE(VLOOKUP($A314,'Quarterly Pipeline vs Target Pi'!$A:$V,12,false)," $","")," €",""), "")
)</f>
        <v>184.25</v>
      </c>
      <c r="AD314" s="17">
        <f t="shared" si="10"/>
        <v>0.02681139756</v>
      </c>
      <c r="AE314" s="1">
        <f>value(IFERROR(SUBSTITUTE(SUBSTITUTE(VLOOKUP($A314,'Quarterly Pipeline vs Target Pi'!$A:$V,16,false)," $","")," €",""), "")
)</f>
        <v>4.94</v>
      </c>
      <c r="AF314" s="1">
        <f>value(IFERROR(SUBSTITUTE(SUBSTITUTE(VLOOKUP($A314,'Quarterly Pipeline vs Target Pi'!$A:$V,17,false)," $","")," €",""), "")
)</f>
        <v>276.25</v>
      </c>
      <c r="AG314" s="17">
        <f t="shared" si="11"/>
        <v>0.01788235294</v>
      </c>
      <c r="AH314" s="1">
        <f>value(IFERROR(SUBSTITUTE(SUBSTITUTE(VLOOKUP($A314,'Quarterly Pipeline vs Target Pi'!$A:$V,21,false)," $","")," €",""), "")
)</f>
        <v>154.1</v>
      </c>
      <c r="AI314" s="1">
        <f>value(IFERROR(SUBSTITUTE(SUBSTITUTE(VLOOKUP($A314,'Quarterly Pipeline vs Target Pi'!$A:$V,22,false)," $","")," €",""), "")
)</f>
        <v>276.5</v>
      </c>
      <c r="AJ314" s="17">
        <f t="shared" si="12"/>
        <v>0.557323689</v>
      </c>
      <c r="AK314" s="1">
        <f t="shared" ref="AK314:AL314" si="641">sum(Y314,AB314,AE314,AH314)</f>
        <v>163.98</v>
      </c>
      <c r="AL314" s="1">
        <f t="shared" si="641"/>
        <v>737</v>
      </c>
      <c r="AM314" s="17">
        <f t="shared" si="14"/>
        <v>0.2224966079</v>
      </c>
      <c r="AN314" s="1">
        <f>value(IFERROR(SUBSTITUTE(SUBSTITUTE(VLOOKUP($A314,'Quarterly Pipeline vs Target Pi'!$A:$AP,26,false)," $","")," €",""), "")
)</f>
        <v>7.7</v>
      </c>
      <c r="AO314" s="1">
        <f>value(IFERROR(SUBSTITUTE(SUBSTITUTE(VLOOKUP($A314,'Quarterly Pipeline vs Target Pi'!$A:$AP,27,false)," $","")," €",""), "")
)</f>
        <v>0</v>
      </c>
      <c r="AP314" s="17" t="str">
        <f t="shared" si="15"/>
        <v/>
      </c>
      <c r="AQ314" s="1">
        <f>value(IFERROR(SUBSTITUTE(SUBSTITUTE(VLOOKUP($A314,'Quarterly Pipeline vs Target Pi'!$A:$AP,31,false)," $","")," €",""), "")
)</f>
        <v>0</v>
      </c>
      <c r="AR314" s="1">
        <f>value(IFERROR(SUBSTITUTE(SUBSTITUTE(VLOOKUP($A314,'Quarterly Pipeline vs Target Pi'!$A:$AP,32,false)," $","")," €",""), "")
)</f>
        <v>0</v>
      </c>
      <c r="AS314" s="17" t="str">
        <f t="shared" si="16"/>
        <v/>
      </c>
      <c r="AT314" s="1">
        <f>value(IFERROR(SUBSTITUTE(SUBSTITUTE(VLOOKUP($A314,'Quarterly Pipeline vs Target Pi'!$A:$AP,36,false)," $","")," €",""), "")
)</f>
        <v>105</v>
      </c>
      <c r="AU314" s="1">
        <f>value(IFERROR(SUBSTITUTE(SUBSTITUTE(VLOOKUP($A314,'Quarterly Pipeline vs Target Pi'!$A:$AP,37,false)," $","")," €",""), "")
)</f>
        <v>0</v>
      </c>
      <c r="AV314" s="17" t="str">
        <f t="shared" si="17"/>
        <v/>
      </c>
      <c r="AW314" s="1">
        <f>value(IFERROR(SUBSTITUTE(SUBSTITUTE(VLOOKUP($A314,'Quarterly Pipeline vs Target Pi'!$A:$AP,41,false)," $","")," €",""), "")
)</f>
        <v>250.8</v>
      </c>
      <c r="AX314" s="1">
        <f>value(IFERROR(SUBSTITUTE(SUBSTITUTE(VLOOKUP($A314,'Quarterly Pipeline vs Target Pi'!$A:$AP,42,false)," $","")," €",""), "")
)</f>
        <v>0</v>
      </c>
      <c r="AY314" s="17" t="str">
        <f t="shared" si="18"/>
        <v/>
      </c>
      <c r="AZ314" s="1">
        <f t="shared" ref="AZ314:BA314" si="642">sum(AN314,AQ314,AT314,AW314)</f>
        <v>363.5</v>
      </c>
      <c r="BA314" s="1">
        <f t="shared" si="642"/>
        <v>0</v>
      </c>
      <c r="BB314" s="17" t="str">
        <f t="shared" si="20"/>
        <v/>
      </c>
    </row>
    <row r="315">
      <c r="A315" s="1" t="str">
        <f>IFERROR(__xludf.DUMMYFUNCTION("""COMPUTED_VALUE"""),"63ea6e9652ad6968805ceefb")</f>
        <v>63ea6e9652ad6968805ceefb</v>
      </c>
      <c r="B315" s="1" t="str">
        <f>IFERROR(__xludf.DUMMYFUNCTION("""COMPUTED_VALUE"""),"NetPeppers GmbH")</f>
        <v>NetPeppers GmbH</v>
      </c>
      <c r="C315" s="1" t="str">
        <f>IFERROR(__xludf.DUMMYFUNCTION("""COMPUTED_VALUE"""),"andreas.grossheimann@al-enterprise.com, daniel.scheidl@al-enterprise.com, hakan.adiguezel@al-enterprise.com")</f>
        <v>andreas.grossheimann@al-enterprise.com, daniel.scheidl@al-enterprise.com, hakan.adiguezel@al-enterprise.com</v>
      </c>
      <c r="D315" s="1" t="str">
        <f>IFERROR(__xludf.DUMMYFUNCTION("""COMPUTED_VALUE"""),"germany")</f>
        <v>germany</v>
      </c>
      <c r="E315" s="1" t="str">
        <f>IFERROR(__xludf.DUMMYFUNCTION("""COMPUTED_VALUE"""),"DE")</f>
        <v>DE</v>
      </c>
      <c r="F315" s="1"/>
      <c r="G315" s="1" t="str">
        <f>iferror(VLOOKUP(A315,'Business Plan Setup and Accepta'!A:G,6,false),"")</f>
        <v/>
      </c>
      <c r="H315" s="1" t="str">
        <f>iferror(VLOOKUP(A315,'Business Plan Setup and Accepta'!A:G,7,false),"")</f>
        <v/>
      </c>
      <c r="I315" s="17" t="str">
        <f t="shared" si="3"/>
        <v/>
      </c>
      <c r="J315" s="1" t="str">
        <f>IFERROR(VALUE(SUBSTITUTE(VLOOKUP(A315,'Sales IN Revenues vs Sales targ'!A:G,6,false)," $","")), "")
</f>
        <v/>
      </c>
      <c r="K315" s="1" t="str">
        <f>IFERROR(VALUE(SUBSTITUTE(VLOOKUP(A315,'Sales IN Revenues vs Sales targ'!A:G,7,false)," $","")), "")
</f>
        <v/>
      </c>
      <c r="L315" s="17" t="str">
        <f t="shared" si="4"/>
        <v/>
      </c>
      <c r="M315" s="1">
        <f>value(SUBSTITUTE(IFERROR(VLOOKUP(A315,'Certifications achievements vs '!A:G,6,false),""),"#","")
)</f>
        <v>0</v>
      </c>
      <c r="N315" s="1">
        <f>value(SUBSTITUTE(IFERROR(VLOOKUP(A315,'Certifications achievements vs '!A:G,7,false),""),"#","")
)</f>
        <v>0</v>
      </c>
      <c r="O315" s="17" t="str">
        <f t="shared" si="5"/>
        <v/>
      </c>
      <c r="P315" s="1">
        <f>value(SUBSTITUTE(IFERROR(VLOOKUP(A315,'Communications - Solution Speci'!A:G,6,false),""),"#","")
)</f>
        <v>0</v>
      </c>
      <c r="Q315" s="1">
        <f>value(SUBSTITUTE(IFERROR(VLOOKUP(A315,'Communications - Solution Speci'!A:G,7,false),""),"#","")
)</f>
        <v>0</v>
      </c>
      <c r="R315" s="17" t="str">
        <f t="shared" si="6"/>
        <v/>
      </c>
      <c r="S315" s="1">
        <f>value(SUBSTITUTE(IFERROR(VLOOKUP(A315,'Networking - Solution Specializ'!A:G,6,false),""),"#","")
)</f>
        <v>0</v>
      </c>
      <c r="T315" s="1">
        <f>value(SUBSTITUTE(IFERROR(VLOOKUP(A315,'Networking - Solution Specializ'!A:G,7,false),""),"#","")
)</f>
        <v>0</v>
      </c>
      <c r="U315" s="17" t="str">
        <f t="shared" si="7"/>
        <v/>
      </c>
      <c r="V315" s="1" t="str">
        <f>iferror(vlookup(A315,'Marketing Plan (extract summary'!A:G,6,false),"")</f>
        <v/>
      </c>
      <c r="W315" s="1" t="str">
        <f>iferror(vlookup(A315,'Marketing Plan (extract summary'!A:G,7,false),"")</f>
        <v/>
      </c>
      <c r="X315" s="17" t="str">
        <f t="shared" si="8"/>
        <v/>
      </c>
      <c r="Y315" s="1">
        <f>value(IFERROR(SUBSTITUTE(SUBSTITUTE(VLOOKUP(A315,'Quarterly Pipeline vs Target Pi'!A:G,6,false)," $","")," €",""), "")
)</f>
        <v>0</v>
      </c>
      <c r="Z315" s="1">
        <f>value(IFERROR(SUBSTITUTE(SUBSTITUTE(VLOOKUP(A315,'Quarterly Pipeline vs Target Pi'!A:G,7,false)," $","")," €",""), "")
)</f>
        <v>0</v>
      </c>
      <c r="AA315" s="17" t="str">
        <f t="shared" si="9"/>
        <v/>
      </c>
      <c r="AB315" s="1">
        <f>value(IFERROR(SUBSTITUTE(SUBSTITUTE(VLOOKUP($A315,'Quarterly Pipeline vs Target Pi'!$A:$V,11,false)," $","")," €",""), "")
)</f>
        <v>0</v>
      </c>
      <c r="AC315" s="1">
        <f>value(IFERROR(SUBSTITUTE(SUBSTITUTE(VLOOKUP($A315,'Quarterly Pipeline vs Target Pi'!$A:$V,12,false)," $","")," €",""), "")
)</f>
        <v>0</v>
      </c>
      <c r="AD315" s="17" t="str">
        <f t="shared" si="10"/>
        <v/>
      </c>
      <c r="AE315" s="1">
        <f>value(IFERROR(SUBSTITUTE(SUBSTITUTE(VLOOKUP($A315,'Quarterly Pipeline vs Target Pi'!$A:$V,16,false)," $","")," €",""), "")
)</f>
        <v>0</v>
      </c>
      <c r="AF315" s="1">
        <f>value(IFERROR(SUBSTITUTE(SUBSTITUTE(VLOOKUP($A315,'Quarterly Pipeline vs Target Pi'!$A:$V,17,false)," $","")," €",""), "")
)</f>
        <v>0</v>
      </c>
      <c r="AG315" s="17" t="str">
        <f t="shared" si="11"/>
        <v/>
      </c>
      <c r="AH315" s="1">
        <f>value(IFERROR(SUBSTITUTE(SUBSTITUTE(VLOOKUP($A315,'Quarterly Pipeline vs Target Pi'!$A:$V,21,false)," $","")," €",""), "")
)</f>
        <v>0</v>
      </c>
      <c r="AI315" s="1">
        <f>value(IFERROR(SUBSTITUTE(SUBSTITUTE(VLOOKUP($A315,'Quarterly Pipeline vs Target Pi'!$A:$V,22,false)," $","")," €",""), "")
)</f>
        <v>0</v>
      </c>
      <c r="AJ315" s="17" t="str">
        <f t="shared" si="12"/>
        <v/>
      </c>
      <c r="AK315" s="1">
        <f t="shared" ref="AK315:AL315" si="643">sum(Y315,AB315,AE315,AH315)</f>
        <v>0</v>
      </c>
      <c r="AL315" s="1">
        <f t="shared" si="643"/>
        <v>0</v>
      </c>
      <c r="AM315" s="17" t="str">
        <f t="shared" si="14"/>
        <v/>
      </c>
      <c r="AN315" s="1">
        <f>value(IFERROR(SUBSTITUTE(SUBSTITUTE(VLOOKUP($A315,'Quarterly Pipeline vs Target Pi'!$A:$AP,26,false)," $","")," €",""), "")
)</f>
        <v>0</v>
      </c>
      <c r="AO315" s="1">
        <f>value(IFERROR(SUBSTITUTE(SUBSTITUTE(VLOOKUP($A315,'Quarterly Pipeline vs Target Pi'!$A:$AP,27,false)," $","")," €",""), "")
)</f>
        <v>0</v>
      </c>
      <c r="AP315" s="17" t="str">
        <f t="shared" si="15"/>
        <v/>
      </c>
      <c r="AQ315" s="1">
        <f>value(IFERROR(SUBSTITUTE(SUBSTITUTE(VLOOKUP($A315,'Quarterly Pipeline vs Target Pi'!$A:$AP,31,false)," $","")," €",""), "")
)</f>
        <v>0</v>
      </c>
      <c r="AR315" s="1">
        <f>value(IFERROR(SUBSTITUTE(SUBSTITUTE(VLOOKUP($A315,'Quarterly Pipeline vs Target Pi'!$A:$AP,32,false)," $","")," €",""), "")
)</f>
        <v>0</v>
      </c>
      <c r="AS315" s="17" t="str">
        <f t="shared" si="16"/>
        <v/>
      </c>
      <c r="AT315" s="1">
        <f>value(IFERROR(SUBSTITUTE(SUBSTITUTE(VLOOKUP($A315,'Quarterly Pipeline vs Target Pi'!$A:$AP,36,false)," $","")," €",""), "")
)</f>
        <v>0</v>
      </c>
      <c r="AU315" s="1">
        <f>value(IFERROR(SUBSTITUTE(SUBSTITUTE(VLOOKUP($A315,'Quarterly Pipeline vs Target Pi'!$A:$AP,37,false)," $","")," €",""), "")
)</f>
        <v>0</v>
      </c>
      <c r="AV315" s="17" t="str">
        <f t="shared" si="17"/>
        <v/>
      </c>
      <c r="AW315" s="1">
        <f>value(IFERROR(SUBSTITUTE(SUBSTITUTE(VLOOKUP($A315,'Quarterly Pipeline vs Target Pi'!$A:$AP,41,false)," $","")," €",""), "")
)</f>
        <v>0</v>
      </c>
      <c r="AX315" s="1">
        <f>value(IFERROR(SUBSTITUTE(SUBSTITUTE(VLOOKUP($A315,'Quarterly Pipeline vs Target Pi'!$A:$AP,42,false)," $","")," €",""), "")
)</f>
        <v>0</v>
      </c>
      <c r="AY315" s="17" t="str">
        <f t="shared" si="18"/>
        <v/>
      </c>
      <c r="AZ315" s="1">
        <f t="shared" ref="AZ315:BA315" si="644">sum(AN315,AQ315,AT315,AW315)</f>
        <v>0</v>
      </c>
      <c r="BA315" s="1">
        <f t="shared" si="644"/>
        <v>0</v>
      </c>
      <c r="BB315" s="17" t="str">
        <f t="shared" si="20"/>
        <v/>
      </c>
    </row>
    <row r="316">
      <c r="A316" s="1" t="str">
        <f>IFERROR(__xludf.DUMMYFUNCTION("""COMPUTED_VALUE"""),"63ef9d60384f27260c1bb16d")</f>
        <v>63ef9d60384f27260c1bb16d</v>
      </c>
      <c r="B316" s="1" t="str">
        <f>IFERROR(__xludf.DUMMYFUNCTION("""COMPUTED_VALUE"""),"Network Zen")</f>
        <v>Network Zen</v>
      </c>
      <c r="C316" s="1" t="str">
        <f>IFERROR(__xludf.DUMMYFUNCTION("""COMPUTED_VALUE"""),"steve.mcglasson@al-enterprise.com")</f>
        <v>steve.mcglasson@al-enterprise.com</v>
      </c>
      <c r="D316" s="1" t="str">
        <f>IFERROR(__xludf.DUMMYFUNCTION("""COMPUTED_VALUE"""),"americas")</f>
        <v>americas</v>
      </c>
      <c r="E316" s="1" t="str">
        <f>IFERROR(__xludf.DUMMYFUNCTION("""COMPUTED_VALUE"""),"US")</f>
        <v>US</v>
      </c>
      <c r="F316" s="1"/>
      <c r="G316" s="1" t="str">
        <f>iferror(VLOOKUP(A316,'Business Plan Setup and Accepta'!A:G,6,false),"")</f>
        <v/>
      </c>
      <c r="H316" s="1" t="str">
        <f>iferror(VLOOKUP(A316,'Business Plan Setup and Accepta'!A:G,7,false),"")</f>
        <v/>
      </c>
      <c r="I316" s="17" t="str">
        <f t="shared" si="3"/>
        <v/>
      </c>
      <c r="J316" s="1" t="str">
        <f>IFERROR(VALUE(SUBSTITUTE(VLOOKUP(A316,'Sales IN Revenues vs Sales targ'!A:G,6,false)," $","")), "")
</f>
        <v/>
      </c>
      <c r="K316" s="1" t="str">
        <f>IFERROR(VALUE(SUBSTITUTE(VLOOKUP(A316,'Sales IN Revenues vs Sales targ'!A:G,7,false)," $","")), "")
</f>
        <v/>
      </c>
      <c r="L316" s="17" t="str">
        <f t="shared" si="4"/>
        <v/>
      </c>
      <c r="M316" s="1">
        <f>value(SUBSTITUTE(IFERROR(VLOOKUP(A316,'Certifications achievements vs '!A:G,6,false),""),"#","")
)</f>
        <v>0</v>
      </c>
      <c r="N316" s="1">
        <f>value(SUBSTITUTE(IFERROR(VLOOKUP(A316,'Certifications achievements vs '!A:G,7,false),""),"#","")
)</f>
        <v>0</v>
      </c>
      <c r="O316" s="17" t="str">
        <f t="shared" si="5"/>
        <v/>
      </c>
      <c r="P316" s="1">
        <f>value(SUBSTITUTE(IFERROR(VLOOKUP(A316,'Communications - Solution Speci'!A:G,6,false),""),"#","")
)</f>
        <v>0</v>
      </c>
      <c r="Q316" s="1">
        <f>value(SUBSTITUTE(IFERROR(VLOOKUP(A316,'Communications - Solution Speci'!A:G,7,false),""),"#","")
)</f>
        <v>0</v>
      </c>
      <c r="R316" s="17" t="str">
        <f t="shared" si="6"/>
        <v/>
      </c>
      <c r="S316" s="1">
        <f>value(SUBSTITUTE(IFERROR(VLOOKUP(A316,'Networking - Solution Specializ'!A:G,6,false),""),"#","")
)</f>
        <v>0</v>
      </c>
      <c r="T316" s="1">
        <f>value(SUBSTITUTE(IFERROR(VLOOKUP(A316,'Networking - Solution Specializ'!A:G,7,false),""),"#","")
)</f>
        <v>0</v>
      </c>
      <c r="U316" s="17" t="str">
        <f t="shared" si="7"/>
        <v/>
      </c>
      <c r="V316" s="1" t="str">
        <f>iferror(vlookup(A316,'Marketing Plan (extract summary'!A:G,6,false),"")</f>
        <v/>
      </c>
      <c r="W316" s="1" t="str">
        <f>iferror(vlookup(A316,'Marketing Plan (extract summary'!A:G,7,false),"")</f>
        <v/>
      </c>
      <c r="X316" s="17" t="str">
        <f t="shared" si="8"/>
        <v/>
      </c>
      <c r="Y316" s="1">
        <f>value(IFERROR(SUBSTITUTE(SUBSTITUTE(VLOOKUP(A316,'Quarterly Pipeline vs Target Pi'!A:G,6,false)," $","")," €",""), "")
)</f>
        <v>0</v>
      </c>
      <c r="Z316" s="1">
        <f>value(IFERROR(SUBSTITUTE(SUBSTITUTE(VLOOKUP(A316,'Quarterly Pipeline vs Target Pi'!A:G,7,false)," $","")," €",""), "")
)</f>
        <v>0</v>
      </c>
      <c r="AA316" s="17" t="str">
        <f t="shared" si="9"/>
        <v/>
      </c>
      <c r="AB316" s="1">
        <f>value(IFERROR(SUBSTITUTE(SUBSTITUTE(VLOOKUP($A316,'Quarterly Pipeline vs Target Pi'!$A:$V,11,false)," $","")," €",""), "")
)</f>
        <v>0</v>
      </c>
      <c r="AC316" s="1">
        <f>value(IFERROR(SUBSTITUTE(SUBSTITUTE(VLOOKUP($A316,'Quarterly Pipeline vs Target Pi'!$A:$V,12,false)," $","")," €",""), "")
)</f>
        <v>0</v>
      </c>
      <c r="AD316" s="17" t="str">
        <f t="shared" si="10"/>
        <v/>
      </c>
      <c r="AE316" s="1">
        <f>value(IFERROR(SUBSTITUTE(SUBSTITUTE(VLOOKUP($A316,'Quarterly Pipeline vs Target Pi'!$A:$V,16,false)," $","")," €",""), "")
)</f>
        <v>0</v>
      </c>
      <c r="AF316" s="1">
        <f>value(IFERROR(SUBSTITUTE(SUBSTITUTE(VLOOKUP($A316,'Quarterly Pipeline vs Target Pi'!$A:$V,17,false)," $","")," €",""), "")
)</f>
        <v>0</v>
      </c>
      <c r="AG316" s="17" t="str">
        <f t="shared" si="11"/>
        <v/>
      </c>
      <c r="AH316" s="1">
        <f>value(IFERROR(SUBSTITUTE(SUBSTITUTE(VLOOKUP($A316,'Quarterly Pipeline vs Target Pi'!$A:$V,21,false)," $","")," €",""), "")
)</f>
        <v>0</v>
      </c>
      <c r="AI316" s="1">
        <f>value(IFERROR(SUBSTITUTE(SUBSTITUTE(VLOOKUP($A316,'Quarterly Pipeline vs Target Pi'!$A:$V,22,false)," $","")," €",""), "")
)</f>
        <v>0</v>
      </c>
      <c r="AJ316" s="17" t="str">
        <f t="shared" si="12"/>
        <v/>
      </c>
      <c r="AK316" s="1">
        <f t="shared" ref="AK316:AL316" si="645">sum(Y316,AB316,AE316,AH316)</f>
        <v>0</v>
      </c>
      <c r="AL316" s="1">
        <f t="shared" si="645"/>
        <v>0</v>
      </c>
      <c r="AM316" s="17" t="str">
        <f t="shared" si="14"/>
        <v/>
      </c>
      <c r="AN316" s="1">
        <f>value(IFERROR(SUBSTITUTE(SUBSTITUTE(VLOOKUP($A316,'Quarterly Pipeline vs Target Pi'!$A:$AP,26,false)," $","")," €",""), "")
)</f>
        <v>0</v>
      </c>
      <c r="AO316" s="1">
        <f>value(IFERROR(SUBSTITUTE(SUBSTITUTE(VLOOKUP($A316,'Quarterly Pipeline vs Target Pi'!$A:$AP,27,false)," $","")," €",""), "")
)</f>
        <v>0</v>
      </c>
      <c r="AP316" s="17" t="str">
        <f t="shared" si="15"/>
        <v/>
      </c>
      <c r="AQ316" s="1">
        <f>value(IFERROR(SUBSTITUTE(SUBSTITUTE(VLOOKUP($A316,'Quarterly Pipeline vs Target Pi'!$A:$AP,31,false)," $","")," €",""), "")
)</f>
        <v>0</v>
      </c>
      <c r="AR316" s="1">
        <f>value(IFERROR(SUBSTITUTE(SUBSTITUTE(VLOOKUP($A316,'Quarterly Pipeline vs Target Pi'!$A:$AP,32,false)," $","")," €",""), "")
)</f>
        <v>0</v>
      </c>
      <c r="AS316" s="17" t="str">
        <f t="shared" si="16"/>
        <v/>
      </c>
      <c r="AT316" s="1">
        <f>value(IFERROR(SUBSTITUTE(SUBSTITUTE(VLOOKUP($A316,'Quarterly Pipeline vs Target Pi'!$A:$AP,36,false)," $","")," €",""), "")
)</f>
        <v>0</v>
      </c>
      <c r="AU316" s="1">
        <f>value(IFERROR(SUBSTITUTE(SUBSTITUTE(VLOOKUP($A316,'Quarterly Pipeline vs Target Pi'!$A:$AP,37,false)," $","")," €",""), "")
)</f>
        <v>0</v>
      </c>
      <c r="AV316" s="17" t="str">
        <f t="shared" si="17"/>
        <v/>
      </c>
      <c r="AW316" s="1">
        <f>value(IFERROR(SUBSTITUTE(SUBSTITUTE(VLOOKUP($A316,'Quarterly Pipeline vs Target Pi'!$A:$AP,41,false)," $","")," €",""), "")
)</f>
        <v>0</v>
      </c>
      <c r="AX316" s="1">
        <f>value(IFERROR(SUBSTITUTE(SUBSTITUTE(VLOOKUP($A316,'Quarterly Pipeline vs Target Pi'!$A:$AP,42,false)," $","")," €",""), "")
)</f>
        <v>0</v>
      </c>
      <c r="AY316" s="17" t="str">
        <f t="shared" si="18"/>
        <v/>
      </c>
      <c r="AZ316" s="1">
        <f t="shared" ref="AZ316:BA316" si="646">sum(AN316,AQ316,AT316,AW316)</f>
        <v>0</v>
      </c>
      <c r="BA316" s="1">
        <f t="shared" si="646"/>
        <v>0</v>
      </c>
      <c r="BB316" s="17" t="str">
        <f t="shared" si="20"/>
        <v/>
      </c>
    </row>
    <row r="317">
      <c r="A317" s="1" t="str">
        <f>IFERROR(__xludf.DUMMYFUNCTION("""COMPUTED_VALUE"""),"682f42de4e91960581052be2")</f>
        <v>682f42de4e91960581052be2</v>
      </c>
      <c r="B317" s="1" t="str">
        <f>IFERROR(__xludf.DUMMYFUNCTION("""COMPUTED_VALUE"""),"NEXUS TECHNOLOGY S.A.")</f>
        <v>NEXUS TECHNOLOGY S.A.</v>
      </c>
      <c r="C317" s="1" t="str">
        <f>IFERROR(__xludf.DUMMYFUNCTION("""COMPUTED_VALUE"""),"philippe.girard@al-enterprise.com, rui.silva@al-enterprise.com, carolina.rodriguez@al-enterprise.com")</f>
        <v>philippe.girard@al-enterprise.com, rui.silva@al-enterprise.com, carolina.rodriguez@al-enterprise.com</v>
      </c>
      <c r="D317" s="1" t="str">
        <f>IFERROR(__xludf.DUMMYFUNCTION("""COMPUTED_VALUE"""),"americas")</f>
        <v>americas</v>
      </c>
      <c r="E317" s="1" t="str">
        <f>IFERROR(__xludf.DUMMYFUNCTION("""COMPUTED_VALUE"""),"PE")</f>
        <v>PE</v>
      </c>
      <c r="F317" s="1" t="str">
        <f>IFERROR(__xludf.DUMMYFUNCTION("""COMPUTED_VALUE"""),"distributor")</f>
        <v>distributor</v>
      </c>
      <c r="G317" s="1">
        <f>iferror(VLOOKUP(A317,'Business Plan Setup and Accepta'!A:G,6,false),"")</f>
        <v>0</v>
      </c>
      <c r="H317" s="1">
        <f>iferror(VLOOKUP(A317,'Business Plan Setup and Accepta'!A:G,7,false),"")</f>
        <v>1</v>
      </c>
      <c r="I317" s="17">
        <f t="shared" si="3"/>
        <v>0</v>
      </c>
      <c r="J317" s="1">
        <f>IFERROR(VALUE(SUBSTITUTE(VLOOKUP(A317,'Sales IN Revenues vs Sales targ'!A:G,6,false)," $","")), "")
</f>
        <v>5.56</v>
      </c>
      <c r="K317" s="1">
        <f>IFERROR(VALUE(SUBSTITUTE(VLOOKUP(A317,'Sales IN Revenues vs Sales targ'!A:G,7,false)," $","")), "")
</f>
        <v>400</v>
      </c>
      <c r="L317" s="17">
        <f t="shared" si="4"/>
        <v>0.0139</v>
      </c>
      <c r="M317" s="1">
        <f>value(SUBSTITUTE(IFERROR(VLOOKUP(A317,'Certifications achievements vs '!A:G,6,false),""),"#","")
)</f>
        <v>0</v>
      </c>
      <c r="N317" s="1">
        <f>value(SUBSTITUTE(IFERROR(VLOOKUP(A317,'Certifications achievements vs '!A:G,7,false),""),"#","")
)</f>
        <v>0</v>
      </c>
      <c r="O317" s="17" t="str">
        <f t="shared" si="5"/>
        <v/>
      </c>
      <c r="P317" s="1">
        <f>value(SUBSTITUTE(IFERROR(VLOOKUP(A317,'Communications - Solution Speci'!A:G,6,false),""),"#","")
)</f>
        <v>0</v>
      </c>
      <c r="Q317" s="1">
        <f>value(SUBSTITUTE(IFERROR(VLOOKUP(A317,'Communications - Solution Speci'!A:G,7,false),""),"#","")
)</f>
        <v>1</v>
      </c>
      <c r="R317" s="17">
        <f t="shared" si="6"/>
        <v>0</v>
      </c>
      <c r="S317" s="1">
        <f>value(SUBSTITUTE(IFERROR(VLOOKUP(A317,'Networking - Solution Specializ'!A:G,6,false),""),"#","")
)</f>
        <v>0</v>
      </c>
      <c r="T317" s="1">
        <f>value(SUBSTITUTE(IFERROR(VLOOKUP(A317,'Networking - Solution Specializ'!A:G,7,false),""),"#","")
)</f>
        <v>1</v>
      </c>
      <c r="U317" s="17">
        <f t="shared" si="7"/>
        <v>0</v>
      </c>
      <c r="V317" s="1">
        <f>iferror(vlookup(A317,'Marketing Plan (extract summary'!A:G,6,false),"")</f>
        <v>0</v>
      </c>
      <c r="W317" s="1">
        <f>iferror(vlookup(A317,'Marketing Plan (extract summary'!A:G,7,false),"")</f>
        <v>1</v>
      </c>
      <c r="X317" s="17">
        <f t="shared" si="8"/>
        <v>0</v>
      </c>
      <c r="Y317" s="1">
        <f>value(IFERROR(SUBSTITUTE(SUBSTITUTE(VLOOKUP(A317,'Quarterly Pipeline vs Target Pi'!A:G,6,false)," $","")," €",""), "")
)</f>
        <v>0</v>
      </c>
      <c r="Z317" s="1">
        <f>value(IFERROR(SUBSTITUTE(SUBSTITUTE(VLOOKUP(A317,'Quarterly Pipeline vs Target Pi'!A:G,7,false)," $","")," €",""), "")
)</f>
        <v>0</v>
      </c>
      <c r="AA317" s="17" t="str">
        <f t="shared" si="9"/>
        <v/>
      </c>
      <c r="AB317" s="1">
        <f>value(IFERROR(SUBSTITUTE(SUBSTITUTE(VLOOKUP($A317,'Quarterly Pipeline vs Target Pi'!$A:$V,11,false)," $","")," €",""), "")
)</f>
        <v>0</v>
      </c>
      <c r="AC317" s="1">
        <f>value(IFERROR(SUBSTITUTE(SUBSTITUTE(VLOOKUP($A317,'Quarterly Pipeline vs Target Pi'!$A:$V,12,false)," $","")," €",""), "")
)</f>
        <v>0</v>
      </c>
      <c r="AD317" s="17" t="str">
        <f t="shared" si="10"/>
        <v/>
      </c>
      <c r="AE317" s="1">
        <f>value(IFERROR(SUBSTITUTE(SUBSTITUTE(VLOOKUP($A317,'Quarterly Pipeline vs Target Pi'!$A:$V,16,false)," $","")," €",""), "")
)</f>
        <v>30</v>
      </c>
      <c r="AF317" s="1">
        <f>value(IFERROR(SUBSTITUTE(SUBSTITUTE(VLOOKUP($A317,'Quarterly Pipeline vs Target Pi'!$A:$V,17,false)," $","")," €",""), "")
)</f>
        <v>0</v>
      </c>
      <c r="AG317" s="17" t="str">
        <f t="shared" si="11"/>
        <v/>
      </c>
      <c r="AH317" s="1">
        <f>value(IFERROR(SUBSTITUTE(SUBSTITUTE(VLOOKUP($A317,'Quarterly Pipeline vs Target Pi'!$A:$V,21,false)," $","")," €",""), "")
)</f>
        <v>30</v>
      </c>
      <c r="AI317" s="1">
        <f>value(IFERROR(SUBSTITUTE(SUBSTITUTE(VLOOKUP($A317,'Quarterly Pipeline vs Target Pi'!$A:$V,22,false)," $","")," €",""), "")
)</f>
        <v>0</v>
      </c>
      <c r="AJ317" s="17" t="str">
        <f t="shared" si="12"/>
        <v/>
      </c>
      <c r="AK317" s="1">
        <f t="shared" ref="AK317:AL317" si="647">sum(Y317,AB317,AE317,AH317)</f>
        <v>60</v>
      </c>
      <c r="AL317" s="1">
        <f t="shared" si="647"/>
        <v>0</v>
      </c>
      <c r="AM317" s="17" t="str">
        <f t="shared" si="14"/>
        <v/>
      </c>
      <c r="AN317" s="1">
        <f>value(IFERROR(SUBSTITUTE(SUBSTITUTE(VLOOKUP($A317,'Quarterly Pipeline vs Target Pi'!$A:$AP,26,false)," $","")," €",""), "")
)</f>
        <v>0</v>
      </c>
      <c r="AO317" s="1">
        <f>value(IFERROR(SUBSTITUTE(SUBSTITUTE(VLOOKUP($A317,'Quarterly Pipeline vs Target Pi'!$A:$AP,27,false)," $","")," €",""), "")
)</f>
        <v>0</v>
      </c>
      <c r="AP317" s="17" t="str">
        <f t="shared" si="15"/>
        <v/>
      </c>
      <c r="AQ317" s="1">
        <f>value(IFERROR(SUBSTITUTE(SUBSTITUTE(VLOOKUP($A317,'Quarterly Pipeline vs Target Pi'!$A:$AP,31,false)," $","")," €",""), "")
)</f>
        <v>0</v>
      </c>
      <c r="AR317" s="1">
        <f>value(IFERROR(SUBSTITUTE(SUBSTITUTE(VLOOKUP($A317,'Quarterly Pipeline vs Target Pi'!$A:$AP,32,false)," $","")," €",""), "")
)</f>
        <v>0</v>
      </c>
      <c r="AS317" s="17" t="str">
        <f t="shared" si="16"/>
        <v/>
      </c>
      <c r="AT317" s="1">
        <f>value(IFERROR(SUBSTITUTE(SUBSTITUTE(VLOOKUP($A317,'Quarterly Pipeline vs Target Pi'!$A:$AP,36,false)," $","")," €",""), "")
)</f>
        <v>0</v>
      </c>
      <c r="AU317" s="1">
        <f>value(IFERROR(SUBSTITUTE(SUBSTITUTE(VLOOKUP($A317,'Quarterly Pipeline vs Target Pi'!$A:$AP,37,false)," $","")," €",""), "")
)</f>
        <v>0</v>
      </c>
      <c r="AV317" s="17" t="str">
        <f t="shared" si="17"/>
        <v/>
      </c>
      <c r="AW317" s="1">
        <f>value(IFERROR(SUBSTITUTE(SUBSTITUTE(VLOOKUP($A317,'Quarterly Pipeline vs Target Pi'!$A:$AP,41,false)," $","")," €",""), "")
)</f>
        <v>0</v>
      </c>
      <c r="AX317" s="1">
        <f>value(IFERROR(SUBSTITUTE(SUBSTITUTE(VLOOKUP($A317,'Quarterly Pipeline vs Target Pi'!$A:$AP,42,false)," $","")," €",""), "")
)</f>
        <v>0</v>
      </c>
      <c r="AY317" s="17" t="str">
        <f t="shared" si="18"/>
        <v/>
      </c>
      <c r="AZ317" s="1">
        <f t="shared" ref="AZ317:BA317" si="648">sum(AN317,AQ317,AT317,AW317)</f>
        <v>0</v>
      </c>
      <c r="BA317" s="1">
        <f t="shared" si="648"/>
        <v>0</v>
      </c>
      <c r="BB317" s="17" t="str">
        <f t="shared" si="20"/>
        <v/>
      </c>
    </row>
    <row r="318">
      <c r="A318" s="1" t="str">
        <f>IFERROR(__xludf.DUMMYFUNCTION("""COMPUTED_VALUE"""),"63ced848c5c820531c268d6b")</f>
        <v>63ced848c5c820531c268d6b</v>
      </c>
      <c r="B318" s="1" t="str">
        <f>IFERROR(__xludf.DUMMYFUNCTION("""COMPUTED_VALUE"""),"Nokia of America Corporation")</f>
        <v>Nokia of America Corporation</v>
      </c>
      <c r="C318" s="1" t="str">
        <f>IFERROR(__xludf.DUMMYFUNCTION("""COMPUTED_VALUE"""),"aaron.cole@al-enterprise.com")</f>
        <v>aaron.cole@al-enterprise.com</v>
      </c>
      <c r="D318" s="1" t="str">
        <f>IFERROR(__xludf.DUMMYFUNCTION("""COMPUTED_VALUE"""),"americas")</f>
        <v>americas</v>
      </c>
      <c r="E318" s="1" t="str">
        <f>IFERROR(__xludf.DUMMYFUNCTION("""COMPUTED_VALUE"""),"US")</f>
        <v>US</v>
      </c>
      <c r="F318" s="1"/>
      <c r="G318" s="1" t="str">
        <f>iferror(VLOOKUP(A318,'Business Plan Setup and Accepta'!A:G,6,false),"")</f>
        <v/>
      </c>
      <c r="H318" s="1" t="str">
        <f>iferror(VLOOKUP(A318,'Business Plan Setup and Accepta'!A:G,7,false),"")</f>
        <v/>
      </c>
      <c r="I318" s="17" t="str">
        <f t="shared" si="3"/>
        <v/>
      </c>
      <c r="J318" s="1" t="str">
        <f>IFERROR(VALUE(SUBSTITUTE(VLOOKUP(A318,'Sales IN Revenues vs Sales targ'!A:G,6,false)," $","")), "")
</f>
        <v/>
      </c>
      <c r="K318" s="1" t="str">
        <f>IFERROR(VALUE(SUBSTITUTE(VLOOKUP(A318,'Sales IN Revenues vs Sales targ'!A:G,7,false)," $","")), "")
</f>
        <v/>
      </c>
      <c r="L318" s="17" t="str">
        <f t="shared" si="4"/>
        <v/>
      </c>
      <c r="M318" s="1">
        <f>value(SUBSTITUTE(IFERROR(VLOOKUP(A318,'Certifications achievements vs '!A:G,6,false),""),"#","")
)</f>
        <v>0</v>
      </c>
      <c r="N318" s="1">
        <f>value(SUBSTITUTE(IFERROR(VLOOKUP(A318,'Certifications achievements vs '!A:G,7,false),""),"#","")
)</f>
        <v>0</v>
      </c>
      <c r="O318" s="17" t="str">
        <f t="shared" si="5"/>
        <v/>
      </c>
      <c r="P318" s="1">
        <f>value(SUBSTITUTE(IFERROR(VLOOKUP(A318,'Communications - Solution Speci'!A:G,6,false),""),"#","")
)</f>
        <v>0</v>
      </c>
      <c r="Q318" s="1">
        <f>value(SUBSTITUTE(IFERROR(VLOOKUP(A318,'Communications - Solution Speci'!A:G,7,false),""),"#","")
)</f>
        <v>0</v>
      </c>
      <c r="R318" s="17" t="str">
        <f t="shared" si="6"/>
        <v/>
      </c>
      <c r="S318" s="1">
        <f>value(SUBSTITUTE(IFERROR(VLOOKUP(A318,'Networking - Solution Specializ'!A:G,6,false),""),"#","")
)</f>
        <v>0</v>
      </c>
      <c r="T318" s="1">
        <f>value(SUBSTITUTE(IFERROR(VLOOKUP(A318,'Networking - Solution Specializ'!A:G,7,false),""),"#","")
)</f>
        <v>0</v>
      </c>
      <c r="U318" s="17" t="str">
        <f t="shared" si="7"/>
        <v/>
      </c>
      <c r="V318" s="1" t="str">
        <f>iferror(vlookup(A318,'Marketing Plan (extract summary'!A:G,6,false),"")</f>
        <v/>
      </c>
      <c r="W318" s="1" t="str">
        <f>iferror(vlookup(A318,'Marketing Plan (extract summary'!A:G,7,false),"")</f>
        <v/>
      </c>
      <c r="X318" s="17" t="str">
        <f t="shared" si="8"/>
        <v/>
      </c>
      <c r="Y318" s="1">
        <f>value(IFERROR(SUBSTITUTE(SUBSTITUTE(VLOOKUP(A318,'Quarterly Pipeline vs Target Pi'!A:G,6,false)," $","")," €",""), "")
)</f>
        <v>0</v>
      </c>
      <c r="Z318" s="1">
        <f>value(IFERROR(SUBSTITUTE(SUBSTITUTE(VLOOKUP(A318,'Quarterly Pipeline vs Target Pi'!A:G,7,false)," $","")," €",""), "")
)</f>
        <v>0</v>
      </c>
      <c r="AA318" s="17" t="str">
        <f t="shared" si="9"/>
        <v/>
      </c>
      <c r="AB318" s="1">
        <f>value(IFERROR(SUBSTITUTE(SUBSTITUTE(VLOOKUP($A318,'Quarterly Pipeline vs Target Pi'!$A:$V,11,false)," $","")," €",""), "")
)</f>
        <v>0</v>
      </c>
      <c r="AC318" s="1">
        <f>value(IFERROR(SUBSTITUTE(SUBSTITUTE(VLOOKUP($A318,'Quarterly Pipeline vs Target Pi'!$A:$V,12,false)," $","")," €",""), "")
)</f>
        <v>0</v>
      </c>
      <c r="AD318" s="17" t="str">
        <f t="shared" si="10"/>
        <v/>
      </c>
      <c r="AE318" s="1">
        <f>value(IFERROR(SUBSTITUTE(SUBSTITUTE(VLOOKUP($A318,'Quarterly Pipeline vs Target Pi'!$A:$V,16,false)," $","")," €",""), "")
)</f>
        <v>0</v>
      </c>
      <c r="AF318" s="1">
        <f>value(IFERROR(SUBSTITUTE(SUBSTITUTE(VLOOKUP($A318,'Quarterly Pipeline vs Target Pi'!$A:$V,17,false)," $","")," €",""), "")
)</f>
        <v>0</v>
      </c>
      <c r="AG318" s="17" t="str">
        <f t="shared" si="11"/>
        <v/>
      </c>
      <c r="AH318" s="1">
        <f>value(IFERROR(SUBSTITUTE(SUBSTITUTE(VLOOKUP($A318,'Quarterly Pipeline vs Target Pi'!$A:$V,21,false)," $","")," €",""), "")
)</f>
        <v>0</v>
      </c>
      <c r="AI318" s="1">
        <f>value(IFERROR(SUBSTITUTE(SUBSTITUTE(VLOOKUP($A318,'Quarterly Pipeline vs Target Pi'!$A:$V,22,false)," $","")," €",""), "")
)</f>
        <v>0</v>
      </c>
      <c r="AJ318" s="17" t="str">
        <f t="shared" si="12"/>
        <v/>
      </c>
      <c r="AK318" s="1">
        <f t="shared" ref="AK318:AL318" si="649">sum(Y318,AB318,AE318,AH318)</f>
        <v>0</v>
      </c>
      <c r="AL318" s="1">
        <f t="shared" si="649"/>
        <v>0</v>
      </c>
      <c r="AM318" s="17" t="str">
        <f t="shared" si="14"/>
        <v/>
      </c>
      <c r="AN318" s="1">
        <f>value(IFERROR(SUBSTITUTE(SUBSTITUTE(VLOOKUP($A318,'Quarterly Pipeline vs Target Pi'!$A:$AP,26,false)," $","")," €",""), "")
)</f>
        <v>0</v>
      </c>
      <c r="AO318" s="1">
        <f>value(IFERROR(SUBSTITUTE(SUBSTITUTE(VLOOKUP($A318,'Quarterly Pipeline vs Target Pi'!$A:$AP,27,false)," $","")," €",""), "")
)</f>
        <v>0</v>
      </c>
      <c r="AP318" s="17" t="str">
        <f t="shared" si="15"/>
        <v/>
      </c>
      <c r="AQ318" s="1">
        <f>value(IFERROR(SUBSTITUTE(SUBSTITUTE(VLOOKUP($A318,'Quarterly Pipeline vs Target Pi'!$A:$AP,31,false)," $","")," €",""), "")
)</f>
        <v>0</v>
      </c>
      <c r="AR318" s="1">
        <f>value(IFERROR(SUBSTITUTE(SUBSTITUTE(VLOOKUP($A318,'Quarterly Pipeline vs Target Pi'!$A:$AP,32,false)," $","")," €",""), "")
)</f>
        <v>0</v>
      </c>
      <c r="AS318" s="17" t="str">
        <f t="shared" si="16"/>
        <v/>
      </c>
      <c r="AT318" s="1">
        <f>value(IFERROR(SUBSTITUTE(SUBSTITUTE(VLOOKUP($A318,'Quarterly Pipeline vs Target Pi'!$A:$AP,36,false)," $","")," €",""), "")
)</f>
        <v>0</v>
      </c>
      <c r="AU318" s="1">
        <f>value(IFERROR(SUBSTITUTE(SUBSTITUTE(VLOOKUP($A318,'Quarterly Pipeline vs Target Pi'!$A:$AP,37,false)," $","")," €",""), "")
)</f>
        <v>0</v>
      </c>
      <c r="AV318" s="17" t="str">
        <f t="shared" si="17"/>
        <v/>
      </c>
      <c r="AW318" s="1">
        <f>value(IFERROR(SUBSTITUTE(SUBSTITUTE(VLOOKUP($A318,'Quarterly Pipeline vs Target Pi'!$A:$AP,41,false)," $","")," €",""), "")
)</f>
        <v>0</v>
      </c>
      <c r="AX318" s="1">
        <f>value(IFERROR(SUBSTITUTE(SUBSTITUTE(VLOOKUP($A318,'Quarterly Pipeline vs Target Pi'!$A:$AP,42,false)," $","")," €",""), "")
)</f>
        <v>0</v>
      </c>
      <c r="AY318" s="17" t="str">
        <f t="shared" si="18"/>
        <v/>
      </c>
      <c r="AZ318" s="1">
        <f t="shared" ref="AZ318:BA318" si="650">sum(AN318,AQ318,AT318,AW318)</f>
        <v>0</v>
      </c>
      <c r="BA318" s="1">
        <f t="shared" si="650"/>
        <v>0</v>
      </c>
      <c r="BB318" s="17" t="str">
        <f t="shared" si="20"/>
        <v/>
      </c>
    </row>
    <row r="319">
      <c r="A319" s="1" t="str">
        <f>IFERROR(__xludf.DUMMYFUNCTION("""COMPUTED_VALUE"""),"63fcbb87a107c871cf565755")</f>
        <v>63fcbb87a107c871cf565755</v>
      </c>
      <c r="B319" s="1" t="str">
        <f>IFERROR(__xludf.DUMMYFUNCTION("""COMPUTED_VALUE"""),"Nonius2S Hospitality Technology Spa")</f>
        <v>Nonius2S Hospitality Technology Spa</v>
      </c>
      <c r="C319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319" s="1" t="str">
        <f>IFERROR(__xludf.DUMMYFUNCTION("""COMPUTED_VALUE"""),"emea")</f>
        <v>emea</v>
      </c>
      <c r="E319" s="1" t="str">
        <f>IFERROR(__xludf.DUMMYFUNCTION("""COMPUTED_VALUE"""),"ES")</f>
        <v>ES</v>
      </c>
      <c r="F319" s="1"/>
      <c r="G319" s="1" t="str">
        <f>iferror(VLOOKUP(A319,'Business Plan Setup and Accepta'!A:G,6,false),"")</f>
        <v/>
      </c>
      <c r="H319" s="1" t="str">
        <f>iferror(VLOOKUP(A319,'Business Plan Setup and Accepta'!A:G,7,false),"")</f>
        <v/>
      </c>
      <c r="I319" s="17" t="str">
        <f t="shared" si="3"/>
        <v/>
      </c>
      <c r="J319" s="1" t="str">
        <f>IFERROR(VALUE(SUBSTITUTE(VLOOKUP(A319,'Sales IN Revenues vs Sales targ'!A:G,6,false)," $","")), "")
</f>
        <v/>
      </c>
      <c r="K319" s="1" t="str">
        <f>IFERROR(VALUE(SUBSTITUTE(VLOOKUP(A319,'Sales IN Revenues vs Sales targ'!A:G,7,false)," $","")), "")
</f>
        <v/>
      </c>
      <c r="L319" s="17" t="str">
        <f t="shared" si="4"/>
        <v/>
      </c>
      <c r="M319" s="1">
        <f>value(SUBSTITUTE(IFERROR(VLOOKUP(A319,'Certifications achievements vs '!A:G,6,false),""),"#","")
)</f>
        <v>0</v>
      </c>
      <c r="N319" s="1">
        <f>value(SUBSTITUTE(IFERROR(VLOOKUP(A319,'Certifications achievements vs '!A:G,7,false),""),"#","")
)</f>
        <v>0</v>
      </c>
      <c r="O319" s="17" t="str">
        <f t="shared" si="5"/>
        <v/>
      </c>
      <c r="P319" s="1">
        <f>value(SUBSTITUTE(IFERROR(VLOOKUP(A319,'Communications - Solution Speci'!A:G,6,false),""),"#","")
)</f>
        <v>0</v>
      </c>
      <c r="Q319" s="1">
        <f>value(SUBSTITUTE(IFERROR(VLOOKUP(A319,'Communications - Solution Speci'!A:G,7,false),""),"#","")
)</f>
        <v>0</v>
      </c>
      <c r="R319" s="17" t="str">
        <f t="shared" si="6"/>
        <v/>
      </c>
      <c r="S319" s="1">
        <f>value(SUBSTITUTE(IFERROR(VLOOKUP(A319,'Networking - Solution Specializ'!A:G,6,false),""),"#","")
)</f>
        <v>0</v>
      </c>
      <c r="T319" s="1">
        <f>value(SUBSTITUTE(IFERROR(VLOOKUP(A319,'Networking - Solution Specializ'!A:G,7,false),""),"#","")
)</f>
        <v>0</v>
      </c>
      <c r="U319" s="17" t="str">
        <f t="shared" si="7"/>
        <v/>
      </c>
      <c r="V319" s="1" t="str">
        <f>iferror(vlookup(A319,'Marketing Plan (extract summary'!A:G,6,false),"")</f>
        <v/>
      </c>
      <c r="W319" s="1" t="str">
        <f>iferror(vlookup(A319,'Marketing Plan (extract summary'!A:G,7,false),"")</f>
        <v/>
      </c>
      <c r="X319" s="17" t="str">
        <f t="shared" si="8"/>
        <v/>
      </c>
      <c r="Y319" s="1">
        <f>value(IFERROR(SUBSTITUTE(SUBSTITUTE(VLOOKUP(A319,'Quarterly Pipeline vs Target Pi'!A:G,6,false)," $","")," €",""), "")
)</f>
        <v>0</v>
      </c>
      <c r="Z319" s="1">
        <f>value(IFERROR(SUBSTITUTE(SUBSTITUTE(VLOOKUP(A319,'Quarterly Pipeline vs Target Pi'!A:G,7,false)," $","")," €",""), "")
)</f>
        <v>0</v>
      </c>
      <c r="AA319" s="17" t="str">
        <f t="shared" si="9"/>
        <v/>
      </c>
      <c r="AB319" s="1">
        <f>value(IFERROR(SUBSTITUTE(SUBSTITUTE(VLOOKUP($A319,'Quarterly Pipeline vs Target Pi'!$A:$V,11,false)," $","")," €",""), "")
)</f>
        <v>0</v>
      </c>
      <c r="AC319" s="1">
        <f>value(IFERROR(SUBSTITUTE(SUBSTITUTE(VLOOKUP($A319,'Quarterly Pipeline vs Target Pi'!$A:$V,12,false)," $","")," €",""), "")
)</f>
        <v>0</v>
      </c>
      <c r="AD319" s="17" t="str">
        <f t="shared" si="10"/>
        <v/>
      </c>
      <c r="AE319" s="1">
        <f>value(IFERROR(SUBSTITUTE(SUBSTITUTE(VLOOKUP($A319,'Quarterly Pipeline vs Target Pi'!$A:$V,16,false)," $","")," €",""), "")
)</f>
        <v>0</v>
      </c>
      <c r="AF319" s="1">
        <f>value(IFERROR(SUBSTITUTE(SUBSTITUTE(VLOOKUP($A319,'Quarterly Pipeline vs Target Pi'!$A:$V,17,false)," $","")," €",""), "")
)</f>
        <v>0</v>
      </c>
      <c r="AG319" s="17" t="str">
        <f t="shared" si="11"/>
        <v/>
      </c>
      <c r="AH319" s="1">
        <f>value(IFERROR(SUBSTITUTE(SUBSTITUTE(VLOOKUP($A319,'Quarterly Pipeline vs Target Pi'!$A:$V,21,false)," $","")," €",""), "")
)</f>
        <v>0</v>
      </c>
      <c r="AI319" s="1">
        <f>value(IFERROR(SUBSTITUTE(SUBSTITUTE(VLOOKUP($A319,'Quarterly Pipeline vs Target Pi'!$A:$V,22,false)," $","")," €",""), "")
)</f>
        <v>0</v>
      </c>
      <c r="AJ319" s="17" t="str">
        <f t="shared" si="12"/>
        <v/>
      </c>
      <c r="AK319" s="1">
        <f t="shared" ref="AK319:AL319" si="651">sum(Y319,AB319,AE319,AH319)</f>
        <v>0</v>
      </c>
      <c r="AL319" s="1">
        <f t="shared" si="651"/>
        <v>0</v>
      </c>
      <c r="AM319" s="17" t="str">
        <f t="shared" si="14"/>
        <v/>
      </c>
      <c r="AN319" s="1">
        <f>value(IFERROR(SUBSTITUTE(SUBSTITUTE(VLOOKUP($A319,'Quarterly Pipeline vs Target Pi'!$A:$AP,26,false)," $","")," €",""), "")
)</f>
        <v>0</v>
      </c>
      <c r="AO319" s="1">
        <f>value(IFERROR(SUBSTITUTE(SUBSTITUTE(VLOOKUP($A319,'Quarterly Pipeline vs Target Pi'!$A:$AP,27,false)," $","")," €",""), "")
)</f>
        <v>0</v>
      </c>
      <c r="AP319" s="17" t="str">
        <f t="shared" si="15"/>
        <v/>
      </c>
      <c r="AQ319" s="1">
        <f>value(IFERROR(SUBSTITUTE(SUBSTITUTE(VLOOKUP($A319,'Quarterly Pipeline vs Target Pi'!$A:$AP,31,false)," $","")," €",""), "")
)</f>
        <v>0</v>
      </c>
      <c r="AR319" s="1">
        <f>value(IFERROR(SUBSTITUTE(SUBSTITUTE(VLOOKUP($A319,'Quarterly Pipeline vs Target Pi'!$A:$AP,32,false)," $","")," €",""), "")
)</f>
        <v>0</v>
      </c>
      <c r="AS319" s="17" t="str">
        <f t="shared" si="16"/>
        <v/>
      </c>
      <c r="AT319" s="1">
        <f>value(IFERROR(SUBSTITUTE(SUBSTITUTE(VLOOKUP($A319,'Quarterly Pipeline vs Target Pi'!$A:$AP,36,false)," $","")," €",""), "")
)</f>
        <v>0</v>
      </c>
      <c r="AU319" s="1">
        <f>value(IFERROR(SUBSTITUTE(SUBSTITUTE(VLOOKUP($A319,'Quarterly Pipeline vs Target Pi'!$A:$AP,37,false)," $","")," €",""), "")
)</f>
        <v>0</v>
      </c>
      <c r="AV319" s="17" t="str">
        <f t="shared" si="17"/>
        <v/>
      </c>
      <c r="AW319" s="1">
        <f>value(IFERROR(SUBSTITUTE(SUBSTITUTE(VLOOKUP($A319,'Quarterly Pipeline vs Target Pi'!$A:$AP,41,false)," $","")," €",""), "")
)</f>
        <v>0</v>
      </c>
      <c r="AX319" s="1">
        <f>value(IFERROR(SUBSTITUTE(SUBSTITUTE(VLOOKUP($A319,'Quarterly Pipeline vs Target Pi'!$A:$AP,42,false)," $","")," €",""), "")
)</f>
        <v>0</v>
      </c>
      <c r="AY319" s="17" t="str">
        <f t="shared" si="18"/>
        <v/>
      </c>
      <c r="AZ319" s="1">
        <f t="shared" ref="AZ319:BA319" si="652">sum(AN319,AQ319,AT319,AW319)</f>
        <v>0</v>
      </c>
      <c r="BA319" s="1">
        <f t="shared" si="652"/>
        <v>0</v>
      </c>
      <c r="BB319" s="17" t="str">
        <f t="shared" si="20"/>
        <v/>
      </c>
    </row>
    <row r="320">
      <c r="A320" s="1" t="str">
        <f>IFERROR(__xludf.DUMMYFUNCTION("""COMPUTED_VALUE"""),"63ced846c5c820531c26896f")</f>
        <v>63ced846c5c820531c26896f</v>
      </c>
      <c r="B320" s="1" t="str">
        <f>IFERROR(__xludf.DUMMYFUNCTION("""COMPUTED_VALUE"""),"North American Cable Equipment, Inc")</f>
        <v>North American Cable Equipment, Inc</v>
      </c>
      <c r="C320" s="1" t="str">
        <f>IFERROR(__xludf.DUMMYFUNCTION("""COMPUTED_VALUE"""),"bill.cusack@al-enterprise.com")</f>
        <v>bill.cusack@al-enterprise.com</v>
      </c>
      <c r="D320" s="1" t="str">
        <f>IFERROR(__xludf.DUMMYFUNCTION("""COMPUTED_VALUE"""),"americas")</f>
        <v>americas</v>
      </c>
      <c r="E320" s="1" t="str">
        <f>IFERROR(__xludf.DUMMYFUNCTION("""COMPUTED_VALUE"""),"US")</f>
        <v>US</v>
      </c>
      <c r="F320" s="1"/>
      <c r="G320" s="1" t="str">
        <f>iferror(VLOOKUP(A320,'Business Plan Setup and Accepta'!A:G,6,false),"")</f>
        <v/>
      </c>
      <c r="H320" s="1" t="str">
        <f>iferror(VLOOKUP(A320,'Business Plan Setup and Accepta'!A:G,7,false),"")</f>
        <v/>
      </c>
      <c r="I320" s="17" t="str">
        <f t="shared" si="3"/>
        <v/>
      </c>
      <c r="J320" s="1" t="str">
        <f>IFERROR(VALUE(SUBSTITUTE(VLOOKUP(A320,'Sales IN Revenues vs Sales targ'!A:G,6,false)," $","")), "")
</f>
        <v/>
      </c>
      <c r="K320" s="1" t="str">
        <f>IFERROR(VALUE(SUBSTITUTE(VLOOKUP(A320,'Sales IN Revenues vs Sales targ'!A:G,7,false)," $","")), "")
</f>
        <v/>
      </c>
      <c r="L320" s="17" t="str">
        <f t="shared" si="4"/>
        <v/>
      </c>
      <c r="M320" s="1">
        <f>value(SUBSTITUTE(IFERROR(VLOOKUP(A320,'Certifications achievements vs '!A:G,6,false),""),"#","")
)</f>
        <v>0</v>
      </c>
      <c r="N320" s="1">
        <f>value(SUBSTITUTE(IFERROR(VLOOKUP(A320,'Certifications achievements vs '!A:G,7,false),""),"#","")
)</f>
        <v>0</v>
      </c>
      <c r="O320" s="17" t="str">
        <f t="shared" si="5"/>
        <v/>
      </c>
      <c r="P320" s="1">
        <f>value(SUBSTITUTE(IFERROR(VLOOKUP(A320,'Communications - Solution Speci'!A:G,6,false),""),"#","")
)</f>
        <v>0</v>
      </c>
      <c r="Q320" s="1">
        <f>value(SUBSTITUTE(IFERROR(VLOOKUP(A320,'Communications - Solution Speci'!A:G,7,false),""),"#","")
)</f>
        <v>0</v>
      </c>
      <c r="R320" s="17" t="str">
        <f t="shared" si="6"/>
        <v/>
      </c>
      <c r="S320" s="1">
        <f>value(SUBSTITUTE(IFERROR(VLOOKUP(A320,'Networking - Solution Specializ'!A:G,6,false),""),"#","")
)</f>
        <v>0</v>
      </c>
      <c r="T320" s="1">
        <f>value(SUBSTITUTE(IFERROR(VLOOKUP(A320,'Networking - Solution Specializ'!A:G,7,false),""),"#","")
)</f>
        <v>0</v>
      </c>
      <c r="U320" s="17" t="str">
        <f t="shared" si="7"/>
        <v/>
      </c>
      <c r="V320" s="1" t="str">
        <f>iferror(vlookup(A320,'Marketing Plan (extract summary'!A:G,6,false),"")</f>
        <v/>
      </c>
      <c r="W320" s="1" t="str">
        <f>iferror(vlookup(A320,'Marketing Plan (extract summary'!A:G,7,false),"")</f>
        <v/>
      </c>
      <c r="X320" s="17" t="str">
        <f t="shared" si="8"/>
        <v/>
      </c>
      <c r="Y320" s="1">
        <f>value(IFERROR(SUBSTITUTE(SUBSTITUTE(VLOOKUP(A320,'Quarterly Pipeline vs Target Pi'!A:G,6,false)," $","")," €",""), "")
)</f>
        <v>0</v>
      </c>
      <c r="Z320" s="1">
        <f>value(IFERROR(SUBSTITUTE(SUBSTITUTE(VLOOKUP(A320,'Quarterly Pipeline vs Target Pi'!A:G,7,false)," $","")," €",""), "")
)</f>
        <v>0</v>
      </c>
      <c r="AA320" s="17" t="str">
        <f t="shared" si="9"/>
        <v/>
      </c>
      <c r="AB320" s="1">
        <f>value(IFERROR(SUBSTITUTE(SUBSTITUTE(VLOOKUP($A320,'Quarterly Pipeline vs Target Pi'!$A:$V,11,false)," $","")," €",""), "")
)</f>
        <v>0</v>
      </c>
      <c r="AC320" s="1">
        <f>value(IFERROR(SUBSTITUTE(SUBSTITUTE(VLOOKUP($A320,'Quarterly Pipeline vs Target Pi'!$A:$V,12,false)," $","")," €",""), "")
)</f>
        <v>0</v>
      </c>
      <c r="AD320" s="17" t="str">
        <f t="shared" si="10"/>
        <v/>
      </c>
      <c r="AE320" s="1">
        <f>value(IFERROR(SUBSTITUTE(SUBSTITUTE(VLOOKUP($A320,'Quarterly Pipeline vs Target Pi'!$A:$V,16,false)," $","")," €",""), "")
)</f>
        <v>0</v>
      </c>
      <c r="AF320" s="1">
        <f>value(IFERROR(SUBSTITUTE(SUBSTITUTE(VLOOKUP($A320,'Quarterly Pipeline vs Target Pi'!$A:$V,17,false)," $","")," €",""), "")
)</f>
        <v>0</v>
      </c>
      <c r="AG320" s="17" t="str">
        <f t="shared" si="11"/>
        <v/>
      </c>
      <c r="AH320" s="1">
        <f>value(IFERROR(SUBSTITUTE(SUBSTITUTE(VLOOKUP($A320,'Quarterly Pipeline vs Target Pi'!$A:$V,21,false)," $","")," €",""), "")
)</f>
        <v>0</v>
      </c>
      <c r="AI320" s="1">
        <f>value(IFERROR(SUBSTITUTE(SUBSTITUTE(VLOOKUP($A320,'Quarterly Pipeline vs Target Pi'!$A:$V,22,false)," $","")," €",""), "")
)</f>
        <v>0</v>
      </c>
      <c r="AJ320" s="17" t="str">
        <f t="shared" si="12"/>
        <v/>
      </c>
      <c r="AK320" s="1">
        <f t="shared" ref="AK320:AL320" si="653">sum(Y320,AB320,AE320,AH320)</f>
        <v>0</v>
      </c>
      <c r="AL320" s="1">
        <f t="shared" si="653"/>
        <v>0</v>
      </c>
      <c r="AM320" s="17" t="str">
        <f t="shared" si="14"/>
        <v/>
      </c>
      <c r="AN320" s="1">
        <f>value(IFERROR(SUBSTITUTE(SUBSTITUTE(VLOOKUP($A320,'Quarterly Pipeline vs Target Pi'!$A:$AP,26,false)," $","")," €",""), "")
)</f>
        <v>0</v>
      </c>
      <c r="AO320" s="1">
        <f>value(IFERROR(SUBSTITUTE(SUBSTITUTE(VLOOKUP($A320,'Quarterly Pipeline vs Target Pi'!$A:$AP,27,false)," $","")," €",""), "")
)</f>
        <v>0</v>
      </c>
      <c r="AP320" s="17" t="str">
        <f t="shared" si="15"/>
        <v/>
      </c>
      <c r="AQ320" s="1">
        <f>value(IFERROR(SUBSTITUTE(SUBSTITUTE(VLOOKUP($A320,'Quarterly Pipeline vs Target Pi'!$A:$AP,31,false)," $","")," €",""), "")
)</f>
        <v>0</v>
      </c>
      <c r="AR320" s="1">
        <f>value(IFERROR(SUBSTITUTE(SUBSTITUTE(VLOOKUP($A320,'Quarterly Pipeline vs Target Pi'!$A:$AP,32,false)," $","")," €",""), "")
)</f>
        <v>0</v>
      </c>
      <c r="AS320" s="17" t="str">
        <f t="shared" si="16"/>
        <v/>
      </c>
      <c r="AT320" s="1">
        <f>value(IFERROR(SUBSTITUTE(SUBSTITUTE(VLOOKUP($A320,'Quarterly Pipeline vs Target Pi'!$A:$AP,36,false)," $","")," €",""), "")
)</f>
        <v>0</v>
      </c>
      <c r="AU320" s="1">
        <f>value(IFERROR(SUBSTITUTE(SUBSTITUTE(VLOOKUP($A320,'Quarterly Pipeline vs Target Pi'!$A:$AP,37,false)," $","")," €",""), "")
)</f>
        <v>0</v>
      </c>
      <c r="AV320" s="17" t="str">
        <f t="shared" si="17"/>
        <v/>
      </c>
      <c r="AW320" s="1">
        <f>value(IFERROR(SUBSTITUTE(SUBSTITUTE(VLOOKUP($A320,'Quarterly Pipeline vs Target Pi'!$A:$AP,41,false)," $","")," €",""), "")
)</f>
        <v>0</v>
      </c>
      <c r="AX320" s="1">
        <f>value(IFERROR(SUBSTITUTE(SUBSTITUTE(VLOOKUP($A320,'Quarterly Pipeline vs Target Pi'!$A:$AP,42,false)," $","")," €",""), "")
)</f>
        <v>0</v>
      </c>
      <c r="AY320" s="17" t="str">
        <f t="shared" si="18"/>
        <v/>
      </c>
      <c r="AZ320" s="1">
        <f t="shared" ref="AZ320:BA320" si="654">sum(AN320,AQ320,AT320,AW320)</f>
        <v>0</v>
      </c>
      <c r="BA320" s="1">
        <f t="shared" si="654"/>
        <v>0</v>
      </c>
      <c r="BB320" s="17" t="str">
        <f t="shared" si="20"/>
        <v/>
      </c>
    </row>
    <row r="321">
      <c r="A321" s="1" t="str">
        <f>IFERROR(__xludf.DUMMYFUNCTION("""COMPUTED_VALUE"""),"63ced84ec5c820531c2699d7")</f>
        <v>63ced84ec5c820531c2699d7</v>
      </c>
      <c r="B321" s="1" t="str">
        <f>IFERROR(__xludf.DUMMYFUNCTION("""COMPUTED_VALUE"""),"Novatech, Inc.")</f>
        <v>Novatech, Inc.</v>
      </c>
      <c r="C321" s="1" t="str">
        <f>IFERROR(__xludf.DUMMYFUNCTION("""COMPUTED_VALUE"""),"brendan.flaherty@al-enterprise.com")</f>
        <v>brendan.flaherty@al-enterprise.com</v>
      </c>
      <c r="D321" s="1" t="str">
        <f>IFERROR(__xludf.DUMMYFUNCTION("""COMPUTED_VALUE"""),"americas")</f>
        <v>americas</v>
      </c>
      <c r="E321" s="1" t="str">
        <f>IFERROR(__xludf.DUMMYFUNCTION("""COMPUTED_VALUE"""),"US")</f>
        <v>US</v>
      </c>
      <c r="F321" s="1"/>
      <c r="G321" s="1" t="str">
        <f>iferror(VLOOKUP(A321,'Business Plan Setup and Accepta'!A:G,6,false),"")</f>
        <v/>
      </c>
      <c r="H321" s="1" t="str">
        <f>iferror(VLOOKUP(A321,'Business Plan Setup and Accepta'!A:G,7,false),"")</f>
        <v/>
      </c>
      <c r="I321" s="17" t="str">
        <f t="shared" si="3"/>
        <v/>
      </c>
      <c r="J321" s="1" t="str">
        <f>IFERROR(VALUE(SUBSTITUTE(VLOOKUP(A321,'Sales IN Revenues vs Sales targ'!A:G,6,false)," $","")), "")
</f>
        <v/>
      </c>
      <c r="K321" s="1" t="str">
        <f>IFERROR(VALUE(SUBSTITUTE(VLOOKUP(A321,'Sales IN Revenues vs Sales targ'!A:G,7,false)," $","")), "")
</f>
        <v/>
      </c>
      <c r="L321" s="17" t="str">
        <f t="shared" si="4"/>
        <v/>
      </c>
      <c r="M321" s="1">
        <f>value(SUBSTITUTE(IFERROR(VLOOKUP(A321,'Certifications achievements vs '!A:G,6,false),""),"#","")
)</f>
        <v>0</v>
      </c>
      <c r="N321" s="1">
        <f>value(SUBSTITUTE(IFERROR(VLOOKUP(A321,'Certifications achievements vs '!A:G,7,false),""),"#","")
)</f>
        <v>0</v>
      </c>
      <c r="O321" s="17" t="str">
        <f t="shared" si="5"/>
        <v/>
      </c>
      <c r="P321" s="1">
        <f>value(SUBSTITUTE(IFERROR(VLOOKUP(A321,'Communications - Solution Speci'!A:G,6,false),""),"#","")
)</f>
        <v>0</v>
      </c>
      <c r="Q321" s="1">
        <f>value(SUBSTITUTE(IFERROR(VLOOKUP(A321,'Communications - Solution Speci'!A:G,7,false),""),"#","")
)</f>
        <v>0</v>
      </c>
      <c r="R321" s="17" t="str">
        <f t="shared" si="6"/>
        <v/>
      </c>
      <c r="S321" s="1">
        <f>value(SUBSTITUTE(IFERROR(VLOOKUP(A321,'Networking - Solution Specializ'!A:G,6,false),""),"#","")
)</f>
        <v>0</v>
      </c>
      <c r="T321" s="1">
        <f>value(SUBSTITUTE(IFERROR(VLOOKUP(A321,'Networking - Solution Specializ'!A:G,7,false),""),"#","")
)</f>
        <v>0</v>
      </c>
      <c r="U321" s="17" t="str">
        <f t="shared" si="7"/>
        <v/>
      </c>
      <c r="V321" s="1" t="str">
        <f>iferror(vlookup(A321,'Marketing Plan (extract summary'!A:G,6,false),"")</f>
        <v/>
      </c>
      <c r="W321" s="1" t="str">
        <f>iferror(vlookup(A321,'Marketing Plan (extract summary'!A:G,7,false),"")</f>
        <v/>
      </c>
      <c r="X321" s="17" t="str">
        <f t="shared" si="8"/>
        <v/>
      </c>
      <c r="Y321" s="1">
        <f>value(IFERROR(SUBSTITUTE(SUBSTITUTE(VLOOKUP(A321,'Quarterly Pipeline vs Target Pi'!A:G,6,false)," $","")," €",""), "")
)</f>
        <v>0</v>
      </c>
      <c r="Z321" s="1">
        <f>value(IFERROR(SUBSTITUTE(SUBSTITUTE(VLOOKUP(A321,'Quarterly Pipeline vs Target Pi'!A:G,7,false)," $","")," €",""), "")
)</f>
        <v>0</v>
      </c>
      <c r="AA321" s="17" t="str">
        <f t="shared" si="9"/>
        <v/>
      </c>
      <c r="AB321" s="1">
        <f>value(IFERROR(SUBSTITUTE(SUBSTITUTE(VLOOKUP($A321,'Quarterly Pipeline vs Target Pi'!$A:$V,11,false)," $","")," €",""), "")
)</f>
        <v>0</v>
      </c>
      <c r="AC321" s="1">
        <f>value(IFERROR(SUBSTITUTE(SUBSTITUTE(VLOOKUP($A321,'Quarterly Pipeline vs Target Pi'!$A:$V,12,false)," $","")," €",""), "")
)</f>
        <v>0</v>
      </c>
      <c r="AD321" s="17" t="str">
        <f t="shared" si="10"/>
        <v/>
      </c>
      <c r="AE321" s="1">
        <f>value(IFERROR(SUBSTITUTE(SUBSTITUTE(VLOOKUP($A321,'Quarterly Pipeline vs Target Pi'!$A:$V,16,false)," $","")," €",""), "")
)</f>
        <v>0</v>
      </c>
      <c r="AF321" s="1">
        <f>value(IFERROR(SUBSTITUTE(SUBSTITUTE(VLOOKUP($A321,'Quarterly Pipeline vs Target Pi'!$A:$V,17,false)," $","")," €",""), "")
)</f>
        <v>0</v>
      </c>
      <c r="AG321" s="17" t="str">
        <f t="shared" si="11"/>
        <v/>
      </c>
      <c r="AH321" s="1">
        <f>value(IFERROR(SUBSTITUTE(SUBSTITUTE(VLOOKUP($A321,'Quarterly Pipeline vs Target Pi'!$A:$V,21,false)," $","")," €",""), "")
)</f>
        <v>0</v>
      </c>
      <c r="AI321" s="1">
        <f>value(IFERROR(SUBSTITUTE(SUBSTITUTE(VLOOKUP($A321,'Quarterly Pipeline vs Target Pi'!$A:$V,22,false)," $","")," €",""), "")
)</f>
        <v>0</v>
      </c>
      <c r="AJ321" s="17" t="str">
        <f t="shared" si="12"/>
        <v/>
      </c>
      <c r="AK321" s="1">
        <f t="shared" ref="AK321:AL321" si="655">sum(Y321,AB321,AE321,AH321)</f>
        <v>0</v>
      </c>
      <c r="AL321" s="1">
        <f t="shared" si="655"/>
        <v>0</v>
      </c>
      <c r="AM321" s="17" t="str">
        <f t="shared" si="14"/>
        <v/>
      </c>
      <c r="AN321" s="1">
        <f>value(IFERROR(SUBSTITUTE(SUBSTITUTE(VLOOKUP($A321,'Quarterly Pipeline vs Target Pi'!$A:$AP,26,false)," $","")," €",""), "")
)</f>
        <v>0</v>
      </c>
      <c r="AO321" s="1">
        <f>value(IFERROR(SUBSTITUTE(SUBSTITUTE(VLOOKUP($A321,'Quarterly Pipeline vs Target Pi'!$A:$AP,27,false)," $","")," €",""), "")
)</f>
        <v>0</v>
      </c>
      <c r="AP321" s="17" t="str">
        <f t="shared" si="15"/>
        <v/>
      </c>
      <c r="AQ321" s="1">
        <f>value(IFERROR(SUBSTITUTE(SUBSTITUTE(VLOOKUP($A321,'Quarterly Pipeline vs Target Pi'!$A:$AP,31,false)," $","")," €",""), "")
)</f>
        <v>0</v>
      </c>
      <c r="AR321" s="1">
        <f>value(IFERROR(SUBSTITUTE(SUBSTITUTE(VLOOKUP($A321,'Quarterly Pipeline vs Target Pi'!$A:$AP,32,false)," $","")," €",""), "")
)</f>
        <v>0</v>
      </c>
      <c r="AS321" s="17" t="str">
        <f t="shared" si="16"/>
        <v/>
      </c>
      <c r="AT321" s="1">
        <f>value(IFERROR(SUBSTITUTE(SUBSTITUTE(VLOOKUP($A321,'Quarterly Pipeline vs Target Pi'!$A:$AP,36,false)," $","")," €",""), "")
)</f>
        <v>0</v>
      </c>
      <c r="AU321" s="1">
        <f>value(IFERROR(SUBSTITUTE(SUBSTITUTE(VLOOKUP($A321,'Quarterly Pipeline vs Target Pi'!$A:$AP,37,false)," $","")," €",""), "")
)</f>
        <v>0</v>
      </c>
      <c r="AV321" s="17" t="str">
        <f t="shared" si="17"/>
        <v/>
      </c>
      <c r="AW321" s="1">
        <f>value(IFERROR(SUBSTITUTE(SUBSTITUTE(VLOOKUP($A321,'Quarterly Pipeline vs Target Pi'!$A:$AP,41,false)," $","")," €",""), "")
)</f>
        <v>0</v>
      </c>
      <c r="AX321" s="1">
        <f>value(IFERROR(SUBSTITUTE(SUBSTITUTE(VLOOKUP($A321,'Quarterly Pipeline vs Target Pi'!$A:$AP,42,false)," $","")," €",""), "")
)</f>
        <v>0</v>
      </c>
      <c r="AY321" s="17" t="str">
        <f t="shared" si="18"/>
        <v/>
      </c>
      <c r="AZ321" s="1">
        <f t="shared" ref="AZ321:BA321" si="656">sum(AN321,AQ321,AT321,AW321)</f>
        <v>0</v>
      </c>
      <c r="BA321" s="1">
        <f t="shared" si="656"/>
        <v>0</v>
      </c>
      <c r="BB321" s="17" t="str">
        <f t="shared" si="20"/>
        <v/>
      </c>
    </row>
    <row r="322">
      <c r="A322" s="1" t="str">
        <f>IFERROR(__xludf.DUMMYFUNCTION("""COMPUTED_VALUE"""),"63ea6e9552ad6968805ced73")</f>
        <v>63ea6e9552ad6968805ced73</v>
      </c>
      <c r="B322" s="1" t="str">
        <f>IFERROR(__xludf.DUMMYFUNCTION("""COMPUTED_VALUE"""),"NT-Schulze GmbH")</f>
        <v>NT-Schulze GmbH</v>
      </c>
      <c r="C322" s="1" t="str">
        <f>IFERROR(__xludf.DUMMYFUNCTION("""COMPUTED_VALUE"""),"andreas.grossheimann@al-enterprise.com, andre.ramm@al-enterprise.com")</f>
        <v>andreas.grossheimann@al-enterprise.com, andre.ramm@al-enterprise.com</v>
      </c>
      <c r="D322" s="1" t="str">
        <f>IFERROR(__xludf.DUMMYFUNCTION("""COMPUTED_VALUE"""),"germany")</f>
        <v>germany</v>
      </c>
      <c r="E322" s="1" t="str">
        <f>IFERROR(__xludf.DUMMYFUNCTION("""COMPUTED_VALUE"""),"DE")</f>
        <v>DE</v>
      </c>
      <c r="F322" s="1"/>
      <c r="G322" s="1" t="str">
        <f>iferror(VLOOKUP(A322,'Business Plan Setup and Accepta'!A:G,6,false),"")</f>
        <v/>
      </c>
      <c r="H322" s="1" t="str">
        <f>iferror(VLOOKUP(A322,'Business Plan Setup and Accepta'!A:G,7,false),"")</f>
        <v/>
      </c>
      <c r="I322" s="17" t="str">
        <f t="shared" si="3"/>
        <v/>
      </c>
      <c r="J322" s="1" t="str">
        <f>IFERROR(VALUE(SUBSTITUTE(VLOOKUP(A322,'Sales IN Revenues vs Sales targ'!A:G,6,false)," $","")), "")
</f>
        <v/>
      </c>
      <c r="K322" s="1" t="str">
        <f>IFERROR(VALUE(SUBSTITUTE(VLOOKUP(A322,'Sales IN Revenues vs Sales targ'!A:G,7,false)," $","")), "")
</f>
        <v/>
      </c>
      <c r="L322" s="17" t="str">
        <f t="shared" si="4"/>
        <v/>
      </c>
      <c r="M322" s="1">
        <f>value(SUBSTITUTE(IFERROR(VLOOKUP(A322,'Certifications achievements vs '!A:G,6,false),""),"#","")
)</f>
        <v>0</v>
      </c>
      <c r="N322" s="1">
        <f>value(SUBSTITUTE(IFERROR(VLOOKUP(A322,'Certifications achievements vs '!A:G,7,false),""),"#","")
)</f>
        <v>0</v>
      </c>
      <c r="O322" s="17" t="str">
        <f t="shared" si="5"/>
        <v/>
      </c>
      <c r="P322" s="1">
        <f>value(SUBSTITUTE(IFERROR(VLOOKUP(A322,'Communications - Solution Speci'!A:G,6,false),""),"#","")
)</f>
        <v>0</v>
      </c>
      <c r="Q322" s="1">
        <f>value(SUBSTITUTE(IFERROR(VLOOKUP(A322,'Communications - Solution Speci'!A:G,7,false),""),"#","")
)</f>
        <v>0</v>
      </c>
      <c r="R322" s="17" t="str">
        <f t="shared" si="6"/>
        <v/>
      </c>
      <c r="S322" s="1">
        <f>value(SUBSTITUTE(IFERROR(VLOOKUP(A322,'Networking - Solution Specializ'!A:G,6,false),""),"#","")
)</f>
        <v>0</v>
      </c>
      <c r="T322" s="1">
        <f>value(SUBSTITUTE(IFERROR(VLOOKUP(A322,'Networking - Solution Specializ'!A:G,7,false),""),"#","")
)</f>
        <v>0</v>
      </c>
      <c r="U322" s="17" t="str">
        <f t="shared" si="7"/>
        <v/>
      </c>
      <c r="V322" s="1" t="str">
        <f>iferror(vlookup(A322,'Marketing Plan (extract summary'!A:G,6,false),"")</f>
        <v/>
      </c>
      <c r="W322" s="1" t="str">
        <f>iferror(vlookup(A322,'Marketing Plan (extract summary'!A:G,7,false),"")</f>
        <v/>
      </c>
      <c r="X322" s="17" t="str">
        <f t="shared" si="8"/>
        <v/>
      </c>
      <c r="Y322" s="1">
        <f>value(IFERROR(SUBSTITUTE(SUBSTITUTE(VLOOKUP(A322,'Quarterly Pipeline vs Target Pi'!A:G,6,false)," $","")," €",""), "")
)</f>
        <v>0</v>
      </c>
      <c r="Z322" s="1">
        <f>value(IFERROR(SUBSTITUTE(SUBSTITUTE(VLOOKUP(A322,'Quarterly Pipeline vs Target Pi'!A:G,7,false)," $","")," €",""), "")
)</f>
        <v>0</v>
      </c>
      <c r="AA322" s="17" t="str">
        <f t="shared" si="9"/>
        <v/>
      </c>
      <c r="AB322" s="1">
        <f>value(IFERROR(SUBSTITUTE(SUBSTITUTE(VLOOKUP($A322,'Quarterly Pipeline vs Target Pi'!$A:$V,11,false)," $","")," €",""), "")
)</f>
        <v>0</v>
      </c>
      <c r="AC322" s="1">
        <f>value(IFERROR(SUBSTITUTE(SUBSTITUTE(VLOOKUP($A322,'Quarterly Pipeline vs Target Pi'!$A:$V,12,false)," $","")," €",""), "")
)</f>
        <v>0</v>
      </c>
      <c r="AD322" s="17" t="str">
        <f t="shared" si="10"/>
        <v/>
      </c>
      <c r="AE322" s="1">
        <f>value(IFERROR(SUBSTITUTE(SUBSTITUTE(VLOOKUP($A322,'Quarterly Pipeline vs Target Pi'!$A:$V,16,false)," $","")," €",""), "")
)</f>
        <v>0</v>
      </c>
      <c r="AF322" s="1">
        <f>value(IFERROR(SUBSTITUTE(SUBSTITUTE(VLOOKUP($A322,'Quarterly Pipeline vs Target Pi'!$A:$V,17,false)," $","")," €",""), "")
)</f>
        <v>0</v>
      </c>
      <c r="AG322" s="17" t="str">
        <f t="shared" si="11"/>
        <v/>
      </c>
      <c r="AH322" s="1">
        <f>value(IFERROR(SUBSTITUTE(SUBSTITUTE(VLOOKUP($A322,'Quarterly Pipeline vs Target Pi'!$A:$V,21,false)," $","")," €",""), "")
)</f>
        <v>0</v>
      </c>
      <c r="AI322" s="1">
        <f>value(IFERROR(SUBSTITUTE(SUBSTITUTE(VLOOKUP($A322,'Quarterly Pipeline vs Target Pi'!$A:$V,22,false)," $","")," €",""), "")
)</f>
        <v>0</v>
      </c>
      <c r="AJ322" s="17" t="str">
        <f t="shared" si="12"/>
        <v/>
      </c>
      <c r="AK322" s="1">
        <f t="shared" ref="AK322:AL322" si="657">sum(Y322,AB322,AE322,AH322)</f>
        <v>0</v>
      </c>
      <c r="AL322" s="1">
        <f t="shared" si="657"/>
        <v>0</v>
      </c>
      <c r="AM322" s="17" t="str">
        <f t="shared" si="14"/>
        <v/>
      </c>
      <c r="AN322" s="1">
        <f>value(IFERROR(SUBSTITUTE(SUBSTITUTE(VLOOKUP($A322,'Quarterly Pipeline vs Target Pi'!$A:$AP,26,false)," $","")," €",""), "")
)</f>
        <v>0</v>
      </c>
      <c r="AO322" s="1">
        <f>value(IFERROR(SUBSTITUTE(SUBSTITUTE(VLOOKUP($A322,'Quarterly Pipeline vs Target Pi'!$A:$AP,27,false)," $","")," €",""), "")
)</f>
        <v>0</v>
      </c>
      <c r="AP322" s="17" t="str">
        <f t="shared" si="15"/>
        <v/>
      </c>
      <c r="AQ322" s="1">
        <f>value(IFERROR(SUBSTITUTE(SUBSTITUTE(VLOOKUP($A322,'Quarterly Pipeline vs Target Pi'!$A:$AP,31,false)," $","")," €",""), "")
)</f>
        <v>0</v>
      </c>
      <c r="AR322" s="1">
        <f>value(IFERROR(SUBSTITUTE(SUBSTITUTE(VLOOKUP($A322,'Quarterly Pipeline vs Target Pi'!$A:$AP,32,false)," $","")," €",""), "")
)</f>
        <v>0</v>
      </c>
      <c r="AS322" s="17" t="str">
        <f t="shared" si="16"/>
        <v/>
      </c>
      <c r="AT322" s="1">
        <f>value(IFERROR(SUBSTITUTE(SUBSTITUTE(VLOOKUP($A322,'Quarterly Pipeline vs Target Pi'!$A:$AP,36,false)," $","")," €",""), "")
)</f>
        <v>0</v>
      </c>
      <c r="AU322" s="1">
        <f>value(IFERROR(SUBSTITUTE(SUBSTITUTE(VLOOKUP($A322,'Quarterly Pipeline vs Target Pi'!$A:$AP,37,false)," $","")," €",""), "")
)</f>
        <v>0</v>
      </c>
      <c r="AV322" s="17" t="str">
        <f t="shared" si="17"/>
        <v/>
      </c>
      <c r="AW322" s="1">
        <f>value(IFERROR(SUBSTITUTE(SUBSTITUTE(VLOOKUP($A322,'Quarterly Pipeline vs Target Pi'!$A:$AP,41,false)," $","")," €",""), "")
)</f>
        <v>0</v>
      </c>
      <c r="AX322" s="1">
        <f>value(IFERROR(SUBSTITUTE(SUBSTITUTE(VLOOKUP($A322,'Quarterly Pipeline vs Target Pi'!$A:$AP,42,false)," $","")," €",""), "")
)</f>
        <v>0</v>
      </c>
      <c r="AY322" s="17" t="str">
        <f t="shared" si="18"/>
        <v/>
      </c>
      <c r="AZ322" s="1">
        <f t="shared" ref="AZ322:BA322" si="658">sum(AN322,AQ322,AT322,AW322)</f>
        <v>0</v>
      </c>
      <c r="BA322" s="1">
        <f t="shared" si="658"/>
        <v>0</v>
      </c>
      <c r="BB322" s="17" t="str">
        <f t="shared" si="20"/>
        <v/>
      </c>
    </row>
    <row r="323">
      <c r="A323" s="1" t="str">
        <f>IFERROR(__xludf.DUMMYFUNCTION("""COMPUTED_VALUE"""),"63ea6e9352ad6968805cea39")</f>
        <v>63ea6e9352ad6968805cea39</v>
      </c>
      <c r="B323" s="1" t="str">
        <f>IFERROR(__xludf.DUMMYFUNCTION("""COMPUTED_VALUE"""),"NTT Germany AG &amp; Co. KG")</f>
        <v>NTT Germany AG &amp; Co. KG</v>
      </c>
      <c r="C323" s="1" t="str">
        <f>IFERROR(__xludf.DUMMYFUNCTION("""COMPUTED_VALUE"""),"marius.istel@al-enterprise.com, thomas.araia@al-enterprise.com, katrin.pfeiffer@al-enterprise.com, sibylle.klopfer@al-enterprise.com, igor.leko@al-enterprise.com")</f>
        <v>marius.istel@al-enterprise.com, thomas.araia@al-enterprise.com, katrin.pfeiffer@al-enterprise.com, sibylle.klopfer@al-enterprise.com, igor.leko@al-enterprise.com</v>
      </c>
      <c r="D323" s="1" t="str">
        <f>IFERROR(__xludf.DUMMYFUNCTION("""COMPUTED_VALUE"""),"germany")</f>
        <v>germany</v>
      </c>
      <c r="E323" s="1" t="str">
        <f>IFERROR(__xludf.DUMMYFUNCTION("""COMPUTED_VALUE"""),"DE")</f>
        <v>DE</v>
      </c>
      <c r="F323" s="1" t="str">
        <f>IFERROR(__xludf.DUMMYFUNCTION("""COMPUTED_VALUE"""),"yes")</f>
        <v>yes</v>
      </c>
      <c r="G323" s="1">
        <f>iferror(VLOOKUP(A323,'Business Plan Setup and Accepta'!A:G,6,false),"")</f>
        <v>1</v>
      </c>
      <c r="H323" s="1">
        <f>iferror(VLOOKUP(A323,'Business Plan Setup and Accepta'!A:G,7,false),"")</f>
        <v>1</v>
      </c>
      <c r="I323" s="17">
        <f t="shared" si="3"/>
        <v>1</v>
      </c>
      <c r="J323" s="1">
        <f>IFERROR(VALUE(SUBSTITUTE(VLOOKUP(A323,'Sales IN Revenues vs Sales targ'!A:G,6,false)," $","")), "")
</f>
        <v>8770.25</v>
      </c>
      <c r="K323" s="1">
        <f>IFERROR(VALUE(SUBSTITUTE(VLOOKUP(A323,'Sales IN Revenues vs Sales targ'!A:G,7,false)," $","")), "")
</f>
        <v>17000</v>
      </c>
      <c r="L323" s="17">
        <f t="shared" si="4"/>
        <v>0.5158970588</v>
      </c>
      <c r="M323" s="1">
        <f>value(SUBSTITUTE(IFERROR(VLOOKUP(A323,'Certifications achievements vs '!A:G,6,false),""),"#","")
)</f>
        <v>350</v>
      </c>
      <c r="N323" s="1">
        <f>value(SUBSTITUTE(IFERROR(VLOOKUP(A323,'Certifications achievements vs '!A:G,7,false),""),"#","")
)</f>
        <v>65</v>
      </c>
      <c r="O323" s="17">
        <f t="shared" si="5"/>
        <v>5.384615385</v>
      </c>
      <c r="P323" s="1">
        <f>value(SUBSTITUTE(IFERROR(VLOOKUP(A323,'Communications - Solution Speci'!A:G,6,false),""),"#","")
)</f>
        <v>1</v>
      </c>
      <c r="Q323" s="1">
        <f>value(SUBSTITUTE(IFERROR(VLOOKUP(A323,'Communications - Solution Speci'!A:G,7,false),""),"#","")
)</f>
        <v>1</v>
      </c>
      <c r="R323" s="17">
        <f t="shared" si="6"/>
        <v>1</v>
      </c>
      <c r="S323" s="1">
        <f>value(SUBSTITUTE(IFERROR(VLOOKUP(A323,'Networking - Solution Specializ'!A:G,6,false),""),"#","")
)</f>
        <v>1</v>
      </c>
      <c r="T323" s="1">
        <f>value(SUBSTITUTE(IFERROR(VLOOKUP(A323,'Networking - Solution Specializ'!A:G,7,false),""),"#","")
)</f>
        <v>1</v>
      </c>
      <c r="U323" s="17">
        <f t="shared" si="7"/>
        <v>1</v>
      </c>
      <c r="V323" s="1">
        <f>iferror(vlookup(A323,'Marketing Plan (extract summary'!A:G,6,false),"")</f>
        <v>1</v>
      </c>
      <c r="W323" s="1">
        <f>iferror(vlookup(A323,'Marketing Plan (extract summary'!A:G,7,false),"")</f>
        <v>1</v>
      </c>
      <c r="X323" s="17">
        <f t="shared" si="8"/>
        <v>1</v>
      </c>
      <c r="Y323" s="1">
        <f>value(IFERROR(SUBSTITUTE(SUBSTITUTE(VLOOKUP(A323,'Quarterly Pipeline vs Target Pi'!A:G,6,false)," $","")," €",""), "")
)</f>
        <v>2.71</v>
      </c>
      <c r="Z323" s="1">
        <f>value(IFERROR(SUBSTITUTE(SUBSTITUTE(VLOOKUP(A323,'Quarterly Pipeline vs Target Pi'!A:G,7,false)," $","")," €",""), "")
)</f>
        <v>0</v>
      </c>
      <c r="AA323" s="17" t="str">
        <f t="shared" si="9"/>
        <v/>
      </c>
      <c r="AB323" s="1">
        <f>value(IFERROR(SUBSTITUTE(SUBSTITUTE(VLOOKUP($A323,'Quarterly Pipeline vs Target Pi'!$A:$V,11,false)," $","")," €",""), "")
)</f>
        <v>48.31</v>
      </c>
      <c r="AC323" s="1">
        <f>value(IFERROR(SUBSTITUTE(SUBSTITUTE(VLOOKUP($A323,'Quarterly Pipeline vs Target Pi'!$A:$V,12,false)," $","")," €",""), "")
)</f>
        <v>2000</v>
      </c>
      <c r="AD323" s="17">
        <f t="shared" si="10"/>
        <v>0.024155</v>
      </c>
      <c r="AE323" s="1">
        <f>value(IFERROR(SUBSTITUTE(SUBSTITUTE(VLOOKUP($A323,'Quarterly Pipeline vs Target Pi'!$A:$V,16,false)," $","")," €",""), "")
)</f>
        <v>2432.84</v>
      </c>
      <c r="AF323" s="1">
        <f>value(IFERROR(SUBSTITUTE(SUBSTITUTE(VLOOKUP($A323,'Quarterly Pipeline vs Target Pi'!$A:$V,17,false)," $","")," €",""), "")
)</f>
        <v>11800</v>
      </c>
      <c r="AG323" s="17">
        <f t="shared" si="11"/>
        <v>0.2061728814</v>
      </c>
      <c r="AH323" s="1">
        <f>value(IFERROR(SUBSTITUTE(SUBSTITUTE(VLOOKUP($A323,'Quarterly Pipeline vs Target Pi'!$A:$V,21,false)," $","")," €",""), "")
)</f>
        <v>45242.67</v>
      </c>
      <c r="AI323" s="1">
        <f>value(IFERROR(SUBSTITUTE(SUBSTITUTE(VLOOKUP($A323,'Quarterly Pipeline vs Target Pi'!$A:$V,22,false)," $","")," €",""), "")
)</f>
        <v>16771.43</v>
      </c>
      <c r="AJ323" s="17">
        <f t="shared" si="12"/>
        <v>2.697603603</v>
      </c>
      <c r="AK323" s="1">
        <f t="shared" ref="AK323:AL323" si="659">sum(Y323,AB323,AE323,AH323)</f>
        <v>47726.53</v>
      </c>
      <c r="AL323" s="1">
        <f t="shared" si="659"/>
        <v>30571.43</v>
      </c>
      <c r="AM323" s="17">
        <f t="shared" si="14"/>
        <v>1.561148105</v>
      </c>
      <c r="AN323" s="1">
        <f>value(IFERROR(SUBSTITUTE(SUBSTITUTE(VLOOKUP($A323,'Quarterly Pipeline vs Target Pi'!$A:$AP,26,false)," $","")," €",""), "")
)</f>
        <v>15982.27</v>
      </c>
      <c r="AO323" s="1">
        <f>value(IFERROR(SUBSTITUTE(SUBSTITUTE(VLOOKUP($A323,'Quarterly Pipeline vs Target Pi'!$A:$AP,27,false)," $","")," €",""), "")
)</f>
        <v>0</v>
      </c>
      <c r="AP323" s="17" t="str">
        <f t="shared" si="15"/>
        <v/>
      </c>
      <c r="AQ323" s="1">
        <f>value(IFERROR(SUBSTITUTE(SUBSTITUTE(VLOOKUP($A323,'Quarterly Pipeline vs Target Pi'!$A:$AP,31,false)," $","")," €",""), "")
)</f>
        <v>7149.17</v>
      </c>
      <c r="AR323" s="1">
        <f>value(IFERROR(SUBSTITUTE(SUBSTITUTE(VLOOKUP($A323,'Quarterly Pipeline vs Target Pi'!$A:$AP,32,false)," $","")," €",""), "")
)</f>
        <v>0</v>
      </c>
      <c r="AS323" s="17" t="str">
        <f t="shared" si="16"/>
        <v/>
      </c>
      <c r="AT323" s="1">
        <f>value(IFERROR(SUBSTITUTE(SUBSTITUTE(VLOOKUP($A323,'Quarterly Pipeline vs Target Pi'!$A:$AP,36,false)," $","")," €",""), "")
)</f>
        <v>842.36</v>
      </c>
      <c r="AU323" s="1">
        <f>value(IFERROR(SUBSTITUTE(SUBSTITUTE(VLOOKUP($A323,'Quarterly Pipeline vs Target Pi'!$A:$AP,37,false)," $","")," €",""), "")
)</f>
        <v>0</v>
      </c>
      <c r="AV323" s="17" t="str">
        <f t="shared" si="17"/>
        <v/>
      </c>
      <c r="AW323" s="1">
        <f>value(IFERROR(SUBSTITUTE(SUBSTITUTE(VLOOKUP($A323,'Quarterly Pipeline vs Target Pi'!$A:$AP,41,false)," $","")," €",""), "")
)</f>
        <v>3460.53</v>
      </c>
      <c r="AX323" s="1">
        <f>value(IFERROR(SUBSTITUTE(SUBSTITUTE(VLOOKUP($A323,'Quarterly Pipeline vs Target Pi'!$A:$AP,42,false)," $","")," €",""), "")
)</f>
        <v>0</v>
      </c>
      <c r="AY323" s="17" t="str">
        <f t="shared" si="18"/>
        <v/>
      </c>
      <c r="AZ323" s="1">
        <f t="shared" ref="AZ323:BA323" si="660">sum(AN323,AQ323,AT323,AW323)</f>
        <v>27434.33</v>
      </c>
      <c r="BA323" s="1">
        <f t="shared" si="660"/>
        <v>0</v>
      </c>
      <c r="BB323" s="17" t="str">
        <f t="shared" si="20"/>
        <v/>
      </c>
    </row>
    <row r="324">
      <c r="A324" s="1" t="str">
        <f>IFERROR(__xludf.DUMMYFUNCTION("""COMPUTED_VALUE"""),"63ef9d62384f27260c1bb50f")</f>
        <v>63ef9d62384f27260c1bb50f</v>
      </c>
      <c r="B324" s="1" t="str">
        <f>IFERROR(__xludf.DUMMYFUNCTION("""COMPUTED_VALUE"""),"NTT SPAIN INTELLIGENT TECHNOLOGIES AND SERVICES S.L.")</f>
        <v>NTT SPAIN INTELLIGENT TECHNOLOGIES AND SERVICES S.L.</v>
      </c>
      <c r="C324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324" s="1" t="str">
        <f>IFERROR(__xludf.DUMMYFUNCTION("""COMPUTED_VALUE"""),"emea")</f>
        <v>emea</v>
      </c>
      <c r="E324" s="1" t="str">
        <f>IFERROR(__xludf.DUMMYFUNCTION("""COMPUTED_VALUE"""),"ES")</f>
        <v>ES</v>
      </c>
      <c r="F324" s="1" t="str">
        <f>IFERROR(__xludf.DUMMYFUNCTION("""COMPUTED_VALUE"""),"yes")</f>
        <v>yes</v>
      </c>
      <c r="G324" s="1">
        <f>iferror(VLOOKUP(A324,'Business Plan Setup and Accepta'!A:G,6,false),"")</f>
        <v>1</v>
      </c>
      <c r="H324" s="1">
        <f>iferror(VLOOKUP(A324,'Business Plan Setup and Accepta'!A:G,7,false),"")</f>
        <v>1</v>
      </c>
      <c r="I324" s="17">
        <f t="shared" si="3"/>
        <v>1</v>
      </c>
      <c r="J324" s="1">
        <f>IFERROR(VALUE(SUBSTITUTE(VLOOKUP(A324,'Sales IN Revenues vs Sales targ'!A:G,6,false)," $","")), "")
</f>
        <v>644.93</v>
      </c>
      <c r="K324" s="1">
        <f>IFERROR(VALUE(SUBSTITUTE(VLOOKUP(A324,'Sales IN Revenues vs Sales targ'!A:G,7,false)," $","")), "")
</f>
        <v>1300</v>
      </c>
      <c r="L324" s="17">
        <f t="shared" si="4"/>
        <v>0.4961</v>
      </c>
      <c r="M324" s="1">
        <f>value(SUBSTITUTE(IFERROR(VLOOKUP(A324,'Certifications achievements vs '!A:G,6,false),""),"#","")
)</f>
        <v>55</v>
      </c>
      <c r="N324" s="1">
        <f>value(SUBSTITUTE(IFERROR(VLOOKUP(A324,'Certifications achievements vs '!A:G,7,false),""),"#","")
)</f>
        <v>53</v>
      </c>
      <c r="O324" s="17">
        <f t="shared" si="5"/>
        <v>1.037735849</v>
      </c>
      <c r="P324" s="1">
        <f>value(SUBSTITUTE(IFERROR(VLOOKUP(A324,'Communications - Solution Speci'!A:G,6,false),""),"#","")
)</f>
        <v>1</v>
      </c>
      <c r="Q324" s="1">
        <f>value(SUBSTITUTE(IFERROR(VLOOKUP(A324,'Communications - Solution Speci'!A:G,7,false),""),"#","")
)</f>
        <v>1</v>
      </c>
      <c r="R324" s="17">
        <f t="shared" si="6"/>
        <v>1</v>
      </c>
      <c r="S324" s="1">
        <f>value(SUBSTITUTE(IFERROR(VLOOKUP(A324,'Networking - Solution Specializ'!A:G,6,false),""),"#","")
)</f>
        <v>1</v>
      </c>
      <c r="T324" s="1">
        <f>value(SUBSTITUTE(IFERROR(VLOOKUP(A324,'Networking - Solution Specializ'!A:G,7,false),""),"#","")
)</f>
        <v>1</v>
      </c>
      <c r="U324" s="17">
        <f t="shared" si="7"/>
        <v>1</v>
      </c>
      <c r="V324" s="1">
        <f>iferror(vlookup(A324,'Marketing Plan (extract summary'!A:G,6,false),"")</f>
        <v>0</v>
      </c>
      <c r="W324" s="1">
        <f>iferror(vlookup(A324,'Marketing Plan (extract summary'!A:G,7,false),"")</f>
        <v>1</v>
      </c>
      <c r="X324" s="17">
        <f t="shared" si="8"/>
        <v>0</v>
      </c>
      <c r="Y324" s="1">
        <f>value(IFERROR(SUBSTITUTE(SUBSTITUTE(VLOOKUP(A324,'Quarterly Pipeline vs Target Pi'!A:G,6,false)," $","")," €",""), "")
)</f>
        <v>25.31</v>
      </c>
      <c r="Z324" s="1">
        <f>value(IFERROR(SUBSTITUTE(SUBSTITUTE(VLOOKUP(A324,'Quarterly Pipeline vs Target Pi'!A:G,7,false)," $","")," €",""), "")
)</f>
        <v>0</v>
      </c>
      <c r="AA324" s="17" t="str">
        <f t="shared" si="9"/>
        <v/>
      </c>
      <c r="AB324" s="1">
        <f>value(IFERROR(SUBSTITUTE(SUBSTITUTE(VLOOKUP($A324,'Quarterly Pipeline vs Target Pi'!$A:$V,11,false)," $","")," €",""), "")
)</f>
        <v>10.75</v>
      </c>
      <c r="AC324" s="1">
        <f>value(IFERROR(SUBSTITUTE(SUBSTITUTE(VLOOKUP($A324,'Quarterly Pipeline vs Target Pi'!$A:$V,12,false)," $","")," €",""), "")
)</f>
        <v>812.5</v>
      </c>
      <c r="AD324" s="17">
        <f t="shared" si="10"/>
        <v>0.01323076923</v>
      </c>
      <c r="AE324" s="1">
        <f>value(IFERROR(SUBSTITUTE(SUBSTITUTE(VLOOKUP($A324,'Quarterly Pipeline vs Target Pi'!$A:$V,16,false)," $","")," €",""), "")
)</f>
        <v>144.54</v>
      </c>
      <c r="AF324" s="1">
        <f>value(IFERROR(SUBSTITUTE(SUBSTITUTE(VLOOKUP($A324,'Quarterly Pipeline vs Target Pi'!$A:$V,17,false)," $","")," €",""), "")
)</f>
        <v>812.5</v>
      </c>
      <c r="AG324" s="17">
        <f t="shared" si="11"/>
        <v>0.1778953846</v>
      </c>
      <c r="AH324" s="1">
        <f>value(IFERROR(SUBSTITUTE(SUBSTITUTE(VLOOKUP($A324,'Quarterly Pipeline vs Target Pi'!$A:$V,21,false)," $","")," €",""), "")
)</f>
        <v>730.29</v>
      </c>
      <c r="AI324" s="1">
        <f>value(IFERROR(SUBSTITUTE(SUBSTITUTE(VLOOKUP($A324,'Quarterly Pipeline vs Target Pi'!$A:$V,22,false)," $","")," €",""), "")
)</f>
        <v>812.5</v>
      </c>
      <c r="AJ324" s="17">
        <f t="shared" si="12"/>
        <v>0.8988184615</v>
      </c>
      <c r="AK324" s="1">
        <f t="shared" ref="AK324:AL324" si="661">sum(Y324,AB324,AE324,AH324)</f>
        <v>910.89</v>
      </c>
      <c r="AL324" s="1">
        <f t="shared" si="661"/>
        <v>2437.5</v>
      </c>
      <c r="AM324" s="17">
        <f t="shared" si="14"/>
        <v>0.3736984615</v>
      </c>
      <c r="AN324" s="1">
        <f>value(IFERROR(SUBSTITUTE(SUBSTITUTE(VLOOKUP($A324,'Quarterly Pipeline vs Target Pi'!$A:$AP,26,false)," $","")," €",""), "")
)</f>
        <v>1043</v>
      </c>
      <c r="AO324" s="1">
        <f>value(IFERROR(SUBSTITUTE(SUBSTITUTE(VLOOKUP($A324,'Quarterly Pipeline vs Target Pi'!$A:$AP,27,false)," $","")," €",""), "")
)</f>
        <v>0</v>
      </c>
      <c r="AP324" s="17" t="str">
        <f t="shared" si="15"/>
        <v/>
      </c>
      <c r="AQ324" s="1">
        <f>value(IFERROR(SUBSTITUTE(SUBSTITUTE(VLOOKUP($A324,'Quarterly Pipeline vs Target Pi'!$A:$AP,31,false)," $","")," €",""), "")
)</f>
        <v>380.92</v>
      </c>
      <c r="AR324" s="1">
        <f>value(IFERROR(SUBSTITUTE(SUBSTITUTE(VLOOKUP($A324,'Quarterly Pipeline vs Target Pi'!$A:$AP,32,false)," $","")," €",""), "")
)</f>
        <v>0</v>
      </c>
      <c r="AS324" s="17" t="str">
        <f t="shared" si="16"/>
        <v/>
      </c>
      <c r="AT324" s="1">
        <f>value(IFERROR(SUBSTITUTE(SUBSTITUTE(VLOOKUP($A324,'Quarterly Pipeline vs Target Pi'!$A:$AP,36,false)," $","")," €",""), "")
)</f>
        <v>0</v>
      </c>
      <c r="AU324" s="1">
        <f>value(IFERROR(SUBSTITUTE(SUBSTITUTE(VLOOKUP($A324,'Quarterly Pipeline vs Target Pi'!$A:$AP,37,false)," $","")," €",""), "")
)</f>
        <v>0</v>
      </c>
      <c r="AV324" s="17" t="str">
        <f t="shared" si="17"/>
        <v/>
      </c>
      <c r="AW324" s="1">
        <f>value(IFERROR(SUBSTITUTE(SUBSTITUTE(VLOOKUP($A324,'Quarterly Pipeline vs Target Pi'!$A:$AP,41,false)," $","")," €",""), "")
)</f>
        <v>131.81</v>
      </c>
      <c r="AX324" s="1">
        <f>value(IFERROR(SUBSTITUTE(SUBSTITUTE(VLOOKUP($A324,'Quarterly Pipeline vs Target Pi'!$A:$AP,42,false)," $","")," €",""), "")
)</f>
        <v>0</v>
      </c>
      <c r="AY324" s="17" t="str">
        <f t="shared" si="18"/>
        <v/>
      </c>
      <c r="AZ324" s="1">
        <f t="shared" ref="AZ324:BA324" si="662">sum(AN324,AQ324,AT324,AW324)</f>
        <v>1555.73</v>
      </c>
      <c r="BA324" s="1">
        <f t="shared" si="662"/>
        <v>0</v>
      </c>
      <c r="BB324" s="17" t="str">
        <f t="shared" si="20"/>
        <v/>
      </c>
    </row>
    <row r="325">
      <c r="A325" s="1" t="str">
        <f>IFERROR(__xludf.DUMMYFUNCTION("""COMPUTED_VALUE"""),"63ced84fc5c820531c269a8b")</f>
        <v>63ced84fc5c820531c269a8b</v>
      </c>
      <c r="B325" s="1" t="str">
        <f>IFERROR(__xludf.DUMMYFUNCTION("""COMPUTED_VALUE"""),"Ockers Company Inc")</f>
        <v>Ockers Company Inc</v>
      </c>
      <c r="C325" s="1" t="str">
        <f>IFERROR(__xludf.DUMMYFUNCTION("""COMPUTED_VALUE"""),"brendan.flaherty@al-enterprise.com")</f>
        <v>brendan.flaherty@al-enterprise.com</v>
      </c>
      <c r="D325" s="1" t="str">
        <f>IFERROR(__xludf.DUMMYFUNCTION("""COMPUTED_VALUE"""),"americas")</f>
        <v>americas</v>
      </c>
      <c r="E325" s="1" t="str">
        <f>IFERROR(__xludf.DUMMYFUNCTION("""COMPUTED_VALUE"""),"US")</f>
        <v>US</v>
      </c>
      <c r="F325" s="1"/>
      <c r="G325" s="1" t="str">
        <f>iferror(VLOOKUP(A325,'Business Plan Setup and Accepta'!A:G,6,false),"")</f>
        <v/>
      </c>
      <c r="H325" s="1" t="str">
        <f>iferror(VLOOKUP(A325,'Business Plan Setup and Accepta'!A:G,7,false),"")</f>
        <v/>
      </c>
      <c r="I325" s="17" t="str">
        <f t="shared" si="3"/>
        <v/>
      </c>
      <c r="J325" s="1" t="str">
        <f>IFERROR(VALUE(SUBSTITUTE(VLOOKUP(A325,'Sales IN Revenues vs Sales targ'!A:G,6,false)," $","")), "")
</f>
        <v/>
      </c>
      <c r="K325" s="1" t="str">
        <f>IFERROR(VALUE(SUBSTITUTE(VLOOKUP(A325,'Sales IN Revenues vs Sales targ'!A:G,7,false)," $","")), "")
</f>
        <v/>
      </c>
      <c r="L325" s="17" t="str">
        <f t="shared" si="4"/>
        <v/>
      </c>
      <c r="M325" s="1">
        <f>value(SUBSTITUTE(IFERROR(VLOOKUP(A325,'Certifications achievements vs '!A:G,6,false),""),"#","")
)</f>
        <v>0</v>
      </c>
      <c r="N325" s="1">
        <f>value(SUBSTITUTE(IFERROR(VLOOKUP(A325,'Certifications achievements vs '!A:G,7,false),""),"#","")
)</f>
        <v>0</v>
      </c>
      <c r="O325" s="17" t="str">
        <f t="shared" si="5"/>
        <v/>
      </c>
      <c r="P325" s="1">
        <f>value(SUBSTITUTE(IFERROR(VLOOKUP(A325,'Communications - Solution Speci'!A:G,6,false),""),"#","")
)</f>
        <v>0</v>
      </c>
      <c r="Q325" s="1">
        <f>value(SUBSTITUTE(IFERROR(VLOOKUP(A325,'Communications - Solution Speci'!A:G,7,false),""),"#","")
)</f>
        <v>0</v>
      </c>
      <c r="R325" s="17" t="str">
        <f t="shared" si="6"/>
        <v/>
      </c>
      <c r="S325" s="1">
        <f>value(SUBSTITUTE(IFERROR(VLOOKUP(A325,'Networking - Solution Specializ'!A:G,6,false),""),"#","")
)</f>
        <v>0</v>
      </c>
      <c r="T325" s="1">
        <f>value(SUBSTITUTE(IFERROR(VLOOKUP(A325,'Networking - Solution Specializ'!A:G,7,false),""),"#","")
)</f>
        <v>0</v>
      </c>
      <c r="U325" s="17" t="str">
        <f t="shared" si="7"/>
        <v/>
      </c>
      <c r="V325" s="1" t="str">
        <f>iferror(vlookup(A325,'Marketing Plan (extract summary'!A:G,6,false),"")</f>
        <v/>
      </c>
      <c r="W325" s="1" t="str">
        <f>iferror(vlookup(A325,'Marketing Plan (extract summary'!A:G,7,false),"")</f>
        <v/>
      </c>
      <c r="X325" s="17" t="str">
        <f t="shared" si="8"/>
        <v/>
      </c>
      <c r="Y325" s="1">
        <f>value(IFERROR(SUBSTITUTE(SUBSTITUTE(VLOOKUP(A325,'Quarterly Pipeline vs Target Pi'!A:G,6,false)," $","")," €",""), "")
)</f>
        <v>0</v>
      </c>
      <c r="Z325" s="1">
        <f>value(IFERROR(SUBSTITUTE(SUBSTITUTE(VLOOKUP(A325,'Quarterly Pipeline vs Target Pi'!A:G,7,false)," $","")," €",""), "")
)</f>
        <v>0</v>
      </c>
      <c r="AA325" s="17" t="str">
        <f t="shared" si="9"/>
        <v/>
      </c>
      <c r="AB325" s="1">
        <f>value(IFERROR(SUBSTITUTE(SUBSTITUTE(VLOOKUP($A325,'Quarterly Pipeline vs Target Pi'!$A:$V,11,false)," $","")," €",""), "")
)</f>
        <v>0</v>
      </c>
      <c r="AC325" s="1">
        <f>value(IFERROR(SUBSTITUTE(SUBSTITUTE(VLOOKUP($A325,'Quarterly Pipeline vs Target Pi'!$A:$V,12,false)," $","")," €",""), "")
)</f>
        <v>0</v>
      </c>
      <c r="AD325" s="17" t="str">
        <f t="shared" si="10"/>
        <v/>
      </c>
      <c r="AE325" s="1">
        <f>value(IFERROR(SUBSTITUTE(SUBSTITUTE(VLOOKUP($A325,'Quarterly Pipeline vs Target Pi'!$A:$V,16,false)," $","")," €",""), "")
)</f>
        <v>0</v>
      </c>
      <c r="AF325" s="1">
        <f>value(IFERROR(SUBSTITUTE(SUBSTITUTE(VLOOKUP($A325,'Quarterly Pipeline vs Target Pi'!$A:$V,17,false)," $","")," €",""), "")
)</f>
        <v>0</v>
      </c>
      <c r="AG325" s="17" t="str">
        <f t="shared" si="11"/>
        <v/>
      </c>
      <c r="AH325" s="1">
        <f>value(IFERROR(SUBSTITUTE(SUBSTITUTE(VLOOKUP($A325,'Quarterly Pipeline vs Target Pi'!$A:$V,21,false)," $","")," €",""), "")
)</f>
        <v>0</v>
      </c>
      <c r="AI325" s="1">
        <f>value(IFERROR(SUBSTITUTE(SUBSTITUTE(VLOOKUP($A325,'Quarterly Pipeline vs Target Pi'!$A:$V,22,false)," $","")," €",""), "")
)</f>
        <v>0</v>
      </c>
      <c r="AJ325" s="17" t="str">
        <f t="shared" si="12"/>
        <v/>
      </c>
      <c r="AK325" s="1">
        <f t="shared" ref="AK325:AL325" si="663">sum(Y325,AB325,AE325,AH325)</f>
        <v>0</v>
      </c>
      <c r="AL325" s="1">
        <f t="shared" si="663"/>
        <v>0</v>
      </c>
      <c r="AM325" s="17" t="str">
        <f t="shared" si="14"/>
        <v/>
      </c>
      <c r="AN325" s="1">
        <f>value(IFERROR(SUBSTITUTE(SUBSTITUTE(VLOOKUP($A325,'Quarterly Pipeline vs Target Pi'!$A:$AP,26,false)," $","")," €",""), "")
)</f>
        <v>0</v>
      </c>
      <c r="AO325" s="1">
        <f>value(IFERROR(SUBSTITUTE(SUBSTITUTE(VLOOKUP($A325,'Quarterly Pipeline vs Target Pi'!$A:$AP,27,false)," $","")," €",""), "")
)</f>
        <v>0</v>
      </c>
      <c r="AP325" s="17" t="str">
        <f t="shared" si="15"/>
        <v/>
      </c>
      <c r="AQ325" s="1">
        <f>value(IFERROR(SUBSTITUTE(SUBSTITUTE(VLOOKUP($A325,'Quarterly Pipeline vs Target Pi'!$A:$AP,31,false)," $","")," €",""), "")
)</f>
        <v>0</v>
      </c>
      <c r="AR325" s="1">
        <f>value(IFERROR(SUBSTITUTE(SUBSTITUTE(VLOOKUP($A325,'Quarterly Pipeline vs Target Pi'!$A:$AP,32,false)," $","")," €",""), "")
)</f>
        <v>0</v>
      </c>
      <c r="AS325" s="17" t="str">
        <f t="shared" si="16"/>
        <v/>
      </c>
      <c r="AT325" s="1">
        <f>value(IFERROR(SUBSTITUTE(SUBSTITUTE(VLOOKUP($A325,'Quarterly Pipeline vs Target Pi'!$A:$AP,36,false)," $","")," €",""), "")
)</f>
        <v>0</v>
      </c>
      <c r="AU325" s="1">
        <f>value(IFERROR(SUBSTITUTE(SUBSTITUTE(VLOOKUP($A325,'Quarterly Pipeline vs Target Pi'!$A:$AP,37,false)," $","")," €",""), "")
)</f>
        <v>0</v>
      </c>
      <c r="AV325" s="17" t="str">
        <f t="shared" si="17"/>
        <v/>
      </c>
      <c r="AW325" s="1">
        <f>value(IFERROR(SUBSTITUTE(SUBSTITUTE(VLOOKUP($A325,'Quarterly Pipeline vs Target Pi'!$A:$AP,41,false)," $","")," €",""), "")
)</f>
        <v>0</v>
      </c>
      <c r="AX325" s="1">
        <f>value(IFERROR(SUBSTITUTE(SUBSTITUTE(VLOOKUP($A325,'Quarterly Pipeline vs Target Pi'!$A:$AP,42,false)," $","")," €",""), "")
)</f>
        <v>0</v>
      </c>
      <c r="AY325" s="17" t="str">
        <f t="shared" si="18"/>
        <v/>
      </c>
      <c r="AZ325" s="1">
        <f t="shared" ref="AZ325:BA325" si="664">sum(AN325,AQ325,AT325,AW325)</f>
        <v>0</v>
      </c>
      <c r="BA325" s="1">
        <f t="shared" si="664"/>
        <v>0</v>
      </c>
      <c r="BB325" s="17" t="str">
        <f t="shared" si="20"/>
        <v/>
      </c>
    </row>
    <row r="326">
      <c r="A326" s="1" t="str">
        <f>IFERROR(__xludf.DUMMYFUNCTION("""COMPUTED_VALUE"""),"63ced849c5c820531c268e1f")</f>
        <v>63ced849c5c820531c268e1f</v>
      </c>
      <c r="B326" s="1" t="str">
        <f>IFERROR(__xludf.DUMMYFUNCTION("""COMPUTED_VALUE"""),"OLIBRAS TELECOMUNICACOES LTDA")</f>
        <v>OLIBRAS TELECOMUNICACOES LTDA</v>
      </c>
      <c r="C326" s="1" t="str">
        <f>IFERROR(__xludf.DUMMYFUNCTION("""COMPUTED_VALUE"""),"sinclair.fidelis@al-enterprise.com")</f>
        <v>sinclair.fidelis@al-enterprise.com</v>
      </c>
      <c r="D326" s="1" t="str">
        <f>IFERROR(__xludf.DUMMYFUNCTION("""COMPUTED_VALUE"""),"americas")</f>
        <v>americas</v>
      </c>
      <c r="E326" s="1" t="str">
        <f>IFERROR(__xludf.DUMMYFUNCTION("""COMPUTED_VALUE"""),"BR")</f>
        <v>BR</v>
      </c>
      <c r="F326" s="1"/>
      <c r="G326" s="1" t="str">
        <f>iferror(VLOOKUP(A326,'Business Plan Setup and Accepta'!A:G,6,false),"")</f>
        <v/>
      </c>
      <c r="H326" s="1" t="str">
        <f>iferror(VLOOKUP(A326,'Business Plan Setup and Accepta'!A:G,7,false),"")</f>
        <v/>
      </c>
      <c r="I326" s="17" t="str">
        <f t="shared" si="3"/>
        <v/>
      </c>
      <c r="J326" s="1" t="str">
        <f>IFERROR(VALUE(SUBSTITUTE(VLOOKUP(A326,'Sales IN Revenues vs Sales targ'!A:G,6,false)," $","")), "")
</f>
        <v/>
      </c>
      <c r="K326" s="1" t="str">
        <f>IFERROR(VALUE(SUBSTITUTE(VLOOKUP(A326,'Sales IN Revenues vs Sales targ'!A:G,7,false)," $","")), "")
</f>
        <v/>
      </c>
      <c r="L326" s="17" t="str">
        <f t="shared" si="4"/>
        <v/>
      </c>
      <c r="M326" s="1">
        <f>value(SUBSTITUTE(IFERROR(VLOOKUP(A326,'Certifications achievements vs '!A:G,6,false),""),"#","")
)</f>
        <v>0</v>
      </c>
      <c r="N326" s="1">
        <f>value(SUBSTITUTE(IFERROR(VLOOKUP(A326,'Certifications achievements vs '!A:G,7,false),""),"#","")
)</f>
        <v>0</v>
      </c>
      <c r="O326" s="17" t="str">
        <f t="shared" si="5"/>
        <v/>
      </c>
      <c r="P326" s="1">
        <f>value(SUBSTITUTE(IFERROR(VLOOKUP(A326,'Communications - Solution Speci'!A:G,6,false),""),"#","")
)</f>
        <v>0</v>
      </c>
      <c r="Q326" s="1">
        <f>value(SUBSTITUTE(IFERROR(VLOOKUP(A326,'Communications - Solution Speci'!A:G,7,false),""),"#","")
)</f>
        <v>0</v>
      </c>
      <c r="R326" s="17" t="str">
        <f t="shared" si="6"/>
        <v/>
      </c>
      <c r="S326" s="1">
        <f>value(SUBSTITUTE(IFERROR(VLOOKUP(A326,'Networking - Solution Specializ'!A:G,6,false),""),"#","")
)</f>
        <v>0</v>
      </c>
      <c r="T326" s="1">
        <f>value(SUBSTITUTE(IFERROR(VLOOKUP(A326,'Networking - Solution Specializ'!A:G,7,false),""),"#","")
)</f>
        <v>0</v>
      </c>
      <c r="U326" s="17" t="str">
        <f t="shared" si="7"/>
        <v/>
      </c>
      <c r="V326" s="1" t="str">
        <f>iferror(vlookup(A326,'Marketing Plan (extract summary'!A:G,6,false),"")</f>
        <v/>
      </c>
      <c r="W326" s="1" t="str">
        <f>iferror(vlookup(A326,'Marketing Plan (extract summary'!A:G,7,false),"")</f>
        <v/>
      </c>
      <c r="X326" s="17" t="str">
        <f t="shared" si="8"/>
        <v/>
      </c>
      <c r="Y326" s="1">
        <f>value(IFERROR(SUBSTITUTE(SUBSTITUTE(VLOOKUP(A326,'Quarterly Pipeline vs Target Pi'!A:G,6,false)," $","")," €",""), "")
)</f>
        <v>0</v>
      </c>
      <c r="Z326" s="1">
        <f>value(IFERROR(SUBSTITUTE(SUBSTITUTE(VLOOKUP(A326,'Quarterly Pipeline vs Target Pi'!A:G,7,false)," $","")," €",""), "")
)</f>
        <v>0</v>
      </c>
      <c r="AA326" s="17" t="str">
        <f t="shared" si="9"/>
        <v/>
      </c>
      <c r="AB326" s="1">
        <f>value(IFERROR(SUBSTITUTE(SUBSTITUTE(VLOOKUP($A326,'Quarterly Pipeline vs Target Pi'!$A:$V,11,false)," $","")," €",""), "")
)</f>
        <v>0</v>
      </c>
      <c r="AC326" s="1">
        <f>value(IFERROR(SUBSTITUTE(SUBSTITUTE(VLOOKUP($A326,'Quarterly Pipeline vs Target Pi'!$A:$V,12,false)," $","")," €",""), "")
)</f>
        <v>0</v>
      </c>
      <c r="AD326" s="17" t="str">
        <f t="shared" si="10"/>
        <v/>
      </c>
      <c r="AE326" s="1">
        <f>value(IFERROR(SUBSTITUTE(SUBSTITUTE(VLOOKUP($A326,'Quarterly Pipeline vs Target Pi'!$A:$V,16,false)," $","")," €",""), "")
)</f>
        <v>0</v>
      </c>
      <c r="AF326" s="1">
        <f>value(IFERROR(SUBSTITUTE(SUBSTITUTE(VLOOKUP($A326,'Quarterly Pipeline vs Target Pi'!$A:$V,17,false)," $","")," €",""), "")
)</f>
        <v>0</v>
      </c>
      <c r="AG326" s="17" t="str">
        <f t="shared" si="11"/>
        <v/>
      </c>
      <c r="AH326" s="1">
        <f>value(IFERROR(SUBSTITUTE(SUBSTITUTE(VLOOKUP($A326,'Quarterly Pipeline vs Target Pi'!$A:$V,21,false)," $","")," €",""), "")
)</f>
        <v>0</v>
      </c>
      <c r="AI326" s="1">
        <f>value(IFERROR(SUBSTITUTE(SUBSTITUTE(VLOOKUP($A326,'Quarterly Pipeline vs Target Pi'!$A:$V,22,false)," $","")," €",""), "")
)</f>
        <v>0</v>
      </c>
      <c r="AJ326" s="17" t="str">
        <f t="shared" si="12"/>
        <v/>
      </c>
      <c r="AK326" s="1">
        <f t="shared" ref="AK326:AL326" si="665">sum(Y326,AB326,AE326,AH326)</f>
        <v>0</v>
      </c>
      <c r="AL326" s="1">
        <f t="shared" si="665"/>
        <v>0</v>
      </c>
      <c r="AM326" s="17" t="str">
        <f t="shared" si="14"/>
        <v/>
      </c>
      <c r="AN326" s="1">
        <f>value(IFERROR(SUBSTITUTE(SUBSTITUTE(VLOOKUP($A326,'Quarterly Pipeline vs Target Pi'!$A:$AP,26,false)," $","")," €",""), "")
)</f>
        <v>0</v>
      </c>
      <c r="AO326" s="1">
        <f>value(IFERROR(SUBSTITUTE(SUBSTITUTE(VLOOKUP($A326,'Quarterly Pipeline vs Target Pi'!$A:$AP,27,false)," $","")," €",""), "")
)</f>
        <v>0</v>
      </c>
      <c r="AP326" s="17" t="str">
        <f t="shared" si="15"/>
        <v/>
      </c>
      <c r="AQ326" s="1">
        <f>value(IFERROR(SUBSTITUTE(SUBSTITUTE(VLOOKUP($A326,'Quarterly Pipeline vs Target Pi'!$A:$AP,31,false)," $","")," €",""), "")
)</f>
        <v>0</v>
      </c>
      <c r="AR326" s="1">
        <f>value(IFERROR(SUBSTITUTE(SUBSTITUTE(VLOOKUP($A326,'Quarterly Pipeline vs Target Pi'!$A:$AP,32,false)," $","")," €",""), "")
)</f>
        <v>0</v>
      </c>
      <c r="AS326" s="17" t="str">
        <f t="shared" si="16"/>
        <v/>
      </c>
      <c r="AT326" s="1">
        <f>value(IFERROR(SUBSTITUTE(SUBSTITUTE(VLOOKUP($A326,'Quarterly Pipeline vs Target Pi'!$A:$AP,36,false)," $","")," €",""), "")
)</f>
        <v>0</v>
      </c>
      <c r="AU326" s="1">
        <f>value(IFERROR(SUBSTITUTE(SUBSTITUTE(VLOOKUP($A326,'Quarterly Pipeline vs Target Pi'!$A:$AP,37,false)," $","")," €",""), "")
)</f>
        <v>0</v>
      </c>
      <c r="AV326" s="17" t="str">
        <f t="shared" si="17"/>
        <v/>
      </c>
      <c r="AW326" s="1">
        <f>value(IFERROR(SUBSTITUTE(SUBSTITUTE(VLOOKUP($A326,'Quarterly Pipeline vs Target Pi'!$A:$AP,41,false)," $","")," €",""), "")
)</f>
        <v>0</v>
      </c>
      <c r="AX326" s="1">
        <f>value(IFERROR(SUBSTITUTE(SUBSTITUTE(VLOOKUP($A326,'Quarterly Pipeline vs Target Pi'!$A:$AP,42,false)," $","")," €",""), "")
)</f>
        <v>0</v>
      </c>
      <c r="AY326" s="17" t="str">
        <f t="shared" si="18"/>
        <v/>
      </c>
      <c r="AZ326" s="1">
        <f t="shared" ref="AZ326:BA326" si="666">sum(AN326,AQ326,AT326,AW326)</f>
        <v>0</v>
      </c>
      <c r="BA326" s="1">
        <f t="shared" si="666"/>
        <v>0</v>
      </c>
      <c r="BB326" s="17" t="str">
        <f t="shared" si="20"/>
        <v/>
      </c>
    </row>
    <row r="327">
      <c r="A327" s="1" t="str">
        <f>IFERROR(__xludf.DUMMYFUNCTION("""COMPUTED_VALUE"""),"63ced843c5c820531c268195")</f>
        <v>63ced843c5c820531c268195</v>
      </c>
      <c r="B327" s="1" t="str">
        <f>IFERROR(__xludf.DUMMYFUNCTION("""COMPUTED_VALUE"""),"One Linea Telecom Ltda")</f>
        <v>One Linea Telecom Ltda</v>
      </c>
      <c r="C327" s="1" t="str">
        <f>IFERROR(__xludf.DUMMYFUNCTION("""COMPUTED_VALUE"""),"renato-takashi.yoshizako@al-enterprise.com")</f>
        <v>renato-takashi.yoshizako@al-enterprise.com</v>
      </c>
      <c r="D327" s="1" t="str">
        <f>IFERROR(__xludf.DUMMYFUNCTION("""COMPUTED_VALUE"""),"americas")</f>
        <v>americas</v>
      </c>
      <c r="E327" s="1" t="str">
        <f>IFERROR(__xludf.DUMMYFUNCTION("""COMPUTED_VALUE"""),"BR")</f>
        <v>BR</v>
      </c>
      <c r="F327" s="1"/>
      <c r="G327" s="1" t="str">
        <f>iferror(VLOOKUP(A327,'Business Plan Setup and Accepta'!A:G,6,false),"")</f>
        <v/>
      </c>
      <c r="H327" s="1" t="str">
        <f>iferror(VLOOKUP(A327,'Business Plan Setup and Accepta'!A:G,7,false),"")</f>
        <v/>
      </c>
      <c r="I327" s="17" t="str">
        <f t="shared" si="3"/>
        <v/>
      </c>
      <c r="J327" s="1" t="str">
        <f>IFERROR(VALUE(SUBSTITUTE(VLOOKUP(A327,'Sales IN Revenues vs Sales targ'!A:G,6,false)," $","")), "")
</f>
        <v/>
      </c>
      <c r="K327" s="1" t="str">
        <f>IFERROR(VALUE(SUBSTITUTE(VLOOKUP(A327,'Sales IN Revenues vs Sales targ'!A:G,7,false)," $","")), "")
</f>
        <v/>
      </c>
      <c r="L327" s="17" t="str">
        <f t="shared" si="4"/>
        <v/>
      </c>
      <c r="M327" s="1">
        <f>value(SUBSTITUTE(IFERROR(VLOOKUP(A327,'Certifications achievements vs '!A:G,6,false),""),"#","")
)</f>
        <v>0</v>
      </c>
      <c r="N327" s="1">
        <f>value(SUBSTITUTE(IFERROR(VLOOKUP(A327,'Certifications achievements vs '!A:G,7,false),""),"#","")
)</f>
        <v>0</v>
      </c>
      <c r="O327" s="17" t="str">
        <f t="shared" si="5"/>
        <v/>
      </c>
      <c r="P327" s="1">
        <f>value(SUBSTITUTE(IFERROR(VLOOKUP(A327,'Communications - Solution Speci'!A:G,6,false),""),"#","")
)</f>
        <v>0</v>
      </c>
      <c r="Q327" s="1">
        <f>value(SUBSTITUTE(IFERROR(VLOOKUP(A327,'Communications - Solution Speci'!A:G,7,false),""),"#","")
)</f>
        <v>0</v>
      </c>
      <c r="R327" s="17" t="str">
        <f t="shared" si="6"/>
        <v/>
      </c>
      <c r="S327" s="1">
        <f>value(SUBSTITUTE(IFERROR(VLOOKUP(A327,'Networking - Solution Specializ'!A:G,6,false),""),"#","")
)</f>
        <v>0</v>
      </c>
      <c r="T327" s="1">
        <f>value(SUBSTITUTE(IFERROR(VLOOKUP(A327,'Networking - Solution Specializ'!A:G,7,false),""),"#","")
)</f>
        <v>0</v>
      </c>
      <c r="U327" s="17" t="str">
        <f t="shared" si="7"/>
        <v/>
      </c>
      <c r="V327" s="1" t="str">
        <f>iferror(vlookup(A327,'Marketing Plan (extract summary'!A:G,6,false),"")</f>
        <v/>
      </c>
      <c r="W327" s="1" t="str">
        <f>iferror(vlookup(A327,'Marketing Plan (extract summary'!A:G,7,false),"")</f>
        <v/>
      </c>
      <c r="X327" s="17" t="str">
        <f t="shared" si="8"/>
        <v/>
      </c>
      <c r="Y327" s="1">
        <f>value(IFERROR(SUBSTITUTE(SUBSTITUTE(VLOOKUP(A327,'Quarterly Pipeline vs Target Pi'!A:G,6,false)," $","")," €",""), "")
)</f>
        <v>0</v>
      </c>
      <c r="Z327" s="1">
        <f>value(IFERROR(SUBSTITUTE(SUBSTITUTE(VLOOKUP(A327,'Quarterly Pipeline vs Target Pi'!A:G,7,false)," $","")," €",""), "")
)</f>
        <v>0</v>
      </c>
      <c r="AA327" s="17" t="str">
        <f t="shared" si="9"/>
        <v/>
      </c>
      <c r="AB327" s="1">
        <f>value(IFERROR(SUBSTITUTE(SUBSTITUTE(VLOOKUP($A327,'Quarterly Pipeline vs Target Pi'!$A:$V,11,false)," $","")," €",""), "")
)</f>
        <v>0</v>
      </c>
      <c r="AC327" s="1">
        <f>value(IFERROR(SUBSTITUTE(SUBSTITUTE(VLOOKUP($A327,'Quarterly Pipeline vs Target Pi'!$A:$V,12,false)," $","")," €",""), "")
)</f>
        <v>0</v>
      </c>
      <c r="AD327" s="17" t="str">
        <f t="shared" si="10"/>
        <v/>
      </c>
      <c r="AE327" s="1">
        <f>value(IFERROR(SUBSTITUTE(SUBSTITUTE(VLOOKUP($A327,'Quarterly Pipeline vs Target Pi'!$A:$V,16,false)," $","")," €",""), "")
)</f>
        <v>0</v>
      </c>
      <c r="AF327" s="1">
        <f>value(IFERROR(SUBSTITUTE(SUBSTITUTE(VLOOKUP($A327,'Quarterly Pipeline vs Target Pi'!$A:$V,17,false)," $","")," €",""), "")
)</f>
        <v>0</v>
      </c>
      <c r="AG327" s="17" t="str">
        <f t="shared" si="11"/>
        <v/>
      </c>
      <c r="AH327" s="1">
        <f>value(IFERROR(SUBSTITUTE(SUBSTITUTE(VLOOKUP($A327,'Quarterly Pipeline vs Target Pi'!$A:$V,21,false)," $","")," €",""), "")
)</f>
        <v>0</v>
      </c>
      <c r="AI327" s="1">
        <f>value(IFERROR(SUBSTITUTE(SUBSTITUTE(VLOOKUP($A327,'Quarterly Pipeline vs Target Pi'!$A:$V,22,false)," $","")," €",""), "")
)</f>
        <v>0</v>
      </c>
      <c r="AJ327" s="17" t="str">
        <f t="shared" si="12"/>
        <v/>
      </c>
      <c r="AK327" s="1">
        <f t="shared" ref="AK327:AL327" si="667">sum(Y327,AB327,AE327,AH327)</f>
        <v>0</v>
      </c>
      <c r="AL327" s="1">
        <f t="shared" si="667"/>
        <v>0</v>
      </c>
      <c r="AM327" s="17" t="str">
        <f t="shared" si="14"/>
        <v/>
      </c>
      <c r="AN327" s="1">
        <f>value(IFERROR(SUBSTITUTE(SUBSTITUTE(VLOOKUP($A327,'Quarterly Pipeline vs Target Pi'!$A:$AP,26,false)," $","")," €",""), "")
)</f>
        <v>0</v>
      </c>
      <c r="AO327" s="1">
        <f>value(IFERROR(SUBSTITUTE(SUBSTITUTE(VLOOKUP($A327,'Quarterly Pipeline vs Target Pi'!$A:$AP,27,false)," $","")," €",""), "")
)</f>
        <v>0</v>
      </c>
      <c r="AP327" s="17" t="str">
        <f t="shared" si="15"/>
        <v/>
      </c>
      <c r="AQ327" s="1">
        <f>value(IFERROR(SUBSTITUTE(SUBSTITUTE(VLOOKUP($A327,'Quarterly Pipeline vs Target Pi'!$A:$AP,31,false)," $","")," €",""), "")
)</f>
        <v>0</v>
      </c>
      <c r="AR327" s="1">
        <f>value(IFERROR(SUBSTITUTE(SUBSTITUTE(VLOOKUP($A327,'Quarterly Pipeline vs Target Pi'!$A:$AP,32,false)," $","")," €",""), "")
)</f>
        <v>0</v>
      </c>
      <c r="AS327" s="17" t="str">
        <f t="shared" si="16"/>
        <v/>
      </c>
      <c r="AT327" s="1">
        <f>value(IFERROR(SUBSTITUTE(SUBSTITUTE(VLOOKUP($A327,'Quarterly Pipeline vs Target Pi'!$A:$AP,36,false)," $","")," €",""), "")
)</f>
        <v>0</v>
      </c>
      <c r="AU327" s="1">
        <f>value(IFERROR(SUBSTITUTE(SUBSTITUTE(VLOOKUP($A327,'Quarterly Pipeline vs Target Pi'!$A:$AP,37,false)," $","")," €",""), "")
)</f>
        <v>0</v>
      </c>
      <c r="AV327" s="17" t="str">
        <f t="shared" si="17"/>
        <v/>
      </c>
      <c r="AW327" s="1">
        <f>value(IFERROR(SUBSTITUTE(SUBSTITUTE(VLOOKUP($A327,'Quarterly Pipeline vs Target Pi'!$A:$AP,41,false)," $","")," €",""), "")
)</f>
        <v>0</v>
      </c>
      <c r="AX327" s="1">
        <f>value(IFERROR(SUBSTITUTE(SUBSTITUTE(VLOOKUP($A327,'Quarterly Pipeline vs Target Pi'!$A:$AP,42,false)," $","")," €",""), "")
)</f>
        <v>0</v>
      </c>
      <c r="AY327" s="17" t="str">
        <f t="shared" si="18"/>
        <v/>
      </c>
      <c r="AZ327" s="1">
        <f t="shared" ref="AZ327:BA327" si="668">sum(AN327,AQ327,AT327,AW327)</f>
        <v>0</v>
      </c>
      <c r="BA327" s="1">
        <f t="shared" si="668"/>
        <v>0</v>
      </c>
      <c r="BB327" s="17" t="str">
        <f t="shared" si="20"/>
        <v/>
      </c>
    </row>
    <row r="328">
      <c r="A328" s="1" t="str">
        <f>IFERROR(__xludf.DUMMYFUNCTION("""COMPUTED_VALUE"""),"63fcbb84a107c871cf5652e7")</f>
        <v>63fcbb84a107c871cf5652e7</v>
      </c>
      <c r="B328" s="1" t="str">
        <f>IFERROR(__xludf.DUMMYFUNCTION("""COMPUTED_VALUE"""),"OpenEdge Communications, LLC")</f>
        <v>OpenEdge Communications, LLC</v>
      </c>
      <c r="C328" s="1" t="str">
        <f>IFERROR(__xludf.DUMMYFUNCTION("""COMPUTED_VALUE"""),"steve.mcglasson@al-enterprise.com")</f>
        <v>steve.mcglasson@al-enterprise.com</v>
      </c>
      <c r="D328" s="1" t="str">
        <f>IFERROR(__xludf.DUMMYFUNCTION("""COMPUTED_VALUE"""),"americas")</f>
        <v>americas</v>
      </c>
      <c r="E328" s="1" t="str">
        <f>IFERROR(__xludf.DUMMYFUNCTION("""COMPUTED_VALUE"""),"US")</f>
        <v>US</v>
      </c>
      <c r="F328" s="1"/>
      <c r="G328" s="1" t="str">
        <f>iferror(VLOOKUP(A328,'Business Plan Setup and Accepta'!A:G,6,false),"")</f>
        <v/>
      </c>
      <c r="H328" s="1" t="str">
        <f>iferror(VLOOKUP(A328,'Business Plan Setup and Accepta'!A:G,7,false),"")</f>
        <v/>
      </c>
      <c r="I328" s="17" t="str">
        <f t="shared" si="3"/>
        <v/>
      </c>
      <c r="J328" s="1" t="str">
        <f>IFERROR(VALUE(SUBSTITUTE(VLOOKUP(A328,'Sales IN Revenues vs Sales targ'!A:G,6,false)," $","")), "")
</f>
        <v/>
      </c>
      <c r="K328" s="1" t="str">
        <f>IFERROR(VALUE(SUBSTITUTE(VLOOKUP(A328,'Sales IN Revenues vs Sales targ'!A:G,7,false)," $","")), "")
</f>
        <v/>
      </c>
      <c r="L328" s="17" t="str">
        <f t="shared" si="4"/>
        <v/>
      </c>
      <c r="M328" s="1">
        <f>value(SUBSTITUTE(IFERROR(VLOOKUP(A328,'Certifications achievements vs '!A:G,6,false),""),"#","")
)</f>
        <v>0</v>
      </c>
      <c r="N328" s="1">
        <f>value(SUBSTITUTE(IFERROR(VLOOKUP(A328,'Certifications achievements vs '!A:G,7,false),""),"#","")
)</f>
        <v>0</v>
      </c>
      <c r="O328" s="17" t="str">
        <f t="shared" si="5"/>
        <v/>
      </c>
      <c r="P328" s="1">
        <f>value(SUBSTITUTE(IFERROR(VLOOKUP(A328,'Communications - Solution Speci'!A:G,6,false),""),"#","")
)</f>
        <v>0</v>
      </c>
      <c r="Q328" s="1">
        <f>value(SUBSTITUTE(IFERROR(VLOOKUP(A328,'Communications - Solution Speci'!A:G,7,false),""),"#","")
)</f>
        <v>0</v>
      </c>
      <c r="R328" s="17" t="str">
        <f t="shared" si="6"/>
        <v/>
      </c>
      <c r="S328" s="1">
        <f>value(SUBSTITUTE(IFERROR(VLOOKUP(A328,'Networking - Solution Specializ'!A:G,6,false),""),"#","")
)</f>
        <v>0</v>
      </c>
      <c r="T328" s="1">
        <f>value(SUBSTITUTE(IFERROR(VLOOKUP(A328,'Networking - Solution Specializ'!A:G,7,false),""),"#","")
)</f>
        <v>0</v>
      </c>
      <c r="U328" s="17" t="str">
        <f t="shared" si="7"/>
        <v/>
      </c>
      <c r="V328" s="1" t="str">
        <f>iferror(vlookup(A328,'Marketing Plan (extract summary'!A:G,6,false),"")</f>
        <v/>
      </c>
      <c r="W328" s="1" t="str">
        <f>iferror(vlookup(A328,'Marketing Plan (extract summary'!A:G,7,false),"")</f>
        <v/>
      </c>
      <c r="X328" s="17" t="str">
        <f t="shared" si="8"/>
        <v/>
      </c>
      <c r="Y328" s="1">
        <f>value(IFERROR(SUBSTITUTE(SUBSTITUTE(VLOOKUP(A328,'Quarterly Pipeline vs Target Pi'!A:G,6,false)," $","")," €",""), "")
)</f>
        <v>0</v>
      </c>
      <c r="Z328" s="1">
        <f>value(IFERROR(SUBSTITUTE(SUBSTITUTE(VLOOKUP(A328,'Quarterly Pipeline vs Target Pi'!A:G,7,false)," $","")," €",""), "")
)</f>
        <v>0</v>
      </c>
      <c r="AA328" s="17" t="str">
        <f t="shared" si="9"/>
        <v/>
      </c>
      <c r="AB328" s="1">
        <f>value(IFERROR(SUBSTITUTE(SUBSTITUTE(VLOOKUP($A328,'Quarterly Pipeline vs Target Pi'!$A:$V,11,false)," $","")," €",""), "")
)</f>
        <v>0</v>
      </c>
      <c r="AC328" s="1">
        <f>value(IFERROR(SUBSTITUTE(SUBSTITUTE(VLOOKUP($A328,'Quarterly Pipeline vs Target Pi'!$A:$V,12,false)," $","")," €",""), "")
)</f>
        <v>0</v>
      </c>
      <c r="AD328" s="17" t="str">
        <f t="shared" si="10"/>
        <v/>
      </c>
      <c r="AE328" s="1">
        <f>value(IFERROR(SUBSTITUTE(SUBSTITUTE(VLOOKUP($A328,'Quarterly Pipeline vs Target Pi'!$A:$V,16,false)," $","")," €",""), "")
)</f>
        <v>0</v>
      </c>
      <c r="AF328" s="1">
        <f>value(IFERROR(SUBSTITUTE(SUBSTITUTE(VLOOKUP($A328,'Quarterly Pipeline vs Target Pi'!$A:$V,17,false)," $","")," €",""), "")
)</f>
        <v>0</v>
      </c>
      <c r="AG328" s="17" t="str">
        <f t="shared" si="11"/>
        <v/>
      </c>
      <c r="AH328" s="1">
        <f>value(IFERROR(SUBSTITUTE(SUBSTITUTE(VLOOKUP($A328,'Quarterly Pipeline vs Target Pi'!$A:$V,21,false)," $","")," €",""), "")
)</f>
        <v>0</v>
      </c>
      <c r="AI328" s="1">
        <f>value(IFERROR(SUBSTITUTE(SUBSTITUTE(VLOOKUP($A328,'Quarterly Pipeline vs Target Pi'!$A:$V,22,false)," $","")," €",""), "")
)</f>
        <v>0</v>
      </c>
      <c r="AJ328" s="17" t="str">
        <f t="shared" si="12"/>
        <v/>
      </c>
      <c r="AK328" s="1">
        <f t="shared" ref="AK328:AL328" si="669">sum(Y328,AB328,AE328,AH328)</f>
        <v>0</v>
      </c>
      <c r="AL328" s="1">
        <f t="shared" si="669"/>
        <v>0</v>
      </c>
      <c r="AM328" s="17" t="str">
        <f t="shared" si="14"/>
        <v/>
      </c>
      <c r="AN328" s="1">
        <f>value(IFERROR(SUBSTITUTE(SUBSTITUTE(VLOOKUP($A328,'Quarterly Pipeline vs Target Pi'!$A:$AP,26,false)," $","")," €",""), "")
)</f>
        <v>0</v>
      </c>
      <c r="AO328" s="1">
        <f>value(IFERROR(SUBSTITUTE(SUBSTITUTE(VLOOKUP($A328,'Quarterly Pipeline vs Target Pi'!$A:$AP,27,false)," $","")," €",""), "")
)</f>
        <v>0</v>
      </c>
      <c r="AP328" s="17" t="str">
        <f t="shared" si="15"/>
        <v/>
      </c>
      <c r="AQ328" s="1">
        <f>value(IFERROR(SUBSTITUTE(SUBSTITUTE(VLOOKUP($A328,'Quarterly Pipeline vs Target Pi'!$A:$AP,31,false)," $","")," €",""), "")
)</f>
        <v>0</v>
      </c>
      <c r="AR328" s="1">
        <f>value(IFERROR(SUBSTITUTE(SUBSTITUTE(VLOOKUP($A328,'Quarterly Pipeline vs Target Pi'!$A:$AP,32,false)," $","")," €",""), "")
)</f>
        <v>0</v>
      </c>
      <c r="AS328" s="17" t="str">
        <f t="shared" si="16"/>
        <v/>
      </c>
      <c r="AT328" s="1">
        <f>value(IFERROR(SUBSTITUTE(SUBSTITUTE(VLOOKUP($A328,'Quarterly Pipeline vs Target Pi'!$A:$AP,36,false)," $","")," €",""), "")
)</f>
        <v>0</v>
      </c>
      <c r="AU328" s="1">
        <f>value(IFERROR(SUBSTITUTE(SUBSTITUTE(VLOOKUP($A328,'Quarterly Pipeline vs Target Pi'!$A:$AP,37,false)," $","")," €",""), "")
)</f>
        <v>0</v>
      </c>
      <c r="AV328" s="17" t="str">
        <f t="shared" si="17"/>
        <v/>
      </c>
      <c r="AW328" s="1">
        <f>value(IFERROR(SUBSTITUTE(SUBSTITUTE(VLOOKUP($A328,'Quarterly Pipeline vs Target Pi'!$A:$AP,41,false)," $","")," €",""), "")
)</f>
        <v>0</v>
      </c>
      <c r="AX328" s="1">
        <f>value(IFERROR(SUBSTITUTE(SUBSTITUTE(VLOOKUP($A328,'Quarterly Pipeline vs Target Pi'!$A:$AP,42,false)," $","")," €",""), "")
)</f>
        <v>0</v>
      </c>
      <c r="AY328" s="17" t="str">
        <f t="shared" si="18"/>
        <v/>
      </c>
      <c r="AZ328" s="1">
        <f t="shared" ref="AZ328:BA328" si="670">sum(AN328,AQ328,AT328,AW328)</f>
        <v>0</v>
      </c>
      <c r="BA328" s="1">
        <f t="shared" si="670"/>
        <v>0</v>
      </c>
      <c r="BB328" s="17" t="str">
        <f t="shared" si="20"/>
        <v/>
      </c>
    </row>
    <row r="329">
      <c r="A329" s="1" t="str">
        <f>IFERROR(__xludf.DUMMYFUNCTION("""COMPUTED_VALUE"""),"63ced84dc5c820531c269815")</f>
        <v>63ced84dc5c820531c269815</v>
      </c>
      <c r="B329" s="1" t="str">
        <f>IFERROR(__xludf.DUMMYFUNCTION("""COMPUTED_VALUE"""),"Optel BCS, Inc.")</f>
        <v>Optel BCS, Inc.</v>
      </c>
      <c r="C329" s="1" t="str">
        <f>IFERROR(__xludf.DUMMYFUNCTION("""COMPUTED_VALUE"""),"brendan.flaherty@al-enterprise.com, michael-j.francis@al-enterprise.com, Steve.roos@al-enterprise.com, jack.jachner@al-enterprise.com")</f>
        <v>brendan.flaherty@al-enterprise.com, michael-j.francis@al-enterprise.com, Steve.roos@al-enterprise.com, jack.jachner@al-enterprise.com</v>
      </c>
      <c r="D329" s="1" t="str">
        <f>IFERROR(__xludf.DUMMYFUNCTION("""COMPUTED_VALUE"""),"americas")</f>
        <v>americas</v>
      </c>
      <c r="E329" s="1" t="str">
        <f>IFERROR(__xludf.DUMMYFUNCTION("""COMPUTED_VALUE"""),"US")</f>
        <v>US</v>
      </c>
      <c r="F329" s="1" t="str">
        <f>IFERROR(__xludf.DUMMYFUNCTION("""COMPUTED_VALUE"""),"expert_1000")</f>
        <v>expert_1000</v>
      </c>
      <c r="G329" s="1">
        <f>iferror(VLOOKUP(A329,'Business Plan Setup and Accepta'!A:G,6,false),"")</f>
        <v>0</v>
      </c>
      <c r="H329" s="1">
        <f>iferror(VLOOKUP(A329,'Business Plan Setup and Accepta'!A:G,7,false),"")</f>
        <v>1</v>
      </c>
      <c r="I329" s="17">
        <f t="shared" si="3"/>
        <v>0</v>
      </c>
      <c r="J329" s="1">
        <f>IFERROR(VALUE(SUBSTITUTE(VLOOKUP(A329,'Sales IN Revenues vs Sales targ'!A:G,6,false)," $","")), "")
</f>
        <v>448.72</v>
      </c>
      <c r="K329" s="1">
        <f>IFERROR(VALUE(SUBSTITUTE(VLOOKUP(A329,'Sales IN Revenues vs Sales targ'!A:G,7,false)," $","")), "")
</f>
        <v>1268.59</v>
      </c>
      <c r="L329" s="17">
        <f t="shared" si="4"/>
        <v>0.3537155425</v>
      </c>
      <c r="M329" s="1">
        <f>value(SUBSTITUTE(IFERROR(VLOOKUP(A329,'Certifications achievements vs '!A:G,6,false),""),"#","")
)</f>
        <v>22</v>
      </c>
      <c r="N329" s="1">
        <f>value(SUBSTITUTE(IFERROR(VLOOKUP(A329,'Certifications achievements vs '!A:G,7,false),""),"#","")
)</f>
        <v>52</v>
      </c>
      <c r="O329" s="17">
        <f t="shared" si="5"/>
        <v>0.4230769231</v>
      </c>
      <c r="P329" s="1">
        <f>value(SUBSTITUTE(IFERROR(VLOOKUP(A329,'Communications - Solution Speci'!A:G,6,false),""),"#","")
)</f>
        <v>1</v>
      </c>
      <c r="Q329" s="1">
        <f>value(SUBSTITUTE(IFERROR(VLOOKUP(A329,'Communications - Solution Speci'!A:G,7,false),""),"#","")
)</f>
        <v>1</v>
      </c>
      <c r="R329" s="17">
        <f t="shared" si="6"/>
        <v>1</v>
      </c>
      <c r="S329" s="1">
        <f>value(SUBSTITUTE(IFERROR(VLOOKUP(A329,'Networking - Solution Specializ'!A:G,6,false),""),"#","")
)</f>
        <v>0</v>
      </c>
      <c r="T329" s="1">
        <f>value(SUBSTITUTE(IFERROR(VLOOKUP(A329,'Networking - Solution Specializ'!A:G,7,false),""),"#","")
)</f>
        <v>1</v>
      </c>
      <c r="U329" s="17">
        <f t="shared" si="7"/>
        <v>0</v>
      </c>
      <c r="V329" s="1">
        <f>iferror(vlookup(A329,'Marketing Plan (extract summary'!A:G,6,false),"")</f>
        <v>0</v>
      </c>
      <c r="W329" s="1">
        <f>iferror(vlookup(A329,'Marketing Plan (extract summary'!A:G,7,false),"")</f>
        <v>1</v>
      </c>
      <c r="X329" s="17">
        <f t="shared" si="8"/>
        <v>0</v>
      </c>
      <c r="Y329" s="1">
        <f>value(IFERROR(SUBSTITUTE(SUBSTITUTE(VLOOKUP(A329,'Quarterly Pipeline vs Target Pi'!A:G,6,false)," $","")," €",""), "")
)</f>
        <v>10.51</v>
      </c>
      <c r="Z329" s="1">
        <f>value(IFERROR(SUBSTITUTE(SUBSTITUTE(VLOOKUP(A329,'Quarterly Pipeline vs Target Pi'!A:G,7,false)," $","")," €",""), "")
)</f>
        <v>0</v>
      </c>
      <c r="AA329" s="17" t="str">
        <f t="shared" si="9"/>
        <v/>
      </c>
      <c r="AB329" s="1">
        <f>value(IFERROR(SUBSTITUTE(SUBSTITUTE(VLOOKUP($A329,'Quarterly Pipeline vs Target Pi'!$A:$V,11,false)," $","")," €",""), "")
)</f>
        <v>22.74</v>
      </c>
      <c r="AC329" s="1">
        <f>value(IFERROR(SUBSTITUTE(SUBSTITUTE(VLOOKUP($A329,'Quarterly Pipeline vs Target Pi'!$A:$V,12,false)," $","")," €",""), "")
)</f>
        <v>470</v>
      </c>
      <c r="AD329" s="17">
        <f t="shared" si="10"/>
        <v>0.04838297872</v>
      </c>
      <c r="AE329" s="1">
        <f>value(IFERROR(SUBSTITUTE(SUBSTITUTE(VLOOKUP($A329,'Quarterly Pipeline vs Target Pi'!$A:$V,16,false)," $","")," €",""), "")
)</f>
        <v>415.78</v>
      </c>
      <c r="AF329" s="1">
        <f>value(IFERROR(SUBSTITUTE(SUBSTITUTE(VLOOKUP($A329,'Quarterly Pipeline vs Target Pi'!$A:$V,17,false)," $","")," €",""), "")
)</f>
        <v>536.83</v>
      </c>
      <c r="AG329" s="17">
        <f t="shared" si="11"/>
        <v>0.7745096213</v>
      </c>
      <c r="AH329" s="1">
        <f>value(IFERROR(SUBSTITUTE(SUBSTITUTE(VLOOKUP($A329,'Quarterly Pipeline vs Target Pi'!$A:$V,21,false)," $","")," €",""), "")
)</f>
        <v>2636.97</v>
      </c>
      <c r="AI329" s="1">
        <f>value(IFERROR(SUBSTITUTE(SUBSTITUTE(VLOOKUP($A329,'Quarterly Pipeline vs Target Pi'!$A:$V,22,false)," $","")," €",""), "")
)</f>
        <v>536.83</v>
      </c>
      <c r="AJ329" s="17">
        <f t="shared" si="12"/>
        <v>4.912113705</v>
      </c>
      <c r="AK329" s="1">
        <f t="shared" ref="AK329:AL329" si="671">sum(Y329,AB329,AE329,AH329)</f>
        <v>3086</v>
      </c>
      <c r="AL329" s="1">
        <f t="shared" si="671"/>
        <v>1543.66</v>
      </c>
      <c r="AM329" s="17">
        <f t="shared" si="14"/>
        <v>1.999144889</v>
      </c>
      <c r="AN329" s="1">
        <f>value(IFERROR(SUBSTITUTE(SUBSTITUTE(VLOOKUP($A329,'Quarterly Pipeline vs Target Pi'!$A:$AP,26,false)," $","")," €",""), "")
)</f>
        <v>652.91</v>
      </c>
      <c r="AO329" s="1">
        <f>value(IFERROR(SUBSTITUTE(SUBSTITUTE(VLOOKUP($A329,'Quarterly Pipeline vs Target Pi'!$A:$AP,27,false)," $","")," €",""), "")
)</f>
        <v>0</v>
      </c>
      <c r="AP329" s="17" t="str">
        <f t="shared" si="15"/>
        <v/>
      </c>
      <c r="AQ329" s="1">
        <f>value(IFERROR(SUBSTITUTE(SUBSTITUTE(VLOOKUP($A329,'Quarterly Pipeline vs Target Pi'!$A:$AP,31,false)," $","")," €",""), "")
)</f>
        <v>0</v>
      </c>
      <c r="AR329" s="1">
        <f>value(IFERROR(SUBSTITUTE(SUBSTITUTE(VLOOKUP($A329,'Quarterly Pipeline vs Target Pi'!$A:$AP,32,false)," $","")," €",""), "")
)</f>
        <v>0</v>
      </c>
      <c r="AS329" s="17" t="str">
        <f t="shared" si="16"/>
        <v/>
      </c>
      <c r="AT329" s="1">
        <f>value(IFERROR(SUBSTITUTE(SUBSTITUTE(VLOOKUP($A329,'Quarterly Pipeline vs Target Pi'!$A:$AP,36,false)," $","")," €",""), "")
)</f>
        <v>12.22</v>
      </c>
      <c r="AU329" s="1">
        <f>value(IFERROR(SUBSTITUTE(SUBSTITUTE(VLOOKUP($A329,'Quarterly Pipeline vs Target Pi'!$A:$AP,37,false)," $","")," €",""), "")
)</f>
        <v>0</v>
      </c>
      <c r="AV329" s="17" t="str">
        <f t="shared" si="17"/>
        <v/>
      </c>
      <c r="AW329" s="1">
        <f>value(IFERROR(SUBSTITUTE(SUBSTITUTE(VLOOKUP($A329,'Quarterly Pipeline vs Target Pi'!$A:$AP,41,false)," $","")," €",""), "")
)</f>
        <v>0</v>
      </c>
      <c r="AX329" s="1">
        <f>value(IFERROR(SUBSTITUTE(SUBSTITUTE(VLOOKUP($A329,'Quarterly Pipeline vs Target Pi'!$A:$AP,42,false)," $","")," €",""), "")
)</f>
        <v>0</v>
      </c>
      <c r="AY329" s="17" t="str">
        <f t="shared" si="18"/>
        <v/>
      </c>
      <c r="AZ329" s="1">
        <f t="shared" ref="AZ329:BA329" si="672">sum(AN329,AQ329,AT329,AW329)</f>
        <v>665.13</v>
      </c>
      <c r="BA329" s="1">
        <f t="shared" si="672"/>
        <v>0</v>
      </c>
      <c r="BB329" s="17" t="str">
        <f t="shared" si="20"/>
        <v/>
      </c>
    </row>
    <row r="330">
      <c r="A330" s="1" t="str">
        <f>IFERROR(__xludf.DUMMYFUNCTION("""COMPUTED_VALUE"""),"63ea6e9752ad6968805cf18d")</f>
        <v>63ea6e9752ad6968805cf18d</v>
      </c>
      <c r="B330" s="1" t="str">
        <f>IFERROR(__xludf.DUMMYFUNCTION("""COMPUTED_VALUE"""),"p++ Datentechnik GmbH")</f>
        <v>p++ Datentechnik GmbH</v>
      </c>
      <c r="C330" s="1" t="str">
        <f>IFERROR(__xludf.DUMMYFUNCTION("""COMPUTED_VALUE"""),"andreas.grossheimann@al-enterprise.com, andre.ramm@al-enterprise.com")</f>
        <v>andreas.grossheimann@al-enterprise.com, andre.ramm@al-enterprise.com</v>
      </c>
      <c r="D330" s="1" t="str">
        <f>IFERROR(__xludf.DUMMYFUNCTION("""COMPUTED_VALUE"""),"germany")</f>
        <v>germany</v>
      </c>
      <c r="E330" s="1" t="str">
        <f>IFERROR(__xludf.DUMMYFUNCTION("""COMPUTED_VALUE"""),"DE")</f>
        <v>DE</v>
      </c>
      <c r="F330" s="1"/>
      <c r="G330" s="1" t="str">
        <f>iferror(VLOOKUP(A330,'Business Plan Setup and Accepta'!A:G,6,false),"")</f>
        <v/>
      </c>
      <c r="H330" s="1" t="str">
        <f>iferror(VLOOKUP(A330,'Business Plan Setup and Accepta'!A:G,7,false),"")</f>
        <v/>
      </c>
      <c r="I330" s="17" t="str">
        <f t="shared" si="3"/>
        <v/>
      </c>
      <c r="J330" s="1" t="str">
        <f>IFERROR(VALUE(SUBSTITUTE(VLOOKUP(A330,'Sales IN Revenues vs Sales targ'!A:G,6,false)," $","")), "")
</f>
        <v/>
      </c>
      <c r="K330" s="1" t="str">
        <f>IFERROR(VALUE(SUBSTITUTE(VLOOKUP(A330,'Sales IN Revenues vs Sales targ'!A:G,7,false)," $","")), "")
</f>
        <v/>
      </c>
      <c r="L330" s="17" t="str">
        <f t="shared" si="4"/>
        <v/>
      </c>
      <c r="M330" s="1">
        <f>value(SUBSTITUTE(IFERROR(VLOOKUP(A330,'Certifications achievements vs '!A:G,6,false),""),"#","")
)</f>
        <v>0</v>
      </c>
      <c r="N330" s="1">
        <f>value(SUBSTITUTE(IFERROR(VLOOKUP(A330,'Certifications achievements vs '!A:G,7,false),""),"#","")
)</f>
        <v>0</v>
      </c>
      <c r="O330" s="17" t="str">
        <f t="shared" si="5"/>
        <v/>
      </c>
      <c r="P330" s="1">
        <f>value(SUBSTITUTE(IFERROR(VLOOKUP(A330,'Communications - Solution Speci'!A:G,6,false),""),"#","")
)</f>
        <v>0</v>
      </c>
      <c r="Q330" s="1">
        <f>value(SUBSTITUTE(IFERROR(VLOOKUP(A330,'Communications - Solution Speci'!A:G,7,false),""),"#","")
)</f>
        <v>0</v>
      </c>
      <c r="R330" s="17" t="str">
        <f t="shared" si="6"/>
        <v/>
      </c>
      <c r="S330" s="1">
        <f>value(SUBSTITUTE(IFERROR(VLOOKUP(A330,'Networking - Solution Specializ'!A:G,6,false),""),"#","")
)</f>
        <v>0</v>
      </c>
      <c r="T330" s="1">
        <f>value(SUBSTITUTE(IFERROR(VLOOKUP(A330,'Networking - Solution Specializ'!A:G,7,false),""),"#","")
)</f>
        <v>0</v>
      </c>
      <c r="U330" s="17" t="str">
        <f t="shared" si="7"/>
        <v/>
      </c>
      <c r="V330" s="1" t="str">
        <f>iferror(vlookup(A330,'Marketing Plan (extract summary'!A:G,6,false),"")</f>
        <v/>
      </c>
      <c r="W330" s="1" t="str">
        <f>iferror(vlookup(A330,'Marketing Plan (extract summary'!A:G,7,false),"")</f>
        <v/>
      </c>
      <c r="X330" s="17" t="str">
        <f t="shared" si="8"/>
        <v/>
      </c>
      <c r="Y330" s="1">
        <f>value(IFERROR(SUBSTITUTE(SUBSTITUTE(VLOOKUP(A330,'Quarterly Pipeline vs Target Pi'!A:G,6,false)," $","")," €",""), "")
)</f>
        <v>0</v>
      </c>
      <c r="Z330" s="1">
        <f>value(IFERROR(SUBSTITUTE(SUBSTITUTE(VLOOKUP(A330,'Quarterly Pipeline vs Target Pi'!A:G,7,false)," $","")," €",""), "")
)</f>
        <v>0</v>
      </c>
      <c r="AA330" s="17" t="str">
        <f t="shared" si="9"/>
        <v/>
      </c>
      <c r="AB330" s="1">
        <f>value(IFERROR(SUBSTITUTE(SUBSTITUTE(VLOOKUP($A330,'Quarterly Pipeline vs Target Pi'!$A:$V,11,false)," $","")," €",""), "")
)</f>
        <v>0</v>
      </c>
      <c r="AC330" s="1">
        <f>value(IFERROR(SUBSTITUTE(SUBSTITUTE(VLOOKUP($A330,'Quarterly Pipeline vs Target Pi'!$A:$V,12,false)," $","")," €",""), "")
)</f>
        <v>0</v>
      </c>
      <c r="AD330" s="17" t="str">
        <f t="shared" si="10"/>
        <v/>
      </c>
      <c r="AE330" s="1">
        <f>value(IFERROR(SUBSTITUTE(SUBSTITUTE(VLOOKUP($A330,'Quarterly Pipeline vs Target Pi'!$A:$V,16,false)," $","")," €",""), "")
)</f>
        <v>0</v>
      </c>
      <c r="AF330" s="1">
        <f>value(IFERROR(SUBSTITUTE(SUBSTITUTE(VLOOKUP($A330,'Quarterly Pipeline vs Target Pi'!$A:$V,17,false)," $","")," €",""), "")
)</f>
        <v>0</v>
      </c>
      <c r="AG330" s="17" t="str">
        <f t="shared" si="11"/>
        <v/>
      </c>
      <c r="AH330" s="1">
        <f>value(IFERROR(SUBSTITUTE(SUBSTITUTE(VLOOKUP($A330,'Quarterly Pipeline vs Target Pi'!$A:$V,21,false)," $","")," €",""), "")
)</f>
        <v>0</v>
      </c>
      <c r="AI330" s="1">
        <f>value(IFERROR(SUBSTITUTE(SUBSTITUTE(VLOOKUP($A330,'Quarterly Pipeline vs Target Pi'!$A:$V,22,false)," $","")," €",""), "")
)</f>
        <v>0</v>
      </c>
      <c r="AJ330" s="17" t="str">
        <f t="shared" si="12"/>
        <v/>
      </c>
      <c r="AK330" s="1">
        <f t="shared" ref="AK330:AL330" si="673">sum(Y330,AB330,AE330,AH330)</f>
        <v>0</v>
      </c>
      <c r="AL330" s="1">
        <f t="shared" si="673"/>
        <v>0</v>
      </c>
      <c r="AM330" s="17" t="str">
        <f t="shared" si="14"/>
        <v/>
      </c>
      <c r="AN330" s="1">
        <f>value(IFERROR(SUBSTITUTE(SUBSTITUTE(VLOOKUP($A330,'Quarterly Pipeline vs Target Pi'!$A:$AP,26,false)," $","")," €",""), "")
)</f>
        <v>0</v>
      </c>
      <c r="AO330" s="1">
        <f>value(IFERROR(SUBSTITUTE(SUBSTITUTE(VLOOKUP($A330,'Quarterly Pipeline vs Target Pi'!$A:$AP,27,false)," $","")," €",""), "")
)</f>
        <v>0</v>
      </c>
      <c r="AP330" s="17" t="str">
        <f t="shared" si="15"/>
        <v/>
      </c>
      <c r="AQ330" s="1">
        <f>value(IFERROR(SUBSTITUTE(SUBSTITUTE(VLOOKUP($A330,'Quarterly Pipeline vs Target Pi'!$A:$AP,31,false)," $","")," €",""), "")
)</f>
        <v>0</v>
      </c>
      <c r="AR330" s="1">
        <f>value(IFERROR(SUBSTITUTE(SUBSTITUTE(VLOOKUP($A330,'Quarterly Pipeline vs Target Pi'!$A:$AP,32,false)," $","")," €",""), "")
)</f>
        <v>0</v>
      </c>
      <c r="AS330" s="17" t="str">
        <f t="shared" si="16"/>
        <v/>
      </c>
      <c r="AT330" s="1">
        <f>value(IFERROR(SUBSTITUTE(SUBSTITUTE(VLOOKUP($A330,'Quarterly Pipeline vs Target Pi'!$A:$AP,36,false)," $","")," €",""), "")
)</f>
        <v>0</v>
      </c>
      <c r="AU330" s="1">
        <f>value(IFERROR(SUBSTITUTE(SUBSTITUTE(VLOOKUP($A330,'Quarterly Pipeline vs Target Pi'!$A:$AP,37,false)," $","")," €",""), "")
)</f>
        <v>0</v>
      </c>
      <c r="AV330" s="17" t="str">
        <f t="shared" si="17"/>
        <v/>
      </c>
      <c r="AW330" s="1">
        <f>value(IFERROR(SUBSTITUTE(SUBSTITUTE(VLOOKUP($A330,'Quarterly Pipeline vs Target Pi'!$A:$AP,41,false)," $","")," €",""), "")
)</f>
        <v>0</v>
      </c>
      <c r="AX330" s="1">
        <f>value(IFERROR(SUBSTITUTE(SUBSTITUTE(VLOOKUP($A330,'Quarterly Pipeline vs Target Pi'!$A:$AP,42,false)," $","")," €",""), "")
)</f>
        <v>0</v>
      </c>
      <c r="AY330" s="17" t="str">
        <f t="shared" si="18"/>
        <v/>
      </c>
      <c r="AZ330" s="1">
        <f t="shared" ref="AZ330:BA330" si="674">sum(AN330,AQ330,AT330,AW330)</f>
        <v>0</v>
      </c>
      <c r="BA330" s="1">
        <f t="shared" si="674"/>
        <v>0</v>
      </c>
      <c r="BB330" s="17" t="str">
        <f t="shared" si="20"/>
        <v/>
      </c>
    </row>
    <row r="331">
      <c r="A331" s="1" t="str">
        <f>IFERROR(__xludf.DUMMYFUNCTION("""COMPUTED_VALUE"""),"63ced846c5c820531c26898d")</f>
        <v>63ced846c5c820531c26898d</v>
      </c>
      <c r="B331" s="1" t="str">
        <f>IFERROR(__xludf.DUMMYFUNCTION("""COMPUTED_VALUE"""),"Pace Electronics, Inc.")</f>
        <v>Pace Electronics, Inc.</v>
      </c>
      <c r="C331" s="1" t="str">
        <f>IFERROR(__xludf.DUMMYFUNCTION("""COMPUTED_VALUE"""),"bill.cusack@al-enterprise.com")</f>
        <v>bill.cusack@al-enterprise.com</v>
      </c>
      <c r="D331" s="1" t="str">
        <f>IFERROR(__xludf.DUMMYFUNCTION("""COMPUTED_VALUE"""),"americas")</f>
        <v>americas</v>
      </c>
      <c r="E331" s="1" t="str">
        <f>IFERROR(__xludf.DUMMYFUNCTION("""COMPUTED_VALUE"""),"US")</f>
        <v>US</v>
      </c>
      <c r="F331" s="1"/>
      <c r="G331" s="1" t="str">
        <f>iferror(VLOOKUP(A331,'Business Plan Setup and Accepta'!A:G,6,false),"")</f>
        <v/>
      </c>
      <c r="H331" s="1" t="str">
        <f>iferror(VLOOKUP(A331,'Business Plan Setup and Accepta'!A:G,7,false),"")</f>
        <v/>
      </c>
      <c r="I331" s="17" t="str">
        <f t="shared" si="3"/>
        <v/>
      </c>
      <c r="J331" s="1" t="str">
        <f>IFERROR(VALUE(SUBSTITUTE(VLOOKUP(A331,'Sales IN Revenues vs Sales targ'!A:G,6,false)," $","")), "")
</f>
        <v/>
      </c>
      <c r="K331" s="1" t="str">
        <f>IFERROR(VALUE(SUBSTITUTE(VLOOKUP(A331,'Sales IN Revenues vs Sales targ'!A:G,7,false)," $","")), "")
</f>
        <v/>
      </c>
      <c r="L331" s="17" t="str">
        <f t="shared" si="4"/>
        <v/>
      </c>
      <c r="M331" s="1">
        <f>value(SUBSTITUTE(IFERROR(VLOOKUP(A331,'Certifications achievements vs '!A:G,6,false),""),"#","")
)</f>
        <v>0</v>
      </c>
      <c r="N331" s="1">
        <f>value(SUBSTITUTE(IFERROR(VLOOKUP(A331,'Certifications achievements vs '!A:G,7,false),""),"#","")
)</f>
        <v>0</v>
      </c>
      <c r="O331" s="17" t="str">
        <f t="shared" si="5"/>
        <v/>
      </c>
      <c r="P331" s="1">
        <f>value(SUBSTITUTE(IFERROR(VLOOKUP(A331,'Communications - Solution Speci'!A:G,6,false),""),"#","")
)</f>
        <v>0</v>
      </c>
      <c r="Q331" s="1">
        <f>value(SUBSTITUTE(IFERROR(VLOOKUP(A331,'Communications - Solution Speci'!A:G,7,false),""),"#","")
)</f>
        <v>0</v>
      </c>
      <c r="R331" s="17" t="str">
        <f t="shared" si="6"/>
        <v/>
      </c>
      <c r="S331" s="1">
        <f>value(SUBSTITUTE(IFERROR(VLOOKUP(A331,'Networking - Solution Specializ'!A:G,6,false),""),"#","")
)</f>
        <v>0</v>
      </c>
      <c r="T331" s="1">
        <f>value(SUBSTITUTE(IFERROR(VLOOKUP(A331,'Networking - Solution Specializ'!A:G,7,false),""),"#","")
)</f>
        <v>0</v>
      </c>
      <c r="U331" s="17" t="str">
        <f t="shared" si="7"/>
        <v/>
      </c>
      <c r="V331" s="1" t="str">
        <f>iferror(vlookup(A331,'Marketing Plan (extract summary'!A:G,6,false),"")</f>
        <v/>
      </c>
      <c r="W331" s="1" t="str">
        <f>iferror(vlookup(A331,'Marketing Plan (extract summary'!A:G,7,false),"")</f>
        <v/>
      </c>
      <c r="X331" s="17" t="str">
        <f t="shared" si="8"/>
        <v/>
      </c>
      <c r="Y331" s="1">
        <f>value(IFERROR(SUBSTITUTE(SUBSTITUTE(VLOOKUP(A331,'Quarterly Pipeline vs Target Pi'!A:G,6,false)," $","")," €",""), "")
)</f>
        <v>0</v>
      </c>
      <c r="Z331" s="1">
        <f>value(IFERROR(SUBSTITUTE(SUBSTITUTE(VLOOKUP(A331,'Quarterly Pipeline vs Target Pi'!A:G,7,false)," $","")," €",""), "")
)</f>
        <v>0</v>
      </c>
      <c r="AA331" s="17" t="str">
        <f t="shared" si="9"/>
        <v/>
      </c>
      <c r="AB331" s="1">
        <f>value(IFERROR(SUBSTITUTE(SUBSTITUTE(VLOOKUP($A331,'Quarterly Pipeline vs Target Pi'!$A:$V,11,false)," $","")," €",""), "")
)</f>
        <v>0</v>
      </c>
      <c r="AC331" s="1">
        <f>value(IFERROR(SUBSTITUTE(SUBSTITUTE(VLOOKUP($A331,'Quarterly Pipeline vs Target Pi'!$A:$V,12,false)," $","")," €",""), "")
)</f>
        <v>0</v>
      </c>
      <c r="AD331" s="17" t="str">
        <f t="shared" si="10"/>
        <v/>
      </c>
      <c r="AE331" s="1">
        <f>value(IFERROR(SUBSTITUTE(SUBSTITUTE(VLOOKUP($A331,'Quarterly Pipeline vs Target Pi'!$A:$V,16,false)," $","")," €",""), "")
)</f>
        <v>0</v>
      </c>
      <c r="AF331" s="1">
        <f>value(IFERROR(SUBSTITUTE(SUBSTITUTE(VLOOKUP($A331,'Quarterly Pipeline vs Target Pi'!$A:$V,17,false)," $","")," €",""), "")
)</f>
        <v>0</v>
      </c>
      <c r="AG331" s="17" t="str">
        <f t="shared" si="11"/>
        <v/>
      </c>
      <c r="AH331" s="1">
        <f>value(IFERROR(SUBSTITUTE(SUBSTITUTE(VLOOKUP($A331,'Quarterly Pipeline vs Target Pi'!$A:$V,21,false)," $","")," €",""), "")
)</f>
        <v>0</v>
      </c>
      <c r="AI331" s="1">
        <f>value(IFERROR(SUBSTITUTE(SUBSTITUTE(VLOOKUP($A331,'Quarterly Pipeline vs Target Pi'!$A:$V,22,false)," $","")," €",""), "")
)</f>
        <v>0</v>
      </c>
      <c r="AJ331" s="17" t="str">
        <f t="shared" si="12"/>
        <v/>
      </c>
      <c r="AK331" s="1">
        <f t="shared" ref="AK331:AL331" si="675">sum(Y331,AB331,AE331,AH331)</f>
        <v>0</v>
      </c>
      <c r="AL331" s="1">
        <f t="shared" si="675"/>
        <v>0</v>
      </c>
      <c r="AM331" s="17" t="str">
        <f t="shared" si="14"/>
        <v/>
      </c>
      <c r="AN331" s="1">
        <f>value(IFERROR(SUBSTITUTE(SUBSTITUTE(VLOOKUP($A331,'Quarterly Pipeline vs Target Pi'!$A:$AP,26,false)," $","")," €",""), "")
)</f>
        <v>0</v>
      </c>
      <c r="AO331" s="1">
        <f>value(IFERROR(SUBSTITUTE(SUBSTITUTE(VLOOKUP($A331,'Quarterly Pipeline vs Target Pi'!$A:$AP,27,false)," $","")," €",""), "")
)</f>
        <v>0</v>
      </c>
      <c r="AP331" s="17" t="str">
        <f t="shared" si="15"/>
        <v/>
      </c>
      <c r="AQ331" s="1">
        <f>value(IFERROR(SUBSTITUTE(SUBSTITUTE(VLOOKUP($A331,'Quarterly Pipeline vs Target Pi'!$A:$AP,31,false)," $","")," €",""), "")
)</f>
        <v>0</v>
      </c>
      <c r="AR331" s="1">
        <f>value(IFERROR(SUBSTITUTE(SUBSTITUTE(VLOOKUP($A331,'Quarterly Pipeline vs Target Pi'!$A:$AP,32,false)," $","")," €",""), "")
)</f>
        <v>0</v>
      </c>
      <c r="AS331" s="17" t="str">
        <f t="shared" si="16"/>
        <v/>
      </c>
      <c r="AT331" s="1">
        <f>value(IFERROR(SUBSTITUTE(SUBSTITUTE(VLOOKUP($A331,'Quarterly Pipeline vs Target Pi'!$A:$AP,36,false)," $","")," €",""), "")
)</f>
        <v>0</v>
      </c>
      <c r="AU331" s="1">
        <f>value(IFERROR(SUBSTITUTE(SUBSTITUTE(VLOOKUP($A331,'Quarterly Pipeline vs Target Pi'!$A:$AP,37,false)," $","")," €",""), "")
)</f>
        <v>0</v>
      </c>
      <c r="AV331" s="17" t="str">
        <f t="shared" si="17"/>
        <v/>
      </c>
      <c r="AW331" s="1">
        <f>value(IFERROR(SUBSTITUTE(SUBSTITUTE(VLOOKUP($A331,'Quarterly Pipeline vs Target Pi'!$A:$AP,41,false)," $","")," €",""), "")
)</f>
        <v>0</v>
      </c>
      <c r="AX331" s="1">
        <f>value(IFERROR(SUBSTITUTE(SUBSTITUTE(VLOOKUP($A331,'Quarterly Pipeline vs Target Pi'!$A:$AP,42,false)," $","")," €",""), "")
)</f>
        <v>0</v>
      </c>
      <c r="AY331" s="17" t="str">
        <f t="shared" si="18"/>
        <v/>
      </c>
      <c r="AZ331" s="1">
        <f t="shared" ref="AZ331:BA331" si="676">sum(AN331,AQ331,AT331,AW331)</f>
        <v>0</v>
      </c>
      <c r="BA331" s="1">
        <f t="shared" si="676"/>
        <v>0</v>
      </c>
      <c r="BB331" s="17" t="str">
        <f t="shared" si="20"/>
        <v/>
      </c>
    </row>
    <row r="332">
      <c r="A332" s="1" t="str">
        <f>IFERROR(__xludf.DUMMYFUNCTION("""COMPUTED_VALUE"""),"6685524c088b99bc360c3032")</f>
        <v>6685524c088b99bc360c3032</v>
      </c>
      <c r="B332" s="1" t="str">
        <f>IFERROR(__xludf.DUMMYFUNCTION("""COMPUTED_VALUE"""),"Paladin Technologies Canada")</f>
        <v>Paladin Technologies Canada</v>
      </c>
      <c r="C332" s="1" t="str">
        <f>IFERROR(__xludf.DUMMYFUNCTION("""COMPUTED_VALUE"""),"rui.silva@al-enterprise.com, nuno.ribas@al-enterprise.com, tracy.dupree@al-enterprise.com")</f>
        <v>rui.silva@al-enterprise.com, nuno.ribas@al-enterprise.com, tracy.dupree@al-enterprise.com</v>
      </c>
      <c r="D332" s="1" t="str">
        <f>IFERROR(__xludf.DUMMYFUNCTION("""COMPUTED_VALUE"""),"americas")</f>
        <v>americas</v>
      </c>
      <c r="E332" s="1" t="str">
        <f>IFERROR(__xludf.DUMMYFUNCTION("""COMPUTED_VALUE"""),"CA")</f>
        <v>CA</v>
      </c>
      <c r="F332" s="1" t="str">
        <f>IFERROR(__xludf.DUMMYFUNCTION("""COMPUTED_VALUE"""),"expert_200")</f>
        <v>expert_200</v>
      </c>
      <c r="G332" s="1">
        <f>iferror(VLOOKUP(A332,'Business Plan Setup and Accepta'!A:G,6,false),"")</f>
        <v>1</v>
      </c>
      <c r="H332" s="1">
        <f>iferror(VLOOKUP(A332,'Business Plan Setup and Accepta'!A:G,7,false),"")</f>
        <v>1</v>
      </c>
      <c r="I332" s="17">
        <f t="shared" si="3"/>
        <v>1</v>
      </c>
      <c r="J332" s="1">
        <f>IFERROR(VALUE(SUBSTITUTE(VLOOKUP(A332,'Sales IN Revenues vs Sales targ'!A:G,6,false)," $","")), "")
</f>
        <v>7.83</v>
      </c>
      <c r="K332" s="1">
        <f>IFERROR(VALUE(SUBSTITUTE(VLOOKUP(A332,'Sales IN Revenues vs Sales targ'!A:G,7,false)," $","")), "")
</f>
        <v>400</v>
      </c>
      <c r="L332" s="17">
        <f t="shared" si="4"/>
        <v>0.019575</v>
      </c>
      <c r="M332" s="1">
        <f>value(SUBSTITUTE(IFERROR(VLOOKUP(A332,'Certifications achievements vs '!A:G,6,false),""),"#","")
)</f>
        <v>0</v>
      </c>
      <c r="N332" s="1">
        <f>value(SUBSTITUTE(IFERROR(VLOOKUP(A332,'Certifications achievements vs '!A:G,7,false),""),"#","")
)</f>
        <v>0</v>
      </c>
      <c r="O332" s="17" t="str">
        <f t="shared" si="5"/>
        <v/>
      </c>
      <c r="P332" s="1">
        <f>value(SUBSTITUTE(IFERROR(VLOOKUP(A332,'Communications - Solution Speci'!A:G,6,false),""),"#","")
)</f>
        <v>0</v>
      </c>
      <c r="Q332" s="1">
        <f>value(SUBSTITUTE(IFERROR(VLOOKUP(A332,'Communications - Solution Speci'!A:G,7,false),""),"#","")
)</f>
        <v>1</v>
      </c>
      <c r="R332" s="17">
        <f t="shared" si="6"/>
        <v>0</v>
      </c>
      <c r="S332" s="1">
        <f>value(SUBSTITUTE(IFERROR(VLOOKUP(A332,'Networking - Solution Specializ'!A:G,6,false),""),"#","")
)</f>
        <v>0</v>
      </c>
      <c r="T332" s="1">
        <f>value(SUBSTITUTE(IFERROR(VLOOKUP(A332,'Networking - Solution Specializ'!A:G,7,false),""),"#","")
)</f>
        <v>1</v>
      </c>
      <c r="U332" s="17">
        <f t="shared" si="7"/>
        <v>0</v>
      </c>
      <c r="V332" s="1">
        <f>iferror(vlookup(A332,'Marketing Plan (extract summary'!A:G,6,false),"")</f>
        <v>1</v>
      </c>
      <c r="W332" s="1">
        <f>iferror(vlookup(A332,'Marketing Plan (extract summary'!A:G,7,false),"")</f>
        <v>1</v>
      </c>
      <c r="X332" s="17">
        <f t="shared" si="8"/>
        <v>1</v>
      </c>
      <c r="Y332" s="1">
        <f>value(IFERROR(SUBSTITUTE(SUBSTITUTE(VLOOKUP(A332,'Quarterly Pipeline vs Target Pi'!A:G,6,false)," $","")," €",""), "")
)</f>
        <v>110.66</v>
      </c>
      <c r="Z332" s="1">
        <f>value(IFERROR(SUBSTITUTE(SUBSTITUTE(VLOOKUP(A332,'Quarterly Pipeline vs Target Pi'!A:G,7,false)," $","")," €",""), "")
)</f>
        <v>0</v>
      </c>
      <c r="AA332" s="17" t="str">
        <f t="shared" si="9"/>
        <v/>
      </c>
      <c r="AB332" s="1">
        <f>value(IFERROR(SUBSTITUTE(SUBSTITUTE(VLOOKUP($A332,'Quarterly Pipeline vs Target Pi'!$A:$V,11,false)," $","")," €",""), "")
)</f>
        <v>0</v>
      </c>
      <c r="AC332" s="1">
        <f>value(IFERROR(SUBSTITUTE(SUBSTITUTE(VLOOKUP($A332,'Quarterly Pipeline vs Target Pi'!$A:$V,12,false)," $","")," €",""), "")
)</f>
        <v>116.64</v>
      </c>
      <c r="AD332" s="17">
        <f t="shared" si="10"/>
        <v>0</v>
      </c>
      <c r="AE332" s="1">
        <f>value(IFERROR(SUBSTITUTE(SUBSTITUTE(VLOOKUP($A332,'Quarterly Pipeline vs Target Pi'!$A:$V,16,false)," $","")," €",""), "")
)</f>
        <v>0</v>
      </c>
      <c r="AF332" s="1">
        <f>value(IFERROR(SUBSTITUTE(SUBSTITUTE(VLOOKUP($A332,'Quarterly Pipeline vs Target Pi'!$A:$V,17,false)," $","")," €",""), "")
)</f>
        <v>300</v>
      </c>
      <c r="AG332" s="17">
        <f t="shared" si="11"/>
        <v>0</v>
      </c>
      <c r="AH332" s="1">
        <f>value(IFERROR(SUBSTITUTE(SUBSTITUTE(VLOOKUP($A332,'Quarterly Pipeline vs Target Pi'!$A:$V,21,false)," $","")," €",""), "")
)</f>
        <v>0</v>
      </c>
      <c r="AI332" s="1">
        <f>value(IFERROR(SUBSTITUTE(SUBSTITUTE(VLOOKUP($A332,'Quarterly Pipeline vs Target Pi'!$A:$V,22,false)," $","")," €",""), "")
)</f>
        <v>550.01</v>
      </c>
      <c r="AJ332" s="17">
        <f t="shared" si="12"/>
        <v>0</v>
      </c>
      <c r="AK332" s="1">
        <f t="shared" ref="AK332:AL332" si="677">sum(Y332,AB332,AE332,AH332)</f>
        <v>110.66</v>
      </c>
      <c r="AL332" s="1">
        <f t="shared" si="677"/>
        <v>966.65</v>
      </c>
      <c r="AM332" s="17">
        <f t="shared" si="14"/>
        <v>0.1144778358</v>
      </c>
      <c r="AN332" s="1">
        <f>value(IFERROR(SUBSTITUTE(SUBSTITUTE(VLOOKUP($A332,'Quarterly Pipeline vs Target Pi'!$A:$AP,26,false)," $","")," €",""), "")
)</f>
        <v>0</v>
      </c>
      <c r="AO332" s="1">
        <f>value(IFERROR(SUBSTITUTE(SUBSTITUTE(VLOOKUP($A332,'Quarterly Pipeline vs Target Pi'!$A:$AP,27,false)," $","")," €",""), "")
)</f>
        <v>0</v>
      </c>
      <c r="AP332" s="17" t="str">
        <f t="shared" si="15"/>
        <v/>
      </c>
      <c r="AQ332" s="1">
        <f>value(IFERROR(SUBSTITUTE(SUBSTITUTE(VLOOKUP($A332,'Quarterly Pipeline vs Target Pi'!$A:$AP,31,false)," $","")," €",""), "")
)</f>
        <v>0</v>
      </c>
      <c r="AR332" s="1">
        <f>value(IFERROR(SUBSTITUTE(SUBSTITUTE(VLOOKUP($A332,'Quarterly Pipeline vs Target Pi'!$A:$AP,32,false)," $","")," €",""), "")
)</f>
        <v>0</v>
      </c>
      <c r="AS332" s="17" t="str">
        <f t="shared" si="16"/>
        <v/>
      </c>
      <c r="AT332" s="1">
        <f>value(IFERROR(SUBSTITUTE(SUBSTITUTE(VLOOKUP($A332,'Quarterly Pipeline vs Target Pi'!$A:$AP,36,false)," $","")," €",""), "")
)</f>
        <v>0</v>
      </c>
      <c r="AU332" s="1">
        <f>value(IFERROR(SUBSTITUTE(SUBSTITUTE(VLOOKUP($A332,'Quarterly Pipeline vs Target Pi'!$A:$AP,37,false)," $","")," €",""), "")
)</f>
        <v>0</v>
      </c>
      <c r="AV332" s="17" t="str">
        <f t="shared" si="17"/>
        <v/>
      </c>
      <c r="AW332" s="1">
        <f>value(IFERROR(SUBSTITUTE(SUBSTITUTE(VLOOKUP($A332,'Quarterly Pipeline vs Target Pi'!$A:$AP,41,false)," $","")," €",""), "")
)</f>
        <v>0</v>
      </c>
      <c r="AX332" s="1">
        <f>value(IFERROR(SUBSTITUTE(SUBSTITUTE(VLOOKUP($A332,'Quarterly Pipeline vs Target Pi'!$A:$AP,42,false)," $","")," €",""), "")
)</f>
        <v>0</v>
      </c>
      <c r="AY332" s="17" t="str">
        <f t="shared" si="18"/>
        <v/>
      </c>
      <c r="AZ332" s="1">
        <f t="shared" ref="AZ332:BA332" si="678">sum(AN332,AQ332,AT332,AW332)</f>
        <v>0</v>
      </c>
      <c r="BA332" s="1">
        <f t="shared" si="678"/>
        <v>0</v>
      </c>
      <c r="BB332" s="17" t="str">
        <f t="shared" si="20"/>
        <v/>
      </c>
    </row>
    <row r="333">
      <c r="A333" s="1" t="str">
        <f>IFERROR(__xludf.DUMMYFUNCTION("""COMPUTED_VALUE"""),"63ea6e9352ad6968805cea71")</f>
        <v>63ea6e9352ad6968805cea71</v>
      </c>
      <c r="B333" s="1" t="str">
        <f>IFERROR(__xludf.DUMMYFUNCTION("""COMPUTED_VALUE"""),"Pan Dacom Networking AG")</f>
        <v>Pan Dacom Networking AG</v>
      </c>
      <c r="C333" s="1" t="str">
        <f>IFERROR(__xludf.DUMMYFUNCTION("""COMPUTED_VALUE"""),"holger.buettner@al-enterprise.com, katrin.pfeiffer@al-enterprise.com, sibylle.klopfer@al-enterprise.com, igor.leko@al-enterprise.com, philipp.bode@al-enterprise.com")</f>
        <v>holger.buettner@al-enterprise.com, katrin.pfeiffer@al-enterprise.com, sibylle.klopfer@al-enterprise.com, igor.leko@al-enterprise.com, philipp.bode@al-enterprise.com</v>
      </c>
      <c r="D333" s="1" t="str">
        <f>IFERROR(__xludf.DUMMYFUNCTION("""COMPUTED_VALUE"""),"germany")</f>
        <v>germany</v>
      </c>
      <c r="E333" s="1" t="str">
        <f>IFERROR(__xludf.DUMMYFUNCTION("""COMPUTED_VALUE"""),"DE")</f>
        <v>DE</v>
      </c>
      <c r="F333" s="1" t="str">
        <f>IFERROR(__xludf.DUMMYFUNCTION("""COMPUTED_VALUE"""),"expert_1000")</f>
        <v>expert_1000</v>
      </c>
      <c r="G333" s="1">
        <f>iferror(VLOOKUP(A333,'Business Plan Setup and Accepta'!A:G,6,false),"")</f>
        <v>1</v>
      </c>
      <c r="H333" s="1">
        <f>iferror(VLOOKUP(A333,'Business Plan Setup and Accepta'!A:G,7,false),"")</f>
        <v>1</v>
      </c>
      <c r="I333" s="17">
        <f t="shared" si="3"/>
        <v>1</v>
      </c>
      <c r="J333" s="1">
        <f>IFERROR(VALUE(SUBSTITUTE(VLOOKUP(A333,'Sales IN Revenues vs Sales targ'!A:G,6,false)," $","")), "")
</f>
        <v>367.87</v>
      </c>
      <c r="K333" s="1">
        <f>IFERROR(VALUE(SUBSTITUTE(VLOOKUP(A333,'Sales IN Revenues vs Sales targ'!A:G,7,false)," $","")), "")
</f>
        <v>1700</v>
      </c>
      <c r="L333" s="17">
        <f t="shared" si="4"/>
        <v>0.2163941176</v>
      </c>
      <c r="M333" s="1">
        <f>value(SUBSTITUTE(IFERROR(VLOOKUP(A333,'Certifications achievements vs '!A:G,6,false),""),"#","")
)</f>
        <v>16</v>
      </c>
      <c r="N333" s="1">
        <f>value(SUBSTITUTE(IFERROR(VLOOKUP(A333,'Certifications achievements vs '!A:G,7,false),""),"#","")
)</f>
        <v>52</v>
      </c>
      <c r="O333" s="17">
        <f t="shared" si="5"/>
        <v>0.3076923077</v>
      </c>
      <c r="P333" s="1">
        <f>value(SUBSTITUTE(IFERROR(VLOOKUP(A333,'Communications - Solution Speci'!A:G,6,false),""),"#","")
)</f>
        <v>0</v>
      </c>
      <c r="Q333" s="1">
        <f>value(SUBSTITUTE(IFERROR(VLOOKUP(A333,'Communications - Solution Speci'!A:G,7,false),""),"#","")
)</f>
        <v>1</v>
      </c>
      <c r="R333" s="17">
        <f t="shared" si="6"/>
        <v>0</v>
      </c>
      <c r="S333" s="1">
        <f>value(SUBSTITUTE(IFERROR(VLOOKUP(A333,'Networking - Solution Specializ'!A:G,6,false),""),"#","")
)</f>
        <v>1</v>
      </c>
      <c r="T333" s="1">
        <f>value(SUBSTITUTE(IFERROR(VLOOKUP(A333,'Networking - Solution Specializ'!A:G,7,false),""),"#","")
)</f>
        <v>1</v>
      </c>
      <c r="U333" s="17">
        <f t="shared" si="7"/>
        <v>1</v>
      </c>
      <c r="V333" s="1">
        <f>iferror(vlookup(A333,'Marketing Plan (extract summary'!A:G,6,false),"")</f>
        <v>0</v>
      </c>
      <c r="W333" s="1">
        <f>iferror(vlookup(A333,'Marketing Plan (extract summary'!A:G,7,false),"")</f>
        <v>1</v>
      </c>
      <c r="X333" s="17">
        <f t="shared" si="8"/>
        <v>0</v>
      </c>
      <c r="Y333" s="1">
        <f>value(IFERROR(SUBSTITUTE(SUBSTITUTE(VLOOKUP(A333,'Quarterly Pipeline vs Target Pi'!A:G,6,false)," $","")," €",""), "")
)</f>
        <v>195</v>
      </c>
      <c r="Z333" s="1">
        <f>value(IFERROR(SUBSTITUTE(SUBSTITUTE(VLOOKUP(A333,'Quarterly Pipeline vs Target Pi'!A:G,7,false)," $","")," €",""), "")
)</f>
        <v>0</v>
      </c>
      <c r="AA333" s="17" t="str">
        <f t="shared" si="9"/>
        <v/>
      </c>
      <c r="AB333" s="1">
        <f>value(IFERROR(SUBSTITUTE(SUBSTITUTE(VLOOKUP($A333,'Quarterly Pipeline vs Target Pi'!$A:$V,11,false)," $","")," €",""), "")
)</f>
        <v>125</v>
      </c>
      <c r="AC333" s="1">
        <f>value(IFERROR(SUBSTITUTE(SUBSTITUTE(VLOOKUP($A333,'Quarterly Pipeline vs Target Pi'!$A:$V,12,false)," $","")," €",""), "")
)</f>
        <v>1133.33</v>
      </c>
      <c r="AD333" s="17">
        <f t="shared" si="10"/>
        <v>0.110294442</v>
      </c>
      <c r="AE333" s="1">
        <f>value(IFERROR(SUBSTITUTE(SUBSTITUTE(VLOOKUP($A333,'Quarterly Pipeline vs Target Pi'!$A:$V,16,false)," $","")," €",""), "")
)</f>
        <v>250</v>
      </c>
      <c r="AF333" s="1">
        <f>value(IFERROR(SUBSTITUTE(SUBSTITUTE(VLOOKUP($A333,'Quarterly Pipeline vs Target Pi'!$A:$V,17,false)," $","")," €",""), "")
)</f>
        <v>1700</v>
      </c>
      <c r="AG333" s="17">
        <f t="shared" si="11"/>
        <v>0.1470588235</v>
      </c>
      <c r="AH333" s="1">
        <f>value(IFERROR(SUBSTITUTE(SUBSTITUTE(VLOOKUP($A333,'Quarterly Pipeline vs Target Pi'!$A:$V,21,false)," $","")," €",""), "")
)</f>
        <v>509</v>
      </c>
      <c r="AI333" s="1">
        <f>value(IFERROR(SUBSTITUTE(SUBSTITUTE(VLOOKUP($A333,'Quarterly Pipeline vs Target Pi'!$A:$V,22,false)," $","")," €",""), "")
)</f>
        <v>1700</v>
      </c>
      <c r="AJ333" s="17">
        <f t="shared" si="12"/>
        <v>0.2994117647</v>
      </c>
      <c r="AK333" s="1">
        <f t="shared" ref="AK333:AL333" si="679">sum(Y333,AB333,AE333,AH333)</f>
        <v>1079</v>
      </c>
      <c r="AL333" s="1">
        <f t="shared" si="679"/>
        <v>4533.33</v>
      </c>
      <c r="AM333" s="17">
        <f t="shared" si="14"/>
        <v>0.2380148809</v>
      </c>
      <c r="AN333" s="1">
        <f>value(IFERROR(SUBSTITUTE(SUBSTITUTE(VLOOKUP($A333,'Quarterly Pipeline vs Target Pi'!$A:$AP,26,false)," $","")," €",""), "")
)</f>
        <v>469.7</v>
      </c>
      <c r="AO333" s="1">
        <f>value(IFERROR(SUBSTITUTE(SUBSTITUTE(VLOOKUP($A333,'Quarterly Pipeline vs Target Pi'!$A:$AP,27,false)," $","")," €",""), "")
)</f>
        <v>0</v>
      </c>
      <c r="AP333" s="17" t="str">
        <f t="shared" si="15"/>
        <v/>
      </c>
      <c r="AQ333" s="1">
        <f>value(IFERROR(SUBSTITUTE(SUBSTITUTE(VLOOKUP($A333,'Quarterly Pipeline vs Target Pi'!$A:$AP,31,false)," $","")," €",""), "")
)</f>
        <v>0</v>
      </c>
      <c r="AR333" s="1">
        <f>value(IFERROR(SUBSTITUTE(SUBSTITUTE(VLOOKUP($A333,'Quarterly Pipeline vs Target Pi'!$A:$AP,32,false)," $","")," €",""), "")
)</f>
        <v>0</v>
      </c>
      <c r="AS333" s="17" t="str">
        <f t="shared" si="16"/>
        <v/>
      </c>
      <c r="AT333" s="1">
        <f>value(IFERROR(SUBSTITUTE(SUBSTITUTE(VLOOKUP($A333,'Quarterly Pipeline vs Target Pi'!$A:$AP,36,false)," $","")," €",""), "")
)</f>
        <v>0</v>
      </c>
      <c r="AU333" s="1">
        <f>value(IFERROR(SUBSTITUTE(SUBSTITUTE(VLOOKUP($A333,'Quarterly Pipeline vs Target Pi'!$A:$AP,37,false)," $","")," €",""), "")
)</f>
        <v>0</v>
      </c>
      <c r="AV333" s="17" t="str">
        <f t="shared" si="17"/>
        <v/>
      </c>
      <c r="AW333" s="1">
        <f>value(IFERROR(SUBSTITUTE(SUBSTITUTE(VLOOKUP($A333,'Quarterly Pipeline vs Target Pi'!$A:$AP,41,false)," $","")," €",""), "")
)</f>
        <v>0</v>
      </c>
      <c r="AX333" s="1">
        <f>value(IFERROR(SUBSTITUTE(SUBSTITUTE(VLOOKUP($A333,'Quarterly Pipeline vs Target Pi'!$A:$AP,42,false)," $","")," €",""), "")
)</f>
        <v>0</v>
      </c>
      <c r="AY333" s="17" t="str">
        <f t="shared" si="18"/>
        <v/>
      </c>
      <c r="AZ333" s="1">
        <f t="shared" ref="AZ333:BA333" si="680">sum(AN333,AQ333,AT333,AW333)</f>
        <v>469.7</v>
      </c>
      <c r="BA333" s="1">
        <f t="shared" si="680"/>
        <v>0</v>
      </c>
      <c r="BB333" s="17" t="str">
        <f t="shared" si="20"/>
        <v/>
      </c>
    </row>
    <row r="334">
      <c r="A334" s="1" t="str">
        <f>IFERROR(__xludf.DUMMYFUNCTION("""COMPUTED_VALUE"""),"63ced84dc5c820531c269860")</f>
        <v>63ced84dc5c820531c269860</v>
      </c>
      <c r="B334" s="1" t="str">
        <f>IFERROR(__xludf.DUMMYFUNCTION("""COMPUTED_VALUE"""),"Parkway Electric &amp; Comm dba ASCOM")</f>
        <v>Parkway Electric &amp; Comm dba ASCOM</v>
      </c>
      <c r="C334" s="1" t="str">
        <f>IFERROR(__xludf.DUMMYFUNCTION("""COMPUTED_VALUE"""),"brendan.flaherty@al-enterprise.com")</f>
        <v>brendan.flaherty@al-enterprise.com</v>
      </c>
      <c r="D334" s="1" t="str">
        <f>IFERROR(__xludf.DUMMYFUNCTION("""COMPUTED_VALUE"""),"americas")</f>
        <v>americas</v>
      </c>
      <c r="E334" s="1" t="str">
        <f>IFERROR(__xludf.DUMMYFUNCTION("""COMPUTED_VALUE"""),"US")</f>
        <v>US</v>
      </c>
      <c r="F334" s="1"/>
      <c r="G334" s="1" t="str">
        <f>iferror(VLOOKUP(A334,'Business Plan Setup and Accepta'!A:G,6,false),"")</f>
        <v/>
      </c>
      <c r="H334" s="1" t="str">
        <f>iferror(VLOOKUP(A334,'Business Plan Setup and Accepta'!A:G,7,false),"")</f>
        <v/>
      </c>
      <c r="I334" s="17" t="str">
        <f t="shared" si="3"/>
        <v/>
      </c>
      <c r="J334" s="1" t="str">
        <f>IFERROR(VALUE(SUBSTITUTE(VLOOKUP(A334,'Sales IN Revenues vs Sales targ'!A:G,6,false)," $","")), "")
</f>
        <v/>
      </c>
      <c r="K334" s="1" t="str">
        <f>IFERROR(VALUE(SUBSTITUTE(VLOOKUP(A334,'Sales IN Revenues vs Sales targ'!A:G,7,false)," $","")), "")
</f>
        <v/>
      </c>
      <c r="L334" s="17" t="str">
        <f t="shared" si="4"/>
        <v/>
      </c>
      <c r="M334" s="1">
        <f>value(SUBSTITUTE(IFERROR(VLOOKUP(A334,'Certifications achievements vs '!A:G,6,false),""),"#","")
)</f>
        <v>0</v>
      </c>
      <c r="N334" s="1">
        <f>value(SUBSTITUTE(IFERROR(VLOOKUP(A334,'Certifications achievements vs '!A:G,7,false),""),"#","")
)</f>
        <v>0</v>
      </c>
      <c r="O334" s="17" t="str">
        <f t="shared" si="5"/>
        <v/>
      </c>
      <c r="P334" s="1">
        <f>value(SUBSTITUTE(IFERROR(VLOOKUP(A334,'Communications - Solution Speci'!A:G,6,false),""),"#","")
)</f>
        <v>0</v>
      </c>
      <c r="Q334" s="1">
        <f>value(SUBSTITUTE(IFERROR(VLOOKUP(A334,'Communications - Solution Speci'!A:G,7,false),""),"#","")
)</f>
        <v>0</v>
      </c>
      <c r="R334" s="17" t="str">
        <f t="shared" si="6"/>
        <v/>
      </c>
      <c r="S334" s="1">
        <f>value(SUBSTITUTE(IFERROR(VLOOKUP(A334,'Networking - Solution Specializ'!A:G,6,false),""),"#","")
)</f>
        <v>0</v>
      </c>
      <c r="T334" s="1">
        <f>value(SUBSTITUTE(IFERROR(VLOOKUP(A334,'Networking - Solution Specializ'!A:G,7,false),""),"#","")
)</f>
        <v>0</v>
      </c>
      <c r="U334" s="17" t="str">
        <f t="shared" si="7"/>
        <v/>
      </c>
      <c r="V334" s="1" t="str">
        <f>iferror(vlookup(A334,'Marketing Plan (extract summary'!A:G,6,false),"")</f>
        <v/>
      </c>
      <c r="W334" s="1" t="str">
        <f>iferror(vlookup(A334,'Marketing Plan (extract summary'!A:G,7,false),"")</f>
        <v/>
      </c>
      <c r="X334" s="17" t="str">
        <f t="shared" si="8"/>
        <v/>
      </c>
      <c r="Y334" s="1">
        <f>value(IFERROR(SUBSTITUTE(SUBSTITUTE(VLOOKUP(A334,'Quarterly Pipeline vs Target Pi'!A:G,6,false)," $","")," €",""), "")
)</f>
        <v>0</v>
      </c>
      <c r="Z334" s="1">
        <f>value(IFERROR(SUBSTITUTE(SUBSTITUTE(VLOOKUP(A334,'Quarterly Pipeline vs Target Pi'!A:G,7,false)," $","")," €",""), "")
)</f>
        <v>0</v>
      </c>
      <c r="AA334" s="17" t="str">
        <f t="shared" si="9"/>
        <v/>
      </c>
      <c r="AB334" s="1">
        <f>value(IFERROR(SUBSTITUTE(SUBSTITUTE(VLOOKUP($A334,'Quarterly Pipeline vs Target Pi'!$A:$V,11,false)," $","")," €",""), "")
)</f>
        <v>0</v>
      </c>
      <c r="AC334" s="1">
        <f>value(IFERROR(SUBSTITUTE(SUBSTITUTE(VLOOKUP($A334,'Quarterly Pipeline vs Target Pi'!$A:$V,12,false)," $","")," €",""), "")
)</f>
        <v>0</v>
      </c>
      <c r="AD334" s="17" t="str">
        <f t="shared" si="10"/>
        <v/>
      </c>
      <c r="AE334" s="1">
        <f>value(IFERROR(SUBSTITUTE(SUBSTITUTE(VLOOKUP($A334,'Quarterly Pipeline vs Target Pi'!$A:$V,16,false)," $","")," €",""), "")
)</f>
        <v>0</v>
      </c>
      <c r="AF334" s="1">
        <f>value(IFERROR(SUBSTITUTE(SUBSTITUTE(VLOOKUP($A334,'Quarterly Pipeline vs Target Pi'!$A:$V,17,false)," $","")," €",""), "")
)</f>
        <v>0</v>
      </c>
      <c r="AG334" s="17" t="str">
        <f t="shared" si="11"/>
        <v/>
      </c>
      <c r="AH334" s="1">
        <f>value(IFERROR(SUBSTITUTE(SUBSTITUTE(VLOOKUP($A334,'Quarterly Pipeline vs Target Pi'!$A:$V,21,false)," $","")," €",""), "")
)</f>
        <v>0</v>
      </c>
      <c r="AI334" s="1">
        <f>value(IFERROR(SUBSTITUTE(SUBSTITUTE(VLOOKUP($A334,'Quarterly Pipeline vs Target Pi'!$A:$V,22,false)," $","")," €",""), "")
)</f>
        <v>0</v>
      </c>
      <c r="AJ334" s="17" t="str">
        <f t="shared" si="12"/>
        <v/>
      </c>
      <c r="AK334" s="1">
        <f t="shared" ref="AK334:AL334" si="681">sum(Y334,AB334,AE334,AH334)</f>
        <v>0</v>
      </c>
      <c r="AL334" s="1">
        <f t="shared" si="681"/>
        <v>0</v>
      </c>
      <c r="AM334" s="17" t="str">
        <f t="shared" si="14"/>
        <v/>
      </c>
      <c r="AN334" s="1">
        <f>value(IFERROR(SUBSTITUTE(SUBSTITUTE(VLOOKUP($A334,'Quarterly Pipeline vs Target Pi'!$A:$AP,26,false)," $","")," €",""), "")
)</f>
        <v>0</v>
      </c>
      <c r="AO334" s="1">
        <f>value(IFERROR(SUBSTITUTE(SUBSTITUTE(VLOOKUP($A334,'Quarterly Pipeline vs Target Pi'!$A:$AP,27,false)," $","")," €",""), "")
)</f>
        <v>0</v>
      </c>
      <c r="AP334" s="17" t="str">
        <f t="shared" si="15"/>
        <v/>
      </c>
      <c r="AQ334" s="1">
        <f>value(IFERROR(SUBSTITUTE(SUBSTITUTE(VLOOKUP($A334,'Quarterly Pipeline vs Target Pi'!$A:$AP,31,false)," $","")," €",""), "")
)</f>
        <v>0</v>
      </c>
      <c r="AR334" s="1">
        <f>value(IFERROR(SUBSTITUTE(SUBSTITUTE(VLOOKUP($A334,'Quarterly Pipeline vs Target Pi'!$A:$AP,32,false)," $","")," €",""), "")
)</f>
        <v>0</v>
      </c>
      <c r="AS334" s="17" t="str">
        <f t="shared" si="16"/>
        <v/>
      </c>
      <c r="AT334" s="1">
        <f>value(IFERROR(SUBSTITUTE(SUBSTITUTE(VLOOKUP($A334,'Quarterly Pipeline vs Target Pi'!$A:$AP,36,false)," $","")," €",""), "")
)</f>
        <v>0</v>
      </c>
      <c r="AU334" s="1">
        <f>value(IFERROR(SUBSTITUTE(SUBSTITUTE(VLOOKUP($A334,'Quarterly Pipeline vs Target Pi'!$A:$AP,37,false)," $","")," €",""), "")
)</f>
        <v>0</v>
      </c>
      <c r="AV334" s="17" t="str">
        <f t="shared" si="17"/>
        <v/>
      </c>
      <c r="AW334" s="1">
        <f>value(IFERROR(SUBSTITUTE(SUBSTITUTE(VLOOKUP($A334,'Quarterly Pipeline vs Target Pi'!$A:$AP,41,false)," $","")," €",""), "")
)</f>
        <v>0</v>
      </c>
      <c r="AX334" s="1">
        <f>value(IFERROR(SUBSTITUTE(SUBSTITUTE(VLOOKUP($A334,'Quarterly Pipeline vs Target Pi'!$A:$AP,42,false)," $","")," €",""), "")
)</f>
        <v>0</v>
      </c>
      <c r="AY334" s="17" t="str">
        <f t="shared" si="18"/>
        <v/>
      </c>
      <c r="AZ334" s="1">
        <f t="shared" ref="AZ334:BA334" si="682">sum(AN334,AQ334,AT334,AW334)</f>
        <v>0</v>
      </c>
      <c r="BA334" s="1">
        <f t="shared" si="682"/>
        <v>0</v>
      </c>
      <c r="BB334" s="17" t="str">
        <f t="shared" si="20"/>
        <v/>
      </c>
    </row>
    <row r="335">
      <c r="A335" s="1" t="str">
        <f>IFERROR(__xludf.DUMMYFUNCTION("""COMPUTED_VALUE"""),"63fcbb84a107c871cf5652d9")</f>
        <v>63fcbb84a107c871cf5652d9</v>
      </c>
      <c r="B335" s="1" t="str">
        <f>IFERROR(__xludf.DUMMYFUNCTION("""COMPUTED_VALUE"""),"PASARELA COMUNICACIONES, S.L.")</f>
        <v>PASARELA COMUNICACIONES, S.L.</v>
      </c>
      <c r="C335" s="1" t="str">
        <f>IFERROR(__xludf.DUMMYFUNCTION("""COMPUTED_VALUE"""),"astrid.savorani@al-enterprise.com, rafael.andreo@al-enterprise.com, esther.alonso@al-enterprise.com, hubert.chapelle@al-enterprise.com, marcos.rodriguez@al-enterprise.com")</f>
        <v>astrid.savorani@al-enterprise.com, rafael.andreo@al-enterprise.com, esther.alonso@al-enterprise.com, hubert.chapelle@al-enterprise.com, marcos.rodriguez@al-enterprise.com</v>
      </c>
      <c r="D335" s="1" t="str">
        <f>IFERROR(__xludf.DUMMYFUNCTION("""COMPUTED_VALUE"""),"emea")</f>
        <v>emea</v>
      </c>
      <c r="E335" s="1" t="str">
        <f>IFERROR(__xludf.DUMMYFUNCTION("""COMPUTED_VALUE"""),"ES")</f>
        <v>ES</v>
      </c>
      <c r="F335" s="1"/>
      <c r="G335" s="1" t="str">
        <f>iferror(VLOOKUP(A335,'Business Plan Setup and Accepta'!A:G,6,false),"")</f>
        <v/>
      </c>
      <c r="H335" s="1" t="str">
        <f>iferror(VLOOKUP(A335,'Business Plan Setup and Accepta'!A:G,7,false),"")</f>
        <v/>
      </c>
      <c r="I335" s="17" t="str">
        <f t="shared" si="3"/>
        <v/>
      </c>
      <c r="J335" s="1" t="str">
        <f>IFERROR(VALUE(SUBSTITUTE(VLOOKUP(A335,'Sales IN Revenues vs Sales targ'!A:G,6,false)," $","")), "")
</f>
        <v/>
      </c>
      <c r="K335" s="1" t="str">
        <f>IFERROR(VALUE(SUBSTITUTE(VLOOKUP(A335,'Sales IN Revenues vs Sales targ'!A:G,7,false)," $","")), "")
</f>
        <v/>
      </c>
      <c r="L335" s="17" t="str">
        <f t="shared" si="4"/>
        <v/>
      </c>
      <c r="M335" s="1">
        <f>value(SUBSTITUTE(IFERROR(VLOOKUP(A335,'Certifications achievements vs '!A:G,6,false),""),"#","")
)</f>
        <v>0</v>
      </c>
      <c r="N335" s="1">
        <f>value(SUBSTITUTE(IFERROR(VLOOKUP(A335,'Certifications achievements vs '!A:G,7,false),""),"#","")
)</f>
        <v>0</v>
      </c>
      <c r="O335" s="17" t="str">
        <f t="shared" si="5"/>
        <v/>
      </c>
      <c r="P335" s="1">
        <f>value(SUBSTITUTE(IFERROR(VLOOKUP(A335,'Communications - Solution Speci'!A:G,6,false),""),"#","")
)</f>
        <v>0</v>
      </c>
      <c r="Q335" s="1">
        <f>value(SUBSTITUTE(IFERROR(VLOOKUP(A335,'Communications - Solution Speci'!A:G,7,false),""),"#","")
)</f>
        <v>0</v>
      </c>
      <c r="R335" s="17" t="str">
        <f t="shared" si="6"/>
        <v/>
      </c>
      <c r="S335" s="1">
        <f>value(SUBSTITUTE(IFERROR(VLOOKUP(A335,'Networking - Solution Specializ'!A:G,6,false),""),"#","")
)</f>
        <v>0</v>
      </c>
      <c r="T335" s="1">
        <f>value(SUBSTITUTE(IFERROR(VLOOKUP(A335,'Networking - Solution Specializ'!A:G,7,false),""),"#","")
)</f>
        <v>0</v>
      </c>
      <c r="U335" s="17" t="str">
        <f t="shared" si="7"/>
        <v/>
      </c>
      <c r="V335" s="1" t="str">
        <f>iferror(vlookup(A335,'Marketing Plan (extract summary'!A:G,6,false),"")</f>
        <v/>
      </c>
      <c r="W335" s="1" t="str">
        <f>iferror(vlookup(A335,'Marketing Plan (extract summary'!A:G,7,false),"")</f>
        <v/>
      </c>
      <c r="X335" s="17" t="str">
        <f t="shared" si="8"/>
        <v/>
      </c>
      <c r="Y335" s="1">
        <f>value(IFERROR(SUBSTITUTE(SUBSTITUTE(VLOOKUP(A335,'Quarterly Pipeline vs Target Pi'!A:G,6,false)," $","")," €",""), "")
)</f>
        <v>0</v>
      </c>
      <c r="Z335" s="1">
        <f>value(IFERROR(SUBSTITUTE(SUBSTITUTE(VLOOKUP(A335,'Quarterly Pipeline vs Target Pi'!A:G,7,false)," $","")," €",""), "")
)</f>
        <v>0</v>
      </c>
      <c r="AA335" s="17" t="str">
        <f t="shared" si="9"/>
        <v/>
      </c>
      <c r="AB335" s="1">
        <f>value(IFERROR(SUBSTITUTE(SUBSTITUTE(VLOOKUP($A335,'Quarterly Pipeline vs Target Pi'!$A:$V,11,false)," $","")," €",""), "")
)</f>
        <v>0</v>
      </c>
      <c r="AC335" s="1">
        <f>value(IFERROR(SUBSTITUTE(SUBSTITUTE(VLOOKUP($A335,'Quarterly Pipeline vs Target Pi'!$A:$V,12,false)," $","")," €",""), "")
)</f>
        <v>0</v>
      </c>
      <c r="AD335" s="17" t="str">
        <f t="shared" si="10"/>
        <v/>
      </c>
      <c r="AE335" s="1">
        <f>value(IFERROR(SUBSTITUTE(SUBSTITUTE(VLOOKUP($A335,'Quarterly Pipeline vs Target Pi'!$A:$V,16,false)," $","")," €",""), "")
)</f>
        <v>0</v>
      </c>
      <c r="AF335" s="1">
        <f>value(IFERROR(SUBSTITUTE(SUBSTITUTE(VLOOKUP($A335,'Quarterly Pipeline vs Target Pi'!$A:$V,17,false)," $","")," €",""), "")
)</f>
        <v>0</v>
      </c>
      <c r="AG335" s="17" t="str">
        <f t="shared" si="11"/>
        <v/>
      </c>
      <c r="AH335" s="1">
        <f>value(IFERROR(SUBSTITUTE(SUBSTITUTE(VLOOKUP($A335,'Quarterly Pipeline vs Target Pi'!$A:$V,21,false)," $","")," €",""), "")
)</f>
        <v>0</v>
      </c>
      <c r="AI335" s="1">
        <f>value(IFERROR(SUBSTITUTE(SUBSTITUTE(VLOOKUP($A335,'Quarterly Pipeline vs Target Pi'!$A:$V,22,false)," $","")," €",""), "")
)</f>
        <v>0</v>
      </c>
      <c r="AJ335" s="17" t="str">
        <f t="shared" si="12"/>
        <v/>
      </c>
      <c r="AK335" s="1">
        <f t="shared" ref="AK335:AL335" si="683">sum(Y335,AB335,AE335,AH335)</f>
        <v>0</v>
      </c>
      <c r="AL335" s="1">
        <f t="shared" si="683"/>
        <v>0</v>
      </c>
      <c r="AM335" s="17" t="str">
        <f t="shared" si="14"/>
        <v/>
      </c>
      <c r="AN335" s="1">
        <f>value(IFERROR(SUBSTITUTE(SUBSTITUTE(VLOOKUP($A335,'Quarterly Pipeline vs Target Pi'!$A:$AP,26,false)," $","")," €",""), "")
)</f>
        <v>0</v>
      </c>
      <c r="AO335" s="1">
        <f>value(IFERROR(SUBSTITUTE(SUBSTITUTE(VLOOKUP($A335,'Quarterly Pipeline vs Target Pi'!$A:$AP,27,false)," $","")," €",""), "")
)</f>
        <v>0</v>
      </c>
      <c r="AP335" s="17" t="str">
        <f t="shared" si="15"/>
        <v/>
      </c>
      <c r="AQ335" s="1">
        <f>value(IFERROR(SUBSTITUTE(SUBSTITUTE(VLOOKUP($A335,'Quarterly Pipeline vs Target Pi'!$A:$AP,31,false)," $","")," €",""), "")
)</f>
        <v>0</v>
      </c>
      <c r="AR335" s="1">
        <f>value(IFERROR(SUBSTITUTE(SUBSTITUTE(VLOOKUP($A335,'Quarterly Pipeline vs Target Pi'!$A:$AP,32,false)," $","")," €",""), "")
)</f>
        <v>0</v>
      </c>
      <c r="AS335" s="17" t="str">
        <f t="shared" si="16"/>
        <v/>
      </c>
      <c r="AT335" s="1">
        <f>value(IFERROR(SUBSTITUTE(SUBSTITUTE(VLOOKUP($A335,'Quarterly Pipeline vs Target Pi'!$A:$AP,36,false)," $","")," €",""), "")
)</f>
        <v>0</v>
      </c>
      <c r="AU335" s="1">
        <f>value(IFERROR(SUBSTITUTE(SUBSTITUTE(VLOOKUP($A335,'Quarterly Pipeline vs Target Pi'!$A:$AP,37,false)," $","")," €",""), "")
)</f>
        <v>0</v>
      </c>
      <c r="AV335" s="17" t="str">
        <f t="shared" si="17"/>
        <v/>
      </c>
      <c r="AW335" s="1">
        <f>value(IFERROR(SUBSTITUTE(SUBSTITUTE(VLOOKUP($A335,'Quarterly Pipeline vs Target Pi'!$A:$AP,41,false)," $","")," €",""), "")
)</f>
        <v>0</v>
      </c>
      <c r="AX335" s="1">
        <f>value(IFERROR(SUBSTITUTE(SUBSTITUTE(VLOOKUP($A335,'Quarterly Pipeline vs Target Pi'!$A:$AP,42,false)," $","")," €",""), "")
)</f>
        <v>0</v>
      </c>
      <c r="AY335" s="17" t="str">
        <f t="shared" si="18"/>
        <v/>
      </c>
      <c r="AZ335" s="1">
        <f t="shared" ref="AZ335:BA335" si="684">sum(AN335,AQ335,AT335,AW335)</f>
        <v>0</v>
      </c>
      <c r="BA335" s="1">
        <f t="shared" si="684"/>
        <v>0</v>
      </c>
      <c r="BB335" s="17" t="str">
        <f t="shared" si="20"/>
        <v/>
      </c>
    </row>
    <row r="336">
      <c r="A336" s="1" t="str">
        <f>IFERROR(__xludf.DUMMYFUNCTION("""COMPUTED_VALUE"""),"63fcbb81a107c871cf564db5")</f>
        <v>63fcbb81a107c871cf564db5</v>
      </c>
      <c r="B336" s="1" t="str">
        <f>IFERROR(__xludf.DUMMYFUNCTION("""COMPUTED_VALUE"""),"Path Master, Inc.")</f>
        <v>Path Master, Inc.</v>
      </c>
      <c r="C336" s="1" t="str">
        <f>IFERROR(__xludf.DUMMYFUNCTION("""COMPUTED_VALUE"""),"brendan.flaherty@al-enterprise.com")</f>
        <v>brendan.flaherty@al-enterprise.com</v>
      </c>
      <c r="D336" s="1" t="str">
        <f>IFERROR(__xludf.DUMMYFUNCTION("""COMPUTED_VALUE"""),"americas")</f>
        <v>americas</v>
      </c>
      <c r="E336" s="1" t="str">
        <f>IFERROR(__xludf.DUMMYFUNCTION("""COMPUTED_VALUE"""),"US")</f>
        <v>US</v>
      </c>
      <c r="F336" s="1"/>
      <c r="G336" s="1" t="str">
        <f>iferror(VLOOKUP(A336,'Business Plan Setup and Accepta'!A:G,6,false),"")</f>
        <v/>
      </c>
      <c r="H336" s="1" t="str">
        <f>iferror(VLOOKUP(A336,'Business Plan Setup and Accepta'!A:G,7,false),"")</f>
        <v/>
      </c>
      <c r="I336" s="17" t="str">
        <f t="shared" si="3"/>
        <v/>
      </c>
      <c r="J336" s="1" t="str">
        <f>IFERROR(VALUE(SUBSTITUTE(VLOOKUP(A336,'Sales IN Revenues vs Sales targ'!A:G,6,false)," $","")), "")
</f>
        <v/>
      </c>
      <c r="K336" s="1" t="str">
        <f>IFERROR(VALUE(SUBSTITUTE(VLOOKUP(A336,'Sales IN Revenues vs Sales targ'!A:G,7,false)," $","")), "")
</f>
        <v/>
      </c>
      <c r="L336" s="17" t="str">
        <f t="shared" si="4"/>
        <v/>
      </c>
      <c r="M336" s="1">
        <f>value(SUBSTITUTE(IFERROR(VLOOKUP(A336,'Certifications achievements vs '!A:G,6,false),""),"#","")
)</f>
        <v>0</v>
      </c>
      <c r="N336" s="1">
        <f>value(SUBSTITUTE(IFERROR(VLOOKUP(A336,'Certifications achievements vs '!A:G,7,false),""),"#","")
)</f>
        <v>0</v>
      </c>
      <c r="O336" s="17" t="str">
        <f t="shared" si="5"/>
        <v/>
      </c>
      <c r="P336" s="1">
        <f>value(SUBSTITUTE(IFERROR(VLOOKUP(A336,'Communications - Solution Speci'!A:G,6,false),""),"#","")
)</f>
        <v>0</v>
      </c>
      <c r="Q336" s="1">
        <f>value(SUBSTITUTE(IFERROR(VLOOKUP(A336,'Communications - Solution Speci'!A:G,7,false),""),"#","")
)</f>
        <v>0</v>
      </c>
      <c r="R336" s="17" t="str">
        <f t="shared" si="6"/>
        <v/>
      </c>
      <c r="S336" s="1">
        <f>value(SUBSTITUTE(IFERROR(VLOOKUP(A336,'Networking - Solution Specializ'!A:G,6,false),""),"#","")
)</f>
        <v>0</v>
      </c>
      <c r="T336" s="1">
        <f>value(SUBSTITUTE(IFERROR(VLOOKUP(A336,'Networking - Solution Specializ'!A:G,7,false),""),"#","")
)</f>
        <v>0</v>
      </c>
      <c r="U336" s="17" t="str">
        <f t="shared" si="7"/>
        <v/>
      </c>
      <c r="V336" s="1" t="str">
        <f>iferror(vlookup(A336,'Marketing Plan (extract summary'!A:G,6,false),"")</f>
        <v/>
      </c>
      <c r="W336" s="1" t="str">
        <f>iferror(vlookup(A336,'Marketing Plan (extract summary'!A:G,7,false),"")</f>
        <v/>
      </c>
      <c r="X336" s="17" t="str">
        <f t="shared" si="8"/>
        <v/>
      </c>
      <c r="Y336" s="1">
        <f>value(IFERROR(SUBSTITUTE(SUBSTITUTE(VLOOKUP(A336,'Quarterly Pipeline vs Target Pi'!A:G,6,false)," $","")," €",""), "")
)</f>
        <v>0</v>
      </c>
      <c r="Z336" s="1">
        <f>value(IFERROR(SUBSTITUTE(SUBSTITUTE(VLOOKUP(A336,'Quarterly Pipeline vs Target Pi'!A:G,7,false)," $","")," €",""), "")
)</f>
        <v>0</v>
      </c>
      <c r="AA336" s="17" t="str">
        <f t="shared" si="9"/>
        <v/>
      </c>
      <c r="AB336" s="1">
        <f>value(IFERROR(SUBSTITUTE(SUBSTITUTE(VLOOKUP($A336,'Quarterly Pipeline vs Target Pi'!$A:$V,11,false)," $","")," €",""), "")
)</f>
        <v>0</v>
      </c>
      <c r="AC336" s="1">
        <f>value(IFERROR(SUBSTITUTE(SUBSTITUTE(VLOOKUP($A336,'Quarterly Pipeline vs Target Pi'!$A:$V,12,false)," $","")," €",""), "")
)</f>
        <v>0</v>
      </c>
      <c r="AD336" s="17" t="str">
        <f t="shared" si="10"/>
        <v/>
      </c>
      <c r="AE336" s="1">
        <f>value(IFERROR(SUBSTITUTE(SUBSTITUTE(VLOOKUP($A336,'Quarterly Pipeline vs Target Pi'!$A:$V,16,false)," $","")," €",""), "")
)</f>
        <v>0</v>
      </c>
      <c r="AF336" s="1">
        <f>value(IFERROR(SUBSTITUTE(SUBSTITUTE(VLOOKUP($A336,'Quarterly Pipeline vs Target Pi'!$A:$V,17,false)," $","")," €",""), "")
)</f>
        <v>0</v>
      </c>
      <c r="AG336" s="17" t="str">
        <f t="shared" si="11"/>
        <v/>
      </c>
      <c r="AH336" s="1">
        <f>value(IFERROR(SUBSTITUTE(SUBSTITUTE(VLOOKUP($A336,'Quarterly Pipeline vs Target Pi'!$A:$V,21,false)," $","")," €",""), "")
)</f>
        <v>0</v>
      </c>
      <c r="AI336" s="1">
        <f>value(IFERROR(SUBSTITUTE(SUBSTITUTE(VLOOKUP($A336,'Quarterly Pipeline vs Target Pi'!$A:$V,22,false)," $","")," €",""), "")
)</f>
        <v>0</v>
      </c>
      <c r="AJ336" s="17" t="str">
        <f t="shared" si="12"/>
        <v/>
      </c>
      <c r="AK336" s="1">
        <f t="shared" ref="AK336:AL336" si="685">sum(Y336,AB336,AE336,AH336)</f>
        <v>0</v>
      </c>
      <c r="AL336" s="1">
        <f t="shared" si="685"/>
        <v>0</v>
      </c>
      <c r="AM336" s="17" t="str">
        <f t="shared" si="14"/>
        <v/>
      </c>
      <c r="AN336" s="1">
        <f>value(IFERROR(SUBSTITUTE(SUBSTITUTE(VLOOKUP($A336,'Quarterly Pipeline vs Target Pi'!$A:$AP,26,false)," $","")," €",""), "")
)</f>
        <v>0</v>
      </c>
      <c r="AO336" s="1">
        <f>value(IFERROR(SUBSTITUTE(SUBSTITUTE(VLOOKUP($A336,'Quarterly Pipeline vs Target Pi'!$A:$AP,27,false)," $","")," €",""), "")
)</f>
        <v>0</v>
      </c>
      <c r="AP336" s="17" t="str">
        <f t="shared" si="15"/>
        <v/>
      </c>
      <c r="AQ336" s="1">
        <f>value(IFERROR(SUBSTITUTE(SUBSTITUTE(VLOOKUP($A336,'Quarterly Pipeline vs Target Pi'!$A:$AP,31,false)," $","")," €",""), "")
)</f>
        <v>0</v>
      </c>
      <c r="AR336" s="1">
        <f>value(IFERROR(SUBSTITUTE(SUBSTITUTE(VLOOKUP($A336,'Quarterly Pipeline vs Target Pi'!$A:$AP,32,false)," $","")," €",""), "")
)</f>
        <v>0</v>
      </c>
      <c r="AS336" s="17" t="str">
        <f t="shared" si="16"/>
        <v/>
      </c>
      <c r="AT336" s="1">
        <f>value(IFERROR(SUBSTITUTE(SUBSTITUTE(VLOOKUP($A336,'Quarterly Pipeline vs Target Pi'!$A:$AP,36,false)," $","")," €",""), "")
)</f>
        <v>0</v>
      </c>
      <c r="AU336" s="1">
        <f>value(IFERROR(SUBSTITUTE(SUBSTITUTE(VLOOKUP($A336,'Quarterly Pipeline vs Target Pi'!$A:$AP,37,false)," $","")," €",""), "")
)</f>
        <v>0</v>
      </c>
      <c r="AV336" s="17" t="str">
        <f t="shared" si="17"/>
        <v/>
      </c>
      <c r="AW336" s="1">
        <f>value(IFERROR(SUBSTITUTE(SUBSTITUTE(VLOOKUP($A336,'Quarterly Pipeline vs Target Pi'!$A:$AP,41,false)," $","")," €",""), "")
)</f>
        <v>0</v>
      </c>
      <c r="AX336" s="1">
        <f>value(IFERROR(SUBSTITUTE(SUBSTITUTE(VLOOKUP($A336,'Quarterly Pipeline vs Target Pi'!$A:$AP,42,false)," $","")," €",""), "")
)</f>
        <v>0</v>
      </c>
      <c r="AY336" s="17" t="str">
        <f t="shared" si="18"/>
        <v/>
      </c>
      <c r="AZ336" s="1">
        <f t="shared" ref="AZ336:BA336" si="686">sum(AN336,AQ336,AT336,AW336)</f>
        <v>0</v>
      </c>
      <c r="BA336" s="1">
        <f t="shared" si="686"/>
        <v>0</v>
      </c>
      <c r="BB336" s="17" t="str">
        <f t="shared" si="20"/>
        <v/>
      </c>
    </row>
    <row r="337">
      <c r="A337" s="1" t="str">
        <f>IFERROR(__xludf.DUMMYFUNCTION("""COMPUTED_VALUE"""),"63ced84ec5c820531c26999b")</f>
        <v>63ced84ec5c820531c26999b</v>
      </c>
      <c r="B337" s="1" t="str">
        <f>IFERROR(__xludf.DUMMYFUNCTION("""COMPUTED_VALUE"""),"PC Network, Inc")</f>
        <v>PC Network, Inc</v>
      </c>
      <c r="C337" s="1" t="str">
        <f>IFERROR(__xludf.DUMMYFUNCTION("""COMPUTED_VALUE"""),"brendan.flaherty@al-enterprise.com")</f>
        <v>brendan.flaherty@al-enterprise.com</v>
      </c>
      <c r="D337" s="1" t="str">
        <f>IFERROR(__xludf.DUMMYFUNCTION("""COMPUTED_VALUE"""),"americas")</f>
        <v>americas</v>
      </c>
      <c r="E337" s="1" t="str">
        <f>IFERROR(__xludf.DUMMYFUNCTION("""COMPUTED_VALUE"""),"US")</f>
        <v>US</v>
      </c>
      <c r="F337" s="1"/>
      <c r="G337" s="1" t="str">
        <f>iferror(VLOOKUP(A337,'Business Plan Setup and Accepta'!A:G,6,false),"")</f>
        <v/>
      </c>
      <c r="H337" s="1" t="str">
        <f>iferror(VLOOKUP(A337,'Business Plan Setup and Accepta'!A:G,7,false),"")</f>
        <v/>
      </c>
      <c r="I337" s="17" t="str">
        <f t="shared" si="3"/>
        <v/>
      </c>
      <c r="J337" s="1" t="str">
        <f>IFERROR(VALUE(SUBSTITUTE(VLOOKUP(A337,'Sales IN Revenues vs Sales targ'!A:G,6,false)," $","")), "")
</f>
        <v/>
      </c>
      <c r="K337" s="1" t="str">
        <f>IFERROR(VALUE(SUBSTITUTE(VLOOKUP(A337,'Sales IN Revenues vs Sales targ'!A:G,7,false)," $","")), "")
</f>
        <v/>
      </c>
      <c r="L337" s="17" t="str">
        <f t="shared" si="4"/>
        <v/>
      </c>
      <c r="M337" s="1">
        <f>value(SUBSTITUTE(IFERROR(VLOOKUP(A337,'Certifications achievements vs '!A:G,6,false),""),"#","")
)</f>
        <v>0</v>
      </c>
      <c r="N337" s="1">
        <f>value(SUBSTITUTE(IFERROR(VLOOKUP(A337,'Certifications achievements vs '!A:G,7,false),""),"#","")
)</f>
        <v>0</v>
      </c>
      <c r="O337" s="17" t="str">
        <f t="shared" si="5"/>
        <v/>
      </c>
      <c r="P337" s="1">
        <f>value(SUBSTITUTE(IFERROR(VLOOKUP(A337,'Communications - Solution Speci'!A:G,6,false),""),"#","")
)</f>
        <v>0</v>
      </c>
      <c r="Q337" s="1">
        <f>value(SUBSTITUTE(IFERROR(VLOOKUP(A337,'Communications - Solution Speci'!A:G,7,false),""),"#","")
)</f>
        <v>0</v>
      </c>
      <c r="R337" s="17" t="str">
        <f t="shared" si="6"/>
        <v/>
      </c>
      <c r="S337" s="1">
        <f>value(SUBSTITUTE(IFERROR(VLOOKUP(A337,'Networking - Solution Specializ'!A:G,6,false),""),"#","")
)</f>
        <v>0</v>
      </c>
      <c r="T337" s="1">
        <f>value(SUBSTITUTE(IFERROR(VLOOKUP(A337,'Networking - Solution Specializ'!A:G,7,false),""),"#","")
)</f>
        <v>0</v>
      </c>
      <c r="U337" s="17" t="str">
        <f t="shared" si="7"/>
        <v/>
      </c>
      <c r="V337" s="1" t="str">
        <f>iferror(vlookup(A337,'Marketing Plan (extract summary'!A:G,6,false),"")</f>
        <v/>
      </c>
      <c r="W337" s="1" t="str">
        <f>iferror(vlookup(A337,'Marketing Plan (extract summary'!A:G,7,false),"")</f>
        <v/>
      </c>
      <c r="X337" s="17" t="str">
        <f t="shared" si="8"/>
        <v/>
      </c>
      <c r="Y337" s="1">
        <f>value(IFERROR(SUBSTITUTE(SUBSTITUTE(VLOOKUP(A337,'Quarterly Pipeline vs Target Pi'!A:G,6,false)," $","")," €",""), "")
)</f>
        <v>0</v>
      </c>
      <c r="Z337" s="1">
        <f>value(IFERROR(SUBSTITUTE(SUBSTITUTE(VLOOKUP(A337,'Quarterly Pipeline vs Target Pi'!A:G,7,false)," $","")," €",""), "")
)</f>
        <v>0</v>
      </c>
      <c r="AA337" s="17" t="str">
        <f t="shared" si="9"/>
        <v/>
      </c>
      <c r="AB337" s="1">
        <f>value(IFERROR(SUBSTITUTE(SUBSTITUTE(VLOOKUP($A337,'Quarterly Pipeline vs Target Pi'!$A:$V,11,false)," $","")," €",""), "")
)</f>
        <v>0</v>
      </c>
      <c r="AC337" s="1">
        <f>value(IFERROR(SUBSTITUTE(SUBSTITUTE(VLOOKUP($A337,'Quarterly Pipeline vs Target Pi'!$A:$V,12,false)," $","")," €",""), "")
)</f>
        <v>0</v>
      </c>
      <c r="AD337" s="17" t="str">
        <f t="shared" si="10"/>
        <v/>
      </c>
      <c r="AE337" s="1">
        <f>value(IFERROR(SUBSTITUTE(SUBSTITUTE(VLOOKUP($A337,'Quarterly Pipeline vs Target Pi'!$A:$V,16,false)," $","")," €",""), "")
)</f>
        <v>0</v>
      </c>
      <c r="AF337" s="1">
        <f>value(IFERROR(SUBSTITUTE(SUBSTITUTE(VLOOKUP($A337,'Quarterly Pipeline vs Target Pi'!$A:$V,17,false)," $","")," €",""), "")
)</f>
        <v>0</v>
      </c>
      <c r="AG337" s="17" t="str">
        <f t="shared" si="11"/>
        <v/>
      </c>
      <c r="AH337" s="1">
        <f>value(IFERROR(SUBSTITUTE(SUBSTITUTE(VLOOKUP($A337,'Quarterly Pipeline vs Target Pi'!$A:$V,21,false)," $","")," €",""), "")
)</f>
        <v>0</v>
      </c>
      <c r="AI337" s="1">
        <f>value(IFERROR(SUBSTITUTE(SUBSTITUTE(VLOOKUP($A337,'Quarterly Pipeline vs Target Pi'!$A:$V,22,false)," $","")," €",""), "")
)</f>
        <v>0</v>
      </c>
      <c r="AJ337" s="17" t="str">
        <f t="shared" si="12"/>
        <v/>
      </c>
      <c r="AK337" s="1">
        <f t="shared" ref="AK337:AL337" si="687">sum(Y337,AB337,AE337,AH337)</f>
        <v>0</v>
      </c>
      <c r="AL337" s="1">
        <f t="shared" si="687"/>
        <v>0</v>
      </c>
      <c r="AM337" s="17" t="str">
        <f t="shared" si="14"/>
        <v/>
      </c>
      <c r="AN337" s="1">
        <f>value(IFERROR(SUBSTITUTE(SUBSTITUTE(VLOOKUP($A337,'Quarterly Pipeline vs Target Pi'!$A:$AP,26,false)," $","")," €",""), "")
)</f>
        <v>0</v>
      </c>
      <c r="AO337" s="1">
        <f>value(IFERROR(SUBSTITUTE(SUBSTITUTE(VLOOKUP($A337,'Quarterly Pipeline vs Target Pi'!$A:$AP,27,false)," $","")," €",""), "")
)</f>
        <v>0</v>
      </c>
      <c r="AP337" s="17" t="str">
        <f t="shared" si="15"/>
        <v/>
      </c>
      <c r="AQ337" s="1">
        <f>value(IFERROR(SUBSTITUTE(SUBSTITUTE(VLOOKUP($A337,'Quarterly Pipeline vs Target Pi'!$A:$AP,31,false)," $","")," €",""), "")
)</f>
        <v>0</v>
      </c>
      <c r="AR337" s="1">
        <f>value(IFERROR(SUBSTITUTE(SUBSTITUTE(VLOOKUP($A337,'Quarterly Pipeline vs Target Pi'!$A:$AP,32,false)," $","")," €",""), "")
)</f>
        <v>0</v>
      </c>
      <c r="AS337" s="17" t="str">
        <f t="shared" si="16"/>
        <v/>
      </c>
      <c r="AT337" s="1">
        <f>value(IFERROR(SUBSTITUTE(SUBSTITUTE(VLOOKUP($A337,'Quarterly Pipeline vs Target Pi'!$A:$AP,36,false)," $","")," €",""), "")
)</f>
        <v>0</v>
      </c>
      <c r="AU337" s="1">
        <f>value(IFERROR(SUBSTITUTE(SUBSTITUTE(VLOOKUP($A337,'Quarterly Pipeline vs Target Pi'!$A:$AP,37,false)," $","")," €",""), "")
)</f>
        <v>0</v>
      </c>
      <c r="AV337" s="17" t="str">
        <f t="shared" si="17"/>
        <v/>
      </c>
      <c r="AW337" s="1">
        <f>value(IFERROR(SUBSTITUTE(SUBSTITUTE(VLOOKUP($A337,'Quarterly Pipeline vs Target Pi'!$A:$AP,41,false)," $","")," €",""), "")
)</f>
        <v>0</v>
      </c>
      <c r="AX337" s="1">
        <f>value(IFERROR(SUBSTITUTE(SUBSTITUTE(VLOOKUP($A337,'Quarterly Pipeline vs Target Pi'!$A:$AP,42,false)," $","")," €",""), "")
)</f>
        <v>0</v>
      </c>
      <c r="AY337" s="17" t="str">
        <f t="shared" si="18"/>
        <v/>
      </c>
      <c r="AZ337" s="1">
        <f t="shared" ref="AZ337:BA337" si="688">sum(AN337,AQ337,AT337,AW337)</f>
        <v>0</v>
      </c>
      <c r="BA337" s="1">
        <f t="shared" si="688"/>
        <v>0</v>
      </c>
      <c r="BB337" s="17" t="str">
        <f t="shared" si="20"/>
        <v/>
      </c>
    </row>
    <row r="338">
      <c r="A338" s="1" t="str">
        <f>IFERROR(__xludf.DUMMYFUNCTION("""COMPUTED_VALUE"""),"63ced846c5c820531c26897e")</f>
        <v>63ced846c5c820531c26897e</v>
      </c>
      <c r="B338" s="1" t="str">
        <f>IFERROR(__xludf.DUMMYFUNCTION("""COMPUTED_VALUE"""),"PDI Communications, Inc.")</f>
        <v>PDI Communications, Inc.</v>
      </c>
      <c r="C338" s="1" t="str">
        <f>IFERROR(__xludf.DUMMYFUNCTION("""COMPUTED_VALUE"""),"bill.cusack@al-enterprise.com")</f>
        <v>bill.cusack@al-enterprise.com</v>
      </c>
      <c r="D338" s="1" t="str">
        <f>IFERROR(__xludf.DUMMYFUNCTION("""COMPUTED_VALUE"""),"americas")</f>
        <v>americas</v>
      </c>
      <c r="E338" s="1" t="str">
        <f>IFERROR(__xludf.DUMMYFUNCTION("""COMPUTED_VALUE"""),"US")</f>
        <v>US</v>
      </c>
      <c r="F338" s="1"/>
      <c r="G338" s="1" t="str">
        <f>iferror(VLOOKUP(A338,'Business Plan Setup and Accepta'!A:G,6,false),"")</f>
        <v/>
      </c>
      <c r="H338" s="1" t="str">
        <f>iferror(VLOOKUP(A338,'Business Plan Setup and Accepta'!A:G,7,false),"")</f>
        <v/>
      </c>
      <c r="I338" s="17" t="str">
        <f t="shared" si="3"/>
        <v/>
      </c>
      <c r="J338" s="1" t="str">
        <f>IFERROR(VALUE(SUBSTITUTE(VLOOKUP(A338,'Sales IN Revenues vs Sales targ'!A:G,6,false)," $","")), "")
</f>
        <v/>
      </c>
      <c r="K338" s="1" t="str">
        <f>IFERROR(VALUE(SUBSTITUTE(VLOOKUP(A338,'Sales IN Revenues vs Sales targ'!A:G,7,false)," $","")), "")
</f>
        <v/>
      </c>
      <c r="L338" s="17" t="str">
        <f t="shared" si="4"/>
        <v/>
      </c>
      <c r="M338" s="1">
        <f>value(SUBSTITUTE(IFERROR(VLOOKUP(A338,'Certifications achievements vs '!A:G,6,false),""),"#","")
)</f>
        <v>0</v>
      </c>
      <c r="N338" s="1">
        <f>value(SUBSTITUTE(IFERROR(VLOOKUP(A338,'Certifications achievements vs '!A:G,7,false),""),"#","")
)</f>
        <v>0</v>
      </c>
      <c r="O338" s="17" t="str">
        <f t="shared" si="5"/>
        <v/>
      </c>
      <c r="P338" s="1">
        <f>value(SUBSTITUTE(IFERROR(VLOOKUP(A338,'Communications - Solution Speci'!A:G,6,false),""),"#","")
)</f>
        <v>0</v>
      </c>
      <c r="Q338" s="1">
        <f>value(SUBSTITUTE(IFERROR(VLOOKUP(A338,'Communications - Solution Speci'!A:G,7,false),""),"#","")
)</f>
        <v>0</v>
      </c>
      <c r="R338" s="17" t="str">
        <f t="shared" si="6"/>
        <v/>
      </c>
      <c r="S338" s="1">
        <f>value(SUBSTITUTE(IFERROR(VLOOKUP(A338,'Networking - Solution Specializ'!A:G,6,false),""),"#","")
)</f>
        <v>0</v>
      </c>
      <c r="T338" s="1">
        <f>value(SUBSTITUTE(IFERROR(VLOOKUP(A338,'Networking - Solution Specializ'!A:G,7,false),""),"#","")
)</f>
        <v>0</v>
      </c>
      <c r="U338" s="17" t="str">
        <f t="shared" si="7"/>
        <v/>
      </c>
      <c r="V338" s="1" t="str">
        <f>iferror(vlookup(A338,'Marketing Plan (extract summary'!A:G,6,false),"")</f>
        <v/>
      </c>
      <c r="W338" s="1" t="str">
        <f>iferror(vlookup(A338,'Marketing Plan (extract summary'!A:G,7,false),"")</f>
        <v/>
      </c>
      <c r="X338" s="17" t="str">
        <f t="shared" si="8"/>
        <v/>
      </c>
      <c r="Y338" s="1">
        <f>value(IFERROR(SUBSTITUTE(SUBSTITUTE(VLOOKUP(A338,'Quarterly Pipeline vs Target Pi'!A:G,6,false)," $","")," €",""), "")
)</f>
        <v>0</v>
      </c>
      <c r="Z338" s="1">
        <f>value(IFERROR(SUBSTITUTE(SUBSTITUTE(VLOOKUP(A338,'Quarterly Pipeline vs Target Pi'!A:G,7,false)," $","")," €",""), "")
)</f>
        <v>0</v>
      </c>
      <c r="AA338" s="17" t="str">
        <f t="shared" si="9"/>
        <v/>
      </c>
      <c r="AB338" s="1">
        <f>value(IFERROR(SUBSTITUTE(SUBSTITUTE(VLOOKUP($A338,'Quarterly Pipeline vs Target Pi'!$A:$V,11,false)," $","")," €",""), "")
)</f>
        <v>0</v>
      </c>
      <c r="AC338" s="1">
        <f>value(IFERROR(SUBSTITUTE(SUBSTITUTE(VLOOKUP($A338,'Quarterly Pipeline vs Target Pi'!$A:$V,12,false)," $","")," €",""), "")
)</f>
        <v>0</v>
      </c>
      <c r="AD338" s="17" t="str">
        <f t="shared" si="10"/>
        <v/>
      </c>
      <c r="AE338" s="1">
        <f>value(IFERROR(SUBSTITUTE(SUBSTITUTE(VLOOKUP($A338,'Quarterly Pipeline vs Target Pi'!$A:$V,16,false)," $","")," €",""), "")
)</f>
        <v>0</v>
      </c>
      <c r="AF338" s="1">
        <f>value(IFERROR(SUBSTITUTE(SUBSTITUTE(VLOOKUP($A338,'Quarterly Pipeline vs Target Pi'!$A:$V,17,false)," $","")," €",""), "")
)</f>
        <v>0</v>
      </c>
      <c r="AG338" s="17" t="str">
        <f t="shared" si="11"/>
        <v/>
      </c>
      <c r="AH338" s="1">
        <f>value(IFERROR(SUBSTITUTE(SUBSTITUTE(VLOOKUP($A338,'Quarterly Pipeline vs Target Pi'!$A:$V,21,false)," $","")," €",""), "")
)</f>
        <v>0</v>
      </c>
      <c r="AI338" s="1">
        <f>value(IFERROR(SUBSTITUTE(SUBSTITUTE(VLOOKUP($A338,'Quarterly Pipeline vs Target Pi'!$A:$V,22,false)," $","")," €",""), "")
)</f>
        <v>0</v>
      </c>
      <c r="AJ338" s="17" t="str">
        <f t="shared" si="12"/>
        <v/>
      </c>
      <c r="AK338" s="1">
        <f t="shared" ref="AK338:AL338" si="689">sum(Y338,AB338,AE338,AH338)</f>
        <v>0</v>
      </c>
      <c r="AL338" s="1">
        <f t="shared" si="689"/>
        <v>0</v>
      </c>
      <c r="AM338" s="17" t="str">
        <f t="shared" si="14"/>
        <v/>
      </c>
      <c r="AN338" s="1">
        <f>value(IFERROR(SUBSTITUTE(SUBSTITUTE(VLOOKUP($A338,'Quarterly Pipeline vs Target Pi'!$A:$AP,26,false)," $","")," €",""), "")
)</f>
        <v>0</v>
      </c>
      <c r="AO338" s="1">
        <f>value(IFERROR(SUBSTITUTE(SUBSTITUTE(VLOOKUP($A338,'Quarterly Pipeline vs Target Pi'!$A:$AP,27,false)," $","")," €",""), "")
)</f>
        <v>0</v>
      </c>
      <c r="AP338" s="17" t="str">
        <f t="shared" si="15"/>
        <v/>
      </c>
      <c r="AQ338" s="1">
        <f>value(IFERROR(SUBSTITUTE(SUBSTITUTE(VLOOKUP($A338,'Quarterly Pipeline vs Target Pi'!$A:$AP,31,false)," $","")," €",""), "")
)</f>
        <v>0</v>
      </c>
      <c r="AR338" s="1">
        <f>value(IFERROR(SUBSTITUTE(SUBSTITUTE(VLOOKUP($A338,'Quarterly Pipeline vs Target Pi'!$A:$AP,32,false)," $","")," €",""), "")
)</f>
        <v>0</v>
      </c>
      <c r="AS338" s="17" t="str">
        <f t="shared" si="16"/>
        <v/>
      </c>
      <c r="AT338" s="1">
        <f>value(IFERROR(SUBSTITUTE(SUBSTITUTE(VLOOKUP($A338,'Quarterly Pipeline vs Target Pi'!$A:$AP,36,false)," $","")," €",""), "")
)</f>
        <v>0</v>
      </c>
      <c r="AU338" s="1">
        <f>value(IFERROR(SUBSTITUTE(SUBSTITUTE(VLOOKUP($A338,'Quarterly Pipeline vs Target Pi'!$A:$AP,37,false)," $","")," €",""), "")
)</f>
        <v>0</v>
      </c>
      <c r="AV338" s="17" t="str">
        <f t="shared" si="17"/>
        <v/>
      </c>
      <c r="AW338" s="1">
        <f>value(IFERROR(SUBSTITUTE(SUBSTITUTE(VLOOKUP($A338,'Quarterly Pipeline vs Target Pi'!$A:$AP,41,false)," $","")," €",""), "")
)</f>
        <v>0</v>
      </c>
      <c r="AX338" s="1">
        <f>value(IFERROR(SUBSTITUTE(SUBSTITUTE(VLOOKUP($A338,'Quarterly Pipeline vs Target Pi'!$A:$AP,42,false)," $","")," €",""), "")
)</f>
        <v>0</v>
      </c>
      <c r="AY338" s="17" t="str">
        <f t="shared" si="18"/>
        <v/>
      </c>
      <c r="AZ338" s="1">
        <f t="shared" ref="AZ338:BA338" si="690">sum(AN338,AQ338,AT338,AW338)</f>
        <v>0</v>
      </c>
      <c r="BA338" s="1">
        <f t="shared" si="690"/>
        <v>0</v>
      </c>
      <c r="BB338" s="17" t="str">
        <f t="shared" si="20"/>
        <v/>
      </c>
    </row>
    <row r="339">
      <c r="A339" s="1" t="str">
        <f>IFERROR(__xludf.DUMMYFUNCTION("""COMPUTED_VALUE"""),"63ced84ec5c820531c26997d")</f>
        <v>63ced84ec5c820531c26997d</v>
      </c>
      <c r="B339" s="1" t="str">
        <f>IFERROR(__xludf.DUMMYFUNCTION("""COMPUTED_VALUE"""),"PDNS (Private Digital Networks LLC)")</f>
        <v>PDNS (Private Digital Networks LLC)</v>
      </c>
      <c r="C339" s="1" t="str">
        <f>IFERROR(__xludf.DUMMYFUNCTION("""COMPUTED_VALUE"""),"brendan.flaherty@al-enterprise.com")</f>
        <v>brendan.flaherty@al-enterprise.com</v>
      </c>
      <c r="D339" s="1" t="str">
        <f>IFERROR(__xludf.DUMMYFUNCTION("""COMPUTED_VALUE"""),"americas")</f>
        <v>americas</v>
      </c>
      <c r="E339" s="1" t="str">
        <f>IFERROR(__xludf.DUMMYFUNCTION("""COMPUTED_VALUE"""),"US")</f>
        <v>US</v>
      </c>
      <c r="F339" s="1"/>
      <c r="G339" s="1" t="str">
        <f>iferror(VLOOKUP(A339,'Business Plan Setup and Accepta'!A:G,6,false),"")</f>
        <v/>
      </c>
      <c r="H339" s="1" t="str">
        <f>iferror(VLOOKUP(A339,'Business Plan Setup and Accepta'!A:G,7,false),"")</f>
        <v/>
      </c>
      <c r="I339" s="17" t="str">
        <f t="shared" si="3"/>
        <v/>
      </c>
      <c r="J339" s="1" t="str">
        <f>IFERROR(VALUE(SUBSTITUTE(VLOOKUP(A339,'Sales IN Revenues vs Sales targ'!A:G,6,false)," $","")), "")
</f>
        <v/>
      </c>
      <c r="K339" s="1" t="str">
        <f>IFERROR(VALUE(SUBSTITUTE(VLOOKUP(A339,'Sales IN Revenues vs Sales targ'!A:G,7,false)," $","")), "")
</f>
        <v/>
      </c>
      <c r="L339" s="17" t="str">
        <f t="shared" si="4"/>
        <v/>
      </c>
      <c r="M339" s="1">
        <f>value(SUBSTITUTE(IFERROR(VLOOKUP(A339,'Certifications achievements vs '!A:G,6,false),""),"#","")
)</f>
        <v>0</v>
      </c>
      <c r="N339" s="1">
        <f>value(SUBSTITUTE(IFERROR(VLOOKUP(A339,'Certifications achievements vs '!A:G,7,false),""),"#","")
)</f>
        <v>0</v>
      </c>
      <c r="O339" s="17" t="str">
        <f t="shared" si="5"/>
        <v/>
      </c>
      <c r="P339" s="1">
        <f>value(SUBSTITUTE(IFERROR(VLOOKUP(A339,'Communications - Solution Speci'!A:G,6,false),""),"#","")
)</f>
        <v>0</v>
      </c>
      <c r="Q339" s="1">
        <f>value(SUBSTITUTE(IFERROR(VLOOKUP(A339,'Communications - Solution Speci'!A:G,7,false),""),"#","")
)</f>
        <v>0</v>
      </c>
      <c r="R339" s="17" t="str">
        <f t="shared" si="6"/>
        <v/>
      </c>
      <c r="S339" s="1">
        <f>value(SUBSTITUTE(IFERROR(VLOOKUP(A339,'Networking - Solution Specializ'!A:G,6,false),""),"#","")
)</f>
        <v>0</v>
      </c>
      <c r="T339" s="1">
        <f>value(SUBSTITUTE(IFERROR(VLOOKUP(A339,'Networking - Solution Specializ'!A:G,7,false),""),"#","")
)</f>
        <v>0</v>
      </c>
      <c r="U339" s="17" t="str">
        <f t="shared" si="7"/>
        <v/>
      </c>
      <c r="V339" s="1" t="str">
        <f>iferror(vlookup(A339,'Marketing Plan (extract summary'!A:G,6,false),"")</f>
        <v/>
      </c>
      <c r="W339" s="1" t="str">
        <f>iferror(vlookup(A339,'Marketing Plan (extract summary'!A:G,7,false),"")</f>
        <v/>
      </c>
      <c r="X339" s="17" t="str">
        <f t="shared" si="8"/>
        <v/>
      </c>
      <c r="Y339" s="1">
        <f>value(IFERROR(SUBSTITUTE(SUBSTITUTE(VLOOKUP(A339,'Quarterly Pipeline vs Target Pi'!A:G,6,false)," $","")," €",""), "")
)</f>
        <v>0</v>
      </c>
      <c r="Z339" s="1">
        <f>value(IFERROR(SUBSTITUTE(SUBSTITUTE(VLOOKUP(A339,'Quarterly Pipeline vs Target Pi'!A:G,7,false)," $","")," €",""), "")
)</f>
        <v>0</v>
      </c>
      <c r="AA339" s="17" t="str">
        <f t="shared" si="9"/>
        <v/>
      </c>
      <c r="AB339" s="1">
        <f>value(IFERROR(SUBSTITUTE(SUBSTITUTE(VLOOKUP($A339,'Quarterly Pipeline vs Target Pi'!$A:$V,11,false)," $","")," €",""), "")
)</f>
        <v>0</v>
      </c>
      <c r="AC339" s="1">
        <f>value(IFERROR(SUBSTITUTE(SUBSTITUTE(VLOOKUP($A339,'Quarterly Pipeline vs Target Pi'!$A:$V,12,false)," $","")," €",""), "")
)</f>
        <v>0</v>
      </c>
      <c r="AD339" s="17" t="str">
        <f t="shared" si="10"/>
        <v/>
      </c>
      <c r="AE339" s="1">
        <f>value(IFERROR(SUBSTITUTE(SUBSTITUTE(VLOOKUP($A339,'Quarterly Pipeline vs Target Pi'!$A:$V,16,false)," $","")," €",""), "")
)</f>
        <v>0</v>
      </c>
      <c r="AF339" s="1">
        <f>value(IFERROR(SUBSTITUTE(SUBSTITUTE(VLOOKUP($A339,'Quarterly Pipeline vs Target Pi'!$A:$V,17,false)," $","")," €",""), "")
)</f>
        <v>0</v>
      </c>
      <c r="AG339" s="17" t="str">
        <f t="shared" si="11"/>
        <v/>
      </c>
      <c r="AH339" s="1">
        <f>value(IFERROR(SUBSTITUTE(SUBSTITUTE(VLOOKUP($A339,'Quarterly Pipeline vs Target Pi'!$A:$V,21,false)," $","")," €",""), "")
)</f>
        <v>0</v>
      </c>
      <c r="AI339" s="1">
        <f>value(IFERROR(SUBSTITUTE(SUBSTITUTE(VLOOKUP($A339,'Quarterly Pipeline vs Target Pi'!$A:$V,22,false)," $","")," €",""), "")
)</f>
        <v>0</v>
      </c>
      <c r="AJ339" s="17" t="str">
        <f t="shared" si="12"/>
        <v/>
      </c>
      <c r="AK339" s="1">
        <f t="shared" ref="AK339:AL339" si="691">sum(Y339,AB339,AE339,AH339)</f>
        <v>0</v>
      </c>
      <c r="AL339" s="1">
        <f t="shared" si="691"/>
        <v>0</v>
      </c>
      <c r="AM339" s="17" t="str">
        <f t="shared" si="14"/>
        <v/>
      </c>
      <c r="AN339" s="1">
        <f>value(IFERROR(SUBSTITUTE(SUBSTITUTE(VLOOKUP($A339,'Quarterly Pipeline vs Target Pi'!$A:$AP,26,false)," $","")," €",""), "")
)</f>
        <v>0</v>
      </c>
      <c r="AO339" s="1">
        <f>value(IFERROR(SUBSTITUTE(SUBSTITUTE(VLOOKUP($A339,'Quarterly Pipeline vs Target Pi'!$A:$AP,27,false)," $","")," €",""), "")
)</f>
        <v>0</v>
      </c>
      <c r="AP339" s="17" t="str">
        <f t="shared" si="15"/>
        <v/>
      </c>
      <c r="AQ339" s="1">
        <f>value(IFERROR(SUBSTITUTE(SUBSTITUTE(VLOOKUP($A339,'Quarterly Pipeline vs Target Pi'!$A:$AP,31,false)," $","")," €",""), "")
)</f>
        <v>0</v>
      </c>
      <c r="AR339" s="1">
        <f>value(IFERROR(SUBSTITUTE(SUBSTITUTE(VLOOKUP($A339,'Quarterly Pipeline vs Target Pi'!$A:$AP,32,false)," $","")," €",""), "")
)</f>
        <v>0</v>
      </c>
      <c r="AS339" s="17" t="str">
        <f t="shared" si="16"/>
        <v/>
      </c>
      <c r="AT339" s="1">
        <f>value(IFERROR(SUBSTITUTE(SUBSTITUTE(VLOOKUP($A339,'Quarterly Pipeline vs Target Pi'!$A:$AP,36,false)," $","")," €",""), "")
)</f>
        <v>0</v>
      </c>
      <c r="AU339" s="1">
        <f>value(IFERROR(SUBSTITUTE(SUBSTITUTE(VLOOKUP($A339,'Quarterly Pipeline vs Target Pi'!$A:$AP,37,false)," $","")," €",""), "")
)</f>
        <v>0</v>
      </c>
      <c r="AV339" s="17" t="str">
        <f t="shared" si="17"/>
        <v/>
      </c>
      <c r="AW339" s="1">
        <f>value(IFERROR(SUBSTITUTE(SUBSTITUTE(VLOOKUP($A339,'Quarterly Pipeline vs Target Pi'!$A:$AP,41,false)," $","")," €",""), "")
)</f>
        <v>0</v>
      </c>
      <c r="AX339" s="1">
        <f>value(IFERROR(SUBSTITUTE(SUBSTITUTE(VLOOKUP($A339,'Quarterly Pipeline vs Target Pi'!$A:$AP,42,false)," $","")," €",""), "")
)</f>
        <v>0</v>
      </c>
      <c r="AY339" s="17" t="str">
        <f t="shared" si="18"/>
        <v/>
      </c>
      <c r="AZ339" s="1">
        <f t="shared" ref="AZ339:BA339" si="692">sum(AN339,AQ339,AT339,AW339)</f>
        <v>0</v>
      </c>
      <c r="BA339" s="1">
        <f t="shared" si="692"/>
        <v>0</v>
      </c>
      <c r="BB339" s="17" t="str">
        <f t="shared" si="20"/>
        <v/>
      </c>
    </row>
    <row r="340">
      <c r="A340" s="1" t="str">
        <f>IFERROR(__xludf.DUMMYFUNCTION("""COMPUTED_VALUE"""),"63ced845c5c820531c2686ea")</f>
        <v>63ced845c5c820531c2686ea</v>
      </c>
      <c r="B340" s="1" t="str">
        <f>IFERROR(__xludf.DUMMYFUNCTION("""COMPUTED_VALUE"""),"peicom GmbH")</f>
        <v>peicom GmbH</v>
      </c>
      <c r="C340" s="1" t="str">
        <f>IFERROR(__xludf.DUMMYFUNCTION("""COMPUTED_VALUE"""),"silke.fraedrich@al-enterprise.com, andreas.grossheimann@al-enterprise.com")</f>
        <v>silke.fraedrich@al-enterprise.com, andreas.grossheimann@al-enterprise.com</v>
      </c>
      <c r="D340" s="1" t="str">
        <f>IFERROR(__xludf.DUMMYFUNCTION("""COMPUTED_VALUE"""),"germany")</f>
        <v>germany</v>
      </c>
      <c r="E340" s="1" t="str">
        <f>IFERROR(__xludf.DUMMYFUNCTION("""COMPUTED_VALUE"""),"DE")</f>
        <v>DE</v>
      </c>
      <c r="F340" s="1"/>
      <c r="G340" s="1">
        <f>iferror(VLOOKUP(A340,'Business Plan Setup and Accepta'!A:G,6,false),"")</f>
        <v>0</v>
      </c>
      <c r="H340" s="1">
        <f>iferror(VLOOKUP(A340,'Business Plan Setup and Accepta'!A:G,7,false),"")</f>
        <v>1</v>
      </c>
      <c r="I340" s="17">
        <f t="shared" si="3"/>
        <v>0</v>
      </c>
      <c r="J340" s="1">
        <f>IFERROR(VALUE(SUBSTITUTE(VLOOKUP(A340,'Sales IN Revenues vs Sales targ'!A:G,6,false)," $","")), "")
</f>
        <v>0</v>
      </c>
      <c r="K340" s="1">
        <f>IFERROR(VALUE(SUBSTITUTE(VLOOKUP(A340,'Sales IN Revenues vs Sales targ'!A:G,7,false)," $","")), "")
</f>
        <v>0</v>
      </c>
      <c r="L340" s="17" t="str">
        <f t="shared" si="4"/>
        <v/>
      </c>
      <c r="M340" s="1">
        <f>value(SUBSTITUTE(IFERROR(VLOOKUP(A340,'Certifications achievements vs '!A:G,6,false),""),"#","")
)</f>
        <v>0</v>
      </c>
      <c r="N340" s="1">
        <f>value(SUBSTITUTE(IFERROR(VLOOKUP(A340,'Certifications achievements vs '!A:G,7,false),""),"#","")
)</f>
        <v>0</v>
      </c>
      <c r="O340" s="17" t="str">
        <f t="shared" si="5"/>
        <v/>
      </c>
      <c r="P340" s="1">
        <f>value(SUBSTITUTE(IFERROR(VLOOKUP(A340,'Communications - Solution Speci'!A:G,6,false),""),"#","")
)</f>
        <v>0</v>
      </c>
      <c r="Q340" s="1">
        <f>value(SUBSTITUTE(IFERROR(VLOOKUP(A340,'Communications - Solution Speci'!A:G,7,false),""),"#","")
)</f>
        <v>1</v>
      </c>
      <c r="R340" s="17">
        <f t="shared" si="6"/>
        <v>0</v>
      </c>
      <c r="S340" s="1">
        <f>value(SUBSTITUTE(IFERROR(VLOOKUP(A340,'Networking - Solution Specializ'!A:G,6,false),""),"#","")
)</f>
        <v>0</v>
      </c>
      <c r="T340" s="1">
        <f>value(SUBSTITUTE(IFERROR(VLOOKUP(A340,'Networking - Solution Specializ'!A:G,7,false),""),"#","")
)</f>
        <v>1</v>
      </c>
      <c r="U340" s="17">
        <f t="shared" si="7"/>
        <v>0</v>
      </c>
      <c r="V340" s="1">
        <f>iferror(vlookup(A340,'Marketing Plan (extract summary'!A:G,6,false),"")</f>
        <v>0</v>
      </c>
      <c r="W340" s="1">
        <f>iferror(vlookup(A340,'Marketing Plan (extract summary'!A:G,7,false),"")</f>
        <v>1</v>
      </c>
      <c r="X340" s="17">
        <f t="shared" si="8"/>
        <v>0</v>
      </c>
      <c r="Y340" s="1">
        <f>value(IFERROR(SUBSTITUTE(SUBSTITUTE(VLOOKUP(A340,'Quarterly Pipeline vs Target Pi'!A:G,6,false)," $","")," €",""), "")
)</f>
        <v>0</v>
      </c>
      <c r="Z340" s="1">
        <f>value(IFERROR(SUBSTITUTE(SUBSTITUTE(VLOOKUP(A340,'Quarterly Pipeline vs Target Pi'!A:G,7,false)," $","")," €",""), "")
)</f>
        <v>0</v>
      </c>
      <c r="AA340" s="17" t="str">
        <f t="shared" si="9"/>
        <v/>
      </c>
      <c r="AB340" s="1">
        <f>value(IFERROR(SUBSTITUTE(SUBSTITUTE(VLOOKUP($A340,'Quarterly Pipeline vs Target Pi'!$A:$V,11,false)," $","")," €",""), "")
)</f>
        <v>2700</v>
      </c>
      <c r="AC340" s="1">
        <f>value(IFERROR(SUBSTITUTE(SUBSTITUTE(VLOOKUP($A340,'Quarterly Pipeline vs Target Pi'!$A:$V,12,false)," $","")," €",""), "")
)</f>
        <v>0</v>
      </c>
      <c r="AD340" s="17" t="str">
        <f t="shared" si="10"/>
        <v/>
      </c>
      <c r="AE340" s="1">
        <f>value(IFERROR(SUBSTITUTE(SUBSTITUTE(VLOOKUP($A340,'Quarterly Pipeline vs Target Pi'!$A:$V,16,false)," $","")," €",""), "")
)</f>
        <v>0</v>
      </c>
      <c r="AF340" s="1">
        <f>value(IFERROR(SUBSTITUTE(SUBSTITUTE(VLOOKUP($A340,'Quarterly Pipeline vs Target Pi'!$A:$V,17,false)," $","")," €",""), "")
)</f>
        <v>0</v>
      </c>
      <c r="AG340" s="17" t="str">
        <f t="shared" si="11"/>
        <v/>
      </c>
      <c r="AH340" s="1">
        <f>value(IFERROR(SUBSTITUTE(SUBSTITUTE(VLOOKUP($A340,'Quarterly Pipeline vs Target Pi'!$A:$V,21,false)," $","")," €",""), "")
)</f>
        <v>315</v>
      </c>
      <c r="AI340" s="1">
        <f>value(IFERROR(SUBSTITUTE(SUBSTITUTE(VLOOKUP($A340,'Quarterly Pipeline vs Target Pi'!$A:$V,22,false)," $","")," €",""), "")
)</f>
        <v>0</v>
      </c>
      <c r="AJ340" s="17" t="str">
        <f t="shared" si="12"/>
        <v/>
      </c>
      <c r="AK340" s="1">
        <f t="shared" ref="AK340:AL340" si="693">sum(Y340,AB340,AE340,AH340)</f>
        <v>3015</v>
      </c>
      <c r="AL340" s="1">
        <f t="shared" si="693"/>
        <v>0</v>
      </c>
      <c r="AM340" s="17" t="str">
        <f t="shared" si="14"/>
        <v/>
      </c>
      <c r="AN340" s="1">
        <f>value(IFERROR(SUBSTITUTE(SUBSTITUTE(VLOOKUP($A340,'Quarterly Pipeline vs Target Pi'!$A:$AP,26,false)," $","")," €",""), "")
)</f>
        <v>900</v>
      </c>
      <c r="AO340" s="1">
        <f>value(IFERROR(SUBSTITUTE(SUBSTITUTE(VLOOKUP($A340,'Quarterly Pipeline vs Target Pi'!$A:$AP,27,false)," $","")," €",""), "")
)</f>
        <v>0</v>
      </c>
      <c r="AP340" s="17" t="str">
        <f t="shared" si="15"/>
        <v/>
      </c>
      <c r="AQ340" s="1">
        <f>value(IFERROR(SUBSTITUTE(SUBSTITUTE(VLOOKUP($A340,'Quarterly Pipeline vs Target Pi'!$A:$AP,31,false)," $","")," €",""), "")
)</f>
        <v>0</v>
      </c>
      <c r="AR340" s="1">
        <f>value(IFERROR(SUBSTITUTE(SUBSTITUTE(VLOOKUP($A340,'Quarterly Pipeline vs Target Pi'!$A:$AP,32,false)," $","")," €",""), "")
)</f>
        <v>0</v>
      </c>
      <c r="AS340" s="17" t="str">
        <f t="shared" si="16"/>
        <v/>
      </c>
      <c r="AT340" s="1">
        <f>value(IFERROR(SUBSTITUTE(SUBSTITUTE(VLOOKUP($A340,'Quarterly Pipeline vs Target Pi'!$A:$AP,36,false)," $","")," €",""), "")
)</f>
        <v>0</v>
      </c>
      <c r="AU340" s="1">
        <f>value(IFERROR(SUBSTITUTE(SUBSTITUTE(VLOOKUP($A340,'Quarterly Pipeline vs Target Pi'!$A:$AP,37,false)," $","")," €",""), "")
)</f>
        <v>0</v>
      </c>
      <c r="AV340" s="17" t="str">
        <f t="shared" si="17"/>
        <v/>
      </c>
      <c r="AW340" s="1">
        <f>value(IFERROR(SUBSTITUTE(SUBSTITUTE(VLOOKUP($A340,'Quarterly Pipeline vs Target Pi'!$A:$AP,41,false)," $","")," €",""), "")
)</f>
        <v>0</v>
      </c>
      <c r="AX340" s="1">
        <f>value(IFERROR(SUBSTITUTE(SUBSTITUTE(VLOOKUP($A340,'Quarterly Pipeline vs Target Pi'!$A:$AP,42,false)," $","")," €",""), "")
)</f>
        <v>0</v>
      </c>
      <c r="AY340" s="17" t="str">
        <f t="shared" si="18"/>
        <v/>
      </c>
      <c r="AZ340" s="1">
        <f t="shared" ref="AZ340:BA340" si="694">sum(AN340,AQ340,AT340,AW340)</f>
        <v>900</v>
      </c>
      <c r="BA340" s="1">
        <f t="shared" si="694"/>
        <v>0</v>
      </c>
      <c r="BB340" s="17" t="str">
        <f t="shared" si="20"/>
        <v/>
      </c>
    </row>
    <row r="341">
      <c r="A341" s="1" t="str">
        <f>IFERROR(__xludf.DUMMYFUNCTION("""COMPUTED_VALUE"""),"63ced846c5c820531c26899c")</f>
        <v>63ced846c5c820531c26899c</v>
      </c>
      <c r="B341" s="1" t="str">
        <f>IFERROR(__xludf.DUMMYFUNCTION("""COMPUTED_VALUE"""),"PerfectVision Manufacturing")</f>
        <v>PerfectVision Manufacturing</v>
      </c>
      <c r="C341" s="1" t="str">
        <f>IFERROR(__xludf.DUMMYFUNCTION("""COMPUTED_VALUE"""),"bill.cusack@al-enterprise.com")</f>
        <v>bill.cusack@al-enterprise.com</v>
      </c>
      <c r="D341" s="1" t="str">
        <f>IFERROR(__xludf.DUMMYFUNCTION("""COMPUTED_VALUE"""),"americas")</f>
        <v>americas</v>
      </c>
      <c r="E341" s="1" t="str">
        <f>IFERROR(__xludf.DUMMYFUNCTION("""COMPUTED_VALUE"""),"US")</f>
        <v>US</v>
      </c>
      <c r="F341" s="1"/>
      <c r="G341" s="1" t="str">
        <f>iferror(VLOOKUP(A341,'Business Plan Setup and Accepta'!A:G,6,false),"")</f>
        <v/>
      </c>
      <c r="H341" s="1" t="str">
        <f>iferror(VLOOKUP(A341,'Business Plan Setup and Accepta'!A:G,7,false),"")</f>
        <v/>
      </c>
      <c r="I341" s="17" t="str">
        <f t="shared" si="3"/>
        <v/>
      </c>
      <c r="J341" s="1" t="str">
        <f>IFERROR(VALUE(SUBSTITUTE(VLOOKUP(A341,'Sales IN Revenues vs Sales targ'!A:G,6,false)," $","")), "")
</f>
        <v/>
      </c>
      <c r="K341" s="1" t="str">
        <f>IFERROR(VALUE(SUBSTITUTE(VLOOKUP(A341,'Sales IN Revenues vs Sales targ'!A:G,7,false)," $","")), "")
</f>
        <v/>
      </c>
      <c r="L341" s="17" t="str">
        <f t="shared" si="4"/>
        <v/>
      </c>
      <c r="M341" s="1">
        <f>value(SUBSTITUTE(IFERROR(VLOOKUP(A341,'Certifications achievements vs '!A:G,6,false),""),"#","")
)</f>
        <v>0</v>
      </c>
      <c r="N341" s="1">
        <f>value(SUBSTITUTE(IFERROR(VLOOKUP(A341,'Certifications achievements vs '!A:G,7,false),""),"#","")
)</f>
        <v>0</v>
      </c>
      <c r="O341" s="17" t="str">
        <f t="shared" si="5"/>
        <v/>
      </c>
      <c r="P341" s="1">
        <f>value(SUBSTITUTE(IFERROR(VLOOKUP(A341,'Communications - Solution Speci'!A:G,6,false),""),"#","")
)</f>
        <v>0</v>
      </c>
      <c r="Q341" s="1">
        <f>value(SUBSTITUTE(IFERROR(VLOOKUP(A341,'Communications - Solution Speci'!A:G,7,false),""),"#","")
)</f>
        <v>0</v>
      </c>
      <c r="R341" s="17" t="str">
        <f t="shared" si="6"/>
        <v/>
      </c>
      <c r="S341" s="1">
        <f>value(SUBSTITUTE(IFERROR(VLOOKUP(A341,'Networking - Solution Specializ'!A:G,6,false),""),"#","")
)</f>
        <v>0</v>
      </c>
      <c r="T341" s="1">
        <f>value(SUBSTITUTE(IFERROR(VLOOKUP(A341,'Networking - Solution Specializ'!A:G,7,false),""),"#","")
)</f>
        <v>0</v>
      </c>
      <c r="U341" s="17" t="str">
        <f t="shared" si="7"/>
        <v/>
      </c>
      <c r="V341" s="1" t="str">
        <f>iferror(vlookup(A341,'Marketing Plan (extract summary'!A:G,6,false),"")</f>
        <v/>
      </c>
      <c r="W341" s="1" t="str">
        <f>iferror(vlookup(A341,'Marketing Plan (extract summary'!A:G,7,false),"")</f>
        <v/>
      </c>
      <c r="X341" s="17" t="str">
        <f t="shared" si="8"/>
        <v/>
      </c>
      <c r="Y341" s="1">
        <f>value(IFERROR(SUBSTITUTE(SUBSTITUTE(VLOOKUP(A341,'Quarterly Pipeline vs Target Pi'!A:G,6,false)," $","")," €",""), "")
)</f>
        <v>0</v>
      </c>
      <c r="Z341" s="1">
        <f>value(IFERROR(SUBSTITUTE(SUBSTITUTE(VLOOKUP(A341,'Quarterly Pipeline vs Target Pi'!A:G,7,false)," $","")," €",""), "")
)</f>
        <v>0</v>
      </c>
      <c r="AA341" s="17" t="str">
        <f t="shared" si="9"/>
        <v/>
      </c>
      <c r="AB341" s="1">
        <f>value(IFERROR(SUBSTITUTE(SUBSTITUTE(VLOOKUP($A341,'Quarterly Pipeline vs Target Pi'!$A:$V,11,false)," $","")," €",""), "")
)</f>
        <v>0</v>
      </c>
      <c r="AC341" s="1">
        <f>value(IFERROR(SUBSTITUTE(SUBSTITUTE(VLOOKUP($A341,'Quarterly Pipeline vs Target Pi'!$A:$V,12,false)," $","")," €",""), "")
)</f>
        <v>0</v>
      </c>
      <c r="AD341" s="17" t="str">
        <f t="shared" si="10"/>
        <v/>
      </c>
      <c r="AE341" s="1">
        <f>value(IFERROR(SUBSTITUTE(SUBSTITUTE(VLOOKUP($A341,'Quarterly Pipeline vs Target Pi'!$A:$V,16,false)," $","")," €",""), "")
)</f>
        <v>0</v>
      </c>
      <c r="AF341" s="1">
        <f>value(IFERROR(SUBSTITUTE(SUBSTITUTE(VLOOKUP($A341,'Quarterly Pipeline vs Target Pi'!$A:$V,17,false)," $","")," €",""), "")
)</f>
        <v>0</v>
      </c>
      <c r="AG341" s="17" t="str">
        <f t="shared" si="11"/>
        <v/>
      </c>
      <c r="AH341" s="1">
        <f>value(IFERROR(SUBSTITUTE(SUBSTITUTE(VLOOKUP($A341,'Quarterly Pipeline vs Target Pi'!$A:$V,21,false)," $","")," €",""), "")
)</f>
        <v>0</v>
      </c>
      <c r="AI341" s="1">
        <f>value(IFERROR(SUBSTITUTE(SUBSTITUTE(VLOOKUP($A341,'Quarterly Pipeline vs Target Pi'!$A:$V,22,false)," $","")," €",""), "")
)</f>
        <v>0</v>
      </c>
      <c r="AJ341" s="17" t="str">
        <f t="shared" si="12"/>
        <v/>
      </c>
      <c r="AK341" s="1">
        <f t="shared" ref="AK341:AL341" si="695">sum(Y341,AB341,AE341,AH341)</f>
        <v>0</v>
      </c>
      <c r="AL341" s="1">
        <f t="shared" si="695"/>
        <v>0</v>
      </c>
      <c r="AM341" s="17" t="str">
        <f t="shared" si="14"/>
        <v/>
      </c>
      <c r="AN341" s="1">
        <f>value(IFERROR(SUBSTITUTE(SUBSTITUTE(VLOOKUP($A341,'Quarterly Pipeline vs Target Pi'!$A:$AP,26,false)," $","")," €",""), "")
)</f>
        <v>0</v>
      </c>
      <c r="AO341" s="1">
        <f>value(IFERROR(SUBSTITUTE(SUBSTITUTE(VLOOKUP($A341,'Quarterly Pipeline vs Target Pi'!$A:$AP,27,false)," $","")," €",""), "")
)</f>
        <v>0</v>
      </c>
      <c r="AP341" s="17" t="str">
        <f t="shared" si="15"/>
        <v/>
      </c>
      <c r="AQ341" s="1">
        <f>value(IFERROR(SUBSTITUTE(SUBSTITUTE(VLOOKUP($A341,'Quarterly Pipeline vs Target Pi'!$A:$AP,31,false)," $","")," €",""), "")
)</f>
        <v>0</v>
      </c>
      <c r="AR341" s="1">
        <f>value(IFERROR(SUBSTITUTE(SUBSTITUTE(VLOOKUP($A341,'Quarterly Pipeline vs Target Pi'!$A:$AP,32,false)," $","")," €",""), "")
)</f>
        <v>0</v>
      </c>
      <c r="AS341" s="17" t="str">
        <f t="shared" si="16"/>
        <v/>
      </c>
      <c r="AT341" s="1">
        <f>value(IFERROR(SUBSTITUTE(SUBSTITUTE(VLOOKUP($A341,'Quarterly Pipeline vs Target Pi'!$A:$AP,36,false)," $","")," €",""), "")
)</f>
        <v>0</v>
      </c>
      <c r="AU341" s="1">
        <f>value(IFERROR(SUBSTITUTE(SUBSTITUTE(VLOOKUP($A341,'Quarterly Pipeline vs Target Pi'!$A:$AP,37,false)," $","")," €",""), "")
)</f>
        <v>0</v>
      </c>
      <c r="AV341" s="17" t="str">
        <f t="shared" si="17"/>
        <v/>
      </c>
      <c r="AW341" s="1">
        <f>value(IFERROR(SUBSTITUTE(SUBSTITUTE(VLOOKUP($A341,'Quarterly Pipeline vs Target Pi'!$A:$AP,41,false)," $","")," €",""), "")
)</f>
        <v>0</v>
      </c>
      <c r="AX341" s="1">
        <f>value(IFERROR(SUBSTITUTE(SUBSTITUTE(VLOOKUP($A341,'Quarterly Pipeline vs Target Pi'!$A:$AP,42,false)," $","")," €",""), "")
)</f>
        <v>0</v>
      </c>
      <c r="AY341" s="17" t="str">
        <f t="shared" si="18"/>
        <v/>
      </c>
      <c r="AZ341" s="1">
        <f t="shared" ref="AZ341:BA341" si="696">sum(AN341,AQ341,AT341,AW341)</f>
        <v>0</v>
      </c>
      <c r="BA341" s="1">
        <f t="shared" si="696"/>
        <v>0</v>
      </c>
      <c r="BB341" s="17" t="str">
        <f t="shared" si="20"/>
        <v/>
      </c>
    </row>
    <row r="342">
      <c r="A342" s="1" t="str">
        <f>IFERROR(__xludf.DUMMYFUNCTION("""COMPUTED_VALUE"""),"63ef9d61384f27260c1bb2ad")</f>
        <v>63ef9d61384f27260c1bb2ad</v>
      </c>
      <c r="B342" s="1" t="str">
        <f>IFERROR(__xludf.DUMMYFUNCTION("""COMPUTED_VALUE"""),"phone-point GmbH")</f>
        <v>phone-point GmbH</v>
      </c>
      <c r="C342" s="1" t="str">
        <f>IFERROR(__xludf.DUMMYFUNCTION("""COMPUTED_VALUE"""),"michael.moog@al-enterprise.com")</f>
        <v>michael.moog@al-enterprise.com</v>
      </c>
      <c r="D342" s="1" t="str">
        <f>IFERROR(__xludf.DUMMYFUNCTION("""COMPUTED_VALUE"""),"germany")</f>
        <v>germany</v>
      </c>
      <c r="E342" s="1" t="str">
        <f>IFERROR(__xludf.DUMMYFUNCTION("""COMPUTED_VALUE"""),"DE")</f>
        <v>DE</v>
      </c>
      <c r="F342" s="1"/>
      <c r="G342" s="1" t="str">
        <f>iferror(VLOOKUP(A342,'Business Plan Setup and Accepta'!A:G,6,false),"")</f>
        <v/>
      </c>
      <c r="H342" s="1" t="str">
        <f>iferror(VLOOKUP(A342,'Business Plan Setup and Accepta'!A:G,7,false),"")</f>
        <v/>
      </c>
      <c r="I342" s="17" t="str">
        <f t="shared" si="3"/>
        <v/>
      </c>
      <c r="J342" s="1" t="str">
        <f>IFERROR(VALUE(SUBSTITUTE(VLOOKUP(A342,'Sales IN Revenues vs Sales targ'!A:G,6,false)," $","")), "")
</f>
        <v/>
      </c>
      <c r="K342" s="1" t="str">
        <f>IFERROR(VALUE(SUBSTITUTE(VLOOKUP(A342,'Sales IN Revenues vs Sales targ'!A:G,7,false)," $","")), "")
</f>
        <v/>
      </c>
      <c r="L342" s="17" t="str">
        <f t="shared" si="4"/>
        <v/>
      </c>
      <c r="M342" s="1">
        <f>value(SUBSTITUTE(IFERROR(VLOOKUP(A342,'Certifications achievements vs '!A:G,6,false),""),"#","")
)</f>
        <v>0</v>
      </c>
      <c r="N342" s="1">
        <f>value(SUBSTITUTE(IFERROR(VLOOKUP(A342,'Certifications achievements vs '!A:G,7,false),""),"#","")
)</f>
        <v>0</v>
      </c>
      <c r="O342" s="17" t="str">
        <f t="shared" si="5"/>
        <v/>
      </c>
      <c r="P342" s="1">
        <f>value(SUBSTITUTE(IFERROR(VLOOKUP(A342,'Communications - Solution Speci'!A:G,6,false),""),"#","")
)</f>
        <v>0</v>
      </c>
      <c r="Q342" s="1">
        <f>value(SUBSTITUTE(IFERROR(VLOOKUP(A342,'Communications - Solution Speci'!A:G,7,false),""),"#","")
)</f>
        <v>0</v>
      </c>
      <c r="R342" s="17" t="str">
        <f t="shared" si="6"/>
        <v/>
      </c>
      <c r="S342" s="1">
        <f>value(SUBSTITUTE(IFERROR(VLOOKUP(A342,'Networking - Solution Specializ'!A:G,6,false),""),"#","")
)</f>
        <v>0</v>
      </c>
      <c r="T342" s="1">
        <f>value(SUBSTITUTE(IFERROR(VLOOKUP(A342,'Networking - Solution Specializ'!A:G,7,false),""),"#","")
)</f>
        <v>0</v>
      </c>
      <c r="U342" s="17" t="str">
        <f t="shared" si="7"/>
        <v/>
      </c>
      <c r="V342" s="1" t="str">
        <f>iferror(vlookup(A342,'Marketing Plan (extract summary'!A:G,6,false),"")</f>
        <v/>
      </c>
      <c r="W342" s="1" t="str">
        <f>iferror(vlookup(A342,'Marketing Plan (extract summary'!A:G,7,false),"")</f>
        <v/>
      </c>
      <c r="X342" s="17" t="str">
        <f t="shared" si="8"/>
        <v/>
      </c>
      <c r="Y342" s="1">
        <f>value(IFERROR(SUBSTITUTE(SUBSTITUTE(VLOOKUP(A342,'Quarterly Pipeline vs Target Pi'!A:G,6,false)," $","")," €",""), "")
)</f>
        <v>0</v>
      </c>
      <c r="Z342" s="1">
        <f>value(IFERROR(SUBSTITUTE(SUBSTITUTE(VLOOKUP(A342,'Quarterly Pipeline vs Target Pi'!A:G,7,false)," $","")," €",""), "")
)</f>
        <v>0</v>
      </c>
      <c r="AA342" s="17" t="str">
        <f t="shared" si="9"/>
        <v/>
      </c>
      <c r="AB342" s="1">
        <f>value(IFERROR(SUBSTITUTE(SUBSTITUTE(VLOOKUP($A342,'Quarterly Pipeline vs Target Pi'!$A:$V,11,false)," $","")," €",""), "")
)</f>
        <v>0</v>
      </c>
      <c r="AC342" s="1">
        <f>value(IFERROR(SUBSTITUTE(SUBSTITUTE(VLOOKUP($A342,'Quarterly Pipeline vs Target Pi'!$A:$V,12,false)," $","")," €",""), "")
)</f>
        <v>0</v>
      </c>
      <c r="AD342" s="17" t="str">
        <f t="shared" si="10"/>
        <v/>
      </c>
      <c r="AE342" s="1">
        <f>value(IFERROR(SUBSTITUTE(SUBSTITUTE(VLOOKUP($A342,'Quarterly Pipeline vs Target Pi'!$A:$V,16,false)," $","")," €",""), "")
)</f>
        <v>0</v>
      </c>
      <c r="AF342" s="1">
        <f>value(IFERROR(SUBSTITUTE(SUBSTITUTE(VLOOKUP($A342,'Quarterly Pipeline vs Target Pi'!$A:$V,17,false)," $","")," €",""), "")
)</f>
        <v>0</v>
      </c>
      <c r="AG342" s="17" t="str">
        <f t="shared" si="11"/>
        <v/>
      </c>
      <c r="AH342" s="1">
        <f>value(IFERROR(SUBSTITUTE(SUBSTITUTE(VLOOKUP($A342,'Quarterly Pipeline vs Target Pi'!$A:$V,21,false)," $","")," €",""), "")
)</f>
        <v>0</v>
      </c>
      <c r="AI342" s="1">
        <f>value(IFERROR(SUBSTITUTE(SUBSTITUTE(VLOOKUP($A342,'Quarterly Pipeline vs Target Pi'!$A:$V,22,false)," $","")," €",""), "")
)</f>
        <v>0</v>
      </c>
      <c r="AJ342" s="17" t="str">
        <f t="shared" si="12"/>
        <v/>
      </c>
      <c r="AK342" s="1">
        <f t="shared" ref="AK342:AL342" si="697">sum(Y342,AB342,AE342,AH342)</f>
        <v>0</v>
      </c>
      <c r="AL342" s="1">
        <f t="shared" si="697"/>
        <v>0</v>
      </c>
      <c r="AM342" s="17" t="str">
        <f t="shared" si="14"/>
        <v/>
      </c>
      <c r="AN342" s="1">
        <f>value(IFERROR(SUBSTITUTE(SUBSTITUTE(VLOOKUP($A342,'Quarterly Pipeline vs Target Pi'!$A:$AP,26,false)," $","")," €",""), "")
)</f>
        <v>0</v>
      </c>
      <c r="AO342" s="1">
        <f>value(IFERROR(SUBSTITUTE(SUBSTITUTE(VLOOKUP($A342,'Quarterly Pipeline vs Target Pi'!$A:$AP,27,false)," $","")," €",""), "")
)</f>
        <v>0</v>
      </c>
      <c r="AP342" s="17" t="str">
        <f t="shared" si="15"/>
        <v/>
      </c>
      <c r="AQ342" s="1">
        <f>value(IFERROR(SUBSTITUTE(SUBSTITUTE(VLOOKUP($A342,'Quarterly Pipeline vs Target Pi'!$A:$AP,31,false)," $","")," €",""), "")
)</f>
        <v>0</v>
      </c>
      <c r="AR342" s="1">
        <f>value(IFERROR(SUBSTITUTE(SUBSTITUTE(VLOOKUP($A342,'Quarterly Pipeline vs Target Pi'!$A:$AP,32,false)," $","")," €",""), "")
)</f>
        <v>0</v>
      </c>
      <c r="AS342" s="17" t="str">
        <f t="shared" si="16"/>
        <v/>
      </c>
      <c r="AT342" s="1">
        <f>value(IFERROR(SUBSTITUTE(SUBSTITUTE(VLOOKUP($A342,'Quarterly Pipeline vs Target Pi'!$A:$AP,36,false)," $","")," €",""), "")
)</f>
        <v>0</v>
      </c>
      <c r="AU342" s="1">
        <f>value(IFERROR(SUBSTITUTE(SUBSTITUTE(VLOOKUP($A342,'Quarterly Pipeline vs Target Pi'!$A:$AP,37,false)," $","")," €",""), "")
)</f>
        <v>0</v>
      </c>
      <c r="AV342" s="17" t="str">
        <f t="shared" si="17"/>
        <v/>
      </c>
      <c r="AW342" s="1">
        <f>value(IFERROR(SUBSTITUTE(SUBSTITUTE(VLOOKUP($A342,'Quarterly Pipeline vs Target Pi'!$A:$AP,41,false)," $","")," €",""), "")
)</f>
        <v>0</v>
      </c>
      <c r="AX342" s="1">
        <f>value(IFERROR(SUBSTITUTE(SUBSTITUTE(VLOOKUP($A342,'Quarterly Pipeline vs Target Pi'!$A:$AP,42,false)," $","")," €",""), "")
)</f>
        <v>0</v>
      </c>
      <c r="AY342" s="17" t="str">
        <f t="shared" si="18"/>
        <v/>
      </c>
      <c r="AZ342" s="1">
        <f t="shared" ref="AZ342:BA342" si="698">sum(AN342,AQ342,AT342,AW342)</f>
        <v>0</v>
      </c>
      <c r="BA342" s="1">
        <f t="shared" si="698"/>
        <v>0</v>
      </c>
      <c r="BB342" s="17" t="str">
        <f t="shared" si="20"/>
        <v/>
      </c>
    </row>
    <row r="343">
      <c r="A343" s="1" t="str">
        <f>IFERROR(__xludf.DUMMYFUNCTION("""COMPUTED_VALUE"""),"63ced84dc5c820531c2696f8")</f>
        <v>63ced84dc5c820531c2696f8</v>
      </c>
      <c r="B343" s="1" t="str">
        <f>IFERROR(__xludf.DUMMYFUNCTION("""COMPUTED_VALUE"""),"Pinnacle Communications Corporation")</f>
        <v>Pinnacle Communications Corporation</v>
      </c>
      <c r="C343" s="1" t="str">
        <f>IFERROR(__xludf.DUMMYFUNCTION("""COMPUTED_VALUE"""),"brendan.flaherty@al-enterprise.com")</f>
        <v>brendan.flaherty@al-enterprise.com</v>
      </c>
      <c r="D343" s="1" t="str">
        <f>IFERROR(__xludf.DUMMYFUNCTION("""COMPUTED_VALUE"""),"americas")</f>
        <v>americas</v>
      </c>
      <c r="E343" s="1" t="str">
        <f>IFERROR(__xludf.DUMMYFUNCTION("""COMPUTED_VALUE"""),"US")</f>
        <v>US</v>
      </c>
      <c r="F343" s="1"/>
      <c r="G343" s="1" t="str">
        <f>iferror(VLOOKUP(A343,'Business Plan Setup and Accepta'!A:G,6,false),"")</f>
        <v/>
      </c>
      <c r="H343" s="1" t="str">
        <f>iferror(VLOOKUP(A343,'Business Plan Setup and Accepta'!A:G,7,false),"")</f>
        <v/>
      </c>
      <c r="I343" s="17" t="str">
        <f t="shared" si="3"/>
        <v/>
      </c>
      <c r="J343" s="1" t="str">
        <f>IFERROR(VALUE(SUBSTITUTE(VLOOKUP(A343,'Sales IN Revenues vs Sales targ'!A:G,6,false)," $","")), "")
</f>
        <v/>
      </c>
      <c r="K343" s="1" t="str">
        <f>IFERROR(VALUE(SUBSTITUTE(VLOOKUP(A343,'Sales IN Revenues vs Sales targ'!A:G,7,false)," $","")), "")
</f>
        <v/>
      </c>
      <c r="L343" s="17" t="str">
        <f t="shared" si="4"/>
        <v/>
      </c>
      <c r="M343" s="1">
        <f>value(SUBSTITUTE(IFERROR(VLOOKUP(A343,'Certifications achievements vs '!A:G,6,false),""),"#","")
)</f>
        <v>0</v>
      </c>
      <c r="N343" s="1">
        <f>value(SUBSTITUTE(IFERROR(VLOOKUP(A343,'Certifications achievements vs '!A:G,7,false),""),"#","")
)</f>
        <v>0</v>
      </c>
      <c r="O343" s="17" t="str">
        <f t="shared" si="5"/>
        <v/>
      </c>
      <c r="P343" s="1">
        <f>value(SUBSTITUTE(IFERROR(VLOOKUP(A343,'Communications - Solution Speci'!A:G,6,false),""),"#","")
)</f>
        <v>0</v>
      </c>
      <c r="Q343" s="1">
        <f>value(SUBSTITUTE(IFERROR(VLOOKUP(A343,'Communications - Solution Speci'!A:G,7,false),""),"#","")
)</f>
        <v>0</v>
      </c>
      <c r="R343" s="17" t="str">
        <f t="shared" si="6"/>
        <v/>
      </c>
      <c r="S343" s="1">
        <f>value(SUBSTITUTE(IFERROR(VLOOKUP(A343,'Networking - Solution Specializ'!A:G,6,false),""),"#","")
)</f>
        <v>0</v>
      </c>
      <c r="T343" s="1">
        <f>value(SUBSTITUTE(IFERROR(VLOOKUP(A343,'Networking - Solution Specializ'!A:G,7,false),""),"#","")
)</f>
        <v>0</v>
      </c>
      <c r="U343" s="17" t="str">
        <f t="shared" si="7"/>
        <v/>
      </c>
      <c r="V343" s="1" t="str">
        <f>iferror(vlookup(A343,'Marketing Plan (extract summary'!A:G,6,false),"")</f>
        <v/>
      </c>
      <c r="W343" s="1" t="str">
        <f>iferror(vlookup(A343,'Marketing Plan (extract summary'!A:G,7,false),"")</f>
        <v/>
      </c>
      <c r="X343" s="17" t="str">
        <f t="shared" si="8"/>
        <v/>
      </c>
      <c r="Y343" s="1">
        <f>value(IFERROR(SUBSTITUTE(SUBSTITUTE(VLOOKUP(A343,'Quarterly Pipeline vs Target Pi'!A:G,6,false)," $","")," €",""), "")
)</f>
        <v>0</v>
      </c>
      <c r="Z343" s="1">
        <f>value(IFERROR(SUBSTITUTE(SUBSTITUTE(VLOOKUP(A343,'Quarterly Pipeline vs Target Pi'!A:G,7,false)," $","")," €",""), "")
)</f>
        <v>0</v>
      </c>
      <c r="AA343" s="17" t="str">
        <f t="shared" si="9"/>
        <v/>
      </c>
      <c r="AB343" s="1">
        <f>value(IFERROR(SUBSTITUTE(SUBSTITUTE(VLOOKUP($A343,'Quarterly Pipeline vs Target Pi'!$A:$V,11,false)," $","")," €",""), "")
)</f>
        <v>0</v>
      </c>
      <c r="AC343" s="1">
        <f>value(IFERROR(SUBSTITUTE(SUBSTITUTE(VLOOKUP($A343,'Quarterly Pipeline vs Target Pi'!$A:$V,12,false)," $","")," €",""), "")
)</f>
        <v>0</v>
      </c>
      <c r="AD343" s="17" t="str">
        <f t="shared" si="10"/>
        <v/>
      </c>
      <c r="AE343" s="1">
        <f>value(IFERROR(SUBSTITUTE(SUBSTITUTE(VLOOKUP($A343,'Quarterly Pipeline vs Target Pi'!$A:$V,16,false)," $","")," €",""), "")
)</f>
        <v>0</v>
      </c>
      <c r="AF343" s="1">
        <f>value(IFERROR(SUBSTITUTE(SUBSTITUTE(VLOOKUP($A343,'Quarterly Pipeline vs Target Pi'!$A:$V,17,false)," $","")," €",""), "")
)</f>
        <v>0</v>
      </c>
      <c r="AG343" s="17" t="str">
        <f t="shared" si="11"/>
        <v/>
      </c>
      <c r="AH343" s="1">
        <f>value(IFERROR(SUBSTITUTE(SUBSTITUTE(VLOOKUP($A343,'Quarterly Pipeline vs Target Pi'!$A:$V,21,false)," $","")," €",""), "")
)</f>
        <v>0</v>
      </c>
      <c r="AI343" s="1">
        <f>value(IFERROR(SUBSTITUTE(SUBSTITUTE(VLOOKUP($A343,'Quarterly Pipeline vs Target Pi'!$A:$V,22,false)," $","")," €",""), "")
)</f>
        <v>0</v>
      </c>
      <c r="AJ343" s="17" t="str">
        <f t="shared" si="12"/>
        <v/>
      </c>
      <c r="AK343" s="1">
        <f t="shared" ref="AK343:AL343" si="699">sum(Y343,AB343,AE343,AH343)</f>
        <v>0</v>
      </c>
      <c r="AL343" s="1">
        <f t="shared" si="699"/>
        <v>0</v>
      </c>
      <c r="AM343" s="17" t="str">
        <f t="shared" si="14"/>
        <v/>
      </c>
      <c r="AN343" s="1">
        <f>value(IFERROR(SUBSTITUTE(SUBSTITUTE(VLOOKUP($A343,'Quarterly Pipeline vs Target Pi'!$A:$AP,26,false)," $","")," €",""), "")
)</f>
        <v>0</v>
      </c>
      <c r="AO343" s="1">
        <f>value(IFERROR(SUBSTITUTE(SUBSTITUTE(VLOOKUP($A343,'Quarterly Pipeline vs Target Pi'!$A:$AP,27,false)," $","")," €",""), "")
)</f>
        <v>0</v>
      </c>
      <c r="AP343" s="17" t="str">
        <f t="shared" si="15"/>
        <v/>
      </c>
      <c r="AQ343" s="1">
        <f>value(IFERROR(SUBSTITUTE(SUBSTITUTE(VLOOKUP($A343,'Quarterly Pipeline vs Target Pi'!$A:$AP,31,false)," $","")," €",""), "")
)</f>
        <v>0</v>
      </c>
      <c r="AR343" s="1">
        <f>value(IFERROR(SUBSTITUTE(SUBSTITUTE(VLOOKUP($A343,'Quarterly Pipeline vs Target Pi'!$A:$AP,32,false)," $","")," €",""), "")
)</f>
        <v>0</v>
      </c>
      <c r="AS343" s="17" t="str">
        <f t="shared" si="16"/>
        <v/>
      </c>
      <c r="AT343" s="1">
        <f>value(IFERROR(SUBSTITUTE(SUBSTITUTE(VLOOKUP($A343,'Quarterly Pipeline vs Target Pi'!$A:$AP,36,false)," $","")," €",""), "")
)</f>
        <v>0</v>
      </c>
      <c r="AU343" s="1">
        <f>value(IFERROR(SUBSTITUTE(SUBSTITUTE(VLOOKUP($A343,'Quarterly Pipeline vs Target Pi'!$A:$AP,37,false)," $","")," €",""), "")
)</f>
        <v>0</v>
      </c>
      <c r="AV343" s="17" t="str">
        <f t="shared" si="17"/>
        <v/>
      </c>
      <c r="AW343" s="1">
        <f>value(IFERROR(SUBSTITUTE(SUBSTITUTE(VLOOKUP($A343,'Quarterly Pipeline vs Target Pi'!$A:$AP,41,false)," $","")," €",""), "")
)</f>
        <v>0</v>
      </c>
      <c r="AX343" s="1">
        <f>value(IFERROR(SUBSTITUTE(SUBSTITUTE(VLOOKUP($A343,'Quarterly Pipeline vs Target Pi'!$A:$AP,42,false)," $","")," €",""), "")
)</f>
        <v>0</v>
      </c>
      <c r="AY343" s="17" t="str">
        <f t="shared" si="18"/>
        <v/>
      </c>
      <c r="AZ343" s="1">
        <f t="shared" ref="AZ343:BA343" si="700">sum(AN343,AQ343,AT343,AW343)</f>
        <v>0</v>
      </c>
      <c r="BA343" s="1">
        <f t="shared" si="700"/>
        <v>0</v>
      </c>
      <c r="BB343" s="17" t="str">
        <f t="shared" si="20"/>
        <v/>
      </c>
    </row>
    <row r="344">
      <c r="A344" s="1" t="str">
        <f>IFERROR(__xludf.DUMMYFUNCTION("""COMPUTED_VALUE"""),"63ced84dc5c820531c2697ac")</f>
        <v>63ced84dc5c820531c2697ac</v>
      </c>
      <c r="B344" s="1" t="str">
        <f>IFERROR(__xludf.DUMMYFUNCTION("""COMPUTED_VALUE"""),"Pinnacle Networx, LLC")</f>
        <v>Pinnacle Networx, LLC</v>
      </c>
      <c r="C344" s="1" t="str">
        <f>IFERROR(__xludf.DUMMYFUNCTION("""COMPUTED_VALUE"""),"luigy.estevanell@al-enterprise.com")</f>
        <v>luigy.estevanell@al-enterprise.com</v>
      </c>
      <c r="D344" s="1" t="str">
        <f>IFERROR(__xludf.DUMMYFUNCTION("""COMPUTED_VALUE"""),"americas")</f>
        <v>americas</v>
      </c>
      <c r="E344" s="1" t="str">
        <f>IFERROR(__xludf.DUMMYFUNCTION("""COMPUTED_VALUE"""),"US")</f>
        <v>US</v>
      </c>
      <c r="F344" s="1"/>
      <c r="G344" s="1" t="str">
        <f>iferror(VLOOKUP(A344,'Business Plan Setup and Accepta'!A:G,6,false),"")</f>
        <v/>
      </c>
      <c r="H344" s="1" t="str">
        <f>iferror(VLOOKUP(A344,'Business Plan Setup and Accepta'!A:G,7,false),"")</f>
        <v/>
      </c>
      <c r="I344" s="17" t="str">
        <f t="shared" si="3"/>
        <v/>
      </c>
      <c r="J344" s="1" t="str">
        <f>IFERROR(VALUE(SUBSTITUTE(VLOOKUP(A344,'Sales IN Revenues vs Sales targ'!A:G,6,false)," $","")), "")
</f>
        <v/>
      </c>
      <c r="K344" s="1" t="str">
        <f>IFERROR(VALUE(SUBSTITUTE(VLOOKUP(A344,'Sales IN Revenues vs Sales targ'!A:G,7,false)," $","")), "")
</f>
        <v/>
      </c>
      <c r="L344" s="17" t="str">
        <f t="shared" si="4"/>
        <v/>
      </c>
      <c r="M344" s="1">
        <f>value(SUBSTITUTE(IFERROR(VLOOKUP(A344,'Certifications achievements vs '!A:G,6,false),""),"#","")
)</f>
        <v>0</v>
      </c>
      <c r="N344" s="1">
        <f>value(SUBSTITUTE(IFERROR(VLOOKUP(A344,'Certifications achievements vs '!A:G,7,false),""),"#","")
)</f>
        <v>0</v>
      </c>
      <c r="O344" s="17" t="str">
        <f t="shared" si="5"/>
        <v/>
      </c>
      <c r="P344" s="1">
        <f>value(SUBSTITUTE(IFERROR(VLOOKUP(A344,'Communications - Solution Speci'!A:G,6,false),""),"#","")
)</f>
        <v>0</v>
      </c>
      <c r="Q344" s="1">
        <f>value(SUBSTITUTE(IFERROR(VLOOKUP(A344,'Communications - Solution Speci'!A:G,7,false),""),"#","")
)</f>
        <v>0</v>
      </c>
      <c r="R344" s="17" t="str">
        <f t="shared" si="6"/>
        <v/>
      </c>
      <c r="S344" s="1">
        <f>value(SUBSTITUTE(IFERROR(VLOOKUP(A344,'Networking - Solution Specializ'!A:G,6,false),""),"#","")
)</f>
        <v>0</v>
      </c>
      <c r="T344" s="1">
        <f>value(SUBSTITUTE(IFERROR(VLOOKUP(A344,'Networking - Solution Specializ'!A:G,7,false),""),"#","")
)</f>
        <v>0</v>
      </c>
      <c r="U344" s="17" t="str">
        <f t="shared" si="7"/>
        <v/>
      </c>
      <c r="V344" s="1" t="str">
        <f>iferror(vlookup(A344,'Marketing Plan (extract summary'!A:G,6,false),"")</f>
        <v/>
      </c>
      <c r="W344" s="1" t="str">
        <f>iferror(vlookup(A344,'Marketing Plan (extract summary'!A:G,7,false),"")</f>
        <v/>
      </c>
      <c r="X344" s="17" t="str">
        <f t="shared" si="8"/>
        <v/>
      </c>
      <c r="Y344" s="1">
        <f>value(IFERROR(SUBSTITUTE(SUBSTITUTE(VLOOKUP(A344,'Quarterly Pipeline vs Target Pi'!A:G,6,false)," $","")," €",""), "")
)</f>
        <v>0</v>
      </c>
      <c r="Z344" s="1">
        <f>value(IFERROR(SUBSTITUTE(SUBSTITUTE(VLOOKUP(A344,'Quarterly Pipeline vs Target Pi'!A:G,7,false)," $","")," €",""), "")
)</f>
        <v>0</v>
      </c>
      <c r="AA344" s="17" t="str">
        <f t="shared" si="9"/>
        <v/>
      </c>
      <c r="AB344" s="1">
        <f>value(IFERROR(SUBSTITUTE(SUBSTITUTE(VLOOKUP($A344,'Quarterly Pipeline vs Target Pi'!$A:$V,11,false)," $","")," €",""), "")
)</f>
        <v>0</v>
      </c>
      <c r="AC344" s="1">
        <f>value(IFERROR(SUBSTITUTE(SUBSTITUTE(VLOOKUP($A344,'Quarterly Pipeline vs Target Pi'!$A:$V,12,false)," $","")," €",""), "")
)</f>
        <v>0</v>
      </c>
      <c r="AD344" s="17" t="str">
        <f t="shared" si="10"/>
        <v/>
      </c>
      <c r="AE344" s="1">
        <f>value(IFERROR(SUBSTITUTE(SUBSTITUTE(VLOOKUP($A344,'Quarterly Pipeline vs Target Pi'!$A:$V,16,false)," $","")," €",""), "")
)</f>
        <v>0</v>
      </c>
      <c r="AF344" s="1">
        <f>value(IFERROR(SUBSTITUTE(SUBSTITUTE(VLOOKUP($A344,'Quarterly Pipeline vs Target Pi'!$A:$V,17,false)," $","")," €",""), "")
)</f>
        <v>0</v>
      </c>
      <c r="AG344" s="17" t="str">
        <f t="shared" si="11"/>
        <v/>
      </c>
      <c r="AH344" s="1">
        <f>value(IFERROR(SUBSTITUTE(SUBSTITUTE(VLOOKUP($A344,'Quarterly Pipeline vs Target Pi'!$A:$V,21,false)," $","")," €",""), "")
)</f>
        <v>0</v>
      </c>
      <c r="AI344" s="1">
        <f>value(IFERROR(SUBSTITUTE(SUBSTITUTE(VLOOKUP($A344,'Quarterly Pipeline vs Target Pi'!$A:$V,22,false)," $","")," €",""), "")
)</f>
        <v>0</v>
      </c>
      <c r="AJ344" s="17" t="str">
        <f t="shared" si="12"/>
        <v/>
      </c>
      <c r="AK344" s="1">
        <f t="shared" ref="AK344:AL344" si="701">sum(Y344,AB344,AE344,AH344)</f>
        <v>0</v>
      </c>
      <c r="AL344" s="1">
        <f t="shared" si="701"/>
        <v>0</v>
      </c>
      <c r="AM344" s="17" t="str">
        <f t="shared" si="14"/>
        <v/>
      </c>
      <c r="AN344" s="1">
        <f>value(IFERROR(SUBSTITUTE(SUBSTITUTE(VLOOKUP($A344,'Quarterly Pipeline vs Target Pi'!$A:$AP,26,false)," $","")," €",""), "")
)</f>
        <v>0</v>
      </c>
      <c r="AO344" s="1">
        <f>value(IFERROR(SUBSTITUTE(SUBSTITUTE(VLOOKUP($A344,'Quarterly Pipeline vs Target Pi'!$A:$AP,27,false)," $","")," €",""), "")
)</f>
        <v>0</v>
      </c>
      <c r="AP344" s="17" t="str">
        <f t="shared" si="15"/>
        <v/>
      </c>
      <c r="AQ344" s="1">
        <f>value(IFERROR(SUBSTITUTE(SUBSTITUTE(VLOOKUP($A344,'Quarterly Pipeline vs Target Pi'!$A:$AP,31,false)," $","")," €",""), "")
)</f>
        <v>0</v>
      </c>
      <c r="AR344" s="1">
        <f>value(IFERROR(SUBSTITUTE(SUBSTITUTE(VLOOKUP($A344,'Quarterly Pipeline vs Target Pi'!$A:$AP,32,false)," $","")," €",""), "")
)</f>
        <v>0</v>
      </c>
      <c r="AS344" s="17" t="str">
        <f t="shared" si="16"/>
        <v/>
      </c>
      <c r="AT344" s="1">
        <f>value(IFERROR(SUBSTITUTE(SUBSTITUTE(VLOOKUP($A344,'Quarterly Pipeline vs Target Pi'!$A:$AP,36,false)," $","")," €",""), "")
)</f>
        <v>0</v>
      </c>
      <c r="AU344" s="1">
        <f>value(IFERROR(SUBSTITUTE(SUBSTITUTE(VLOOKUP($A344,'Quarterly Pipeline vs Target Pi'!$A:$AP,37,false)," $","")," €",""), "")
)</f>
        <v>0</v>
      </c>
      <c r="AV344" s="17" t="str">
        <f t="shared" si="17"/>
        <v/>
      </c>
      <c r="AW344" s="1">
        <f>value(IFERROR(SUBSTITUTE(SUBSTITUTE(VLOOKUP($A344,'Quarterly Pipeline vs Target Pi'!$A:$AP,41,false)," $","")," €",""), "")
)</f>
        <v>0</v>
      </c>
      <c r="AX344" s="1">
        <f>value(IFERROR(SUBSTITUTE(SUBSTITUTE(VLOOKUP($A344,'Quarterly Pipeline vs Target Pi'!$A:$AP,42,false)," $","")," €",""), "")
)</f>
        <v>0</v>
      </c>
      <c r="AY344" s="17" t="str">
        <f t="shared" si="18"/>
        <v/>
      </c>
      <c r="AZ344" s="1">
        <f t="shared" ref="AZ344:BA344" si="702">sum(AN344,AQ344,AT344,AW344)</f>
        <v>0</v>
      </c>
      <c r="BA344" s="1">
        <f t="shared" si="702"/>
        <v>0</v>
      </c>
      <c r="BB344" s="17" t="str">
        <f t="shared" si="20"/>
        <v/>
      </c>
    </row>
    <row r="345">
      <c r="A345" s="1" t="str">
        <f>IFERROR(__xludf.DUMMYFUNCTION("""COMPUTED_VALUE"""),"67d436a894cd1f68cd06bc12")</f>
        <v>67d436a894cd1f68cd06bc12</v>
      </c>
      <c r="B345" s="1" t="str">
        <f>IFERROR(__xludf.DUMMYFUNCTION("""COMPUTED_VALUE"""),"PKE Mediacom GmbH")</f>
        <v>PKE Mediacom GmbH</v>
      </c>
      <c r="C345" s="1" t="str">
        <f>IFERROR(__xludf.DUMMYFUNCTION("""COMPUTED_VALUE"""),"holger.viktor@al-enterprise.com")</f>
        <v>holger.viktor@al-enterprise.com</v>
      </c>
      <c r="D345" s="1" t="str">
        <f>IFERROR(__xludf.DUMMYFUNCTION("""COMPUTED_VALUE"""),"germany")</f>
        <v>germany</v>
      </c>
      <c r="E345" s="1" t="str">
        <f>IFERROR(__xludf.DUMMYFUNCTION("""COMPUTED_VALUE"""),"DE")</f>
        <v>DE</v>
      </c>
      <c r="F345" s="1" t="str">
        <f>IFERROR(__xludf.DUMMYFUNCTION("""COMPUTED_VALUE"""),"expert_1000")</f>
        <v>expert_1000</v>
      </c>
      <c r="G345" s="1">
        <f>iferror(VLOOKUP(A345,'Business Plan Setup and Accepta'!A:G,6,false),"")</f>
        <v>1</v>
      </c>
      <c r="H345" s="1">
        <f>iferror(VLOOKUP(A345,'Business Plan Setup and Accepta'!A:G,7,false),"")</f>
        <v>1</v>
      </c>
      <c r="I345" s="17">
        <f t="shared" si="3"/>
        <v>1</v>
      </c>
      <c r="J345" s="1">
        <f>IFERROR(VALUE(SUBSTITUTE(VLOOKUP(A345,'Sales IN Revenues vs Sales targ'!A:G,6,false)," $","")), "")
</f>
        <v>188.58</v>
      </c>
      <c r="K345" s="1">
        <f>IFERROR(VALUE(SUBSTITUTE(VLOOKUP(A345,'Sales IN Revenues vs Sales targ'!A:G,7,false)," $","")), "")
</f>
        <v>1150</v>
      </c>
      <c r="L345" s="17">
        <f t="shared" si="4"/>
        <v>0.1639826087</v>
      </c>
      <c r="M345" s="1">
        <f>value(SUBSTITUTE(IFERROR(VLOOKUP(A345,'Certifications achievements vs '!A:G,6,false),""),"#","")
)</f>
        <v>0</v>
      </c>
      <c r="N345" s="1">
        <f>value(SUBSTITUTE(IFERROR(VLOOKUP(A345,'Certifications achievements vs '!A:G,7,false),""),"#","")
)</f>
        <v>0</v>
      </c>
      <c r="O345" s="17" t="str">
        <f t="shared" si="5"/>
        <v/>
      </c>
      <c r="P345" s="1">
        <f>value(SUBSTITUTE(IFERROR(VLOOKUP(A345,'Communications - Solution Speci'!A:G,6,false),""),"#","")
)</f>
        <v>0</v>
      </c>
      <c r="Q345" s="1">
        <f>value(SUBSTITUTE(IFERROR(VLOOKUP(A345,'Communications - Solution Speci'!A:G,7,false),""),"#","")
)</f>
        <v>1</v>
      </c>
      <c r="R345" s="17">
        <f t="shared" si="6"/>
        <v>0</v>
      </c>
      <c r="S345" s="1">
        <f>value(SUBSTITUTE(IFERROR(VLOOKUP(A345,'Networking - Solution Specializ'!A:G,6,false),""),"#","")
)</f>
        <v>0</v>
      </c>
      <c r="T345" s="1">
        <f>value(SUBSTITUTE(IFERROR(VLOOKUP(A345,'Networking - Solution Specializ'!A:G,7,false),""),"#","")
)</f>
        <v>1</v>
      </c>
      <c r="U345" s="17">
        <f t="shared" si="7"/>
        <v>0</v>
      </c>
      <c r="V345" s="1">
        <f>iferror(vlookup(A345,'Marketing Plan (extract summary'!A:G,6,false),"")</f>
        <v>0</v>
      </c>
      <c r="W345" s="1">
        <f>iferror(vlookup(A345,'Marketing Plan (extract summary'!A:G,7,false),"")</f>
        <v>1</v>
      </c>
      <c r="X345" s="17">
        <f t="shared" si="8"/>
        <v>0</v>
      </c>
      <c r="Y345" s="1">
        <f>value(IFERROR(SUBSTITUTE(SUBSTITUTE(VLOOKUP(A345,'Quarterly Pipeline vs Target Pi'!A:G,6,false)," $","")," €",""), "")
)</f>
        <v>0</v>
      </c>
      <c r="Z345" s="1">
        <f>value(IFERROR(SUBSTITUTE(SUBSTITUTE(VLOOKUP(A345,'Quarterly Pipeline vs Target Pi'!A:G,7,false)," $","")," €",""), "")
)</f>
        <v>0</v>
      </c>
      <c r="AA345" s="17" t="str">
        <f t="shared" si="9"/>
        <v/>
      </c>
      <c r="AB345" s="1">
        <f>value(IFERROR(SUBSTITUTE(SUBSTITUTE(VLOOKUP($A345,'Quarterly Pipeline vs Target Pi'!$A:$V,11,false)," $","")," €",""), "")
)</f>
        <v>15</v>
      </c>
      <c r="AC345" s="1">
        <f>value(IFERROR(SUBSTITUTE(SUBSTITUTE(VLOOKUP($A345,'Quarterly Pipeline vs Target Pi'!$A:$V,12,false)," $","")," €",""), "")
)</f>
        <v>996.67</v>
      </c>
      <c r="AD345" s="17">
        <f t="shared" si="10"/>
        <v>0.01505011689</v>
      </c>
      <c r="AE345" s="1">
        <f>value(IFERROR(SUBSTITUTE(SUBSTITUTE(VLOOKUP($A345,'Quarterly Pipeline vs Target Pi'!$A:$V,16,false)," $","")," €",""), "")
)</f>
        <v>248.7</v>
      </c>
      <c r="AF345" s="1">
        <f>value(IFERROR(SUBSTITUTE(SUBSTITUTE(VLOOKUP($A345,'Quarterly Pipeline vs Target Pi'!$A:$V,17,false)," $","")," €",""), "")
)</f>
        <v>920</v>
      </c>
      <c r="AG345" s="17">
        <f t="shared" si="11"/>
        <v>0.270326087</v>
      </c>
      <c r="AH345" s="1">
        <f>value(IFERROR(SUBSTITUTE(SUBSTITUTE(VLOOKUP($A345,'Quarterly Pipeline vs Target Pi'!$A:$V,21,false)," $","")," €",""), "")
)</f>
        <v>1137.29</v>
      </c>
      <c r="AI345" s="1">
        <f>value(IFERROR(SUBSTITUTE(SUBSTITUTE(VLOOKUP($A345,'Quarterly Pipeline vs Target Pi'!$A:$V,22,false)," $","")," €",""), "")
)</f>
        <v>1073.33</v>
      </c>
      <c r="AJ345" s="17">
        <f t="shared" si="12"/>
        <v>1.059590247</v>
      </c>
      <c r="AK345" s="1">
        <f t="shared" ref="AK345:AL345" si="703">sum(Y345,AB345,AE345,AH345)</f>
        <v>1400.99</v>
      </c>
      <c r="AL345" s="1">
        <f t="shared" si="703"/>
        <v>2990</v>
      </c>
      <c r="AM345" s="17">
        <f t="shared" si="14"/>
        <v>0.4685585284</v>
      </c>
      <c r="AN345" s="1">
        <f>value(IFERROR(SUBSTITUTE(SUBSTITUTE(VLOOKUP($A345,'Quarterly Pipeline vs Target Pi'!$A:$AP,26,false)," $","")," €",""), "")
)</f>
        <v>205</v>
      </c>
      <c r="AO345" s="1">
        <f>value(IFERROR(SUBSTITUTE(SUBSTITUTE(VLOOKUP($A345,'Quarterly Pipeline vs Target Pi'!$A:$AP,27,false)," $","")," €",""), "")
)</f>
        <v>0</v>
      </c>
      <c r="AP345" s="17" t="str">
        <f t="shared" si="15"/>
        <v/>
      </c>
      <c r="AQ345" s="1">
        <f>value(IFERROR(SUBSTITUTE(SUBSTITUTE(VLOOKUP($A345,'Quarterly Pipeline vs Target Pi'!$A:$AP,31,false)," $","")," €",""), "")
)</f>
        <v>0</v>
      </c>
      <c r="AR345" s="1">
        <f>value(IFERROR(SUBSTITUTE(SUBSTITUTE(VLOOKUP($A345,'Quarterly Pipeline vs Target Pi'!$A:$AP,32,false)," $","")," €",""), "")
)</f>
        <v>0</v>
      </c>
      <c r="AS345" s="17" t="str">
        <f t="shared" si="16"/>
        <v/>
      </c>
      <c r="AT345" s="1">
        <f>value(IFERROR(SUBSTITUTE(SUBSTITUTE(VLOOKUP($A345,'Quarterly Pipeline vs Target Pi'!$A:$AP,36,false)," $","")," €",""), "")
)</f>
        <v>0</v>
      </c>
      <c r="AU345" s="1">
        <f>value(IFERROR(SUBSTITUTE(SUBSTITUTE(VLOOKUP($A345,'Quarterly Pipeline vs Target Pi'!$A:$AP,37,false)," $","")," €",""), "")
)</f>
        <v>0</v>
      </c>
      <c r="AV345" s="17" t="str">
        <f t="shared" si="17"/>
        <v/>
      </c>
      <c r="AW345" s="1">
        <f>value(IFERROR(SUBSTITUTE(SUBSTITUTE(VLOOKUP($A345,'Quarterly Pipeline vs Target Pi'!$A:$AP,41,false)," $","")," €",""), "")
)</f>
        <v>0</v>
      </c>
      <c r="AX345" s="1">
        <f>value(IFERROR(SUBSTITUTE(SUBSTITUTE(VLOOKUP($A345,'Quarterly Pipeline vs Target Pi'!$A:$AP,42,false)," $","")," €",""), "")
)</f>
        <v>0</v>
      </c>
      <c r="AY345" s="17" t="str">
        <f t="shared" si="18"/>
        <v/>
      </c>
      <c r="AZ345" s="1">
        <f t="shared" ref="AZ345:BA345" si="704">sum(AN345,AQ345,AT345,AW345)</f>
        <v>205</v>
      </c>
      <c r="BA345" s="1">
        <f t="shared" si="704"/>
        <v>0</v>
      </c>
      <c r="BB345" s="17" t="str">
        <f t="shared" si="20"/>
        <v/>
      </c>
    </row>
    <row r="346">
      <c r="A346" s="1" t="str">
        <f>IFERROR(__xludf.DUMMYFUNCTION("""COMPUTED_VALUE"""),"6488e1eb863dcd5166276b67")</f>
        <v>6488e1eb863dcd5166276b67</v>
      </c>
      <c r="B346" s="1" t="str">
        <f>IFERROR(__xludf.DUMMYFUNCTION("""COMPUTED_VALUE"""),"Plan B Networks, Inc.")</f>
        <v>Plan B Networks, Inc.</v>
      </c>
      <c r="C346" s="1" t="str">
        <f>IFERROR(__xludf.DUMMYFUNCTION("""COMPUTED_VALUE"""),"steve.mcglasson@al-enterprise.com")</f>
        <v>steve.mcglasson@al-enterprise.com</v>
      </c>
      <c r="D346" s="1" t="str">
        <f>IFERROR(__xludf.DUMMYFUNCTION("""COMPUTED_VALUE"""),"americas")</f>
        <v>americas</v>
      </c>
      <c r="E346" s="1" t="str">
        <f>IFERROR(__xludf.DUMMYFUNCTION("""COMPUTED_VALUE"""),"US")</f>
        <v>US</v>
      </c>
      <c r="F346" s="1"/>
      <c r="G346" s="1" t="str">
        <f>iferror(VLOOKUP(A346,'Business Plan Setup and Accepta'!A:G,6,false),"")</f>
        <v/>
      </c>
      <c r="H346" s="1" t="str">
        <f>iferror(VLOOKUP(A346,'Business Plan Setup and Accepta'!A:G,7,false),"")</f>
        <v/>
      </c>
      <c r="I346" s="17" t="str">
        <f t="shared" si="3"/>
        <v/>
      </c>
      <c r="J346" s="1" t="str">
        <f>IFERROR(VALUE(SUBSTITUTE(VLOOKUP(A346,'Sales IN Revenues vs Sales targ'!A:G,6,false)," $","")), "")
</f>
        <v/>
      </c>
      <c r="K346" s="1" t="str">
        <f>IFERROR(VALUE(SUBSTITUTE(VLOOKUP(A346,'Sales IN Revenues vs Sales targ'!A:G,7,false)," $","")), "")
</f>
        <v/>
      </c>
      <c r="L346" s="17" t="str">
        <f t="shared" si="4"/>
        <v/>
      </c>
      <c r="M346" s="1">
        <f>value(SUBSTITUTE(IFERROR(VLOOKUP(A346,'Certifications achievements vs '!A:G,6,false),""),"#","")
)</f>
        <v>0</v>
      </c>
      <c r="N346" s="1">
        <f>value(SUBSTITUTE(IFERROR(VLOOKUP(A346,'Certifications achievements vs '!A:G,7,false),""),"#","")
)</f>
        <v>0</v>
      </c>
      <c r="O346" s="17" t="str">
        <f t="shared" si="5"/>
        <v/>
      </c>
      <c r="P346" s="1">
        <f>value(SUBSTITUTE(IFERROR(VLOOKUP(A346,'Communications - Solution Speci'!A:G,6,false),""),"#","")
)</f>
        <v>0</v>
      </c>
      <c r="Q346" s="1">
        <f>value(SUBSTITUTE(IFERROR(VLOOKUP(A346,'Communications - Solution Speci'!A:G,7,false),""),"#","")
)</f>
        <v>0</v>
      </c>
      <c r="R346" s="17" t="str">
        <f t="shared" si="6"/>
        <v/>
      </c>
      <c r="S346" s="1">
        <f>value(SUBSTITUTE(IFERROR(VLOOKUP(A346,'Networking - Solution Specializ'!A:G,6,false),""),"#","")
)</f>
        <v>0</v>
      </c>
      <c r="T346" s="1">
        <f>value(SUBSTITUTE(IFERROR(VLOOKUP(A346,'Networking - Solution Specializ'!A:G,7,false),""),"#","")
)</f>
        <v>0</v>
      </c>
      <c r="U346" s="17" t="str">
        <f t="shared" si="7"/>
        <v/>
      </c>
      <c r="V346" s="1" t="str">
        <f>iferror(vlookup(A346,'Marketing Plan (extract summary'!A:G,6,false),"")</f>
        <v/>
      </c>
      <c r="W346" s="1" t="str">
        <f>iferror(vlookup(A346,'Marketing Plan (extract summary'!A:G,7,false),"")</f>
        <v/>
      </c>
      <c r="X346" s="17" t="str">
        <f t="shared" si="8"/>
        <v/>
      </c>
      <c r="Y346" s="1">
        <f>value(IFERROR(SUBSTITUTE(SUBSTITUTE(VLOOKUP(A346,'Quarterly Pipeline vs Target Pi'!A:G,6,false)," $","")," €",""), "")
)</f>
        <v>0</v>
      </c>
      <c r="Z346" s="1">
        <f>value(IFERROR(SUBSTITUTE(SUBSTITUTE(VLOOKUP(A346,'Quarterly Pipeline vs Target Pi'!A:G,7,false)," $","")," €",""), "")
)</f>
        <v>0</v>
      </c>
      <c r="AA346" s="17" t="str">
        <f t="shared" si="9"/>
        <v/>
      </c>
      <c r="AB346" s="1">
        <f>value(IFERROR(SUBSTITUTE(SUBSTITUTE(VLOOKUP($A346,'Quarterly Pipeline vs Target Pi'!$A:$V,11,false)," $","")," €",""), "")
)</f>
        <v>0</v>
      </c>
      <c r="AC346" s="1">
        <f>value(IFERROR(SUBSTITUTE(SUBSTITUTE(VLOOKUP($A346,'Quarterly Pipeline vs Target Pi'!$A:$V,12,false)," $","")," €",""), "")
)</f>
        <v>0</v>
      </c>
      <c r="AD346" s="17" t="str">
        <f t="shared" si="10"/>
        <v/>
      </c>
      <c r="AE346" s="1">
        <f>value(IFERROR(SUBSTITUTE(SUBSTITUTE(VLOOKUP($A346,'Quarterly Pipeline vs Target Pi'!$A:$V,16,false)," $","")," €",""), "")
)</f>
        <v>0</v>
      </c>
      <c r="AF346" s="1">
        <f>value(IFERROR(SUBSTITUTE(SUBSTITUTE(VLOOKUP($A346,'Quarterly Pipeline vs Target Pi'!$A:$V,17,false)," $","")," €",""), "")
)</f>
        <v>0</v>
      </c>
      <c r="AG346" s="17" t="str">
        <f t="shared" si="11"/>
        <v/>
      </c>
      <c r="AH346" s="1">
        <f>value(IFERROR(SUBSTITUTE(SUBSTITUTE(VLOOKUP($A346,'Quarterly Pipeline vs Target Pi'!$A:$V,21,false)," $","")," €",""), "")
)</f>
        <v>0</v>
      </c>
      <c r="AI346" s="1">
        <f>value(IFERROR(SUBSTITUTE(SUBSTITUTE(VLOOKUP($A346,'Quarterly Pipeline vs Target Pi'!$A:$V,22,false)," $","")," €",""), "")
)</f>
        <v>0</v>
      </c>
      <c r="AJ346" s="17" t="str">
        <f t="shared" si="12"/>
        <v/>
      </c>
      <c r="AK346" s="1">
        <f t="shared" ref="AK346:AL346" si="705">sum(Y346,AB346,AE346,AH346)</f>
        <v>0</v>
      </c>
      <c r="AL346" s="1">
        <f t="shared" si="705"/>
        <v>0</v>
      </c>
      <c r="AM346" s="17" t="str">
        <f t="shared" si="14"/>
        <v/>
      </c>
      <c r="AN346" s="1">
        <f>value(IFERROR(SUBSTITUTE(SUBSTITUTE(VLOOKUP($A346,'Quarterly Pipeline vs Target Pi'!$A:$AP,26,false)," $","")," €",""), "")
)</f>
        <v>0</v>
      </c>
      <c r="AO346" s="1">
        <f>value(IFERROR(SUBSTITUTE(SUBSTITUTE(VLOOKUP($A346,'Quarterly Pipeline vs Target Pi'!$A:$AP,27,false)," $","")," €",""), "")
)</f>
        <v>0</v>
      </c>
      <c r="AP346" s="17" t="str">
        <f t="shared" si="15"/>
        <v/>
      </c>
      <c r="AQ346" s="1">
        <f>value(IFERROR(SUBSTITUTE(SUBSTITUTE(VLOOKUP($A346,'Quarterly Pipeline vs Target Pi'!$A:$AP,31,false)," $","")," €",""), "")
)</f>
        <v>0</v>
      </c>
      <c r="AR346" s="1">
        <f>value(IFERROR(SUBSTITUTE(SUBSTITUTE(VLOOKUP($A346,'Quarterly Pipeline vs Target Pi'!$A:$AP,32,false)," $","")," €",""), "")
)</f>
        <v>0</v>
      </c>
      <c r="AS346" s="17" t="str">
        <f t="shared" si="16"/>
        <v/>
      </c>
      <c r="AT346" s="1">
        <f>value(IFERROR(SUBSTITUTE(SUBSTITUTE(VLOOKUP($A346,'Quarterly Pipeline vs Target Pi'!$A:$AP,36,false)," $","")," €",""), "")
)</f>
        <v>0</v>
      </c>
      <c r="AU346" s="1">
        <f>value(IFERROR(SUBSTITUTE(SUBSTITUTE(VLOOKUP($A346,'Quarterly Pipeline vs Target Pi'!$A:$AP,37,false)," $","")," €",""), "")
)</f>
        <v>0</v>
      </c>
      <c r="AV346" s="17" t="str">
        <f t="shared" si="17"/>
        <v/>
      </c>
      <c r="AW346" s="1">
        <f>value(IFERROR(SUBSTITUTE(SUBSTITUTE(VLOOKUP($A346,'Quarterly Pipeline vs Target Pi'!$A:$AP,41,false)," $","")," €",""), "")
)</f>
        <v>0</v>
      </c>
      <c r="AX346" s="1">
        <f>value(IFERROR(SUBSTITUTE(SUBSTITUTE(VLOOKUP($A346,'Quarterly Pipeline vs Target Pi'!$A:$AP,42,false)," $","")," €",""), "")
)</f>
        <v>0</v>
      </c>
      <c r="AY346" s="17" t="str">
        <f t="shared" si="18"/>
        <v/>
      </c>
      <c r="AZ346" s="1">
        <f t="shared" ref="AZ346:BA346" si="706">sum(AN346,AQ346,AT346,AW346)</f>
        <v>0</v>
      </c>
      <c r="BA346" s="1">
        <f t="shared" si="706"/>
        <v>0</v>
      </c>
      <c r="BB346" s="17" t="str">
        <f t="shared" si="20"/>
        <v/>
      </c>
    </row>
    <row r="347">
      <c r="A347" s="1" t="str">
        <f>IFERROR(__xludf.DUMMYFUNCTION("""COMPUTED_VALUE"""),"63ef9d5c384f27260c1ba9fb")</f>
        <v>63ef9d5c384f27260c1ba9fb</v>
      </c>
      <c r="B347" s="1" t="str">
        <f>IFERROR(__xludf.DUMMYFUNCTION("""COMPUTED_VALUE"""),"Plexus SL")</f>
        <v>Plexus SL</v>
      </c>
      <c r="C347" s="1" t="str">
        <f>IFERROR(__xludf.DUMMYFUNCTION("""COMPUTED_VALUE"""),"jaime.tor@al-enterprise.com, astrid.savorani@al-enterprise.com, rafael.andreo@al-enterprise.com, esther.alonso@al-enterprise.com, hubert.chapelle@al-enterprise.com, marcos.rodriguez@al-enterprise.com, borja.gonzalvez@al-enterprise.com")</f>
        <v>jaime.tor@al-enterprise.com, astrid.savorani@al-enterprise.com, rafael.andreo@al-enterprise.com, esther.alonso@al-enterprise.com, hubert.chapelle@al-enterprise.com, marcos.rodriguez@al-enterprise.com, borja.gonzalvez@al-enterprise.com</v>
      </c>
      <c r="D347" s="1" t="str">
        <f>IFERROR(__xludf.DUMMYFUNCTION("""COMPUTED_VALUE"""),"emea")</f>
        <v>emea</v>
      </c>
      <c r="E347" s="1" t="str">
        <f>IFERROR(__xludf.DUMMYFUNCTION("""COMPUTED_VALUE"""),"ES")</f>
        <v>ES</v>
      </c>
      <c r="F347" s="1" t="str">
        <f>IFERROR(__xludf.DUMMYFUNCTION("""COMPUTED_VALUE"""),"expert_200")</f>
        <v>expert_200</v>
      </c>
      <c r="G347" s="1">
        <f>iferror(VLOOKUP(A347,'Business Plan Setup and Accepta'!A:G,6,false),"")</f>
        <v>1</v>
      </c>
      <c r="H347" s="1">
        <f>iferror(VLOOKUP(A347,'Business Plan Setup and Accepta'!A:G,7,false),"")</f>
        <v>1</v>
      </c>
      <c r="I347" s="17">
        <f t="shared" si="3"/>
        <v>1</v>
      </c>
      <c r="J347" s="1">
        <f>IFERROR(VALUE(SUBSTITUTE(VLOOKUP(A347,'Sales IN Revenues vs Sales targ'!A:G,6,false)," $","")), "")
</f>
        <v>140.55</v>
      </c>
      <c r="K347" s="1">
        <f>IFERROR(VALUE(SUBSTITUTE(VLOOKUP(A347,'Sales IN Revenues vs Sales targ'!A:G,7,false)," $","")), "")
</f>
        <v>300</v>
      </c>
      <c r="L347" s="17">
        <f t="shared" si="4"/>
        <v>0.4685</v>
      </c>
      <c r="M347" s="1">
        <f>value(SUBSTITUTE(IFERROR(VLOOKUP(A347,'Certifications achievements vs '!A:G,6,false),""),"#","")
)</f>
        <v>14</v>
      </c>
      <c r="N347" s="1">
        <f>value(SUBSTITUTE(IFERROR(VLOOKUP(A347,'Certifications achievements vs '!A:G,7,false),""),"#","")
)</f>
        <v>52</v>
      </c>
      <c r="O347" s="17">
        <f t="shared" si="5"/>
        <v>0.2692307692</v>
      </c>
      <c r="P347" s="1">
        <f>value(SUBSTITUTE(IFERROR(VLOOKUP(A347,'Communications - Solution Speci'!A:G,6,false),""),"#","")
)</f>
        <v>0</v>
      </c>
      <c r="Q347" s="1">
        <f>value(SUBSTITUTE(IFERROR(VLOOKUP(A347,'Communications - Solution Speci'!A:G,7,false),""),"#","")
)</f>
        <v>1</v>
      </c>
      <c r="R347" s="17">
        <f t="shared" si="6"/>
        <v>0</v>
      </c>
      <c r="S347" s="1">
        <f>value(SUBSTITUTE(IFERROR(VLOOKUP(A347,'Networking - Solution Specializ'!A:G,6,false),""),"#","")
)</f>
        <v>0</v>
      </c>
      <c r="T347" s="1">
        <f>value(SUBSTITUTE(IFERROR(VLOOKUP(A347,'Networking - Solution Specializ'!A:G,7,false),""),"#","")
)</f>
        <v>1</v>
      </c>
      <c r="U347" s="17">
        <f t="shared" si="7"/>
        <v>0</v>
      </c>
      <c r="V347" s="1">
        <f>iferror(vlookup(A347,'Marketing Plan (extract summary'!A:G,6,false),"")</f>
        <v>0</v>
      </c>
      <c r="W347" s="1">
        <f>iferror(vlookup(A347,'Marketing Plan (extract summary'!A:G,7,false),"")</f>
        <v>1</v>
      </c>
      <c r="X347" s="17">
        <f t="shared" si="8"/>
        <v>0</v>
      </c>
      <c r="Y347" s="1">
        <f>value(IFERROR(SUBSTITUTE(SUBSTITUTE(VLOOKUP(A347,'Quarterly Pipeline vs Target Pi'!A:G,6,false)," $","")," €",""), "")
)</f>
        <v>75.9</v>
      </c>
      <c r="Z347" s="1">
        <f>value(IFERROR(SUBSTITUTE(SUBSTITUTE(VLOOKUP(A347,'Quarterly Pipeline vs Target Pi'!A:G,7,false)," $","")," €",""), "")
)</f>
        <v>0</v>
      </c>
      <c r="AA347" s="17" t="str">
        <f t="shared" si="9"/>
        <v/>
      </c>
      <c r="AB347" s="1">
        <f>value(IFERROR(SUBSTITUTE(SUBSTITUTE(VLOOKUP($A347,'Quarterly Pipeline vs Target Pi'!$A:$V,11,false)," $","")," €",""), "")
)</f>
        <v>2.7</v>
      </c>
      <c r="AC347" s="1">
        <f>value(IFERROR(SUBSTITUTE(SUBSTITUTE(VLOOKUP($A347,'Quarterly Pipeline vs Target Pi'!$A:$V,12,false)," $","")," €",""), "")
)</f>
        <v>80.65</v>
      </c>
      <c r="AD347" s="17">
        <f t="shared" si="10"/>
        <v>0.03347799132</v>
      </c>
      <c r="AE347" s="1">
        <f>value(IFERROR(SUBSTITUTE(SUBSTITUTE(VLOOKUP($A347,'Quarterly Pipeline vs Target Pi'!$A:$V,16,false)," $","")," €",""), "")
)</f>
        <v>272</v>
      </c>
      <c r="AF347" s="1">
        <f>value(IFERROR(SUBSTITUTE(SUBSTITUTE(VLOOKUP($A347,'Quarterly Pipeline vs Target Pi'!$A:$V,17,false)," $","")," €",""), "")
)</f>
        <v>80.65</v>
      </c>
      <c r="AG347" s="17">
        <f t="shared" si="11"/>
        <v>3.372597644</v>
      </c>
      <c r="AH347" s="1">
        <f>value(IFERROR(SUBSTITUTE(SUBSTITUTE(VLOOKUP($A347,'Quarterly Pipeline vs Target Pi'!$A:$V,21,false)," $","")," €",""), "")
)</f>
        <v>0</v>
      </c>
      <c r="AI347" s="1">
        <f>value(IFERROR(SUBSTITUTE(SUBSTITUTE(VLOOKUP($A347,'Quarterly Pipeline vs Target Pi'!$A:$V,22,false)," $","")," €",""), "")
)</f>
        <v>80.65</v>
      </c>
      <c r="AJ347" s="17">
        <f t="shared" si="12"/>
        <v>0</v>
      </c>
      <c r="AK347" s="1">
        <f t="shared" ref="AK347:AL347" si="707">sum(Y347,AB347,AE347,AH347)</f>
        <v>350.6</v>
      </c>
      <c r="AL347" s="1">
        <f t="shared" si="707"/>
        <v>241.95</v>
      </c>
      <c r="AM347" s="17">
        <f t="shared" si="14"/>
        <v>1.449059723</v>
      </c>
      <c r="AN347" s="1">
        <f>value(IFERROR(SUBSTITUTE(SUBSTITUTE(VLOOKUP($A347,'Quarterly Pipeline vs Target Pi'!$A:$AP,26,false)," $","")," €",""), "")
)</f>
        <v>0</v>
      </c>
      <c r="AO347" s="1">
        <f>value(IFERROR(SUBSTITUTE(SUBSTITUTE(VLOOKUP($A347,'Quarterly Pipeline vs Target Pi'!$A:$AP,27,false)," $","")," €",""), "")
)</f>
        <v>0</v>
      </c>
      <c r="AP347" s="17" t="str">
        <f t="shared" si="15"/>
        <v/>
      </c>
      <c r="AQ347" s="1">
        <f>value(IFERROR(SUBSTITUTE(SUBSTITUTE(VLOOKUP($A347,'Quarterly Pipeline vs Target Pi'!$A:$AP,31,false)," $","")," €",""), "")
)</f>
        <v>0</v>
      </c>
      <c r="AR347" s="1">
        <f>value(IFERROR(SUBSTITUTE(SUBSTITUTE(VLOOKUP($A347,'Quarterly Pipeline vs Target Pi'!$A:$AP,32,false)," $","")," €",""), "")
)</f>
        <v>0</v>
      </c>
      <c r="AS347" s="17" t="str">
        <f t="shared" si="16"/>
        <v/>
      </c>
      <c r="AT347" s="1">
        <f>value(IFERROR(SUBSTITUTE(SUBSTITUTE(VLOOKUP($A347,'Quarterly Pipeline vs Target Pi'!$A:$AP,36,false)," $","")," €",""), "")
)</f>
        <v>0</v>
      </c>
      <c r="AU347" s="1">
        <f>value(IFERROR(SUBSTITUTE(SUBSTITUTE(VLOOKUP($A347,'Quarterly Pipeline vs Target Pi'!$A:$AP,37,false)," $","")," €",""), "")
)</f>
        <v>0</v>
      </c>
      <c r="AV347" s="17" t="str">
        <f t="shared" si="17"/>
        <v/>
      </c>
      <c r="AW347" s="1">
        <f>value(IFERROR(SUBSTITUTE(SUBSTITUTE(VLOOKUP($A347,'Quarterly Pipeline vs Target Pi'!$A:$AP,41,false)," $","")," €",""), "")
)</f>
        <v>0</v>
      </c>
      <c r="AX347" s="1">
        <f>value(IFERROR(SUBSTITUTE(SUBSTITUTE(VLOOKUP($A347,'Quarterly Pipeline vs Target Pi'!$A:$AP,42,false)," $","")," €",""), "")
)</f>
        <v>0</v>
      </c>
      <c r="AY347" s="17" t="str">
        <f t="shared" si="18"/>
        <v/>
      </c>
      <c r="AZ347" s="1">
        <f t="shared" ref="AZ347:BA347" si="708">sum(AN347,AQ347,AT347,AW347)</f>
        <v>0</v>
      </c>
      <c r="BA347" s="1">
        <f t="shared" si="708"/>
        <v>0</v>
      </c>
      <c r="BB347" s="17" t="str">
        <f t="shared" si="20"/>
        <v/>
      </c>
    </row>
    <row r="348">
      <c r="A348" s="1" t="str">
        <f>IFERROR(__xludf.DUMMYFUNCTION("""COMPUTED_VALUE"""),"63ced846c5c820531c268825")</f>
        <v>63ced846c5c820531c268825</v>
      </c>
      <c r="B348" s="1" t="str">
        <f>IFERROR(__xludf.DUMMYFUNCTION("""COMPUTED_VALUE"""),"PREMIUM PLUS SL")</f>
        <v>PREMIUM PLUS SL</v>
      </c>
      <c r="C348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348" s="1" t="str">
        <f>IFERROR(__xludf.DUMMYFUNCTION("""COMPUTED_VALUE"""),"emea")</f>
        <v>emea</v>
      </c>
      <c r="E348" s="1" t="str">
        <f>IFERROR(__xludf.DUMMYFUNCTION("""COMPUTED_VALUE"""),"ES")</f>
        <v>ES</v>
      </c>
      <c r="F348" s="1" t="str">
        <f>IFERROR(__xludf.DUMMYFUNCTION("""COMPUTED_VALUE"""),"expert_200")</f>
        <v>expert_200</v>
      </c>
      <c r="G348" s="1">
        <f>iferror(VLOOKUP(A348,'Business Plan Setup and Accepta'!A:G,6,false),"")</f>
        <v>1</v>
      </c>
      <c r="H348" s="1">
        <f>iferror(VLOOKUP(A348,'Business Plan Setup and Accepta'!A:G,7,false),"")</f>
        <v>1</v>
      </c>
      <c r="I348" s="17">
        <f t="shared" si="3"/>
        <v>1</v>
      </c>
      <c r="J348" s="1">
        <f>IFERROR(VALUE(SUBSTITUTE(VLOOKUP(A348,'Sales IN Revenues vs Sales targ'!A:G,6,false)," $","")), "")
</f>
        <v>210.07</v>
      </c>
      <c r="K348" s="1">
        <f>IFERROR(VALUE(SUBSTITUTE(VLOOKUP(A348,'Sales IN Revenues vs Sales targ'!A:G,7,false)," $","")), "")
</f>
        <v>500</v>
      </c>
      <c r="L348" s="17">
        <f t="shared" si="4"/>
        <v>0.42014</v>
      </c>
      <c r="M348" s="1">
        <f>value(SUBSTITUTE(IFERROR(VLOOKUP(A348,'Certifications achievements vs '!A:G,6,false),""),"#","")
)</f>
        <v>36</v>
      </c>
      <c r="N348" s="1">
        <f>value(SUBSTITUTE(IFERROR(VLOOKUP(A348,'Certifications achievements vs '!A:G,7,false),""),"#","")
)</f>
        <v>52</v>
      </c>
      <c r="O348" s="17">
        <f t="shared" si="5"/>
        <v>0.6923076923</v>
      </c>
      <c r="P348" s="1">
        <f>value(SUBSTITUTE(IFERROR(VLOOKUP(A348,'Communications - Solution Speci'!A:G,6,false),""),"#","")
)</f>
        <v>1</v>
      </c>
      <c r="Q348" s="1">
        <f>value(SUBSTITUTE(IFERROR(VLOOKUP(A348,'Communications - Solution Speci'!A:G,7,false),""),"#","")
)</f>
        <v>1</v>
      </c>
      <c r="R348" s="17">
        <f t="shared" si="6"/>
        <v>1</v>
      </c>
      <c r="S348" s="1">
        <f>value(SUBSTITUTE(IFERROR(VLOOKUP(A348,'Networking - Solution Specializ'!A:G,6,false),""),"#","")
)</f>
        <v>1</v>
      </c>
      <c r="T348" s="1">
        <f>value(SUBSTITUTE(IFERROR(VLOOKUP(A348,'Networking - Solution Specializ'!A:G,7,false),""),"#","")
)</f>
        <v>1</v>
      </c>
      <c r="U348" s="17">
        <f t="shared" si="7"/>
        <v>1</v>
      </c>
      <c r="V348" s="1">
        <f>iferror(vlookup(A348,'Marketing Plan (extract summary'!A:G,6,false),"")</f>
        <v>0</v>
      </c>
      <c r="W348" s="1">
        <f>iferror(vlookup(A348,'Marketing Plan (extract summary'!A:G,7,false),"")</f>
        <v>1</v>
      </c>
      <c r="X348" s="17">
        <f t="shared" si="8"/>
        <v>0</v>
      </c>
      <c r="Y348" s="1">
        <f>value(IFERROR(SUBSTITUTE(SUBSTITUTE(VLOOKUP(A348,'Quarterly Pipeline vs Target Pi'!A:G,6,false)," $","")," €",""), "")
)</f>
        <v>52.87</v>
      </c>
      <c r="Z348" s="1">
        <f>value(IFERROR(SUBSTITUTE(SUBSTITUTE(VLOOKUP(A348,'Quarterly Pipeline vs Target Pi'!A:G,7,false)," $","")," €",""), "")
)</f>
        <v>0</v>
      </c>
      <c r="AA348" s="17" t="str">
        <f t="shared" si="9"/>
        <v/>
      </c>
      <c r="AB348" s="1">
        <f>value(IFERROR(SUBSTITUTE(SUBSTITUTE(VLOOKUP($A348,'Quarterly Pipeline vs Target Pi'!$A:$V,11,false)," $","")," €",""), "")
)</f>
        <v>40</v>
      </c>
      <c r="AC348" s="1">
        <f>value(IFERROR(SUBSTITUTE(SUBSTITUTE(VLOOKUP($A348,'Quarterly Pipeline vs Target Pi'!$A:$V,12,false)," $","")," €",""), "")
)</f>
        <v>416.67</v>
      </c>
      <c r="AD348" s="17">
        <f t="shared" si="10"/>
        <v>0.09599923201</v>
      </c>
      <c r="AE348" s="1">
        <f>value(IFERROR(SUBSTITUTE(SUBSTITUTE(VLOOKUP($A348,'Quarterly Pipeline vs Target Pi'!$A:$V,16,false)," $","")," €",""), "")
)</f>
        <v>33.05</v>
      </c>
      <c r="AF348" s="1">
        <f>value(IFERROR(SUBSTITUTE(SUBSTITUTE(VLOOKUP($A348,'Quarterly Pipeline vs Target Pi'!$A:$V,17,false)," $","")," €",""), "")
)</f>
        <v>416.67</v>
      </c>
      <c r="AG348" s="17">
        <f t="shared" si="11"/>
        <v>0.07931936545</v>
      </c>
      <c r="AH348" s="1">
        <f>value(IFERROR(SUBSTITUTE(SUBSTITUTE(VLOOKUP($A348,'Quarterly Pipeline vs Target Pi'!$A:$V,21,false)," $","")," €",""), "")
)</f>
        <v>538.2</v>
      </c>
      <c r="AI348" s="1">
        <f>value(IFERROR(SUBSTITUTE(SUBSTITUTE(VLOOKUP($A348,'Quarterly Pipeline vs Target Pi'!$A:$V,22,false)," $","")," €",""), "")
)</f>
        <v>416.67</v>
      </c>
      <c r="AJ348" s="17">
        <f t="shared" si="12"/>
        <v>1.291669667</v>
      </c>
      <c r="AK348" s="1">
        <f t="shared" ref="AK348:AL348" si="709">sum(Y348,AB348,AE348,AH348)</f>
        <v>664.12</v>
      </c>
      <c r="AL348" s="1">
        <f t="shared" si="709"/>
        <v>1250.01</v>
      </c>
      <c r="AM348" s="17">
        <f t="shared" si="14"/>
        <v>0.5312917497</v>
      </c>
      <c r="AN348" s="1">
        <f>value(IFERROR(SUBSTITUTE(SUBSTITUTE(VLOOKUP($A348,'Quarterly Pipeline vs Target Pi'!$A:$AP,26,false)," $","")," €",""), "")
)</f>
        <v>850.16</v>
      </c>
      <c r="AO348" s="1">
        <f>value(IFERROR(SUBSTITUTE(SUBSTITUTE(VLOOKUP($A348,'Quarterly Pipeline vs Target Pi'!$A:$AP,27,false)," $","")," €",""), "")
)</f>
        <v>0</v>
      </c>
      <c r="AP348" s="17" t="str">
        <f t="shared" si="15"/>
        <v/>
      </c>
      <c r="AQ348" s="1">
        <f>value(IFERROR(SUBSTITUTE(SUBSTITUTE(VLOOKUP($A348,'Quarterly Pipeline vs Target Pi'!$A:$AP,31,false)," $","")," €",""), "")
)</f>
        <v>2.55</v>
      </c>
      <c r="AR348" s="1">
        <f>value(IFERROR(SUBSTITUTE(SUBSTITUTE(VLOOKUP($A348,'Quarterly Pipeline vs Target Pi'!$A:$AP,32,false)," $","")," €",""), "")
)</f>
        <v>0</v>
      </c>
      <c r="AS348" s="17" t="str">
        <f t="shared" si="16"/>
        <v/>
      </c>
      <c r="AT348" s="1">
        <f>value(IFERROR(SUBSTITUTE(SUBSTITUTE(VLOOKUP($A348,'Quarterly Pipeline vs Target Pi'!$A:$AP,36,false)," $","")," €",""), "")
)</f>
        <v>6.72</v>
      </c>
      <c r="AU348" s="1">
        <f>value(IFERROR(SUBSTITUTE(SUBSTITUTE(VLOOKUP($A348,'Quarterly Pipeline vs Target Pi'!$A:$AP,37,false)," $","")," €",""), "")
)</f>
        <v>0</v>
      </c>
      <c r="AV348" s="17" t="str">
        <f t="shared" si="17"/>
        <v/>
      </c>
      <c r="AW348" s="1">
        <f>value(IFERROR(SUBSTITUTE(SUBSTITUTE(VLOOKUP($A348,'Quarterly Pipeline vs Target Pi'!$A:$AP,41,false)," $","")," €",""), "")
)</f>
        <v>2841.4</v>
      </c>
      <c r="AX348" s="1">
        <f>value(IFERROR(SUBSTITUTE(SUBSTITUTE(VLOOKUP($A348,'Quarterly Pipeline vs Target Pi'!$A:$AP,42,false)," $","")," €",""), "")
)</f>
        <v>0</v>
      </c>
      <c r="AY348" s="17" t="str">
        <f t="shared" si="18"/>
        <v/>
      </c>
      <c r="AZ348" s="1">
        <f t="shared" ref="AZ348:BA348" si="710">sum(AN348,AQ348,AT348,AW348)</f>
        <v>3700.83</v>
      </c>
      <c r="BA348" s="1">
        <f t="shared" si="710"/>
        <v>0</v>
      </c>
      <c r="BB348" s="17" t="str">
        <f t="shared" si="20"/>
        <v/>
      </c>
    </row>
    <row r="349">
      <c r="A349" s="1" t="str">
        <f>IFERROR(__xludf.DUMMYFUNCTION("""COMPUTED_VALUE"""),"63ced84ec5c820531c26995f")</f>
        <v>63ced84ec5c820531c26995f</v>
      </c>
      <c r="B349" s="1" t="str">
        <f>IFERROR(__xludf.DUMMYFUNCTION("""COMPUTED_VALUE"""),"Procomm Systems Inc.")</f>
        <v>Procomm Systems Inc.</v>
      </c>
      <c r="C349" s="1" t="str">
        <f>IFERROR(__xludf.DUMMYFUNCTION("""COMPUTED_VALUE"""),"brendan.flaherty@al-enterprise.com")</f>
        <v>brendan.flaherty@al-enterprise.com</v>
      </c>
      <c r="D349" s="1" t="str">
        <f>IFERROR(__xludf.DUMMYFUNCTION("""COMPUTED_VALUE"""),"americas")</f>
        <v>americas</v>
      </c>
      <c r="E349" s="1" t="str">
        <f>IFERROR(__xludf.DUMMYFUNCTION("""COMPUTED_VALUE"""),"US")</f>
        <v>US</v>
      </c>
      <c r="F349" s="1"/>
      <c r="G349" s="1" t="str">
        <f>iferror(VLOOKUP(A349,'Business Plan Setup and Accepta'!A:G,6,false),"")</f>
        <v/>
      </c>
      <c r="H349" s="1" t="str">
        <f>iferror(VLOOKUP(A349,'Business Plan Setup and Accepta'!A:G,7,false),"")</f>
        <v/>
      </c>
      <c r="I349" s="17" t="str">
        <f t="shared" si="3"/>
        <v/>
      </c>
      <c r="J349" s="1" t="str">
        <f>IFERROR(VALUE(SUBSTITUTE(VLOOKUP(A349,'Sales IN Revenues vs Sales targ'!A:G,6,false)," $","")), "")
</f>
        <v/>
      </c>
      <c r="K349" s="1" t="str">
        <f>IFERROR(VALUE(SUBSTITUTE(VLOOKUP(A349,'Sales IN Revenues vs Sales targ'!A:G,7,false)," $","")), "")
</f>
        <v/>
      </c>
      <c r="L349" s="17" t="str">
        <f t="shared" si="4"/>
        <v/>
      </c>
      <c r="M349" s="1">
        <f>value(SUBSTITUTE(IFERROR(VLOOKUP(A349,'Certifications achievements vs '!A:G,6,false),""),"#","")
)</f>
        <v>0</v>
      </c>
      <c r="N349" s="1">
        <f>value(SUBSTITUTE(IFERROR(VLOOKUP(A349,'Certifications achievements vs '!A:G,7,false),""),"#","")
)</f>
        <v>0</v>
      </c>
      <c r="O349" s="17" t="str">
        <f t="shared" si="5"/>
        <v/>
      </c>
      <c r="P349" s="1">
        <f>value(SUBSTITUTE(IFERROR(VLOOKUP(A349,'Communications - Solution Speci'!A:G,6,false),""),"#","")
)</f>
        <v>0</v>
      </c>
      <c r="Q349" s="1">
        <f>value(SUBSTITUTE(IFERROR(VLOOKUP(A349,'Communications - Solution Speci'!A:G,7,false),""),"#","")
)</f>
        <v>0</v>
      </c>
      <c r="R349" s="17" t="str">
        <f t="shared" si="6"/>
        <v/>
      </c>
      <c r="S349" s="1">
        <f>value(SUBSTITUTE(IFERROR(VLOOKUP(A349,'Networking - Solution Specializ'!A:G,6,false),""),"#","")
)</f>
        <v>0</v>
      </c>
      <c r="T349" s="1">
        <f>value(SUBSTITUTE(IFERROR(VLOOKUP(A349,'Networking - Solution Specializ'!A:G,7,false),""),"#","")
)</f>
        <v>0</v>
      </c>
      <c r="U349" s="17" t="str">
        <f t="shared" si="7"/>
        <v/>
      </c>
      <c r="V349" s="1" t="str">
        <f>iferror(vlookup(A349,'Marketing Plan (extract summary'!A:G,6,false),"")</f>
        <v/>
      </c>
      <c r="W349" s="1" t="str">
        <f>iferror(vlookup(A349,'Marketing Plan (extract summary'!A:G,7,false),"")</f>
        <v/>
      </c>
      <c r="X349" s="17" t="str">
        <f t="shared" si="8"/>
        <v/>
      </c>
      <c r="Y349" s="1">
        <f>value(IFERROR(SUBSTITUTE(SUBSTITUTE(VLOOKUP(A349,'Quarterly Pipeline vs Target Pi'!A:G,6,false)," $","")," €",""), "")
)</f>
        <v>0</v>
      </c>
      <c r="Z349" s="1">
        <f>value(IFERROR(SUBSTITUTE(SUBSTITUTE(VLOOKUP(A349,'Quarterly Pipeline vs Target Pi'!A:G,7,false)," $","")," €",""), "")
)</f>
        <v>0</v>
      </c>
      <c r="AA349" s="17" t="str">
        <f t="shared" si="9"/>
        <v/>
      </c>
      <c r="AB349" s="1">
        <f>value(IFERROR(SUBSTITUTE(SUBSTITUTE(VLOOKUP($A349,'Quarterly Pipeline vs Target Pi'!$A:$V,11,false)," $","")," €",""), "")
)</f>
        <v>0</v>
      </c>
      <c r="AC349" s="1">
        <f>value(IFERROR(SUBSTITUTE(SUBSTITUTE(VLOOKUP($A349,'Quarterly Pipeline vs Target Pi'!$A:$V,12,false)," $","")," €",""), "")
)</f>
        <v>0</v>
      </c>
      <c r="AD349" s="17" t="str">
        <f t="shared" si="10"/>
        <v/>
      </c>
      <c r="AE349" s="1">
        <f>value(IFERROR(SUBSTITUTE(SUBSTITUTE(VLOOKUP($A349,'Quarterly Pipeline vs Target Pi'!$A:$V,16,false)," $","")," €",""), "")
)</f>
        <v>0</v>
      </c>
      <c r="AF349" s="1">
        <f>value(IFERROR(SUBSTITUTE(SUBSTITUTE(VLOOKUP($A349,'Quarterly Pipeline vs Target Pi'!$A:$V,17,false)," $","")," €",""), "")
)</f>
        <v>0</v>
      </c>
      <c r="AG349" s="17" t="str">
        <f t="shared" si="11"/>
        <v/>
      </c>
      <c r="AH349" s="1">
        <f>value(IFERROR(SUBSTITUTE(SUBSTITUTE(VLOOKUP($A349,'Quarterly Pipeline vs Target Pi'!$A:$V,21,false)," $","")," €",""), "")
)</f>
        <v>0</v>
      </c>
      <c r="AI349" s="1">
        <f>value(IFERROR(SUBSTITUTE(SUBSTITUTE(VLOOKUP($A349,'Quarterly Pipeline vs Target Pi'!$A:$V,22,false)," $","")," €",""), "")
)</f>
        <v>0</v>
      </c>
      <c r="AJ349" s="17" t="str">
        <f t="shared" si="12"/>
        <v/>
      </c>
      <c r="AK349" s="1">
        <f t="shared" ref="AK349:AL349" si="711">sum(Y349,AB349,AE349,AH349)</f>
        <v>0</v>
      </c>
      <c r="AL349" s="1">
        <f t="shared" si="711"/>
        <v>0</v>
      </c>
      <c r="AM349" s="17" t="str">
        <f t="shared" si="14"/>
        <v/>
      </c>
      <c r="AN349" s="1">
        <f>value(IFERROR(SUBSTITUTE(SUBSTITUTE(VLOOKUP($A349,'Quarterly Pipeline vs Target Pi'!$A:$AP,26,false)," $","")," €",""), "")
)</f>
        <v>0</v>
      </c>
      <c r="AO349" s="1">
        <f>value(IFERROR(SUBSTITUTE(SUBSTITUTE(VLOOKUP($A349,'Quarterly Pipeline vs Target Pi'!$A:$AP,27,false)," $","")," €",""), "")
)</f>
        <v>0</v>
      </c>
      <c r="AP349" s="17" t="str">
        <f t="shared" si="15"/>
        <v/>
      </c>
      <c r="AQ349" s="1">
        <f>value(IFERROR(SUBSTITUTE(SUBSTITUTE(VLOOKUP($A349,'Quarterly Pipeline vs Target Pi'!$A:$AP,31,false)," $","")," €",""), "")
)</f>
        <v>0</v>
      </c>
      <c r="AR349" s="1">
        <f>value(IFERROR(SUBSTITUTE(SUBSTITUTE(VLOOKUP($A349,'Quarterly Pipeline vs Target Pi'!$A:$AP,32,false)," $","")," €",""), "")
)</f>
        <v>0</v>
      </c>
      <c r="AS349" s="17" t="str">
        <f t="shared" si="16"/>
        <v/>
      </c>
      <c r="AT349" s="1">
        <f>value(IFERROR(SUBSTITUTE(SUBSTITUTE(VLOOKUP($A349,'Quarterly Pipeline vs Target Pi'!$A:$AP,36,false)," $","")," €",""), "")
)</f>
        <v>0</v>
      </c>
      <c r="AU349" s="1">
        <f>value(IFERROR(SUBSTITUTE(SUBSTITUTE(VLOOKUP($A349,'Quarterly Pipeline vs Target Pi'!$A:$AP,37,false)," $","")," €",""), "")
)</f>
        <v>0</v>
      </c>
      <c r="AV349" s="17" t="str">
        <f t="shared" si="17"/>
        <v/>
      </c>
      <c r="AW349" s="1">
        <f>value(IFERROR(SUBSTITUTE(SUBSTITUTE(VLOOKUP($A349,'Quarterly Pipeline vs Target Pi'!$A:$AP,41,false)," $","")," €",""), "")
)</f>
        <v>0</v>
      </c>
      <c r="AX349" s="1">
        <f>value(IFERROR(SUBSTITUTE(SUBSTITUTE(VLOOKUP($A349,'Quarterly Pipeline vs Target Pi'!$A:$AP,42,false)," $","")," €",""), "")
)</f>
        <v>0</v>
      </c>
      <c r="AY349" s="17" t="str">
        <f t="shared" si="18"/>
        <v/>
      </c>
      <c r="AZ349" s="1">
        <f t="shared" ref="AZ349:BA349" si="712">sum(AN349,AQ349,AT349,AW349)</f>
        <v>0</v>
      </c>
      <c r="BA349" s="1">
        <f t="shared" si="712"/>
        <v>0</v>
      </c>
      <c r="BB349" s="17" t="str">
        <f t="shared" si="20"/>
        <v/>
      </c>
    </row>
    <row r="350">
      <c r="A350" s="1" t="str">
        <f>IFERROR(__xludf.DUMMYFUNCTION("""COMPUTED_VALUE"""),"63fcbb84a107c871cf56523f")</f>
        <v>63fcbb84a107c871cf56523f</v>
      </c>
      <c r="B350" s="1" t="str">
        <f>IFERROR(__xludf.DUMMYFUNCTION("""COMPUTED_VALUE"""),"ProjectSpan, Inc.")</f>
        <v>ProjectSpan, Inc.</v>
      </c>
      <c r="C350" s="1" t="str">
        <f>IFERROR(__xludf.DUMMYFUNCTION("""COMPUTED_VALUE"""),"brendan.flaherty@al-enterprise.com")</f>
        <v>brendan.flaherty@al-enterprise.com</v>
      </c>
      <c r="D350" s="1" t="str">
        <f>IFERROR(__xludf.DUMMYFUNCTION("""COMPUTED_VALUE"""),"americas")</f>
        <v>americas</v>
      </c>
      <c r="E350" s="1" t="str">
        <f>IFERROR(__xludf.DUMMYFUNCTION("""COMPUTED_VALUE"""),"US")</f>
        <v>US</v>
      </c>
      <c r="F350" s="1"/>
      <c r="G350" s="1" t="str">
        <f>iferror(VLOOKUP(A350,'Business Plan Setup and Accepta'!A:G,6,false),"")</f>
        <v/>
      </c>
      <c r="H350" s="1" t="str">
        <f>iferror(VLOOKUP(A350,'Business Plan Setup and Accepta'!A:G,7,false),"")</f>
        <v/>
      </c>
      <c r="I350" s="17" t="str">
        <f t="shared" si="3"/>
        <v/>
      </c>
      <c r="J350" s="1" t="str">
        <f>IFERROR(VALUE(SUBSTITUTE(VLOOKUP(A350,'Sales IN Revenues vs Sales targ'!A:G,6,false)," $","")), "")
</f>
        <v/>
      </c>
      <c r="K350" s="1" t="str">
        <f>IFERROR(VALUE(SUBSTITUTE(VLOOKUP(A350,'Sales IN Revenues vs Sales targ'!A:G,7,false)," $","")), "")
</f>
        <v/>
      </c>
      <c r="L350" s="17" t="str">
        <f t="shared" si="4"/>
        <v/>
      </c>
      <c r="M350" s="1">
        <f>value(SUBSTITUTE(IFERROR(VLOOKUP(A350,'Certifications achievements vs '!A:G,6,false),""),"#","")
)</f>
        <v>0</v>
      </c>
      <c r="N350" s="1">
        <f>value(SUBSTITUTE(IFERROR(VLOOKUP(A350,'Certifications achievements vs '!A:G,7,false),""),"#","")
)</f>
        <v>0</v>
      </c>
      <c r="O350" s="17" t="str">
        <f t="shared" si="5"/>
        <v/>
      </c>
      <c r="P350" s="1">
        <f>value(SUBSTITUTE(IFERROR(VLOOKUP(A350,'Communications - Solution Speci'!A:G,6,false),""),"#","")
)</f>
        <v>0</v>
      </c>
      <c r="Q350" s="1">
        <f>value(SUBSTITUTE(IFERROR(VLOOKUP(A350,'Communications - Solution Speci'!A:G,7,false),""),"#","")
)</f>
        <v>0</v>
      </c>
      <c r="R350" s="17" t="str">
        <f t="shared" si="6"/>
        <v/>
      </c>
      <c r="S350" s="1">
        <f>value(SUBSTITUTE(IFERROR(VLOOKUP(A350,'Networking - Solution Specializ'!A:G,6,false),""),"#","")
)</f>
        <v>0</v>
      </c>
      <c r="T350" s="1">
        <f>value(SUBSTITUTE(IFERROR(VLOOKUP(A350,'Networking - Solution Specializ'!A:G,7,false),""),"#","")
)</f>
        <v>0</v>
      </c>
      <c r="U350" s="17" t="str">
        <f t="shared" si="7"/>
        <v/>
      </c>
      <c r="V350" s="1" t="str">
        <f>iferror(vlookup(A350,'Marketing Plan (extract summary'!A:G,6,false),"")</f>
        <v/>
      </c>
      <c r="W350" s="1" t="str">
        <f>iferror(vlookup(A350,'Marketing Plan (extract summary'!A:G,7,false),"")</f>
        <v/>
      </c>
      <c r="X350" s="17" t="str">
        <f t="shared" si="8"/>
        <v/>
      </c>
      <c r="Y350" s="1">
        <f>value(IFERROR(SUBSTITUTE(SUBSTITUTE(VLOOKUP(A350,'Quarterly Pipeline vs Target Pi'!A:G,6,false)," $","")," €",""), "")
)</f>
        <v>0</v>
      </c>
      <c r="Z350" s="1">
        <f>value(IFERROR(SUBSTITUTE(SUBSTITUTE(VLOOKUP(A350,'Quarterly Pipeline vs Target Pi'!A:G,7,false)," $","")," €",""), "")
)</f>
        <v>0</v>
      </c>
      <c r="AA350" s="17" t="str">
        <f t="shared" si="9"/>
        <v/>
      </c>
      <c r="AB350" s="1">
        <f>value(IFERROR(SUBSTITUTE(SUBSTITUTE(VLOOKUP($A350,'Quarterly Pipeline vs Target Pi'!$A:$V,11,false)," $","")," €",""), "")
)</f>
        <v>0</v>
      </c>
      <c r="AC350" s="1">
        <f>value(IFERROR(SUBSTITUTE(SUBSTITUTE(VLOOKUP($A350,'Quarterly Pipeline vs Target Pi'!$A:$V,12,false)," $","")," €",""), "")
)</f>
        <v>0</v>
      </c>
      <c r="AD350" s="17" t="str">
        <f t="shared" si="10"/>
        <v/>
      </c>
      <c r="AE350" s="1">
        <f>value(IFERROR(SUBSTITUTE(SUBSTITUTE(VLOOKUP($A350,'Quarterly Pipeline vs Target Pi'!$A:$V,16,false)," $","")," €",""), "")
)</f>
        <v>0</v>
      </c>
      <c r="AF350" s="1">
        <f>value(IFERROR(SUBSTITUTE(SUBSTITUTE(VLOOKUP($A350,'Quarterly Pipeline vs Target Pi'!$A:$V,17,false)," $","")," €",""), "")
)</f>
        <v>0</v>
      </c>
      <c r="AG350" s="17" t="str">
        <f t="shared" si="11"/>
        <v/>
      </c>
      <c r="AH350" s="1">
        <f>value(IFERROR(SUBSTITUTE(SUBSTITUTE(VLOOKUP($A350,'Quarterly Pipeline vs Target Pi'!$A:$V,21,false)," $","")," €",""), "")
)</f>
        <v>0</v>
      </c>
      <c r="AI350" s="1">
        <f>value(IFERROR(SUBSTITUTE(SUBSTITUTE(VLOOKUP($A350,'Quarterly Pipeline vs Target Pi'!$A:$V,22,false)," $","")," €",""), "")
)</f>
        <v>0</v>
      </c>
      <c r="AJ350" s="17" t="str">
        <f t="shared" si="12"/>
        <v/>
      </c>
      <c r="AK350" s="1">
        <f t="shared" ref="AK350:AL350" si="713">sum(Y350,AB350,AE350,AH350)</f>
        <v>0</v>
      </c>
      <c r="AL350" s="1">
        <f t="shared" si="713"/>
        <v>0</v>
      </c>
      <c r="AM350" s="17" t="str">
        <f t="shared" si="14"/>
        <v/>
      </c>
      <c r="AN350" s="1">
        <f>value(IFERROR(SUBSTITUTE(SUBSTITUTE(VLOOKUP($A350,'Quarterly Pipeline vs Target Pi'!$A:$AP,26,false)," $","")," €",""), "")
)</f>
        <v>0</v>
      </c>
      <c r="AO350" s="1">
        <f>value(IFERROR(SUBSTITUTE(SUBSTITUTE(VLOOKUP($A350,'Quarterly Pipeline vs Target Pi'!$A:$AP,27,false)," $","")," €",""), "")
)</f>
        <v>0</v>
      </c>
      <c r="AP350" s="17" t="str">
        <f t="shared" si="15"/>
        <v/>
      </c>
      <c r="AQ350" s="1">
        <f>value(IFERROR(SUBSTITUTE(SUBSTITUTE(VLOOKUP($A350,'Quarterly Pipeline vs Target Pi'!$A:$AP,31,false)," $","")," €",""), "")
)</f>
        <v>0</v>
      </c>
      <c r="AR350" s="1">
        <f>value(IFERROR(SUBSTITUTE(SUBSTITUTE(VLOOKUP($A350,'Quarterly Pipeline vs Target Pi'!$A:$AP,32,false)," $","")," €",""), "")
)</f>
        <v>0</v>
      </c>
      <c r="AS350" s="17" t="str">
        <f t="shared" si="16"/>
        <v/>
      </c>
      <c r="AT350" s="1">
        <f>value(IFERROR(SUBSTITUTE(SUBSTITUTE(VLOOKUP($A350,'Quarterly Pipeline vs Target Pi'!$A:$AP,36,false)," $","")," €",""), "")
)</f>
        <v>0</v>
      </c>
      <c r="AU350" s="1">
        <f>value(IFERROR(SUBSTITUTE(SUBSTITUTE(VLOOKUP($A350,'Quarterly Pipeline vs Target Pi'!$A:$AP,37,false)," $","")," €",""), "")
)</f>
        <v>0</v>
      </c>
      <c r="AV350" s="17" t="str">
        <f t="shared" si="17"/>
        <v/>
      </c>
      <c r="AW350" s="1">
        <f>value(IFERROR(SUBSTITUTE(SUBSTITUTE(VLOOKUP($A350,'Quarterly Pipeline vs Target Pi'!$A:$AP,41,false)," $","")," €",""), "")
)</f>
        <v>0</v>
      </c>
      <c r="AX350" s="1">
        <f>value(IFERROR(SUBSTITUTE(SUBSTITUTE(VLOOKUP($A350,'Quarterly Pipeline vs Target Pi'!$A:$AP,42,false)," $","")," €",""), "")
)</f>
        <v>0</v>
      </c>
      <c r="AY350" s="17" t="str">
        <f t="shared" si="18"/>
        <v/>
      </c>
      <c r="AZ350" s="1">
        <f t="shared" ref="AZ350:BA350" si="714">sum(AN350,AQ350,AT350,AW350)</f>
        <v>0</v>
      </c>
      <c r="BA350" s="1">
        <f t="shared" si="714"/>
        <v>0</v>
      </c>
      <c r="BB350" s="17" t="str">
        <f t="shared" si="20"/>
        <v/>
      </c>
    </row>
    <row r="351">
      <c r="A351" s="1" t="str">
        <f>IFERROR(__xludf.DUMMYFUNCTION("""COMPUTED_VALUE"""),"63ced848c5c820531c268d4d")</f>
        <v>63ced848c5c820531c268d4d</v>
      </c>
      <c r="B351" s="1" t="str">
        <f>IFERROR(__xludf.DUMMYFUNCTION("""COMPUTED_VALUE"""),"provoicecom GmbH")</f>
        <v>provoicecom GmbH</v>
      </c>
      <c r="C351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351" s="1" t="str">
        <f>IFERROR(__xludf.DUMMYFUNCTION("""COMPUTED_VALUE"""),"germany")</f>
        <v>germany</v>
      </c>
      <c r="E351" s="1" t="str">
        <f>IFERROR(__xludf.DUMMYFUNCTION("""COMPUTED_VALUE"""),"DE")</f>
        <v>DE</v>
      </c>
      <c r="F351" s="1" t="str">
        <f>IFERROR(__xludf.DUMMYFUNCTION("""COMPUTED_VALUE"""),"expert_200")</f>
        <v>expert_200</v>
      </c>
      <c r="G351" s="1">
        <f>iferror(VLOOKUP(A351,'Business Plan Setup and Accepta'!A:G,6,false),"")</f>
        <v>1</v>
      </c>
      <c r="H351" s="1">
        <f>iferror(VLOOKUP(A351,'Business Plan Setup and Accepta'!A:G,7,false),"")</f>
        <v>1</v>
      </c>
      <c r="I351" s="17">
        <f t="shared" si="3"/>
        <v>1</v>
      </c>
      <c r="J351" s="1">
        <f>IFERROR(VALUE(SUBSTITUTE(VLOOKUP(A351,'Sales IN Revenues vs Sales targ'!A:G,6,false)," $","")), "")
</f>
        <v>419.36</v>
      </c>
      <c r="K351" s="1">
        <f>IFERROR(VALUE(SUBSTITUTE(VLOOKUP(A351,'Sales IN Revenues vs Sales targ'!A:G,7,false)," $","")), "")
</f>
        <v>900</v>
      </c>
      <c r="L351" s="17">
        <f t="shared" si="4"/>
        <v>0.4659555556</v>
      </c>
      <c r="M351" s="1">
        <f>value(SUBSTITUTE(IFERROR(VLOOKUP(A351,'Certifications achievements vs '!A:G,6,false),""),"#","")
)</f>
        <v>49</v>
      </c>
      <c r="N351" s="1">
        <f>value(SUBSTITUTE(IFERROR(VLOOKUP(A351,'Certifications achievements vs '!A:G,7,false),""),"#","")
)</f>
        <v>52</v>
      </c>
      <c r="O351" s="17">
        <f t="shared" si="5"/>
        <v>0.9423076923</v>
      </c>
      <c r="P351" s="1">
        <f>value(SUBSTITUTE(IFERROR(VLOOKUP(A351,'Communications - Solution Speci'!A:G,6,false),""),"#","")
)</f>
        <v>1</v>
      </c>
      <c r="Q351" s="1">
        <f>value(SUBSTITUTE(IFERROR(VLOOKUP(A351,'Communications - Solution Speci'!A:G,7,false),""),"#","")
)</f>
        <v>1</v>
      </c>
      <c r="R351" s="17">
        <f t="shared" si="6"/>
        <v>1</v>
      </c>
      <c r="S351" s="1">
        <f>value(SUBSTITUTE(IFERROR(VLOOKUP(A351,'Networking - Solution Specializ'!A:G,6,false),""),"#","")
)</f>
        <v>0</v>
      </c>
      <c r="T351" s="1">
        <f>value(SUBSTITUTE(IFERROR(VLOOKUP(A351,'Networking - Solution Specializ'!A:G,7,false),""),"#","")
)</f>
        <v>1</v>
      </c>
      <c r="U351" s="17">
        <f t="shared" si="7"/>
        <v>0</v>
      </c>
      <c r="V351" s="1">
        <f>iferror(vlookup(A351,'Marketing Plan (extract summary'!A:G,6,false),"")</f>
        <v>1</v>
      </c>
      <c r="W351" s="1">
        <f>iferror(vlookup(A351,'Marketing Plan (extract summary'!A:G,7,false),"")</f>
        <v>1</v>
      </c>
      <c r="X351" s="17">
        <f t="shared" si="8"/>
        <v>1</v>
      </c>
      <c r="Y351" s="1">
        <f>value(IFERROR(SUBSTITUTE(SUBSTITUTE(VLOOKUP(A351,'Quarterly Pipeline vs Target Pi'!A:G,6,false)," $","")," €",""), "")
)</f>
        <v>0.13</v>
      </c>
      <c r="Z351" s="1">
        <f>value(IFERROR(SUBSTITUTE(SUBSTITUTE(VLOOKUP(A351,'Quarterly Pipeline vs Target Pi'!A:G,7,false)," $","")," €",""), "")
)</f>
        <v>0</v>
      </c>
      <c r="AA351" s="17" t="str">
        <f t="shared" si="9"/>
        <v/>
      </c>
      <c r="AB351" s="1">
        <f>value(IFERROR(SUBSTITUTE(SUBSTITUTE(VLOOKUP($A351,'Quarterly Pipeline vs Target Pi'!$A:$V,11,false)," $","")," €",""), "")
)</f>
        <v>0.27</v>
      </c>
      <c r="AC351" s="1">
        <f>value(IFERROR(SUBSTITUTE(SUBSTITUTE(VLOOKUP($A351,'Quarterly Pipeline vs Target Pi'!$A:$V,12,false)," $","")," €",""), "")
)</f>
        <v>233.77</v>
      </c>
      <c r="AD351" s="17">
        <f t="shared" si="10"/>
        <v>0.001154981392</v>
      </c>
      <c r="AE351" s="1">
        <f>value(IFERROR(SUBSTITUTE(SUBSTITUTE(VLOOKUP($A351,'Quarterly Pipeline vs Target Pi'!$A:$V,16,false)," $","")," €",""), "")
)</f>
        <v>117.66</v>
      </c>
      <c r="AF351" s="1">
        <f>value(IFERROR(SUBSTITUTE(SUBSTITUTE(VLOOKUP($A351,'Quarterly Pipeline vs Target Pi'!$A:$V,17,false)," $","")," €",""), "")
)</f>
        <v>349.35</v>
      </c>
      <c r="AG351" s="17">
        <f t="shared" si="11"/>
        <v>0.3367969085</v>
      </c>
      <c r="AH351" s="1">
        <f>value(IFERROR(SUBSTITUTE(SUBSTITUTE(VLOOKUP($A351,'Quarterly Pipeline vs Target Pi'!$A:$V,21,false)," $","")," €",""), "")
)</f>
        <v>234.58</v>
      </c>
      <c r="AI351" s="1">
        <f>value(IFERROR(SUBSTITUTE(SUBSTITUTE(VLOOKUP($A351,'Quarterly Pipeline vs Target Pi'!$A:$V,22,false)," $","")," €",""), "")
)</f>
        <v>351.95</v>
      </c>
      <c r="AJ351" s="17">
        <f t="shared" si="12"/>
        <v>0.66651513</v>
      </c>
      <c r="AK351" s="1">
        <f t="shared" ref="AK351:AL351" si="715">sum(Y351,AB351,AE351,AH351)</f>
        <v>352.64</v>
      </c>
      <c r="AL351" s="1">
        <f t="shared" si="715"/>
        <v>935.07</v>
      </c>
      <c r="AM351" s="17">
        <f t="shared" si="14"/>
        <v>0.3771268461</v>
      </c>
      <c r="AN351" s="1">
        <f>value(IFERROR(SUBSTITUTE(SUBSTITUTE(VLOOKUP($A351,'Quarterly Pipeline vs Target Pi'!$A:$AP,26,false)," $","")," €",""), "")
)</f>
        <v>252.68</v>
      </c>
      <c r="AO351" s="1">
        <f>value(IFERROR(SUBSTITUTE(SUBSTITUTE(VLOOKUP($A351,'Quarterly Pipeline vs Target Pi'!$A:$AP,27,false)," $","")," €",""), "")
)</f>
        <v>0</v>
      </c>
      <c r="AP351" s="17" t="str">
        <f t="shared" si="15"/>
        <v/>
      </c>
      <c r="AQ351" s="1">
        <f>value(IFERROR(SUBSTITUTE(SUBSTITUTE(VLOOKUP($A351,'Quarterly Pipeline vs Target Pi'!$A:$AP,31,false)," $","")," €",""), "")
)</f>
        <v>0</v>
      </c>
      <c r="AR351" s="1">
        <f>value(IFERROR(SUBSTITUTE(SUBSTITUTE(VLOOKUP($A351,'Quarterly Pipeline vs Target Pi'!$A:$AP,32,false)," $","")," €",""), "")
)</f>
        <v>0</v>
      </c>
      <c r="AS351" s="17" t="str">
        <f t="shared" si="16"/>
        <v/>
      </c>
      <c r="AT351" s="1">
        <f>value(IFERROR(SUBSTITUTE(SUBSTITUTE(VLOOKUP($A351,'Quarterly Pipeline vs Target Pi'!$A:$AP,36,false)," $","")," €",""), "")
)</f>
        <v>34.61</v>
      </c>
      <c r="AU351" s="1">
        <f>value(IFERROR(SUBSTITUTE(SUBSTITUTE(VLOOKUP($A351,'Quarterly Pipeline vs Target Pi'!$A:$AP,37,false)," $","")," €",""), "")
)</f>
        <v>0</v>
      </c>
      <c r="AV351" s="17" t="str">
        <f t="shared" si="17"/>
        <v/>
      </c>
      <c r="AW351" s="1">
        <f>value(IFERROR(SUBSTITUTE(SUBSTITUTE(VLOOKUP($A351,'Quarterly Pipeline vs Target Pi'!$A:$AP,41,false)," $","")," €",""), "")
)</f>
        <v>128.66</v>
      </c>
      <c r="AX351" s="1">
        <f>value(IFERROR(SUBSTITUTE(SUBSTITUTE(VLOOKUP($A351,'Quarterly Pipeline vs Target Pi'!$A:$AP,42,false)," $","")," €",""), "")
)</f>
        <v>0</v>
      </c>
      <c r="AY351" s="17" t="str">
        <f t="shared" si="18"/>
        <v/>
      </c>
      <c r="AZ351" s="1">
        <f t="shared" ref="AZ351:BA351" si="716">sum(AN351,AQ351,AT351,AW351)</f>
        <v>415.95</v>
      </c>
      <c r="BA351" s="1">
        <f t="shared" si="716"/>
        <v>0</v>
      </c>
      <c r="BB351" s="17" t="str">
        <f t="shared" si="20"/>
        <v/>
      </c>
    </row>
    <row r="352">
      <c r="A352" s="1" t="str">
        <f>IFERROR(__xludf.DUMMYFUNCTION("""COMPUTED_VALUE"""),"63fcbb80a107c871cf564b77")</f>
        <v>63fcbb80a107c871cf564b77</v>
      </c>
      <c r="B352" s="1" t="str">
        <f>IFERROR(__xludf.DUMMYFUNCTION("""COMPUTED_VALUE"""),"Quadbridge Inc.")</f>
        <v>Quadbridge Inc.</v>
      </c>
      <c r="C352" s="1" t="str">
        <f>IFERROR(__xludf.DUMMYFUNCTION("""COMPUTED_VALUE"""),"steve.mcglasson@al-enterprise.com")</f>
        <v>steve.mcglasson@al-enterprise.com</v>
      </c>
      <c r="D352" s="1" t="str">
        <f>IFERROR(__xludf.DUMMYFUNCTION("""COMPUTED_VALUE"""),"americas")</f>
        <v>americas</v>
      </c>
      <c r="E352" s="1" t="str">
        <f>IFERROR(__xludf.DUMMYFUNCTION("""COMPUTED_VALUE"""),"US")</f>
        <v>US</v>
      </c>
      <c r="F352" s="1"/>
      <c r="G352" s="1" t="str">
        <f>iferror(VLOOKUP(A352,'Business Plan Setup and Accepta'!A:G,6,false),"")</f>
        <v/>
      </c>
      <c r="H352" s="1" t="str">
        <f>iferror(VLOOKUP(A352,'Business Plan Setup and Accepta'!A:G,7,false),"")</f>
        <v/>
      </c>
      <c r="I352" s="17" t="str">
        <f t="shared" si="3"/>
        <v/>
      </c>
      <c r="J352" s="1" t="str">
        <f>IFERROR(VALUE(SUBSTITUTE(VLOOKUP(A352,'Sales IN Revenues vs Sales targ'!A:G,6,false)," $","")), "")
</f>
        <v/>
      </c>
      <c r="K352" s="1" t="str">
        <f>IFERROR(VALUE(SUBSTITUTE(VLOOKUP(A352,'Sales IN Revenues vs Sales targ'!A:G,7,false)," $","")), "")
</f>
        <v/>
      </c>
      <c r="L352" s="17" t="str">
        <f t="shared" si="4"/>
        <v/>
      </c>
      <c r="M352" s="1">
        <f>value(SUBSTITUTE(IFERROR(VLOOKUP(A352,'Certifications achievements vs '!A:G,6,false),""),"#","")
)</f>
        <v>0</v>
      </c>
      <c r="N352" s="1">
        <f>value(SUBSTITUTE(IFERROR(VLOOKUP(A352,'Certifications achievements vs '!A:G,7,false),""),"#","")
)</f>
        <v>0</v>
      </c>
      <c r="O352" s="17" t="str">
        <f t="shared" si="5"/>
        <v/>
      </c>
      <c r="P352" s="1">
        <f>value(SUBSTITUTE(IFERROR(VLOOKUP(A352,'Communications - Solution Speci'!A:G,6,false),""),"#","")
)</f>
        <v>0</v>
      </c>
      <c r="Q352" s="1">
        <f>value(SUBSTITUTE(IFERROR(VLOOKUP(A352,'Communications - Solution Speci'!A:G,7,false),""),"#","")
)</f>
        <v>0</v>
      </c>
      <c r="R352" s="17" t="str">
        <f t="shared" si="6"/>
        <v/>
      </c>
      <c r="S352" s="1">
        <f>value(SUBSTITUTE(IFERROR(VLOOKUP(A352,'Networking - Solution Specializ'!A:G,6,false),""),"#","")
)</f>
        <v>0</v>
      </c>
      <c r="T352" s="1">
        <f>value(SUBSTITUTE(IFERROR(VLOOKUP(A352,'Networking - Solution Specializ'!A:G,7,false),""),"#","")
)</f>
        <v>0</v>
      </c>
      <c r="U352" s="17" t="str">
        <f t="shared" si="7"/>
        <v/>
      </c>
      <c r="V352" s="1" t="str">
        <f>iferror(vlookup(A352,'Marketing Plan (extract summary'!A:G,6,false),"")</f>
        <v/>
      </c>
      <c r="W352" s="1" t="str">
        <f>iferror(vlookup(A352,'Marketing Plan (extract summary'!A:G,7,false),"")</f>
        <v/>
      </c>
      <c r="X352" s="17" t="str">
        <f t="shared" si="8"/>
        <v/>
      </c>
      <c r="Y352" s="1">
        <f>value(IFERROR(SUBSTITUTE(SUBSTITUTE(VLOOKUP(A352,'Quarterly Pipeline vs Target Pi'!A:G,6,false)," $","")," €",""), "")
)</f>
        <v>0</v>
      </c>
      <c r="Z352" s="1">
        <f>value(IFERROR(SUBSTITUTE(SUBSTITUTE(VLOOKUP(A352,'Quarterly Pipeline vs Target Pi'!A:G,7,false)," $","")," €",""), "")
)</f>
        <v>0</v>
      </c>
      <c r="AA352" s="17" t="str">
        <f t="shared" si="9"/>
        <v/>
      </c>
      <c r="AB352" s="1">
        <f>value(IFERROR(SUBSTITUTE(SUBSTITUTE(VLOOKUP($A352,'Quarterly Pipeline vs Target Pi'!$A:$V,11,false)," $","")," €",""), "")
)</f>
        <v>0</v>
      </c>
      <c r="AC352" s="1">
        <f>value(IFERROR(SUBSTITUTE(SUBSTITUTE(VLOOKUP($A352,'Quarterly Pipeline vs Target Pi'!$A:$V,12,false)," $","")," €",""), "")
)</f>
        <v>0</v>
      </c>
      <c r="AD352" s="17" t="str">
        <f t="shared" si="10"/>
        <v/>
      </c>
      <c r="AE352" s="1">
        <f>value(IFERROR(SUBSTITUTE(SUBSTITUTE(VLOOKUP($A352,'Quarterly Pipeline vs Target Pi'!$A:$V,16,false)," $","")," €",""), "")
)</f>
        <v>0</v>
      </c>
      <c r="AF352" s="1">
        <f>value(IFERROR(SUBSTITUTE(SUBSTITUTE(VLOOKUP($A352,'Quarterly Pipeline vs Target Pi'!$A:$V,17,false)," $","")," €",""), "")
)</f>
        <v>0</v>
      </c>
      <c r="AG352" s="17" t="str">
        <f t="shared" si="11"/>
        <v/>
      </c>
      <c r="AH352" s="1">
        <f>value(IFERROR(SUBSTITUTE(SUBSTITUTE(VLOOKUP($A352,'Quarterly Pipeline vs Target Pi'!$A:$V,21,false)," $","")," €",""), "")
)</f>
        <v>0</v>
      </c>
      <c r="AI352" s="1">
        <f>value(IFERROR(SUBSTITUTE(SUBSTITUTE(VLOOKUP($A352,'Quarterly Pipeline vs Target Pi'!$A:$V,22,false)," $","")," €",""), "")
)</f>
        <v>0</v>
      </c>
      <c r="AJ352" s="17" t="str">
        <f t="shared" si="12"/>
        <v/>
      </c>
      <c r="AK352" s="1">
        <f t="shared" ref="AK352:AL352" si="717">sum(Y352,AB352,AE352,AH352)</f>
        <v>0</v>
      </c>
      <c r="AL352" s="1">
        <f t="shared" si="717"/>
        <v>0</v>
      </c>
      <c r="AM352" s="17" t="str">
        <f t="shared" si="14"/>
        <v/>
      </c>
      <c r="AN352" s="1">
        <f>value(IFERROR(SUBSTITUTE(SUBSTITUTE(VLOOKUP($A352,'Quarterly Pipeline vs Target Pi'!$A:$AP,26,false)," $","")," €",""), "")
)</f>
        <v>0</v>
      </c>
      <c r="AO352" s="1">
        <f>value(IFERROR(SUBSTITUTE(SUBSTITUTE(VLOOKUP($A352,'Quarterly Pipeline vs Target Pi'!$A:$AP,27,false)," $","")," €",""), "")
)</f>
        <v>0</v>
      </c>
      <c r="AP352" s="17" t="str">
        <f t="shared" si="15"/>
        <v/>
      </c>
      <c r="AQ352" s="1">
        <f>value(IFERROR(SUBSTITUTE(SUBSTITUTE(VLOOKUP($A352,'Quarterly Pipeline vs Target Pi'!$A:$AP,31,false)," $","")," €",""), "")
)</f>
        <v>0</v>
      </c>
      <c r="AR352" s="1">
        <f>value(IFERROR(SUBSTITUTE(SUBSTITUTE(VLOOKUP($A352,'Quarterly Pipeline vs Target Pi'!$A:$AP,32,false)," $","")," €",""), "")
)</f>
        <v>0</v>
      </c>
      <c r="AS352" s="17" t="str">
        <f t="shared" si="16"/>
        <v/>
      </c>
      <c r="AT352" s="1">
        <f>value(IFERROR(SUBSTITUTE(SUBSTITUTE(VLOOKUP($A352,'Quarterly Pipeline vs Target Pi'!$A:$AP,36,false)," $","")," €",""), "")
)</f>
        <v>0</v>
      </c>
      <c r="AU352" s="1">
        <f>value(IFERROR(SUBSTITUTE(SUBSTITUTE(VLOOKUP($A352,'Quarterly Pipeline vs Target Pi'!$A:$AP,37,false)," $","")," €",""), "")
)</f>
        <v>0</v>
      </c>
      <c r="AV352" s="17" t="str">
        <f t="shared" si="17"/>
        <v/>
      </c>
      <c r="AW352" s="1">
        <f>value(IFERROR(SUBSTITUTE(SUBSTITUTE(VLOOKUP($A352,'Quarterly Pipeline vs Target Pi'!$A:$AP,41,false)," $","")," €",""), "")
)</f>
        <v>0</v>
      </c>
      <c r="AX352" s="1">
        <f>value(IFERROR(SUBSTITUTE(SUBSTITUTE(VLOOKUP($A352,'Quarterly Pipeline vs Target Pi'!$A:$AP,42,false)," $","")," €",""), "")
)</f>
        <v>0</v>
      </c>
      <c r="AY352" s="17" t="str">
        <f t="shared" si="18"/>
        <v/>
      </c>
      <c r="AZ352" s="1">
        <f t="shared" ref="AZ352:BA352" si="718">sum(AN352,AQ352,AT352,AW352)</f>
        <v>0</v>
      </c>
      <c r="BA352" s="1">
        <f t="shared" si="718"/>
        <v>0</v>
      </c>
      <c r="BB352" s="17" t="str">
        <f t="shared" si="20"/>
        <v/>
      </c>
    </row>
    <row r="353">
      <c r="A353" s="1" t="str">
        <f>IFERROR(__xludf.DUMMYFUNCTION("""COMPUTED_VALUE"""),"63ea6e9552ad6968805ced3b")</f>
        <v>63ea6e9552ad6968805ced3b</v>
      </c>
      <c r="B353" s="1" t="str">
        <f>IFERROR(__xludf.DUMMYFUNCTION("""COMPUTED_VALUE"""),"Raab IT-Systemhaus GmbH &amp; Co. KG")</f>
        <v>Raab IT-Systemhaus GmbH &amp; Co. KG</v>
      </c>
      <c r="C353" s="1" t="str">
        <f>IFERROR(__xludf.DUMMYFUNCTION("""COMPUTED_VALUE"""),"andreas.grossheimann@al-enterprise.com, daniel.scheidl@al-enterprise.com, hakan.adiguezel@al-enterprise.com")</f>
        <v>andreas.grossheimann@al-enterprise.com, daniel.scheidl@al-enterprise.com, hakan.adiguezel@al-enterprise.com</v>
      </c>
      <c r="D353" s="1" t="str">
        <f>IFERROR(__xludf.DUMMYFUNCTION("""COMPUTED_VALUE"""),"germany")</f>
        <v>germany</v>
      </c>
      <c r="E353" s="1" t="str">
        <f>IFERROR(__xludf.DUMMYFUNCTION("""COMPUTED_VALUE"""),"DE")</f>
        <v>DE</v>
      </c>
      <c r="F353" s="1"/>
      <c r="G353" s="1" t="str">
        <f>iferror(VLOOKUP(A353,'Business Plan Setup and Accepta'!A:G,6,false),"")</f>
        <v/>
      </c>
      <c r="H353" s="1" t="str">
        <f>iferror(VLOOKUP(A353,'Business Plan Setup and Accepta'!A:G,7,false),"")</f>
        <v/>
      </c>
      <c r="I353" s="17" t="str">
        <f t="shared" si="3"/>
        <v/>
      </c>
      <c r="J353" s="1" t="str">
        <f>IFERROR(VALUE(SUBSTITUTE(VLOOKUP(A353,'Sales IN Revenues vs Sales targ'!A:G,6,false)," $","")), "")
</f>
        <v/>
      </c>
      <c r="K353" s="1" t="str">
        <f>IFERROR(VALUE(SUBSTITUTE(VLOOKUP(A353,'Sales IN Revenues vs Sales targ'!A:G,7,false)," $","")), "")
</f>
        <v/>
      </c>
      <c r="L353" s="17" t="str">
        <f t="shared" si="4"/>
        <v/>
      </c>
      <c r="M353" s="1">
        <f>value(SUBSTITUTE(IFERROR(VLOOKUP(A353,'Certifications achievements vs '!A:G,6,false),""),"#","")
)</f>
        <v>0</v>
      </c>
      <c r="N353" s="1">
        <f>value(SUBSTITUTE(IFERROR(VLOOKUP(A353,'Certifications achievements vs '!A:G,7,false),""),"#","")
)</f>
        <v>0</v>
      </c>
      <c r="O353" s="17" t="str">
        <f t="shared" si="5"/>
        <v/>
      </c>
      <c r="P353" s="1">
        <f>value(SUBSTITUTE(IFERROR(VLOOKUP(A353,'Communications - Solution Speci'!A:G,6,false),""),"#","")
)</f>
        <v>0</v>
      </c>
      <c r="Q353" s="1">
        <f>value(SUBSTITUTE(IFERROR(VLOOKUP(A353,'Communications - Solution Speci'!A:G,7,false),""),"#","")
)</f>
        <v>0</v>
      </c>
      <c r="R353" s="17" t="str">
        <f t="shared" si="6"/>
        <v/>
      </c>
      <c r="S353" s="1">
        <f>value(SUBSTITUTE(IFERROR(VLOOKUP(A353,'Networking - Solution Specializ'!A:G,6,false),""),"#","")
)</f>
        <v>0</v>
      </c>
      <c r="T353" s="1">
        <f>value(SUBSTITUTE(IFERROR(VLOOKUP(A353,'Networking - Solution Specializ'!A:G,7,false),""),"#","")
)</f>
        <v>0</v>
      </c>
      <c r="U353" s="17" t="str">
        <f t="shared" si="7"/>
        <v/>
      </c>
      <c r="V353" s="1" t="str">
        <f>iferror(vlookup(A353,'Marketing Plan (extract summary'!A:G,6,false),"")</f>
        <v/>
      </c>
      <c r="W353" s="1" t="str">
        <f>iferror(vlookup(A353,'Marketing Plan (extract summary'!A:G,7,false),"")</f>
        <v/>
      </c>
      <c r="X353" s="17" t="str">
        <f t="shared" si="8"/>
        <v/>
      </c>
      <c r="Y353" s="1">
        <f>value(IFERROR(SUBSTITUTE(SUBSTITUTE(VLOOKUP(A353,'Quarterly Pipeline vs Target Pi'!A:G,6,false)," $","")," €",""), "")
)</f>
        <v>0</v>
      </c>
      <c r="Z353" s="1">
        <f>value(IFERROR(SUBSTITUTE(SUBSTITUTE(VLOOKUP(A353,'Quarterly Pipeline vs Target Pi'!A:G,7,false)," $","")," €",""), "")
)</f>
        <v>0</v>
      </c>
      <c r="AA353" s="17" t="str">
        <f t="shared" si="9"/>
        <v/>
      </c>
      <c r="AB353" s="1">
        <f>value(IFERROR(SUBSTITUTE(SUBSTITUTE(VLOOKUP($A353,'Quarterly Pipeline vs Target Pi'!$A:$V,11,false)," $","")," €",""), "")
)</f>
        <v>0</v>
      </c>
      <c r="AC353" s="1">
        <f>value(IFERROR(SUBSTITUTE(SUBSTITUTE(VLOOKUP($A353,'Quarterly Pipeline vs Target Pi'!$A:$V,12,false)," $","")," €",""), "")
)</f>
        <v>0</v>
      </c>
      <c r="AD353" s="17" t="str">
        <f t="shared" si="10"/>
        <v/>
      </c>
      <c r="AE353" s="1">
        <f>value(IFERROR(SUBSTITUTE(SUBSTITUTE(VLOOKUP($A353,'Quarterly Pipeline vs Target Pi'!$A:$V,16,false)," $","")," €",""), "")
)</f>
        <v>0</v>
      </c>
      <c r="AF353" s="1">
        <f>value(IFERROR(SUBSTITUTE(SUBSTITUTE(VLOOKUP($A353,'Quarterly Pipeline vs Target Pi'!$A:$V,17,false)," $","")," €",""), "")
)</f>
        <v>0</v>
      </c>
      <c r="AG353" s="17" t="str">
        <f t="shared" si="11"/>
        <v/>
      </c>
      <c r="AH353" s="1">
        <f>value(IFERROR(SUBSTITUTE(SUBSTITUTE(VLOOKUP($A353,'Quarterly Pipeline vs Target Pi'!$A:$V,21,false)," $","")," €",""), "")
)</f>
        <v>0</v>
      </c>
      <c r="AI353" s="1">
        <f>value(IFERROR(SUBSTITUTE(SUBSTITUTE(VLOOKUP($A353,'Quarterly Pipeline vs Target Pi'!$A:$V,22,false)," $","")," €",""), "")
)</f>
        <v>0</v>
      </c>
      <c r="AJ353" s="17" t="str">
        <f t="shared" si="12"/>
        <v/>
      </c>
      <c r="AK353" s="1">
        <f t="shared" ref="AK353:AL353" si="719">sum(Y353,AB353,AE353,AH353)</f>
        <v>0</v>
      </c>
      <c r="AL353" s="1">
        <f t="shared" si="719"/>
        <v>0</v>
      </c>
      <c r="AM353" s="17" t="str">
        <f t="shared" si="14"/>
        <v/>
      </c>
      <c r="AN353" s="1">
        <f>value(IFERROR(SUBSTITUTE(SUBSTITUTE(VLOOKUP($A353,'Quarterly Pipeline vs Target Pi'!$A:$AP,26,false)," $","")," €",""), "")
)</f>
        <v>0</v>
      </c>
      <c r="AO353" s="1">
        <f>value(IFERROR(SUBSTITUTE(SUBSTITUTE(VLOOKUP($A353,'Quarterly Pipeline vs Target Pi'!$A:$AP,27,false)," $","")," €",""), "")
)</f>
        <v>0</v>
      </c>
      <c r="AP353" s="17" t="str">
        <f t="shared" si="15"/>
        <v/>
      </c>
      <c r="AQ353" s="1">
        <f>value(IFERROR(SUBSTITUTE(SUBSTITUTE(VLOOKUP($A353,'Quarterly Pipeline vs Target Pi'!$A:$AP,31,false)," $","")," €",""), "")
)</f>
        <v>0</v>
      </c>
      <c r="AR353" s="1">
        <f>value(IFERROR(SUBSTITUTE(SUBSTITUTE(VLOOKUP($A353,'Quarterly Pipeline vs Target Pi'!$A:$AP,32,false)," $","")," €",""), "")
)</f>
        <v>0</v>
      </c>
      <c r="AS353" s="17" t="str">
        <f t="shared" si="16"/>
        <v/>
      </c>
      <c r="AT353" s="1">
        <f>value(IFERROR(SUBSTITUTE(SUBSTITUTE(VLOOKUP($A353,'Quarterly Pipeline vs Target Pi'!$A:$AP,36,false)," $","")," €",""), "")
)</f>
        <v>0</v>
      </c>
      <c r="AU353" s="1">
        <f>value(IFERROR(SUBSTITUTE(SUBSTITUTE(VLOOKUP($A353,'Quarterly Pipeline vs Target Pi'!$A:$AP,37,false)," $","")," €",""), "")
)</f>
        <v>0</v>
      </c>
      <c r="AV353" s="17" t="str">
        <f t="shared" si="17"/>
        <v/>
      </c>
      <c r="AW353" s="1">
        <f>value(IFERROR(SUBSTITUTE(SUBSTITUTE(VLOOKUP($A353,'Quarterly Pipeline vs Target Pi'!$A:$AP,41,false)," $","")," €",""), "")
)</f>
        <v>0</v>
      </c>
      <c r="AX353" s="1">
        <f>value(IFERROR(SUBSTITUTE(SUBSTITUTE(VLOOKUP($A353,'Quarterly Pipeline vs Target Pi'!$A:$AP,42,false)," $","")," €",""), "")
)</f>
        <v>0</v>
      </c>
      <c r="AY353" s="17" t="str">
        <f t="shared" si="18"/>
        <v/>
      </c>
      <c r="AZ353" s="1">
        <f t="shared" ref="AZ353:BA353" si="720">sum(AN353,AQ353,AT353,AW353)</f>
        <v>0</v>
      </c>
      <c r="BA353" s="1">
        <f t="shared" si="720"/>
        <v>0</v>
      </c>
      <c r="BB353" s="17" t="str">
        <f t="shared" si="20"/>
        <v/>
      </c>
    </row>
    <row r="354">
      <c r="A354" s="1" t="str">
        <f>IFERROR(__xludf.DUMMYFUNCTION("""COMPUTED_VALUE"""),"63ced84ec5c820531c2699f5")</f>
        <v>63ced84ec5c820531c2699f5</v>
      </c>
      <c r="B354" s="1" t="str">
        <f>IFERROR(__xludf.DUMMYFUNCTION("""COMPUTED_VALUE"""),"RackTop Systems, LLC")</f>
        <v>RackTop Systems, LLC</v>
      </c>
      <c r="C354" s="1" t="str">
        <f>IFERROR(__xludf.DUMMYFUNCTION("""COMPUTED_VALUE"""),"brendan.flaherty@al-enterprise.com")</f>
        <v>brendan.flaherty@al-enterprise.com</v>
      </c>
      <c r="D354" s="1" t="str">
        <f>IFERROR(__xludf.DUMMYFUNCTION("""COMPUTED_VALUE"""),"americas")</f>
        <v>americas</v>
      </c>
      <c r="E354" s="1" t="str">
        <f>IFERROR(__xludf.DUMMYFUNCTION("""COMPUTED_VALUE"""),"US")</f>
        <v>US</v>
      </c>
      <c r="F354" s="1"/>
      <c r="G354" s="1" t="str">
        <f>iferror(VLOOKUP(A354,'Business Plan Setup and Accepta'!A:G,6,false),"")</f>
        <v/>
      </c>
      <c r="H354" s="1" t="str">
        <f>iferror(VLOOKUP(A354,'Business Plan Setup and Accepta'!A:G,7,false),"")</f>
        <v/>
      </c>
      <c r="I354" s="17" t="str">
        <f t="shared" si="3"/>
        <v/>
      </c>
      <c r="J354" s="1" t="str">
        <f>IFERROR(VALUE(SUBSTITUTE(VLOOKUP(A354,'Sales IN Revenues vs Sales targ'!A:G,6,false)," $","")), "")
</f>
        <v/>
      </c>
      <c r="K354" s="1" t="str">
        <f>IFERROR(VALUE(SUBSTITUTE(VLOOKUP(A354,'Sales IN Revenues vs Sales targ'!A:G,7,false)," $","")), "")
</f>
        <v/>
      </c>
      <c r="L354" s="17" t="str">
        <f t="shared" si="4"/>
        <v/>
      </c>
      <c r="M354" s="1">
        <f>value(SUBSTITUTE(IFERROR(VLOOKUP(A354,'Certifications achievements vs '!A:G,6,false),""),"#","")
)</f>
        <v>0</v>
      </c>
      <c r="N354" s="1">
        <f>value(SUBSTITUTE(IFERROR(VLOOKUP(A354,'Certifications achievements vs '!A:G,7,false),""),"#","")
)</f>
        <v>0</v>
      </c>
      <c r="O354" s="17" t="str">
        <f t="shared" si="5"/>
        <v/>
      </c>
      <c r="P354" s="1">
        <f>value(SUBSTITUTE(IFERROR(VLOOKUP(A354,'Communications - Solution Speci'!A:G,6,false),""),"#","")
)</f>
        <v>0</v>
      </c>
      <c r="Q354" s="1">
        <f>value(SUBSTITUTE(IFERROR(VLOOKUP(A354,'Communications - Solution Speci'!A:G,7,false),""),"#","")
)</f>
        <v>0</v>
      </c>
      <c r="R354" s="17" t="str">
        <f t="shared" si="6"/>
        <v/>
      </c>
      <c r="S354" s="1">
        <f>value(SUBSTITUTE(IFERROR(VLOOKUP(A354,'Networking - Solution Specializ'!A:G,6,false),""),"#","")
)</f>
        <v>0</v>
      </c>
      <c r="T354" s="1">
        <f>value(SUBSTITUTE(IFERROR(VLOOKUP(A354,'Networking - Solution Specializ'!A:G,7,false),""),"#","")
)</f>
        <v>0</v>
      </c>
      <c r="U354" s="17" t="str">
        <f t="shared" si="7"/>
        <v/>
      </c>
      <c r="V354" s="1" t="str">
        <f>iferror(vlookup(A354,'Marketing Plan (extract summary'!A:G,6,false),"")</f>
        <v/>
      </c>
      <c r="W354" s="1" t="str">
        <f>iferror(vlookup(A354,'Marketing Plan (extract summary'!A:G,7,false),"")</f>
        <v/>
      </c>
      <c r="X354" s="17" t="str">
        <f t="shared" si="8"/>
        <v/>
      </c>
      <c r="Y354" s="1">
        <f>value(IFERROR(SUBSTITUTE(SUBSTITUTE(VLOOKUP(A354,'Quarterly Pipeline vs Target Pi'!A:G,6,false)," $","")," €",""), "")
)</f>
        <v>0</v>
      </c>
      <c r="Z354" s="1">
        <f>value(IFERROR(SUBSTITUTE(SUBSTITUTE(VLOOKUP(A354,'Quarterly Pipeline vs Target Pi'!A:G,7,false)," $","")," €",""), "")
)</f>
        <v>0</v>
      </c>
      <c r="AA354" s="17" t="str">
        <f t="shared" si="9"/>
        <v/>
      </c>
      <c r="AB354" s="1">
        <f>value(IFERROR(SUBSTITUTE(SUBSTITUTE(VLOOKUP($A354,'Quarterly Pipeline vs Target Pi'!$A:$V,11,false)," $","")," €",""), "")
)</f>
        <v>0</v>
      </c>
      <c r="AC354" s="1">
        <f>value(IFERROR(SUBSTITUTE(SUBSTITUTE(VLOOKUP($A354,'Quarterly Pipeline vs Target Pi'!$A:$V,12,false)," $","")," €",""), "")
)</f>
        <v>0</v>
      </c>
      <c r="AD354" s="17" t="str">
        <f t="shared" si="10"/>
        <v/>
      </c>
      <c r="AE354" s="1">
        <f>value(IFERROR(SUBSTITUTE(SUBSTITUTE(VLOOKUP($A354,'Quarterly Pipeline vs Target Pi'!$A:$V,16,false)," $","")," €",""), "")
)</f>
        <v>0</v>
      </c>
      <c r="AF354" s="1">
        <f>value(IFERROR(SUBSTITUTE(SUBSTITUTE(VLOOKUP($A354,'Quarterly Pipeline vs Target Pi'!$A:$V,17,false)," $","")," €",""), "")
)</f>
        <v>0</v>
      </c>
      <c r="AG354" s="17" t="str">
        <f t="shared" si="11"/>
        <v/>
      </c>
      <c r="AH354" s="1">
        <f>value(IFERROR(SUBSTITUTE(SUBSTITUTE(VLOOKUP($A354,'Quarterly Pipeline vs Target Pi'!$A:$V,21,false)," $","")," €",""), "")
)</f>
        <v>0</v>
      </c>
      <c r="AI354" s="1">
        <f>value(IFERROR(SUBSTITUTE(SUBSTITUTE(VLOOKUP($A354,'Quarterly Pipeline vs Target Pi'!$A:$V,22,false)," $","")," €",""), "")
)</f>
        <v>0</v>
      </c>
      <c r="AJ354" s="17" t="str">
        <f t="shared" si="12"/>
        <v/>
      </c>
      <c r="AK354" s="1">
        <f t="shared" ref="AK354:AL354" si="721">sum(Y354,AB354,AE354,AH354)</f>
        <v>0</v>
      </c>
      <c r="AL354" s="1">
        <f t="shared" si="721"/>
        <v>0</v>
      </c>
      <c r="AM354" s="17" t="str">
        <f t="shared" si="14"/>
        <v/>
      </c>
      <c r="AN354" s="1">
        <f>value(IFERROR(SUBSTITUTE(SUBSTITUTE(VLOOKUP($A354,'Quarterly Pipeline vs Target Pi'!$A:$AP,26,false)," $","")," €",""), "")
)</f>
        <v>0</v>
      </c>
      <c r="AO354" s="1">
        <f>value(IFERROR(SUBSTITUTE(SUBSTITUTE(VLOOKUP($A354,'Quarterly Pipeline vs Target Pi'!$A:$AP,27,false)," $","")," €",""), "")
)</f>
        <v>0</v>
      </c>
      <c r="AP354" s="17" t="str">
        <f t="shared" si="15"/>
        <v/>
      </c>
      <c r="AQ354" s="1">
        <f>value(IFERROR(SUBSTITUTE(SUBSTITUTE(VLOOKUP($A354,'Quarterly Pipeline vs Target Pi'!$A:$AP,31,false)," $","")," €",""), "")
)</f>
        <v>0</v>
      </c>
      <c r="AR354" s="1">
        <f>value(IFERROR(SUBSTITUTE(SUBSTITUTE(VLOOKUP($A354,'Quarterly Pipeline vs Target Pi'!$A:$AP,32,false)," $","")," €",""), "")
)</f>
        <v>0</v>
      </c>
      <c r="AS354" s="17" t="str">
        <f t="shared" si="16"/>
        <v/>
      </c>
      <c r="AT354" s="1">
        <f>value(IFERROR(SUBSTITUTE(SUBSTITUTE(VLOOKUP($A354,'Quarterly Pipeline vs Target Pi'!$A:$AP,36,false)," $","")," €",""), "")
)</f>
        <v>0</v>
      </c>
      <c r="AU354" s="1">
        <f>value(IFERROR(SUBSTITUTE(SUBSTITUTE(VLOOKUP($A354,'Quarterly Pipeline vs Target Pi'!$A:$AP,37,false)," $","")," €",""), "")
)</f>
        <v>0</v>
      </c>
      <c r="AV354" s="17" t="str">
        <f t="shared" si="17"/>
        <v/>
      </c>
      <c r="AW354" s="1">
        <f>value(IFERROR(SUBSTITUTE(SUBSTITUTE(VLOOKUP($A354,'Quarterly Pipeline vs Target Pi'!$A:$AP,41,false)," $","")," €",""), "")
)</f>
        <v>0</v>
      </c>
      <c r="AX354" s="1">
        <f>value(IFERROR(SUBSTITUTE(SUBSTITUTE(VLOOKUP($A354,'Quarterly Pipeline vs Target Pi'!$A:$AP,42,false)," $","")," €",""), "")
)</f>
        <v>0</v>
      </c>
      <c r="AY354" s="17" t="str">
        <f t="shared" si="18"/>
        <v/>
      </c>
      <c r="AZ354" s="1">
        <f t="shared" ref="AZ354:BA354" si="722">sum(AN354,AQ354,AT354,AW354)</f>
        <v>0</v>
      </c>
      <c r="BA354" s="1">
        <f t="shared" si="722"/>
        <v>0</v>
      </c>
      <c r="BB354" s="17" t="str">
        <f t="shared" si="20"/>
        <v/>
      </c>
    </row>
    <row r="355">
      <c r="A355" s="1" t="str">
        <f>IFERROR(__xludf.DUMMYFUNCTION("""COMPUTED_VALUE"""),"64466fad136de17627345738")</f>
        <v>64466fad136de17627345738</v>
      </c>
      <c r="B355" s="1" t="str">
        <f>IFERROR(__xludf.DUMMYFUNCTION("""COMPUTED_VALUE"""),"Radio Koch / Marine Elektronik GmbH")</f>
        <v>Radio Koch / Marine Elektronik GmbH</v>
      </c>
      <c r="C355" s="1" t="str">
        <f>IFERROR(__xludf.DUMMYFUNCTION("""COMPUTED_VALUE"""),"katrin.pfeiffer@al-enterprise.com, sibylle.klopfer@al-enterprise.com, igor.leko@al-enterprise.com")</f>
        <v>katrin.pfeiffer@al-enterprise.com, sibylle.klopfer@al-enterprise.com, igor.leko@al-enterprise.com</v>
      </c>
      <c r="D355" s="1" t="str">
        <f>IFERROR(__xludf.DUMMYFUNCTION("""COMPUTED_VALUE"""),"germany")</f>
        <v>germany</v>
      </c>
      <c r="E355" s="1" t="str">
        <f>IFERROR(__xludf.DUMMYFUNCTION("""COMPUTED_VALUE"""),"DE")</f>
        <v>DE</v>
      </c>
      <c r="F355" s="1"/>
      <c r="G355" s="1" t="str">
        <f>iferror(VLOOKUP(A355,'Business Plan Setup and Accepta'!A:G,6,false),"")</f>
        <v/>
      </c>
      <c r="H355" s="1" t="str">
        <f>iferror(VLOOKUP(A355,'Business Plan Setup and Accepta'!A:G,7,false),"")</f>
        <v/>
      </c>
      <c r="I355" s="17" t="str">
        <f t="shared" si="3"/>
        <v/>
      </c>
      <c r="J355" s="1" t="str">
        <f>IFERROR(VALUE(SUBSTITUTE(VLOOKUP(A355,'Sales IN Revenues vs Sales targ'!A:G,6,false)," $","")), "")
</f>
        <v/>
      </c>
      <c r="K355" s="1" t="str">
        <f>IFERROR(VALUE(SUBSTITUTE(VLOOKUP(A355,'Sales IN Revenues vs Sales targ'!A:G,7,false)," $","")), "")
</f>
        <v/>
      </c>
      <c r="L355" s="17" t="str">
        <f t="shared" si="4"/>
        <v/>
      </c>
      <c r="M355" s="1">
        <f>value(SUBSTITUTE(IFERROR(VLOOKUP(A355,'Certifications achievements vs '!A:G,6,false),""),"#","")
)</f>
        <v>0</v>
      </c>
      <c r="N355" s="1">
        <f>value(SUBSTITUTE(IFERROR(VLOOKUP(A355,'Certifications achievements vs '!A:G,7,false),""),"#","")
)</f>
        <v>56</v>
      </c>
      <c r="O355" s="17">
        <f t="shared" si="5"/>
        <v>0</v>
      </c>
      <c r="P355" s="1">
        <f>value(SUBSTITUTE(IFERROR(VLOOKUP(A355,'Communications - Solution Speci'!A:G,6,false),""),"#","")
)</f>
        <v>0</v>
      </c>
      <c r="Q355" s="1">
        <f>value(SUBSTITUTE(IFERROR(VLOOKUP(A355,'Communications - Solution Speci'!A:G,7,false),""),"#","")
)</f>
        <v>0</v>
      </c>
      <c r="R355" s="17" t="str">
        <f t="shared" si="6"/>
        <v/>
      </c>
      <c r="S355" s="1">
        <f>value(SUBSTITUTE(IFERROR(VLOOKUP(A355,'Networking - Solution Specializ'!A:G,6,false),""),"#","")
)</f>
        <v>0</v>
      </c>
      <c r="T355" s="1">
        <f>value(SUBSTITUTE(IFERROR(VLOOKUP(A355,'Networking - Solution Specializ'!A:G,7,false),""),"#","")
)</f>
        <v>0</v>
      </c>
      <c r="U355" s="17" t="str">
        <f t="shared" si="7"/>
        <v/>
      </c>
      <c r="V355" s="1" t="str">
        <f>iferror(vlookup(A355,'Marketing Plan (extract summary'!A:G,6,false),"")</f>
        <v/>
      </c>
      <c r="W355" s="1" t="str">
        <f>iferror(vlookup(A355,'Marketing Plan (extract summary'!A:G,7,false),"")</f>
        <v/>
      </c>
      <c r="X355" s="17" t="str">
        <f t="shared" si="8"/>
        <v/>
      </c>
      <c r="Y355" s="1">
        <f>value(IFERROR(SUBSTITUTE(SUBSTITUTE(VLOOKUP(A355,'Quarterly Pipeline vs Target Pi'!A:G,6,false)," $","")," €",""), "")
)</f>
        <v>0</v>
      </c>
      <c r="Z355" s="1">
        <f>value(IFERROR(SUBSTITUTE(SUBSTITUTE(VLOOKUP(A355,'Quarterly Pipeline vs Target Pi'!A:G,7,false)," $","")," €",""), "")
)</f>
        <v>0</v>
      </c>
      <c r="AA355" s="17" t="str">
        <f t="shared" si="9"/>
        <v/>
      </c>
      <c r="AB355" s="1">
        <f>value(IFERROR(SUBSTITUTE(SUBSTITUTE(VLOOKUP($A355,'Quarterly Pipeline vs Target Pi'!$A:$V,11,false)," $","")," €",""), "")
)</f>
        <v>0</v>
      </c>
      <c r="AC355" s="1">
        <f>value(IFERROR(SUBSTITUTE(SUBSTITUTE(VLOOKUP($A355,'Quarterly Pipeline vs Target Pi'!$A:$V,12,false)," $","")," €",""), "")
)</f>
        <v>0</v>
      </c>
      <c r="AD355" s="17" t="str">
        <f t="shared" si="10"/>
        <v/>
      </c>
      <c r="AE355" s="1">
        <f>value(IFERROR(SUBSTITUTE(SUBSTITUTE(VLOOKUP($A355,'Quarterly Pipeline vs Target Pi'!$A:$V,16,false)," $","")," €",""), "")
)</f>
        <v>0</v>
      </c>
      <c r="AF355" s="1">
        <f>value(IFERROR(SUBSTITUTE(SUBSTITUTE(VLOOKUP($A355,'Quarterly Pipeline vs Target Pi'!$A:$V,17,false)," $","")," €",""), "")
)</f>
        <v>0</v>
      </c>
      <c r="AG355" s="17" t="str">
        <f t="shared" si="11"/>
        <v/>
      </c>
      <c r="AH355" s="1">
        <f>value(IFERROR(SUBSTITUTE(SUBSTITUTE(VLOOKUP($A355,'Quarterly Pipeline vs Target Pi'!$A:$V,21,false)," $","")," €",""), "")
)</f>
        <v>0</v>
      </c>
      <c r="AI355" s="1">
        <f>value(IFERROR(SUBSTITUTE(SUBSTITUTE(VLOOKUP($A355,'Quarterly Pipeline vs Target Pi'!$A:$V,22,false)," $","")," €",""), "")
)</f>
        <v>0</v>
      </c>
      <c r="AJ355" s="17" t="str">
        <f t="shared" si="12"/>
        <v/>
      </c>
      <c r="AK355" s="1">
        <f t="shared" ref="AK355:AL355" si="723">sum(Y355,AB355,AE355,AH355)</f>
        <v>0</v>
      </c>
      <c r="AL355" s="1">
        <f t="shared" si="723"/>
        <v>0</v>
      </c>
      <c r="AM355" s="17" t="str">
        <f t="shared" si="14"/>
        <v/>
      </c>
      <c r="AN355" s="1">
        <f>value(IFERROR(SUBSTITUTE(SUBSTITUTE(VLOOKUP($A355,'Quarterly Pipeline vs Target Pi'!$A:$AP,26,false)," $","")," €",""), "")
)</f>
        <v>0</v>
      </c>
      <c r="AO355" s="1">
        <f>value(IFERROR(SUBSTITUTE(SUBSTITUTE(VLOOKUP($A355,'Quarterly Pipeline vs Target Pi'!$A:$AP,27,false)," $","")," €",""), "")
)</f>
        <v>0</v>
      </c>
      <c r="AP355" s="17" t="str">
        <f t="shared" si="15"/>
        <v/>
      </c>
      <c r="AQ355" s="1">
        <f>value(IFERROR(SUBSTITUTE(SUBSTITUTE(VLOOKUP($A355,'Quarterly Pipeline vs Target Pi'!$A:$AP,31,false)," $","")," €",""), "")
)</f>
        <v>0</v>
      </c>
      <c r="AR355" s="1">
        <f>value(IFERROR(SUBSTITUTE(SUBSTITUTE(VLOOKUP($A355,'Quarterly Pipeline vs Target Pi'!$A:$AP,32,false)," $","")," €",""), "")
)</f>
        <v>0</v>
      </c>
      <c r="AS355" s="17" t="str">
        <f t="shared" si="16"/>
        <v/>
      </c>
      <c r="AT355" s="1">
        <f>value(IFERROR(SUBSTITUTE(SUBSTITUTE(VLOOKUP($A355,'Quarterly Pipeline vs Target Pi'!$A:$AP,36,false)," $","")," €",""), "")
)</f>
        <v>0</v>
      </c>
      <c r="AU355" s="1">
        <f>value(IFERROR(SUBSTITUTE(SUBSTITUTE(VLOOKUP($A355,'Quarterly Pipeline vs Target Pi'!$A:$AP,37,false)," $","")," €",""), "")
)</f>
        <v>0</v>
      </c>
      <c r="AV355" s="17" t="str">
        <f t="shared" si="17"/>
        <v/>
      </c>
      <c r="AW355" s="1">
        <f>value(IFERROR(SUBSTITUTE(SUBSTITUTE(VLOOKUP($A355,'Quarterly Pipeline vs Target Pi'!$A:$AP,41,false)," $","")," €",""), "")
)</f>
        <v>0</v>
      </c>
      <c r="AX355" s="1">
        <f>value(IFERROR(SUBSTITUTE(SUBSTITUTE(VLOOKUP($A355,'Quarterly Pipeline vs Target Pi'!$A:$AP,42,false)," $","")," €",""), "")
)</f>
        <v>0</v>
      </c>
      <c r="AY355" s="17" t="str">
        <f t="shared" si="18"/>
        <v/>
      </c>
      <c r="AZ355" s="1">
        <f t="shared" ref="AZ355:BA355" si="724">sum(AN355,AQ355,AT355,AW355)</f>
        <v>0</v>
      </c>
      <c r="BA355" s="1">
        <f t="shared" si="724"/>
        <v>0</v>
      </c>
      <c r="BB355" s="17" t="str">
        <f t="shared" si="20"/>
        <v/>
      </c>
    </row>
    <row r="356">
      <c r="A356" s="1" t="str">
        <f>IFERROR(__xludf.DUMMYFUNCTION("""COMPUTED_VALUE"""),"63fcbb80a107c871cf564bbd")</f>
        <v>63fcbb80a107c871cf564bbd</v>
      </c>
      <c r="B356" s="1" t="str">
        <f>IFERROR(__xludf.DUMMYFUNCTION("""COMPUTED_VALUE"""),"Rapid Telecom Solutions, LLC")</f>
        <v>Rapid Telecom Solutions, LLC</v>
      </c>
      <c r="C356" s="1" t="str">
        <f>IFERROR(__xludf.DUMMYFUNCTION("""COMPUTED_VALUE"""),"brendan.flaherty@al-enterprise.com, Steve.roos@al-enterprise.com")</f>
        <v>brendan.flaherty@al-enterprise.com, Steve.roos@al-enterprise.com</v>
      </c>
      <c r="D356" s="1" t="str">
        <f>IFERROR(__xludf.DUMMYFUNCTION("""COMPUTED_VALUE"""),"americas")</f>
        <v>americas</v>
      </c>
      <c r="E356" s="1" t="str">
        <f>IFERROR(__xludf.DUMMYFUNCTION("""COMPUTED_VALUE"""),"US")</f>
        <v>US</v>
      </c>
      <c r="F356" s="1"/>
      <c r="G356" s="1" t="str">
        <f>iferror(VLOOKUP(A356,'Business Plan Setup and Accepta'!A:G,6,false),"")</f>
        <v/>
      </c>
      <c r="H356" s="1" t="str">
        <f>iferror(VLOOKUP(A356,'Business Plan Setup and Accepta'!A:G,7,false),"")</f>
        <v/>
      </c>
      <c r="I356" s="17" t="str">
        <f t="shared" si="3"/>
        <v/>
      </c>
      <c r="J356" s="1" t="str">
        <f>IFERROR(VALUE(SUBSTITUTE(VLOOKUP(A356,'Sales IN Revenues vs Sales targ'!A:G,6,false)," $","")), "")
</f>
        <v/>
      </c>
      <c r="K356" s="1" t="str">
        <f>IFERROR(VALUE(SUBSTITUTE(VLOOKUP(A356,'Sales IN Revenues vs Sales targ'!A:G,7,false)," $","")), "")
</f>
        <v/>
      </c>
      <c r="L356" s="17" t="str">
        <f t="shared" si="4"/>
        <v/>
      </c>
      <c r="M356" s="1">
        <f>value(SUBSTITUTE(IFERROR(VLOOKUP(A356,'Certifications achievements vs '!A:G,6,false),""),"#","")
)</f>
        <v>0</v>
      </c>
      <c r="N356" s="1">
        <f>value(SUBSTITUTE(IFERROR(VLOOKUP(A356,'Certifications achievements vs '!A:G,7,false),""),"#","")
)</f>
        <v>0</v>
      </c>
      <c r="O356" s="17" t="str">
        <f t="shared" si="5"/>
        <v/>
      </c>
      <c r="P356" s="1">
        <f>value(SUBSTITUTE(IFERROR(VLOOKUP(A356,'Communications - Solution Speci'!A:G,6,false),""),"#","")
)</f>
        <v>0</v>
      </c>
      <c r="Q356" s="1">
        <f>value(SUBSTITUTE(IFERROR(VLOOKUP(A356,'Communications - Solution Speci'!A:G,7,false),""),"#","")
)</f>
        <v>0</v>
      </c>
      <c r="R356" s="17" t="str">
        <f t="shared" si="6"/>
        <v/>
      </c>
      <c r="S356" s="1">
        <f>value(SUBSTITUTE(IFERROR(VLOOKUP(A356,'Networking - Solution Specializ'!A:G,6,false),""),"#","")
)</f>
        <v>0</v>
      </c>
      <c r="T356" s="1">
        <f>value(SUBSTITUTE(IFERROR(VLOOKUP(A356,'Networking - Solution Specializ'!A:G,7,false),""),"#","")
)</f>
        <v>0</v>
      </c>
      <c r="U356" s="17" t="str">
        <f t="shared" si="7"/>
        <v/>
      </c>
      <c r="V356" s="1" t="str">
        <f>iferror(vlookup(A356,'Marketing Plan (extract summary'!A:G,6,false),"")</f>
        <v/>
      </c>
      <c r="W356" s="1" t="str">
        <f>iferror(vlookup(A356,'Marketing Plan (extract summary'!A:G,7,false),"")</f>
        <v/>
      </c>
      <c r="X356" s="17" t="str">
        <f t="shared" si="8"/>
        <v/>
      </c>
      <c r="Y356" s="1">
        <f>value(IFERROR(SUBSTITUTE(SUBSTITUTE(VLOOKUP(A356,'Quarterly Pipeline vs Target Pi'!A:G,6,false)," $","")," €",""), "")
)</f>
        <v>0</v>
      </c>
      <c r="Z356" s="1">
        <f>value(IFERROR(SUBSTITUTE(SUBSTITUTE(VLOOKUP(A356,'Quarterly Pipeline vs Target Pi'!A:G,7,false)," $","")," €",""), "")
)</f>
        <v>0</v>
      </c>
      <c r="AA356" s="17" t="str">
        <f t="shared" si="9"/>
        <v/>
      </c>
      <c r="AB356" s="1">
        <f>value(IFERROR(SUBSTITUTE(SUBSTITUTE(VLOOKUP($A356,'Quarterly Pipeline vs Target Pi'!$A:$V,11,false)," $","")," €",""), "")
)</f>
        <v>0</v>
      </c>
      <c r="AC356" s="1">
        <f>value(IFERROR(SUBSTITUTE(SUBSTITUTE(VLOOKUP($A356,'Quarterly Pipeline vs Target Pi'!$A:$V,12,false)," $","")," €",""), "")
)</f>
        <v>0</v>
      </c>
      <c r="AD356" s="17" t="str">
        <f t="shared" si="10"/>
        <v/>
      </c>
      <c r="AE356" s="1">
        <f>value(IFERROR(SUBSTITUTE(SUBSTITUTE(VLOOKUP($A356,'Quarterly Pipeline vs Target Pi'!$A:$V,16,false)," $","")," €",""), "")
)</f>
        <v>0</v>
      </c>
      <c r="AF356" s="1">
        <f>value(IFERROR(SUBSTITUTE(SUBSTITUTE(VLOOKUP($A356,'Quarterly Pipeline vs Target Pi'!$A:$V,17,false)," $","")," €",""), "")
)</f>
        <v>0</v>
      </c>
      <c r="AG356" s="17" t="str">
        <f t="shared" si="11"/>
        <v/>
      </c>
      <c r="AH356" s="1">
        <f>value(IFERROR(SUBSTITUTE(SUBSTITUTE(VLOOKUP($A356,'Quarterly Pipeline vs Target Pi'!$A:$V,21,false)," $","")," €",""), "")
)</f>
        <v>0</v>
      </c>
      <c r="AI356" s="1">
        <f>value(IFERROR(SUBSTITUTE(SUBSTITUTE(VLOOKUP($A356,'Quarterly Pipeline vs Target Pi'!$A:$V,22,false)," $","")," €",""), "")
)</f>
        <v>0</v>
      </c>
      <c r="AJ356" s="17" t="str">
        <f t="shared" si="12"/>
        <v/>
      </c>
      <c r="AK356" s="1">
        <f t="shared" ref="AK356:AL356" si="725">sum(Y356,AB356,AE356,AH356)</f>
        <v>0</v>
      </c>
      <c r="AL356" s="1">
        <f t="shared" si="725"/>
        <v>0</v>
      </c>
      <c r="AM356" s="17" t="str">
        <f t="shared" si="14"/>
        <v/>
      </c>
      <c r="AN356" s="1">
        <f>value(IFERROR(SUBSTITUTE(SUBSTITUTE(VLOOKUP($A356,'Quarterly Pipeline vs Target Pi'!$A:$AP,26,false)," $","")," €",""), "")
)</f>
        <v>0</v>
      </c>
      <c r="AO356" s="1">
        <f>value(IFERROR(SUBSTITUTE(SUBSTITUTE(VLOOKUP($A356,'Quarterly Pipeline vs Target Pi'!$A:$AP,27,false)," $","")," €",""), "")
)</f>
        <v>0</v>
      </c>
      <c r="AP356" s="17" t="str">
        <f t="shared" si="15"/>
        <v/>
      </c>
      <c r="AQ356" s="1">
        <f>value(IFERROR(SUBSTITUTE(SUBSTITUTE(VLOOKUP($A356,'Quarterly Pipeline vs Target Pi'!$A:$AP,31,false)," $","")," €",""), "")
)</f>
        <v>0</v>
      </c>
      <c r="AR356" s="1">
        <f>value(IFERROR(SUBSTITUTE(SUBSTITUTE(VLOOKUP($A356,'Quarterly Pipeline vs Target Pi'!$A:$AP,32,false)," $","")," €",""), "")
)</f>
        <v>0</v>
      </c>
      <c r="AS356" s="17" t="str">
        <f t="shared" si="16"/>
        <v/>
      </c>
      <c r="AT356" s="1">
        <f>value(IFERROR(SUBSTITUTE(SUBSTITUTE(VLOOKUP($A356,'Quarterly Pipeline vs Target Pi'!$A:$AP,36,false)," $","")," €",""), "")
)</f>
        <v>0</v>
      </c>
      <c r="AU356" s="1">
        <f>value(IFERROR(SUBSTITUTE(SUBSTITUTE(VLOOKUP($A356,'Quarterly Pipeline vs Target Pi'!$A:$AP,37,false)," $","")," €",""), "")
)</f>
        <v>0</v>
      </c>
      <c r="AV356" s="17" t="str">
        <f t="shared" si="17"/>
        <v/>
      </c>
      <c r="AW356" s="1">
        <f>value(IFERROR(SUBSTITUTE(SUBSTITUTE(VLOOKUP($A356,'Quarterly Pipeline vs Target Pi'!$A:$AP,41,false)," $","")," €",""), "")
)</f>
        <v>0</v>
      </c>
      <c r="AX356" s="1">
        <f>value(IFERROR(SUBSTITUTE(SUBSTITUTE(VLOOKUP($A356,'Quarterly Pipeline vs Target Pi'!$A:$AP,42,false)," $","")," €",""), "")
)</f>
        <v>0</v>
      </c>
      <c r="AY356" s="17" t="str">
        <f t="shared" si="18"/>
        <v/>
      </c>
      <c r="AZ356" s="1">
        <f t="shared" ref="AZ356:BA356" si="726">sum(AN356,AQ356,AT356,AW356)</f>
        <v>0</v>
      </c>
      <c r="BA356" s="1">
        <f t="shared" si="726"/>
        <v>0</v>
      </c>
      <c r="BB356" s="17" t="str">
        <f t="shared" si="20"/>
        <v/>
      </c>
    </row>
    <row r="357">
      <c r="A357" s="1" t="str">
        <f>IFERROR(__xludf.DUMMYFUNCTION("""COMPUTED_VALUE"""),"63ced848c5c820531c268d89")</f>
        <v>63ced848c5c820531c268d89</v>
      </c>
      <c r="B357" s="1" t="str">
        <f>IFERROR(__xludf.DUMMYFUNCTION("""COMPUTED_VALUE"""),"RAVE WIRELESS, INC.")</f>
        <v>RAVE WIRELESS, INC.</v>
      </c>
      <c r="C357" s="1" t="str">
        <f>IFERROR(__xludf.DUMMYFUNCTION("""COMPUTED_VALUE"""),"kyle.stetar@al-enterprise.com")</f>
        <v>kyle.stetar@al-enterprise.com</v>
      </c>
      <c r="D357" s="1" t="str">
        <f>IFERROR(__xludf.DUMMYFUNCTION("""COMPUTED_VALUE"""),"americas")</f>
        <v>americas</v>
      </c>
      <c r="E357" s="1" t="str">
        <f>IFERROR(__xludf.DUMMYFUNCTION("""COMPUTED_VALUE"""),"US")</f>
        <v>US</v>
      </c>
      <c r="F357" s="1"/>
      <c r="G357" s="1" t="str">
        <f>iferror(VLOOKUP(A357,'Business Plan Setup and Accepta'!A:G,6,false),"")</f>
        <v/>
      </c>
      <c r="H357" s="1" t="str">
        <f>iferror(VLOOKUP(A357,'Business Plan Setup and Accepta'!A:G,7,false),"")</f>
        <v/>
      </c>
      <c r="I357" s="17" t="str">
        <f t="shared" si="3"/>
        <v/>
      </c>
      <c r="J357" s="1" t="str">
        <f>IFERROR(VALUE(SUBSTITUTE(VLOOKUP(A357,'Sales IN Revenues vs Sales targ'!A:G,6,false)," $","")), "")
</f>
        <v/>
      </c>
      <c r="K357" s="1" t="str">
        <f>IFERROR(VALUE(SUBSTITUTE(VLOOKUP(A357,'Sales IN Revenues vs Sales targ'!A:G,7,false)," $","")), "")
</f>
        <v/>
      </c>
      <c r="L357" s="17" t="str">
        <f t="shared" si="4"/>
        <v/>
      </c>
      <c r="M357" s="1">
        <f>value(SUBSTITUTE(IFERROR(VLOOKUP(A357,'Certifications achievements vs '!A:G,6,false),""),"#","")
)</f>
        <v>0</v>
      </c>
      <c r="N357" s="1">
        <f>value(SUBSTITUTE(IFERROR(VLOOKUP(A357,'Certifications achievements vs '!A:G,7,false),""),"#","")
)</f>
        <v>0</v>
      </c>
      <c r="O357" s="17" t="str">
        <f t="shared" si="5"/>
        <v/>
      </c>
      <c r="P357" s="1">
        <f>value(SUBSTITUTE(IFERROR(VLOOKUP(A357,'Communications - Solution Speci'!A:G,6,false),""),"#","")
)</f>
        <v>0</v>
      </c>
      <c r="Q357" s="1">
        <f>value(SUBSTITUTE(IFERROR(VLOOKUP(A357,'Communications - Solution Speci'!A:G,7,false),""),"#","")
)</f>
        <v>0</v>
      </c>
      <c r="R357" s="17" t="str">
        <f t="shared" si="6"/>
        <v/>
      </c>
      <c r="S357" s="1">
        <f>value(SUBSTITUTE(IFERROR(VLOOKUP(A357,'Networking - Solution Specializ'!A:G,6,false),""),"#","")
)</f>
        <v>0</v>
      </c>
      <c r="T357" s="1">
        <f>value(SUBSTITUTE(IFERROR(VLOOKUP(A357,'Networking - Solution Specializ'!A:G,7,false),""),"#","")
)</f>
        <v>0</v>
      </c>
      <c r="U357" s="17" t="str">
        <f t="shared" si="7"/>
        <v/>
      </c>
      <c r="V357" s="1" t="str">
        <f>iferror(vlookup(A357,'Marketing Plan (extract summary'!A:G,6,false),"")</f>
        <v/>
      </c>
      <c r="W357" s="1" t="str">
        <f>iferror(vlookup(A357,'Marketing Plan (extract summary'!A:G,7,false),"")</f>
        <v/>
      </c>
      <c r="X357" s="17" t="str">
        <f t="shared" si="8"/>
        <v/>
      </c>
      <c r="Y357" s="1">
        <f>value(IFERROR(SUBSTITUTE(SUBSTITUTE(VLOOKUP(A357,'Quarterly Pipeline vs Target Pi'!A:G,6,false)," $","")," €",""), "")
)</f>
        <v>0</v>
      </c>
      <c r="Z357" s="1">
        <f>value(IFERROR(SUBSTITUTE(SUBSTITUTE(VLOOKUP(A357,'Quarterly Pipeline vs Target Pi'!A:G,7,false)," $","")," €",""), "")
)</f>
        <v>0</v>
      </c>
      <c r="AA357" s="17" t="str">
        <f t="shared" si="9"/>
        <v/>
      </c>
      <c r="AB357" s="1">
        <f>value(IFERROR(SUBSTITUTE(SUBSTITUTE(VLOOKUP($A357,'Quarterly Pipeline vs Target Pi'!$A:$V,11,false)," $","")," €",""), "")
)</f>
        <v>0</v>
      </c>
      <c r="AC357" s="1">
        <f>value(IFERROR(SUBSTITUTE(SUBSTITUTE(VLOOKUP($A357,'Quarterly Pipeline vs Target Pi'!$A:$V,12,false)," $","")," €",""), "")
)</f>
        <v>0</v>
      </c>
      <c r="AD357" s="17" t="str">
        <f t="shared" si="10"/>
        <v/>
      </c>
      <c r="AE357" s="1">
        <f>value(IFERROR(SUBSTITUTE(SUBSTITUTE(VLOOKUP($A357,'Quarterly Pipeline vs Target Pi'!$A:$V,16,false)," $","")," €",""), "")
)</f>
        <v>0</v>
      </c>
      <c r="AF357" s="1">
        <f>value(IFERROR(SUBSTITUTE(SUBSTITUTE(VLOOKUP($A357,'Quarterly Pipeline vs Target Pi'!$A:$V,17,false)," $","")," €",""), "")
)</f>
        <v>0</v>
      </c>
      <c r="AG357" s="17" t="str">
        <f t="shared" si="11"/>
        <v/>
      </c>
      <c r="AH357" s="1">
        <f>value(IFERROR(SUBSTITUTE(SUBSTITUTE(VLOOKUP($A357,'Quarterly Pipeline vs Target Pi'!$A:$V,21,false)," $","")," €",""), "")
)</f>
        <v>0</v>
      </c>
      <c r="AI357" s="1">
        <f>value(IFERROR(SUBSTITUTE(SUBSTITUTE(VLOOKUP($A357,'Quarterly Pipeline vs Target Pi'!$A:$V,22,false)," $","")," €",""), "")
)</f>
        <v>0</v>
      </c>
      <c r="AJ357" s="17" t="str">
        <f t="shared" si="12"/>
        <v/>
      </c>
      <c r="AK357" s="1">
        <f t="shared" ref="AK357:AL357" si="727">sum(Y357,AB357,AE357,AH357)</f>
        <v>0</v>
      </c>
      <c r="AL357" s="1">
        <f t="shared" si="727"/>
        <v>0</v>
      </c>
      <c r="AM357" s="17" t="str">
        <f t="shared" si="14"/>
        <v/>
      </c>
      <c r="AN357" s="1">
        <f>value(IFERROR(SUBSTITUTE(SUBSTITUTE(VLOOKUP($A357,'Quarterly Pipeline vs Target Pi'!$A:$AP,26,false)," $","")," €",""), "")
)</f>
        <v>0</v>
      </c>
      <c r="AO357" s="1">
        <f>value(IFERROR(SUBSTITUTE(SUBSTITUTE(VLOOKUP($A357,'Quarterly Pipeline vs Target Pi'!$A:$AP,27,false)," $","")," €",""), "")
)</f>
        <v>0</v>
      </c>
      <c r="AP357" s="17" t="str">
        <f t="shared" si="15"/>
        <v/>
      </c>
      <c r="AQ357" s="1">
        <f>value(IFERROR(SUBSTITUTE(SUBSTITUTE(VLOOKUP($A357,'Quarterly Pipeline vs Target Pi'!$A:$AP,31,false)," $","")," €",""), "")
)</f>
        <v>0</v>
      </c>
      <c r="AR357" s="1">
        <f>value(IFERROR(SUBSTITUTE(SUBSTITUTE(VLOOKUP($A357,'Quarterly Pipeline vs Target Pi'!$A:$AP,32,false)," $","")," €",""), "")
)</f>
        <v>0</v>
      </c>
      <c r="AS357" s="17" t="str">
        <f t="shared" si="16"/>
        <v/>
      </c>
      <c r="AT357" s="1">
        <f>value(IFERROR(SUBSTITUTE(SUBSTITUTE(VLOOKUP($A357,'Quarterly Pipeline vs Target Pi'!$A:$AP,36,false)," $","")," €",""), "")
)</f>
        <v>0</v>
      </c>
      <c r="AU357" s="1">
        <f>value(IFERROR(SUBSTITUTE(SUBSTITUTE(VLOOKUP($A357,'Quarterly Pipeline vs Target Pi'!$A:$AP,37,false)," $","")," €",""), "")
)</f>
        <v>0</v>
      </c>
      <c r="AV357" s="17" t="str">
        <f t="shared" si="17"/>
        <v/>
      </c>
      <c r="AW357" s="1">
        <f>value(IFERROR(SUBSTITUTE(SUBSTITUTE(VLOOKUP($A357,'Quarterly Pipeline vs Target Pi'!$A:$AP,41,false)," $","")," €",""), "")
)</f>
        <v>0</v>
      </c>
      <c r="AX357" s="1">
        <f>value(IFERROR(SUBSTITUTE(SUBSTITUTE(VLOOKUP($A357,'Quarterly Pipeline vs Target Pi'!$A:$AP,42,false)," $","")," €",""), "")
)</f>
        <v>0</v>
      </c>
      <c r="AY357" s="17" t="str">
        <f t="shared" si="18"/>
        <v/>
      </c>
      <c r="AZ357" s="1">
        <f t="shared" ref="AZ357:BA357" si="728">sum(AN357,AQ357,AT357,AW357)</f>
        <v>0</v>
      </c>
      <c r="BA357" s="1">
        <f t="shared" si="728"/>
        <v>0</v>
      </c>
      <c r="BB357" s="17" t="str">
        <f t="shared" si="20"/>
        <v/>
      </c>
    </row>
    <row r="358">
      <c r="A358" s="1" t="str">
        <f>IFERROR(__xludf.DUMMYFUNCTION("""COMPUTED_VALUE"""),"63ced842c5c820531c268078")</f>
        <v>63ced842c5c820531c268078</v>
      </c>
      <c r="B358" s="1" t="str">
        <f>IFERROR(__xludf.DUMMYFUNCTION("""COMPUTED_VALUE"""),"RAYCOM SA")</f>
        <v>RAYCOM SA</v>
      </c>
      <c r="C358" s="1" t="str">
        <f>IFERROR(__xludf.DUMMYFUNCTION("""COMPUTED_VALUE"""),"luis.arriagada@al-enterprise.com")</f>
        <v>luis.arriagada@al-enterprise.com</v>
      </c>
      <c r="D358" s="1" t="str">
        <f>IFERROR(__xludf.DUMMYFUNCTION("""COMPUTED_VALUE"""),"americas")</f>
        <v>americas</v>
      </c>
      <c r="E358" s="1" t="str">
        <f>IFERROR(__xludf.DUMMYFUNCTION("""COMPUTED_VALUE"""),"UY")</f>
        <v>UY</v>
      </c>
      <c r="F358" s="1"/>
      <c r="G358" s="1" t="str">
        <f>iferror(VLOOKUP(A358,'Business Plan Setup and Accepta'!A:G,6,false),"")</f>
        <v/>
      </c>
      <c r="H358" s="1" t="str">
        <f>iferror(VLOOKUP(A358,'Business Plan Setup and Accepta'!A:G,7,false),"")</f>
        <v/>
      </c>
      <c r="I358" s="17" t="str">
        <f t="shared" si="3"/>
        <v/>
      </c>
      <c r="J358" s="1" t="str">
        <f>IFERROR(VALUE(SUBSTITUTE(VLOOKUP(A358,'Sales IN Revenues vs Sales targ'!A:G,6,false)," $","")), "")
</f>
        <v/>
      </c>
      <c r="K358" s="1" t="str">
        <f>IFERROR(VALUE(SUBSTITUTE(VLOOKUP(A358,'Sales IN Revenues vs Sales targ'!A:G,7,false)," $","")), "")
</f>
        <v/>
      </c>
      <c r="L358" s="17" t="str">
        <f t="shared" si="4"/>
        <v/>
      </c>
      <c r="M358" s="1">
        <f>value(SUBSTITUTE(IFERROR(VLOOKUP(A358,'Certifications achievements vs '!A:G,6,false),""),"#","")
)</f>
        <v>60</v>
      </c>
      <c r="N358" s="1">
        <f>value(SUBSTITUTE(IFERROR(VLOOKUP(A358,'Certifications achievements vs '!A:G,7,false),""),"#","")
)</f>
        <v>52</v>
      </c>
      <c r="O358" s="17">
        <f t="shared" si="5"/>
        <v>1.153846154</v>
      </c>
      <c r="P358" s="1">
        <f>value(SUBSTITUTE(IFERROR(VLOOKUP(A358,'Communications - Solution Speci'!A:G,6,false),""),"#","")
)</f>
        <v>0</v>
      </c>
      <c r="Q358" s="1">
        <f>value(SUBSTITUTE(IFERROR(VLOOKUP(A358,'Communications - Solution Speci'!A:G,7,false),""),"#","")
)</f>
        <v>0</v>
      </c>
      <c r="R358" s="17" t="str">
        <f t="shared" si="6"/>
        <v/>
      </c>
      <c r="S358" s="1">
        <f>value(SUBSTITUTE(IFERROR(VLOOKUP(A358,'Networking - Solution Specializ'!A:G,6,false),""),"#","")
)</f>
        <v>0</v>
      </c>
      <c r="T358" s="1">
        <f>value(SUBSTITUTE(IFERROR(VLOOKUP(A358,'Networking - Solution Specializ'!A:G,7,false),""),"#","")
)</f>
        <v>0</v>
      </c>
      <c r="U358" s="17" t="str">
        <f t="shared" si="7"/>
        <v/>
      </c>
      <c r="V358" s="1" t="str">
        <f>iferror(vlookup(A358,'Marketing Plan (extract summary'!A:G,6,false),"")</f>
        <v/>
      </c>
      <c r="W358" s="1" t="str">
        <f>iferror(vlookup(A358,'Marketing Plan (extract summary'!A:G,7,false),"")</f>
        <v/>
      </c>
      <c r="X358" s="17" t="str">
        <f t="shared" si="8"/>
        <v/>
      </c>
      <c r="Y358" s="1">
        <f>value(IFERROR(SUBSTITUTE(SUBSTITUTE(VLOOKUP(A358,'Quarterly Pipeline vs Target Pi'!A:G,6,false)," $","")," €",""), "")
)</f>
        <v>0</v>
      </c>
      <c r="Z358" s="1">
        <f>value(IFERROR(SUBSTITUTE(SUBSTITUTE(VLOOKUP(A358,'Quarterly Pipeline vs Target Pi'!A:G,7,false)," $","")," €",""), "")
)</f>
        <v>0</v>
      </c>
      <c r="AA358" s="17" t="str">
        <f t="shared" si="9"/>
        <v/>
      </c>
      <c r="AB358" s="1">
        <f>value(IFERROR(SUBSTITUTE(SUBSTITUTE(VLOOKUP($A358,'Quarterly Pipeline vs Target Pi'!$A:$V,11,false)," $","")," €",""), "")
)</f>
        <v>0</v>
      </c>
      <c r="AC358" s="1">
        <f>value(IFERROR(SUBSTITUTE(SUBSTITUTE(VLOOKUP($A358,'Quarterly Pipeline vs Target Pi'!$A:$V,12,false)," $","")," €",""), "")
)</f>
        <v>0</v>
      </c>
      <c r="AD358" s="17" t="str">
        <f t="shared" si="10"/>
        <v/>
      </c>
      <c r="AE358" s="1">
        <f>value(IFERROR(SUBSTITUTE(SUBSTITUTE(VLOOKUP($A358,'Quarterly Pipeline vs Target Pi'!$A:$V,16,false)," $","")," €",""), "")
)</f>
        <v>0</v>
      </c>
      <c r="AF358" s="1">
        <f>value(IFERROR(SUBSTITUTE(SUBSTITUTE(VLOOKUP($A358,'Quarterly Pipeline vs Target Pi'!$A:$V,17,false)," $","")," €",""), "")
)</f>
        <v>0</v>
      </c>
      <c r="AG358" s="17" t="str">
        <f t="shared" si="11"/>
        <v/>
      </c>
      <c r="AH358" s="1">
        <f>value(IFERROR(SUBSTITUTE(SUBSTITUTE(VLOOKUP($A358,'Quarterly Pipeline vs Target Pi'!$A:$V,21,false)," $","")," €",""), "")
)</f>
        <v>0</v>
      </c>
      <c r="AI358" s="1">
        <f>value(IFERROR(SUBSTITUTE(SUBSTITUTE(VLOOKUP($A358,'Quarterly Pipeline vs Target Pi'!$A:$V,22,false)," $","")," €",""), "")
)</f>
        <v>0</v>
      </c>
      <c r="AJ358" s="17" t="str">
        <f t="shared" si="12"/>
        <v/>
      </c>
      <c r="AK358" s="1">
        <f t="shared" ref="AK358:AL358" si="729">sum(Y358,AB358,AE358,AH358)</f>
        <v>0</v>
      </c>
      <c r="AL358" s="1">
        <f t="shared" si="729"/>
        <v>0</v>
      </c>
      <c r="AM358" s="17" t="str">
        <f t="shared" si="14"/>
        <v/>
      </c>
      <c r="AN358" s="1">
        <f>value(IFERROR(SUBSTITUTE(SUBSTITUTE(VLOOKUP($A358,'Quarterly Pipeline vs Target Pi'!$A:$AP,26,false)," $","")," €",""), "")
)</f>
        <v>0</v>
      </c>
      <c r="AO358" s="1">
        <f>value(IFERROR(SUBSTITUTE(SUBSTITUTE(VLOOKUP($A358,'Quarterly Pipeline vs Target Pi'!$A:$AP,27,false)," $","")," €",""), "")
)</f>
        <v>0</v>
      </c>
      <c r="AP358" s="17" t="str">
        <f t="shared" si="15"/>
        <v/>
      </c>
      <c r="AQ358" s="1">
        <f>value(IFERROR(SUBSTITUTE(SUBSTITUTE(VLOOKUP($A358,'Quarterly Pipeline vs Target Pi'!$A:$AP,31,false)," $","")," €",""), "")
)</f>
        <v>0</v>
      </c>
      <c r="AR358" s="1">
        <f>value(IFERROR(SUBSTITUTE(SUBSTITUTE(VLOOKUP($A358,'Quarterly Pipeline vs Target Pi'!$A:$AP,32,false)," $","")," €",""), "")
)</f>
        <v>0</v>
      </c>
      <c r="AS358" s="17" t="str">
        <f t="shared" si="16"/>
        <v/>
      </c>
      <c r="AT358" s="1">
        <f>value(IFERROR(SUBSTITUTE(SUBSTITUTE(VLOOKUP($A358,'Quarterly Pipeline vs Target Pi'!$A:$AP,36,false)," $","")," €",""), "")
)</f>
        <v>0</v>
      </c>
      <c r="AU358" s="1">
        <f>value(IFERROR(SUBSTITUTE(SUBSTITUTE(VLOOKUP($A358,'Quarterly Pipeline vs Target Pi'!$A:$AP,37,false)," $","")," €",""), "")
)</f>
        <v>0</v>
      </c>
      <c r="AV358" s="17" t="str">
        <f t="shared" si="17"/>
        <v/>
      </c>
      <c r="AW358" s="1">
        <f>value(IFERROR(SUBSTITUTE(SUBSTITUTE(VLOOKUP($A358,'Quarterly Pipeline vs Target Pi'!$A:$AP,41,false)," $","")," €",""), "")
)</f>
        <v>0</v>
      </c>
      <c r="AX358" s="1">
        <f>value(IFERROR(SUBSTITUTE(SUBSTITUTE(VLOOKUP($A358,'Quarterly Pipeline vs Target Pi'!$A:$AP,42,false)," $","")," €",""), "")
)</f>
        <v>0</v>
      </c>
      <c r="AY358" s="17" t="str">
        <f t="shared" si="18"/>
        <v/>
      </c>
      <c r="AZ358" s="1">
        <f t="shared" ref="AZ358:BA358" si="730">sum(AN358,AQ358,AT358,AW358)</f>
        <v>0</v>
      </c>
      <c r="BA358" s="1">
        <f t="shared" si="730"/>
        <v>0</v>
      </c>
      <c r="BB358" s="17" t="str">
        <f t="shared" si="20"/>
        <v/>
      </c>
    </row>
    <row r="359">
      <c r="A359" s="1" t="str">
        <f>IFERROR(__xludf.DUMMYFUNCTION("""COMPUTED_VALUE"""),"63ced84ec5c820531c26989c")</f>
        <v>63ced84ec5c820531c26989c</v>
      </c>
      <c r="B359" s="1" t="str">
        <f>IFERROR(__xludf.DUMMYFUNCTION("""COMPUTED_VALUE"""),"Recovery Point Systems, Inc.")</f>
        <v>Recovery Point Systems, Inc.</v>
      </c>
      <c r="C359" s="1" t="str">
        <f>IFERROR(__xludf.DUMMYFUNCTION("""COMPUTED_VALUE"""),"brendan.flaherty@al-enterprise.com")</f>
        <v>brendan.flaherty@al-enterprise.com</v>
      </c>
      <c r="D359" s="1" t="str">
        <f>IFERROR(__xludf.DUMMYFUNCTION("""COMPUTED_VALUE"""),"americas")</f>
        <v>americas</v>
      </c>
      <c r="E359" s="1" t="str">
        <f>IFERROR(__xludf.DUMMYFUNCTION("""COMPUTED_VALUE"""),"US")</f>
        <v>US</v>
      </c>
      <c r="F359" s="1"/>
      <c r="G359" s="1" t="str">
        <f>iferror(VLOOKUP(A359,'Business Plan Setup and Accepta'!A:G,6,false),"")</f>
        <v/>
      </c>
      <c r="H359" s="1" t="str">
        <f>iferror(VLOOKUP(A359,'Business Plan Setup and Accepta'!A:G,7,false),"")</f>
        <v/>
      </c>
      <c r="I359" s="17" t="str">
        <f t="shared" si="3"/>
        <v/>
      </c>
      <c r="J359" s="1" t="str">
        <f>IFERROR(VALUE(SUBSTITUTE(VLOOKUP(A359,'Sales IN Revenues vs Sales targ'!A:G,6,false)," $","")), "")
</f>
        <v/>
      </c>
      <c r="K359" s="1" t="str">
        <f>IFERROR(VALUE(SUBSTITUTE(VLOOKUP(A359,'Sales IN Revenues vs Sales targ'!A:G,7,false)," $","")), "")
</f>
        <v/>
      </c>
      <c r="L359" s="17" t="str">
        <f t="shared" si="4"/>
        <v/>
      </c>
      <c r="M359" s="1">
        <f>value(SUBSTITUTE(IFERROR(VLOOKUP(A359,'Certifications achievements vs '!A:G,6,false),""),"#","")
)</f>
        <v>0</v>
      </c>
      <c r="N359" s="1">
        <f>value(SUBSTITUTE(IFERROR(VLOOKUP(A359,'Certifications achievements vs '!A:G,7,false),""),"#","")
)</f>
        <v>0</v>
      </c>
      <c r="O359" s="17" t="str">
        <f t="shared" si="5"/>
        <v/>
      </c>
      <c r="P359" s="1">
        <f>value(SUBSTITUTE(IFERROR(VLOOKUP(A359,'Communications - Solution Speci'!A:G,6,false),""),"#","")
)</f>
        <v>0</v>
      </c>
      <c r="Q359" s="1">
        <f>value(SUBSTITUTE(IFERROR(VLOOKUP(A359,'Communications - Solution Speci'!A:G,7,false),""),"#","")
)</f>
        <v>0</v>
      </c>
      <c r="R359" s="17" t="str">
        <f t="shared" si="6"/>
        <v/>
      </c>
      <c r="S359" s="1">
        <f>value(SUBSTITUTE(IFERROR(VLOOKUP(A359,'Networking - Solution Specializ'!A:G,6,false),""),"#","")
)</f>
        <v>0</v>
      </c>
      <c r="T359" s="1">
        <f>value(SUBSTITUTE(IFERROR(VLOOKUP(A359,'Networking - Solution Specializ'!A:G,7,false),""),"#","")
)</f>
        <v>0</v>
      </c>
      <c r="U359" s="17" t="str">
        <f t="shared" si="7"/>
        <v/>
      </c>
      <c r="V359" s="1" t="str">
        <f>iferror(vlookup(A359,'Marketing Plan (extract summary'!A:G,6,false),"")</f>
        <v/>
      </c>
      <c r="W359" s="1" t="str">
        <f>iferror(vlookup(A359,'Marketing Plan (extract summary'!A:G,7,false),"")</f>
        <v/>
      </c>
      <c r="X359" s="17" t="str">
        <f t="shared" si="8"/>
        <v/>
      </c>
      <c r="Y359" s="1">
        <f>value(IFERROR(SUBSTITUTE(SUBSTITUTE(VLOOKUP(A359,'Quarterly Pipeline vs Target Pi'!A:G,6,false)," $","")," €",""), "")
)</f>
        <v>0</v>
      </c>
      <c r="Z359" s="1">
        <f>value(IFERROR(SUBSTITUTE(SUBSTITUTE(VLOOKUP(A359,'Quarterly Pipeline vs Target Pi'!A:G,7,false)," $","")," €",""), "")
)</f>
        <v>0</v>
      </c>
      <c r="AA359" s="17" t="str">
        <f t="shared" si="9"/>
        <v/>
      </c>
      <c r="AB359" s="1">
        <f>value(IFERROR(SUBSTITUTE(SUBSTITUTE(VLOOKUP($A359,'Quarterly Pipeline vs Target Pi'!$A:$V,11,false)," $","")," €",""), "")
)</f>
        <v>0</v>
      </c>
      <c r="AC359" s="1">
        <f>value(IFERROR(SUBSTITUTE(SUBSTITUTE(VLOOKUP($A359,'Quarterly Pipeline vs Target Pi'!$A:$V,12,false)," $","")," €",""), "")
)</f>
        <v>0</v>
      </c>
      <c r="AD359" s="17" t="str">
        <f t="shared" si="10"/>
        <v/>
      </c>
      <c r="AE359" s="1">
        <f>value(IFERROR(SUBSTITUTE(SUBSTITUTE(VLOOKUP($A359,'Quarterly Pipeline vs Target Pi'!$A:$V,16,false)," $","")," €",""), "")
)</f>
        <v>0</v>
      </c>
      <c r="AF359" s="1">
        <f>value(IFERROR(SUBSTITUTE(SUBSTITUTE(VLOOKUP($A359,'Quarterly Pipeline vs Target Pi'!$A:$V,17,false)," $","")," €",""), "")
)</f>
        <v>0</v>
      </c>
      <c r="AG359" s="17" t="str">
        <f t="shared" si="11"/>
        <v/>
      </c>
      <c r="AH359" s="1">
        <f>value(IFERROR(SUBSTITUTE(SUBSTITUTE(VLOOKUP($A359,'Quarterly Pipeline vs Target Pi'!$A:$V,21,false)," $","")," €",""), "")
)</f>
        <v>0</v>
      </c>
      <c r="AI359" s="1">
        <f>value(IFERROR(SUBSTITUTE(SUBSTITUTE(VLOOKUP($A359,'Quarterly Pipeline vs Target Pi'!$A:$V,22,false)," $","")," €",""), "")
)</f>
        <v>0</v>
      </c>
      <c r="AJ359" s="17" t="str">
        <f t="shared" si="12"/>
        <v/>
      </c>
      <c r="AK359" s="1">
        <f t="shared" ref="AK359:AL359" si="731">sum(Y359,AB359,AE359,AH359)</f>
        <v>0</v>
      </c>
      <c r="AL359" s="1">
        <f t="shared" si="731"/>
        <v>0</v>
      </c>
      <c r="AM359" s="17" t="str">
        <f t="shared" si="14"/>
        <v/>
      </c>
      <c r="AN359" s="1">
        <f>value(IFERROR(SUBSTITUTE(SUBSTITUTE(VLOOKUP($A359,'Quarterly Pipeline vs Target Pi'!$A:$AP,26,false)," $","")," €",""), "")
)</f>
        <v>0</v>
      </c>
      <c r="AO359" s="1">
        <f>value(IFERROR(SUBSTITUTE(SUBSTITUTE(VLOOKUP($A359,'Quarterly Pipeline vs Target Pi'!$A:$AP,27,false)," $","")," €",""), "")
)</f>
        <v>0</v>
      </c>
      <c r="AP359" s="17" t="str">
        <f t="shared" si="15"/>
        <v/>
      </c>
      <c r="AQ359" s="1">
        <f>value(IFERROR(SUBSTITUTE(SUBSTITUTE(VLOOKUP($A359,'Quarterly Pipeline vs Target Pi'!$A:$AP,31,false)," $","")," €",""), "")
)</f>
        <v>0</v>
      </c>
      <c r="AR359" s="1">
        <f>value(IFERROR(SUBSTITUTE(SUBSTITUTE(VLOOKUP($A359,'Quarterly Pipeline vs Target Pi'!$A:$AP,32,false)," $","")," €",""), "")
)</f>
        <v>0</v>
      </c>
      <c r="AS359" s="17" t="str">
        <f t="shared" si="16"/>
        <v/>
      </c>
      <c r="AT359" s="1">
        <f>value(IFERROR(SUBSTITUTE(SUBSTITUTE(VLOOKUP($A359,'Quarterly Pipeline vs Target Pi'!$A:$AP,36,false)," $","")," €",""), "")
)</f>
        <v>0</v>
      </c>
      <c r="AU359" s="1">
        <f>value(IFERROR(SUBSTITUTE(SUBSTITUTE(VLOOKUP($A359,'Quarterly Pipeline vs Target Pi'!$A:$AP,37,false)," $","")," €",""), "")
)</f>
        <v>0</v>
      </c>
      <c r="AV359" s="17" t="str">
        <f t="shared" si="17"/>
        <v/>
      </c>
      <c r="AW359" s="1">
        <f>value(IFERROR(SUBSTITUTE(SUBSTITUTE(VLOOKUP($A359,'Quarterly Pipeline vs Target Pi'!$A:$AP,41,false)," $","")," €",""), "")
)</f>
        <v>0</v>
      </c>
      <c r="AX359" s="1">
        <f>value(IFERROR(SUBSTITUTE(SUBSTITUTE(VLOOKUP($A359,'Quarterly Pipeline vs Target Pi'!$A:$AP,42,false)," $","")," €",""), "")
)</f>
        <v>0</v>
      </c>
      <c r="AY359" s="17" t="str">
        <f t="shared" si="18"/>
        <v/>
      </c>
      <c r="AZ359" s="1">
        <f t="shared" ref="AZ359:BA359" si="732">sum(AN359,AQ359,AT359,AW359)</f>
        <v>0</v>
      </c>
      <c r="BA359" s="1">
        <f t="shared" si="732"/>
        <v>0</v>
      </c>
      <c r="BB359" s="17" t="str">
        <f t="shared" si="20"/>
        <v/>
      </c>
    </row>
    <row r="360">
      <c r="A360" s="1" t="str">
        <f>IFERROR(__xludf.DUMMYFUNCTION("""COMPUTED_VALUE"""),"6299ff1ef5acbb30cc0bd2c7")</f>
        <v>6299ff1ef5acbb30cc0bd2c7</v>
      </c>
      <c r="B360" s="1" t="str">
        <f>IFERROR(__xludf.DUMMYFUNCTION("""COMPUTED_VALUE"""),"REDISUL INFORMATICA LTDA")</f>
        <v>REDISUL INFORMATICA LTDA</v>
      </c>
      <c r="C360" s="1" t="str">
        <f>IFERROR(__xludf.DUMMYFUNCTION("""COMPUTED_VALUE"""),"rui.silva@al-enterprise.com, vinicius.costa@al-enterprise.com")</f>
        <v>rui.silva@al-enterprise.com, vinicius.costa@al-enterprise.com</v>
      </c>
      <c r="D360" s="1" t="str">
        <f>IFERROR(__xludf.DUMMYFUNCTION("""COMPUTED_VALUE"""),"americas")</f>
        <v>americas</v>
      </c>
      <c r="E360" s="1" t="str">
        <f>IFERROR(__xludf.DUMMYFUNCTION("""COMPUTED_VALUE"""),"BR")</f>
        <v>BR</v>
      </c>
      <c r="F360" s="1"/>
      <c r="G360" s="1" t="str">
        <f>iferror(VLOOKUP(A360,'Business Plan Setup and Accepta'!A:G,6,false),"")</f>
        <v/>
      </c>
      <c r="H360" s="1" t="str">
        <f>iferror(VLOOKUP(A360,'Business Plan Setup and Accepta'!A:G,7,false),"")</f>
        <v/>
      </c>
      <c r="I360" s="17" t="str">
        <f t="shared" si="3"/>
        <v/>
      </c>
      <c r="J360" s="1" t="str">
        <f>IFERROR(VALUE(SUBSTITUTE(VLOOKUP(A360,'Sales IN Revenues vs Sales targ'!A:G,6,false)," $","")), "")
</f>
        <v/>
      </c>
      <c r="K360" s="1" t="str">
        <f>IFERROR(VALUE(SUBSTITUTE(VLOOKUP(A360,'Sales IN Revenues vs Sales targ'!A:G,7,false)," $","")), "")
</f>
        <v/>
      </c>
      <c r="L360" s="17" t="str">
        <f t="shared" si="4"/>
        <v/>
      </c>
      <c r="M360" s="1">
        <f>value(SUBSTITUTE(IFERROR(VLOOKUP(A360,'Certifications achievements vs '!A:G,6,false),""),"#","")
)</f>
        <v>5</v>
      </c>
      <c r="N360" s="1">
        <f>value(SUBSTITUTE(IFERROR(VLOOKUP(A360,'Certifications achievements vs '!A:G,7,false),""),"#","")
)</f>
        <v>52</v>
      </c>
      <c r="O360" s="17">
        <f t="shared" si="5"/>
        <v>0.09615384615</v>
      </c>
      <c r="P360" s="1">
        <f>value(SUBSTITUTE(IFERROR(VLOOKUP(A360,'Communications - Solution Speci'!A:G,6,false),""),"#","")
)</f>
        <v>0</v>
      </c>
      <c r="Q360" s="1">
        <f>value(SUBSTITUTE(IFERROR(VLOOKUP(A360,'Communications - Solution Speci'!A:G,7,false),""),"#","")
)</f>
        <v>0</v>
      </c>
      <c r="R360" s="17" t="str">
        <f t="shared" si="6"/>
        <v/>
      </c>
      <c r="S360" s="1">
        <f>value(SUBSTITUTE(IFERROR(VLOOKUP(A360,'Networking - Solution Specializ'!A:G,6,false),""),"#","")
)</f>
        <v>0</v>
      </c>
      <c r="T360" s="1">
        <f>value(SUBSTITUTE(IFERROR(VLOOKUP(A360,'Networking - Solution Specializ'!A:G,7,false),""),"#","")
)</f>
        <v>0</v>
      </c>
      <c r="U360" s="17" t="str">
        <f t="shared" si="7"/>
        <v/>
      </c>
      <c r="V360" s="1" t="str">
        <f>iferror(vlookup(A360,'Marketing Plan (extract summary'!A:G,6,false),"")</f>
        <v/>
      </c>
      <c r="W360" s="1" t="str">
        <f>iferror(vlookup(A360,'Marketing Plan (extract summary'!A:G,7,false),"")</f>
        <v/>
      </c>
      <c r="X360" s="17" t="str">
        <f t="shared" si="8"/>
        <v/>
      </c>
      <c r="Y360" s="1">
        <f>value(IFERROR(SUBSTITUTE(SUBSTITUTE(VLOOKUP(A360,'Quarterly Pipeline vs Target Pi'!A:G,6,false)," $","")," €",""), "")
)</f>
        <v>0</v>
      </c>
      <c r="Z360" s="1">
        <f>value(IFERROR(SUBSTITUTE(SUBSTITUTE(VLOOKUP(A360,'Quarterly Pipeline vs Target Pi'!A:G,7,false)," $","")," €",""), "")
)</f>
        <v>0</v>
      </c>
      <c r="AA360" s="17" t="str">
        <f t="shared" si="9"/>
        <v/>
      </c>
      <c r="AB360" s="1">
        <f>value(IFERROR(SUBSTITUTE(SUBSTITUTE(VLOOKUP($A360,'Quarterly Pipeline vs Target Pi'!$A:$V,11,false)," $","")," €",""), "")
)</f>
        <v>0</v>
      </c>
      <c r="AC360" s="1">
        <f>value(IFERROR(SUBSTITUTE(SUBSTITUTE(VLOOKUP($A360,'Quarterly Pipeline vs Target Pi'!$A:$V,12,false)," $","")," €",""), "")
)</f>
        <v>0</v>
      </c>
      <c r="AD360" s="17" t="str">
        <f t="shared" si="10"/>
        <v/>
      </c>
      <c r="AE360" s="1">
        <f>value(IFERROR(SUBSTITUTE(SUBSTITUTE(VLOOKUP($A360,'Quarterly Pipeline vs Target Pi'!$A:$V,16,false)," $","")," €",""), "")
)</f>
        <v>0</v>
      </c>
      <c r="AF360" s="1">
        <f>value(IFERROR(SUBSTITUTE(SUBSTITUTE(VLOOKUP($A360,'Quarterly Pipeline vs Target Pi'!$A:$V,17,false)," $","")," €",""), "")
)</f>
        <v>0</v>
      </c>
      <c r="AG360" s="17" t="str">
        <f t="shared" si="11"/>
        <v/>
      </c>
      <c r="AH360" s="1">
        <f>value(IFERROR(SUBSTITUTE(SUBSTITUTE(VLOOKUP($A360,'Quarterly Pipeline vs Target Pi'!$A:$V,21,false)," $","")," €",""), "")
)</f>
        <v>0</v>
      </c>
      <c r="AI360" s="1">
        <f>value(IFERROR(SUBSTITUTE(SUBSTITUTE(VLOOKUP($A360,'Quarterly Pipeline vs Target Pi'!$A:$V,22,false)," $","")," €",""), "")
)</f>
        <v>0</v>
      </c>
      <c r="AJ360" s="17" t="str">
        <f t="shared" si="12"/>
        <v/>
      </c>
      <c r="AK360" s="1">
        <f t="shared" ref="AK360:AL360" si="733">sum(Y360,AB360,AE360,AH360)</f>
        <v>0</v>
      </c>
      <c r="AL360" s="1">
        <f t="shared" si="733"/>
        <v>0</v>
      </c>
      <c r="AM360" s="17" t="str">
        <f t="shared" si="14"/>
        <v/>
      </c>
      <c r="AN360" s="1">
        <f>value(IFERROR(SUBSTITUTE(SUBSTITUTE(VLOOKUP($A360,'Quarterly Pipeline vs Target Pi'!$A:$AP,26,false)," $","")," €",""), "")
)</f>
        <v>0</v>
      </c>
      <c r="AO360" s="1">
        <f>value(IFERROR(SUBSTITUTE(SUBSTITUTE(VLOOKUP($A360,'Quarterly Pipeline vs Target Pi'!$A:$AP,27,false)," $","")," €",""), "")
)</f>
        <v>0</v>
      </c>
      <c r="AP360" s="17" t="str">
        <f t="shared" si="15"/>
        <v/>
      </c>
      <c r="AQ360" s="1">
        <f>value(IFERROR(SUBSTITUTE(SUBSTITUTE(VLOOKUP($A360,'Quarterly Pipeline vs Target Pi'!$A:$AP,31,false)," $","")," €",""), "")
)</f>
        <v>0</v>
      </c>
      <c r="AR360" s="1">
        <f>value(IFERROR(SUBSTITUTE(SUBSTITUTE(VLOOKUP($A360,'Quarterly Pipeline vs Target Pi'!$A:$AP,32,false)," $","")," €",""), "")
)</f>
        <v>0</v>
      </c>
      <c r="AS360" s="17" t="str">
        <f t="shared" si="16"/>
        <v/>
      </c>
      <c r="AT360" s="1">
        <f>value(IFERROR(SUBSTITUTE(SUBSTITUTE(VLOOKUP($A360,'Quarterly Pipeline vs Target Pi'!$A:$AP,36,false)," $","")," €",""), "")
)</f>
        <v>0</v>
      </c>
      <c r="AU360" s="1">
        <f>value(IFERROR(SUBSTITUTE(SUBSTITUTE(VLOOKUP($A360,'Quarterly Pipeline vs Target Pi'!$A:$AP,37,false)," $","")," €",""), "")
)</f>
        <v>0</v>
      </c>
      <c r="AV360" s="17" t="str">
        <f t="shared" si="17"/>
        <v/>
      </c>
      <c r="AW360" s="1">
        <f>value(IFERROR(SUBSTITUTE(SUBSTITUTE(VLOOKUP($A360,'Quarterly Pipeline vs Target Pi'!$A:$AP,41,false)," $","")," €",""), "")
)</f>
        <v>0</v>
      </c>
      <c r="AX360" s="1">
        <f>value(IFERROR(SUBSTITUTE(SUBSTITUTE(VLOOKUP($A360,'Quarterly Pipeline vs Target Pi'!$A:$AP,42,false)," $","")," €",""), "")
)</f>
        <v>0</v>
      </c>
      <c r="AY360" s="17" t="str">
        <f t="shared" si="18"/>
        <v/>
      </c>
      <c r="AZ360" s="1">
        <f t="shared" ref="AZ360:BA360" si="734">sum(AN360,AQ360,AT360,AW360)</f>
        <v>0</v>
      </c>
      <c r="BA360" s="1">
        <f t="shared" si="734"/>
        <v>0</v>
      </c>
      <c r="BB360" s="17" t="str">
        <f t="shared" si="20"/>
        <v/>
      </c>
    </row>
    <row r="361">
      <c r="A361" s="1" t="str">
        <f>IFERROR(__xludf.DUMMYFUNCTION("""COMPUTED_VALUE"""),"633dbe22ec522e697b5af958")</f>
        <v>633dbe22ec522e697b5af958</v>
      </c>
      <c r="B361" s="1" t="str">
        <f>IFERROR(__xludf.DUMMYFUNCTION("""COMPUTED_VALUE"""),"REDNET GmbH")</f>
        <v>REDNET GmbH</v>
      </c>
      <c r="C361" s="1" t="str">
        <f>IFERROR(__xludf.DUMMYFUNCTION("""COMPUTED_VALUE"""),"rui.silva@al-enterprise.com, marius.istel@al-enterprise.com, katrin.pfeiffer@al-enterprise.com, sibylle.klopfer@al-enterprise.com, igor.leko@al-enterprise.com, philipp.bode@al-enterprise.com")</f>
        <v>rui.silva@al-enterprise.com, marius.istel@al-enterprise.com, katrin.pfeiffer@al-enterprise.com, sibylle.klopfer@al-enterprise.com, igor.leko@al-enterprise.com, philipp.bode@al-enterprise.com</v>
      </c>
      <c r="D361" s="1" t="str">
        <f>IFERROR(__xludf.DUMMYFUNCTION("""COMPUTED_VALUE"""),"germany")</f>
        <v>germany</v>
      </c>
      <c r="E361" s="1" t="str">
        <f>IFERROR(__xludf.DUMMYFUNCTION("""COMPUTED_VALUE"""),"DE")</f>
        <v>DE</v>
      </c>
      <c r="F361" s="1" t="str">
        <f>IFERROR(__xludf.DUMMYFUNCTION("""COMPUTED_VALUE"""),"expert_1000")</f>
        <v>expert_1000</v>
      </c>
      <c r="G361" s="1">
        <f>iferror(VLOOKUP(A361,'Business Plan Setup and Accepta'!A:G,6,false),"")</f>
        <v>1</v>
      </c>
      <c r="H361" s="1">
        <f>iferror(VLOOKUP(A361,'Business Plan Setup and Accepta'!A:G,7,false),"")</f>
        <v>1</v>
      </c>
      <c r="I361" s="17">
        <f t="shared" si="3"/>
        <v>1</v>
      </c>
      <c r="J361" s="1">
        <f>IFERROR(VALUE(SUBSTITUTE(VLOOKUP(A361,'Sales IN Revenues vs Sales targ'!A:G,6,false)," $","")), "")
</f>
        <v>41.91</v>
      </c>
      <c r="K361" s="1">
        <f>IFERROR(VALUE(SUBSTITUTE(VLOOKUP(A361,'Sales IN Revenues vs Sales targ'!A:G,7,false)," $","")), "")
</f>
        <v>1000</v>
      </c>
      <c r="L361" s="17">
        <f t="shared" si="4"/>
        <v>0.04191</v>
      </c>
      <c r="M361" s="1">
        <f>value(SUBSTITUTE(IFERROR(VLOOKUP(A361,'Certifications achievements vs '!A:G,6,false),""),"#","")
)</f>
        <v>20</v>
      </c>
      <c r="N361" s="1">
        <f>value(SUBSTITUTE(IFERROR(VLOOKUP(A361,'Certifications achievements vs '!A:G,7,false),""),"#","")
)</f>
        <v>62</v>
      </c>
      <c r="O361" s="17">
        <f t="shared" si="5"/>
        <v>0.3225806452</v>
      </c>
      <c r="P361" s="1">
        <f>value(SUBSTITUTE(IFERROR(VLOOKUP(A361,'Communications - Solution Speci'!A:G,6,false),""),"#","")
)</f>
        <v>0</v>
      </c>
      <c r="Q361" s="1">
        <f>value(SUBSTITUTE(IFERROR(VLOOKUP(A361,'Communications - Solution Speci'!A:G,7,false),""),"#","")
)</f>
        <v>1</v>
      </c>
      <c r="R361" s="17">
        <f t="shared" si="6"/>
        <v>0</v>
      </c>
      <c r="S361" s="1">
        <f>value(SUBSTITUTE(IFERROR(VLOOKUP(A361,'Networking - Solution Specializ'!A:G,6,false),""),"#","")
)</f>
        <v>1</v>
      </c>
      <c r="T361" s="1">
        <f>value(SUBSTITUTE(IFERROR(VLOOKUP(A361,'Networking - Solution Specializ'!A:G,7,false),""),"#","")
)</f>
        <v>1</v>
      </c>
      <c r="U361" s="17">
        <f t="shared" si="7"/>
        <v>1</v>
      </c>
      <c r="V361" s="1">
        <f>iferror(vlookup(A361,'Marketing Plan (extract summary'!A:G,6,false),"")</f>
        <v>0</v>
      </c>
      <c r="W361" s="1">
        <f>iferror(vlookup(A361,'Marketing Plan (extract summary'!A:G,7,false),"")</f>
        <v>1</v>
      </c>
      <c r="X361" s="17">
        <f t="shared" si="8"/>
        <v>0</v>
      </c>
      <c r="Y361" s="1">
        <f>value(IFERROR(SUBSTITUTE(SUBSTITUTE(VLOOKUP(A361,'Quarterly Pipeline vs Target Pi'!A:G,6,false)," $","")," €",""), "")
)</f>
        <v>80</v>
      </c>
      <c r="Z361" s="1">
        <f>value(IFERROR(SUBSTITUTE(SUBSTITUTE(VLOOKUP(A361,'Quarterly Pipeline vs Target Pi'!A:G,7,false)," $","")," €",""), "")
)</f>
        <v>0</v>
      </c>
      <c r="AA361" s="17" t="str">
        <f t="shared" si="9"/>
        <v/>
      </c>
      <c r="AB361" s="1">
        <f>value(IFERROR(SUBSTITUTE(SUBSTITUTE(VLOOKUP($A361,'Quarterly Pipeline vs Target Pi'!$A:$V,11,false)," $","")," €",""), "")
)</f>
        <v>15</v>
      </c>
      <c r="AC361" s="1">
        <f>value(IFERROR(SUBSTITUTE(SUBSTITUTE(VLOOKUP($A361,'Quarterly Pipeline vs Target Pi'!$A:$V,12,false)," $","")," €",""), "")
)</f>
        <v>250</v>
      </c>
      <c r="AD361" s="17">
        <f t="shared" si="10"/>
        <v>0.06</v>
      </c>
      <c r="AE361" s="1">
        <f>value(IFERROR(SUBSTITUTE(SUBSTITUTE(VLOOKUP($A361,'Quarterly Pipeline vs Target Pi'!$A:$V,16,false)," $","")," €",""), "")
)</f>
        <v>414.1</v>
      </c>
      <c r="AF361" s="1">
        <f>value(IFERROR(SUBSTITUTE(SUBSTITUTE(VLOOKUP($A361,'Quarterly Pipeline vs Target Pi'!$A:$V,17,false)," $","")," €",""), "")
)</f>
        <v>375</v>
      </c>
      <c r="AG361" s="17">
        <f t="shared" si="11"/>
        <v>1.104266667</v>
      </c>
      <c r="AH361" s="1">
        <f>value(IFERROR(SUBSTITUTE(SUBSTITUTE(VLOOKUP($A361,'Quarterly Pipeline vs Target Pi'!$A:$V,21,false)," $","")," €",""), "")
)</f>
        <v>1297.4</v>
      </c>
      <c r="AI361" s="1">
        <f>value(IFERROR(SUBSTITUTE(SUBSTITUTE(VLOOKUP($A361,'Quarterly Pipeline vs Target Pi'!$A:$V,22,false)," $","")," €",""), "")
)</f>
        <v>375</v>
      </c>
      <c r="AJ361" s="17">
        <f t="shared" si="12"/>
        <v>3.459733333</v>
      </c>
      <c r="AK361" s="1">
        <f t="shared" ref="AK361:AL361" si="735">sum(Y361,AB361,AE361,AH361)</f>
        <v>1806.5</v>
      </c>
      <c r="AL361" s="1">
        <f t="shared" si="735"/>
        <v>1000</v>
      </c>
      <c r="AM361" s="17">
        <f t="shared" si="14"/>
        <v>1.8065</v>
      </c>
      <c r="AN361" s="1">
        <f>value(IFERROR(SUBSTITUTE(SUBSTITUTE(VLOOKUP($A361,'Quarterly Pipeline vs Target Pi'!$A:$AP,26,false)," $","")," €",""), "")
)</f>
        <v>475</v>
      </c>
      <c r="AO361" s="1">
        <f>value(IFERROR(SUBSTITUTE(SUBSTITUTE(VLOOKUP($A361,'Quarterly Pipeline vs Target Pi'!$A:$AP,27,false)," $","")," €",""), "")
)</f>
        <v>0</v>
      </c>
      <c r="AP361" s="17" t="str">
        <f t="shared" si="15"/>
        <v/>
      </c>
      <c r="AQ361" s="1">
        <f>value(IFERROR(SUBSTITUTE(SUBSTITUTE(VLOOKUP($A361,'Quarterly Pipeline vs Target Pi'!$A:$AP,31,false)," $","")," €",""), "")
)</f>
        <v>0</v>
      </c>
      <c r="AR361" s="1">
        <f>value(IFERROR(SUBSTITUTE(SUBSTITUTE(VLOOKUP($A361,'Quarterly Pipeline vs Target Pi'!$A:$AP,32,false)," $","")," €",""), "")
)</f>
        <v>0</v>
      </c>
      <c r="AS361" s="17" t="str">
        <f t="shared" si="16"/>
        <v/>
      </c>
      <c r="AT361" s="1">
        <f>value(IFERROR(SUBSTITUTE(SUBSTITUTE(VLOOKUP($A361,'Quarterly Pipeline vs Target Pi'!$A:$AP,36,false)," $","")," €",""), "")
)</f>
        <v>0</v>
      </c>
      <c r="AU361" s="1">
        <f>value(IFERROR(SUBSTITUTE(SUBSTITUTE(VLOOKUP($A361,'Quarterly Pipeline vs Target Pi'!$A:$AP,37,false)," $","")," €",""), "")
)</f>
        <v>0</v>
      </c>
      <c r="AV361" s="17" t="str">
        <f t="shared" si="17"/>
        <v/>
      </c>
      <c r="AW361" s="1">
        <f>value(IFERROR(SUBSTITUTE(SUBSTITUTE(VLOOKUP($A361,'Quarterly Pipeline vs Target Pi'!$A:$AP,41,false)," $","")," €",""), "")
)</f>
        <v>800</v>
      </c>
      <c r="AX361" s="1">
        <f>value(IFERROR(SUBSTITUTE(SUBSTITUTE(VLOOKUP($A361,'Quarterly Pipeline vs Target Pi'!$A:$AP,42,false)," $","")," €",""), "")
)</f>
        <v>0</v>
      </c>
      <c r="AY361" s="17" t="str">
        <f t="shared" si="18"/>
        <v/>
      </c>
      <c r="AZ361" s="1">
        <f t="shared" ref="AZ361:BA361" si="736">sum(AN361,AQ361,AT361,AW361)</f>
        <v>1275</v>
      </c>
      <c r="BA361" s="1">
        <f t="shared" si="736"/>
        <v>0</v>
      </c>
      <c r="BB361" s="17" t="str">
        <f t="shared" si="20"/>
        <v/>
      </c>
    </row>
    <row r="362">
      <c r="A362" s="1" t="str">
        <f>IFERROR(__xludf.DUMMYFUNCTION("""COMPUTED_VALUE"""),"63ef9d58384f27260c1ba3d3")</f>
        <v>63ef9d58384f27260c1ba3d3</v>
      </c>
      <c r="B362" s="1" t="str">
        <f>IFERROR(__xludf.DUMMYFUNCTION("""COMPUTED_VALUE"""),"REISCOM SA DE CV")</f>
        <v>REISCOM SA DE CV</v>
      </c>
      <c r="C362" s="1" t="str">
        <f>IFERROR(__xludf.DUMMYFUNCTION("""COMPUTED_VALUE"""),"hector.villa@al-enterprise.com")</f>
        <v>hector.villa@al-enterprise.com</v>
      </c>
      <c r="D362" s="1" t="str">
        <f>IFERROR(__xludf.DUMMYFUNCTION("""COMPUTED_VALUE"""),"americas")</f>
        <v>americas</v>
      </c>
      <c r="E362" s="1" t="str">
        <f>IFERROR(__xludf.DUMMYFUNCTION("""COMPUTED_VALUE"""),"MX")</f>
        <v>MX</v>
      </c>
      <c r="F362" s="1"/>
      <c r="G362" s="1" t="str">
        <f>iferror(VLOOKUP(A362,'Business Plan Setup and Accepta'!A:G,6,false),"")</f>
        <v/>
      </c>
      <c r="H362" s="1" t="str">
        <f>iferror(VLOOKUP(A362,'Business Plan Setup and Accepta'!A:G,7,false),"")</f>
        <v/>
      </c>
      <c r="I362" s="17" t="str">
        <f t="shared" si="3"/>
        <v/>
      </c>
      <c r="J362" s="1" t="str">
        <f>IFERROR(VALUE(SUBSTITUTE(VLOOKUP(A362,'Sales IN Revenues vs Sales targ'!A:G,6,false)," $","")), "")
</f>
        <v/>
      </c>
      <c r="K362" s="1" t="str">
        <f>IFERROR(VALUE(SUBSTITUTE(VLOOKUP(A362,'Sales IN Revenues vs Sales targ'!A:G,7,false)," $","")), "")
</f>
        <v/>
      </c>
      <c r="L362" s="17" t="str">
        <f t="shared" si="4"/>
        <v/>
      </c>
      <c r="M362" s="1">
        <f>value(SUBSTITUTE(IFERROR(VLOOKUP(A362,'Certifications achievements vs '!A:G,6,false),""),"#","")
)</f>
        <v>0</v>
      </c>
      <c r="N362" s="1">
        <f>value(SUBSTITUTE(IFERROR(VLOOKUP(A362,'Certifications achievements vs '!A:G,7,false),""),"#","")
)</f>
        <v>0</v>
      </c>
      <c r="O362" s="17" t="str">
        <f t="shared" si="5"/>
        <v/>
      </c>
      <c r="P362" s="1">
        <f>value(SUBSTITUTE(IFERROR(VLOOKUP(A362,'Communications - Solution Speci'!A:G,6,false),""),"#","")
)</f>
        <v>0</v>
      </c>
      <c r="Q362" s="1">
        <f>value(SUBSTITUTE(IFERROR(VLOOKUP(A362,'Communications - Solution Speci'!A:G,7,false),""),"#","")
)</f>
        <v>0</v>
      </c>
      <c r="R362" s="17" t="str">
        <f t="shared" si="6"/>
        <v/>
      </c>
      <c r="S362" s="1">
        <f>value(SUBSTITUTE(IFERROR(VLOOKUP(A362,'Networking - Solution Specializ'!A:G,6,false),""),"#","")
)</f>
        <v>0</v>
      </c>
      <c r="T362" s="1">
        <f>value(SUBSTITUTE(IFERROR(VLOOKUP(A362,'Networking - Solution Specializ'!A:G,7,false),""),"#","")
)</f>
        <v>0</v>
      </c>
      <c r="U362" s="17" t="str">
        <f t="shared" si="7"/>
        <v/>
      </c>
      <c r="V362" s="1" t="str">
        <f>iferror(vlookup(A362,'Marketing Plan (extract summary'!A:G,6,false),"")</f>
        <v/>
      </c>
      <c r="W362" s="1" t="str">
        <f>iferror(vlookup(A362,'Marketing Plan (extract summary'!A:G,7,false),"")</f>
        <v/>
      </c>
      <c r="X362" s="17" t="str">
        <f t="shared" si="8"/>
        <v/>
      </c>
      <c r="Y362" s="1">
        <f>value(IFERROR(SUBSTITUTE(SUBSTITUTE(VLOOKUP(A362,'Quarterly Pipeline vs Target Pi'!A:G,6,false)," $","")," €",""), "")
)</f>
        <v>0</v>
      </c>
      <c r="Z362" s="1">
        <f>value(IFERROR(SUBSTITUTE(SUBSTITUTE(VLOOKUP(A362,'Quarterly Pipeline vs Target Pi'!A:G,7,false)," $","")," €",""), "")
)</f>
        <v>0</v>
      </c>
      <c r="AA362" s="17" t="str">
        <f t="shared" si="9"/>
        <v/>
      </c>
      <c r="AB362" s="1">
        <f>value(IFERROR(SUBSTITUTE(SUBSTITUTE(VLOOKUP($A362,'Quarterly Pipeline vs Target Pi'!$A:$V,11,false)," $","")," €",""), "")
)</f>
        <v>0</v>
      </c>
      <c r="AC362" s="1">
        <f>value(IFERROR(SUBSTITUTE(SUBSTITUTE(VLOOKUP($A362,'Quarterly Pipeline vs Target Pi'!$A:$V,12,false)," $","")," €",""), "")
)</f>
        <v>0</v>
      </c>
      <c r="AD362" s="17" t="str">
        <f t="shared" si="10"/>
        <v/>
      </c>
      <c r="AE362" s="1">
        <f>value(IFERROR(SUBSTITUTE(SUBSTITUTE(VLOOKUP($A362,'Quarterly Pipeline vs Target Pi'!$A:$V,16,false)," $","")," €",""), "")
)</f>
        <v>0</v>
      </c>
      <c r="AF362" s="1">
        <f>value(IFERROR(SUBSTITUTE(SUBSTITUTE(VLOOKUP($A362,'Quarterly Pipeline vs Target Pi'!$A:$V,17,false)," $","")," €",""), "")
)</f>
        <v>0</v>
      </c>
      <c r="AG362" s="17" t="str">
        <f t="shared" si="11"/>
        <v/>
      </c>
      <c r="AH362" s="1">
        <f>value(IFERROR(SUBSTITUTE(SUBSTITUTE(VLOOKUP($A362,'Quarterly Pipeline vs Target Pi'!$A:$V,21,false)," $","")," €",""), "")
)</f>
        <v>0</v>
      </c>
      <c r="AI362" s="1">
        <f>value(IFERROR(SUBSTITUTE(SUBSTITUTE(VLOOKUP($A362,'Quarterly Pipeline vs Target Pi'!$A:$V,22,false)," $","")," €",""), "")
)</f>
        <v>0</v>
      </c>
      <c r="AJ362" s="17" t="str">
        <f t="shared" si="12"/>
        <v/>
      </c>
      <c r="AK362" s="1">
        <f t="shared" ref="AK362:AL362" si="737">sum(Y362,AB362,AE362,AH362)</f>
        <v>0</v>
      </c>
      <c r="AL362" s="1">
        <f t="shared" si="737"/>
        <v>0</v>
      </c>
      <c r="AM362" s="17" t="str">
        <f t="shared" si="14"/>
        <v/>
      </c>
      <c r="AN362" s="1">
        <f>value(IFERROR(SUBSTITUTE(SUBSTITUTE(VLOOKUP($A362,'Quarterly Pipeline vs Target Pi'!$A:$AP,26,false)," $","")," €",""), "")
)</f>
        <v>0</v>
      </c>
      <c r="AO362" s="1">
        <f>value(IFERROR(SUBSTITUTE(SUBSTITUTE(VLOOKUP($A362,'Quarterly Pipeline vs Target Pi'!$A:$AP,27,false)," $","")," €",""), "")
)</f>
        <v>0</v>
      </c>
      <c r="AP362" s="17" t="str">
        <f t="shared" si="15"/>
        <v/>
      </c>
      <c r="AQ362" s="1">
        <f>value(IFERROR(SUBSTITUTE(SUBSTITUTE(VLOOKUP($A362,'Quarterly Pipeline vs Target Pi'!$A:$AP,31,false)," $","")," €",""), "")
)</f>
        <v>0</v>
      </c>
      <c r="AR362" s="1">
        <f>value(IFERROR(SUBSTITUTE(SUBSTITUTE(VLOOKUP($A362,'Quarterly Pipeline vs Target Pi'!$A:$AP,32,false)," $","")," €",""), "")
)</f>
        <v>0</v>
      </c>
      <c r="AS362" s="17" t="str">
        <f t="shared" si="16"/>
        <v/>
      </c>
      <c r="AT362" s="1">
        <f>value(IFERROR(SUBSTITUTE(SUBSTITUTE(VLOOKUP($A362,'Quarterly Pipeline vs Target Pi'!$A:$AP,36,false)," $","")," €",""), "")
)</f>
        <v>0</v>
      </c>
      <c r="AU362" s="1">
        <f>value(IFERROR(SUBSTITUTE(SUBSTITUTE(VLOOKUP($A362,'Quarterly Pipeline vs Target Pi'!$A:$AP,37,false)," $","")," €",""), "")
)</f>
        <v>0</v>
      </c>
      <c r="AV362" s="17" t="str">
        <f t="shared" si="17"/>
        <v/>
      </c>
      <c r="AW362" s="1">
        <f>value(IFERROR(SUBSTITUTE(SUBSTITUTE(VLOOKUP($A362,'Quarterly Pipeline vs Target Pi'!$A:$AP,41,false)," $","")," €",""), "")
)</f>
        <v>0</v>
      </c>
      <c r="AX362" s="1">
        <f>value(IFERROR(SUBSTITUTE(SUBSTITUTE(VLOOKUP($A362,'Quarterly Pipeline vs Target Pi'!$A:$AP,42,false)," $","")," €",""), "")
)</f>
        <v>0</v>
      </c>
      <c r="AY362" s="17" t="str">
        <f t="shared" si="18"/>
        <v/>
      </c>
      <c r="AZ362" s="1">
        <f t="shared" ref="AZ362:BA362" si="738">sum(AN362,AQ362,AT362,AW362)</f>
        <v>0</v>
      </c>
      <c r="BA362" s="1">
        <f t="shared" si="738"/>
        <v>0</v>
      </c>
      <c r="BB362" s="17" t="str">
        <f t="shared" si="20"/>
        <v/>
      </c>
    </row>
    <row r="363">
      <c r="A363" s="1" t="str">
        <f>IFERROR(__xludf.DUMMYFUNCTION("""COMPUTED_VALUE"""),"63ef9d57384f27260c1ba371")</f>
        <v>63ef9d57384f27260c1ba371</v>
      </c>
      <c r="B363" s="1" t="str">
        <f>IFERROR(__xludf.DUMMYFUNCTION("""COMPUTED_VALUE"""),"Rel Comm, Inc.")</f>
        <v>Rel Comm, Inc.</v>
      </c>
      <c r="C363" s="1" t="str">
        <f>IFERROR(__xludf.DUMMYFUNCTION("""COMPUTED_VALUE"""),"brendan.flaherty@al-enterprise.com, Steve.roos@al-enterprise.com")</f>
        <v>brendan.flaherty@al-enterprise.com, Steve.roos@al-enterprise.com</v>
      </c>
      <c r="D363" s="1" t="str">
        <f>IFERROR(__xludf.DUMMYFUNCTION("""COMPUTED_VALUE"""),"americas")</f>
        <v>americas</v>
      </c>
      <c r="E363" s="1" t="str">
        <f>IFERROR(__xludf.DUMMYFUNCTION("""COMPUTED_VALUE"""),"US")</f>
        <v>US</v>
      </c>
      <c r="F363" s="1"/>
      <c r="G363" s="1" t="str">
        <f>iferror(VLOOKUP(A363,'Business Plan Setup and Accepta'!A:G,6,false),"")</f>
        <v/>
      </c>
      <c r="H363" s="1" t="str">
        <f>iferror(VLOOKUP(A363,'Business Plan Setup and Accepta'!A:G,7,false),"")</f>
        <v/>
      </c>
      <c r="I363" s="17" t="str">
        <f t="shared" si="3"/>
        <v/>
      </c>
      <c r="J363" s="1" t="str">
        <f>IFERROR(VALUE(SUBSTITUTE(VLOOKUP(A363,'Sales IN Revenues vs Sales targ'!A:G,6,false)," $","")), "")
</f>
        <v/>
      </c>
      <c r="K363" s="1" t="str">
        <f>IFERROR(VALUE(SUBSTITUTE(VLOOKUP(A363,'Sales IN Revenues vs Sales targ'!A:G,7,false)," $","")), "")
</f>
        <v/>
      </c>
      <c r="L363" s="17" t="str">
        <f t="shared" si="4"/>
        <v/>
      </c>
      <c r="M363" s="1">
        <f>value(SUBSTITUTE(IFERROR(VLOOKUP(A363,'Certifications achievements vs '!A:G,6,false),""),"#","")
)</f>
        <v>0</v>
      </c>
      <c r="N363" s="1">
        <f>value(SUBSTITUTE(IFERROR(VLOOKUP(A363,'Certifications achievements vs '!A:G,7,false),""),"#","")
)</f>
        <v>0</v>
      </c>
      <c r="O363" s="17" t="str">
        <f t="shared" si="5"/>
        <v/>
      </c>
      <c r="P363" s="1">
        <f>value(SUBSTITUTE(IFERROR(VLOOKUP(A363,'Communications - Solution Speci'!A:G,6,false),""),"#","")
)</f>
        <v>0</v>
      </c>
      <c r="Q363" s="1">
        <f>value(SUBSTITUTE(IFERROR(VLOOKUP(A363,'Communications - Solution Speci'!A:G,7,false),""),"#","")
)</f>
        <v>0</v>
      </c>
      <c r="R363" s="17" t="str">
        <f t="shared" si="6"/>
        <v/>
      </c>
      <c r="S363" s="1">
        <f>value(SUBSTITUTE(IFERROR(VLOOKUP(A363,'Networking - Solution Specializ'!A:G,6,false),""),"#","")
)</f>
        <v>0</v>
      </c>
      <c r="T363" s="1">
        <f>value(SUBSTITUTE(IFERROR(VLOOKUP(A363,'Networking - Solution Specializ'!A:G,7,false),""),"#","")
)</f>
        <v>0</v>
      </c>
      <c r="U363" s="17" t="str">
        <f t="shared" si="7"/>
        <v/>
      </c>
      <c r="V363" s="1" t="str">
        <f>iferror(vlookup(A363,'Marketing Plan (extract summary'!A:G,6,false),"")</f>
        <v/>
      </c>
      <c r="W363" s="1" t="str">
        <f>iferror(vlookup(A363,'Marketing Plan (extract summary'!A:G,7,false),"")</f>
        <v/>
      </c>
      <c r="X363" s="17" t="str">
        <f t="shared" si="8"/>
        <v/>
      </c>
      <c r="Y363" s="1">
        <f>value(IFERROR(SUBSTITUTE(SUBSTITUTE(VLOOKUP(A363,'Quarterly Pipeline vs Target Pi'!A:G,6,false)," $","")," €",""), "")
)</f>
        <v>0</v>
      </c>
      <c r="Z363" s="1">
        <f>value(IFERROR(SUBSTITUTE(SUBSTITUTE(VLOOKUP(A363,'Quarterly Pipeline vs Target Pi'!A:G,7,false)," $","")," €",""), "")
)</f>
        <v>0</v>
      </c>
      <c r="AA363" s="17" t="str">
        <f t="shared" si="9"/>
        <v/>
      </c>
      <c r="AB363" s="1">
        <f>value(IFERROR(SUBSTITUTE(SUBSTITUTE(VLOOKUP($A363,'Quarterly Pipeline vs Target Pi'!$A:$V,11,false)," $","")," €",""), "")
)</f>
        <v>0</v>
      </c>
      <c r="AC363" s="1">
        <f>value(IFERROR(SUBSTITUTE(SUBSTITUTE(VLOOKUP($A363,'Quarterly Pipeline vs Target Pi'!$A:$V,12,false)," $","")," €",""), "")
)</f>
        <v>0</v>
      </c>
      <c r="AD363" s="17" t="str">
        <f t="shared" si="10"/>
        <v/>
      </c>
      <c r="AE363" s="1">
        <f>value(IFERROR(SUBSTITUTE(SUBSTITUTE(VLOOKUP($A363,'Quarterly Pipeline vs Target Pi'!$A:$V,16,false)," $","")," €",""), "")
)</f>
        <v>0</v>
      </c>
      <c r="AF363" s="1">
        <f>value(IFERROR(SUBSTITUTE(SUBSTITUTE(VLOOKUP($A363,'Quarterly Pipeline vs Target Pi'!$A:$V,17,false)," $","")," €",""), "")
)</f>
        <v>0</v>
      </c>
      <c r="AG363" s="17" t="str">
        <f t="shared" si="11"/>
        <v/>
      </c>
      <c r="AH363" s="1">
        <f>value(IFERROR(SUBSTITUTE(SUBSTITUTE(VLOOKUP($A363,'Quarterly Pipeline vs Target Pi'!$A:$V,21,false)," $","")," €",""), "")
)</f>
        <v>0</v>
      </c>
      <c r="AI363" s="1">
        <f>value(IFERROR(SUBSTITUTE(SUBSTITUTE(VLOOKUP($A363,'Quarterly Pipeline vs Target Pi'!$A:$V,22,false)," $","")," €",""), "")
)</f>
        <v>0</v>
      </c>
      <c r="AJ363" s="17" t="str">
        <f t="shared" si="12"/>
        <v/>
      </c>
      <c r="AK363" s="1">
        <f t="shared" ref="AK363:AL363" si="739">sum(Y363,AB363,AE363,AH363)</f>
        <v>0</v>
      </c>
      <c r="AL363" s="1">
        <f t="shared" si="739"/>
        <v>0</v>
      </c>
      <c r="AM363" s="17" t="str">
        <f t="shared" si="14"/>
        <v/>
      </c>
      <c r="AN363" s="1">
        <f>value(IFERROR(SUBSTITUTE(SUBSTITUTE(VLOOKUP($A363,'Quarterly Pipeline vs Target Pi'!$A:$AP,26,false)," $","")," €",""), "")
)</f>
        <v>0</v>
      </c>
      <c r="AO363" s="1">
        <f>value(IFERROR(SUBSTITUTE(SUBSTITUTE(VLOOKUP($A363,'Quarterly Pipeline vs Target Pi'!$A:$AP,27,false)," $","")," €",""), "")
)</f>
        <v>0</v>
      </c>
      <c r="AP363" s="17" t="str">
        <f t="shared" si="15"/>
        <v/>
      </c>
      <c r="AQ363" s="1">
        <f>value(IFERROR(SUBSTITUTE(SUBSTITUTE(VLOOKUP($A363,'Quarterly Pipeline vs Target Pi'!$A:$AP,31,false)," $","")," €",""), "")
)</f>
        <v>0</v>
      </c>
      <c r="AR363" s="1">
        <f>value(IFERROR(SUBSTITUTE(SUBSTITUTE(VLOOKUP($A363,'Quarterly Pipeline vs Target Pi'!$A:$AP,32,false)," $","")," €",""), "")
)</f>
        <v>0</v>
      </c>
      <c r="AS363" s="17" t="str">
        <f t="shared" si="16"/>
        <v/>
      </c>
      <c r="AT363" s="1">
        <f>value(IFERROR(SUBSTITUTE(SUBSTITUTE(VLOOKUP($A363,'Quarterly Pipeline vs Target Pi'!$A:$AP,36,false)," $","")," €",""), "")
)</f>
        <v>0</v>
      </c>
      <c r="AU363" s="1">
        <f>value(IFERROR(SUBSTITUTE(SUBSTITUTE(VLOOKUP($A363,'Quarterly Pipeline vs Target Pi'!$A:$AP,37,false)," $","")," €",""), "")
)</f>
        <v>0</v>
      </c>
      <c r="AV363" s="17" t="str">
        <f t="shared" si="17"/>
        <v/>
      </c>
      <c r="AW363" s="1">
        <f>value(IFERROR(SUBSTITUTE(SUBSTITUTE(VLOOKUP($A363,'Quarterly Pipeline vs Target Pi'!$A:$AP,41,false)," $","")," €",""), "")
)</f>
        <v>0</v>
      </c>
      <c r="AX363" s="1">
        <f>value(IFERROR(SUBSTITUTE(SUBSTITUTE(VLOOKUP($A363,'Quarterly Pipeline vs Target Pi'!$A:$AP,42,false)," $","")," €",""), "")
)</f>
        <v>0</v>
      </c>
      <c r="AY363" s="17" t="str">
        <f t="shared" si="18"/>
        <v/>
      </c>
      <c r="AZ363" s="1">
        <f t="shared" ref="AZ363:BA363" si="740">sum(AN363,AQ363,AT363,AW363)</f>
        <v>0</v>
      </c>
      <c r="BA363" s="1">
        <f t="shared" si="740"/>
        <v>0</v>
      </c>
      <c r="BB363" s="17" t="str">
        <f t="shared" si="20"/>
        <v/>
      </c>
    </row>
    <row r="364">
      <c r="A364" s="1" t="str">
        <f>IFERROR(__xludf.DUMMYFUNCTION("""COMPUTED_VALUE"""),"63ced843c5c820531c2682df")</f>
        <v>63ced843c5c820531c2682df</v>
      </c>
      <c r="B364" s="1" t="str">
        <f>IFERROR(__xludf.DUMMYFUNCTION("""COMPUTED_VALUE"""),"REVOLUTION TECHNOLOGIES REVTEC, S.A")</f>
        <v>REVOLUTION TECHNOLOGIES REVTEC, S.A</v>
      </c>
      <c r="C364" s="1" t="str">
        <f>IFERROR(__xludf.DUMMYFUNCTION("""COMPUTED_VALUE"""),"jorge.silva@al-enterprise.com")</f>
        <v>jorge.silva@al-enterprise.com</v>
      </c>
      <c r="D364" s="1" t="str">
        <f>IFERROR(__xludf.DUMMYFUNCTION("""COMPUTED_VALUE"""),"americas")</f>
        <v>americas</v>
      </c>
      <c r="E364" s="1" t="str">
        <f>IFERROR(__xludf.DUMMYFUNCTION("""COMPUTED_VALUE"""),"GT")</f>
        <v>GT</v>
      </c>
      <c r="F364" s="1" t="str">
        <f>IFERROR(__xludf.DUMMYFUNCTION("""COMPUTED_VALUE"""),"expert_200")</f>
        <v>expert_200</v>
      </c>
      <c r="G364" s="1">
        <f>iferror(VLOOKUP(A364,'Business Plan Setup and Accepta'!A:G,6,false),"")</f>
        <v>0</v>
      </c>
      <c r="H364" s="1">
        <f>iferror(VLOOKUP(A364,'Business Plan Setup and Accepta'!A:G,7,false),"")</f>
        <v>1</v>
      </c>
      <c r="I364" s="17">
        <f t="shared" si="3"/>
        <v>0</v>
      </c>
      <c r="J364" s="1">
        <f>IFERROR(VALUE(SUBSTITUTE(VLOOKUP(A364,'Sales IN Revenues vs Sales targ'!A:G,6,false)," $","")), "")
</f>
        <v>151.49</v>
      </c>
      <c r="K364" s="1">
        <f>IFERROR(VALUE(SUBSTITUTE(VLOOKUP(A364,'Sales IN Revenues vs Sales targ'!A:G,7,false)," $","")), "")
</f>
        <v>450</v>
      </c>
      <c r="L364" s="17">
        <f t="shared" si="4"/>
        <v>0.3366444444</v>
      </c>
      <c r="M364" s="1">
        <f>value(SUBSTITUTE(IFERROR(VLOOKUP(A364,'Certifications achievements vs '!A:G,6,false),""),"#","")
)</f>
        <v>80</v>
      </c>
      <c r="N364" s="1">
        <f>value(SUBSTITUTE(IFERROR(VLOOKUP(A364,'Certifications achievements vs '!A:G,7,false),""),"#","")
)</f>
        <v>52</v>
      </c>
      <c r="O364" s="17">
        <f t="shared" si="5"/>
        <v>1.538461538</v>
      </c>
      <c r="P364" s="1">
        <f>value(SUBSTITUTE(IFERROR(VLOOKUP(A364,'Communications - Solution Speci'!A:G,6,false),""),"#","")
)</f>
        <v>1</v>
      </c>
      <c r="Q364" s="1">
        <f>value(SUBSTITUTE(IFERROR(VLOOKUP(A364,'Communications - Solution Speci'!A:G,7,false),""),"#","")
)</f>
        <v>1</v>
      </c>
      <c r="R364" s="17">
        <f t="shared" si="6"/>
        <v>1</v>
      </c>
      <c r="S364" s="1">
        <f>value(SUBSTITUTE(IFERROR(VLOOKUP(A364,'Networking - Solution Specializ'!A:G,6,false),""),"#","")
)</f>
        <v>1</v>
      </c>
      <c r="T364" s="1">
        <f>value(SUBSTITUTE(IFERROR(VLOOKUP(A364,'Networking - Solution Specializ'!A:G,7,false),""),"#","")
)</f>
        <v>1</v>
      </c>
      <c r="U364" s="17">
        <f t="shared" si="7"/>
        <v>1</v>
      </c>
      <c r="V364" s="1">
        <f>iferror(vlookup(A364,'Marketing Plan (extract summary'!A:G,6,false),"")</f>
        <v>0</v>
      </c>
      <c r="W364" s="1">
        <f>iferror(vlookup(A364,'Marketing Plan (extract summary'!A:G,7,false),"")</f>
        <v>1</v>
      </c>
      <c r="X364" s="17">
        <f t="shared" si="8"/>
        <v>0</v>
      </c>
      <c r="Y364" s="1">
        <f>value(IFERROR(SUBSTITUTE(SUBSTITUTE(VLOOKUP(A364,'Quarterly Pipeline vs Target Pi'!A:G,6,false)," $","")," €",""), "")
)</f>
        <v>4.69</v>
      </c>
      <c r="Z364" s="1">
        <f>value(IFERROR(SUBSTITUTE(SUBSTITUTE(VLOOKUP(A364,'Quarterly Pipeline vs Target Pi'!A:G,7,false)," $","")," €",""), "")
)</f>
        <v>0</v>
      </c>
      <c r="AA364" s="17" t="str">
        <f t="shared" si="9"/>
        <v/>
      </c>
      <c r="AB364" s="1">
        <f>value(IFERROR(SUBSTITUTE(SUBSTITUTE(VLOOKUP($A364,'Quarterly Pipeline vs Target Pi'!$A:$V,11,false)," $","")," €",""), "")
)</f>
        <v>4.43</v>
      </c>
      <c r="AC364" s="1">
        <f>value(IFERROR(SUBSTITUTE(SUBSTITUTE(VLOOKUP($A364,'Quarterly Pipeline vs Target Pi'!$A:$V,12,false)," $","")," €",""), "")
)</f>
        <v>304.89</v>
      </c>
      <c r="AD364" s="17">
        <f t="shared" si="10"/>
        <v>0.01452983043</v>
      </c>
      <c r="AE364" s="1">
        <f>value(IFERROR(SUBSTITUTE(SUBSTITUTE(VLOOKUP($A364,'Quarterly Pipeline vs Target Pi'!$A:$V,16,false)," $","")," €",""), "")
)</f>
        <v>153.71</v>
      </c>
      <c r="AF364" s="1">
        <f>value(IFERROR(SUBSTITUTE(SUBSTITUTE(VLOOKUP($A364,'Quarterly Pipeline vs Target Pi'!$A:$V,17,false)," $","")," €",""), "")
)</f>
        <v>341.47</v>
      </c>
      <c r="AG364" s="17">
        <f t="shared" si="11"/>
        <v>0.450142033</v>
      </c>
      <c r="AH364" s="1">
        <f>value(IFERROR(SUBSTITUTE(SUBSTITUTE(VLOOKUP($A364,'Quarterly Pipeline vs Target Pi'!$A:$V,21,false)," $","")," €",""), "")
)</f>
        <v>66.64</v>
      </c>
      <c r="AI364" s="1">
        <f>value(IFERROR(SUBSTITUTE(SUBSTITUTE(VLOOKUP($A364,'Quarterly Pipeline vs Target Pi'!$A:$V,22,false)," $","")," €",""), "")
)</f>
        <v>280.48</v>
      </c>
      <c r="AJ364" s="17">
        <f t="shared" si="12"/>
        <v>0.2375926982</v>
      </c>
      <c r="AK364" s="1">
        <f t="shared" ref="AK364:AL364" si="741">sum(Y364,AB364,AE364,AH364)</f>
        <v>229.47</v>
      </c>
      <c r="AL364" s="1">
        <f t="shared" si="741"/>
        <v>926.84</v>
      </c>
      <c r="AM364" s="17">
        <f t="shared" si="14"/>
        <v>0.2475831859</v>
      </c>
      <c r="AN364" s="1">
        <f>value(IFERROR(SUBSTITUTE(SUBSTITUTE(VLOOKUP($A364,'Quarterly Pipeline vs Target Pi'!$A:$AP,26,false)," $","")," €",""), "")
)</f>
        <v>6.5</v>
      </c>
      <c r="AO364" s="1">
        <f>value(IFERROR(SUBSTITUTE(SUBSTITUTE(VLOOKUP($A364,'Quarterly Pipeline vs Target Pi'!$A:$AP,27,false)," $","")," €",""), "")
)</f>
        <v>0</v>
      </c>
      <c r="AP364" s="17" t="str">
        <f t="shared" si="15"/>
        <v/>
      </c>
      <c r="AQ364" s="1">
        <f>value(IFERROR(SUBSTITUTE(SUBSTITUTE(VLOOKUP($A364,'Quarterly Pipeline vs Target Pi'!$A:$AP,31,false)," $","")," €",""), "")
)</f>
        <v>6.62</v>
      </c>
      <c r="AR364" s="1">
        <f>value(IFERROR(SUBSTITUTE(SUBSTITUTE(VLOOKUP($A364,'Quarterly Pipeline vs Target Pi'!$A:$AP,32,false)," $","")," €",""), "")
)</f>
        <v>0</v>
      </c>
      <c r="AS364" s="17" t="str">
        <f t="shared" si="16"/>
        <v/>
      </c>
      <c r="AT364" s="1">
        <f>value(IFERROR(SUBSTITUTE(SUBSTITUTE(VLOOKUP($A364,'Quarterly Pipeline vs Target Pi'!$A:$AP,36,false)," $","")," €",""), "")
)</f>
        <v>3.38</v>
      </c>
      <c r="AU364" s="1">
        <f>value(IFERROR(SUBSTITUTE(SUBSTITUTE(VLOOKUP($A364,'Quarterly Pipeline vs Target Pi'!$A:$AP,37,false)," $","")," €",""), "")
)</f>
        <v>0</v>
      </c>
      <c r="AV364" s="17" t="str">
        <f t="shared" si="17"/>
        <v/>
      </c>
      <c r="AW364" s="1">
        <f>value(IFERROR(SUBSTITUTE(SUBSTITUTE(VLOOKUP($A364,'Quarterly Pipeline vs Target Pi'!$A:$AP,41,false)," $","")," €",""), "")
)</f>
        <v>0.86</v>
      </c>
      <c r="AX364" s="1">
        <f>value(IFERROR(SUBSTITUTE(SUBSTITUTE(VLOOKUP($A364,'Quarterly Pipeline vs Target Pi'!$A:$AP,42,false)," $","")," €",""), "")
)</f>
        <v>0</v>
      </c>
      <c r="AY364" s="17" t="str">
        <f t="shared" si="18"/>
        <v/>
      </c>
      <c r="AZ364" s="1">
        <f t="shared" ref="AZ364:BA364" si="742">sum(AN364,AQ364,AT364,AW364)</f>
        <v>17.36</v>
      </c>
      <c r="BA364" s="1">
        <f t="shared" si="742"/>
        <v>0</v>
      </c>
      <c r="BB364" s="17" t="str">
        <f t="shared" si="20"/>
        <v/>
      </c>
    </row>
    <row r="365">
      <c r="A365" s="1" t="str">
        <f>IFERROR(__xludf.DUMMYFUNCTION("""COMPUTED_VALUE"""),"63ced843c5c820531c2682d0")</f>
        <v>63ced843c5c820531c2682d0</v>
      </c>
      <c r="B365" s="1" t="str">
        <f>IFERROR(__xludf.DUMMYFUNCTION("""COMPUTED_VALUE"""),"REVOLUTION TECHNOLOGIES REVTEC, SA")</f>
        <v>REVOLUTION TECHNOLOGIES REVTEC, SA</v>
      </c>
      <c r="C365" s="1" t="str">
        <f>IFERROR(__xludf.DUMMYFUNCTION("""COMPUTED_VALUE"""),"jorge.silva@al-enterprise.com")</f>
        <v>jorge.silva@al-enterprise.com</v>
      </c>
      <c r="D365" s="1" t="str">
        <f>IFERROR(__xludf.DUMMYFUNCTION("""COMPUTED_VALUE"""),"americas")</f>
        <v>americas</v>
      </c>
      <c r="E365" s="1" t="str">
        <f>IFERROR(__xludf.DUMMYFUNCTION("""COMPUTED_VALUE"""),"CR")</f>
        <v>CR</v>
      </c>
      <c r="F365" s="1"/>
      <c r="G365" s="1">
        <f>iferror(VLOOKUP(A365,'Business Plan Setup and Accepta'!A:G,6,false),"")</f>
        <v>0</v>
      </c>
      <c r="H365" s="1">
        <f>iferror(VLOOKUP(A365,'Business Plan Setup and Accepta'!A:G,7,false),"")</f>
        <v>1</v>
      </c>
      <c r="I365" s="17">
        <f t="shared" si="3"/>
        <v>0</v>
      </c>
      <c r="J365" s="1">
        <f>IFERROR(VALUE(SUBSTITUTE(VLOOKUP(A365,'Sales IN Revenues vs Sales targ'!A:G,6,false)," $","")), "")
</f>
        <v>48.5</v>
      </c>
      <c r="K365" s="1">
        <f>IFERROR(VALUE(SUBSTITUTE(VLOOKUP(A365,'Sales IN Revenues vs Sales targ'!A:G,7,false)," $","")), "")
</f>
        <v>200</v>
      </c>
      <c r="L365" s="17">
        <f t="shared" si="4"/>
        <v>0.2425</v>
      </c>
      <c r="M365" s="1">
        <f>value(SUBSTITUTE(IFERROR(VLOOKUP(A365,'Certifications achievements vs '!A:G,6,false),""),"#","")
)</f>
        <v>26</v>
      </c>
      <c r="N365" s="1">
        <f>value(SUBSTITUTE(IFERROR(VLOOKUP(A365,'Certifications achievements vs '!A:G,7,false),""),"#","")
)</f>
        <v>52</v>
      </c>
      <c r="O365" s="17">
        <f t="shared" si="5"/>
        <v>0.5</v>
      </c>
      <c r="P365" s="1">
        <f>value(SUBSTITUTE(IFERROR(VLOOKUP(A365,'Communications - Solution Speci'!A:G,6,false),""),"#","")
)</f>
        <v>1</v>
      </c>
      <c r="Q365" s="1">
        <f>value(SUBSTITUTE(IFERROR(VLOOKUP(A365,'Communications - Solution Speci'!A:G,7,false),""),"#","")
)</f>
        <v>1</v>
      </c>
      <c r="R365" s="17">
        <f t="shared" si="6"/>
        <v>1</v>
      </c>
      <c r="S365" s="1">
        <f>value(SUBSTITUTE(IFERROR(VLOOKUP(A365,'Networking - Solution Specializ'!A:G,6,false),""),"#","")
)</f>
        <v>1</v>
      </c>
      <c r="T365" s="1">
        <f>value(SUBSTITUTE(IFERROR(VLOOKUP(A365,'Networking - Solution Specializ'!A:G,7,false),""),"#","")
)</f>
        <v>1</v>
      </c>
      <c r="U365" s="17">
        <f t="shared" si="7"/>
        <v>1</v>
      </c>
      <c r="V365" s="1">
        <f>iferror(vlookup(A365,'Marketing Plan (extract summary'!A:G,6,false),"")</f>
        <v>0</v>
      </c>
      <c r="W365" s="1">
        <f>iferror(vlookup(A365,'Marketing Plan (extract summary'!A:G,7,false),"")</f>
        <v>1</v>
      </c>
      <c r="X365" s="17">
        <f t="shared" si="8"/>
        <v>0</v>
      </c>
      <c r="Y365" s="1">
        <f>value(IFERROR(SUBSTITUTE(SUBSTITUTE(VLOOKUP(A365,'Quarterly Pipeline vs Target Pi'!A:G,6,false)," $","")," €",""), "")
)</f>
        <v>0</v>
      </c>
      <c r="Z365" s="1">
        <f>value(IFERROR(SUBSTITUTE(SUBSTITUTE(VLOOKUP(A365,'Quarterly Pipeline vs Target Pi'!A:G,7,false)," $","")," €",""), "")
)</f>
        <v>0</v>
      </c>
      <c r="AA365" s="17" t="str">
        <f t="shared" si="9"/>
        <v/>
      </c>
      <c r="AB365" s="1">
        <f>value(IFERROR(SUBSTITUTE(SUBSTITUTE(VLOOKUP($A365,'Quarterly Pipeline vs Target Pi'!$A:$V,11,false)," $","")," €",""), "")
)</f>
        <v>25</v>
      </c>
      <c r="AC365" s="1">
        <f>value(IFERROR(SUBSTITUTE(SUBSTITUTE(VLOOKUP($A365,'Quarterly Pipeline vs Target Pi'!$A:$V,12,false)," $","")," €",""), "")
)</f>
        <v>0</v>
      </c>
      <c r="AD365" s="17" t="str">
        <f t="shared" si="10"/>
        <v/>
      </c>
      <c r="AE365" s="1">
        <f>value(IFERROR(SUBSTITUTE(SUBSTITUTE(VLOOKUP($A365,'Quarterly Pipeline vs Target Pi'!$A:$V,16,false)," $","")," €",""), "")
)</f>
        <v>40</v>
      </c>
      <c r="AF365" s="1">
        <f>value(IFERROR(SUBSTITUTE(SUBSTITUTE(VLOOKUP($A365,'Quarterly Pipeline vs Target Pi'!$A:$V,17,false)," $","")," €",""), "")
)</f>
        <v>176.67</v>
      </c>
      <c r="AG365" s="17">
        <f t="shared" si="11"/>
        <v>0.2264108224</v>
      </c>
      <c r="AH365" s="1">
        <f>value(IFERROR(SUBSTITUTE(SUBSTITUTE(VLOOKUP($A365,'Quarterly Pipeline vs Target Pi'!$A:$V,21,false)," $","")," €",""), "")
)</f>
        <v>90</v>
      </c>
      <c r="AI365" s="1">
        <f>value(IFERROR(SUBSTITUTE(SUBSTITUTE(VLOOKUP($A365,'Quarterly Pipeline vs Target Pi'!$A:$V,22,false)," $","")," €",""), "")
)</f>
        <v>176.67</v>
      </c>
      <c r="AJ365" s="17">
        <f t="shared" si="12"/>
        <v>0.5094243505</v>
      </c>
      <c r="AK365" s="1">
        <f t="shared" ref="AK365:AL365" si="743">sum(Y365,AB365,AE365,AH365)</f>
        <v>155</v>
      </c>
      <c r="AL365" s="1">
        <f t="shared" si="743"/>
        <v>353.34</v>
      </c>
      <c r="AM365" s="17">
        <f t="shared" si="14"/>
        <v>0.4386709685</v>
      </c>
      <c r="AN365" s="1">
        <f>value(IFERROR(SUBSTITUTE(SUBSTITUTE(VLOOKUP($A365,'Quarterly Pipeline vs Target Pi'!$A:$AP,26,false)," $","")," €",""), "")
)</f>
        <v>5.11</v>
      </c>
      <c r="AO365" s="1">
        <f>value(IFERROR(SUBSTITUTE(SUBSTITUTE(VLOOKUP($A365,'Quarterly Pipeline vs Target Pi'!$A:$AP,27,false)," $","")," €",""), "")
)</f>
        <v>0</v>
      </c>
      <c r="AP365" s="17" t="str">
        <f t="shared" si="15"/>
        <v/>
      </c>
      <c r="AQ365" s="1">
        <f>value(IFERROR(SUBSTITUTE(SUBSTITUTE(VLOOKUP($A365,'Quarterly Pipeline vs Target Pi'!$A:$AP,31,false)," $","")," €",""), "")
)</f>
        <v>0</v>
      </c>
      <c r="AR365" s="1">
        <f>value(IFERROR(SUBSTITUTE(SUBSTITUTE(VLOOKUP($A365,'Quarterly Pipeline vs Target Pi'!$A:$AP,32,false)," $","")," €",""), "")
)</f>
        <v>0</v>
      </c>
      <c r="AS365" s="17" t="str">
        <f t="shared" si="16"/>
        <v/>
      </c>
      <c r="AT365" s="1">
        <f>value(IFERROR(SUBSTITUTE(SUBSTITUTE(VLOOKUP($A365,'Quarterly Pipeline vs Target Pi'!$A:$AP,36,false)," $","")," €",""), "")
)</f>
        <v>0</v>
      </c>
      <c r="AU365" s="1">
        <f>value(IFERROR(SUBSTITUTE(SUBSTITUTE(VLOOKUP($A365,'Quarterly Pipeline vs Target Pi'!$A:$AP,37,false)," $","")," €",""), "")
)</f>
        <v>0</v>
      </c>
      <c r="AV365" s="17" t="str">
        <f t="shared" si="17"/>
        <v/>
      </c>
      <c r="AW365" s="1">
        <f>value(IFERROR(SUBSTITUTE(SUBSTITUTE(VLOOKUP($A365,'Quarterly Pipeline vs Target Pi'!$A:$AP,41,false)," $","")," €",""), "")
)</f>
        <v>3</v>
      </c>
      <c r="AX365" s="1">
        <f>value(IFERROR(SUBSTITUTE(SUBSTITUTE(VLOOKUP($A365,'Quarterly Pipeline vs Target Pi'!$A:$AP,42,false)," $","")," €",""), "")
)</f>
        <v>0</v>
      </c>
      <c r="AY365" s="17" t="str">
        <f t="shared" si="18"/>
        <v/>
      </c>
      <c r="AZ365" s="1">
        <f t="shared" ref="AZ365:BA365" si="744">sum(AN365,AQ365,AT365,AW365)</f>
        <v>8.11</v>
      </c>
      <c r="BA365" s="1">
        <f t="shared" si="744"/>
        <v>0</v>
      </c>
      <c r="BB365" s="17" t="str">
        <f t="shared" si="20"/>
        <v/>
      </c>
    </row>
    <row r="366">
      <c r="A366" s="1" t="str">
        <f>IFERROR(__xludf.DUMMYFUNCTION("""COMPUTED_VALUE"""),"63ced84ec5c820531c26986f")</f>
        <v>63ced84ec5c820531c26986f</v>
      </c>
      <c r="B366" s="1" t="str">
        <f>IFERROR(__xludf.DUMMYFUNCTION("""COMPUTED_VALUE"""),"RFP Solutions, Inc.")</f>
        <v>RFP Solutions, Inc.</v>
      </c>
      <c r="C366" s="1" t="str">
        <f>IFERROR(__xludf.DUMMYFUNCTION("""COMPUTED_VALUE"""),"brendan.flaherty@al-enterprise.com, robert.ewell@al-enterprise.com, jack.jachner@al-enterprise.com")</f>
        <v>brendan.flaherty@al-enterprise.com, robert.ewell@al-enterprise.com, jack.jachner@al-enterprise.com</v>
      </c>
      <c r="D366" s="1" t="str">
        <f>IFERROR(__xludf.DUMMYFUNCTION("""COMPUTED_VALUE"""),"americas")</f>
        <v>americas</v>
      </c>
      <c r="E366" s="1" t="str">
        <f>IFERROR(__xludf.DUMMYFUNCTION("""COMPUTED_VALUE"""),"US")</f>
        <v>US</v>
      </c>
      <c r="F366" s="1" t="str">
        <f>IFERROR(__xludf.DUMMYFUNCTION("""COMPUTED_VALUE"""),"expert_1000")</f>
        <v>expert_1000</v>
      </c>
      <c r="G366" s="1">
        <f>iferror(VLOOKUP(A366,'Business Plan Setup and Accepta'!A:G,6,false),"")</f>
        <v>1</v>
      </c>
      <c r="H366" s="1">
        <f>iferror(VLOOKUP(A366,'Business Plan Setup and Accepta'!A:G,7,false),"")</f>
        <v>1</v>
      </c>
      <c r="I366" s="17">
        <f t="shared" si="3"/>
        <v>1</v>
      </c>
      <c r="J366" s="1">
        <f>IFERROR(VALUE(SUBSTITUTE(VLOOKUP(A366,'Sales IN Revenues vs Sales targ'!A:G,6,false)," $","")), "")
</f>
        <v>881.6</v>
      </c>
      <c r="K366" s="1">
        <f>IFERROR(VALUE(SUBSTITUTE(VLOOKUP(A366,'Sales IN Revenues vs Sales targ'!A:G,7,false)," $","")), "")
</f>
        <v>1213.99</v>
      </c>
      <c r="L366" s="17">
        <f t="shared" si="4"/>
        <v>0.7262003806</v>
      </c>
      <c r="M366" s="1">
        <f>value(SUBSTITUTE(IFERROR(VLOOKUP(A366,'Certifications achievements vs '!A:G,6,false),""),"#","")
)</f>
        <v>19</v>
      </c>
      <c r="N366" s="1">
        <f>value(SUBSTITUTE(IFERROR(VLOOKUP(A366,'Certifications achievements vs '!A:G,7,false),""),"#","")
)</f>
        <v>52</v>
      </c>
      <c r="O366" s="17">
        <f t="shared" si="5"/>
        <v>0.3653846154</v>
      </c>
      <c r="P366" s="1">
        <f>value(SUBSTITUTE(IFERROR(VLOOKUP(A366,'Communications - Solution Speci'!A:G,6,false),""),"#","")
)</f>
        <v>0</v>
      </c>
      <c r="Q366" s="1">
        <f>value(SUBSTITUTE(IFERROR(VLOOKUP(A366,'Communications - Solution Speci'!A:G,7,false),""),"#","")
)</f>
        <v>1</v>
      </c>
      <c r="R366" s="17">
        <f t="shared" si="6"/>
        <v>0</v>
      </c>
      <c r="S366" s="1">
        <f>value(SUBSTITUTE(IFERROR(VLOOKUP(A366,'Networking - Solution Specializ'!A:G,6,false),""),"#","")
)</f>
        <v>1</v>
      </c>
      <c r="T366" s="1">
        <f>value(SUBSTITUTE(IFERROR(VLOOKUP(A366,'Networking - Solution Specializ'!A:G,7,false),""),"#","")
)</f>
        <v>1</v>
      </c>
      <c r="U366" s="17">
        <f t="shared" si="7"/>
        <v>1</v>
      </c>
      <c r="V366" s="1">
        <f>iferror(vlookup(A366,'Marketing Plan (extract summary'!A:G,6,false),"")</f>
        <v>0</v>
      </c>
      <c r="W366" s="1">
        <f>iferror(vlookup(A366,'Marketing Plan (extract summary'!A:G,7,false),"")</f>
        <v>1</v>
      </c>
      <c r="X366" s="17">
        <f t="shared" si="8"/>
        <v>0</v>
      </c>
      <c r="Y366" s="1">
        <f>value(IFERROR(SUBSTITUTE(SUBSTITUTE(VLOOKUP(A366,'Quarterly Pipeline vs Target Pi'!A:G,6,false)," $","")," €",""), "")
)</f>
        <v>13.29</v>
      </c>
      <c r="Z366" s="1">
        <f>value(IFERROR(SUBSTITUTE(SUBSTITUTE(VLOOKUP(A366,'Quarterly Pipeline vs Target Pi'!A:G,7,false)," $","")," €",""), "")
)</f>
        <v>0</v>
      </c>
      <c r="AA366" s="17" t="str">
        <f t="shared" si="9"/>
        <v/>
      </c>
      <c r="AB366" s="1">
        <f>value(IFERROR(SUBSTITUTE(SUBSTITUTE(VLOOKUP($A366,'Quarterly Pipeline vs Target Pi'!$A:$V,11,false)," $","")," €",""), "")
)</f>
        <v>54.92</v>
      </c>
      <c r="AC366" s="1">
        <f>value(IFERROR(SUBSTITUTE(SUBSTITUTE(VLOOKUP($A366,'Quarterly Pipeline vs Target Pi'!$A:$V,12,false)," $","")," €",""), "")
)</f>
        <v>255.15</v>
      </c>
      <c r="AD366" s="17">
        <f t="shared" si="10"/>
        <v>0.2152459338</v>
      </c>
      <c r="AE366" s="1">
        <f>value(IFERROR(SUBSTITUTE(SUBSTITUTE(VLOOKUP($A366,'Quarterly Pipeline vs Target Pi'!$A:$V,16,false)," $","")," €",""), "")
)</f>
        <v>379.85</v>
      </c>
      <c r="AF366" s="1">
        <f>value(IFERROR(SUBSTITUTE(SUBSTITUTE(VLOOKUP($A366,'Quarterly Pipeline vs Target Pi'!$A:$V,17,false)," $","")," €",""), "")
)</f>
        <v>383.79</v>
      </c>
      <c r="AG366" s="17">
        <f t="shared" si="11"/>
        <v>0.9897339691</v>
      </c>
      <c r="AH366" s="1">
        <f>value(IFERROR(SUBSTITUTE(SUBSTITUTE(VLOOKUP($A366,'Quarterly Pipeline vs Target Pi'!$A:$V,21,false)," $","")," €",""), "")
)</f>
        <v>201.37</v>
      </c>
      <c r="AI366" s="1">
        <f>value(IFERROR(SUBSTITUTE(SUBSTITUTE(VLOOKUP($A366,'Quarterly Pipeline vs Target Pi'!$A:$V,22,false)," $","")," €",""), "")
)</f>
        <v>383.79</v>
      </c>
      <c r="AJ366" s="17">
        <f t="shared" si="12"/>
        <v>0.5246879804</v>
      </c>
      <c r="AK366" s="1">
        <f t="shared" ref="AK366:AL366" si="745">sum(Y366,AB366,AE366,AH366)</f>
        <v>649.43</v>
      </c>
      <c r="AL366" s="1">
        <f t="shared" si="745"/>
        <v>1022.73</v>
      </c>
      <c r="AM366" s="17">
        <f t="shared" si="14"/>
        <v>0.6349965289</v>
      </c>
      <c r="AN366" s="1">
        <f>value(IFERROR(SUBSTITUTE(SUBSTITUTE(VLOOKUP($A366,'Quarterly Pipeline vs Target Pi'!$A:$AP,26,false)," $","")," €",""), "")
)</f>
        <v>32.96</v>
      </c>
      <c r="AO366" s="1">
        <f>value(IFERROR(SUBSTITUTE(SUBSTITUTE(VLOOKUP($A366,'Quarterly Pipeline vs Target Pi'!$A:$AP,27,false)," $","")," €",""), "")
)</f>
        <v>0</v>
      </c>
      <c r="AP366" s="17" t="str">
        <f t="shared" si="15"/>
        <v/>
      </c>
      <c r="AQ366" s="1">
        <f>value(IFERROR(SUBSTITUTE(SUBSTITUTE(VLOOKUP($A366,'Quarterly Pipeline vs Target Pi'!$A:$AP,31,false)," $","")," €",""), "")
)</f>
        <v>143.25</v>
      </c>
      <c r="AR366" s="1">
        <f>value(IFERROR(SUBSTITUTE(SUBSTITUTE(VLOOKUP($A366,'Quarterly Pipeline vs Target Pi'!$A:$AP,32,false)," $","")," €",""), "")
)</f>
        <v>0</v>
      </c>
      <c r="AS366" s="17" t="str">
        <f t="shared" si="16"/>
        <v/>
      </c>
      <c r="AT366" s="1">
        <f>value(IFERROR(SUBSTITUTE(SUBSTITUTE(VLOOKUP($A366,'Quarterly Pipeline vs Target Pi'!$A:$AP,36,false)," $","")," €",""), "")
)</f>
        <v>0</v>
      </c>
      <c r="AU366" s="1">
        <f>value(IFERROR(SUBSTITUTE(SUBSTITUTE(VLOOKUP($A366,'Quarterly Pipeline vs Target Pi'!$A:$AP,37,false)," $","")," €",""), "")
)</f>
        <v>0</v>
      </c>
      <c r="AV366" s="17" t="str">
        <f t="shared" si="17"/>
        <v/>
      </c>
      <c r="AW366" s="1">
        <f>value(IFERROR(SUBSTITUTE(SUBSTITUTE(VLOOKUP($A366,'Quarterly Pipeline vs Target Pi'!$A:$AP,41,false)," $","")," €",""), "")
)</f>
        <v>0</v>
      </c>
      <c r="AX366" s="1">
        <f>value(IFERROR(SUBSTITUTE(SUBSTITUTE(VLOOKUP($A366,'Quarterly Pipeline vs Target Pi'!$A:$AP,42,false)," $","")," €",""), "")
)</f>
        <v>0</v>
      </c>
      <c r="AY366" s="17" t="str">
        <f t="shared" si="18"/>
        <v/>
      </c>
      <c r="AZ366" s="1">
        <f t="shared" ref="AZ366:BA366" si="746">sum(AN366,AQ366,AT366,AW366)</f>
        <v>176.21</v>
      </c>
      <c r="BA366" s="1">
        <f t="shared" si="746"/>
        <v>0</v>
      </c>
      <c r="BB366" s="17" t="str">
        <f t="shared" si="20"/>
        <v/>
      </c>
    </row>
    <row r="367">
      <c r="A367" s="1" t="str">
        <f>IFERROR(__xludf.DUMMYFUNCTION("""COMPUTED_VALUE"""),"63ea6e9452ad6968805cebb3")</f>
        <v>63ea6e9452ad6968805cebb3</v>
      </c>
      <c r="B367" s="1" t="str">
        <f>IFERROR(__xludf.DUMMYFUNCTION("""COMPUTED_VALUE"""),"rku.it GmbH")</f>
        <v>rku.it GmbH</v>
      </c>
      <c r="C367" s="1" t="str">
        <f>IFERROR(__xludf.DUMMYFUNCTION("""COMPUTED_VALUE"""),"ralf.kloeppels@al-enterprise.com, andreas.grossheimann@al-enterprise.com, katrin.pfeiffer@al-enterprise.com, andre.ramm@al-enterprise.com, sibylle.klopfer@al-enterprise.com, igor.leko@al-enterprise.com")</f>
        <v>ralf.kloeppels@al-enterprise.com, andreas.grossheimann@al-enterprise.com, katrin.pfeiffer@al-enterprise.com, andre.ramm@al-enterprise.com, sibylle.klopfer@al-enterprise.com, igor.leko@al-enterprise.com</v>
      </c>
      <c r="D367" s="1" t="str">
        <f>IFERROR(__xludf.DUMMYFUNCTION("""COMPUTED_VALUE"""),"germany")</f>
        <v>germany</v>
      </c>
      <c r="E367" s="1" t="str">
        <f>IFERROR(__xludf.DUMMYFUNCTION("""COMPUTED_VALUE"""),"DE")</f>
        <v>DE</v>
      </c>
      <c r="F367" s="1"/>
      <c r="G367" s="1" t="str">
        <f>iferror(VLOOKUP(A367,'Business Plan Setup and Accepta'!A:G,6,false),"")</f>
        <v/>
      </c>
      <c r="H367" s="1" t="str">
        <f>iferror(VLOOKUP(A367,'Business Plan Setup and Accepta'!A:G,7,false),"")</f>
        <v/>
      </c>
      <c r="I367" s="17" t="str">
        <f t="shared" si="3"/>
        <v/>
      </c>
      <c r="J367" s="1" t="str">
        <f>IFERROR(VALUE(SUBSTITUTE(VLOOKUP(A367,'Sales IN Revenues vs Sales targ'!A:G,6,false)," $","")), "")
</f>
        <v/>
      </c>
      <c r="K367" s="1" t="str">
        <f>IFERROR(VALUE(SUBSTITUTE(VLOOKUP(A367,'Sales IN Revenues vs Sales targ'!A:G,7,false)," $","")), "")
</f>
        <v/>
      </c>
      <c r="L367" s="17" t="str">
        <f t="shared" si="4"/>
        <v/>
      </c>
      <c r="M367" s="1">
        <f>value(SUBSTITUTE(IFERROR(VLOOKUP(A367,'Certifications achievements vs '!A:G,6,false),""),"#","")
)</f>
        <v>10</v>
      </c>
      <c r="N367" s="1">
        <f>value(SUBSTITUTE(IFERROR(VLOOKUP(A367,'Certifications achievements vs '!A:G,7,false),""),"#","")
)</f>
        <v>52</v>
      </c>
      <c r="O367" s="17">
        <f t="shared" si="5"/>
        <v>0.1923076923</v>
      </c>
      <c r="P367" s="1">
        <f>value(SUBSTITUTE(IFERROR(VLOOKUP(A367,'Communications - Solution Speci'!A:G,6,false),""),"#","")
)</f>
        <v>0</v>
      </c>
      <c r="Q367" s="1">
        <f>value(SUBSTITUTE(IFERROR(VLOOKUP(A367,'Communications - Solution Speci'!A:G,7,false),""),"#","")
)</f>
        <v>0</v>
      </c>
      <c r="R367" s="17" t="str">
        <f t="shared" si="6"/>
        <v/>
      </c>
      <c r="S367" s="1">
        <f>value(SUBSTITUTE(IFERROR(VLOOKUP(A367,'Networking - Solution Specializ'!A:G,6,false),""),"#","")
)</f>
        <v>0</v>
      </c>
      <c r="T367" s="1">
        <f>value(SUBSTITUTE(IFERROR(VLOOKUP(A367,'Networking - Solution Specializ'!A:G,7,false),""),"#","")
)</f>
        <v>0</v>
      </c>
      <c r="U367" s="17" t="str">
        <f t="shared" si="7"/>
        <v/>
      </c>
      <c r="V367" s="1" t="str">
        <f>iferror(vlookup(A367,'Marketing Plan (extract summary'!A:G,6,false),"")</f>
        <v/>
      </c>
      <c r="W367" s="1" t="str">
        <f>iferror(vlookup(A367,'Marketing Plan (extract summary'!A:G,7,false),"")</f>
        <v/>
      </c>
      <c r="X367" s="17" t="str">
        <f t="shared" si="8"/>
        <v/>
      </c>
      <c r="Y367" s="1">
        <f>value(IFERROR(SUBSTITUTE(SUBSTITUTE(VLOOKUP(A367,'Quarterly Pipeline vs Target Pi'!A:G,6,false)," $","")," €",""), "")
)</f>
        <v>0</v>
      </c>
      <c r="Z367" s="1">
        <f>value(IFERROR(SUBSTITUTE(SUBSTITUTE(VLOOKUP(A367,'Quarterly Pipeline vs Target Pi'!A:G,7,false)," $","")," €",""), "")
)</f>
        <v>0</v>
      </c>
      <c r="AA367" s="17" t="str">
        <f t="shared" si="9"/>
        <v/>
      </c>
      <c r="AB367" s="1">
        <f>value(IFERROR(SUBSTITUTE(SUBSTITUTE(VLOOKUP($A367,'Quarterly Pipeline vs Target Pi'!$A:$V,11,false)," $","")," €",""), "")
)</f>
        <v>0</v>
      </c>
      <c r="AC367" s="1">
        <f>value(IFERROR(SUBSTITUTE(SUBSTITUTE(VLOOKUP($A367,'Quarterly Pipeline vs Target Pi'!$A:$V,12,false)," $","")," €",""), "")
)</f>
        <v>0</v>
      </c>
      <c r="AD367" s="17" t="str">
        <f t="shared" si="10"/>
        <v/>
      </c>
      <c r="AE367" s="1">
        <f>value(IFERROR(SUBSTITUTE(SUBSTITUTE(VLOOKUP($A367,'Quarterly Pipeline vs Target Pi'!$A:$V,16,false)," $","")," €",""), "")
)</f>
        <v>0</v>
      </c>
      <c r="AF367" s="1">
        <f>value(IFERROR(SUBSTITUTE(SUBSTITUTE(VLOOKUP($A367,'Quarterly Pipeline vs Target Pi'!$A:$V,17,false)," $","")," €",""), "")
)</f>
        <v>0</v>
      </c>
      <c r="AG367" s="17" t="str">
        <f t="shared" si="11"/>
        <v/>
      </c>
      <c r="AH367" s="1">
        <f>value(IFERROR(SUBSTITUTE(SUBSTITUTE(VLOOKUP($A367,'Quarterly Pipeline vs Target Pi'!$A:$V,21,false)," $","")," €",""), "")
)</f>
        <v>0</v>
      </c>
      <c r="AI367" s="1">
        <f>value(IFERROR(SUBSTITUTE(SUBSTITUTE(VLOOKUP($A367,'Quarterly Pipeline vs Target Pi'!$A:$V,22,false)," $","")," €",""), "")
)</f>
        <v>0</v>
      </c>
      <c r="AJ367" s="17" t="str">
        <f t="shared" si="12"/>
        <v/>
      </c>
      <c r="AK367" s="1">
        <f t="shared" ref="AK367:AL367" si="747">sum(Y367,AB367,AE367,AH367)</f>
        <v>0</v>
      </c>
      <c r="AL367" s="1">
        <f t="shared" si="747"/>
        <v>0</v>
      </c>
      <c r="AM367" s="17" t="str">
        <f t="shared" si="14"/>
        <v/>
      </c>
      <c r="AN367" s="1">
        <f>value(IFERROR(SUBSTITUTE(SUBSTITUTE(VLOOKUP($A367,'Quarterly Pipeline vs Target Pi'!$A:$AP,26,false)," $","")," €",""), "")
)</f>
        <v>0</v>
      </c>
      <c r="AO367" s="1">
        <f>value(IFERROR(SUBSTITUTE(SUBSTITUTE(VLOOKUP($A367,'Quarterly Pipeline vs Target Pi'!$A:$AP,27,false)," $","")," €",""), "")
)</f>
        <v>0</v>
      </c>
      <c r="AP367" s="17" t="str">
        <f t="shared" si="15"/>
        <v/>
      </c>
      <c r="AQ367" s="1">
        <f>value(IFERROR(SUBSTITUTE(SUBSTITUTE(VLOOKUP($A367,'Quarterly Pipeline vs Target Pi'!$A:$AP,31,false)," $","")," €",""), "")
)</f>
        <v>0</v>
      </c>
      <c r="AR367" s="1">
        <f>value(IFERROR(SUBSTITUTE(SUBSTITUTE(VLOOKUP($A367,'Quarterly Pipeline vs Target Pi'!$A:$AP,32,false)," $","")," €",""), "")
)</f>
        <v>0</v>
      </c>
      <c r="AS367" s="17" t="str">
        <f t="shared" si="16"/>
        <v/>
      </c>
      <c r="AT367" s="1">
        <f>value(IFERROR(SUBSTITUTE(SUBSTITUTE(VLOOKUP($A367,'Quarterly Pipeline vs Target Pi'!$A:$AP,36,false)," $","")," €",""), "")
)</f>
        <v>0</v>
      </c>
      <c r="AU367" s="1">
        <f>value(IFERROR(SUBSTITUTE(SUBSTITUTE(VLOOKUP($A367,'Quarterly Pipeline vs Target Pi'!$A:$AP,37,false)," $","")," €",""), "")
)</f>
        <v>0</v>
      </c>
      <c r="AV367" s="17" t="str">
        <f t="shared" si="17"/>
        <v/>
      </c>
      <c r="AW367" s="1">
        <f>value(IFERROR(SUBSTITUTE(SUBSTITUTE(VLOOKUP($A367,'Quarterly Pipeline vs Target Pi'!$A:$AP,41,false)," $","")," €",""), "")
)</f>
        <v>0</v>
      </c>
      <c r="AX367" s="1">
        <f>value(IFERROR(SUBSTITUTE(SUBSTITUTE(VLOOKUP($A367,'Quarterly Pipeline vs Target Pi'!$A:$AP,42,false)," $","")," €",""), "")
)</f>
        <v>0</v>
      </c>
      <c r="AY367" s="17" t="str">
        <f t="shared" si="18"/>
        <v/>
      </c>
      <c r="AZ367" s="1">
        <f t="shared" ref="AZ367:BA367" si="748">sum(AN367,AQ367,AT367,AW367)</f>
        <v>0</v>
      </c>
      <c r="BA367" s="1">
        <f t="shared" si="748"/>
        <v>0</v>
      </c>
      <c r="BB367" s="17" t="str">
        <f t="shared" si="20"/>
        <v/>
      </c>
    </row>
    <row r="368">
      <c r="A368" s="1" t="str">
        <f>IFERROR(__xludf.DUMMYFUNCTION("""COMPUTED_VALUE"""),"63ef9d5c384f27260c1baa3f")</f>
        <v>63ef9d5c384f27260c1baa3f</v>
      </c>
      <c r="B368" s="1" t="str">
        <f>IFERROR(__xludf.DUMMYFUNCTION("""COMPUTED_VALUE"""),"Robert Mattern Communicationslagen GmbH")</f>
        <v>Robert Mattern Communicationslagen GmbH</v>
      </c>
      <c r="C368" s="1" t="str">
        <f>IFERROR(__xludf.DUMMYFUNCTION("""COMPUTED_VALUE"""),"andreas.grossheimann@al-enterprise.com, michael.moog@al-enterprise.com")</f>
        <v>andreas.grossheimann@al-enterprise.com, michael.moog@al-enterprise.com</v>
      </c>
      <c r="D368" s="1" t="str">
        <f>IFERROR(__xludf.DUMMYFUNCTION("""COMPUTED_VALUE"""),"germany")</f>
        <v>germany</v>
      </c>
      <c r="E368" s="1" t="str">
        <f>IFERROR(__xludf.DUMMYFUNCTION("""COMPUTED_VALUE"""),"DE")</f>
        <v>DE</v>
      </c>
      <c r="F368" s="1"/>
      <c r="G368" s="1" t="str">
        <f>iferror(VLOOKUP(A368,'Business Plan Setup and Accepta'!A:G,6,false),"")</f>
        <v/>
      </c>
      <c r="H368" s="1" t="str">
        <f>iferror(VLOOKUP(A368,'Business Plan Setup and Accepta'!A:G,7,false),"")</f>
        <v/>
      </c>
      <c r="I368" s="17" t="str">
        <f t="shared" si="3"/>
        <v/>
      </c>
      <c r="J368" s="1" t="str">
        <f>IFERROR(VALUE(SUBSTITUTE(VLOOKUP(A368,'Sales IN Revenues vs Sales targ'!A:G,6,false)," $","")), "")
</f>
        <v/>
      </c>
      <c r="K368" s="1" t="str">
        <f>IFERROR(VALUE(SUBSTITUTE(VLOOKUP(A368,'Sales IN Revenues vs Sales targ'!A:G,7,false)," $","")), "")
</f>
        <v/>
      </c>
      <c r="L368" s="17" t="str">
        <f t="shared" si="4"/>
        <v/>
      </c>
      <c r="M368" s="1">
        <f>value(SUBSTITUTE(IFERROR(VLOOKUP(A368,'Certifications achievements vs '!A:G,6,false),""),"#","")
)</f>
        <v>0</v>
      </c>
      <c r="N368" s="1">
        <f>value(SUBSTITUTE(IFERROR(VLOOKUP(A368,'Certifications achievements vs '!A:G,7,false),""),"#","")
)</f>
        <v>0</v>
      </c>
      <c r="O368" s="17" t="str">
        <f t="shared" si="5"/>
        <v/>
      </c>
      <c r="P368" s="1">
        <f>value(SUBSTITUTE(IFERROR(VLOOKUP(A368,'Communications - Solution Speci'!A:G,6,false),""),"#","")
)</f>
        <v>0</v>
      </c>
      <c r="Q368" s="1">
        <f>value(SUBSTITUTE(IFERROR(VLOOKUP(A368,'Communications - Solution Speci'!A:G,7,false),""),"#","")
)</f>
        <v>0</v>
      </c>
      <c r="R368" s="17" t="str">
        <f t="shared" si="6"/>
        <v/>
      </c>
      <c r="S368" s="1">
        <f>value(SUBSTITUTE(IFERROR(VLOOKUP(A368,'Networking - Solution Specializ'!A:G,6,false),""),"#","")
)</f>
        <v>0</v>
      </c>
      <c r="T368" s="1">
        <f>value(SUBSTITUTE(IFERROR(VLOOKUP(A368,'Networking - Solution Specializ'!A:G,7,false),""),"#","")
)</f>
        <v>0</v>
      </c>
      <c r="U368" s="17" t="str">
        <f t="shared" si="7"/>
        <v/>
      </c>
      <c r="V368" s="1" t="str">
        <f>iferror(vlookup(A368,'Marketing Plan (extract summary'!A:G,6,false),"")</f>
        <v/>
      </c>
      <c r="W368" s="1" t="str">
        <f>iferror(vlookup(A368,'Marketing Plan (extract summary'!A:G,7,false),"")</f>
        <v/>
      </c>
      <c r="X368" s="17" t="str">
        <f t="shared" si="8"/>
        <v/>
      </c>
      <c r="Y368" s="1">
        <f>value(IFERROR(SUBSTITUTE(SUBSTITUTE(VLOOKUP(A368,'Quarterly Pipeline vs Target Pi'!A:G,6,false)," $","")," €",""), "")
)</f>
        <v>0</v>
      </c>
      <c r="Z368" s="1">
        <f>value(IFERROR(SUBSTITUTE(SUBSTITUTE(VLOOKUP(A368,'Quarterly Pipeline vs Target Pi'!A:G,7,false)," $","")," €",""), "")
)</f>
        <v>0</v>
      </c>
      <c r="AA368" s="17" t="str">
        <f t="shared" si="9"/>
        <v/>
      </c>
      <c r="AB368" s="1">
        <f>value(IFERROR(SUBSTITUTE(SUBSTITUTE(VLOOKUP($A368,'Quarterly Pipeline vs Target Pi'!$A:$V,11,false)," $","")," €",""), "")
)</f>
        <v>0</v>
      </c>
      <c r="AC368" s="1">
        <f>value(IFERROR(SUBSTITUTE(SUBSTITUTE(VLOOKUP($A368,'Quarterly Pipeline vs Target Pi'!$A:$V,12,false)," $","")," €",""), "")
)</f>
        <v>0</v>
      </c>
      <c r="AD368" s="17" t="str">
        <f t="shared" si="10"/>
        <v/>
      </c>
      <c r="AE368" s="1">
        <f>value(IFERROR(SUBSTITUTE(SUBSTITUTE(VLOOKUP($A368,'Quarterly Pipeline vs Target Pi'!$A:$V,16,false)," $","")," €",""), "")
)</f>
        <v>0</v>
      </c>
      <c r="AF368" s="1">
        <f>value(IFERROR(SUBSTITUTE(SUBSTITUTE(VLOOKUP($A368,'Quarterly Pipeline vs Target Pi'!$A:$V,17,false)," $","")," €",""), "")
)</f>
        <v>0</v>
      </c>
      <c r="AG368" s="17" t="str">
        <f t="shared" si="11"/>
        <v/>
      </c>
      <c r="AH368" s="1">
        <f>value(IFERROR(SUBSTITUTE(SUBSTITUTE(VLOOKUP($A368,'Quarterly Pipeline vs Target Pi'!$A:$V,21,false)," $","")," €",""), "")
)</f>
        <v>0</v>
      </c>
      <c r="AI368" s="1">
        <f>value(IFERROR(SUBSTITUTE(SUBSTITUTE(VLOOKUP($A368,'Quarterly Pipeline vs Target Pi'!$A:$V,22,false)," $","")," €",""), "")
)</f>
        <v>0</v>
      </c>
      <c r="AJ368" s="17" t="str">
        <f t="shared" si="12"/>
        <v/>
      </c>
      <c r="AK368" s="1">
        <f t="shared" ref="AK368:AL368" si="749">sum(Y368,AB368,AE368,AH368)</f>
        <v>0</v>
      </c>
      <c r="AL368" s="1">
        <f t="shared" si="749"/>
        <v>0</v>
      </c>
      <c r="AM368" s="17" t="str">
        <f t="shared" si="14"/>
        <v/>
      </c>
      <c r="AN368" s="1">
        <f>value(IFERROR(SUBSTITUTE(SUBSTITUTE(VLOOKUP($A368,'Quarterly Pipeline vs Target Pi'!$A:$AP,26,false)," $","")," €",""), "")
)</f>
        <v>0</v>
      </c>
      <c r="AO368" s="1">
        <f>value(IFERROR(SUBSTITUTE(SUBSTITUTE(VLOOKUP($A368,'Quarterly Pipeline vs Target Pi'!$A:$AP,27,false)," $","")," €",""), "")
)</f>
        <v>0</v>
      </c>
      <c r="AP368" s="17" t="str">
        <f t="shared" si="15"/>
        <v/>
      </c>
      <c r="AQ368" s="1">
        <f>value(IFERROR(SUBSTITUTE(SUBSTITUTE(VLOOKUP($A368,'Quarterly Pipeline vs Target Pi'!$A:$AP,31,false)," $","")," €",""), "")
)</f>
        <v>0</v>
      </c>
      <c r="AR368" s="1">
        <f>value(IFERROR(SUBSTITUTE(SUBSTITUTE(VLOOKUP($A368,'Quarterly Pipeline vs Target Pi'!$A:$AP,32,false)," $","")," €",""), "")
)</f>
        <v>0</v>
      </c>
      <c r="AS368" s="17" t="str">
        <f t="shared" si="16"/>
        <v/>
      </c>
      <c r="AT368" s="1">
        <f>value(IFERROR(SUBSTITUTE(SUBSTITUTE(VLOOKUP($A368,'Quarterly Pipeline vs Target Pi'!$A:$AP,36,false)," $","")," €",""), "")
)</f>
        <v>0</v>
      </c>
      <c r="AU368" s="1">
        <f>value(IFERROR(SUBSTITUTE(SUBSTITUTE(VLOOKUP($A368,'Quarterly Pipeline vs Target Pi'!$A:$AP,37,false)," $","")," €",""), "")
)</f>
        <v>0</v>
      </c>
      <c r="AV368" s="17" t="str">
        <f t="shared" si="17"/>
        <v/>
      </c>
      <c r="AW368" s="1">
        <f>value(IFERROR(SUBSTITUTE(SUBSTITUTE(VLOOKUP($A368,'Quarterly Pipeline vs Target Pi'!$A:$AP,41,false)," $","")," €",""), "")
)</f>
        <v>0</v>
      </c>
      <c r="AX368" s="1">
        <f>value(IFERROR(SUBSTITUTE(SUBSTITUTE(VLOOKUP($A368,'Quarterly Pipeline vs Target Pi'!$A:$AP,42,false)," $","")," €",""), "")
)</f>
        <v>0</v>
      </c>
      <c r="AY368" s="17" t="str">
        <f t="shared" si="18"/>
        <v/>
      </c>
      <c r="AZ368" s="1">
        <f t="shared" ref="AZ368:BA368" si="750">sum(AN368,AQ368,AT368,AW368)</f>
        <v>0</v>
      </c>
      <c r="BA368" s="1">
        <f t="shared" si="750"/>
        <v>0</v>
      </c>
      <c r="BB368" s="17" t="str">
        <f t="shared" si="20"/>
        <v/>
      </c>
    </row>
    <row r="369">
      <c r="A369" s="1" t="str">
        <f>IFERROR(__xludf.DUMMYFUNCTION("""COMPUTED_VALUE"""),"63ef9d5a384f27260c1ba70b")</f>
        <v>63ef9d5a384f27260c1ba70b</v>
      </c>
      <c r="B369" s="1" t="str">
        <f>IFERROR(__xludf.DUMMYFUNCTION("""COMPUTED_VALUE"""),"RT-Netzwerktechnik Inhaber Ralf Theißen")</f>
        <v>RT-Netzwerktechnik Inhaber Ralf Theißen</v>
      </c>
      <c r="C369" s="1" t="str">
        <f>IFERROR(__xludf.DUMMYFUNCTION("""COMPUTED_VALUE"""),"michael.moog@al-enterprise.com")</f>
        <v>michael.moog@al-enterprise.com</v>
      </c>
      <c r="D369" s="1" t="str">
        <f>IFERROR(__xludf.DUMMYFUNCTION("""COMPUTED_VALUE"""),"germany")</f>
        <v>germany</v>
      </c>
      <c r="E369" s="1" t="str">
        <f>IFERROR(__xludf.DUMMYFUNCTION("""COMPUTED_VALUE"""),"DE")</f>
        <v>DE</v>
      </c>
      <c r="F369" s="1"/>
      <c r="G369" s="1" t="str">
        <f>iferror(VLOOKUP(A369,'Business Plan Setup and Accepta'!A:G,6,false),"")</f>
        <v/>
      </c>
      <c r="H369" s="1" t="str">
        <f>iferror(VLOOKUP(A369,'Business Plan Setup and Accepta'!A:G,7,false),"")</f>
        <v/>
      </c>
      <c r="I369" s="17" t="str">
        <f t="shared" si="3"/>
        <v/>
      </c>
      <c r="J369" s="1" t="str">
        <f>IFERROR(VALUE(SUBSTITUTE(VLOOKUP(A369,'Sales IN Revenues vs Sales targ'!A:G,6,false)," $","")), "")
</f>
        <v/>
      </c>
      <c r="K369" s="1" t="str">
        <f>IFERROR(VALUE(SUBSTITUTE(VLOOKUP(A369,'Sales IN Revenues vs Sales targ'!A:G,7,false)," $","")), "")
</f>
        <v/>
      </c>
      <c r="L369" s="17" t="str">
        <f t="shared" si="4"/>
        <v/>
      </c>
      <c r="M369" s="1">
        <f>value(SUBSTITUTE(IFERROR(VLOOKUP(A369,'Certifications achievements vs '!A:G,6,false),""),"#","")
)</f>
        <v>0</v>
      </c>
      <c r="N369" s="1">
        <f>value(SUBSTITUTE(IFERROR(VLOOKUP(A369,'Certifications achievements vs '!A:G,7,false),""),"#","")
)</f>
        <v>0</v>
      </c>
      <c r="O369" s="17" t="str">
        <f t="shared" si="5"/>
        <v/>
      </c>
      <c r="P369" s="1">
        <f>value(SUBSTITUTE(IFERROR(VLOOKUP(A369,'Communications - Solution Speci'!A:G,6,false),""),"#","")
)</f>
        <v>0</v>
      </c>
      <c r="Q369" s="1">
        <f>value(SUBSTITUTE(IFERROR(VLOOKUP(A369,'Communications - Solution Speci'!A:G,7,false),""),"#","")
)</f>
        <v>0</v>
      </c>
      <c r="R369" s="17" t="str">
        <f t="shared" si="6"/>
        <v/>
      </c>
      <c r="S369" s="1">
        <f>value(SUBSTITUTE(IFERROR(VLOOKUP(A369,'Networking - Solution Specializ'!A:G,6,false),""),"#","")
)</f>
        <v>0</v>
      </c>
      <c r="T369" s="1">
        <f>value(SUBSTITUTE(IFERROR(VLOOKUP(A369,'Networking - Solution Specializ'!A:G,7,false),""),"#","")
)</f>
        <v>0</v>
      </c>
      <c r="U369" s="17" t="str">
        <f t="shared" si="7"/>
        <v/>
      </c>
      <c r="V369" s="1" t="str">
        <f>iferror(vlookup(A369,'Marketing Plan (extract summary'!A:G,6,false),"")</f>
        <v/>
      </c>
      <c r="W369" s="1" t="str">
        <f>iferror(vlookup(A369,'Marketing Plan (extract summary'!A:G,7,false),"")</f>
        <v/>
      </c>
      <c r="X369" s="17" t="str">
        <f t="shared" si="8"/>
        <v/>
      </c>
      <c r="Y369" s="1">
        <f>value(IFERROR(SUBSTITUTE(SUBSTITUTE(VLOOKUP(A369,'Quarterly Pipeline vs Target Pi'!A:G,6,false)," $","")," €",""), "")
)</f>
        <v>0</v>
      </c>
      <c r="Z369" s="1">
        <f>value(IFERROR(SUBSTITUTE(SUBSTITUTE(VLOOKUP(A369,'Quarterly Pipeline vs Target Pi'!A:G,7,false)," $","")," €",""), "")
)</f>
        <v>0</v>
      </c>
      <c r="AA369" s="17" t="str">
        <f t="shared" si="9"/>
        <v/>
      </c>
      <c r="AB369" s="1">
        <f>value(IFERROR(SUBSTITUTE(SUBSTITUTE(VLOOKUP($A369,'Quarterly Pipeline vs Target Pi'!$A:$V,11,false)," $","")," €",""), "")
)</f>
        <v>0</v>
      </c>
      <c r="AC369" s="1">
        <f>value(IFERROR(SUBSTITUTE(SUBSTITUTE(VLOOKUP($A369,'Quarterly Pipeline vs Target Pi'!$A:$V,12,false)," $","")," €",""), "")
)</f>
        <v>0</v>
      </c>
      <c r="AD369" s="17" t="str">
        <f t="shared" si="10"/>
        <v/>
      </c>
      <c r="AE369" s="1">
        <f>value(IFERROR(SUBSTITUTE(SUBSTITUTE(VLOOKUP($A369,'Quarterly Pipeline vs Target Pi'!$A:$V,16,false)," $","")," €",""), "")
)</f>
        <v>0</v>
      </c>
      <c r="AF369" s="1">
        <f>value(IFERROR(SUBSTITUTE(SUBSTITUTE(VLOOKUP($A369,'Quarterly Pipeline vs Target Pi'!$A:$V,17,false)," $","")," €",""), "")
)</f>
        <v>0</v>
      </c>
      <c r="AG369" s="17" t="str">
        <f t="shared" si="11"/>
        <v/>
      </c>
      <c r="AH369" s="1">
        <f>value(IFERROR(SUBSTITUTE(SUBSTITUTE(VLOOKUP($A369,'Quarterly Pipeline vs Target Pi'!$A:$V,21,false)," $","")," €",""), "")
)</f>
        <v>0</v>
      </c>
      <c r="AI369" s="1">
        <f>value(IFERROR(SUBSTITUTE(SUBSTITUTE(VLOOKUP($A369,'Quarterly Pipeline vs Target Pi'!$A:$V,22,false)," $","")," €",""), "")
)</f>
        <v>0</v>
      </c>
      <c r="AJ369" s="17" t="str">
        <f t="shared" si="12"/>
        <v/>
      </c>
      <c r="AK369" s="1">
        <f t="shared" ref="AK369:AL369" si="751">sum(Y369,AB369,AE369,AH369)</f>
        <v>0</v>
      </c>
      <c r="AL369" s="1">
        <f t="shared" si="751"/>
        <v>0</v>
      </c>
      <c r="AM369" s="17" t="str">
        <f t="shared" si="14"/>
        <v/>
      </c>
      <c r="AN369" s="1">
        <f>value(IFERROR(SUBSTITUTE(SUBSTITUTE(VLOOKUP($A369,'Quarterly Pipeline vs Target Pi'!$A:$AP,26,false)," $","")," €",""), "")
)</f>
        <v>0</v>
      </c>
      <c r="AO369" s="1">
        <f>value(IFERROR(SUBSTITUTE(SUBSTITUTE(VLOOKUP($A369,'Quarterly Pipeline vs Target Pi'!$A:$AP,27,false)," $","")," €",""), "")
)</f>
        <v>0</v>
      </c>
      <c r="AP369" s="17" t="str">
        <f t="shared" si="15"/>
        <v/>
      </c>
      <c r="AQ369" s="1">
        <f>value(IFERROR(SUBSTITUTE(SUBSTITUTE(VLOOKUP($A369,'Quarterly Pipeline vs Target Pi'!$A:$AP,31,false)," $","")," €",""), "")
)</f>
        <v>0</v>
      </c>
      <c r="AR369" s="1">
        <f>value(IFERROR(SUBSTITUTE(SUBSTITUTE(VLOOKUP($A369,'Quarterly Pipeline vs Target Pi'!$A:$AP,32,false)," $","")," €",""), "")
)</f>
        <v>0</v>
      </c>
      <c r="AS369" s="17" t="str">
        <f t="shared" si="16"/>
        <v/>
      </c>
      <c r="AT369" s="1">
        <f>value(IFERROR(SUBSTITUTE(SUBSTITUTE(VLOOKUP($A369,'Quarterly Pipeline vs Target Pi'!$A:$AP,36,false)," $","")," €",""), "")
)</f>
        <v>0</v>
      </c>
      <c r="AU369" s="1">
        <f>value(IFERROR(SUBSTITUTE(SUBSTITUTE(VLOOKUP($A369,'Quarterly Pipeline vs Target Pi'!$A:$AP,37,false)," $","")," €",""), "")
)</f>
        <v>0</v>
      </c>
      <c r="AV369" s="17" t="str">
        <f t="shared" si="17"/>
        <v/>
      </c>
      <c r="AW369" s="1">
        <f>value(IFERROR(SUBSTITUTE(SUBSTITUTE(VLOOKUP($A369,'Quarterly Pipeline vs Target Pi'!$A:$AP,41,false)," $","")," €",""), "")
)</f>
        <v>0</v>
      </c>
      <c r="AX369" s="1">
        <f>value(IFERROR(SUBSTITUTE(SUBSTITUTE(VLOOKUP($A369,'Quarterly Pipeline vs Target Pi'!$A:$AP,42,false)," $","")," €",""), "")
)</f>
        <v>0</v>
      </c>
      <c r="AY369" s="17" t="str">
        <f t="shared" si="18"/>
        <v/>
      </c>
      <c r="AZ369" s="1">
        <f t="shared" ref="AZ369:BA369" si="752">sum(AN369,AQ369,AT369,AW369)</f>
        <v>0</v>
      </c>
      <c r="BA369" s="1">
        <f t="shared" si="752"/>
        <v>0</v>
      </c>
      <c r="BB369" s="17" t="str">
        <f t="shared" si="20"/>
        <v/>
      </c>
    </row>
    <row r="370">
      <c r="A370" s="1" t="str">
        <f>IFERROR(__xludf.DUMMYFUNCTION("""COMPUTED_VALUE"""),"63ea6e9452ad6968805ceba5")</f>
        <v>63ea6e9452ad6968805ceba5</v>
      </c>
      <c r="B370" s="1" t="str">
        <f>IFERROR(__xludf.DUMMYFUNCTION("""COMPUTED_VALUE"""),"Rud.Otto Meyer Technik GmbH &amp; Co.KG")</f>
        <v>Rud.Otto Meyer Technik GmbH &amp; Co.KG</v>
      </c>
      <c r="C370" s="1" t="str">
        <f>IFERROR(__xludf.DUMMYFUNCTION("""COMPUTED_VALUE"""),"andreas.grossheimann@al-enterprise.com, gunther.hahn@al-enterprise.com, samantha.hunt@al-enterprise.com, katrin.pfeiffer@al-enterprise.com, sibylle.klopfer@al-enterprise.com, igor.leko@al-enterprise.com")</f>
        <v>andreas.grossheimann@al-enterprise.com, gunther.hahn@al-enterprise.com, samantha.hunt@al-enterprise.com, katrin.pfeiffer@al-enterprise.com, sibylle.klopfer@al-enterprise.com, igor.leko@al-enterprise.com</v>
      </c>
      <c r="D370" s="1" t="str">
        <f>IFERROR(__xludf.DUMMYFUNCTION("""COMPUTED_VALUE"""),"germany")</f>
        <v>germany</v>
      </c>
      <c r="E370" s="1" t="str">
        <f>IFERROR(__xludf.DUMMYFUNCTION("""COMPUTED_VALUE"""),"DE")</f>
        <v>DE</v>
      </c>
      <c r="F370" s="1" t="str">
        <f>IFERROR(__xludf.DUMMYFUNCTION("""COMPUTED_VALUE"""),"expert_200")</f>
        <v>expert_200</v>
      </c>
      <c r="G370" s="1">
        <f>iferror(VLOOKUP(A370,'Business Plan Setup and Accepta'!A:G,6,false),"")</f>
        <v>0</v>
      </c>
      <c r="H370" s="1">
        <f>iferror(VLOOKUP(A370,'Business Plan Setup and Accepta'!A:G,7,false),"")</f>
        <v>1</v>
      </c>
      <c r="I370" s="17">
        <f t="shared" si="3"/>
        <v>0</v>
      </c>
      <c r="J370" s="1">
        <f>IFERROR(VALUE(SUBSTITUTE(VLOOKUP(A370,'Sales IN Revenues vs Sales targ'!A:G,6,false)," $","")), "")
</f>
        <v>47.38</v>
      </c>
      <c r="K370" s="1">
        <f>IFERROR(VALUE(SUBSTITUTE(VLOOKUP(A370,'Sales IN Revenues vs Sales targ'!A:G,7,false)," $","")), "")
</f>
        <v>351.3</v>
      </c>
      <c r="L370" s="17">
        <f t="shared" si="4"/>
        <v>0.1348704811</v>
      </c>
      <c r="M370" s="1">
        <f>value(SUBSTITUTE(IFERROR(VLOOKUP(A370,'Certifications achievements vs '!A:G,6,false),""),"#","")
)</f>
        <v>0</v>
      </c>
      <c r="N370" s="1">
        <f>value(SUBSTITUTE(IFERROR(VLOOKUP(A370,'Certifications achievements vs '!A:G,7,false),""),"#","")
)</f>
        <v>0</v>
      </c>
      <c r="O370" s="17" t="str">
        <f t="shared" si="5"/>
        <v/>
      </c>
      <c r="P370" s="1">
        <f>value(SUBSTITUTE(IFERROR(VLOOKUP(A370,'Communications - Solution Speci'!A:G,6,false),""),"#","")
)</f>
        <v>0</v>
      </c>
      <c r="Q370" s="1">
        <f>value(SUBSTITUTE(IFERROR(VLOOKUP(A370,'Communications - Solution Speci'!A:G,7,false),""),"#","")
)</f>
        <v>1</v>
      </c>
      <c r="R370" s="17">
        <f t="shared" si="6"/>
        <v>0</v>
      </c>
      <c r="S370" s="1">
        <f>value(SUBSTITUTE(IFERROR(VLOOKUP(A370,'Networking - Solution Specializ'!A:G,6,false),""),"#","")
)</f>
        <v>0</v>
      </c>
      <c r="T370" s="1">
        <f>value(SUBSTITUTE(IFERROR(VLOOKUP(A370,'Networking - Solution Specializ'!A:G,7,false),""),"#","")
)</f>
        <v>1</v>
      </c>
      <c r="U370" s="17">
        <f t="shared" si="7"/>
        <v>0</v>
      </c>
      <c r="V370" s="1">
        <f>iferror(vlookup(A370,'Marketing Plan (extract summary'!A:G,6,false),"")</f>
        <v>0</v>
      </c>
      <c r="W370" s="1">
        <f>iferror(vlookup(A370,'Marketing Plan (extract summary'!A:G,7,false),"")</f>
        <v>1</v>
      </c>
      <c r="X370" s="17">
        <f t="shared" si="8"/>
        <v>0</v>
      </c>
      <c r="Y370" s="1">
        <f>value(IFERROR(SUBSTITUTE(SUBSTITUTE(VLOOKUP(A370,'Quarterly Pipeline vs Target Pi'!A:G,6,false)," $","")," €",""), "")
)</f>
        <v>12.87</v>
      </c>
      <c r="Z370" s="1">
        <f>value(IFERROR(SUBSTITUTE(SUBSTITUTE(VLOOKUP(A370,'Quarterly Pipeline vs Target Pi'!A:G,7,false)," $","")," €",""), "")
)</f>
        <v>0</v>
      </c>
      <c r="AA370" s="17" t="str">
        <f t="shared" si="9"/>
        <v/>
      </c>
      <c r="AB370" s="1">
        <f>value(IFERROR(SUBSTITUTE(SUBSTITUTE(VLOOKUP($A370,'Quarterly Pipeline vs Target Pi'!$A:$V,11,false)," $","")," €",""), "")
)</f>
        <v>16.72</v>
      </c>
      <c r="AC370" s="1">
        <f>value(IFERROR(SUBSTITUTE(SUBSTITUTE(VLOOKUP($A370,'Quarterly Pipeline vs Target Pi'!$A:$V,12,false)," $","")," €",""), "")
)</f>
        <v>270</v>
      </c>
      <c r="AD370" s="17">
        <f t="shared" si="10"/>
        <v>0.06192592593</v>
      </c>
      <c r="AE370" s="1">
        <f>value(IFERROR(SUBSTITUTE(SUBSTITUTE(VLOOKUP($A370,'Quarterly Pipeline vs Target Pi'!$A:$V,16,false)," $","")," €",""), "")
)</f>
        <v>14.6</v>
      </c>
      <c r="AF370" s="1">
        <f>value(IFERROR(SUBSTITUTE(SUBSTITUTE(VLOOKUP($A370,'Quarterly Pipeline vs Target Pi'!$A:$V,17,false)," $","")," €",""), "")
)</f>
        <v>316.67</v>
      </c>
      <c r="AG370" s="17">
        <f t="shared" si="11"/>
        <v>0.04610477784</v>
      </c>
      <c r="AH370" s="1">
        <f>value(IFERROR(SUBSTITUTE(SUBSTITUTE(VLOOKUP($A370,'Quarterly Pipeline vs Target Pi'!$A:$V,21,false)," $","")," €",""), "")
)</f>
        <v>29</v>
      </c>
      <c r="AI370" s="1">
        <f>value(IFERROR(SUBSTITUTE(SUBSTITUTE(VLOOKUP($A370,'Quarterly Pipeline vs Target Pi'!$A:$V,22,false)," $","")," €",""), "")
)</f>
        <v>317.67</v>
      </c>
      <c r="AJ370" s="17">
        <f t="shared" si="12"/>
        <v>0.09128970315</v>
      </c>
      <c r="AK370" s="1">
        <f t="shared" ref="AK370:AL370" si="753">sum(Y370,AB370,AE370,AH370)</f>
        <v>73.19</v>
      </c>
      <c r="AL370" s="1">
        <f t="shared" si="753"/>
        <v>904.34</v>
      </c>
      <c r="AM370" s="17">
        <f t="shared" si="14"/>
        <v>0.08093195037</v>
      </c>
      <c r="AN370" s="1">
        <f>value(IFERROR(SUBSTITUTE(SUBSTITUTE(VLOOKUP($A370,'Quarterly Pipeline vs Target Pi'!$A:$AP,26,false)," $","")," €",""), "")
)</f>
        <v>0</v>
      </c>
      <c r="AO370" s="1">
        <f>value(IFERROR(SUBSTITUTE(SUBSTITUTE(VLOOKUP($A370,'Quarterly Pipeline vs Target Pi'!$A:$AP,27,false)," $","")," €",""), "")
)</f>
        <v>0</v>
      </c>
      <c r="AP370" s="17" t="str">
        <f t="shared" si="15"/>
        <v/>
      </c>
      <c r="AQ370" s="1">
        <f>value(IFERROR(SUBSTITUTE(SUBSTITUTE(VLOOKUP($A370,'Quarterly Pipeline vs Target Pi'!$A:$AP,31,false)," $","")," €",""), "")
)</f>
        <v>0</v>
      </c>
      <c r="AR370" s="1">
        <f>value(IFERROR(SUBSTITUTE(SUBSTITUTE(VLOOKUP($A370,'Quarterly Pipeline vs Target Pi'!$A:$AP,32,false)," $","")," €",""), "")
)</f>
        <v>0</v>
      </c>
      <c r="AS370" s="17" t="str">
        <f t="shared" si="16"/>
        <v/>
      </c>
      <c r="AT370" s="1">
        <f>value(IFERROR(SUBSTITUTE(SUBSTITUTE(VLOOKUP($A370,'Quarterly Pipeline vs Target Pi'!$A:$AP,36,false)," $","")," €",""), "")
)</f>
        <v>0</v>
      </c>
      <c r="AU370" s="1">
        <f>value(IFERROR(SUBSTITUTE(SUBSTITUTE(VLOOKUP($A370,'Quarterly Pipeline vs Target Pi'!$A:$AP,37,false)," $","")," €",""), "")
)</f>
        <v>0</v>
      </c>
      <c r="AV370" s="17" t="str">
        <f t="shared" si="17"/>
        <v/>
      </c>
      <c r="AW370" s="1">
        <f>value(IFERROR(SUBSTITUTE(SUBSTITUTE(VLOOKUP($A370,'Quarterly Pipeline vs Target Pi'!$A:$AP,41,false)," $","")," €",""), "")
)</f>
        <v>0</v>
      </c>
      <c r="AX370" s="1">
        <f>value(IFERROR(SUBSTITUTE(SUBSTITUTE(VLOOKUP($A370,'Quarterly Pipeline vs Target Pi'!$A:$AP,42,false)," $","")," €",""), "")
)</f>
        <v>0</v>
      </c>
      <c r="AY370" s="17" t="str">
        <f t="shared" si="18"/>
        <v/>
      </c>
      <c r="AZ370" s="1">
        <f t="shared" ref="AZ370:BA370" si="754">sum(AN370,AQ370,AT370,AW370)</f>
        <v>0</v>
      </c>
      <c r="BA370" s="1">
        <f t="shared" si="754"/>
        <v>0</v>
      </c>
      <c r="BB370" s="17" t="str">
        <f t="shared" si="20"/>
        <v/>
      </c>
    </row>
    <row r="371">
      <c r="A371" s="1" t="str">
        <f>IFERROR(__xludf.DUMMYFUNCTION("""COMPUTED_VALUE"""),"63ced841c5c820531c267e6b")</f>
        <v>63ced841c5c820531c267e6b</v>
      </c>
      <c r="B371" s="1" t="str">
        <f>IFERROR(__xludf.DUMMYFUNCTION("""COMPUTED_VALUE"""),"S.S.P. TELECOMMUNICATIONS")</f>
        <v>S.S.P. TELECOMMUNICATIONS</v>
      </c>
      <c r="C371" s="1" t="str">
        <f>IFERROR(__xludf.DUMMYFUNCTION("""COMPUTED_VALUE"""),"margret.moyle@al-enterprise.com, charlotte.holtzer@al-enterprise.com, michael-j.francis@al-enterprise.com, tracy.dupree@al-enterprise.com")</f>
        <v>margret.moyle@al-enterprise.com, charlotte.holtzer@al-enterprise.com, michael-j.francis@al-enterprise.com, tracy.dupree@al-enterprise.com</v>
      </c>
      <c r="D371" s="1" t="str">
        <f>IFERROR(__xludf.DUMMYFUNCTION("""COMPUTED_VALUE"""),"americas")</f>
        <v>americas</v>
      </c>
      <c r="E371" s="1" t="str">
        <f>IFERROR(__xludf.DUMMYFUNCTION("""COMPUTED_VALUE"""),"CA")</f>
        <v>CA</v>
      </c>
      <c r="F371" s="1" t="str">
        <f>IFERROR(__xludf.DUMMYFUNCTION("""COMPUTED_VALUE"""),"expert_1000")</f>
        <v>expert_1000</v>
      </c>
      <c r="G371" s="1">
        <f>iferror(VLOOKUP(A371,'Business Plan Setup and Accepta'!A:G,6,false),"")</f>
        <v>0</v>
      </c>
      <c r="H371" s="1">
        <f>iferror(VLOOKUP(A371,'Business Plan Setup and Accepta'!A:G,7,false),"")</f>
        <v>1</v>
      </c>
      <c r="I371" s="17">
        <f t="shared" si="3"/>
        <v>0</v>
      </c>
      <c r="J371" s="1">
        <f>IFERROR(VALUE(SUBSTITUTE(VLOOKUP(A371,'Sales IN Revenues vs Sales targ'!A:G,6,false)," $","")), "")
</f>
        <v>1282.13</v>
      </c>
      <c r="K371" s="1">
        <f>IFERROR(VALUE(SUBSTITUTE(VLOOKUP(A371,'Sales IN Revenues vs Sales targ'!A:G,7,false)," $","")), "")
</f>
        <v>2800.78</v>
      </c>
      <c r="L371" s="17">
        <f t="shared" si="4"/>
        <v>0.4577760481</v>
      </c>
      <c r="M371" s="1">
        <f>value(SUBSTITUTE(IFERROR(VLOOKUP(A371,'Certifications achievements vs '!A:G,6,false),""),"#","")
)</f>
        <v>143</v>
      </c>
      <c r="N371" s="1">
        <f>value(SUBSTITUTE(IFERROR(VLOOKUP(A371,'Certifications achievements vs '!A:G,7,false),""),"#","")
)</f>
        <v>59</v>
      </c>
      <c r="O371" s="17">
        <f t="shared" si="5"/>
        <v>2.423728814</v>
      </c>
      <c r="P371" s="1">
        <f>value(SUBSTITUTE(IFERROR(VLOOKUP(A371,'Communications - Solution Speci'!A:G,6,false),""),"#","")
)</f>
        <v>1</v>
      </c>
      <c r="Q371" s="1">
        <f>value(SUBSTITUTE(IFERROR(VLOOKUP(A371,'Communications - Solution Speci'!A:G,7,false),""),"#","")
)</f>
        <v>1</v>
      </c>
      <c r="R371" s="17">
        <f t="shared" si="6"/>
        <v>1</v>
      </c>
      <c r="S371" s="1">
        <f>value(SUBSTITUTE(IFERROR(VLOOKUP(A371,'Networking - Solution Specializ'!A:G,6,false),""),"#","")
)</f>
        <v>1</v>
      </c>
      <c r="T371" s="1">
        <f>value(SUBSTITUTE(IFERROR(VLOOKUP(A371,'Networking - Solution Specializ'!A:G,7,false),""),"#","")
)</f>
        <v>1</v>
      </c>
      <c r="U371" s="17">
        <f t="shared" si="7"/>
        <v>1</v>
      </c>
      <c r="V371" s="1">
        <f>iferror(vlookup(A371,'Marketing Plan (extract summary'!A:G,6,false),"")</f>
        <v>0</v>
      </c>
      <c r="W371" s="1">
        <f>iferror(vlookup(A371,'Marketing Plan (extract summary'!A:G,7,false),"")</f>
        <v>1</v>
      </c>
      <c r="X371" s="17">
        <f t="shared" si="8"/>
        <v>0</v>
      </c>
      <c r="Y371" s="1">
        <f>value(IFERROR(SUBSTITUTE(SUBSTITUTE(VLOOKUP(A371,'Quarterly Pipeline vs Target Pi'!A:G,6,false)," $","")," €",""), "")
)</f>
        <v>19.17</v>
      </c>
      <c r="Z371" s="1">
        <f>value(IFERROR(SUBSTITUTE(SUBSTITUTE(VLOOKUP(A371,'Quarterly Pipeline vs Target Pi'!A:G,7,false)," $","")," €",""), "")
)</f>
        <v>0</v>
      </c>
      <c r="AA371" s="17" t="str">
        <f t="shared" si="9"/>
        <v/>
      </c>
      <c r="AB371" s="1">
        <f>value(IFERROR(SUBSTITUTE(SUBSTITUTE(VLOOKUP($A371,'Quarterly Pipeline vs Target Pi'!$A:$V,11,false)," $","")," €",""), "")
)</f>
        <v>13.19</v>
      </c>
      <c r="AC371" s="1">
        <f>value(IFERROR(SUBSTITUTE(SUBSTITUTE(VLOOKUP($A371,'Quarterly Pipeline vs Target Pi'!$A:$V,12,false)," $","")," €",""), "")
)</f>
        <v>2336.66</v>
      </c>
      <c r="AD371" s="17">
        <f t="shared" si="10"/>
        <v>0.005644809258</v>
      </c>
      <c r="AE371" s="1">
        <f>value(IFERROR(SUBSTITUTE(SUBSTITUTE(VLOOKUP($A371,'Quarterly Pipeline vs Target Pi'!$A:$V,16,false)," $","")," €",""), "")
)</f>
        <v>6370.78</v>
      </c>
      <c r="AF371" s="1">
        <f>value(IFERROR(SUBSTITUTE(SUBSTITUTE(VLOOKUP($A371,'Quarterly Pipeline vs Target Pi'!$A:$V,17,false)," $","")," €",""), "")
)</f>
        <v>1400</v>
      </c>
      <c r="AG371" s="17">
        <f t="shared" si="11"/>
        <v>4.550557143</v>
      </c>
      <c r="AH371" s="1">
        <f>value(IFERROR(SUBSTITUTE(SUBSTITUTE(VLOOKUP($A371,'Quarterly Pipeline vs Target Pi'!$A:$V,21,false)," $","")," €",""), "")
)</f>
        <v>280.83</v>
      </c>
      <c r="AI371" s="1">
        <f>value(IFERROR(SUBSTITUTE(SUBSTITUTE(VLOOKUP($A371,'Quarterly Pipeline vs Target Pi'!$A:$V,22,false)," $","")," €",""), "")
)</f>
        <v>1716.67</v>
      </c>
      <c r="AJ371" s="17">
        <f t="shared" si="12"/>
        <v>0.1635899736</v>
      </c>
      <c r="AK371" s="1">
        <f t="shared" ref="AK371:AL371" si="755">sum(Y371,AB371,AE371,AH371)</f>
        <v>6683.97</v>
      </c>
      <c r="AL371" s="1">
        <f t="shared" si="755"/>
        <v>5453.33</v>
      </c>
      <c r="AM371" s="17">
        <f t="shared" si="14"/>
        <v>1.22566762</v>
      </c>
      <c r="AN371" s="1">
        <f>value(IFERROR(SUBSTITUTE(SUBSTITUTE(VLOOKUP($A371,'Quarterly Pipeline vs Target Pi'!$A:$AP,26,false)," $","")," €",""), "")
)</f>
        <v>186.71</v>
      </c>
      <c r="AO371" s="1">
        <f>value(IFERROR(SUBSTITUTE(SUBSTITUTE(VLOOKUP($A371,'Quarterly Pipeline vs Target Pi'!$A:$AP,27,false)," $","")," €",""), "")
)</f>
        <v>0</v>
      </c>
      <c r="AP371" s="17" t="str">
        <f t="shared" si="15"/>
        <v/>
      </c>
      <c r="AQ371" s="1">
        <f>value(IFERROR(SUBSTITUTE(SUBSTITUTE(VLOOKUP($A371,'Quarterly Pipeline vs Target Pi'!$A:$AP,31,false)," $","")," €",""), "")
)</f>
        <v>125.66</v>
      </c>
      <c r="AR371" s="1">
        <f>value(IFERROR(SUBSTITUTE(SUBSTITUTE(VLOOKUP($A371,'Quarterly Pipeline vs Target Pi'!$A:$AP,32,false)," $","")," €",""), "")
)</f>
        <v>0</v>
      </c>
      <c r="AS371" s="17" t="str">
        <f t="shared" si="16"/>
        <v/>
      </c>
      <c r="AT371" s="1">
        <f>value(IFERROR(SUBSTITUTE(SUBSTITUTE(VLOOKUP($A371,'Quarterly Pipeline vs Target Pi'!$A:$AP,36,false)," $","")," €",""), "")
)</f>
        <v>0.38</v>
      </c>
      <c r="AU371" s="1">
        <f>value(IFERROR(SUBSTITUTE(SUBSTITUTE(VLOOKUP($A371,'Quarterly Pipeline vs Target Pi'!$A:$AP,37,false)," $","")," €",""), "")
)</f>
        <v>0</v>
      </c>
      <c r="AV371" s="17" t="str">
        <f t="shared" si="17"/>
        <v/>
      </c>
      <c r="AW371" s="1">
        <f>value(IFERROR(SUBSTITUTE(SUBSTITUTE(VLOOKUP($A371,'Quarterly Pipeline vs Target Pi'!$A:$AP,41,false)," $","")," €",""), "")
)</f>
        <v>15.82</v>
      </c>
      <c r="AX371" s="1">
        <f>value(IFERROR(SUBSTITUTE(SUBSTITUTE(VLOOKUP($A371,'Quarterly Pipeline vs Target Pi'!$A:$AP,42,false)," $","")," €",""), "")
)</f>
        <v>0</v>
      </c>
      <c r="AY371" s="17" t="str">
        <f t="shared" si="18"/>
        <v/>
      </c>
      <c r="AZ371" s="1">
        <f t="shared" ref="AZ371:BA371" si="756">sum(AN371,AQ371,AT371,AW371)</f>
        <v>328.57</v>
      </c>
      <c r="BA371" s="1">
        <f t="shared" si="756"/>
        <v>0</v>
      </c>
      <c r="BB371" s="17" t="str">
        <f t="shared" si="20"/>
        <v/>
      </c>
    </row>
    <row r="372">
      <c r="A372" s="1" t="str">
        <f>IFERROR(__xludf.DUMMYFUNCTION("""COMPUTED_VALUE"""),"63ef9d60384f27260c1bb0ad")</f>
        <v>63ef9d60384f27260c1bb0ad</v>
      </c>
      <c r="B372" s="1" t="str">
        <f>IFERROR(__xludf.DUMMYFUNCTION("""COMPUTED_VALUE"""),"Sampol Comunicaciones, S.L.")</f>
        <v>Sampol Comunicaciones, S.L.</v>
      </c>
      <c r="C372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372" s="1" t="str">
        <f>IFERROR(__xludf.DUMMYFUNCTION("""COMPUTED_VALUE"""),"emea")</f>
        <v>emea</v>
      </c>
      <c r="E372" s="1" t="str">
        <f>IFERROR(__xludf.DUMMYFUNCTION("""COMPUTED_VALUE"""),"ES")</f>
        <v>ES</v>
      </c>
      <c r="F372" s="1"/>
      <c r="G372" s="1" t="str">
        <f>iferror(VLOOKUP(A372,'Business Plan Setup and Accepta'!A:G,6,false),"")</f>
        <v/>
      </c>
      <c r="H372" s="1" t="str">
        <f>iferror(VLOOKUP(A372,'Business Plan Setup and Accepta'!A:G,7,false),"")</f>
        <v/>
      </c>
      <c r="I372" s="17" t="str">
        <f t="shared" si="3"/>
        <v/>
      </c>
      <c r="J372" s="1" t="str">
        <f>IFERROR(VALUE(SUBSTITUTE(VLOOKUP(A372,'Sales IN Revenues vs Sales targ'!A:G,6,false)," $","")), "")
</f>
        <v/>
      </c>
      <c r="K372" s="1" t="str">
        <f>IFERROR(VALUE(SUBSTITUTE(VLOOKUP(A372,'Sales IN Revenues vs Sales targ'!A:G,7,false)," $","")), "")
</f>
        <v/>
      </c>
      <c r="L372" s="17" t="str">
        <f t="shared" si="4"/>
        <v/>
      </c>
      <c r="M372" s="1">
        <f>value(SUBSTITUTE(IFERROR(VLOOKUP(A372,'Certifications achievements vs '!A:G,6,false),""),"#","")
)</f>
        <v>0</v>
      </c>
      <c r="N372" s="1">
        <f>value(SUBSTITUTE(IFERROR(VLOOKUP(A372,'Certifications achievements vs '!A:G,7,false),""),"#","")
)</f>
        <v>0</v>
      </c>
      <c r="O372" s="17" t="str">
        <f t="shared" si="5"/>
        <v/>
      </c>
      <c r="P372" s="1">
        <f>value(SUBSTITUTE(IFERROR(VLOOKUP(A372,'Communications - Solution Speci'!A:G,6,false),""),"#","")
)</f>
        <v>0</v>
      </c>
      <c r="Q372" s="1">
        <f>value(SUBSTITUTE(IFERROR(VLOOKUP(A372,'Communications - Solution Speci'!A:G,7,false),""),"#","")
)</f>
        <v>0</v>
      </c>
      <c r="R372" s="17" t="str">
        <f t="shared" si="6"/>
        <v/>
      </c>
      <c r="S372" s="1">
        <f>value(SUBSTITUTE(IFERROR(VLOOKUP(A372,'Networking - Solution Specializ'!A:G,6,false),""),"#","")
)</f>
        <v>0</v>
      </c>
      <c r="T372" s="1">
        <f>value(SUBSTITUTE(IFERROR(VLOOKUP(A372,'Networking - Solution Specializ'!A:G,7,false),""),"#","")
)</f>
        <v>0</v>
      </c>
      <c r="U372" s="17" t="str">
        <f t="shared" si="7"/>
        <v/>
      </c>
      <c r="V372" s="1" t="str">
        <f>iferror(vlookup(A372,'Marketing Plan (extract summary'!A:G,6,false),"")</f>
        <v/>
      </c>
      <c r="W372" s="1" t="str">
        <f>iferror(vlookup(A372,'Marketing Plan (extract summary'!A:G,7,false),"")</f>
        <v/>
      </c>
      <c r="X372" s="17" t="str">
        <f t="shared" si="8"/>
        <v/>
      </c>
      <c r="Y372" s="1">
        <f>value(IFERROR(SUBSTITUTE(SUBSTITUTE(VLOOKUP(A372,'Quarterly Pipeline vs Target Pi'!A:G,6,false)," $","")," €",""), "")
)</f>
        <v>0</v>
      </c>
      <c r="Z372" s="1">
        <f>value(IFERROR(SUBSTITUTE(SUBSTITUTE(VLOOKUP(A372,'Quarterly Pipeline vs Target Pi'!A:G,7,false)," $","")," €",""), "")
)</f>
        <v>0</v>
      </c>
      <c r="AA372" s="17" t="str">
        <f t="shared" si="9"/>
        <v/>
      </c>
      <c r="AB372" s="1">
        <f>value(IFERROR(SUBSTITUTE(SUBSTITUTE(VLOOKUP($A372,'Quarterly Pipeline vs Target Pi'!$A:$V,11,false)," $","")," €",""), "")
)</f>
        <v>0</v>
      </c>
      <c r="AC372" s="1">
        <f>value(IFERROR(SUBSTITUTE(SUBSTITUTE(VLOOKUP($A372,'Quarterly Pipeline vs Target Pi'!$A:$V,12,false)," $","")," €",""), "")
)</f>
        <v>0</v>
      </c>
      <c r="AD372" s="17" t="str">
        <f t="shared" si="10"/>
        <v/>
      </c>
      <c r="AE372" s="1">
        <f>value(IFERROR(SUBSTITUTE(SUBSTITUTE(VLOOKUP($A372,'Quarterly Pipeline vs Target Pi'!$A:$V,16,false)," $","")," €",""), "")
)</f>
        <v>0</v>
      </c>
      <c r="AF372" s="1">
        <f>value(IFERROR(SUBSTITUTE(SUBSTITUTE(VLOOKUP($A372,'Quarterly Pipeline vs Target Pi'!$A:$V,17,false)," $","")," €",""), "")
)</f>
        <v>0</v>
      </c>
      <c r="AG372" s="17" t="str">
        <f t="shared" si="11"/>
        <v/>
      </c>
      <c r="AH372" s="1">
        <f>value(IFERROR(SUBSTITUTE(SUBSTITUTE(VLOOKUP($A372,'Quarterly Pipeline vs Target Pi'!$A:$V,21,false)," $","")," €",""), "")
)</f>
        <v>0</v>
      </c>
      <c r="AI372" s="1">
        <f>value(IFERROR(SUBSTITUTE(SUBSTITUTE(VLOOKUP($A372,'Quarterly Pipeline vs Target Pi'!$A:$V,22,false)," $","")," €",""), "")
)</f>
        <v>0</v>
      </c>
      <c r="AJ372" s="17" t="str">
        <f t="shared" si="12"/>
        <v/>
      </c>
      <c r="AK372" s="1">
        <f t="shared" ref="AK372:AL372" si="757">sum(Y372,AB372,AE372,AH372)</f>
        <v>0</v>
      </c>
      <c r="AL372" s="1">
        <f t="shared" si="757"/>
        <v>0</v>
      </c>
      <c r="AM372" s="17" t="str">
        <f t="shared" si="14"/>
        <v/>
      </c>
      <c r="AN372" s="1">
        <f>value(IFERROR(SUBSTITUTE(SUBSTITUTE(VLOOKUP($A372,'Quarterly Pipeline vs Target Pi'!$A:$AP,26,false)," $","")," €",""), "")
)</f>
        <v>0</v>
      </c>
      <c r="AO372" s="1">
        <f>value(IFERROR(SUBSTITUTE(SUBSTITUTE(VLOOKUP($A372,'Quarterly Pipeline vs Target Pi'!$A:$AP,27,false)," $","")," €",""), "")
)</f>
        <v>0</v>
      </c>
      <c r="AP372" s="17" t="str">
        <f t="shared" si="15"/>
        <v/>
      </c>
      <c r="AQ372" s="1">
        <f>value(IFERROR(SUBSTITUTE(SUBSTITUTE(VLOOKUP($A372,'Quarterly Pipeline vs Target Pi'!$A:$AP,31,false)," $","")," €",""), "")
)</f>
        <v>0</v>
      </c>
      <c r="AR372" s="1">
        <f>value(IFERROR(SUBSTITUTE(SUBSTITUTE(VLOOKUP($A372,'Quarterly Pipeline vs Target Pi'!$A:$AP,32,false)," $","")," €",""), "")
)</f>
        <v>0</v>
      </c>
      <c r="AS372" s="17" t="str">
        <f t="shared" si="16"/>
        <v/>
      </c>
      <c r="AT372" s="1">
        <f>value(IFERROR(SUBSTITUTE(SUBSTITUTE(VLOOKUP($A372,'Quarterly Pipeline vs Target Pi'!$A:$AP,36,false)," $","")," €",""), "")
)</f>
        <v>0</v>
      </c>
      <c r="AU372" s="1">
        <f>value(IFERROR(SUBSTITUTE(SUBSTITUTE(VLOOKUP($A372,'Quarterly Pipeline vs Target Pi'!$A:$AP,37,false)," $","")," €",""), "")
)</f>
        <v>0</v>
      </c>
      <c r="AV372" s="17" t="str">
        <f t="shared" si="17"/>
        <v/>
      </c>
      <c r="AW372" s="1">
        <f>value(IFERROR(SUBSTITUTE(SUBSTITUTE(VLOOKUP($A372,'Quarterly Pipeline vs Target Pi'!$A:$AP,41,false)," $","")," €",""), "")
)</f>
        <v>0</v>
      </c>
      <c r="AX372" s="1">
        <f>value(IFERROR(SUBSTITUTE(SUBSTITUTE(VLOOKUP($A372,'Quarterly Pipeline vs Target Pi'!$A:$AP,42,false)," $","")," €",""), "")
)</f>
        <v>0</v>
      </c>
      <c r="AY372" s="17" t="str">
        <f t="shared" si="18"/>
        <v/>
      </c>
      <c r="AZ372" s="1">
        <f t="shared" ref="AZ372:BA372" si="758">sum(AN372,AQ372,AT372,AW372)</f>
        <v>0</v>
      </c>
      <c r="BA372" s="1">
        <f t="shared" si="758"/>
        <v>0</v>
      </c>
      <c r="BB372" s="17" t="str">
        <f t="shared" si="20"/>
        <v/>
      </c>
    </row>
    <row r="373">
      <c r="A373" s="1" t="str">
        <f>IFERROR(__xludf.DUMMYFUNCTION("""COMPUTED_VALUE"""),"63ced849c5c820531c268e3d")</f>
        <v>63ced849c5c820531c268e3d</v>
      </c>
      <c r="B373" s="1" t="str">
        <f>IFERROR(__xludf.DUMMYFUNCTION("""COMPUTED_VALUE"""),"Scansource Brasil")</f>
        <v>Scansource Brasil</v>
      </c>
      <c r="C373" s="1" t="str">
        <f>IFERROR(__xludf.DUMMYFUNCTION("""COMPUTED_VALUE"""),"sinclair.fidelis@al-enterprise.com")</f>
        <v>sinclair.fidelis@al-enterprise.com</v>
      </c>
      <c r="D373" s="1" t="str">
        <f>IFERROR(__xludf.DUMMYFUNCTION("""COMPUTED_VALUE"""),"americas")</f>
        <v>americas</v>
      </c>
      <c r="E373" s="1" t="str">
        <f>IFERROR(__xludf.DUMMYFUNCTION("""COMPUTED_VALUE"""),"BR")</f>
        <v>BR</v>
      </c>
      <c r="F373" s="1"/>
      <c r="G373" s="1" t="str">
        <f>iferror(VLOOKUP(A373,'Business Plan Setup and Accepta'!A:G,6,false),"")</f>
        <v/>
      </c>
      <c r="H373" s="1" t="str">
        <f>iferror(VLOOKUP(A373,'Business Plan Setup and Accepta'!A:G,7,false),"")</f>
        <v/>
      </c>
      <c r="I373" s="17" t="str">
        <f t="shared" si="3"/>
        <v/>
      </c>
      <c r="J373" s="1" t="str">
        <f>IFERROR(VALUE(SUBSTITUTE(VLOOKUP(A373,'Sales IN Revenues vs Sales targ'!A:G,6,false)," $","")), "")
</f>
        <v/>
      </c>
      <c r="K373" s="1" t="str">
        <f>IFERROR(VALUE(SUBSTITUTE(VLOOKUP(A373,'Sales IN Revenues vs Sales targ'!A:G,7,false)," $","")), "")
</f>
        <v/>
      </c>
      <c r="L373" s="17" t="str">
        <f t="shared" si="4"/>
        <v/>
      </c>
      <c r="M373" s="1">
        <f>value(SUBSTITUTE(IFERROR(VLOOKUP(A373,'Certifications achievements vs '!A:G,6,false),""),"#","")
)</f>
        <v>0</v>
      </c>
      <c r="N373" s="1">
        <f>value(SUBSTITUTE(IFERROR(VLOOKUP(A373,'Certifications achievements vs '!A:G,7,false),""),"#","")
)</f>
        <v>0</v>
      </c>
      <c r="O373" s="17" t="str">
        <f t="shared" si="5"/>
        <v/>
      </c>
      <c r="P373" s="1">
        <f>value(SUBSTITUTE(IFERROR(VLOOKUP(A373,'Communications - Solution Speci'!A:G,6,false),""),"#","")
)</f>
        <v>0</v>
      </c>
      <c r="Q373" s="1">
        <f>value(SUBSTITUTE(IFERROR(VLOOKUP(A373,'Communications - Solution Speci'!A:G,7,false),""),"#","")
)</f>
        <v>0</v>
      </c>
      <c r="R373" s="17" t="str">
        <f t="shared" si="6"/>
        <v/>
      </c>
      <c r="S373" s="1">
        <f>value(SUBSTITUTE(IFERROR(VLOOKUP(A373,'Networking - Solution Specializ'!A:G,6,false),""),"#","")
)</f>
        <v>0</v>
      </c>
      <c r="T373" s="1">
        <f>value(SUBSTITUTE(IFERROR(VLOOKUP(A373,'Networking - Solution Specializ'!A:G,7,false),""),"#","")
)</f>
        <v>0</v>
      </c>
      <c r="U373" s="17" t="str">
        <f t="shared" si="7"/>
        <v/>
      </c>
      <c r="V373" s="1" t="str">
        <f>iferror(vlookup(A373,'Marketing Plan (extract summary'!A:G,6,false),"")</f>
        <v/>
      </c>
      <c r="W373" s="1" t="str">
        <f>iferror(vlookup(A373,'Marketing Plan (extract summary'!A:G,7,false),"")</f>
        <v/>
      </c>
      <c r="X373" s="17" t="str">
        <f t="shared" si="8"/>
        <v/>
      </c>
      <c r="Y373" s="1">
        <f>value(IFERROR(SUBSTITUTE(SUBSTITUTE(VLOOKUP(A373,'Quarterly Pipeline vs Target Pi'!A:G,6,false)," $","")," €",""), "")
)</f>
        <v>0</v>
      </c>
      <c r="Z373" s="1">
        <f>value(IFERROR(SUBSTITUTE(SUBSTITUTE(VLOOKUP(A373,'Quarterly Pipeline vs Target Pi'!A:G,7,false)," $","")," €",""), "")
)</f>
        <v>0</v>
      </c>
      <c r="AA373" s="17" t="str">
        <f t="shared" si="9"/>
        <v/>
      </c>
      <c r="AB373" s="1">
        <f>value(IFERROR(SUBSTITUTE(SUBSTITUTE(VLOOKUP($A373,'Quarterly Pipeline vs Target Pi'!$A:$V,11,false)," $","")," €",""), "")
)</f>
        <v>0</v>
      </c>
      <c r="AC373" s="1">
        <f>value(IFERROR(SUBSTITUTE(SUBSTITUTE(VLOOKUP($A373,'Quarterly Pipeline vs Target Pi'!$A:$V,12,false)," $","")," €",""), "")
)</f>
        <v>0</v>
      </c>
      <c r="AD373" s="17" t="str">
        <f t="shared" si="10"/>
        <v/>
      </c>
      <c r="AE373" s="1">
        <f>value(IFERROR(SUBSTITUTE(SUBSTITUTE(VLOOKUP($A373,'Quarterly Pipeline vs Target Pi'!$A:$V,16,false)," $","")," €",""), "")
)</f>
        <v>0</v>
      </c>
      <c r="AF373" s="1">
        <f>value(IFERROR(SUBSTITUTE(SUBSTITUTE(VLOOKUP($A373,'Quarterly Pipeline vs Target Pi'!$A:$V,17,false)," $","")," €",""), "")
)</f>
        <v>0</v>
      </c>
      <c r="AG373" s="17" t="str">
        <f t="shared" si="11"/>
        <v/>
      </c>
      <c r="AH373" s="1">
        <f>value(IFERROR(SUBSTITUTE(SUBSTITUTE(VLOOKUP($A373,'Quarterly Pipeline vs Target Pi'!$A:$V,21,false)," $","")," €",""), "")
)</f>
        <v>0</v>
      </c>
      <c r="AI373" s="1">
        <f>value(IFERROR(SUBSTITUTE(SUBSTITUTE(VLOOKUP($A373,'Quarterly Pipeline vs Target Pi'!$A:$V,22,false)," $","")," €",""), "")
)</f>
        <v>0</v>
      </c>
      <c r="AJ373" s="17" t="str">
        <f t="shared" si="12"/>
        <v/>
      </c>
      <c r="AK373" s="1">
        <f t="shared" ref="AK373:AL373" si="759">sum(Y373,AB373,AE373,AH373)</f>
        <v>0</v>
      </c>
      <c r="AL373" s="1">
        <f t="shared" si="759"/>
        <v>0</v>
      </c>
      <c r="AM373" s="17" t="str">
        <f t="shared" si="14"/>
        <v/>
      </c>
      <c r="AN373" s="1">
        <f>value(IFERROR(SUBSTITUTE(SUBSTITUTE(VLOOKUP($A373,'Quarterly Pipeline vs Target Pi'!$A:$AP,26,false)," $","")," €",""), "")
)</f>
        <v>0</v>
      </c>
      <c r="AO373" s="1">
        <f>value(IFERROR(SUBSTITUTE(SUBSTITUTE(VLOOKUP($A373,'Quarterly Pipeline vs Target Pi'!$A:$AP,27,false)," $","")," €",""), "")
)</f>
        <v>0</v>
      </c>
      <c r="AP373" s="17" t="str">
        <f t="shared" si="15"/>
        <v/>
      </c>
      <c r="AQ373" s="1">
        <f>value(IFERROR(SUBSTITUTE(SUBSTITUTE(VLOOKUP($A373,'Quarterly Pipeline vs Target Pi'!$A:$AP,31,false)," $","")," €",""), "")
)</f>
        <v>0</v>
      </c>
      <c r="AR373" s="1">
        <f>value(IFERROR(SUBSTITUTE(SUBSTITUTE(VLOOKUP($A373,'Quarterly Pipeline vs Target Pi'!$A:$AP,32,false)," $","")," €",""), "")
)</f>
        <v>0</v>
      </c>
      <c r="AS373" s="17" t="str">
        <f t="shared" si="16"/>
        <v/>
      </c>
      <c r="AT373" s="1">
        <f>value(IFERROR(SUBSTITUTE(SUBSTITUTE(VLOOKUP($A373,'Quarterly Pipeline vs Target Pi'!$A:$AP,36,false)," $","")," €",""), "")
)</f>
        <v>0</v>
      </c>
      <c r="AU373" s="1">
        <f>value(IFERROR(SUBSTITUTE(SUBSTITUTE(VLOOKUP($A373,'Quarterly Pipeline vs Target Pi'!$A:$AP,37,false)," $","")," €",""), "")
)</f>
        <v>0</v>
      </c>
      <c r="AV373" s="17" t="str">
        <f t="shared" si="17"/>
        <v/>
      </c>
      <c r="AW373" s="1">
        <f>value(IFERROR(SUBSTITUTE(SUBSTITUTE(VLOOKUP($A373,'Quarterly Pipeline vs Target Pi'!$A:$AP,41,false)," $","")," €",""), "")
)</f>
        <v>0</v>
      </c>
      <c r="AX373" s="1">
        <f>value(IFERROR(SUBSTITUTE(SUBSTITUTE(VLOOKUP($A373,'Quarterly Pipeline vs Target Pi'!$A:$AP,42,false)," $","")," €",""), "")
)</f>
        <v>0</v>
      </c>
      <c r="AY373" s="17" t="str">
        <f t="shared" si="18"/>
        <v/>
      </c>
      <c r="AZ373" s="1">
        <f t="shared" ref="AZ373:BA373" si="760">sum(AN373,AQ373,AT373,AW373)</f>
        <v>0</v>
      </c>
      <c r="BA373" s="1">
        <f t="shared" si="760"/>
        <v>0</v>
      </c>
      <c r="BB373" s="17" t="str">
        <f t="shared" si="20"/>
        <v/>
      </c>
    </row>
    <row r="374">
      <c r="A374" s="1" t="str">
        <f>IFERROR(__xludf.DUMMYFUNCTION("""COMPUTED_VALUE"""),"63ea6e9552ad6968805ced9d")</f>
        <v>63ea6e9552ad6968805ced9d</v>
      </c>
      <c r="B374" s="1" t="str">
        <f>IFERROR(__xludf.DUMMYFUNCTION("""COMPUTED_VALUE"""),"Scanvest Deutschland GmbH")</f>
        <v>Scanvest Deutschland GmbH</v>
      </c>
      <c r="C374" s="1" t="str">
        <f>IFERROR(__xludf.DUMMYFUNCTION("""COMPUTED_VALUE"""),"andreas.grossheimann@al-enterprise.com, andre.ramm@al-enterprise.com")</f>
        <v>andreas.grossheimann@al-enterprise.com, andre.ramm@al-enterprise.com</v>
      </c>
      <c r="D374" s="1" t="str">
        <f>IFERROR(__xludf.DUMMYFUNCTION("""COMPUTED_VALUE"""),"germany")</f>
        <v>germany</v>
      </c>
      <c r="E374" s="1" t="str">
        <f>IFERROR(__xludf.DUMMYFUNCTION("""COMPUTED_VALUE"""),"DE")</f>
        <v>DE</v>
      </c>
      <c r="F374" s="1"/>
      <c r="G374" s="1" t="str">
        <f>iferror(VLOOKUP(A374,'Business Plan Setup and Accepta'!A:G,6,false),"")</f>
        <v/>
      </c>
      <c r="H374" s="1" t="str">
        <f>iferror(VLOOKUP(A374,'Business Plan Setup and Accepta'!A:G,7,false),"")</f>
        <v/>
      </c>
      <c r="I374" s="17" t="str">
        <f t="shared" si="3"/>
        <v/>
      </c>
      <c r="J374" s="1" t="str">
        <f>IFERROR(VALUE(SUBSTITUTE(VLOOKUP(A374,'Sales IN Revenues vs Sales targ'!A:G,6,false)," $","")), "")
</f>
        <v/>
      </c>
      <c r="K374" s="1" t="str">
        <f>IFERROR(VALUE(SUBSTITUTE(VLOOKUP(A374,'Sales IN Revenues vs Sales targ'!A:G,7,false)," $","")), "")
</f>
        <v/>
      </c>
      <c r="L374" s="17" t="str">
        <f t="shared" si="4"/>
        <v/>
      </c>
      <c r="M374" s="1">
        <f>value(SUBSTITUTE(IFERROR(VLOOKUP(A374,'Certifications achievements vs '!A:G,6,false),""),"#","")
)</f>
        <v>0</v>
      </c>
      <c r="N374" s="1">
        <f>value(SUBSTITUTE(IFERROR(VLOOKUP(A374,'Certifications achievements vs '!A:G,7,false),""),"#","")
)</f>
        <v>0</v>
      </c>
      <c r="O374" s="17" t="str">
        <f t="shared" si="5"/>
        <v/>
      </c>
      <c r="P374" s="1">
        <f>value(SUBSTITUTE(IFERROR(VLOOKUP(A374,'Communications - Solution Speci'!A:G,6,false),""),"#","")
)</f>
        <v>0</v>
      </c>
      <c r="Q374" s="1">
        <f>value(SUBSTITUTE(IFERROR(VLOOKUP(A374,'Communications - Solution Speci'!A:G,7,false),""),"#","")
)</f>
        <v>0</v>
      </c>
      <c r="R374" s="17" t="str">
        <f t="shared" si="6"/>
        <v/>
      </c>
      <c r="S374" s="1">
        <f>value(SUBSTITUTE(IFERROR(VLOOKUP(A374,'Networking - Solution Specializ'!A:G,6,false),""),"#","")
)</f>
        <v>0</v>
      </c>
      <c r="T374" s="1">
        <f>value(SUBSTITUTE(IFERROR(VLOOKUP(A374,'Networking - Solution Specializ'!A:G,7,false),""),"#","")
)</f>
        <v>0</v>
      </c>
      <c r="U374" s="17" t="str">
        <f t="shared" si="7"/>
        <v/>
      </c>
      <c r="V374" s="1" t="str">
        <f>iferror(vlookup(A374,'Marketing Plan (extract summary'!A:G,6,false),"")</f>
        <v/>
      </c>
      <c r="W374" s="1" t="str">
        <f>iferror(vlookup(A374,'Marketing Plan (extract summary'!A:G,7,false),"")</f>
        <v/>
      </c>
      <c r="X374" s="17" t="str">
        <f t="shared" si="8"/>
        <v/>
      </c>
      <c r="Y374" s="1">
        <f>value(IFERROR(SUBSTITUTE(SUBSTITUTE(VLOOKUP(A374,'Quarterly Pipeline vs Target Pi'!A:G,6,false)," $","")," €",""), "")
)</f>
        <v>0</v>
      </c>
      <c r="Z374" s="1">
        <f>value(IFERROR(SUBSTITUTE(SUBSTITUTE(VLOOKUP(A374,'Quarterly Pipeline vs Target Pi'!A:G,7,false)," $","")," €",""), "")
)</f>
        <v>0</v>
      </c>
      <c r="AA374" s="17" t="str">
        <f t="shared" si="9"/>
        <v/>
      </c>
      <c r="AB374" s="1">
        <f>value(IFERROR(SUBSTITUTE(SUBSTITUTE(VLOOKUP($A374,'Quarterly Pipeline vs Target Pi'!$A:$V,11,false)," $","")," €",""), "")
)</f>
        <v>0</v>
      </c>
      <c r="AC374" s="1">
        <f>value(IFERROR(SUBSTITUTE(SUBSTITUTE(VLOOKUP($A374,'Quarterly Pipeline vs Target Pi'!$A:$V,12,false)," $","")," €",""), "")
)</f>
        <v>0</v>
      </c>
      <c r="AD374" s="17" t="str">
        <f t="shared" si="10"/>
        <v/>
      </c>
      <c r="AE374" s="1">
        <f>value(IFERROR(SUBSTITUTE(SUBSTITUTE(VLOOKUP($A374,'Quarterly Pipeline vs Target Pi'!$A:$V,16,false)," $","")," €",""), "")
)</f>
        <v>0</v>
      </c>
      <c r="AF374" s="1">
        <f>value(IFERROR(SUBSTITUTE(SUBSTITUTE(VLOOKUP($A374,'Quarterly Pipeline vs Target Pi'!$A:$V,17,false)," $","")," €",""), "")
)</f>
        <v>0</v>
      </c>
      <c r="AG374" s="17" t="str">
        <f t="shared" si="11"/>
        <v/>
      </c>
      <c r="AH374" s="1">
        <f>value(IFERROR(SUBSTITUTE(SUBSTITUTE(VLOOKUP($A374,'Quarterly Pipeline vs Target Pi'!$A:$V,21,false)," $","")," €",""), "")
)</f>
        <v>0</v>
      </c>
      <c r="AI374" s="1">
        <f>value(IFERROR(SUBSTITUTE(SUBSTITUTE(VLOOKUP($A374,'Quarterly Pipeline vs Target Pi'!$A:$V,22,false)," $","")," €",""), "")
)</f>
        <v>0</v>
      </c>
      <c r="AJ374" s="17" t="str">
        <f t="shared" si="12"/>
        <v/>
      </c>
      <c r="AK374" s="1">
        <f t="shared" ref="AK374:AL374" si="761">sum(Y374,AB374,AE374,AH374)</f>
        <v>0</v>
      </c>
      <c r="AL374" s="1">
        <f t="shared" si="761"/>
        <v>0</v>
      </c>
      <c r="AM374" s="17" t="str">
        <f t="shared" si="14"/>
        <v/>
      </c>
      <c r="AN374" s="1">
        <f>value(IFERROR(SUBSTITUTE(SUBSTITUTE(VLOOKUP($A374,'Quarterly Pipeline vs Target Pi'!$A:$AP,26,false)," $","")," €",""), "")
)</f>
        <v>0</v>
      </c>
      <c r="AO374" s="1">
        <f>value(IFERROR(SUBSTITUTE(SUBSTITUTE(VLOOKUP($A374,'Quarterly Pipeline vs Target Pi'!$A:$AP,27,false)," $","")," €",""), "")
)</f>
        <v>0</v>
      </c>
      <c r="AP374" s="17" t="str">
        <f t="shared" si="15"/>
        <v/>
      </c>
      <c r="AQ374" s="1">
        <f>value(IFERROR(SUBSTITUTE(SUBSTITUTE(VLOOKUP($A374,'Quarterly Pipeline vs Target Pi'!$A:$AP,31,false)," $","")," €",""), "")
)</f>
        <v>0</v>
      </c>
      <c r="AR374" s="1">
        <f>value(IFERROR(SUBSTITUTE(SUBSTITUTE(VLOOKUP($A374,'Quarterly Pipeline vs Target Pi'!$A:$AP,32,false)," $","")," €",""), "")
)</f>
        <v>0</v>
      </c>
      <c r="AS374" s="17" t="str">
        <f t="shared" si="16"/>
        <v/>
      </c>
      <c r="AT374" s="1">
        <f>value(IFERROR(SUBSTITUTE(SUBSTITUTE(VLOOKUP($A374,'Quarterly Pipeline vs Target Pi'!$A:$AP,36,false)," $","")," €",""), "")
)</f>
        <v>0</v>
      </c>
      <c r="AU374" s="1">
        <f>value(IFERROR(SUBSTITUTE(SUBSTITUTE(VLOOKUP($A374,'Quarterly Pipeline vs Target Pi'!$A:$AP,37,false)," $","")," €",""), "")
)</f>
        <v>0</v>
      </c>
      <c r="AV374" s="17" t="str">
        <f t="shared" si="17"/>
        <v/>
      </c>
      <c r="AW374" s="1">
        <f>value(IFERROR(SUBSTITUTE(SUBSTITUTE(VLOOKUP($A374,'Quarterly Pipeline vs Target Pi'!$A:$AP,41,false)," $","")," €",""), "")
)</f>
        <v>0</v>
      </c>
      <c r="AX374" s="1">
        <f>value(IFERROR(SUBSTITUTE(SUBSTITUTE(VLOOKUP($A374,'Quarterly Pipeline vs Target Pi'!$A:$AP,42,false)," $","")," €",""), "")
)</f>
        <v>0</v>
      </c>
      <c r="AY374" s="17" t="str">
        <f t="shared" si="18"/>
        <v/>
      </c>
      <c r="AZ374" s="1">
        <f t="shared" ref="AZ374:BA374" si="762">sum(AN374,AQ374,AT374,AW374)</f>
        <v>0</v>
      </c>
      <c r="BA374" s="1">
        <f t="shared" si="762"/>
        <v>0</v>
      </c>
      <c r="BB374" s="17" t="str">
        <f t="shared" si="20"/>
        <v/>
      </c>
    </row>
    <row r="375">
      <c r="A375" s="1" t="str">
        <f>IFERROR(__xludf.DUMMYFUNCTION("""COMPUTED_VALUE"""),"63ea6e9652ad6968805cf03d")</f>
        <v>63ea6e9652ad6968805cf03d</v>
      </c>
      <c r="B375" s="1" t="str">
        <f>IFERROR(__xludf.DUMMYFUNCTION("""COMPUTED_VALUE"""),"SCHMIEDER it-solutions GmbH")</f>
        <v>SCHMIEDER it-solutions GmbH</v>
      </c>
      <c r="C375" s="1" t="str">
        <f>IFERROR(__xludf.DUMMYFUNCTION("""COMPUTED_VALUE"""),"andreas.grossheimann@al-enterprise.com")</f>
        <v>andreas.grossheimann@al-enterprise.com</v>
      </c>
      <c r="D375" s="1" t="str">
        <f>IFERROR(__xludf.DUMMYFUNCTION("""COMPUTED_VALUE"""),"germany")</f>
        <v>germany</v>
      </c>
      <c r="E375" s="1" t="str">
        <f>IFERROR(__xludf.DUMMYFUNCTION("""COMPUTED_VALUE"""),"DE")</f>
        <v>DE</v>
      </c>
      <c r="F375" s="1"/>
      <c r="G375" s="1" t="str">
        <f>iferror(VLOOKUP(A375,'Business Plan Setup and Accepta'!A:G,6,false),"")</f>
        <v/>
      </c>
      <c r="H375" s="1" t="str">
        <f>iferror(VLOOKUP(A375,'Business Plan Setup and Accepta'!A:G,7,false),"")</f>
        <v/>
      </c>
      <c r="I375" s="17" t="str">
        <f t="shared" si="3"/>
        <v/>
      </c>
      <c r="J375" s="1" t="str">
        <f>IFERROR(VALUE(SUBSTITUTE(VLOOKUP(A375,'Sales IN Revenues vs Sales targ'!A:G,6,false)," $","")), "")
</f>
        <v/>
      </c>
      <c r="K375" s="1" t="str">
        <f>IFERROR(VALUE(SUBSTITUTE(VLOOKUP(A375,'Sales IN Revenues vs Sales targ'!A:G,7,false)," $","")), "")
</f>
        <v/>
      </c>
      <c r="L375" s="17" t="str">
        <f t="shared" si="4"/>
        <v/>
      </c>
      <c r="M375" s="1">
        <f>value(SUBSTITUTE(IFERROR(VLOOKUP(A375,'Certifications achievements vs '!A:G,6,false),""),"#","")
)</f>
        <v>0</v>
      </c>
      <c r="N375" s="1">
        <f>value(SUBSTITUTE(IFERROR(VLOOKUP(A375,'Certifications achievements vs '!A:G,7,false),""),"#","")
)</f>
        <v>0</v>
      </c>
      <c r="O375" s="17" t="str">
        <f t="shared" si="5"/>
        <v/>
      </c>
      <c r="P375" s="1">
        <f>value(SUBSTITUTE(IFERROR(VLOOKUP(A375,'Communications - Solution Speci'!A:G,6,false),""),"#","")
)</f>
        <v>0</v>
      </c>
      <c r="Q375" s="1">
        <f>value(SUBSTITUTE(IFERROR(VLOOKUP(A375,'Communications - Solution Speci'!A:G,7,false),""),"#","")
)</f>
        <v>0</v>
      </c>
      <c r="R375" s="17" t="str">
        <f t="shared" si="6"/>
        <v/>
      </c>
      <c r="S375" s="1">
        <f>value(SUBSTITUTE(IFERROR(VLOOKUP(A375,'Networking - Solution Specializ'!A:G,6,false),""),"#","")
)</f>
        <v>0</v>
      </c>
      <c r="T375" s="1">
        <f>value(SUBSTITUTE(IFERROR(VLOOKUP(A375,'Networking - Solution Specializ'!A:G,7,false),""),"#","")
)</f>
        <v>0</v>
      </c>
      <c r="U375" s="17" t="str">
        <f t="shared" si="7"/>
        <v/>
      </c>
      <c r="V375" s="1" t="str">
        <f>iferror(vlookup(A375,'Marketing Plan (extract summary'!A:G,6,false),"")</f>
        <v/>
      </c>
      <c r="W375" s="1" t="str">
        <f>iferror(vlookup(A375,'Marketing Plan (extract summary'!A:G,7,false),"")</f>
        <v/>
      </c>
      <c r="X375" s="17" t="str">
        <f t="shared" si="8"/>
        <v/>
      </c>
      <c r="Y375" s="1">
        <f>value(IFERROR(SUBSTITUTE(SUBSTITUTE(VLOOKUP(A375,'Quarterly Pipeline vs Target Pi'!A:G,6,false)," $","")," €",""), "")
)</f>
        <v>0</v>
      </c>
      <c r="Z375" s="1">
        <f>value(IFERROR(SUBSTITUTE(SUBSTITUTE(VLOOKUP(A375,'Quarterly Pipeline vs Target Pi'!A:G,7,false)," $","")," €",""), "")
)</f>
        <v>0</v>
      </c>
      <c r="AA375" s="17" t="str">
        <f t="shared" si="9"/>
        <v/>
      </c>
      <c r="AB375" s="1">
        <f>value(IFERROR(SUBSTITUTE(SUBSTITUTE(VLOOKUP($A375,'Quarterly Pipeline vs Target Pi'!$A:$V,11,false)," $","")," €",""), "")
)</f>
        <v>0</v>
      </c>
      <c r="AC375" s="1">
        <f>value(IFERROR(SUBSTITUTE(SUBSTITUTE(VLOOKUP($A375,'Quarterly Pipeline vs Target Pi'!$A:$V,12,false)," $","")," €",""), "")
)</f>
        <v>0</v>
      </c>
      <c r="AD375" s="17" t="str">
        <f t="shared" si="10"/>
        <v/>
      </c>
      <c r="AE375" s="1">
        <f>value(IFERROR(SUBSTITUTE(SUBSTITUTE(VLOOKUP($A375,'Quarterly Pipeline vs Target Pi'!$A:$V,16,false)," $","")," €",""), "")
)</f>
        <v>0</v>
      </c>
      <c r="AF375" s="1">
        <f>value(IFERROR(SUBSTITUTE(SUBSTITUTE(VLOOKUP($A375,'Quarterly Pipeline vs Target Pi'!$A:$V,17,false)," $","")," €",""), "")
)</f>
        <v>0</v>
      </c>
      <c r="AG375" s="17" t="str">
        <f t="shared" si="11"/>
        <v/>
      </c>
      <c r="AH375" s="1">
        <f>value(IFERROR(SUBSTITUTE(SUBSTITUTE(VLOOKUP($A375,'Quarterly Pipeline vs Target Pi'!$A:$V,21,false)," $","")," €",""), "")
)</f>
        <v>0</v>
      </c>
      <c r="AI375" s="1">
        <f>value(IFERROR(SUBSTITUTE(SUBSTITUTE(VLOOKUP($A375,'Quarterly Pipeline vs Target Pi'!$A:$V,22,false)," $","")," €",""), "")
)</f>
        <v>0</v>
      </c>
      <c r="AJ375" s="17" t="str">
        <f t="shared" si="12"/>
        <v/>
      </c>
      <c r="AK375" s="1">
        <f t="shared" ref="AK375:AL375" si="763">sum(Y375,AB375,AE375,AH375)</f>
        <v>0</v>
      </c>
      <c r="AL375" s="1">
        <f t="shared" si="763"/>
        <v>0</v>
      </c>
      <c r="AM375" s="17" t="str">
        <f t="shared" si="14"/>
        <v/>
      </c>
      <c r="AN375" s="1">
        <f>value(IFERROR(SUBSTITUTE(SUBSTITUTE(VLOOKUP($A375,'Quarterly Pipeline vs Target Pi'!$A:$AP,26,false)," $","")," €",""), "")
)</f>
        <v>0</v>
      </c>
      <c r="AO375" s="1">
        <f>value(IFERROR(SUBSTITUTE(SUBSTITUTE(VLOOKUP($A375,'Quarterly Pipeline vs Target Pi'!$A:$AP,27,false)," $","")," €",""), "")
)</f>
        <v>0</v>
      </c>
      <c r="AP375" s="17" t="str">
        <f t="shared" si="15"/>
        <v/>
      </c>
      <c r="AQ375" s="1">
        <f>value(IFERROR(SUBSTITUTE(SUBSTITUTE(VLOOKUP($A375,'Quarterly Pipeline vs Target Pi'!$A:$AP,31,false)," $","")," €",""), "")
)</f>
        <v>0</v>
      </c>
      <c r="AR375" s="1">
        <f>value(IFERROR(SUBSTITUTE(SUBSTITUTE(VLOOKUP($A375,'Quarterly Pipeline vs Target Pi'!$A:$AP,32,false)," $","")," €",""), "")
)</f>
        <v>0</v>
      </c>
      <c r="AS375" s="17" t="str">
        <f t="shared" si="16"/>
        <v/>
      </c>
      <c r="AT375" s="1">
        <f>value(IFERROR(SUBSTITUTE(SUBSTITUTE(VLOOKUP($A375,'Quarterly Pipeline vs Target Pi'!$A:$AP,36,false)," $","")," €",""), "")
)</f>
        <v>0</v>
      </c>
      <c r="AU375" s="1">
        <f>value(IFERROR(SUBSTITUTE(SUBSTITUTE(VLOOKUP($A375,'Quarterly Pipeline vs Target Pi'!$A:$AP,37,false)," $","")," €",""), "")
)</f>
        <v>0</v>
      </c>
      <c r="AV375" s="17" t="str">
        <f t="shared" si="17"/>
        <v/>
      </c>
      <c r="AW375" s="1">
        <f>value(IFERROR(SUBSTITUTE(SUBSTITUTE(VLOOKUP($A375,'Quarterly Pipeline vs Target Pi'!$A:$AP,41,false)," $","")," €",""), "")
)</f>
        <v>0</v>
      </c>
      <c r="AX375" s="1">
        <f>value(IFERROR(SUBSTITUTE(SUBSTITUTE(VLOOKUP($A375,'Quarterly Pipeline vs Target Pi'!$A:$AP,42,false)," $","")," €",""), "")
)</f>
        <v>0</v>
      </c>
      <c r="AY375" s="17" t="str">
        <f t="shared" si="18"/>
        <v/>
      </c>
      <c r="AZ375" s="1">
        <f t="shared" ref="AZ375:BA375" si="764">sum(AN375,AQ375,AT375,AW375)</f>
        <v>0</v>
      </c>
      <c r="BA375" s="1">
        <f t="shared" si="764"/>
        <v>0</v>
      </c>
      <c r="BB375" s="17" t="str">
        <f t="shared" si="20"/>
        <v/>
      </c>
    </row>
    <row r="376">
      <c r="A376" s="1" t="str">
        <f>IFERROR(__xludf.DUMMYFUNCTION("""COMPUTED_VALUE"""),"63ea6e9552ad6968805cee0d")</f>
        <v>63ea6e9552ad6968805cee0d</v>
      </c>
      <c r="B376" s="1" t="str">
        <f>IFERROR(__xludf.DUMMYFUNCTION("""COMPUTED_VALUE"""),"Schussler Fernmeldetechnik und")</f>
        <v>Schussler Fernmeldetechnik und</v>
      </c>
      <c r="C376" s="1" t="str">
        <f>IFERROR(__xludf.DUMMYFUNCTION("""COMPUTED_VALUE"""),"andreas.grossheimann@al-enterprise.com, andre.ramm@al-enterprise.com")</f>
        <v>andreas.grossheimann@al-enterprise.com, andre.ramm@al-enterprise.com</v>
      </c>
      <c r="D376" s="1" t="str">
        <f>IFERROR(__xludf.DUMMYFUNCTION("""COMPUTED_VALUE"""),"germany")</f>
        <v>germany</v>
      </c>
      <c r="E376" s="1" t="str">
        <f>IFERROR(__xludf.DUMMYFUNCTION("""COMPUTED_VALUE"""),"DE")</f>
        <v>DE</v>
      </c>
      <c r="F376" s="1"/>
      <c r="G376" s="1" t="str">
        <f>iferror(VLOOKUP(A376,'Business Plan Setup and Accepta'!A:G,6,false),"")</f>
        <v/>
      </c>
      <c r="H376" s="1" t="str">
        <f>iferror(VLOOKUP(A376,'Business Plan Setup and Accepta'!A:G,7,false),"")</f>
        <v/>
      </c>
      <c r="I376" s="17" t="str">
        <f t="shared" si="3"/>
        <v/>
      </c>
      <c r="J376" s="1" t="str">
        <f>IFERROR(VALUE(SUBSTITUTE(VLOOKUP(A376,'Sales IN Revenues vs Sales targ'!A:G,6,false)," $","")), "")
</f>
        <v/>
      </c>
      <c r="K376" s="1" t="str">
        <f>IFERROR(VALUE(SUBSTITUTE(VLOOKUP(A376,'Sales IN Revenues vs Sales targ'!A:G,7,false)," $","")), "")
</f>
        <v/>
      </c>
      <c r="L376" s="17" t="str">
        <f t="shared" si="4"/>
        <v/>
      </c>
      <c r="M376" s="1">
        <f>value(SUBSTITUTE(IFERROR(VLOOKUP(A376,'Certifications achievements vs '!A:G,6,false),""),"#","")
)</f>
        <v>0</v>
      </c>
      <c r="N376" s="1">
        <f>value(SUBSTITUTE(IFERROR(VLOOKUP(A376,'Certifications achievements vs '!A:G,7,false),""),"#","")
)</f>
        <v>0</v>
      </c>
      <c r="O376" s="17" t="str">
        <f t="shared" si="5"/>
        <v/>
      </c>
      <c r="P376" s="1">
        <f>value(SUBSTITUTE(IFERROR(VLOOKUP(A376,'Communications - Solution Speci'!A:G,6,false),""),"#","")
)</f>
        <v>0</v>
      </c>
      <c r="Q376" s="1">
        <f>value(SUBSTITUTE(IFERROR(VLOOKUP(A376,'Communications - Solution Speci'!A:G,7,false),""),"#","")
)</f>
        <v>0</v>
      </c>
      <c r="R376" s="17" t="str">
        <f t="shared" si="6"/>
        <v/>
      </c>
      <c r="S376" s="1">
        <f>value(SUBSTITUTE(IFERROR(VLOOKUP(A376,'Networking - Solution Specializ'!A:G,6,false),""),"#","")
)</f>
        <v>0</v>
      </c>
      <c r="T376" s="1">
        <f>value(SUBSTITUTE(IFERROR(VLOOKUP(A376,'Networking - Solution Specializ'!A:G,7,false),""),"#","")
)</f>
        <v>0</v>
      </c>
      <c r="U376" s="17" t="str">
        <f t="shared" si="7"/>
        <v/>
      </c>
      <c r="V376" s="1" t="str">
        <f>iferror(vlookup(A376,'Marketing Plan (extract summary'!A:G,6,false),"")</f>
        <v/>
      </c>
      <c r="W376" s="1" t="str">
        <f>iferror(vlookup(A376,'Marketing Plan (extract summary'!A:G,7,false),"")</f>
        <v/>
      </c>
      <c r="X376" s="17" t="str">
        <f t="shared" si="8"/>
        <v/>
      </c>
      <c r="Y376" s="1">
        <f>value(IFERROR(SUBSTITUTE(SUBSTITUTE(VLOOKUP(A376,'Quarterly Pipeline vs Target Pi'!A:G,6,false)," $","")," €",""), "")
)</f>
        <v>0</v>
      </c>
      <c r="Z376" s="1">
        <f>value(IFERROR(SUBSTITUTE(SUBSTITUTE(VLOOKUP(A376,'Quarterly Pipeline vs Target Pi'!A:G,7,false)," $","")," €",""), "")
)</f>
        <v>0</v>
      </c>
      <c r="AA376" s="17" t="str">
        <f t="shared" si="9"/>
        <v/>
      </c>
      <c r="AB376" s="1">
        <f>value(IFERROR(SUBSTITUTE(SUBSTITUTE(VLOOKUP($A376,'Quarterly Pipeline vs Target Pi'!$A:$V,11,false)," $","")," €",""), "")
)</f>
        <v>0</v>
      </c>
      <c r="AC376" s="1">
        <f>value(IFERROR(SUBSTITUTE(SUBSTITUTE(VLOOKUP($A376,'Quarterly Pipeline vs Target Pi'!$A:$V,12,false)," $","")," €",""), "")
)</f>
        <v>0</v>
      </c>
      <c r="AD376" s="17" t="str">
        <f t="shared" si="10"/>
        <v/>
      </c>
      <c r="AE376" s="1">
        <f>value(IFERROR(SUBSTITUTE(SUBSTITUTE(VLOOKUP($A376,'Quarterly Pipeline vs Target Pi'!$A:$V,16,false)," $","")," €",""), "")
)</f>
        <v>0</v>
      </c>
      <c r="AF376" s="1">
        <f>value(IFERROR(SUBSTITUTE(SUBSTITUTE(VLOOKUP($A376,'Quarterly Pipeline vs Target Pi'!$A:$V,17,false)," $","")," €",""), "")
)</f>
        <v>0</v>
      </c>
      <c r="AG376" s="17" t="str">
        <f t="shared" si="11"/>
        <v/>
      </c>
      <c r="AH376" s="1">
        <f>value(IFERROR(SUBSTITUTE(SUBSTITUTE(VLOOKUP($A376,'Quarterly Pipeline vs Target Pi'!$A:$V,21,false)," $","")," €",""), "")
)</f>
        <v>0</v>
      </c>
      <c r="AI376" s="1">
        <f>value(IFERROR(SUBSTITUTE(SUBSTITUTE(VLOOKUP($A376,'Quarterly Pipeline vs Target Pi'!$A:$V,22,false)," $","")," €",""), "")
)</f>
        <v>0</v>
      </c>
      <c r="AJ376" s="17" t="str">
        <f t="shared" si="12"/>
        <v/>
      </c>
      <c r="AK376" s="1">
        <f t="shared" ref="AK376:AL376" si="765">sum(Y376,AB376,AE376,AH376)</f>
        <v>0</v>
      </c>
      <c r="AL376" s="1">
        <f t="shared" si="765"/>
        <v>0</v>
      </c>
      <c r="AM376" s="17" t="str">
        <f t="shared" si="14"/>
        <v/>
      </c>
      <c r="AN376" s="1">
        <f>value(IFERROR(SUBSTITUTE(SUBSTITUTE(VLOOKUP($A376,'Quarterly Pipeline vs Target Pi'!$A:$AP,26,false)," $","")," €",""), "")
)</f>
        <v>0</v>
      </c>
      <c r="AO376" s="1">
        <f>value(IFERROR(SUBSTITUTE(SUBSTITUTE(VLOOKUP($A376,'Quarterly Pipeline vs Target Pi'!$A:$AP,27,false)," $","")," €",""), "")
)</f>
        <v>0</v>
      </c>
      <c r="AP376" s="17" t="str">
        <f t="shared" si="15"/>
        <v/>
      </c>
      <c r="AQ376" s="1">
        <f>value(IFERROR(SUBSTITUTE(SUBSTITUTE(VLOOKUP($A376,'Quarterly Pipeline vs Target Pi'!$A:$AP,31,false)," $","")," €",""), "")
)</f>
        <v>0</v>
      </c>
      <c r="AR376" s="1">
        <f>value(IFERROR(SUBSTITUTE(SUBSTITUTE(VLOOKUP($A376,'Quarterly Pipeline vs Target Pi'!$A:$AP,32,false)," $","")," €",""), "")
)</f>
        <v>0</v>
      </c>
      <c r="AS376" s="17" t="str">
        <f t="shared" si="16"/>
        <v/>
      </c>
      <c r="AT376" s="1">
        <f>value(IFERROR(SUBSTITUTE(SUBSTITUTE(VLOOKUP($A376,'Quarterly Pipeline vs Target Pi'!$A:$AP,36,false)," $","")," €",""), "")
)</f>
        <v>0</v>
      </c>
      <c r="AU376" s="1">
        <f>value(IFERROR(SUBSTITUTE(SUBSTITUTE(VLOOKUP($A376,'Quarterly Pipeline vs Target Pi'!$A:$AP,37,false)," $","")," €",""), "")
)</f>
        <v>0</v>
      </c>
      <c r="AV376" s="17" t="str">
        <f t="shared" si="17"/>
        <v/>
      </c>
      <c r="AW376" s="1">
        <f>value(IFERROR(SUBSTITUTE(SUBSTITUTE(VLOOKUP($A376,'Quarterly Pipeline vs Target Pi'!$A:$AP,41,false)," $","")," €",""), "")
)</f>
        <v>0</v>
      </c>
      <c r="AX376" s="1">
        <f>value(IFERROR(SUBSTITUTE(SUBSTITUTE(VLOOKUP($A376,'Quarterly Pipeline vs Target Pi'!$A:$AP,42,false)," $","")," €",""), "")
)</f>
        <v>0</v>
      </c>
      <c r="AY376" s="17" t="str">
        <f t="shared" si="18"/>
        <v/>
      </c>
      <c r="AZ376" s="1">
        <f t="shared" ref="AZ376:BA376" si="766">sum(AN376,AQ376,AT376,AW376)</f>
        <v>0</v>
      </c>
      <c r="BA376" s="1">
        <f t="shared" si="766"/>
        <v>0</v>
      </c>
      <c r="BB376" s="17" t="str">
        <f t="shared" si="20"/>
        <v/>
      </c>
    </row>
    <row r="377">
      <c r="A377" s="1" t="str">
        <f>IFERROR(__xludf.DUMMYFUNCTION("""COMPUTED_VALUE"""),"63ea6e9552ad6968805ced65")</f>
        <v>63ea6e9552ad6968805ced65</v>
      </c>
      <c r="B377" s="1" t="str">
        <f>IFERROR(__xludf.DUMMYFUNCTION("""COMPUTED_VALUE"""),"Schwarz Computer Systeme GmbH")</f>
        <v>Schwarz Computer Systeme GmbH</v>
      </c>
      <c r="C377" s="1" t="str">
        <f>IFERROR(__xludf.DUMMYFUNCTION("""COMPUTED_VALUE"""),"andreas.grossheimann@al-enterprise.com, andre.ramm@al-enterprise.com")</f>
        <v>andreas.grossheimann@al-enterprise.com, andre.ramm@al-enterprise.com</v>
      </c>
      <c r="D377" s="1" t="str">
        <f>IFERROR(__xludf.DUMMYFUNCTION("""COMPUTED_VALUE"""),"germany")</f>
        <v>germany</v>
      </c>
      <c r="E377" s="1" t="str">
        <f>IFERROR(__xludf.DUMMYFUNCTION("""COMPUTED_VALUE"""),"DE")</f>
        <v>DE</v>
      </c>
      <c r="F377" s="1"/>
      <c r="G377" s="1" t="str">
        <f>iferror(VLOOKUP(A377,'Business Plan Setup and Accepta'!A:G,6,false),"")</f>
        <v/>
      </c>
      <c r="H377" s="1" t="str">
        <f>iferror(VLOOKUP(A377,'Business Plan Setup and Accepta'!A:G,7,false),"")</f>
        <v/>
      </c>
      <c r="I377" s="17" t="str">
        <f t="shared" si="3"/>
        <v/>
      </c>
      <c r="J377" s="1" t="str">
        <f>IFERROR(VALUE(SUBSTITUTE(VLOOKUP(A377,'Sales IN Revenues vs Sales targ'!A:G,6,false)," $","")), "")
</f>
        <v/>
      </c>
      <c r="K377" s="1" t="str">
        <f>IFERROR(VALUE(SUBSTITUTE(VLOOKUP(A377,'Sales IN Revenues vs Sales targ'!A:G,7,false)," $","")), "")
</f>
        <v/>
      </c>
      <c r="L377" s="17" t="str">
        <f t="shared" si="4"/>
        <v/>
      </c>
      <c r="M377" s="1">
        <f>value(SUBSTITUTE(IFERROR(VLOOKUP(A377,'Certifications achievements vs '!A:G,6,false),""),"#","")
)</f>
        <v>0</v>
      </c>
      <c r="N377" s="1">
        <f>value(SUBSTITUTE(IFERROR(VLOOKUP(A377,'Certifications achievements vs '!A:G,7,false),""),"#","")
)</f>
        <v>0</v>
      </c>
      <c r="O377" s="17" t="str">
        <f t="shared" si="5"/>
        <v/>
      </c>
      <c r="P377" s="1">
        <f>value(SUBSTITUTE(IFERROR(VLOOKUP(A377,'Communications - Solution Speci'!A:G,6,false),""),"#","")
)</f>
        <v>0</v>
      </c>
      <c r="Q377" s="1">
        <f>value(SUBSTITUTE(IFERROR(VLOOKUP(A377,'Communications - Solution Speci'!A:G,7,false),""),"#","")
)</f>
        <v>0</v>
      </c>
      <c r="R377" s="17" t="str">
        <f t="shared" si="6"/>
        <v/>
      </c>
      <c r="S377" s="1">
        <f>value(SUBSTITUTE(IFERROR(VLOOKUP(A377,'Networking - Solution Specializ'!A:G,6,false),""),"#","")
)</f>
        <v>0</v>
      </c>
      <c r="T377" s="1">
        <f>value(SUBSTITUTE(IFERROR(VLOOKUP(A377,'Networking - Solution Specializ'!A:G,7,false),""),"#","")
)</f>
        <v>0</v>
      </c>
      <c r="U377" s="17" t="str">
        <f t="shared" si="7"/>
        <v/>
      </c>
      <c r="V377" s="1" t="str">
        <f>iferror(vlookup(A377,'Marketing Plan (extract summary'!A:G,6,false),"")</f>
        <v/>
      </c>
      <c r="W377" s="1" t="str">
        <f>iferror(vlookup(A377,'Marketing Plan (extract summary'!A:G,7,false),"")</f>
        <v/>
      </c>
      <c r="X377" s="17" t="str">
        <f t="shared" si="8"/>
        <v/>
      </c>
      <c r="Y377" s="1">
        <f>value(IFERROR(SUBSTITUTE(SUBSTITUTE(VLOOKUP(A377,'Quarterly Pipeline vs Target Pi'!A:G,6,false)," $","")," €",""), "")
)</f>
        <v>0</v>
      </c>
      <c r="Z377" s="1">
        <f>value(IFERROR(SUBSTITUTE(SUBSTITUTE(VLOOKUP(A377,'Quarterly Pipeline vs Target Pi'!A:G,7,false)," $","")," €",""), "")
)</f>
        <v>0</v>
      </c>
      <c r="AA377" s="17" t="str">
        <f t="shared" si="9"/>
        <v/>
      </c>
      <c r="AB377" s="1">
        <f>value(IFERROR(SUBSTITUTE(SUBSTITUTE(VLOOKUP($A377,'Quarterly Pipeline vs Target Pi'!$A:$V,11,false)," $","")," €",""), "")
)</f>
        <v>0</v>
      </c>
      <c r="AC377" s="1">
        <f>value(IFERROR(SUBSTITUTE(SUBSTITUTE(VLOOKUP($A377,'Quarterly Pipeline vs Target Pi'!$A:$V,12,false)," $","")," €",""), "")
)</f>
        <v>0</v>
      </c>
      <c r="AD377" s="17" t="str">
        <f t="shared" si="10"/>
        <v/>
      </c>
      <c r="AE377" s="1">
        <f>value(IFERROR(SUBSTITUTE(SUBSTITUTE(VLOOKUP($A377,'Quarterly Pipeline vs Target Pi'!$A:$V,16,false)," $","")," €",""), "")
)</f>
        <v>0</v>
      </c>
      <c r="AF377" s="1">
        <f>value(IFERROR(SUBSTITUTE(SUBSTITUTE(VLOOKUP($A377,'Quarterly Pipeline vs Target Pi'!$A:$V,17,false)," $","")," €",""), "")
)</f>
        <v>0</v>
      </c>
      <c r="AG377" s="17" t="str">
        <f t="shared" si="11"/>
        <v/>
      </c>
      <c r="AH377" s="1">
        <f>value(IFERROR(SUBSTITUTE(SUBSTITUTE(VLOOKUP($A377,'Quarterly Pipeline vs Target Pi'!$A:$V,21,false)," $","")," €",""), "")
)</f>
        <v>0</v>
      </c>
      <c r="AI377" s="1">
        <f>value(IFERROR(SUBSTITUTE(SUBSTITUTE(VLOOKUP($A377,'Quarterly Pipeline vs Target Pi'!$A:$V,22,false)," $","")," €",""), "")
)</f>
        <v>0</v>
      </c>
      <c r="AJ377" s="17" t="str">
        <f t="shared" si="12"/>
        <v/>
      </c>
      <c r="AK377" s="1">
        <f t="shared" ref="AK377:AL377" si="767">sum(Y377,AB377,AE377,AH377)</f>
        <v>0</v>
      </c>
      <c r="AL377" s="1">
        <f t="shared" si="767"/>
        <v>0</v>
      </c>
      <c r="AM377" s="17" t="str">
        <f t="shared" si="14"/>
        <v/>
      </c>
      <c r="AN377" s="1">
        <f>value(IFERROR(SUBSTITUTE(SUBSTITUTE(VLOOKUP($A377,'Quarterly Pipeline vs Target Pi'!$A:$AP,26,false)," $","")," €",""), "")
)</f>
        <v>0</v>
      </c>
      <c r="AO377" s="1">
        <f>value(IFERROR(SUBSTITUTE(SUBSTITUTE(VLOOKUP($A377,'Quarterly Pipeline vs Target Pi'!$A:$AP,27,false)," $","")," €",""), "")
)</f>
        <v>0</v>
      </c>
      <c r="AP377" s="17" t="str">
        <f t="shared" si="15"/>
        <v/>
      </c>
      <c r="AQ377" s="1">
        <f>value(IFERROR(SUBSTITUTE(SUBSTITUTE(VLOOKUP($A377,'Quarterly Pipeline vs Target Pi'!$A:$AP,31,false)," $","")," €",""), "")
)</f>
        <v>0</v>
      </c>
      <c r="AR377" s="1">
        <f>value(IFERROR(SUBSTITUTE(SUBSTITUTE(VLOOKUP($A377,'Quarterly Pipeline vs Target Pi'!$A:$AP,32,false)," $","")," €",""), "")
)</f>
        <v>0</v>
      </c>
      <c r="AS377" s="17" t="str">
        <f t="shared" si="16"/>
        <v/>
      </c>
      <c r="AT377" s="1">
        <f>value(IFERROR(SUBSTITUTE(SUBSTITUTE(VLOOKUP($A377,'Quarterly Pipeline vs Target Pi'!$A:$AP,36,false)," $","")," €",""), "")
)</f>
        <v>0</v>
      </c>
      <c r="AU377" s="1">
        <f>value(IFERROR(SUBSTITUTE(SUBSTITUTE(VLOOKUP($A377,'Quarterly Pipeline vs Target Pi'!$A:$AP,37,false)," $","")," €",""), "")
)</f>
        <v>0</v>
      </c>
      <c r="AV377" s="17" t="str">
        <f t="shared" si="17"/>
        <v/>
      </c>
      <c r="AW377" s="1">
        <f>value(IFERROR(SUBSTITUTE(SUBSTITUTE(VLOOKUP($A377,'Quarterly Pipeline vs Target Pi'!$A:$AP,41,false)," $","")," €",""), "")
)</f>
        <v>0</v>
      </c>
      <c r="AX377" s="1">
        <f>value(IFERROR(SUBSTITUTE(SUBSTITUTE(VLOOKUP($A377,'Quarterly Pipeline vs Target Pi'!$A:$AP,42,false)," $","")," €",""), "")
)</f>
        <v>0</v>
      </c>
      <c r="AY377" s="17" t="str">
        <f t="shared" si="18"/>
        <v/>
      </c>
      <c r="AZ377" s="1">
        <f t="shared" ref="AZ377:BA377" si="768">sum(AN377,AQ377,AT377,AW377)</f>
        <v>0</v>
      </c>
      <c r="BA377" s="1">
        <f t="shared" si="768"/>
        <v>0</v>
      </c>
      <c r="BB377" s="17" t="str">
        <f t="shared" si="20"/>
        <v/>
      </c>
    </row>
    <row r="378">
      <c r="A378" s="1" t="str">
        <f>IFERROR(__xludf.DUMMYFUNCTION("""COMPUTED_VALUE"""),"63ced84dc5c820531c26978e")</f>
        <v>63ced84dc5c820531c26978e</v>
      </c>
      <c r="B378" s="1" t="str">
        <f>IFERROR(__xludf.DUMMYFUNCTION("""COMPUTED_VALUE"""),"Scientel Wireless, LLC")</f>
        <v>Scientel Wireless, LLC</v>
      </c>
      <c r="C378" s="1" t="str">
        <f>IFERROR(__xludf.DUMMYFUNCTION("""COMPUTED_VALUE"""),"brendan.flaherty@al-enterprise.com")</f>
        <v>brendan.flaherty@al-enterprise.com</v>
      </c>
      <c r="D378" s="1" t="str">
        <f>IFERROR(__xludf.DUMMYFUNCTION("""COMPUTED_VALUE"""),"americas")</f>
        <v>americas</v>
      </c>
      <c r="E378" s="1" t="str">
        <f>IFERROR(__xludf.DUMMYFUNCTION("""COMPUTED_VALUE"""),"US")</f>
        <v>US</v>
      </c>
      <c r="F378" s="1"/>
      <c r="G378" s="1" t="str">
        <f>iferror(VLOOKUP(A378,'Business Plan Setup and Accepta'!A:G,6,false),"")</f>
        <v/>
      </c>
      <c r="H378" s="1" t="str">
        <f>iferror(VLOOKUP(A378,'Business Plan Setup and Accepta'!A:G,7,false),"")</f>
        <v/>
      </c>
      <c r="I378" s="17" t="str">
        <f t="shared" si="3"/>
        <v/>
      </c>
      <c r="J378" s="1" t="str">
        <f>IFERROR(VALUE(SUBSTITUTE(VLOOKUP(A378,'Sales IN Revenues vs Sales targ'!A:G,6,false)," $","")), "")
</f>
        <v/>
      </c>
      <c r="K378" s="1" t="str">
        <f>IFERROR(VALUE(SUBSTITUTE(VLOOKUP(A378,'Sales IN Revenues vs Sales targ'!A:G,7,false)," $","")), "")
</f>
        <v/>
      </c>
      <c r="L378" s="17" t="str">
        <f t="shared" si="4"/>
        <v/>
      </c>
      <c r="M378" s="1">
        <f>value(SUBSTITUTE(IFERROR(VLOOKUP(A378,'Certifications achievements vs '!A:G,6,false),""),"#","")
)</f>
        <v>0</v>
      </c>
      <c r="N378" s="1">
        <f>value(SUBSTITUTE(IFERROR(VLOOKUP(A378,'Certifications achievements vs '!A:G,7,false),""),"#","")
)</f>
        <v>0</v>
      </c>
      <c r="O378" s="17" t="str">
        <f t="shared" si="5"/>
        <v/>
      </c>
      <c r="P378" s="1">
        <f>value(SUBSTITUTE(IFERROR(VLOOKUP(A378,'Communications - Solution Speci'!A:G,6,false),""),"#","")
)</f>
        <v>0</v>
      </c>
      <c r="Q378" s="1">
        <f>value(SUBSTITUTE(IFERROR(VLOOKUP(A378,'Communications - Solution Speci'!A:G,7,false),""),"#","")
)</f>
        <v>0</v>
      </c>
      <c r="R378" s="17" t="str">
        <f t="shared" si="6"/>
        <v/>
      </c>
      <c r="S378" s="1">
        <f>value(SUBSTITUTE(IFERROR(VLOOKUP(A378,'Networking - Solution Specializ'!A:G,6,false),""),"#","")
)</f>
        <v>0</v>
      </c>
      <c r="T378" s="1">
        <f>value(SUBSTITUTE(IFERROR(VLOOKUP(A378,'Networking - Solution Specializ'!A:G,7,false),""),"#","")
)</f>
        <v>0</v>
      </c>
      <c r="U378" s="17" t="str">
        <f t="shared" si="7"/>
        <v/>
      </c>
      <c r="V378" s="1" t="str">
        <f>iferror(vlookup(A378,'Marketing Plan (extract summary'!A:G,6,false),"")</f>
        <v/>
      </c>
      <c r="W378" s="1" t="str">
        <f>iferror(vlookup(A378,'Marketing Plan (extract summary'!A:G,7,false),"")</f>
        <v/>
      </c>
      <c r="X378" s="17" t="str">
        <f t="shared" si="8"/>
        <v/>
      </c>
      <c r="Y378" s="1">
        <f>value(IFERROR(SUBSTITUTE(SUBSTITUTE(VLOOKUP(A378,'Quarterly Pipeline vs Target Pi'!A:G,6,false)," $","")," €",""), "")
)</f>
        <v>0</v>
      </c>
      <c r="Z378" s="1">
        <f>value(IFERROR(SUBSTITUTE(SUBSTITUTE(VLOOKUP(A378,'Quarterly Pipeline vs Target Pi'!A:G,7,false)," $","")," €",""), "")
)</f>
        <v>0</v>
      </c>
      <c r="AA378" s="17" t="str">
        <f t="shared" si="9"/>
        <v/>
      </c>
      <c r="AB378" s="1">
        <f>value(IFERROR(SUBSTITUTE(SUBSTITUTE(VLOOKUP($A378,'Quarterly Pipeline vs Target Pi'!$A:$V,11,false)," $","")," €",""), "")
)</f>
        <v>0</v>
      </c>
      <c r="AC378" s="1">
        <f>value(IFERROR(SUBSTITUTE(SUBSTITUTE(VLOOKUP($A378,'Quarterly Pipeline vs Target Pi'!$A:$V,12,false)," $","")," €",""), "")
)</f>
        <v>0</v>
      </c>
      <c r="AD378" s="17" t="str">
        <f t="shared" si="10"/>
        <v/>
      </c>
      <c r="AE378" s="1">
        <f>value(IFERROR(SUBSTITUTE(SUBSTITUTE(VLOOKUP($A378,'Quarterly Pipeline vs Target Pi'!$A:$V,16,false)," $","")," €",""), "")
)</f>
        <v>0</v>
      </c>
      <c r="AF378" s="1">
        <f>value(IFERROR(SUBSTITUTE(SUBSTITUTE(VLOOKUP($A378,'Quarterly Pipeline vs Target Pi'!$A:$V,17,false)," $","")," €",""), "")
)</f>
        <v>0</v>
      </c>
      <c r="AG378" s="17" t="str">
        <f t="shared" si="11"/>
        <v/>
      </c>
      <c r="AH378" s="1">
        <f>value(IFERROR(SUBSTITUTE(SUBSTITUTE(VLOOKUP($A378,'Quarterly Pipeline vs Target Pi'!$A:$V,21,false)," $","")," €",""), "")
)</f>
        <v>0</v>
      </c>
      <c r="AI378" s="1">
        <f>value(IFERROR(SUBSTITUTE(SUBSTITUTE(VLOOKUP($A378,'Quarterly Pipeline vs Target Pi'!$A:$V,22,false)," $","")," €",""), "")
)</f>
        <v>0</v>
      </c>
      <c r="AJ378" s="17" t="str">
        <f t="shared" si="12"/>
        <v/>
      </c>
      <c r="AK378" s="1">
        <f t="shared" ref="AK378:AL378" si="769">sum(Y378,AB378,AE378,AH378)</f>
        <v>0</v>
      </c>
      <c r="AL378" s="1">
        <f t="shared" si="769"/>
        <v>0</v>
      </c>
      <c r="AM378" s="17" t="str">
        <f t="shared" si="14"/>
        <v/>
      </c>
      <c r="AN378" s="1">
        <f>value(IFERROR(SUBSTITUTE(SUBSTITUTE(VLOOKUP($A378,'Quarterly Pipeline vs Target Pi'!$A:$AP,26,false)," $","")," €",""), "")
)</f>
        <v>0</v>
      </c>
      <c r="AO378" s="1">
        <f>value(IFERROR(SUBSTITUTE(SUBSTITUTE(VLOOKUP($A378,'Quarterly Pipeline vs Target Pi'!$A:$AP,27,false)," $","")," €",""), "")
)</f>
        <v>0</v>
      </c>
      <c r="AP378" s="17" t="str">
        <f t="shared" si="15"/>
        <v/>
      </c>
      <c r="AQ378" s="1">
        <f>value(IFERROR(SUBSTITUTE(SUBSTITUTE(VLOOKUP($A378,'Quarterly Pipeline vs Target Pi'!$A:$AP,31,false)," $","")," €",""), "")
)</f>
        <v>0</v>
      </c>
      <c r="AR378" s="1">
        <f>value(IFERROR(SUBSTITUTE(SUBSTITUTE(VLOOKUP($A378,'Quarterly Pipeline vs Target Pi'!$A:$AP,32,false)," $","")," €",""), "")
)</f>
        <v>0</v>
      </c>
      <c r="AS378" s="17" t="str">
        <f t="shared" si="16"/>
        <v/>
      </c>
      <c r="AT378" s="1">
        <f>value(IFERROR(SUBSTITUTE(SUBSTITUTE(VLOOKUP($A378,'Quarterly Pipeline vs Target Pi'!$A:$AP,36,false)," $","")," €",""), "")
)</f>
        <v>0</v>
      </c>
      <c r="AU378" s="1">
        <f>value(IFERROR(SUBSTITUTE(SUBSTITUTE(VLOOKUP($A378,'Quarterly Pipeline vs Target Pi'!$A:$AP,37,false)," $","")," €",""), "")
)</f>
        <v>0</v>
      </c>
      <c r="AV378" s="17" t="str">
        <f t="shared" si="17"/>
        <v/>
      </c>
      <c r="AW378" s="1">
        <f>value(IFERROR(SUBSTITUTE(SUBSTITUTE(VLOOKUP($A378,'Quarterly Pipeline vs Target Pi'!$A:$AP,41,false)," $","")," €",""), "")
)</f>
        <v>0</v>
      </c>
      <c r="AX378" s="1">
        <f>value(IFERROR(SUBSTITUTE(SUBSTITUTE(VLOOKUP($A378,'Quarterly Pipeline vs Target Pi'!$A:$AP,42,false)," $","")," €",""), "")
)</f>
        <v>0</v>
      </c>
      <c r="AY378" s="17" t="str">
        <f t="shared" si="18"/>
        <v/>
      </c>
      <c r="AZ378" s="1">
        <f t="shared" ref="AZ378:BA378" si="770">sum(AN378,AQ378,AT378,AW378)</f>
        <v>0</v>
      </c>
      <c r="BA378" s="1">
        <f t="shared" si="770"/>
        <v>0</v>
      </c>
      <c r="BB378" s="17" t="str">
        <f t="shared" si="20"/>
        <v/>
      </c>
    </row>
    <row r="379">
      <c r="A379" s="1" t="str">
        <f>IFERROR(__xludf.DUMMYFUNCTION("""COMPUTED_VALUE"""),"65dcd9bc019929778f07c765")</f>
        <v>65dcd9bc019929778f07c765</v>
      </c>
      <c r="B379" s="1" t="str">
        <f>IFERROR(__xludf.DUMMYFUNCTION("""COMPUTED_VALUE"""),"Seal Solucion de Integracion")</f>
        <v>Seal Solucion de Integracion</v>
      </c>
      <c r="C379" s="1" t="str">
        <f>IFERROR(__xludf.DUMMYFUNCTION("""COMPUTED_VALUE"""),"philippe.girard@al-enterprise.com, rui.silva@al-enterprise.com, paola.sa@al-enterprise.com, nuno.ribas@al-enterprise.com, javier.largacha@al-enterprise.com")</f>
        <v>philippe.girard@al-enterprise.com, rui.silva@al-enterprise.com, paola.sa@al-enterprise.com, nuno.ribas@al-enterprise.com, javier.largacha@al-enterprise.com</v>
      </c>
      <c r="D379" s="1" t="str">
        <f>IFERROR(__xludf.DUMMYFUNCTION("""COMPUTED_VALUE"""),"americas")</f>
        <v>americas</v>
      </c>
      <c r="E379" s="1" t="str">
        <f>IFERROR(__xludf.DUMMYFUNCTION("""COMPUTED_VALUE"""),"CO")</f>
        <v>CO</v>
      </c>
      <c r="F379" s="1"/>
      <c r="G379" s="1" t="str">
        <f>iferror(VLOOKUP(A379,'Business Plan Setup and Accepta'!A:G,6,false),"")</f>
        <v/>
      </c>
      <c r="H379" s="1" t="str">
        <f>iferror(VLOOKUP(A379,'Business Plan Setup and Accepta'!A:G,7,false),"")</f>
        <v/>
      </c>
      <c r="I379" s="17" t="str">
        <f t="shared" si="3"/>
        <v/>
      </c>
      <c r="J379" s="1" t="str">
        <f>IFERROR(VALUE(SUBSTITUTE(VLOOKUP(A379,'Sales IN Revenues vs Sales targ'!A:G,6,false)," $","")), "")
</f>
        <v/>
      </c>
      <c r="K379" s="1" t="str">
        <f>IFERROR(VALUE(SUBSTITUTE(VLOOKUP(A379,'Sales IN Revenues vs Sales targ'!A:G,7,false)," $","")), "")
</f>
        <v/>
      </c>
      <c r="L379" s="17" t="str">
        <f t="shared" si="4"/>
        <v/>
      </c>
      <c r="M379" s="1">
        <f>value(SUBSTITUTE(IFERROR(VLOOKUP(A379,'Certifications achievements vs '!A:G,6,false),""),"#","")
)</f>
        <v>0</v>
      </c>
      <c r="N379" s="1">
        <f>value(SUBSTITUTE(IFERROR(VLOOKUP(A379,'Certifications achievements vs '!A:G,7,false),""),"#","")
)</f>
        <v>0</v>
      </c>
      <c r="O379" s="17" t="str">
        <f t="shared" si="5"/>
        <v/>
      </c>
      <c r="P379" s="1">
        <f>value(SUBSTITUTE(IFERROR(VLOOKUP(A379,'Communications - Solution Speci'!A:G,6,false),""),"#","")
)</f>
        <v>0</v>
      </c>
      <c r="Q379" s="1">
        <f>value(SUBSTITUTE(IFERROR(VLOOKUP(A379,'Communications - Solution Speci'!A:G,7,false),""),"#","")
)</f>
        <v>0</v>
      </c>
      <c r="R379" s="17" t="str">
        <f t="shared" si="6"/>
        <v/>
      </c>
      <c r="S379" s="1">
        <f>value(SUBSTITUTE(IFERROR(VLOOKUP(A379,'Networking - Solution Specializ'!A:G,6,false),""),"#","")
)</f>
        <v>0</v>
      </c>
      <c r="T379" s="1">
        <f>value(SUBSTITUTE(IFERROR(VLOOKUP(A379,'Networking - Solution Specializ'!A:G,7,false),""),"#","")
)</f>
        <v>0</v>
      </c>
      <c r="U379" s="17" t="str">
        <f t="shared" si="7"/>
        <v/>
      </c>
      <c r="V379" s="1" t="str">
        <f>iferror(vlookup(A379,'Marketing Plan (extract summary'!A:G,6,false),"")</f>
        <v/>
      </c>
      <c r="W379" s="1" t="str">
        <f>iferror(vlookup(A379,'Marketing Plan (extract summary'!A:G,7,false),"")</f>
        <v/>
      </c>
      <c r="X379" s="17" t="str">
        <f t="shared" si="8"/>
        <v/>
      </c>
      <c r="Y379" s="1">
        <f>value(IFERROR(SUBSTITUTE(SUBSTITUTE(VLOOKUP(A379,'Quarterly Pipeline vs Target Pi'!A:G,6,false)," $","")," €",""), "")
)</f>
        <v>0</v>
      </c>
      <c r="Z379" s="1">
        <f>value(IFERROR(SUBSTITUTE(SUBSTITUTE(VLOOKUP(A379,'Quarterly Pipeline vs Target Pi'!A:G,7,false)," $","")," €",""), "")
)</f>
        <v>0</v>
      </c>
      <c r="AA379" s="17" t="str">
        <f t="shared" si="9"/>
        <v/>
      </c>
      <c r="AB379" s="1">
        <f>value(IFERROR(SUBSTITUTE(SUBSTITUTE(VLOOKUP($A379,'Quarterly Pipeline vs Target Pi'!$A:$V,11,false)," $","")," €",""), "")
)</f>
        <v>0</v>
      </c>
      <c r="AC379" s="1">
        <f>value(IFERROR(SUBSTITUTE(SUBSTITUTE(VLOOKUP($A379,'Quarterly Pipeline vs Target Pi'!$A:$V,12,false)," $","")," €",""), "")
)</f>
        <v>0</v>
      </c>
      <c r="AD379" s="17" t="str">
        <f t="shared" si="10"/>
        <v/>
      </c>
      <c r="AE379" s="1">
        <f>value(IFERROR(SUBSTITUTE(SUBSTITUTE(VLOOKUP($A379,'Quarterly Pipeline vs Target Pi'!$A:$V,16,false)," $","")," €",""), "")
)</f>
        <v>0</v>
      </c>
      <c r="AF379" s="1">
        <f>value(IFERROR(SUBSTITUTE(SUBSTITUTE(VLOOKUP($A379,'Quarterly Pipeline vs Target Pi'!$A:$V,17,false)," $","")," €",""), "")
)</f>
        <v>0</v>
      </c>
      <c r="AG379" s="17" t="str">
        <f t="shared" si="11"/>
        <v/>
      </c>
      <c r="AH379" s="1">
        <f>value(IFERROR(SUBSTITUTE(SUBSTITUTE(VLOOKUP($A379,'Quarterly Pipeline vs Target Pi'!$A:$V,21,false)," $","")," €",""), "")
)</f>
        <v>0</v>
      </c>
      <c r="AI379" s="1">
        <f>value(IFERROR(SUBSTITUTE(SUBSTITUTE(VLOOKUP($A379,'Quarterly Pipeline vs Target Pi'!$A:$V,22,false)," $","")," €",""), "")
)</f>
        <v>0</v>
      </c>
      <c r="AJ379" s="17" t="str">
        <f t="shared" si="12"/>
        <v/>
      </c>
      <c r="AK379" s="1">
        <f t="shared" ref="AK379:AL379" si="771">sum(Y379,AB379,AE379,AH379)</f>
        <v>0</v>
      </c>
      <c r="AL379" s="1">
        <f t="shared" si="771"/>
        <v>0</v>
      </c>
      <c r="AM379" s="17" t="str">
        <f t="shared" si="14"/>
        <v/>
      </c>
      <c r="AN379" s="1">
        <f>value(IFERROR(SUBSTITUTE(SUBSTITUTE(VLOOKUP($A379,'Quarterly Pipeline vs Target Pi'!$A:$AP,26,false)," $","")," €",""), "")
)</f>
        <v>0</v>
      </c>
      <c r="AO379" s="1">
        <f>value(IFERROR(SUBSTITUTE(SUBSTITUTE(VLOOKUP($A379,'Quarterly Pipeline vs Target Pi'!$A:$AP,27,false)," $","")," €",""), "")
)</f>
        <v>0</v>
      </c>
      <c r="AP379" s="17" t="str">
        <f t="shared" si="15"/>
        <v/>
      </c>
      <c r="AQ379" s="1">
        <f>value(IFERROR(SUBSTITUTE(SUBSTITUTE(VLOOKUP($A379,'Quarterly Pipeline vs Target Pi'!$A:$AP,31,false)," $","")," €",""), "")
)</f>
        <v>0</v>
      </c>
      <c r="AR379" s="1">
        <f>value(IFERROR(SUBSTITUTE(SUBSTITUTE(VLOOKUP($A379,'Quarterly Pipeline vs Target Pi'!$A:$AP,32,false)," $","")," €",""), "")
)</f>
        <v>0</v>
      </c>
      <c r="AS379" s="17" t="str">
        <f t="shared" si="16"/>
        <v/>
      </c>
      <c r="AT379" s="1">
        <f>value(IFERROR(SUBSTITUTE(SUBSTITUTE(VLOOKUP($A379,'Quarterly Pipeline vs Target Pi'!$A:$AP,36,false)," $","")," €",""), "")
)</f>
        <v>0</v>
      </c>
      <c r="AU379" s="1">
        <f>value(IFERROR(SUBSTITUTE(SUBSTITUTE(VLOOKUP($A379,'Quarterly Pipeline vs Target Pi'!$A:$AP,37,false)," $","")," €",""), "")
)</f>
        <v>0</v>
      </c>
      <c r="AV379" s="17" t="str">
        <f t="shared" si="17"/>
        <v/>
      </c>
      <c r="AW379" s="1">
        <f>value(IFERROR(SUBSTITUTE(SUBSTITUTE(VLOOKUP($A379,'Quarterly Pipeline vs Target Pi'!$A:$AP,41,false)," $","")," €",""), "")
)</f>
        <v>0</v>
      </c>
      <c r="AX379" s="1">
        <f>value(IFERROR(SUBSTITUTE(SUBSTITUTE(VLOOKUP($A379,'Quarterly Pipeline vs Target Pi'!$A:$AP,42,false)," $","")," €",""), "")
)</f>
        <v>0</v>
      </c>
      <c r="AY379" s="17" t="str">
        <f t="shared" si="18"/>
        <v/>
      </c>
      <c r="AZ379" s="1">
        <f t="shared" ref="AZ379:BA379" si="772">sum(AN379,AQ379,AT379,AW379)</f>
        <v>0</v>
      </c>
      <c r="BA379" s="1">
        <f t="shared" si="772"/>
        <v>0</v>
      </c>
      <c r="BB379" s="17" t="str">
        <f t="shared" si="20"/>
        <v/>
      </c>
    </row>
    <row r="380">
      <c r="A380" s="1" t="str">
        <f>IFERROR(__xludf.DUMMYFUNCTION("""COMPUTED_VALUE"""),"6552303b4da000b9ba0cd0b3")</f>
        <v>6552303b4da000b9ba0cd0b3</v>
      </c>
      <c r="B380" s="1" t="str">
        <f>IFERROR(__xludf.DUMMYFUNCTION("""COMPUTED_VALUE"""),"Seal telecom comercio e servicos")</f>
        <v>Seal telecom comercio e servicos</v>
      </c>
      <c r="C380" s="1" t="str">
        <f>IFERROR(__xludf.DUMMYFUNCTION("""COMPUTED_VALUE"""),"philippe.girard@al-enterprise.com, rui.silva@al-enterprise.com, paola.sa@al-enterprise.com, nuno.ribas@al-enterprise.com, carolina.rodriguez@al-enterprise.com")</f>
        <v>philippe.girard@al-enterprise.com, rui.silva@al-enterprise.com, paola.sa@al-enterprise.com, nuno.ribas@al-enterprise.com, carolina.rodriguez@al-enterprise.com</v>
      </c>
      <c r="D380" s="1" t="str">
        <f>IFERROR(__xludf.DUMMYFUNCTION("""COMPUTED_VALUE"""),"americas")</f>
        <v>americas</v>
      </c>
      <c r="E380" s="1" t="str">
        <f>IFERROR(__xludf.DUMMYFUNCTION("""COMPUTED_VALUE"""),"PE")</f>
        <v>PE</v>
      </c>
      <c r="F380" s="1" t="str">
        <f>IFERROR(__xludf.DUMMYFUNCTION("""COMPUTED_VALUE"""),"expert_200")</f>
        <v>expert_200</v>
      </c>
      <c r="G380" s="1">
        <f>iferror(VLOOKUP(A380,'Business Plan Setup and Accepta'!A:G,6,false),"")</f>
        <v>0</v>
      </c>
      <c r="H380" s="1">
        <f>iferror(VLOOKUP(A380,'Business Plan Setup and Accepta'!A:G,7,false),"")</f>
        <v>1</v>
      </c>
      <c r="I380" s="17">
        <f t="shared" si="3"/>
        <v>0</v>
      </c>
      <c r="J380" s="1">
        <f>IFERROR(VALUE(SUBSTITUTE(VLOOKUP(A380,'Sales IN Revenues vs Sales targ'!A:G,6,false)," $","")), "")
</f>
        <v>0</v>
      </c>
      <c r="K380" s="1">
        <f>IFERROR(VALUE(SUBSTITUTE(VLOOKUP(A380,'Sales IN Revenues vs Sales targ'!A:G,7,false)," $","")), "")
</f>
        <v>0</v>
      </c>
      <c r="L380" s="17" t="str">
        <f t="shared" si="4"/>
        <v/>
      </c>
      <c r="M380" s="1">
        <f>value(SUBSTITUTE(IFERROR(VLOOKUP(A380,'Certifications achievements vs '!A:G,6,false),""),"#","")
)</f>
        <v>5</v>
      </c>
      <c r="N380" s="1">
        <f>value(SUBSTITUTE(IFERROR(VLOOKUP(A380,'Certifications achievements vs '!A:G,7,false),""),"#","")
)</f>
        <v>62</v>
      </c>
      <c r="O380" s="17">
        <f t="shared" si="5"/>
        <v>0.08064516129</v>
      </c>
      <c r="P380" s="1">
        <f>value(SUBSTITUTE(IFERROR(VLOOKUP(A380,'Communications - Solution Speci'!A:G,6,false),""),"#","")
)</f>
        <v>0</v>
      </c>
      <c r="Q380" s="1">
        <f>value(SUBSTITUTE(IFERROR(VLOOKUP(A380,'Communications - Solution Speci'!A:G,7,false),""),"#","")
)</f>
        <v>1</v>
      </c>
      <c r="R380" s="17">
        <f t="shared" si="6"/>
        <v>0</v>
      </c>
      <c r="S380" s="1">
        <f>value(SUBSTITUTE(IFERROR(VLOOKUP(A380,'Networking - Solution Specializ'!A:G,6,false),""),"#","")
)</f>
        <v>0</v>
      </c>
      <c r="T380" s="1">
        <f>value(SUBSTITUTE(IFERROR(VLOOKUP(A380,'Networking - Solution Specializ'!A:G,7,false),""),"#","")
)</f>
        <v>1</v>
      </c>
      <c r="U380" s="17">
        <f t="shared" si="7"/>
        <v>0</v>
      </c>
      <c r="V380" s="1">
        <f>iferror(vlookup(A380,'Marketing Plan (extract summary'!A:G,6,false),"")</f>
        <v>0</v>
      </c>
      <c r="W380" s="1">
        <f>iferror(vlookup(A380,'Marketing Plan (extract summary'!A:G,7,false),"")</f>
        <v>1</v>
      </c>
      <c r="X380" s="17">
        <f t="shared" si="8"/>
        <v>0</v>
      </c>
      <c r="Y380" s="1">
        <f>value(IFERROR(SUBSTITUTE(SUBSTITUTE(VLOOKUP(A380,'Quarterly Pipeline vs Target Pi'!A:G,6,false)," $","")," €",""), "")
)</f>
        <v>5.19</v>
      </c>
      <c r="Z380" s="1">
        <f>value(IFERROR(SUBSTITUTE(SUBSTITUTE(VLOOKUP(A380,'Quarterly Pipeline vs Target Pi'!A:G,7,false)," $","")," €",""), "")
)</f>
        <v>0</v>
      </c>
      <c r="AA380" s="17" t="str">
        <f t="shared" si="9"/>
        <v/>
      </c>
      <c r="AB380" s="1">
        <f>value(IFERROR(SUBSTITUTE(SUBSTITUTE(VLOOKUP($A380,'Quarterly Pipeline vs Target Pi'!$A:$V,11,false)," $","")," €",""), "")
)</f>
        <v>5.19</v>
      </c>
      <c r="AC380" s="1">
        <f>value(IFERROR(SUBSTITUTE(SUBSTITUTE(VLOOKUP($A380,'Quarterly Pipeline vs Target Pi'!$A:$V,12,false)," $","")," €",""), "")
)</f>
        <v>0</v>
      </c>
      <c r="AD380" s="17" t="str">
        <f t="shared" si="10"/>
        <v/>
      </c>
      <c r="AE380" s="1">
        <f>value(IFERROR(SUBSTITUTE(SUBSTITUTE(VLOOKUP($A380,'Quarterly Pipeline vs Target Pi'!$A:$V,16,false)," $","")," €",""), "")
)</f>
        <v>5.19</v>
      </c>
      <c r="AF380" s="1">
        <f>value(IFERROR(SUBSTITUTE(SUBSTITUTE(VLOOKUP($A380,'Quarterly Pipeline vs Target Pi'!$A:$V,17,false)," $","")," €",""), "")
)</f>
        <v>0</v>
      </c>
      <c r="AG380" s="17" t="str">
        <f t="shared" si="11"/>
        <v/>
      </c>
      <c r="AH380" s="1">
        <f>value(IFERROR(SUBSTITUTE(SUBSTITUTE(VLOOKUP($A380,'Quarterly Pipeline vs Target Pi'!$A:$V,21,false)," $","")," €",""), "")
)</f>
        <v>0</v>
      </c>
      <c r="AI380" s="1">
        <f>value(IFERROR(SUBSTITUTE(SUBSTITUTE(VLOOKUP($A380,'Quarterly Pipeline vs Target Pi'!$A:$V,22,false)," $","")," €",""), "")
)</f>
        <v>0</v>
      </c>
      <c r="AJ380" s="17" t="str">
        <f t="shared" si="12"/>
        <v/>
      </c>
      <c r="AK380" s="1">
        <f t="shared" ref="AK380:AL380" si="773">sum(Y380,AB380,AE380,AH380)</f>
        <v>15.57</v>
      </c>
      <c r="AL380" s="1">
        <f t="shared" si="773"/>
        <v>0</v>
      </c>
      <c r="AM380" s="17" t="str">
        <f t="shared" si="14"/>
        <v/>
      </c>
      <c r="AN380" s="1">
        <f>value(IFERROR(SUBSTITUTE(SUBSTITUTE(VLOOKUP($A380,'Quarterly Pipeline vs Target Pi'!$A:$AP,26,false)," $","")," €",""), "")
)</f>
        <v>0</v>
      </c>
      <c r="AO380" s="1">
        <f>value(IFERROR(SUBSTITUTE(SUBSTITUTE(VLOOKUP($A380,'Quarterly Pipeline vs Target Pi'!$A:$AP,27,false)," $","")," €",""), "")
)</f>
        <v>0</v>
      </c>
      <c r="AP380" s="17" t="str">
        <f t="shared" si="15"/>
        <v/>
      </c>
      <c r="AQ380" s="1">
        <f>value(IFERROR(SUBSTITUTE(SUBSTITUTE(VLOOKUP($A380,'Quarterly Pipeline vs Target Pi'!$A:$AP,31,false)," $","")," €",""), "")
)</f>
        <v>0</v>
      </c>
      <c r="AR380" s="1">
        <f>value(IFERROR(SUBSTITUTE(SUBSTITUTE(VLOOKUP($A380,'Quarterly Pipeline vs Target Pi'!$A:$AP,32,false)," $","")," €",""), "")
)</f>
        <v>0</v>
      </c>
      <c r="AS380" s="17" t="str">
        <f t="shared" si="16"/>
        <v/>
      </c>
      <c r="AT380" s="1">
        <f>value(IFERROR(SUBSTITUTE(SUBSTITUTE(VLOOKUP($A380,'Quarterly Pipeline vs Target Pi'!$A:$AP,36,false)," $","")," €",""), "")
)</f>
        <v>0</v>
      </c>
      <c r="AU380" s="1">
        <f>value(IFERROR(SUBSTITUTE(SUBSTITUTE(VLOOKUP($A380,'Quarterly Pipeline vs Target Pi'!$A:$AP,37,false)," $","")," €",""), "")
)</f>
        <v>0</v>
      </c>
      <c r="AV380" s="17" t="str">
        <f t="shared" si="17"/>
        <v/>
      </c>
      <c r="AW380" s="1">
        <f>value(IFERROR(SUBSTITUTE(SUBSTITUTE(VLOOKUP($A380,'Quarterly Pipeline vs Target Pi'!$A:$AP,41,false)," $","")," €",""), "")
)</f>
        <v>0</v>
      </c>
      <c r="AX380" s="1">
        <f>value(IFERROR(SUBSTITUTE(SUBSTITUTE(VLOOKUP($A380,'Quarterly Pipeline vs Target Pi'!$A:$AP,42,false)," $","")," €",""), "")
)</f>
        <v>0</v>
      </c>
      <c r="AY380" s="17" t="str">
        <f t="shared" si="18"/>
        <v/>
      </c>
      <c r="AZ380" s="1">
        <f t="shared" ref="AZ380:BA380" si="774">sum(AN380,AQ380,AT380,AW380)</f>
        <v>0</v>
      </c>
      <c r="BA380" s="1">
        <f t="shared" si="774"/>
        <v>0</v>
      </c>
      <c r="BB380" s="17" t="str">
        <f t="shared" si="20"/>
        <v/>
      </c>
    </row>
    <row r="381">
      <c r="A381" s="1" t="str">
        <f>IFERROR(__xludf.DUMMYFUNCTION("""COMPUTED_VALUE"""),"65dcd9b9019929778f07c46d")</f>
        <v>65dcd9b9019929778f07c46d</v>
      </c>
      <c r="B381" s="1" t="str">
        <f>IFERROR(__xludf.DUMMYFUNCTION("""COMPUTED_VALUE"""),"SEAL TELECOM SOLUCIONES DE INTEGRACION CHILE SPA")</f>
        <v>SEAL TELECOM SOLUCIONES DE INTEGRACION CHILE SPA</v>
      </c>
      <c r="C381" s="1" t="str">
        <f>IFERROR(__xludf.DUMMYFUNCTION("""COMPUTED_VALUE"""),"philippe.girard@al-enterprise.com, rui.silva@al-enterprise.com, luis.arriagada@al-enterprise.com")</f>
        <v>philippe.girard@al-enterprise.com, rui.silva@al-enterprise.com, luis.arriagada@al-enterprise.com</v>
      </c>
      <c r="D381" s="1" t="str">
        <f>IFERROR(__xludf.DUMMYFUNCTION("""COMPUTED_VALUE"""),"americas")</f>
        <v>americas</v>
      </c>
      <c r="E381" s="1" t="str">
        <f>IFERROR(__xludf.DUMMYFUNCTION("""COMPUTED_VALUE"""),"CL")</f>
        <v>CL</v>
      </c>
      <c r="F381" s="1" t="str">
        <f>IFERROR(__xludf.DUMMYFUNCTION("""COMPUTED_VALUE"""),"expert_200")</f>
        <v>expert_200</v>
      </c>
      <c r="G381" s="1">
        <f>iferror(VLOOKUP(A381,'Business Plan Setup and Accepta'!A:G,6,false),"")</f>
        <v>0</v>
      </c>
      <c r="H381" s="1">
        <f>iferror(VLOOKUP(A381,'Business Plan Setup and Accepta'!A:G,7,false),"")</f>
        <v>1</v>
      </c>
      <c r="I381" s="17">
        <f t="shared" si="3"/>
        <v>0</v>
      </c>
      <c r="J381" s="1">
        <f>IFERROR(VALUE(SUBSTITUTE(VLOOKUP(A381,'Sales IN Revenues vs Sales targ'!A:G,6,false)," $","")), "")
</f>
        <v>0</v>
      </c>
      <c r="K381" s="1">
        <f>IFERROR(VALUE(SUBSTITUTE(VLOOKUP(A381,'Sales IN Revenues vs Sales targ'!A:G,7,false)," $","")), "")
</f>
        <v>0</v>
      </c>
      <c r="L381" s="17" t="str">
        <f t="shared" si="4"/>
        <v/>
      </c>
      <c r="M381" s="1">
        <f>value(SUBSTITUTE(IFERROR(VLOOKUP(A381,'Certifications achievements vs '!A:G,6,false),""),"#","")
)</f>
        <v>0</v>
      </c>
      <c r="N381" s="1">
        <f>value(SUBSTITUTE(IFERROR(VLOOKUP(A381,'Certifications achievements vs '!A:G,7,false),""),"#","")
)</f>
        <v>0</v>
      </c>
      <c r="O381" s="17" t="str">
        <f t="shared" si="5"/>
        <v/>
      </c>
      <c r="P381" s="1">
        <f>value(SUBSTITUTE(IFERROR(VLOOKUP(A381,'Communications - Solution Speci'!A:G,6,false),""),"#","")
)</f>
        <v>0</v>
      </c>
      <c r="Q381" s="1">
        <f>value(SUBSTITUTE(IFERROR(VLOOKUP(A381,'Communications - Solution Speci'!A:G,7,false),""),"#","")
)</f>
        <v>1</v>
      </c>
      <c r="R381" s="17">
        <f t="shared" si="6"/>
        <v>0</v>
      </c>
      <c r="S381" s="1">
        <f>value(SUBSTITUTE(IFERROR(VLOOKUP(A381,'Networking - Solution Specializ'!A:G,6,false),""),"#","")
)</f>
        <v>0</v>
      </c>
      <c r="T381" s="1">
        <f>value(SUBSTITUTE(IFERROR(VLOOKUP(A381,'Networking - Solution Specializ'!A:G,7,false),""),"#","")
)</f>
        <v>1</v>
      </c>
      <c r="U381" s="17">
        <f t="shared" si="7"/>
        <v>0</v>
      </c>
      <c r="V381" s="1">
        <f>iferror(vlookup(A381,'Marketing Plan (extract summary'!A:G,6,false),"")</f>
        <v>0</v>
      </c>
      <c r="W381" s="1">
        <f>iferror(vlookup(A381,'Marketing Plan (extract summary'!A:G,7,false),"")</f>
        <v>1</v>
      </c>
      <c r="X381" s="17">
        <f t="shared" si="8"/>
        <v>0</v>
      </c>
      <c r="Y381" s="1">
        <f>value(IFERROR(SUBSTITUTE(SUBSTITUTE(VLOOKUP(A381,'Quarterly Pipeline vs Target Pi'!A:G,6,false)," $","")," €",""), "")
)</f>
        <v>0</v>
      </c>
      <c r="Z381" s="1">
        <f>value(IFERROR(SUBSTITUTE(SUBSTITUTE(VLOOKUP(A381,'Quarterly Pipeline vs Target Pi'!A:G,7,false)," $","")," €",""), "")
)</f>
        <v>0</v>
      </c>
      <c r="AA381" s="17" t="str">
        <f t="shared" si="9"/>
        <v/>
      </c>
      <c r="AB381" s="1">
        <f>value(IFERROR(SUBSTITUTE(SUBSTITUTE(VLOOKUP($A381,'Quarterly Pipeline vs Target Pi'!$A:$V,11,false)," $","")," €",""), "")
)</f>
        <v>0</v>
      </c>
      <c r="AC381" s="1">
        <f>value(IFERROR(SUBSTITUTE(SUBSTITUTE(VLOOKUP($A381,'Quarterly Pipeline vs Target Pi'!$A:$V,12,false)," $","")," €",""), "")
)</f>
        <v>0</v>
      </c>
      <c r="AD381" s="17" t="str">
        <f t="shared" si="10"/>
        <v/>
      </c>
      <c r="AE381" s="1">
        <f>value(IFERROR(SUBSTITUTE(SUBSTITUTE(VLOOKUP($A381,'Quarterly Pipeline vs Target Pi'!$A:$V,16,false)," $","")," €",""), "")
)</f>
        <v>0</v>
      </c>
      <c r="AF381" s="1">
        <f>value(IFERROR(SUBSTITUTE(SUBSTITUTE(VLOOKUP($A381,'Quarterly Pipeline vs Target Pi'!$A:$V,17,false)," $","")," €",""), "")
)</f>
        <v>0</v>
      </c>
      <c r="AG381" s="17" t="str">
        <f t="shared" si="11"/>
        <v/>
      </c>
      <c r="AH381" s="1">
        <f>value(IFERROR(SUBSTITUTE(SUBSTITUTE(VLOOKUP($A381,'Quarterly Pipeline vs Target Pi'!$A:$V,21,false)," $","")," €",""), "")
)</f>
        <v>0</v>
      </c>
      <c r="AI381" s="1">
        <f>value(IFERROR(SUBSTITUTE(SUBSTITUTE(VLOOKUP($A381,'Quarterly Pipeline vs Target Pi'!$A:$V,22,false)," $","")," €",""), "")
)</f>
        <v>0</v>
      </c>
      <c r="AJ381" s="17" t="str">
        <f t="shared" si="12"/>
        <v/>
      </c>
      <c r="AK381" s="1">
        <f t="shared" ref="AK381:AL381" si="775">sum(Y381,AB381,AE381,AH381)</f>
        <v>0</v>
      </c>
      <c r="AL381" s="1">
        <f t="shared" si="775"/>
        <v>0</v>
      </c>
      <c r="AM381" s="17" t="str">
        <f t="shared" si="14"/>
        <v/>
      </c>
      <c r="AN381" s="1">
        <f>value(IFERROR(SUBSTITUTE(SUBSTITUTE(VLOOKUP($A381,'Quarterly Pipeline vs Target Pi'!$A:$AP,26,false)," $","")," €",""), "")
)</f>
        <v>0</v>
      </c>
      <c r="AO381" s="1">
        <f>value(IFERROR(SUBSTITUTE(SUBSTITUTE(VLOOKUP($A381,'Quarterly Pipeline vs Target Pi'!$A:$AP,27,false)," $","")," €",""), "")
)</f>
        <v>0</v>
      </c>
      <c r="AP381" s="17" t="str">
        <f t="shared" si="15"/>
        <v/>
      </c>
      <c r="AQ381" s="1">
        <f>value(IFERROR(SUBSTITUTE(SUBSTITUTE(VLOOKUP($A381,'Quarterly Pipeline vs Target Pi'!$A:$AP,31,false)," $","")," €",""), "")
)</f>
        <v>0</v>
      </c>
      <c r="AR381" s="1">
        <f>value(IFERROR(SUBSTITUTE(SUBSTITUTE(VLOOKUP($A381,'Quarterly Pipeline vs Target Pi'!$A:$AP,32,false)," $","")," €",""), "")
)</f>
        <v>0</v>
      </c>
      <c r="AS381" s="17" t="str">
        <f t="shared" si="16"/>
        <v/>
      </c>
      <c r="AT381" s="1">
        <f>value(IFERROR(SUBSTITUTE(SUBSTITUTE(VLOOKUP($A381,'Quarterly Pipeline vs Target Pi'!$A:$AP,36,false)," $","")," €",""), "")
)</f>
        <v>0</v>
      </c>
      <c r="AU381" s="1">
        <f>value(IFERROR(SUBSTITUTE(SUBSTITUTE(VLOOKUP($A381,'Quarterly Pipeline vs Target Pi'!$A:$AP,37,false)," $","")," €",""), "")
)</f>
        <v>0</v>
      </c>
      <c r="AV381" s="17" t="str">
        <f t="shared" si="17"/>
        <v/>
      </c>
      <c r="AW381" s="1">
        <f>value(IFERROR(SUBSTITUTE(SUBSTITUTE(VLOOKUP($A381,'Quarterly Pipeline vs Target Pi'!$A:$AP,41,false)," $","")," €",""), "")
)</f>
        <v>0</v>
      </c>
      <c r="AX381" s="1">
        <f>value(IFERROR(SUBSTITUTE(SUBSTITUTE(VLOOKUP($A381,'Quarterly Pipeline vs Target Pi'!$A:$AP,42,false)," $","")," €",""), "")
)</f>
        <v>0</v>
      </c>
      <c r="AY381" s="17" t="str">
        <f t="shared" si="18"/>
        <v/>
      </c>
      <c r="AZ381" s="1">
        <f t="shared" ref="AZ381:BA381" si="776">sum(AN381,AQ381,AT381,AW381)</f>
        <v>0</v>
      </c>
      <c r="BA381" s="1">
        <f t="shared" si="776"/>
        <v>0</v>
      </c>
      <c r="BB381" s="17" t="str">
        <f t="shared" si="20"/>
        <v/>
      </c>
    </row>
    <row r="382">
      <c r="A382" s="1" t="str">
        <f>IFERROR(__xludf.DUMMYFUNCTION("""COMPUTED_VALUE"""),"63ced84ec5c820531c269a4f")</f>
        <v>63ced84ec5c820531c269a4f</v>
      </c>
      <c r="B382" s="1" t="str">
        <f>IFERROR(__xludf.DUMMYFUNCTION("""COMPUTED_VALUE"""),"Secured Network Solutions")</f>
        <v>Secured Network Solutions</v>
      </c>
      <c r="C382" s="1" t="str">
        <f>IFERROR(__xludf.DUMMYFUNCTION("""COMPUTED_VALUE"""),"brendan.flaherty@al-enterprise.com")</f>
        <v>brendan.flaherty@al-enterprise.com</v>
      </c>
      <c r="D382" s="1" t="str">
        <f>IFERROR(__xludf.DUMMYFUNCTION("""COMPUTED_VALUE"""),"americas")</f>
        <v>americas</v>
      </c>
      <c r="E382" s="1" t="str">
        <f>IFERROR(__xludf.DUMMYFUNCTION("""COMPUTED_VALUE"""),"US")</f>
        <v>US</v>
      </c>
      <c r="F382" s="1"/>
      <c r="G382" s="1" t="str">
        <f>iferror(VLOOKUP(A382,'Business Plan Setup and Accepta'!A:G,6,false),"")</f>
        <v/>
      </c>
      <c r="H382" s="1" t="str">
        <f>iferror(VLOOKUP(A382,'Business Plan Setup and Accepta'!A:G,7,false),"")</f>
        <v/>
      </c>
      <c r="I382" s="17" t="str">
        <f t="shared" si="3"/>
        <v/>
      </c>
      <c r="J382" s="1" t="str">
        <f>IFERROR(VALUE(SUBSTITUTE(VLOOKUP(A382,'Sales IN Revenues vs Sales targ'!A:G,6,false)," $","")), "")
</f>
        <v/>
      </c>
      <c r="K382" s="1" t="str">
        <f>IFERROR(VALUE(SUBSTITUTE(VLOOKUP(A382,'Sales IN Revenues vs Sales targ'!A:G,7,false)," $","")), "")
</f>
        <v/>
      </c>
      <c r="L382" s="17" t="str">
        <f t="shared" si="4"/>
        <v/>
      </c>
      <c r="M382" s="1">
        <f>value(SUBSTITUTE(IFERROR(VLOOKUP(A382,'Certifications achievements vs '!A:G,6,false),""),"#","")
)</f>
        <v>0</v>
      </c>
      <c r="N382" s="1">
        <f>value(SUBSTITUTE(IFERROR(VLOOKUP(A382,'Certifications achievements vs '!A:G,7,false),""),"#","")
)</f>
        <v>0</v>
      </c>
      <c r="O382" s="17" t="str">
        <f t="shared" si="5"/>
        <v/>
      </c>
      <c r="P382" s="1">
        <f>value(SUBSTITUTE(IFERROR(VLOOKUP(A382,'Communications - Solution Speci'!A:G,6,false),""),"#","")
)</f>
        <v>0</v>
      </c>
      <c r="Q382" s="1">
        <f>value(SUBSTITUTE(IFERROR(VLOOKUP(A382,'Communications - Solution Speci'!A:G,7,false),""),"#","")
)</f>
        <v>0</v>
      </c>
      <c r="R382" s="17" t="str">
        <f t="shared" si="6"/>
        <v/>
      </c>
      <c r="S382" s="1">
        <f>value(SUBSTITUTE(IFERROR(VLOOKUP(A382,'Networking - Solution Specializ'!A:G,6,false),""),"#","")
)</f>
        <v>0</v>
      </c>
      <c r="T382" s="1">
        <f>value(SUBSTITUTE(IFERROR(VLOOKUP(A382,'Networking - Solution Specializ'!A:G,7,false),""),"#","")
)</f>
        <v>0</v>
      </c>
      <c r="U382" s="17" t="str">
        <f t="shared" si="7"/>
        <v/>
      </c>
      <c r="V382" s="1" t="str">
        <f>iferror(vlookup(A382,'Marketing Plan (extract summary'!A:G,6,false),"")</f>
        <v/>
      </c>
      <c r="W382" s="1" t="str">
        <f>iferror(vlookup(A382,'Marketing Plan (extract summary'!A:G,7,false),"")</f>
        <v/>
      </c>
      <c r="X382" s="17" t="str">
        <f t="shared" si="8"/>
        <v/>
      </c>
      <c r="Y382" s="1">
        <f>value(IFERROR(SUBSTITUTE(SUBSTITUTE(VLOOKUP(A382,'Quarterly Pipeline vs Target Pi'!A:G,6,false)," $","")," €",""), "")
)</f>
        <v>0</v>
      </c>
      <c r="Z382" s="1">
        <f>value(IFERROR(SUBSTITUTE(SUBSTITUTE(VLOOKUP(A382,'Quarterly Pipeline vs Target Pi'!A:G,7,false)," $","")," €",""), "")
)</f>
        <v>0</v>
      </c>
      <c r="AA382" s="17" t="str">
        <f t="shared" si="9"/>
        <v/>
      </c>
      <c r="AB382" s="1">
        <f>value(IFERROR(SUBSTITUTE(SUBSTITUTE(VLOOKUP($A382,'Quarterly Pipeline vs Target Pi'!$A:$V,11,false)," $","")," €",""), "")
)</f>
        <v>0</v>
      </c>
      <c r="AC382" s="1">
        <f>value(IFERROR(SUBSTITUTE(SUBSTITUTE(VLOOKUP($A382,'Quarterly Pipeline vs Target Pi'!$A:$V,12,false)," $","")," €",""), "")
)</f>
        <v>0</v>
      </c>
      <c r="AD382" s="17" t="str">
        <f t="shared" si="10"/>
        <v/>
      </c>
      <c r="AE382" s="1">
        <f>value(IFERROR(SUBSTITUTE(SUBSTITUTE(VLOOKUP($A382,'Quarterly Pipeline vs Target Pi'!$A:$V,16,false)," $","")," €",""), "")
)</f>
        <v>0</v>
      </c>
      <c r="AF382" s="1">
        <f>value(IFERROR(SUBSTITUTE(SUBSTITUTE(VLOOKUP($A382,'Quarterly Pipeline vs Target Pi'!$A:$V,17,false)," $","")," €",""), "")
)</f>
        <v>0</v>
      </c>
      <c r="AG382" s="17" t="str">
        <f t="shared" si="11"/>
        <v/>
      </c>
      <c r="AH382" s="1">
        <f>value(IFERROR(SUBSTITUTE(SUBSTITUTE(VLOOKUP($A382,'Quarterly Pipeline vs Target Pi'!$A:$V,21,false)," $","")," €",""), "")
)</f>
        <v>0</v>
      </c>
      <c r="AI382" s="1">
        <f>value(IFERROR(SUBSTITUTE(SUBSTITUTE(VLOOKUP($A382,'Quarterly Pipeline vs Target Pi'!$A:$V,22,false)," $","")," €",""), "")
)</f>
        <v>0</v>
      </c>
      <c r="AJ382" s="17" t="str">
        <f t="shared" si="12"/>
        <v/>
      </c>
      <c r="AK382" s="1">
        <f t="shared" ref="AK382:AL382" si="777">sum(Y382,AB382,AE382,AH382)</f>
        <v>0</v>
      </c>
      <c r="AL382" s="1">
        <f t="shared" si="777"/>
        <v>0</v>
      </c>
      <c r="AM382" s="17" t="str">
        <f t="shared" si="14"/>
        <v/>
      </c>
      <c r="AN382" s="1">
        <f>value(IFERROR(SUBSTITUTE(SUBSTITUTE(VLOOKUP($A382,'Quarterly Pipeline vs Target Pi'!$A:$AP,26,false)," $","")," €",""), "")
)</f>
        <v>0</v>
      </c>
      <c r="AO382" s="1">
        <f>value(IFERROR(SUBSTITUTE(SUBSTITUTE(VLOOKUP($A382,'Quarterly Pipeline vs Target Pi'!$A:$AP,27,false)," $","")," €",""), "")
)</f>
        <v>0</v>
      </c>
      <c r="AP382" s="17" t="str">
        <f t="shared" si="15"/>
        <v/>
      </c>
      <c r="AQ382" s="1">
        <f>value(IFERROR(SUBSTITUTE(SUBSTITUTE(VLOOKUP($A382,'Quarterly Pipeline vs Target Pi'!$A:$AP,31,false)," $","")," €",""), "")
)</f>
        <v>0</v>
      </c>
      <c r="AR382" s="1">
        <f>value(IFERROR(SUBSTITUTE(SUBSTITUTE(VLOOKUP($A382,'Quarterly Pipeline vs Target Pi'!$A:$AP,32,false)," $","")," €",""), "")
)</f>
        <v>0</v>
      </c>
      <c r="AS382" s="17" t="str">
        <f t="shared" si="16"/>
        <v/>
      </c>
      <c r="AT382" s="1">
        <f>value(IFERROR(SUBSTITUTE(SUBSTITUTE(VLOOKUP($A382,'Quarterly Pipeline vs Target Pi'!$A:$AP,36,false)," $","")," €",""), "")
)</f>
        <v>0</v>
      </c>
      <c r="AU382" s="1">
        <f>value(IFERROR(SUBSTITUTE(SUBSTITUTE(VLOOKUP($A382,'Quarterly Pipeline vs Target Pi'!$A:$AP,37,false)," $","")," €",""), "")
)</f>
        <v>0</v>
      </c>
      <c r="AV382" s="17" t="str">
        <f t="shared" si="17"/>
        <v/>
      </c>
      <c r="AW382" s="1">
        <f>value(IFERROR(SUBSTITUTE(SUBSTITUTE(VLOOKUP($A382,'Quarterly Pipeline vs Target Pi'!$A:$AP,41,false)," $","")," €",""), "")
)</f>
        <v>0</v>
      </c>
      <c r="AX382" s="1">
        <f>value(IFERROR(SUBSTITUTE(SUBSTITUTE(VLOOKUP($A382,'Quarterly Pipeline vs Target Pi'!$A:$AP,42,false)," $","")," €",""), "")
)</f>
        <v>0</v>
      </c>
      <c r="AY382" s="17" t="str">
        <f t="shared" si="18"/>
        <v/>
      </c>
      <c r="AZ382" s="1">
        <f t="shared" ref="AZ382:BA382" si="778">sum(AN382,AQ382,AT382,AW382)</f>
        <v>0</v>
      </c>
      <c r="BA382" s="1">
        <f t="shared" si="778"/>
        <v>0</v>
      </c>
      <c r="BB382" s="17" t="str">
        <f t="shared" si="20"/>
        <v/>
      </c>
    </row>
    <row r="383">
      <c r="A383" s="1" t="str">
        <f>IFERROR(__xludf.DUMMYFUNCTION("""COMPUTED_VALUE"""),"63ef9d58384f27260c1ba457")</f>
        <v>63ef9d58384f27260c1ba457</v>
      </c>
      <c r="B383" s="1" t="str">
        <f>IFERROR(__xludf.DUMMYFUNCTION("""COMPUTED_VALUE"""),"SecureTech")</f>
        <v>SecureTech</v>
      </c>
      <c r="C383" s="1" t="str">
        <f>IFERROR(__xludf.DUMMYFUNCTION("""COMPUTED_VALUE"""),"gene.hawks@al-enterprise.com, steve.mcglasson@al-enterprise.com, bill.rademacher@al-enterprise.com")</f>
        <v>gene.hawks@al-enterprise.com, steve.mcglasson@al-enterprise.com, bill.rademacher@al-enterprise.com</v>
      </c>
      <c r="D383" s="1" t="str">
        <f>IFERROR(__xludf.DUMMYFUNCTION("""COMPUTED_VALUE"""),"americas")</f>
        <v>americas</v>
      </c>
      <c r="E383" s="1" t="str">
        <f>IFERROR(__xludf.DUMMYFUNCTION("""COMPUTED_VALUE"""),"US")</f>
        <v>US</v>
      </c>
      <c r="F383" s="1"/>
      <c r="G383" s="1" t="str">
        <f>iferror(VLOOKUP(A383,'Business Plan Setup and Accepta'!A:G,6,false),"")</f>
        <v/>
      </c>
      <c r="H383" s="1" t="str">
        <f>iferror(VLOOKUP(A383,'Business Plan Setup and Accepta'!A:G,7,false),"")</f>
        <v/>
      </c>
      <c r="I383" s="17" t="str">
        <f t="shared" si="3"/>
        <v/>
      </c>
      <c r="J383" s="1" t="str">
        <f>IFERROR(VALUE(SUBSTITUTE(VLOOKUP(A383,'Sales IN Revenues vs Sales targ'!A:G,6,false)," $","")), "")
</f>
        <v/>
      </c>
      <c r="K383" s="1" t="str">
        <f>IFERROR(VALUE(SUBSTITUTE(VLOOKUP(A383,'Sales IN Revenues vs Sales targ'!A:G,7,false)," $","")), "")
</f>
        <v/>
      </c>
      <c r="L383" s="17" t="str">
        <f t="shared" si="4"/>
        <v/>
      </c>
      <c r="M383" s="1">
        <f>value(SUBSTITUTE(IFERROR(VLOOKUP(A383,'Certifications achievements vs '!A:G,6,false),""),"#","")
)</f>
        <v>0</v>
      </c>
      <c r="N383" s="1">
        <f>value(SUBSTITUTE(IFERROR(VLOOKUP(A383,'Certifications achievements vs '!A:G,7,false),""),"#","")
)</f>
        <v>0</v>
      </c>
      <c r="O383" s="17" t="str">
        <f t="shared" si="5"/>
        <v/>
      </c>
      <c r="P383" s="1">
        <f>value(SUBSTITUTE(IFERROR(VLOOKUP(A383,'Communications - Solution Speci'!A:G,6,false),""),"#","")
)</f>
        <v>0</v>
      </c>
      <c r="Q383" s="1">
        <f>value(SUBSTITUTE(IFERROR(VLOOKUP(A383,'Communications - Solution Speci'!A:G,7,false),""),"#","")
)</f>
        <v>0</v>
      </c>
      <c r="R383" s="17" t="str">
        <f t="shared" si="6"/>
        <v/>
      </c>
      <c r="S383" s="1">
        <f>value(SUBSTITUTE(IFERROR(VLOOKUP(A383,'Networking - Solution Specializ'!A:G,6,false),""),"#","")
)</f>
        <v>0</v>
      </c>
      <c r="T383" s="1">
        <f>value(SUBSTITUTE(IFERROR(VLOOKUP(A383,'Networking - Solution Specializ'!A:G,7,false),""),"#","")
)</f>
        <v>0</v>
      </c>
      <c r="U383" s="17" t="str">
        <f t="shared" si="7"/>
        <v/>
      </c>
      <c r="V383" s="1" t="str">
        <f>iferror(vlookup(A383,'Marketing Plan (extract summary'!A:G,6,false),"")</f>
        <v/>
      </c>
      <c r="W383" s="1" t="str">
        <f>iferror(vlookup(A383,'Marketing Plan (extract summary'!A:G,7,false),"")</f>
        <v/>
      </c>
      <c r="X383" s="17" t="str">
        <f t="shared" si="8"/>
        <v/>
      </c>
      <c r="Y383" s="1">
        <f>value(IFERROR(SUBSTITUTE(SUBSTITUTE(VLOOKUP(A383,'Quarterly Pipeline vs Target Pi'!A:G,6,false)," $","")," €",""), "")
)</f>
        <v>0</v>
      </c>
      <c r="Z383" s="1">
        <f>value(IFERROR(SUBSTITUTE(SUBSTITUTE(VLOOKUP(A383,'Quarterly Pipeline vs Target Pi'!A:G,7,false)," $","")," €",""), "")
)</f>
        <v>0</v>
      </c>
      <c r="AA383" s="17" t="str">
        <f t="shared" si="9"/>
        <v/>
      </c>
      <c r="AB383" s="1">
        <f>value(IFERROR(SUBSTITUTE(SUBSTITUTE(VLOOKUP($A383,'Quarterly Pipeline vs Target Pi'!$A:$V,11,false)," $","")," €",""), "")
)</f>
        <v>0</v>
      </c>
      <c r="AC383" s="1">
        <f>value(IFERROR(SUBSTITUTE(SUBSTITUTE(VLOOKUP($A383,'Quarterly Pipeline vs Target Pi'!$A:$V,12,false)," $","")," €",""), "")
)</f>
        <v>0</v>
      </c>
      <c r="AD383" s="17" t="str">
        <f t="shared" si="10"/>
        <v/>
      </c>
      <c r="AE383" s="1">
        <f>value(IFERROR(SUBSTITUTE(SUBSTITUTE(VLOOKUP($A383,'Quarterly Pipeline vs Target Pi'!$A:$V,16,false)," $","")," €",""), "")
)</f>
        <v>0</v>
      </c>
      <c r="AF383" s="1">
        <f>value(IFERROR(SUBSTITUTE(SUBSTITUTE(VLOOKUP($A383,'Quarterly Pipeline vs Target Pi'!$A:$V,17,false)," $","")," €",""), "")
)</f>
        <v>0</v>
      </c>
      <c r="AG383" s="17" t="str">
        <f t="shared" si="11"/>
        <v/>
      </c>
      <c r="AH383" s="1">
        <f>value(IFERROR(SUBSTITUTE(SUBSTITUTE(VLOOKUP($A383,'Quarterly Pipeline vs Target Pi'!$A:$V,21,false)," $","")," €",""), "")
)</f>
        <v>0</v>
      </c>
      <c r="AI383" s="1">
        <f>value(IFERROR(SUBSTITUTE(SUBSTITUTE(VLOOKUP($A383,'Quarterly Pipeline vs Target Pi'!$A:$V,22,false)," $","")," €",""), "")
)</f>
        <v>0</v>
      </c>
      <c r="AJ383" s="17" t="str">
        <f t="shared" si="12"/>
        <v/>
      </c>
      <c r="AK383" s="1">
        <f t="shared" ref="AK383:AL383" si="779">sum(Y383,AB383,AE383,AH383)</f>
        <v>0</v>
      </c>
      <c r="AL383" s="1">
        <f t="shared" si="779"/>
        <v>0</v>
      </c>
      <c r="AM383" s="17" t="str">
        <f t="shared" si="14"/>
        <v/>
      </c>
      <c r="AN383" s="1">
        <f>value(IFERROR(SUBSTITUTE(SUBSTITUTE(VLOOKUP($A383,'Quarterly Pipeline vs Target Pi'!$A:$AP,26,false)," $","")," €",""), "")
)</f>
        <v>0</v>
      </c>
      <c r="AO383" s="1">
        <f>value(IFERROR(SUBSTITUTE(SUBSTITUTE(VLOOKUP($A383,'Quarterly Pipeline vs Target Pi'!$A:$AP,27,false)," $","")," €",""), "")
)</f>
        <v>0</v>
      </c>
      <c r="AP383" s="17" t="str">
        <f t="shared" si="15"/>
        <v/>
      </c>
      <c r="AQ383" s="1">
        <f>value(IFERROR(SUBSTITUTE(SUBSTITUTE(VLOOKUP($A383,'Quarterly Pipeline vs Target Pi'!$A:$AP,31,false)," $","")," €",""), "")
)</f>
        <v>0</v>
      </c>
      <c r="AR383" s="1">
        <f>value(IFERROR(SUBSTITUTE(SUBSTITUTE(VLOOKUP($A383,'Quarterly Pipeline vs Target Pi'!$A:$AP,32,false)," $","")," €",""), "")
)</f>
        <v>0</v>
      </c>
      <c r="AS383" s="17" t="str">
        <f t="shared" si="16"/>
        <v/>
      </c>
      <c r="AT383" s="1">
        <f>value(IFERROR(SUBSTITUTE(SUBSTITUTE(VLOOKUP($A383,'Quarterly Pipeline vs Target Pi'!$A:$AP,36,false)," $","")," €",""), "")
)</f>
        <v>0</v>
      </c>
      <c r="AU383" s="1">
        <f>value(IFERROR(SUBSTITUTE(SUBSTITUTE(VLOOKUP($A383,'Quarterly Pipeline vs Target Pi'!$A:$AP,37,false)," $","")," €",""), "")
)</f>
        <v>0</v>
      </c>
      <c r="AV383" s="17" t="str">
        <f t="shared" si="17"/>
        <v/>
      </c>
      <c r="AW383" s="1">
        <f>value(IFERROR(SUBSTITUTE(SUBSTITUTE(VLOOKUP($A383,'Quarterly Pipeline vs Target Pi'!$A:$AP,41,false)," $","")," €",""), "")
)</f>
        <v>0</v>
      </c>
      <c r="AX383" s="1">
        <f>value(IFERROR(SUBSTITUTE(SUBSTITUTE(VLOOKUP($A383,'Quarterly Pipeline vs Target Pi'!$A:$AP,42,false)," $","")," €",""), "")
)</f>
        <v>0</v>
      </c>
      <c r="AY383" s="17" t="str">
        <f t="shared" si="18"/>
        <v/>
      </c>
      <c r="AZ383" s="1">
        <f t="shared" ref="AZ383:BA383" si="780">sum(AN383,AQ383,AT383,AW383)</f>
        <v>0</v>
      </c>
      <c r="BA383" s="1">
        <f t="shared" si="780"/>
        <v>0</v>
      </c>
      <c r="BB383" s="17" t="str">
        <f t="shared" si="20"/>
        <v/>
      </c>
    </row>
    <row r="384">
      <c r="A384" s="1" t="str">
        <f>IFERROR(__xludf.DUMMYFUNCTION("""COMPUTED_VALUE"""),"63fcbb81a107c871cf564d99")</f>
        <v>63fcbb81a107c871cf564d99</v>
      </c>
      <c r="B384" s="1" t="str">
        <f>IFERROR(__xludf.DUMMYFUNCTION("""COMPUTED_VALUE"""),"Sentenia Systems Inc.")</f>
        <v>Sentenia Systems Inc.</v>
      </c>
      <c r="C384" s="1" t="str">
        <f>IFERROR(__xludf.DUMMYFUNCTION("""COMPUTED_VALUE"""),"brendan.flaherty@al-enterprise.com")</f>
        <v>brendan.flaherty@al-enterprise.com</v>
      </c>
      <c r="D384" s="1" t="str">
        <f>IFERROR(__xludf.DUMMYFUNCTION("""COMPUTED_VALUE"""),"americas")</f>
        <v>americas</v>
      </c>
      <c r="E384" s="1" t="str">
        <f>IFERROR(__xludf.DUMMYFUNCTION("""COMPUTED_VALUE"""),"US")</f>
        <v>US</v>
      </c>
      <c r="F384" s="1"/>
      <c r="G384" s="1" t="str">
        <f>iferror(VLOOKUP(A384,'Business Plan Setup and Accepta'!A:G,6,false),"")</f>
        <v/>
      </c>
      <c r="H384" s="1" t="str">
        <f>iferror(VLOOKUP(A384,'Business Plan Setup and Accepta'!A:G,7,false),"")</f>
        <v/>
      </c>
      <c r="I384" s="17" t="str">
        <f t="shared" si="3"/>
        <v/>
      </c>
      <c r="J384" s="1" t="str">
        <f>IFERROR(VALUE(SUBSTITUTE(VLOOKUP(A384,'Sales IN Revenues vs Sales targ'!A:G,6,false)," $","")), "")
</f>
        <v/>
      </c>
      <c r="K384" s="1" t="str">
        <f>IFERROR(VALUE(SUBSTITUTE(VLOOKUP(A384,'Sales IN Revenues vs Sales targ'!A:G,7,false)," $","")), "")
</f>
        <v/>
      </c>
      <c r="L384" s="17" t="str">
        <f t="shared" si="4"/>
        <v/>
      </c>
      <c r="M384" s="1">
        <f>value(SUBSTITUTE(IFERROR(VLOOKUP(A384,'Certifications achievements vs '!A:G,6,false),""),"#","")
)</f>
        <v>0</v>
      </c>
      <c r="N384" s="1">
        <f>value(SUBSTITUTE(IFERROR(VLOOKUP(A384,'Certifications achievements vs '!A:G,7,false),""),"#","")
)</f>
        <v>0</v>
      </c>
      <c r="O384" s="17" t="str">
        <f t="shared" si="5"/>
        <v/>
      </c>
      <c r="P384" s="1">
        <f>value(SUBSTITUTE(IFERROR(VLOOKUP(A384,'Communications - Solution Speci'!A:G,6,false),""),"#","")
)</f>
        <v>0</v>
      </c>
      <c r="Q384" s="1">
        <f>value(SUBSTITUTE(IFERROR(VLOOKUP(A384,'Communications - Solution Speci'!A:G,7,false),""),"#","")
)</f>
        <v>0</v>
      </c>
      <c r="R384" s="17" t="str">
        <f t="shared" si="6"/>
        <v/>
      </c>
      <c r="S384" s="1">
        <f>value(SUBSTITUTE(IFERROR(VLOOKUP(A384,'Networking - Solution Specializ'!A:G,6,false),""),"#","")
)</f>
        <v>0</v>
      </c>
      <c r="T384" s="1">
        <f>value(SUBSTITUTE(IFERROR(VLOOKUP(A384,'Networking - Solution Specializ'!A:G,7,false),""),"#","")
)</f>
        <v>0</v>
      </c>
      <c r="U384" s="17" t="str">
        <f t="shared" si="7"/>
        <v/>
      </c>
      <c r="V384" s="1" t="str">
        <f>iferror(vlookup(A384,'Marketing Plan (extract summary'!A:G,6,false),"")</f>
        <v/>
      </c>
      <c r="W384" s="1" t="str">
        <f>iferror(vlookup(A384,'Marketing Plan (extract summary'!A:G,7,false),"")</f>
        <v/>
      </c>
      <c r="X384" s="17" t="str">
        <f t="shared" si="8"/>
        <v/>
      </c>
      <c r="Y384" s="1">
        <f>value(IFERROR(SUBSTITUTE(SUBSTITUTE(VLOOKUP(A384,'Quarterly Pipeline vs Target Pi'!A:G,6,false)," $","")," €",""), "")
)</f>
        <v>0</v>
      </c>
      <c r="Z384" s="1">
        <f>value(IFERROR(SUBSTITUTE(SUBSTITUTE(VLOOKUP(A384,'Quarterly Pipeline vs Target Pi'!A:G,7,false)," $","")," €",""), "")
)</f>
        <v>0</v>
      </c>
      <c r="AA384" s="17" t="str">
        <f t="shared" si="9"/>
        <v/>
      </c>
      <c r="AB384" s="1">
        <f>value(IFERROR(SUBSTITUTE(SUBSTITUTE(VLOOKUP($A384,'Quarterly Pipeline vs Target Pi'!$A:$V,11,false)," $","")," €",""), "")
)</f>
        <v>0</v>
      </c>
      <c r="AC384" s="1">
        <f>value(IFERROR(SUBSTITUTE(SUBSTITUTE(VLOOKUP($A384,'Quarterly Pipeline vs Target Pi'!$A:$V,12,false)," $","")," €",""), "")
)</f>
        <v>0</v>
      </c>
      <c r="AD384" s="17" t="str">
        <f t="shared" si="10"/>
        <v/>
      </c>
      <c r="AE384" s="1">
        <f>value(IFERROR(SUBSTITUTE(SUBSTITUTE(VLOOKUP($A384,'Quarterly Pipeline vs Target Pi'!$A:$V,16,false)," $","")," €",""), "")
)</f>
        <v>0</v>
      </c>
      <c r="AF384" s="1">
        <f>value(IFERROR(SUBSTITUTE(SUBSTITUTE(VLOOKUP($A384,'Quarterly Pipeline vs Target Pi'!$A:$V,17,false)," $","")," €",""), "")
)</f>
        <v>0</v>
      </c>
      <c r="AG384" s="17" t="str">
        <f t="shared" si="11"/>
        <v/>
      </c>
      <c r="AH384" s="1">
        <f>value(IFERROR(SUBSTITUTE(SUBSTITUTE(VLOOKUP($A384,'Quarterly Pipeline vs Target Pi'!$A:$V,21,false)," $","")," €",""), "")
)</f>
        <v>0</v>
      </c>
      <c r="AI384" s="1">
        <f>value(IFERROR(SUBSTITUTE(SUBSTITUTE(VLOOKUP($A384,'Quarterly Pipeline vs Target Pi'!$A:$V,22,false)," $","")," €",""), "")
)</f>
        <v>0</v>
      </c>
      <c r="AJ384" s="17" t="str">
        <f t="shared" si="12"/>
        <v/>
      </c>
      <c r="AK384" s="1">
        <f t="shared" ref="AK384:AL384" si="781">sum(Y384,AB384,AE384,AH384)</f>
        <v>0</v>
      </c>
      <c r="AL384" s="1">
        <f t="shared" si="781"/>
        <v>0</v>
      </c>
      <c r="AM384" s="17" t="str">
        <f t="shared" si="14"/>
        <v/>
      </c>
      <c r="AN384" s="1">
        <f>value(IFERROR(SUBSTITUTE(SUBSTITUTE(VLOOKUP($A384,'Quarterly Pipeline vs Target Pi'!$A:$AP,26,false)," $","")," €",""), "")
)</f>
        <v>0</v>
      </c>
      <c r="AO384" s="1">
        <f>value(IFERROR(SUBSTITUTE(SUBSTITUTE(VLOOKUP($A384,'Quarterly Pipeline vs Target Pi'!$A:$AP,27,false)," $","")," €",""), "")
)</f>
        <v>0</v>
      </c>
      <c r="AP384" s="17" t="str">
        <f t="shared" si="15"/>
        <v/>
      </c>
      <c r="AQ384" s="1">
        <f>value(IFERROR(SUBSTITUTE(SUBSTITUTE(VLOOKUP($A384,'Quarterly Pipeline vs Target Pi'!$A:$AP,31,false)," $","")," €",""), "")
)</f>
        <v>0</v>
      </c>
      <c r="AR384" s="1">
        <f>value(IFERROR(SUBSTITUTE(SUBSTITUTE(VLOOKUP($A384,'Quarterly Pipeline vs Target Pi'!$A:$AP,32,false)," $","")," €",""), "")
)</f>
        <v>0</v>
      </c>
      <c r="AS384" s="17" t="str">
        <f t="shared" si="16"/>
        <v/>
      </c>
      <c r="AT384" s="1">
        <f>value(IFERROR(SUBSTITUTE(SUBSTITUTE(VLOOKUP($A384,'Quarterly Pipeline vs Target Pi'!$A:$AP,36,false)," $","")," €",""), "")
)</f>
        <v>0</v>
      </c>
      <c r="AU384" s="1">
        <f>value(IFERROR(SUBSTITUTE(SUBSTITUTE(VLOOKUP($A384,'Quarterly Pipeline vs Target Pi'!$A:$AP,37,false)," $","")," €",""), "")
)</f>
        <v>0</v>
      </c>
      <c r="AV384" s="17" t="str">
        <f t="shared" si="17"/>
        <v/>
      </c>
      <c r="AW384" s="1">
        <f>value(IFERROR(SUBSTITUTE(SUBSTITUTE(VLOOKUP($A384,'Quarterly Pipeline vs Target Pi'!$A:$AP,41,false)," $","")," €",""), "")
)</f>
        <v>0</v>
      </c>
      <c r="AX384" s="1">
        <f>value(IFERROR(SUBSTITUTE(SUBSTITUTE(VLOOKUP($A384,'Quarterly Pipeline vs Target Pi'!$A:$AP,42,false)," $","")," €",""), "")
)</f>
        <v>0</v>
      </c>
      <c r="AY384" s="17" t="str">
        <f t="shared" si="18"/>
        <v/>
      </c>
      <c r="AZ384" s="1">
        <f t="shared" ref="AZ384:BA384" si="782">sum(AN384,AQ384,AT384,AW384)</f>
        <v>0</v>
      </c>
      <c r="BA384" s="1">
        <f t="shared" si="782"/>
        <v>0</v>
      </c>
      <c r="BB384" s="17" t="str">
        <f t="shared" si="20"/>
        <v/>
      </c>
    </row>
    <row r="385">
      <c r="A385" s="1" t="str">
        <f>IFERROR(__xludf.DUMMYFUNCTION("""COMPUTED_VALUE"""),"63ced840c5c820531c267d3f")</f>
        <v>63ced840c5c820531c267d3f</v>
      </c>
      <c r="B385" s="1" t="str">
        <f>IFERROR(__xludf.DUMMYFUNCTION("""COMPUTED_VALUE"""),"Siemens Mobility, Inc.")</f>
        <v>Siemens Mobility, Inc.</v>
      </c>
      <c r="C385" s="1" t="str">
        <f>IFERROR(__xludf.DUMMYFUNCTION("""COMPUTED_VALUE"""),"brendan.flaherty@al-enterprise.com")</f>
        <v>brendan.flaherty@al-enterprise.com</v>
      </c>
      <c r="D385" s="1" t="str">
        <f>IFERROR(__xludf.DUMMYFUNCTION("""COMPUTED_VALUE"""),"americas")</f>
        <v>americas</v>
      </c>
      <c r="E385" s="1" t="str">
        <f>IFERROR(__xludf.DUMMYFUNCTION("""COMPUTED_VALUE"""),"US")</f>
        <v>US</v>
      </c>
      <c r="F385" s="1"/>
      <c r="G385" s="1" t="str">
        <f>iferror(VLOOKUP(A385,'Business Plan Setup and Accepta'!A:G,6,false),"")</f>
        <v/>
      </c>
      <c r="H385" s="1" t="str">
        <f>iferror(VLOOKUP(A385,'Business Plan Setup and Accepta'!A:G,7,false),"")</f>
        <v/>
      </c>
      <c r="I385" s="17" t="str">
        <f t="shared" si="3"/>
        <v/>
      </c>
      <c r="J385" s="1" t="str">
        <f>IFERROR(VALUE(SUBSTITUTE(VLOOKUP(A385,'Sales IN Revenues vs Sales targ'!A:G,6,false)," $","")), "")
</f>
        <v/>
      </c>
      <c r="K385" s="1" t="str">
        <f>IFERROR(VALUE(SUBSTITUTE(VLOOKUP(A385,'Sales IN Revenues vs Sales targ'!A:G,7,false)," $","")), "")
</f>
        <v/>
      </c>
      <c r="L385" s="17" t="str">
        <f t="shared" si="4"/>
        <v/>
      </c>
      <c r="M385" s="1">
        <f>value(SUBSTITUTE(IFERROR(VLOOKUP(A385,'Certifications achievements vs '!A:G,6,false),""),"#","")
)</f>
        <v>0</v>
      </c>
      <c r="N385" s="1">
        <f>value(SUBSTITUTE(IFERROR(VLOOKUP(A385,'Certifications achievements vs '!A:G,7,false),""),"#","")
)</f>
        <v>0</v>
      </c>
      <c r="O385" s="17" t="str">
        <f t="shared" si="5"/>
        <v/>
      </c>
      <c r="P385" s="1">
        <f>value(SUBSTITUTE(IFERROR(VLOOKUP(A385,'Communications - Solution Speci'!A:G,6,false),""),"#","")
)</f>
        <v>0</v>
      </c>
      <c r="Q385" s="1">
        <f>value(SUBSTITUTE(IFERROR(VLOOKUP(A385,'Communications - Solution Speci'!A:G,7,false),""),"#","")
)</f>
        <v>0</v>
      </c>
      <c r="R385" s="17" t="str">
        <f t="shared" si="6"/>
        <v/>
      </c>
      <c r="S385" s="1">
        <f>value(SUBSTITUTE(IFERROR(VLOOKUP(A385,'Networking - Solution Specializ'!A:G,6,false),""),"#","")
)</f>
        <v>0</v>
      </c>
      <c r="T385" s="1">
        <f>value(SUBSTITUTE(IFERROR(VLOOKUP(A385,'Networking - Solution Specializ'!A:G,7,false),""),"#","")
)</f>
        <v>0</v>
      </c>
      <c r="U385" s="17" t="str">
        <f t="shared" si="7"/>
        <v/>
      </c>
      <c r="V385" s="1" t="str">
        <f>iferror(vlookup(A385,'Marketing Plan (extract summary'!A:G,6,false),"")</f>
        <v/>
      </c>
      <c r="W385" s="1" t="str">
        <f>iferror(vlookup(A385,'Marketing Plan (extract summary'!A:G,7,false),"")</f>
        <v/>
      </c>
      <c r="X385" s="17" t="str">
        <f t="shared" si="8"/>
        <v/>
      </c>
      <c r="Y385" s="1">
        <f>value(IFERROR(SUBSTITUTE(SUBSTITUTE(VLOOKUP(A385,'Quarterly Pipeline vs Target Pi'!A:G,6,false)," $","")," €",""), "")
)</f>
        <v>0</v>
      </c>
      <c r="Z385" s="1">
        <f>value(IFERROR(SUBSTITUTE(SUBSTITUTE(VLOOKUP(A385,'Quarterly Pipeline vs Target Pi'!A:G,7,false)," $","")," €",""), "")
)</f>
        <v>0</v>
      </c>
      <c r="AA385" s="17" t="str">
        <f t="shared" si="9"/>
        <v/>
      </c>
      <c r="AB385" s="1">
        <f>value(IFERROR(SUBSTITUTE(SUBSTITUTE(VLOOKUP($A385,'Quarterly Pipeline vs Target Pi'!$A:$V,11,false)," $","")," €",""), "")
)</f>
        <v>0</v>
      </c>
      <c r="AC385" s="1">
        <f>value(IFERROR(SUBSTITUTE(SUBSTITUTE(VLOOKUP($A385,'Quarterly Pipeline vs Target Pi'!$A:$V,12,false)," $","")," €",""), "")
)</f>
        <v>0</v>
      </c>
      <c r="AD385" s="17" t="str">
        <f t="shared" si="10"/>
        <v/>
      </c>
      <c r="AE385" s="1">
        <f>value(IFERROR(SUBSTITUTE(SUBSTITUTE(VLOOKUP($A385,'Quarterly Pipeline vs Target Pi'!$A:$V,16,false)," $","")," €",""), "")
)</f>
        <v>0</v>
      </c>
      <c r="AF385" s="1">
        <f>value(IFERROR(SUBSTITUTE(SUBSTITUTE(VLOOKUP($A385,'Quarterly Pipeline vs Target Pi'!$A:$V,17,false)," $","")," €",""), "")
)</f>
        <v>0</v>
      </c>
      <c r="AG385" s="17" t="str">
        <f t="shared" si="11"/>
        <v/>
      </c>
      <c r="AH385" s="1">
        <f>value(IFERROR(SUBSTITUTE(SUBSTITUTE(VLOOKUP($A385,'Quarterly Pipeline vs Target Pi'!$A:$V,21,false)," $","")," €",""), "")
)</f>
        <v>0</v>
      </c>
      <c r="AI385" s="1">
        <f>value(IFERROR(SUBSTITUTE(SUBSTITUTE(VLOOKUP($A385,'Quarterly Pipeline vs Target Pi'!$A:$V,22,false)," $","")," €",""), "")
)</f>
        <v>0</v>
      </c>
      <c r="AJ385" s="17" t="str">
        <f t="shared" si="12"/>
        <v/>
      </c>
      <c r="AK385" s="1">
        <f t="shared" ref="AK385:AL385" si="783">sum(Y385,AB385,AE385,AH385)</f>
        <v>0</v>
      </c>
      <c r="AL385" s="1">
        <f t="shared" si="783"/>
        <v>0</v>
      </c>
      <c r="AM385" s="17" t="str">
        <f t="shared" si="14"/>
        <v/>
      </c>
      <c r="AN385" s="1">
        <f>value(IFERROR(SUBSTITUTE(SUBSTITUTE(VLOOKUP($A385,'Quarterly Pipeline vs Target Pi'!$A:$AP,26,false)," $","")," €",""), "")
)</f>
        <v>0</v>
      </c>
      <c r="AO385" s="1">
        <f>value(IFERROR(SUBSTITUTE(SUBSTITUTE(VLOOKUP($A385,'Quarterly Pipeline vs Target Pi'!$A:$AP,27,false)," $","")," €",""), "")
)</f>
        <v>0</v>
      </c>
      <c r="AP385" s="17" t="str">
        <f t="shared" si="15"/>
        <v/>
      </c>
      <c r="AQ385" s="1">
        <f>value(IFERROR(SUBSTITUTE(SUBSTITUTE(VLOOKUP($A385,'Quarterly Pipeline vs Target Pi'!$A:$AP,31,false)," $","")," €",""), "")
)</f>
        <v>0</v>
      </c>
      <c r="AR385" s="1">
        <f>value(IFERROR(SUBSTITUTE(SUBSTITUTE(VLOOKUP($A385,'Quarterly Pipeline vs Target Pi'!$A:$AP,32,false)," $","")," €",""), "")
)</f>
        <v>0</v>
      </c>
      <c r="AS385" s="17" t="str">
        <f t="shared" si="16"/>
        <v/>
      </c>
      <c r="AT385" s="1">
        <f>value(IFERROR(SUBSTITUTE(SUBSTITUTE(VLOOKUP($A385,'Quarterly Pipeline vs Target Pi'!$A:$AP,36,false)," $","")," €",""), "")
)</f>
        <v>0</v>
      </c>
      <c r="AU385" s="1">
        <f>value(IFERROR(SUBSTITUTE(SUBSTITUTE(VLOOKUP($A385,'Quarterly Pipeline vs Target Pi'!$A:$AP,37,false)," $","")," €",""), "")
)</f>
        <v>0</v>
      </c>
      <c r="AV385" s="17" t="str">
        <f t="shared" si="17"/>
        <v/>
      </c>
      <c r="AW385" s="1">
        <f>value(IFERROR(SUBSTITUTE(SUBSTITUTE(VLOOKUP($A385,'Quarterly Pipeline vs Target Pi'!$A:$AP,41,false)," $","")," €",""), "")
)</f>
        <v>0</v>
      </c>
      <c r="AX385" s="1">
        <f>value(IFERROR(SUBSTITUTE(SUBSTITUTE(VLOOKUP($A385,'Quarterly Pipeline vs Target Pi'!$A:$AP,42,false)," $","")," €",""), "")
)</f>
        <v>0</v>
      </c>
      <c r="AY385" s="17" t="str">
        <f t="shared" si="18"/>
        <v/>
      </c>
      <c r="AZ385" s="1">
        <f t="shared" ref="AZ385:BA385" si="784">sum(AN385,AQ385,AT385,AW385)</f>
        <v>0</v>
      </c>
      <c r="BA385" s="1">
        <f t="shared" si="784"/>
        <v>0</v>
      </c>
      <c r="BB385" s="17" t="str">
        <f t="shared" si="20"/>
        <v/>
      </c>
    </row>
    <row r="386">
      <c r="A386" s="1" t="str">
        <f>IFERROR(__xludf.DUMMYFUNCTION("""COMPUTED_VALUE"""),"63ef9d58384f27260c1ba4df")</f>
        <v>63ef9d58384f27260c1ba4df</v>
      </c>
      <c r="B386" s="1" t="str">
        <f>IFERROR(__xludf.DUMMYFUNCTION("""COMPUTED_VALUE"""),"Sierra Transportation &amp; Technologies, LLC")</f>
        <v>Sierra Transportation &amp; Technologies, LLC</v>
      </c>
      <c r="C386" s="1" t="str">
        <f>IFERROR(__xludf.DUMMYFUNCTION("""COMPUTED_VALUE"""),"gene.hawks@al-enterprise.com, steve.mcglasson@al-enterprise.com, bill.rademacher@al-enterprise.com")</f>
        <v>gene.hawks@al-enterprise.com, steve.mcglasson@al-enterprise.com, bill.rademacher@al-enterprise.com</v>
      </c>
      <c r="D386" s="1" t="str">
        <f>IFERROR(__xludf.DUMMYFUNCTION("""COMPUTED_VALUE"""),"americas")</f>
        <v>americas</v>
      </c>
      <c r="E386" s="1" t="str">
        <f>IFERROR(__xludf.DUMMYFUNCTION("""COMPUTED_VALUE"""),"US")</f>
        <v>US</v>
      </c>
      <c r="F386" s="1"/>
      <c r="G386" s="1" t="str">
        <f>iferror(VLOOKUP(A386,'Business Plan Setup and Accepta'!A:G,6,false),"")</f>
        <v/>
      </c>
      <c r="H386" s="1" t="str">
        <f>iferror(VLOOKUP(A386,'Business Plan Setup and Accepta'!A:G,7,false),"")</f>
        <v/>
      </c>
      <c r="I386" s="17" t="str">
        <f t="shared" si="3"/>
        <v/>
      </c>
      <c r="J386" s="1" t="str">
        <f>IFERROR(VALUE(SUBSTITUTE(VLOOKUP(A386,'Sales IN Revenues vs Sales targ'!A:G,6,false)," $","")), "")
</f>
        <v/>
      </c>
      <c r="K386" s="1" t="str">
        <f>IFERROR(VALUE(SUBSTITUTE(VLOOKUP(A386,'Sales IN Revenues vs Sales targ'!A:G,7,false)," $","")), "")
</f>
        <v/>
      </c>
      <c r="L386" s="17" t="str">
        <f t="shared" si="4"/>
        <v/>
      </c>
      <c r="M386" s="1">
        <f>value(SUBSTITUTE(IFERROR(VLOOKUP(A386,'Certifications achievements vs '!A:G,6,false),""),"#","")
)</f>
        <v>0</v>
      </c>
      <c r="N386" s="1">
        <f>value(SUBSTITUTE(IFERROR(VLOOKUP(A386,'Certifications achievements vs '!A:G,7,false),""),"#","")
)</f>
        <v>0</v>
      </c>
      <c r="O386" s="17" t="str">
        <f t="shared" si="5"/>
        <v/>
      </c>
      <c r="P386" s="1">
        <f>value(SUBSTITUTE(IFERROR(VLOOKUP(A386,'Communications - Solution Speci'!A:G,6,false),""),"#","")
)</f>
        <v>0</v>
      </c>
      <c r="Q386" s="1">
        <f>value(SUBSTITUTE(IFERROR(VLOOKUP(A386,'Communications - Solution Speci'!A:G,7,false),""),"#","")
)</f>
        <v>0</v>
      </c>
      <c r="R386" s="17" t="str">
        <f t="shared" si="6"/>
        <v/>
      </c>
      <c r="S386" s="1">
        <f>value(SUBSTITUTE(IFERROR(VLOOKUP(A386,'Networking - Solution Specializ'!A:G,6,false),""),"#","")
)</f>
        <v>0</v>
      </c>
      <c r="T386" s="1">
        <f>value(SUBSTITUTE(IFERROR(VLOOKUP(A386,'Networking - Solution Specializ'!A:G,7,false),""),"#","")
)</f>
        <v>0</v>
      </c>
      <c r="U386" s="17" t="str">
        <f t="shared" si="7"/>
        <v/>
      </c>
      <c r="V386" s="1" t="str">
        <f>iferror(vlookup(A386,'Marketing Plan (extract summary'!A:G,6,false),"")</f>
        <v/>
      </c>
      <c r="W386" s="1" t="str">
        <f>iferror(vlookup(A386,'Marketing Plan (extract summary'!A:G,7,false),"")</f>
        <v/>
      </c>
      <c r="X386" s="17" t="str">
        <f t="shared" si="8"/>
        <v/>
      </c>
      <c r="Y386" s="1">
        <f>value(IFERROR(SUBSTITUTE(SUBSTITUTE(VLOOKUP(A386,'Quarterly Pipeline vs Target Pi'!A:G,6,false)," $","")," €",""), "")
)</f>
        <v>0</v>
      </c>
      <c r="Z386" s="1">
        <f>value(IFERROR(SUBSTITUTE(SUBSTITUTE(VLOOKUP(A386,'Quarterly Pipeline vs Target Pi'!A:G,7,false)," $","")," €",""), "")
)</f>
        <v>0</v>
      </c>
      <c r="AA386" s="17" t="str">
        <f t="shared" si="9"/>
        <v/>
      </c>
      <c r="AB386" s="1">
        <f>value(IFERROR(SUBSTITUTE(SUBSTITUTE(VLOOKUP($A386,'Quarterly Pipeline vs Target Pi'!$A:$V,11,false)," $","")," €",""), "")
)</f>
        <v>0</v>
      </c>
      <c r="AC386" s="1">
        <f>value(IFERROR(SUBSTITUTE(SUBSTITUTE(VLOOKUP($A386,'Quarterly Pipeline vs Target Pi'!$A:$V,12,false)," $","")," €",""), "")
)</f>
        <v>0</v>
      </c>
      <c r="AD386" s="17" t="str">
        <f t="shared" si="10"/>
        <v/>
      </c>
      <c r="AE386" s="1">
        <f>value(IFERROR(SUBSTITUTE(SUBSTITUTE(VLOOKUP($A386,'Quarterly Pipeline vs Target Pi'!$A:$V,16,false)," $","")," €",""), "")
)</f>
        <v>0</v>
      </c>
      <c r="AF386" s="1">
        <f>value(IFERROR(SUBSTITUTE(SUBSTITUTE(VLOOKUP($A386,'Quarterly Pipeline vs Target Pi'!$A:$V,17,false)," $","")," €",""), "")
)</f>
        <v>0</v>
      </c>
      <c r="AG386" s="17" t="str">
        <f t="shared" si="11"/>
        <v/>
      </c>
      <c r="AH386" s="1">
        <f>value(IFERROR(SUBSTITUTE(SUBSTITUTE(VLOOKUP($A386,'Quarterly Pipeline vs Target Pi'!$A:$V,21,false)," $","")," €",""), "")
)</f>
        <v>0</v>
      </c>
      <c r="AI386" s="1">
        <f>value(IFERROR(SUBSTITUTE(SUBSTITUTE(VLOOKUP($A386,'Quarterly Pipeline vs Target Pi'!$A:$V,22,false)," $","")," €",""), "")
)</f>
        <v>0</v>
      </c>
      <c r="AJ386" s="17" t="str">
        <f t="shared" si="12"/>
        <v/>
      </c>
      <c r="AK386" s="1">
        <f t="shared" ref="AK386:AL386" si="785">sum(Y386,AB386,AE386,AH386)</f>
        <v>0</v>
      </c>
      <c r="AL386" s="1">
        <f t="shared" si="785"/>
        <v>0</v>
      </c>
      <c r="AM386" s="17" t="str">
        <f t="shared" si="14"/>
        <v/>
      </c>
      <c r="AN386" s="1">
        <f>value(IFERROR(SUBSTITUTE(SUBSTITUTE(VLOOKUP($A386,'Quarterly Pipeline vs Target Pi'!$A:$AP,26,false)," $","")," €",""), "")
)</f>
        <v>0</v>
      </c>
      <c r="AO386" s="1">
        <f>value(IFERROR(SUBSTITUTE(SUBSTITUTE(VLOOKUP($A386,'Quarterly Pipeline vs Target Pi'!$A:$AP,27,false)," $","")," €",""), "")
)</f>
        <v>0</v>
      </c>
      <c r="AP386" s="17" t="str">
        <f t="shared" si="15"/>
        <v/>
      </c>
      <c r="AQ386" s="1">
        <f>value(IFERROR(SUBSTITUTE(SUBSTITUTE(VLOOKUP($A386,'Quarterly Pipeline vs Target Pi'!$A:$AP,31,false)," $","")," €",""), "")
)</f>
        <v>0</v>
      </c>
      <c r="AR386" s="1">
        <f>value(IFERROR(SUBSTITUTE(SUBSTITUTE(VLOOKUP($A386,'Quarterly Pipeline vs Target Pi'!$A:$AP,32,false)," $","")," €",""), "")
)</f>
        <v>0</v>
      </c>
      <c r="AS386" s="17" t="str">
        <f t="shared" si="16"/>
        <v/>
      </c>
      <c r="AT386" s="1">
        <f>value(IFERROR(SUBSTITUTE(SUBSTITUTE(VLOOKUP($A386,'Quarterly Pipeline vs Target Pi'!$A:$AP,36,false)," $","")," €",""), "")
)</f>
        <v>0</v>
      </c>
      <c r="AU386" s="1">
        <f>value(IFERROR(SUBSTITUTE(SUBSTITUTE(VLOOKUP($A386,'Quarterly Pipeline vs Target Pi'!$A:$AP,37,false)," $","")," €",""), "")
)</f>
        <v>0</v>
      </c>
      <c r="AV386" s="17" t="str">
        <f t="shared" si="17"/>
        <v/>
      </c>
      <c r="AW386" s="1">
        <f>value(IFERROR(SUBSTITUTE(SUBSTITUTE(VLOOKUP($A386,'Quarterly Pipeline vs Target Pi'!$A:$AP,41,false)," $","")," €",""), "")
)</f>
        <v>0</v>
      </c>
      <c r="AX386" s="1">
        <f>value(IFERROR(SUBSTITUTE(SUBSTITUTE(VLOOKUP($A386,'Quarterly Pipeline vs Target Pi'!$A:$AP,42,false)," $","")," €",""), "")
)</f>
        <v>0</v>
      </c>
      <c r="AY386" s="17" t="str">
        <f t="shared" si="18"/>
        <v/>
      </c>
      <c r="AZ386" s="1">
        <f t="shared" ref="AZ386:BA386" si="786">sum(AN386,AQ386,AT386,AW386)</f>
        <v>0</v>
      </c>
      <c r="BA386" s="1">
        <f t="shared" si="786"/>
        <v>0</v>
      </c>
      <c r="BB386" s="17" t="str">
        <f t="shared" si="20"/>
        <v/>
      </c>
    </row>
    <row r="387">
      <c r="A387" s="1" t="str">
        <f>IFERROR(__xludf.DUMMYFUNCTION("""COMPUTED_VALUE"""),"63ea6e9352ad6968805ceb43")</f>
        <v>63ea6e9352ad6968805ceb43</v>
      </c>
      <c r="B387" s="1" t="str">
        <f>IFERROR(__xludf.DUMMYFUNCTION("""COMPUTED_VALUE"""),"SIEVERS-SNC Computer &amp;")</f>
        <v>SIEVERS-SNC Computer &amp;</v>
      </c>
      <c r="C387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387" s="1" t="str">
        <f>IFERROR(__xludf.DUMMYFUNCTION("""COMPUTED_VALUE"""),"germany")</f>
        <v>germany</v>
      </c>
      <c r="E387" s="1" t="str">
        <f>IFERROR(__xludf.DUMMYFUNCTION("""COMPUTED_VALUE"""),"DE")</f>
        <v>DE</v>
      </c>
      <c r="F387" s="1" t="str">
        <f>IFERROR(__xludf.DUMMYFUNCTION("""COMPUTED_VALUE"""),"expert_200")</f>
        <v>expert_200</v>
      </c>
      <c r="G387" s="1">
        <f>iferror(VLOOKUP(A387,'Business Plan Setup and Accepta'!A:G,6,false),"")</f>
        <v>1</v>
      </c>
      <c r="H387" s="1">
        <f>iferror(VLOOKUP(A387,'Business Plan Setup and Accepta'!A:G,7,false),"")</f>
        <v>1</v>
      </c>
      <c r="I387" s="17">
        <f t="shared" si="3"/>
        <v>1</v>
      </c>
      <c r="J387" s="1">
        <f>IFERROR(VALUE(SUBSTITUTE(VLOOKUP(A387,'Sales IN Revenues vs Sales targ'!A:G,6,false)," $","")), "")
</f>
        <v>110.87</v>
      </c>
      <c r="K387" s="1">
        <f>IFERROR(VALUE(SUBSTITUTE(VLOOKUP(A387,'Sales IN Revenues vs Sales targ'!A:G,7,false)," $","")), "")
</f>
        <v>248</v>
      </c>
      <c r="L387" s="17">
        <f t="shared" si="4"/>
        <v>0.4470564516</v>
      </c>
      <c r="M387" s="1">
        <f>value(SUBSTITUTE(IFERROR(VLOOKUP(A387,'Certifications achievements vs '!A:G,6,false),""),"#","")
)</f>
        <v>11</v>
      </c>
      <c r="N387" s="1">
        <f>value(SUBSTITUTE(IFERROR(VLOOKUP(A387,'Certifications achievements vs '!A:G,7,false),""),"#","")
)</f>
        <v>52</v>
      </c>
      <c r="O387" s="17">
        <f t="shared" si="5"/>
        <v>0.2115384615</v>
      </c>
      <c r="P387" s="1">
        <f>value(SUBSTITUTE(IFERROR(VLOOKUP(A387,'Communications - Solution Speci'!A:G,6,false),""),"#","")
)</f>
        <v>0</v>
      </c>
      <c r="Q387" s="1">
        <f>value(SUBSTITUTE(IFERROR(VLOOKUP(A387,'Communications - Solution Speci'!A:G,7,false),""),"#","")
)</f>
        <v>1</v>
      </c>
      <c r="R387" s="17">
        <f t="shared" si="6"/>
        <v>0</v>
      </c>
      <c r="S387" s="1">
        <f>value(SUBSTITUTE(IFERROR(VLOOKUP(A387,'Networking - Solution Specializ'!A:G,6,false),""),"#","")
)</f>
        <v>0</v>
      </c>
      <c r="T387" s="1">
        <f>value(SUBSTITUTE(IFERROR(VLOOKUP(A387,'Networking - Solution Specializ'!A:G,7,false),""),"#","")
)</f>
        <v>1</v>
      </c>
      <c r="U387" s="17">
        <f t="shared" si="7"/>
        <v>0</v>
      </c>
      <c r="V387" s="1">
        <f>iferror(vlookup(A387,'Marketing Plan (extract summary'!A:G,6,false),"")</f>
        <v>0</v>
      </c>
      <c r="W387" s="1">
        <f>iferror(vlookup(A387,'Marketing Plan (extract summary'!A:G,7,false),"")</f>
        <v>1</v>
      </c>
      <c r="X387" s="17">
        <f t="shared" si="8"/>
        <v>0</v>
      </c>
      <c r="Y387" s="1">
        <f>value(IFERROR(SUBSTITUTE(SUBSTITUTE(VLOOKUP(A387,'Quarterly Pipeline vs Target Pi'!A:G,6,false)," $","")," €",""), "")
)</f>
        <v>7.67</v>
      </c>
      <c r="Z387" s="1">
        <f>value(IFERROR(SUBSTITUTE(SUBSTITUTE(VLOOKUP(A387,'Quarterly Pipeline vs Target Pi'!A:G,7,false)," $","")," €",""), "")
)</f>
        <v>0</v>
      </c>
      <c r="AA387" s="17" t="str">
        <f t="shared" si="9"/>
        <v/>
      </c>
      <c r="AB387" s="1">
        <f>value(IFERROR(SUBSTITUTE(SUBSTITUTE(VLOOKUP($A387,'Quarterly Pipeline vs Target Pi'!$A:$V,11,false)," $","")," €",""), "")
)</f>
        <v>16.79</v>
      </c>
      <c r="AC387" s="1">
        <f>value(IFERROR(SUBSTITUTE(SUBSTITUTE(VLOOKUP($A387,'Quarterly Pipeline vs Target Pi'!$A:$V,12,false)," $","")," €",""), "")
)</f>
        <v>58.35</v>
      </c>
      <c r="AD387" s="17">
        <f t="shared" si="10"/>
        <v>0.2877463582</v>
      </c>
      <c r="AE387" s="1">
        <f>value(IFERROR(SUBSTITUTE(SUBSTITUTE(VLOOKUP($A387,'Quarterly Pipeline vs Target Pi'!$A:$V,16,false)," $","")," €",""), "")
)</f>
        <v>0.95</v>
      </c>
      <c r="AF387" s="1">
        <f>value(IFERROR(SUBSTITUTE(SUBSTITUTE(VLOOKUP($A387,'Quarterly Pipeline vs Target Pi'!$A:$V,17,false)," $","")," €",""), "")
)</f>
        <v>87.53</v>
      </c>
      <c r="AG387" s="17">
        <f t="shared" si="11"/>
        <v>0.01085342168</v>
      </c>
      <c r="AH387" s="1">
        <f>value(IFERROR(SUBSTITUTE(SUBSTITUTE(VLOOKUP($A387,'Quarterly Pipeline vs Target Pi'!$A:$V,21,false)," $","")," €",""), "")
)</f>
        <v>64</v>
      </c>
      <c r="AI387" s="1">
        <f>value(IFERROR(SUBSTITUTE(SUBSTITUTE(VLOOKUP($A387,'Quarterly Pipeline vs Target Pi'!$A:$V,22,false)," $","")," €",""), "")
)</f>
        <v>87.53</v>
      </c>
      <c r="AJ387" s="17">
        <f t="shared" si="12"/>
        <v>0.7311778819</v>
      </c>
      <c r="AK387" s="1">
        <f t="shared" ref="AK387:AL387" si="787">sum(Y387,AB387,AE387,AH387)</f>
        <v>89.41</v>
      </c>
      <c r="AL387" s="1">
        <f t="shared" si="787"/>
        <v>233.41</v>
      </c>
      <c r="AM387" s="17">
        <f t="shared" si="14"/>
        <v>0.3830598518</v>
      </c>
      <c r="AN387" s="1">
        <f>value(IFERROR(SUBSTITUTE(SUBSTITUTE(VLOOKUP($A387,'Quarterly Pipeline vs Target Pi'!$A:$AP,26,false)," $","")," €",""), "")
)</f>
        <v>0</v>
      </c>
      <c r="AO387" s="1">
        <f>value(IFERROR(SUBSTITUTE(SUBSTITUTE(VLOOKUP($A387,'Quarterly Pipeline vs Target Pi'!$A:$AP,27,false)," $","")," €",""), "")
)</f>
        <v>0</v>
      </c>
      <c r="AP387" s="17" t="str">
        <f t="shared" si="15"/>
        <v/>
      </c>
      <c r="AQ387" s="1">
        <f>value(IFERROR(SUBSTITUTE(SUBSTITUTE(VLOOKUP($A387,'Quarterly Pipeline vs Target Pi'!$A:$AP,31,false)," $","")," €",""), "")
)</f>
        <v>0</v>
      </c>
      <c r="AR387" s="1">
        <f>value(IFERROR(SUBSTITUTE(SUBSTITUTE(VLOOKUP($A387,'Quarterly Pipeline vs Target Pi'!$A:$AP,32,false)," $","")," €",""), "")
)</f>
        <v>0</v>
      </c>
      <c r="AS387" s="17" t="str">
        <f t="shared" si="16"/>
        <v/>
      </c>
      <c r="AT387" s="1">
        <f>value(IFERROR(SUBSTITUTE(SUBSTITUTE(VLOOKUP($A387,'Quarterly Pipeline vs Target Pi'!$A:$AP,36,false)," $","")," €",""), "")
)</f>
        <v>0</v>
      </c>
      <c r="AU387" s="1">
        <f>value(IFERROR(SUBSTITUTE(SUBSTITUTE(VLOOKUP($A387,'Quarterly Pipeline vs Target Pi'!$A:$AP,37,false)," $","")," €",""), "")
)</f>
        <v>0</v>
      </c>
      <c r="AV387" s="17" t="str">
        <f t="shared" si="17"/>
        <v/>
      </c>
      <c r="AW387" s="1">
        <f>value(IFERROR(SUBSTITUTE(SUBSTITUTE(VLOOKUP($A387,'Quarterly Pipeline vs Target Pi'!$A:$AP,41,false)," $","")," €",""), "")
)</f>
        <v>0</v>
      </c>
      <c r="AX387" s="1">
        <f>value(IFERROR(SUBSTITUTE(SUBSTITUTE(VLOOKUP($A387,'Quarterly Pipeline vs Target Pi'!$A:$AP,42,false)," $","")," €",""), "")
)</f>
        <v>0</v>
      </c>
      <c r="AY387" s="17" t="str">
        <f t="shared" si="18"/>
        <v/>
      </c>
      <c r="AZ387" s="1">
        <f t="shared" ref="AZ387:BA387" si="788">sum(AN387,AQ387,AT387,AW387)</f>
        <v>0</v>
      </c>
      <c r="BA387" s="1">
        <f t="shared" si="788"/>
        <v>0</v>
      </c>
      <c r="BB387" s="17" t="str">
        <f t="shared" si="20"/>
        <v/>
      </c>
    </row>
    <row r="388">
      <c r="A388" s="1" t="str">
        <f>IFERROR(__xludf.DUMMYFUNCTION("""COMPUTED_VALUE"""),"63ea6e9752ad6968805cf12b")</f>
        <v>63ea6e9752ad6968805cf12b</v>
      </c>
      <c r="B388" s="1" t="str">
        <f>IFERROR(__xludf.DUMMYFUNCTION("""COMPUTED_VALUE"""),"SiSKOM GmbH")</f>
        <v>SiSKOM GmbH</v>
      </c>
      <c r="C388" s="1" t="str">
        <f>IFERROR(__xludf.DUMMYFUNCTION("""COMPUTED_VALUE"""),"andreas.grossheimann@al-enterprise.com, andre.ramm@al-enterprise.com")</f>
        <v>andreas.grossheimann@al-enterprise.com, andre.ramm@al-enterprise.com</v>
      </c>
      <c r="D388" s="1" t="str">
        <f>IFERROR(__xludf.DUMMYFUNCTION("""COMPUTED_VALUE"""),"germany")</f>
        <v>germany</v>
      </c>
      <c r="E388" s="1" t="str">
        <f>IFERROR(__xludf.DUMMYFUNCTION("""COMPUTED_VALUE"""),"DE")</f>
        <v>DE</v>
      </c>
      <c r="F388" s="1"/>
      <c r="G388" s="1" t="str">
        <f>iferror(VLOOKUP(A388,'Business Plan Setup and Accepta'!A:G,6,false),"")</f>
        <v/>
      </c>
      <c r="H388" s="1" t="str">
        <f>iferror(VLOOKUP(A388,'Business Plan Setup and Accepta'!A:G,7,false),"")</f>
        <v/>
      </c>
      <c r="I388" s="17" t="str">
        <f t="shared" si="3"/>
        <v/>
      </c>
      <c r="J388" s="1" t="str">
        <f>IFERROR(VALUE(SUBSTITUTE(VLOOKUP(A388,'Sales IN Revenues vs Sales targ'!A:G,6,false)," $","")), "")
</f>
        <v/>
      </c>
      <c r="K388" s="1" t="str">
        <f>IFERROR(VALUE(SUBSTITUTE(VLOOKUP(A388,'Sales IN Revenues vs Sales targ'!A:G,7,false)," $","")), "")
</f>
        <v/>
      </c>
      <c r="L388" s="17" t="str">
        <f t="shared" si="4"/>
        <v/>
      </c>
      <c r="M388" s="1">
        <f>value(SUBSTITUTE(IFERROR(VLOOKUP(A388,'Certifications achievements vs '!A:G,6,false),""),"#","")
)</f>
        <v>0</v>
      </c>
      <c r="N388" s="1">
        <f>value(SUBSTITUTE(IFERROR(VLOOKUP(A388,'Certifications achievements vs '!A:G,7,false),""),"#","")
)</f>
        <v>0</v>
      </c>
      <c r="O388" s="17" t="str">
        <f t="shared" si="5"/>
        <v/>
      </c>
      <c r="P388" s="1">
        <f>value(SUBSTITUTE(IFERROR(VLOOKUP(A388,'Communications - Solution Speci'!A:G,6,false),""),"#","")
)</f>
        <v>0</v>
      </c>
      <c r="Q388" s="1">
        <f>value(SUBSTITUTE(IFERROR(VLOOKUP(A388,'Communications - Solution Speci'!A:G,7,false),""),"#","")
)</f>
        <v>0</v>
      </c>
      <c r="R388" s="17" t="str">
        <f t="shared" si="6"/>
        <v/>
      </c>
      <c r="S388" s="1">
        <f>value(SUBSTITUTE(IFERROR(VLOOKUP(A388,'Networking - Solution Specializ'!A:G,6,false),""),"#","")
)</f>
        <v>0</v>
      </c>
      <c r="T388" s="1">
        <f>value(SUBSTITUTE(IFERROR(VLOOKUP(A388,'Networking - Solution Specializ'!A:G,7,false),""),"#","")
)</f>
        <v>0</v>
      </c>
      <c r="U388" s="17" t="str">
        <f t="shared" si="7"/>
        <v/>
      </c>
      <c r="V388" s="1" t="str">
        <f>iferror(vlookup(A388,'Marketing Plan (extract summary'!A:G,6,false),"")</f>
        <v/>
      </c>
      <c r="W388" s="1" t="str">
        <f>iferror(vlookup(A388,'Marketing Plan (extract summary'!A:G,7,false),"")</f>
        <v/>
      </c>
      <c r="X388" s="17" t="str">
        <f t="shared" si="8"/>
        <v/>
      </c>
      <c r="Y388" s="1">
        <f>value(IFERROR(SUBSTITUTE(SUBSTITUTE(VLOOKUP(A388,'Quarterly Pipeline vs Target Pi'!A:G,6,false)," $","")," €",""), "")
)</f>
        <v>0</v>
      </c>
      <c r="Z388" s="1">
        <f>value(IFERROR(SUBSTITUTE(SUBSTITUTE(VLOOKUP(A388,'Quarterly Pipeline vs Target Pi'!A:G,7,false)," $","")," €",""), "")
)</f>
        <v>0</v>
      </c>
      <c r="AA388" s="17" t="str">
        <f t="shared" si="9"/>
        <v/>
      </c>
      <c r="AB388" s="1">
        <f>value(IFERROR(SUBSTITUTE(SUBSTITUTE(VLOOKUP($A388,'Quarterly Pipeline vs Target Pi'!$A:$V,11,false)," $","")," €",""), "")
)</f>
        <v>0</v>
      </c>
      <c r="AC388" s="1">
        <f>value(IFERROR(SUBSTITUTE(SUBSTITUTE(VLOOKUP($A388,'Quarterly Pipeline vs Target Pi'!$A:$V,12,false)," $","")," €",""), "")
)</f>
        <v>0</v>
      </c>
      <c r="AD388" s="17" t="str">
        <f t="shared" si="10"/>
        <v/>
      </c>
      <c r="AE388" s="1">
        <f>value(IFERROR(SUBSTITUTE(SUBSTITUTE(VLOOKUP($A388,'Quarterly Pipeline vs Target Pi'!$A:$V,16,false)," $","")," €",""), "")
)</f>
        <v>0</v>
      </c>
      <c r="AF388" s="1">
        <f>value(IFERROR(SUBSTITUTE(SUBSTITUTE(VLOOKUP($A388,'Quarterly Pipeline vs Target Pi'!$A:$V,17,false)," $","")," €",""), "")
)</f>
        <v>0</v>
      </c>
      <c r="AG388" s="17" t="str">
        <f t="shared" si="11"/>
        <v/>
      </c>
      <c r="AH388" s="1">
        <f>value(IFERROR(SUBSTITUTE(SUBSTITUTE(VLOOKUP($A388,'Quarterly Pipeline vs Target Pi'!$A:$V,21,false)," $","")," €",""), "")
)</f>
        <v>0</v>
      </c>
      <c r="AI388" s="1">
        <f>value(IFERROR(SUBSTITUTE(SUBSTITUTE(VLOOKUP($A388,'Quarterly Pipeline vs Target Pi'!$A:$V,22,false)," $","")," €",""), "")
)</f>
        <v>0</v>
      </c>
      <c r="AJ388" s="17" t="str">
        <f t="shared" si="12"/>
        <v/>
      </c>
      <c r="AK388" s="1">
        <f t="shared" ref="AK388:AL388" si="789">sum(Y388,AB388,AE388,AH388)</f>
        <v>0</v>
      </c>
      <c r="AL388" s="1">
        <f t="shared" si="789"/>
        <v>0</v>
      </c>
      <c r="AM388" s="17" t="str">
        <f t="shared" si="14"/>
        <v/>
      </c>
      <c r="AN388" s="1">
        <f>value(IFERROR(SUBSTITUTE(SUBSTITUTE(VLOOKUP($A388,'Quarterly Pipeline vs Target Pi'!$A:$AP,26,false)," $","")," €",""), "")
)</f>
        <v>0</v>
      </c>
      <c r="AO388" s="1">
        <f>value(IFERROR(SUBSTITUTE(SUBSTITUTE(VLOOKUP($A388,'Quarterly Pipeline vs Target Pi'!$A:$AP,27,false)," $","")," €",""), "")
)</f>
        <v>0</v>
      </c>
      <c r="AP388" s="17" t="str">
        <f t="shared" si="15"/>
        <v/>
      </c>
      <c r="AQ388" s="1">
        <f>value(IFERROR(SUBSTITUTE(SUBSTITUTE(VLOOKUP($A388,'Quarterly Pipeline vs Target Pi'!$A:$AP,31,false)," $","")," €",""), "")
)</f>
        <v>0</v>
      </c>
      <c r="AR388" s="1">
        <f>value(IFERROR(SUBSTITUTE(SUBSTITUTE(VLOOKUP($A388,'Quarterly Pipeline vs Target Pi'!$A:$AP,32,false)," $","")," €",""), "")
)</f>
        <v>0</v>
      </c>
      <c r="AS388" s="17" t="str">
        <f t="shared" si="16"/>
        <v/>
      </c>
      <c r="AT388" s="1">
        <f>value(IFERROR(SUBSTITUTE(SUBSTITUTE(VLOOKUP($A388,'Quarterly Pipeline vs Target Pi'!$A:$AP,36,false)," $","")," €",""), "")
)</f>
        <v>0</v>
      </c>
      <c r="AU388" s="1">
        <f>value(IFERROR(SUBSTITUTE(SUBSTITUTE(VLOOKUP($A388,'Quarterly Pipeline vs Target Pi'!$A:$AP,37,false)," $","")," €",""), "")
)</f>
        <v>0</v>
      </c>
      <c r="AV388" s="17" t="str">
        <f t="shared" si="17"/>
        <v/>
      </c>
      <c r="AW388" s="1">
        <f>value(IFERROR(SUBSTITUTE(SUBSTITUTE(VLOOKUP($A388,'Quarterly Pipeline vs Target Pi'!$A:$AP,41,false)," $","")," €",""), "")
)</f>
        <v>0</v>
      </c>
      <c r="AX388" s="1">
        <f>value(IFERROR(SUBSTITUTE(SUBSTITUTE(VLOOKUP($A388,'Quarterly Pipeline vs Target Pi'!$A:$AP,42,false)," $","")," €",""), "")
)</f>
        <v>0</v>
      </c>
      <c r="AY388" s="17" t="str">
        <f t="shared" si="18"/>
        <v/>
      </c>
      <c r="AZ388" s="1">
        <f t="shared" ref="AZ388:BA388" si="790">sum(AN388,AQ388,AT388,AW388)</f>
        <v>0</v>
      </c>
      <c r="BA388" s="1">
        <f t="shared" si="790"/>
        <v>0</v>
      </c>
      <c r="BB388" s="17" t="str">
        <f t="shared" si="20"/>
        <v/>
      </c>
    </row>
    <row r="389">
      <c r="A389" s="1" t="str">
        <f>IFERROR(__xludf.DUMMYFUNCTION("""COMPUTED_VALUE"""),"679a293af8dc798a050b9592")</f>
        <v>679a293af8dc798a050b9592</v>
      </c>
      <c r="B389" s="1" t="str">
        <f>IFERROR(__xludf.DUMMYFUNCTION("""COMPUTED_VALUE"""),"Sistemas Avanzados de Tecnologia,")</f>
        <v>Sistemas Avanzados de Tecnologia,</v>
      </c>
      <c r="C389" s="1" t="str">
        <f>IFERROR(__xludf.DUMMYFUNCTION("""COMPUTED_VALUE"""),"mario.madrid-bustos@al-enterprise.com")</f>
        <v>mario.madrid-bustos@al-enterprise.com</v>
      </c>
      <c r="D389" s="1" t="str">
        <f>IFERROR(__xludf.DUMMYFUNCTION("""COMPUTED_VALUE"""),"emea")</f>
        <v>emea</v>
      </c>
      <c r="E389" s="1" t="str">
        <f>IFERROR(__xludf.DUMMYFUNCTION("""COMPUTED_VALUE"""),"ES")</f>
        <v>ES</v>
      </c>
      <c r="F389" s="1" t="str">
        <f>IFERROR(__xludf.DUMMYFUNCTION("""COMPUTED_VALUE"""),"expert_200")</f>
        <v>expert_200</v>
      </c>
      <c r="G389" s="1">
        <f>iferror(VLOOKUP(A389,'Business Plan Setup and Accepta'!A:G,6,false),"")</f>
        <v>1</v>
      </c>
      <c r="H389" s="1">
        <f>iferror(VLOOKUP(A389,'Business Plan Setup and Accepta'!A:G,7,false),"")</f>
        <v>1</v>
      </c>
      <c r="I389" s="17">
        <f t="shared" si="3"/>
        <v>1</v>
      </c>
      <c r="J389" s="1">
        <f>IFERROR(VALUE(SUBSTITUTE(VLOOKUP(A389,'Sales IN Revenues vs Sales targ'!A:G,6,false)," $","")), "")
</f>
        <v>30.5</v>
      </c>
      <c r="K389" s="1">
        <f>IFERROR(VALUE(SUBSTITUTE(VLOOKUP(A389,'Sales IN Revenues vs Sales targ'!A:G,7,false)," $","")), "")
</f>
        <v>300</v>
      </c>
      <c r="L389" s="17">
        <f t="shared" si="4"/>
        <v>0.1016666667</v>
      </c>
      <c r="M389" s="1">
        <f>value(SUBSTITUTE(IFERROR(VLOOKUP(A389,'Certifications achievements vs '!A:G,6,false),""),"#","")
)</f>
        <v>0</v>
      </c>
      <c r="N389" s="1">
        <f>value(SUBSTITUTE(IFERROR(VLOOKUP(A389,'Certifications achievements vs '!A:G,7,false),""),"#","")
)</f>
        <v>0</v>
      </c>
      <c r="O389" s="17" t="str">
        <f t="shared" si="5"/>
        <v/>
      </c>
      <c r="P389" s="1">
        <f>value(SUBSTITUTE(IFERROR(VLOOKUP(A389,'Communications - Solution Speci'!A:G,6,false),""),"#","")
)</f>
        <v>0</v>
      </c>
      <c r="Q389" s="1">
        <f>value(SUBSTITUTE(IFERROR(VLOOKUP(A389,'Communications - Solution Speci'!A:G,7,false),""),"#","")
)</f>
        <v>1</v>
      </c>
      <c r="R389" s="17">
        <f t="shared" si="6"/>
        <v>0</v>
      </c>
      <c r="S389" s="1">
        <f>value(SUBSTITUTE(IFERROR(VLOOKUP(A389,'Networking - Solution Specializ'!A:G,6,false),""),"#","")
)</f>
        <v>1</v>
      </c>
      <c r="T389" s="1">
        <f>value(SUBSTITUTE(IFERROR(VLOOKUP(A389,'Networking - Solution Specializ'!A:G,7,false),""),"#","")
)</f>
        <v>1</v>
      </c>
      <c r="U389" s="17">
        <f t="shared" si="7"/>
        <v>1</v>
      </c>
      <c r="V389" s="1">
        <f>iferror(vlookup(A389,'Marketing Plan (extract summary'!A:G,6,false),"")</f>
        <v>0</v>
      </c>
      <c r="W389" s="1">
        <f>iferror(vlookup(A389,'Marketing Plan (extract summary'!A:G,7,false),"")</f>
        <v>1</v>
      </c>
      <c r="X389" s="17">
        <f t="shared" si="8"/>
        <v>0</v>
      </c>
      <c r="Y389" s="1">
        <f>value(IFERROR(SUBSTITUTE(SUBSTITUTE(VLOOKUP(A389,'Quarterly Pipeline vs Target Pi'!A:G,6,false)," $","")," €",""), "")
)</f>
        <v>2</v>
      </c>
      <c r="Z389" s="1">
        <f>value(IFERROR(SUBSTITUTE(SUBSTITUTE(VLOOKUP(A389,'Quarterly Pipeline vs Target Pi'!A:G,7,false)," $","")," €",""), "")
)</f>
        <v>0</v>
      </c>
      <c r="AA389" s="17" t="str">
        <f t="shared" si="9"/>
        <v/>
      </c>
      <c r="AB389" s="1">
        <f>value(IFERROR(SUBSTITUTE(SUBSTITUTE(VLOOKUP($A389,'Quarterly Pipeline vs Target Pi'!$A:$V,11,false)," $","")," €",""), "")
)</f>
        <v>3</v>
      </c>
      <c r="AC389" s="1">
        <f>value(IFERROR(SUBSTITUTE(SUBSTITUTE(VLOOKUP($A389,'Quarterly Pipeline vs Target Pi'!$A:$V,12,false)," $","")," €",""), "")
)</f>
        <v>250</v>
      </c>
      <c r="AD389" s="17">
        <f t="shared" si="10"/>
        <v>0.012</v>
      </c>
      <c r="AE389" s="1">
        <f>value(IFERROR(SUBSTITUTE(SUBSTITUTE(VLOOKUP($A389,'Quarterly Pipeline vs Target Pi'!$A:$V,16,false)," $","")," €",""), "")
)</f>
        <v>8</v>
      </c>
      <c r="AF389" s="1">
        <f>value(IFERROR(SUBSTITUTE(SUBSTITUTE(VLOOKUP($A389,'Quarterly Pipeline vs Target Pi'!$A:$V,17,false)," $","")," €",""), "")
)</f>
        <v>250</v>
      </c>
      <c r="AG389" s="17">
        <f t="shared" si="11"/>
        <v>0.032</v>
      </c>
      <c r="AH389" s="1">
        <f>value(IFERROR(SUBSTITUTE(SUBSTITUTE(VLOOKUP($A389,'Quarterly Pipeline vs Target Pi'!$A:$V,21,false)," $","")," €",""), "")
)</f>
        <v>256.2</v>
      </c>
      <c r="AI389" s="1">
        <f>value(IFERROR(SUBSTITUTE(SUBSTITUTE(VLOOKUP($A389,'Quarterly Pipeline vs Target Pi'!$A:$V,22,false)," $","")," €",""), "")
)</f>
        <v>250</v>
      </c>
      <c r="AJ389" s="17">
        <f t="shared" si="12"/>
        <v>1.0248</v>
      </c>
      <c r="AK389" s="1">
        <f t="shared" ref="AK389:AL389" si="791">sum(Y389,AB389,AE389,AH389)</f>
        <v>269.2</v>
      </c>
      <c r="AL389" s="1">
        <f t="shared" si="791"/>
        <v>750</v>
      </c>
      <c r="AM389" s="17">
        <f t="shared" si="14"/>
        <v>0.3589333333</v>
      </c>
      <c r="AN389" s="1">
        <f>value(IFERROR(SUBSTITUTE(SUBSTITUTE(VLOOKUP($A389,'Quarterly Pipeline vs Target Pi'!$A:$AP,26,false)," $","")," €",""), "")
)</f>
        <v>0</v>
      </c>
      <c r="AO389" s="1">
        <f>value(IFERROR(SUBSTITUTE(SUBSTITUTE(VLOOKUP($A389,'Quarterly Pipeline vs Target Pi'!$A:$AP,27,false)," $","")," €",""), "")
)</f>
        <v>0</v>
      </c>
      <c r="AP389" s="17" t="str">
        <f t="shared" si="15"/>
        <v/>
      </c>
      <c r="AQ389" s="1">
        <f>value(IFERROR(SUBSTITUTE(SUBSTITUTE(VLOOKUP($A389,'Quarterly Pipeline vs Target Pi'!$A:$AP,31,false)," $","")," €",""), "")
)</f>
        <v>0</v>
      </c>
      <c r="AR389" s="1">
        <f>value(IFERROR(SUBSTITUTE(SUBSTITUTE(VLOOKUP($A389,'Quarterly Pipeline vs Target Pi'!$A:$AP,32,false)," $","")," €",""), "")
)</f>
        <v>0</v>
      </c>
      <c r="AS389" s="17" t="str">
        <f t="shared" si="16"/>
        <v/>
      </c>
      <c r="AT389" s="1">
        <f>value(IFERROR(SUBSTITUTE(SUBSTITUTE(VLOOKUP($A389,'Quarterly Pipeline vs Target Pi'!$A:$AP,36,false)," $","")," €",""), "")
)</f>
        <v>0</v>
      </c>
      <c r="AU389" s="1">
        <f>value(IFERROR(SUBSTITUTE(SUBSTITUTE(VLOOKUP($A389,'Quarterly Pipeline vs Target Pi'!$A:$AP,37,false)," $","")," €",""), "")
)</f>
        <v>0</v>
      </c>
      <c r="AV389" s="17" t="str">
        <f t="shared" si="17"/>
        <v/>
      </c>
      <c r="AW389" s="1">
        <f>value(IFERROR(SUBSTITUTE(SUBSTITUTE(VLOOKUP($A389,'Quarterly Pipeline vs Target Pi'!$A:$AP,41,false)," $","")," €",""), "")
)</f>
        <v>0</v>
      </c>
      <c r="AX389" s="1">
        <f>value(IFERROR(SUBSTITUTE(SUBSTITUTE(VLOOKUP($A389,'Quarterly Pipeline vs Target Pi'!$A:$AP,42,false)," $","")," €",""), "")
)</f>
        <v>0</v>
      </c>
      <c r="AY389" s="17" t="str">
        <f t="shared" si="18"/>
        <v/>
      </c>
      <c r="AZ389" s="1">
        <f t="shared" ref="AZ389:BA389" si="792">sum(AN389,AQ389,AT389,AW389)</f>
        <v>0</v>
      </c>
      <c r="BA389" s="1">
        <f t="shared" si="792"/>
        <v>0</v>
      </c>
      <c r="BB389" s="17" t="str">
        <f t="shared" si="20"/>
        <v/>
      </c>
    </row>
    <row r="390">
      <c r="A390" s="1" t="str">
        <f>IFERROR(__xludf.DUMMYFUNCTION("""COMPUTED_VALUE"""),"63ef9d5c384f27260c1baa1d")</f>
        <v>63ef9d5c384f27260c1baa1d</v>
      </c>
      <c r="B390" s="1" t="str">
        <f>IFERROR(__xludf.DUMMYFUNCTION("""COMPUTED_VALUE"""),"SISTEMAS TELEFONIA Y LAN SL")</f>
        <v>SISTEMAS TELEFONIA Y LAN SL</v>
      </c>
      <c r="C390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390" s="1" t="str">
        <f>IFERROR(__xludf.DUMMYFUNCTION("""COMPUTED_VALUE"""),"emea")</f>
        <v>emea</v>
      </c>
      <c r="E390" s="1" t="str">
        <f>IFERROR(__xludf.DUMMYFUNCTION("""COMPUTED_VALUE"""),"ES")</f>
        <v>ES</v>
      </c>
      <c r="F390" s="1"/>
      <c r="G390" s="1" t="str">
        <f>iferror(VLOOKUP(A390,'Business Plan Setup and Accepta'!A:G,6,false),"")</f>
        <v/>
      </c>
      <c r="H390" s="1" t="str">
        <f>iferror(VLOOKUP(A390,'Business Plan Setup and Accepta'!A:G,7,false),"")</f>
        <v/>
      </c>
      <c r="I390" s="17" t="str">
        <f t="shared" si="3"/>
        <v/>
      </c>
      <c r="J390" s="1" t="str">
        <f>IFERROR(VALUE(SUBSTITUTE(VLOOKUP(A390,'Sales IN Revenues vs Sales targ'!A:G,6,false)," $","")), "")
</f>
        <v/>
      </c>
      <c r="K390" s="1" t="str">
        <f>IFERROR(VALUE(SUBSTITUTE(VLOOKUP(A390,'Sales IN Revenues vs Sales targ'!A:G,7,false)," $","")), "")
</f>
        <v/>
      </c>
      <c r="L390" s="17" t="str">
        <f t="shared" si="4"/>
        <v/>
      </c>
      <c r="M390" s="1">
        <f>value(SUBSTITUTE(IFERROR(VLOOKUP(A390,'Certifications achievements vs '!A:G,6,false),""),"#","")
)</f>
        <v>0</v>
      </c>
      <c r="N390" s="1">
        <f>value(SUBSTITUTE(IFERROR(VLOOKUP(A390,'Certifications achievements vs '!A:G,7,false),""),"#","")
)</f>
        <v>0</v>
      </c>
      <c r="O390" s="17" t="str">
        <f t="shared" si="5"/>
        <v/>
      </c>
      <c r="P390" s="1">
        <f>value(SUBSTITUTE(IFERROR(VLOOKUP(A390,'Communications - Solution Speci'!A:G,6,false),""),"#","")
)</f>
        <v>0</v>
      </c>
      <c r="Q390" s="1">
        <f>value(SUBSTITUTE(IFERROR(VLOOKUP(A390,'Communications - Solution Speci'!A:G,7,false),""),"#","")
)</f>
        <v>0</v>
      </c>
      <c r="R390" s="17" t="str">
        <f t="shared" si="6"/>
        <v/>
      </c>
      <c r="S390" s="1">
        <f>value(SUBSTITUTE(IFERROR(VLOOKUP(A390,'Networking - Solution Specializ'!A:G,6,false),""),"#","")
)</f>
        <v>0</v>
      </c>
      <c r="T390" s="1">
        <f>value(SUBSTITUTE(IFERROR(VLOOKUP(A390,'Networking - Solution Specializ'!A:G,7,false),""),"#","")
)</f>
        <v>0</v>
      </c>
      <c r="U390" s="17" t="str">
        <f t="shared" si="7"/>
        <v/>
      </c>
      <c r="V390" s="1" t="str">
        <f>iferror(vlookup(A390,'Marketing Plan (extract summary'!A:G,6,false),"")</f>
        <v/>
      </c>
      <c r="W390" s="1" t="str">
        <f>iferror(vlookup(A390,'Marketing Plan (extract summary'!A:G,7,false),"")</f>
        <v/>
      </c>
      <c r="X390" s="17" t="str">
        <f t="shared" si="8"/>
        <v/>
      </c>
      <c r="Y390" s="1">
        <f>value(IFERROR(SUBSTITUTE(SUBSTITUTE(VLOOKUP(A390,'Quarterly Pipeline vs Target Pi'!A:G,6,false)," $","")," €",""), "")
)</f>
        <v>0</v>
      </c>
      <c r="Z390" s="1">
        <f>value(IFERROR(SUBSTITUTE(SUBSTITUTE(VLOOKUP(A390,'Quarterly Pipeline vs Target Pi'!A:G,7,false)," $","")," €",""), "")
)</f>
        <v>0</v>
      </c>
      <c r="AA390" s="17" t="str">
        <f t="shared" si="9"/>
        <v/>
      </c>
      <c r="AB390" s="1">
        <f>value(IFERROR(SUBSTITUTE(SUBSTITUTE(VLOOKUP($A390,'Quarterly Pipeline vs Target Pi'!$A:$V,11,false)," $","")," €",""), "")
)</f>
        <v>0</v>
      </c>
      <c r="AC390" s="1">
        <f>value(IFERROR(SUBSTITUTE(SUBSTITUTE(VLOOKUP($A390,'Quarterly Pipeline vs Target Pi'!$A:$V,12,false)," $","")," €",""), "")
)</f>
        <v>0</v>
      </c>
      <c r="AD390" s="17" t="str">
        <f t="shared" si="10"/>
        <v/>
      </c>
      <c r="AE390" s="1">
        <f>value(IFERROR(SUBSTITUTE(SUBSTITUTE(VLOOKUP($A390,'Quarterly Pipeline vs Target Pi'!$A:$V,16,false)," $","")," €",""), "")
)</f>
        <v>0</v>
      </c>
      <c r="AF390" s="1">
        <f>value(IFERROR(SUBSTITUTE(SUBSTITUTE(VLOOKUP($A390,'Quarterly Pipeline vs Target Pi'!$A:$V,17,false)," $","")," €",""), "")
)</f>
        <v>0</v>
      </c>
      <c r="AG390" s="17" t="str">
        <f t="shared" si="11"/>
        <v/>
      </c>
      <c r="AH390" s="1">
        <f>value(IFERROR(SUBSTITUTE(SUBSTITUTE(VLOOKUP($A390,'Quarterly Pipeline vs Target Pi'!$A:$V,21,false)," $","")," €",""), "")
)</f>
        <v>0</v>
      </c>
      <c r="AI390" s="1">
        <f>value(IFERROR(SUBSTITUTE(SUBSTITUTE(VLOOKUP($A390,'Quarterly Pipeline vs Target Pi'!$A:$V,22,false)," $","")," €",""), "")
)</f>
        <v>0</v>
      </c>
      <c r="AJ390" s="17" t="str">
        <f t="shared" si="12"/>
        <v/>
      </c>
      <c r="AK390" s="1">
        <f t="shared" ref="AK390:AL390" si="793">sum(Y390,AB390,AE390,AH390)</f>
        <v>0</v>
      </c>
      <c r="AL390" s="1">
        <f t="shared" si="793"/>
        <v>0</v>
      </c>
      <c r="AM390" s="17" t="str">
        <f t="shared" si="14"/>
        <v/>
      </c>
      <c r="AN390" s="1">
        <f>value(IFERROR(SUBSTITUTE(SUBSTITUTE(VLOOKUP($A390,'Quarterly Pipeline vs Target Pi'!$A:$AP,26,false)," $","")," €",""), "")
)</f>
        <v>0</v>
      </c>
      <c r="AO390" s="1">
        <f>value(IFERROR(SUBSTITUTE(SUBSTITUTE(VLOOKUP($A390,'Quarterly Pipeline vs Target Pi'!$A:$AP,27,false)," $","")," €",""), "")
)</f>
        <v>0</v>
      </c>
      <c r="AP390" s="17" t="str">
        <f t="shared" si="15"/>
        <v/>
      </c>
      <c r="AQ390" s="1">
        <f>value(IFERROR(SUBSTITUTE(SUBSTITUTE(VLOOKUP($A390,'Quarterly Pipeline vs Target Pi'!$A:$AP,31,false)," $","")," €",""), "")
)</f>
        <v>0</v>
      </c>
      <c r="AR390" s="1">
        <f>value(IFERROR(SUBSTITUTE(SUBSTITUTE(VLOOKUP($A390,'Quarterly Pipeline vs Target Pi'!$A:$AP,32,false)," $","")," €",""), "")
)</f>
        <v>0</v>
      </c>
      <c r="AS390" s="17" t="str">
        <f t="shared" si="16"/>
        <v/>
      </c>
      <c r="AT390" s="1">
        <f>value(IFERROR(SUBSTITUTE(SUBSTITUTE(VLOOKUP($A390,'Quarterly Pipeline vs Target Pi'!$A:$AP,36,false)," $","")," €",""), "")
)</f>
        <v>0</v>
      </c>
      <c r="AU390" s="1">
        <f>value(IFERROR(SUBSTITUTE(SUBSTITUTE(VLOOKUP($A390,'Quarterly Pipeline vs Target Pi'!$A:$AP,37,false)," $","")," €",""), "")
)</f>
        <v>0</v>
      </c>
      <c r="AV390" s="17" t="str">
        <f t="shared" si="17"/>
        <v/>
      </c>
      <c r="AW390" s="1">
        <f>value(IFERROR(SUBSTITUTE(SUBSTITUTE(VLOOKUP($A390,'Quarterly Pipeline vs Target Pi'!$A:$AP,41,false)," $","")," €",""), "")
)</f>
        <v>0</v>
      </c>
      <c r="AX390" s="1">
        <f>value(IFERROR(SUBSTITUTE(SUBSTITUTE(VLOOKUP($A390,'Quarterly Pipeline vs Target Pi'!$A:$AP,42,false)," $","")," €",""), "")
)</f>
        <v>0</v>
      </c>
      <c r="AY390" s="17" t="str">
        <f t="shared" si="18"/>
        <v/>
      </c>
      <c r="AZ390" s="1">
        <f t="shared" ref="AZ390:BA390" si="794">sum(AN390,AQ390,AT390,AW390)</f>
        <v>0</v>
      </c>
      <c r="BA390" s="1">
        <f t="shared" si="794"/>
        <v>0</v>
      </c>
      <c r="BB390" s="17" t="str">
        <f t="shared" si="20"/>
        <v/>
      </c>
    </row>
    <row r="391">
      <c r="A391" s="1" t="str">
        <f>IFERROR(__xludf.DUMMYFUNCTION("""COMPUTED_VALUE"""),"63ced842c5c820531c2680d2")</f>
        <v>63ced842c5c820531c2680d2</v>
      </c>
      <c r="B391" s="1" t="str">
        <f>IFERROR(__xludf.DUMMYFUNCTION("""COMPUTED_VALUE"""),"Sixtra Chile S.A.")</f>
        <v>Sixtra Chile S.A.</v>
      </c>
      <c r="C391" s="1" t="str">
        <f>IFERROR(__xludf.DUMMYFUNCTION("""COMPUTED_VALUE"""),"luis.arriagada@al-enterprise.com")</f>
        <v>luis.arriagada@al-enterprise.com</v>
      </c>
      <c r="D391" s="1" t="str">
        <f>IFERROR(__xludf.DUMMYFUNCTION("""COMPUTED_VALUE"""),"americas")</f>
        <v>americas</v>
      </c>
      <c r="E391" s="1" t="str">
        <f>IFERROR(__xludf.DUMMYFUNCTION("""COMPUTED_VALUE"""),"CL")</f>
        <v>CL</v>
      </c>
      <c r="F391" s="1"/>
      <c r="G391" s="1" t="str">
        <f>iferror(VLOOKUP(A391,'Business Plan Setup and Accepta'!A:G,6,false),"")</f>
        <v/>
      </c>
      <c r="H391" s="1" t="str">
        <f>iferror(VLOOKUP(A391,'Business Plan Setup and Accepta'!A:G,7,false),"")</f>
        <v/>
      </c>
      <c r="I391" s="17" t="str">
        <f t="shared" si="3"/>
        <v/>
      </c>
      <c r="J391" s="1" t="str">
        <f>IFERROR(VALUE(SUBSTITUTE(VLOOKUP(A391,'Sales IN Revenues vs Sales targ'!A:G,6,false)," $","")), "")
</f>
        <v/>
      </c>
      <c r="K391" s="1" t="str">
        <f>IFERROR(VALUE(SUBSTITUTE(VLOOKUP(A391,'Sales IN Revenues vs Sales targ'!A:G,7,false)," $","")), "")
</f>
        <v/>
      </c>
      <c r="L391" s="17" t="str">
        <f t="shared" si="4"/>
        <v/>
      </c>
      <c r="M391" s="1">
        <f>value(SUBSTITUTE(IFERROR(VLOOKUP(A391,'Certifications achievements vs '!A:G,6,false),""),"#","")
)</f>
        <v>0</v>
      </c>
      <c r="N391" s="1">
        <f>value(SUBSTITUTE(IFERROR(VLOOKUP(A391,'Certifications achievements vs '!A:G,7,false),""),"#","")
)</f>
        <v>0</v>
      </c>
      <c r="O391" s="17" t="str">
        <f t="shared" si="5"/>
        <v/>
      </c>
      <c r="P391" s="1">
        <f>value(SUBSTITUTE(IFERROR(VLOOKUP(A391,'Communications - Solution Speci'!A:G,6,false),""),"#","")
)</f>
        <v>0</v>
      </c>
      <c r="Q391" s="1">
        <f>value(SUBSTITUTE(IFERROR(VLOOKUP(A391,'Communications - Solution Speci'!A:G,7,false),""),"#","")
)</f>
        <v>0</v>
      </c>
      <c r="R391" s="17" t="str">
        <f t="shared" si="6"/>
        <v/>
      </c>
      <c r="S391" s="1">
        <f>value(SUBSTITUTE(IFERROR(VLOOKUP(A391,'Networking - Solution Specializ'!A:G,6,false),""),"#","")
)</f>
        <v>0</v>
      </c>
      <c r="T391" s="1">
        <f>value(SUBSTITUTE(IFERROR(VLOOKUP(A391,'Networking - Solution Specializ'!A:G,7,false),""),"#","")
)</f>
        <v>0</v>
      </c>
      <c r="U391" s="17" t="str">
        <f t="shared" si="7"/>
        <v/>
      </c>
      <c r="V391" s="1" t="str">
        <f>iferror(vlookup(A391,'Marketing Plan (extract summary'!A:G,6,false),"")</f>
        <v/>
      </c>
      <c r="W391" s="1" t="str">
        <f>iferror(vlookup(A391,'Marketing Plan (extract summary'!A:G,7,false),"")</f>
        <v/>
      </c>
      <c r="X391" s="17" t="str">
        <f t="shared" si="8"/>
        <v/>
      </c>
      <c r="Y391" s="1">
        <f>value(IFERROR(SUBSTITUTE(SUBSTITUTE(VLOOKUP(A391,'Quarterly Pipeline vs Target Pi'!A:G,6,false)," $","")," €",""), "")
)</f>
        <v>0</v>
      </c>
      <c r="Z391" s="1">
        <f>value(IFERROR(SUBSTITUTE(SUBSTITUTE(VLOOKUP(A391,'Quarterly Pipeline vs Target Pi'!A:G,7,false)," $","")," €",""), "")
)</f>
        <v>0</v>
      </c>
      <c r="AA391" s="17" t="str">
        <f t="shared" si="9"/>
        <v/>
      </c>
      <c r="AB391" s="1">
        <f>value(IFERROR(SUBSTITUTE(SUBSTITUTE(VLOOKUP($A391,'Quarterly Pipeline vs Target Pi'!$A:$V,11,false)," $","")," €",""), "")
)</f>
        <v>0</v>
      </c>
      <c r="AC391" s="1">
        <f>value(IFERROR(SUBSTITUTE(SUBSTITUTE(VLOOKUP($A391,'Quarterly Pipeline vs Target Pi'!$A:$V,12,false)," $","")," €",""), "")
)</f>
        <v>0</v>
      </c>
      <c r="AD391" s="17" t="str">
        <f t="shared" si="10"/>
        <v/>
      </c>
      <c r="AE391" s="1">
        <f>value(IFERROR(SUBSTITUTE(SUBSTITUTE(VLOOKUP($A391,'Quarterly Pipeline vs Target Pi'!$A:$V,16,false)," $","")," €",""), "")
)</f>
        <v>0</v>
      </c>
      <c r="AF391" s="1">
        <f>value(IFERROR(SUBSTITUTE(SUBSTITUTE(VLOOKUP($A391,'Quarterly Pipeline vs Target Pi'!$A:$V,17,false)," $","")," €",""), "")
)</f>
        <v>0</v>
      </c>
      <c r="AG391" s="17" t="str">
        <f t="shared" si="11"/>
        <v/>
      </c>
      <c r="AH391" s="1">
        <f>value(IFERROR(SUBSTITUTE(SUBSTITUTE(VLOOKUP($A391,'Quarterly Pipeline vs Target Pi'!$A:$V,21,false)," $","")," €",""), "")
)</f>
        <v>0</v>
      </c>
      <c r="AI391" s="1">
        <f>value(IFERROR(SUBSTITUTE(SUBSTITUTE(VLOOKUP($A391,'Quarterly Pipeline vs Target Pi'!$A:$V,22,false)," $","")," €",""), "")
)</f>
        <v>0</v>
      </c>
      <c r="AJ391" s="17" t="str">
        <f t="shared" si="12"/>
        <v/>
      </c>
      <c r="AK391" s="1">
        <f t="shared" ref="AK391:AL391" si="795">sum(Y391,AB391,AE391,AH391)</f>
        <v>0</v>
      </c>
      <c r="AL391" s="1">
        <f t="shared" si="795"/>
        <v>0</v>
      </c>
      <c r="AM391" s="17" t="str">
        <f t="shared" si="14"/>
        <v/>
      </c>
      <c r="AN391" s="1">
        <f>value(IFERROR(SUBSTITUTE(SUBSTITUTE(VLOOKUP($A391,'Quarterly Pipeline vs Target Pi'!$A:$AP,26,false)," $","")," €",""), "")
)</f>
        <v>0</v>
      </c>
      <c r="AO391" s="1">
        <f>value(IFERROR(SUBSTITUTE(SUBSTITUTE(VLOOKUP($A391,'Quarterly Pipeline vs Target Pi'!$A:$AP,27,false)," $","")," €",""), "")
)</f>
        <v>0</v>
      </c>
      <c r="AP391" s="17" t="str">
        <f t="shared" si="15"/>
        <v/>
      </c>
      <c r="AQ391" s="1">
        <f>value(IFERROR(SUBSTITUTE(SUBSTITUTE(VLOOKUP($A391,'Quarterly Pipeline vs Target Pi'!$A:$AP,31,false)," $","")," €",""), "")
)</f>
        <v>0</v>
      </c>
      <c r="AR391" s="1">
        <f>value(IFERROR(SUBSTITUTE(SUBSTITUTE(VLOOKUP($A391,'Quarterly Pipeline vs Target Pi'!$A:$AP,32,false)," $","")," €",""), "")
)</f>
        <v>0</v>
      </c>
      <c r="AS391" s="17" t="str">
        <f t="shared" si="16"/>
        <v/>
      </c>
      <c r="AT391" s="1">
        <f>value(IFERROR(SUBSTITUTE(SUBSTITUTE(VLOOKUP($A391,'Quarterly Pipeline vs Target Pi'!$A:$AP,36,false)," $","")," €",""), "")
)</f>
        <v>0</v>
      </c>
      <c r="AU391" s="1">
        <f>value(IFERROR(SUBSTITUTE(SUBSTITUTE(VLOOKUP($A391,'Quarterly Pipeline vs Target Pi'!$A:$AP,37,false)," $","")," €",""), "")
)</f>
        <v>0</v>
      </c>
      <c r="AV391" s="17" t="str">
        <f t="shared" si="17"/>
        <v/>
      </c>
      <c r="AW391" s="1">
        <f>value(IFERROR(SUBSTITUTE(SUBSTITUTE(VLOOKUP($A391,'Quarterly Pipeline vs Target Pi'!$A:$AP,41,false)," $","")," €",""), "")
)</f>
        <v>0</v>
      </c>
      <c r="AX391" s="1">
        <f>value(IFERROR(SUBSTITUTE(SUBSTITUTE(VLOOKUP($A391,'Quarterly Pipeline vs Target Pi'!$A:$AP,42,false)," $","")," €",""), "")
)</f>
        <v>0</v>
      </c>
      <c r="AY391" s="17" t="str">
        <f t="shared" si="18"/>
        <v/>
      </c>
      <c r="AZ391" s="1">
        <f t="shared" ref="AZ391:BA391" si="796">sum(AN391,AQ391,AT391,AW391)</f>
        <v>0</v>
      </c>
      <c r="BA391" s="1">
        <f t="shared" si="796"/>
        <v>0</v>
      </c>
      <c r="BB391" s="17" t="str">
        <f t="shared" si="20"/>
        <v/>
      </c>
    </row>
    <row r="392">
      <c r="A392" s="1" t="str">
        <f>IFERROR(__xludf.DUMMYFUNCTION("""COMPUTED_VALUE"""),"63fcbb86a107c871cf565675")</f>
        <v>63fcbb86a107c871cf565675</v>
      </c>
      <c r="B392" s="1" t="str">
        <f>IFERROR(__xludf.DUMMYFUNCTION("""COMPUTED_VALUE"""),"SKC IT Service GmbH")</f>
        <v>SKC IT Service GmbH</v>
      </c>
      <c r="C392" s="1" t="str">
        <f>IFERROR(__xludf.DUMMYFUNCTION("""COMPUTED_VALUE"""),"andre.ramm@al-enterprise.com")</f>
        <v>andre.ramm@al-enterprise.com</v>
      </c>
      <c r="D392" s="1" t="str">
        <f>IFERROR(__xludf.DUMMYFUNCTION("""COMPUTED_VALUE"""),"germany")</f>
        <v>germany</v>
      </c>
      <c r="E392" s="1" t="str">
        <f>IFERROR(__xludf.DUMMYFUNCTION("""COMPUTED_VALUE"""),"DE")</f>
        <v>DE</v>
      </c>
      <c r="F392" s="1"/>
      <c r="G392" s="1" t="str">
        <f>iferror(VLOOKUP(A392,'Business Plan Setup and Accepta'!A:G,6,false),"")</f>
        <v/>
      </c>
      <c r="H392" s="1" t="str">
        <f>iferror(VLOOKUP(A392,'Business Plan Setup and Accepta'!A:G,7,false),"")</f>
        <v/>
      </c>
      <c r="I392" s="17" t="str">
        <f t="shared" si="3"/>
        <v/>
      </c>
      <c r="J392" s="1" t="str">
        <f>IFERROR(VALUE(SUBSTITUTE(VLOOKUP(A392,'Sales IN Revenues vs Sales targ'!A:G,6,false)," $","")), "")
</f>
        <v/>
      </c>
      <c r="K392" s="1" t="str">
        <f>IFERROR(VALUE(SUBSTITUTE(VLOOKUP(A392,'Sales IN Revenues vs Sales targ'!A:G,7,false)," $","")), "")
</f>
        <v/>
      </c>
      <c r="L392" s="17" t="str">
        <f t="shared" si="4"/>
        <v/>
      </c>
      <c r="M392" s="1">
        <f>value(SUBSTITUTE(IFERROR(VLOOKUP(A392,'Certifications achievements vs '!A:G,6,false),""),"#","")
)</f>
        <v>0</v>
      </c>
      <c r="N392" s="1">
        <f>value(SUBSTITUTE(IFERROR(VLOOKUP(A392,'Certifications achievements vs '!A:G,7,false),""),"#","")
)</f>
        <v>0</v>
      </c>
      <c r="O392" s="17" t="str">
        <f t="shared" si="5"/>
        <v/>
      </c>
      <c r="P392" s="1">
        <f>value(SUBSTITUTE(IFERROR(VLOOKUP(A392,'Communications - Solution Speci'!A:G,6,false),""),"#","")
)</f>
        <v>0</v>
      </c>
      <c r="Q392" s="1">
        <f>value(SUBSTITUTE(IFERROR(VLOOKUP(A392,'Communications - Solution Speci'!A:G,7,false),""),"#","")
)</f>
        <v>0</v>
      </c>
      <c r="R392" s="17" t="str">
        <f t="shared" si="6"/>
        <v/>
      </c>
      <c r="S392" s="1">
        <f>value(SUBSTITUTE(IFERROR(VLOOKUP(A392,'Networking - Solution Specializ'!A:G,6,false),""),"#","")
)</f>
        <v>0</v>
      </c>
      <c r="T392" s="1">
        <f>value(SUBSTITUTE(IFERROR(VLOOKUP(A392,'Networking - Solution Specializ'!A:G,7,false),""),"#","")
)</f>
        <v>0</v>
      </c>
      <c r="U392" s="17" t="str">
        <f t="shared" si="7"/>
        <v/>
      </c>
      <c r="V392" s="1" t="str">
        <f>iferror(vlookup(A392,'Marketing Plan (extract summary'!A:G,6,false),"")</f>
        <v/>
      </c>
      <c r="W392" s="1" t="str">
        <f>iferror(vlookup(A392,'Marketing Plan (extract summary'!A:G,7,false),"")</f>
        <v/>
      </c>
      <c r="X392" s="17" t="str">
        <f t="shared" si="8"/>
        <v/>
      </c>
      <c r="Y392" s="1">
        <f>value(IFERROR(SUBSTITUTE(SUBSTITUTE(VLOOKUP(A392,'Quarterly Pipeline vs Target Pi'!A:G,6,false)," $","")," €",""), "")
)</f>
        <v>0</v>
      </c>
      <c r="Z392" s="1">
        <f>value(IFERROR(SUBSTITUTE(SUBSTITUTE(VLOOKUP(A392,'Quarterly Pipeline vs Target Pi'!A:G,7,false)," $","")," €",""), "")
)</f>
        <v>0</v>
      </c>
      <c r="AA392" s="17" t="str">
        <f t="shared" si="9"/>
        <v/>
      </c>
      <c r="AB392" s="1">
        <f>value(IFERROR(SUBSTITUTE(SUBSTITUTE(VLOOKUP($A392,'Quarterly Pipeline vs Target Pi'!$A:$V,11,false)," $","")," €",""), "")
)</f>
        <v>0</v>
      </c>
      <c r="AC392" s="1">
        <f>value(IFERROR(SUBSTITUTE(SUBSTITUTE(VLOOKUP($A392,'Quarterly Pipeline vs Target Pi'!$A:$V,12,false)," $","")," €",""), "")
)</f>
        <v>0</v>
      </c>
      <c r="AD392" s="17" t="str">
        <f t="shared" si="10"/>
        <v/>
      </c>
      <c r="AE392" s="1">
        <f>value(IFERROR(SUBSTITUTE(SUBSTITUTE(VLOOKUP($A392,'Quarterly Pipeline vs Target Pi'!$A:$V,16,false)," $","")," €",""), "")
)</f>
        <v>0</v>
      </c>
      <c r="AF392" s="1">
        <f>value(IFERROR(SUBSTITUTE(SUBSTITUTE(VLOOKUP($A392,'Quarterly Pipeline vs Target Pi'!$A:$V,17,false)," $","")," €",""), "")
)</f>
        <v>0</v>
      </c>
      <c r="AG392" s="17" t="str">
        <f t="shared" si="11"/>
        <v/>
      </c>
      <c r="AH392" s="1">
        <f>value(IFERROR(SUBSTITUTE(SUBSTITUTE(VLOOKUP($A392,'Quarterly Pipeline vs Target Pi'!$A:$V,21,false)," $","")," €",""), "")
)</f>
        <v>0</v>
      </c>
      <c r="AI392" s="1">
        <f>value(IFERROR(SUBSTITUTE(SUBSTITUTE(VLOOKUP($A392,'Quarterly Pipeline vs Target Pi'!$A:$V,22,false)," $","")," €",""), "")
)</f>
        <v>0</v>
      </c>
      <c r="AJ392" s="17" t="str">
        <f t="shared" si="12"/>
        <v/>
      </c>
      <c r="AK392" s="1">
        <f t="shared" ref="AK392:AL392" si="797">sum(Y392,AB392,AE392,AH392)</f>
        <v>0</v>
      </c>
      <c r="AL392" s="1">
        <f t="shared" si="797"/>
        <v>0</v>
      </c>
      <c r="AM392" s="17" t="str">
        <f t="shared" si="14"/>
        <v/>
      </c>
      <c r="AN392" s="1">
        <f>value(IFERROR(SUBSTITUTE(SUBSTITUTE(VLOOKUP($A392,'Quarterly Pipeline vs Target Pi'!$A:$AP,26,false)," $","")," €",""), "")
)</f>
        <v>0</v>
      </c>
      <c r="AO392" s="1">
        <f>value(IFERROR(SUBSTITUTE(SUBSTITUTE(VLOOKUP($A392,'Quarterly Pipeline vs Target Pi'!$A:$AP,27,false)," $","")," €",""), "")
)</f>
        <v>0</v>
      </c>
      <c r="AP392" s="17" t="str">
        <f t="shared" si="15"/>
        <v/>
      </c>
      <c r="AQ392" s="1">
        <f>value(IFERROR(SUBSTITUTE(SUBSTITUTE(VLOOKUP($A392,'Quarterly Pipeline vs Target Pi'!$A:$AP,31,false)," $","")," €",""), "")
)</f>
        <v>0</v>
      </c>
      <c r="AR392" s="1">
        <f>value(IFERROR(SUBSTITUTE(SUBSTITUTE(VLOOKUP($A392,'Quarterly Pipeline vs Target Pi'!$A:$AP,32,false)," $","")," €",""), "")
)</f>
        <v>0</v>
      </c>
      <c r="AS392" s="17" t="str">
        <f t="shared" si="16"/>
        <v/>
      </c>
      <c r="AT392" s="1">
        <f>value(IFERROR(SUBSTITUTE(SUBSTITUTE(VLOOKUP($A392,'Quarterly Pipeline vs Target Pi'!$A:$AP,36,false)," $","")," €",""), "")
)</f>
        <v>0</v>
      </c>
      <c r="AU392" s="1">
        <f>value(IFERROR(SUBSTITUTE(SUBSTITUTE(VLOOKUP($A392,'Quarterly Pipeline vs Target Pi'!$A:$AP,37,false)," $","")," €",""), "")
)</f>
        <v>0</v>
      </c>
      <c r="AV392" s="17" t="str">
        <f t="shared" si="17"/>
        <v/>
      </c>
      <c r="AW392" s="1">
        <f>value(IFERROR(SUBSTITUTE(SUBSTITUTE(VLOOKUP($A392,'Quarterly Pipeline vs Target Pi'!$A:$AP,41,false)," $","")," €",""), "")
)</f>
        <v>0</v>
      </c>
      <c r="AX392" s="1">
        <f>value(IFERROR(SUBSTITUTE(SUBSTITUTE(VLOOKUP($A392,'Quarterly Pipeline vs Target Pi'!$A:$AP,42,false)," $","")," €",""), "")
)</f>
        <v>0</v>
      </c>
      <c r="AY392" s="17" t="str">
        <f t="shared" si="18"/>
        <v/>
      </c>
      <c r="AZ392" s="1">
        <f t="shared" ref="AZ392:BA392" si="798">sum(AN392,AQ392,AT392,AW392)</f>
        <v>0</v>
      </c>
      <c r="BA392" s="1">
        <f t="shared" si="798"/>
        <v>0</v>
      </c>
      <c r="BB392" s="17" t="str">
        <f t="shared" si="20"/>
        <v/>
      </c>
    </row>
    <row r="393">
      <c r="A393" s="1" t="str">
        <f>IFERROR(__xludf.DUMMYFUNCTION("""COMPUTED_VALUE"""),"63ea6e9452ad6968805cebc1")</f>
        <v>63ea6e9452ad6968805cebc1</v>
      </c>
      <c r="B393" s="1" t="str">
        <f>IFERROR(__xludf.DUMMYFUNCTION("""COMPUTED_VALUE"""),"SKC Seiler &amp; Klimpel Communication")</f>
        <v>SKC Seiler &amp; Klimpel Communication</v>
      </c>
      <c r="C393" s="1" t="str">
        <f>IFERROR(__xludf.DUMMYFUNCTION("""COMPUTED_VALUE"""),"silke.fraedrich@al-enterprise.com, andreas.grossheimann@al-enterprise.com, samantha.hunt@al-enterprise.com, katrin.pfeiffer@al-enterprise.com, sibylle.klopfer@al-enterprise.com, igor.leko@al-enterprise.com")</f>
        <v>silke.fraedrich@al-enterprise.com, andreas.grossheimann@al-enterprise.com, samantha.hunt@al-enterprise.com, katrin.pfeiffer@al-enterprise.com, sibylle.klopfer@al-enterprise.com, igor.leko@al-enterprise.com</v>
      </c>
      <c r="D393" s="1" t="str">
        <f>IFERROR(__xludf.DUMMYFUNCTION("""COMPUTED_VALUE"""),"germany")</f>
        <v>germany</v>
      </c>
      <c r="E393" s="1" t="str">
        <f>IFERROR(__xludf.DUMMYFUNCTION("""COMPUTED_VALUE"""),"DE")</f>
        <v>DE</v>
      </c>
      <c r="F393" s="1" t="str">
        <f>IFERROR(__xludf.DUMMYFUNCTION("""COMPUTED_VALUE"""),"expert_200")</f>
        <v>expert_200</v>
      </c>
      <c r="G393" s="1">
        <f>iferror(VLOOKUP(A393,'Business Plan Setup and Accepta'!A:G,6,false),"")</f>
        <v>1</v>
      </c>
      <c r="H393" s="1">
        <f>iferror(VLOOKUP(A393,'Business Plan Setup and Accepta'!A:G,7,false),"")</f>
        <v>1</v>
      </c>
      <c r="I393" s="17">
        <f t="shared" si="3"/>
        <v>1</v>
      </c>
      <c r="J393" s="1">
        <f>IFERROR(VALUE(SUBSTITUTE(VLOOKUP(A393,'Sales IN Revenues vs Sales targ'!A:G,6,false)," $","")), "")
</f>
        <v>204.54</v>
      </c>
      <c r="K393" s="1">
        <f>IFERROR(VALUE(SUBSTITUTE(VLOOKUP(A393,'Sales IN Revenues vs Sales targ'!A:G,7,false)," $","")), "")
</f>
        <v>401</v>
      </c>
      <c r="L393" s="17">
        <f t="shared" si="4"/>
        <v>0.510074813</v>
      </c>
      <c r="M393" s="1">
        <f>value(SUBSTITUTE(IFERROR(VLOOKUP(A393,'Certifications achievements vs '!A:G,6,false),""),"#","")
)</f>
        <v>29</v>
      </c>
      <c r="N393" s="1">
        <f>value(SUBSTITUTE(IFERROR(VLOOKUP(A393,'Certifications achievements vs '!A:G,7,false),""),"#","")
)</f>
        <v>52</v>
      </c>
      <c r="O393" s="17">
        <f t="shared" si="5"/>
        <v>0.5576923077</v>
      </c>
      <c r="P393" s="1">
        <f>value(SUBSTITUTE(IFERROR(VLOOKUP(A393,'Communications - Solution Speci'!A:G,6,false),""),"#","")
)</f>
        <v>1</v>
      </c>
      <c r="Q393" s="1">
        <f>value(SUBSTITUTE(IFERROR(VLOOKUP(A393,'Communications - Solution Speci'!A:G,7,false),""),"#","")
)</f>
        <v>1</v>
      </c>
      <c r="R393" s="17">
        <f t="shared" si="6"/>
        <v>1</v>
      </c>
      <c r="S393" s="1">
        <f>value(SUBSTITUTE(IFERROR(VLOOKUP(A393,'Networking - Solution Specializ'!A:G,6,false),""),"#","")
)</f>
        <v>0</v>
      </c>
      <c r="T393" s="1">
        <f>value(SUBSTITUTE(IFERROR(VLOOKUP(A393,'Networking - Solution Specializ'!A:G,7,false),""),"#","")
)</f>
        <v>1</v>
      </c>
      <c r="U393" s="17">
        <f t="shared" si="7"/>
        <v>0</v>
      </c>
      <c r="V393" s="1">
        <f>iferror(vlookup(A393,'Marketing Plan (extract summary'!A:G,6,false),"")</f>
        <v>1</v>
      </c>
      <c r="W393" s="1">
        <f>iferror(vlookup(A393,'Marketing Plan (extract summary'!A:G,7,false),"")</f>
        <v>1</v>
      </c>
      <c r="X393" s="17">
        <f t="shared" si="8"/>
        <v>1</v>
      </c>
      <c r="Y393" s="1">
        <f>value(IFERROR(SUBSTITUTE(SUBSTITUTE(VLOOKUP(A393,'Quarterly Pipeline vs Target Pi'!A:G,6,false)," $","")," €",""), "")
)</f>
        <v>0</v>
      </c>
      <c r="Z393" s="1">
        <f>value(IFERROR(SUBSTITUTE(SUBSTITUTE(VLOOKUP(A393,'Quarterly Pipeline vs Target Pi'!A:G,7,false)," $","")," €",""), "")
)</f>
        <v>0</v>
      </c>
      <c r="AA393" s="17" t="str">
        <f t="shared" si="9"/>
        <v/>
      </c>
      <c r="AB393" s="1">
        <f>value(IFERROR(SUBSTITUTE(SUBSTITUTE(VLOOKUP($A393,'Quarterly Pipeline vs Target Pi'!$A:$V,11,false)," $","")," €",""), "")
)</f>
        <v>65</v>
      </c>
      <c r="AC393" s="1">
        <f>value(IFERROR(SUBSTITUTE(SUBSTITUTE(VLOOKUP($A393,'Quarterly Pipeline vs Target Pi'!$A:$V,12,false)," $","")," €",""), "")
)</f>
        <v>150.94</v>
      </c>
      <c r="AD393" s="17">
        <f t="shared" si="10"/>
        <v>0.4306346893</v>
      </c>
      <c r="AE393" s="1">
        <f>value(IFERROR(SUBSTITUTE(SUBSTITUTE(VLOOKUP($A393,'Quarterly Pipeline vs Target Pi'!$A:$V,16,false)," $","")," €",""), "")
)</f>
        <v>65</v>
      </c>
      <c r="AF393" s="1">
        <f>value(IFERROR(SUBSTITUTE(SUBSTITUTE(VLOOKUP($A393,'Quarterly Pipeline vs Target Pi'!$A:$V,17,false)," $","")," €",""), "")
)</f>
        <v>227.36</v>
      </c>
      <c r="AG393" s="17">
        <f t="shared" si="11"/>
        <v>0.2858902182</v>
      </c>
      <c r="AH393" s="1">
        <f>value(IFERROR(SUBSTITUTE(SUBSTITUTE(VLOOKUP($A393,'Quarterly Pipeline vs Target Pi'!$A:$V,21,false)," $","")," €",""), "")
)</f>
        <v>0</v>
      </c>
      <c r="AI393" s="1">
        <f>value(IFERROR(SUBSTITUTE(SUBSTITUTE(VLOOKUP($A393,'Quarterly Pipeline vs Target Pi'!$A:$V,22,false)," $","")," €",""), "")
)</f>
        <v>227.36</v>
      </c>
      <c r="AJ393" s="17">
        <f t="shared" si="12"/>
        <v>0</v>
      </c>
      <c r="AK393" s="1">
        <f t="shared" ref="AK393:AL393" si="799">sum(Y393,AB393,AE393,AH393)</f>
        <v>130</v>
      </c>
      <c r="AL393" s="1">
        <f t="shared" si="799"/>
        <v>605.66</v>
      </c>
      <c r="AM393" s="17">
        <f t="shared" si="14"/>
        <v>0.2146418783</v>
      </c>
      <c r="AN393" s="1">
        <f>value(IFERROR(SUBSTITUTE(SUBSTITUTE(VLOOKUP($A393,'Quarterly Pipeline vs Target Pi'!$A:$AP,26,false)," $","")," €",""), "")
)</f>
        <v>0</v>
      </c>
      <c r="AO393" s="1">
        <f>value(IFERROR(SUBSTITUTE(SUBSTITUTE(VLOOKUP($A393,'Quarterly Pipeline vs Target Pi'!$A:$AP,27,false)," $","")," €",""), "")
)</f>
        <v>0</v>
      </c>
      <c r="AP393" s="17" t="str">
        <f t="shared" si="15"/>
        <v/>
      </c>
      <c r="AQ393" s="1">
        <f>value(IFERROR(SUBSTITUTE(SUBSTITUTE(VLOOKUP($A393,'Quarterly Pipeline vs Target Pi'!$A:$AP,31,false)," $","")," €",""), "")
)</f>
        <v>0</v>
      </c>
      <c r="AR393" s="1">
        <f>value(IFERROR(SUBSTITUTE(SUBSTITUTE(VLOOKUP($A393,'Quarterly Pipeline vs Target Pi'!$A:$AP,32,false)," $","")," €",""), "")
)</f>
        <v>0</v>
      </c>
      <c r="AS393" s="17" t="str">
        <f t="shared" si="16"/>
        <v/>
      </c>
      <c r="AT393" s="1">
        <f>value(IFERROR(SUBSTITUTE(SUBSTITUTE(VLOOKUP($A393,'Quarterly Pipeline vs Target Pi'!$A:$AP,36,false)," $","")," €",""), "")
)</f>
        <v>0</v>
      </c>
      <c r="AU393" s="1">
        <f>value(IFERROR(SUBSTITUTE(SUBSTITUTE(VLOOKUP($A393,'Quarterly Pipeline vs Target Pi'!$A:$AP,37,false)," $","")," €",""), "")
)</f>
        <v>0</v>
      </c>
      <c r="AV393" s="17" t="str">
        <f t="shared" si="17"/>
        <v/>
      </c>
      <c r="AW393" s="1">
        <f>value(IFERROR(SUBSTITUTE(SUBSTITUTE(VLOOKUP($A393,'Quarterly Pipeline vs Target Pi'!$A:$AP,41,false)," $","")," €",""), "")
)</f>
        <v>0</v>
      </c>
      <c r="AX393" s="1">
        <f>value(IFERROR(SUBSTITUTE(SUBSTITUTE(VLOOKUP($A393,'Quarterly Pipeline vs Target Pi'!$A:$AP,42,false)," $","")," €",""), "")
)</f>
        <v>0</v>
      </c>
      <c r="AY393" s="17" t="str">
        <f t="shared" si="18"/>
        <v/>
      </c>
      <c r="AZ393" s="1">
        <f t="shared" ref="AZ393:BA393" si="800">sum(AN393,AQ393,AT393,AW393)</f>
        <v>0</v>
      </c>
      <c r="BA393" s="1">
        <f t="shared" si="800"/>
        <v>0</v>
      </c>
      <c r="BB393" s="17" t="str">
        <f t="shared" si="20"/>
        <v/>
      </c>
    </row>
    <row r="394">
      <c r="A394" s="1" t="str">
        <f>IFERROR(__xludf.DUMMYFUNCTION("""COMPUTED_VALUE"""),"63fcbb83a107c871cf565189")</f>
        <v>63fcbb83a107c871cf565189</v>
      </c>
      <c r="B394" s="1" t="str">
        <f>IFERROR(__xludf.DUMMYFUNCTION("""COMPUTED_VALUE"""),"Sky Communications, Inc")</f>
        <v>Sky Communications, Inc</v>
      </c>
      <c r="C394" s="1" t="str">
        <f>IFERROR(__xludf.DUMMYFUNCTION("""COMPUTED_VALUE"""),"steve.mcglasson@al-enterprise.com")</f>
        <v>steve.mcglasson@al-enterprise.com</v>
      </c>
      <c r="D394" s="1" t="str">
        <f>IFERROR(__xludf.DUMMYFUNCTION("""COMPUTED_VALUE"""),"americas")</f>
        <v>americas</v>
      </c>
      <c r="E394" s="1" t="str">
        <f>IFERROR(__xludf.DUMMYFUNCTION("""COMPUTED_VALUE"""),"US")</f>
        <v>US</v>
      </c>
      <c r="F394" s="1"/>
      <c r="G394" s="1" t="str">
        <f>iferror(VLOOKUP(A394,'Business Plan Setup and Accepta'!A:G,6,false),"")</f>
        <v/>
      </c>
      <c r="H394" s="1" t="str">
        <f>iferror(VLOOKUP(A394,'Business Plan Setup and Accepta'!A:G,7,false),"")</f>
        <v/>
      </c>
      <c r="I394" s="17" t="str">
        <f t="shared" si="3"/>
        <v/>
      </c>
      <c r="J394" s="1" t="str">
        <f>IFERROR(VALUE(SUBSTITUTE(VLOOKUP(A394,'Sales IN Revenues vs Sales targ'!A:G,6,false)," $","")), "")
</f>
        <v/>
      </c>
      <c r="K394" s="1" t="str">
        <f>IFERROR(VALUE(SUBSTITUTE(VLOOKUP(A394,'Sales IN Revenues vs Sales targ'!A:G,7,false)," $","")), "")
</f>
        <v/>
      </c>
      <c r="L394" s="17" t="str">
        <f t="shared" si="4"/>
        <v/>
      </c>
      <c r="M394" s="1">
        <f>value(SUBSTITUTE(IFERROR(VLOOKUP(A394,'Certifications achievements vs '!A:G,6,false),""),"#","")
)</f>
        <v>0</v>
      </c>
      <c r="N394" s="1">
        <f>value(SUBSTITUTE(IFERROR(VLOOKUP(A394,'Certifications achievements vs '!A:G,7,false),""),"#","")
)</f>
        <v>0</v>
      </c>
      <c r="O394" s="17" t="str">
        <f t="shared" si="5"/>
        <v/>
      </c>
      <c r="P394" s="1">
        <f>value(SUBSTITUTE(IFERROR(VLOOKUP(A394,'Communications - Solution Speci'!A:G,6,false),""),"#","")
)</f>
        <v>0</v>
      </c>
      <c r="Q394" s="1">
        <f>value(SUBSTITUTE(IFERROR(VLOOKUP(A394,'Communications - Solution Speci'!A:G,7,false),""),"#","")
)</f>
        <v>0</v>
      </c>
      <c r="R394" s="17" t="str">
        <f t="shared" si="6"/>
        <v/>
      </c>
      <c r="S394" s="1">
        <f>value(SUBSTITUTE(IFERROR(VLOOKUP(A394,'Networking - Solution Specializ'!A:G,6,false),""),"#","")
)</f>
        <v>0</v>
      </c>
      <c r="T394" s="1">
        <f>value(SUBSTITUTE(IFERROR(VLOOKUP(A394,'Networking - Solution Specializ'!A:G,7,false),""),"#","")
)</f>
        <v>0</v>
      </c>
      <c r="U394" s="17" t="str">
        <f t="shared" si="7"/>
        <v/>
      </c>
      <c r="V394" s="1" t="str">
        <f>iferror(vlookup(A394,'Marketing Plan (extract summary'!A:G,6,false),"")</f>
        <v/>
      </c>
      <c r="W394" s="1" t="str">
        <f>iferror(vlookup(A394,'Marketing Plan (extract summary'!A:G,7,false),"")</f>
        <v/>
      </c>
      <c r="X394" s="17" t="str">
        <f t="shared" si="8"/>
        <v/>
      </c>
      <c r="Y394" s="1">
        <f>value(IFERROR(SUBSTITUTE(SUBSTITUTE(VLOOKUP(A394,'Quarterly Pipeline vs Target Pi'!A:G,6,false)," $","")," €",""), "")
)</f>
        <v>0</v>
      </c>
      <c r="Z394" s="1">
        <f>value(IFERROR(SUBSTITUTE(SUBSTITUTE(VLOOKUP(A394,'Quarterly Pipeline vs Target Pi'!A:G,7,false)," $","")," €",""), "")
)</f>
        <v>0</v>
      </c>
      <c r="AA394" s="17" t="str">
        <f t="shared" si="9"/>
        <v/>
      </c>
      <c r="AB394" s="1">
        <f>value(IFERROR(SUBSTITUTE(SUBSTITUTE(VLOOKUP($A394,'Quarterly Pipeline vs Target Pi'!$A:$V,11,false)," $","")," €",""), "")
)</f>
        <v>0</v>
      </c>
      <c r="AC394" s="1">
        <f>value(IFERROR(SUBSTITUTE(SUBSTITUTE(VLOOKUP($A394,'Quarterly Pipeline vs Target Pi'!$A:$V,12,false)," $","")," €",""), "")
)</f>
        <v>0</v>
      </c>
      <c r="AD394" s="17" t="str">
        <f t="shared" si="10"/>
        <v/>
      </c>
      <c r="AE394" s="1">
        <f>value(IFERROR(SUBSTITUTE(SUBSTITUTE(VLOOKUP($A394,'Quarterly Pipeline vs Target Pi'!$A:$V,16,false)," $","")," €",""), "")
)</f>
        <v>0</v>
      </c>
      <c r="AF394" s="1">
        <f>value(IFERROR(SUBSTITUTE(SUBSTITUTE(VLOOKUP($A394,'Quarterly Pipeline vs Target Pi'!$A:$V,17,false)," $","")," €",""), "")
)</f>
        <v>0</v>
      </c>
      <c r="AG394" s="17" t="str">
        <f t="shared" si="11"/>
        <v/>
      </c>
      <c r="AH394" s="1">
        <f>value(IFERROR(SUBSTITUTE(SUBSTITUTE(VLOOKUP($A394,'Quarterly Pipeline vs Target Pi'!$A:$V,21,false)," $","")," €",""), "")
)</f>
        <v>0</v>
      </c>
      <c r="AI394" s="1">
        <f>value(IFERROR(SUBSTITUTE(SUBSTITUTE(VLOOKUP($A394,'Quarterly Pipeline vs Target Pi'!$A:$V,22,false)," $","")," €",""), "")
)</f>
        <v>0</v>
      </c>
      <c r="AJ394" s="17" t="str">
        <f t="shared" si="12"/>
        <v/>
      </c>
      <c r="AK394" s="1">
        <f t="shared" ref="AK394:AL394" si="801">sum(Y394,AB394,AE394,AH394)</f>
        <v>0</v>
      </c>
      <c r="AL394" s="1">
        <f t="shared" si="801"/>
        <v>0</v>
      </c>
      <c r="AM394" s="17" t="str">
        <f t="shared" si="14"/>
        <v/>
      </c>
      <c r="AN394" s="1">
        <f>value(IFERROR(SUBSTITUTE(SUBSTITUTE(VLOOKUP($A394,'Quarterly Pipeline vs Target Pi'!$A:$AP,26,false)," $","")," €",""), "")
)</f>
        <v>0</v>
      </c>
      <c r="AO394" s="1">
        <f>value(IFERROR(SUBSTITUTE(SUBSTITUTE(VLOOKUP($A394,'Quarterly Pipeline vs Target Pi'!$A:$AP,27,false)," $","")," €",""), "")
)</f>
        <v>0</v>
      </c>
      <c r="AP394" s="17" t="str">
        <f t="shared" si="15"/>
        <v/>
      </c>
      <c r="AQ394" s="1">
        <f>value(IFERROR(SUBSTITUTE(SUBSTITUTE(VLOOKUP($A394,'Quarterly Pipeline vs Target Pi'!$A:$AP,31,false)," $","")," €",""), "")
)</f>
        <v>0</v>
      </c>
      <c r="AR394" s="1">
        <f>value(IFERROR(SUBSTITUTE(SUBSTITUTE(VLOOKUP($A394,'Quarterly Pipeline vs Target Pi'!$A:$AP,32,false)," $","")," €",""), "")
)</f>
        <v>0</v>
      </c>
      <c r="AS394" s="17" t="str">
        <f t="shared" si="16"/>
        <v/>
      </c>
      <c r="AT394" s="1">
        <f>value(IFERROR(SUBSTITUTE(SUBSTITUTE(VLOOKUP($A394,'Quarterly Pipeline vs Target Pi'!$A:$AP,36,false)," $","")," €",""), "")
)</f>
        <v>0</v>
      </c>
      <c r="AU394" s="1">
        <f>value(IFERROR(SUBSTITUTE(SUBSTITUTE(VLOOKUP($A394,'Quarterly Pipeline vs Target Pi'!$A:$AP,37,false)," $","")," €",""), "")
)</f>
        <v>0</v>
      </c>
      <c r="AV394" s="17" t="str">
        <f t="shared" si="17"/>
        <v/>
      </c>
      <c r="AW394" s="1">
        <f>value(IFERROR(SUBSTITUTE(SUBSTITUTE(VLOOKUP($A394,'Quarterly Pipeline vs Target Pi'!$A:$AP,41,false)," $","")," €",""), "")
)</f>
        <v>0</v>
      </c>
      <c r="AX394" s="1">
        <f>value(IFERROR(SUBSTITUTE(SUBSTITUTE(VLOOKUP($A394,'Quarterly Pipeline vs Target Pi'!$A:$AP,42,false)," $","")," €",""), "")
)</f>
        <v>0</v>
      </c>
      <c r="AY394" s="17" t="str">
        <f t="shared" si="18"/>
        <v/>
      </c>
      <c r="AZ394" s="1">
        <f t="shared" ref="AZ394:BA394" si="802">sum(AN394,AQ394,AT394,AW394)</f>
        <v>0</v>
      </c>
      <c r="BA394" s="1">
        <f t="shared" si="802"/>
        <v>0</v>
      </c>
      <c r="BB394" s="17" t="str">
        <f t="shared" si="20"/>
        <v/>
      </c>
    </row>
    <row r="395">
      <c r="A395" s="1" t="str">
        <f>IFERROR(__xludf.DUMMYFUNCTION("""COMPUTED_VALUE"""),"63fcbb7ea107c871cf5647b1")</f>
        <v>63fcbb7ea107c871cf5647b1</v>
      </c>
      <c r="B395" s="1" t="str">
        <f>IFERROR(__xludf.DUMMYFUNCTION("""COMPUTED_VALUE"""),"Skyhelm Technology")</f>
        <v>Skyhelm Technology</v>
      </c>
      <c r="C395" s="1" t="str">
        <f>IFERROR(__xludf.DUMMYFUNCTION("""COMPUTED_VALUE"""),"bill.rademacher@al-enterprise.com")</f>
        <v>bill.rademacher@al-enterprise.com</v>
      </c>
      <c r="D395" s="1" t="str">
        <f>IFERROR(__xludf.DUMMYFUNCTION("""COMPUTED_VALUE"""),"americas")</f>
        <v>americas</v>
      </c>
      <c r="E395" s="1" t="str">
        <f>IFERROR(__xludf.DUMMYFUNCTION("""COMPUTED_VALUE"""),"US")</f>
        <v>US</v>
      </c>
      <c r="F395" s="1" t="str">
        <f>IFERROR(__xludf.DUMMYFUNCTION("""COMPUTED_VALUE"""),"expert_200")</f>
        <v>expert_200</v>
      </c>
      <c r="G395" s="1">
        <f>iferror(VLOOKUP(A395,'Business Plan Setup and Accepta'!A:G,6,false),"")</f>
        <v>0</v>
      </c>
      <c r="H395" s="1">
        <f>iferror(VLOOKUP(A395,'Business Plan Setup and Accepta'!A:G,7,false),"")</f>
        <v>1</v>
      </c>
      <c r="I395" s="17">
        <f t="shared" si="3"/>
        <v>0</v>
      </c>
      <c r="J395" s="1">
        <f>IFERROR(VALUE(SUBSTITUTE(VLOOKUP(A395,'Sales IN Revenues vs Sales targ'!A:G,6,false)," $","")), "")
</f>
        <v>37.86</v>
      </c>
      <c r="K395" s="1">
        <f>IFERROR(VALUE(SUBSTITUTE(VLOOKUP(A395,'Sales IN Revenues vs Sales targ'!A:G,7,false)," $","")), "")
</f>
        <v>0</v>
      </c>
      <c r="L395" s="17" t="str">
        <f t="shared" si="4"/>
        <v/>
      </c>
      <c r="M395" s="1">
        <f>value(SUBSTITUTE(IFERROR(VLOOKUP(A395,'Certifications achievements vs '!A:G,6,false),""),"#","")
)</f>
        <v>0</v>
      </c>
      <c r="N395" s="1">
        <f>value(SUBSTITUTE(IFERROR(VLOOKUP(A395,'Certifications achievements vs '!A:G,7,false),""),"#","")
)</f>
        <v>0</v>
      </c>
      <c r="O395" s="17" t="str">
        <f t="shared" si="5"/>
        <v/>
      </c>
      <c r="P395" s="1">
        <f>value(SUBSTITUTE(IFERROR(VLOOKUP(A395,'Communications - Solution Speci'!A:G,6,false),""),"#","")
)</f>
        <v>0</v>
      </c>
      <c r="Q395" s="1">
        <f>value(SUBSTITUTE(IFERROR(VLOOKUP(A395,'Communications - Solution Speci'!A:G,7,false),""),"#","")
)</f>
        <v>1</v>
      </c>
      <c r="R395" s="17">
        <f t="shared" si="6"/>
        <v>0</v>
      </c>
      <c r="S395" s="1">
        <f>value(SUBSTITUTE(IFERROR(VLOOKUP(A395,'Networking - Solution Specializ'!A:G,6,false),""),"#","")
)</f>
        <v>0</v>
      </c>
      <c r="T395" s="1">
        <f>value(SUBSTITUTE(IFERROR(VLOOKUP(A395,'Networking - Solution Specializ'!A:G,7,false),""),"#","")
)</f>
        <v>1</v>
      </c>
      <c r="U395" s="17">
        <f t="shared" si="7"/>
        <v>0</v>
      </c>
      <c r="V395" s="1">
        <f>iferror(vlookup(A395,'Marketing Plan (extract summary'!A:G,6,false),"")</f>
        <v>0</v>
      </c>
      <c r="W395" s="1">
        <f>iferror(vlookup(A395,'Marketing Plan (extract summary'!A:G,7,false),"")</f>
        <v>1</v>
      </c>
      <c r="X395" s="17">
        <f t="shared" si="8"/>
        <v>0</v>
      </c>
      <c r="Y395" s="1">
        <f>value(IFERROR(SUBSTITUTE(SUBSTITUTE(VLOOKUP(A395,'Quarterly Pipeline vs Target Pi'!A:G,6,false)," $","")," €",""), "")
)</f>
        <v>2.73</v>
      </c>
      <c r="Z395" s="1">
        <f>value(IFERROR(SUBSTITUTE(SUBSTITUTE(VLOOKUP(A395,'Quarterly Pipeline vs Target Pi'!A:G,7,false)," $","")," €",""), "")
)</f>
        <v>0</v>
      </c>
      <c r="AA395" s="17" t="str">
        <f t="shared" si="9"/>
        <v/>
      </c>
      <c r="AB395" s="1">
        <f>value(IFERROR(SUBSTITUTE(SUBSTITUTE(VLOOKUP($A395,'Quarterly Pipeline vs Target Pi'!$A:$V,11,false)," $","")," €",""), "")
)</f>
        <v>19.16</v>
      </c>
      <c r="AC395" s="1">
        <f>value(IFERROR(SUBSTITUTE(SUBSTITUTE(VLOOKUP($A395,'Quarterly Pipeline vs Target Pi'!$A:$V,12,false)," $","")," €",""), "")
)</f>
        <v>0</v>
      </c>
      <c r="AD395" s="17" t="str">
        <f t="shared" si="10"/>
        <v/>
      </c>
      <c r="AE395" s="1">
        <f>value(IFERROR(SUBSTITUTE(SUBSTITUTE(VLOOKUP($A395,'Quarterly Pipeline vs Target Pi'!$A:$V,16,false)," $","")," €",""), "")
)</f>
        <v>6.82</v>
      </c>
      <c r="AF395" s="1">
        <f>value(IFERROR(SUBSTITUTE(SUBSTITUTE(VLOOKUP($A395,'Quarterly Pipeline vs Target Pi'!$A:$V,17,false)," $","")," €",""), "")
)</f>
        <v>0</v>
      </c>
      <c r="AG395" s="17" t="str">
        <f t="shared" si="11"/>
        <v/>
      </c>
      <c r="AH395" s="1">
        <f>value(IFERROR(SUBSTITUTE(SUBSTITUTE(VLOOKUP($A395,'Quarterly Pipeline vs Target Pi'!$A:$V,21,false)," $","")," €",""), "")
)</f>
        <v>181.84</v>
      </c>
      <c r="AI395" s="1">
        <f>value(IFERROR(SUBSTITUTE(SUBSTITUTE(VLOOKUP($A395,'Quarterly Pipeline vs Target Pi'!$A:$V,22,false)," $","")," €",""), "")
)</f>
        <v>0</v>
      </c>
      <c r="AJ395" s="17" t="str">
        <f t="shared" si="12"/>
        <v/>
      </c>
      <c r="AK395" s="1">
        <f t="shared" ref="AK395:AL395" si="803">sum(Y395,AB395,AE395,AH395)</f>
        <v>210.55</v>
      </c>
      <c r="AL395" s="1">
        <f t="shared" si="803"/>
        <v>0</v>
      </c>
      <c r="AM395" s="17" t="str">
        <f t="shared" si="14"/>
        <v/>
      </c>
      <c r="AN395" s="1">
        <f>value(IFERROR(SUBSTITUTE(SUBSTITUTE(VLOOKUP($A395,'Quarterly Pipeline vs Target Pi'!$A:$AP,26,false)," $","")," €",""), "")
)</f>
        <v>20</v>
      </c>
      <c r="AO395" s="1">
        <f>value(IFERROR(SUBSTITUTE(SUBSTITUTE(VLOOKUP($A395,'Quarterly Pipeline vs Target Pi'!$A:$AP,27,false)," $","")," €",""), "")
)</f>
        <v>0</v>
      </c>
      <c r="AP395" s="17" t="str">
        <f t="shared" si="15"/>
        <v/>
      </c>
      <c r="AQ395" s="1">
        <f>value(IFERROR(SUBSTITUTE(SUBSTITUTE(VLOOKUP($A395,'Quarterly Pipeline vs Target Pi'!$A:$AP,31,false)," $","")," €",""), "")
)</f>
        <v>0</v>
      </c>
      <c r="AR395" s="1">
        <f>value(IFERROR(SUBSTITUTE(SUBSTITUTE(VLOOKUP($A395,'Quarterly Pipeline vs Target Pi'!$A:$AP,32,false)," $","")," €",""), "")
)</f>
        <v>0</v>
      </c>
      <c r="AS395" s="17" t="str">
        <f t="shared" si="16"/>
        <v/>
      </c>
      <c r="AT395" s="1">
        <f>value(IFERROR(SUBSTITUTE(SUBSTITUTE(VLOOKUP($A395,'Quarterly Pipeline vs Target Pi'!$A:$AP,36,false)," $","")," €",""), "")
)</f>
        <v>0</v>
      </c>
      <c r="AU395" s="1">
        <f>value(IFERROR(SUBSTITUTE(SUBSTITUTE(VLOOKUP($A395,'Quarterly Pipeline vs Target Pi'!$A:$AP,37,false)," $","")," €",""), "")
)</f>
        <v>0</v>
      </c>
      <c r="AV395" s="17" t="str">
        <f t="shared" si="17"/>
        <v/>
      </c>
      <c r="AW395" s="1">
        <f>value(IFERROR(SUBSTITUTE(SUBSTITUTE(VLOOKUP($A395,'Quarterly Pipeline vs Target Pi'!$A:$AP,41,false)," $","")," €",""), "")
)</f>
        <v>0</v>
      </c>
      <c r="AX395" s="1">
        <f>value(IFERROR(SUBSTITUTE(SUBSTITUTE(VLOOKUP($A395,'Quarterly Pipeline vs Target Pi'!$A:$AP,42,false)," $","")," €",""), "")
)</f>
        <v>0</v>
      </c>
      <c r="AY395" s="17" t="str">
        <f t="shared" si="18"/>
        <v/>
      </c>
      <c r="AZ395" s="1">
        <f t="shared" ref="AZ395:BA395" si="804">sum(AN395,AQ395,AT395,AW395)</f>
        <v>20</v>
      </c>
      <c r="BA395" s="1">
        <f t="shared" si="804"/>
        <v>0</v>
      </c>
      <c r="BB395" s="17" t="str">
        <f t="shared" si="20"/>
        <v/>
      </c>
    </row>
    <row r="396">
      <c r="A396" s="1" t="str">
        <f>IFERROR(__xludf.DUMMYFUNCTION("""COMPUTED_VALUE"""),"63ef9d58384f27260c1ba413")</f>
        <v>63ef9d58384f27260c1ba413</v>
      </c>
      <c r="B396" s="1" t="str">
        <f>IFERROR(__xludf.DUMMYFUNCTION("""COMPUTED_VALUE"""),"SMC ELECTRIC SUPPLY")</f>
        <v>SMC ELECTRIC SUPPLY</v>
      </c>
      <c r="C396" s="1" t="str">
        <f>IFERROR(__xludf.DUMMYFUNCTION("""COMPUTED_VALUE"""),"gene.hawks@al-enterprise.com, bill.rademacher@al-enterprise.com, jack.jachner@al-enterprise.com")</f>
        <v>gene.hawks@al-enterprise.com, bill.rademacher@al-enterprise.com, jack.jachner@al-enterprise.com</v>
      </c>
      <c r="D396" s="1" t="str">
        <f>IFERROR(__xludf.DUMMYFUNCTION("""COMPUTED_VALUE"""),"americas")</f>
        <v>americas</v>
      </c>
      <c r="E396" s="1" t="str">
        <f>IFERROR(__xludf.DUMMYFUNCTION("""COMPUTED_VALUE"""),"US")</f>
        <v>US</v>
      </c>
      <c r="F396" s="1" t="str">
        <f>IFERROR(__xludf.DUMMYFUNCTION("""COMPUTED_VALUE"""),"expert_200")</f>
        <v>expert_200</v>
      </c>
      <c r="G396" s="1">
        <f>iferror(VLOOKUP(A396,'Business Plan Setup and Accepta'!A:G,6,false),"")</f>
        <v>0</v>
      </c>
      <c r="H396" s="1">
        <f>iferror(VLOOKUP(A396,'Business Plan Setup and Accepta'!A:G,7,false),"")</f>
        <v>1</v>
      </c>
      <c r="I396" s="17">
        <f t="shared" si="3"/>
        <v>0</v>
      </c>
      <c r="J396" s="1">
        <f>IFERROR(VALUE(SUBSTITUTE(VLOOKUP(A396,'Sales IN Revenues vs Sales targ'!A:G,6,false)," $","")), "")
</f>
        <v>114.27</v>
      </c>
      <c r="K396" s="1">
        <f>IFERROR(VALUE(SUBSTITUTE(VLOOKUP(A396,'Sales IN Revenues vs Sales targ'!A:G,7,false)," $","")), "")
</f>
        <v>581.39</v>
      </c>
      <c r="L396" s="17">
        <f t="shared" si="4"/>
        <v>0.1965462082</v>
      </c>
      <c r="M396" s="1">
        <f>value(SUBSTITUTE(IFERROR(VLOOKUP(A396,'Certifications achievements vs '!A:G,6,false),""),"#","")
)</f>
        <v>0</v>
      </c>
      <c r="N396" s="1">
        <f>value(SUBSTITUTE(IFERROR(VLOOKUP(A396,'Certifications achievements vs '!A:G,7,false),""),"#","")
)</f>
        <v>0</v>
      </c>
      <c r="O396" s="17" t="str">
        <f t="shared" si="5"/>
        <v/>
      </c>
      <c r="P396" s="1">
        <f>value(SUBSTITUTE(IFERROR(VLOOKUP(A396,'Communications - Solution Speci'!A:G,6,false),""),"#","")
)</f>
        <v>0</v>
      </c>
      <c r="Q396" s="1">
        <f>value(SUBSTITUTE(IFERROR(VLOOKUP(A396,'Communications - Solution Speci'!A:G,7,false),""),"#","")
)</f>
        <v>1</v>
      </c>
      <c r="R396" s="17">
        <f t="shared" si="6"/>
        <v>0</v>
      </c>
      <c r="S396" s="1">
        <f>value(SUBSTITUTE(IFERROR(VLOOKUP(A396,'Networking - Solution Specializ'!A:G,6,false),""),"#","")
)</f>
        <v>0</v>
      </c>
      <c r="T396" s="1">
        <f>value(SUBSTITUTE(IFERROR(VLOOKUP(A396,'Networking - Solution Specializ'!A:G,7,false),""),"#","")
)</f>
        <v>1</v>
      </c>
      <c r="U396" s="17">
        <f t="shared" si="7"/>
        <v>0</v>
      </c>
      <c r="V396" s="1">
        <f>iferror(vlookup(A396,'Marketing Plan (extract summary'!A:G,6,false),"")</f>
        <v>0</v>
      </c>
      <c r="W396" s="1">
        <f>iferror(vlookup(A396,'Marketing Plan (extract summary'!A:G,7,false),"")</f>
        <v>1</v>
      </c>
      <c r="X396" s="17">
        <f t="shared" si="8"/>
        <v>0</v>
      </c>
      <c r="Y396" s="1">
        <f>value(IFERROR(SUBSTITUTE(SUBSTITUTE(VLOOKUP(A396,'Quarterly Pipeline vs Target Pi'!A:G,6,false)," $","")," €",""), "")
)</f>
        <v>20.55</v>
      </c>
      <c r="Z396" s="1">
        <f>value(IFERROR(SUBSTITUTE(SUBSTITUTE(VLOOKUP(A396,'Quarterly Pipeline vs Target Pi'!A:G,7,false)," $","")," €",""), "")
)</f>
        <v>0</v>
      </c>
      <c r="AA396" s="17" t="str">
        <f t="shared" si="9"/>
        <v/>
      </c>
      <c r="AB396" s="1">
        <f>value(IFERROR(SUBSTITUTE(SUBSTITUTE(VLOOKUP($A396,'Quarterly Pipeline vs Target Pi'!$A:$V,11,false)," $","")," €",""), "")
)</f>
        <v>53.04</v>
      </c>
      <c r="AC396" s="1">
        <f>value(IFERROR(SUBSTITUTE(SUBSTITUTE(VLOOKUP($A396,'Quarterly Pipeline vs Target Pi'!$A:$V,12,false)," $","")," €",""), "")
)</f>
        <v>387.66</v>
      </c>
      <c r="AD396" s="17">
        <f t="shared" si="10"/>
        <v>0.1368209256</v>
      </c>
      <c r="AE396" s="1">
        <f>value(IFERROR(SUBSTITUTE(SUBSTITUTE(VLOOKUP($A396,'Quarterly Pipeline vs Target Pi'!$A:$V,16,false)," $","")," €",""), "")
)</f>
        <v>47.18</v>
      </c>
      <c r="AF396" s="1">
        <f>value(IFERROR(SUBSTITUTE(SUBSTITUTE(VLOOKUP($A396,'Quarterly Pipeline vs Target Pi'!$A:$V,17,false)," $","")," €",""), "")
)</f>
        <v>581.32</v>
      </c>
      <c r="AG396" s="17">
        <f t="shared" si="11"/>
        <v>0.08116011835</v>
      </c>
      <c r="AH396" s="1">
        <f>value(IFERROR(SUBSTITUTE(SUBSTITUTE(VLOOKUP($A396,'Quarterly Pipeline vs Target Pi'!$A:$V,21,false)," $","")," €",""), "")
)</f>
        <v>44.9</v>
      </c>
      <c r="AI396" s="1">
        <f>value(IFERROR(SUBSTITUTE(SUBSTITUTE(VLOOKUP($A396,'Quarterly Pipeline vs Target Pi'!$A:$V,22,false)," $","")," €",""), "")
)</f>
        <v>581.32</v>
      </c>
      <c r="AJ396" s="17">
        <f t="shared" si="12"/>
        <v>0.07723801005</v>
      </c>
      <c r="AK396" s="1">
        <f t="shared" ref="AK396:AL396" si="805">sum(Y396,AB396,AE396,AH396)</f>
        <v>165.67</v>
      </c>
      <c r="AL396" s="1">
        <f t="shared" si="805"/>
        <v>1550.3</v>
      </c>
      <c r="AM396" s="17">
        <f t="shared" si="14"/>
        <v>0.1068631878</v>
      </c>
      <c r="AN396" s="1">
        <f>value(IFERROR(SUBSTITUTE(SUBSTITUTE(VLOOKUP($A396,'Quarterly Pipeline vs Target Pi'!$A:$AP,26,false)," $","")," €",""), "")
)</f>
        <v>66.61</v>
      </c>
      <c r="AO396" s="1">
        <f>value(IFERROR(SUBSTITUTE(SUBSTITUTE(VLOOKUP($A396,'Quarterly Pipeline vs Target Pi'!$A:$AP,27,false)," $","")," €",""), "")
)</f>
        <v>0</v>
      </c>
      <c r="AP396" s="17" t="str">
        <f t="shared" si="15"/>
        <v/>
      </c>
      <c r="AQ396" s="1">
        <f>value(IFERROR(SUBSTITUTE(SUBSTITUTE(VLOOKUP($A396,'Quarterly Pipeline vs Target Pi'!$A:$AP,31,false)," $","")," €",""), "")
)</f>
        <v>0</v>
      </c>
      <c r="AR396" s="1">
        <f>value(IFERROR(SUBSTITUTE(SUBSTITUTE(VLOOKUP($A396,'Quarterly Pipeline vs Target Pi'!$A:$AP,32,false)," $","")," €",""), "")
)</f>
        <v>0</v>
      </c>
      <c r="AS396" s="17" t="str">
        <f t="shared" si="16"/>
        <v/>
      </c>
      <c r="AT396" s="1">
        <f>value(IFERROR(SUBSTITUTE(SUBSTITUTE(VLOOKUP($A396,'Quarterly Pipeline vs Target Pi'!$A:$AP,36,false)," $","")," €",""), "")
)</f>
        <v>0</v>
      </c>
      <c r="AU396" s="1">
        <f>value(IFERROR(SUBSTITUTE(SUBSTITUTE(VLOOKUP($A396,'Quarterly Pipeline vs Target Pi'!$A:$AP,37,false)," $","")," €",""), "")
)</f>
        <v>0</v>
      </c>
      <c r="AV396" s="17" t="str">
        <f t="shared" si="17"/>
        <v/>
      </c>
      <c r="AW396" s="1">
        <f>value(IFERROR(SUBSTITUTE(SUBSTITUTE(VLOOKUP($A396,'Quarterly Pipeline vs Target Pi'!$A:$AP,41,false)," $","")," €",""), "")
)</f>
        <v>0</v>
      </c>
      <c r="AX396" s="1">
        <f>value(IFERROR(SUBSTITUTE(SUBSTITUTE(VLOOKUP($A396,'Quarterly Pipeline vs Target Pi'!$A:$AP,42,false)," $","")," €",""), "")
)</f>
        <v>0</v>
      </c>
      <c r="AY396" s="17" t="str">
        <f t="shared" si="18"/>
        <v/>
      </c>
      <c r="AZ396" s="1">
        <f t="shared" ref="AZ396:BA396" si="806">sum(AN396,AQ396,AT396,AW396)</f>
        <v>66.61</v>
      </c>
      <c r="BA396" s="1">
        <f t="shared" si="806"/>
        <v>0</v>
      </c>
      <c r="BB396" s="17" t="str">
        <f t="shared" si="20"/>
        <v/>
      </c>
    </row>
    <row r="397">
      <c r="A397" s="1" t="str">
        <f>IFERROR(__xludf.DUMMYFUNCTION("""COMPUTED_VALUE"""),"63fcbb80a107c871cf564c11")</f>
        <v>63fcbb80a107c871cf564c11</v>
      </c>
      <c r="B397" s="1" t="str">
        <f>IFERROR(__xludf.DUMMYFUNCTION("""COMPUTED_VALUE"""),"Smith Bagley, Inc")</f>
        <v>Smith Bagley, Inc</v>
      </c>
      <c r="C397" s="1" t="str">
        <f>IFERROR(__xludf.DUMMYFUNCTION("""COMPUTED_VALUE"""),"steve.mcglasson@al-enterprise.com")</f>
        <v>steve.mcglasson@al-enterprise.com</v>
      </c>
      <c r="D397" s="1" t="str">
        <f>IFERROR(__xludf.DUMMYFUNCTION("""COMPUTED_VALUE"""),"americas")</f>
        <v>americas</v>
      </c>
      <c r="E397" s="1" t="str">
        <f>IFERROR(__xludf.DUMMYFUNCTION("""COMPUTED_VALUE"""),"US")</f>
        <v>US</v>
      </c>
      <c r="F397" s="1"/>
      <c r="G397" s="1" t="str">
        <f>iferror(VLOOKUP(A397,'Business Plan Setup and Accepta'!A:G,6,false),"")</f>
        <v/>
      </c>
      <c r="H397" s="1" t="str">
        <f>iferror(VLOOKUP(A397,'Business Plan Setup and Accepta'!A:G,7,false),"")</f>
        <v/>
      </c>
      <c r="I397" s="17" t="str">
        <f t="shared" si="3"/>
        <v/>
      </c>
      <c r="J397" s="1" t="str">
        <f>IFERROR(VALUE(SUBSTITUTE(VLOOKUP(A397,'Sales IN Revenues vs Sales targ'!A:G,6,false)," $","")), "")
</f>
        <v/>
      </c>
      <c r="K397" s="1" t="str">
        <f>IFERROR(VALUE(SUBSTITUTE(VLOOKUP(A397,'Sales IN Revenues vs Sales targ'!A:G,7,false)," $","")), "")
</f>
        <v/>
      </c>
      <c r="L397" s="17" t="str">
        <f t="shared" si="4"/>
        <v/>
      </c>
      <c r="M397" s="1">
        <f>value(SUBSTITUTE(IFERROR(VLOOKUP(A397,'Certifications achievements vs '!A:G,6,false),""),"#","")
)</f>
        <v>0</v>
      </c>
      <c r="N397" s="1">
        <f>value(SUBSTITUTE(IFERROR(VLOOKUP(A397,'Certifications achievements vs '!A:G,7,false),""),"#","")
)</f>
        <v>0</v>
      </c>
      <c r="O397" s="17" t="str">
        <f t="shared" si="5"/>
        <v/>
      </c>
      <c r="P397" s="1">
        <f>value(SUBSTITUTE(IFERROR(VLOOKUP(A397,'Communications - Solution Speci'!A:G,6,false),""),"#","")
)</f>
        <v>0</v>
      </c>
      <c r="Q397" s="1">
        <f>value(SUBSTITUTE(IFERROR(VLOOKUP(A397,'Communications - Solution Speci'!A:G,7,false),""),"#","")
)</f>
        <v>0</v>
      </c>
      <c r="R397" s="17" t="str">
        <f t="shared" si="6"/>
        <v/>
      </c>
      <c r="S397" s="1">
        <f>value(SUBSTITUTE(IFERROR(VLOOKUP(A397,'Networking - Solution Specializ'!A:G,6,false),""),"#","")
)</f>
        <v>0</v>
      </c>
      <c r="T397" s="1">
        <f>value(SUBSTITUTE(IFERROR(VLOOKUP(A397,'Networking - Solution Specializ'!A:G,7,false),""),"#","")
)</f>
        <v>0</v>
      </c>
      <c r="U397" s="17" t="str">
        <f t="shared" si="7"/>
        <v/>
      </c>
      <c r="V397" s="1" t="str">
        <f>iferror(vlookup(A397,'Marketing Plan (extract summary'!A:G,6,false),"")</f>
        <v/>
      </c>
      <c r="W397" s="1" t="str">
        <f>iferror(vlookup(A397,'Marketing Plan (extract summary'!A:G,7,false),"")</f>
        <v/>
      </c>
      <c r="X397" s="17" t="str">
        <f t="shared" si="8"/>
        <v/>
      </c>
      <c r="Y397" s="1">
        <f>value(IFERROR(SUBSTITUTE(SUBSTITUTE(VLOOKUP(A397,'Quarterly Pipeline vs Target Pi'!A:G,6,false)," $","")," €",""), "")
)</f>
        <v>0</v>
      </c>
      <c r="Z397" s="1">
        <f>value(IFERROR(SUBSTITUTE(SUBSTITUTE(VLOOKUP(A397,'Quarterly Pipeline vs Target Pi'!A:G,7,false)," $","")," €",""), "")
)</f>
        <v>0</v>
      </c>
      <c r="AA397" s="17" t="str">
        <f t="shared" si="9"/>
        <v/>
      </c>
      <c r="AB397" s="1">
        <f>value(IFERROR(SUBSTITUTE(SUBSTITUTE(VLOOKUP($A397,'Quarterly Pipeline vs Target Pi'!$A:$V,11,false)," $","")," €",""), "")
)</f>
        <v>0</v>
      </c>
      <c r="AC397" s="1">
        <f>value(IFERROR(SUBSTITUTE(SUBSTITUTE(VLOOKUP($A397,'Quarterly Pipeline vs Target Pi'!$A:$V,12,false)," $","")," €",""), "")
)</f>
        <v>0</v>
      </c>
      <c r="AD397" s="17" t="str">
        <f t="shared" si="10"/>
        <v/>
      </c>
      <c r="AE397" s="1">
        <f>value(IFERROR(SUBSTITUTE(SUBSTITUTE(VLOOKUP($A397,'Quarterly Pipeline vs Target Pi'!$A:$V,16,false)," $","")," €",""), "")
)</f>
        <v>0</v>
      </c>
      <c r="AF397" s="1">
        <f>value(IFERROR(SUBSTITUTE(SUBSTITUTE(VLOOKUP($A397,'Quarterly Pipeline vs Target Pi'!$A:$V,17,false)," $","")," €",""), "")
)</f>
        <v>0</v>
      </c>
      <c r="AG397" s="17" t="str">
        <f t="shared" si="11"/>
        <v/>
      </c>
      <c r="AH397" s="1">
        <f>value(IFERROR(SUBSTITUTE(SUBSTITUTE(VLOOKUP($A397,'Quarterly Pipeline vs Target Pi'!$A:$V,21,false)," $","")," €",""), "")
)</f>
        <v>0</v>
      </c>
      <c r="AI397" s="1">
        <f>value(IFERROR(SUBSTITUTE(SUBSTITUTE(VLOOKUP($A397,'Quarterly Pipeline vs Target Pi'!$A:$V,22,false)," $","")," €",""), "")
)</f>
        <v>0</v>
      </c>
      <c r="AJ397" s="17" t="str">
        <f t="shared" si="12"/>
        <v/>
      </c>
      <c r="AK397" s="1">
        <f t="shared" ref="AK397:AL397" si="807">sum(Y397,AB397,AE397,AH397)</f>
        <v>0</v>
      </c>
      <c r="AL397" s="1">
        <f t="shared" si="807"/>
        <v>0</v>
      </c>
      <c r="AM397" s="17" t="str">
        <f t="shared" si="14"/>
        <v/>
      </c>
      <c r="AN397" s="1">
        <f>value(IFERROR(SUBSTITUTE(SUBSTITUTE(VLOOKUP($A397,'Quarterly Pipeline vs Target Pi'!$A:$AP,26,false)," $","")," €",""), "")
)</f>
        <v>0</v>
      </c>
      <c r="AO397" s="1">
        <f>value(IFERROR(SUBSTITUTE(SUBSTITUTE(VLOOKUP($A397,'Quarterly Pipeline vs Target Pi'!$A:$AP,27,false)," $","")," €",""), "")
)</f>
        <v>0</v>
      </c>
      <c r="AP397" s="17" t="str">
        <f t="shared" si="15"/>
        <v/>
      </c>
      <c r="AQ397" s="1">
        <f>value(IFERROR(SUBSTITUTE(SUBSTITUTE(VLOOKUP($A397,'Quarterly Pipeline vs Target Pi'!$A:$AP,31,false)," $","")," €",""), "")
)</f>
        <v>0</v>
      </c>
      <c r="AR397" s="1">
        <f>value(IFERROR(SUBSTITUTE(SUBSTITUTE(VLOOKUP($A397,'Quarterly Pipeline vs Target Pi'!$A:$AP,32,false)," $","")," €",""), "")
)</f>
        <v>0</v>
      </c>
      <c r="AS397" s="17" t="str">
        <f t="shared" si="16"/>
        <v/>
      </c>
      <c r="AT397" s="1">
        <f>value(IFERROR(SUBSTITUTE(SUBSTITUTE(VLOOKUP($A397,'Quarterly Pipeline vs Target Pi'!$A:$AP,36,false)," $","")," €",""), "")
)</f>
        <v>0</v>
      </c>
      <c r="AU397" s="1">
        <f>value(IFERROR(SUBSTITUTE(SUBSTITUTE(VLOOKUP($A397,'Quarterly Pipeline vs Target Pi'!$A:$AP,37,false)," $","")," €",""), "")
)</f>
        <v>0</v>
      </c>
      <c r="AV397" s="17" t="str">
        <f t="shared" si="17"/>
        <v/>
      </c>
      <c r="AW397" s="1">
        <f>value(IFERROR(SUBSTITUTE(SUBSTITUTE(VLOOKUP($A397,'Quarterly Pipeline vs Target Pi'!$A:$AP,41,false)," $","")," €",""), "")
)</f>
        <v>0</v>
      </c>
      <c r="AX397" s="1">
        <f>value(IFERROR(SUBSTITUTE(SUBSTITUTE(VLOOKUP($A397,'Quarterly Pipeline vs Target Pi'!$A:$AP,42,false)," $","")," €",""), "")
)</f>
        <v>0</v>
      </c>
      <c r="AY397" s="17" t="str">
        <f t="shared" si="18"/>
        <v/>
      </c>
      <c r="AZ397" s="1">
        <f t="shared" ref="AZ397:BA397" si="808">sum(AN397,AQ397,AT397,AW397)</f>
        <v>0</v>
      </c>
      <c r="BA397" s="1">
        <f t="shared" si="808"/>
        <v>0</v>
      </c>
      <c r="BB397" s="17" t="str">
        <f t="shared" si="20"/>
        <v/>
      </c>
    </row>
    <row r="398">
      <c r="A398" s="1" t="str">
        <f>IFERROR(__xludf.DUMMYFUNCTION("""COMPUTED_VALUE"""),"65fd91a71a836e8bf40d4d52")</f>
        <v>65fd91a71a836e8bf40d4d52</v>
      </c>
      <c r="B398" s="1" t="str">
        <f>IFERROR(__xludf.DUMMYFUNCTION("""COMPUTED_VALUE"""),"SOCIEDAD IBERICA DE CONSTRUCCIONES ELECTRICAS S.A (SICE)")</f>
        <v>SOCIEDAD IBERICA DE CONSTRUCCIONES ELECTRICAS S.A (SICE)</v>
      </c>
      <c r="C398" s="1" t="str">
        <f>IFERROR(__xludf.DUMMYFUNCTION("""COMPUTED_VALUE"""),"marcos.rodriguez@al-enterprise.com, borja.gonzalvez@al-enterprise.com")</f>
        <v>marcos.rodriguez@al-enterprise.com, borja.gonzalvez@al-enterprise.com</v>
      </c>
      <c r="D398" s="1" t="str">
        <f>IFERROR(__xludf.DUMMYFUNCTION("""COMPUTED_VALUE"""),"emea")</f>
        <v>emea</v>
      </c>
      <c r="E398" s="1" t="str">
        <f>IFERROR(__xludf.DUMMYFUNCTION("""COMPUTED_VALUE"""),"ES")</f>
        <v>ES</v>
      </c>
      <c r="F398" s="1"/>
      <c r="G398" s="1" t="str">
        <f>iferror(VLOOKUP(A398,'Business Plan Setup and Accepta'!A:G,6,false),"")</f>
        <v/>
      </c>
      <c r="H398" s="1" t="str">
        <f>iferror(VLOOKUP(A398,'Business Plan Setup and Accepta'!A:G,7,false),"")</f>
        <v/>
      </c>
      <c r="I398" s="17" t="str">
        <f t="shared" si="3"/>
        <v/>
      </c>
      <c r="J398" s="1" t="str">
        <f>IFERROR(VALUE(SUBSTITUTE(VLOOKUP(A398,'Sales IN Revenues vs Sales targ'!A:G,6,false)," $","")), "")
</f>
        <v/>
      </c>
      <c r="K398" s="1" t="str">
        <f>IFERROR(VALUE(SUBSTITUTE(VLOOKUP(A398,'Sales IN Revenues vs Sales targ'!A:G,7,false)," $","")), "")
</f>
        <v/>
      </c>
      <c r="L398" s="17" t="str">
        <f t="shared" si="4"/>
        <v/>
      </c>
      <c r="M398" s="1">
        <f>value(SUBSTITUTE(IFERROR(VLOOKUP(A398,'Certifications achievements vs '!A:G,6,false),""),"#","")
)</f>
        <v>0</v>
      </c>
      <c r="N398" s="1">
        <f>value(SUBSTITUTE(IFERROR(VLOOKUP(A398,'Certifications achievements vs '!A:G,7,false),""),"#","")
)</f>
        <v>0</v>
      </c>
      <c r="O398" s="17" t="str">
        <f t="shared" si="5"/>
        <v/>
      </c>
      <c r="P398" s="1">
        <f>value(SUBSTITUTE(IFERROR(VLOOKUP(A398,'Communications - Solution Speci'!A:G,6,false),""),"#","")
)</f>
        <v>0</v>
      </c>
      <c r="Q398" s="1">
        <f>value(SUBSTITUTE(IFERROR(VLOOKUP(A398,'Communications - Solution Speci'!A:G,7,false),""),"#","")
)</f>
        <v>0</v>
      </c>
      <c r="R398" s="17" t="str">
        <f t="shared" si="6"/>
        <v/>
      </c>
      <c r="S398" s="1">
        <f>value(SUBSTITUTE(IFERROR(VLOOKUP(A398,'Networking - Solution Specializ'!A:G,6,false),""),"#","")
)</f>
        <v>0</v>
      </c>
      <c r="T398" s="1">
        <f>value(SUBSTITUTE(IFERROR(VLOOKUP(A398,'Networking - Solution Specializ'!A:G,7,false),""),"#","")
)</f>
        <v>0</v>
      </c>
      <c r="U398" s="17" t="str">
        <f t="shared" si="7"/>
        <v/>
      </c>
      <c r="V398" s="1" t="str">
        <f>iferror(vlookup(A398,'Marketing Plan (extract summary'!A:G,6,false),"")</f>
        <v/>
      </c>
      <c r="W398" s="1" t="str">
        <f>iferror(vlookup(A398,'Marketing Plan (extract summary'!A:G,7,false),"")</f>
        <v/>
      </c>
      <c r="X398" s="17" t="str">
        <f t="shared" si="8"/>
        <v/>
      </c>
      <c r="Y398" s="1">
        <f>value(IFERROR(SUBSTITUTE(SUBSTITUTE(VLOOKUP(A398,'Quarterly Pipeline vs Target Pi'!A:G,6,false)," $","")," €",""), "")
)</f>
        <v>0</v>
      </c>
      <c r="Z398" s="1">
        <f>value(IFERROR(SUBSTITUTE(SUBSTITUTE(VLOOKUP(A398,'Quarterly Pipeline vs Target Pi'!A:G,7,false)," $","")," €",""), "")
)</f>
        <v>0</v>
      </c>
      <c r="AA398" s="17" t="str">
        <f t="shared" si="9"/>
        <v/>
      </c>
      <c r="AB398" s="1">
        <f>value(IFERROR(SUBSTITUTE(SUBSTITUTE(VLOOKUP($A398,'Quarterly Pipeline vs Target Pi'!$A:$V,11,false)," $","")," €",""), "")
)</f>
        <v>0</v>
      </c>
      <c r="AC398" s="1">
        <f>value(IFERROR(SUBSTITUTE(SUBSTITUTE(VLOOKUP($A398,'Quarterly Pipeline vs Target Pi'!$A:$V,12,false)," $","")," €",""), "")
)</f>
        <v>0</v>
      </c>
      <c r="AD398" s="17" t="str">
        <f t="shared" si="10"/>
        <v/>
      </c>
      <c r="AE398" s="1">
        <f>value(IFERROR(SUBSTITUTE(SUBSTITUTE(VLOOKUP($A398,'Quarterly Pipeline vs Target Pi'!$A:$V,16,false)," $","")," €",""), "")
)</f>
        <v>0</v>
      </c>
      <c r="AF398" s="1">
        <f>value(IFERROR(SUBSTITUTE(SUBSTITUTE(VLOOKUP($A398,'Quarterly Pipeline vs Target Pi'!$A:$V,17,false)," $","")," €",""), "")
)</f>
        <v>0</v>
      </c>
      <c r="AG398" s="17" t="str">
        <f t="shared" si="11"/>
        <v/>
      </c>
      <c r="AH398" s="1">
        <f>value(IFERROR(SUBSTITUTE(SUBSTITUTE(VLOOKUP($A398,'Quarterly Pipeline vs Target Pi'!$A:$V,21,false)," $","")," €",""), "")
)</f>
        <v>0</v>
      </c>
      <c r="AI398" s="1">
        <f>value(IFERROR(SUBSTITUTE(SUBSTITUTE(VLOOKUP($A398,'Quarterly Pipeline vs Target Pi'!$A:$V,22,false)," $","")," €",""), "")
)</f>
        <v>0</v>
      </c>
      <c r="AJ398" s="17" t="str">
        <f t="shared" si="12"/>
        <v/>
      </c>
      <c r="AK398" s="1">
        <f t="shared" ref="AK398:AL398" si="809">sum(Y398,AB398,AE398,AH398)</f>
        <v>0</v>
      </c>
      <c r="AL398" s="1">
        <f t="shared" si="809"/>
        <v>0</v>
      </c>
      <c r="AM398" s="17" t="str">
        <f t="shared" si="14"/>
        <v/>
      </c>
      <c r="AN398" s="1">
        <f>value(IFERROR(SUBSTITUTE(SUBSTITUTE(VLOOKUP($A398,'Quarterly Pipeline vs Target Pi'!$A:$AP,26,false)," $","")," €",""), "")
)</f>
        <v>0</v>
      </c>
      <c r="AO398" s="1">
        <f>value(IFERROR(SUBSTITUTE(SUBSTITUTE(VLOOKUP($A398,'Quarterly Pipeline vs Target Pi'!$A:$AP,27,false)," $","")," €",""), "")
)</f>
        <v>0</v>
      </c>
      <c r="AP398" s="17" t="str">
        <f t="shared" si="15"/>
        <v/>
      </c>
      <c r="AQ398" s="1">
        <f>value(IFERROR(SUBSTITUTE(SUBSTITUTE(VLOOKUP($A398,'Quarterly Pipeline vs Target Pi'!$A:$AP,31,false)," $","")," €",""), "")
)</f>
        <v>0</v>
      </c>
      <c r="AR398" s="1">
        <f>value(IFERROR(SUBSTITUTE(SUBSTITUTE(VLOOKUP($A398,'Quarterly Pipeline vs Target Pi'!$A:$AP,32,false)," $","")," €",""), "")
)</f>
        <v>0</v>
      </c>
      <c r="AS398" s="17" t="str">
        <f t="shared" si="16"/>
        <v/>
      </c>
      <c r="AT398" s="1">
        <f>value(IFERROR(SUBSTITUTE(SUBSTITUTE(VLOOKUP($A398,'Quarterly Pipeline vs Target Pi'!$A:$AP,36,false)," $","")," €",""), "")
)</f>
        <v>0</v>
      </c>
      <c r="AU398" s="1">
        <f>value(IFERROR(SUBSTITUTE(SUBSTITUTE(VLOOKUP($A398,'Quarterly Pipeline vs Target Pi'!$A:$AP,37,false)," $","")," €",""), "")
)</f>
        <v>0</v>
      </c>
      <c r="AV398" s="17" t="str">
        <f t="shared" si="17"/>
        <v/>
      </c>
      <c r="AW398" s="1">
        <f>value(IFERROR(SUBSTITUTE(SUBSTITUTE(VLOOKUP($A398,'Quarterly Pipeline vs Target Pi'!$A:$AP,41,false)," $","")," €",""), "")
)</f>
        <v>0</v>
      </c>
      <c r="AX398" s="1">
        <f>value(IFERROR(SUBSTITUTE(SUBSTITUTE(VLOOKUP($A398,'Quarterly Pipeline vs Target Pi'!$A:$AP,42,false)," $","")," €",""), "")
)</f>
        <v>0</v>
      </c>
      <c r="AY398" s="17" t="str">
        <f t="shared" si="18"/>
        <v/>
      </c>
      <c r="AZ398" s="1">
        <f t="shared" ref="AZ398:BA398" si="810">sum(AN398,AQ398,AT398,AW398)</f>
        <v>0</v>
      </c>
      <c r="BA398" s="1">
        <f t="shared" si="810"/>
        <v>0</v>
      </c>
      <c r="BB398" s="17" t="str">
        <f t="shared" si="20"/>
        <v/>
      </c>
    </row>
    <row r="399">
      <c r="A399" s="1" t="str">
        <f>IFERROR(__xludf.DUMMYFUNCTION("""COMPUTED_VALUE"""),"63ced84ec5c820531c269a5e")</f>
        <v>63ced84ec5c820531c269a5e</v>
      </c>
      <c r="B399" s="1" t="str">
        <f>IFERROR(__xludf.DUMMYFUNCTION("""COMPUTED_VALUE"""),"Softrim Corporation")</f>
        <v>Softrim Corporation</v>
      </c>
      <c r="C399" s="1" t="str">
        <f>IFERROR(__xludf.DUMMYFUNCTION("""COMPUTED_VALUE"""),"brendan.flaherty@al-enterprise.com")</f>
        <v>brendan.flaherty@al-enterprise.com</v>
      </c>
      <c r="D399" s="1" t="str">
        <f>IFERROR(__xludf.DUMMYFUNCTION("""COMPUTED_VALUE"""),"americas")</f>
        <v>americas</v>
      </c>
      <c r="E399" s="1" t="str">
        <f>IFERROR(__xludf.DUMMYFUNCTION("""COMPUTED_VALUE"""),"US")</f>
        <v>US</v>
      </c>
      <c r="F399" s="1"/>
      <c r="G399" s="1" t="str">
        <f>iferror(VLOOKUP(A399,'Business Plan Setup and Accepta'!A:G,6,false),"")</f>
        <v/>
      </c>
      <c r="H399" s="1" t="str">
        <f>iferror(VLOOKUP(A399,'Business Plan Setup and Accepta'!A:G,7,false),"")</f>
        <v/>
      </c>
      <c r="I399" s="17" t="str">
        <f t="shared" si="3"/>
        <v/>
      </c>
      <c r="J399" s="1" t="str">
        <f>IFERROR(VALUE(SUBSTITUTE(VLOOKUP(A399,'Sales IN Revenues vs Sales targ'!A:G,6,false)," $","")), "")
</f>
        <v/>
      </c>
      <c r="K399" s="1" t="str">
        <f>IFERROR(VALUE(SUBSTITUTE(VLOOKUP(A399,'Sales IN Revenues vs Sales targ'!A:G,7,false)," $","")), "")
</f>
        <v/>
      </c>
      <c r="L399" s="17" t="str">
        <f t="shared" si="4"/>
        <v/>
      </c>
      <c r="M399" s="1">
        <f>value(SUBSTITUTE(IFERROR(VLOOKUP(A399,'Certifications achievements vs '!A:G,6,false),""),"#","")
)</f>
        <v>0</v>
      </c>
      <c r="N399" s="1">
        <f>value(SUBSTITUTE(IFERROR(VLOOKUP(A399,'Certifications achievements vs '!A:G,7,false),""),"#","")
)</f>
        <v>0</v>
      </c>
      <c r="O399" s="17" t="str">
        <f t="shared" si="5"/>
        <v/>
      </c>
      <c r="P399" s="1">
        <f>value(SUBSTITUTE(IFERROR(VLOOKUP(A399,'Communications - Solution Speci'!A:G,6,false),""),"#","")
)</f>
        <v>0</v>
      </c>
      <c r="Q399" s="1">
        <f>value(SUBSTITUTE(IFERROR(VLOOKUP(A399,'Communications - Solution Speci'!A:G,7,false),""),"#","")
)</f>
        <v>0</v>
      </c>
      <c r="R399" s="17" t="str">
        <f t="shared" si="6"/>
        <v/>
      </c>
      <c r="S399" s="1">
        <f>value(SUBSTITUTE(IFERROR(VLOOKUP(A399,'Networking - Solution Specializ'!A:G,6,false),""),"#","")
)</f>
        <v>0</v>
      </c>
      <c r="T399" s="1">
        <f>value(SUBSTITUTE(IFERROR(VLOOKUP(A399,'Networking - Solution Specializ'!A:G,7,false),""),"#","")
)</f>
        <v>0</v>
      </c>
      <c r="U399" s="17" t="str">
        <f t="shared" si="7"/>
        <v/>
      </c>
      <c r="V399" s="1" t="str">
        <f>iferror(vlookup(A399,'Marketing Plan (extract summary'!A:G,6,false),"")</f>
        <v/>
      </c>
      <c r="W399" s="1" t="str">
        <f>iferror(vlookup(A399,'Marketing Plan (extract summary'!A:G,7,false),"")</f>
        <v/>
      </c>
      <c r="X399" s="17" t="str">
        <f t="shared" si="8"/>
        <v/>
      </c>
      <c r="Y399" s="1">
        <f>value(IFERROR(SUBSTITUTE(SUBSTITUTE(VLOOKUP(A399,'Quarterly Pipeline vs Target Pi'!A:G,6,false)," $","")," €",""), "")
)</f>
        <v>0</v>
      </c>
      <c r="Z399" s="1">
        <f>value(IFERROR(SUBSTITUTE(SUBSTITUTE(VLOOKUP(A399,'Quarterly Pipeline vs Target Pi'!A:G,7,false)," $","")," €",""), "")
)</f>
        <v>0</v>
      </c>
      <c r="AA399" s="17" t="str">
        <f t="shared" si="9"/>
        <v/>
      </c>
      <c r="AB399" s="1">
        <f>value(IFERROR(SUBSTITUTE(SUBSTITUTE(VLOOKUP($A399,'Quarterly Pipeline vs Target Pi'!$A:$V,11,false)," $","")," €",""), "")
)</f>
        <v>0</v>
      </c>
      <c r="AC399" s="1">
        <f>value(IFERROR(SUBSTITUTE(SUBSTITUTE(VLOOKUP($A399,'Quarterly Pipeline vs Target Pi'!$A:$V,12,false)," $","")," €",""), "")
)</f>
        <v>0</v>
      </c>
      <c r="AD399" s="17" t="str">
        <f t="shared" si="10"/>
        <v/>
      </c>
      <c r="AE399" s="1">
        <f>value(IFERROR(SUBSTITUTE(SUBSTITUTE(VLOOKUP($A399,'Quarterly Pipeline vs Target Pi'!$A:$V,16,false)," $","")," €",""), "")
)</f>
        <v>0</v>
      </c>
      <c r="AF399" s="1">
        <f>value(IFERROR(SUBSTITUTE(SUBSTITUTE(VLOOKUP($A399,'Quarterly Pipeline vs Target Pi'!$A:$V,17,false)," $","")," €",""), "")
)</f>
        <v>0</v>
      </c>
      <c r="AG399" s="17" t="str">
        <f t="shared" si="11"/>
        <v/>
      </c>
      <c r="AH399" s="1">
        <f>value(IFERROR(SUBSTITUTE(SUBSTITUTE(VLOOKUP($A399,'Quarterly Pipeline vs Target Pi'!$A:$V,21,false)," $","")," €",""), "")
)</f>
        <v>0</v>
      </c>
      <c r="AI399" s="1">
        <f>value(IFERROR(SUBSTITUTE(SUBSTITUTE(VLOOKUP($A399,'Quarterly Pipeline vs Target Pi'!$A:$V,22,false)," $","")," €",""), "")
)</f>
        <v>0</v>
      </c>
      <c r="AJ399" s="17" t="str">
        <f t="shared" si="12"/>
        <v/>
      </c>
      <c r="AK399" s="1">
        <f t="shared" ref="AK399:AL399" si="811">sum(Y399,AB399,AE399,AH399)</f>
        <v>0</v>
      </c>
      <c r="AL399" s="1">
        <f t="shared" si="811"/>
        <v>0</v>
      </c>
      <c r="AM399" s="17" t="str">
        <f t="shared" si="14"/>
        <v/>
      </c>
      <c r="AN399" s="1">
        <f>value(IFERROR(SUBSTITUTE(SUBSTITUTE(VLOOKUP($A399,'Quarterly Pipeline vs Target Pi'!$A:$AP,26,false)," $","")," €",""), "")
)</f>
        <v>0</v>
      </c>
      <c r="AO399" s="1">
        <f>value(IFERROR(SUBSTITUTE(SUBSTITUTE(VLOOKUP($A399,'Quarterly Pipeline vs Target Pi'!$A:$AP,27,false)," $","")," €",""), "")
)</f>
        <v>0</v>
      </c>
      <c r="AP399" s="17" t="str">
        <f t="shared" si="15"/>
        <v/>
      </c>
      <c r="AQ399" s="1">
        <f>value(IFERROR(SUBSTITUTE(SUBSTITUTE(VLOOKUP($A399,'Quarterly Pipeline vs Target Pi'!$A:$AP,31,false)," $","")," €",""), "")
)</f>
        <v>0</v>
      </c>
      <c r="AR399" s="1">
        <f>value(IFERROR(SUBSTITUTE(SUBSTITUTE(VLOOKUP($A399,'Quarterly Pipeline vs Target Pi'!$A:$AP,32,false)," $","")," €",""), "")
)</f>
        <v>0</v>
      </c>
      <c r="AS399" s="17" t="str">
        <f t="shared" si="16"/>
        <v/>
      </c>
      <c r="AT399" s="1">
        <f>value(IFERROR(SUBSTITUTE(SUBSTITUTE(VLOOKUP($A399,'Quarterly Pipeline vs Target Pi'!$A:$AP,36,false)," $","")," €",""), "")
)</f>
        <v>0</v>
      </c>
      <c r="AU399" s="1">
        <f>value(IFERROR(SUBSTITUTE(SUBSTITUTE(VLOOKUP($A399,'Quarterly Pipeline vs Target Pi'!$A:$AP,37,false)," $","")," €",""), "")
)</f>
        <v>0</v>
      </c>
      <c r="AV399" s="17" t="str">
        <f t="shared" si="17"/>
        <v/>
      </c>
      <c r="AW399" s="1">
        <f>value(IFERROR(SUBSTITUTE(SUBSTITUTE(VLOOKUP($A399,'Quarterly Pipeline vs Target Pi'!$A:$AP,41,false)," $","")," €",""), "")
)</f>
        <v>0</v>
      </c>
      <c r="AX399" s="1">
        <f>value(IFERROR(SUBSTITUTE(SUBSTITUTE(VLOOKUP($A399,'Quarterly Pipeline vs Target Pi'!$A:$AP,42,false)," $","")," €",""), "")
)</f>
        <v>0</v>
      </c>
      <c r="AY399" s="17" t="str">
        <f t="shared" si="18"/>
        <v/>
      </c>
      <c r="AZ399" s="1">
        <f t="shared" ref="AZ399:BA399" si="812">sum(AN399,AQ399,AT399,AW399)</f>
        <v>0</v>
      </c>
      <c r="BA399" s="1">
        <f t="shared" si="812"/>
        <v>0</v>
      </c>
      <c r="BB399" s="17" t="str">
        <f t="shared" si="20"/>
        <v/>
      </c>
    </row>
    <row r="400">
      <c r="A400" s="1" t="str">
        <f>IFERROR(__xludf.DUMMYFUNCTION("""COMPUTED_VALUE"""),"633dbd0d7d81b978d40bc34b")</f>
        <v>633dbd0d7d81b978d40bc34b</v>
      </c>
      <c r="B400" s="1" t="str">
        <f>IFERROR(__xludf.DUMMYFUNCTION("""COMPUTED_VALUE"""),"SolutionInc Limited")</f>
        <v>SolutionInc Limited</v>
      </c>
      <c r="C400" s="1" t="str">
        <f>IFERROR(__xludf.DUMMYFUNCTION("""COMPUTED_VALUE"""),"rui.silva@al-enterprise.com, margret.moyle@al-enterprise.com, charlotte.holtzer@al-enterprise.com")</f>
        <v>rui.silva@al-enterprise.com, margret.moyle@al-enterprise.com, charlotte.holtzer@al-enterprise.com</v>
      </c>
      <c r="D400" s="1" t="str">
        <f>IFERROR(__xludf.DUMMYFUNCTION("""COMPUTED_VALUE"""),"americas")</f>
        <v>americas</v>
      </c>
      <c r="E400" s="1" t="str">
        <f>IFERROR(__xludf.DUMMYFUNCTION("""COMPUTED_VALUE"""),"CA")</f>
        <v>CA</v>
      </c>
      <c r="F400" s="1"/>
      <c r="G400" s="1" t="str">
        <f>iferror(VLOOKUP(A400,'Business Plan Setup and Accepta'!A:G,6,false),"")</f>
        <v/>
      </c>
      <c r="H400" s="1" t="str">
        <f>iferror(VLOOKUP(A400,'Business Plan Setup and Accepta'!A:G,7,false),"")</f>
        <v/>
      </c>
      <c r="I400" s="17" t="str">
        <f t="shared" si="3"/>
        <v/>
      </c>
      <c r="J400" s="1" t="str">
        <f>IFERROR(VALUE(SUBSTITUTE(VLOOKUP(A400,'Sales IN Revenues vs Sales targ'!A:G,6,false)," $","")), "")
</f>
        <v/>
      </c>
      <c r="K400" s="1" t="str">
        <f>IFERROR(VALUE(SUBSTITUTE(VLOOKUP(A400,'Sales IN Revenues vs Sales targ'!A:G,7,false)," $","")), "")
</f>
        <v/>
      </c>
      <c r="L400" s="17" t="str">
        <f t="shared" si="4"/>
        <v/>
      </c>
      <c r="M400" s="1">
        <f>value(SUBSTITUTE(IFERROR(VLOOKUP(A400,'Certifications achievements vs '!A:G,6,false),""),"#","")
)</f>
        <v>22</v>
      </c>
      <c r="N400" s="1">
        <f>value(SUBSTITUTE(IFERROR(VLOOKUP(A400,'Certifications achievements vs '!A:G,7,false),""),"#","")
)</f>
        <v>0</v>
      </c>
      <c r="O400" s="17" t="str">
        <f t="shared" si="5"/>
        <v/>
      </c>
      <c r="P400" s="1">
        <f>value(SUBSTITUTE(IFERROR(VLOOKUP(A400,'Communications - Solution Speci'!A:G,6,false),""),"#","")
)</f>
        <v>0</v>
      </c>
      <c r="Q400" s="1">
        <f>value(SUBSTITUTE(IFERROR(VLOOKUP(A400,'Communications - Solution Speci'!A:G,7,false),""),"#","")
)</f>
        <v>0</v>
      </c>
      <c r="R400" s="17" t="str">
        <f t="shared" si="6"/>
        <v/>
      </c>
      <c r="S400" s="1">
        <f>value(SUBSTITUTE(IFERROR(VLOOKUP(A400,'Networking - Solution Specializ'!A:G,6,false),""),"#","")
)</f>
        <v>0</v>
      </c>
      <c r="T400" s="1">
        <f>value(SUBSTITUTE(IFERROR(VLOOKUP(A400,'Networking - Solution Specializ'!A:G,7,false),""),"#","")
)</f>
        <v>0</v>
      </c>
      <c r="U400" s="17" t="str">
        <f t="shared" si="7"/>
        <v/>
      </c>
      <c r="V400" s="1" t="str">
        <f>iferror(vlookup(A400,'Marketing Plan (extract summary'!A:G,6,false),"")</f>
        <v/>
      </c>
      <c r="W400" s="1" t="str">
        <f>iferror(vlookup(A400,'Marketing Plan (extract summary'!A:G,7,false),"")</f>
        <v/>
      </c>
      <c r="X400" s="17" t="str">
        <f t="shared" si="8"/>
        <v/>
      </c>
      <c r="Y400" s="1">
        <f>value(IFERROR(SUBSTITUTE(SUBSTITUTE(VLOOKUP(A400,'Quarterly Pipeline vs Target Pi'!A:G,6,false)," $","")," €",""), "")
)</f>
        <v>0</v>
      </c>
      <c r="Z400" s="1">
        <f>value(IFERROR(SUBSTITUTE(SUBSTITUTE(VLOOKUP(A400,'Quarterly Pipeline vs Target Pi'!A:G,7,false)," $","")," €",""), "")
)</f>
        <v>0</v>
      </c>
      <c r="AA400" s="17" t="str">
        <f t="shared" si="9"/>
        <v/>
      </c>
      <c r="AB400" s="1">
        <f>value(IFERROR(SUBSTITUTE(SUBSTITUTE(VLOOKUP($A400,'Quarterly Pipeline vs Target Pi'!$A:$V,11,false)," $","")," €",""), "")
)</f>
        <v>0</v>
      </c>
      <c r="AC400" s="1">
        <f>value(IFERROR(SUBSTITUTE(SUBSTITUTE(VLOOKUP($A400,'Quarterly Pipeline vs Target Pi'!$A:$V,12,false)," $","")," €",""), "")
)</f>
        <v>0</v>
      </c>
      <c r="AD400" s="17" t="str">
        <f t="shared" si="10"/>
        <v/>
      </c>
      <c r="AE400" s="1">
        <f>value(IFERROR(SUBSTITUTE(SUBSTITUTE(VLOOKUP($A400,'Quarterly Pipeline vs Target Pi'!$A:$V,16,false)," $","")," €",""), "")
)</f>
        <v>0</v>
      </c>
      <c r="AF400" s="1">
        <f>value(IFERROR(SUBSTITUTE(SUBSTITUTE(VLOOKUP($A400,'Quarterly Pipeline vs Target Pi'!$A:$V,17,false)," $","")," €",""), "")
)</f>
        <v>0</v>
      </c>
      <c r="AG400" s="17" t="str">
        <f t="shared" si="11"/>
        <v/>
      </c>
      <c r="AH400" s="1">
        <f>value(IFERROR(SUBSTITUTE(SUBSTITUTE(VLOOKUP($A400,'Quarterly Pipeline vs Target Pi'!$A:$V,21,false)," $","")," €",""), "")
)</f>
        <v>0</v>
      </c>
      <c r="AI400" s="1">
        <f>value(IFERROR(SUBSTITUTE(SUBSTITUTE(VLOOKUP($A400,'Quarterly Pipeline vs Target Pi'!$A:$V,22,false)," $","")," €",""), "")
)</f>
        <v>0</v>
      </c>
      <c r="AJ400" s="17" t="str">
        <f t="shared" si="12"/>
        <v/>
      </c>
      <c r="AK400" s="1">
        <f t="shared" ref="AK400:AL400" si="813">sum(Y400,AB400,AE400,AH400)</f>
        <v>0</v>
      </c>
      <c r="AL400" s="1">
        <f t="shared" si="813"/>
        <v>0</v>
      </c>
      <c r="AM400" s="17" t="str">
        <f t="shared" si="14"/>
        <v/>
      </c>
      <c r="AN400" s="1">
        <f>value(IFERROR(SUBSTITUTE(SUBSTITUTE(VLOOKUP($A400,'Quarterly Pipeline vs Target Pi'!$A:$AP,26,false)," $","")," €",""), "")
)</f>
        <v>0</v>
      </c>
      <c r="AO400" s="1">
        <f>value(IFERROR(SUBSTITUTE(SUBSTITUTE(VLOOKUP($A400,'Quarterly Pipeline vs Target Pi'!$A:$AP,27,false)," $","")," €",""), "")
)</f>
        <v>0</v>
      </c>
      <c r="AP400" s="17" t="str">
        <f t="shared" si="15"/>
        <v/>
      </c>
      <c r="AQ400" s="1">
        <f>value(IFERROR(SUBSTITUTE(SUBSTITUTE(VLOOKUP($A400,'Quarterly Pipeline vs Target Pi'!$A:$AP,31,false)," $","")," €",""), "")
)</f>
        <v>0</v>
      </c>
      <c r="AR400" s="1">
        <f>value(IFERROR(SUBSTITUTE(SUBSTITUTE(VLOOKUP($A400,'Quarterly Pipeline vs Target Pi'!$A:$AP,32,false)," $","")," €",""), "")
)</f>
        <v>0</v>
      </c>
      <c r="AS400" s="17" t="str">
        <f t="shared" si="16"/>
        <v/>
      </c>
      <c r="AT400" s="1">
        <f>value(IFERROR(SUBSTITUTE(SUBSTITUTE(VLOOKUP($A400,'Quarterly Pipeline vs Target Pi'!$A:$AP,36,false)," $","")," €",""), "")
)</f>
        <v>0</v>
      </c>
      <c r="AU400" s="1">
        <f>value(IFERROR(SUBSTITUTE(SUBSTITUTE(VLOOKUP($A400,'Quarterly Pipeline vs Target Pi'!$A:$AP,37,false)," $","")," €",""), "")
)</f>
        <v>0</v>
      </c>
      <c r="AV400" s="17" t="str">
        <f t="shared" si="17"/>
        <v/>
      </c>
      <c r="AW400" s="1">
        <f>value(IFERROR(SUBSTITUTE(SUBSTITUTE(VLOOKUP($A400,'Quarterly Pipeline vs Target Pi'!$A:$AP,41,false)," $","")," €",""), "")
)</f>
        <v>0</v>
      </c>
      <c r="AX400" s="1">
        <f>value(IFERROR(SUBSTITUTE(SUBSTITUTE(VLOOKUP($A400,'Quarterly Pipeline vs Target Pi'!$A:$AP,42,false)," $","")," €",""), "")
)</f>
        <v>0</v>
      </c>
      <c r="AY400" s="17" t="str">
        <f t="shared" si="18"/>
        <v/>
      </c>
      <c r="AZ400" s="1">
        <f t="shared" ref="AZ400:BA400" si="814">sum(AN400,AQ400,AT400,AW400)</f>
        <v>0</v>
      </c>
      <c r="BA400" s="1">
        <f t="shared" si="814"/>
        <v>0</v>
      </c>
      <c r="BB400" s="17" t="str">
        <f t="shared" si="20"/>
        <v/>
      </c>
    </row>
    <row r="401">
      <c r="A401" s="1" t="str">
        <f>IFERROR(__xludf.DUMMYFUNCTION("""COMPUTED_VALUE"""),"65d37ff5bc374ab656036c68")</f>
        <v>65d37ff5bc374ab656036c68</v>
      </c>
      <c r="B401" s="1" t="str">
        <f>IFERROR(__xludf.DUMMYFUNCTION("""COMPUTED_VALUE"""),"SONEPAR COLOMBIA SAS")</f>
        <v>SONEPAR COLOMBIA SAS</v>
      </c>
      <c r="C401" s="1" t="str">
        <f>IFERROR(__xludf.DUMMYFUNCTION("""COMPUTED_VALUE"""),"rui.silva@al-enterprise.com, carolina.rodriguez@al-enterprise.com")</f>
        <v>rui.silva@al-enterprise.com, carolina.rodriguez@al-enterprise.com</v>
      </c>
      <c r="D401" s="1" t="str">
        <f>IFERROR(__xludf.DUMMYFUNCTION("""COMPUTED_VALUE"""),"americas")</f>
        <v>americas</v>
      </c>
      <c r="E401" s="1" t="str">
        <f>IFERROR(__xludf.DUMMYFUNCTION("""COMPUTED_VALUE"""),"CO")</f>
        <v>CO</v>
      </c>
      <c r="F401" s="1"/>
      <c r="G401" s="1" t="str">
        <f>iferror(VLOOKUP(A401,'Business Plan Setup and Accepta'!A:G,6,false),"")</f>
        <v/>
      </c>
      <c r="H401" s="1" t="str">
        <f>iferror(VLOOKUP(A401,'Business Plan Setup and Accepta'!A:G,7,false),"")</f>
        <v/>
      </c>
      <c r="I401" s="17" t="str">
        <f t="shared" si="3"/>
        <v/>
      </c>
      <c r="J401" s="1" t="str">
        <f>IFERROR(VALUE(SUBSTITUTE(VLOOKUP(A401,'Sales IN Revenues vs Sales targ'!A:G,6,false)," $","")), "")
</f>
        <v/>
      </c>
      <c r="K401" s="1" t="str">
        <f>IFERROR(VALUE(SUBSTITUTE(VLOOKUP(A401,'Sales IN Revenues vs Sales targ'!A:G,7,false)," $","")), "")
</f>
        <v/>
      </c>
      <c r="L401" s="17" t="str">
        <f t="shared" si="4"/>
        <v/>
      </c>
      <c r="M401" s="1">
        <f>value(SUBSTITUTE(IFERROR(VLOOKUP(A401,'Certifications achievements vs '!A:G,6,false),""),"#","")
)</f>
        <v>19</v>
      </c>
      <c r="N401" s="1">
        <f>value(SUBSTITUTE(IFERROR(VLOOKUP(A401,'Certifications achievements vs '!A:G,7,false),""),"#","")
)</f>
        <v>0</v>
      </c>
      <c r="O401" s="17" t="str">
        <f t="shared" si="5"/>
        <v/>
      </c>
      <c r="P401" s="1">
        <f>value(SUBSTITUTE(IFERROR(VLOOKUP(A401,'Communications - Solution Speci'!A:G,6,false),""),"#","")
)</f>
        <v>0</v>
      </c>
      <c r="Q401" s="1">
        <f>value(SUBSTITUTE(IFERROR(VLOOKUP(A401,'Communications - Solution Speci'!A:G,7,false),""),"#","")
)</f>
        <v>0</v>
      </c>
      <c r="R401" s="17" t="str">
        <f t="shared" si="6"/>
        <v/>
      </c>
      <c r="S401" s="1">
        <f>value(SUBSTITUTE(IFERROR(VLOOKUP(A401,'Networking - Solution Specializ'!A:G,6,false),""),"#","")
)</f>
        <v>0</v>
      </c>
      <c r="T401" s="1">
        <f>value(SUBSTITUTE(IFERROR(VLOOKUP(A401,'Networking - Solution Specializ'!A:G,7,false),""),"#","")
)</f>
        <v>0</v>
      </c>
      <c r="U401" s="17" t="str">
        <f t="shared" si="7"/>
        <v/>
      </c>
      <c r="V401" s="1" t="str">
        <f>iferror(vlookup(A401,'Marketing Plan (extract summary'!A:G,6,false),"")</f>
        <v/>
      </c>
      <c r="W401" s="1" t="str">
        <f>iferror(vlookup(A401,'Marketing Plan (extract summary'!A:G,7,false),"")</f>
        <v/>
      </c>
      <c r="X401" s="17" t="str">
        <f t="shared" si="8"/>
        <v/>
      </c>
      <c r="Y401" s="1">
        <f>value(IFERROR(SUBSTITUTE(SUBSTITUTE(VLOOKUP(A401,'Quarterly Pipeline vs Target Pi'!A:G,6,false)," $","")," €",""), "")
)</f>
        <v>0</v>
      </c>
      <c r="Z401" s="1">
        <f>value(IFERROR(SUBSTITUTE(SUBSTITUTE(VLOOKUP(A401,'Quarterly Pipeline vs Target Pi'!A:G,7,false)," $","")," €",""), "")
)</f>
        <v>0</v>
      </c>
      <c r="AA401" s="17" t="str">
        <f t="shared" si="9"/>
        <v/>
      </c>
      <c r="AB401" s="1">
        <f>value(IFERROR(SUBSTITUTE(SUBSTITUTE(VLOOKUP($A401,'Quarterly Pipeline vs Target Pi'!$A:$V,11,false)," $","")," €",""), "")
)</f>
        <v>0</v>
      </c>
      <c r="AC401" s="1">
        <f>value(IFERROR(SUBSTITUTE(SUBSTITUTE(VLOOKUP($A401,'Quarterly Pipeline vs Target Pi'!$A:$V,12,false)," $","")," €",""), "")
)</f>
        <v>0</v>
      </c>
      <c r="AD401" s="17" t="str">
        <f t="shared" si="10"/>
        <v/>
      </c>
      <c r="AE401" s="1">
        <f>value(IFERROR(SUBSTITUTE(SUBSTITUTE(VLOOKUP($A401,'Quarterly Pipeline vs Target Pi'!$A:$V,16,false)," $","")," €",""), "")
)</f>
        <v>0</v>
      </c>
      <c r="AF401" s="1">
        <f>value(IFERROR(SUBSTITUTE(SUBSTITUTE(VLOOKUP($A401,'Quarterly Pipeline vs Target Pi'!$A:$V,17,false)," $","")," €",""), "")
)</f>
        <v>0</v>
      </c>
      <c r="AG401" s="17" t="str">
        <f t="shared" si="11"/>
        <v/>
      </c>
      <c r="AH401" s="1">
        <f>value(IFERROR(SUBSTITUTE(SUBSTITUTE(VLOOKUP($A401,'Quarterly Pipeline vs Target Pi'!$A:$V,21,false)," $","")," €",""), "")
)</f>
        <v>0</v>
      </c>
      <c r="AI401" s="1">
        <f>value(IFERROR(SUBSTITUTE(SUBSTITUTE(VLOOKUP($A401,'Quarterly Pipeline vs Target Pi'!$A:$V,22,false)," $","")," €",""), "")
)</f>
        <v>0</v>
      </c>
      <c r="AJ401" s="17" t="str">
        <f t="shared" si="12"/>
        <v/>
      </c>
      <c r="AK401" s="1">
        <f t="shared" ref="AK401:AL401" si="815">sum(Y401,AB401,AE401,AH401)</f>
        <v>0</v>
      </c>
      <c r="AL401" s="1">
        <f t="shared" si="815"/>
        <v>0</v>
      </c>
      <c r="AM401" s="17" t="str">
        <f t="shared" si="14"/>
        <v/>
      </c>
      <c r="AN401" s="1">
        <f>value(IFERROR(SUBSTITUTE(SUBSTITUTE(VLOOKUP($A401,'Quarterly Pipeline vs Target Pi'!$A:$AP,26,false)," $","")," €",""), "")
)</f>
        <v>0</v>
      </c>
      <c r="AO401" s="1">
        <f>value(IFERROR(SUBSTITUTE(SUBSTITUTE(VLOOKUP($A401,'Quarterly Pipeline vs Target Pi'!$A:$AP,27,false)," $","")," €",""), "")
)</f>
        <v>0</v>
      </c>
      <c r="AP401" s="17" t="str">
        <f t="shared" si="15"/>
        <v/>
      </c>
      <c r="AQ401" s="1">
        <f>value(IFERROR(SUBSTITUTE(SUBSTITUTE(VLOOKUP($A401,'Quarterly Pipeline vs Target Pi'!$A:$AP,31,false)," $","")," €",""), "")
)</f>
        <v>0</v>
      </c>
      <c r="AR401" s="1">
        <f>value(IFERROR(SUBSTITUTE(SUBSTITUTE(VLOOKUP($A401,'Quarterly Pipeline vs Target Pi'!$A:$AP,32,false)," $","")," €",""), "")
)</f>
        <v>0</v>
      </c>
      <c r="AS401" s="17" t="str">
        <f t="shared" si="16"/>
        <v/>
      </c>
      <c r="AT401" s="1">
        <f>value(IFERROR(SUBSTITUTE(SUBSTITUTE(VLOOKUP($A401,'Quarterly Pipeline vs Target Pi'!$A:$AP,36,false)," $","")," €",""), "")
)</f>
        <v>0</v>
      </c>
      <c r="AU401" s="1">
        <f>value(IFERROR(SUBSTITUTE(SUBSTITUTE(VLOOKUP($A401,'Quarterly Pipeline vs Target Pi'!$A:$AP,37,false)," $","")," €",""), "")
)</f>
        <v>0</v>
      </c>
      <c r="AV401" s="17" t="str">
        <f t="shared" si="17"/>
        <v/>
      </c>
      <c r="AW401" s="1">
        <f>value(IFERROR(SUBSTITUTE(SUBSTITUTE(VLOOKUP($A401,'Quarterly Pipeline vs Target Pi'!$A:$AP,41,false)," $","")," €",""), "")
)</f>
        <v>0</v>
      </c>
      <c r="AX401" s="1">
        <f>value(IFERROR(SUBSTITUTE(SUBSTITUTE(VLOOKUP($A401,'Quarterly Pipeline vs Target Pi'!$A:$AP,42,false)," $","")," €",""), "")
)</f>
        <v>0</v>
      </c>
      <c r="AY401" s="17" t="str">
        <f t="shared" si="18"/>
        <v/>
      </c>
      <c r="AZ401" s="1">
        <f t="shared" ref="AZ401:BA401" si="816">sum(AN401,AQ401,AT401,AW401)</f>
        <v>0</v>
      </c>
      <c r="BA401" s="1">
        <f t="shared" si="816"/>
        <v>0</v>
      </c>
      <c r="BB401" s="17" t="str">
        <f t="shared" si="20"/>
        <v/>
      </c>
    </row>
    <row r="402">
      <c r="A402" s="1" t="str">
        <f>IFERROR(__xludf.DUMMYFUNCTION("""COMPUTED_VALUE"""),"63ea6e9352ad6968805cea9b")</f>
        <v>63ea6e9352ad6968805cea9b</v>
      </c>
      <c r="B402" s="1" t="str">
        <f>IFERROR(__xludf.DUMMYFUNCTION("""COMPUTED_VALUE"""),"SPIE BTAT")</f>
        <v>SPIE BTAT</v>
      </c>
      <c r="C402" s="1" t="str">
        <f>IFERROR(__xludf.DUMMYFUNCTION("""COMPUTED_VALUE"""),"andreas.grossheimann@al-enterprise.com, gunther.hahn@al-enterprise.com, katrin.pfeiffer@al-enterprise.com, sibylle.klopfer@al-enterprise.com, igor.leko@al-enterprise.com")</f>
        <v>andreas.grossheimann@al-enterprise.com, gunther.hahn@al-enterprise.com, katrin.pfeiffer@al-enterprise.com, sibylle.klopfer@al-enterprise.com, igor.leko@al-enterprise.com</v>
      </c>
      <c r="D402" s="1" t="str">
        <f>IFERROR(__xludf.DUMMYFUNCTION("""COMPUTED_VALUE"""),"germany")</f>
        <v>germany</v>
      </c>
      <c r="E402" s="1" t="str">
        <f>IFERROR(__xludf.DUMMYFUNCTION("""COMPUTED_VALUE"""),"DE")</f>
        <v>DE</v>
      </c>
      <c r="F402" s="1" t="str">
        <f>IFERROR(__xludf.DUMMYFUNCTION("""COMPUTED_VALUE"""),"expert_1000")</f>
        <v>expert_1000</v>
      </c>
      <c r="G402" s="1">
        <f>iferror(VLOOKUP(A402,'Business Plan Setup and Accepta'!A:G,6,false),"")</f>
        <v>1</v>
      </c>
      <c r="H402" s="1">
        <f>iferror(VLOOKUP(A402,'Business Plan Setup and Accepta'!A:G,7,false),"")</f>
        <v>1</v>
      </c>
      <c r="I402" s="17">
        <f t="shared" si="3"/>
        <v>1</v>
      </c>
      <c r="J402" s="1">
        <f>IFERROR(VALUE(SUBSTITUTE(VLOOKUP(A402,'Sales IN Revenues vs Sales targ'!A:G,6,false)," $","")), "")
</f>
        <v>628.63</v>
      </c>
      <c r="K402" s="1">
        <f>IFERROR(VALUE(SUBSTITUTE(VLOOKUP(A402,'Sales IN Revenues vs Sales targ'!A:G,7,false)," $","")), "")
</f>
        <v>1400</v>
      </c>
      <c r="L402" s="17">
        <f t="shared" si="4"/>
        <v>0.4490214286</v>
      </c>
      <c r="M402" s="1">
        <f>value(SUBSTITUTE(IFERROR(VLOOKUP(A402,'Certifications achievements vs '!A:G,6,false),""),"#","")
)</f>
        <v>59</v>
      </c>
      <c r="N402" s="1">
        <f>value(SUBSTITUTE(IFERROR(VLOOKUP(A402,'Certifications achievements vs '!A:G,7,false),""),"#","")
)</f>
        <v>52</v>
      </c>
      <c r="O402" s="17">
        <f t="shared" si="5"/>
        <v>1.134615385</v>
      </c>
      <c r="P402" s="1">
        <f>value(SUBSTITUTE(IFERROR(VLOOKUP(A402,'Communications - Solution Speci'!A:G,6,false),""),"#","")
)</f>
        <v>1</v>
      </c>
      <c r="Q402" s="1">
        <f>value(SUBSTITUTE(IFERROR(VLOOKUP(A402,'Communications - Solution Speci'!A:G,7,false),""),"#","")
)</f>
        <v>1</v>
      </c>
      <c r="R402" s="17">
        <f t="shared" si="6"/>
        <v>1</v>
      </c>
      <c r="S402" s="1">
        <f>value(SUBSTITUTE(IFERROR(VLOOKUP(A402,'Networking - Solution Specializ'!A:G,6,false),""),"#","")
)</f>
        <v>0</v>
      </c>
      <c r="T402" s="1">
        <f>value(SUBSTITUTE(IFERROR(VLOOKUP(A402,'Networking - Solution Specializ'!A:G,7,false),""),"#","")
)</f>
        <v>1</v>
      </c>
      <c r="U402" s="17">
        <f t="shared" si="7"/>
        <v>0</v>
      </c>
      <c r="V402" s="1">
        <f>iferror(vlookup(A402,'Marketing Plan (extract summary'!A:G,6,false),"")</f>
        <v>0</v>
      </c>
      <c r="W402" s="1">
        <f>iferror(vlookup(A402,'Marketing Plan (extract summary'!A:G,7,false),"")</f>
        <v>1</v>
      </c>
      <c r="X402" s="17">
        <f t="shared" si="8"/>
        <v>0</v>
      </c>
      <c r="Y402" s="1">
        <f>value(IFERROR(SUBSTITUTE(SUBSTITUTE(VLOOKUP(A402,'Quarterly Pipeline vs Target Pi'!A:G,6,false)," $","")," €",""), "")
)</f>
        <v>15.28</v>
      </c>
      <c r="Z402" s="1">
        <f>value(IFERROR(SUBSTITUTE(SUBSTITUTE(VLOOKUP(A402,'Quarterly Pipeline vs Target Pi'!A:G,7,false)," $","")," €",""), "")
)</f>
        <v>0</v>
      </c>
      <c r="AA402" s="17" t="str">
        <f t="shared" si="9"/>
        <v/>
      </c>
      <c r="AB402" s="1">
        <f>value(IFERROR(SUBSTITUTE(SUBSTITUTE(VLOOKUP($A402,'Quarterly Pipeline vs Target Pi'!$A:$V,11,false)," $","")," €",""), "")
)</f>
        <v>8.72</v>
      </c>
      <c r="AC402" s="1">
        <f>value(IFERROR(SUBSTITUTE(SUBSTITUTE(VLOOKUP($A402,'Quarterly Pipeline vs Target Pi'!$A:$V,12,false)," $","")," €",""), "")
)</f>
        <v>551.43</v>
      </c>
      <c r="AD402" s="17">
        <f t="shared" si="10"/>
        <v>0.01581343054</v>
      </c>
      <c r="AE402" s="1">
        <f>value(IFERROR(SUBSTITUTE(SUBSTITUTE(VLOOKUP($A402,'Quarterly Pipeline vs Target Pi'!$A:$V,16,false)," $","")," €",""), "")
)</f>
        <v>337.21</v>
      </c>
      <c r="AF402" s="1">
        <f>value(IFERROR(SUBSTITUTE(SUBSTITUTE(VLOOKUP($A402,'Quarterly Pipeline vs Target Pi'!$A:$V,17,false)," $","")," €",""), "")
)</f>
        <v>1028.57</v>
      </c>
      <c r="AG402" s="17">
        <f t="shared" si="11"/>
        <v>0.3278435109</v>
      </c>
      <c r="AH402" s="1">
        <f>value(IFERROR(SUBSTITUTE(SUBSTITUTE(VLOOKUP($A402,'Quarterly Pipeline vs Target Pi'!$A:$V,21,false)," $","")," €",""), "")
)</f>
        <v>443.1</v>
      </c>
      <c r="AI402" s="1">
        <f>value(IFERROR(SUBSTITUTE(SUBSTITUTE(VLOOKUP($A402,'Quarterly Pipeline vs Target Pi'!$A:$V,22,false)," $","")," €",""), "")
)</f>
        <v>1348.57</v>
      </c>
      <c r="AJ402" s="17">
        <f t="shared" si="12"/>
        <v>0.3285702633</v>
      </c>
      <c r="AK402" s="1">
        <f t="shared" ref="AK402:AL402" si="817">sum(Y402,AB402,AE402,AH402)</f>
        <v>804.31</v>
      </c>
      <c r="AL402" s="1">
        <f t="shared" si="817"/>
        <v>2928.57</v>
      </c>
      <c r="AM402" s="17">
        <f t="shared" si="14"/>
        <v>0.274642573</v>
      </c>
      <c r="AN402" s="1">
        <f>value(IFERROR(SUBSTITUTE(SUBSTITUTE(VLOOKUP($A402,'Quarterly Pipeline vs Target Pi'!$A:$AP,26,false)," $","")," €",""), "")
)</f>
        <v>16</v>
      </c>
      <c r="AO402" s="1">
        <f>value(IFERROR(SUBSTITUTE(SUBSTITUTE(VLOOKUP($A402,'Quarterly Pipeline vs Target Pi'!$A:$AP,27,false)," $","")," €",""), "")
)</f>
        <v>0</v>
      </c>
      <c r="AP402" s="17" t="str">
        <f t="shared" si="15"/>
        <v/>
      </c>
      <c r="AQ402" s="1">
        <f>value(IFERROR(SUBSTITUTE(SUBSTITUTE(VLOOKUP($A402,'Quarterly Pipeline vs Target Pi'!$A:$AP,31,false)," $","")," €",""), "")
)</f>
        <v>125</v>
      </c>
      <c r="AR402" s="1">
        <f>value(IFERROR(SUBSTITUTE(SUBSTITUTE(VLOOKUP($A402,'Quarterly Pipeline vs Target Pi'!$A:$AP,32,false)," $","")," €",""), "")
)</f>
        <v>0</v>
      </c>
      <c r="AS402" s="17" t="str">
        <f t="shared" si="16"/>
        <v/>
      </c>
      <c r="AT402" s="1">
        <f>value(IFERROR(SUBSTITUTE(SUBSTITUTE(VLOOKUP($A402,'Quarterly Pipeline vs Target Pi'!$A:$AP,36,false)," $","")," €",""), "")
)</f>
        <v>0</v>
      </c>
      <c r="AU402" s="1">
        <f>value(IFERROR(SUBSTITUTE(SUBSTITUTE(VLOOKUP($A402,'Quarterly Pipeline vs Target Pi'!$A:$AP,37,false)," $","")," €",""), "")
)</f>
        <v>0</v>
      </c>
      <c r="AV402" s="17" t="str">
        <f t="shared" si="17"/>
        <v/>
      </c>
      <c r="AW402" s="1">
        <f>value(IFERROR(SUBSTITUTE(SUBSTITUTE(VLOOKUP($A402,'Quarterly Pipeline vs Target Pi'!$A:$AP,41,false)," $","")," €",""), "")
)</f>
        <v>0</v>
      </c>
      <c r="AX402" s="1">
        <f>value(IFERROR(SUBSTITUTE(SUBSTITUTE(VLOOKUP($A402,'Quarterly Pipeline vs Target Pi'!$A:$AP,42,false)," $","")," €",""), "")
)</f>
        <v>0</v>
      </c>
      <c r="AY402" s="17" t="str">
        <f t="shared" si="18"/>
        <v/>
      </c>
      <c r="AZ402" s="1">
        <f t="shared" ref="AZ402:BA402" si="818">sum(AN402,AQ402,AT402,AW402)</f>
        <v>141</v>
      </c>
      <c r="BA402" s="1">
        <f t="shared" si="818"/>
        <v>0</v>
      </c>
      <c r="BB402" s="17" t="str">
        <f t="shared" si="20"/>
        <v/>
      </c>
    </row>
    <row r="403">
      <c r="A403" s="1" t="str">
        <f>IFERROR(__xludf.DUMMYFUNCTION("""COMPUTED_VALUE"""),"63fcbb83a107c871cf5650b7")</f>
        <v>63fcbb83a107c871cf5650b7</v>
      </c>
      <c r="B403" s="1" t="str">
        <f>IFERROR(__xludf.DUMMYFUNCTION("""COMPUTED_VALUE"""),"SPIE Buchmann GmbH")</f>
        <v>SPIE Buchmann GmbH</v>
      </c>
      <c r="C403" s="1" t="str">
        <f>IFERROR(__xludf.DUMMYFUNCTION("""COMPUTED_VALUE"""),"andreas.grossheimann@al-enterprise.com, niels.hass@al-enterprise.com, gunther.hahn@al-enterprise.com")</f>
        <v>andreas.grossheimann@al-enterprise.com, niels.hass@al-enterprise.com, gunther.hahn@al-enterprise.com</v>
      </c>
      <c r="D403" s="1" t="str">
        <f>IFERROR(__xludf.DUMMYFUNCTION("""COMPUTED_VALUE"""),"germany")</f>
        <v>germany</v>
      </c>
      <c r="E403" s="1" t="str">
        <f>IFERROR(__xludf.DUMMYFUNCTION("""COMPUTED_VALUE"""),"DE")</f>
        <v>DE</v>
      </c>
      <c r="F403" s="1"/>
      <c r="G403" s="1">
        <f>iferror(VLOOKUP(A403,'Business Plan Setup and Accepta'!A:G,6,false),"")</f>
        <v>0</v>
      </c>
      <c r="H403" s="1">
        <f>iferror(VLOOKUP(A403,'Business Plan Setup and Accepta'!A:G,7,false),"")</f>
        <v>1</v>
      </c>
      <c r="I403" s="17">
        <f t="shared" si="3"/>
        <v>0</v>
      </c>
      <c r="J403" s="1">
        <f>IFERROR(VALUE(SUBSTITUTE(VLOOKUP(A403,'Sales IN Revenues vs Sales targ'!A:G,6,false)," $","")), "")
</f>
        <v>18.73</v>
      </c>
      <c r="K403" s="1">
        <f>IFERROR(VALUE(SUBSTITUTE(VLOOKUP(A403,'Sales IN Revenues vs Sales targ'!A:G,7,false)," $","")), "")
</f>
        <v>0</v>
      </c>
      <c r="L403" s="17" t="str">
        <f t="shared" si="4"/>
        <v/>
      </c>
      <c r="M403" s="1">
        <f>value(SUBSTITUTE(IFERROR(VLOOKUP(A403,'Certifications achievements vs '!A:G,6,false),""),"#","")
)</f>
        <v>0</v>
      </c>
      <c r="N403" s="1">
        <f>value(SUBSTITUTE(IFERROR(VLOOKUP(A403,'Certifications achievements vs '!A:G,7,false),""),"#","")
)</f>
        <v>0</v>
      </c>
      <c r="O403" s="17" t="str">
        <f t="shared" si="5"/>
        <v/>
      </c>
      <c r="P403" s="1">
        <f>value(SUBSTITUTE(IFERROR(VLOOKUP(A403,'Communications - Solution Speci'!A:G,6,false),""),"#","")
)</f>
        <v>1</v>
      </c>
      <c r="Q403" s="1">
        <f>value(SUBSTITUTE(IFERROR(VLOOKUP(A403,'Communications - Solution Speci'!A:G,7,false),""),"#","")
)</f>
        <v>1</v>
      </c>
      <c r="R403" s="17">
        <f t="shared" si="6"/>
        <v>1</v>
      </c>
      <c r="S403" s="1">
        <f>value(SUBSTITUTE(IFERROR(VLOOKUP(A403,'Networking - Solution Specializ'!A:G,6,false),""),"#","")
)</f>
        <v>0</v>
      </c>
      <c r="T403" s="1">
        <f>value(SUBSTITUTE(IFERROR(VLOOKUP(A403,'Networking - Solution Specializ'!A:G,7,false),""),"#","")
)</f>
        <v>1</v>
      </c>
      <c r="U403" s="17">
        <f t="shared" si="7"/>
        <v>0</v>
      </c>
      <c r="V403" s="1">
        <f>iferror(vlookup(A403,'Marketing Plan (extract summary'!A:G,6,false),"")</f>
        <v>0</v>
      </c>
      <c r="W403" s="1">
        <f>iferror(vlookup(A403,'Marketing Plan (extract summary'!A:G,7,false),"")</f>
        <v>1</v>
      </c>
      <c r="X403" s="17">
        <f t="shared" si="8"/>
        <v>0</v>
      </c>
      <c r="Y403" s="1">
        <f>value(IFERROR(SUBSTITUTE(SUBSTITUTE(VLOOKUP(A403,'Quarterly Pipeline vs Target Pi'!A:G,6,false)," $","")," €",""), "")
)</f>
        <v>7.09</v>
      </c>
      <c r="Z403" s="1">
        <f>value(IFERROR(SUBSTITUTE(SUBSTITUTE(VLOOKUP(A403,'Quarterly Pipeline vs Target Pi'!A:G,7,false)," $","")," €",""), "")
)</f>
        <v>0</v>
      </c>
      <c r="AA403" s="17" t="str">
        <f t="shared" si="9"/>
        <v/>
      </c>
      <c r="AB403" s="1">
        <f>value(IFERROR(SUBSTITUTE(SUBSTITUTE(VLOOKUP($A403,'Quarterly Pipeline vs Target Pi'!$A:$V,11,false)," $","")," €",""), "")
)</f>
        <v>7.09</v>
      </c>
      <c r="AC403" s="1">
        <f>value(IFERROR(SUBSTITUTE(SUBSTITUTE(VLOOKUP($A403,'Quarterly Pipeline vs Target Pi'!$A:$V,12,false)," $","")," €",""), "")
)</f>
        <v>0</v>
      </c>
      <c r="AD403" s="17" t="str">
        <f t="shared" si="10"/>
        <v/>
      </c>
      <c r="AE403" s="1">
        <f>value(IFERROR(SUBSTITUTE(SUBSTITUTE(VLOOKUP($A403,'Quarterly Pipeline vs Target Pi'!$A:$V,16,false)," $","")," €",""), "")
)</f>
        <v>7.09</v>
      </c>
      <c r="AF403" s="1">
        <f>value(IFERROR(SUBSTITUTE(SUBSTITUTE(VLOOKUP($A403,'Quarterly Pipeline vs Target Pi'!$A:$V,17,false)," $","")," €",""), "")
)</f>
        <v>0</v>
      </c>
      <c r="AG403" s="17" t="str">
        <f t="shared" si="11"/>
        <v/>
      </c>
      <c r="AH403" s="1">
        <f>value(IFERROR(SUBSTITUTE(SUBSTITUTE(VLOOKUP($A403,'Quarterly Pipeline vs Target Pi'!$A:$V,21,false)," $","")," €",""), "")
)</f>
        <v>39.74</v>
      </c>
      <c r="AI403" s="1">
        <f>value(IFERROR(SUBSTITUTE(SUBSTITUTE(VLOOKUP($A403,'Quarterly Pipeline vs Target Pi'!$A:$V,22,false)," $","")," €",""), "")
)</f>
        <v>0</v>
      </c>
      <c r="AJ403" s="17" t="str">
        <f t="shared" si="12"/>
        <v/>
      </c>
      <c r="AK403" s="1">
        <f t="shared" ref="AK403:AL403" si="819">sum(Y403,AB403,AE403,AH403)</f>
        <v>61.01</v>
      </c>
      <c r="AL403" s="1">
        <f t="shared" si="819"/>
        <v>0</v>
      </c>
      <c r="AM403" s="17" t="str">
        <f t="shared" si="14"/>
        <v/>
      </c>
      <c r="AN403" s="1">
        <f>value(IFERROR(SUBSTITUTE(SUBSTITUTE(VLOOKUP($A403,'Quarterly Pipeline vs Target Pi'!$A:$AP,26,false)," $","")," €",""), "")
)</f>
        <v>0</v>
      </c>
      <c r="AO403" s="1">
        <f>value(IFERROR(SUBSTITUTE(SUBSTITUTE(VLOOKUP($A403,'Quarterly Pipeline vs Target Pi'!$A:$AP,27,false)," $","")," €",""), "")
)</f>
        <v>0</v>
      </c>
      <c r="AP403" s="17" t="str">
        <f t="shared" si="15"/>
        <v/>
      </c>
      <c r="AQ403" s="1">
        <f>value(IFERROR(SUBSTITUTE(SUBSTITUTE(VLOOKUP($A403,'Quarterly Pipeline vs Target Pi'!$A:$AP,31,false)," $","")," €",""), "")
)</f>
        <v>0</v>
      </c>
      <c r="AR403" s="1">
        <f>value(IFERROR(SUBSTITUTE(SUBSTITUTE(VLOOKUP($A403,'Quarterly Pipeline vs Target Pi'!$A:$AP,32,false)," $","")," €",""), "")
)</f>
        <v>0</v>
      </c>
      <c r="AS403" s="17" t="str">
        <f t="shared" si="16"/>
        <v/>
      </c>
      <c r="AT403" s="1">
        <f>value(IFERROR(SUBSTITUTE(SUBSTITUTE(VLOOKUP($A403,'Quarterly Pipeline vs Target Pi'!$A:$AP,36,false)," $","")," €",""), "")
)</f>
        <v>0</v>
      </c>
      <c r="AU403" s="1">
        <f>value(IFERROR(SUBSTITUTE(SUBSTITUTE(VLOOKUP($A403,'Quarterly Pipeline vs Target Pi'!$A:$AP,37,false)," $","")," €",""), "")
)</f>
        <v>0</v>
      </c>
      <c r="AV403" s="17" t="str">
        <f t="shared" si="17"/>
        <v/>
      </c>
      <c r="AW403" s="1">
        <f>value(IFERROR(SUBSTITUTE(SUBSTITUTE(VLOOKUP($A403,'Quarterly Pipeline vs Target Pi'!$A:$AP,41,false)," $","")," €",""), "")
)</f>
        <v>0</v>
      </c>
      <c r="AX403" s="1">
        <f>value(IFERROR(SUBSTITUTE(SUBSTITUTE(VLOOKUP($A403,'Quarterly Pipeline vs Target Pi'!$A:$AP,42,false)," $","")," €",""), "")
)</f>
        <v>0</v>
      </c>
      <c r="AY403" s="17" t="str">
        <f t="shared" si="18"/>
        <v/>
      </c>
      <c r="AZ403" s="1">
        <f t="shared" ref="AZ403:BA403" si="820">sum(AN403,AQ403,AT403,AW403)</f>
        <v>0</v>
      </c>
      <c r="BA403" s="1">
        <f t="shared" si="820"/>
        <v>0</v>
      </c>
      <c r="BB403" s="17" t="str">
        <f t="shared" si="20"/>
        <v/>
      </c>
    </row>
    <row r="404">
      <c r="A404" s="1" t="str">
        <f>IFERROR(__xludf.DUMMYFUNCTION("""COMPUTED_VALUE"""),"63ced842c5c820531c267fc4")</f>
        <v>63ced842c5c820531c267fc4</v>
      </c>
      <c r="B404" s="1" t="str">
        <f>IFERROR(__xludf.DUMMYFUNCTION("""COMPUTED_VALUE"""),"SPIE Information &amp; Communication Services GmbH")</f>
        <v>SPIE Information &amp; Communication Services GmbH</v>
      </c>
      <c r="C404" s="1" t="str">
        <f>IFERROR(__xludf.DUMMYFUNCTION("""COMPUTED_VALUE"""),"andreas.grossheimann@al-enterprise.com, niels.hass@al-enterprise.com, gunther.hahn@al-enterprise.com, katrin.pfeiffer@al-enterprise.com, sibylle.klopfer@al-enterprise.com, igor.leko@al-enterprise.com")</f>
        <v>andreas.grossheimann@al-enterprise.com, niels.hass@al-enterprise.com, gunther.hahn@al-enterprise.com, katrin.pfeiffer@al-enterprise.com, sibylle.klopfer@al-enterprise.com, igor.leko@al-enterprise.com</v>
      </c>
      <c r="D404" s="1" t="str">
        <f>IFERROR(__xludf.DUMMYFUNCTION("""COMPUTED_VALUE"""),"germany")</f>
        <v>germany</v>
      </c>
      <c r="E404" s="1" t="str">
        <f>IFERROR(__xludf.DUMMYFUNCTION("""COMPUTED_VALUE"""),"DE")</f>
        <v>DE</v>
      </c>
      <c r="F404" s="1" t="str">
        <f>IFERROR(__xludf.DUMMYFUNCTION("""COMPUTED_VALUE"""),"yes")</f>
        <v>yes</v>
      </c>
      <c r="G404" s="1">
        <f>iferror(VLOOKUP(A404,'Business Plan Setup and Accepta'!A:G,6,false),"")</f>
        <v>1</v>
      </c>
      <c r="H404" s="1">
        <f>iferror(VLOOKUP(A404,'Business Plan Setup and Accepta'!A:G,7,false),"")</f>
        <v>1</v>
      </c>
      <c r="I404" s="17">
        <f t="shared" si="3"/>
        <v>1</v>
      </c>
      <c r="J404" s="1">
        <f>IFERROR(VALUE(SUBSTITUTE(VLOOKUP(A404,'Sales IN Revenues vs Sales targ'!A:G,6,false)," $","")), "")
</f>
        <v>1185.13</v>
      </c>
      <c r="K404" s="1">
        <f>IFERROR(VALUE(SUBSTITUTE(VLOOKUP(A404,'Sales IN Revenues vs Sales targ'!A:G,7,false)," $","")), "")
</f>
        <v>5170</v>
      </c>
      <c r="L404" s="17">
        <f t="shared" si="4"/>
        <v>0.2292321083</v>
      </c>
      <c r="M404" s="1">
        <f>value(SUBSTITUTE(IFERROR(VLOOKUP(A404,'Certifications achievements vs '!A:G,6,false),""),"#","")
)</f>
        <v>98</v>
      </c>
      <c r="N404" s="1">
        <f>value(SUBSTITUTE(IFERROR(VLOOKUP(A404,'Certifications achievements vs '!A:G,7,false),""),"#","")
)</f>
        <v>54</v>
      </c>
      <c r="O404" s="17">
        <f t="shared" si="5"/>
        <v>1.814814815</v>
      </c>
      <c r="P404" s="1">
        <f>value(SUBSTITUTE(IFERROR(VLOOKUP(A404,'Communications - Solution Speci'!A:G,6,false),""),"#","")
)</f>
        <v>1</v>
      </c>
      <c r="Q404" s="1">
        <f>value(SUBSTITUTE(IFERROR(VLOOKUP(A404,'Communications - Solution Speci'!A:G,7,false),""),"#","")
)</f>
        <v>1</v>
      </c>
      <c r="R404" s="17">
        <f t="shared" si="6"/>
        <v>1</v>
      </c>
      <c r="S404" s="1">
        <f>value(SUBSTITUTE(IFERROR(VLOOKUP(A404,'Networking - Solution Specializ'!A:G,6,false),""),"#","")
)</f>
        <v>1</v>
      </c>
      <c r="T404" s="1">
        <f>value(SUBSTITUTE(IFERROR(VLOOKUP(A404,'Networking - Solution Specializ'!A:G,7,false),""),"#","")
)</f>
        <v>1</v>
      </c>
      <c r="U404" s="17">
        <f t="shared" si="7"/>
        <v>1</v>
      </c>
      <c r="V404" s="1">
        <f>iferror(vlookup(A404,'Marketing Plan (extract summary'!A:G,6,false),"")</f>
        <v>0</v>
      </c>
      <c r="W404" s="1">
        <f>iferror(vlookup(A404,'Marketing Plan (extract summary'!A:G,7,false),"")</f>
        <v>1</v>
      </c>
      <c r="X404" s="17">
        <f t="shared" si="8"/>
        <v>0</v>
      </c>
      <c r="Y404" s="1">
        <f>value(IFERROR(SUBSTITUTE(SUBSTITUTE(VLOOKUP(A404,'Quarterly Pipeline vs Target Pi'!A:G,6,false)," $","")," €",""), "")
)</f>
        <v>3.54</v>
      </c>
      <c r="Z404" s="1">
        <f>value(IFERROR(SUBSTITUTE(SUBSTITUTE(VLOOKUP(A404,'Quarterly Pipeline vs Target Pi'!A:G,7,false)," $","")," €",""), "")
)</f>
        <v>0</v>
      </c>
      <c r="AA404" s="17" t="str">
        <f t="shared" si="9"/>
        <v/>
      </c>
      <c r="AB404" s="1">
        <f>value(IFERROR(SUBSTITUTE(SUBSTITUTE(VLOOKUP($A404,'Quarterly Pipeline vs Target Pi'!$A:$V,11,false)," $","")," €",""), "")
)</f>
        <v>0.08</v>
      </c>
      <c r="AC404" s="1">
        <f>value(IFERROR(SUBSTITUTE(SUBSTITUTE(VLOOKUP($A404,'Quarterly Pipeline vs Target Pi'!$A:$V,12,false)," $","")," €",""), "")
)</f>
        <v>0</v>
      </c>
      <c r="AD404" s="17" t="str">
        <f t="shared" si="10"/>
        <v/>
      </c>
      <c r="AE404" s="1">
        <f>value(IFERROR(SUBSTITUTE(SUBSTITUTE(VLOOKUP($A404,'Quarterly Pipeline vs Target Pi'!$A:$V,16,false)," $","")," €",""), "")
)</f>
        <v>2459.29</v>
      </c>
      <c r="AF404" s="1">
        <f>value(IFERROR(SUBSTITUTE(SUBSTITUTE(VLOOKUP($A404,'Quarterly Pipeline vs Target Pi'!$A:$V,17,false)," $","")," €",""), "")
)</f>
        <v>5166.67</v>
      </c>
      <c r="AG404" s="17">
        <f t="shared" si="11"/>
        <v>0.4759913058</v>
      </c>
      <c r="AH404" s="1">
        <f>value(IFERROR(SUBSTITUTE(SUBSTITUTE(VLOOKUP($A404,'Quarterly Pipeline vs Target Pi'!$A:$V,21,false)," $","")," €",""), "")
)</f>
        <v>4570.15</v>
      </c>
      <c r="AI404" s="1">
        <f>value(IFERROR(SUBSTITUTE(SUBSTITUTE(VLOOKUP($A404,'Quarterly Pipeline vs Target Pi'!$A:$V,22,false)," $","")," €",""), "")
)</f>
        <v>5166.67</v>
      </c>
      <c r="AJ404" s="17">
        <f t="shared" si="12"/>
        <v>0.8845445906</v>
      </c>
      <c r="AK404" s="1">
        <f t="shared" ref="AK404:AL404" si="821">sum(Y404,AB404,AE404,AH404)</f>
        <v>7033.06</v>
      </c>
      <c r="AL404" s="1">
        <f t="shared" si="821"/>
        <v>10333.34</v>
      </c>
      <c r="AM404" s="17">
        <f t="shared" si="14"/>
        <v>0.6806182706</v>
      </c>
      <c r="AN404" s="1">
        <f>value(IFERROR(SUBSTITUTE(SUBSTITUTE(VLOOKUP($A404,'Quarterly Pipeline vs Target Pi'!$A:$AP,26,false)," $","")," €",""), "")
)</f>
        <v>447.49</v>
      </c>
      <c r="AO404" s="1">
        <f>value(IFERROR(SUBSTITUTE(SUBSTITUTE(VLOOKUP($A404,'Quarterly Pipeline vs Target Pi'!$A:$AP,27,false)," $","")," €",""), "")
)</f>
        <v>0</v>
      </c>
      <c r="AP404" s="17" t="str">
        <f t="shared" si="15"/>
        <v/>
      </c>
      <c r="AQ404" s="1">
        <f>value(IFERROR(SUBSTITUTE(SUBSTITUTE(VLOOKUP($A404,'Quarterly Pipeline vs Target Pi'!$A:$AP,31,false)," $","")," €",""), "")
)</f>
        <v>1487.34</v>
      </c>
      <c r="AR404" s="1">
        <f>value(IFERROR(SUBSTITUTE(SUBSTITUTE(VLOOKUP($A404,'Quarterly Pipeline vs Target Pi'!$A:$AP,32,false)," $","")," €",""), "")
)</f>
        <v>0</v>
      </c>
      <c r="AS404" s="17" t="str">
        <f t="shared" si="16"/>
        <v/>
      </c>
      <c r="AT404" s="1">
        <f>value(IFERROR(SUBSTITUTE(SUBSTITUTE(VLOOKUP($A404,'Quarterly Pipeline vs Target Pi'!$A:$AP,36,false)," $","")," €",""), "")
)</f>
        <v>508.91</v>
      </c>
      <c r="AU404" s="1">
        <f>value(IFERROR(SUBSTITUTE(SUBSTITUTE(VLOOKUP($A404,'Quarterly Pipeline vs Target Pi'!$A:$AP,37,false)," $","")," €",""), "")
)</f>
        <v>0</v>
      </c>
      <c r="AV404" s="17" t="str">
        <f t="shared" si="17"/>
        <v/>
      </c>
      <c r="AW404" s="1">
        <f>value(IFERROR(SUBSTITUTE(SUBSTITUTE(VLOOKUP($A404,'Quarterly Pipeline vs Target Pi'!$A:$AP,41,false)," $","")," €",""), "")
)</f>
        <v>548.88</v>
      </c>
      <c r="AX404" s="1">
        <f>value(IFERROR(SUBSTITUTE(SUBSTITUTE(VLOOKUP($A404,'Quarterly Pipeline vs Target Pi'!$A:$AP,42,false)," $","")," €",""), "")
)</f>
        <v>0</v>
      </c>
      <c r="AY404" s="17" t="str">
        <f t="shared" si="18"/>
        <v/>
      </c>
      <c r="AZ404" s="1">
        <f t="shared" ref="AZ404:BA404" si="822">sum(AN404,AQ404,AT404,AW404)</f>
        <v>2992.62</v>
      </c>
      <c r="BA404" s="1">
        <f t="shared" si="822"/>
        <v>0</v>
      </c>
      <c r="BB404" s="17" t="str">
        <f t="shared" si="20"/>
        <v/>
      </c>
    </row>
    <row r="405">
      <c r="A405" s="1" t="str">
        <f>IFERROR(__xludf.DUMMYFUNCTION("""COMPUTED_VALUE"""),"63ea6e9552ad6968805ceec3")</f>
        <v>63ea6e9552ad6968805ceec3</v>
      </c>
      <c r="B405" s="1" t="str">
        <f>IFERROR(__xludf.DUMMYFUNCTION("""COMPUTED_VALUE"""),"SSM Rhein-Ruhr GmbH")</f>
        <v>SSM Rhein-Ruhr GmbH</v>
      </c>
      <c r="C405" s="1" t="str">
        <f>IFERROR(__xludf.DUMMYFUNCTION("""COMPUTED_VALUE"""),"andreas.grossheimann@al-enterprise.com, andre.ramm@al-enterprise.com")</f>
        <v>andreas.grossheimann@al-enterprise.com, andre.ramm@al-enterprise.com</v>
      </c>
      <c r="D405" s="1" t="str">
        <f>IFERROR(__xludf.DUMMYFUNCTION("""COMPUTED_VALUE"""),"germany")</f>
        <v>germany</v>
      </c>
      <c r="E405" s="1" t="str">
        <f>IFERROR(__xludf.DUMMYFUNCTION("""COMPUTED_VALUE"""),"DE")</f>
        <v>DE</v>
      </c>
      <c r="F405" s="1"/>
      <c r="G405" s="1" t="str">
        <f>iferror(VLOOKUP(A405,'Business Plan Setup and Accepta'!A:G,6,false),"")</f>
        <v/>
      </c>
      <c r="H405" s="1" t="str">
        <f>iferror(VLOOKUP(A405,'Business Plan Setup and Accepta'!A:G,7,false),"")</f>
        <v/>
      </c>
      <c r="I405" s="17" t="str">
        <f t="shared" si="3"/>
        <v/>
      </c>
      <c r="J405" s="1" t="str">
        <f>IFERROR(VALUE(SUBSTITUTE(VLOOKUP(A405,'Sales IN Revenues vs Sales targ'!A:G,6,false)," $","")), "")
</f>
        <v/>
      </c>
      <c r="K405" s="1" t="str">
        <f>IFERROR(VALUE(SUBSTITUTE(VLOOKUP(A405,'Sales IN Revenues vs Sales targ'!A:G,7,false)," $","")), "")
</f>
        <v/>
      </c>
      <c r="L405" s="17" t="str">
        <f t="shared" si="4"/>
        <v/>
      </c>
      <c r="M405" s="1">
        <f>value(SUBSTITUTE(IFERROR(VLOOKUP(A405,'Certifications achievements vs '!A:G,6,false),""),"#","")
)</f>
        <v>0</v>
      </c>
      <c r="N405" s="1">
        <f>value(SUBSTITUTE(IFERROR(VLOOKUP(A405,'Certifications achievements vs '!A:G,7,false),""),"#","")
)</f>
        <v>0</v>
      </c>
      <c r="O405" s="17" t="str">
        <f t="shared" si="5"/>
        <v/>
      </c>
      <c r="P405" s="1">
        <f>value(SUBSTITUTE(IFERROR(VLOOKUP(A405,'Communications - Solution Speci'!A:G,6,false),""),"#","")
)</f>
        <v>0</v>
      </c>
      <c r="Q405" s="1">
        <f>value(SUBSTITUTE(IFERROR(VLOOKUP(A405,'Communications - Solution Speci'!A:G,7,false),""),"#","")
)</f>
        <v>0</v>
      </c>
      <c r="R405" s="17" t="str">
        <f t="shared" si="6"/>
        <v/>
      </c>
      <c r="S405" s="1">
        <f>value(SUBSTITUTE(IFERROR(VLOOKUP(A405,'Networking - Solution Specializ'!A:G,6,false),""),"#","")
)</f>
        <v>0</v>
      </c>
      <c r="T405" s="1">
        <f>value(SUBSTITUTE(IFERROR(VLOOKUP(A405,'Networking - Solution Specializ'!A:G,7,false),""),"#","")
)</f>
        <v>0</v>
      </c>
      <c r="U405" s="17" t="str">
        <f t="shared" si="7"/>
        <v/>
      </c>
      <c r="V405" s="1" t="str">
        <f>iferror(vlookup(A405,'Marketing Plan (extract summary'!A:G,6,false),"")</f>
        <v/>
      </c>
      <c r="W405" s="1" t="str">
        <f>iferror(vlookup(A405,'Marketing Plan (extract summary'!A:G,7,false),"")</f>
        <v/>
      </c>
      <c r="X405" s="17" t="str">
        <f t="shared" si="8"/>
        <v/>
      </c>
      <c r="Y405" s="1">
        <f>value(IFERROR(SUBSTITUTE(SUBSTITUTE(VLOOKUP(A405,'Quarterly Pipeline vs Target Pi'!A:G,6,false)," $","")," €",""), "")
)</f>
        <v>0</v>
      </c>
      <c r="Z405" s="1">
        <f>value(IFERROR(SUBSTITUTE(SUBSTITUTE(VLOOKUP(A405,'Quarterly Pipeline vs Target Pi'!A:G,7,false)," $","")," €",""), "")
)</f>
        <v>0</v>
      </c>
      <c r="AA405" s="17" t="str">
        <f t="shared" si="9"/>
        <v/>
      </c>
      <c r="AB405" s="1">
        <f>value(IFERROR(SUBSTITUTE(SUBSTITUTE(VLOOKUP($A405,'Quarterly Pipeline vs Target Pi'!$A:$V,11,false)," $","")," €",""), "")
)</f>
        <v>0</v>
      </c>
      <c r="AC405" s="1">
        <f>value(IFERROR(SUBSTITUTE(SUBSTITUTE(VLOOKUP($A405,'Quarterly Pipeline vs Target Pi'!$A:$V,12,false)," $","")," €",""), "")
)</f>
        <v>0</v>
      </c>
      <c r="AD405" s="17" t="str">
        <f t="shared" si="10"/>
        <v/>
      </c>
      <c r="AE405" s="1">
        <f>value(IFERROR(SUBSTITUTE(SUBSTITUTE(VLOOKUP($A405,'Quarterly Pipeline vs Target Pi'!$A:$V,16,false)," $","")," €",""), "")
)</f>
        <v>0</v>
      </c>
      <c r="AF405" s="1">
        <f>value(IFERROR(SUBSTITUTE(SUBSTITUTE(VLOOKUP($A405,'Quarterly Pipeline vs Target Pi'!$A:$V,17,false)," $","")," €",""), "")
)</f>
        <v>0</v>
      </c>
      <c r="AG405" s="17" t="str">
        <f t="shared" si="11"/>
        <v/>
      </c>
      <c r="AH405" s="1">
        <f>value(IFERROR(SUBSTITUTE(SUBSTITUTE(VLOOKUP($A405,'Quarterly Pipeline vs Target Pi'!$A:$V,21,false)," $","")," €",""), "")
)</f>
        <v>0</v>
      </c>
      <c r="AI405" s="1">
        <f>value(IFERROR(SUBSTITUTE(SUBSTITUTE(VLOOKUP($A405,'Quarterly Pipeline vs Target Pi'!$A:$V,22,false)," $","")," €",""), "")
)</f>
        <v>0</v>
      </c>
      <c r="AJ405" s="17" t="str">
        <f t="shared" si="12"/>
        <v/>
      </c>
      <c r="AK405" s="1">
        <f t="shared" ref="AK405:AL405" si="823">sum(Y405,AB405,AE405,AH405)</f>
        <v>0</v>
      </c>
      <c r="AL405" s="1">
        <f t="shared" si="823"/>
        <v>0</v>
      </c>
      <c r="AM405" s="17" t="str">
        <f t="shared" si="14"/>
        <v/>
      </c>
      <c r="AN405" s="1">
        <f>value(IFERROR(SUBSTITUTE(SUBSTITUTE(VLOOKUP($A405,'Quarterly Pipeline vs Target Pi'!$A:$AP,26,false)," $","")," €",""), "")
)</f>
        <v>0</v>
      </c>
      <c r="AO405" s="1">
        <f>value(IFERROR(SUBSTITUTE(SUBSTITUTE(VLOOKUP($A405,'Quarterly Pipeline vs Target Pi'!$A:$AP,27,false)," $","")," €",""), "")
)</f>
        <v>0</v>
      </c>
      <c r="AP405" s="17" t="str">
        <f t="shared" si="15"/>
        <v/>
      </c>
      <c r="AQ405" s="1">
        <f>value(IFERROR(SUBSTITUTE(SUBSTITUTE(VLOOKUP($A405,'Quarterly Pipeline vs Target Pi'!$A:$AP,31,false)," $","")," €",""), "")
)</f>
        <v>0</v>
      </c>
      <c r="AR405" s="1">
        <f>value(IFERROR(SUBSTITUTE(SUBSTITUTE(VLOOKUP($A405,'Quarterly Pipeline vs Target Pi'!$A:$AP,32,false)," $","")," €",""), "")
)</f>
        <v>0</v>
      </c>
      <c r="AS405" s="17" t="str">
        <f t="shared" si="16"/>
        <v/>
      </c>
      <c r="AT405" s="1">
        <f>value(IFERROR(SUBSTITUTE(SUBSTITUTE(VLOOKUP($A405,'Quarterly Pipeline vs Target Pi'!$A:$AP,36,false)," $","")," €",""), "")
)</f>
        <v>0</v>
      </c>
      <c r="AU405" s="1">
        <f>value(IFERROR(SUBSTITUTE(SUBSTITUTE(VLOOKUP($A405,'Quarterly Pipeline vs Target Pi'!$A:$AP,37,false)," $","")," €",""), "")
)</f>
        <v>0</v>
      </c>
      <c r="AV405" s="17" t="str">
        <f t="shared" si="17"/>
        <v/>
      </c>
      <c r="AW405" s="1">
        <f>value(IFERROR(SUBSTITUTE(SUBSTITUTE(VLOOKUP($A405,'Quarterly Pipeline vs Target Pi'!$A:$AP,41,false)," $","")," €",""), "")
)</f>
        <v>0</v>
      </c>
      <c r="AX405" s="1">
        <f>value(IFERROR(SUBSTITUTE(SUBSTITUTE(VLOOKUP($A405,'Quarterly Pipeline vs Target Pi'!$A:$AP,42,false)," $","")," €",""), "")
)</f>
        <v>0</v>
      </c>
      <c r="AY405" s="17" t="str">
        <f t="shared" si="18"/>
        <v/>
      </c>
      <c r="AZ405" s="1">
        <f t="shared" ref="AZ405:BA405" si="824">sum(AN405,AQ405,AT405,AW405)</f>
        <v>0</v>
      </c>
      <c r="BA405" s="1">
        <f t="shared" si="824"/>
        <v>0</v>
      </c>
      <c r="BB405" s="17" t="str">
        <f t="shared" si="20"/>
        <v/>
      </c>
    </row>
    <row r="406">
      <c r="A406" s="1" t="str">
        <f>IFERROR(__xludf.DUMMYFUNCTION("""COMPUTED_VALUE"""),"63fcbb7fa107c871cf5648f3")</f>
        <v>63fcbb7fa107c871cf5648f3</v>
      </c>
      <c r="B406" s="1" t="str">
        <f>IFERROR(__xludf.DUMMYFUNCTION("""COMPUTED_VALUE"""),"SSP Converged Solutions, Inc.")</f>
        <v>SSP Converged Solutions, Inc.</v>
      </c>
      <c r="C406" s="1" t="str">
        <f>IFERROR(__xludf.DUMMYFUNCTION("""COMPUTED_VALUE"""),"steve.mcglasson@al-enterprise.com")</f>
        <v>steve.mcglasson@al-enterprise.com</v>
      </c>
      <c r="D406" s="1" t="str">
        <f>IFERROR(__xludf.DUMMYFUNCTION("""COMPUTED_VALUE"""),"americas")</f>
        <v>americas</v>
      </c>
      <c r="E406" s="1" t="str">
        <f>IFERROR(__xludf.DUMMYFUNCTION("""COMPUTED_VALUE"""),"US")</f>
        <v>US</v>
      </c>
      <c r="F406" s="1"/>
      <c r="G406" s="1" t="str">
        <f>iferror(VLOOKUP(A406,'Business Plan Setup and Accepta'!A:G,6,false),"")</f>
        <v/>
      </c>
      <c r="H406" s="1" t="str">
        <f>iferror(VLOOKUP(A406,'Business Plan Setup and Accepta'!A:G,7,false),"")</f>
        <v/>
      </c>
      <c r="I406" s="17" t="str">
        <f t="shared" si="3"/>
        <v/>
      </c>
      <c r="J406" s="1" t="str">
        <f>IFERROR(VALUE(SUBSTITUTE(VLOOKUP(A406,'Sales IN Revenues vs Sales targ'!A:G,6,false)," $","")), "")
</f>
        <v/>
      </c>
      <c r="K406" s="1" t="str">
        <f>IFERROR(VALUE(SUBSTITUTE(VLOOKUP(A406,'Sales IN Revenues vs Sales targ'!A:G,7,false)," $","")), "")
</f>
        <v/>
      </c>
      <c r="L406" s="17" t="str">
        <f t="shared" si="4"/>
        <v/>
      </c>
      <c r="M406" s="1">
        <f>value(SUBSTITUTE(IFERROR(VLOOKUP(A406,'Certifications achievements vs '!A:G,6,false),""),"#","")
)</f>
        <v>0</v>
      </c>
      <c r="N406" s="1">
        <f>value(SUBSTITUTE(IFERROR(VLOOKUP(A406,'Certifications achievements vs '!A:G,7,false),""),"#","")
)</f>
        <v>0</v>
      </c>
      <c r="O406" s="17" t="str">
        <f t="shared" si="5"/>
        <v/>
      </c>
      <c r="P406" s="1">
        <f>value(SUBSTITUTE(IFERROR(VLOOKUP(A406,'Communications - Solution Speci'!A:G,6,false),""),"#","")
)</f>
        <v>0</v>
      </c>
      <c r="Q406" s="1">
        <f>value(SUBSTITUTE(IFERROR(VLOOKUP(A406,'Communications - Solution Speci'!A:G,7,false),""),"#","")
)</f>
        <v>0</v>
      </c>
      <c r="R406" s="17" t="str">
        <f t="shared" si="6"/>
        <v/>
      </c>
      <c r="S406" s="1">
        <f>value(SUBSTITUTE(IFERROR(VLOOKUP(A406,'Networking - Solution Specializ'!A:G,6,false),""),"#","")
)</f>
        <v>0</v>
      </c>
      <c r="T406" s="1">
        <f>value(SUBSTITUTE(IFERROR(VLOOKUP(A406,'Networking - Solution Specializ'!A:G,7,false),""),"#","")
)</f>
        <v>0</v>
      </c>
      <c r="U406" s="17" t="str">
        <f t="shared" si="7"/>
        <v/>
      </c>
      <c r="V406" s="1" t="str">
        <f>iferror(vlookup(A406,'Marketing Plan (extract summary'!A:G,6,false),"")</f>
        <v/>
      </c>
      <c r="W406" s="1" t="str">
        <f>iferror(vlookup(A406,'Marketing Plan (extract summary'!A:G,7,false),"")</f>
        <v/>
      </c>
      <c r="X406" s="17" t="str">
        <f t="shared" si="8"/>
        <v/>
      </c>
      <c r="Y406" s="1">
        <f>value(IFERROR(SUBSTITUTE(SUBSTITUTE(VLOOKUP(A406,'Quarterly Pipeline vs Target Pi'!A:G,6,false)," $","")," €",""), "")
)</f>
        <v>0</v>
      </c>
      <c r="Z406" s="1">
        <f>value(IFERROR(SUBSTITUTE(SUBSTITUTE(VLOOKUP(A406,'Quarterly Pipeline vs Target Pi'!A:G,7,false)," $","")," €",""), "")
)</f>
        <v>0</v>
      </c>
      <c r="AA406" s="17" t="str">
        <f t="shared" si="9"/>
        <v/>
      </c>
      <c r="AB406" s="1">
        <f>value(IFERROR(SUBSTITUTE(SUBSTITUTE(VLOOKUP($A406,'Quarterly Pipeline vs Target Pi'!$A:$V,11,false)," $","")," €",""), "")
)</f>
        <v>0</v>
      </c>
      <c r="AC406" s="1">
        <f>value(IFERROR(SUBSTITUTE(SUBSTITUTE(VLOOKUP($A406,'Quarterly Pipeline vs Target Pi'!$A:$V,12,false)," $","")," €",""), "")
)</f>
        <v>0</v>
      </c>
      <c r="AD406" s="17" t="str">
        <f t="shared" si="10"/>
        <v/>
      </c>
      <c r="AE406" s="1">
        <f>value(IFERROR(SUBSTITUTE(SUBSTITUTE(VLOOKUP($A406,'Quarterly Pipeline vs Target Pi'!$A:$V,16,false)," $","")," €",""), "")
)</f>
        <v>0</v>
      </c>
      <c r="AF406" s="1">
        <f>value(IFERROR(SUBSTITUTE(SUBSTITUTE(VLOOKUP($A406,'Quarterly Pipeline vs Target Pi'!$A:$V,17,false)," $","")," €",""), "")
)</f>
        <v>0</v>
      </c>
      <c r="AG406" s="17" t="str">
        <f t="shared" si="11"/>
        <v/>
      </c>
      <c r="AH406" s="1">
        <f>value(IFERROR(SUBSTITUTE(SUBSTITUTE(VLOOKUP($A406,'Quarterly Pipeline vs Target Pi'!$A:$V,21,false)," $","")," €",""), "")
)</f>
        <v>0</v>
      </c>
      <c r="AI406" s="1">
        <f>value(IFERROR(SUBSTITUTE(SUBSTITUTE(VLOOKUP($A406,'Quarterly Pipeline vs Target Pi'!$A:$V,22,false)," $","")," €",""), "")
)</f>
        <v>0</v>
      </c>
      <c r="AJ406" s="17" t="str">
        <f t="shared" si="12"/>
        <v/>
      </c>
      <c r="AK406" s="1">
        <f t="shared" ref="AK406:AL406" si="825">sum(Y406,AB406,AE406,AH406)</f>
        <v>0</v>
      </c>
      <c r="AL406" s="1">
        <f t="shared" si="825"/>
        <v>0</v>
      </c>
      <c r="AM406" s="17" t="str">
        <f t="shared" si="14"/>
        <v/>
      </c>
      <c r="AN406" s="1">
        <f>value(IFERROR(SUBSTITUTE(SUBSTITUTE(VLOOKUP($A406,'Quarterly Pipeline vs Target Pi'!$A:$AP,26,false)," $","")," €",""), "")
)</f>
        <v>0</v>
      </c>
      <c r="AO406" s="1">
        <f>value(IFERROR(SUBSTITUTE(SUBSTITUTE(VLOOKUP($A406,'Quarterly Pipeline vs Target Pi'!$A:$AP,27,false)," $","")," €",""), "")
)</f>
        <v>0</v>
      </c>
      <c r="AP406" s="17" t="str">
        <f t="shared" si="15"/>
        <v/>
      </c>
      <c r="AQ406" s="1">
        <f>value(IFERROR(SUBSTITUTE(SUBSTITUTE(VLOOKUP($A406,'Quarterly Pipeline vs Target Pi'!$A:$AP,31,false)," $","")," €",""), "")
)</f>
        <v>0</v>
      </c>
      <c r="AR406" s="1">
        <f>value(IFERROR(SUBSTITUTE(SUBSTITUTE(VLOOKUP($A406,'Quarterly Pipeline vs Target Pi'!$A:$AP,32,false)," $","")," €",""), "")
)</f>
        <v>0</v>
      </c>
      <c r="AS406" s="17" t="str">
        <f t="shared" si="16"/>
        <v/>
      </c>
      <c r="AT406" s="1">
        <f>value(IFERROR(SUBSTITUTE(SUBSTITUTE(VLOOKUP($A406,'Quarterly Pipeline vs Target Pi'!$A:$AP,36,false)," $","")," €",""), "")
)</f>
        <v>0</v>
      </c>
      <c r="AU406" s="1">
        <f>value(IFERROR(SUBSTITUTE(SUBSTITUTE(VLOOKUP($A406,'Quarterly Pipeline vs Target Pi'!$A:$AP,37,false)," $","")," €",""), "")
)</f>
        <v>0</v>
      </c>
      <c r="AV406" s="17" t="str">
        <f t="shared" si="17"/>
        <v/>
      </c>
      <c r="AW406" s="1">
        <f>value(IFERROR(SUBSTITUTE(SUBSTITUTE(VLOOKUP($A406,'Quarterly Pipeline vs Target Pi'!$A:$AP,41,false)," $","")," €",""), "")
)</f>
        <v>0</v>
      </c>
      <c r="AX406" s="1">
        <f>value(IFERROR(SUBSTITUTE(SUBSTITUTE(VLOOKUP($A406,'Quarterly Pipeline vs Target Pi'!$A:$AP,42,false)," $","")," €",""), "")
)</f>
        <v>0</v>
      </c>
      <c r="AY406" s="17" t="str">
        <f t="shared" si="18"/>
        <v/>
      </c>
      <c r="AZ406" s="1">
        <f t="shared" ref="AZ406:BA406" si="826">sum(AN406,AQ406,AT406,AW406)</f>
        <v>0</v>
      </c>
      <c r="BA406" s="1">
        <f t="shared" si="826"/>
        <v>0</v>
      </c>
      <c r="BB406" s="17" t="str">
        <f t="shared" si="20"/>
        <v/>
      </c>
    </row>
    <row r="407">
      <c r="A407" s="1" t="str">
        <f>IFERROR(__xludf.DUMMYFUNCTION("""COMPUTED_VALUE"""),"63ea6e9552ad6968805ced81")</f>
        <v>63ea6e9552ad6968805ced81</v>
      </c>
      <c r="B407" s="1" t="str">
        <f>IFERROR(__xludf.DUMMYFUNCTION("""COMPUTED_VALUE"""),"STAMM GmbH")</f>
        <v>STAMM GmbH</v>
      </c>
      <c r="C407" s="1" t="str">
        <f>IFERROR(__xludf.DUMMYFUNCTION("""COMPUTED_VALUE"""),"andreas.grossheimann@al-enterprise.com, andre.ramm@al-enterprise.com")</f>
        <v>andreas.grossheimann@al-enterprise.com, andre.ramm@al-enterprise.com</v>
      </c>
      <c r="D407" s="1" t="str">
        <f>IFERROR(__xludf.DUMMYFUNCTION("""COMPUTED_VALUE"""),"germany")</f>
        <v>germany</v>
      </c>
      <c r="E407" s="1" t="str">
        <f>IFERROR(__xludf.DUMMYFUNCTION("""COMPUTED_VALUE"""),"DE")</f>
        <v>DE</v>
      </c>
      <c r="F407" s="1"/>
      <c r="G407" s="1" t="str">
        <f>iferror(VLOOKUP(A407,'Business Plan Setup and Accepta'!A:G,6,false),"")</f>
        <v/>
      </c>
      <c r="H407" s="1" t="str">
        <f>iferror(VLOOKUP(A407,'Business Plan Setup and Accepta'!A:G,7,false),"")</f>
        <v/>
      </c>
      <c r="I407" s="17" t="str">
        <f t="shared" si="3"/>
        <v/>
      </c>
      <c r="J407" s="1" t="str">
        <f>IFERROR(VALUE(SUBSTITUTE(VLOOKUP(A407,'Sales IN Revenues vs Sales targ'!A:G,6,false)," $","")), "")
</f>
        <v/>
      </c>
      <c r="K407" s="1" t="str">
        <f>IFERROR(VALUE(SUBSTITUTE(VLOOKUP(A407,'Sales IN Revenues vs Sales targ'!A:G,7,false)," $","")), "")
</f>
        <v/>
      </c>
      <c r="L407" s="17" t="str">
        <f t="shared" si="4"/>
        <v/>
      </c>
      <c r="M407" s="1">
        <f>value(SUBSTITUTE(IFERROR(VLOOKUP(A407,'Certifications achievements vs '!A:G,6,false),""),"#","")
)</f>
        <v>0</v>
      </c>
      <c r="N407" s="1">
        <f>value(SUBSTITUTE(IFERROR(VLOOKUP(A407,'Certifications achievements vs '!A:G,7,false),""),"#","")
)</f>
        <v>0</v>
      </c>
      <c r="O407" s="17" t="str">
        <f t="shared" si="5"/>
        <v/>
      </c>
      <c r="P407" s="1">
        <f>value(SUBSTITUTE(IFERROR(VLOOKUP(A407,'Communications - Solution Speci'!A:G,6,false),""),"#","")
)</f>
        <v>0</v>
      </c>
      <c r="Q407" s="1">
        <f>value(SUBSTITUTE(IFERROR(VLOOKUP(A407,'Communications - Solution Speci'!A:G,7,false),""),"#","")
)</f>
        <v>0</v>
      </c>
      <c r="R407" s="17" t="str">
        <f t="shared" si="6"/>
        <v/>
      </c>
      <c r="S407" s="1">
        <f>value(SUBSTITUTE(IFERROR(VLOOKUP(A407,'Networking - Solution Specializ'!A:G,6,false),""),"#","")
)</f>
        <v>0</v>
      </c>
      <c r="T407" s="1">
        <f>value(SUBSTITUTE(IFERROR(VLOOKUP(A407,'Networking - Solution Specializ'!A:G,7,false),""),"#","")
)</f>
        <v>0</v>
      </c>
      <c r="U407" s="17" t="str">
        <f t="shared" si="7"/>
        <v/>
      </c>
      <c r="V407" s="1" t="str">
        <f>iferror(vlookup(A407,'Marketing Plan (extract summary'!A:G,6,false),"")</f>
        <v/>
      </c>
      <c r="W407" s="1" t="str">
        <f>iferror(vlookup(A407,'Marketing Plan (extract summary'!A:G,7,false),"")</f>
        <v/>
      </c>
      <c r="X407" s="17" t="str">
        <f t="shared" si="8"/>
        <v/>
      </c>
      <c r="Y407" s="1">
        <f>value(IFERROR(SUBSTITUTE(SUBSTITUTE(VLOOKUP(A407,'Quarterly Pipeline vs Target Pi'!A:G,6,false)," $","")," €",""), "")
)</f>
        <v>0</v>
      </c>
      <c r="Z407" s="1">
        <f>value(IFERROR(SUBSTITUTE(SUBSTITUTE(VLOOKUP(A407,'Quarterly Pipeline vs Target Pi'!A:G,7,false)," $","")," €",""), "")
)</f>
        <v>0</v>
      </c>
      <c r="AA407" s="17" t="str">
        <f t="shared" si="9"/>
        <v/>
      </c>
      <c r="AB407" s="1">
        <f>value(IFERROR(SUBSTITUTE(SUBSTITUTE(VLOOKUP($A407,'Quarterly Pipeline vs Target Pi'!$A:$V,11,false)," $","")," €",""), "")
)</f>
        <v>0</v>
      </c>
      <c r="AC407" s="1">
        <f>value(IFERROR(SUBSTITUTE(SUBSTITUTE(VLOOKUP($A407,'Quarterly Pipeline vs Target Pi'!$A:$V,12,false)," $","")," €",""), "")
)</f>
        <v>0</v>
      </c>
      <c r="AD407" s="17" t="str">
        <f t="shared" si="10"/>
        <v/>
      </c>
      <c r="AE407" s="1">
        <f>value(IFERROR(SUBSTITUTE(SUBSTITUTE(VLOOKUP($A407,'Quarterly Pipeline vs Target Pi'!$A:$V,16,false)," $","")," €",""), "")
)</f>
        <v>0</v>
      </c>
      <c r="AF407" s="1">
        <f>value(IFERROR(SUBSTITUTE(SUBSTITUTE(VLOOKUP($A407,'Quarterly Pipeline vs Target Pi'!$A:$V,17,false)," $","")," €",""), "")
)</f>
        <v>0</v>
      </c>
      <c r="AG407" s="17" t="str">
        <f t="shared" si="11"/>
        <v/>
      </c>
      <c r="AH407" s="1">
        <f>value(IFERROR(SUBSTITUTE(SUBSTITUTE(VLOOKUP($A407,'Quarterly Pipeline vs Target Pi'!$A:$V,21,false)," $","")," €",""), "")
)</f>
        <v>0</v>
      </c>
      <c r="AI407" s="1">
        <f>value(IFERROR(SUBSTITUTE(SUBSTITUTE(VLOOKUP($A407,'Quarterly Pipeline vs Target Pi'!$A:$V,22,false)," $","")," €",""), "")
)</f>
        <v>0</v>
      </c>
      <c r="AJ407" s="17" t="str">
        <f t="shared" si="12"/>
        <v/>
      </c>
      <c r="AK407" s="1">
        <f t="shared" ref="AK407:AL407" si="827">sum(Y407,AB407,AE407,AH407)</f>
        <v>0</v>
      </c>
      <c r="AL407" s="1">
        <f t="shared" si="827"/>
        <v>0</v>
      </c>
      <c r="AM407" s="17" t="str">
        <f t="shared" si="14"/>
        <v/>
      </c>
      <c r="AN407" s="1">
        <f>value(IFERROR(SUBSTITUTE(SUBSTITUTE(VLOOKUP($A407,'Quarterly Pipeline vs Target Pi'!$A:$AP,26,false)," $","")," €",""), "")
)</f>
        <v>0</v>
      </c>
      <c r="AO407" s="1">
        <f>value(IFERROR(SUBSTITUTE(SUBSTITUTE(VLOOKUP($A407,'Quarterly Pipeline vs Target Pi'!$A:$AP,27,false)," $","")," €",""), "")
)</f>
        <v>0</v>
      </c>
      <c r="AP407" s="17" t="str">
        <f t="shared" si="15"/>
        <v/>
      </c>
      <c r="AQ407" s="1">
        <f>value(IFERROR(SUBSTITUTE(SUBSTITUTE(VLOOKUP($A407,'Quarterly Pipeline vs Target Pi'!$A:$AP,31,false)," $","")," €",""), "")
)</f>
        <v>0</v>
      </c>
      <c r="AR407" s="1">
        <f>value(IFERROR(SUBSTITUTE(SUBSTITUTE(VLOOKUP($A407,'Quarterly Pipeline vs Target Pi'!$A:$AP,32,false)," $","")," €",""), "")
)</f>
        <v>0</v>
      </c>
      <c r="AS407" s="17" t="str">
        <f t="shared" si="16"/>
        <v/>
      </c>
      <c r="AT407" s="1">
        <f>value(IFERROR(SUBSTITUTE(SUBSTITUTE(VLOOKUP($A407,'Quarterly Pipeline vs Target Pi'!$A:$AP,36,false)," $","")," €",""), "")
)</f>
        <v>0</v>
      </c>
      <c r="AU407" s="1">
        <f>value(IFERROR(SUBSTITUTE(SUBSTITUTE(VLOOKUP($A407,'Quarterly Pipeline vs Target Pi'!$A:$AP,37,false)," $","")," €",""), "")
)</f>
        <v>0</v>
      </c>
      <c r="AV407" s="17" t="str">
        <f t="shared" si="17"/>
        <v/>
      </c>
      <c r="AW407" s="1">
        <f>value(IFERROR(SUBSTITUTE(SUBSTITUTE(VLOOKUP($A407,'Quarterly Pipeline vs Target Pi'!$A:$AP,41,false)," $","")," €",""), "")
)</f>
        <v>0</v>
      </c>
      <c r="AX407" s="1">
        <f>value(IFERROR(SUBSTITUTE(SUBSTITUTE(VLOOKUP($A407,'Quarterly Pipeline vs Target Pi'!$A:$AP,42,false)," $","")," €",""), "")
)</f>
        <v>0</v>
      </c>
      <c r="AY407" s="17" t="str">
        <f t="shared" si="18"/>
        <v/>
      </c>
      <c r="AZ407" s="1">
        <f t="shared" ref="AZ407:BA407" si="828">sum(AN407,AQ407,AT407,AW407)</f>
        <v>0</v>
      </c>
      <c r="BA407" s="1">
        <f t="shared" si="828"/>
        <v>0</v>
      </c>
      <c r="BB407" s="17" t="str">
        <f t="shared" si="20"/>
        <v/>
      </c>
    </row>
    <row r="408">
      <c r="A408" s="1" t="str">
        <f>IFERROR(__xludf.DUMMYFUNCTION("""COMPUTED_VALUE"""),"63fcbb83a107c871cf56517b")</f>
        <v>63fcbb83a107c871cf56517b</v>
      </c>
      <c r="B408" s="1" t="str">
        <f>IFERROR(__xludf.DUMMYFUNCTION("""COMPUTED_VALUE"""),"STARTEC TELECOMUNICACOES LTDA")</f>
        <v>STARTEC TELECOMUNICACOES LTDA</v>
      </c>
      <c r="C408" s="1" t="str">
        <f>IFERROR(__xludf.DUMMYFUNCTION("""COMPUTED_VALUE"""),"gabriel.pires@al-enterprise.com")</f>
        <v>gabriel.pires@al-enterprise.com</v>
      </c>
      <c r="D408" s="1" t="str">
        <f>IFERROR(__xludf.DUMMYFUNCTION("""COMPUTED_VALUE"""),"americas")</f>
        <v>americas</v>
      </c>
      <c r="E408" s="1" t="str">
        <f>IFERROR(__xludf.DUMMYFUNCTION("""COMPUTED_VALUE"""),"BR")</f>
        <v>BR</v>
      </c>
      <c r="F408" s="1"/>
      <c r="G408" s="1" t="str">
        <f>iferror(VLOOKUP(A408,'Business Plan Setup and Accepta'!A:G,6,false),"")</f>
        <v/>
      </c>
      <c r="H408" s="1" t="str">
        <f>iferror(VLOOKUP(A408,'Business Plan Setup and Accepta'!A:G,7,false),"")</f>
        <v/>
      </c>
      <c r="I408" s="17" t="str">
        <f t="shared" si="3"/>
        <v/>
      </c>
      <c r="J408" s="1" t="str">
        <f>IFERROR(VALUE(SUBSTITUTE(VLOOKUP(A408,'Sales IN Revenues vs Sales targ'!A:G,6,false)," $","")), "")
</f>
        <v/>
      </c>
      <c r="K408" s="1" t="str">
        <f>IFERROR(VALUE(SUBSTITUTE(VLOOKUP(A408,'Sales IN Revenues vs Sales targ'!A:G,7,false)," $","")), "")
</f>
        <v/>
      </c>
      <c r="L408" s="17" t="str">
        <f t="shared" si="4"/>
        <v/>
      </c>
      <c r="M408" s="1">
        <f>value(SUBSTITUTE(IFERROR(VLOOKUP(A408,'Certifications achievements vs '!A:G,6,false),""),"#","")
)</f>
        <v>0</v>
      </c>
      <c r="N408" s="1">
        <f>value(SUBSTITUTE(IFERROR(VLOOKUP(A408,'Certifications achievements vs '!A:G,7,false),""),"#","")
)</f>
        <v>0</v>
      </c>
      <c r="O408" s="17" t="str">
        <f t="shared" si="5"/>
        <v/>
      </c>
      <c r="P408" s="1">
        <f>value(SUBSTITUTE(IFERROR(VLOOKUP(A408,'Communications - Solution Speci'!A:G,6,false),""),"#","")
)</f>
        <v>0</v>
      </c>
      <c r="Q408" s="1">
        <f>value(SUBSTITUTE(IFERROR(VLOOKUP(A408,'Communications - Solution Speci'!A:G,7,false),""),"#","")
)</f>
        <v>0</v>
      </c>
      <c r="R408" s="17" t="str">
        <f t="shared" si="6"/>
        <v/>
      </c>
      <c r="S408" s="1">
        <f>value(SUBSTITUTE(IFERROR(VLOOKUP(A408,'Networking - Solution Specializ'!A:G,6,false),""),"#","")
)</f>
        <v>0</v>
      </c>
      <c r="T408" s="1">
        <f>value(SUBSTITUTE(IFERROR(VLOOKUP(A408,'Networking - Solution Specializ'!A:G,7,false),""),"#","")
)</f>
        <v>0</v>
      </c>
      <c r="U408" s="17" t="str">
        <f t="shared" si="7"/>
        <v/>
      </c>
      <c r="V408" s="1" t="str">
        <f>iferror(vlookup(A408,'Marketing Plan (extract summary'!A:G,6,false),"")</f>
        <v/>
      </c>
      <c r="W408" s="1" t="str">
        <f>iferror(vlookup(A408,'Marketing Plan (extract summary'!A:G,7,false),"")</f>
        <v/>
      </c>
      <c r="X408" s="17" t="str">
        <f t="shared" si="8"/>
        <v/>
      </c>
      <c r="Y408" s="1">
        <f>value(IFERROR(SUBSTITUTE(SUBSTITUTE(VLOOKUP(A408,'Quarterly Pipeline vs Target Pi'!A:G,6,false)," $","")," €",""), "")
)</f>
        <v>0</v>
      </c>
      <c r="Z408" s="1">
        <f>value(IFERROR(SUBSTITUTE(SUBSTITUTE(VLOOKUP(A408,'Quarterly Pipeline vs Target Pi'!A:G,7,false)," $","")," €",""), "")
)</f>
        <v>0</v>
      </c>
      <c r="AA408" s="17" t="str">
        <f t="shared" si="9"/>
        <v/>
      </c>
      <c r="AB408" s="1">
        <f>value(IFERROR(SUBSTITUTE(SUBSTITUTE(VLOOKUP($A408,'Quarterly Pipeline vs Target Pi'!$A:$V,11,false)," $","")," €",""), "")
)</f>
        <v>0</v>
      </c>
      <c r="AC408" s="1">
        <f>value(IFERROR(SUBSTITUTE(SUBSTITUTE(VLOOKUP($A408,'Quarterly Pipeline vs Target Pi'!$A:$V,12,false)," $","")," €",""), "")
)</f>
        <v>0</v>
      </c>
      <c r="AD408" s="17" t="str">
        <f t="shared" si="10"/>
        <v/>
      </c>
      <c r="AE408" s="1">
        <f>value(IFERROR(SUBSTITUTE(SUBSTITUTE(VLOOKUP($A408,'Quarterly Pipeline vs Target Pi'!$A:$V,16,false)," $","")," €",""), "")
)</f>
        <v>0</v>
      </c>
      <c r="AF408" s="1">
        <f>value(IFERROR(SUBSTITUTE(SUBSTITUTE(VLOOKUP($A408,'Quarterly Pipeline vs Target Pi'!$A:$V,17,false)," $","")," €",""), "")
)</f>
        <v>0</v>
      </c>
      <c r="AG408" s="17" t="str">
        <f t="shared" si="11"/>
        <v/>
      </c>
      <c r="AH408" s="1">
        <f>value(IFERROR(SUBSTITUTE(SUBSTITUTE(VLOOKUP($A408,'Quarterly Pipeline vs Target Pi'!$A:$V,21,false)," $","")," €",""), "")
)</f>
        <v>0</v>
      </c>
      <c r="AI408" s="1">
        <f>value(IFERROR(SUBSTITUTE(SUBSTITUTE(VLOOKUP($A408,'Quarterly Pipeline vs Target Pi'!$A:$V,22,false)," $","")," €",""), "")
)</f>
        <v>0</v>
      </c>
      <c r="AJ408" s="17" t="str">
        <f t="shared" si="12"/>
        <v/>
      </c>
      <c r="AK408" s="1">
        <f t="shared" ref="AK408:AL408" si="829">sum(Y408,AB408,AE408,AH408)</f>
        <v>0</v>
      </c>
      <c r="AL408" s="1">
        <f t="shared" si="829"/>
        <v>0</v>
      </c>
      <c r="AM408" s="17" t="str">
        <f t="shared" si="14"/>
        <v/>
      </c>
      <c r="AN408" s="1">
        <f>value(IFERROR(SUBSTITUTE(SUBSTITUTE(VLOOKUP($A408,'Quarterly Pipeline vs Target Pi'!$A:$AP,26,false)," $","")," €",""), "")
)</f>
        <v>0</v>
      </c>
      <c r="AO408" s="1">
        <f>value(IFERROR(SUBSTITUTE(SUBSTITUTE(VLOOKUP($A408,'Quarterly Pipeline vs Target Pi'!$A:$AP,27,false)," $","")," €",""), "")
)</f>
        <v>0</v>
      </c>
      <c r="AP408" s="17" t="str">
        <f t="shared" si="15"/>
        <v/>
      </c>
      <c r="AQ408" s="1">
        <f>value(IFERROR(SUBSTITUTE(SUBSTITUTE(VLOOKUP($A408,'Quarterly Pipeline vs Target Pi'!$A:$AP,31,false)," $","")," €",""), "")
)</f>
        <v>0</v>
      </c>
      <c r="AR408" s="1">
        <f>value(IFERROR(SUBSTITUTE(SUBSTITUTE(VLOOKUP($A408,'Quarterly Pipeline vs Target Pi'!$A:$AP,32,false)," $","")," €",""), "")
)</f>
        <v>0</v>
      </c>
      <c r="AS408" s="17" t="str">
        <f t="shared" si="16"/>
        <v/>
      </c>
      <c r="AT408" s="1">
        <f>value(IFERROR(SUBSTITUTE(SUBSTITUTE(VLOOKUP($A408,'Quarterly Pipeline vs Target Pi'!$A:$AP,36,false)," $","")," €",""), "")
)</f>
        <v>0</v>
      </c>
      <c r="AU408" s="1">
        <f>value(IFERROR(SUBSTITUTE(SUBSTITUTE(VLOOKUP($A408,'Quarterly Pipeline vs Target Pi'!$A:$AP,37,false)," $","")," €",""), "")
)</f>
        <v>0</v>
      </c>
      <c r="AV408" s="17" t="str">
        <f t="shared" si="17"/>
        <v/>
      </c>
      <c r="AW408" s="1">
        <f>value(IFERROR(SUBSTITUTE(SUBSTITUTE(VLOOKUP($A408,'Quarterly Pipeline vs Target Pi'!$A:$AP,41,false)," $","")," €",""), "")
)</f>
        <v>0</v>
      </c>
      <c r="AX408" s="1">
        <f>value(IFERROR(SUBSTITUTE(SUBSTITUTE(VLOOKUP($A408,'Quarterly Pipeline vs Target Pi'!$A:$AP,42,false)," $","")," €",""), "")
)</f>
        <v>0</v>
      </c>
      <c r="AY408" s="17" t="str">
        <f t="shared" si="18"/>
        <v/>
      </c>
      <c r="AZ408" s="1">
        <f t="shared" ref="AZ408:BA408" si="830">sum(AN408,AQ408,AT408,AW408)</f>
        <v>0</v>
      </c>
      <c r="BA408" s="1">
        <f t="shared" si="830"/>
        <v>0</v>
      </c>
      <c r="BB408" s="17" t="str">
        <f t="shared" si="20"/>
        <v/>
      </c>
    </row>
    <row r="409">
      <c r="A409" s="1" t="str">
        <f>IFERROR(__xludf.DUMMYFUNCTION("""COMPUTED_VALUE"""),"63ea6e9452ad6968805cec07")</f>
        <v>63ea6e9452ad6968805cec07</v>
      </c>
      <c r="B409" s="1" t="str">
        <f>IFERROR(__xludf.DUMMYFUNCTION("""COMPUTED_VALUE"""),"steep GmbH")</f>
        <v>steep GmbH</v>
      </c>
      <c r="C409" s="1" t="str">
        <f>IFERROR(__xludf.DUMMYFUNCTION("""COMPUTED_VALUE"""),"philippe.girard@al-enterprise.com, rui.silva@al-enterprise.com, ralf.kloeppels@al-enterprise.com, andreas.grossheimann@al-enterprise.com, katrin.pfeiffer@al-enterprise.com, sibylle.klopfer@al-enterprise.com, igor.leko@al-enterprise.com")</f>
        <v>philippe.girard@al-enterprise.com, rui.silva@al-enterprise.com, ralf.kloeppels@al-enterprise.com, andreas.grossheimann@al-enterprise.com, katrin.pfeiffer@al-enterprise.com, sibylle.klopfer@al-enterprise.com, igor.leko@al-enterprise.com</v>
      </c>
      <c r="D409" s="1" t="str">
        <f>IFERROR(__xludf.DUMMYFUNCTION("""COMPUTED_VALUE"""),"germany")</f>
        <v>germany</v>
      </c>
      <c r="E409" s="1" t="str">
        <f>IFERROR(__xludf.DUMMYFUNCTION("""COMPUTED_VALUE"""),"DE")</f>
        <v>DE</v>
      </c>
      <c r="F409" s="1" t="str">
        <f>IFERROR(__xludf.DUMMYFUNCTION("""COMPUTED_VALUE"""),"expert_200")</f>
        <v>expert_200</v>
      </c>
      <c r="G409" s="1">
        <f>iferror(VLOOKUP(A409,'Business Plan Setup and Accepta'!A:G,6,false),"")</f>
        <v>0</v>
      </c>
      <c r="H409" s="1">
        <f>iferror(VLOOKUP(A409,'Business Plan Setup and Accepta'!A:G,7,false),"")</f>
        <v>1</v>
      </c>
      <c r="I409" s="17">
        <f t="shared" si="3"/>
        <v>0</v>
      </c>
      <c r="J409" s="1">
        <f>IFERROR(VALUE(SUBSTITUTE(VLOOKUP(A409,'Sales IN Revenues vs Sales targ'!A:G,6,false)," $","")), "")
</f>
        <v>28.17</v>
      </c>
      <c r="K409" s="1">
        <f>IFERROR(VALUE(SUBSTITUTE(VLOOKUP(A409,'Sales IN Revenues vs Sales targ'!A:G,7,false)," $","")), "")
</f>
        <v>0</v>
      </c>
      <c r="L409" s="17" t="str">
        <f t="shared" si="4"/>
        <v/>
      </c>
      <c r="M409" s="1">
        <f>value(SUBSTITUTE(IFERROR(VLOOKUP(A409,'Certifications achievements vs '!A:G,6,false),""),"#","")
)</f>
        <v>17</v>
      </c>
      <c r="N409" s="1">
        <f>value(SUBSTITUTE(IFERROR(VLOOKUP(A409,'Certifications achievements vs '!A:G,7,false),""),"#","")
)</f>
        <v>52</v>
      </c>
      <c r="O409" s="17">
        <f t="shared" si="5"/>
        <v>0.3269230769</v>
      </c>
      <c r="P409" s="1">
        <f>value(SUBSTITUTE(IFERROR(VLOOKUP(A409,'Communications - Solution Speci'!A:G,6,false),""),"#","")
)</f>
        <v>0</v>
      </c>
      <c r="Q409" s="1">
        <f>value(SUBSTITUTE(IFERROR(VLOOKUP(A409,'Communications - Solution Speci'!A:G,7,false),""),"#","")
)</f>
        <v>1</v>
      </c>
      <c r="R409" s="17">
        <f t="shared" si="6"/>
        <v>0</v>
      </c>
      <c r="S409" s="1">
        <f>value(SUBSTITUTE(IFERROR(VLOOKUP(A409,'Networking - Solution Specializ'!A:G,6,false),""),"#","")
)</f>
        <v>1</v>
      </c>
      <c r="T409" s="1">
        <f>value(SUBSTITUTE(IFERROR(VLOOKUP(A409,'Networking - Solution Specializ'!A:G,7,false),""),"#","")
)</f>
        <v>1</v>
      </c>
      <c r="U409" s="17">
        <f t="shared" si="7"/>
        <v>1</v>
      </c>
      <c r="V409" s="1">
        <f>iferror(vlookup(A409,'Marketing Plan (extract summary'!A:G,6,false),"")</f>
        <v>0</v>
      </c>
      <c r="W409" s="1">
        <f>iferror(vlookup(A409,'Marketing Plan (extract summary'!A:G,7,false),"")</f>
        <v>1</v>
      </c>
      <c r="X409" s="17">
        <f t="shared" si="8"/>
        <v>0</v>
      </c>
      <c r="Y409" s="1">
        <f>value(IFERROR(SUBSTITUTE(SUBSTITUTE(VLOOKUP(A409,'Quarterly Pipeline vs Target Pi'!A:G,6,false)," $","")," €",""), "")
)</f>
        <v>12</v>
      </c>
      <c r="Z409" s="1">
        <f>value(IFERROR(SUBSTITUTE(SUBSTITUTE(VLOOKUP(A409,'Quarterly Pipeline vs Target Pi'!A:G,7,false)," $","")," €",""), "")
)</f>
        <v>0</v>
      </c>
      <c r="AA409" s="17" t="str">
        <f t="shared" si="9"/>
        <v/>
      </c>
      <c r="AB409" s="1">
        <f>value(IFERROR(SUBSTITUTE(SUBSTITUTE(VLOOKUP($A409,'Quarterly Pipeline vs Target Pi'!$A:$V,11,false)," $","")," €",""), "")
)</f>
        <v>21</v>
      </c>
      <c r="AC409" s="1">
        <f>value(IFERROR(SUBSTITUTE(SUBSTITUTE(VLOOKUP($A409,'Quarterly Pipeline vs Target Pi'!$A:$V,12,false)," $","")," €",""), "")
)</f>
        <v>0</v>
      </c>
      <c r="AD409" s="17" t="str">
        <f t="shared" si="10"/>
        <v/>
      </c>
      <c r="AE409" s="1">
        <f>value(IFERROR(SUBSTITUTE(SUBSTITUTE(VLOOKUP($A409,'Quarterly Pipeline vs Target Pi'!$A:$V,16,false)," $","")," €",""), "")
)</f>
        <v>12</v>
      </c>
      <c r="AF409" s="1">
        <f>value(IFERROR(SUBSTITUTE(SUBSTITUTE(VLOOKUP($A409,'Quarterly Pipeline vs Target Pi'!$A:$V,17,false)," $","")," €",""), "")
)</f>
        <v>0</v>
      </c>
      <c r="AG409" s="17" t="str">
        <f t="shared" si="11"/>
        <v/>
      </c>
      <c r="AH409" s="1">
        <f>value(IFERROR(SUBSTITUTE(SUBSTITUTE(VLOOKUP($A409,'Quarterly Pipeline vs Target Pi'!$A:$V,21,false)," $","")," €",""), "")
)</f>
        <v>249</v>
      </c>
      <c r="AI409" s="1">
        <f>value(IFERROR(SUBSTITUTE(SUBSTITUTE(VLOOKUP($A409,'Quarterly Pipeline vs Target Pi'!$A:$V,22,false)," $","")," €",""), "")
)</f>
        <v>0</v>
      </c>
      <c r="AJ409" s="17" t="str">
        <f t="shared" si="12"/>
        <v/>
      </c>
      <c r="AK409" s="1">
        <f t="shared" ref="AK409:AL409" si="831">sum(Y409,AB409,AE409,AH409)</f>
        <v>294</v>
      </c>
      <c r="AL409" s="1">
        <f t="shared" si="831"/>
        <v>0</v>
      </c>
      <c r="AM409" s="17" t="str">
        <f t="shared" si="14"/>
        <v/>
      </c>
      <c r="AN409" s="1">
        <f>value(IFERROR(SUBSTITUTE(SUBSTITUTE(VLOOKUP($A409,'Quarterly Pipeline vs Target Pi'!$A:$AP,26,false)," $","")," €",""), "")
)</f>
        <v>0</v>
      </c>
      <c r="AO409" s="1">
        <f>value(IFERROR(SUBSTITUTE(SUBSTITUTE(VLOOKUP($A409,'Quarterly Pipeline vs Target Pi'!$A:$AP,27,false)," $","")," €",""), "")
)</f>
        <v>0</v>
      </c>
      <c r="AP409" s="17" t="str">
        <f t="shared" si="15"/>
        <v/>
      </c>
      <c r="AQ409" s="1">
        <f>value(IFERROR(SUBSTITUTE(SUBSTITUTE(VLOOKUP($A409,'Quarterly Pipeline vs Target Pi'!$A:$AP,31,false)," $","")," €",""), "")
)</f>
        <v>620</v>
      </c>
      <c r="AR409" s="1">
        <f>value(IFERROR(SUBSTITUTE(SUBSTITUTE(VLOOKUP($A409,'Quarterly Pipeline vs Target Pi'!$A:$AP,32,false)," $","")," €",""), "")
)</f>
        <v>0</v>
      </c>
      <c r="AS409" s="17" t="str">
        <f t="shared" si="16"/>
        <v/>
      </c>
      <c r="AT409" s="1">
        <f>value(IFERROR(SUBSTITUTE(SUBSTITUTE(VLOOKUP($A409,'Quarterly Pipeline vs Target Pi'!$A:$AP,36,false)," $","")," €",""), "")
)</f>
        <v>0</v>
      </c>
      <c r="AU409" s="1">
        <f>value(IFERROR(SUBSTITUTE(SUBSTITUTE(VLOOKUP($A409,'Quarterly Pipeline vs Target Pi'!$A:$AP,37,false)," $","")," €",""), "")
)</f>
        <v>0</v>
      </c>
      <c r="AV409" s="17" t="str">
        <f t="shared" si="17"/>
        <v/>
      </c>
      <c r="AW409" s="1">
        <f>value(IFERROR(SUBSTITUTE(SUBSTITUTE(VLOOKUP($A409,'Quarterly Pipeline vs Target Pi'!$A:$AP,41,false)," $","")," €",""), "")
)</f>
        <v>8000</v>
      </c>
      <c r="AX409" s="1">
        <f>value(IFERROR(SUBSTITUTE(SUBSTITUTE(VLOOKUP($A409,'Quarterly Pipeline vs Target Pi'!$A:$AP,42,false)," $","")," €",""), "")
)</f>
        <v>0</v>
      </c>
      <c r="AY409" s="17" t="str">
        <f t="shared" si="18"/>
        <v/>
      </c>
      <c r="AZ409" s="1">
        <f t="shared" ref="AZ409:BA409" si="832">sum(AN409,AQ409,AT409,AW409)</f>
        <v>8620</v>
      </c>
      <c r="BA409" s="1">
        <f t="shared" si="832"/>
        <v>0</v>
      </c>
      <c r="BB409" s="17" t="str">
        <f t="shared" si="20"/>
        <v/>
      </c>
    </row>
    <row r="410">
      <c r="A410" s="1" t="str">
        <f>IFERROR(__xludf.DUMMYFUNCTION("""COMPUTED_VALUE"""),"65f1c265fe0e0724950f09f0")</f>
        <v>65f1c265fe0e0724950f09f0</v>
      </c>
      <c r="B410" s="1" t="str">
        <f>IFERROR(__xludf.DUMMYFUNCTION("""COMPUTED_VALUE"""),"Stone Security")</f>
        <v>Stone Security</v>
      </c>
      <c r="C410" s="1" t="str">
        <f>IFERROR(__xludf.DUMMYFUNCTION("""COMPUTED_VALUE"""),"rui.silva@al-enterprise.com, michael-j.francis@al-enterprise.com, bill.rademacher@al-enterprise.com, jack.jachner@al-enterprise.com")</f>
        <v>rui.silva@al-enterprise.com, michael-j.francis@al-enterprise.com, bill.rademacher@al-enterprise.com, jack.jachner@al-enterprise.com</v>
      </c>
      <c r="D410" s="1" t="str">
        <f>IFERROR(__xludf.DUMMYFUNCTION("""COMPUTED_VALUE"""),"americas")</f>
        <v>americas</v>
      </c>
      <c r="E410" s="1" t="str">
        <f>IFERROR(__xludf.DUMMYFUNCTION("""COMPUTED_VALUE"""),"US")</f>
        <v>US</v>
      </c>
      <c r="F410" s="1"/>
      <c r="G410" s="1" t="str">
        <f>iferror(VLOOKUP(A410,'Business Plan Setup and Accepta'!A:G,6,false),"")</f>
        <v/>
      </c>
      <c r="H410" s="1" t="str">
        <f>iferror(VLOOKUP(A410,'Business Plan Setup and Accepta'!A:G,7,false),"")</f>
        <v/>
      </c>
      <c r="I410" s="17" t="str">
        <f t="shared" si="3"/>
        <v/>
      </c>
      <c r="J410" s="1" t="str">
        <f>IFERROR(VALUE(SUBSTITUTE(VLOOKUP(A410,'Sales IN Revenues vs Sales targ'!A:G,6,false)," $","")), "")
</f>
        <v/>
      </c>
      <c r="K410" s="1" t="str">
        <f>IFERROR(VALUE(SUBSTITUTE(VLOOKUP(A410,'Sales IN Revenues vs Sales targ'!A:G,7,false)," $","")), "")
</f>
        <v/>
      </c>
      <c r="L410" s="17" t="str">
        <f t="shared" si="4"/>
        <v/>
      </c>
      <c r="M410" s="1">
        <f>value(SUBSTITUTE(IFERROR(VLOOKUP(A410,'Certifications achievements vs '!A:G,6,false),""),"#","")
)</f>
        <v>0</v>
      </c>
      <c r="N410" s="1">
        <f>value(SUBSTITUTE(IFERROR(VLOOKUP(A410,'Certifications achievements vs '!A:G,7,false),""),"#","")
)</f>
        <v>0</v>
      </c>
      <c r="O410" s="17" t="str">
        <f t="shared" si="5"/>
        <v/>
      </c>
      <c r="P410" s="1">
        <f>value(SUBSTITUTE(IFERROR(VLOOKUP(A410,'Communications - Solution Speci'!A:G,6,false),""),"#","")
)</f>
        <v>0</v>
      </c>
      <c r="Q410" s="1">
        <f>value(SUBSTITUTE(IFERROR(VLOOKUP(A410,'Communications - Solution Speci'!A:G,7,false),""),"#","")
)</f>
        <v>0</v>
      </c>
      <c r="R410" s="17" t="str">
        <f t="shared" si="6"/>
        <v/>
      </c>
      <c r="S410" s="1">
        <f>value(SUBSTITUTE(IFERROR(VLOOKUP(A410,'Networking - Solution Specializ'!A:G,6,false),""),"#","")
)</f>
        <v>0</v>
      </c>
      <c r="T410" s="1">
        <f>value(SUBSTITUTE(IFERROR(VLOOKUP(A410,'Networking - Solution Specializ'!A:G,7,false),""),"#","")
)</f>
        <v>0</v>
      </c>
      <c r="U410" s="17" t="str">
        <f t="shared" si="7"/>
        <v/>
      </c>
      <c r="V410" s="1" t="str">
        <f>iferror(vlookup(A410,'Marketing Plan (extract summary'!A:G,6,false),"")</f>
        <v/>
      </c>
      <c r="W410" s="1" t="str">
        <f>iferror(vlookup(A410,'Marketing Plan (extract summary'!A:G,7,false),"")</f>
        <v/>
      </c>
      <c r="X410" s="17" t="str">
        <f t="shared" si="8"/>
        <v/>
      </c>
      <c r="Y410" s="1">
        <f>value(IFERROR(SUBSTITUTE(SUBSTITUTE(VLOOKUP(A410,'Quarterly Pipeline vs Target Pi'!A:G,6,false)," $","")," €",""), "")
)</f>
        <v>0</v>
      </c>
      <c r="Z410" s="1">
        <f>value(IFERROR(SUBSTITUTE(SUBSTITUTE(VLOOKUP(A410,'Quarterly Pipeline vs Target Pi'!A:G,7,false)," $","")," €",""), "")
)</f>
        <v>0</v>
      </c>
      <c r="AA410" s="17" t="str">
        <f t="shared" si="9"/>
        <v/>
      </c>
      <c r="AB410" s="1">
        <f>value(IFERROR(SUBSTITUTE(SUBSTITUTE(VLOOKUP($A410,'Quarterly Pipeline vs Target Pi'!$A:$V,11,false)," $","")," €",""), "")
)</f>
        <v>0</v>
      </c>
      <c r="AC410" s="1">
        <f>value(IFERROR(SUBSTITUTE(SUBSTITUTE(VLOOKUP($A410,'Quarterly Pipeline vs Target Pi'!$A:$V,12,false)," $","")," €",""), "")
)</f>
        <v>0</v>
      </c>
      <c r="AD410" s="17" t="str">
        <f t="shared" si="10"/>
        <v/>
      </c>
      <c r="AE410" s="1">
        <f>value(IFERROR(SUBSTITUTE(SUBSTITUTE(VLOOKUP($A410,'Quarterly Pipeline vs Target Pi'!$A:$V,16,false)," $","")," €",""), "")
)</f>
        <v>0</v>
      </c>
      <c r="AF410" s="1">
        <f>value(IFERROR(SUBSTITUTE(SUBSTITUTE(VLOOKUP($A410,'Quarterly Pipeline vs Target Pi'!$A:$V,17,false)," $","")," €",""), "")
)</f>
        <v>0</v>
      </c>
      <c r="AG410" s="17" t="str">
        <f t="shared" si="11"/>
        <v/>
      </c>
      <c r="AH410" s="1">
        <f>value(IFERROR(SUBSTITUTE(SUBSTITUTE(VLOOKUP($A410,'Quarterly Pipeline vs Target Pi'!$A:$V,21,false)," $","")," €",""), "")
)</f>
        <v>0</v>
      </c>
      <c r="AI410" s="1">
        <f>value(IFERROR(SUBSTITUTE(SUBSTITUTE(VLOOKUP($A410,'Quarterly Pipeline vs Target Pi'!$A:$V,22,false)," $","")," €",""), "")
)</f>
        <v>0</v>
      </c>
      <c r="AJ410" s="17" t="str">
        <f t="shared" si="12"/>
        <v/>
      </c>
      <c r="AK410" s="1">
        <f t="shared" ref="AK410:AL410" si="833">sum(Y410,AB410,AE410,AH410)</f>
        <v>0</v>
      </c>
      <c r="AL410" s="1">
        <f t="shared" si="833"/>
        <v>0</v>
      </c>
      <c r="AM410" s="17" t="str">
        <f t="shared" si="14"/>
        <v/>
      </c>
      <c r="AN410" s="1">
        <f>value(IFERROR(SUBSTITUTE(SUBSTITUTE(VLOOKUP($A410,'Quarterly Pipeline vs Target Pi'!$A:$AP,26,false)," $","")," €",""), "")
)</f>
        <v>0</v>
      </c>
      <c r="AO410" s="1">
        <f>value(IFERROR(SUBSTITUTE(SUBSTITUTE(VLOOKUP($A410,'Quarterly Pipeline vs Target Pi'!$A:$AP,27,false)," $","")," €",""), "")
)</f>
        <v>0</v>
      </c>
      <c r="AP410" s="17" t="str">
        <f t="shared" si="15"/>
        <v/>
      </c>
      <c r="AQ410" s="1">
        <f>value(IFERROR(SUBSTITUTE(SUBSTITUTE(VLOOKUP($A410,'Quarterly Pipeline vs Target Pi'!$A:$AP,31,false)," $","")," €",""), "")
)</f>
        <v>0</v>
      </c>
      <c r="AR410" s="1">
        <f>value(IFERROR(SUBSTITUTE(SUBSTITUTE(VLOOKUP($A410,'Quarterly Pipeline vs Target Pi'!$A:$AP,32,false)," $","")," €",""), "")
)</f>
        <v>0</v>
      </c>
      <c r="AS410" s="17" t="str">
        <f t="shared" si="16"/>
        <v/>
      </c>
      <c r="AT410" s="1">
        <f>value(IFERROR(SUBSTITUTE(SUBSTITUTE(VLOOKUP($A410,'Quarterly Pipeline vs Target Pi'!$A:$AP,36,false)," $","")," €",""), "")
)</f>
        <v>0</v>
      </c>
      <c r="AU410" s="1">
        <f>value(IFERROR(SUBSTITUTE(SUBSTITUTE(VLOOKUP($A410,'Quarterly Pipeline vs Target Pi'!$A:$AP,37,false)," $","")," €",""), "")
)</f>
        <v>0</v>
      </c>
      <c r="AV410" s="17" t="str">
        <f t="shared" si="17"/>
        <v/>
      </c>
      <c r="AW410" s="1">
        <f>value(IFERROR(SUBSTITUTE(SUBSTITUTE(VLOOKUP($A410,'Quarterly Pipeline vs Target Pi'!$A:$AP,41,false)," $","")," €",""), "")
)</f>
        <v>0</v>
      </c>
      <c r="AX410" s="1">
        <f>value(IFERROR(SUBSTITUTE(SUBSTITUTE(VLOOKUP($A410,'Quarterly Pipeline vs Target Pi'!$A:$AP,42,false)," $","")," €",""), "")
)</f>
        <v>0</v>
      </c>
      <c r="AY410" s="17" t="str">
        <f t="shared" si="18"/>
        <v/>
      </c>
      <c r="AZ410" s="1">
        <f t="shared" ref="AZ410:BA410" si="834">sum(AN410,AQ410,AT410,AW410)</f>
        <v>0</v>
      </c>
      <c r="BA410" s="1">
        <f t="shared" si="834"/>
        <v>0</v>
      </c>
      <c r="BB410" s="17" t="str">
        <f t="shared" si="20"/>
        <v/>
      </c>
    </row>
    <row r="411">
      <c r="A411" s="1" t="str">
        <f>IFERROR(__xludf.DUMMYFUNCTION("""COMPUTED_VALUE"""),"63ea6e9752ad6968805cf09f")</f>
        <v>63ea6e9752ad6968805cf09f</v>
      </c>
      <c r="B411" s="1" t="str">
        <f>IFERROR(__xludf.DUMMYFUNCTION("""COMPUTED_VALUE"""),"SWT trilan GmbH")</f>
        <v>SWT trilan GmbH</v>
      </c>
      <c r="C411" s="1" t="str">
        <f>IFERROR(__xludf.DUMMYFUNCTION("""COMPUTED_VALUE"""),"andreas.grossheimann@al-enterprise.com, andre.ramm@al-enterprise.com")</f>
        <v>andreas.grossheimann@al-enterprise.com, andre.ramm@al-enterprise.com</v>
      </c>
      <c r="D411" s="1" t="str">
        <f>IFERROR(__xludf.DUMMYFUNCTION("""COMPUTED_VALUE"""),"germany")</f>
        <v>germany</v>
      </c>
      <c r="E411" s="1" t="str">
        <f>IFERROR(__xludf.DUMMYFUNCTION("""COMPUTED_VALUE"""),"DE")</f>
        <v>DE</v>
      </c>
      <c r="F411" s="1"/>
      <c r="G411" s="1" t="str">
        <f>iferror(VLOOKUP(A411,'Business Plan Setup and Accepta'!A:G,6,false),"")</f>
        <v/>
      </c>
      <c r="H411" s="1" t="str">
        <f>iferror(VLOOKUP(A411,'Business Plan Setup and Accepta'!A:G,7,false),"")</f>
        <v/>
      </c>
      <c r="I411" s="17" t="str">
        <f t="shared" si="3"/>
        <v/>
      </c>
      <c r="J411" s="1" t="str">
        <f>IFERROR(VALUE(SUBSTITUTE(VLOOKUP(A411,'Sales IN Revenues vs Sales targ'!A:G,6,false)," $","")), "")
</f>
        <v/>
      </c>
      <c r="K411" s="1" t="str">
        <f>IFERROR(VALUE(SUBSTITUTE(VLOOKUP(A411,'Sales IN Revenues vs Sales targ'!A:G,7,false)," $","")), "")
</f>
        <v/>
      </c>
      <c r="L411" s="17" t="str">
        <f t="shared" si="4"/>
        <v/>
      </c>
      <c r="M411" s="1">
        <f>value(SUBSTITUTE(IFERROR(VLOOKUP(A411,'Certifications achievements vs '!A:G,6,false),""),"#","")
)</f>
        <v>0</v>
      </c>
      <c r="N411" s="1">
        <f>value(SUBSTITUTE(IFERROR(VLOOKUP(A411,'Certifications achievements vs '!A:G,7,false),""),"#","")
)</f>
        <v>0</v>
      </c>
      <c r="O411" s="17" t="str">
        <f t="shared" si="5"/>
        <v/>
      </c>
      <c r="P411" s="1">
        <f>value(SUBSTITUTE(IFERROR(VLOOKUP(A411,'Communications - Solution Speci'!A:G,6,false),""),"#","")
)</f>
        <v>0</v>
      </c>
      <c r="Q411" s="1">
        <f>value(SUBSTITUTE(IFERROR(VLOOKUP(A411,'Communications - Solution Speci'!A:G,7,false),""),"#","")
)</f>
        <v>0</v>
      </c>
      <c r="R411" s="17" t="str">
        <f t="shared" si="6"/>
        <v/>
      </c>
      <c r="S411" s="1">
        <f>value(SUBSTITUTE(IFERROR(VLOOKUP(A411,'Networking - Solution Specializ'!A:G,6,false),""),"#","")
)</f>
        <v>0</v>
      </c>
      <c r="T411" s="1">
        <f>value(SUBSTITUTE(IFERROR(VLOOKUP(A411,'Networking - Solution Specializ'!A:G,7,false),""),"#","")
)</f>
        <v>0</v>
      </c>
      <c r="U411" s="17" t="str">
        <f t="shared" si="7"/>
        <v/>
      </c>
      <c r="V411" s="1" t="str">
        <f>iferror(vlookup(A411,'Marketing Plan (extract summary'!A:G,6,false),"")</f>
        <v/>
      </c>
      <c r="W411" s="1" t="str">
        <f>iferror(vlookup(A411,'Marketing Plan (extract summary'!A:G,7,false),"")</f>
        <v/>
      </c>
      <c r="X411" s="17" t="str">
        <f t="shared" si="8"/>
        <v/>
      </c>
      <c r="Y411" s="1">
        <f>value(IFERROR(SUBSTITUTE(SUBSTITUTE(VLOOKUP(A411,'Quarterly Pipeline vs Target Pi'!A:G,6,false)," $","")," €",""), "")
)</f>
        <v>0</v>
      </c>
      <c r="Z411" s="1">
        <f>value(IFERROR(SUBSTITUTE(SUBSTITUTE(VLOOKUP(A411,'Quarterly Pipeline vs Target Pi'!A:G,7,false)," $","")," €",""), "")
)</f>
        <v>0</v>
      </c>
      <c r="AA411" s="17" t="str">
        <f t="shared" si="9"/>
        <v/>
      </c>
      <c r="AB411" s="1">
        <f>value(IFERROR(SUBSTITUTE(SUBSTITUTE(VLOOKUP($A411,'Quarterly Pipeline vs Target Pi'!$A:$V,11,false)," $","")," €",""), "")
)</f>
        <v>0</v>
      </c>
      <c r="AC411" s="1">
        <f>value(IFERROR(SUBSTITUTE(SUBSTITUTE(VLOOKUP($A411,'Quarterly Pipeline vs Target Pi'!$A:$V,12,false)," $","")," €",""), "")
)</f>
        <v>0</v>
      </c>
      <c r="AD411" s="17" t="str">
        <f t="shared" si="10"/>
        <v/>
      </c>
      <c r="AE411" s="1">
        <f>value(IFERROR(SUBSTITUTE(SUBSTITUTE(VLOOKUP($A411,'Quarterly Pipeline vs Target Pi'!$A:$V,16,false)," $","")," €",""), "")
)</f>
        <v>0</v>
      </c>
      <c r="AF411" s="1">
        <f>value(IFERROR(SUBSTITUTE(SUBSTITUTE(VLOOKUP($A411,'Quarterly Pipeline vs Target Pi'!$A:$V,17,false)," $","")," €",""), "")
)</f>
        <v>0</v>
      </c>
      <c r="AG411" s="17" t="str">
        <f t="shared" si="11"/>
        <v/>
      </c>
      <c r="AH411" s="1">
        <f>value(IFERROR(SUBSTITUTE(SUBSTITUTE(VLOOKUP($A411,'Quarterly Pipeline vs Target Pi'!$A:$V,21,false)," $","")," €",""), "")
)</f>
        <v>0</v>
      </c>
      <c r="AI411" s="1">
        <f>value(IFERROR(SUBSTITUTE(SUBSTITUTE(VLOOKUP($A411,'Quarterly Pipeline vs Target Pi'!$A:$V,22,false)," $","")," €",""), "")
)</f>
        <v>0</v>
      </c>
      <c r="AJ411" s="17" t="str">
        <f t="shared" si="12"/>
        <v/>
      </c>
      <c r="AK411" s="1">
        <f t="shared" ref="AK411:AL411" si="835">sum(Y411,AB411,AE411,AH411)</f>
        <v>0</v>
      </c>
      <c r="AL411" s="1">
        <f t="shared" si="835"/>
        <v>0</v>
      </c>
      <c r="AM411" s="17" t="str">
        <f t="shared" si="14"/>
        <v/>
      </c>
      <c r="AN411" s="1">
        <f>value(IFERROR(SUBSTITUTE(SUBSTITUTE(VLOOKUP($A411,'Quarterly Pipeline vs Target Pi'!$A:$AP,26,false)," $","")," €",""), "")
)</f>
        <v>0</v>
      </c>
      <c r="AO411" s="1">
        <f>value(IFERROR(SUBSTITUTE(SUBSTITUTE(VLOOKUP($A411,'Quarterly Pipeline vs Target Pi'!$A:$AP,27,false)," $","")," €",""), "")
)</f>
        <v>0</v>
      </c>
      <c r="AP411" s="17" t="str">
        <f t="shared" si="15"/>
        <v/>
      </c>
      <c r="AQ411" s="1">
        <f>value(IFERROR(SUBSTITUTE(SUBSTITUTE(VLOOKUP($A411,'Quarterly Pipeline vs Target Pi'!$A:$AP,31,false)," $","")," €",""), "")
)</f>
        <v>0</v>
      </c>
      <c r="AR411" s="1">
        <f>value(IFERROR(SUBSTITUTE(SUBSTITUTE(VLOOKUP($A411,'Quarterly Pipeline vs Target Pi'!$A:$AP,32,false)," $","")," €",""), "")
)</f>
        <v>0</v>
      </c>
      <c r="AS411" s="17" t="str">
        <f t="shared" si="16"/>
        <v/>
      </c>
      <c r="AT411" s="1">
        <f>value(IFERROR(SUBSTITUTE(SUBSTITUTE(VLOOKUP($A411,'Quarterly Pipeline vs Target Pi'!$A:$AP,36,false)," $","")," €",""), "")
)</f>
        <v>0</v>
      </c>
      <c r="AU411" s="1">
        <f>value(IFERROR(SUBSTITUTE(SUBSTITUTE(VLOOKUP($A411,'Quarterly Pipeline vs Target Pi'!$A:$AP,37,false)," $","")," €",""), "")
)</f>
        <v>0</v>
      </c>
      <c r="AV411" s="17" t="str">
        <f t="shared" si="17"/>
        <v/>
      </c>
      <c r="AW411" s="1">
        <f>value(IFERROR(SUBSTITUTE(SUBSTITUTE(VLOOKUP($A411,'Quarterly Pipeline vs Target Pi'!$A:$AP,41,false)," $","")," €",""), "")
)</f>
        <v>0</v>
      </c>
      <c r="AX411" s="1">
        <f>value(IFERROR(SUBSTITUTE(SUBSTITUTE(VLOOKUP($A411,'Quarterly Pipeline vs Target Pi'!$A:$AP,42,false)," $","")," €",""), "")
)</f>
        <v>0</v>
      </c>
      <c r="AY411" s="17" t="str">
        <f t="shared" si="18"/>
        <v/>
      </c>
      <c r="AZ411" s="1">
        <f t="shared" ref="AZ411:BA411" si="836">sum(AN411,AQ411,AT411,AW411)</f>
        <v>0</v>
      </c>
      <c r="BA411" s="1">
        <f t="shared" si="836"/>
        <v>0</v>
      </c>
      <c r="BB411" s="17" t="str">
        <f t="shared" si="20"/>
        <v/>
      </c>
    </row>
    <row r="412">
      <c r="A412" s="1" t="str">
        <f>IFERROR(__xludf.DUMMYFUNCTION("""COMPUTED_VALUE"""),"63ea6e9452ad6968805cec31")</f>
        <v>63ea6e9452ad6968805cec31</v>
      </c>
      <c r="B412" s="1" t="str">
        <f>IFERROR(__xludf.DUMMYFUNCTION("""COMPUTED_VALUE"""),"SYBCOM Gesellschaft fur Netzwerke")</f>
        <v>SYBCOM Gesellschaft fur Netzwerke</v>
      </c>
      <c r="C412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412" s="1" t="str">
        <f>IFERROR(__xludf.DUMMYFUNCTION("""COMPUTED_VALUE"""),"germany")</f>
        <v>germany</v>
      </c>
      <c r="E412" s="1" t="str">
        <f>IFERROR(__xludf.DUMMYFUNCTION("""COMPUTED_VALUE"""),"DE")</f>
        <v>DE</v>
      </c>
      <c r="F412" s="1" t="str">
        <f>IFERROR(__xludf.DUMMYFUNCTION("""COMPUTED_VALUE"""),"expert_200")</f>
        <v>expert_200</v>
      </c>
      <c r="G412" s="1">
        <f>iferror(VLOOKUP(A412,'Business Plan Setup and Accepta'!A:G,6,false),"")</f>
        <v>1</v>
      </c>
      <c r="H412" s="1">
        <f>iferror(VLOOKUP(A412,'Business Plan Setup and Accepta'!A:G,7,false),"")</f>
        <v>1</v>
      </c>
      <c r="I412" s="17">
        <f t="shared" si="3"/>
        <v>1</v>
      </c>
      <c r="J412" s="1">
        <f>IFERROR(VALUE(SUBSTITUTE(VLOOKUP(A412,'Sales IN Revenues vs Sales targ'!A:G,6,false)," $","")), "")
</f>
        <v>52.52</v>
      </c>
      <c r="K412" s="1">
        <f>IFERROR(VALUE(SUBSTITUTE(VLOOKUP(A412,'Sales IN Revenues vs Sales targ'!A:G,7,false)," $","")), "")
</f>
        <v>264</v>
      </c>
      <c r="L412" s="17">
        <f t="shared" si="4"/>
        <v>0.1989393939</v>
      </c>
      <c r="M412" s="1">
        <f>value(SUBSTITUTE(IFERROR(VLOOKUP(A412,'Certifications achievements vs '!A:G,6,false),""),"#","")
)</f>
        <v>43</v>
      </c>
      <c r="N412" s="1">
        <f>value(SUBSTITUTE(IFERROR(VLOOKUP(A412,'Certifications achievements vs '!A:G,7,false),""),"#","")
)</f>
        <v>52</v>
      </c>
      <c r="O412" s="17">
        <f t="shared" si="5"/>
        <v>0.8269230769</v>
      </c>
      <c r="P412" s="1">
        <f>value(SUBSTITUTE(IFERROR(VLOOKUP(A412,'Communications - Solution Speci'!A:G,6,false),""),"#","")
)</f>
        <v>1</v>
      </c>
      <c r="Q412" s="1">
        <f>value(SUBSTITUTE(IFERROR(VLOOKUP(A412,'Communications - Solution Speci'!A:G,7,false),""),"#","")
)</f>
        <v>1</v>
      </c>
      <c r="R412" s="17">
        <f t="shared" si="6"/>
        <v>1</v>
      </c>
      <c r="S412" s="1">
        <f>value(SUBSTITUTE(IFERROR(VLOOKUP(A412,'Networking - Solution Specializ'!A:G,6,false),""),"#","")
)</f>
        <v>1</v>
      </c>
      <c r="T412" s="1">
        <f>value(SUBSTITUTE(IFERROR(VLOOKUP(A412,'Networking - Solution Specializ'!A:G,7,false),""),"#","")
)</f>
        <v>1</v>
      </c>
      <c r="U412" s="17">
        <f t="shared" si="7"/>
        <v>1</v>
      </c>
      <c r="V412" s="1">
        <f>iferror(vlookup(A412,'Marketing Plan (extract summary'!A:G,6,false),"")</f>
        <v>1</v>
      </c>
      <c r="W412" s="1">
        <f>iferror(vlookup(A412,'Marketing Plan (extract summary'!A:G,7,false),"")</f>
        <v>1</v>
      </c>
      <c r="X412" s="17">
        <f t="shared" si="8"/>
        <v>1</v>
      </c>
      <c r="Y412" s="1">
        <f>value(IFERROR(SUBSTITUTE(SUBSTITUTE(VLOOKUP(A412,'Quarterly Pipeline vs Target Pi'!A:G,6,false)," $","")," €",""), "")
)</f>
        <v>0</v>
      </c>
      <c r="Z412" s="1">
        <f>value(IFERROR(SUBSTITUTE(SUBSTITUTE(VLOOKUP(A412,'Quarterly Pipeline vs Target Pi'!A:G,7,false)," $","")," €",""), "")
)</f>
        <v>0</v>
      </c>
      <c r="AA412" s="17" t="str">
        <f t="shared" si="9"/>
        <v/>
      </c>
      <c r="AB412" s="1">
        <f>value(IFERROR(SUBSTITUTE(SUBSTITUTE(VLOOKUP($A412,'Quarterly Pipeline vs Target Pi'!$A:$V,11,false)," $","")," €",""), "")
)</f>
        <v>0</v>
      </c>
      <c r="AC412" s="1">
        <f>value(IFERROR(SUBSTITUTE(SUBSTITUTE(VLOOKUP($A412,'Quarterly Pipeline vs Target Pi'!$A:$V,12,false)," $","")," €",""), "")
)</f>
        <v>176.67</v>
      </c>
      <c r="AD412" s="17">
        <f t="shared" si="10"/>
        <v>0</v>
      </c>
      <c r="AE412" s="1">
        <f>value(IFERROR(SUBSTITUTE(SUBSTITUTE(VLOOKUP($A412,'Quarterly Pipeline vs Target Pi'!$A:$V,16,false)," $","")," €",""), "")
)</f>
        <v>10</v>
      </c>
      <c r="AF412" s="1">
        <f>value(IFERROR(SUBSTITUTE(SUBSTITUTE(VLOOKUP($A412,'Quarterly Pipeline vs Target Pi'!$A:$V,17,false)," $","")," €",""), "")
)</f>
        <v>263.33</v>
      </c>
      <c r="AG412" s="17">
        <f t="shared" si="11"/>
        <v>0.03797516424</v>
      </c>
      <c r="AH412" s="1">
        <f>value(IFERROR(SUBSTITUTE(SUBSTITUTE(VLOOKUP($A412,'Quarterly Pipeline vs Target Pi'!$A:$V,21,false)," $","")," €",""), "")
)</f>
        <v>85</v>
      </c>
      <c r="AI412" s="1">
        <f>value(IFERROR(SUBSTITUTE(SUBSTITUTE(VLOOKUP($A412,'Quarterly Pipeline vs Target Pi'!$A:$V,22,false)," $","")," €",""), "")
)</f>
        <v>263.33</v>
      </c>
      <c r="AJ412" s="17">
        <f t="shared" si="12"/>
        <v>0.3227888961</v>
      </c>
      <c r="AK412" s="1">
        <f t="shared" ref="AK412:AL412" si="837">sum(Y412,AB412,AE412,AH412)</f>
        <v>95</v>
      </c>
      <c r="AL412" s="1">
        <f t="shared" si="837"/>
        <v>703.33</v>
      </c>
      <c r="AM412" s="17">
        <f t="shared" si="14"/>
        <v>0.1350717302</v>
      </c>
      <c r="AN412" s="1">
        <f>value(IFERROR(SUBSTITUTE(SUBSTITUTE(VLOOKUP($A412,'Quarterly Pipeline vs Target Pi'!$A:$AP,26,false)," $","")," €",""), "")
)</f>
        <v>0</v>
      </c>
      <c r="AO412" s="1">
        <f>value(IFERROR(SUBSTITUTE(SUBSTITUTE(VLOOKUP($A412,'Quarterly Pipeline vs Target Pi'!$A:$AP,27,false)," $","")," €",""), "")
)</f>
        <v>0</v>
      </c>
      <c r="AP412" s="17" t="str">
        <f t="shared" si="15"/>
        <v/>
      </c>
      <c r="AQ412" s="1">
        <f>value(IFERROR(SUBSTITUTE(SUBSTITUTE(VLOOKUP($A412,'Quarterly Pipeline vs Target Pi'!$A:$AP,31,false)," $","")," €",""), "")
)</f>
        <v>0</v>
      </c>
      <c r="AR412" s="1">
        <f>value(IFERROR(SUBSTITUTE(SUBSTITUTE(VLOOKUP($A412,'Quarterly Pipeline vs Target Pi'!$A:$AP,32,false)," $","")," €",""), "")
)</f>
        <v>0</v>
      </c>
      <c r="AS412" s="17" t="str">
        <f t="shared" si="16"/>
        <v/>
      </c>
      <c r="AT412" s="1">
        <f>value(IFERROR(SUBSTITUTE(SUBSTITUTE(VLOOKUP($A412,'Quarterly Pipeline vs Target Pi'!$A:$AP,36,false)," $","")," €",""), "")
)</f>
        <v>0</v>
      </c>
      <c r="AU412" s="1">
        <f>value(IFERROR(SUBSTITUTE(SUBSTITUTE(VLOOKUP($A412,'Quarterly Pipeline vs Target Pi'!$A:$AP,37,false)," $","")," €",""), "")
)</f>
        <v>0</v>
      </c>
      <c r="AV412" s="17" t="str">
        <f t="shared" si="17"/>
        <v/>
      </c>
      <c r="AW412" s="1">
        <f>value(IFERROR(SUBSTITUTE(SUBSTITUTE(VLOOKUP($A412,'Quarterly Pipeline vs Target Pi'!$A:$AP,41,false)," $","")," €",""), "")
)</f>
        <v>0</v>
      </c>
      <c r="AX412" s="1">
        <f>value(IFERROR(SUBSTITUTE(SUBSTITUTE(VLOOKUP($A412,'Quarterly Pipeline vs Target Pi'!$A:$AP,42,false)," $","")," €",""), "")
)</f>
        <v>0</v>
      </c>
      <c r="AY412" s="17" t="str">
        <f t="shared" si="18"/>
        <v/>
      </c>
      <c r="AZ412" s="1">
        <f t="shared" ref="AZ412:BA412" si="838">sum(AN412,AQ412,AT412,AW412)</f>
        <v>0</v>
      </c>
      <c r="BA412" s="1">
        <f t="shared" si="838"/>
        <v>0</v>
      </c>
      <c r="BB412" s="17" t="str">
        <f t="shared" si="20"/>
        <v/>
      </c>
    </row>
    <row r="413">
      <c r="A413" s="1" t="str">
        <f>IFERROR(__xludf.DUMMYFUNCTION("""COMPUTED_VALUE"""),"63ced849c5c820531c268e88")</f>
        <v>63ced849c5c820531c268e88</v>
      </c>
      <c r="B413" s="1" t="str">
        <f>IFERROR(__xludf.DUMMYFUNCTION("""COMPUTED_VALUE"""),"sysob IT-Distribution GmbH &amp; Co.KG")</f>
        <v>sysob IT-Distribution GmbH &amp; Co.KG</v>
      </c>
      <c r="C413" s="1" t="str">
        <f>IFERROR(__xludf.DUMMYFUNCTION("""COMPUTED_VALUE"""),"marcel.marx@al-enterprise.com")</f>
        <v>marcel.marx@al-enterprise.com</v>
      </c>
      <c r="D413" s="1" t="str">
        <f>IFERROR(__xludf.DUMMYFUNCTION("""COMPUTED_VALUE"""),"germany")</f>
        <v>germany</v>
      </c>
      <c r="E413" s="1" t="str">
        <f>IFERROR(__xludf.DUMMYFUNCTION("""COMPUTED_VALUE"""),"DE")</f>
        <v>DE</v>
      </c>
      <c r="F413" s="1" t="str">
        <f>IFERROR(__xludf.DUMMYFUNCTION("""COMPUTED_VALUE"""),"distributor")</f>
        <v>distributor</v>
      </c>
      <c r="G413" s="1">
        <f>iferror(VLOOKUP(A413,'Business Plan Setup and Accepta'!A:G,6,false),"")</f>
        <v>0</v>
      </c>
      <c r="H413" s="1">
        <f>iferror(VLOOKUP(A413,'Business Plan Setup and Accepta'!A:G,7,false),"")</f>
        <v>1</v>
      </c>
      <c r="I413" s="17">
        <f t="shared" si="3"/>
        <v>0</v>
      </c>
      <c r="J413" s="1">
        <f>IFERROR(VALUE(SUBSTITUTE(VLOOKUP(A413,'Sales IN Revenues vs Sales targ'!A:G,6,false)," $","")), "")
</f>
        <v>18.41</v>
      </c>
      <c r="K413" s="1">
        <f>IFERROR(VALUE(SUBSTITUTE(VLOOKUP(A413,'Sales IN Revenues vs Sales targ'!A:G,7,false)," $","")), "")
</f>
        <v>500</v>
      </c>
      <c r="L413" s="17">
        <f t="shared" si="4"/>
        <v>0.03682</v>
      </c>
      <c r="M413" s="1">
        <f>value(SUBSTITUTE(IFERROR(VLOOKUP(A413,'Certifications achievements vs '!A:G,6,false),""),"#","")
)</f>
        <v>0</v>
      </c>
      <c r="N413" s="1">
        <f>value(SUBSTITUTE(IFERROR(VLOOKUP(A413,'Certifications achievements vs '!A:G,7,false),""),"#","")
)</f>
        <v>0</v>
      </c>
      <c r="O413" s="17" t="str">
        <f t="shared" si="5"/>
        <v/>
      </c>
      <c r="P413" s="1">
        <f>value(SUBSTITUTE(IFERROR(VLOOKUP(A413,'Communications - Solution Speci'!A:G,6,false),""),"#","")
)</f>
        <v>0</v>
      </c>
      <c r="Q413" s="1">
        <f>value(SUBSTITUTE(IFERROR(VLOOKUP(A413,'Communications - Solution Speci'!A:G,7,false),""),"#","")
)</f>
        <v>1</v>
      </c>
      <c r="R413" s="17">
        <f t="shared" si="6"/>
        <v>0</v>
      </c>
      <c r="S413" s="1">
        <f>value(SUBSTITUTE(IFERROR(VLOOKUP(A413,'Networking - Solution Specializ'!A:G,6,false),""),"#","")
)</f>
        <v>0</v>
      </c>
      <c r="T413" s="1">
        <f>value(SUBSTITUTE(IFERROR(VLOOKUP(A413,'Networking - Solution Specializ'!A:G,7,false),""),"#","")
)</f>
        <v>1</v>
      </c>
      <c r="U413" s="17">
        <f t="shared" si="7"/>
        <v>0</v>
      </c>
      <c r="V413" s="1">
        <f>iferror(vlookup(A413,'Marketing Plan (extract summary'!A:G,6,false),"")</f>
        <v>0</v>
      </c>
      <c r="W413" s="1">
        <f>iferror(vlookup(A413,'Marketing Plan (extract summary'!A:G,7,false),"")</f>
        <v>1</v>
      </c>
      <c r="X413" s="17">
        <f t="shared" si="8"/>
        <v>0</v>
      </c>
      <c r="Y413" s="1">
        <f>value(IFERROR(SUBSTITUTE(SUBSTITUTE(VLOOKUP(A413,'Quarterly Pipeline vs Target Pi'!A:G,6,false)," $","")," €",""), "")
)</f>
        <v>0</v>
      </c>
      <c r="Z413" s="1">
        <f>value(IFERROR(SUBSTITUTE(SUBSTITUTE(VLOOKUP(A413,'Quarterly Pipeline vs Target Pi'!A:G,7,false)," $","")," €",""), "")
)</f>
        <v>0</v>
      </c>
      <c r="AA413" s="17" t="str">
        <f t="shared" si="9"/>
        <v/>
      </c>
      <c r="AB413" s="1">
        <f>value(IFERROR(SUBSTITUTE(SUBSTITUTE(VLOOKUP($A413,'Quarterly Pipeline vs Target Pi'!$A:$V,11,false)," $","")," €",""), "")
)</f>
        <v>0</v>
      </c>
      <c r="AC413" s="1">
        <f>value(IFERROR(SUBSTITUTE(SUBSTITUTE(VLOOKUP($A413,'Quarterly Pipeline vs Target Pi'!$A:$V,12,false)," $","")," €",""), "")
)</f>
        <v>416.67</v>
      </c>
      <c r="AD413" s="17">
        <f t="shared" si="10"/>
        <v>0</v>
      </c>
      <c r="AE413" s="1">
        <f>value(IFERROR(SUBSTITUTE(SUBSTITUTE(VLOOKUP($A413,'Quarterly Pipeline vs Target Pi'!$A:$V,16,false)," $","")," €",""), "")
)</f>
        <v>0</v>
      </c>
      <c r="AF413" s="1">
        <f>value(IFERROR(SUBSTITUTE(SUBSTITUTE(VLOOKUP($A413,'Quarterly Pipeline vs Target Pi'!$A:$V,17,false)," $","")," €",""), "")
)</f>
        <v>416.67</v>
      </c>
      <c r="AG413" s="17">
        <f t="shared" si="11"/>
        <v>0</v>
      </c>
      <c r="AH413" s="1">
        <f>value(IFERROR(SUBSTITUTE(SUBSTITUTE(VLOOKUP($A413,'Quarterly Pipeline vs Target Pi'!$A:$V,21,false)," $","")," €",""), "")
)</f>
        <v>40.4</v>
      </c>
      <c r="AI413" s="1">
        <f>value(IFERROR(SUBSTITUTE(SUBSTITUTE(VLOOKUP($A413,'Quarterly Pipeline vs Target Pi'!$A:$V,22,false)," $","")," €",""), "")
)</f>
        <v>416.67</v>
      </c>
      <c r="AJ413" s="17">
        <f t="shared" si="12"/>
        <v>0.09695922433</v>
      </c>
      <c r="AK413" s="1">
        <f t="shared" ref="AK413:AL413" si="839">sum(Y413,AB413,AE413,AH413)</f>
        <v>40.4</v>
      </c>
      <c r="AL413" s="1">
        <f t="shared" si="839"/>
        <v>1250.01</v>
      </c>
      <c r="AM413" s="17">
        <f t="shared" si="14"/>
        <v>0.03231974144</v>
      </c>
      <c r="AN413" s="1">
        <f>value(IFERROR(SUBSTITUTE(SUBSTITUTE(VLOOKUP($A413,'Quarterly Pipeline vs Target Pi'!$A:$AP,26,false)," $","")," €",""), "")
)</f>
        <v>0</v>
      </c>
      <c r="AO413" s="1">
        <f>value(IFERROR(SUBSTITUTE(SUBSTITUTE(VLOOKUP($A413,'Quarterly Pipeline vs Target Pi'!$A:$AP,27,false)," $","")," €",""), "")
)</f>
        <v>0</v>
      </c>
      <c r="AP413" s="17" t="str">
        <f t="shared" si="15"/>
        <v/>
      </c>
      <c r="AQ413" s="1">
        <f>value(IFERROR(SUBSTITUTE(SUBSTITUTE(VLOOKUP($A413,'Quarterly Pipeline vs Target Pi'!$A:$AP,31,false)," $","")," €",""), "")
)</f>
        <v>0</v>
      </c>
      <c r="AR413" s="1">
        <f>value(IFERROR(SUBSTITUTE(SUBSTITUTE(VLOOKUP($A413,'Quarterly Pipeline vs Target Pi'!$A:$AP,32,false)," $","")," €",""), "")
)</f>
        <v>0</v>
      </c>
      <c r="AS413" s="17" t="str">
        <f t="shared" si="16"/>
        <v/>
      </c>
      <c r="AT413" s="1">
        <f>value(IFERROR(SUBSTITUTE(SUBSTITUTE(VLOOKUP($A413,'Quarterly Pipeline vs Target Pi'!$A:$AP,36,false)," $","")," €",""), "")
)</f>
        <v>0</v>
      </c>
      <c r="AU413" s="1">
        <f>value(IFERROR(SUBSTITUTE(SUBSTITUTE(VLOOKUP($A413,'Quarterly Pipeline vs Target Pi'!$A:$AP,37,false)," $","")," €",""), "")
)</f>
        <v>0</v>
      </c>
      <c r="AV413" s="17" t="str">
        <f t="shared" si="17"/>
        <v/>
      </c>
      <c r="AW413" s="1">
        <f>value(IFERROR(SUBSTITUTE(SUBSTITUTE(VLOOKUP($A413,'Quarterly Pipeline vs Target Pi'!$A:$AP,41,false)," $","")," €",""), "")
)</f>
        <v>0</v>
      </c>
      <c r="AX413" s="1">
        <f>value(IFERROR(SUBSTITUTE(SUBSTITUTE(VLOOKUP($A413,'Quarterly Pipeline vs Target Pi'!$A:$AP,42,false)," $","")," €",""), "")
)</f>
        <v>0</v>
      </c>
      <c r="AY413" s="17" t="str">
        <f t="shared" si="18"/>
        <v/>
      </c>
      <c r="AZ413" s="1">
        <f t="shared" ref="AZ413:BA413" si="840">sum(AN413,AQ413,AT413,AW413)</f>
        <v>0</v>
      </c>
      <c r="BA413" s="1">
        <f t="shared" si="840"/>
        <v>0</v>
      </c>
      <c r="BB413" s="17" t="str">
        <f t="shared" si="20"/>
        <v/>
      </c>
    </row>
    <row r="414">
      <c r="A414" s="1" t="str">
        <f>IFERROR(__xludf.DUMMYFUNCTION("""COMPUTED_VALUE"""),"63ea6e9352ad6968805ceae1")</f>
        <v>63ea6e9352ad6968805ceae1</v>
      </c>
      <c r="B414" s="1" t="str">
        <f>IFERROR(__xludf.DUMMYFUNCTION("""COMPUTED_VALUE"""),"systel GmbH")</f>
        <v>systel GmbH</v>
      </c>
      <c r="C414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414" s="1" t="str">
        <f>IFERROR(__xludf.DUMMYFUNCTION("""COMPUTED_VALUE"""),"germany")</f>
        <v>germany</v>
      </c>
      <c r="E414" s="1" t="str">
        <f>IFERROR(__xludf.DUMMYFUNCTION("""COMPUTED_VALUE"""),"DE")</f>
        <v>DE</v>
      </c>
      <c r="F414" s="1" t="str">
        <f>IFERROR(__xludf.DUMMYFUNCTION("""COMPUTED_VALUE"""),"expert_200")</f>
        <v>expert_200</v>
      </c>
      <c r="G414" s="1">
        <f>iferror(VLOOKUP(A414,'Business Plan Setup and Accepta'!A:G,6,false),"")</f>
        <v>1</v>
      </c>
      <c r="H414" s="1">
        <f>iferror(VLOOKUP(A414,'Business Plan Setup and Accepta'!A:G,7,false),"")</f>
        <v>1</v>
      </c>
      <c r="I414" s="17">
        <f t="shared" si="3"/>
        <v>1</v>
      </c>
      <c r="J414" s="1">
        <f>IFERROR(VALUE(SUBSTITUTE(VLOOKUP(A414,'Sales IN Revenues vs Sales targ'!A:G,6,false)," $","")), "")
</f>
        <v>338.3</v>
      </c>
      <c r="K414" s="1">
        <f>IFERROR(VALUE(SUBSTITUTE(VLOOKUP(A414,'Sales IN Revenues vs Sales targ'!A:G,7,false)," $","")), "")
</f>
        <v>650</v>
      </c>
      <c r="L414" s="17">
        <f t="shared" si="4"/>
        <v>0.5204615385</v>
      </c>
      <c r="M414" s="1">
        <f>value(SUBSTITUTE(IFERROR(VLOOKUP(A414,'Certifications achievements vs '!A:G,6,false),""),"#","")
)</f>
        <v>18</v>
      </c>
      <c r="N414" s="1">
        <f>value(SUBSTITUTE(IFERROR(VLOOKUP(A414,'Certifications achievements vs '!A:G,7,false),""),"#","")
)</f>
        <v>52</v>
      </c>
      <c r="O414" s="17">
        <f t="shared" si="5"/>
        <v>0.3461538462</v>
      </c>
      <c r="P414" s="1">
        <f>value(SUBSTITUTE(IFERROR(VLOOKUP(A414,'Communications - Solution Speci'!A:G,6,false),""),"#","")
)</f>
        <v>0</v>
      </c>
      <c r="Q414" s="1">
        <f>value(SUBSTITUTE(IFERROR(VLOOKUP(A414,'Communications - Solution Speci'!A:G,7,false),""),"#","")
)</f>
        <v>1</v>
      </c>
      <c r="R414" s="17">
        <f t="shared" si="6"/>
        <v>0</v>
      </c>
      <c r="S414" s="1">
        <f>value(SUBSTITUTE(IFERROR(VLOOKUP(A414,'Networking - Solution Specializ'!A:G,6,false),""),"#","")
)</f>
        <v>0</v>
      </c>
      <c r="T414" s="1">
        <f>value(SUBSTITUTE(IFERROR(VLOOKUP(A414,'Networking - Solution Specializ'!A:G,7,false),""),"#","")
)</f>
        <v>1</v>
      </c>
      <c r="U414" s="17">
        <f t="shared" si="7"/>
        <v>0</v>
      </c>
      <c r="V414" s="1">
        <f>iferror(vlookup(A414,'Marketing Plan (extract summary'!A:G,6,false),"")</f>
        <v>0</v>
      </c>
      <c r="W414" s="1">
        <f>iferror(vlookup(A414,'Marketing Plan (extract summary'!A:G,7,false),"")</f>
        <v>1</v>
      </c>
      <c r="X414" s="17">
        <f t="shared" si="8"/>
        <v>0</v>
      </c>
      <c r="Y414" s="1">
        <f>value(IFERROR(SUBSTITUTE(SUBSTITUTE(VLOOKUP(A414,'Quarterly Pipeline vs Target Pi'!A:G,6,false)," $","")," €",""), "")
)</f>
        <v>2.3</v>
      </c>
      <c r="Z414" s="1">
        <f>value(IFERROR(SUBSTITUTE(SUBSTITUTE(VLOOKUP(A414,'Quarterly Pipeline vs Target Pi'!A:G,7,false)," $","")," €",""), "")
)</f>
        <v>0</v>
      </c>
      <c r="AA414" s="17" t="str">
        <f t="shared" si="9"/>
        <v/>
      </c>
      <c r="AB414" s="1">
        <f>value(IFERROR(SUBSTITUTE(SUBSTITUTE(VLOOKUP($A414,'Quarterly Pipeline vs Target Pi'!$A:$V,11,false)," $","")," €",""), "")
)</f>
        <v>2.46</v>
      </c>
      <c r="AC414" s="1">
        <f>value(IFERROR(SUBSTITUTE(SUBSTITUTE(VLOOKUP($A414,'Quarterly Pipeline vs Target Pi'!$A:$V,12,false)," $","")," €",""), "")
)</f>
        <v>213.11</v>
      </c>
      <c r="AD414" s="17">
        <f t="shared" si="10"/>
        <v>0.01154333443</v>
      </c>
      <c r="AE414" s="1">
        <f>value(IFERROR(SUBSTITUTE(SUBSTITUTE(VLOOKUP($A414,'Quarterly Pipeline vs Target Pi'!$A:$V,16,false)," $","")," €",""), "")
)</f>
        <v>482.67</v>
      </c>
      <c r="AF414" s="1">
        <f>value(IFERROR(SUBSTITUTE(SUBSTITUTE(VLOOKUP($A414,'Quarterly Pipeline vs Target Pi'!$A:$V,17,false)," $","")," €",""), "")
)</f>
        <v>318.03</v>
      </c>
      <c r="AG414" s="17">
        <f t="shared" si="11"/>
        <v>1.517687011</v>
      </c>
      <c r="AH414" s="1">
        <f>value(IFERROR(SUBSTITUTE(SUBSTITUTE(VLOOKUP($A414,'Quarterly Pipeline vs Target Pi'!$A:$V,21,false)," $","")," €",""), "")
)</f>
        <v>102.29</v>
      </c>
      <c r="AI414" s="1">
        <f>value(IFERROR(SUBSTITUTE(SUBSTITUTE(VLOOKUP($A414,'Quarterly Pipeline vs Target Pi'!$A:$V,22,false)," $","")," €",""), "")
)</f>
        <v>321.31</v>
      </c>
      <c r="AJ414" s="17">
        <f t="shared" si="12"/>
        <v>0.3183529924</v>
      </c>
      <c r="AK414" s="1">
        <f t="shared" ref="AK414:AL414" si="841">sum(Y414,AB414,AE414,AH414)</f>
        <v>589.72</v>
      </c>
      <c r="AL414" s="1">
        <f t="shared" si="841"/>
        <v>852.45</v>
      </c>
      <c r="AM414" s="17">
        <f t="shared" si="14"/>
        <v>0.6917942401</v>
      </c>
      <c r="AN414" s="1">
        <f>value(IFERROR(SUBSTITUTE(SUBSTITUTE(VLOOKUP($A414,'Quarterly Pipeline vs Target Pi'!$A:$AP,26,false)," $","")," €",""), "")
)</f>
        <v>25</v>
      </c>
      <c r="AO414" s="1">
        <f>value(IFERROR(SUBSTITUTE(SUBSTITUTE(VLOOKUP($A414,'Quarterly Pipeline vs Target Pi'!$A:$AP,27,false)," $","")," €",""), "")
)</f>
        <v>0</v>
      </c>
      <c r="AP414" s="17" t="str">
        <f t="shared" si="15"/>
        <v/>
      </c>
      <c r="AQ414" s="1">
        <f>value(IFERROR(SUBSTITUTE(SUBSTITUTE(VLOOKUP($A414,'Quarterly Pipeline vs Target Pi'!$A:$AP,31,false)," $","")," €",""), "")
)</f>
        <v>0</v>
      </c>
      <c r="AR414" s="1">
        <f>value(IFERROR(SUBSTITUTE(SUBSTITUTE(VLOOKUP($A414,'Quarterly Pipeline vs Target Pi'!$A:$AP,32,false)," $","")," €",""), "")
)</f>
        <v>0</v>
      </c>
      <c r="AS414" s="17" t="str">
        <f t="shared" si="16"/>
        <v/>
      </c>
      <c r="AT414" s="1">
        <f>value(IFERROR(SUBSTITUTE(SUBSTITUTE(VLOOKUP($A414,'Quarterly Pipeline vs Target Pi'!$A:$AP,36,false)," $","")," €",""), "")
)</f>
        <v>0</v>
      </c>
      <c r="AU414" s="1">
        <f>value(IFERROR(SUBSTITUTE(SUBSTITUTE(VLOOKUP($A414,'Quarterly Pipeline vs Target Pi'!$A:$AP,37,false)," $","")," €",""), "")
)</f>
        <v>0</v>
      </c>
      <c r="AV414" s="17" t="str">
        <f t="shared" si="17"/>
        <v/>
      </c>
      <c r="AW414" s="1">
        <f>value(IFERROR(SUBSTITUTE(SUBSTITUTE(VLOOKUP($A414,'Quarterly Pipeline vs Target Pi'!$A:$AP,41,false)," $","")," €",""), "")
)</f>
        <v>0</v>
      </c>
      <c r="AX414" s="1">
        <f>value(IFERROR(SUBSTITUTE(SUBSTITUTE(VLOOKUP($A414,'Quarterly Pipeline vs Target Pi'!$A:$AP,42,false)," $","")," €",""), "")
)</f>
        <v>0</v>
      </c>
      <c r="AY414" s="17" t="str">
        <f t="shared" si="18"/>
        <v/>
      </c>
      <c r="AZ414" s="1">
        <f t="shared" ref="AZ414:BA414" si="842">sum(AN414,AQ414,AT414,AW414)</f>
        <v>25</v>
      </c>
      <c r="BA414" s="1">
        <f t="shared" si="842"/>
        <v>0</v>
      </c>
      <c r="BB414" s="17" t="str">
        <f t="shared" si="20"/>
        <v/>
      </c>
    </row>
    <row r="415">
      <c r="A415" s="1" t="str">
        <f>IFERROR(__xludf.DUMMYFUNCTION("""COMPUTED_VALUE"""),"63ea6e9452ad6968805cec69")</f>
        <v>63ea6e9452ad6968805cec69</v>
      </c>
      <c r="B415" s="1" t="str">
        <f>IFERROR(__xludf.DUMMYFUNCTION("""COMPUTED_VALUE"""),"Systemhaus Weiss GmbH")</f>
        <v>Systemhaus Weiss GmbH</v>
      </c>
      <c r="C415" s="1" t="str">
        <f>IFERROR(__xludf.DUMMYFUNCTION("""COMPUTED_VALUE"""),"andreas.grossheimann@al-enterprise.com, daniel.scheidl@al-enterprise.com, hakan.adiguezel@al-enterprise.com")</f>
        <v>andreas.grossheimann@al-enterprise.com, daniel.scheidl@al-enterprise.com, hakan.adiguezel@al-enterprise.com</v>
      </c>
      <c r="D415" s="1" t="str">
        <f>IFERROR(__xludf.DUMMYFUNCTION("""COMPUTED_VALUE"""),"germany")</f>
        <v>germany</v>
      </c>
      <c r="E415" s="1" t="str">
        <f>IFERROR(__xludf.DUMMYFUNCTION("""COMPUTED_VALUE"""),"DE")</f>
        <v>DE</v>
      </c>
      <c r="F415" s="1"/>
      <c r="G415" s="1" t="str">
        <f>iferror(VLOOKUP(A415,'Business Plan Setup and Accepta'!A:G,6,false),"")</f>
        <v/>
      </c>
      <c r="H415" s="1" t="str">
        <f>iferror(VLOOKUP(A415,'Business Plan Setup and Accepta'!A:G,7,false),"")</f>
        <v/>
      </c>
      <c r="I415" s="17" t="str">
        <f t="shared" si="3"/>
        <v/>
      </c>
      <c r="J415" s="1" t="str">
        <f>IFERROR(VALUE(SUBSTITUTE(VLOOKUP(A415,'Sales IN Revenues vs Sales targ'!A:G,6,false)," $","")), "")
</f>
        <v/>
      </c>
      <c r="K415" s="1" t="str">
        <f>IFERROR(VALUE(SUBSTITUTE(VLOOKUP(A415,'Sales IN Revenues vs Sales targ'!A:G,7,false)," $","")), "")
</f>
        <v/>
      </c>
      <c r="L415" s="17" t="str">
        <f t="shared" si="4"/>
        <v/>
      </c>
      <c r="M415" s="1">
        <f>value(SUBSTITUTE(IFERROR(VLOOKUP(A415,'Certifications achievements vs '!A:G,6,false),""),"#","")
)</f>
        <v>0</v>
      </c>
      <c r="N415" s="1">
        <f>value(SUBSTITUTE(IFERROR(VLOOKUP(A415,'Certifications achievements vs '!A:G,7,false),""),"#","")
)</f>
        <v>0</v>
      </c>
      <c r="O415" s="17" t="str">
        <f t="shared" si="5"/>
        <v/>
      </c>
      <c r="P415" s="1">
        <f>value(SUBSTITUTE(IFERROR(VLOOKUP(A415,'Communications - Solution Speci'!A:G,6,false),""),"#","")
)</f>
        <v>0</v>
      </c>
      <c r="Q415" s="1">
        <f>value(SUBSTITUTE(IFERROR(VLOOKUP(A415,'Communications - Solution Speci'!A:G,7,false),""),"#","")
)</f>
        <v>0</v>
      </c>
      <c r="R415" s="17" t="str">
        <f t="shared" si="6"/>
        <v/>
      </c>
      <c r="S415" s="1">
        <f>value(SUBSTITUTE(IFERROR(VLOOKUP(A415,'Networking - Solution Specializ'!A:G,6,false),""),"#","")
)</f>
        <v>0</v>
      </c>
      <c r="T415" s="1">
        <f>value(SUBSTITUTE(IFERROR(VLOOKUP(A415,'Networking - Solution Specializ'!A:G,7,false),""),"#","")
)</f>
        <v>0</v>
      </c>
      <c r="U415" s="17" t="str">
        <f t="shared" si="7"/>
        <v/>
      </c>
      <c r="V415" s="1" t="str">
        <f>iferror(vlookup(A415,'Marketing Plan (extract summary'!A:G,6,false),"")</f>
        <v/>
      </c>
      <c r="W415" s="1" t="str">
        <f>iferror(vlookup(A415,'Marketing Plan (extract summary'!A:G,7,false),"")</f>
        <v/>
      </c>
      <c r="X415" s="17" t="str">
        <f t="shared" si="8"/>
        <v/>
      </c>
      <c r="Y415" s="1">
        <f>value(IFERROR(SUBSTITUTE(SUBSTITUTE(VLOOKUP(A415,'Quarterly Pipeline vs Target Pi'!A:G,6,false)," $","")," €",""), "")
)</f>
        <v>0</v>
      </c>
      <c r="Z415" s="1">
        <f>value(IFERROR(SUBSTITUTE(SUBSTITUTE(VLOOKUP(A415,'Quarterly Pipeline vs Target Pi'!A:G,7,false)," $","")," €",""), "")
)</f>
        <v>0</v>
      </c>
      <c r="AA415" s="17" t="str">
        <f t="shared" si="9"/>
        <v/>
      </c>
      <c r="AB415" s="1">
        <f>value(IFERROR(SUBSTITUTE(SUBSTITUTE(VLOOKUP($A415,'Quarterly Pipeline vs Target Pi'!$A:$V,11,false)," $","")," €",""), "")
)</f>
        <v>0</v>
      </c>
      <c r="AC415" s="1">
        <f>value(IFERROR(SUBSTITUTE(SUBSTITUTE(VLOOKUP($A415,'Quarterly Pipeline vs Target Pi'!$A:$V,12,false)," $","")," €",""), "")
)</f>
        <v>0</v>
      </c>
      <c r="AD415" s="17" t="str">
        <f t="shared" si="10"/>
        <v/>
      </c>
      <c r="AE415" s="1">
        <f>value(IFERROR(SUBSTITUTE(SUBSTITUTE(VLOOKUP($A415,'Quarterly Pipeline vs Target Pi'!$A:$V,16,false)," $","")," €",""), "")
)</f>
        <v>0</v>
      </c>
      <c r="AF415" s="1">
        <f>value(IFERROR(SUBSTITUTE(SUBSTITUTE(VLOOKUP($A415,'Quarterly Pipeline vs Target Pi'!$A:$V,17,false)," $","")," €",""), "")
)</f>
        <v>0</v>
      </c>
      <c r="AG415" s="17" t="str">
        <f t="shared" si="11"/>
        <v/>
      </c>
      <c r="AH415" s="1">
        <f>value(IFERROR(SUBSTITUTE(SUBSTITUTE(VLOOKUP($A415,'Quarterly Pipeline vs Target Pi'!$A:$V,21,false)," $","")," €",""), "")
)</f>
        <v>0</v>
      </c>
      <c r="AI415" s="1">
        <f>value(IFERROR(SUBSTITUTE(SUBSTITUTE(VLOOKUP($A415,'Quarterly Pipeline vs Target Pi'!$A:$V,22,false)," $","")," €",""), "")
)</f>
        <v>0</v>
      </c>
      <c r="AJ415" s="17" t="str">
        <f t="shared" si="12"/>
        <v/>
      </c>
      <c r="AK415" s="1">
        <f t="shared" ref="AK415:AL415" si="843">sum(Y415,AB415,AE415,AH415)</f>
        <v>0</v>
      </c>
      <c r="AL415" s="1">
        <f t="shared" si="843"/>
        <v>0</v>
      </c>
      <c r="AM415" s="17" t="str">
        <f t="shared" si="14"/>
        <v/>
      </c>
      <c r="AN415" s="1">
        <f>value(IFERROR(SUBSTITUTE(SUBSTITUTE(VLOOKUP($A415,'Quarterly Pipeline vs Target Pi'!$A:$AP,26,false)," $","")," €",""), "")
)</f>
        <v>0</v>
      </c>
      <c r="AO415" s="1">
        <f>value(IFERROR(SUBSTITUTE(SUBSTITUTE(VLOOKUP($A415,'Quarterly Pipeline vs Target Pi'!$A:$AP,27,false)," $","")," €",""), "")
)</f>
        <v>0</v>
      </c>
      <c r="AP415" s="17" t="str">
        <f t="shared" si="15"/>
        <v/>
      </c>
      <c r="AQ415" s="1">
        <f>value(IFERROR(SUBSTITUTE(SUBSTITUTE(VLOOKUP($A415,'Quarterly Pipeline vs Target Pi'!$A:$AP,31,false)," $","")," €",""), "")
)</f>
        <v>0</v>
      </c>
      <c r="AR415" s="1">
        <f>value(IFERROR(SUBSTITUTE(SUBSTITUTE(VLOOKUP($A415,'Quarterly Pipeline vs Target Pi'!$A:$AP,32,false)," $","")," €",""), "")
)</f>
        <v>0</v>
      </c>
      <c r="AS415" s="17" t="str">
        <f t="shared" si="16"/>
        <v/>
      </c>
      <c r="AT415" s="1">
        <f>value(IFERROR(SUBSTITUTE(SUBSTITUTE(VLOOKUP($A415,'Quarterly Pipeline vs Target Pi'!$A:$AP,36,false)," $","")," €",""), "")
)</f>
        <v>0</v>
      </c>
      <c r="AU415" s="1">
        <f>value(IFERROR(SUBSTITUTE(SUBSTITUTE(VLOOKUP($A415,'Quarterly Pipeline vs Target Pi'!$A:$AP,37,false)," $","")," €",""), "")
)</f>
        <v>0</v>
      </c>
      <c r="AV415" s="17" t="str">
        <f t="shared" si="17"/>
        <v/>
      </c>
      <c r="AW415" s="1">
        <f>value(IFERROR(SUBSTITUTE(SUBSTITUTE(VLOOKUP($A415,'Quarterly Pipeline vs Target Pi'!$A:$AP,41,false)," $","")," €",""), "")
)</f>
        <v>0</v>
      </c>
      <c r="AX415" s="1">
        <f>value(IFERROR(SUBSTITUTE(SUBSTITUTE(VLOOKUP($A415,'Quarterly Pipeline vs Target Pi'!$A:$AP,42,false)," $","")," €",""), "")
)</f>
        <v>0</v>
      </c>
      <c r="AY415" s="17" t="str">
        <f t="shared" si="18"/>
        <v/>
      </c>
      <c r="AZ415" s="1">
        <f t="shared" ref="AZ415:BA415" si="844">sum(AN415,AQ415,AT415,AW415)</f>
        <v>0</v>
      </c>
      <c r="BA415" s="1">
        <f t="shared" si="844"/>
        <v>0</v>
      </c>
      <c r="BB415" s="17" t="str">
        <f t="shared" si="20"/>
        <v/>
      </c>
    </row>
    <row r="416">
      <c r="A416" s="1" t="str">
        <f>IFERROR(__xludf.DUMMYFUNCTION("""COMPUTED_VALUE"""),"63fcbb86a107c871cf56564b")</f>
        <v>63fcbb86a107c871cf56564b</v>
      </c>
      <c r="B416" s="1" t="str">
        <f>IFERROR(__xludf.DUMMYFUNCTION("""COMPUTED_VALUE"""),"Systems Analysis Services Inc.")</f>
        <v>Systems Analysis Services Inc.</v>
      </c>
      <c r="C416" s="1" t="str">
        <f>IFERROR(__xludf.DUMMYFUNCTION("""COMPUTED_VALUE"""),"brendan.flaherty@al-enterprise.com")</f>
        <v>brendan.flaherty@al-enterprise.com</v>
      </c>
      <c r="D416" s="1" t="str">
        <f>IFERROR(__xludf.DUMMYFUNCTION("""COMPUTED_VALUE"""),"americas")</f>
        <v>americas</v>
      </c>
      <c r="E416" s="1" t="str">
        <f>IFERROR(__xludf.DUMMYFUNCTION("""COMPUTED_VALUE"""),"US")</f>
        <v>US</v>
      </c>
      <c r="F416" s="1"/>
      <c r="G416" s="1" t="str">
        <f>iferror(VLOOKUP(A416,'Business Plan Setup and Accepta'!A:G,6,false),"")</f>
        <v/>
      </c>
      <c r="H416" s="1" t="str">
        <f>iferror(VLOOKUP(A416,'Business Plan Setup and Accepta'!A:G,7,false),"")</f>
        <v/>
      </c>
      <c r="I416" s="17" t="str">
        <f t="shared" si="3"/>
        <v/>
      </c>
      <c r="J416" s="1" t="str">
        <f>IFERROR(VALUE(SUBSTITUTE(VLOOKUP(A416,'Sales IN Revenues vs Sales targ'!A:G,6,false)," $","")), "")
</f>
        <v/>
      </c>
      <c r="K416" s="1" t="str">
        <f>IFERROR(VALUE(SUBSTITUTE(VLOOKUP(A416,'Sales IN Revenues vs Sales targ'!A:G,7,false)," $","")), "")
</f>
        <v/>
      </c>
      <c r="L416" s="17" t="str">
        <f t="shared" si="4"/>
        <v/>
      </c>
      <c r="M416" s="1">
        <f>value(SUBSTITUTE(IFERROR(VLOOKUP(A416,'Certifications achievements vs '!A:G,6,false),""),"#","")
)</f>
        <v>0</v>
      </c>
      <c r="N416" s="1">
        <f>value(SUBSTITUTE(IFERROR(VLOOKUP(A416,'Certifications achievements vs '!A:G,7,false),""),"#","")
)</f>
        <v>0</v>
      </c>
      <c r="O416" s="17" t="str">
        <f t="shared" si="5"/>
        <v/>
      </c>
      <c r="P416" s="1">
        <f>value(SUBSTITUTE(IFERROR(VLOOKUP(A416,'Communications - Solution Speci'!A:G,6,false),""),"#","")
)</f>
        <v>0</v>
      </c>
      <c r="Q416" s="1">
        <f>value(SUBSTITUTE(IFERROR(VLOOKUP(A416,'Communications - Solution Speci'!A:G,7,false),""),"#","")
)</f>
        <v>0</v>
      </c>
      <c r="R416" s="17" t="str">
        <f t="shared" si="6"/>
        <v/>
      </c>
      <c r="S416" s="1">
        <f>value(SUBSTITUTE(IFERROR(VLOOKUP(A416,'Networking - Solution Specializ'!A:G,6,false),""),"#","")
)</f>
        <v>0</v>
      </c>
      <c r="T416" s="1">
        <f>value(SUBSTITUTE(IFERROR(VLOOKUP(A416,'Networking - Solution Specializ'!A:G,7,false),""),"#","")
)</f>
        <v>0</v>
      </c>
      <c r="U416" s="17" t="str">
        <f t="shared" si="7"/>
        <v/>
      </c>
      <c r="V416" s="1" t="str">
        <f>iferror(vlookup(A416,'Marketing Plan (extract summary'!A:G,6,false),"")</f>
        <v/>
      </c>
      <c r="W416" s="1" t="str">
        <f>iferror(vlookup(A416,'Marketing Plan (extract summary'!A:G,7,false),"")</f>
        <v/>
      </c>
      <c r="X416" s="17" t="str">
        <f t="shared" si="8"/>
        <v/>
      </c>
      <c r="Y416" s="1">
        <f>value(IFERROR(SUBSTITUTE(SUBSTITUTE(VLOOKUP(A416,'Quarterly Pipeline vs Target Pi'!A:G,6,false)," $","")," €",""), "")
)</f>
        <v>0</v>
      </c>
      <c r="Z416" s="1">
        <f>value(IFERROR(SUBSTITUTE(SUBSTITUTE(VLOOKUP(A416,'Quarterly Pipeline vs Target Pi'!A:G,7,false)," $","")," €",""), "")
)</f>
        <v>0</v>
      </c>
      <c r="AA416" s="17" t="str">
        <f t="shared" si="9"/>
        <v/>
      </c>
      <c r="AB416" s="1">
        <f>value(IFERROR(SUBSTITUTE(SUBSTITUTE(VLOOKUP($A416,'Quarterly Pipeline vs Target Pi'!$A:$V,11,false)," $","")," €",""), "")
)</f>
        <v>0</v>
      </c>
      <c r="AC416" s="1">
        <f>value(IFERROR(SUBSTITUTE(SUBSTITUTE(VLOOKUP($A416,'Quarterly Pipeline vs Target Pi'!$A:$V,12,false)," $","")," €",""), "")
)</f>
        <v>0</v>
      </c>
      <c r="AD416" s="17" t="str">
        <f t="shared" si="10"/>
        <v/>
      </c>
      <c r="AE416" s="1">
        <f>value(IFERROR(SUBSTITUTE(SUBSTITUTE(VLOOKUP($A416,'Quarterly Pipeline vs Target Pi'!$A:$V,16,false)," $","")," €",""), "")
)</f>
        <v>0</v>
      </c>
      <c r="AF416" s="1">
        <f>value(IFERROR(SUBSTITUTE(SUBSTITUTE(VLOOKUP($A416,'Quarterly Pipeline vs Target Pi'!$A:$V,17,false)," $","")," €",""), "")
)</f>
        <v>0</v>
      </c>
      <c r="AG416" s="17" t="str">
        <f t="shared" si="11"/>
        <v/>
      </c>
      <c r="AH416" s="1">
        <f>value(IFERROR(SUBSTITUTE(SUBSTITUTE(VLOOKUP($A416,'Quarterly Pipeline vs Target Pi'!$A:$V,21,false)," $","")," €",""), "")
)</f>
        <v>0</v>
      </c>
      <c r="AI416" s="1">
        <f>value(IFERROR(SUBSTITUTE(SUBSTITUTE(VLOOKUP($A416,'Quarterly Pipeline vs Target Pi'!$A:$V,22,false)," $","")," €",""), "")
)</f>
        <v>0</v>
      </c>
      <c r="AJ416" s="17" t="str">
        <f t="shared" si="12"/>
        <v/>
      </c>
      <c r="AK416" s="1">
        <f t="shared" ref="AK416:AL416" si="845">sum(Y416,AB416,AE416,AH416)</f>
        <v>0</v>
      </c>
      <c r="AL416" s="1">
        <f t="shared" si="845"/>
        <v>0</v>
      </c>
      <c r="AM416" s="17" t="str">
        <f t="shared" si="14"/>
        <v/>
      </c>
      <c r="AN416" s="1">
        <f>value(IFERROR(SUBSTITUTE(SUBSTITUTE(VLOOKUP($A416,'Quarterly Pipeline vs Target Pi'!$A:$AP,26,false)," $","")," €",""), "")
)</f>
        <v>0</v>
      </c>
      <c r="AO416" s="1">
        <f>value(IFERROR(SUBSTITUTE(SUBSTITUTE(VLOOKUP($A416,'Quarterly Pipeline vs Target Pi'!$A:$AP,27,false)," $","")," €",""), "")
)</f>
        <v>0</v>
      </c>
      <c r="AP416" s="17" t="str">
        <f t="shared" si="15"/>
        <v/>
      </c>
      <c r="AQ416" s="1">
        <f>value(IFERROR(SUBSTITUTE(SUBSTITUTE(VLOOKUP($A416,'Quarterly Pipeline vs Target Pi'!$A:$AP,31,false)," $","")," €",""), "")
)</f>
        <v>0</v>
      </c>
      <c r="AR416" s="1">
        <f>value(IFERROR(SUBSTITUTE(SUBSTITUTE(VLOOKUP($A416,'Quarterly Pipeline vs Target Pi'!$A:$AP,32,false)," $","")," €",""), "")
)</f>
        <v>0</v>
      </c>
      <c r="AS416" s="17" t="str">
        <f t="shared" si="16"/>
        <v/>
      </c>
      <c r="AT416" s="1">
        <f>value(IFERROR(SUBSTITUTE(SUBSTITUTE(VLOOKUP($A416,'Quarterly Pipeline vs Target Pi'!$A:$AP,36,false)," $","")," €",""), "")
)</f>
        <v>0</v>
      </c>
      <c r="AU416" s="1">
        <f>value(IFERROR(SUBSTITUTE(SUBSTITUTE(VLOOKUP($A416,'Quarterly Pipeline vs Target Pi'!$A:$AP,37,false)," $","")," €",""), "")
)</f>
        <v>0</v>
      </c>
      <c r="AV416" s="17" t="str">
        <f t="shared" si="17"/>
        <v/>
      </c>
      <c r="AW416" s="1">
        <f>value(IFERROR(SUBSTITUTE(SUBSTITUTE(VLOOKUP($A416,'Quarterly Pipeline vs Target Pi'!$A:$AP,41,false)," $","")," €",""), "")
)</f>
        <v>0</v>
      </c>
      <c r="AX416" s="1">
        <f>value(IFERROR(SUBSTITUTE(SUBSTITUTE(VLOOKUP($A416,'Quarterly Pipeline vs Target Pi'!$A:$AP,42,false)," $","")," €",""), "")
)</f>
        <v>0</v>
      </c>
      <c r="AY416" s="17" t="str">
        <f t="shared" si="18"/>
        <v/>
      </c>
      <c r="AZ416" s="1">
        <f t="shared" ref="AZ416:BA416" si="846">sum(AN416,AQ416,AT416,AW416)</f>
        <v>0</v>
      </c>
      <c r="BA416" s="1">
        <f t="shared" si="846"/>
        <v>0</v>
      </c>
      <c r="BB416" s="17" t="str">
        <f t="shared" si="20"/>
        <v/>
      </c>
    </row>
    <row r="417">
      <c r="A417" s="1" t="str">
        <f>IFERROR(__xludf.DUMMYFUNCTION("""COMPUTED_VALUE"""),"63ea6e9652ad6968805cefdb")</f>
        <v>63ea6e9652ad6968805cefdb</v>
      </c>
      <c r="B417" s="1" t="str">
        <f>IFERROR(__xludf.DUMMYFUNCTION("""COMPUTED_VALUE"""),"TBsB.net GmbH")</f>
        <v>TBsB.net GmbH</v>
      </c>
      <c r="C417" s="1" t="str">
        <f>IFERROR(__xludf.DUMMYFUNCTION("""COMPUTED_VALUE"""),"andreas.grossheimann@al-enterprise.com, andre.ramm@al-enterprise.com")</f>
        <v>andreas.grossheimann@al-enterprise.com, andre.ramm@al-enterprise.com</v>
      </c>
      <c r="D417" s="1" t="str">
        <f>IFERROR(__xludf.DUMMYFUNCTION("""COMPUTED_VALUE"""),"germany")</f>
        <v>germany</v>
      </c>
      <c r="E417" s="1" t="str">
        <f>IFERROR(__xludf.DUMMYFUNCTION("""COMPUTED_VALUE"""),"DE")</f>
        <v>DE</v>
      </c>
      <c r="F417" s="1"/>
      <c r="G417" s="1" t="str">
        <f>iferror(VLOOKUP(A417,'Business Plan Setup and Accepta'!A:G,6,false),"")</f>
        <v/>
      </c>
      <c r="H417" s="1" t="str">
        <f>iferror(VLOOKUP(A417,'Business Plan Setup and Accepta'!A:G,7,false),"")</f>
        <v/>
      </c>
      <c r="I417" s="17" t="str">
        <f t="shared" si="3"/>
        <v/>
      </c>
      <c r="J417" s="1" t="str">
        <f>IFERROR(VALUE(SUBSTITUTE(VLOOKUP(A417,'Sales IN Revenues vs Sales targ'!A:G,6,false)," $","")), "")
</f>
        <v/>
      </c>
      <c r="K417" s="1" t="str">
        <f>IFERROR(VALUE(SUBSTITUTE(VLOOKUP(A417,'Sales IN Revenues vs Sales targ'!A:G,7,false)," $","")), "")
</f>
        <v/>
      </c>
      <c r="L417" s="17" t="str">
        <f t="shared" si="4"/>
        <v/>
      </c>
      <c r="M417" s="1">
        <f>value(SUBSTITUTE(IFERROR(VLOOKUP(A417,'Certifications achievements vs '!A:G,6,false),""),"#","")
)</f>
        <v>0</v>
      </c>
      <c r="N417" s="1">
        <f>value(SUBSTITUTE(IFERROR(VLOOKUP(A417,'Certifications achievements vs '!A:G,7,false),""),"#","")
)</f>
        <v>0</v>
      </c>
      <c r="O417" s="17" t="str">
        <f t="shared" si="5"/>
        <v/>
      </c>
      <c r="P417" s="1">
        <f>value(SUBSTITUTE(IFERROR(VLOOKUP(A417,'Communications - Solution Speci'!A:G,6,false),""),"#","")
)</f>
        <v>0</v>
      </c>
      <c r="Q417" s="1">
        <f>value(SUBSTITUTE(IFERROR(VLOOKUP(A417,'Communications - Solution Speci'!A:G,7,false),""),"#","")
)</f>
        <v>0</v>
      </c>
      <c r="R417" s="17" t="str">
        <f t="shared" si="6"/>
        <v/>
      </c>
      <c r="S417" s="1">
        <f>value(SUBSTITUTE(IFERROR(VLOOKUP(A417,'Networking - Solution Specializ'!A:G,6,false),""),"#","")
)</f>
        <v>0</v>
      </c>
      <c r="T417" s="1">
        <f>value(SUBSTITUTE(IFERROR(VLOOKUP(A417,'Networking - Solution Specializ'!A:G,7,false),""),"#","")
)</f>
        <v>0</v>
      </c>
      <c r="U417" s="17" t="str">
        <f t="shared" si="7"/>
        <v/>
      </c>
      <c r="V417" s="1" t="str">
        <f>iferror(vlookup(A417,'Marketing Plan (extract summary'!A:G,6,false),"")</f>
        <v/>
      </c>
      <c r="W417" s="1" t="str">
        <f>iferror(vlookup(A417,'Marketing Plan (extract summary'!A:G,7,false),"")</f>
        <v/>
      </c>
      <c r="X417" s="17" t="str">
        <f t="shared" si="8"/>
        <v/>
      </c>
      <c r="Y417" s="1">
        <f>value(IFERROR(SUBSTITUTE(SUBSTITUTE(VLOOKUP(A417,'Quarterly Pipeline vs Target Pi'!A:G,6,false)," $","")," €",""), "")
)</f>
        <v>0</v>
      </c>
      <c r="Z417" s="1">
        <f>value(IFERROR(SUBSTITUTE(SUBSTITUTE(VLOOKUP(A417,'Quarterly Pipeline vs Target Pi'!A:G,7,false)," $","")," €",""), "")
)</f>
        <v>0</v>
      </c>
      <c r="AA417" s="17" t="str">
        <f t="shared" si="9"/>
        <v/>
      </c>
      <c r="AB417" s="1">
        <f>value(IFERROR(SUBSTITUTE(SUBSTITUTE(VLOOKUP($A417,'Quarterly Pipeline vs Target Pi'!$A:$V,11,false)," $","")," €",""), "")
)</f>
        <v>0</v>
      </c>
      <c r="AC417" s="1">
        <f>value(IFERROR(SUBSTITUTE(SUBSTITUTE(VLOOKUP($A417,'Quarterly Pipeline vs Target Pi'!$A:$V,12,false)," $","")," €",""), "")
)</f>
        <v>0</v>
      </c>
      <c r="AD417" s="17" t="str">
        <f t="shared" si="10"/>
        <v/>
      </c>
      <c r="AE417" s="1">
        <f>value(IFERROR(SUBSTITUTE(SUBSTITUTE(VLOOKUP($A417,'Quarterly Pipeline vs Target Pi'!$A:$V,16,false)," $","")," €",""), "")
)</f>
        <v>0</v>
      </c>
      <c r="AF417" s="1">
        <f>value(IFERROR(SUBSTITUTE(SUBSTITUTE(VLOOKUP($A417,'Quarterly Pipeline vs Target Pi'!$A:$V,17,false)," $","")," €",""), "")
)</f>
        <v>0</v>
      </c>
      <c r="AG417" s="17" t="str">
        <f t="shared" si="11"/>
        <v/>
      </c>
      <c r="AH417" s="1">
        <f>value(IFERROR(SUBSTITUTE(SUBSTITUTE(VLOOKUP($A417,'Quarterly Pipeline vs Target Pi'!$A:$V,21,false)," $","")," €",""), "")
)</f>
        <v>0</v>
      </c>
      <c r="AI417" s="1">
        <f>value(IFERROR(SUBSTITUTE(SUBSTITUTE(VLOOKUP($A417,'Quarterly Pipeline vs Target Pi'!$A:$V,22,false)," $","")," €",""), "")
)</f>
        <v>0</v>
      </c>
      <c r="AJ417" s="17" t="str">
        <f t="shared" si="12"/>
        <v/>
      </c>
      <c r="AK417" s="1">
        <f t="shared" ref="AK417:AL417" si="847">sum(Y417,AB417,AE417,AH417)</f>
        <v>0</v>
      </c>
      <c r="AL417" s="1">
        <f t="shared" si="847"/>
        <v>0</v>
      </c>
      <c r="AM417" s="17" t="str">
        <f t="shared" si="14"/>
        <v/>
      </c>
      <c r="AN417" s="1">
        <f>value(IFERROR(SUBSTITUTE(SUBSTITUTE(VLOOKUP($A417,'Quarterly Pipeline vs Target Pi'!$A:$AP,26,false)," $","")," €",""), "")
)</f>
        <v>0</v>
      </c>
      <c r="AO417" s="1">
        <f>value(IFERROR(SUBSTITUTE(SUBSTITUTE(VLOOKUP($A417,'Quarterly Pipeline vs Target Pi'!$A:$AP,27,false)," $","")," €",""), "")
)</f>
        <v>0</v>
      </c>
      <c r="AP417" s="17" t="str">
        <f t="shared" si="15"/>
        <v/>
      </c>
      <c r="AQ417" s="1">
        <f>value(IFERROR(SUBSTITUTE(SUBSTITUTE(VLOOKUP($A417,'Quarterly Pipeline vs Target Pi'!$A:$AP,31,false)," $","")," €",""), "")
)</f>
        <v>0</v>
      </c>
      <c r="AR417" s="1">
        <f>value(IFERROR(SUBSTITUTE(SUBSTITUTE(VLOOKUP($A417,'Quarterly Pipeline vs Target Pi'!$A:$AP,32,false)," $","")," €",""), "")
)</f>
        <v>0</v>
      </c>
      <c r="AS417" s="17" t="str">
        <f t="shared" si="16"/>
        <v/>
      </c>
      <c r="AT417" s="1">
        <f>value(IFERROR(SUBSTITUTE(SUBSTITUTE(VLOOKUP($A417,'Quarterly Pipeline vs Target Pi'!$A:$AP,36,false)," $","")," €",""), "")
)</f>
        <v>0</v>
      </c>
      <c r="AU417" s="1">
        <f>value(IFERROR(SUBSTITUTE(SUBSTITUTE(VLOOKUP($A417,'Quarterly Pipeline vs Target Pi'!$A:$AP,37,false)," $","")," €",""), "")
)</f>
        <v>0</v>
      </c>
      <c r="AV417" s="17" t="str">
        <f t="shared" si="17"/>
        <v/>
      </c>
      <c r="AW417" s="1">
        <f>value(IFERROR(SUBSTITUTE(SUBSTITUTE(VLOOKUP($A417,'Quarterly Pipeline vs Target Pi'!$A:$AP,41,false)," $","")," €",""), "")
)</f>
        <v>0</v>
      </c>
      <c r="AX417" s="1">
        <f>value(IFERROR(SUBSTITUTE(SUBSTITUTE(VLOOKUP($A417,'Quarterly Pipeline vs Target Pi'!$A:$AP,42,false)," $","")," €",""), "")
)</f>
        <v>0</v>
      </c>
      <c r="AY417" s="17" t="str">
        <f t="shared" si="18"/>
        <v/>
      </c>
      <c r="AZ417" s="1">
        <f t="shared" ref="AZ417:BA417" si="848">sum(AN417,AQ417,AT417,AW417)</f>
        <v>0</v>
      </c>
      <c r="BA417" s="1">
        <f t="shared" si="848"/>
        <v>0</v>
      </c>
      <c r="BB417" s="17" t="str">
        <f t="shared" si="20"/>
        <v/>
      </c>
    </row>
    <row r="418">
      <c r="A418" s="1" t="str">
        <f>IFERROR(__xludf.DUMMYFUNCTION("""COMPUTED_VALUE"""),"63ced84ec5c820531c269914")</f>
        <v>63ced84ec5c820531c269914</v>
      </c>
      <c r="B418" s="1" t="str">
        <f>IFERROR(__xludf.DUMMYFUNCTION("""COMPUTED_VALUE"""),"TCSI of New Jersey, Inc.")</f>
        <v>TCSI of New Jersey, Inc.</v>
      </c>
      <c r="C418" s="1" t="str">
        <f>IFERROR(__xludf.DUMMYFUNCTION("""COMPUTED_VALUE"""),"brendan.flaherty@al-enterprise.com")</f>
        <v>brendan.flaherty@al-enterprise.com</v>
      </c>
      <c r="D418" s="1" t="str">
        <f>IFERROR(__xludf.DUMMYFUNCTION("""COMPUTED_VALUE"""),"americas")</f>
        <v>americas</v>
      </c>
      <c r="E418" s="1" t="str">
        <f>IFERROR(__xludf.DUMMYFUNCTION("""COMPUTED_VALUE"""),"US")</f>
        <v>US</v>
      </c>
      <c r="F418" s="1"/>
      <c r="G418" s="1" t="str">
        <f>iferror(VLOOKUP(A418,'Business Plan Setup and Accepta'!A:G,6,false),"")</f>
        <v/>
      </c>
      <c r="H418" s="1" t="str">
        <f>iferror(VLOOKUP(A418,'Business Plan Setup and Accepta'!A:G,7,false),"")</f>
        <v/>
      </c>
      <c r="I418" s="17" t="str">
        <f t="shared" si="3"/>
        <v/>
      </c>
      <c r="J418" s="1" t="str">
        <f>IFERROR(VALUE(SUBSTITUTE(VLOOKUP(A418,'Sales IN Revenues vs Sales targ'!A:G,6,false)," $","")), "")
</f>
        <v/>
      </c>
      <c r="K418" s="1" t="str">
        <f>IFERROR(VALUE(SUBSTITUTE(VLOOKUP(A418,'Sales IN Revenues vs Sales targ'!A:G,7,false)," $","")), "")
</f>
        <v/>
      </c>
      <c r="L418" s="17" t="str">
        <f t="shared" si="4"/>
        <v/>
      </c>
      <c r="M418" s="1">
        <f>value(SUBSTITUTE(IFERROR(VLOOKUP(A418,'Certifications achievements vs '!A:G,6,false),""),"#","")
)</f>
        <v>0</v>
      </c>
      <c r="N418" s="1">
        <f>value(SUBSTITUTE(IFERROR(VLOOKUP(A418,'Certifications achievements vs '!A:G,7,false),""),"#","")
)</f>
        <v>0</v>
      </c>
      <c r="O418" s="17" t="str">
        <f t="shared" si="5"/>
        <v/>
      </c>
      <c r="P418" s="1">
        <f>value(SUBSTITUTE(IFERROR(VLOOKUP(A418,'Communications - Solution Speci'!A:G,6,false),""),"#","")
)</f>
        <v>0</v>
      </c>
      <c r="Q418" s="1">
        <f>value(SUBSTITUTE(IFERROR(VLOOKUP(A418,'Communications - Solution Speci'!A:G,7,false),""),"#","")
)</f>
        <v>0</v>
      </c>
      <c r="R418" s="17" t="str">
        <f t="shared" si="6"/>
        <v/>
      </c>
      <c r="S418" s="1">
        <f>value(SUBSTITUTE(IFERROR(VLOOKUP(A418,'Networking - Solution Specializ'!A:G,6,false),""),"#","")
)</f>
        <v>0</v>
      </c>
      <c r="T418" s="1">
        <f>value(SUBSTITUTE(IFERROR(VLOOKUP(A418,'Networking - Solution Specializ'!A:G,7,false),""),"#","")
)</f>
        <v>0</v>
      </c>
      <c r="U418" s="17" t="str">
        <f t="shared" si="7"/>
        <v/>
      </c>
      <c r="V418" s="1" t="str">
        <f>iferror(vlookup(A418,'Marketing Plan (extract summary'!A:G,6,false),"")</f>
        <v/>
      </c>
      <c r="W418" s="1" t="str">
        <f>iferror(vlookup(A418,'Marketing Plan (extract summary'!A:G,7,false),"")</f>
        <v/>
      </c>
      <c r="X418" s="17" t="str">
        <f t="shared" si="8"/>
        <v/>
      </c>
      <c r="Y418" s="1">
        <f>value(IFERROR(SUBSTITUTE(SUBSTITUTE(VLOOKUP(A418,'Quarterly Pipeline vs Target Pi'!A:G,6,false)," $","")," €",""), "")
)</f>
        <v>0</v>
      </c>
      <c r="Z418" s="1">
        <f>value(IFERROR(SUBSTITUTE(SUBSTITUTE(VLOOKUP(A418,'Quarterly Pipeline vs Target Pi'!A:G,7,false)," $","")," €",""), "")
)</f>
        <v>0</v>
      </c>
      <c r="AA418" s="17" t="str">
        <f t="shared" si="9"/>
        <v/>
      </c>
      <c r="AB418" s="1">
        <f>value(IFERROR(SUBSTITUTE(SUBSTITUTE(VLOOKUP($A418,'Quarterly Pipeline vs Target Pi'!$A:$V,11,false)," $","")," €",""), "")
)</f>
        <v>0</v>
      </c>
      <c r="AC418" s="1">
        <f>value(IFERROR(SUBSTITUTE(SUBSTITUTE(VLOOKUP($A418,'Quarterly Pipeline vs Target Pi'!$A:$V,12,false)," $","")," €",""), "")
)</f>
        <v>0</v>
      </c>
      <c r="AD418" s="17" t="str">
        <f t="shared" si="10"/>
        <v/>
      </c>
      <c r="AE418" s="1">
        <f>value(IFERROR(SUBSTITUTE(SUBSTITUTE(VLOOKUP($A418,'Quarterly Pipeline vs Target Pi'!$A:$V,16,false)," $","")," €",""), "")
)</f>
        <v>0</v>
      </c>
      <c r="AF418" s="1">
        <f>value(IFERROR(SUBSTITUTE(SUBSTITUTE(VLOOKUP($A418,'Quarterly Pipeline vs Target Pi'!$A:$V,17,false)," $","")," €",""), "")
)</f>
        <v>0</v>
      </c>
      <c r="AG418" s="17" t="str">
        <f t="shared" si="11"/>
        <v/>
      </c>
      <c r="AH418" s="1">
        <f>value(IFERROR(SUBSTITUTE(SUBSTITUTE(VLOOKUP($A418,'Quarterly Pipeline vs Target Pi'!$A:$V,21,false)," $","")," €",""), "")
)</f>
        <v>0</v>
      </c>
      <c r="AI418" s="1">
        <f>value(IFERROR(SUBSTITUTE(SUBSTITUTE(VLOOKUP($A418,'Quarterly Pipeline vs Target Pi'!$A:$V,22,false)," $","")," €",""), "")
)</f>
        <v>0</v>
      </c>
      <c r="AJ418" s="17" t="str">
        <f t="shared" si="12"/>
        <v/>
      </c>
      <c r="AK418" s="1">
        <f t="shared" ref="AK418:AL418" si="849">sum(Y418,AB418,AE418,AH418)</f>
        <v>0</v>
      </c>
      <c r="AL418" s="1">
        <f t="shared" si="849"/>
        <v>0</v>
      </c>
      <c r="AM418" s="17" t="str">
        <f t="shared" si="14"/>
        <v/>
      </c>
      <c r="AN418" s="1">
        <f>value(IFERROR(SUBSTITUTE(SUBSTITUTE(VLOOKUP($A418,'Quarterly Pipeline vs Target Pi'!$A:$AP,26,false)," $","")," €",""), "")
)</f>
        <v>0</v>
      </c>
      <c r="AO418" s="1">
        <f>value(IFERROR(SUBSTITUTE(SUBSTITUTE(VLOOKUP($A418,'Quarterly Pipeline vs Target Pi'!$A:$AP,27,false)," $","")," €",""), "")
)</f>
        <v>0</v>
      </c>
      <c r="AP418" s="17" t="str">
        <f t="shared" si="15"/>
        <v/>
      </c>
      <c r="AQ418" s="1">
        <f>value(IFERROR(SUBSTITUTE(SUBSTITUTE(VLOOKUP($A418,'Quarterly Pipeline vs Target Pi'!$A:$AP,31,false)," $","")," €",""), "")
)</f>
        <v>0</v>
      </c>
      <c r="AR418" s="1">
        <f>value(IFERROR(SUBSTITUTE(SUBSTITUTE(VLOOKUP($A418,'Quarterly Pipeline vs Target Pi'!$A:$AP,32,false)," $","")," €",""), "")
)</f>
        <v>0</v>
      </c>
      <c r="AS418" s="17" t="str">
        <f t="shared" si="16"/>
        <v/>
      </c>
      <c r="AT418" s="1">
        <f>value(IFERROR(SUBSTITUTE(SUBSTITUTE(VLOOKUP($A418,'Quarterly Pipeline vs Target Pi'!$A:$AP,36,false)," $","")," €",""), "")
)</f>
        <v>0</v>
      </c>
      <c r="AU418" s="1">
        <f>value(IFERROR(SUBSTITUTE(SUBSTITUTE(VLOOKUP($A418,'Quarterly Pipeline vs Target Pi'!$A:$AP,37,false)," $","")," €",""), "")
)</f>
        <v>0</v>
      </c>
      <c r="AV418" s="17" t="str">
        <f t="shared" si="17"/>
        <v/>
      </c>
      <c r="AW418" s="1">
        <f>value(IFERROR(SUBSTITUTE(SUBSTITUTE(VLOOKUP($A418,'Quarterly Pipeline vs Target Pi'!$A:$AP,41,false)," $","")," €",""), "")
)</f>
        <v>0</v>
      </c>
      <c r="AX418" s="1">
        <f>value(IFERROR(SUBSTITUTE(SUBSTITUTE(VLOOKUP($A418,'Quarterly Pipeline vs Target Pi'!$A:$AP,42,false)," $","")," €",""), "")
)</f>
        <v>0</v>
      </c>
      <c r="AY418" s="17" t="str">
        <f t="shared" si="18"/>
        <v/>
      </c>
      <c r="AZ418" s="1">
        <f t="shared" ref="AZ418:BA418" si="850">sum(AN418,AQ418,AT418,AW418)</f>
        <v>0</v>
      </c>
      <c r="BA418" s="1">
        <f t="shared" si="850"/>
        <v>0</v>
      </c>
      <c r="BB418" s="17" t="str">
        <f t="shared" si="20"/>
        <v/>
      </c>
    </row>
    <row r="419">
      <c r="A419" s="1" t="str">
        <f>IFERROR(__xludf.DUMMYFUNCTION("""COMPUTED_VALUE"""),"6299ff38f5acbb30cc0bd2d7")</f>
        <v>6299ff38f5acbb30cc0bd2d7</v>
      </c>
      <c r="B419" s="1" t="str">
        <f>IFERROR(__xludf.DUMMYFUNCTION("""COMPUTED_VALUE"""),"TD Synnex Canada ULC")</f>
        <v>TD Synnex Canada ULC</v>
      </c>
      <c r="C419" s="1" t="str">
        <f>IFERROR(__xludf.DUMMYFUNCTION("""COMPUTED_VALUE"""),"philippe.girard@al-enterprise.com, rui.silva@al-enterprise.com, margret.moyle@al-enterprise.com, charlotte.holtzer@al-enterprise.com")</f>
        <v>philippe.girard@al-enterprise.com, rui.silva@al-enterprise.com, margret.moyle@al-enterprise.com, charlotte.holtzer@al-enterprise.com</v>
      </c>
      <c r="D419" s="1" t="str">
        <f>IFERROR(__xludf.DUMMYFUNCTION("""COMPUTED_VALUE"""),"americas")</f>
        <v>americas</v>
      </c>
      <c r="E419" s="1" t="str">
        <f>IFERROR(__xludf.DUMMYFUNCTION("""COMPUTED_VALUE"""),"CA")</f>
        <v>CA</v>
      </c>
      <c r="F419" s="1" t="str">
        <f>IFERROR(__xludf.DUMMYFUNCTION("""COMPUTED_VALUE"""),"distributor")</f>
        <v>distributor</v>
      </c>
      <c r="G419" s="1">
        <f>iferror(VLOOKUP(A419,'Business Plan Setup and Accepta'!A:G,6,false),"")</f>
        <v>0</v>
      </c>
      <c r="H419" s="1">
        <f>iferror(VLOOKUP(A419,'Business Plan Setup and Accepta'!A:G,7,false),"")</f>
        <v>1</v>
      </c>
      <c r="I419" s="17">
        <f t="shared" si="3"/>
        <v>0</v>
      </c>
      <c r="J419" s="1">
        <f>IFERROR(VALUE(SUBSTITUTE(VLOOKUP(A419,'Sales IN Revenues vs Sales targ'!A:G,6,false)," $","")), "")
</f>
        <v>234.26</v>
      </c>
      <c r="K419" s="1">
        <f>IFERROR(VALUE(SUBSTITUTE(VLOOKUP(A419,'Sales IN Revenues vs Sales targ'!A:G,7,false)," $","")), "")
</f>
        <v>0</v>
      </c>
      <c r="L419" s="17" t="str">
        <f t="shared" si="4"/>
        <v/>
      </c>
      <c r="M419" s="1">
        <f>value(SUBSTITUTE(IFERROR(VLOOKUP(A419,'Certifications achievements vs '!A:G,6,false),""),"#","")
)</f>
        <v>4</v>
      </c>
      <c r="N419" s="1">
        <f>value(SUBSTITUTE(IFERROR(VLOOKUP(A419,'Certifications achievements vs '!A:G,7,false),""),"#","")
)</f>
        <v>57</v>
      </c>
      <c r="O419" s="17">
        <f t="shared" si="5"/>
        <v>0.0701754386</v>
      </c>
      <c r="P419" s="1">
        <f>value(SUBSTITUTE(IFERROR(VLOOKUP(A419,'Communications - Solution Speci'!A:G,6,false),""),"#","")
)</f>
        <v>0</v>
      </c>
      <c r="Q419" s="1">
        <f>value(SUBSTITUTE(IFERROR(VLOOKUP(A419,'Communications - Solution Speci'!A:G,7,false),""),"#","")
)</f>
        <v>1</v>
      </c>
      <c r="R419" s="17">
        <f t="shared" si="6"/>
        <v>0</v>
      </c>
      <c r="S419" s="1">
        <f>value(SUBSTITUTE(IFERROR(VLOOKUP(A419,'Networking - Solution Specializ'!A:G,6,false),""),"#","")
)</f>
        <v>1</v>
      </c>
      <c r="T419" s="1">
        <f>value(SUBSTITUTE(IFERROR(VLOOKUP(A419,'Networking - Solution Specializ'!A:G,7,false),""),"#","")
)</f>
        <v>1</v>
      </c>
      <c r="U419" s="17">
        <f t="shared" si="7"/>
        <v>1</v>
      </c>
      <c r="V419" s="1">
        <f>iferror(vlookup(A419,'Marketing Plan (extract summary'!A:G,6,false),"")</f>
        <v>0</v>
      </c>
      <c r="W419" s="1">
        <f>iferror(vlookup(A419,'Marketing Plan (extract summary'!A:G,7,false),"")</f>
        <v>1</v>
      </c>
      <c r="X419" s="17">
        <f t="shared" si="8"/>
        <v>0</v>
      </c>
      <c r="Y419" s="1">
        <f>value(IFERROR(SUBSTITUTE(SUBSTITUTE(VLOOKUP(A419,'Quarterly Pipeline vs Target Pi'!A:G,6,false)," $","")," €",""), "")
)</f>
        <v>2.82</v>
      </c>
      <c r="Z419" s="1">
        <f>value(IFERROR(SUBSTITUTE(SUBSTITUTE(VLOOKUP(A419,'Quarterly Pipeline vs Target Pi'!A:G,7,false)," $","")," €",""), "")
)</f>
        <v>0</v>
      </c>
      <c r="AA419" s="17" t="str">
        <f t="shared" si="9"/>
        <v/>
      </c>
      <c r="AB419" s="1">
        <f>value(IFERROR(SUBSTITUTE(SUBSTITUTE(VLOOKUP($A419,'Quarterly Pipeline vs Target Pi'!$A:$V,11,false)," $","")," €",""), "")
)</f>
        <v>0.8</v>
      </c>
      <c r="AC419" s="1">
        <f>value(IFERROR(SUBSTITUTE(SUBSTITUTE(VLOOKUP($A419,'Quarterly Pipeline vs Target Pi'!$A:$V,12,false)," $","")," €",""), "")
)</f>
        <v>114.94</v>
      </c>
      <c r="AD419" s="17">
        <f t="shared" si="10"/>
        <v>0.006960153123</v>
      </c>
      <c r="AE419" s="1">
        <f>value(IFERROR(SUBSTITUTE(SUBSTITUTE(VLOOKUP($A419,'Quarterly Pipeline vs Target Pi'!$A:$V,16,false)," $","")," €",""), "")
)</f>
        <v>0.8</v>
      </c>
      <c r="AF419" s="1">
        <f>value(IFERROR(SUBSTITUTE(SUBSTITUTE(VLOOKUP($A419,'Quarterly Pipeline vs Target Pi'!$A:$V,17,false)," $","")," €",""), "")
)</f>
        <v>499.98</v>
      </c>
      <c r="AG419" s="17">
        <f t="shared" si="11"/>
        <v>0.001600064003</v>
      </c>
      <c r="AH419" s="1">
        <f>value(IFERROR(SUBSTITUTE(SUBSTITUTE(VLOOKUP($A419,'Quarterly Pipeline vs Target Pi'!$A:$V,21,false)," $","")," €",""), "")
)</f>
        <v>0</v>
      </c>
      <c r="AI419" s="1">
        <f>value(IFERROR(SUBSTITUTE(SUBSTITUTE(VLOOKUP($A419,'Quarterly Pipeline vs Target Pi'!$A:$V,22,false)," $","")," €",""), "")
)</f>
        <v>499.98</v>
      </c>
      <c r="AJ419" s="17">
        <f t="shared" si="12"/>
        <v>0</v>
      </c>
      <c r="AK419" s="1">
        <f t="shared" ref="AK419:AL419" si="851">sum(Y419,AB419,AE419,AH419)</f>
        <v>4.42</v>
      </c>
      <c r="AL419" s="1">
        <f t="shared" si="851"/>
        <v>1114.9</v>
      </c>
      <c r="AM419" s="17">
        <f t="shared" si="14"/>
        <v>0.003964481119</v>
      </c>
      <c r="AN419" s="1">
        <f>value(IFERROR(SUBSTITUTE(SUBSTITUTE(VLOOKUP($A419,'Quarterly Pipeline vs Target Pi'!$A:$AP,26,false)," $","")," €",""), "")
)</f>
        <v>2.82</v>
      </c>
      <c r="AO419" s="1">
        <f>value(IFERROR(SUBSTITUTE(SUBSTITUTE(VLOOKUP($A419,'Quarterly Pipeline vs Target Pi'!$A:$AP,27,false)," $","")," €",""), "")
)</f>
        <v>0</v>
      </c>
      <c r="AP419" s="17" t="str">
        <f t="shared" si="15"/>
        <v/>
      </c>
      <c r="AQ419" s="1">
        <f>value(IFERROR(SUBSTITUTE(SUBSTITUTE(VLOOKUP($A419,'Quarterly Pipeline vs Target Pi'!$A:$AP,31,false)," $","")," €",""), "")
)</f>
        <v>5.7</v>
      </c>
      <c r="AR419" s="1">
        <f>value(IFERROR(SUBSTITUTE(SUBSTITUTE(VLOOKUP($A419,'Quarterly Pipeline vs Target Pi'!$A:$AP,32,false)," $","")," €",""), "")
)</f>
        <v>0</v>
      </c>
      <c r="AS419" s="17" t="str">
        <f t="shared" si="16"/>
        <v/>
      </c>
      <c r="AT419" s="1">
        <f>value(IFERROR(SUBSTITUTE(SUBSTITUTE(VLOOKUP($A419,'Quarterly Pipeline vs Target Pi'!$A:$AP,36,false)," $","")," €",""), "")
)</f>
        <v>0</v>
      </c>
      <c r="AU419" s="1">
        <f>value(IFERROR(SUBSTITUTE(SUBSTITUTE(VLOOKUP($A419,'Quarterly Pipeline vs Target Pi'!$A:$AP,37,false)," $","")," €",""), "")
)</f>
        <v>0</v>
      </c>
      <c r="AV419" s="17" t="str">
        <f t="shared" si="17"/>
        <v/>
      </c>
      <c r="AW419" s="1">
        <f>value(IFERROR(SUBSTITUTE(SUBSTITUTE(VLOOKUP($A419,'Quarterly Pipeline vs Target Pi'!$A:$AP,41,false)," $","")," €",""), "")
)</f>
        <v>0</v>
      </c>
      <c r="AX419" s="1">
        <f>value(IFERROR(SUBSTITUTE(SUBSTITUTE(VLOOKUP($A419,'Quarterly Pipeline vs Target Pi'!$A:$AP,42,false)," $","")," €",""), "")
)</f>
        <v>0</v>
      </c>
      <c r="AY419" s="17" t="str">
        <f t="shared" si="18"/>
        <v/>
      </c>
      <c r="AZ419" s="1">
        <f t="shared" ref="AZ419:BA419" si="852">sum(AN419,AQ419,AT419,AW419)</f>
        <v>8.52</v>
      </c>
      <c r="BA419" s="1">
        <f t="shared" si="852"/>
        <v>0</v>
      </c>
      <c r="BB419" s="17" t="str">
        <f t="shared" si="20"/>
        <v/>
      </c>
    </row>
    <row r="420">
      <c r="A420" s="1" t="str">
        <f>IFERROR(__xludf.DUMMYFUNCTION("""COMPUTED_VALUE"""),"63ced84cc5c820531c2694a0")</f>
        <v>63ced84cc5c820531c2694a0</v>
      </c>
      <c r="B420" s="1" t="str">
        <f>IFERROR(__xludf.DUMMYFUNCTION("""COMPUTED_VALUE"""),"TD SYNNEX Corporation (CA)")</f>
        <v>TD SYNNEX Corporation (CA)</v>
      </c>
      <c r="C420" s="1" t="str">
        <f>IFERROR(__xludf.DUMMYFUNCTION("""COMPUTED_VALUE"""),"holly.berger@al-enterprise.com")</f>
        <v>holly.berger@al-enterprise.com</v>
      </c>
      <c r="D420" s="1" t="str">
        <f>IFERROR(__xludf.DUMMYFUNCTION("""COMPUTED_VALUE"""),"americas")</f>
        <v>americas</v>
      </c>
      <c r="E420" s="1" t="str">
        <f>IFERROR(__xludf.DUMMYFUNCTION("""COMPUTED_VALUE"""),"US")</f>
        <v>US</v>
      </c>
      <c r="F420" s="1" t="str">
        <f>IFERROR(__xludf.DUMMYFUNCTION("""COMPUTED_VALUE"""),"distributor_1000")</f>
        <v>distributor_1000</v>
      </c>
      <c r="G420" s="1">
        <f>iferror(VLOOKUP(A420,'Business Plan Setup and Accepta'!A:G,6,false),"")</f>
        <v>0</v>
      </c>
      <c r="H420" s="1">
        <f>iferror(VLOOKUP(A420,'Business Plan Setup and Accepta'!A:G,7,false),"")</f>
        <v>1</v>
      </c>
      <c r="I420" s="17">
        <f t="shared" si="3"/>
        <v>0</v>
      </c>
      <c r="J420" s="1">
        <f>IFERROR(VALUE(SUBSTITUTE(VLOOKUP(A420,'Sales IN Revenues vs Sales targ'!A:G,6,false)," $","")), "")
</f>
        <v>3234.44</v>
      </c>
      <c r="K420" s="1">
        <f>IFERROR(VALUE(SUBSTITUTE(VLOOKUP(A420,'Sales IN Revenues vs Sales targ'!A:G,7,false)," $","")), "")
</f>
        <v>4279.96</v>
      </c>
      <c r="L420" s="17">
        <f t="shared" si="4"/>
        <v>0.7557173432</v>
      </c>
      <c r="M420" s="1">
        <f>value(SUBSTITUTE(IFERROR(VLOOKUP(A420,'Certifications achievements vs '!A:G,6,false),""),"#","")
)</f>
        <v>4</v>
      </c>
      <c r="N420" s="1">
        <f>value(SUBSTITUTE(IFERROR(VLOOKUP(A420,'Certifications achievements vs '!A:G,7,false),""),"#","")
)</f>
        <v>56</v>
      </c>
      <c r="O420" s="17">
        <f t="shared" si="5"/>
        <v>0.07142857143</v>
      </c>
      <c r="P420" s="1">
        <f>value(SUBSTITUTE(IFERROR(VLOOKUP(A420,'Communications - Solution Speci'!A:G,6,false),""),"#","")
)</f>
        <v>0</v>
      </c>
      <c r="Q420" s="1">
        <f>value(SUBSTITUTE(IFERROR(VLOOKUP(A420,'Communications - Solution Speci'!A:G,7,false),""),"#","")
)</f>
        <v>1</v>
      </c>
      <c r="R420" s="17">
        <f t="shared" si="6"/>
        <v>0</v>
      </c>
      <c r="S420" s="1">
        <f>value(SUBSTITUTE(IFERROR(VLOOKUP(A420,'Networking - Solution Specializ'!A:G,6,false),""),"#","")
)</f>
        <v>1</v>
      </c>
      <c r="T420" s="1">
        <f>value(SUBSTITUTE(IFERROR(VLOOKUP(A420,'Networking - Solution Specializ'!A:G,7,false),""),"#","")
)</f>
        <v>1</v>
      </c>
      <c r="U420" s="17">
        <f t="shared" si="7"/>
        <v>1</v>
      </c>
      <c r="V420" s="1">
        <f>iferror(vlookup(A420,'Marketing Plan (extract summary'!A:G,6,false),"")</f>
        <v>0</v>
      </c>
      <c r="W420" s="1">
        <f>iferror(vlookup(A420,'Marketing Plan (extract summary'!A:G,7,false),"")</f>
        <v>1</v>
      </c>
      <c r="X420" s="17">
        <f t="shared" si="8"/>
        <v>0</v>
      </c>
      <c r="Y420" s="1">
        <f>value(IFERROR(SUBSTITUTE(SUBSTITUTE(VLOOKUP(A420,'Quarterly Pipeline vs Target Pi'!A:G,6,false)," $","")," €",""), "")
)</f>
        <v>1.02</v>
      </c>
      <c r="Z420" s="1">
        <f>value(IFERROR(SUBSTITUTE(SUBSTITUTE(VLOOKUP(A420,'Quarterly Pipeline vs Target Pi'!A:G,7,false)," $","")," €",""), "")
)</f>
        <v>0</v>
      </c>
      <c r="AA420" s="17" t="str">
        <f t="shared" si="9"/>
        <v/>
      </c>
      <c r="AB420" s="1">
        <f>value(IFERROR(SUBSTITUTE(SUBSTITUTE(VLOOKUP($A420,'Quarterly Pipeline vs Target Pi'!$A:$V,11,false)," $","")," €",""), "")
)</f>
        <v>19.12</v>
      </c>
      <c r="AC420" s="1">
        <f>value(IFERROR(SUBSTITUTE(SUBSTITUTE(VLOOKUP($A420,'Quarterly Pipeline vs Target Pi'!$A:$V,12,false)," $","")," €",""), "")
)</f>
        <v>1208.44</v>
      </c>
      <c r="AD420" s="17">
        <f t="shared" si="10"/>
        <v>0.01582205157</v>
      </c>
      <c r="AE420" s="1">
        <f>value(IFERROR(SUBSTITUTE(SUBSTITUTE(VLOOKUP($A420,'Quarterly Pipeline vs Target Pi'!$A:$V,16,false)," $","")," €",""), "")
)</f>
        <v>82.56</v>
      </c>
      <c r="AF420" s="1">
        <f>value(IFERROR(SUBSTITUTE(SUBSTITUTE(VLOOKUP($A420,'Quarterly Pipeline vs Target Pi'!$A:$V,17,false)," $","")," €",""), "")
)</f>
        <v>1807.03</v>
      </c>
      <c r="AG420" s="17">
        <f t="shared" si="11"/>
        <v>0.04568822875</v>
      </c>
      <c r="AH420" s="1">
        <f>value(IFERROR(SUBSTITUTE(SUBSTITUTE(VLOOKUP($A420,'Quarterly Pipeline vs Target Pi'!$A:$V,21,false)," $","")," €",""), "")
)</f>
        <v>32.02</v>
      </c>
      <c r="AI420" s="1">
        <f>value(IFERROR(SUBSTITUTE(SUBSTITUTE(VLOOKUP($A420,'Quarterly Pipeline vs Target Pi'!$A:$V,22,false)," $","")," €",""), "")
)</f>
        <v>1807.03</v>
      </c>
      <c r="AJ420" s="17">
        <f t="shared" si="12"/>
        <v>0.01771968368</v>
      </c>
      <c r="AK420" s="1">
        <f t="shared" ref="AK420:AL420" si="853">sum(Y420,AB420,AE420,AH420)</f>
        <v>134.72</v>
      </c>
      <c r="AL420" s="1">
        <f t="shared" si="853"/>
        <v>4822.5</v>
      </c>
      <c r="AM420" s="17">
        <f t="shared" si="14"/>
        <v>0.02793571799</v>
      </c>
      <c r="AN420" s="1">
        <f>value(IFERROR(SUBSTITUTE(SUBSTITUTE(VLOOKUP($A420,'Quarterly Pipeline vs Target Pi'!$A:$AP,26,false)," $","")," €",""), "")
)</f>
        <v>76.77</v>
      </c>
      <c r="AO420" s="1">
        <f>value(IFERROR(SUBSTITUTE(SUBSTITUTE(VLOOKUP($A420,'Quarterly Pipeline vs Target Pi'!$A:$AP,27,false)," $","")," €",""), "")
)</f>
        <v>0</v>
      </c>
      <c r="AP420" s="17" t="str">
        <f t="shared" si="15"/>
        <v/>
      </c>
      <c r="AQ420" s="1">
        <f>value(IFERROR(SUBSTITUTE(SUBSTITUTE(VLOOKUP($A420,'Quarterly Pipeline vs Target Pi'!$A:$AP,31,false)," $","")," €",""), "")
)</f>
        <v>52.55</v>
      </c>
      <c r="AR420" s="1">
        <f>value(IFERROR(SUBSTITUTE(SUBSTITUTE(VLOOKUP($A420,'Quarterly Pipeline vs Target Pi'!$A:$AP,32,false)," $","")," €",""), "")
)</f>
        <v>0</v>
      </c>
      <c r="AS420" s="17" t="str">
        <f t="shared" si="16"/>
        <v/>
      </c>
      <c r="AT420" s="1">
        <f>value(IFERROR(SUBSTITUTE(SUBSTITUTE(VLOOKUP($A420,'Quarterly Pipeline vs Target Pi'!$A:$AP,36,false)," $","")," €",""), "")
)</f>
        <v>6.28</v>
      </c>
      <c r="AU420" s="1">
        <f>value(IFERROR(SUBSTITUTE(SUBSTITUTE(VLOOKUP($A420,'Quarterly Pipeline vs Target Pi'!$A:$AP,37,false)," $","")," €",""), "")
)</f>
        <v>0</v>
      </c>
      <c r="AV420" s="17" t="str">
        <f t="shared" si="17"/>
        <v/>
      </c>
      <c r="AW420" s="1">
        <f>value(IFERROR(SUBSTITUTE(SUBSTITUTE(VLOOKUP($A420,'Quarterly Pipeline vs Target Pi'!$A:$AP,41,false)," $","")," €",""), "")
)</f>
        <v>33.9</v>
      </c>
      <c r="AX420" s="1">
        <f>value(IFERROR(SUBSTITUTE(SUBSTITUTE(VLOOKUP($A420,'Quarterly Pipeline vs Target Pi'!$A:$AP,42,false)," $","")," €",""), "")
)</f>
        <v>0</v>
      </c>
      <c r="AY420" s="17" t="str">
        <f t="shared" si="18"/>
        <v/>
      </c>
      <c r="AZ420" s="1">
        <f t="shared" ref="AZ420:BA420" si="854">sum(AN420,AQ420,AT420,AW420)</f>
        <v>169.5</v>
      </c>
      <c r="BA420" s="1">
        <f t="shared" si="854"/>
        <v>0</v>
      </c>
      <c r="BB420" s="17" t="str">
        <f t="shared" si="20"/>
        <v/>
      </c>
    </row>
    <row r="421">
      <c r="A421" s="1" t="str">
        <f>IFERROR(__xludf.DUMMYFUNCTION("""COMPUTED_VALUE"""),"63ea6e9552ad6968805cedc7")</f>
        <v>63ea6e9552ad6968805cedc7</v>
      </c>
      <c r="B421" s="1" t="str">
        <f>IFERROR(__xludf.DUMMYFUNCTION("""COMPUTED_VALUE"""),"TDC GmbH")</f>
        <v>TDC GmbH</v>
      </c>
      <c r="C421" s="1" t="str">
        <f>IFERROR(__xludf.DUMMYFUNCTION("""COMPUTED_VALUE"""),"andreas.grossheimann@al-enterprise.com, andre.ramm@al-enterprise.com")</f>
        <v>andreas.grossheimann@al-enterprise.com, andre.ramm@al-enterprise.com</v>
      </c>
      <c r="D421" s="1" t="str">
        <f>IFERROR(__xludf.DUMMYFUNCTION("""COMPUTED_VALUE"""),"germany")</f>
        <v>germany</v>
      </c>
      <c r="E421" s="1" t="str">
        <f>IFERROR(__xludf.DUMMYFUNCTION("""COMPUTED_VALUE"""),"DE")</f>
        <v>DE</v>
      </c>
      <c r="F421" s="1"/>
      <c r="G421" s="1" t="str">
        <f>iferror(VLOOKUP(A421,'Business Plan Setup and Accepta'!A:G,6,false),"")</f>
        <v/>
      </c>
      <c r="H421" s="1" t="str">
        <f>iferror(VLOOKUP(A421,'Business Plan Setup and Accepta'!A:G,7,false),"")</f>
        <v/>
      </c>
      <c r="I421" s="17" t="str">
        <f t="shared" si="3"/>
        <v/>
      </c>
      <c r="J421" s="1" t="str">
        <f>IFERROR(VALUE(SUBSTITUTE(VLOOKUP(A421,'Sales IN Revenues vs Sales targ'!A:G,6,false)," $","")), "")
</f>
        <v/>
      </c>
      <c r="K421" s="1" t="str">
        <f>IFERROR(VALUE(SUBSTITUTE(VLOOKUP(A421,'Sales IN Revenues vs Sales targ'!A:G,7,false)," $","")), "")
</f>
        <v/>
      </c>
      <c r="L421" s="17" t="str">
        <f t="shared" si="4"/>
        <v/>
      </c>
      <c r="M421" s="1">
        <f>value(SUBSTITUTE(IFERROR(VLOOKUP(A421,'Certifications achievements vs '!A:G,6,false),""),"#","")
)</f>
        <v>0</v>
      </c>
      <c r="N421" s="1">
        <f>value(SUBSTITUTE(IFERROR(VLOOKUP(A421,'Certifications achievements vs '!A:G,7,false),""),"#","")
)</f>
        <v>0</v>
      </c>
      <c r="O421" s="17" t="str">
        <f t="shared" si="5"/>
        <v/>
      </c>
      <c r="P421" s="1">
        <f>value(SUBSTITUTE(IFERROR(VLOOKUP(A421,'Communications - Solution Speci'!A:G,6,false),""),"#","")
)</f>
        <v>0</v>
      </c>
      <c r="Q421" s="1">
        <f>value(SUBSTITUTE(IFERROR(VLOOKUP(A421,'Communications - Solution Speci'!A:G,7,false),""),"#","")
)</f>
        <v>0</v>
      </c>
      <c r="R421" s="17" t="str">
        <f t="shared" si="6"/>
        <v/>
      </c>
      <c r="S421" s="1">
        <f>value(SUBSTITUTE(IFERROR(VLOOKUP(A421,'Networking - Solution Specializ'!A:G,6,false),""),"#","")
)</f>
        <v>0</v>
      </c>
      <c r="T421" s="1">
        <f>value(SUBSTITUTE(IFERROR(VLOOKUP(A421,'Networking - Solution Specializ'!A:G,7,false),""),"#","")
)</f>
        <v>0</v>
      </c>
      <c r="U421" s="17" t="str">
        <f t="shared" si="7"/>
        <v/>
      </c>
      <c r="V421" s="1" t="str">
        <f>iferror(vlookup(A421,'Marketing Plan (extract summary'!A:G,6,false),"")</f>
        <v/>
      </c>
      <c r="W421" s="1" t="str">
        <f>iferror(vlookup(A421,'Marketing Plan (extract summary'!A:G,7,false),"")</f>
        <v/>
      </c>
      <c r="X421" s="17" t="str">
        <f t="shared" si="8"/>
        <v/>
      </c>
      <c r="Y421" s="1">
        <f>value(IFERROR(SUBSTITUTE(SUBSTITUTE(VLOOKUP(A421,'Quarterly Pipeline vs Target Pi'!A:G,6,false)," $","")," €",""), "")
)</f>
        <v>0</v>
      </c>
      <c r="Z421" s="1">
        <f>value(IFERROR(SUBSTITUTE(SUBSTITUTE(VLOOKUP(A421,'Quarterly Pipeline vs Target Pi'!A:G,7,false)," $","")," €",""), "")
)</f>
        <v>0</v>
      </c>
      <c r="AA421" s="17" t="str">
        <f t="shared" si="9"/>
        <v/>
      </c>
      <c r="AB421" s="1">
        <f>value(IFERROR(SUBSTITUTE(SUBSTITUTE(VLOOKUP($A421,'Quarterly Pipeline vs Target Pi'!$A:$V,11,false)," $","")," €",""), "")
)</f>
        <v>0</v>
      </c>
      <c r="AC421" s="1">
        <f>value(IFERROR(SUBSTITUTE(SUBSTITUTE(VLOOKUP($A421,'Quarterly Pipeline vs Target Pi'!$A:$V,12,false)," $","")," €",""), "")
)</f>
        <v>0</v>
      </c>
      <c r="AD421" s="17" t="str">
        <f t="shared" si="10"/>
        <v/>
      </c>
      <c r="AE421" s="1">
        <f>value(IFERROR(SUBSTITUTE(SUBSTITUTE(VLOOKUP($A421,'Quarterly Pipeline vs Target Pi'!$A:$V,16,false)," $","")," €",""), "")
)</f>
        <v>0</v>
      </c>
      <c r="AF421" s="1">
        <f>value(IFERROR(SUBSTITUTE(SUBSTITUTE(VLOOKUP($A421,'Quarterly Pipeline vs Target Pi'!$A:$V,17,false)," $","")," €",""), "")
)</f>
        <v>0</v>
      </c>
      <c r="AG421" s="17" t="str">
        <f t="shared" si="11"/>
        <v/>
      </c>
      <c r="AH421" s="1">
        <f>value(IFERROR(SUBSTITUTE(SUBSTITUTE(VLOOKUP($A421,'Quarterly Pipeline vs Target Pi'!$A:$V,21,false)," $","")," €",""), "")
)</f>
        <v>0</v>
      </c>
      <c r="AI421" s="1">
        <f>value(IFERROR(SUBSTITUTE(SUBSTITUTE(VLOOKUP($A421,'Quarterly Pipeline vs Target Pi'!$A:$V,22,false)," $","")," €",""), "")
)</f>
        <v>0</v>
      </c>
      <c r="AJ421" s="17" t="str">
        <f t="shared" si="12"/>
        <v/>
      </c>
      <c r="AK421" s="1">
        <f t="shared" ref="AK421:AL421" si="855">sum(Y421,AB421,AE421,AH421)</f>
        <v>0</v>
      </c>
      <c r="AL421" s="1">
        <f t="shared" si="855"/>
        <v>0</v>
      </c>
      <c r="AM421" s="17" t="str">
        <f t="shared" si="14"/>
        <v/>
      </c>
      <c r="AN421" s="1">
        <f>value(IFERROR(SUBSTITUTE(SUBSTITUTE(VLOOKUP($A421,'Quarterly Pipeline vs Target Pi'!$A:$AP,26,false)," $","")," €",""), "")
)</f>
        <v>0</v>
      </c>
      <c r="AO421" s="1">
        <f>value(IFERROR(SUBSTITUTE(SUBSTITUTE(VLOOKUP($A421,'Quarterly Pipeline vs Target Pi'!$A:$AP,27,false)," $","")," €",""), "")
)</f>
        <v>0</v>
      </c>
      <c r="AP421" s="17" t="str">
        <f t="shared" si="15"/>
        <v/>
      </c>
      <c r="AQ421" s="1">
        <f>value(IFERROR(SUBSTITUTE(SUBSTITUTE(VLOOKUP($A421,'Quarterly Pipeline vs Target Pi'!$A:$AP,31,false)," $","")," €",""), "")
)</f>
        <v>0</v>
      </c>
      <c r="AR421" s="1">
        <f>value(IFERROR(SUBSTITUTE(SUBSTITUTE(VLOOKUP($A421,'Quarterly Pipeline vs Target Pi'!$A:$AP,32,false)," $","")," €",""), "")
)</f>
        <v>0</v>
      </c>
      <c r="AS421" s="17" t="str">
        <f t="shared" si="16"/>
        <v/>
      </c>
      <c r="AT421" s="1">
        <f>value(IFERROR(SUBSTITUTE(SUBSTITUTE(VLOOKUP($A421,'Quarterly Pipeline vs Target Pi'!$A:$AP,36,false)," $","")," €",""), "")
)</f>
        <v>0</v>
      </c>
      <c r="AU421" s="1">
        <f>value(IFERROR(SUBSTITUTE(SUBSTITUTE(VLOOKUP($A421,'Quarterly Pipeline vs Target Pi'!$A:$AP,37,false)," $","")," €",""), "")
)</f>
        <v>0</v>
      </c>
      <c r="AV421" s="17" t="str">
        <f t="shared" si="17"/>
        <v/>
      </c>
      <c r="AW421" s="1">
        <f>value(IFERROR(SUBSTITUTE(SUBSTITUTE(VLOOKUP($A421,'Quarterly Pipeline vs Target Pi'!$A:$AP,41,false)," $","")," €",""), "")
)</f>
        <v>0</v>
      </c>
      <c r="AX421" s="1">
        <f>value(IFERROR(SUBSTITUTE(SUBSTITUTE(VLOOKUP($A421,'Quarterly Pipeline vs Target Pi'!$A:$AP,42,false)," $","")," €",""), "")
)</f>
        <v>0</v>
      </c>
      <c r="AY421" s="17" t="str">
        <f t="shared" si="18"/>
        <v/>
      </c>
      <c r="AZ421" s="1">
        <f t="shared" ref="AZ421:BA421" si="856">sum(AN421,AQ421,AT421,AW421)</f>
        <v>0</v>
      </c>
      <c r="BA421" s="1">
        <f t="shared" si="856"/>
        <v>0</v>
      </c>
      <c r="BB421" s="17" t="str">
        <f t="shared" si="20"/>
        <v/>
      </c>
    </row>
    <row r="422">
      <c r="A422" s="1" t="str">
        <f>IFERROR(__xludf.DUMMYFUNCTION("""COMPUTED_VALUE"""),"6643796fda88cedd7d0edad2")</f>
        <v>6643796fda88cedd7d0edad2</v>
      </c>
      <c r="B422" s="1" t="str">
        <f>IFERROR(__xludf.DUMMYFUNCTION("""COMPUTED_VALUE"""),"TDL Canada")</f>
        <v>TDL Canada</v>
      </c>
      <c r="C422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422" s="1" t="str">
        <f>IFERROR(__xludf.DUMMYFUNCTION("""COMPUTED_VALUE"""),"americas")</f>
        <v>americas</v>
      </c>
      <c r="E422" s="1" t="str">
        <f>IFERROR(__xludf.DUMMYFUNCTION("""COMPUTED_VALUE"""),"CA")</f>
        <v>CA</v>
      </c>
      <c r="F422" s="1" t="str">
        <f>IFERROR(__xludf.DUMMYFUNCTION("""COMPUTED_VALUE"""),"distributor")</f>
        <v>distributor</v>
      </c>
      <c r="G422" s="1">
        <f>iferror(VLOOKUP(A422,'Business Plan Setup and Accepta'!A:G,6,false),"")</f>
        <v>0</v>
      </c>
      <c r="H422" s="1">
        <f>iferror(VLOOKUP(A422,'Business Plan Setup and Accepta'!A:G,7,false),"")</f>
        <v>1</v>
      </c>
      <c r="I422" s="17">
        <f t="shared" si="3"/>
        <v>0</v>
      </c>
      <c r="J422" s="1">
        <f>IFERROR(VALUE(SUBSTITUTE(VLOOKUP(A422,'Sales IN Revenues vs Sales targ'!A:G,6,false)," $","")), "")
</f>
        <v>0.6</v>
      </c>
      <c r="K422" s="1">
        <f>IFERROR(VALUE(SUBSTITUTE(VLOOKUP(A422,'Sales IN Revenues vs Sales targ'!A:G,7,false)," $","")), "")
</f>
        <v>250</v>
      </c>
      <c r="L422" s="17">
        <f t="shared" si="4"/>
        <v>0.0024</v>
      </c>
      <c r="M422" s="1">
        <f>value(SUBSTITUTE(IFERROR(VLOOKUP(A422,'Certifications achievements vs '!A:G,6,false),""),"#","")
)</f>
        <v>0</v>
      </c>
      <c r="N422" s="1">
        <f>value(SUBSTITUTE(IFERROR(VLOOKUP(A422,'Certifications achievements vs '!A:G,7,false),""),"#","")
)</f>
        <v>3</v>
      </c>
      <c r="O422" s="17">
        <f t="shared" si="5"/>
        <v>0</v>
      </c>
      <c r="P422" s="1">
        <f>value(SUBSTITUTE(IFERROR(VLOOKUP(A422,'Communications - Solution Speci'!A:G,6,false),""),"#","")
)</f>
        <v>0</v>
      </c>
      <c r="Q422" s="1">
        <f>value(SUBSTITUTE(IFERROR(VLOOKUP(A422,'Communications - Solution Speci'!A:G,7,false),""),"#","")
)</f>
        <v>1</v>
      </c>
      <c r="R422" s="17">
        <f t="shared" si="6"/>
        <v>0</v>
      </c>
      <c r="S422" s="1">
        <f>value(SUBSTITUTE(IFERROR(VLOOKUP(A422,'Networking - Solution Specializ'!A:G,6,false),""),"#","")
)</f>
        <v>0</v>
      </c>
      <c r="T422" s="1">
        <f>value(SUBSTITUTE(IFERROR(VLOOKUP(A422,'Networking - Solution Specializ'!A:G,7,false),""),"#","")
)</f>
        <v>1</v>
      </c>
      <c r="U422" s="17">
        <f t="shared" si="7"/>
        <v>0</v>
      </c>
      <c r="V422" s="1">
        <f>iferror(vlookup(A422,'Marketing Plan (extract summary'!A:G,6,false),"")</f>
        <v>0</v>
      </c>
      <c r="W422" s="1">
        <f>iferror(vlookup(A422,'Marketing Plan (extract summary'!A:G,7,false),"")</f>
        <v>1</v>
      </c>
      <c r="X422" s="17">
        <f t="shared" si="8"/>
        <v>0</v>
      </c>
      <c r="Y422" s="1">
        <f>value(IFERROR(SUBSTITUTE(SUBSTITUTE(VLOOKUP(A422,'Quarterly Pipeline vs Target Pi'!A:G,6,false)," $","")," €",""), "")
)</f>
        <v>0</v>
      </c>
      <c r="Z422" s="1">
        <f>value(IFERROR(SUBSTITUTE(SUBSTITUTE(VLOOKUP(A422,'Quarterly Pipeline vs Target Pi'!A:G,7,false)," $","")," €",""), "")
)</f>
        <v>0</v>
      </c>
      <c r="AA422" s="17" t="str">
        <f t="shared" si="9"/>
        <v/>
      </c>
      <c r="AB422" s="1">
        <f>value(IFERROR(SUBSTITUTE(SUBSTITUTE(VLOOKUP($A422,'Quarterly Pipeline vs Target Pi'!$A:$V,11,false)," $","")," €",""), "")
)</f>
        <v>0</v>
      </c>
      <c r="AC422" s="1">
        <f>value(IFERROR(SUBSTITUTE(SUBSTITUTE(VLOOKUP($A422,'Quarterly Pipeline vs Target Pi'!$A:$V,12,false)," $","")," €",""), "")
)</f>
        <v>6.67</v>
      </c>
      <c r="AD422" s="17">
        <f t="shared" si="10"/>
        <v>0</v>
      </c>
      <c r="AE422" s="1">
        <f>value(IFERROR(SUBSTITUTE(SUBSTITUTE(VLOOKUP($A422,'Quarterly Pipeline vs Target Pi'!$A:$V,16,false)," $","")," €",""), "")
)</f>
        <v>0</v>
      </c>
      <c r="AF422" s="1">
        <f>value(IFERROR(SUBSTITUTE(SUBSTITUTE(VLOOKUP($A422,'Quarterly Pipeline vs Target Pi'!$A:$V,17,false)," $","")," €",""), "")
)</f>
        <v>223.33</v>
      </c>
      <c r="AG422" s="17">
        <f t="shared" si="11"/>
        <v>0</v>
      </c>
      <c r="AH422" s="1">
        <f>value(IFERROR(SUBSTITUTE(SUBSTITUTE(VLOOKUP($A422,'Quarterly Pipeline vs Target Pi'!$A:$V,21,false)," $","")," €",""), "")
)</f>
        <v>0</v>
      </c>
      <c r="AI422" s="1">
        <f>value(IFERROR(SUBSTITUTE(SUBSTITUTE(VLOOKUP($A422,'Quarterly Pipeline vs Target Pi'!$A:$V,22,false)," $","")," €",""), "")
)</f>
        <v>599.98</v>
      </c>
      <c r="AJ422" s="17">
        <f t="shared" si="12"/>
        <v>0</v>
      </c>
      <c r="AK422" s="1">
        <f t="shared" ref="AK422:AL422" si="857">sum(Y422,AB422,AE422,AH422)</f>
        <v>0</v>
      </c>
      <c r="AL422" s="1">
        <f t="shared" si="857"/>
        <v>829.98</v>
      </c>
      <c r="AM422" s="17">
        <f t="shared" si="14"/>
        <v>0</v>
      </c>
      <c r="AN422" s="1">
        <f>value(IFERROR(SUBSTITUTE(SUBSTITUTE(VLOOKUP($A422,'Quarterly Pipeline vs Target Pi'!$A:$AP,26,false)," $","")," €",""), "")
)</f>
        <v>0</v>
      </c>
      <c r="AO422" s="1">
        <f>value(IFERROR(SUBSTITUTE(SUBSTITUTE(VLOOKUP($A422,'Quarterly Pipeline vs Target Pi'!$A:$AP,27,false)," $","")," €",""), "")
)</f>
        <v>0</v>
      </c>
      <c r="AP422" s="17" t="str">
        <f t="shared" si="15"/>
        <v/>
      </c>
      <c r="AQ422" s="1">
        <f>value(IFERROR(SUBSTITUTE(SUBSTITUTE(VLOOKUP($A422,'Quarterly Pipeline vs Target Pi'!$A:$AP,31,false)," $","")," €",""), "")
)</f>
        <v>0</v>
      </c>
      <c r="AR422" s="1">
        <f>value(IFERROR(SUBSTITUTE(SUBSTITUTE(VLOOKUP($A422,'Quarterly Pipeline vs Target Pi'!$A:$AP,32,false)," $","")," €",""), "")
)</f>
        <v>0</v>
      </c>
      <c r="AS422" s="17" t="str">
        <f t="shared" si="16"/>
        <v/>
      </c>
      <c r="AT422" s="1">
        <f>value(IFERROR(SUBSTITUTE(SUBSTITUTE(VLOOKUP($A422,'Quarterly Pipeline vs Target Pi'!$A:$AP,36,false)," $","")," €",""), "")
)</f>
        <v>0</v>
      </c>
      <c r="AU422" s="1">
        <f>value(IFERROR(SUBSTITUTE(SUBSTITUTE(VLOOKUP($A422,'Quarterly Pipeline vs Target Pi'!$A:$AP,37,false)," $","")," €",""), "")
)</f>
        <v>0</v>
      </c>
      <c r="AV422" s="17" t="str">
        <f t="shared" si="17"/>
        <v/>
      </c>
      <c r="AW422" s="1">
        <f>value(IFERROR(SUBSTITUTE(SUBSTITUTE(VLOOKUP($A422,'Quarterly Pipeline vs Target Pi'!$A:$AP,41,false)," $","")," €",""), "")
)</f>
        <v>0</v>
      </c>
      <c r="AX422" s="1">
        <f>value(IFERROR(SUBSTITUTE(SUBSTITUTE(VLOOKUP($A422,'Quarterly Pipeline vs Target Pi'!$A:$AP,42,false)," $","")," €",""), "")
)</f>
        <v>0</v>
      </c>
      <c r="AY422" s="17" t="str">
        <f t="shared" si="18"/>
        <v/>
      </c>
      <c r="AZ422" s="1">
        <f t="shared" ref="AZ422:BA422" si="858">sum(AN422,AQ422,AT422,AW422)</f>
        <v>0</v>
      </c>
      <c r="BA422" s="1">
        <f t="shared" si="858"/>
        <v>0</v>
      </c>
      <c r="BB422" s="17" t="str">
        <f t="shared" si="20"/>
        <v/>
      </c>
    </row>
    <row r="423">
      <c r="A423" s="1" t="str">
        <f>IFERROR(__xludf.DUMMYFUNCTION("""COMPUTED_VALUE"""),"63ced845c5c820531c2686cc")</f>
        <v>63ced845c5c820531c2686cc</v>
      </c>
      <c r="B423" s="1" t="str">
        <f>IFERROR(__xludf.DUMMYFUNCTION("""COMPUTED_VALUE"""),"technology experts GmbH &amp; Co. KG")</f>
        <v>technology experts GmbH &amp; Co. KG</v>
      </c>
      <c r="C423" s="1" t="str">
        <f>IFERROR(__xludf.DUMMYFUNCTION("""COMPUTED_VALUE"""),"andreas.grossheimann@al-enterprise.com, katrin.pfeiffer@al-enterprise.com, holger.viktor@al-enterprise.com, sibylle.klopfer@al-enterprise.com, igor.leko@al-enterprise.com")</f>
        <v>andreas.grossheimann@al-enterprise.com, katrin.pfeiffer@al-enterprise.com, holger.viktor@al-enterprise.com, sibylle.klopfer@al-enterprise.com, igor.leko@al-enterprise.com</v>
      </c>
      <c r="D423" s="1" t="str">
        <f>IFERROR(__xludf.DUMMYFUNCTION("""COMPUTED_VALUE"""),"germany")</f>
        <v>germany</v>
      </c>
      <c r="E423" s="1" t="str">
        <f>IFERROR(__xludf.DUMMYFUNCTION("""COMPUTED_VALUE"""),"DE")</f>
        <v>DE</v>
      </c>
      <c r="F423" s="1" t="str">
        <f>IFERROR(__xludf.DUMMYFUNCTION("""COMPUTED_VALUE"""),"expert_1000")</f>
        <v>expert_1000</v>
      </c>
      <c r="G423" s="1">
        <f>iferror(VLOOKUP(A423,'Business Plan Setup and Accepta'!A:G,6,false),"")</f>
        <v>1</v>
      </c>
      <c r="H423" s="1">
        <f>iferror(VLOOKUP(A423,'Business Plan Setup and Accepta'!A:G,7,false),"")</f>
        <v>1</v>
      </c>
      <c r="I423" s="17">
        <f t="shared" si="3"/>
        <v>1</v>
      </c>
      <c r="J423" s="1">
        <f>IFERROR(VALUE(SUBSTITUTE(VLOOKUP(A423,'Sales IN Revenues vs Sales targ'!A:G,6,false)," $","")), "")
</f>
        <v>717.92</v>
      </c>
      <c r="K423" s="1">
        <f>IFERROR(VALUE(SUBSTITUTE(VLOOKUP(A423,'Sales IN Revenues vs Sales targ'!A:G,7,false)," $","")), "")
</f>
        <v>1500</v>
      </c>
      <c r="L423" s="17">
        <f t="shared" si="4"/>
        <v>0.4786133333</v>
      </c>
      <c r="M423" s="1">
        <f>value(SUBSTITUTE(IFERROR(VLOOKUP(A423,'Certifications achievements vs '!A:G,6,false),""),"#","")
)</f>
        <v>58</v>
      </c>
      <c r="N423" s="1">
        <f>value(SUBSTITUTE(IFERROR(VLOOKUP(A423,'Certifications achievements vs '!A:G,7,false),""),"#","")
)</f>
        <v>52</v>
      </c>
      <c r="O423" s="17">
        <f t="shared" si="5"/>
        <v>1.115384615</v>
      </c>
      <c r="P423" s="1">
        <f>value(SUBSTITUTE(IFERROR(VLOOKUP(A423,'Communications - Solution Speci'!A:G,6,false),""),"#","")
)</f>
        <v>1</v>
      </c>
      <c r="Q423" s="1">
        <f>value(SUBSTITUTE(IFERROR(VLOOKUP(A423,'Communications - Solution Speci'!A:G,7,false),""),"#","")
)</f>
        <v>1</v>
      </c>
      <c r="R423" s="17">
        <f t="shared" si="6"/>
        <v>1</v>
      </c>
      <c r="S423" s="1">
        <f>value(SUBSTITUTE(IFERROR(VLOOKUP(A423,'Networking - Solution Specializ'!A:G,6,false),""),"#","")
)</f>
        <v>1</v>
      </c>
      <c r="T423" s="1">
        <f>value(SUBSTITUTE(IFERROR(VLOOKUP(A423,'Networking - Solution Specializ'!A:G,7,false),""),"#","")
)</f>
        <v>1</v>
      </c>
      <c r="U423" s="17">
        <f t="shared" si="7"/>
        <v>1</v>
      </c>
      <c r="V423" s="1">
        <f>iferror(vlookup(A423,'Marketing Plan (extract summary'!A:G,6,false),"")</f>
        <v>0</v>
      </c>
      <c r="W423" s="1">
        <f>iferror(vlookup(A423,'Marketing Plan (extract summary'!A:G,7,false),"")</f>
        <v>1</v>
      </c>
      <c r="X423" s="17">
        <f t="shared" si="8"/>
        <v>0</v>
      </c>
      <c r="Y423" s="1">
        <f>value(IFERROR(SUBSTITUTE(SUBSTITUTE(VLOOKUP(A423,'Quarterly Pipeline vs Target Pi'!A:G,6,false)," $","")," €",""), "")
)</f>
        <v>7.38</v>
      </c>
      <c r="Z423" s="1">
        <f>value(IFERROR(SUBSTITUTE(SUBSTITUTE(VLOOKUP(A423,'Quarterly Pipeline vs Target Pi'!A:G,7,false)," $","")," €",""), "")
)</f>
        <v>0</v>
      </c>
      <c r="AA423" s="17" t="str">
        <f t="shared" si="9"/>
        <v/>
      </c>
      <c r="AB423" s="1">
        <f>value(IFERROR(SUBSTITUTE(SUBSTITUTE(VLOOKUP($A423,'Quarterly Pipeline vs Target Pi'!$A:$V,11,false)," $","")," €",""), "")
)</f>
        <v>12.67</v>
      </c>
      <c r="AC423" s="1">
        <f>value(IFERROR(SUBSTITUTE(SUBSTITUTE(VLOOKUP($A423,'Quarterly Pipeline vs Target Pi'!$A:$V,12,false)," $","")," €",""), "")
)</f>
        <v>814.89</v>
      </c>
      <c r="AD423" s="17">
        <f t="shared" si="10"/>
        <v>0.01554811079</v>
      </c>
      <c r="AE423" s="1">
        <f>value(IFERROR(SUBSTITUTE(SUBSTITUTE(VLOOKUP($A423,'Quarterly Pipeline vs Target Pi'!$A:$V,16,false)," $","")," €",""), "")
)</f>
        <v>453.5</v>
      </c>
      <c r="AF423" s="1">
        <f>value(IFERROR(SUBSTITUTE(SUBSTITUTE(VLOOKUP($A423,'Quarterly Pipeline vs Target Pi'!$A:$V,17,false)," $","")," €",""), "")
)</f>
        <v>772.34</v>
      </c>
      <c r="AG423" s="17">
        <f t="shared" si="11"/>
        <v>0.5871766321</v>
      </c>
      <c r="AH423" s="1">
        <f>value(IFERROR(SUBSTITUTE(SUBSTITUTE(VLOOKUP($A423,'Quarterly Pipeline vs Target Pi'!$A:$V,21,false)," $","")," €",""), "")
)</f>
        <v>1334.62</v>
      </c>
      <c r="AI423" s="1">
        <f>value(IFERROR(SUBSTITUTE(SUBSTITUTE(VLOOKUP($A423,'Quarterly Pipeline vs Target Pi'!$A:$V,22,false)," $","")," €",""), "")
)</f>
        <v>893.62</v>
      </c>
      <c r="AJ423" s="17">
        <f t="shared" si="12"/>
        <v>1.493498355</v>
      </c>
      <c r="AK423" s="1">
        <f t="shared" ref="AK423:AL423" si="859">sum(Y423,AB423,AE423,AH423)</f>
        <v>1808.17</v>
      </c>
      <c r="AL423" s="1">
        <f t="shared" si="859"/>
        <v>2480.85</v>
      </c>
      <c r="AM423" s="17">
        <f t="shared" si="14"/>
        <v>0.7288509986</v>
      </c>
      <c r="AN423" s="1">
        <f>value(IFERROR(SUBSTITUTE(SUBSTITUTE(VLOOKUP($A423,'Quarterly Pipeline vs Target Pi'!$A:$AP,26,false)," $","")," €",""), "")
)</f>
        <v>261.21</v>
      </c>
      <c r="AO423" s="1">
        <f>value(IFERROR(SUBSTITUTE(SUBSTITUTE(VLOOKUP($A423,'Quarterly Pipeline vs Target Pi'!$A:$AP,27,false)," $","")," €",""), "")
)</f>
        <v>0</v>
      </c>
      <c r="AP423" s="17" t="str">
        <f t="shared" si="15"/>
        <v/>
      </c>
      <c r="AQ423" s="1">
        <f>value(IFERROR(SUBSTITUTE(SUBSTITUTE(VLOOKUP($A423,'Quarterly Pipeline vs Target Pi'!$A:$AP,31,false)," $","")," €",""), "")
)</f>
        <v>780.41</v>
      </c>
      <c r="AR423" s="1">
        <f>value(IFERROR(SUBSTITUTE(SUBSTITUTE(VLOOKUP($A423,'Quarterly Pipeline vs Target Pi'!$A:$AP,32,false)," $","")," €",""), "")
)</f>
        <v>0</v>
      </c>
      <c r="AS423" s="17" t="str">
        <f t="shared" si="16"/>
        <v/>
      </c>
      <c r="AT423" s="1">
        <f>value(IFERROR(SUBSTITUTE(SUBSTITUTE(VLOOKUP($A423,'Quarterly Pipeline vs Target Pi'!$A:$AP,36,false)," $","")," €",""), "")
)</f>
        <v>0</v>
      </c>
      <c r="AU423" s="1">
        <f>value(IFERROR(SUBSTITUTE(SUBSTITUTE(VLOOKUP($A423,'Quarterly Pipeline vs Target Pi'!$A:$AP,37,false)," $","")," €",""), "")
)</f>
        <v>0</v>
      </c>
      <c r="AV423" s="17" t="str">
        <f t="shared" si="17"/>
        <v/>
      </c>
      <c r="AW423" s="1">
        <f>value(IFERROR(SUBSTITUTE(SUBSTITUTE(VLOOKUP($A423,'Quarterly Pipeline vs Target Pi'!$A:$AP,41,false)," $","")," €",""), "")
)</f>
        <v>525.14</v>
      </c>
      <c r="AX423" s="1">
        <f>value(IFERROR(SUBSTITUTE(SUBSTITUTE(VLOOKUP($A423,'Quarterly Pipeline vs Target Pi'!$A:$AP,42,false)," $","")," €",""), "")
)</f>
        <v>0</v>
      </c>
      <c r="AY423" s="17" t="str">
        <f t="shared" si="18"/>
        <v/>
      </c>
      <c r="AZ423" s="1">
        <f t="shared" ref="AZ423:BA423" si="860">sum(AN423,AQ423,AT423,AW423)</f>
        <v>1566.76</v>
      </c>
      <c r="BA423" s="1">
        <f t="shared" si="860"/>
        <v>0</v>
      </c>
      <c r="BB423" s="17" t="str">
        <f t="shared" si="20"/>
        <v/>
      </c>
    </row>
    <row r="424">
      <c r="A424" s="1" t="str">
        <f>IFERROR(__xludf.DUMMYFUNCTION("""COMPUTED_VALUE"""),"63ef9d55384f27260c1b9fc5")</f>
        <v>63ef9d55384f27260c1b9fc5</v>
      </c>
      <c r="B424" s="1" t="str">
        <f>IFERROR(__xludf.DUMMYFUNCTION("""COMPUTED_VALUE"""),"TECNIMART SL")</f>
        <v>TECNIMART SL</v>
      </c>
      <c r="C424" s="1" t="str">
        <f>IFERROR(__xludf.DUMMYFUNCTION("""COMPUTED_VALUE"""),"mario.madrid-bustos@al-enterprise.com, astrid.savorani@al-enterprise.com, marcos.rodriguez@al-enterprise.com")</f>
        <v>mario.madrid-bustos@al-enterprise.com, astrid.savorani@al-enterprise.com, marcos.rodriguez@al-enterprise.com</v>
      </c>
      <c r="D424" s="1" t="str">
        <f>IFERROR(__xludf.DUMMYFUNCTION("""COMPUTED_VALUE"""),"emea")</f>
        <v>emea</v>
      </c>
      <c r="E424" s="1" t="str">
        <f>IFERROR(__xludf.DUMMYFUNCTION("""COMPUTED_VALUE"""),"ES")</f>
        <v>ES</v>
      </c>
      <c r="F424" s="1" t="str">
        <f>IFERROR(__xludf.DUMMYFUNCTION("""COMPUTED_VALUE"""),"expert_1000")</f>
        <v>expert_1000</v>
      </c>
      <c r="G424" s="1">
        <f>iferror(VLOOKUP(A424,'Business Plan Setup and Accepta'!A:G,6,false),"")</f>
        <v>1</v>
      </c>
      <c r="H424" s="1">
        <f>iferror(VLOOKUP(A424,'Business Plan Setup and Accepta'!A:G,7,false),"")</f>
        <v>1</v>
      </c>
      <c r="I424" s="17">
        <f t="shared" si="3"/>
        <v>1</v>
      </c>
      <c r="J424" s="1">
        <f>IFERROR(VALUE(SUBSTITUTE(VLOOKUP(A424,'Sales IN Revenues vs Sales targ'!A:G,6,false)," $","")), "")
</f>
        <v>562.97</v>
      </c>
      <c r="K424" s="1">
        <f>IFERROR(VALUE(SUBSTITUTE(VLOOKUP(A424,'Sales IN Revenues vs Sales targ'!A:G,7,false)," $","")), "")
</f>
        <v>1000</v>
      </c>
      <c r="L424" s="17">
        <f t="shared" si="4"/>
        <v>0.56297</v>
      </c>
      <c r="M424" s="1">
        <f>value(SUBSTITUTE(IFERROR(VLOOKUP(A424,'Certifications achievements vs '!A:G,6,false),""),"#","")
)</f>
        <v>30</v>
      </c>
      <c r="N424" s="1">
        <f>value(SUBSTITUTE(IFERROR(VLOOKUP(A424,'Certifications achievements vs '!A:G,7,false),""),"#","")
)</f>
        <v>52</v>
      </c>
      <c r="O424" s="17">
        <f t="shared" si="5"/>
        <v>0.5769230769</v>
      </c>
      <c r="P424" s="1">
        <f>value(SUBSTITUTE(IFERROR(VLOOKUP(A424,'Communications - Solution Speci'!A:G,6,false),""),"#","")
)</f>
        <v>0</v>
      </c>
      <c r="Q424" s="1">
        <f>value(SUBSTITUTE(IFERROR(VLOOKUP(A424,'Communications - Solution Speci'!A:G,7,false),""),"#","")
)</f>
        <v>1</v>
      </c>
      <c r="R424" s="17">
        <f t="shared" si="6"/>
        <v>0</v>
      </c>
      <c r="S424" s="1">
        <f>value(SUBSTITUTE(IFERROR(VLOOKUP(A424,'Networking - Solution Specializ'!A:G,6,false),""),"#","")
)</f>
        <v>0</v>
      </c>
      <c r="T424" s="1">
        <f>value(SUBSTITUTE(IFERROR(VLOOKUP(A424,'Networking - Solution Specializ'!A:G,7,false),""),"#","")
)</f>
        <v>1</v>
      </c>
      <c r="U424" s="17">
        <f t="shared" si="7"/>
        <v>0</v>
      </c>
      <c r="V424" s="1">
        <f>iferror(vlookup(A424,'Marketing Plan (extract summary'!A:G,6,false),"")</f>
        <v>0</v>
      </c>
      <c r="W424" s="1">
        <f>iferror(vlookup(A424,'Marketing Plan (extract summary'!A:G,7,false),"")</f>
        <v>1</v>
      </c>
      <c r="X424" s="17">
        <f t="shared" si="8"/>
        <v>0</v>
      </c>
      <c r="Y424" s="1">
        <f>value(IFERROR(SUBSTITUTE(SUBSTITUTE(VLOOKUP(A424,'Quarterly Pipeline vs Target Pi'!A:G,6,false)," $","")," €",""), "")
)</f>
        <v>2.75</v>
      </c>
      <c r="Z424" s="1">
        <f>value(IFERROR(SUBSTITUTE(SUBSTITUTE(VLOOKUP(A424,'Quarterly Pipeline vs Target Pi'!A:G,7,false)," $","")," €",""), "")
)</f>
        <v>0</v>
      </c>
      <c r="AA424" s="17" t="str">
        <f t="shared" si="9"/>
        <v/>
      </c>
      <c r="AB424" s="1">
        <f>value(IFERROR(SUBSTITUTE(SUBSTITUTE(VLOOKUP($A424,'Quarterly Pipeline vs Target Pi'!$A:$V,11,false)," $","")," €",""), "")
)</f>
        <v>0.52</v>
      </c>
      <c r="AC424" s="1">
        <f>value(IFERROR(SUBSTITUTE(SUBSTITUTE(VLOOKUP($A424,'Quarterly Pipeline vs Target Pi'!$A:$V,12,false)," $","")," €",""), "")
)</f>
        <v>471.7</v>
      </c>
      <c r="AD424" s="17">
        <f t="shared" si="10"/>
        <v>0.00110239559</v>
      </c>
      <c r="AE424" s="1">
        <f>value(IFERROR(SUBSTITUTE(SUBSTITUTE(VLOOKUP($A424,'Quarterly Pipeline vs Target Pi'!$A:$V,16,false)," $","")," €",""), "")
)</f>
        <v>98.48</v>
      </c>
      <c r="AF424" s="1">
        <f>value(IFERROR(SUBSTITUTE(SUBSTITUTE(VLOOKUP($A424,'Quarterly Pipeline vs Target Pi'!$A:$V,17,false)," $","")," €",""), "")
)</f>
        <v>471.7</v>
      </c>
      <c r="AG424" s="17">
        <f t="shared" si="11"/>
        <v>0.2087767649</v>
      </c>
      <c r="AH424" s="1">
        <f>value(IFERROR(SUBSTITUTE(SUBSTITUTE(VLOOKUP($A424,'Quarterly Pipeline vs Target Pi'!$A:$V,21,false)," $","")," €",""), "")
)</f>
        <v>1109.98</v>
      </c>
      <c r="AI424" s="1">
        <f>value(IFERROR(SUBSTITUTE(SUBSTITUTE(VLOOKUP($A424,'Quarterly Pipeline vs Target Pi'!$A:$V,22,false)," $","")," €",""), "")
)</f>
        <v>471.7</v>
      </c>
      <c r="AJ424" s="17">
        <f t="shared" si="12"/>
        <v>2.353148187</v>
      </c>
      <c r="AK424" s="1">
        <f t="shared" ref="AK424:AL424" si="861">sum(Y424,AB424,AE424,AH424)</f>
        <v>1211.73</v>
      </c>
      <c r="AL424" s="1">
        <f t="shared" si="861"/>
        <v>1415.1</v>
      </c>
      <c r="AM424" s="17">
        <f t="shared" si="14"/>
        <v>0.8562857749</v>
      </c>
      <c r="AN424" s="1">
        <f>value(IFERROR(SUBSTITUTE(SUBSTITUTE(VLOOKUP($A424,'Quarterly Pipeline vs Target Pi'!$A:$AP,26,false)," $","")," €",""), "")
)</f>
        <v>22.53</v>
      </c>
      <c r="AO424" s="1">
        <f>value(IFERROR(SUBSTITUTE(SUBSTITUTE(VLOOKUP($A424,'Quarterly Pipeline vs Target Pi'!$A:$AP,27,false)," $","")," €",""), "")
)</f>
        <v>0</v>
      </c>
      <c r="AP424" s="17" t="str">
        <f t="shared" si="15"/>
        <v/>
      </c>
      <c r="AQ424" s="1">
        <f>value(IFERROR(SUBSTITUTE(SUBSTITUTE(VLOOKUP($A424,'Quarterly Pipeline vs Target Pi'!$A:$AP,31,false)," $","")," €",""), "")
)</f>
        <v>87.24</v>
      </c>
      <c r="AR424" s="1">
        <f>value(IFERROR(SUBSTITUTE(SUBSTITUTE(VLOOKUP($A424,'Quarterly Pipeline vs Target Pi'!$A:$AP,32,false)," $","")," €",""), "")
)</f>
        <v>0</v>
      </c>
      <c r="AS424" s="17" t="str">
        <f t="shared" si="16"/>
        <v/>
      </c>
      <c r="AT424" s="1">
        <f>value(IFERROR(SUBSTITUTE(SUBSTITUTE(VLOOKUP($A424,'Quarterly Pipeline vs Target Pi'!$A:$AP,36,false)," $","")," €",""), "")
)</f>
        <v>5114.5</v>
      </c>
      <c r="AU424" s="1">
        <f>value(IFERROR(SUBSTITUTE(SUBSTITUTE(VLOOKUP($A424,'Quarterly Pipeline vs Target Pi'!$A:$AP,37,false)," $","")," €",""), "")
)</f>
        <v>0</v>
      </c>
      <c r="AV424" s="17" t="str">
        <f t="shared" si="17"/>
        <v/>
      </c>
      <c r="AW424" s="1">
        <f>value(IFERROR(SUBSTITUTE(SUBSTITUTE(VLOOKUP($A424,'Quarterly Pipeline vs Target Pi'!$A:$AP,41,false)," $","")," €",""), "")
)</f>
        <v>1.39</v>
      </c>
      <c r="AX424" s="1">
        <f>value(IFERROR(SUBSTITUTE(SUBSTITUTE(VLOOKUP($A424,'Quarterly Pipeline vs Target Pi'!$A:$AP,42,false)," $","")," €",""), "")
)</f>
        <v>0</v>
      </c>
      <c r="AY424" s="17" t="str">
        <f t="shared" si="18"/>
        <v/>
      </c>
      <c r="AZ424" s="1">
        <f t="shared" ref="AZ424:BA424" si="862">sum(AN424,AQ424,AT424,AW424)</f>
        <v>5225.66</v>
      </c>
      <c r="BA424" s="1">
        <f t="shared" si="862"/>
        <v>0</v>
      </c>
      <c r="BB424" s="17" t="str">
        <f t="shared" si="20"/>
        <v/>
      </c>
    </row>
    <row r="425">
      <c r="A425" s="1" t="str">
        <f>IFERROR(__xludf.DUMMYFUNCTION("""COMPUTED_VALUE"""),"63ced84ec5c820531c26987e")</f>
        <v>63ced84ec5c820531c26987e</v>
      </c>
      <c r="B425" s="1" t="str">
        <f>IFERROR(__xludf.DUMMYFUNCTION("""COMPUTED_VALUE"""),"Tel-Com Systems of Ohio")</f>
        <v>Tel-Com Systems of Ohio</v>
      </c>
      <c r="C425" s="1" t="str">
        <f>IFERROR(__xludf.DUMMYFUNCTION("""COMPUTED_VALUE"""),"brendan.flaherty@al-enterprise.com")</f>
        <v>brendan.flaherty@al-enterprise.com</v>
      </c>
      <c r="D425" s="1" t="str">
        <f>IFERROR(__xludf.DUMMYFUNCTION("""COMPUTED_VALUE"""),"americas")</f>
        <v>americas</v>
      </c>
      <c r="E425" s="1" t="str">
        <f>IFERROR(__xludf.DUMMYFUNCTION("""COMPUTED_VALUE"""),"US")</f>
        <v>US</v>
      </c>
      <c r="F425" s="1"/>
      <c r="G425" s="1" t="str">
        <f>iferror(VLOOKUP(A425,'Business Plan Setup and Accepta'!A:G,6,false),"")</f>
        <v/>
      </c>
      <c r="H425" s="1" t="str">
        <f>iferror(VLOOKUP(A425,'Business Plan Setup and Accepta'!A:G,7,false),"")</f>
        <v/>
      </c>
      <c r="I425" s="17" t="str">
        <f t="shared" si="3"/>
        <v/>
      </c>
      <c r="J425" s="1" t="str">
        <f>IFERROR(VALUE(SUBSTITUTE(VLOOKUP(A425,'Sales IN Revenues vs Sales targ'!A:G,6,false)," $","")), "")
</f>
        <v/>
      </c>
      <c r="K425" s="1" t="str">
        <f>IFERROR(VALUE(SUBSTITUTE(VLOOKUP(A425,'Sales IN Revenues vs Sales targ'!A:G,7,false)," $","")), "")
</f>
        <v/>
      </c>
      <c r="L425" s="17" t="str">
        <f t="shared" si="4"/>
        <v/>
      </c>
      <c r="M425" s="1">
        <f>value(SUBSTITUTE(IFERROR(VLOOKUP(A425,'Certifications achievements vs '!A:G,6,false),""),"#","")
)</f>
        <v>0</v>
      </c>
      <c r="N425" s="1">
        <f>value(SUBSTITUTE(IFERROR(VLOOKUP(A425,'Certifications achievements vs '!A:G,7,false),""),"#","")
)</f>
        <v>0</v>
      </c>
      <c r="O425" s="17" t="str">
        <f t="shared" si="5"/>
        <v/>
      </c>
      <c r="P425" s="1">
        <f>value(SUBSTITUTE(IFERROR(VLOOKUP(A425,'Communications - Solution Speci'!A:G,6,false),""),"#","")
)</f>
        <v>0</v>
      </c>
      <c r="Q425" s="1">
        <f>value(SUBSTITUTE(IFERROR(VLOOKUP(A425,'Communications - Solution Speci'!A:G,7,false),""),"#","")
)</f>
        <v>0</v>
      </c>
      <c r="R425" s="17" t="str">
        <f t="shared" si="6"/>
        <v/>
      </c>
      <c r="S425" s="1">
        <f>value(SUBSTITUTE(IFERROR(VLOOKUP(A425,'Networking - Solution Specializ'!A:G,6,false),""),"#","")
)</f>
        <v>0</v>
      </c>
      <c r="T425" s="1">
        <f>value(SUBSTITUTE(IFERROR(VLOOKUP(A425,'Networking - Solution Specializ'!A:G,7,false),""),"#","")
)</f>
        <v>0</v>
      </c>
      <c r="U425" s="17" t="str">
        <f t="shared" si="7"/>
        <v/>
      </c>
      <c r="V425" s="1" t="str">
        <f>iferror(vlookup(A425,'Marketing Plan (extract summary'!A:G,6,false),"")</f>
        <v/>
      </c>
      <c r="W425" s="1" t="str">
        <f>iferror(vlookup(A425,'Marketing Plan (extract summary'!A:G,7,false),"")</f>
        <v/>
      </c>
      <c r="X425" s="17" t="str">
        <f t="shared" si="8"/>
        <v/>
      </c>
      <c r="Y425" s="1">
        <f>value(IFERROR(SUBSTITUTE(SUBSTITUTE(VLOOKUP(A425,'Quarterly Pipeline vs Target Pi'!A:G,6,false)," $","")," €",""), "")
)</f>
        <v>0</v>
      </c>
      <c r="Z425" s="1">
        <f>value(IFERROR(SUBSTITUTE(SUBSTITUTE(VLOOKUP(A425,'Quarterly Pipeline vs Target Pi'!A:G,7,false)," $","")," €",""), "")
)</f>
        <v>0</v>
      </c>
      <c r="AA425" s="17" t="str">
        <f t="shared" si="9"/>
        <v/>
      </c>
      <c r="AB425" s="1">
        <f>value(IFERROR(SUBSTITUTE(SUBSTITUTE(VLOOKUP($A425,'Quarterly Pipeline vs Target Pi'!$A:$V,11,false)," $","")," €",""), "")
)</f>
        <v>0</v>
      </c>
      <c r="AC425" s="1">
        <f>value(IFERROR(SUBSTITUTE(SUBSTITUTE(VLOOKUP($A425,'Quarterly Pipeline vs Target Pi'!$A:$V,12,false)," $","")," €",""), "")
)</f>
        <v>0</v>
      </c>
      <c r="AD425" s="17" t="str">
        <f t="shared" si="10"/>
        <v/>
      </c>
      <c r="AE425" s="1">
        <f>value(IFERROR(SUBSTITUTE(SUBSTITUTE(VLOOKUP($A425,'Quarterly Pipeline vs Target Pi'!$A:$V,16,false)," $","")," €",""), "")
)</f>
        <v>0</v>
      </c>
      <c r="AF425" s="1">
        <f>value(IFERROR(SUBSTITUTE(SUBSTITUTE(VLOOKUP($A425,'Quarterly Pipeline vs Target Pi'!$A:$V,17,false)," $","")," €",""), "")
)</f>
        <v>0</v>
      </c>
      <c r="AG425" s="17" t="str">
        <f t="shared" si="11"/>
        <v/>
      </c>
      <c r="AH425" s="1">
        <f>value(IFERROR(SUBSTITUTE(SUBSTITUTE(VLOOKUP($A425,'Quarterly Pipeline vs Target Pi'!$A:$V,21,false)," $","")," €",""), "")
)</f>
        <v>0</v>
      </c>
      <c r="AI425" s="1">
        <f>value(IFERROR(SUBSTITUTE(SUBSTITUTE(VLOOKUP($A425,'Quarterly Pipeline vs Target Pi'!$A:$V,22,false)," $","")," €",""), "")
)</f>
        <v>0</v>
      </c>
      <c r="AJ425" s="17" t="str">
        <f t="shared" si="12"/>
        <v/>
      </c>
      <c r="AK425" s="1">
        <f t="shared" ref="AK425:AL425" si="863">sum(Y425,AB425,AE425,AH425)</f>
        <v>0</v>
      </c>
      <c r="AL425" s="1">
        <f t="shared" si="863"/>
        <v>0</v>
      </c>
      <c r="AM425" s="17" t="str">
        <f t="shared" si="14"/>
        <v/>
      </c>
      <c r="AN425" s="1">
        <f>value(IFERROR(SUBSTITUTE(SUBSTITUTE(VLOOKUP($A425,'Quarterly Pipeline vs Target Pi'!$A:$AP,26,false)," $","")," €",""), "")
)</f>
        <v>0</v>
      </c>
      <c r="AO425" s="1">
        <f>value(IFERROR(SUBSTITUTE(SUBSTITUTE(VLOOKUP($A425,'Quarterly Pipeline vs Target Pi'!$A:$AP,27,false)," $","")," €",""), "")
)</f>
        <v>0</v>
      </c>
      <c r="AP425" s="17" t="str">
        <f t="shared" si="15"/>
        <v/>
      </c>
      <c r="AQ425" s="1">
        <f>value(IFERROR(SUBSTITUTE(SUBSTITUTE(VLOOKUP($A425,'Quarterly Pipeline vs Target Pi'!$A:$AP,31,false)," $","")," €",""), "")
)</f>
        <v>0</v>
      </c>
      <c r="AR425" s="1">
        <f>value(IFERROR(SUBSTITUTE(SUBSTITUTE(VLOOKUP($A425,'Quarterly Pipeline vs Target Pi'!$A:$AP,32,false)," $","")," €",""), "")
)</f>
        <v>0</v>
      </c>
      <c r="AS425" s="17" t="str">
        <f t="shared" si="16"/>
        <v/>
      </c>
      <c r="AT425" s="1">
        <f>value(IFERROR(SUBSTITUTE(SUBSTITUTE(VLOOKUP($A425,'Quarterly Pipeline vs Target Pi'!$A:$AP,36,false)," $","")," €",""), "")
)</f>
        <v>0</v>
      </c>
      <c r="AU425" s="1">
        <f>value(IFERROR(SUBSTITUTE(SUBSTITUTE(VLOOKUP($A425,'Quarterly Pipeline vs Target Pi'!$A:$AP,37,false)," $","")," €",""), "")
)</f>
        <v>0</v>
      </c>
      <c r="AV425" s="17" t="str">
        <f t="shared" si="17"/>
        <v/>
      </c>
      <c r="AW425" s="1">
        <f>value(IFERROR(SUBSTITUTE(SUBSTITUTE(VLOOKUP($A425,'Quarterly Pipeline vs Target Pi'!$A:$AP,41,false)," $","")," €",""), "")
)</f>
        <v>0</v>
      </c>
      <c r="AX425" s="1">
        <f>value(IFERROR(SUBSTITUTE(SUBSTITUTE(VLOOKUP($A425,'Quarterly Pipeline vs Target Pi'!$A:$AP,42,false)," $","")," €",""), "")
)</f>
        <v>0</v>
      </c>
      <c r="AY425" s="17" t="str">
        <f t="shared" si="18"/>
        <v/>
      </c>
      <c r="AZ425" s="1">
        <f t="shared" ref="AZ425:BA425" si="864">sum(AN425,AQ425,AT425,AW425)</f>
        <v>0</v>
      </c>
      <c r="BA425" s="1">
        <f t="shared" si="864"/>
        <v>0</v>
      </c>
      <c r="BB425" s="17" t="str">
        <f t="shared" si="20"/>
        <v/>
      </c>
    </row>
    <row r="426">
      <c r="A426" s="1" t="str">
        <f>IFERROR(__xludf.DUMMYFUNCTION("""COMPUTED_VALUE"""),"63fcbb7ea107c871cf564875")</f>
        <v>63fcbb7ea107c871cf564875</v>
      </c>
      <c r="B426" s="1" t="str">
        <f>IFERROR(__xludf.DUMMYFUNCTION("""COMPUTED_VALUE"""),"TELALCA S.A.")</f>
        <v>TELALCA S.A.</v>
      </c>
      <c r="C426" s="1" t="str">
        <f>IFERROR(__xludf.DUMMYFUNCTION("""COMPUTED_VALUE"""),"carolina.rodriguez@al-enterprise.com")</f>
        <v>carolina.rodriguez@al-enterprise.com</v>
      </c>
      <c r="D426" s="1" t="str">
        <f>IFERROR(__xludf.DUMMYFUNCTION("""COMPUTED_VALUE"""),"americas")</f>
        <v>americas</v>
      </c>
      <c r="E426" s="1" t="str">
        <f>IFERROR(__xludf.DUMMYFUNCTION("""COMPUTED_VALUE"""),"EC")</f>
        <v>EC</v>
      </c>
      <c r="F426" s="1"/>
      <c r="G426" s="1" t="str">
        <f>iferror(VLOOKUP(A426,'Business Plan Setup and Accepta'!A:G,6,false),"")</f>
        <v/>
      </c>
      <c r="H426" s="1" t="str">
        <f>iferror(VLOOKUP(A426,'Business Plan Setup and Accepta'!A:G,7,false),"")</f>
        <v/>
      </c>
      <c r="I426" s="17" t="str">
        <f t="shared" si="3"/>
        <v/>
      </c>
      <c r="J426" s="1" t="str">
        <f>IFERROR(VALUE(SUBSTITUTE(VLOOKUP(A426,'Sales IN Revenues vs Sales targ'!A:G,6,false)," $","")), "")
</f>
        <v/>
      </c>
      <c r="K426" s="1" t="str">
        <f>IFERROR(VALUE(SUBSTITUTE(VLOOKUP(A426,'Sales IN Revenues vs Sales targ'!A:G,7,false)," $","")), "")
</f>
        <v/>
      </c>
      <c r="L426" s="17" t="str">
        <f t="shared" si="4"/>
        <v/>
      </c>
      <c r="M426" s="1">
        <f>value(SUBSTITUTE(IFERROR(VLOOKUP(A426,'Certifications achievements vs '!A:G,6,false),""),"#","")
)</f>
        <v>38</v>
      </c>
      <c r="N426" s="1">
        <f>value(SUBSTITUTE(IFERROR(VLOOKUP(A426,'Certifications achievements vs '!A:G,7,false),""),"#","")
)</f>
        <v>52</v>
      </c>
      <c r="O426" s="17">
        <f t="shared" si="5"/>
        <v>0.7307692308</v>
      </c>
      <c r="P426" s="1">
        <f>value(SUBSTITUTE(IFERROR(VLOOKUP(A426,'Communications - Solution Speci'!A:G,6,false),""),"#","")
)</f>
        <v>0</v>
      </c>
      <c r="Q426" s="1">
        <f>value(SUBSTITUTE(IFERROR(VLOOKUP(A426,'Communications - Solution Speci'!A:G,7,false),""),"#","")
)</f>
        <v>0</v>
      </c>
      <c r="R426" s="17" t="str">
        <f t="shared" si="6"/>
        <v/>
      </c>
      <c r="S426" s="1">
        <f>value(SUBSTITUTE(IFERROR(VLOOKUP(A426,'Networking - Solution Specializ'!A:G,6,false),""),"#","")
)</f>
        <v>0</v>
      </c>
      <c r="T426" s="1">
        <f>value(SUBSTITUTE(IFERROR(VLOOKUP(A426,'Networking - Solution Specializ'!A:G,7,false),""),"#","")
)</f>
        <v>0</v>
      </c>
      <c r="U426" s="17" t="str">
        <f t="shared" si="7"/>
        <v/>
      </c>
      <c r="V426" s="1" t="str">
        <f>iferror(vlookup(A426,'Marketing Plan (extract summary'!A:G,6,false),"")</f>
        <v/>
      </c>
      <c r="W426" s="1" t="str">
        <f>iferror(vlookup(A426,'Marketing Plan (extract summary'!A:G,7,false),"")</f>
        <v/>
      </c>
      <c r="X426" s="17" t="str">
        <f t="shared" si="8"/>
        <v/>
      </c>
      <c r="Y426" s="1">
        <f>value(IFERROR(SUBSTITUTE(SUBSTITUTE(VLOOKUP(A426,'Quarterly Pipeline vs Target Pi'!A:G,6,false)," $","")," €",""), "")
)</f>
        <v>0</v>
      </c>
      <c r="Z426" s="1">
        <f>value(IFERROR(SUBSTITUTE(SUBSTITUTE(VLOOKUP(A426,'Quarterly Pipeline vs Target Pi'!A:G,7,false)," $","")," €",""), "")
)</f>
        <v>0</v>
      </c>
      <c r="AA426" s="17" t="str">
        <f t="shared" si="9"/>
        <v/>
      </c>
      <c r="AB426" s="1">
        <f>value(IFERROR(SUBSTITUTE(SUBSTITUTE(VLOOKUP($A426,'Quarterly Pipeline vs Target Pi'!$A:$V,11,false)," $","")," €",""), "")
)</f>
        <v>0</v>
      </c>
      <c r="AC426" s="1">
        <f>value(IFERROR(SUBSTITUTE(SUBSTITUTE(VLOOKUP($A426,'Quarterly Pipeline vs Target Pi'!$A:$V,12,false)," $","")," €",""), "")
)</f>
        <v>0</v>
      </c>
      <c r="AD426" s="17" t="str">
        <f t="shared" si="10"/>
        <v/>
      </c>
      <c r="AE426" s="1">
        <f>value(IFERROR(SUBSTITUTE(SUBSTITUTE(VLOOKUP($A426,'Quarterly Pipeline vs Target Pi'!$A:$V,16,false)," $","")," €",""), "")
)</f>
        <v>0</v>
      </c>
      <c r="AF426" s="1">
        <f>value(IFERROR(SUBSTITUTE(SUBSTITUTE(VLOOKUP($A426,'Quarterly Pipeline vs Target Pi'!$A:$V,17,false)," $","")," €",""), "")
)</f>
        <v>0</v>
      </c>
      <c r="AG426" s="17" t="str">
        <f t="shared" si="11"/>
        <v/>
      </c>
      <c r="AH426" s="1">
        <f>value(IFERROR(SUBSTITUTE(SUBSTITUTE(VLOOKUP($A426,'Quarterly Pipeline vs Target Pi'!$A:$V,21,false)," $","")," €",""), "")
)</f>
        <v>0</v>
      </c>
      <c r="AI426" s="1">
        <f>value(IFERROR(SUBSTITUTE(SUBSTITUTE(VLOOKUP($A426,'Quarterly Pipeline vs Target Pi'!$A:$V,22,false)," $","")," €",""), "")
)</f>
        <v>0</v>
      </c>
      <c r="AJ426" s="17" t="str">
        <f t="shared" si="12"/>
        <v/>
      </c>
      <c r="AK426" s="1">
        <f t="shared" ref="AK426:AL426" si="865">sum(Y426,AB426,AE426,AH426)</f>
        <v>0</v>
      </c>
      <c r="AL426" s="1">
        <f t="shared" si="865"/>
        <v>0</v>
      </c>
      <c r="AM426" s="17" t="str">
        <f t="shared" si="14"/>
        <v/>
      </c>
      <c r="AN426" s="1">
        <f>value(IFERROR(SUBSTITUTE(SUBSTITUTE(VLOOKUP($A426,'Quarterly Pipeline vs Target Pi'!$A:$AP,26,false)," $","")," €",""), "")
)</f>
        <v>0</v>
      </c>
      <c r="AO426" s="1">
        <f>value(IFERROR(SUBSTITUTE(SUBSTITUTE(VLOOKUP($A426,'Quarterly Pipeline vs Target Pi'!$A:$AP,27,false)," $","")," €",""), "")
)</f>
        <v>0</v>
      </c>
      <c r="AP426" s="17" t="str">
        <f t="shared" si="15"/>
        <v/>
      </c>
      <c r="AQ426" s="1">
        <f>value(IFERROR(SUBSTITUTE(SUBSTITUTE(VLOOKUP($A426,'Quarterly Pipeline vs Target Pi'!$A:$AP,31,false)," $","")," €",""), "")
)</f>
        <v>0</v>
      </c>
      <c r="AR426" s="1">
        <f>value(IFERROR(SUBSTITUTE(SUBSTITUTE(VLOOKUP($A426,'Quarterly Pipeline vs Target Pi'!$A:$AP,32,false)," $","")," €",""), "")
)</f>
        <v>0</v>
      </c>
      <c r="AS426" s="17" t="str">
        <f t="shared" si="16"/>
        <v/>
      </c>
      <c r="AT426" s="1">
        <f>value(IFERROR(SUBSTITUTE(SUBSTITUTE(VLOOKUP($A426,'Quarterly Pipeline vs Target Pi'!$A:$AP,36,false)," $","")," €",""), "")
)</f>
        <v>0</v>
      </c>
      <c r="AU426" s="1">
        <f>value(IFERROR(SUBSTITUTE(SUBSTITUTE(VLOOKUP($A426,'Quarterly Pipeline vs Target Pi'!$A:$AP,37,false)," $","")," €",""), "")
)</f>
        <v>0</v>
      </c>
      <c r="AV426" s="17" t="str">
        <f t="shared" si="17"/>
        <v/>
      </c>
      <c r="AW426" s="1">
        <f>value(IFERROR(SUBSTITUTE(SUBSTITUTE(VLOOKUP($A426,'Quarterly Pipeline vs Target Pi'!$A:$AP,41,false)," $","")," €",""), "")
)</f>
        <v>0</v>
      </c>
      <c r="AX426" s="1">
        <f>value(IFERROR(SUBSTITUTE(SUBSTITUTE(VLOOKUP($A426,'Quarterly Pipeline vs Target Pi'!$A:$AP,42,false)," $","")," €",""), "")
)</f>
        <v>0</v>
      </c>
      <c r="AY426" s="17" t="str">
        <f t="shared" si="18"/>
        <v/>
      </c>
      <c r="AZ426" s="1">
        <f t="shared" ref="AZ426:BA426" si="866">sum(AN426,AQ426,AT426,AW426)</f>
        <v>0</v>
      </c>
      <c r="BA426" s="1">
        <f t="shared" si="866"/>
        <v>0</v>
      </c>
      <c r="BB426" s="17" t="str">
        <f t="shared" si="20"/>
        <v/>
      </c>
    </row>
    <row r="427">
      <c r="A427" s="1" t="str">
        <f>IFERROR(__xludf.DUMMYFUNCTION("""COMPUTED_VALUE"""),"63ced849c5c820531c268ee2")</f>
        <v>63ced849c5c820531c268ee2</v>
      </c>
      <c r="B427" s="1" t="str">
        <f>IFERROR(__xludf.DUMMYFUNCTION("""COMPUTED_VALUE"""),"TELCOLOMBIA SAS")</f>
        <v>TELCOLOMBIA SAS</v>
      </c>
      <c r="C427" s="1" t="str">
        <f>IFERROR(__xludf.DUMMYFUNCTION("""COMPUTED_VALUE"""),"carolina.rodriguez@al-enterprise.com")</f>
        <v>carolina.rodriguez@al-enterprise.com</v>
      </c>
      <c r="D427" s="1" t="str">
        <f>IFERROR(__xludf.DUMMYFUNCTION("""COMPUTED_VALUE"""),"americas")</f>
        <v>americas</v>
      </c>
      <c r="E427" s="1" t="str">
        <f>IFERROR(__xludf.DUMMYFUNCTION("""COMPUTED_VALUE"""),"CO")</f>
        <v>CO</v>
      </c>
      <c r="F427" s="1"/>
      <c r="G427" s="1" t="str">
        <f>iferror(VLOOKUP(A427,'Business Plan Setup and Accepta'!A:G,6,false),"")</f>
        <v/>
      </c>
      <c r="H427" s="1" t="str">
        <f>iferror(VLOOKUP(A427,'Business Plan Setup and Accepta'!A:G,7,false),"")</f>
        <v/>
      </c>
      <c r="I427" s="17" t="str">
        <f t="shared" si="3"/>
        <v/>
      </c>
      <c r="J427" s="1" t="str">
        <f>IFERROR(VALUE(SUBSTITUTE(VLOOKUP(A427,'Sales IN Revenues vs Sales targ'!A:G,6,false)," $","")), "")
</f>
        <v/>
      </c>
      <c r="K427" s="1" t="str">
        <f>IFERROR(VALUE(SUBSTITUTE(VLOOKUP(A427,'Sales IN Revenues vs Sales targ'!A:G,7,false)," $","")), "")
</f>
        <v/>
      </c>
      <c r="L427" s="17" t="str">
        <f t="shared" si="4"/>
        <v/>
      </c>
      <c r="M427" s="1">
        <f>value(SUBSTITUTE(IFERROR(VLOOKUP(A427,'Certifications achievements vs '!A:G,6,false),""),"#","")
)</f>
        <v>0</v>
      </c>
      <c r="N427" s="1">
        <f>value(SUBSTITUTE(IFERROR(VLOOKUP(A427,'Certifications achievements vs '!A:G,7,false),""),"#","")
)</f>
        <v>0</v>
      </c>
      <c r="O427" s="17" t="str">
        <f t="shared" si="5"/>
        <v/>
      </c>
      <c r="P427" s="1">
        <f>value(SUBSTITUTE(IFERROR(VLOOKUP(A427,'Communications - Solution Speci'!A:G,6,false),""),"#","")
)</f>
        <v>0</v>
      </c>
      <c r="Q427" s="1">
        <f>value(SUBSTITUTE(IFERROR(VLOOKUP(A427,'Communications - Solution Speci'!A:G,7,false),""),"#","")
)</f>
        <v>0</v>
      </c>
      <c r="R427" s="17" t="str">
        <f t="shared" si="6"/>
        <v/>
      </c>
      <c r="S427" s="1">
        <f>value(SUBSTITUTE(IFERROR(VLOOKUP(A427,'Networking - Solution Specializ'!A:G,6,false),""),"#","")
)</f>
        <v>0</v>
      </c>
      <c r="T427" s="1">
        <f>value(SUBSTITUTE(IFERROR(VLOOKUP(A427,'Networking - Solution Specializ'!A:G,7,false),""),"#","")
)</f>
        <v>0</v>
      </c>
      <c r="U427" s="17" t="str">
        <f t="shared" si="7"/>
        <v/>
      </c>
      <c r="V427" s="1" t="str">
        <f>iferror(vlookup(A427,'Marketing Plan (extract summary'!A:G,6,false),"")</f>
        <v/>
      </c>
      <c r="W427" s="1" t="str">
        <f>iferror(vlookup(A427,'Marketing Plan (extract summary'!A:G,7,false),"")</f>
        <v/>
      </c>
      <c r="X427" s="17" t="str">
        <f t="shared" si="8"/>
        <v/>
      </c>
      <c r="Y427" s="1">
        <f>value(IFERROR(SUBSTITUTE(SUBSTITUTE(VLOOKUP(A427,'Quarterly Pipeline vs Target Pi'!A:G,6,false)," $","")," €",""), "")
)</f>
        <v>0</v>
      </c>
      <c r="Z427" s="1">
        <f>value(IFERROR(SUBSTITUTE(SUBSTITUTE(VLOOKUP(A427,'Quarterly Pipeline vs Target Pi'!A:G,7,false)," $","")," €",""), "")
)</f>
        <v>0</v>
      </c>
      <c r="AA427" s="17" t="str">
        <f t="shared" si="9"/>
        <v/>
      </c>
      <c r="AB427" s="1">
        <f>value(IFERROR(SUBSTITUTE(SUBSTITUTE(VLOOKUP($A427,'Quarterly Pipeline vs Target Pi'!$A:$V,11,false)," $","")," €",""), "")
)</f>
        <v>0</v>
      </c>
      <c r="AC427" s="1">
        <f>value(IFERROR(SUBSTITUTE(SUBSTITUTE(VLOOKUP($A427,'Quarterly Pipeline vs Target Pi'!$A:$V,12,false)," $","")," €",""), "")
)</f>
        <v>0</v>
      </c>
      <c r="AD427" s="17" t="str">
        <f t="shared" si="10"/>
        <v/>
      </c>
      <c r="AE427" s="1">
        <f>value(IFERROR(SUBSTITUTE(SUBSTITUTE(VLOOKUP($A427,'Quarterly Pipeline vs Target Pi'!$A:$V,16,false)," $","")," €",""), "")
)</f>
        <v>0</v>
      </c>
      <c r="AF427" s="1">
        <f>value(IFERROR(SUBSTITUTE(SUBSTITUTE(VLOOKUP($A427,'Quarterly Pipeline vs Target Pi'!$A:$V,17,false)," $","")," €",""), "")
)</f>
        <v>0</v>
      </c>
      <c r="AG427" s="17" t="str">
        <f t="shared" si="11"/>
        <v/>
      </c>
      <c r="AH427" s="1">
        <f>value(IFERROR(SUBSTITUTE(SUBSTITUTE(VLOOKUP($A427,'Quarterly Pipeline vs Target Pi'!$A:$V,21,false)," $","")," €",""), "")
)</f>
        <v>0</v>
      </c>
      <c r="AI427" s="1">
        <f>value(IFERROR(SUBSTITUTE(SUBSTITUTE(VLOOKUP($A427,'Quarterly Pipeline vs Target Pi'!$A:$V,22,false)," $","")," €",""), "")
)</f>
        <v>0</v>
      </c>
      <c r="AJ427" s="17" t="str">
        <f t="shared" si="12"/>
        <v/>
      </c>
      <c r="AK427" s="1">
        <f t="shared" ref="AK427:AL427" si="867">sum(Y427,AB427,AE427,AH427)</f>
        <v>0</v>
      </c>
      <c r="AL427" s="1">
        <f t="shared" si="867"/>
        <v>0</v>
      </c>
      <c r="AM427" s="17" t="str">
        <f t="shared" si="14"/>
        <v/>
      </c>
      <c r="AN427" s="1">
        <f>value(IFERROR(SUBSTITUTE(SUBSTITUTE(VLOOKUP($A427,'Quarterly Pipeline vs Target Pi'!$A:$AP,26,false)," $","")," €",""), "")
)</f>
        <v>0</v>
      </c>
      <c r="AO427" s="1">
        <f>value(IFERROR(SUBSTITUTE(SUBSTITUTE(VLOOKUP($A427,'Quarterly Pipeline vs Target Pi'!$A:$AP,27,false)," $","")," €",""), "")
)</f>
        <v>0</v>
      </c>
      <c r="AP427" s="17" t="str">
        <f t="shared" si="15"/>
        <v/>
      </c>
      <c r="AQ427" s="1">
        <f>value(IFERROR(SUBSTITUTE(SUBSTITUTE(VLOOKUP($A427,'Quarterly Pipeline vs Target Pi'!$A:$AP,31,false)," $","")," €",""), "")
)</f>
        <v>0</v>
      </c>
      <c r="AR427" s="1">
        <f>value(IFERROR(SUBSTITUTE(SUBSTITUTE(VLOOKUP($A427,'Quarterly Pipeline vs Target Pi'!$A:$AP,32,false)," $","")," €",""), "")
)</f>
        <v>0</v>
      </c>
      <c r="AS427" s="17" t="str">
        <f t="shared" si="16"/>
        <v/>
      </c>
      <c r="AT427" s="1">
        <f>value(IFERROR(SUBSTITUTE(SUBSTITUTE(VLOOKUP($A427,'Quarterly Pipeline vs Target Pi'!$A:$AP,36,false)," $","")," €",""), "")
)</f>
        <v>0</v>
      </c>
      <c r="AU427" s="1">
        <f>value(IFERROR(SUBSTITUTE(SUBSTITUTE(VLOOKUP($A427,'Quarterly Pipeline vs Target Pi'!$A:$AP,37,false)," $","")," €",""), "")
)</f>
        <v>0</v>
      </c>
      <c r="AV427" s="17" t="str">
        <f t="shared" si="17"/>
        <v/>
      </c>
      <c r="AW427" s="1">
        <f>value(IFERROR(SUBSTITUTE(SUBSTITUTE(VLOOKUP($A427,'Quarterly Pipeline vs Target Pi'!$A:$AP,41,false)," $","")," €",""), "")
)</f>
        <v>0</v>
      </c>
      <c r="AX427" s="1">
        <f>value(IFERROR(SUBSTITUTE(SUBSTITUTE(VLOOKUP($A427,'Quarterly Pipeline vs Target Pi'!$A:$AP,42,false)," $","")," €",""), "")
)</f>
        <v>0</v>
      </c>
      <c r="AY427" s="17" t="str">
        <f t="shared" si="18"/>
        <v/>
      </c>
      <c r="AZ427" s="1">
        <f t="shared" ref="AZ427:BA427" si="868">sum(AN427,AQ427,AT427,AW427)</f>
        <v>0</v>
      </c>
      <c r="BA427" s="1">
        <f t="shared" si="868"/>
        <v>0</v>
      </c>
      <c r="BB427" s="17" t="str">
        <f t="shared" si="20"/>
        <v/>
      </c>
    </row>
    <row r="428">
      <c r="A428" s="1" t="str">
        <f>IFERROR(__xludf.DUMMYFUNCTION("""COMPUTED_VALUE"""),"63ced843c5c820531c2681d1")</f>
        <v>63ced843c5c820531c2681d1</v>
      </c>
      <c r="B428" s="1" t="str">
        <f>IFERROR(__xludf.DUMMYFUNCTION("""COMPUTED_VALUE"""),"TELEBUREAU CA")</f>
        <v>TELEBUREAU CA</v>
      </c>
      <c r="C428" s="1" t="str">
        <f>IFERROR(__xludf.DUMMYFUNCTION("""COMPUTED_VALUE"""),"javier.largacha@al-enterprise.com")</f>
        <v>javier.largacha@al-enterprise.com</v>
      </c>
      <c r="D428" s="1" t="str">
        <f>IFERROR(__xludf.DUMMYFUNCTION("""COMPUTED_VALUE"""),"americas")</f>
        <v>americas</v>
      </c>
      <c r="E428" s="1" t="str">
        <f>IFERROR(__xludf.DUMMYFUNCTION("""COMPUTED_VALUE"""),"VE")</f>
        <v>VE</v>
      </c>
      <c r="F428" s="1"/>
      <c r="G428" s="1" t="str">
        <f>iferror(VLOOKUP(A428,'Business Plan Setup and Accepta'!A:G,6,false),"")</f>
        <v/>
      </c>
      <c r="H428" s="1" t="str">
        <f>iferror(VLOOKUP(A428,'Business Plan Setup and Accepta'!A:G,7,false),"")</f>
        <v/>
      </c>
      <c r="I428" s="17" t="str">
        <f t="shared" si="3"/>
        <v/>
      </c>
      <c r="J428" s="1" t="str">
        <f>IFERROR(VALUE(SUBSTITUTE(VLOOKUP(A428,'Sales IN Revenues vs Sales targ'!A:G,6,false)," $","")), "")
</f>
        <v/>
      </c>
      <c r="K428" s="1" t="str">
        <f>IFERROR(VALUE(SUBSTITUTE(VLOOKUP(A428,'Sales IN Revenues vs Sales targ'!A:G,7,false)," $","")), "")
</f>
        <v/>
      </c>
      <c r="L428" s="17" t="str">
        <f t="shared" si="4"/>
        <v/>
      </c>
      <c r="M428" s="1">
        <f>value(SUBSTITUTE(IFERROR(VLOOKUP(A428,'Certifications achievements vs '!A:G,6,false),""),"#","")
)</f>
        <v>0</v>
      </c>
      <c r="N428" s="1">
        <f>value(SUBSTITUTE(IFERROR(VLOOKUP(A428,'Certifications achievements vs '!A:G,7,false),""),"#","")
)</f>
        <v>0</v>
      </c>
      <c r="O428" s="17" t="str">
        <f t="shared" si="5"/>
        <v/>
      </c>
      <c r="P428" s="1">
        <f>value(SUBSTITUTE(IFERROR(VLOOKUP(A428,'Communications - Solution Speci'!A:G,6,false),""),"#","")
)</f>
        <v>0</v>
      </c>
      <c r="Q428" s="1">
        <f>value(SUBSTITUTE(IFERROR(VLOOKUP(A428,'Communications - Solution Speci'!A:G,7,false),""),"#","")
)</f>
        <v>0</v>
      </c>
      <c r="R428" s="17" t="str">
        <f t="shared" si="6"/>
        <v/>
      </c>
      <c r="S428" s="1">
        <f>value(SUBSTITUTE(IFERROR(VLOOKUP(A428,'Networking - Solution Specializ'!A:G,6,false),""),"#","")
)</f>
        <v>0</v>
      </c>
      <c r="T428" s="1">
        <f>value(SUBSTITUTE(IFERROR(VLOOKUP(A428,'Networking - Solution Specializ'!A:G,7,false),""),"#","")
)</f>
        <v>0</v>
      </c>
      <c r="U428" s="17" t="str">
        <f t="shared" si="7"/>
        <v/>
      </c>
      <c r="V428" s="1" t="str">
        <f>iferror(vlookup(A428,'Marketing Plan (extract summary'!A:G,6,false),"")</f>
        <v/>
      </c>
      <c r="W428" s="1" t="str">
        <f>iferror(vlookup(A428,'Marketing Plan (extract summary'!A:G,7,false),"")</f>
        <v/>
      </c>
      <c r="X428" s="17" t="str">
        <f t="shared" si="8"/>
        <v/>
      </c>
      <c r="Y428" s="1">
        <f>value(IFERROR(SUBSTITUTE(SUBSTITUTE(VLOOKUP(A428,'Quarterly Pipeline vs Target Pi'!A:G,6,false)," $","")," €",""), "")
)</f>
        <v>0</v>
      </c>
      <c r="Z428" s="1">
        <f>value(IFERROR(SUBSTITUTE(SUBSTITUTE(VLOOKUP(A428,'Quarterly Pipeline vs Target Pi'!A:G,7,false)," $","")," €",""), "")
)</f>
        <v>0</v>
      </c>
      <c r="AA428" s="17" t="str">
        <f t="shared" si="9"/>
        <v/>
      </c>
      <c r="AB428" s="1">
        <f>value(IFERROR(SUBSTITUTE(SUBSTITUTE(VLOOKUP($A428,'Quarterly Pipeline vs Target Pi'!$A:$V,11,false)," $","")," €",""), "")
)</f>
        <v>0</v>
      </c>
      <c r="AC428" s="1">
        <f>value(IFERROR(SUBSTITUTE(SUBSTITUTE(VLOOKUP($A428,'Quarterly Pipeline vs Target Pi'!$A:$V,12,false)," $","")," €",""), "")
)</f>
        <v>0</v>
      </c>
      <c r="AD428" s="17" t="str">
        <f t="shared" si="10"/>
        <v/>
      </c>
      <c r="AE428" s="1">
        <f>value(IFERROR(SUBSTITUTE(SUBSTITUTE(VLOOKUP($A428,'Quarterly Pipeline vs Target Pi'!$A:$V,16,false)," $","")," €",""), "")
)</f>
        <v>0</v>
      </c>
      <c r="AF428" s="1">
        <f>value(IFERROR(SUBSTITUTE(SUBSTITUTE(VLOOKUP($A428,'Quarterly Pipeline vs Target Pi'!$A:$V,17,false)," $","")," €",""), "")
)</f>
        <v>0</v>
      </c>
      <c r="AG428" s="17" t="str">
        <f t="shared" si="11"/>
        <v/>
      </c>
      <c r="AH428" s="1">
        <f>value(IFERROR(SUBSTITUTE(SUBSTITUTE(VLOOKUP($A428,'Quarterly Pipeline vs Target Pi'!$A:$V,21,false)," $","")," €",""), "")
)</f>
        <v>0</v>
      </c>
      <c r="AI428" s="1">
        <f>value(IFERROR(SUBSTITUTE(SUBSTITUTE(VLOOKUP($A428,'Quarterly Pipeline vs Target Pi'!$A:$V,22,false)," $","")," €",""), "")
)</f>
        <v>0</v>
      </c>
      <c r="AJ428" s="17" t="str">
        <f t="shared" si="12"/>
        <v/>
      </c>
      <c r="AK428" s="1">
        <f t="shared" ref="AK428:AL428" si="869">sum(Y428,AB428,AE428,AH428)</f>
        <v>0</v>
      </c>
      <c r="AL428" s="1">
        <f t="shared" si="869"/>
        <v>0</v>
      </c>
      <c r="AM428" s="17" t="str">
        <f t="shared" si="14"/>
        <v/>
      </c>
      <c r="AN428" s="1">
        <f>value(IFERROR(SUBSTITUTE(SUBSTITUTE(VLOOKUP($A428,'Quarterly Pipeline vs Target Pi'!$A:$AP,26,false)," $","")," €",""), "")
)</f>
        <v>0</v>
      </c>
      <c r="AO428" s="1">
        <f>value(IFERROR(SUBSTITUTE(SUBSTITUTE(VLOOKUP($A428,'Quarterly Pipeline vs Target Pi'!$A:$AP,27,false)," $","")," €",""), "")
)</f>
        <v>0</v>
      </c>
      <c r="AP428" s="17" t="str">
        <f t="shared" si="15"/>
        <v/>
      </c>
      <c r="AQ428" s="1">
        <f>value(IFERROR(SUBSTITUTE(SUBSTITUTE(VLOOKUP($A428,'Quarterly Pipeline vs Target Pi'!$A:$AP,31,false)," $","")," €",""), "")
)</f>
        <v>0</v>
      </c>
      <c r="AR428" s="1">
        <f>value(IFERROR(SUBSTITUTE(SUBSTITUTE(VLOOKUP($A428,'Quarterly Pipeline vs Target Pi'!$A:$AP,32,false)," $","")," €",""), "")
)</f>
        <v>0</v>
      </c>
      <c r="AS428" s="17" t="str">
        <f t="shared" si="16"/>
        <v/>
      </c>
      <c r="AT428" s="1">
        <f>value(IFERROR(SUBSTITUTE(SUBSTITUTE(VLOOKUP($A428,'Quarterly Pipeline vs Target Pi'!$A:$AP,36,false)," $","")," €",""), "")
)</f>
        <v>0</v>
      </c>
      <c r="AU428" s="1">
        <f>value(IFERROR(SUBSTITUTE(SUBSTITUTE(VLOOKUP($A428,'Quarterly Pipeline vs Target Pi'!$A:$AP,37,false)," $","")," €",""), "")
)</f>
        <v>0</v>
      </c>
      <c r="AV428" s="17" t="str">
        <f t="shared" si="17"/>
        <v/>
      </c>
      <c r="AW428" s="1">
        <f>value(IFERROR(SUBSTITUTE(SUBSTITUTE(VLOOKUP($A428,'Quarterly Pipeline vs Target Pi'!$A:$AP,41,false)," $","")," €",""), "")
)</f>
        <v>0</v>
      </c>
      <c r="AX428" s="1">
        <f>value(IFERROR(SUBSTITUTE(SUBSTITUTE(VLOOKUP($A428,'Quarterly Pipeline vs Target Pi'!$A:$AP,42,false)," $","")," €",""), "")
)</f>
        <v>0</v>
      </c>
      <c r="AY428" s="17" t="str">
        <f t="shared" si="18"/>
        <v/>
      </c>
      <c r="AZ428" s="1">
        <f t="shared" ref="AZ428:BA428" si="870">sum(AN428,AQ428,AT428,AW428)</f>
        <v>0</v>
      </c>
      <c r="BA428" s="1">
        <f t="shared" si="870"/>
        <v>0</v>
      </c>
      <c r="BB428" s="17" t="str">
        <f t="shared" si="20"/>
        <v/>
      </c>
    </row>
    <row r="429">
      <c r="A429" s="1" t="str">
        <f>IFERROR(__xludf.DUMMYFUNCTION("""COMPUTED_VALUE"""),"63ea6e9552ad6968805ced2d")</f>
        <v>63ea6e9552ad6968805ced2d</v>
      </c>
      <c r="B429" s="1" t="str">
        <f>IFERROR(__xludf.DUMMYFUNCTION("""COMPUTED_VALUE"""),"Telecom Partner in Dresden GmbH")</f>
        <v>Telecom Partner in Dresden GmbH</v>
      </c>
      <c r="C429" s="1" t="str">
        <f>IFERROR(__xludf.DUMMYFUNCTION("""COMPUTED_VALUE"""),"andreas.grossheimann@al-enterprise.com, andre.ramm@al-enterprise.com")</f>
        <v>andreas.grossheimann@al-enterprise.com, andre.ramm@al-enterprise.com</v>
      </c>
      <c r="D429" s="1" t="str">
        <f>IFERROR(__xludf.DUMMYFUNCTION("""COMPUTED_VALUE"""),"germany")</f>
        <v>germany</v>
      </c>
      <c r="E429" s="1" t="str">
        <f>IFERROR(__xludf.DUMMYFUNCTION("""COMPUTED_VALUE"""),"DE")</f>
        <v>DE</v>
      </c>
      <c r="F429" s="1"/>
      <c r="G429" s="1" t="str">
        <f>iferror(VLOOKUP(A429,'Business Plan Setup and Accepta'!A:G,6,false),"")</f>
        <v/>
      </c>
      <c r="H429" s="1" t="str">
        <f>iferror(VLOOKUP(A429,'Business Plan Setup and Accepta'!A:G,7,false),"")</f>
        <v/>
      </c>
      <c r="I429" s="17" t="str">
        <f t="shared" si="3"/>
        <v/>
      </c>
      <c r="J429" s="1" t="str">
        <f>IFERROR(VALUE(SUBSTITUTE(VLOOKUP(A429,'Sales IN Revenues vs Sales targ'!A:G,6,false)," $","")), "")
</f>
        <v/>
      </c>
      <c r="K429" s="1" t="str">
        <f>IFERROR(VALUE(SUBSTITUTE(VLOOKUP(A429,'Sales IN Revenues vs Sales targ'!A:G,7,false)," $","")), "")
</f>
        <v/>
      </c>
      <c r="L429" s="17" t="str">
        <f t="shared" si="4"/>
        <v/>
      </c>
      <c r="M429" s="1">
        <f>value(SUBSTITUTE(IFERROR(VLOOKUP(A429,'Certifications achievements vs '!A:G,6,false),""),"#","")
)</f>
        <v>0</v>
      </c>
      <c r="N429" s="1">
        <f>value(SUBSTITUTE(IFERROR(VLOOKUP(A429,'Certifications achievements vs '!A:G,7,false),""),"#","")
)</f>
        <v>0</v>
      </c>
      <c r="O429" s="17" t="str">
        <f t="shared" si="5"/>
        <v/>
      </c>
      <c r="P429" s="1">
        <f>value(SUBSTITUTE(IFERROR(VLOOKUP(A429,'Communications - Solution Speci'!A:G,6,false),""),"#","")
)</f>
        <v>0</v>
      </c>
      <c r="Q429" s="1">
        <f>value(SUBSTITUTE(IFERROR(VLOOKUP(A429,'Communications - Solution Speci'!A:G,7,false),""),"#","")
)</f>
        <v>0</v>
      </c>
      <c r="R429" s="17" t="str">
        <f t="shared" si="6"/>
        <v/>
      </c>
      <c r="S429" s="1">
        <f>value(SUBSTITUTE(IFERROR(VLOOKUP(A429,'Networking - Solution Specializ'!A:G,6,false),""),"#","")
)</f>
        <v>0</v>
      </c>
      <c r="T429" s="1">
        <f>value(SUBSTITUTE(IFERROR(VLOOKUP(A429,'Networking - Solution Specializ'!A:G,7,false),""),"#","")
)</f>
        <v>0</v>
      </c>
      <c r="U429" s="17" t="str">
        <f t="shared" si="7"/>
        <v/>
      </c>
      <c r="V429" s="1" t="str">
        <f>iferror(vlookup(A429,'Marketing Plan (extract summary'!A:G,6,false),"")</f>
        <v/>
      </c>
      <c r="W429" s="1" t="str">
        <f>iferror(vlookup(A429,'Marketing Plan (extract summary'!A:G,7,false),"")</f>
        <v/>
      </c>
      <c r="X429" s="17" t="str">
        <f t="shared" si="8"/>
        <v/>
      </c>
      <c r="Y429" s="1">
        <f>value(IFERROR(SUBSTITUTE(SUBSTITUTE(VLOOKUP(A429,'Quarterly Pipeline vs Target Pi'!A:G,6,false)," $","")," €",""), "")
)</f>
        <v>0</v>
      </c>
      <c r="Z429" s="1">
        <f>value(IFERROR(SUBSTITUTE(SUBSTITUTE(VLOOKUP(A429,'Quarterly Pipeline vs Target Pi'!A:G,7,false)," $","")," €",""), "")
)</f>
        <v>0</v>
      </c>
      <c r="AA429" s="17" t="str">
        <f t="shared" si="9"/>
        <v/>
      </c>
      <c r="AB429" s="1">
        <f>value(IFERROR(SUBSTITUTE(SUBSTITUTE(VLOOKUP($A429,'Quarterly Pipeline vs Target Pi'!$A:$V,11,false)," $","")," €",""), "")
)</f>
        <v>0</v>
      </c>
      <c r="AC429" s="1">
        <f>value(IFERROR(SUBSTITUTE(SUBSTITUTE(VLOOKUP($A429,'Quarterly Pipeline vs Target Pi'!$A:$V,12,false)," $","")," €",""), "")
)</f>
        <v>0</v>
      </c>
      <c r="AD429" s="17" t="str">
        <f t="shared" si="10"/>
        <v/>
      </c>
      <c r="AE429" s="1">
        <f>value(IFERROR(SUBSTITUTE(SUBSTITUTE(VLOOKUP($A429,'Quarterly Pipeline vs Target Pi'!$A:$V,16,false)," $","")," €",""), "")
)</f>
        <v>0</v>
      </c>
      <c r="AF429" s="1">
        <f>value(IFERROR(SUBSTITUTE(SUBSTITUTE(VLOOKUP($A429,'Quarterly Pipeline vs Target Pi'!$A:$V,17,false)," $","")," €",""), "")
)</f>
        <v>0</v>
      </c>
      <c r="AG429" s="17" t="str">
        <f t="shared" si="11"/>
        <v/>
      </c>
      <c r="AH429" s="1">
        <f>value(IFERROR(SUBSTITUTE(SUBSTITUTE(VLOOKUP($A429,'Quarterly Pipeline vs Target Pi'!$A:$V,21,false)," $","")," €",""), "")
)</f>
        <v>0</v>
      </c>
      <c r="AI429" s="1">
        <f>value(IFERROR(SUBSTITUTE(SUBSTITUTE(VLOOKUP($A429,'Quarterly Pipeline vs Target Pi'!$A:$V,22,false)," $","")," €",""), "")
)</f>
        <v>0</v>
      </c>
      <c r="AJ429" s="17" t="str">
        <f t="shared" si="12"/>
        <v/>
      </c>
      <c r="AK429" s="1">
        <f t="shared" ref="AK429:AL429" si="871">sum(Y429,AB429,AE429,AH429)</f>
        <v>0</v>
      </c>
      <c r="AL429" s="1">
        <f t="shared" si="871"/>
        <v>0</v>
      </c>
      <c r="AM429" s="17" t="str">
        <f t="shared" si="14"/>
        <v/>
      </c>
      <c r="AN429" s="1">
        <f>value(IFERROR(SUBSTITUTE(SUBSTITUTE(VLOOKUP($A429,'Quarterly Pipeline vs Target Pi'!$A:$AP,26,false)," $","")," €",""), "")
)</f>
        <v>0</v>
      </c>
      <c r="AO429" s="1">
        <f>value(IFERROR(SUBSTITUTE(SUBSTITUTE(VLOOKUP($A429,'Quarterly Pipeline vs Target Pi'!$A:$AP,27,false)," $","")," €",""), "")
)</f>
        <v>0</v>
      </c>
      <c r="AP429" s="17" t="str">
        <f t="shared" si="15"/>
        <v/>
      </c>
      <c r="AQ429" s="1">
        <f>value(IFERROR(SUBSTITUTE(SUBSTITUTE(VLOOKUP($A429,'Quarterly Pipeline vs Target Pi'!$A:$AP,31,false)," $","")," €",""), "")
)</f>
        <v>0</v>
      </c>
      <c r="AR429" s="1">
        <f>value(IFERROR(SUBSTITUTE(SUBSTITUTE(VLOOKUP($A429,'Quarterly Pipeline vs Target Pi'!$A:$AP,32,false)," $","")," €",""), "")
)</f>
        <v>0</v>
      </c>
      <c r="AS429" s="17" t="str">
        <f t="shared" si="16"/>
        <v/>
      </c>
      <c r="AT429" s="1">
        <f>value(IFERROR(SUBSTITUTE(SUBSTITUTE(VLOOKUP($A429,'Quarterly Pipeline vs Target Pi'!$A:$AP,36,false)," $","")," €",""), "")
)</f>
        <v>0</v>
      </c>
      <c r="AU429" s="1">
        <f>value(IFERROR(SUBSTITUTE(SUBSTITUTE(VLOOKUP($A429,'Quarterly Pipeline vs Target Pi'!$A:$AP,37,false)," $","")," €",""), "")
)</f>
        <v>0</v>
      </c>
      <c r="AV429" s="17" t="str">
        <f t="shared" si="17"/>
        <v/>
      </c>
      <c r="AW429" s="1">
        <f>value(IFERROR(SUBSTITUTE(SUBSTITUTE(VLOOKUP($A429,'Quarterly Pipeline vs Target Pi'!$A:$AP,41,false)," $","")," €",""), "")
)</f>
        <v>0</v>
      </c>
      <c r="AX429" s="1">
        <f>value(IFERROR(SUBSTITUTE(SUBSTITUTE(VLOOKUP($A429,'Quarterly Pipeline vs Target Pi'!$A:$AP,42,false)," $","")," €",""), "")
)</f>
        <v>0</v>
      </c>
      <c r="AY429" s="17" t="str">
        <f t="shared" si="18"/>
        <v/>
      </c>
      <c r="AZ429" s="1">
        <f t="shared" ref="AZ429:BA429" si="872">sum(AN429,AQ429,AT429,AW429)</f>
        <v>0</v>
      </c>
      <c r="BA429" s="1">
        <f t="shared" si="872"/>
        <v>0</v>
      </c>
      <c r="BB429" s="17" t="str">
        <f t="shared" si="20"/>
        <v/>
      </c>
    </row>
    <row r="430">
      <c r="A430" s="1" t="str">
        <f>IFERROR(__xludf.DUMMYFUNCTION("""COMPUTED_VALUE"""),"63ef9d58384f27260c1ba501")</f>
        <v>63ef9d58384f27260c1ba501</v>
      </c>
      <c r="B430" s="1" t="str">
        <f>IFERROR(__xludf.DUMMYFUNCTION("""COMPUTED_VALUE"""),"Telecommunications Unlimited, Inc.")</f>
        <v>Telecommunications Unlimited, Inc.</v>
      </c>
      <c r="C430" s="1" t="str">
        <f>IFERROR(__xludf.DUMMYFUNCTION("""COMPUTED_VALUE"""),"gene.hawks@al-enterprise.com, steve.mcglasson@al-enterprise.com, bill.rademacher@al-enterprise.com")</f>
        <v>gene.hawks@al-enterprise.com, steve.mcglasson@al-enterprise.com, bill.rademacher@al-enterprise.com</v>
      </c>
      <c r="D430" s="1" t="str">
        <f>IFERROR(__xludf.DUMMYFUNCTION("""COMPUTED_VALUE"""),"americas")</f>
        <v>americas</v>
      </c>
      <c r="E430" s="1" t="str">
        <f>IFERROR(__xludf.DUMMYFUNCTION("""COMPUTED_VALUE"""),"US")</f>
        <v>US</v>
      </c>
      <c r="F430" s="1" t="str">
        <f>IFERROR(__xludf.DUMMYFUNCTION("""COMPUTED_VALUE"""),"expert_200")</f>
        <v>expert_200</v>
      </c>
      <c r="G430" s="1">
        <f>iferror(VLOOKUP(A430,'Business Plan Setup and Accepta'!A:G,6,false),"")</f>
        <v>0</v>
      </c>
      <c r="H430" s="1">
        <f>iferror(VLOOKUP(A430,'Business Plan Setup and Accepta'!A:G,7,false),"")</f>
        <v>1</v>
      </c>
      <c r="I430" s="17">
        <f t="shared" si="3"/>
        <v>0</v>
      </c>
      <c r="J430" s="1">
        <f>IFERROR(VALUE(SUBSTITUTE(VLOOKUP(A430,'Sales IN Revenues vs Sales targ'!A:G,6,false)," $","")), "")
</f>
        <v>45.81</v>
      </c>
      <c r="K430" s="1">
        <f>IFERROR(VALUE(SUBSTITUTE(VLOOKUP(A430,'Sales IN Revenues vs Sales targ'!A:G,7,false)," $","")), "")
</f>
        <v>0</v>
      </c>
      <c r="L430" s="17" t="str">
        <f t="shared" si="4"/>
        <v/>
      </c>
      <c r="M430" s="1">
        <f>value(SUBSTITUTE(IFERROR(VLOOKUP(A430,'Certifications achievements vs '!A:G,6,false),""),"#","")
)</f>
        <v>0</v>
      </c>
      <c r="N430" s="1">
        <f>value(SUBSTITUTE(IFERROR(VLOOKUP(A430,'Certifications achievements vs '!A:G,7,false),""),"#","")
)</f>
        <v>0</v>
      </c>
      <c r="O430" s="17" t="str">
        <f t="shared" si="5"/>
        <v/>
      </c>
      <c r="P430" s="1">
        <f>value(SUBSTITUTE(IFERROR(VLOOKUP(A430,'Communications - Solution Speci'!A:G,6,false),""),"#","")
)</f>
        <v>1</v>
      </c>
      <c r="Q430" s="1">
        <f>value(SUBSTITUTE(IFERROR(VLOOKUP(A430,'Communications - Solution Speci'!A:G,7,false),""),"#","")
)</f>
        <v>1</v>
      </c>
      <c r="R430" s="17">
        <f t="shared" si="6"/>
        <v>1</v>
      </c>
      <c r="S430" s="1">
        <f>value(SUBSTITUTE(IFERROR(VLOOKUP(A430,'Networking - Solution Specializ'!A:G,6,false),""),"#","")
)</f>
        <v>0</v>
      </c>
      <c r="T430" s="1">
        <f>value(SUBSTITUTE(IFERROR(VLOOKUP(A430,'Networking - Solution Specializ'!A:G,7,false),""),"#","")
)</f>
        <v>1</v>
      </c>
      <c r="U430" s="17">
        <f t="shared" si="7"/>
        <v>0</v>
      </c>
      <c r="V430" s="1">
        <f>iferror(vlookup(A430,'Marketing Plan (extract summary'!A:G,6,false),"")</f>
        <v>0</v>
      </c>
      <c r="W430" s="1">
        <f>iferror(vlookup(A430,'Marketing Plan (extract summary'!A:G,7,false),"")</f>
        <v>1</v>
      </c>
      <c r="X430" s="17">
        <f t="shared" si="8"/>
        <v>0</v>
      </c>
      <c r="Y430" s="1">
        <f>value(IFERROR(SUBSTITUTE(SUBSTITUTE(VLOOKUP(A430,'Quarterly Pipeline vs Target Pi'!A:G,6,false)," $","")," €",""), "")
)</f>
        <v>9.14</v>
      </c>
      <c r="Z430" s="1">
        <f>value(IFERROR(SUBSTITUTE(SUBSTITUTE(VLOOKUP(A430,'Quarterly Pipeline vs Target Pi'!A:G,7,false)," $","")," €",""), "")
)</f>
        <v>0</v>
      </c>
      <c r="AA430" s="17" t="str">
        <f t="shared" si="9"/>
        <v/>
      </c>
      <c r="AB430" s="1">
        <f>value(IFERROR(SUBSTITUTE(SUBSTITUTE(VLOOKUP($A430,'Quarterly Pipeline vs Target Pi'!$A:$V,11,false)," $","")," €",""), "")
)</f>
        <v>1.54</v>
      </c>
      <c r="AC430" s="1">
        <f>value(IFERROR(SUBSTITUTE(SUBSTITUTE(VLOOKUP($A430,'Quarterly Pipeline vs Target Pi'!$A:$V,12,false)," $","")," €",""), "")
)</f>
        <v>0</v>
      </c>
      <c r="AD430" s="17" t="str">
        <f t="shared" si="10"/>
        <v/>
      </c>
      <c r="AE430" s="1">
        <f>value(IFERROR(SUBSTITUTE(SUBSTITUTE(VLOOKUP($A430,'Quarterly Pipeline vs Target Pi'!$A:$V,16,false)," $","")," €",""), "")
)</f>
        <v>761.04</v>
      </c>
      <c r="AF430" s="1">
        <f>value(IFERROR(SUBSTITUTE(SUBSTITUTE(VLOOKUP($A430,'Quarterly Pipeline vs Target Pi'!$A:$V,17,false)," $","")," €",""), "")
)</f>
        <v>0</v>
      </c>
      <c r="AG430" s="17" t="str">
        <f t="shared" si="11"/>
        <v/>
      </c>
      <c r="AH430" s="1">
        <f>value(IFERROR(SUBSTITUTE(SUBSTITUTE(VLOOKUP($A430,'Quarterly Pipeline vs Target Pi'!$A:$V,21,false)," $","")," €",""), "")
)</f>
        <v>97.25</v>
      </c>
      <c r="AI430" s="1">
        <f>value(IFERROR(SUBSTITUTE(SUBSTITUTE(VLOOKUP($A430,'Quarterly Pipeline vs Target Pi'!$A:$V,22,false)," $","")," €",""), "")
)</f>
        <v>0</v>
      </c>
      <c r="AJ430" s="17" t="str">
        <f t="shared" si="12"/>
        <v/>
      </c>
      <c r="AK430" s="1">
        <f t="shared" ref="AK430:AL430" si="873">sum(Y430,AB430,AE430,AH430)</f>
        <v>868.97</v>
      </c>
      <c r="AL430" s="1">
        <f t="shared" si="873"/>
        <v>0</v>
      </c>
      <c r="AM430" s="17" t="str">
        <f t="shared" si="14"/>
        <v/>
      </c>
      <c r="AN430" s="1">
        <f>value(IFERROR(SUBSTITUTE(SUBSTITUTE(VLOOKUP($A430,'Quarterly Pipeline vs Target Pi'!$A:$AP,26,false)," $","")," €",""), "")
)</f>
        <v>0</v>
      </c>
      <c r="AO430" s="1">
        <f>value(IFERROR(SUBSTITUTE(SUBSTITUTE(VLOOKUP($A430,'Quarterly Pipeline vs Target Pi'!$A:$AP,27,false)," $","")," €",""), "")
)</f>
        <v>0</v>
      </c>
      <c r="AP430" s="17" t="str">
        <f t="shared" si="15"/>
        <v/>
      </c>
      <c r="AQ430" s="1">
        <f>value(IFERROR(SUBSTITUTE(SUBSTITUTE(VLOOKUP($A430,'Quarterly Pipeline vs Target Pi'!$A:$AP,31,false)," $","")," €",""), "")
)</f>
        <v>0</v>
      </c>
      <c r="AR430" s="1">
        <f>value(IFERROR(SUBSTITUTE(SUBSTITUTE(VLOOKUP($A430,'Quarterly Pipeline vs Target Pi'!$A:$AP,32,false)," $","")," €",""), "")
)</f>
        <v>0</v>
      </c>
      <c r="AS430" s="17" t="str">
        <f t="shared" si="16"/>
        <v/>
      </c>
      <c r="AT430" s="1">
        <f>value(IFERROR(SUBSTITUTE(SUBSTITUTE(VLOOKUP($A430,'Quarterly Pipeline vs Target Pi'!$A:$AP,36,false)," $","")," €",""), "")
)</f>
        <v>0</v>
      </c>
      <c r="AU430" s="1">
        <f>value(IFERROR(SUBSTITUTE(SUBSTITUTE(VLOOKUP($A430,'Quarterly Pipeline vs Target Pi'!$A:$AP,37,false)," $","")," €",""), "")
)</f>
        <v>0</v>
      </c>
      <c r="AV430" s="17" t="str">
        <f t="shared" si="17"/>
        <v/>
      </c>
      <c r="AW430" s="1">
        <f>value(IFERROR(SUBSTITUTE(SUBSTITUTE(VLOOKUP($A430,'Quarterly Pipeline vs Target Pi'!$A:$AP,41,false)," $","")," €",""), "")
)</f>
        <v>0</v>
      </c>
      <c r="AX430" s="1">
        <f>value(IFERROR(SUBSTITUTE(SUBSTITUTE(VLOOKUP($A430,'Quarterly Pipeline vs Target Pi'!$A:$AP,42,false)," $","")," €",""), "")
)</f>
        <v>0</v>
      </c>
      <c r="AY430" s="17" t="str">
        <f t="shared" si="18"/>
        <v/>
      </c>
      <c r="AZ430" s="1">
        <f t="shared" ref="AZ430:BA430" si="874">sum(AN430,AQ430,AT430,AW430)</f>
        <v>0</v>
      </c>
      <c r="BA430" s="1">
        <f t="shared" si="874"/>
        <v>0</v>
      </c>
      <c r="BB430" s="17" t="str">
        <f t="shared" si="20"/>
        <v/>
      </c>
    </row>
    <row r="431">
      <c r="A431" s="1" t="str">
        <f>IFERROR(__xludf.DUMMYFUNCTION("""COMPUTED_VALUE"""),"63ced84ec5c820531c269923")</f>
        <v>63ced84ec5c820531c269923</v>
      </c>
      <c r="B431" s="1" t="str">
        <f>IFERROR(__xludf.DUMMYFUNCTION("""COMPUTED_VALUE"""),"TeleCourier Communications")</f>
        <v>TeleCourier Communications</v>
      </c>
      <c r="C431" s="1" t="str">
        <f>IFERROR(__xludf.DUMMYFUNCTION("""COMPUTED_VALUE"""),"brendan.flaherty@al-enterprise.com")</f>
        <v>brendan.flaherty@al-enterprise.com</v>
      </c>
      <c r="D431" s="1" t="str">
        <f>IFERROR(__xludf.DUMMYFUNCTION("""COMPUTED_VALUE"""),"americas")</f>
        <v>americas</v>
      </c>
      <c r="E431" s="1" t="str">
        <f>IFERROR(__xludf.DUMMYFUNCTION("""COMPUTED_VALUE"""),"US")</f>
        <v>US</v>
      </c>
      <c r="F431" s="1"/>
      <c r="G431" s="1" t="str">
        <f>iferror(VLOOKUP(A431,'Business Plan Setup and Accepta'!A:G,6,false),"")</f>
        <v/>
      </c>
      <c r="H431" s="1" t="str">
        <f>iferror(VLOOKUP(A431,'Business Plan Setup and Accepta'!A:G,7,false),"")</f>
        <v/>
      </c>
      <c r="I431" s="17" t="str">
        <f t="shared" si="3"/>
        <v/>
      </c>
      <c r="J431" s="1" t="str">
        <f>IFERROR(VALUE(SUBSTITUTE(VLOOKUP(A431,'Sales IN Revenues vs Sales targ'!A:G,6,false)," $","")), "")
</f>
        <v/>
      </c>
      <c r="K431" s="1" t="str">
        <f>IFERROR(VALUE(SUBSTITUTE(VLOOKUP(A431,'Sales IN Revenues vs Sales targ'!A:G,7,false)," $","")), "")
</f>
        <v/>
      </c>
      <c r="L431" s="17" t="str">
        <f t="shared" si="4"/>
        <v/>
      </c>
      <c r="M431" s="1">
        <f>value(SUBSTITUTE(IFERROR(VLOOKUP(A431,'Certifications achievements vs '!A:G,6,false),""),"#","")
)</f>
        <v>0</v>
      </c>
      <c r="N431" s="1">
        <f>value(SUBSTITUTE(IFERROR(VLOOKUP(A431,'Certifications achievements vs '!A:G,7,false),""),"#","")
)</f>
        <v>0</v>
      </c>
      <c r="O431" s="17" t="str">
        <f t="shared" si="5"/>
        <v/>
      </c>
      <c r="P431" s="1">
        <f>value(SUBSTITUTE(IFERROR(VLOOKUP(A431,'Communications - Solution Speci'!A:G,6,false),""),"#","")
)</f>
        <v>0</v>
      </c>
      <c r="Q431" s="1">
        <f>value(SUBSTITUTE(IFERROR(VLOOKUP(A431,'Communications - Solution Speci'!A:G,7,false),""),"#","")
)</f>
        <v>0</v>
      </c>
      <c r="R431" s="17" t="str">
        <f t="shared" si="6"/>
        <v/>
      </c>
      <c r="S431" s="1">
        <f>value(SUBSTITUTE(IFERROR(VLOOKUP(A431,'Networking - Solution Specializ'!A:G,6,false),""),"#","")
)</f>
        <v>0</v>
      </c>
      <c r="T431" s="1">
        <f>value(SUBSTITUTE(IFERROR(VLOOKUP(A431,'Networking - Solution Specializ'!A:G,7,false),""),"#","")
)</f>
        <v>0</v>
      </c>
      <c r="U431" s="17" t="str">
        <f t="shared" si="7"/>
        <v/>
      </c>
      <c r="V431" s="1" t="str">
        <f>iferror(vlookup(A431,'Marketing Plan (extract summary'!A:G,6,false),"")</f>
        <v/>
      </c>
      <c r="W431" s="1" t="str">
        <f>iferror(vlookup(A431,'Marketing Plan (extract summary'!A:G,7,false),"")</f>
        <v/>
      </c>
      <c r="X431" s="17" t="str">
        <f t="shared" si="8"/>
        <v/>
      </c>
      <c r="Y431" s="1">
        <f>value(IFERROR(SUBSTITUTE(SUBSTITUTE(VLOOKUP(A431,'Quarterly Pipeline vs Target Pi'!A:G,6,false)," $","")," €",""), "")
)</f>
        <v>0</v>
      </c>
      <c r="Z431" s="1">
        <f>value(IFERROR(SUBSTITUTE(SUBSTITUTE(VLOOKUP(A431,'Quarterly Pipeline vs Target Pi'!A:G,7,false)," $","")," €",""), "")
)</f>
        <v>0</v>
      </c>
      <c r="AA431" s="17" t="str">
        <f t="shared" si="9"/>
        <v/>
      </c>
      <c r="AB431" s="1">
        <f>value(IFERROR(SUBSTITUTE(SUBSTITUTE(VLOOKUP($A431,'Quarterly Pipeline vs Target Pi'!$A:$V,11,false)," $","")," €",""), "")
)</f>
        <v>0</v>
      </c>
      <c r="AC431" s="1">
        <f>value(IFERROR(SUBSTITUTE(SUBSTITUTE(VLOOKUP($A431,'Quarterly Pipeline vs Target Pi'!$A:$V,12,false)," $","")," €",""), "")
)</f>
        <v>0</v>
      </c>
      <c r="AD431" s="17" t="str">
        <f t="shared" si="10"/>
        <v/>
      </c>
      <c r="AE431" s="1">
        <f>value(IFERROR(SUBSTITUTE(SUBSTITUTE(VLOOKUP($A431,'Quarterly Pipeline vs Target Pi'!$A:$V,16,false)," $","")," €",""), "")
)</f>
        <v>0</v>
      </c>
      <c r="AF431" s="1">
        <f>value(IFERROR(SUBSTITUTE(SUBSTITUTE(VLOOKUP($A431,'Quarterly Pipeline vs Target Pi'!$A:$V,17,false)," $","")," €",""), "")
)</f>
        <v>0</v>
      </c>
      <c r="AG431" s="17" t="str">
        <f t="shared" si="11"/>
        <v/>
      </c>
      <c r="AH431" s="1">
        <f>value(IFERROR(SUBSTITUTE(SUBSTITUTE(VLOOKUP($A431,'Quarterly Pipeline vs Target Pi'!$A:$V,21,false)," $","")," €",""), "")
)</f>
        <v>0</v>
      </c>
      <c r="AI431" s="1">
        <f>value(IFERROR(SUBSTITUTE(SUBSTITUTE(VLOOKUP($A431,'Quarterly Pipeline vs Target Pi'!$A:$V,22,false)," $","")," €",""), "")
)</f>
        <v>0</v>
      </c>
      <c r="AJ431" s="17" t="str">
        <f t="shared" si="12"/>
        <v/>
      </c>
      <c r="AK431" s="1">
        <f t="shared" ref="AK431:AL431" si="875">sum(Y431,AB431,AE431,AH431)</f>
        <v>0</v>
      </c>
      <c r="AL431" s="1">
        <f t="shared" si="875"/>
        <v>0</v>
      </c>
      <c r="AM431" s="17" t="str">
        <f t="shared" si="14"/>
        <v/>
      </c>
      <c r="AN431" s="1">
        <f>value(IFERROR(SUBSTITUTE(SUBSTITUTE(VLOOKUP($A431,'Quarterly Pipeline vs Target Pi'!$A:$AP,26,false)," $","")," €",""), "")
)</f>
        <v>0</v>
      </c>
      <c r="AO431" s="1">
        <f>value(IFERROR(SUBSTITUTE(SUBSTITUTE(VLOOKUP($A431,'Quarterly Pipeline vs Target Pi'!$A:$AP,27,false)," $","")," €",""), "")
)</f>
        <v>0</v>
      </c>
      <c r="AP431" s="17" t="str">
        <f t="shared" si="15"/>
        <v/>
      </c>
      <c r="AQ431" s="1">
        <f>value(IFERROR(SUBSTITUTE(SUBSTITUTE(VLOOKUP($A431,'Quarterly Pipeline vs Target Pi'!$A:$AP,31,false)," $","")," €",""), "")
)</f>
        <v>0</v>
      </c>
      <c r="AR431" s="1">
        <f>value(IFERROR(SUBSTITUTE(SUBSTITUTE(VLOOKUP($A431,'Quarterly Pipeline vs Target Pi'!$A:$AP,32,false)," $","")," €",""), "")
)</f>
        <v>0</v>
      </c>
      <c r="AS431" s="17" t="str">
        <f t="shared" si="16"/>
        <v/>
      </c>
      <c r="AT431" s="1">
        <f>value(IFERROR(SUBSTITUTE(SUBSTITUTE(VLOOKUP($A431,'Quarterly Pipeline vs Target Pi'!$A:$AP,36,false)," $","")," €",""), "")
)</f>
        <v>0</v>
      </c>
      <c r="AU431" s="1">
        <f>value(IFERROR(SUBSTITUTE(SUBSTITUTE(VLOOKUP($A431,'Quarterly Pipeline vs Target Pi'!$A:$AP,37,false)," $","")," €",""), "")
)</f>
        <v>0</v>
      </c>
      <c r="AV431" s="17" t="str">
        <f t="shared" si="17"/>
        <v/>
      </c>
      <c r="AW431" s="1">
        <f>value(IFERROR(SUBSTITUTE(SUBSTITUTE(VLOOKUP($A431,'Quarterly Pipeline vs Target Pi'!$A:$AP,41,false)," $","")," €",""), "")
)</f>
        <v>0</v>
      </c>
      <c r="AX431" s="1">
        <f>value(IFERROR(SUBSTITUTE(SUBSTITUTE(VLOOKUP($A431,'Quarterly Pipeline vs Target Pi'!$A:$AP,42,false)," $","")," €",""), "")
)</f>
        <v>0</v>
      </c>
      <c r="AY431" s="17" t="str">
        <f t="shared" si="18"/>
        <v/>
      </c>
      <c r="AZ431" s="1">
        <f t="shared" ref="AZ431:BA431" si="876">sum(AN431,AQ431,AT431,AW431)</f>
        <v>0</v>
      </c>
      <c r="BA431" s="1">
        <f t="shared" si="876"/>
        <v>0</v>
      </c>
      <c r="BB431" s="17" t="str">
        <f t="shared" si="20"/>
        <v/>
      </c>
    </row>
    <row r="432">
      <c r="A432" s="1" t="str">
        <f>IFERROR(__xludf.DUMMYFUNCTION("""COMPUTED_VALUE"""),"6836f39029bec4e5550a0662")</f>
        <v>6836f39029bec4e5550a0662</v>
      </c>
      <c r="B432" s="1" t="str">
        <f>IFERROR(__xludf.DUMMYFUNCTION("""COMPUTED_VALUE"""),"Telefax S.A.")</f>
        <v>Telefax S.A.</v>
      </c>
      <c r="C432" s="1" t="str">
        <f>IFERROR(__xludf.DUMMYFUNCTION("""COMPUTED_VALUE"""),"philippe.girard@al-enterprise.com, rui.silva@al-enterprise.com, luis.arriagada@al-enterprise.com")</f>
        <v>philippe.girard@al-enterprise.com, rui.silva@al-enterprise.com, luis.arriagada@al-enterprise.com</v>
      </c>
      <c r="D432" s="1" t="str">
        <f>IFERROR(__xludf.DUMMYFUNCTION("""COMPUTED_VALUE"""),"americas")</f>
        <v>americas</v>
      </c>
      <c r="E432" s="1" t="str">
        <f>IFERROR(__xludf.DUMMYFUNCTION("""COMPUTED_VALUE"""),"UY")</f>
        <v>UY</v>
      </c>
      <c r="F432" s="1"/>
      <c r="G432" s="1">
        <f>iferror(VLOOKUP(A432,'Business Plan Setup and Accepta'!A:G,6,false),"")</f>
        <v>0</v>
      </c>
      <c r="H432" s="1">
        <f>iferror(VLOOKUP(A432,'Business Plan Setup and Accepta'!A:G,7,false),"")</f>
        <v>1</v>
      </c>
      <c r="I432" s="17">
        <f t="shared" si="3"/>
        <v>0</v>
      </c>
      <c r="J432" s="1">
        <f>IFERROR(VALUE(SUBSTITUTE(VLOOKUP(A432,'Sales IN Revenues vs Sales targ'!A:G,6,false)," $","")), "")
</f>
        <v>2.82</v>
      </c>
      <c r="K432" s="1">
        <f>IFERROR(VALUE(SUBSTITUTE(VLOOKUP(A432,'Sales IN Revenues vs Sales targ'!A:G,7,false)," $","")), "")
</f>
        <v>220</v>
      </c>
      <c r="L432" s="17">
        <f t="shared" si="4"/>
        <v>0.01281818182</v>
      </c>
      <c r="M432" s="1">
        <f>value(SUBSTITUTE(IFERROR(VLOOKUP(A432,'Certifications achievements vs '!A:G,6,false),""),"#","")
)</f>
        <v>0</v>
      </c>
      <c r="N432" s="1">
        <f>value(SUBSTITUTE(IFERROR(VLOOKUP(A432,'Certifications achievements vs '!A:G,7,false),""),"#","")
)</f>
        <v>0</v>
      </c>
      <c r="O432" s="17" t="str">
        <f t="shared" si="5"/>
        <v/>
      </c>
      <c r="P432" s="1">
        <f>value(SUBSTITUTE(IFERROR(VLOOKUP(A432,'Communications - Solution Speci'!A:G,6,false),""),"#","")
)</f>
        <v>1</v>
      </c>
      <c r="Q432" s="1">
        <f>value(SUBSTITUTE(IFERROR(VLOOKUP(A432,'Communications - Solution Speci'!A:G,7,false),""),"#","")
)</f>
        <v>1</v>
      </c>
      <c r="R432" s="17">
        <f t="shared" si="6"/>
        <v>1</v>
      </c>
      <c r="S432" s="1">
        <f>value(SUBSTITUTE(IFERROR(VLOOKUP(A432,'Networking - Solution Specializ'!A:G,6,false),""),"#","")
)</f>
        <v>0</v>
      </c>
      <c r="T432" s="1">
        <f>value(SUBSTITUTE(IFERROR(VLOOKUP(A432,'Networking - Solution Specializ'!A:G,7,false),""),"#","")
)</f>
        <v>1</v>
      </c>
      <c r="U432" s="17">
        <f t="shared" si="7"/>
        <v>0</v>
      </c>
      <c r="V432" s="1">
        <f>iferror(vlookup(A432,'Marketing Plan (extract summary'!A:G,6,false),"")</f>
        <v>0</v>
      </c>
      <c r="W432" s="1">
        <f>iferror(vlookup(A432,'Marketing Plan (extract summary'!A:G,7,false),"")</f>
        <v>1</v>
      </c>
      <c r="X432" s="17">
        <f t="shared" si="8"/>
        <v>0</v>
      </c>
      <c r="Y432" s="1">
        <f>value(IFERROR(SUBSTITUTE(SUBSTITUTE(VLOOKUP(A432,'Quarterly Pipeline vs Target Pi'!A:G,6,false)," $","")," €",""), "")
)</f>
        <v>0</v>
      </c>
      <c r="Z432" s="1">
        <f>value(IFERROR(SUBSTITUTE(SUBSTITUTE(VLOOKUP(A432,'Quarterly Pipeline vs Target Pi'!A:G,7,false)," $","")," €",""), "")
)</f>
        <v>0</v>
      </c>
      <c r="AA432" s="17" t="str">
        <f t="shared" si="9"/>
        <v/>
      </c>
      <c r="AB432" s="1">
        <f>value(IFERROR(SUBSTITUTE(SUBSTITUTE(VLOOKUP($A432,'Quarterly Pipeline vs Target Pi'!$A:$V,11,false)," $","")," €",""), "")
)</f>
        <v>0</v>
      </c>
      <c r="AC432" s="1">
        <f>value(IFERROR(SUBSTITUTE(SUBSTITUTE(VLOOKUP($A432,'Quarterly Pipeline vs Target Pi'!$A:$V,12,false)," $","")," €",""), "")
)</f>
        <v>0</v>
      </c>
      <c r="AD432" s="17" t="str">
        <f t="shared" si="10"/>
        <v/>
      </c>
      <c r="AE432" s="1">
        <f>value(IFERROR(SUBSTITUTE(SUBSTITUTE(VLOOKUP($A432,'Quarterly Pipeline vs Target Pi'!$A:$V,16,false)," $","")," €",""), "")
)</f>
        <v>332</v>
      </c>
      <c r="AF432" s="1">
        <f>value(IFERROR(SUBSTITUTE(SUBSTITUTE(VLOOKUP($A432,'Quarterly Pipeline vs Target Pi'!$A:$V,17,false)," $","")," €",""), "")
)</f>
        <v>413.34</v>
      </c>
      <c r="AG432" s="17">
        <f t="shared" si="11"/>
        <v>0.8032128514</v>
      </c>
      <c r="AH432" s="1">
        <f>value(IFERROR(SUBSTITUTE(SUBSTITUTE(VLOOKUP($A432,'Quarterly Pipeline vs Target Pi'!$A:$V,21,false)," $","")," €",""), "")
)</f>
        <v>5</v>
      </c>
      <c r="AI432" s="1">
        <f>value(IFERROR(SUBSTITUTE(SUBSTITUTE(VLOOKUP($A432,'Quarterly Pipeline vs Target Pi'!$A:$V,22,false)," $","")," €",""), "")
)</f>
        <v>0</v>
      </c>
      <c r="AJ432" s="17" t="str">
        <f t="shared" si="12"/>
        <v/>
      </c>
      <c r="AK432" s="1">
        <f t="shared" ref="AK432:AL432" si="877">sum(Y432,AB432,AE432,AH432)</f>
        <v>337</v>
      </c>
      <c r="AL432" s="1">
        <f t="shared" si="877"/>
        <v>413.34</v>
      </c>
      <c r="AM432" s="17">
        <f t="shared" si="14"/>
        <v>0.8153094305</v>
      </c>
      <c r="AN432" s="1">
        <f>value(IFERROR(SUBSTITUTE(SUBSTITUTE(VLOOKUP($A432,'Quarterly Pipeline vs Target Pi'!$A:$AP,26,false)," $","")," €",""), "")
)</f>
        <v>0</v>
      </c>
      <c r="AO432" s="1">
        <f>value(IFERROR(SUBSTITUTE(SUBSTITUTE(VLOOKUP($A432,'Quarterly Pipeline vs Target Pi'!$A:$AP,27,false)," $","")," €",""), "")
)</f>
        <v>0</v>
      </c>
      <c r="AP432" s="17" t="str">
        <f t="shared" si="15"/>
        <v/>
      </c>
      <c r="AQ432" s="1">
        <f>value(IFERROR(SUBSTITUTE(SUBSTITUTE(VLOOKUP($A432,'Quarterly Pipeline vs Target Pi'!$A:$AP,31,false)," $","")," €",""), "")
)</f>
        <v>0</v>
      </c>
      <c r="AR432" s="1">
        <f>value(IFERROR(SUBSTITUTE(SUBSTITUTE(VLOOKUP($A432,'Quarterly Pipeline vs Target Pi'!$A:$AP,32,false)," $","")," €",""), "")
)</f>
        <v>0</v>
      </c>
      <c r="AS432" s="17" t="str">
        <f t="shared" si="16"/>
        <v/>
      </c>
      <c r="AT432" s="1">
        <f>value(IFERROR(SUBSTITUTE(SUBSTITUTE(VLOOKUP($A432,'Quarterly Pipeline vs Target Pi'!$A:$AP,36,false)," $","")," €",""), "")
)</f>
        <v>0</v>
      </c>
      <c r="AU432" s="1">
        <f>value(IFERROR(SUBSTITUTE(SUBSTITUTE(VLOOKUP($A432,'Quarterly Pipeline vs Target Pi'!$A:$AP,37,false)," $","")," €",""), "")
)</f>
        <v>0</v>
      </c>
      <c r="AV432" s="17" t="str">
        <f t="shared" si="17"/>
        <v/>
      </c>
      <c r="AW432" s="1">
        <f>value(IFERROR(SUBSTITUTE(SUBSTITUTE(VLOOKUP($A432,'Quarterly Pipeline vs Target Pi'!$A:$AP,41,false)," $","")," €",""), "")
)</f>
        <v>0</v>
      </c>
      <c r="AX432" s="1">
        <f>value(IFERROR(SUBSTITUTE(SUBSTITUTE(VLOOKUP($A432,'Quarterly Pipeline vs Target Pi'!$A:$AP,42,false)," $","")," €",""), "")
)</f>
        <v>0</v>
      </c>
      <c r="AY432" s="17" t="str">
        <f t="shared" si="18"/>
        <v/>
      </c>
      <c r="AZ432" s="1">
        <f t="shared" ref="AZ432:BA432" si="878">sum(AN432,AQ432,AT432,AW432)</f>
        <v>0</v>
      </c>
      <c r="BA432" s="1">
        <f t="shared" si="878"/>
        <v>0</v>
      </c>
      <c r="BB432" s="17" t="str">
        <f t="shared" si="20"/>
        <v/>
      </c>
    </row>
    <row r="433">
      <c r="A433" s="1" t="str">
        <f>IFERROR(__xludf.DUMMYFUNCTION("""COMPUTED_VALUE"""),"63ea6e9352ad6968805cea47")</f>
        <v>63ea6e9352ad6968805cea47</v>
      </c>
      <c r="B433" s="1" t="str">
        <f>IFERROR(__xludf.DUMMYFUNCTION("""COMPUTED_VALUE"""),"TELEFOMATIC SYSTEMHAUS GMBH")</f>
        <v>TELEFOMATIC SYSTEMHAUS GMBH</v>
      </c>
      <c r="C433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433" s="1" t="str">
        <f>IFERROR(__xludf.DUMMYFUNCTION("""COMPUTED_VALUE"""),"germany")</f>
        <v>germany</v>
      </c>
      <c r="E433" s="1" t="str">
        <f>IFERROR(__xludf.DUMMYFUNCTION("""COMPUTED_VALUE"""),"DE")</f>
        <v>DE</v>
      </c>
      <c r="F433" s="1" t="str">
        <f>IFERROR(__xludf.DUMMYFUNCTION("""COMPUTED_VALUE"""),"expert_200")</f>
        <v>expert_200</v>
      </c>
      <c r="G433" s="1">
        <f>iferror(VLOOKUP(A433,'Business Plan Setup and Accepta'!A:G,6,false),"")</f>
        <v>1</v>
      </c>
      <c r="H433" s="1">
        <f>iferror(VLOOKUP(A433,'Business Plan Setup and Accepta'!A:G,7,false),"")</f>
        <v>1</v>
      </c>
      <c r="I433" s="17">
        <f t="shared" si="3"/>
        <v>1</v>
      </c>
      <c r="J433" s="1">
        <f>IFERROR(VALUE(SUBSTITUTE(VLOOKUP(A433,'Sales IN Revenues vs Sales targ'!A:G,6,false)," $","")), "")
</f>
        <v>207.3</v>
      </c>
      <c r="K433" s="1">
        <f>IFERROR(VALUE(SUBSTITUTE(VLOOKUP(A433,'Sales IN Revenues vs Sales targ'!A:G,7,false)," $","")), "")
</f>
        <v>653</v>
      </c>
      <c r="L433" s="17">
        <f t="shared" si="4"/>
        <v>0.3174578867</v>
      </c>
      <c r="M433" s="1">
        <f>value(SUBSTITUTE(IFERROR(VLOOKUP(A433,'Certifications achievements vs '!A:G,6,false),""),"#","")
)</f>
        <v>20</v>
      </c>
      <c r="N433" s="1">
        <f>value(SUBSTITUTE(IFERROR(VLOOKUP(A433,'Certifications achievements vs '!A:G,7,false),""),"#","")
)</f>
        <v>52</v>
      </c>
      <c r="O433" s="17">
        <f t="shared" si="5"/>
        <v>0.3846153846</v>
      </c>
      <c r="P433" s="1">
        <f>value(SUBSTITUTE(IFERROR(VLOOKUP(A433,'Communications - Solution Speci'!A:G,6,false),""),"#","")
)</f>
        <v>1</v>
      </c>
      <c r="Q433" s="1">
        <f>value(SUBSTITUTE(IFERROR(VLOOKUP(A433,'Communications - Solution Speci'!A:G,7,false),""),"#","")
)</f>
        <v>1</v>
      </c>
      <c r="R433" s="17">
        <f t="shared" si="6"/>
        <v>1</v>
      </c>
      <c r="S433" s="1">
        <f>value(SUBSTITUTE(IFERROR(VLOOKUP(A433,'Networking - Solution Specializ'!A:G,6,false),""),"#","")
)</f>
        <v>0</v>
      </c>
      <c r="T433" s="1">
        <f>value(SUBSTITUTE(IFERROR(VLOOKUP(A433,'Networking - Solution Specializ'!A:G,7,false),""),"#","")
)</f>
        <v>1</v>
      </c>
      <c r="U433" s="17">
        <f t="shared" si="7"/>
        <v>0</v>
      </c>
      <c r="V433" s="1">
        <f>iferror(vlookup(A433,'Marketing Plan (extract summary'!A:G,6,false),"")</f>
        <v>1</v>
      </c>
      <c r="W433" s="1">
        <f>iferror(vlookup(A433,'Marketing Plan (extract summary'!A:G,7,false),"")</f>
        <v>1</v>
      </c>
      <c r="X433" s="17">
        <f t="shared" si="8"/>
        <v>1</v>
      </c>
      <c r="Y433" s="1">
        <f>value(IFERROR(SUBSTITUTE(SUBSTITUTE(VLOOKUP(A433,'Quarterly Pipeline vs Target Pi'!A:G,6,false)," $","")," €",""), "")
)</f>
        <v>2.88</v>
      </c>
      <c r="Z433" s="1">
        <f>value(IFERROR(SUBSTITUTE(SUBSTITUTE(VLOOKUP(A433,'Quarterly Pipeline vs Target Pi'!A:G,7,false)," $","")," €",""), "")
)</f>
        <v>0</v>
      </c>
      <c r="AA433" s="17" t="str">
        <f t="shared" si="9"/>
        <v/>
      </c>
      <c r="AB433" s="1">
        <f>value(IFERROR(SUBSTITUTE(SUBSTITUTE(VLOOKUP($A433,'Quarterly Pipeline vs Target Pi'!$A:$V,11,false)," $","")," €",""), "")
)</f>
        <v>76.87</v>
      </c>
      <c r="AC433" s="1">
        <f>value(IFERROR(SUBSTITUTE(SUBSTITUTE(VLOOKUP($A433,'Quarterly Pipeline vs Target Pi'!$A:$V,12,false)," $","")," €",""), "")
)</f>
        <v>393.94</v>
      </c>
      <c r="AD433" s="17">
        <f t="shared" si="10"/>
        <v>0.1951312383</v>
      </c>
      <c r="AE433" s="1">
        <f>value(IFERROR(SUBSTITUTE(SUBSTITUTE(VLOOKUP($A433,'Quarterly Pipeline vs Target Pi'!$A:$V,16,false)," $","")," €",""), "")
)</f>
        <v>145.58</v>
      </c>
      <c r="AF433" s="1">
        <f>value(IFERROR(SUBSTITUTE(SUBSTITUTE(VLOOKUP($A433,'Quarterly Pipeline vs Target Pi'!$A:$V,17,false)," $","")," €",""), "")
)</f>
        <v>557.58</v>
      </c>
      <c r="AG433" s="17">
        <f t="shared" si="11"/>
        <v>0.2610925786</v>
      </c>
      <c r="AH433" s="1">
        <f>value(IFERROR(SUBSTITUTE(SUBSTITUTE(VLOOKUP($A433,'Quarterly Pipeline vs Target Pi'!$A:$V,21,false)," $","")," €",""), "")
)</f>
        <v>179.93</v>
      </c>
      <c r="AI433" s="1">
        <f>value(IFERROR(SUBSTITUTE(SUBSTITUTE(VLOOKUP($A433,'Quarterly Pipeline vs Target Pi'!$A:$V,22,false)," $","")," €",""), "")
)</f>
        <v>630.3</v>
      </c>
      <c r="AJ433" s="17">
        <f t="shared" si="12"/>
        <v>0.2854672378</v>
      </c>
      <c r="AK433" s="1">
        <f t="shared" ref="AK433:AL433" si="879">sum(Y433,AB433,AE433,AH433)</f>
        <v>405.26</v>
      </c>
      <c r="AL433" s="1">
        <f t="shared" si="879"/>
        <v>1581.82</v>
      </c>
      <c r="AM433" s="17">
        <f t="shared" si="14"/>
        <v>0.2561985561</v>
      </c>
      <c r="AN433" s="1">
        <f>value(IFERROR(SUBSTITUTE(SUBSTITUTE(VLOOKUP($A433,'Quarterly Pipeline vs Target Pi'!$A:$AP,26,false)," $","")," €",""), "")
)</f>
        <v>7.81</v>
      </c>
      <c r="AO433" s="1">
        <f>value(IFERROR(SUBSTITUTE(SUBSTITUTE(VLOOKUP($A433,'Quarterly Pipeline vs Target Pi'!$A:$AP,27,false)," $","")," €",""), "")
)</f>
        <v>0</v>
      </c>
      <c r="AP433" s="17" t="str">
        <f t="shared" si="15"/>
        <v/>
      </c>
      <c r="AQ433" s="1">
        <f>value(IFERROR(SUBSTITUTE(SUBSTITUTE(VLOOKUP($A433,'Quarterly Pipeline vs Target Pi'!$A:$AP,31,false)," $","")," €",""), "")
)</f>
        <v>54.99</v>
      </c>
      <c r="AR433" s="1">
        <f>value(IFERROR(SUBSTITUTE(SUBSTITUTE(VLOOKUP($A433,'Quarterly Pipeline vs Target Pi'!$A:$AP,32,false)," $","")," €",""), "")
)</f>
        <v>0</v>
      </c>
      <c r="AS433" s="17" t="str">
        <f t="shared" si="16"/>
        <v/>
      </c>
      <c r="AT433" s="1">
        <f>value(IFERROR(SUBSTITUTE(SUBSTITUTE(VLOOKUP($A433,'Quarterly Pipeline vs Target Pi'!$A:$AP,36,false)," $","")," €",""), "")
)</f>
        <v>1.8</v>
      </c>
      <c r="AU433" s="1">
        <f>value(IFERROR(SUBSTITUTE(SUBSTITUTE(VLOOKUP($A433,'Quarterly Pipeline vs Target Pi'!$A:$AP,37,false)," $","")," €",""), "")
)</f>
        <v>0</v>
      </c>
      <c r="AV433" s="17" t="str">
        <f t="shared" si="17"/>
        <v/>
      </c>
      <c r="AW433" s="1">
        <f>value(IFERROR(SUBSTITUTE(SUBSTITUTE(VLOOKUP($A433,'Quarterly Pipeline vs Target Pi'!$A:$AP,41,false)," $","")," €",""), "")
)</f>
        <v>22.82</v>
      </c>
      <c r="AX433" s="1">
        <f>value(IFERROR(SUBSTITUTE(SUBSTITUTE(VLOOKUP($A433,'Quarterly Pipeline vs Target Pi'!$A:$AP,42,false)," $","")," €",""), "")
)</f>
        <v>0</v>
      </c>
      <c r="AY433" s="17" t="str">
        <f t="shared" si="18"/>
        <v/>
      </c>
      <c r="AZ433" s="1">
        <f t="shared" ref="AZ433:BA433" si="880">sum(AN433,AQ433,AT433,AW433)</f>
        <v>87.42</v>
      </c>
      <c r="BA433" s="1">
        <f t="shared" si="880"/>
        <v>0</v>
      </c>
      <c r="BB433" s="17" t="str">
        <f t="shared" si="20"/>
        <v/>
      </c>
    </row>
    <row r="434">
      <c r="A434" s="1" t="str">
        <f>IFERROR(__xludf.DUMMYFUNCTION("""COMPUTED_VALUE"""),"63ea6e9652ad6968805cef87")</f>
        <v>63ea6e9652ad6968805cef87</v>
      </c>
      <c r="B434" s="1" t="str">
        <f>IFERROR(__xludf.DUMMYFUNCTION("""COMPUTED_VALUE"""),"Telefon Datentechnik Kraft GmbH")</f>
        <v>Telefon Datentechnik Kraft GmbH</v>
      </c>
      <c r="C434" s="1" t="str">
        <f>IFERROR(__xludf.DUMMYFUNCTION("""COMPUTED_VALUE"""),"andreas.grossheimann@al-enterprise.com, andre.ramm@al-enterprise.com")</f>
        <v>andreas.grossheimann@al-enterprise.com, andre.ramm@al-enterprise.com</v>
      </c>
      <c r="D434" s="1" t="str">
        <f>IFERROR(__xludf.DUMMYFUNCTION("""COMPUTED_VALUE"""),"germany")</f>
        <v>germany</v>
      </c>
      <c r="E434" s="1" t="str">
        <f>IFERROR(__xludf.DUMMYFUNCTION("""COMPUTED_VALUE"""),"DE")</f>
        <v>DE</v>
      </c>
      <c r="F434" s="1"/>
      <c r="G434" s="1" t="str">
        <f>iferror(VLOOKUP(A434,'Business Plan Setup and Accepta'!A:G,6,false),"")</f>
        <v/>
      </c>
      <c r="H434" s="1" t="str">
        <f>iferror(VLOOKUP(A434,'Business Plan Setup and Accepta'!A:G,7,false),"")</f>
        <v/>
      </c>
      <c r="I434" s="17" t="str">
        <f t="shared" si="3"/>
        <v/>
      </c>
      <c r="J434" s="1" t="str">
        <f>IFERROR(VALUE(SUBSTITUTE(VLOOKUP(A434,'Sales IN Revenues vs Sales targ'!A:G,6,false)," $","")), "")
</f>
        <v/>
      </c>
      <c r="K434" s="1" t="str">
        <f>IFERROR(VALUE(SUBSTITUTE(VLOOKUP(A434,'Sales IN Revenues vs Sales targ'!A:G,7,false)," $","")), "")
</f>
        <v/>
      </c>
      <c r="L434" s="17" t="str">
        <f t="shared" si="4"/>
        <v/>
      </c>
      <c r="M434" s="1">
        <f>value(SUBSTITUTE(IFERROR(VLOOKUP(A434,'Certifications achievements vs '!A:G,6,false),""),"#","")
)</f>
        <v>0</v>
      </c>
      <c r="N434" s="1">
        <f>value(SUBSTITUTE(IFERROR(VLOOKUP(A434,'Certifications achievements vs '!A:G,7,false),""),"#","")
)</f>
        <v>0</v>
      </c>
      <c r="O434" s="17" t="str">
        <f t="shared" si="5"/>
        <v/>
      </c>
      <c r="P434" s="1">
        <f>value(SUBSTITUTE(IFERROR(VLOOKUP(A434,'Communications - Solution Speci'!A:G,6,false),""),"#","")
)</f>
        <v>0</v>
      </c>
      <c r="Q434" s="1">
        <f>value(SUBSTITUTE(IFERROR(VLOOKUP(A434,'Communications - Solution Speci'!A:G,7,false),""),"#","")
)</f>
        <v>0</v>
      </c>
      <c r="R434" s="17" t="str">
        <f t="shared" si="6"/>
        <v/>
      </c>
      <c r="S434" s="1">
        <f>value(SUBSTITUTE(IFERROR(VLOOKUP(A434,'Networking - Solution Specializ'!A:G,6,false),""),"#","")
)</f>
        <v>0</v>
      </c>
      <c r="T434" s="1">
        <f>value(SUBSTITUTE(IFERROR(VLOOKUP(A434,'Networking - Solution Specializ'!A:G,7,false),""),"#","")
)</f>
        <v>0</v>
      </c>
      <c r="U434" s="17" t="str">
        <f t="shared" si="7"/>
        <v/>
      </c>
      <c r="V434" s="1" t="str">
        <f>iferror(vlookup(A434,'Marketing Plan (extract summary'!A:G,6,false),"")</f>
        <v/>
      </c>
      <c r="W434" s="1" t="str">
        <f>iferror(vlookup(A434,'Marketing Plan (extract summary'!A:G,7,false),"")</f>
        <v/>
      </c>
      <c r="X434" s="17" t="str">
        <f t="shared" si="8"/>
        <v/>
      </c>
      <c r="Y434" s="1">
        <f>value(IFERROR(SUBSTITUTE(SUBSTITUTE(VLOOKUP(A434,'Quarterly Pipeline vs Target Pi'!A:G,6,false)," $","")," €",""), "")
)</f>
        <v>0</v>
      </c>
      <c r="Z434" s="1">
        <f>value(IFERROR(SUBSTITUTE(SUBSTITUTE(VLOOKUP(A434,'Quarterly Pipeline vs Target Pi'!A:G,7,false)," $","")," €",""), "")
)</f>
        <v>0</v>
      </c>
      <c r="AA434" s="17" t="str">
        <f t="shared" si="9"/>
        <v/>
      </c>
      <c r="AB434" s="1">
        <f>value(IFERROR(SUBSTITUTE(SUBSTITUTE(VLOOKUP($A434,'Quarterly Pipeline vs Target Pi'!$A:$V,11,false)," $","")," €",""), "")
)</f>
        <v>0</v>
      </c>
      <c r="AC434" s="1">
        <f>value(IFERROR(SUBSTITUTE(SUBSTITUTE(VLOOKUP($A434,'Quarterly Pipeline vs Target Pi'!$A:$V,12,false)," $","")," €",""), "")
)</f>
        <v>0</v>
      </c>
      <c r="AD434" s="17" t="str">
        <f t="shared" si="10"/>
        <v/>
      </c>
      <c r="AE434" s="1">
        <f>value(IFERROR(SUBSTITUTE(SUBSTITUTE(VLOOKUP($A434,'Quarterly Pipeline vs Target Pi'!$A:$V,16,false)," $","")," €",""), "")
)</f>
        <v>0</v>
      </c>
      <c r="AF434" s="1">
        <f>value(IFERROR(SUBSTITUTE(SUBSTITUTE(VLOOKUP($A434,'Quarterly Pipeline vs Target Pi'!$A:$V,17,false)," $","")," €",""), "")
)</f>
        <v>0</v>
      </c>
      <c r="AG434" s="17" t="str">
        <f t="shared" si="11"/>
        <v/>
      </c>
      <c r="AH434" s="1">
        <f>value(IFERROR(SUBSTITUTE(SUBSTITUTE(VLOOKUP($A434,'Quarterly Pipeline vs Target Pi'!$A:$V,21,false)," $","")," €",""), "")
)</f>
        <v>0</v>
      </c>
      <c r="AI434" s="1">
        <f>value(IFERROR(SUBSTITUTE(SUBSTITUTE(VLOOKUP($A434,'Quarterly Pipeline vs Target Pi'!$A:$V,22,false)," $","")," €",""), "")
)</f>
        <v>0</v>
      </c>
      <c r="AJ434" s="17" t="str">
        <f t="shared" si="12"/>
        <v/>
      </c>
      <c r="AK434" s="1">
        <f t="shared" ref="AK434:AL434" si="881">sum(Y434,AB434,AE434,AH434)</f>
        <v>0</v>
      </c>
      <c r="AL434" s="1">
        <f t="shared" si="881"/>
        <v>0</v>
      </c>
      <c r="AM434" s="17" t="str">
        <f t="shared" si="14"/>
        <v/>
      </c>
      <c r="AN434" s="1">
        <f>value(IFERROR(SUBSTITUTE(SUBSTITUTE(VLOOKUP($A434,'Quarterly Pipeline vs Target Pi'!$A:$AP,26,false)," $","")," €",""), "")
)</f>
        <v>0</v>
      </c>
      <c r="AO434" s="1">
        <f>value(IFERROR(SUBSTITUTE(SUBSTITUTE(VLOOKUP($A434,'Quarterly Pipeline vs Target Pi'!$A:$AP,27,false)," $","")," €",""), "")
)</f>
        <v>0</v>
      </c>
      <c r="AP434" s="17" t="str">
        <f t="shared" si="15"/>
        <v/>
      </c>
      <c r="AQ434" s="1">
        <f>value(IFERROR(SUBSTITUTE(SUBSTITUTE(VLOOKUP($A434,'Quarterly Pipeline vs Target Pi'!$A:$AP,31,false)," $","")," €",""), "")
)</f>
        <v>0</v>
      </c>
      <c r="AR434" s="1">
        <f>value(IFERROR(SUBSTITUTE(SUBSTITUTE(VLOOKUP($A434,'Quarterly Pipeline vs Target Pi'!$A:$AP,32,false)," $","")," €",""), "")
)</f>
        <v>0</v>
      </c>
      <c r="AS434" s="17" t="str">
        <f t="shared" si="16"/>
        <v/>
      </c>
      <c r="AT434" s="1">
        <f>value(IFERROR(SUBSTITUTE(SUBSTITUTE(VLOOKUP($A434,'Quarterly Pipeline vs Target Pi'!$A:$AP,36,false)," $","")," €",""), "")
)</f>
        <v>0</v>
      </c>
      <c r="AU434" s="1">
        <f>value(IFERROR(SUBSTITUTE(SUBSTITUTE(VLOOKUP($A434,'Quarterly Pipeline vs Target Pi'!$A:$AP,37,false)," $","")," €",""), "")
)</f>
        <v>0</v>
      </c>
      <c r="AV434" s="17" t="str">
        <f t="shared" si="17"/>
        <v/>
      </c>
      <c r="AW434" s="1">
        <f>value(IFERROR(SUBSTITUTE(SUBSTITUTE(VLOOKUP($A434,'Quarterly Pipeline vs Target Pi'!$A:$AP,41,false)," $","")," €",""), "")
)</f>
        <v>0</v>
      </c>
      <c r="AX434" s="1">
        <f>value(IFERROR(SUBSTITUTE(SUBSTITUTE(VLOOKUP($A434,'Quarterly Pipeline vs Target Pi'!$A:$AP,42,false)," $","")," €",""), "")
)</f>
        <v>0</v>
      </c>
      <c r="AY434" s="17" t="str">
        <f t="shared" si="18"/>
        <v/>
      </c>
      <c r="AZ434" s="1">
        <f t="shared" ref="AZ434:BA434" si="882">sum(AN434,AQ434,AT434,AW434)</f>
        <v>0</v>
      </c>
      <c r="BA434" s="1">
        <f t="shared" si="882"/>
        <v>0</v>
      </c>
      <c r="BB434" s="17" t="str">
        <f t="shared" si="20"/>
        <v/>
      </c>
    </row>
    <row r="435">
      <c r="A435" s="1" t="str">
        <f>IFERROR(__xludf.DUMMYFUNCTION("""COMPUTED_VALUE"""),"63ea6e9652ad6968805cef33")</f>
        <v>63ea6e9652ad6968805cef33</v>
      </c>
      <c r="B435" s="1" t="str">
        <f>IFERROR(__xludf.DUMMYFUNCTION("""COMPUTED_VALUE"""),"Telefon- &amp; Fernmelde-Service")</f>
        <v>Telefon- &amp; Fernmelde-Service</v>
      </c>
      <c r="C435" s="1" t="str">
        <f>IFERROR(__xludf.DUMMYFUNCTION("""COMPUTED_VALUE"""),"andreas.grossheimann@al-enterprise.com, andre.ramm@al-enterprise.com")</f>
        <v>andreas.grossheimann@al-enterprise.com, andre.ramm@al-enterprise.com</v>
      </c>
      <c r="D435" s="1" t="str">
        <f>IFERROR(__xludf.DUMMYFUNCTION("""COMPUTED_VALUE"""),"germany")</f>
        <v>germany</v>
      </c>
      <c r="E435" s="1" t="str">
        <f>IFERROR(__xludf.DUMMYFUNCTION("""COMPUTED_VALUE"""),"DE")</f>
        <v>DE</v>
      </c>
      <c r="F435" s="1"/>
      <c r="G435" s="1" t="str">
        <f>iferror(VLOOKUP(A435,'Business Plan Setup and Accepta'!A:G,6,false),"")</f>
        <v/>
      </c>
      <c r="H435" s="1" t="str">
        <f>iferror(VLOOKUP(A435,'Business Plan Setup and Accepta'!A:G,7,false),"")</f>
        <v/>
      </c>
      <c r="I435" s="17" t="str">
        <f t="shared" si="3"/>
        <v/>
      </c>
      <c r="J435" s="1" t="str">
        <f>IFERROR(VALUE(SUBSTITUTE(VLOOKUP(A435,'Sales IN Revenues vs Sales targ'!A:G,6,false)," $","")), "")
</f>
        <v/>
      </c>
      <c r="K435" s="1" t="str">
        <f>IFERROR(VALUE(SUBSTITUTE(VLOOKUP(A435,'Sales IN Revenues vs Sales targ'!A:G,7,false)," $","")), "")
</f>
        <v/>
      </c>
      <c r="L435" s="17" t="str">
        <f t="shared" si="4"/>
        <v/>
      </c>
      <c r="M435" s="1">
        <f>value(SUBSTITUTE(IFERROR(VLOOKUP(A435,'Certifications achievements vs '!A:G,6,false),""),"#","")
)</f>
        <v>0</v>
      </c>
      <c r="N435" s="1">
        <f>value(SUBSTITUTE(IFERROR(VLOOKUP(A435,'Certifications achievements vs '!A:G,7,false),""),"#","")
)</f>
        <v>0</v>
      </c>
      <c r="O435" s="17" t="str">
        <f t="shared" si="5"/>
        <v/>
      </c>
      <c r="P435" s="1">
        <f>value(SUBSTITUTE(IFERROR(VLOOKUP(A435,'Communications - Solution Speci'!A:G,6,false),""),"#","")
)</f>
        <v>0</v>
      </c>
      <c r="Q435" s="1">
        <f>value(SUBSTITUTE(IFERROR(VLOOKUP(A435,'Communications - Solution Speci'!A:G,7,false),""),"#","")
)</f>
        <v>0</v>
      </c>
      <c r="R435" s="17" t="str">
        <f t="shared" si="6"/>
        <v/>
      </c>
      <c r="S435" s="1">
        <f>value(SUBSTITUTE(IFERROR(VLOOKUP(A435,'Networking - Solution Specializ'!A:G,6,false),""),"#","")
)</f>
        <v>0</v>
      </c>
      <c r="T435" s="1">
        <f>value(SUBSTITUTE(IFERROR(VLOOKUP(A435,'Networking - Solution Specializ'!A:G,7,false),""),"#","")
)</f>
        <v>0</v>
      </c>
      <c r="U435" s="17" t="str">
        <f t="shared" si="7"/>
        <v/>
      </c>
      <c r="V435" s="1" t="str">
        <f>iferror(vlookup(A435,'Marketing Plan (extract summary'!A:G,6,false),"")</f>
        <v/>
      </c>
      <c r="W435" s="1" t="str">
        <f>iferror(vlookup(A435,'Marketing Plan (extract summary'!A:G,7,false),"")</f>
        <v/>
      </c>
      <c r="X435" s="17" t="str">
        <f t="shared" si="8"/>
        <v/>
      </c>
      <c r="Y435" s="1">
        <f>value(IFERROR(SUBSTITUTE(SUBSTITUTE(VLOOKUP(A435,'Quarterly Pipeline vs Target Pi'!A:G,6,false)," $","")," €",""), "")
)</f>
        <v>0</v>
      </c>
      <c r="Z435" s="1">
        <f>value(IFERROR(SUBSTITUTE(SUBSTITUTE(VLOOKUP(A435,'Quarterly Pipeline vs Target Pi'!A:G,7,false)," $","")," €",""), "")
)</f>
        <v>0</v>
      </c>
      <c r="AA435" s="17" t="str">
        <f t="shared" si="9"/>
        <v/>
      </c>
      <c r="AB435" s="1">
        <f>value(IFERROR(SUBSTITUTE(SUBSTITUTE(VLOOKUP($A435,'Quarterly Pipeline vs Target Pi'!$A:$V,11,false)," $","")," €",""), "")
)</f>
        <v>0</v>
      </c>
      <c r="AC435" s="1">
        <f>value(IFERROR(SUBSTITUTE(SUBSTITUTE(VLOOKUP($A435,'Quarterly Pipeline vs Target Pi'!$A:$V,12,false)," $","")," €",""), "")
)</f>
        <v>0</v>
      </c>
      <c r="AD435" s="17" t="str">
        <f t="shared" si="10"/>
        <v/>
      </c>
      <c r="AE435" s="1">
        <f>value(IFERROR(SUBSTITUTE(SUBSTITUTE(VLOOKUP($A435,'Quarterly Pipeline vs Target Pi'!$A:$V,16,false)," $","")," €",""), "")
)</f>
        <v>0</v>
      </c>
      <c r="AF435" s="1">
        <f>value(IFERROR(SUBSTITUTE(SUBSTITUTE(VLOOKUP($A435,'Quarterly Pipeline vs Target Pi'!$A:$V,17,false)," $","")," €",""), "")
)</f>
        <v>0</v>
      </c>
      <c r="AG435" s="17" t="str">
        <f t="shared" si="11"/>
        <v/>
      </c>
      <c r="AH435" s="1">
        <f>value(IFERROR(SUBSTITUTE(SUBSTITUTE(VLOOKUP($A435,'Quarterly Pipeline vs Target Pi'!$A:$V,21,false)," $","")," €",""), "")
)</f>
        <v>0</v>
      </c>
      <c r="AI435" s="1">
        <f>value(IFERROR(SUBSTITUTE(SUBSTITUTE(VLOOKUP($A435,'Quarterly Pipeline vs Target Pi'!$A:$V,22,false)," $","")," €",""), "")
)</f>
        <v>0</v>
      </c>
      <c r="AJ435" s="17" t="str">
        <f t="shared" si="12"/>
        <v/>
      </c>
      <c r="AK435" s="1">
        <f t="shared" ref="AK435:AL435" si="883">sum(Y435,AB435,AE435,AH435)</f>
        <v>0</v>
      </c>
      <c r="AL435" s="1">
        <f t="shared" si="883"/>
        <v>0</v>
      </c>
      <c r="AM435" s="17" t="str">
        <f t="shared" si="14"/>
        <v/>
      </c>
      <c r="AN435" s="1">
        <f>value(IFERROR(SUBSTITUTE(SUBSTITUTE(VLOOKUP($A435,'Quarterly Pipeline vs Target Pi'!$A:$AP,26,false)," $","")," €",""), "")
)</f>
        <v>0</v>
      </c>
      <c r="AO435" s="1">
        <f>value(IFERROR(SUBSTITUTE(SUBSTITUTE(VLOOKUP($A435,'Quarterly Pipeline vs Target Pi'!$A:$AP,27,false)," $","")," €",""), "")
)</f>
        <v>0</v>
      </c>
      <c r="AP435" s="17" t="str">
        <f t="shared" si="15"/>
        <v/>
      </c>
      <c r="AQ435" s="1">
        <f>value(IFERROR(SUBSTITUTE(SUBSTITUTE(VLOOKUP($A435,'Quarterly Pipeline vs Target Pi'!$A:$AP,31,false)," $","")," €",""), "")
)</f>
        <v>0</v>
      </c>
      <c r="AR435" s="1">
        <f>value(IFERROR(SUBSTITUTE(SUBSTITUTE(VLOOKUP($A435,'Quarterly Pipeline vs Target Pi'!$A:$AP,32,false)," $","")," €",""), "")
)</f>
        <v>0</v>
      </c>
      <c r="AS435" s="17" t="str">
        <f t="shared" si="16"/>
        <v/>
      </c>
      <c r="AT435" s="1">
        <f>value(IFERROR(SUBSTITUTE(SUBSTITUTE(VLOOKUP($A435,'Quarterly Pipeline vs Target Pi'!$A:$AP,36,false)," $","")," €",""), "")
)</f>
        <v>0</v>
      </c>
      <c r="AU435" s="1">
        <f>value(IFERROR(SUBSTITUTE(SUBSTITUTE(VLOOKUP($A435,'Quarterly Pipeline vs Target Pi'!$A:$AP,37,false)," $","")," €",""), "")
)</f>
        <v>0</v>
      </c>
      <c r="AV435" s="17" t="str">
        <f t="shared" si="17"/>
        <v/>
      </c>
      <c r="AW435" s="1">
        <f>value(IFERROR(SUBSTITUTE(SUBSTITUTE(VLOOKUP($A435,'Quarterly Pipeline vs Target Pi'!$A:$AP,41,false)," $","")," €",""), "")
)</f>
        <v>0</v>
      </c>
      <c r="AX435" s="1">
        <f>value(IFERROR(SUBSTITUTE(SUBSTITUTE(VLOOKUP($A435,'Quarterly Pipeline vs Target Pi'!$A:$AP,42,false)," $","")," €",""), "")
)</f>
        <v>0</v>
      </c>
      <c r="AY435" s="17" t="str">
        <f t="shared" si="18"/>
        <v/>
      </c>
      <c r="AZ435" s="1">
        <f t="shared" ref="AZ435:BA435" si="884">sum(AN435,AQ435,AT435,AW435)</f>
        <v>0</v>
      </c>
      <c r="BA435" s="1">
        <f t="shared" si="884"/>
        <v>0</v>
      </c>
      <c r="BB435" s="17" t="str">
        <f t="shared" si="20"/>
        <v/>
      </c>
    </row>
    <row r="436">
      <c r="A436" s="1" t="str">
        <f>IFERROR(__xludf.DUMMYFUNCTION("""COMPUTED_VALUE"""),"63ea6e9352ad6968805ceb51")</f>
        <v>63ea6e9352ad6968805ceb51</v>
      </c>
      <c r="B436" s="1" t="str">
        <f>IFERROR(__xludf.DUMMYFUNCTION("""COMPUTED_VALUE"""),"Telefon-Systeme Ernst Schmid GmbH")</f>
        <v>Telefon-Systeme Ernst Schmid GmbH</v>
      </c>
      <c r="C436" s="1" t="str">
        <f>IFERROR(__xludf.DUMMYFUNCTION("""COMPUTED_VALUE"""),"robert.weinberger@al-enterprise.com, katrin.pfeiffer@al-enterprise.com, sibylle.klopfer@al-enterprise.com, igor.leko@al-enterprise.com")</f>
        <v>robert.weinberger@al-enterprise.com, katrin.pfeiffer@al-enterprise.com, sibylle.klopfer@al-enterprise.com, igor.leko@al-enterprise.com</v>
      </c>
      <c r="D436" s="1" t="str">
        <f>IFERROR(__xludf.DUMMYFUNCTION("""COMPUTED_VALUE"""),"germany")</f>
        <v>germany</v>
      </c>
      <c r="E436" s="1" t="str">
        <f>IFERROR(__xludf.DUMMYFUNCTION("""COMPUTED_VALUE"""),"DE")</f>
        <v>DE</v>
      </c>
      <c r="F436" s="1" t="str">
        <f>IFERROR(__xludf.DUMMYFUNCTION("""COMPUTED_VALUE"""),"expert_200")</f>
        <v>expert_200</v>
      </c>
      <c r="G436" s="1">
        <f>iferror(VLOOKUP(A436,'Business Plan Setup and Accepta'!A:G,6,false),"")</f>
        <v>1</v>
      </c>
      <c r="H436" s="1">
        <f>iferror(VLOOKUP(A436,'Business Plan Setup and Accepta'!A:G,7,false),"")</f>
        <v>1</v>
      </c>
      <c r="I436" s="17">
        <f t="shared" si="3"/>
        <v>1</v>
      </c>
      <c r="J436" s="1">
        <f>IFERROR(VALUE(SUBSTITUTE(VLOOKUP(A436,'Sales IN Revenues vs Sales targ'!A:G,6,false)," $","")), "")
</f>
        <v>63.53</v>
      </c>
      <c r="K436" s="1">
        <f>IFERROR(VALUE(SUBSTITUTE(VLOOKUP(A436,'Sales IN Revenues vs Sales targ'!A:G,7,false)," $","")), "")
</f>
        <v>200</v>
      </c>
      <c r="L436" s="17">
        <f t="shared" si="4"/>
        <v>0.31765</v>
      </c>
      <c r="M436" s="1">
        <f>value(SUBSTITUTE(IFERROR(VLOOKUP(A436,'Certifications achievements vs '!A:G,6,false),""),"#","")
)</f>
        <v>15</v>
      </c>
      <c r="N436" s="1">
        <f>value(SUBSTITUTE(IFERROR(VLOOKUP(A436,'Certifications achievements vs '!A:G,7,false),""),"#","")
)</f>
        <v>52</v>
      </c>
      <c r="O436" s="17">
        <f t="shared" si="5"/>
        <v>0.2884615385</v>
      </c>
      <c r="P436" s="1">
        <f>value(SUBSTITUTE(IFERROR(VLOOKUP(A436,'Communications - Solution Speci'!A:G,6,false),""),"#","")
)</f>
        <v>1</v>
      </c>
      <c r="Q436" s="1">
        <f>value(SUBSTITUTE(IFERROR(VLOOKUP(A436,'Communications - Solution Speci'!A:G,7,false),""),"#","")
)</f>
        <v>1</v>
      </c>
      <c r="R436" s="17">
        <f t="shared" si="6"/>
        <v>1</v>
      </c>
      <c r="S436" s="1">
        <f>value(SUBSTITUTE(IFERROR(VLOOKUP(A436,'Networking - Solution Specializ'!A:G,6,false),""),"#","")
)</f>
        <v>0</v>
      </c>
      <c r="T436" s="1">
        <f>value(SUBSTITUTE(IFERROR(VLOOKUP(A436,'Networking - Solution Specializ'!A:G,7,false),""),"#","")
)</f>
        <v>1</v>
      </c>
      <c r="U436" s="17">
        <f t="shared" si="7"/>
        <v>0</v>
      </c>
      <c r="V436" s="1">
        <f>iferror(vlookup(A436,'Marketing Plan (extract summary'!A:G,6,false),"")</f>
        <v>0</v>
      </c>
      <c r="W436" s="1">
        <f>iferror(vlookup(A436,'Marketing Plan (extract summary'!A:G,7,false),"")</f>
        <v>1</v>
      </c>
      <c r="X436" s="17">
        <f t="shared" si="8"/>
        <v>0</v>
      </c>
      <c r="Y436" s="1">
        <f>value(IFERROR(SUBSTITUTE(SUBSTITUTE(VLOOKUP(A436,'Quarterly Pipeline vs Target Pi'!A:G,6,false)," $","")," €",""), "")
)</f>
        <v>0</v>
      </c>
      <c r="Z436" s="1">
        <f>value(IFERROR(SUBSTITUTE(SUBSTITUTE(VLOOKUP(A436,'Quarterly Pipeline vs Target Pi'!A:G,7,false)," $","")," €",""), "")
)</f>
        <v>0</v>
      </c>
      <c r="AA436" s="17" t="str">
        <f t="shared" si="9"/>
        <v/>
      </c>
      <c r="AB436" s="1">
        <f>value(IFERROR(SUBSTITUTE(SUBSTITUTE(VLOOKUP($A436,'Quarterly Pipeline vs Target Pi'!$A:$V,11,false)," $","")," €",""), "")
)</f>
        <v>54</v>
      </c>
      <c r="AC436" s="1">
        <f>value(IFERROR(SUBSTITUTE(SUBSTITUTE(VLOOKUP($A436,'Quarterly Pipeline vs Target Pi'!$A:$V,12,false)," $","")," €",""), "")
)</f>
        <v>47.19</v>
      </c>
      <c r="AD436" s="17">
        <f t="shared" si="10"/>
        <v>1.144310235</v>
      </c>
      <c r="AE436" s="1">
        <f>value(IFERROR(SUBSTITUTE(SUBSTITUTE(VLOOKUP($A436,'Quarterly Pipeline vs Target Pi'!$A:$V,16,false)," $","")," €",""), "")
)</f>
        <v>54</v>
      </c>
      <c r="AF436" s="1">
        <f>value(IFERROR(SUBSTITUTE(SUBSTITUTE(VLOOKUP($A436,'Quarterly Pipeline vs Target Pi'!$A:$V,17,false)," $","")," €",""), "")
)</f>
        <v>65.17</v>
      </c>
      <c r="AG436" s="17">
        <f t="shared" si="11"/>
        <v>0.8286021175</v>
      </c>
      <c r="AH436" s="1">
        <f>value(IFERROR(SUBSTITUTE(SUBSTITUTE(VLOOKUP($A436,'Quarterly Pipeline vs Target Pi'!$A:$V,21,false)," $","")," €",""), "")
)</f>
        <v>54</v>
      </c>
      <c r="AI436" s="1">
        <f>value(IFERROR(SUBSTITUTE(SUBSTITUTE(VLOOKUP($A436,'Quarterly Pipeline vs Target Pi'!$A:$V,22,false)," $","")," €",""), "")
)</f>
        <v>65.17</v>
      </c>
      <c r="AJ436" s="17">
        <f t="shared" si="12"/>
        <v>0.8286021175</v>
      </c>
      <c r="AK436" s="1">
        <f t="shared" ref="AK436:AL436" si="885">sum(Y436,AB436,AE436,AH436)</f>
        <v>162</v>
      </c>
      <c r="AL436" s="1">
        <f t="shared" si="885"/>
        <v>177.53</v>
      </c>
      <c r="AM436" s="17">
        <f t="shared" si="14"/>
        <v>0.9125218273</v>
      </c>
      <c r="AN436" s="1">
        <f>value(IFERROR(SUBSTITUTE(SUBSTITUTE(VLOOKUP($A436,'Quarterly Pipeline vs Target Pi'!$A:$AP,26,false)," $","")," €",""), "")
)</f>
        <v>293.03</v>
      </c>
      <c r="AO436" s="1">
        <f>value(IFERROR(SUBSTITUTE(SUBSTITUTE(VLOOKUP($A436,'Quarterly Pipeline vs Target Pi'!$A:$AP,27,false)," $","")," €",""), "")
)</f>
        <v>0</v>
      </c>
      <c r="AP436" s="17" t="str">
        <f t="shared" si="15"/>
        <v/>
      </c>
      <c r="AQ436" s="1">
        <f>value(IFERROR(SUBSTITUTE(SUBSTITUTE(VLOOKUP($A436,'Quarterly Pipeline vs Target Pi'!$A:$AP,31,false)," $","")," €",""), "")
)</f>
        <v>0</v>
      </c>
      <c r="AR436" s="1">
        <f>value(IFERROR(SUBSTITUTE(SUBSTITUTE(VLOOKUP($A436,'Quarterly Pipeline vs Target Pi'!$A:$AP,32,false)," $","")," €",""), "")
)</f>
        <v>0</v>
      </c>
      <c r="AS436" s="17" t="str">
        <f t="shared" si="16"/>
        <v/>
      </c>
      <c r="AT436" s="1">
        <f>value(IFERROR(SUBSTITUTE(SUBSTITUTE(VLOOKUP($A436,'Quarterly Pipeline vs Target Pi'!$A:$AP,36,false)," $","")," €",""), "")
)</f>
        <v>0</v>
      </c>
      <c r="AU436" s="1">
        <f>value(IFERROR(SUBSTITUTE(SUBSTITUTE(VLOOKUP($A436,'Quarterly Pipeline vs Target Pi'!$A:$AP,37,false)," $","")," €",""), "")
)</f>
        <v>0</v>
      </c>
      <c r="AV436" s="17" t="str">
        <f t="shared" si="17"/>
        <v/>
      </c>
      <c r="AW436" s="1">
        <f>value(IFERROR(SUBSTITUTE(SUBSTITUTE(VLOOKUP($A436,'Quarterly Pipeline vs Target Pi'!$A:$AP,41,false)," $","")," €",""), "")
)</f>
        <v>12.5</v>
      </c>
      <c r="AX436" s="1">
        <f>value(IFERROR(SUBSTITUTE(SUBSTITUTE(VLOOKUP($A436,'Quarterly Pipeline vs Target Pi'!$A:$AP,42,false)," $","")," €",""), "")
)</f>
        <v>0</v>
      </c>
      <c r="AY436" s="17" t="str">
        <f t="shared" si="18"/>
        <v/>
      </c>
      <c r="AZ436" s="1">
        <f t="shared" ref="AZ436:BA436" si="886">sum(AN436,AQ436,AT436,AW436)</f>
        <v>305.53</v>
      </c>
      <c r="BA436" s="1">
        <f t="shared" si="886"/>
        <v>0</v>
      </c>
      <c r="BB436" s="17" t="str">
        <f t="shared" si="20"/>
        <v/>
      </c>
    </row>
    <row r="437">
      <c r="A437" s="1" t="str">
        <f>IFERROR(__xludf.DUMMYFUNCTION("""COMPUTED_VALUE"""),"63ea6e9752ad6968805cf091")</f>
        <v>63ea6e9752ad6968805cf091</v>
      </c>
      <c r="B437" s="1" t="str">
        <f>IFERROR(__xludf.DUMMYFUNCTION("""COMPUTED_VALUE"""),"Telefonbau Schneider GmbH &amp; Co. KG.")</f>
        <v>Telefonbau Schneider GmbH &amp; Co. KG.</v>
      </c>
      <c r="C437" s="1" t="str">
        <f>IFERROR(__xludf.DUMMYFUNCTION("""COMPUTED_VALUE"""),"andreas.grossheimann@al-enterprise.com, andre.ramm@al-enterprise.com")</f>
        <v>andreas.grossheimann@al-enterprise.com, andre.ramm@al-enterprise.com</v>
      </c>
      <c r="D437" s="1" t="str">
        <f>IFERROR(__xludf.DUMMYFUNCTION("""COMPUTED_VALUE"""),"germany")</f>
        <v>germany</v>
      </c>
      <c r="E437" s="1" t="str">
        <f>IFERROR(__xludf.DUMMYFUNCTION("""COMPUTED_VALUE"""),"DE")</f>
        <v>DE</v>
      </c>
      <c r="F437" s="1"/>
      <c r="G437" s="1" t="str">
        <f>iferror(VLOOKUP(A437,'Business Plan Setup and Accepta'!A:G,6,false),"")</f>
        <v/>
      </c>
      <c r="H437" s="1" t="str">
        <f>iferror(VLOOKUP(A437,'Business Plan Setup and Accepta'!A:G,7,false),"")</f>
        <v/>
      </c>
      <c r="I437" s="17" t="str">
        <f t="shared" si="3"/>
        <v/>
      </c>
      <c r="J437" s="1" t="str">
        <f>IFERROR(VALUE(SUBSTITUTE(VLOOKUP(A437,'Sales IN Revenues vs Sales targ'!A:G,6,false)," $","")), "")
</f>
        <v/>
      </c>
      <c r="K437" s="1" t="str">
        <f>IFERROR(VALUE(SUBSTITUTE(VLOOKUP(A437,'Sales IN Revenues vs Sales targ'!A:G,7,false)," $","")), "")
</f>
        <v/>
      </c>
      <c r="L437" s="17" t="str">
        <f t="shared" si="4"/>
        <v/>
      </c>
      <c r="M437" s="1">
        <f>value(SUBSTITUTE(IFERROR(VLOOKUP(A437,'Certifications achievements vs '!A:G,6,false),""),"#","")
)</f>
        <v>0</v>
      </c>
      <c r="N437" s="1">
        <f>value(SUBSTITUTE(IFERROR(VLOOKUP(A437,'Certifications achievements vs '!A:G,7,false),""),"#","")
)</f>
        <v>0</v>
      </c>
      <c r="O437" s="17" t="str">
        <f t="shared" si="5"/>
        <v/>
      </c>
      <c r="P437" s="1">
        <f>value(SUBSTITUTE(IFERROR(VLOOKUP(A437,'Communications - Solution Speci'!A:G,6,false),""),"#","")
)</f>
        <v>0</v>
      </c>
      <c r="Q437" s="1">
        <f>value(SUBSTITUTE(IFERROR(VLOOKUP(A437,'Communications - Solution Speci'!A:G,7,false),""),"#","")
)</f>
        <v>0</v>
      </c>
      <c r="R437" s="17" t="str">
        <f t="shared" si="6"/>
        <v/>
      </c>
      <c r="S437" s="1">
        <f>value(SUBSTITUTE(IFERROR(VLOOKUP(A437,'Networking - Solution Specializ'!A:G,6,false),""),"#","")
)</f>
        <v>0</v>
      </c>
      <c r="T437" s="1">
        <f>value(SUBSTITUTE(IFERROR(VLOOKUP(A437,'Networking - Solution Specializ'!A:G,7,false),""),"#","")
)</f>
        <v>0</v>
      </c>
      <c r="U437" s="17" t="str">
        <f t="shared" si="7"/>
        <v/>
      </c>
      <c r="V437" s="1" t="str">
        <f>iferror(vlookup(A437,'Marketing Plan (extract summary'!A:G,6,false),"")</f>
        <v/>
      </c>
      <c r="W437" s="1" t="str">
        <f>iferror(vlookup(A437,'Marketing Plan (extract summary'!A:G,7,false),"")</f>
        <v/>
      </c>
      <c r="X437" s="17" t="str">
        <f t="shared" si="8"/>
        <v/>
      </c>
      <c r="Y437" s="1">
        <f>value(IFERROR(SUBSTITUTE(SUBSTITUTE(VLOOKUP(A437,'Quarterly Pipeline vs Target Pi'!A:G,6,false)," $","")," €",""), "")
)</f>
        <v>0</v>
      </c>
      <c r="Z437" s="1">
        <f>value(IFERROR(SUBSTITUTE(SUBSTITUTE(VLOOKUP(A437,'Quarterly Pipeline vs Target Pi'!A:G,7,false)," $","")," €",""), "")
)</f>
        <v>0</v>
      </c>
      <c r="AA437" s="17" t="str">
        <f t="shared" si="9"/>
        <v/>
      </c>
      <c r="AB437" s="1">
        <f>value(IFERROR(SUBSTITUTE(SUBSTITUTE(VLOOKUP($A437,'Quarterly Pipeline vs Target Pi'!$A:$V,11,false)," $","")," €",""), "")
)</f>
        <v>0</v>
      </c>
      <c r="AC437" s="1">
        <f>value(IFERROR(SUBSTITUTE(SUBSTITUTE(VLOOKUP($A437,'Quarterly Pipeline vs Target Pi'!$A:$V,12,false)," $","")," €",""), "")
)</f>
        <v>0</v>
      </c>
      <c r="AD437" s="17" t="str">
        <f t="shared" si="10"/>
        <v/>
      </c>
      <c r="AE437" s="1">
        <f>value(IFERROR(SUBSTITUTE(SUBSTITUTE(VLOOKUP($A437,'Quarterly Pipeline vs Target Pi'!$A:$V,16,false)," $","")," €",""), "")
)</f>
        <v>0</v>
      </c>
      <c r="AF437" s="1">
        <f>value(IFERROR(SUBSTITUTE(SUBSTITUTE(VLOOKUP($A437,'Quarterly Pipeline vs Target Pi'!$A:$V,17,false)," $","")," €",""), "")
)</f>
        <v>0</v>
      </c>
      <c r="AG437" s="17" t="str">
        <f t="shared" si="11"/>
        <v/>
      </c>
      <c r="AH437" s="1">
        <f>value(IFERROR(SUBSTITUTE(SUBSTITUTE(VLOOKUP($A437,'Quarterly Pipeline vs Target Pi'!$A:$V,21,false)," $","")," €",""), "")
)</f>
        <v>0</v>
      </c>
      <c r="AI437" s="1">
        <f>value(IFERROR(SUBSTITUTE(SUBSTITUTE(VLOOKUP($A437,'Quarterly Pipeline vs Target Pi'!$A:$V,22,false)," $","")," €",""), "")
)</f>
        <v>0</v>
      </c>
      <c r="AJ437" s="17" t="str">
        <f t="shared" si="12"/>
        <v/>
      </c>
      <c r="AK437" s="1">
        <f t="shared" ref="AK437:AL437" si="887">sum(Y437,AB437,AE437,AH437)</f>
        <v>0</v>
      </c>
      <c r="AL437" s="1">
        <f t="shared" si="887"/>
        <v>0</v>
      </c>
      <c r="AM437" s="17" t="str">
        <f t="shared" si="14"/>
        <v/>
      </c>
      <c r="AN437" s="1">
        <f>value(IFERROR(SUBSTITUTE(SUBSTITUTE(VLOOKUP($A437,'Quarterly Pipeline vs Target Pi'!$A:$AP,26,false)," $","")," €",""), "")
)</f>
        <v>0</v>
      </c>
      <c r="AO437" s="1">
        <f>value(IFERROR(SUBSTITUTE(SUBSTITUTE(VLOOKUP($A437,'Quarterly Pipeline vs Target Pi'!$A:$AP,27,false)," $","")," €",""), "")
)</f>
        <v>0</v>
      </c>
      <c r="AP437" s="17" t="str">
        <f t="shared" si="15"/>
        <v/>
      </c>
      <c r="AQ437" s="1">
        <f>value(IFERROR(SUBSTITUTE(SUBSTITUTE(VLOOKUP($A437,'Quarterly Pipeline vs Target Pi'!$A:$AP,31,false)," $","")," €",""), "")
)</f>
        <v>0</v>
      </c>
      <c r="AR437" s="1">
        <f>value(IFERROR(SUBSTITUTE(SUBSTITUTE(VLOOKUP($A437,'Quarterly Pipeline vs Target Pi'!$A:$AP,32,false)," $","")," €",""), "")
)</f>
        <v>0</v>
      </c>
      <c r="AS437" s="17" t="str">
        <f t="shared" si="16"/>
        <v/>
      </c>
      <c r="AT437" s="1">
        <f>value(IFERROR(SUBSTITUTE(SUBSTITUTE(VLOOKUP($A437,'Quarterly Pipeline vs Target Pi'!$A:$AP,36,false)," $","")," €",""), "")
)</f>
        <v>0</v>
      </c>
      <c r="AU437" s="1">
        <f>value(IFERROR(SUBSTITUTE(SUBSTITUTE(VLOOKUP($A437,'Quarterly Pipeline vs Target Pi'!$A:$AP,37,false)," $","")," €",""), "")
)</f>
        <v>0</v>
      </c>
      <c r="AV437" s="17" t="str">
        <f t="shared" si="17"/>
        <v/>
      </c>
      <c r="AW437" s="1">
        <f>value(IFERROR(SUBSTITUTE(SUBSTITUTE(VLOOKUP($A437,'Quarterly Pipeline vs Target Pi'!$A:$AP,41,false)," $","")," €",""), "")
)</f>
        <v>0</v>
      </c>
      <c r="AX437" s="1">
        <f>value(IFERROR(SUBSTITUTE(SUBSTITUTE(VLOOKUP($A437,'Quarterly Pipeline vs Target Pi'!$A:$AP,42,false)," $","")," €",""), "")
)</f>
        <v>0</v>
      </c>
      <c r="AY437" s="17" t="str">
        <f t="shared" si="18"/>
        <v/>
      </c>
      <c r="AZ437" s="1">
        <f t="shared" ref="AZ437:BA437" si="888">sum(AN437,AQ437,AT437,AW437)</f>
        <v>0</v>
      </c>
      <c r="BA437" s="1">
        <f t="shared" si="888"/>
        <v>0</v>
      </c>
      <c r="BB437" s="17" t="str">
        <f t="shared" si="20"/>
        <v/>
      </c>
    </row>
    <row r="438">
      <c r="A438" s="1" t="str">
        <f>IFERROR(__xludf.DUMMYFUNCTION("""COMPUTED_VALUE"""),"633dbd4048bd86081331f510")</f>
        <v>633dbd4048bd86081331f510</v>
      </c>
      <c r="B438" s="1" t="str">
        <f>IFERROR(__xludf.DUMMYFUNCTION("""COMPUTED_VALUE"""),"Telefonica Brasil S.A.")</f>
        <v>Telefonica Brasil S.A.</v>
      </c>
      <c r="C438" s="1" t="str">
        <f>IFERROR(__xludf.DUMMYFUNCTION("""COMPUTED_VALUE"""),"paola.sa@al-enterprise.com, gabriel.pires@al-enterprise.com")</f>
        <v>paola.sa@al-enterprise.com, gabriel.pires@al-enterprise.com</v>
      </c>
      <c r="D438" s="1" t="str">
        <f>IFERROR(__xludf.DUMMYFUNCTION("""COMPUTED_VALUE"""),"americas")</f>
        <v>americas</v>
      </c>
      <c r="E438" s="1" t="str">
        <f>IFERROR(__xludf.DUMMYFUNCTION("""COMPUTED_VALUE"""),"BR")</f>
        <v>BR</v>
      </c>
      <c r="F438" s="1"/>
      <c r="G438" s="1" t="str">
        <f>iferror(VLOOKUP(A438,'Business Plan Setup and Accepta'!A:G,6,false),"")</f>
        <v/>
      </c>
      <c r="H438" s="1" t="str">
        <f>iferror(VLOOKUP(A438,'Business Plan Setup and Accepta'!A:G,7,false),"")</f>
        <v/>
      </c>
      <c r="I438" s="17" t="str">
        <f t="shared" si="3"/>
        <v/>
      </c>
      <c r="J438" s="1" t="str">
        <f>IFERROR(VALUE(SUBSTITUTE(VLOOKUP(A438,'Sales IN Revenues vs Sales targ'!A:G,6,false)," $","")), "")
</f>
        <v/>
      </c>
      <c r="K438" s="1" t="str">
        <f>IFERROR(VALUE(SUBSTITUTE(VLOOKUP(A438,'Sales IN Revenues vs Sales targ'!A:G,7,false)," $","")), "")
</f>
        <v/>
      </c>
      <c r="L438" s="17" t="str">
        <f t="shared" si="4"/>
        <v/>
      </c>
      <c r="M438" s="1">
        <f>value(SUBSTITUTE(IFERROR(VLOOKUP(A438,'Certifications achievements vs '!A:G,6,false),""),"#","")
)</f>
        <v>0</v>
      </c>
      <c r="N438" s="1">
        <f>value(SUBSTITUTE(IFERROR(VLOOKUP(A438,'Certifications achievements vs '!A:G,7,false),""),"#","")
)</f>
        <v>0</v>
      </c>
      <c r="O438" s="17" t="str">
        <f t="shared" si="5"/>
        <v/>
      </c>
      <c r="P438" s="1">
        <f>value(SUBSTITUTE(IFERROR(VLOOKUP(A438,'Communications - Solution Speci'!A:G,6,false),""),"#","")
)</f>
        <v>0</v>
      </c>
      <c r="Q438" s="1">
        <f>value(SUBSTITUTE(IFERROR(VLOOKUP(A438,'Communications - Solution Speci'!A:G,7,false),""),"#","")
)</f>
        <v>0</v>
      </c>
      <c r="R438" s="17" t="str">
        <f t="shared" si="6"/>
        <v/>
      </c>
      <c r="S438" s="1">
        <f>value(SUBSTITUTE(IFERROR(VLOOKUP(A438,'Networking - Solution Specializ'!A:G,6,false),""),"#","")
)</f>
        <v>0</v>
      </c>
      <c r="T438" s="1">
        <f>value(SUBSTITUTE(IFERROR(VLOOKUP(A438,'Networking - Solution Specializ'!A:G,7,false),""),"#","")
)</f>
        <v>0</v>
      </c>
      <c r="U438" s="17" t="str">
        <f t="shared" si="7"/>
        <v/>
      </c>
      <c r="V438" s="1" t="str">
        <f>iferror(vlookup(A438,'Marketing Plan (extract summary'!A:G,6,false),"")</f>
        <v/>
      </c>
      <c r="W438" s="1" t="str">
        <f>iferror(vlookup(A438,'Marketing Plan (extract summary'!A:G,7,false),"")</f>
        <v/>
      </c>
      <c r="X438" s="17" t="str">
        <f t="shared" si="8"/>
        <v/>
      </c>
      <c r="Y438" s="1">
        <f>value(IFERROR(SUBSTITUTE(SUBSTITUTE(VLOOKUP(A438,'Quarterly Pipeline vs Target Pi'!A:G,6,false)," $","")," €",""), "")
)</f>
        <v>0</v>
      </c>
      <c r="Z438" s="1">
        <f>value(IFERROR(SUBSTITUTE(SUBSTITUTE(VLOOKUP(A438,'Quarterly Pipeline vs Target Pi'!A:G,7,false)," $","")," €",""), "")
)</f>
        <v>0</v>
      </c>
      <c r="AA438" s="17" t="str">
        <f t="shared" si="9"/>
        <v/>
      </c>
      <c r="AB438" s="1">
        <f>value(IFERROR(SUBSTITUTE(SUBSTITUTE(VLOOKUP($A438,'Quarterly Pipeline vs Target Pi'!$A:$V,11,false)," $","")," €",""), "")
)</f>
        <v>0</v>
      </c>
      <c r="AC438" s="1">
        <f>value(IFERROR(SUBSTITUTE(SUBSTITUTE(VLOOKUP($A438,'Quarterly Pipeline vs Target Pi'!$A:$V,12,false)," $","")," €",""), "")
)</f>
        <v>0</v>
      </c>
      <c r="AD438" s="17" t="str">
        <f t="shared" si="10"/>
        <v/>
      </c>
      <c r="AE438" s="1">
        <f>value(IFERROR(SUBSTITUTE(SUBSTITUTE(VLOOKUP($A438,'Quarterly Pipeline vs Target Pi'!$A:$V,16,false)," $","")," €",""), "")
)</f>
        <v>0</v>
      </c>
      <c r="AF438" s="1">
        <f>value(IFERROR(SUBSTITUTE(SUBSTITUTE(VLOOKUP($A438,'Quarterly Pipeline vs Target Pi'!$A:$V,17,false)," $","")," €",""), "")
)</f>
        <v>0</v>
      </c>
      <c r="AG438" s="17" t="str">
        <f t="shared" si="11"/>
        <v/>
      </c>
      <c r="AH438" s="1">
        <f>value(IFERROR(SUBSTITUTE(SUBSTITUTE(VLOOKUP($A438,'Quarterly Pipeline vs Target Pi'!$A:$V,21,false)," $","")," €",""), "")
)</f>
        <v>0</v>
      </c>
      <c r="AI438" s="1">
        <f>value(IFERROR(SUBSTITUTE(SUBSTITUTE(VLOOKUP($A438,'Quarterly Pipeline vs Target Pi'!$A:$V,22,false)," $","")," €",""), "")
)</f>
        <v>0</v>
      </c>
      <c r="AJ438" s="17" t="str">
        <f t="shared" si="12"/>
        <v/>
      </c>
      <c r="AK438" s="1">
        <f t="shared" ref="AK438:AL438" si="889">sum(Y438,AB438,AE438,AH438)</f>
        <v>0</v>
      </c>
      <c r="AL438" s="1">
        <f t="shared" si="889"/>
        <v>0</v>
      </c>
      <c r="AM438" s="17" t="str">
        <f t="shared" si="14"/>
        <v/>
      </c>
      <c r="AN438" s="1">
        <f>value(IFERROR(SUBSTITUTE(SUBSTITUTE(VLOOKUP($A438,'Quarterly Pipeline vs Target Pi'!$A:$AP,26,false)," $","")," €",""), "")
)</f>
        <v>0</v>
      </c>
      <c r="AO438" s="1">
        <f>value(IFERROR(SUBSTITUTE(SUBSTITUTE(VLOOKUP($A438,'Quarterly Pipeline vs Target Pi'!$A:$AP,27,false)," $","")," €",""), "")
)</f>
        <v>0</v>
      </c>
      <c r="AP438" s="17" t="str">
        <f t="shared" si="15"/>
        <v/>
      </c>
      <c r="AQ438" s="1">
        <f>value(IFERROR(SUBSTITUTE(SUBSTITUTE(VLOOKUP($A438,'Quarterly Pipeline vs Target Pi'!$A:$AP,31,false)," $","")," €",""), "")
)</f>
        <v>0</v>
      </c>
      <c r="AR438" s="1">
        <f>value(IFERROR(SUBSTITUTE(SUBSTITUTE(VLOOKUP($A438,'Quarterly Pipeline vs Target Pi'!$A:$AP,32,false)," $","")," €",""), "")
)</f>
        <v>0</v>
      </c>
      <c r="AS438" s="17" t="str">
        <f t="shared" si="16"/>
        <v/>
      </c>
      <c r="AT438" s="1">
        <f>value(IFERROR(SUBSTITUTE(SUBSTITUTE(VLOOKUP($A438,'Quarterly Pipeline vs Target Pi'!$A:$AP,36,false)," $","")," €",""), "")
)</f>
        <v>0</v>
      </c>
      <c r="AU438" s="1">
        <f>value(IFERROR(SUBSTITUTE(SUBSTITUTE(VLOOKUP($A438,'Quarterly Pipeline vs Target Pi'!$A:$AP,37,false)," $","")," €",""), "")
)</f>
        <v>0</v>
      </c>
      <c r="AV438" s="17" t="str">
        <f t="shared" si="17"/>
        <v/>
      </c>
      <c r="AW438" s="1">
        <f>value(IFERROR(SUBSTITUTE(SUBSTITUTE(VLOOKUP($A438,'Quarterly Pipeline vs Target Pi'!$A:$AP,41,false)," $","")," €",""), "")
)</f>
        <v>0</v>
      </c>
      <c r="AX438" s="1">
        <f>value(IFERROR(SUBSTITUTE(SUBSTITUTE(VLOOKUP($A438,'Quarterly Pipeline vs Target Pi'!$A:$AP,42,false)," $","")," €",""), "")
)</f>
        <v>0</v>
      </c>
      <c r="AY438" s="17" t="str">
        <f t="shared" si="18"/>
        <v/>
      </c>
      <c r="AZ438" s="1">
        <f t="shared" ref="AZ438:BA438" si="890">sum(AN438,AQ438,AT438,AW438)</f>
        <v>0</v>
      </c>
      <c r="BA438" s="1">
        <f t="shared" si="890"/>
        <v>0</v>
      </c>
      <c r="BB438" s="17" t="str">
        <f t="shared" si="20"/>
        <v/>
      </c>
    </row>
    <row r="439">
      <c r="A439" s="1" t="str">
        <f>IFERROR(__xludf.DUMMYFUNCTION("""COMPUTED_VALUE"""),"63ef9d60384f27260c1bb10d")</f>
        <v>63ef9d60384f27260c1bb10d</v>
      </c>
      <c r="B439" s="1" t="str">
        <f>IFERROR(__xludf.DUMMYFUNCTION("""COMPUTED_VALUE"""),"TELEFONICA SOLUCIONES INFORMATICA Y COMUNICACIONES DE ESPANA S.A.U.")</f>
        <v>TELEFONICA SOLUCIONES INFORMATICA Y COMUNICACIONES DE ESPANA S.A.U.</v>
      </c>
      <c r="C439" s="1" t="str">
        <f>IFERROR(__xludf.DUMMYFUNCTION("""COMPUTED_VALUE"""),"astrid.savorani@al-enterprise.com, rafael.andreo@al-enterprise.com, esther.alonso@al-enterprise.com, angel.montoya@al-enterprise.com, marcos.rodriguez@al-enterprise.com")</f>
        <v>astrid.savorani@al-enterprise.com, rafael.andreo@al-enterprise.com, esther.alonso@al-enterprise.com, angel.montoya@al-enterprise.com, marcos.rodriguez@al-enterprise.com</v>
      </c>
      <c r="D439" s="1" t="str">
        <f>IFERROR(__xludf.DUMMYFUNCTION("""COMPUTED_VALUE"""),"emea")</f>
        <v>emea</v>
      </c>
      <c r="E439" s="1" t="str">
        <f>IFERROR(__xludf.DUMMYFUNCTION("""COMPUTED_VALUE"""),"ES")</f>
        <v>ES</v>
      </c>
      <c r="F439" s="1" t="str">
        <f>IFERROR(__xludf.DUMMYFUNCTION("""COMPUTED_VALUE"""),"expert_1000")</f>
        <v>expert_1000</v>
      </c>
      <c r="G439" s="1">
        <f>iferror(VLOOKUP(A439,'Business Plan Setup and Accepta'!A:G,6,false),"")</f>
        <v>0</v>
      </c>
      <c r="H439" s="1">
        <f>iferror(VLOOKUP(A439,'Business Plan Setup and Accepta'!A:G,7,false),"")</f>
        <v>1</v>
      </c>
      <c r="I439" s="17">
        <f t="shared" si="3"/>
        <v>0</v>
      </c>
      <c r="J439" s="1">
        <f>IFERROR(VALUE(SUBSTITUTE(VLOOKUP(A439,'Sales IN Revenues vs Sales targ'!A:G,6,false)," $","")), "")
</f>
        <v>1804.04</v>
      </c>
      <c r="K439" s="1">
        <f>IFERROR(VALUE(SUBSTITUTE(VLOOKUP(A439,'Sales IN Revenues vs Sales targ'!A:G,7,false)," $","")), "")
</f>
        <v>0</v>
      </c>
      <c r="L439" s="17" t="str">
        <f t="shared" si="4"/>
        <v/>
      </c>
      <c r="M439" s="1">
        <f>value(SUBSTITUTE(IFERROR(VLOOKUP(A439,'Certifications achievements vs '!A:G,6,false),""),"#","")
)</f>
        <v>55</v>
      </c>
      <c r="N439" s="1">
        <f>value(SUBSTITUTE(IFERROR(VLOOKUP(A439,'Certifications achievements vs '!A:G,7,false),""),"#","")
)</f>
        <v>0</v>
      </c>
      <c r="O439" s="17" t="str">
        <f t="shared" si="5"/>
        <v/>
      </c>
      <c r="P439" s="1">
        <f>value(SUBSTITUTE(IFERROR(VLOOKUP(A439,'Communications - Solution Speci'!A:G,6,false),""),"#","")
)</f>
        <v>0</v>
      </c>
      <c r="Q439" s="1">
        <f>value(SUBSTITUTE(IFERROR(VLOOKUP(A439,'Communications - Solution Speci'!A:G,7,false),""),"#","")
)</f>
        <v>1</v>
      </c>
      <c r="R439" s="17">
        <f t="shared" si="6"/>
        <v>0</v>
      </c>
      <c r="S439" s="1">
        <f>value(SUBSTITUTE(IFERROR(VLOOKUP(A439,'Networking - Solution Specializ'!A:G,6,false),""),"#","")
)</f>
        <v>1</v>
      </c>
      <c r="T439" s="1">
        <f>value(SUBSTITUTE(IFERROR(VLOOKUP(A439,'Networking - Solution Specializ'!A:G,7,false),""),"#","")
)</f>
        <v>1</v>
      </c>
      <c r="U439" s="17">
        <f t="shared" si="7"/>
        <v>1</v>
      </c>
      <c r="V439" s="1">
        <f>iferror(vlookup(A439,'Marketing Plan (extract summary'!A:G,6,false),"")</f>
        <v>0</v>
      </c>
      <c r="W439" s="1">
        <f>iferror(vlookup(A439,'Marketing Plan (extract summary'!A:G,7,false),"")</f>
        <v>1</v>
      </c>
      <c r="X439" s="17">
        <f t="shared" si="8"/>
        <v>0</v>
      </c>
      <c r="Y439" s="1">
        <f>value(IFERROR(SUBSTITUTE(SUBSTITUTE(VLOOKUP(A439,'Quarterly Pipeline vs Target Pi'!A:G,6,false)," $","")," €",""), "")
)</f>
        <v>0</v>
      </c>
      <c r="Z439" s="1">
        <f>value(IFERROR(SUBSTITUTE(SUBSTITUTE(VLOOKUP(A439,'Quarterly Pipeline vs Target Pi'!A:G,7,false)," $","")," €",""), "")
)</f>
        <v>0</v>
      </c>
      <c r="AA439" s="17" t="str">
        <f t="shared" si="9"/>
        <v/>
      </c>
      <c r="AB439" s="1">
        <f>value(IFERROR(SUBSTITUTE(SUBSTITUTE(VLOOKUP($A439,'Quarterly Pipeline vs Target Pi'!$A:$V,11,false)," $","")," €",""), "")
)</f>
        <v>2</v>
      </c>
      <c r="AC439" s="1">
        <f>value(IFERROR(SUBSTITUTE(SUBSTITUTE(VLOOKUP($A439,'Quarterly Pipeline vs Target Pi'!$A:$V,12,false)," $","")," €",""), "")
)</f>
        <v>0</v>
      </c>
      <c r="AD439" s="17" t="str">
        <f t="shared" si="10"/>
        <v/>
      </c>
      <c r="AE439" s="1">
        <f>value(IFERROR(SUBSTITUTE(SUBSTITUTE(VLOOKUP($A439,'Quarterly Pipeline vs Target Pi'!$A:$V,16,false)," $","")," €",""), "")
)</f>
        <v>55.19</v>
      </c>
      <c r="AF439" s="1">
        <f>value(IFERROR(SUBSTITUTE(SUBSTITUTE(VLOOKUP($A439,'Quarterly Pipeline vs Target Pi'!$A:$V,17,false)," $","")," €",""), "")
)</f>
        <v>0</v>
      </c>
      <c r="AG439" s="17" t="str">
        <f t="shared" si="11"/>
        <v/>
      </c>
      <c r="AH439" s="1">
        <f>value(IFERROR(SUBSTITUTE(SUBSTITUTE(VLOOKUP($A439,'Quarterly Pipeline vs Target Pi'!$A:$V,21,false)," $","")," €",""), "")
)</f>
        <v>7.4</v>
      </c>
      <c r="AI439" s="1">
        <f>value(IFERROR(SUBSTITUTE(SUBSTITUTE(VLOOKUP($A439,'Quarterly Pipeline vs Target Pi'!$A:$V,22,false)," $","")," €",""), "")
)</f>
        <v>0</v>
      </c>
      <c r="AJ439" s="17" t="str">
        <f t="shared" si="12"/>
        <v/>
      </c>
      <c r="AK439" s="1">
        <f t="shared" ref="AK439:AL439" si="891">sum(Y439,AB439,AE439,AH439)</f>
        <v>64.59</v>
      </c>
      <c r="AL439" s="1">
        <f t="shared" si="891"/>
        <v>0</v>
      </c>
      <c r="AM439" s="17" t="str">
        <f t="shared" si="14"/>
        <v/>
      </c>
      <c r="AN439" s="1">
        <f>value(IFERROR(SUBSTITUTE(SUBSTITUTE(VLOOKUP($A439,'Quarterly Pipeline vs Target Pi'!$A:$AP,26,false)," $","")," €",""), "")
)</f>
        <v>0</v>
      </c>
      <c r="AO439" s="1">
        <f>value(IFERROR(SUBSTITUTE(SUBSTITUTE(VLOOKUP($A439,'Quarterly Pipeline vs Target Pi'!$A:$AP,27,false)," $","")," €",""), "")
)</f>
        <v>0</v>
      </c>
      <c r="AP439" s="17" t="str">
        <f t="shared" si="15"/>
        <v/>
      </c>
      <c r="AQ439" s="1">
        <f>value(IFERROR(SUBSTITUTE(SUBSTITUTE(VLOOKUP($A439,'Quarterly Pipeline vs Target Pi'!$A:$AP,31,false)," $","")," €",""), "")
)</f>
        <v>0</v>
      </c>
      <c r="AR439" s="1">
        <f>value(IFERROR(SUBSTITUTE(SUBSTITUTE(VLOOKUP($A439,'Quarterly Pipeline vs Target Pi'!$A:$AP,32,false)," $","")," €",""), "")
)</f>
        <v>0</v>
      </c>
      <c r="AS439" s="17" t="str">
        <f t="shared" si="16"/>
        <v/>
      </c>
      <c r="AT439" s="1">
        <f>value(IFERROR(SUBSTITUTE(SUBSTITUTE(VLOOKUP($A439,'Quarterly Pipeline vs Target Pi'!$A:$AP,36,false)," $","")," €",""), "")
)</f>
        <v>0</v>
      </c>
      <c r="AU439" s="1">
        <f>value(IFERROR(SUBSTITUTE(SUBSTITUTE(VLOOKUP($A439,'Quarterly Pipeline vs Target Pi'!$A:$AP,37,false)," $","")," €",""), "")
)</f>
        <v>0</v>
      </c>
      <c r="AV439" s="17" t="str">
        <f t="shared" si="17"/>
        <v/>
      </c>
      <c r="AW439" s="1">
        <f>value(IFERROR(SUBSTITUTE(SUBSTITUTE(VLOOKUP($A439,'Quarterly Pipeline vs Target Pi'!$A:$AP,41,false)," $","")," €",""), "")
)</f>
        <v>0</v>
      </c>
      <c r="AX439" s="1">
        <f>value(IFERROR(SUBSTITUTE(SUBSTITUTE(VLOOKUP($A439,'Quarterly Pipeline vs Target Pi'!$A:$AP,42,false)," $","")," €",""), "")
)</f>
        <v>0</v>
      </c>
      <c r="AY439" s="17" t="str">
        <f t="shared" si="18"/>
        <v/>
      </c>
      <c r="AZ439" s="1">
        <f t="shared" ref="AZ439:BA439" si="892">sum(AN439,AQ439,AT439,AW439)</f>
        <v>0</v>
      </c>
      <c r="BA439" s="1">
        <f t="shared" si="892"/>
        <v>0</v>
      </c>
      <c r="BB439" s="17" t="str">
        <f t="shared" si="20"/>
        <v/>
      </c>
    </row>
    <row r="440">
      <c r="A440" s="1" t="str">
        <f>IFERROR(__xludf.DUMMYFUNCTION("""COMPUTED_VALUE"""),"63ced841c5c820531c267e4d")</f>
        <v>63ced841c5c820531c267e4d</v>
      </c>
      <c r="B440" s="1" t="str">
        <f>IFERROR(__xludf.DUMMYFUNCTION("""COMPUTED_VALUE"""),"Teleinformatica en Servicios")</f>
        <v>Teleinformatica en Servicios</v>
      </c>
      <c r="C440" s="1" t="str">
        <f>IFERROR(__xludf.DUMMYFUNCTION("""COMPUTED_VALUE"""),"joaquin.flores@al-enterprise.com")</f>
        <v>joaquin.flores@al-enterprise.com</v>
      </c>
      <c r="D440" s="1" t="str">
        <f>IFERROR(__xludf.DUMMYFUNCTION("""COMPUTED_VALUE"""),"americas")</f>
        <v>americas</v>
      </c>
      <c r="E440" s="1" t="str">
        <f>IFERROR(__xludf.DUMMYFUNCTION("""COMPUTED_VALUE"""),"MX")</f>
        <v>MX</v>
      </c>
      <c r="F440" s="1" t="str">
        <f>IFERROR(__xludf.DUMMYFUNCTION("""COMPUTED_VALUE"""),"expert_1000")</f>
        <v>expert_1000</v>
      </c>
      <c r="G440" s="1">
        <f>iferror(VLOOKUP(A440,'Business Plan Setup and Accepta'!A:G,6,false),"")</f>
        <v>0</v>
      </c>
      <c r="H440" s="1">
        <f>iferror(VLOOKUP(A440,'Business Plan Setup and Accepta'!A:G,7,false),"")</f>
        <v>1</v>
      </c>
      <c r="I440" s="17">
        <f t="shared" si="3"/>
        <v>0</v>
      </c>
      <c r="J440" s="1">
        <f>IFERROR(VALUE(SUBSTITUTE(VLOOKUP(A440,'Sales IN Revenues vs Sales targ'!A:G,6,false)," $","")), "")
</f>
        <v>7.83</v>
      </c>
      <c r="K440" s="1">
        <f>IFERROR(VALUE(SUBSTITUTE(VLOOKUP(A440,'Sales IN Revenues vs Sales targ'!A:G,7,false)," $","")), "")
</f>
        <v>0</v>
      </c>
      <c r="L440" s="17" t="str">
        <f t="shared" si="4"/>
        <v/>
      </c>
      <c r="M440" s="1">
        <f>value(SUBSTITUTE(IFERROR(VLOOKUP(A440,'Certifications achievements vs '!A:G,6,false),""),"#","")
)</f>
        <v>23</v>
      </c>
      <c r="N440" s="1">
        <f>value(SUBSTITUTE(IFERROR(VLOOKUP(A440,'Certifications achievements vs '!A:G,7,false),""),"#","")
)</f>
        <v>52</v>
      </c>
      <c r="O440" s="17">
        <f t="shared" si="5"/>
        <v>0.4423076923</v>
      </c>
      <c r="P440" s="1">
        <f>value(SUBSTITUTE(IFERROR(VLOOKUP(A440,'Communications - Solution Speci'!A:G,6,false),""),"#","")
)</f>
        <v>1</v>
      </c>
      <c r="Q440" s="1">
        <f>value(SUBSTITUTE(IFERROR(VLOOKUP(A440,'Communications - Solution Speci'!A:G,7,false),""),"#","")
)</f>
        <v>1</v>
      </c>
      <c r="R440" s="17">
        <f t="shared" si="6"/>
        <v>1</v>
      </c>
      <c r="S440" s="1">
        <f>value(SUBSTITUTE(IFERROR(VLOOKUP(A440,'Networking - Solution Specializ'!A:G,6,false),""),"#","")
)</f>
        <v>0</v>
      </c>
      <c r="T440" s="1">
        <f>value(SUBSTITUTE(IFERROR(VLOOKUP(A440,'Networking - Solution Specializ'!A:G,7,false),""),"#","")
)</f>
        <v>1</v>
      </c>
      <c r="U440" s="17">
        <f t="shared" si="7"/>
        <v>0</v>
      </c>
      <c r="V440" s="1">
        <f>iferror(vlookup(A440,'Marketing Plan (extract summary'!A:G,6,false),"")</f>
        <v>0</v>
      </c>
      <c r="W440" s="1">
        <f>iferror(vlookup(A440,'Marketing Plan (extract summary'!A:G,7,false),"")</f>
        <v>1</v>
      </c>
      <c r="X440" s="17">
        <f t="shared" si="8"/>
        <v>0</v>
      </c>
      <c r="Y440" s="1">
        <f>value(IFERROR(SUBSTITUTE(SUBSTITUTE(VLOOKUP(A440,'Quarterly Pipeline vs Target Pi'!A:G,6,false)," $","")," €",""), "")
)</f>
        <v>23.33</v>
      </c>
      <c r="Z440" s="1">
        <f>value(IFERROR(SUBSTITUTE(SUBSTITUTE(VLOOKUP(A440,'Quarterly Pipeline vs Target Pi'!A:G,7,false)," $","")," €",""), "")
)</f>
        <v>0</v>
      </c>
      <c r="AA440" s="17" t="str">
        <f t="shared" si="9"/>
        <v/>
      </c>
      <c r="AB440" s="1">
        <f>value(IFERROR(SUBSTITUTE(SUBSTITUTE(VLOOKUP($A440,'Quarterly Pipeline vs Target Pi'!$A:$V,11,false)," $","")," €",""), "")
)</f>
        <v>27.85</v>
      </c>
      <c r="AC440" s="1">
        <f>value(IFERROR(SUBSTITUTE(SUBSTITUTE(VLOOKUP($A440,'Quarterly Pipeline vs Target Pi'!$A:$V,12,false)," $","")," €",""), "")
)</f>
        <v>0</v>
      </c>
      <c r="AD440" s="17" t="str">
        <f t="shared" si="10"/>
        <v/>
      </c>
      <c r="AE440" s="1">
        <f>value(IFERROR(SUBSTITUTE(SUBSTITUTE(VLOOKUP($A440,'Quarterly Pipeline vs Target Pi'!$A:$V,16,false)," $","")," €",""), "")
)</f>
        <v>65.86</v>
      </c>
      <c r="AF440" s="1">
        <f>value(IFERROR(SUBSTITUTE(SUBSTITUTE(VLOOKUP($A440,'Quarterly Pipeline vs Target Pi'!$A:$V,17,false)," $","")," €",""), "")
)</f>
        <v>0</v>
      </c>
      <c r="AG440" s="17" t="str">
        <f t="shared" si="11"/>
        <v/>
      </c>
      <c r="AH440" s="1">
        <f>value(IFERROR(SUBSTITUTE(SUBSTITUTE(VLOOKUP($A440,'Quarterly Pipeline vs Target Pi'!$A:$V,21,false)," $","")," €",""), "")
)</f>
        <v>14.94</v>
      </c>
      <c r="AI440" s="1">
        <f>value(IFERROR(SUBSTITUTE(SUBSTITUTE(VLOOKUP($A440,'Quarterly Pipeline vs Target Pi'!$A:$V,22,false)," $","")," €",""), "")
)</f>
        <v>0</v>
      </c>
      <c r="AJ440" s="17" t="str">
        <f t="shared" si="12"/>
        <v/>
      </c>
      <c r="AK440" s="1">
        <f t="shared" ref="AK440:AL440" si="893">sum(Y440,AB440,AE440,AH440)</f>
        <v>131.98</v>
      </c>
      <c r="AL440" s="1">
        <f t="shared" si="893"/>
        <v>0</v>
      </c>
      <c r="AM440" s="17" t="str">
        <f t="shared" si="14"/>
        <v/>
      </c>
      <c r="AN440" s="1">
        <f>value(IFERROR(SUBSTITUTE(SUBSTITUTE(VLOOKUP($A440,'Quarterly Pipeline vs Target Pi'!$A:$AP,26,false)," $","")," €",""), "")
)</f>
        <v>0</v>
      </c>
      <c r="AO440" s="1">
        <f>value(IFERROR(SUBSTITUTE(SUBSTITUTE(VLOOKUP($A440,'Quarterly Pipeline vs Target Pi'!$A:$AP,27,false)," $","")," €",""), "")
)</f>
        <v>0</v>
      </c>
      <c r="AP440" s="17" t="str">
        <f t="shared" si="15"/>
        <v/>
      </c>
      <c r="AQ440" s="1">
        <f>value(IFERROR(SUBSTITUTE(SUBSTITUTE(VLOOKUP($A440,'Quarterly Pipeline vs Target Pi'!$A:$AP,31,false)," $","")," €",""), "")
)</f>
        <v>0</v>
      </c>
      <c r="AR440" s="1">
        <f>value(IFERROR(SUBSTITUTE(SUBSTITUTE(VLOOKUP($A440,'Quarterly Pipeline vs Target Pi'!$A:$AP,32,false)," $","")," €",""), "")
)</f>
        <v>0</v>
      </c>
      <c r="AS440" s="17" t="str">
        <f t="shared" si="16"/>
        <v/>
      </c>
      <c r="AT440" s="1">
        <f>value(IFERROR(SUBSTITUTE(SUBSTITUTE(VLOOKUP($A440,'Quarterly Pipeline vs Target Pi'!$A:$AP,36,false)," $","")," €",""), "")
)</f>
        <v>0</v>
      </c>
      <c r="AU440" s="1">
        <f>value(IFERROR(SUBSTITUTE(SUBSTITUTE(VLOOKUP($A440,'Quarterly Pipeline vs Target Pi'!$A:$AP,37,false)," $","")," €",""), "")
)</f>
        <v>0</v>
      </c>
      <c r="AV440" s="17" t="str">
        <f t="shared" si="17"/>
        <v/>
      </c>
      <c r="AW440" s="1">
        <f>value(IFERROR(SUBSTITUTE(SUBSTITUTE(VLOOKUP($A440,'Quarterly Pipeline vs Target Pi'!$A:$AP,41,false)," $","")," €",""), "")
)</f>
        <v>0</v>
      </c>
      <c r="AX440" s="1">
        <f>value(IFERROR(SUBSTITUTE(SUBSTITUTE(VLOOKUP($A440,'Quarterly Pipeline vs Target Pi'!$A:$AP,42,false)," $","")," €",""), "")
)</f>
        <v>0</v>
      </c>
      <c r="AY440" s="17" t="str">
        <f t="shared" si="18"/>
        <v/>
      </c>
      <c r="AZ440" s="1">
        <f t="shared" ref="AZ440:BA440" si="894">sum(AN440,AQ440,AT440,AW440)</f>
        <v>0</v>
      </c>
      <c r="BA440" s="1">
        <f t="shared" si="894"/>
        <v>0</v>
      </c>
      <c r="BB440" s="17" t="str">
        <f t="shared" si="20"/>
        <v/>
      </c>
    </row>
    <row r="441">
      <c r="A441" s="1" t="str">
        <f>IFERROR(__xludf.DUMMYFUNCTION("""COMPUTED_VALUE"""),"63ea6e9552ad6968805cee45")</f>
        <v>63ea6e9552ad6968805cee45</v>
      </c>
      <c r="B441" s="1" t="str">
        <f>IFERROR(__xludf.DUMMYFUNCTION("""COMPUTED_VALUE"""),"Telekommunikation Beratung &amp;")</f>
        <v>Telekommunikation Beratung &amp;</v>
      </c>
      <c r="C441" s="1" t="str">
        <f>IFERROR(__xludf.DUMMYFUNCTION("""COMPUTED_VALUE"""),"andreas.grossheimann@al-enterprise.com, andre.ramm@al-enterprise.com")</f>
        <v>andreas.grossheimann@al-enterprise.com, andre.ramm@al-enterprise.com</v>
      </c>
      <c r="D441" s="1" t="str">
        <f>IFERROR(__xludf.DUMMYFUNCTION("""COMPUTED_VALUE"""),"germany")</f>
        <v>germany</v>
      </c>
      <c r="E441" s="1" t="str">
        <f>IFERROR(__xludf.DUMMYFUNCTION("""COMPUTED_VALUE"""),"DE")</f>
        <v>DE</v>
      </c>
      <c r="F441" s="1"/>
      <c r="G441" s="1" t="str">
        <f>iferror(VLOOKUP(A441,'Business Plan Setup and Accepta'!A:G,6,false),"")</f>
        <v/>
      </c>
      <c r="H441" s="1" t="str">
        <f>iferror(VLOOKUP(A441,'Business Plan Setup and Accepta'!A:G,7,false),"")</f>
        <v/>
      </c>
      <c r="I441" s="17" t="str">
        <f t="shared" si="3"/>
        <v/>
      </c>
      <c r="J441" s="1" t="str">
        <f>IFERROR(VALUE(SUBSTITUTE(VLOOKUP(A441,'Sales IN Revenues vs Sales targ'!A:G,6,false)," $","")), "")
</f>
        <v/>
      </c>
      <c r="K441" s="1" t="str">
        <f>IFERROR(VALUE(SUBSTITUTE(VLOOKUP(A441,'Sales IN Revenues vs Sales targ'!A:G,7,false)," $","")), "")
</f>
        <v/>
      </c>
      <c r="L441" s="17" t="str">
        <f t="shared" si="4"/>
        <v/>
      </c>
      <c r="M441" s="1">
        <f>value(SUBSTITUTE(IFERROR(VLOOKUP(A441,'Certifications achievements vs '!A:G,6,false),""),"#","")
)</f>
        <v>0</v>
      </c>
      <c r="N441" s="1">
        <f>value(SUBSTITUTE(IFERROR(VLOOKUP(A441,'Certifications achievements vs '!A:G,7,false),""),"#","")
)</f>
        <v>0</v>
      </c>
      <c r="O441" s="17" t="str">
        <f t="shared" si="5"/>
        <v/>
      </c>
      <c r="P441" s="1">
        <f>value(SUBSTITUTE(IFERROR(VLOOKUP(A441,'Communications - Solution Speci'!A:G,6,false),""),"#","")
)</f>
        <v>0</v>
      </c>
      <c r="Q441" s="1">
        <f>value(SUBSTITUTE(IFERROR(VLOOKUP(A441,'Communications - Solution Speci'!A:G,7,false),""),"#","")
)</f>
        <v>0</v>
      </c>
      <c r="R441" s="17" t="str">
        <f t="shared" si="6"/>
        <v/>
      </c>
      <c r="S441" s="1">
        <f>value(SUBSTITUTE(IFERROR(VLOOKUP(A441,'Networking - Solution Specializ'!A:G,6,false),""),"#","")
)</f>
        <v>0</v>
      </c>
      <c r="T441" s="1">
        <f>value(SUBSTITUTE(IFERROR(VLOOKUP(A441,'Networking - Solution Specializ'!A:G,7,false),""),"#","")
)</f>
        <v>0</v>
      </c>
      <c r="U441" s="17" t="str">
        <f t="shared" si="7"/>
        <v/>
      </c>
      <c r="V441" s="1" t="str">
        <f>iferror(vlookup(A441,'Marketing Plan (extract summary'!A:G,6,false),"")</f>
        <v/>
      </c>
      <c r="W441" s="1" t="str">
        <f>iferror(vlookup(A441,'Marketing Plan (extract summary'!A:G,7,false),"")</f>
        <v/>
      </c>
      <c r="X441" s="17" t="str">
        <f t="shared" si="8"/>
        <v/>
      </c>
      <c r="Y441" s="1">
        <f>value(IFERROR(SUBSTITUTE(SUBSTITUTE(VLOOKUP(A441,'Quarterly Pipeline vs Target Pi'!A:G,6,false)," $","")," €",""), "")
)</f>
        <v>0</v>
      </c>
      <c r="Z441" s="1">
        <f>value(IFERROR(SUBSTITUTE(SUBSTITUTE(VLOOKUP(A441,'Quarterly Pipeline vs Target Pi'!A:G,7,false)," $","")," €",""), "")
)</f>
        <v>0</v>
      </c>
      <c r="AA441" s="17" t="str">
        <f t="shared" si="9"/>
        <v/>
      </c>
      <c r="AB441" s="1">
        <f>value(IFERROR(SUBSTITUTE(SUBSTITUTE(VLOOKUP($A441,'Quarterly Pipeline vs Target Pi'!$A:$V,11,false)," $","")," €",""), "")
)</f>
        <v>0</v>
      </c>
      <c r="AC441" s="1">
        <f>value(IFERROR(SUBSTITUTE(SUBSTITUTE(VLOOKUP($A441,'Quarterly Pipeline vs Target Pi'!$A:$V,12,false)," $","")," €",""), "")
)</f>
        <v>0</v>
      </c>
      <c r="AD441" s="17" t="str">
        <f t="shared" si="10"/>
        <v/>
      </c>
      <c r="AE441" s="1">
        <f>value(IFERROR(SUBSTITUTE(SUBSTITUTE(VLOOKUP($A441,'Quarterly Pipeline vs Target Pi'!$A:$V,16,false)," $","")," €",""), "")
)</f>
        <v>0</v>
      </c>
      <c r="AF441" s="1">
        <f>value(IFERROR(SUBSTITUTE(SUBSTITUTE(VLOOKUP($A441,'Quarterly Pipeline vs Target Pi'!$A:$V,17,false)," $","")," €",""), "")
)</f>
        <v>0</v>
      </c>
      <c r="AG441" s="17" t="str">
        <f t="shared" si="11"/>
        <v/>
      </c>
      <c r="AH441" s="1">
        <f>value(IFERROR(SUBSTITUTE(SUBSTITUTE(VLOOKUP($A441,'Quarterly Pipeline vs Target Pi'!$A:$V,21,false)," $","")," €",""), "")
)</f>
        <v>0</v>
      </c>
      <c r="AI441" s="1">
        <f>value(IFERROR(SUBSTITUTE(SUBSTITUTE(VLOOKUP($A441,'Quarterly Pipeline vs Target Pi'!$A:$V,22,false)," $","")," €",""), "")
)</f>
        <v>0</v>
      </c>
      <c r="AJ441" s="17" t="str">
        <f t="shared" si="12"/>
        <v/>
      </c>
      <c r="AK441" s="1">
        <f t="shared" ref="AK441:AL441" si="895">sum(Y441,AB441,AE441,AH441)</f>
        <v>0</v>
      </c>
      <c r="AL441" s="1">
        <f t="shared" si="895"/>
        <v>0</v>
      </c>
      <c r="AM441" s="17" t="str">
        <f t="shared" si="14"/>
        <v/>
      </c>
      <c r="AN441" s="1">
        <f>value(IFERROR(SUBSTITUTE(SUBSTITUTE(VLOOKUP($A441,'Quarterly Pipeline vs Target Pi'!$A:$AP,26,false)," $","")," €",""), "")
)</f>
        <v>0</v>
      </c>
      <c r="AO441" s="1">
        <f>value(IFERROR(SUBSTITUTE(SUBSTITUTE(VLOOKUP($A441,'Quarterly Pipeline vs Target Pi'!$A:$AP,27,false)," $","")," €",""), "")
)</f>
        <v>0</v>
      </c>
      <c r="AP441" s="17" t="str">
        <f t="shared" si="15"/>
        <v/>
      </c>
      <c r="AQ441" s="1">
        <f>value(IFERROR(SUBSTITUTE(SUBSTITUTE(VLOOKUP($A441,'Quarterly Pipeline vs Target Pi'!$A:$AP,31,false)," $","")," €",""), "")
)</f>
        <v>0</v>
      </c>
      <c r="AR441" s="1">
        <f>value(IFERROR(SUBSTITUTE(SUBSTITUTE(VLOOKUP($A441,'Quarterly Pipeline vs Target Pi'!$A:$AP,32,false)," $","")," €",""), "")
)</f>
        <v>0</v>
      </c>
      <c r="AS441" s="17" t="str">
        <f t="shared" si="16"/>
        <v/>
      </c>
      <c r="AT441" s="1">
        <f>value(IFERROR(SUBSTITUTE(SUBSTITUTE(VLOOKUP($A441,'Quarterly Pipeline vs Target Pi'!$A:$AP,36,false)," $","")," €",""), "")
)</f>
        <v>0</v>
      </c>
      <c r="AU441" s="1">
        <f>value(IFERROR(SUBSTITUTE(SUBSTITUTE(VLOOKUP($A441,'Quarterly Pipeline vs Target Pi'!$A:$AP,37,false)," $","")," €",""), "")
)</f>
        <v>0</v>
      </c>
      <c r="AV441" s="17" t="str">
        <f t="shared" si="17"/>
        <v/>
      </c>
      <c r="AW441" s="1">
        <f>value(IFERROR(SUBSTITUTE(SUBSTITUTE(VLOOKUP($A441,'Quarterly Pipeline vs Target Pi'!$A:$AP,41,false)," $","")," €",""), "")
)</f>
        <v>0</v>
      </c>
      <c r="AX441" s="1">
        <f>value(IFERROR(SUBSTITUTE(SUBSTITUTE(VLOOKUP($A441,'Quarterly Pipeline vs Target Pi'!$A:$AP,42,false)," $","")," €",""), "")
)</f>
        <v>0</v>
      </c>
      <c r="AY441" s="17" t="str">
        <f t="shared" si="18"/>
        <v/>
      </c>
      <c r="AZ441" s="1">
        <f t="shared" ref="AZ441:BA441" si="896">sum(AN441,AQ441,AT441,AW441)</f>
        <v>0</v>
      </c>
      <c r="BA441" s="1">
        <f t="shared" si="896"/>
        <v>0</v>
      </c>
      <c r="BB441" s="17" t="str">
        <f t="shared" si="20"/>
        <v/>
      </c>
    </row>
    <row r="442">
      <c r="A442" s="1" t="str">
        <f>IFERROR(__xludf.DUMMYFUNCTION("""COMPUTED_VALUE"""),"63ea6e9652ad6968805ceedf")</f>
        <v>63ea6e9652ad6968805ceedf</v>
      </c>
      <c r="B442" s="1" t="str">
        <f>IFERROR(__xludf.DUMMYFUNCTION("""COMPUTED_VALUE"""),"TELENETWORK AG")</f>
        <v>TELENETWORK AG</v>
      </c>
      <c r="C442" s="1" t="str">
        <f>IFERROR(__xludf.DUMMYFUNCTION("""COMPUTED_VALUE"""),"rui.silva@al-enterprise.com, robert.weinberger@al-enterprise.com")</f>
        <v>rui.silva@al-enterprise.com, robert.weinberger@al-enterprise.com</v>
      </c>
      <c r="D442" s="1" t="str">
        <f>IFERROR(__xludf.DUMMYFUNCTION("""COMPUTED_VALUE"""),"germany")</f>
        <v>germany</v>
      </c>
      <c r="E442" s="1" t="str">
        <f>IFERROR(__xludf.DUMMYFUNCTION("""COMPUTED_VALUE"""),"DE")</f>
        <v>DE</v>
      </c>
      <c r="F442" s="1" t="str">
        <f>IFERROR(__xludf.DUMMYFUNCTION("""COMPUTED_VALUE"""),"expert_200")</f>
        <v>expert_200</v>
      </c>
      <c r="G442" s="1">
        <f>iferror(VLOOKUP(A442,'Business Plan Setup and Accepta'!A:G,6,false),"")</f>
        <v>0</v>
      </c>
      <c r="H442" s="1">
        <f>iferror(VLOOKUP(A442,'Business Plan Setup and Accepta'!A:G,7,false),"")</f>
        <v>1</v>
      </c>
      <c r="I442" s="17">
        <f t="shared" si="3"/>
        <v>0</v>
      </c>
      <c r="J442" s="1">
        <f>IFERROR(VALUE(SUBSTITUTE(VLOOKUP(A442,'Sales IN Revenues vs Sales targ'!A:G,6,false)," $","")), "")
</f>
        <v>10.37</v>
      </c>
      <c r="K442" s="1">
        <f>IFERROR(VALUE(SUBSTITUTE(VLOOKUP(A442,'Sales IN Revenues vs Sales targ'!A:G,7,false)," $","")), "")
</f>
        <v>200</v>
      </c>
      <c r="L442" s="17">
        <f t="shared" si="4"/>
        <v>0.05185</v>
      </c>
      <c r="M442" s="1">
        <f>value(SUBSTITUTE(IFERROR(VLOOKUP(A442,'Certifications achievements vs '!A:G,6,false),""),"#","")
)</f>
        <v>18</v>
      </c>
      <c r="N442" s="1">
        <f>value(SUBSTITUTE(IFERROR(VLOOKUP(A442,'Certifications achievements vs '!A:G,7,false),""),"#","")
)</f>
        <v>0</v>
      </c>
      <c r="O442" s="17" t="str">
        <f t="shared" si="5"/>
        <v/>
      </c>
      <c r="P442" s="1">
        <f>value(SUBSTITUTE(IFERROR(VLOOKUP(A442,'Communications - Solution Speci'!A:G,6,false),""),"#","")
)</f>
        <v>0</v>
      </c>
      <c r="Q442" s="1">
        <f>value(SUBSTITUTE(IFERROR(VLOOKUP(A442,'Communications - Solution Speci'!A:G,7,false),""),"#","")
)</f>
        <v>1</v>
      </c>
      <c r="R442" s="17">
        <f t="shared" si="6"/>
        <v>0</v>
      </c>
      <c r="S442" s="1">
        <f>value(SUBSTITUTE(IFERROR(VLOOKUP(A442,'Networking - Solution Specializ'!A:G,6,false),""),"#","")
)</f>
        <v>1</v>
      </c>
      <c r="T442" s="1">
        <f>value(SUBSTITUTE(IFERROR(VLOOKUP(A442,'Networking - Solution Specializ'!A:G,7,false),""),"#","")
)</f>
        <v>1</v>
      </c>
      <c r="U442" s="17">
        <f t="shared" si="7"/>
        <v>1</v>
      </c>
      <c r="V442" s="1">
        <f>iferror(vlookup(A442,'Marketing Plan (extract summary'!A:G,6,false),"")</f>
        <v>0</v>
      </c>
      <c r="W442" s="1">
        <f>iferror(vlookup(A442,'Marketing Plan (extract summary'!A:G,7,false),"")</f>
        <v>1</v>
      </c>
      <c r="X442" s="17">
        <f t="shared" si="8"/>
        <v>0</v>
      </c>
      <c r="Y442" s="1">
        <f>value(IFERROR(SUBSTITUTE(SUBSTITUTE(VLOOKUP(A442,'Quarterly Pipeline vs Target Pi'!A:G,6,false)," $","")," €",""), "")
)</f>
        <v>27</v>
      </c>
      <c r="Z442" s="1">
        <f>value(IFERROR(SUBSTITUTE(SUBSTITUTE(VLOOKUP(A442,'Quarterly Pipeline vs Target Pi'!A:G,7,false)," $","")," €",""), "")
)</f>
        <v>0</v>
      </c>
      <c r="AA442" s="17" t="str">
        <f t="shared" si="9"/>
        <v/>
      </c>
      <c r="AB442" s="1">
        <f>value(IFERROR(SUBSTITUTE(SUBSTITUTE(VLOOKUP($A442,'Quarterly Pipeline vs Target Pi'!$A:$V,11,false)," $","")," €",""), "")
)</f>
        <v>1.24</v>
      </c>
      <c r="AC442" s="1">
        <f>value(IFERROR(SUBSTITUTE(SUBSTITUTE(VLOOKUP($A442,'Quarterly Pipeline vs Target Pi'!$A:$V,12,false)," $","")," €",""), "")
)</f>
        <v>41.24</v>
      </c>
      <c r="AD442" s="17">
        <f t="shared" si="10"/>
        <v>0.03006789525</v>
      </c>
      <c r="AE442" s="1">
        <f>value(IFERROR(SUBSTITUTE(SUBSTITUTE(VLOOKUP($A442,'Quarterly Pipeline vs Target Pi'!$A:$V,16,false)," $","")," €",""), "")
)</f>
        <v>30</v>
      </c>
      <c r="AF442" s="1">
        <f>value(IFERROR(SUBSTITUTE(SUBSTITUTE(VLOOKUP($A442,'Quarterly Pipeline vs Target Pi'!$A:$V,17,false)," $","")," €",""), "")
)</f>
        <v>61.86</v>
      </c>
      <c r="AG442" s="17">
        <f t="shared" si="11"/>
        <v>0.4849660524</v>
      </c>
      <c r="AH442" s="1">
        <f>value(IFERROR(SUBSTITUTE(SUBSTITUTE(VLOOKUP($A442,'Quarterly Pipeline vs Target Pi'!$A:$V,21,false)," $","")," €",""), "")
)</f>
        <v>150</v>
      </c>
      <c r="AI442" s="1">
        <f>value(IFERROR(SUBSTITUTE(SUBSTITUTE(VLOOKUP($A442,'Quarterly Pipeline vs Target Pi'!$A:$V,22,false)," $","")," €",""), "")
)</f>
        <v>61.86</v>
      </c>
      <c r="AJ442" s="17">
        <f t="shared" si="12"/>
        <v>2.424830262</v>
      </c>
      <c r="AK442" s="1">
        <f t="shared" ref="AK442:AL442" si="897">sum(Y442,AB442,AE442,AH442)</f>
        <v>208.24</v>
      </c>
      <c r="AL442" s="1">
        <f t="shared" si="897"/>
        <v>164.96</v>
      </c>
      <c r="AM442" s="17">
        <f t="shared" si="14"/>
        <v>1.262366634</v>
      </c>
      <c r="AN442" s="1">
        <f>value(IFERROR(SUBSTITUTE(SUBSTITUTE(VLOOKUP($A442,'Quarterly Pipeline vs Target Pi'!$A:$AP,26,false)," $","")," €",""), "")
)</f>
        <v>0</v>
      </c>
      <c r="AO442" s="1">
        <f>value(IFERROR(SUBSTITUTE(SUBSTITUTE(VLOOKUP($A442,'Quarterly Pipeline vs Target Pi'!$A:$AP,27,false)," $","")," €",""), "")
)</f>
        <v>0</v>
      </c>
      <c r="AP442" s="17" t="str">
        <f t="shared" si="15"/>
        <v/>
      </c>
      <c r="AQ442" s="1">
        <f>value(IFERROR(SUBSTITUTE(SUBSTITUTE(VLOOKUP($A442,'Quarterly Pipeline vs Target Pi'!$A:$AP,31,false)," $","")," €",""), "")
)</f>
        <v>0</v>
      </c>
      <c r="AR442" s="1">
        <f>value(IFERROR(SUBSTITUTE(SUBSTITUTE(VLOOKUP($A442,'Quarterly Pipeline vs Target Pi'!$A:$AP,32,false)," $","")," €",""), "")
)</f>
        <v>0</v>
      </c>
      <c r="AS442" s="17" t="str">
        <f t="shared" si="16"/>
        <v/>
      </c>
      <c r="AT442" s="1">
        <f>value(IFERROR(SUBSTITUTE(SUBSTITUTE(VLOOKUP($A442,'Quarterly Pipeline vs Target Pi'!$A:$AP,36,false)," $","")," €",""), "")
)</f>
        <v>0</v>
      </c>
      <c r="AU442" s="1">
        <f>value(IFERROR(SUBSTITUTE(SUBSTITUTE(VLOOKUP($A442,'Quarterly Pipeline vs Target Pi'!$A:$AP,37,false)," $","")," €",""), "")
)</f>
        <v>0</v>
      </c>
      <c r="AV442" s="17" t="str">
        <f t="shared" si="17"/>
        <v/>
      </c>
      <c r="AW442" s="1">
        <f>value(IFERROR(SUBSTITUTE(SUBSTITUTE(VLOOKUP($A442,'Quarterly Pipeline vs Target Pi'!$A:$AP,41,false)," $","")," €",""), "")
)</f>
        <v>0</v>
      </c>
      <c r="AX442" s="1">
        <f>value(IFERROR(SUBSTITUTE(SUBSTITUTE(VLOOKUP($A442,'Quarterly Pipeline vs Target Pi'!$A:$AP,42,false)," $","")," €",""), "")
)</f>
        <v>0</v>
      </c>
      <c r="AY442" s="17" t="str">
        <f t="shared" si="18"/>
        <v/>
      </c>
      <c r="AZ442" s="1">
        <f t="shared" ref="AZ442:BA442" si="898">sum(AN442,AQ442,AT442,AW442)</f>
        <v>0</v>
      </c>
      <c r="BA442" s="1">
        <f t="shared" si="898"/>
        <v>0</v>
      </c>
      <c r="BB442" s="17" t="str">
        <f t="shared" si="20"/>
        <v/>
      </c>
    </row>
    <row r="443">
      <c r="A443" s="1" t="str">
        <f>IFERROR(__xludf.DUMMYFUNCTION("""COMPUTED_VALUE"""),"63ced842c5c820531c26802d")</f>
        <v>63ced842c5c820531c26802d</v>
      </c>
      <c r="B443" s="1" t="str">
        <f>IFERROR(__xludf.DUMMYFUNCTION("""COMPUTED_VALUE"""),"TeleSys Kommunikationstechnik GmbH")</f>
        <v>TeleSys Kommunikationstechnik GmbH</v>
      </c>
      <c r="C443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443" s="1" t="str">
        <f>IFERROR(__xludf.DUMMYFUNCTION("""COMPUTED_VALUE"""),"germany")</f>
        <v>germany</v>
      </c>
      <c r="E443" s="1" t="str">
        <f>IFERROR(__xludf.DUMMYFUNCTION("""COMPUTED_VALUE"""),"DE")</f>
        <v>DE</v>
      </c>
      <c r="F443" s="1" t="str">
        <f>IFERROR(__xludf.DUMMYFUNCTION("""COMPUTED_VALUE"""),"expert_1000")</f>
        <v>expert_1000</v>
      </c>
      <c r="G443" s="1">
        <f>iferror(VLOOKUP(A443,'Business Plan Setup and Accepta'!A:G,6,false),"")</f>
        <v>1</v>
      </c>
      <c r="H443" s="1">
        <f>iferror(VLOOKUP(A443,'Business Plan Setup and Accepta'!A:G,7,false),"")</f>
        <v>1</v>
      </c>
      <c r="I443" s="17">
        <f t="shared" si="3"/>
        <v>1</v>
      </c>
      <c r="J443" s="1">
        <f>IFERROR(VALUE(SUBSTITUTE(VLOOKUP(A443,'Sales IN Revenues vs Sales targ'!A:G,6,false)," $","")), "")
</f>
        <v>574.44</v>
      </c>
      <c r="K443" s="1">
        <f>IFERROR(VALUE(SUBSTITUTE(VLOOKUP(A443,'Sales IN Revenues vs Sales targ'!A:G,7,false)," $","")), "")
</f>
        <v>2239</v>
      </c>
      <c r="L443" s="17">
        <f t="shared" si="4"/>
        <v>0.2565609647</v>
      </c>
      <c r="M443" s="1">
        <f>value(SUBSTITUTE(IFERROR(VLOOKUP(A443,'Certifications achievements vs '!A:G,6,false),""),"#","")
)</f>
        <v>71</v>
      </c>
      <c r="N443" s="1">
        <f>value(SUBSTITUTE(IFERROR(VLOOKUP(A443,'Certifications achievements vs '!A:G,7,false),""),"#","")
)</f>
        <v>52</v>
      </c>
      <c r="O443" s="17">
        <f t="shared" si="5"/>
        <v>1.365384615</v>
      </c>
      <c r="P443" s="1">
        <f>value(SUBSTITUTE(IFERROR(VLOOKUP(A443,'Communications - Solution Speci'!A:G,6,false),""),"#","")
)</f>
        <v>1</v>
      </c>
      <c r="Q443" s="1">
        <f>value(SUBSTITUTE(IFERROR(VLOOKUP(A443,'Communications - Solution Speci'!A:G,7,false),""),"#","")
)</f>
        <v>1</v>
      </c>
      <c r="R443" s="17">
        <f t="shared" si="6"/>
        <v>1</v>
      </c>
      <c r="S443" s="1">
        <f>value(SUBSTITUTE(IFERROR(VLOOKUP(A443,'Networking - Solution Specializ'!A:G,6,false),""),"#","")
)</f>
        <v>1</v>
      </c>
      <c r="T443" s="1">
        <f>value(SUBSTITUTE(IFERROR(VLOOKUP(A443,'Networking - Solution Specializ'!A:G,7,false),""),"#","")
)</f>
        <v>1</v>
      </c>
      <c r="U443" s="17">
        <f t="shared" si="7"/>
        <v>1</v>
      </c>
      <c r="V443" s="1">
        <f>iferror(vlookup(A443,'Marketing Plan (extract summary'!A:G,6,false),"")</f>
        <v>0</v>
      </c>
      <c r="W443" s="1">
        <f>iferror(vlookup(A443,'Marketing Plan (extract summary'!A:G,7,false),"")</f>
        <v>1</v>
      </c>
      <c r="X443" s="17">
        <f t="shared" si="8"/>
        <v>0</v>
      </c>
      <c r="Y443" s="1">
        <f>value(IFERROR(SUBSTITUTE(SUBSTITUTE(VLOOKUP(A443,'Quarterly Pipeline vs Target Pi'!A:G,6,false)," $","")," €",""), "")
)</f>
        <v>3.55</v>
      </c>
      <c r="Z443" s="1">
        <f>value(IFERROR(SUBSTITUTE(SUBSTITUTE(VLOOKUP(A443,'Quarterly Pipeline vs Target Pi'!A:G,7,false)," $","")," €",""), "")
)</f>
        <v>0</v>
      </c>
      <c r="AA443" s="17" t="str">
        <f t="shared" si="9"/>
        <v/>
      </c>
      <c r="AB443" s="1">
        <f>value(IFERROR(SUBSTITUTE(SUBSTITUTE(VLOOKUP($A443,'Quarterly Pipeline vs Target Pi'!$A:$V,11,false)," $","")," €",""), "")
)</f>
        <v>11.77</v>
      </c>
      <c r="AC443" s="1">
        <f>value(IFERROR(SUBSTITUTE(SUBSTITUTE(VLOOKUP($A443,'Quarterly Pipeline vs Target Pi'!$A:$V,12,false)," $","")," €",""), "")
)</f>
        <v>952.77</v>
      </c>
      <c r="AD443" s="17">
        <f t="shared" si="10"/>
        <v>0.01235345361</v>
      </c>
      <c r="AE443" s="1">
        <f>value(IFERROR(SUBSTITUTE(SUBSTITUTE(VLOOKUP($A443,'Quarterly Pipeline vs Target Pi'!$A:$V,16,false)," $","")," €",""), "")
)</f>
        <v>927.86</v>
      </c>
      <c r="AF443" s="1">
        <f>value(IFERROR(SUBSTITUTE(SUBSTITUTE(VLOOKUP($A443,'Quarterly Pipeline vs Target Pi'!$A:$V,17,false)," $","")," €",""), "")
)</f>
        <v>1429.15</v>
      </c>
      <c r="AG443" s="17">
        <f t="shared" si="11"/>
        <v>0.6492390582</v>
      </c>
      <c r="AH443" s="1">
        <f>value(IFERROR(SUBSTITUTE(SUBSTITUTE(VLOOKUP($A443,'Quarterly Pipeline vs Target Pi'!$A:$V,21,false)," $","")," €",""), "")
)</f>
        <v>860.75</v>
      </c>
      <c r="AI443" s="1">
        <f>value(IFERROR(SUBSTITUTE(SUBSTITUTE(VLOOKUP($A443,'Quarterly Pipeline vs Target Pi'!$A:$V,22,false)," $","")," €",""), "")
)</f>
        <v>1429.15</v>
      </c>
      <c r="AJ443" s="17">
        <f t="shared" si="12"/>
        <v>0.6022810762</v>
      </c>
      <c r="AK443" s="1">
        <f t="shared" ref="AK443:AL443" si="899">sum(Y443,AB443,AE443,AH443)</f>
        <v>1803.93</v>
      </c>
      <c r="AL443" s="1">
        <f t="shared" si="899"/>
        <v>3811.07</v>
      </c>
      <c r="AM443" s="17">
        <f t="shared" si="14"/>
        <v>0.4733395083</v>
      </c>
      <c r="AN443" s="1">
        <f>value(IFERROR(SUBSTITUTE(SUBSTITUTE(VLOOKUP($A443,'Quarterly Pipeline vs Target Pi'!$A:$AP,26,false)," $","")," €",""), "")
)</f>
        <v>212.09</v>
      </c>
      <c r="AO443" s="1">
        <f>value(IFERROR(SUBSTITUTE(SUBSTITUTE(VLOOKUP($A443,'Quarterly Pipeline vs Target Pi'!$A:$AP,27,false)," $","")," €",""), "")
)</f>
        <v>0</v>
      </c>
      <c r="AP443" s="17" t="str">
        <f t="shared" si="15"/>
        <v/>
      </c>
      <c r="AQ443" s="1">
        <f>value(IFERROR(SUBSTITUTE(SUBSTITUTE(VLOOKUP($A443,'Quarterly Pipeline vs Target Pi'!$A:$AP,31,false)," $","")," €",""), "")
)</f>
        <v>465.62</v>
      </c>
      <c r="AR443" s="1">
        <f>value(IFERROR(SUBSTITUTE(SUBSTITUTE(VLOOKUP($A443,'Quarterly Pipeline vs Target Pi'!$A:$AP,32,false)," $","")," €",""), "")
)</f>
        <v>0</v>
      </c>
      <c r="AS443" s="17" t="str">
        <f t="shared" si="16"/>
        <v/>
      </c>
      <c r="AT443" s="1">
        <f>value(IFERROR(SUBSTITUTE(SUBSTITUTE(VLOOKUP($A443,'Quarterly Pipeline vs Target Pi'!$A:$AP,36,false)," $","")," €",""), "")
)</f>
        <v>154.69</v>
      </c>
      <c r="AU443" s="1">
        <f>value(IFERROR(SUBSTITUTE(SUBSTITUTE(VLOOKUP($A443,'Quarterly Pipeline vs Target Pi'!$A:$AP,37,false)," $","")," €",""), "")
)</f>
        <v>0</v>
      </c>
      <c r="AV443" s="17" t="str">
        <f t="shared" si="17"/>
        <v/>
      </c>
      <c r="AW443" s="1">
        <f>value(IFERROR(SUBSTITUTE(SUBSTITUTE(VLOOKUP($A443,'Quarterly Pipeline vs Target Pi'!$A:$AP,41,false)," $","")," €",""), "")
)</f>
        <v>40.88</v>
      </c>
      <c r="AX443" s="1">
        <f>value(IFERROR(SUBSTITUTE(SUBSTITUTE(VLOOKUP($A443,'Quarterly Pipeline vs Target Pi'!$A:$AP,42,false)," $","")," €",""), "")
)</f>
        <v>0</v>
      </c>
      <c r="AY443" s="17" t="str">
        <f t="shared" si="18"/>
        <v/>
      </c>
      <c r="AZ443" s="1">
        <f t="shared" ref="AZ443:BA443" si="900">sum(AN443,AQ443,AT443,AW443)</f>
        <v>873.28</v>
      </c>
      <c r="BA443" s="1">
        <f t="shared" si="900"/>
        <v>0</v>
      </c>
      <c r="BB443" s="17" t="str">
        <f t="shared" si="20"/>
        <v/>
      </c>
    </row>
    <row r="444">
      <c r="A444" s="1" t="str">
        <f>IFERROR(__xludf.DUMMYFUNCTION("""COMPUTED_VALUE"""),"63ced845c5c820531c2686ae")</f>
        <v>63ced845c5c820531c2686ae</v>
      </c>
      <c r="B444" s="1" t="str">
        <f>IFERROR(__xludf.DUMMYFUNCTION("""COMPUTED_VALUE"""),"TeleTech GmbH")</f>
        <v>TeleTech GmbH</v>
      </c>
      <c r="C444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444" s="1" t="str">
        <f>IFERROR(__xludf.DUMMYFUNCTION("""COMPUTED_VALUE"""),"germany")</f>
        <v>germany</v>
      </c>
      <c r="E444" s="1" t="str">
        <f>IFERROR(__xludf.DUMMYFUNCTION("""COMPUTED_VALUE"""),"DE")</f>
        <v>DE</v>
      </c>
      <c r="F444" s="1" t="str">
        <f>IFERROR(__xludf.DUMMYFUNCTION("""COMPUTED_VALUE"""),"expert_1000")</f>
        <v>expert_1000</v>
      </c>
      <c r="G444" s="1">
        <f>iferror(VLOOKUP(A444,'Business Plan Setup and Accepta'!A:G,6,false),"")</f>
        <v>1</v>
      </c>
      <c r="H444" s="1">
        <f>iferror(VLOOKUP(A444,'Business Plan Setup and Accepta'!A:G,7,false),"")</f>
        <v>1</v>
      </c>
      <c r="I444" s="17">
        <f t="shared" si="3"/>
        <v>1</v>
      </c>
      <c r="J444" s="1">
        <f>IFERROR(VALUE(SUBSTITUTE(VLOOKUP(A444,'Sales IN Revenues vs Sales targ'!A:G,6,false)," $","")), "")
</f>
        <v>778.89</v>
      </c>
      <c r="K444" s="1">
        <f>IFERROR(VALUE(SUBSTITUTE(VLOOKUP(A444,'Sales IN Revenues vs Sales targ'!A:G,7,false)," $","")), "")
</f>
        <v>1883</v>
      </c>
      <c r="L444" s="17">
        <f t="shared" si="4"/>
        <v>0.4136431227</v>
      </c>
      <c r="M444" s="1">
        <f>value(SUBSTITUTE(IFERROR(VLOOKUP(A444,'Certifications achievements vs '!A:G,6,false),""),"#","")
)</f>
        <v>87</v>
      </c>
      <c r="N444" s="1">
        <f>value(SUBSTITUTE(IFERROR(VLOOKUP(A444,'Certifications achievements vs '!A:G,7,false),""),"#","")
)</f>
        <v>52</v>
      </c>
      <c r="O444" s="17">
        <f t="shared" si="5"/>
        <v>1.673076923</v>
      </c>
      <c r="P444" s="1">
        <f>value(SUBSTITUTE(IFERROR(VLOOKUP(A444,'Communications - Solution Speci'!A:G,6,false),""),"#","")
)</f>
        <v>1</v>
      </c>
      <c r="Q444" s="1">
        <f>value(SUBSTITUTE(IFERROR(VLOOKUP(A444,'Communications - Solution Speci'!A:G,7,false),""),"#","")
)</f>
        <v>1</v>
      </c>
      <c r="R444" s="17">
        <f t="shared" si="6"/>
        <v>1</v>
      </c>
      <c r="S444" s="1">
        <f>value(SUBSTITUTE(IFERROR(VLOOKUP(A444,'Networking - Solution Specializ'!A:G,6,false),""),"#","")
)</f>
        <v>1</v>
      </c>
      <c r="T444" s="1">
        <f>value(SUBSTITUTE(IFERROR(VLOOKUP(A444,'Networking - Solution Specializ'!A:G,7,false),""),"#","")
)</f>
        <v>1</v>
      </c>
      <c r="U444" s="17">
        <f t="shared" si="7"/>
        <v>1</v>
      </c>
      <c r="V444" s="1">
        <f>iferror(vlookup(A444,'Marketing Plan (extract summary'!A:G,6,false),"")</f>
        <v>0</v>
      </c>
      <c r="W444" s="1">
        <f>iferror(vlookup(A444,'Marketing Plan (extract summary'!A:G,7,false),"")</f>
        <v>1</v>
      </c>
      <c r="X444" s="17">
        <f t="shared" si="8"/>
        <v>0</v>
      </c>
      <c r="Y444" s="1">
        <f>value(IFERROR(SUBSTITUTE(SUBSTITUTE(VLOOKUP(A444,'Quarterly Pipeline vs Target Pi'!A:G,6,false)," $","")," €",""), "")
)</f>
        <v>2.32</v>
      </c>
      <c r="Z444" s="1">
        <f>value(IFERROR(SUBSTITUTE(SUBSTITUTE(VLOOKUP(A444,'Quarterly Pipeline vs Target Pi'!A:G,7,false)," $","")," €",""), "")
)</f>
        <v>0</v>
      </c>
      <c r="AA444" s="17" t="str">
        <f t="shared" si="9"/>
        <v/>
      </c>
      <c r="AB444" s="1">
        <f>value(IFERROR(SUBSTITUTE(SUBSTITUTE(VLOOKUP($A444,'Quarterly Pipeline vs Target Pi'!$A:$V,11,false)," $","")," €",""), "")
)</f>
        <v>6.24</v>
      </c>
      <c r="AC444" s="1">
        <f>value(IFERROR(SUBSTITUTE(SUBSTITUTE(VLOOKUP($A444,'Quarterly Pipeline vs Target Pi'!$A:$V,12,false)," $","")," €",""), "")
)</f>
        <v>1255.33</v>
      </c>
      <c r="AD444" s="17">
        <f t="shared" si="10"/>
        <v>0.00497080449</v>
      </c>
      <c r="AE444" s="1">
        <f>value(IFERROR(SUBSTITUTE(SUBSTITUTE(VLOOKUP($A444,'Quarterly Pipeline vs Target Pi'!$A:$V,16,false)," $","")," €",""), "")
)</f>
        <v>310.3</v>
      </c>
      <c r="AF444" s="1">
        <f>value(IFERROR(SUBSTITUTE(SUBSTITUTE(VLOOKUP($A444,'Quarterly Pipeline vs Target Pi'!$A:$V,17,false)," $","")," €",""), "")
)</f>
        <v>1883</v>
      </c>
      <c r="AG444" s="17">
        <f t="shared" si="11"/>
        <v>0.1647902284</v>
      </c>
      <c r="AH444" s="1">
        <f>value(IFERROR(SUBSTITUTE(SUBSTITUTE(VLOOKUP($A444,'Quarterly Pipeline vs Target Pi'!$A:$V,21,false)," $","")," €",""), "")
)</f>
        <v>3142.28</v>
      </c>
      <c r="AI444" s="1">
        <f>value(IFERROR(SUBSTITUTE(SUBSTITUTE(VLOOKUP($A444,'Quarterly Pipeline vs Target Pi'!$A:$V,22,false)," $","")," €",""), "")
)</f>
        <v>1883</v>
      </c>
      <c r="AJ444" s="17">
        <f t="shared" si="12"/>
        <v>1.668762613</v>
      </c>
      <c r="AK444" s="1">
        <f t="shared" ref="AK444:AL444" si="901">sum(Y444,AB444,AE444,AH444)</f>
        <v>3461.14</v>
      </c>
      <c r="AL444" s="1">
        <f t="shared" si="901"/>
        <v>5021.33</v>
      </c>
      <c r="AM444" s="17">
        <f t="shared" si="14"/>
        <v>0.6892874995</v>
      </c>
      <c r="AN444" s="1">
        <f>value(IFERROR(SUBSTITUTE(SUBSTITUTE(VLOOKUP($A444,'Quarterly Pipeline vs Target Pi'!$A:$AP,26,false)," $","")," €",""), "")
)</f>
        <v>238.96</v>
      </c>
      <c r="AO444" s="1">
        <f>value(IFERROR(SUBSTITUTE(SUBSTITUTE(VLOOKUP($A444,'Quarterly Pipeline vs Target Pi'!$A:$AP,27,false)," $","")," €",""), "")
)</f>
        <v>0</v>
      </c>
      <c r="AP444" s="17" t="str">
        <f t="shared" si="15"/>
        <v/>
      </c>
      <c r="AQ444" s="1">
        <f>value(IFERROR(SUBSTITUTE(SUBSTITUTE(VLOOKUP($A444,'Quarterly Pipeline vs Target Pi'!$A:$AP,31,false)," $","")," €",""), "")
)</f>
        <v>777.32</v>
      </c>
      <c r="AR444" s="1">
        <f>value(IFERROR(SUBSTITUTE(SUBSTITUTE(VLOOKUP($A444,'Quarterly Pipeline vs Target Pi'!$A:$AP,32,false)," $","")," €",""), "")
)</f>
        <v>0</v>
      </c>
      <c r="AS444" s="17" t="str">
        <f t="shared" si="16"/>
        <v/>
      </c>
      <c r="AT444" s="1">
        <f>value(IFERROR(SUBSTITUTE(SUBSTITUTE(VLOOKUP($A444,'Quarterly Pipeline vs Target Pi'!$A:$AP,36,false)," $","")," €",""), "")
)</f>
        <v>56.16</v>
      </c>
      <c r="AU444" s="1">
        <f>value(IFERROR(SUBSTITUTE(SUBSTITUTE(VLOOKUP($A444,'Quarterly Pipeline vs Target Pi'!$A:$AP,37,false)," $","")," €",""), "")
)</f>
        <v>0</v>
      </c>
      <c r="AV444" s="17" t="str">
        <f t="shared" si="17"/>
        <v/>
      </c>
      <c r="AW444" s="1">
        <f>value(IFERROR(SUBSTITUTE(SUBSTITUTE(VLOOKUP($A444,'Quarterly Pipeline vs Target Pi'!$A:$AP,41,false)," $","")," €",""), "")
)</f>
        <v>76.87</v>
      </c>
      <c r="AX444" s="1">
        <f>value(IFERROR(SUBSTITUTE(SUBSTITUTE(VLOOKUP($A444,'Quarterly Pipeline vs Target Pi'!$A:$AP,42,false)," $","")," €",""), "")
)</f>
        <v>0</v>
      </c>
      <c r="AY444" s="17" t="str">
        <f t="shared" si="18"/>
        <v/>
      </c>
      <c r="AZ444" s="1">
        <f t="shared" ref="AZ444:BA444" si="902">sum(AN444,AQ444,AT444,AW444)</f>
        <v>1149.31</v>
      </c>
      <c r="BA444" s="1">
        <f t="shared" si="902"/>
        <v>0</v>
      </c>
      <c r="BB444" s="17" t="str">
        <f t="shared" si="20"/>
        <v/>
      </c>
    </row>
    <row r="445">
      <c r="A445" s="1" t="str">
        <f>IFERROR(__xludf.DUMMYFUNCTION("""COMPUTED_VALUE"""),"63ea6e9552ad6968805ceea7")</f>
        <v>63ea6e9552ad6968805ceea7</v>
      </c>
      <c r="B445" s="1" t="str">
        <f>IFERROR(__xludf.DUMMYFUNCTION("""COMPUTED_VALUE"""),"teletronic")</f>
        <v>teletronic</v>
      </c>
      <c r="C445" s="1" t="str">
        <f>IFERROR(__xludf.DUMMYFUNCTION("""COMPUTED_VALUE"""),"andreas.grossheimann@al-enterprise.com, andre.ramm@al-enterprise.com")</f>
        <v>andreas.grossheimann@al-enterprise.com, andre.ramm@al-enterprise.com</v>
      </c>
      <c r="D445" s="1" t="str">
        <f>IFERROR(__xludf.DUMMYFUNCTION("""COMPUTED_VALUE"""),"germany")</f>
        <v>germany</v>
      </c>
      <c r="E445" s="1" t="str">
        <f>IFERROR(__xludf.DUMMYFUNCTION("""COMPUTED_VALUE"""),"DE")</f>
        <v>DE</v>
      </c>
      <c r="F445" s="1"/>
      <c r="G445" s="1" t="str">
        <f>iferror(VLOOKUP(A445,'Business Plan Setup and Accepta'!A:G,6,false),"")</f>
        <v/>
      </c>
      <c r="H445" s="1" t="str">
        <f>iferror(VLOOKUP(A445,'Business Plan Setup and Accepta'!A:G,7,false),"")</f>
        <v/>
      </c>
      <c r="I445" s="17" t="str">
        <f t="shared" si="3"/>
        <v/>
      </c>
      <c r="J445" s="1" t="str">
        <f>IFERROR(VALUE(SUBSTITUTE(VLOOKUP(A445,'Sales IN Revenues vs Sales targ'!A:G,6,false)," $","")), "")
</f>
        <v/>
      </c>
      <c r="K445" s="1" t="str">
        <f>IFERROR(VALUE(SUBSTITUTE(VLOOKUP(A445,'Sales IN Revenues vs Sales targ'!A:G,7,false)," $","")), "")
</f>
        <v/>
      </c>
      <c r="L445" s="17" t="str">
        <f t="shared" si="4"/>
        <v/>
      </c>
      <c r="M445" s="1">
        <f>value(SUBSTITUTE(IFERROR(VLOOKUP(A445,'Certifications achievements vs '!A:G,6,false),""),"#","")
)</f>
        <v>0</v>
      </c>
      <c r="N445" s="1">
        <f>value(SUBSTITUTE(IFERROR(VLOOKUP(A445,'Certifications achievements vs '!A:G,7,false),""),"#","")
)</f>
        <v>0</v>
      </c>
      <c r="O445" s="17" t="str">
        <f t="shared" si="5"/>
        <v/>
      </c>
      <c r="P445" s="1">
        <f>value(SUBSTITUTE(IFERROR(VLOOKUP(A445,'Communications - Solution Speci'!A:G,6,false),""),"#","")
)</f>
        <v>0</v>
      </c>
      <c r="Q445" s="1">
        <f>value(SUBSTITUTE(IFERROR(VLOOKUP(A445,'Communications - Solution Speci'!A:G,7,false),""),"#","")
)</f>
        <v>0</v>
      </c>
      <c r="R445" s="17" t="str">
        <f t="shared" si="6"/>
        <v/>
      </c>
      <c r="S445" s="1">
        <f>value(SUBSTITUTE(IFERROR(VLOOKUP(A445,'Networking - Solution Specializ'!A:G,6,false),""),"#","")
)</f>
        <v>0</v>
      </c>
      <c r="T445" s="1">
        <f>value(SUBSTITUTE(IFERROR(VLOOKUP(A445,'Networking - Solution Specializ'!A:G,7,false),""),"#","")
)</f>
        <v>0</v>
      </c>
      <c r="U445" s="17" t="str">
        <f t="shared" si="7"/>
        <v/>
      </c>
      <c r="V445" s="1" t="str">
        <f>iferror(vlookup(A445,'Marketing Plan (extract summary'!A:G,6,false),"")</f>
        <v/>
      </c>
      <c r="W445" s="1" t="str">
        <f>iferror(vlookup(A445,'Marketing Plan (extract summary'!A:G,7,false),"")</f>
        <v/>
      </c>
      <c r="X445" s="17" t="str">
        <f t="shared" si="8"/>
        <v/>
      </c>
      <c r="Y445" s="1">
        <f>value(IFERROR(SUBSTITUTE(SUBSTITUTE(VLOOKUP(A445,'Quarterly Pipeline vs Target Pi'!A:G,6,false)," $","")," €",""), "")
)</f>
        <v>0</v>
      </c>
      <c r="Z445" s="1">
        <f>value(IFERROR(SUBSTITUTE(SUBSTITUTE(VLOOKUP(A445,'Quarterly Pipeline vs Target Pi'!A:G,7,false)," $","")," €",""), "")
)</f>
        <v>0</v>
      </c>
      <c r="AA445" s="17" t="str">
        <f t="shared" si="9"/>
        <v/>
      </c>
      <c r="AB445" s="1">
        <f>value(IFERROR(SUBSTITUTE(SUBSTITUTE(VLOOKUP($A445,'Quarterly Pipeline vs Target Pi'!$A:$V,11,false)," $","")," €",""), "")
)</f>
        <v>0</v>
      </c>
      <c r="AC445" s="1">
        <f>value(IFERROR(SUBSTITUTE(SUBSTITUTE(VLOOKUP($A445,'Quarterly Pipeline vs Target Pi'!$A:$V,12,false)," $","")," €",""), "")
)</f>
        <v>0</v>
      </c>
      <c r="AD445" s="17" t="str">
        <f t="shared" si="10"/>
        <v/>
      </c>
      <c r="AE445" s="1">
        <f>value(IFERROR(SUBSTITUTE(SUBSTITUTE(VLOOKUP($A445,'Quarterly Pipeline vs Target Pi'!$A:$V,16,false)," $","")," €",""), "")
)</f>
        <v>0</v>
      </c>
      <c r="AF445" s="1">
        <f>value(IFERROR(SUBSTITUTE(SUBSTITUTE(VLOOKUP($A445,'Quarterly Pipeline vs Target Pi'!$A:$V,17,false)," $","")," €",""), "")
)</f>
        <v>0</v>
      </c>
      <c r="AG445" s="17" t="str">
        <f t="shared" si="11"/>
        <v/>
      </c>
      <c r="AH445" s="1">
        <f>value(IFERROR(SUBSTITUTE(SUBSTITUTE(VLOOKUP($A445,'Quarterly Pipeline vs Target Pi'!$A:$V,21,false)," $","")," €",""), "")
)</f>
        <v>0</v>
      </c>
      <c r="AI445" s="1">
        <f>value(IFERROR(SUBSTITUTE(SUBSTITUTE(VLOOKUP($A445,'Quarterly Pipeline vs Target Pi'!$A:$V,22,false)," $","")," €",""), "")
)</f>
        <v>0</v>
      </c>
      <c r="AJ445" s="17" t="str">
        <f t="shared" si="12"/>
        <v/>
      </c>
      <c r="AK445" s="1">
        <f t="shared" ref="AK445:AL445" si="903">sum(Y445,AB445,AE445,AH445)</f>
        <v>0</v>
      </c>
      <c r="AL445" s="1">
        <f t="shared" si="903"/>
        <v>0</v>
      </c>
      <c r="AM445" s="17" t="str">
        <f t="shared" si="14"/>
        <v/>
      </c>
      <c r="AN445" s="1">
        <f>value(IFERROR(SUBSTITUTE(SUBSTITUTE(VLOOKUP($A445,'Quarterly Pipeline vs Target Pi'!$A:$AP,26,false)," $","")," €",""), "")
)</f>
        <v>0</v>
      </c>
      <c r="AO445" s="1">
        <f>value(IFERROR(SUBSTITUTE(SUBSTITUTE(VLOOKUP($A445,'Quarterly Pipeline vs Target Pi'!$A:$AP,27,false)," $","")," €",""), "")
)</f>
        <v>0</v>
      </c>
      <c r="AP445" s="17" t="str">
        <f t="shared" si="15"/>
        <v/>
      </c>
      <c r="AQ445" s="1">
        <f>value(IFERROR(SUBSTITUTE(SUBSTITUTE(VLOOKUP($A445,'Quarterly Pipeline vs Target Pi'!$A:$AP,31,false)," $","")," €",""), "")
)</f>
        <v>0</v>
      </c>
      <c r="AR445" s="1">
        <f>value(IFERROR(SUBSTITUTE(SUBSTITUTE(VLOOKUP($A445,'Quarterly Pipeline vs Target Pi'!$A:$AP,32,false)," $","")," €",""), "")
)</f>
        <v>0</v>
      </c>
      <c r="AS445" s="17" t="str">
        <f t="shared" si="16"/>
        <v/>
      </c>
      <c r="AT445" s="1">
        <f>value(IFERROR(SUBSTITUTE(SUBSTITUTE(VLOOKUP($A445,'Quarterly Pipeline vs Target Pi'!$A:$AP,36,false)," $","")," €",""), "")
)</f>
        <v>0</v>
      </c>
      <c r="AU445" s="1">
        <f>value(IFERROR(SUBSTITUTE(SUBSTITUTE(VLOOKUP($A445,'Quarterly Pipeline vs Target Pi'!$A:$AP,37,false)," $","")," €",""), "")
)</f>
        <v>0</v>
      </c>
      <c r="AV445" s="17" t="str">
        <f t="shared" si="17"/>
        <v/>
      </c>
      <c r="AW445" s="1">
        <f>value(IFERROR(SUBSTITUTE(SUBSTITUTE(VLOOKUP($A445,'Quarterly Pipeline vs Target Pi'!$A:$AP,41,false)," $","")," €",""), "")
)</f>
        <v>0</v>
      </c>
      <c r="AX445" s="1">
        <f>value(IFERROR(SUBSTITUTE(SUBSTITUTE(VLOOKUP($A445,'Quarterly Pipeline vs Target Pi'!$A:$AP,42,false)," $","")," €",""), "")
)</f>
        <v>0</v>
      </c>
      <c r="AY445" s="17" t="str">
        <f t="shared" si="18"/>
        <v/>
      </c>
      <c r="AZ445" s="1">
        <f t="shared" ref="AZ445:BA445" si="904">sum(AN445,AQ445,AT445,AW445)</f>
        <v>0</v>
      </c>
      <c r="BA445" s="1">
        <f t="shared" si="904"/>
        <v>0</v>
      </c>
      <c r="BB445" s="17" t="str">
        <f t="shared" si="20"/>
        <v/>
      </c>
    </row>
    <row r="446">
      <c r="A446" s="1" t="str">
        <f>IFERROR(__xludf.DUMMYFUNCTION("""COMPUTED_VALUE"""),"63ced845c5c820531c2686bd")</f>
        <v>63ced845c5c820531c2686bd</v>
      </c>
      <c r="B446" s="1" t="str">
        <f>IFERROR(__xludf.DUMMYFUNCTION("""COMPUTED_VALUE"""),"TELKO GmbH Saalfeld")</f>
        <v>TELKO GmbH Saalfeld</v>
      </c>
      <c r="C446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446" s="1" t="str">
        <f>IFERROR(__xludf.DUMMYFUNCTION("""COMPUTED_VALUE"""),"germany")</f>
        <v>germany</v>
      </c>
      <c r="E446" s="1" t="str">
        <f>IFERROR(__xludf.DUMMYFUNCTION("""COMPUTED_VALUE"""),"DE")</f>
        <v>DE</v>
      </c>
      <c r="F446" s="1" t="str">
        <f>IFERROR(__xludf.DUMMYFUNCTION("""COMPUTED_VALUE"""),"expert_200")</f>
        <v>expert_200</v>
      </c>
      <c r="G446" s="1">
        <f>iferror(VLOOKUP(A446,'Business Plan Setup and Accepta'!A:G,6,false),"")</f>
        <v>1</v>
      </c>
      <c r="H446" s="1">
        <f>iferror(VLOOKUP(A446,'Business Plan Setup and Accepta'!A:G,7,false),"")</f>
        <v>1</v>
      </c>
      <c r="I446" s="17">
        <f t="shared" si="3"/>
        <v>1</v>
      </c>
      <c r="J446" s="1">
        <f>IFERROR(VALUE(SUBSTITUTE(VLOOKUP(A446,'Sales IN Revenues vs Sales targ'!A:G,6,false)," $","")), "")
</f>
        <v>127.44</v>
      </c>
      <c r="K446" s="1">
        <f>IFERROR(VALUE(SUBSTITUTE(VLOOKUP(A446,'Sales IN Revenues vs Sales targ'!A:G,7,false)," $","")), "")
</f>
        <v>525</v>
      </c>
      <c r="L446" s="17">
        <f t="shared" si="4"/>
        <v>0.2427428571</v>
      </c>
      <c r="M446" s="1">
        <f>value(SUBSTITUTE(IFERROR(VLOOKUP(A446,'Certifications achievements vs '!A:G,6,false),""),"#","")
)</f>
        <v>23</v>
      </c>
      <c r="N446" s="1">
        <f>value(SUBSTITUTE(IFERROR(VLOOKUP(A446,'Certifications achievements vs '!A:G,7,false),""),"#","")
)</f>
        <v>52</v>
      </c>
      <c r="O446" s="17">
        <f t="shared" si="5"/>
        <v>0.4423076923</v>
      </c>
      <c r="P446" s="1">
        <f>value(SUBSTITUTE(IFERROR(VLOOKUP(A446,'Communications - Solution Speci'!A:G,6,false),""),"#","")
)</f>
        <v>1</v>
      </c>
      <c r="Q446" s="1">
        <f>value(SUBSTITUTE(IFERROR(VLOOKUP(A446,'Communications - Solution Speci'!A:G,7,false),""),"#","")
)</f>
        <v>1</v>
      </c>
      <c r="R446" s="17">
        <f t="shared" si="6"/>
        <v>1</v>
      </c>
      <c r="S446" s="1">
        <f>value(SUBSTITUTE(IFERROR(VLOOKUP(A446,'Networking - Solution Specializ'!A:G,6,false),""),"#","")
)</f>
        <v>0</v>
      </c>
      <c r="T446" s="1">
        <f>value(SUBSTITUTE(IFERROR(VLOOKUP(A446,'Networking - Solution Specializ'!A:G,7,false),""),"#","")
)</f>
        <v>1</v>
      </c>
      <c r="U446" s="17">
        <f t="shared" si="7"/>
        <v>0</v>
      </c>
      <c r="V446" s="1">
        <f>iferror(vlookup(A446,'Marketing Plan (extract summary'!A:G,6,false),"")</f>
        <v>0</v>
      </c>
      <c r="W446" s="1">
        <f>iferror(vlookup(A446,'Marketing Plan (extract summary'!A:G,7,false),"")</f>
        <v>1</v>
      </c>
      <c r="X446" s="17">
        <f t="shared" si="8"/>
        <v>0</v>
      </c>
      <c r="Y446" s="1">
        <f>value(IFERROR(SUBSTITUTE(SUBSTITUTE(VLOOKUP(A446,'Quarterly Pipeline vs Target Pi'!A:G,6,false)," $","")," €",""), "")
)</f>
        <v>1.15</v>
      </c>
      <c r="Z446" s="1">
        <f>value(IFERROR(SUBSTITUTE(SUBSTITUTE(VLOOKUP(A446,'Quarterly Pipeline vs Target Pi'!A:G,7,false)," $","")," €",""), "")
)</f>
        <v>0</v>
      </c>
      <c r="AA446" s="17" t="str">
        <f t="shared" si="9"/>
        <v/>
      </c>
      <c r="AB446" s="1">
        <f>value(IFERROR(SUBSTITUTE(SUBSTITUTE(VLOOKUP($A446,'Quarterly Pipeline vs Target Pi'!$A:$V,11,false)," $","")," €",""), "")
)</f>
        <v>13.26</v>
      </c>
      <c r="AC446" s="1">
        <f>value(IFERROR(SUBSTITUTE(SUBSTITUTE(VLOOKUP($A446,'Quarterly Pipeline vs Target Pi'!$A:$V,12,false)," $","")," €",""), "")
)</f>
        <v>181.03</v>
      </c>
      <c r="AD446" s="17">
        <f t="shared" si="10"/>
        <v>0.07324752803</v>
      </c>
      <c r="AE446" s="1">
        <f>value(IFERROR(SUBSTITUTE(SUBSTITUTE(VLOOKUP($A446,'Quarterly Pipeline vs Target Pi'!$A:$V,16,false)," $","")," €",""), "")
)</f>
        <v>227.08</v>
      </c>
      <c r="AF446" s="1">
        <f>value(IFERROR(SUBSTITUTE(SUBSTITUTE(VLOOKUP($A446,'Quarterly Pipeline vs Target Pi'!$A:$V,17,false)," $","")," €",""), "")
)</f>
        <v>271.55</v>
      </c>
      <c r="AG446" s="17">
        <f t="shared" si="11"/>
        <v>0.8362364205</v>
      </c>
      <c r="AH446" s="1">
        <f>value(IFERROR(SUBSTITUTE(SUBSTITUTE(VLOOKUP($A446,'Quarterly Pipeline vs Target Pi'!$A:$V,21,false)," $","")," €",""), "")
)</f>
        <v>128.8</v>
      </c>
      <c r="AI446" s="1">
        <f>value(IFERROR(SUBSTITUTE(SUBSTITUTE(VLOOKUP($A446,'Quarterly Pipeline vs Target Pi'!$A:$V,22,false)," $","")," €",""), "")
)</f>
        <v>271.55</v>
      </c>
      <c r="AJ446" s="17">
        <f t="shared" si="12"/>
        <v>0.4743141226</v>
      </c>
      <c r="AK446" s="1">
        <f t="shared" ref="AK446:AL446" si="905">sum(Y446,AB446,AE446,AH446)</f>
        <v>370.29</v>
      </c>
      <c r="AL446" s="1">
        <f t="shared" si="905"/>
        <v>724.13</v>
      </c>
      <c r="AM446" s="17">
        <f t="shared" si="14"/>
        <v>0.5113584577</v>
      </c>
      <c r="AN446" s="1">
        <f>value(IFERROR(SUBSTITUTE(SUBSTITUTE(VLOOKUP($A446,'Quarterly Pipeline vs Target Pi'!$A:$AP,26,false)," $","")," €",""), "")
)</f>
        <v>137.74</v>
      </c>
      <c r="AO446" s="1">
        <f>value(IFERROR(SUBSTITUTE(SUBSTITUTE(VLOOKUP($A446,'Quarterly Pipeline vs Target Pi'!$A:$AP,27,false)," $","")," €",""), "")
)</f>
        <v>0</v>
      </c>
      <c r="AP446" s="17" t="str">
        <f t="shared" si="15"/>
        <v/>
      </c>
      <c r="AQ446" s="1">
        <f>value(IFERROR(SUBSTITUTE(SUBSTITUTE(VLOOKUP($A446,'Quarterly Pipeline vs Target Pi'!$A:$AP,31,false)," $","")," €",""), "")
)</f>
        <v>77.54</v>
      </c>
      <c r="AR446" s="1">
        <f>value(IFERROR(SUBSTITUTE(SUBSTITUTE(VLOOKUP($A446,'Quarterly Pipeline vs Target Pi'!$A:$AP,32,false)," $","")," €",""), "")
)</f>
        <v>0</v>
      </c>
      <c r="AS446" s="17" t="str">
        <f t="shared" si="16"/>
        <v/>
      </c>
      <c r="AT446" s="1">
        <f>value(IFERROR(SUBSTITUTE(SUBSTITUTE(VLOOKUP($A446,'Quarterly Pipeline vs Target Pi'!$A:$AP,36,false)," $","")," €",""), "")
)</f>
        <v>139.33</v>
      </c>
      <c r="AU446" s="1">
        <f>value(IFERROR(SUBSTITUTE(SUBSTITUTE(VLOOKUP($A446,'Quarterly Pipeline vs Target Pi'!$A:$AP,37,false)," $","")," €",""), "")
)</f>
        <v>0</v>
      </c>
      <c r="AV446" s="17" t="str">
        <f t="shared" si="17"/>
        <v/>
      </c>
      <c r="AW446" s="1">
        <f>value(IFERROR(SUBSTITUTE(SUBSTITUTE(VLOOKUP($A446,'Quarterly Pipeline vs Target Pi'!$A:$AP,41,false)," $","")," €",""), "")
)</f>
        <v>29.41</v>
      </c>
      <c r="AX446" s="1">
        <f>value(IFERROR(SUBSTITUTE(SUBSTITUTE(VLOOKUP($A446,'Quarterly Pipeline vs Target Pi'!$A:$AP,42,false)," $","")," €",""), "")
)</f>
        <v>0</v>
      </c>
      <c r="AY446" s="17" t="str">
        <f t="shared" si="18"/>
        <v/>
      </c>
      <c r="AZ446" s="1">
        <f t="shared" ref="AZ446:BA446" si="906">sum(AN446,AQ446,AT446,AW446)</f>
        <v>384.02</v>
      </c>
      <c r="BA446" s="1">
        <f t="shared" si="906"/>
        <v>0</v>
      </c>
      <c r="BB446" s="17" t="str">
        <f t="shared" si="20"/>
        <v/>
      </c>
    </row>
    <row r="447">
      <c r="A447" s="1" t="str">
        <f>IFERROR(__xludf.DUMMYFUNCTION("""COMPUTED_VALUE"""),"63ced849c5c820531c268ec4")</f>
        <v>63ced849c5c820531c268ec4</v>
      </c>
      <c r="B447" s="1" t="str">
        <f>IFERROR(__xludf.DUMMYFUNCTION("""COMPUTED_VALUE"""),"TELMARK DATA S.A.C.")</f>
        <v>TELMARK DATA S.A.C.</v>
      </c>
      <c r="C447" s="1" t="str">
        <f>IFERROR(__xludf.DUMMYFUNCTION("""COMPUTED_VALUE"""),"carolina.rodriguez@al-enterprise.com")</f>
        <v>carolina.rodriguez@al-enterprise.com</v>
      </c>
      <c r="D447" s="1" t="str">
        <f>IFERROR(__xludf.DUMMYFUNCTION("""COMPUTED_VALUE"""),"americas")</f>
        <v>americas</v>
      </c>
      <c r="E447" s="1" t="str">
        <f>IFERROR(__xludf.DUMMYFUNCTION("""COMPUTED_VALUE"""),"PE")</f>
        <v>PE</v>
      </c>
      <c r="F447" s="1"/>
      <c r="G447" s="1" t="str">
        <f>iferror(VLOOKUP(A447,'Business Plan Setup and Accepta'!A:G,6,false),"")</f>
        <v/>
      </c>
      <c r="H447" s="1" t="str">
        <f>iferror(VLOOKUP(A447,'Business Plan Setup and Accepta'!A:G,7,false),"")</f>
        <v/>
      </c>
      <c r="I447" s="17" t="str">
        <f t="shared" si="3"/>
        <v/>
      </c>
      <c r="J447" s="1" t="str">
        <f>IFERROR(VALUE(SUBSTITUTE(VLOOKUP(A447,'Sales IN Revenues vs Sales targ'!A:G,6,false)," $","")), "")
</f>
        <v/>
      </c>
      <c r="K447" s="1" t="str">
        <f>IFERROR(VALUE(SUBSTITUTE(VLOOKUP(A447,'Sales IN Revenues vs Sales targ'!A:G,7,false)," $","")), "")
</f>
        <v/>
      </c>
      <c r="L447" s="17" t="str">
        <f t="shared" si="4"/>
        <v/>
      </c>
      <c r="M447" s="1">
        <f>value(SUBSTITUTE(IFERROR(VLOOKUP(A447,'Certifications achievements vs '!A:G,6,false),""),"#","")
)</f>
        <v>54</v>
      </c>
      <c r="N447" s="1">
        <f>value(SUBSTITUTE(IFERROR(VLOOKUP(A447,'Certifications achievements vs '!A:G,7,false),""),"#","")
)</f>
        <v>52</v>
      </c>
      <c r="O447" s="17">
        <f t="shared" si="5"/>
        <v>1.038461538</v>
      </c>
      <c r="P447" s="1">
        <f>value(SUBSTITUTE(IFERROR(VLOOKUP(A447,'Communications - Solution Speci'!A:G,6,false),""),"#","")
)</f>
        <v>0</v>
      </c>
      <c r="Q447" s="1">
        <f>value(SUBSTITUTE(IFERROR(VLOOKUP(A447,'Communications - Solution Speci'!A:G,7,false),""),"#","")
)</f>
        <v>0</v>
      </c>
      <c r="R447" s="17" t="str">
        <f t="shared" si="6"/>
        <v/>
      </c>
      <c r="S447" s="1">
        <f>value(SUBSTITUTE(IFERROR(VLOOKUP(A447,'Networking - Solution Specializ'!A:G,6,false),""),"#","")
)</f>
        <v>0</v>
      </c>
      <c r="T447" s="1">
        <f>value(SUBSTITUTE(IFERROR(VLOOKUP(A447,'Networking - Solution Specializ'!A:G,7,false),""),"#","")
)</f>
        <v>0</v>
      </c>
      <c r="U447" s="17" t="str">
        <f t="shared" si="7"/>
        <v/>
      </c>
      <c r="V447" s="1" t="str">
        <f>iferror(vlookup(A447,'Marketing Plan (extract summary'!A:G,6,false),"")</f>
        <v/>
      </c>
      <c r="W447" s="1" t="str">
        <f>iferror(vlookup(A447,'Marketing Plan (extract summary'!A:G,7,false),"")</f>
        <v/>
      </c>
      <c r="X447" s="17" t="str">
        <f t="shared" si="8"/>
        <v/>
      </c>
      <c r="Y447" s="1">
        <f>value(IFERROR(SUBSTITUTE(SUBSTITUTE(VLOOKUP(A447,'Quarterly Pipeline vs Target Pi'!A:G,6,false)," $","")," €",""), "")
)</f>
        <v>0</v>
      </c>
      <c r="Z447" s="1">
        <f>value(IFERROR(SUBSTITUTE(SUBSTITUTE(VLOOKUP(A447,'Quarterly Pipeline vs Target Pi'!A:G,7,false)," $","")," €",""), "")
)</f>
        <v>0</v>
      </c>
      <c r="AA447" s="17" t="str">
        <f t="shared" si="9"/>
        <v/>
      </c>
      <c r="AB447" s="1">
        <f>value(IFERROR(SUBSTITUTE(SUBSTITUTE(VLOOKUP($A447,'Quarterly Pipeline vs Target Pi'!$A:$V,11,false)," $","")," €",""), "")
)</f>
        <v>0</v>
      </c>
      <c r="AC447" s="1">
        <f>value(IFERROR(SUBSTITUTE(SUBSTITUTE(VLOOKUP($A447,'Quarterly Pipeline vs Target Pi'!$A:$V,12,false)," $","")," €",""), "")
)</f>
        <v>0</v>
      </c>
      <c r="AD447" s="17" t="str">
        <f t="shared" si="10"/>
        <v/>
      </c>
      <c r="AE447" s="1">
        <f>value(IFERROR(SUBSTITUTE(SUBSTITUTE(VLOOKUP($A447,'Quarterly Pipeline vs Target Pi'!$A:$V,16,false)," $","")," €",""), "")
)</f>
        <v>0</v>
      </c>
      <c r="AF447" s="1">
        <f>value(IFERROR(SUBSTITUTE(SUBSTITUTE(VLOOKUP($A447,'Quarterly Pipeline vs Target Pi'!$A:$V,17,false)," $","")," €",""), "")
)</f>
        <v>0</v>
      </c>
      <c r="AG447" s="17" t="str">
        <f t="shared" si="11"/>
        <v/>
      </c>
      <c r="AH447" s="1">
        <f>value(IFERROR(SUBSTITUTE(SUBSTITUTE(VLOOKUP($A447,'Quarterly Pipeline vs Target Pi'!$A:$V,21,false)," $","")," €",""), "")
)</f>
        <v>0</v>
      </c>
      <c r="AI447" s="1">
        <f>value(IFERROR(SUBSTITUTE(SUBSTITUTE(VLOOKUP($A447,'Quarterly Pipeline vs Target Pi'!$A:$V,22,false)," $","")," €",""), "")
)</f>
        <v>0</v>
      </c>
      <c r="AJ447" s="17" t="str">
        <f t="shared" si="12"/>
        <v/>
      </c>
      <c r="AK447" s="1">
        <f t="shared" ref="AK447:AL447" si="907">sum(Y447,AB447,AE447,AH447)</f>
        <v>0</v>
      </c>
      <c r="AL447" s="1">
        <f t="shared" si="907"/>
        <v>0</v>
      </c>
      <c r="AM447" s="17" t="str">
        <f t="shared" si="14"/>
        <v/>
      </c>
      <c r="AN447" s="1">
        <f>value(IFERROR(SUBSTITUTE(SUBSTITUTE(VLOOKUP($A447,'Quarterly Pipeline vs Target Pi'!$A:$AP,26,false)," $","")," €",""), "")
)</f>
        <v>0</v>
      </c>
      <c r="AO447" s="1">
        <f>value(IFERROR(SUBSTITUTE(SUBSTITUTE(VLOOKUP($A447,'Quarterly Pipeline vs Target Pi'!$A:$AP,27,false)," $","")," €",""), "")
)</f>
        <v>0</v>
      </c>
      <c r="AP447" s="17" t="str">
        <f t="shared" si="15"/>
        <v/>
      </c>
      <c r="AQ447" s="1">
        <f>value(IFERROR(SUBSTITUTE(SUBSTITUTE(VLOOKUP($A447,'Quarterly Pipeline vs Target Pi'!$A:$AP,31,false)," $","")," €",""), "")
)</f>
        <v>0</v>
      </c>
      <c r="AR447" s="1">
        <f>value(IFERROR(SUBSTITUTE(SUBSTITUTE(VLOOKUP($A447,'Quarterly Pipeline vs Target Pi'!$A:$AP,32,false)," $","")," €",""), "")
)</f>
        <v>0</v>
      </c>
      <c r="AS447" s="17" t="str">
        <f t="shared" si="16"/>
        <v/>
      </c>
      <c r="AT447" s="1">
        <f>value(IFERROR(SUBSTITUTE(SUBSTITUTE(VLOOKUP($A447,'Quarterly Pipeline vs Target Pi'!$A:$AP,36,false)," $","")," €",""), "")
)</f>
        <v>0</v>
      </c>
      <c r="AU447" s="1">
        <f>value(IFERROR(SUBSTITUTE(SUBSTITUTE(VLOOKUP($A447,'Quarterly Pipeline vs Target Pi'!$A:$AP,37,false)," $","")," €",""), "")
)</f>
        <v>0</v>
      </c>
      <c r="AV447" s="17" t="str">
        <f t="shared" si="17"/>
        <v/>
      </c>
      <c r="AW447" s="1">
        <f>value(IFERROR(SUBSTITUTE(SUBSTITUTE(VLOOKUP($A447,'Quarterly Pipeline vs Target Pi'!$A:$AP,41,false)," $","")," €",""), "")
)</f>
        <v>0</v>
      </c>
      <c r="AX447" s="1">
        <f>value(IFERROR(SUBSTITUTE(SUBSTITUTE(VLOOKUP($A447,'Quarterly Pipeline vs Target Pi'!$A:$AP,42,false)," $","")," €",""), "")
)</f>
        <v>0</v>
      </c>
      <c r="AY447" s="17" t="str">
        <f t="shared" si="18"/>
        <v/>
      </c>
      <c r="AZ447" s="1">
        <f t="shared" ref="AZ447:BA447" si="908">sum(AN447,AQ447,AT447,AW447)</f>
        <v>0</v>
      </c>
      <c r="BA447" s="1">
        <f t="shared" si="908"/>
        <v>0</v>
      </c>
      <c r="BB447" s="17" t="str">
        <f t="shared" si="20"/>
        <v/>
      </c>
    </row>
    <row r="448">
      <c r="A448" s="1" t="str">
        <f>IFERROR(__xludf.DUMMYFUNCTION("""COMPUTED_VALUE"""),"63ea6e9352ad6968805cea7f")</f>
        <v>63ea6e9352ad6968805cea7f</v>
      </c>
      <c r="B448" s="1" t="str">
        <f>IFERROR(__xludf.DUMMYFUNCTION("""COMPUTED_VALUE"""),"Telonic GmbH")</f>
        <v>Telonic GmbH</v>
      </c>
      <c r="C448" s="1" t="str">
        <f>IFERROR(__xludf.DUMMYFUNCTION("""COMPUTED_VALUE"""),"ralf.kloeppels@al-enterprise.com, andreas.grossheimann@al-enterprise.com, katrin.pfeiffer@al-enterprise.com, sibylle.klopfer@al-enterprise.com, igor.leko@al-enterprise.com")</f>
        <v>ralf.kloeppels@al-enterprise.com, andreas.grossheimann@al-enterprise.com, katrin.pfeiffer@al-enterprise.com, sibylle.klopfer@al-enterprise.com, igor.leko@al-enterprise.com</v>
      </c>
      <c r="D448" s="1" t="str">
        <f>IFERROR(__xludf.DUMMYFUNCTION("""COMPUTED_VALUE"""),"germany")</f>
        <v>germany</v>
      </c>
      <c r="E448" s="1" t="str">
        <f>IFERROR(__xludf.DUMMYFUNCTION("""COMPUTED_VALUE"""),"DE")</f>
        <v>DE</v>
      </c>
      <c r="F448" s="1" t="str">
        <f>IFERROR(__xludf.DUMMYFUNCTION("""COMPUTED_VALUE"""),"expert_1000")</f>
        <v>expert_1000</v>
      </c>
      <c r="G448" s="1">
        <f>iferror(VLOOKUP(A448,'Business Plan Setup and Accepta'!A:G,6,false),"")</f>
        <v>1</v>
      </c>
      <c r="H448" s="1">
        <f>iferror(VLOOKUP(A448,'Business Plan Setup and Accepta'!A:G,7,false),"")</f>
        <v>1</v>
      </c>
      <c r="I448" s="17">
        <f t="shared" si="3"/>
        <v>1</v>
      </c>
      <c r="J448" s="1">
        <f>IFERROR(VALUE(SUBSTITUTE(VLOOKUP(A448,'Sales IN Revenues vs Sales targ'!A:G,6,false)," $","")), "")
</f>
        <v>737.74</v>
      </c>
      <c r="K448" s="1">
        <f>IFERROR(VALUE(SUBSTITUTE(VLOOKUP(A448,'Sales IN Revenues vs Sales targ'!A:G,7,false)," $","")), "")
</f>
        <v>1601</v>
      </c>
      <c r="L448" s="17">
        <f t="shared" si="4"/>
        <v>0.4607995003</v>
      </c>
      <c r="M448" s="1">
        <f>value(SUBSTITUTE(IFERROR(VLOOKUP(A448,'Certifications achievements vs '!A:G,6,false),""),"#","")
)</f>
        <v>27</v>
      </c>
      <c r="N448" s="1">
        <f>value(SUBSTITUTE(IFERROR(VLOOKUP(A448,'Certifications achievements vs '!A:G,7,false),""),"#","")
)</f>
        <v>52</v>
      </c>
      <c r="O448" s="17">
        <f t="shared" si="5"/>
        <v>0.5192307692</v>
      </c>
      <c r="P448" s="1">
        <f>value(SUBSTITUTE(IFERROR(VLOOKUP(A448,'Communications - Solution Speci'!A:G,6,false),""),"#","")
)</f>
        <v>0</v>
      </c>
      <c r="Q448" s="1">
        <f>value(SUBSTITUTE(IFERROR(VLOOKUP(A448,'Communications - Solution Speci'!A:G,7,false),""),"#","")
)</f>
        <v>1</v>
      </c>
      <c r="R448" s="17">
        <f t="shared" si="6"/>
        <v>0</v>
      </c>
      <c r="S448" s="1">
        <f>value(SUBSTITUTE(IFERROR(VLOOKUP(A448,'Networking - Solution Specializ'!A:G,6,false),""),"#","")
)</f>
        <v>1</v>
      </c>
      <c r="T448" s="1">
        <f>value(SUBSTITUTE(IFERROR(VLOOKUP(A448,'Networking - Solution Specializ'!A:G,7,false),""),"#","")
)</f>
        <v>1</v>
      </c>
      <c r="U448" s="17">
        <f t="shared" si="7"/>
        <v>1</v>
      </c>
      <c r="V448" s="1">
        <f>iferror(vlookup(A448,'Marketing Plan (extract summary'!A:G,6,false),"")</f>
        <v>1</v>
      </c>
      <c r="W448" s="1">
        <f>iferror(vlookup(A448,'Marketing Plan (extract summary'!A:G,7,false),"")</f>
        <v>1</v>
      </c>
      <c r="X448" s="17">
        <f t="shared" si="8"/>
        <v>1</v>
      </c>
      <c r="Y448" s="1">
        <f>value(IFERROR(SUBSTITUTE(SUBSTITUTE(VLOOKUP(A448,'Quarterly Pipeline vs Target Pi'!A:G,6,false)," $","")," €",""), "")
)</f>
        <v>65</v>
      </c>
      <c r="Z448" s="1">
        <f>value(IFERROR(SUBSTITUTE(SUBSTITUTE(VLOOKUP(A448,'Quarterly Pipeline vs Target Pi'!A:G,7,false)," $","")," €",""), "")
)</f>
        <v>0</v>
      </c>
      <c r="AA448" s="17" t="str">
        <f t="shared" si="9"/>
        <v/>
      </c>
      <c r="AB448" s="1">
        <f>value(IFERROR(SUBSTITUTE(SUBSTITUTE(VLOOKUP($A448,'Quarterly Pipeline vs Target Pi'!$A:$V,11,false)," $","")," €",""), "")
)</f>
        <v>30</v>
      </c>
      <c r="AC448" s="1">
        <f>value(IFERROR(SUBSTITUTE(SUBSTITUTE(VLOOKUP($A448,'Quarterly Pipeline vs Target Pi'!$A:$V,12,false)," $","")," €",""), "")
)</f>
        <v>1066.67</v>
      </c>
      <c r="AD448" s="17">
        <f t="shared" si="10"/>
        <v>0.02812491211</v>
      </c>
      <c r="AE448" s="1">
        <f>value(IFERROR(SUBSTITUTE(SUBSTITUTE(VLOOKUP($A448,'Quarterly Pipeline vs Target Pi'!$A:$V,16,false)," $","")," €",""), "")
)</f>
        <v>136</v>
      </c>
      <c r="AF448" s="1">
        <f>value(IFERROR(SUBSTITUTE(SUBSTITUTE(VLOOKUP($A448,'Quarterly Pipeline vs Target Pi'!$A:$V,17,false)," $","")," €",""), "")
)</f>
        <v>1600</v>
      </c>
      <c r="AG448" s="17">
        <f t="shared" si="11"/>
        <v>0.085</v>
      </c>
      <c r="AH448" s="1">
        <f>value(IFERROR(SUBSTITUTE(SUBSTITUTE(VLOOKUP($A448,'Quarterly Pipeline vs Target Pi'!$A:$V,21,false)," $","")," €",""), "")
)</f>
        <v>1282.2</v>
      </c>
      <c r="AI448" s="1">
        <f>value(IFERROR(SUBSTITUTE(SUBSTITUTE(VLOOKUP($A448,'Quarterly Pipeline vs Target Pi'!$A:$V,22,false)," $","")," €",""), "")
)</f>
        <v>1603.33</v>
      </c>
      <c r="AJ448" s="17">
        <f t="shared" si="12"/>
        <v>0.7997106023</v>
      </c>
      <c r="AK448" s="1">
        <f t="shared" ref="AK448:AL448" si="909">sum(Y448,AB448,AE448,AH448)</f>
        <v>1513.2</v>
      </c>
      <c r="AL448" s="1">
        <f t="shared" si="909"/>
        <v>4270</v>
      </c>
      <c r="AM448" s="17">
        <f t="shared" si="14"/>
        <v>0.3543793911</v>
      </c>
      <c r="AN448" s="1">
        <f>value(IFERROR(SUBSTITUTE(SUBSTITUTE(VLOOKUP($A448,'Quarterly Pipeline vs Target Pi'!$A:$AP,26,false)," $","")," €",""), "")
)</f>
        <v>150</v>
      </c>
      <c r="AO448" s="1">
        <f>value(IFERROR(SUBSTITUTE(SUBSTITUTE(VLOOKUP($A448,'Quarterly Pipeline vs Target Pi'!$A:$AP,27,false)," $","")," €",""), "")
)</f>
        <v>0</v>
      </c>
      <c r="AP448" s="17" t="str">
        <f t="shared" si="15"/>
        <v/>
      </c>
      <c r="AQ448" s="1">
        <f>value(IFERROR(SUBSTITUTE(SUBSTITUTE(VLOOKUP($A448,'Quarterly Pipeline vs Target Pi'!$A:$AP,31,false)," $","")," €",""), "")
)</f>
        <v>10</v>
      </c>
      <c r="AR448" s="1">
        <f>value(IFERROR(SUBSTITUTE(SUBSTITUTE(VLOOKUP($A448,'Quarterly Pipeline vs Target Pi'!$A:$AP,32,false)," $","")," €",""), "")
)</f>
        <v>0</v>
      </c>
      <c r="AS448" s="17" t="str">
        <f t="shared" si="16"/>
        <v/>
      </c>
      <c r="AT448" s="1">
        <f>value(IFERROR(SUBSTITUTE(SUBSTITUTE(VLOOKUP($A448,'Quarterly Pipeline vs Target Pi'!$A:$AP,36,false)," $","")," €",""), "")
)</f>
        <v>0</v>
      </c>
      <c r="AU448" s="1">
        <f>value(IFERROR(SUBSTITUTE(SUBSTITUTE(VLOOKUP($A448,'Quarterly Pipeline vs Target Pi'!$A:$AP,37,false)," $","")," €",""), "")
)</f>
        <v>0</v>
      </c>
      <c r="AV448" s="17" t="str">
        <f t="shared" si="17"/>
        <v/>
      </c>
      <c r="AW448" s="1">
        <f>value(IFERROR(SUBSTITUTE(SUBSTITUTE(VLOOKUP($A448,'Quarterly Pipeline vs Target Pi'!$A:$AP,41,false)," $","")," €",""), "")
)</f>
        <v>200</v>
      </c>
      <c r="AX448" s="1">
        <f>value(IFERROR(SUBSTITUTE(SUBSTITUTE(VLOOKUP($A448,'Quarterly Pipeline vs Target Pi'!$A:$AP,42,false)," $","")," €",""), "")
)</f>
        <v>0</v>
      </c>
      <c r="AY448" s="17" t="str">
        <f t="shared" si="18"/>
        <v/>
      </c>
      <c r="AZ448" s="1">
        <f t="shared" ref="AZ448:BA448" si="910">sum(AN448,AQ448,AT448,AW448)</f>
        <v>360</v>
      </c>
      <c r="BA448" s="1">
        <f t="shared" si="910"/>
        <v>0</v>
      </c>
      <c r="BB448" s="17" t="str">
        <f t="shared" si="20"/>
        <v/>
      </c>
    </row>
    <row r="449">
      <c r="A449" s="1" t="str">
        <f>IFERROR(__xludf.DUMMYFUNCTION("""COMPUTED_VALUE"""),"63ced84ec5c820531c269932")</f>
        <v>63ced84ec5c820531c269932</v>
      </c>
      <c r="B449" s="1" t="str">
        <f>IFERROR(__xludf.DUMMYFUNCTION("""COMPUTED_VALUE"""),"Telspan International LTD, Inc.")</f>
        <v>Telspan International LTD, Inc.</v>
      </c>
      <c r="C449" s="1" t="str">
        <f>IFERROR(__xludf.DUMMYFUNCTION("""COMPUTED_VALUE"""),"brendan.flaherty@al-enterprise.com")</f>
        <v>brendan.flaherty@al-enterprise.com</v>
      </c>
      <c r="D449" s="1" t="str">
        <f>IFERROR(__xludf.DUMMYFUNCTION("""COMPUTED_VALUE"""),"americas")</f>
        <v>americas</v>
      </c>
      <c r="E449" s="1" t="str">
        <f>IFERROR(__xludf.DUMMYFUNCTION("""COMPUTED_VALUE"""),"US")</f>
        <v>US</v>
      </c>
      <c r="F449" s="1"/>
      <c r="G449" s="1" t="str">
        <f>iferror(VLOOKUP(A449,'Business Plan Setup and Accepta'!A:G,6,false),"")</f>
        <v/>
      </c>
      <c r="H449" s="1" t="str">
        <f>iferror(VLOOKUP(A449,'Business Plan Setup and Accepta'!A:G,7,false),"")</f>
        <v/>
      </c>
      <c r="I449" s="17" t="str">
        <f t="shared" si="3"/>
        <v/>
      </c>
      <c r="J449" s="1" t="str">
        <f>IFERROR(VALUE(SUBSTITUTE(VLOOKUP(A449,'Sales IN Revenues vs Sales targ'!A:G,6,false)," $","")), "")
</f>
        <v/>
      </c>
      <c r="K449" s="1" t="str">
        <f>IFERROR(VALUE(SUBSTITUTE(VLOOKUP(A449,'Sales IN Revenues vs Sales targ'!A:G,7,false)," $","")), "")
</f>
        <v/>
      </c>
      <c r="L449" s="17" t="str">
        <f t="shared" si="4"/>
        <v/>
      </c>
      <c r="M449" s="1">
        <f>value(SUBSTITUTE(IFERROR(VLOOKUP(A449,'Certifications achievements vs '!A:G,6,false),""),"#","")
)</f>
        <v>0</v>
      </c>
      <c r="N449" s="1">
        <f>value(SUBSTITUTE(IFERROR(VLOOKUP(A449,'Certifications achievements vs '!A:G,7,false),""),"#","")
)</f>
        <v>0</v>
      </c>
      <c r="O449" s="17" t="str">
        <f t="shared" si="5"/>
        <v/>
      </c>
      <c r="P449" s="1">
        <f>value(SUBSTITUTE(IFERROR(VLOOKUP(A449,'Communications - Solution Speci'!A:G,6,false),""),"#","")
)</f>
        <v>0</v>
      </c>
      <c r="Q449" s="1">
        <f>value(SUBSTITUTE(IFERROR(VLOOKUP(A449,'Communications - Solution Speci'!A:G,7,false),""),"#","")
)</f>
        <v>0</v>
      </c>
      <c r="R449" s="17" t="str">
        <f t="shared" si="6"/>
        <v/>
      </c>
      <c r="S449" s="1">
        <f>value(SUBSTITUTE(IFERROR(VLOOKUP(A449,'Networking - Solution Specializ'!A:G,6,false),""),"#","")
)</f>
        <v>0</v>
      </c>
      <c r="T449" s="1">
        <f>value(SUBSTITUTE(IFERROR(VLOOKUP(A449,'Networking - Solution Specializ'!A:G,7,false),""),"#","")
)</f>
        <v>0</v>
      </c>
      <c r="U449" s="17" t="str">
        <f t="shared" si="7"/>
        <v/>
      </c>
      <c r="V449" s="1" t="str">
        <f>iferror(vlookup(A449,'Marketing Plan (extract summary'!A:G,6,false),"")</f>
        <v/>
      </c>
      <c r="W449" s="1" t="str">
        <f>iferror(vlookup(A449,'Marketing Plan (extract summary'!A:G,7,false),"")</f>
        <v/>
      </c>
      <c r="X449" s="17" t="str">
        <f t="shared" si="8"/>
        <v/>
      </c>
      <c r="Y449" s="1">
        <f>value(IFERROR(SUBSTITUTE(SUBSTITUTE(VLOOKUP(A449,'Quarterly Pipeline vs Target Pi'!A:G,6,false)," $","")," €",""), "")
)</f>
        <v>0</v>
      </c>
      <c r="Z449" s="1">
        <f>value(IFERROR(SUBSTITUTE(SUBSTITUTE(VLOOKUP(A449,'Quarterly Pipeline vs Target Pi'!A:G,7,false)," $","")," €",""), "")
)</f>
        <v>0</v>
      </c>
      <c r="AA449" s="17" t="str">
        <f t="shared" si="9"/>
        <v/>
      </c>
      <c r="AB449" s="1">
        <f>value(IFERROR(SUBSTITUTE(SUBSTITUTE(VLOOKUP($A449,'Quarterly Pipeline vs Target Pi'!$A:$V,11,false)," $","")," €",""), "")
)</f>
        <v>0</v>
      </c>
      <c r="AC449" s="1">
        <f>value(IFERROR(SUBSTITUTE(SUBSTITUTE(VLOOKUP($A449,'Quarterly Pipeline vs Target Pi'!$A:$V,12,false)," $","")," €",""), "")
)</f>
        <v>0</v>
      </c>
      <c r="AD449" s="17" t="str">
        <f t="shared" si="10"/>
        <v/>
      </c>
      <c r="AE449" s="1">
        <f>value(IFERROR(SUBSTITUTE(SUBSTITUTE(VLOOKUP($A449,'Quarterly Pipeline vs Target Pi'!$A:$V,16,false)," $","")," €",""), "")
)</f>
        <v>0</v>
      </c>
      <c r="AF449" s="1">
        <f>value(IFERROR(SUBSTITUTE(SUBSTITUTE(VLOOKUP($A449,'Quarterly Pipeline vs Target Pi'!$A:$V,17,false)," $","")," €",""), "")
)</f>
        <v>0</v>
      </c>
      <c r="AG449" s="17" t="str">
        <f t="shared" si="11"/>
        <v/>
      </c>
      <c r="AH449" s="1">
        <f>value(IFERROR(SUBSTITUTE(SUBSTITUTE(VLOOKUP($A449,'Quarterly Pipeline vs Target Pi'!$A:$V,21,false)," $","")," €",""), "")
)</f>
        <v>0</v>
      </c>
      <c r="AI449" s="1">
        <f>value(IFERROR(SUBSTITUTE(SUBSTITUTE(VLOOKUP($A449,'Quarterly Pipeline vs Target Pi'!$A:$V,22,false)," $","")," €",""), "")
)</f>
        <v>0</v>
      </c>
      <c r="AJ449" s="17" t="str">
        <f t="shared" si="12"/>
        <v/>
      </c>
      <c r="AK449" s="1">
        <f t="shared" ref="AK449:AL449" si="911">sum(Y449,AB449,AE449,AH449)</f>
        <v>0</v>
      </c>
      <c r="AL449" s="1">
        <f t="shared" si="911"/>
        <v>0</v>
      </c>
      <c r="AM449" s="17" t="str">
        <f t="shared" si="14"/>
        <v/>
      </c>
      <c r="AN449" s="1">
        <f>value(IFERROR(SUBSTITUTE(SUBSTITUTE(VLOOKUP($A449,'Quarterly Pipeline vs Target Pi'!$A:$AP,26,false)," $","")," €",""), "")
)</f>
        <v>0</v>
      </c>
      <c r="AO449" s="1">
        <f>value(IFERROR(SUBSTITUTE(SUBSTITUTE(VLOOKUP($A449,'Quarterly Pipeline vs Target Pi'!$A:$AP,27,false)," $","")," €",""), "")
)</f>
        <v>0</v>
      </c>
      <c r="AP449" s="17" t="str">
        <f t="shared" si="15"/>
        <v/>
      </c>
      <c r="AQ449" s="1">
        <f>value(IFERROR(SUBSTITUTE(SUBSTITUTE(VLOOKUP($A449,'Quarterly Pipeline vs Target Pi'!$A:$AP,31,false)," $","")," €",""), "")
)</f>
        <v>0</v>
      </c>
      <c r="AR449" s="1">
        <f>value(IFERROR(SUBSTITUTE(SUBSTITUTE(VLOOKUP($A449,'Quarterly Pipeline vs Target Pi'!$A:$AP,32,false)," $","")," €",""), "")
)</f>
        <v>0</v>
      </c>
      <c r="AS449" s="17" t="str">
        <f t="shared" si="16"/>
        <v/>
      </c>
      <c r="AT449" s="1">
        <f>value(IFERROR(SUBSTITUTE(SUBSTITUTE(VLOOKUP($A449,'Quarterly Pipeline vs Target Pi'!$A:$AP,36,false)," $","")," €",""), "")
)</f>
        <v>0</v>
      </c>
      <c r="AU449" s="1">
        <f>value(IFERROR(SUBSTITUTE(SUBSTITUTE(VLOOKUP($A449,'Quarterly Pipeline vs Target Pi'!$A:$AP,37,false)," $","")," €",""), "")
)</f>
        <v>0</v>
      </c>
      <c r="AV449" s="17" t="str">
        <f t="shared" si="17"/>
        <v/>
      </c>
      <c r="AW449" s="1">
        <f>value(IFERROR(SUBSTITUTE(SUBSTITUTE(VLOOKUP($A449,'Quarterly Pipeline vs Target Pi'!$A:$AP,41,false)," $","")," €",""), "")
)</f>
        <v>0</v>
      </c>
      <c r="AX449" s="1">
        <f>value(IFERROR(SUBSTITUTE(SUBSTITUTE(VLOOKUP($A449,'Quarterly Pipeline vs Target Pi'!$A:$AP,42,false)," $","")," €",""), "")
)</f>
        <v>0</v>
      </c>
      <c r="AY449" s="17" t="str">
        <f t="shared" si="18"/>
        <v/>
      </c>
      <c r="AZ449" s="1">
        <f t="shared" ref="AZ449:BA449" si="912">sum(AN449,AQ449,AT449,AW449)</f>
        <v>0</v>
      </c>
      <c r="BA449" s="1">
        <f t="shared" si="912"/>
        <v>0</v>
      </c>
      <c r="BB449" s="17" t="str">
        <f t="shared" si="20"/>
        <v/>
      </c>
    </row>
    <row r="450">
      <c r="A450" s="1" t="str">
        <f>IFERROR(__xludf.DUMMYFUNCTION("""COMPUTED_VALUE"""),"63ea6e9752ad6968805cf139")</f>
        <v>63ea6e9752ad6968805cf139</v>
      </c>
      <c r="B450" s="1" t="str">
        <f>IFERROR(__xludf.DUMMYFUNCTION("""COMPUTED_VALUE"""),"TELTRON &amp; SIMET GmbH")</f>
        <v>TELTRON &amp; SIMET GmbH</v>
      </c>
      <c r="C450" s="1" t="str">
        <f>IFERROR(__xludf.DUMMYFUNCTION("""COMPUTED_VALUE"""),"andreas.grossheimann@al-enterprise.com, andre.ramm@al-enterprise.com")</f>
        <v>andreas.grossheimann@al-enterprise.com, andre.ramm@al-enterprise.com</v>
      </c>
      <c r="D450" s="1" t="str">
        <f>IFERROR(__xludf.DUMMYFUNCTION("""COMPUTED_VALUE"""),"germany")</f>
        <v>germany</v>
      </c>
      <c r="E450" s="1" t="str">
        <f>IFERROR(__xludf.DUMMYFUNCTION("""COMPUTED_VALUE"""),"DE")</f>
        <v>DE</v>
      </c>
      <c r="F450" s="1"/>
      <c r="G450" s="1" t="str">
        <f>iferror(VLOOKUP(A450,'Business Plan Setup and Accepta'!A:G,6,false),"")</f>
        <v/>
      </c>
      <c r="H450" s="1" t="str">
        <f>iferror(VLOOKUP(A450,'Business Plan Setup and Accepta'!A:G,7,false),"")</f>
        <v/>
      </c>
      <c r="I450" s="17" t="str">
        <f t="shared" si="3"/>
        <v/>
      </c>
      <c r="J450" s="1" t="str">
        <f>IFERROR(VALUE(SUBSTITUTE(VLOOKUP(A450,'Sales IN Revenues vs Sales targ'!A:G,6,false)," $","")), "")
</f>
        <v/>
      </c>
      <c r="K450" s="1" t="str">
        <f>IFERROR(VALUE(SUBSTITUTE(VLOOKUP(A450,'Sales IN Revenues vs Sales targ'!A:G,7,false)," $","")), "")
</f>
        <v/>
      </c>
      <c r="L450" s="17" t="str">
        <f t="shared" si="4"/>
        <v/>
      </c>
      <c r="M450" s="1">
        <f>value(SUBSTITUTE(IFERROR(VLOOKUP(A450,'Certifications achievements vs '!A:G,6,false),""),"#","")
)</f>
        <v>0</v>
      </c>
      <c r="N450" s="1">
        <f>value(SUBSTITUTE(IFERROR(VLOOKUP(A450,'Certifications achievements vs '!A:G,7,false),""),"#","")
)</f>
        <v>0</v>
      </c>
      <c r="O450" s="17" t="str">
        <f t="shared" si="5"/>
        <v/>
      </c>
      <c r="P450" s="1">
        <f>value(SUBSTITUTE(IFERROR(VLOOKUP(A450,'Communications - Solution Speci'!A:G,6,false),""),"#","")
)</f>
        <v>0</v>
      </c>
      <c r="Q450" s="1">
        <f>value(SUBSTITUTE(IFERROR(VLOOKUP(A450,'Communications - Solution Speci'!A:G,7,false),""),"#","")
)</f>
        <v>0</v>
      </c>
      <c r="R450" s="17" t="str">
        <f t="shared" si="6"/>
        <v/>
      </c>
      <c r="S450" s="1">
        <f>value(SUBSTITUTE(IFERROR(VLOOKUP(A450,'Networking - Solution Specializ'!A:G,6,false),""),"#","")
)</f>
        <v>0</v>
      </c>
      <c r="T450" s="1">
        <f>value(SUBSTITUTE(IFERROR(VLOOKUP(A450,'Networking - Solution Specializ'!A:G,7,false),""),"#","")
)</f>
        <v>0</v>
      </c>
      <c r="U450" s="17" t="str">
        <f t="shared" si="7"/>
        <v/>
      </c>
      <c r="V450" s="1" t="str">
        <f>iferror(vlookup(A450,'Marketing Plan (extract summary'!A:G,6,false),"")</f>
        <v/>
      </c>
      <c r="W450" s="1" t="str">
        <f>iferror(vlookup(A450,'Marketing Plan (extract summary'!A:G,7,false),"")</f>
        <v/>
      </c>
      <c r="X450" s="17" t="str">
        <f t="shared" si="8"/>
        <v/>
      </c>
      <c r="Y450" s="1">
        <f>value(IFERROR(SUBSTITUTE(SUBSTITUTE(VLOOKUP(A450,'Quarterly Pipeline vs Target Pi'!A:G,6,false)," $","")," €",""), "")
)</f>
        <v>0</v>
      </c>
      <c r="Z450" s="1">
        <f>value(IFERROR(SUBSTITUTE(SUBSTITUTE(VLOOKUP(A450,'Quarterly Pipeline vs Target Pi'!A:G,7,false)," $","")," €",""), "")
)</f>
        <v>0</v>
      </c>
      <c r="AA450" s="17" t="str">
        <f t="shared" si="9"/>
        <v/>
      </c>
      <c r="AB450" s="1">
        <f>value(IFERROR(SUBSTITUTE(SUBSTITUTE(VLOOKUP($A450,'Quarterly Pipeline vs Target Pi'!$A:$V,11,false)," $","")," €",""), "")
)</f>
        <v>0</v>
      </c>
      <c r="AC450" s="1">
        <f>value(IFERROR(SUBSTITUTE(SUBSTITUTE(VLOOKUP($A450,'Quarterly Pipeline vs Target Pi'!$A:$V,12,false)," $","")," €",""), "")
)</f>
        <v>0</v>
      </c>
      <c r="AD450" s="17" t="str">
        <f t="shared" si="10"/>
        <v/>
      </c>
      <c r="AE450" s="1">
        <f>value(IFERROR(SUBSTITUTE(SUBSTITUTE(VLOOKUP($A450,'Quarterly Pipeline vs Target Pi'!$A:$V,16,false)," $","")," €",""), "")
)</f>
        <v>0</v>
      </c>
      <c r="AF450" s="1">
        <f>value(IFERROR(SUBSTITUTE(SUBSTITUTE(VLOOKUP($A450,'Quarterly Pipeline vs Target Pi'!$A:$V,17,false)," $","")," €",""), "")
)</f>
        <v>0</v>
      </c>
      <c r="AG450" s="17" t="str">
        <f t="shared" si="11"/>
        <v/>
      </c>
      <c r="AH450" s="1">
        <f>value(IFERROR(SUBSTITUTE(SUBSTITUTE(VLOOKUP($A450,'Quarterly Pipeline vs Target Pi'!$A:$V,21,false)," $","")," €",""), "")
)</f>
        <v>0</v>
      </c>
      <c r="AI450" s="1">
        <f>value(IFERROR(SUBSTITUTE(SUBSTITUTE(VLOOKUP($A450,'Quarterly Pipeline vs Target Pi'!$A:$V,22,false)," $","")," €",""), "")
)</f>
        <v>0</v>
      </c>
      <c r="AJ450" s="17" t="str">
        <f t="shared" si="12"/>
        <v/>
      </c>
      <c r="AK450" s="1">
        <f t="shared" ref="AK450:AL450" si="913">sum(Y450,AB450,AE450,AH450)</f>
        <v>0</v>
      </c>
      <c r="AL450" s="1">
        <f t="shared" si="913"/>
        <v>0</v>
      </c>
      <c r="AM450" s="17" t="str">
        <f t="shared" si="14"/>
        <v/>
      </c>
      <c r="AN450" s="1">
        <f>value(IFERROR(SUBSTITUTE(SUBSTITUTE(VLOOKUP($A450,'Quarterly Pipeline vs Target Pi'!$A:$AP,26,false)," $","")," €",""), "")
)</f>
        <v>0</v>
      </c>
      <c r="AO450" s="1">
        <f>value(IFERROR(SUBSTITUTE(SUBSTITUTE(VLOOKUP($A450,'Quarterly Pipeline vs Target Pi'!$A:$AP,27,false)," $","")," €",""), "")
)</f>
        <v>0</v>
      </c>
      <c r="AP450" s="17" t="str">
        <f t="shared" si="15"/>
        <v/>
      </c>
      <c r="AQ450" s="1">
        <f>value(IFERROR(SUBSTITUTE(SUBSTITUTE(VLOOKUP($A450,'Quarterly Pipeline vs Target Pi'!$A:$AP,31,false)," $","")," €",""), "")
)</f>
        <v>0</v>
      </c>
      <c r="AR450" s="1">
        <f>value(IFERROR(SUBSTITUTE(SUBSTITUTE(VLOOKUP($A450,'Quarterly Pipeline vs Target Pi'!$A:$AP,32,false)," $","")," €",""), "")
)</f>
        <v>0</v>
      </c>
      <c r="AS450" s="17" t="str">
        <f t="shared" si="16"/>
        <v/>
      </c>
      <c r="AT450" s="1">
        <f>value(IFERROR(SUBSTITUTE(SUBSTITUTE(VLOOKUP($A450,'Quarterly Pipeline vs Target Pi'!$A:$AP,36,false)," $","")," €",""), "")
)</f>
        <v>0</v>
      </c>
      <c r="AU450" s="1">
        <f>value(IFERROR(SUBSTITUTE(SUBSTITUTE(VLOOKUP($A450,'Quarterly Pipeline vs Target Pi'!$A:$AP,37,false)," $","")," €",""), "")
)</f>
        <v>0</v>
      </c>
      <c r="AV450" s="17" t="str">
        <f t="shared" si="17"/>
        <v/>
      </c>
      <c r="AW450" s="1">
        <f>value(IFERROR(SUBSTITUTE(SUBSTITUTE(VLOOKUP($A450,'Quarterly Pipeline vs Target Pi'!$A:$AP,41,false)," $","")," €",""), "")
)</f>
        <v>0</v>
      </c>
      <c r="AX450" s="1">
        <f>value(IFERROR(SUBSTITUTE(SUBSTITUTE(VLOOKUP($A450,'Quarterly Pipeline vs Target Pi'!$A:$AP,42,false)," $","")," €",""), "")
)</f>
        <v>0</v>
      </c>
      <c r="AY450" s="17" t="str">
        <f t="shared" si="18"/>
        <v/>
      </c>
      <c r="AZ450" s="1">
        <f t="shared" ref="AZ450:BA450" si="914">sum(AN450,AQ450,AT450,AW450)</f>
        <v>0</v>
      </c>
      <c r="BA450" s="1">
        <f t="shared" si="914"/>
        <v>0</v>
      </c>
      <c r="BB450" s="17" t="str">
        <f t="shared" si="20"/>
        <v/>
      </c>
    </row>
    <row r="451">
      <c r="A451" s="1" t="str">
        <f>IFERROR(__xludf.DUMMYFUNCTION("""COMPUTED_VALUE"""),"63ef9d5d384f27260c1baca7")</f>
        <v>63ef9d5d384f27260c1baca7</v>
      </c>
      <c r="B451" s="1" t="str">
        <f>IFERROR(__xludf.DUMMYFUNCTION("""COMPUTED_VALUE"""),"TELYCAL S.L.")</f>
        <v>TELYCAL S.L.</v>
      </c>
      <c r="C451" s="1" t="str">
        <f>IFERROR(__xludf.DUMMYFUNCTION("""COMPUTED_VALUE"""),"astrid.savorani@al-enterprise.com, rafael.andreo@al-enterprise.com, esther.alonso@al-enterprise.com, marcos.rodriguez@al-enterprise.com, borja.gonzalvez@al-enterprise.com")</f>
        <v>astrid.savorani@al-enterprise.com, rafael.andreo@al-enterprise.com, esther.alonso@al-enterprise.com, marcos.rodriguez@al-enterprise.com, borja.gonzalvez@al-enterprise.com</v>
      </c>
      <c r="D451" s="1" t="str">
        <f>IFERROR(__xludf.DUMMYFUNCTION("""COMPUTED_VALUE"""),"emea")</f>
        <v>emea</v>
      </c>
      <c r="E451" s="1" t="str">
        <f>IFERROR(__xludf.DUMMYFUNCTION("""COMPUTED_VALUE"""),"ES")</f>
        <v>ES</v>
      </c>
      <c r="F451" s="1"/>
      <c r="G451" s="1">
        <f>iferror(VLOOKUP(A451,'Business Plan Setup and Accepta'!A:G,6,false),"")</f>
        <v>0</v>
      </c>
      <c r="H451" s="1">
        <f>iferror(VLOOKUP(A451,'Business Plan Setup and Accepta'!A:G,7,false),"")</f>
        <v>1</v>
      </c>
      <c r="I451" s="17">
        <f t="shared" si="3"/>
        <v>0</v>
      </c>
      <c r="J451" s="1">
        <f>IFERROR(VALUE(SUBSTITUTE(VLOOKUP(A451,'Sales IN Revenues vs Sales targ'!A:G,6,false)," $","")), "")
</f>
        <v>33.16</v>
      </c>
      <c r="K451" s="1">
        <f>IFERROR(VALUE(SUBSTITUTE(VLOOKUP(A451,'Sales IN Revenues vs Sales targ'!A:G,7,false)," $","")), "")
</f>
        <v>200</v>
      </c>
      <c r="L451" s="17">
        <f t="shared" si="4"/>
        <v>0.1658</v>
      </c>
      <c r="M451" s="1">
        <f>value(SUBSTITUTE(IFERROR(VLOOKUP(A451,'Certifications achievements vs '!A:G,6,false),""),"#","")
)</f>
        <v>0</v>
      </c>
      <c r="N451" s="1">
        <f>value(SUBSTITUTE(IFERROR(VLOOKUP(A451,'Certifications achievements vs '!A:G,7,false),""),"#","")
)</f>
        <v>0</v>
      </c>
      <c r="O451" s="17" t="str">
        <f t="shared" si="5"/>
        <v/>
      </c>
      <c r="P451" s="1">
        <f>value(SUBSTITUTE(IFERROR(VLOOKUP(A451,'Communications - Solution Speci'!A:G,6,false),""),"#","")
)</f>
        <v>0</v>
      </c>
      <c r="Q451" s="1">
        <f>value(SUBSTITUTE(IFERROR(VLOOKUP(A451,'Communications - Solution Speci'!A:G,7,false),""),"#","")
)</f>
        <v>1</v>
      </c>
      <c r="R451" s="17">
        <f t="shared" si="6"/>
        <v>0</v>
      </c>
      <c r="S451" s="1">
        <f>value(SUBSTITUTE(IFERROR(VLOOKUP(A451,'Networking - Solution Specializ'!A:G,6,false),""),"#","")
)</f>
        <v>0</v>
      </c>
      <c r="T451" s="1">
        <f>value(SUBSTITUTE(IFERROR(VLOOKUP(A451,'Networking - Solution Specializ'!A:G,7,false),""),"#","")
)</f>
        <v>1</v>
      </c>
      <c r="U451" s="17">
        <f t="shared" si="7"/>
        <v>0</v>
      </c>
      <c r="V451" s="1">
        <f>iferror(vlookup(A451,'Marketing Plan (extract summary'!A:G,6,false),"")</f>
        <v>0</v>
      </c>
      <c r="W451" s="1">
        <f>iferror(vlookup(A451,'Marketing Plan (extract summary'!A:G,7,false),"")</f>
        <v>1</v>
      </c>
      <c r="X451" s="17">
        <f t="shared" si="8"/>
        <v>0</v>
      </c>
      <c r="Y451" s="1">
        <f>value(IFERROR(SUBSTITUTE(SUBSTITUTE(VLOOKUP(A451,'Quarterly Pipeline vs Target Pi'!A:G,6,false)," $","")," €",""), "")
)</f>
        <v>0</v>
      </c>
      <c r="Z451" s="1">
        <f>value(IFERROR(SUBSTITUTE(SUBSTITUTE(VLOOKUP(A451,'Quarterly Pipeline vs Target Pi'!A:G,7,false)," $","")," €",""), "")
)</f>
        <v>0</v>
      </c>
      <c r="AA451" s="17" t="str">
        <f t="shared" si="9"/>
        <v/>
      </c>
      <c r="AB451" s="1">
        <f>value(IFERROR(SUBSTITUTE(SUBSTITUTE(VLOOKUP($A451,'Quarterly Pipeline vs Target Pi'!$A:$V,11,false)," $","")," €",""), "")
)</f>
        <v>4.77</v>
      </c>
      <c r="AC451" s="1">
        <f>value(IFERROR(SUBSTITUTE(SUBSTITUTE(VLOOKUP($A451,'Quarterly Pipeline vs Target Pi'!$A:$V,12,false)," $","")," €",""), "")
)</f>
        <v>0</v>
      </c>
      <c r="AD451" s="17" t="str">
        <f t="shared" si="10"/>
        <v/>
      </c>
      <c r="AE451" s="1">
        <f>value(IFERROR(SUBSTITUTE(SUBSTITUTE(VLOOKUP($A451,'Quarterly Pipeline vs Target Pi'!$A:$V,16,false)," $","")," €",""), "")
)</f>
        <v>7.1</v>
      </c>
      <c r="AF451" s="1">
        <f>value(IFERROR(SUBSTITUTE(SUBSTITUTE(VLOOKUP($A451,'Quarterly Pipeline vs Target Pi'!$A:$V,17,false)," $","")," €",""), "")
)</f>
        <v>166.67</v>
      </c>
      <c r="AG451" s="17">
        <f t="shared" si="11"/>
        <v>0.04259914802</v>
      </c>
      <c r="AH451" s="1">
        <f>value(IFERROR(SUBSTITUTE(SUBSTITUTE(VLOOKUP($A451,'Quarterly Pipeline vs Target Pi'!$A:$V,21,false)," $","")," €",""), "")
)</f>
        <v>38.8</v>
      </c>
      <c r="AI451" s="1">
        <f>value(IFERROR(SUBSTITUTE(SUBSTITUTE(VLOOKUP($A451,'Quarterly Pipeline vs Target Pi'!$A:$V,22,false)," $","")," €",""), "")
)</f>
        <v>166.67</v>
      </c>
      <c r="AJ451" s="17">
        <f t="shared" si="12"/>
        <v>0.2327953441</v>
      </c>
      <c r="AK451" s="1">
        <f t="shared" ref="AK451:AL451" si="915">sum(Y451,AB451,AE451,AH451)</f>
        <v>50.67</v>
      </c>
      <c r="AL451" s="1">
        <f t="shared" si="915"/>
        <v>333.34</v>
      </c>
      <c r="AM451" s="17">
        <f t="shared" si="14"/>
        <v>0.1520069599</v>
      </c>
      <c r="AN451" s="1">
        <f>value(IFERROR(SUBSTITUTE(SUBSTITUTE(VLOOKUP($A451,'Quarterly Pipeline vs Target Pi'!$A:$AP,26,false)," $","")," €",""), "")
)</f>
        <v>0</v>
      </c>
      <c r="AO451" s="1">
        <f>value(IFERROR(SUBSTITUTE(SUBSTITUTE(VLOOKUP($A451,'Quarterly Pipeline vs Target Pi'!$A:$AP,27,false)," $","")," €",""), "")
)</f>
        <v>0</v>
      </c>
      <c r="AP451" s="17" t="str">
        <f t="shared" si="15"/>
        <v/>
      </c>
      <c r="AQ451" s="1">
        <f>value(IFERROR(SUBSTITUTE(SUBSTITUTE(VLOOKUP($A451,'Quarterly Pipeline vs Target Pi'!$A:$AP,31,false)," $","")," €",""), "")
)</f>
        <v>0</v>
      </c>
      <c r="AR451" s="1">
        <f>value(IFERROR(SUBSTITUTE(SUBSTITUTE(VLOOKUP($A451,'Quarterly Pipeline vs Target Pi'!$A:$AP,32,false)," $","")," €",""), "")
)</f>
        <v>0</v>
      </c>
      <c r="AS451" s="17" t="str">
        <f t="shared" si="16"/>
        <v/>
      </c>
      <c r="AT451" s="1">
        <f>value(IFERROR(SUBSTITUTE(SUBSTITUTE(VLOOKUP($A451,'Quarterly Pipeline vs Target Pi'!$A:$AP,36,false)," $","")," €",""), "")
)</f>
        <v>0</v>
      </c>
      <c r="AU451" s="1">
        <f>value(IFERROR(SUBSTITUTE(SUBSTITUTE(VLOOKUP($A451,'Quarterly Pipeline vs Target Pi'!$A:$AP,37,false)," $","")," €",""), "")
)</f>
        <v>0</v>
      </c>
      <c r="AV451" s="17" t="str">
        <f t="shared" si="17"/>
        <v/>
      </c>
      <c r="AW451" s="1">
        <f>value(IFERROR(SUBSTITUTE(SUBSTITUTE(VLOOKUP($A451,'Quarterly Pipeline vs Target Pi'!$A:$AP,41,false)," $","")," €",""), "")
)</f>
        <v>0</v>
      </c>
      <c r="AX451" s="1">
        <f>value(IFERROR(SUBSTITUTE(SUBSTITUTE(VLOOKUP($A451,'Quarterly Pipeline vs Target Pi'!$A:$AP,42,false)," $","")," €",""), "")
)</f>
        <v>0</v>
      </c>
      <c r="AY451" s="17" t="str">
        <f t="shared" si="18"/>
        <v/>
      </c>
      <c r="AZ451" s="1">
        <f t="shared" ref="AZ451:BA451" si="916">sum(AN451,AQ451,AT451,AW451)</f>
        <v>0</v>
      </c>
      <c r="BA451" s="1">
        <f t="shared" si="916"/>
        <v>0</v>
      </c>
      <c r="BB451" s="17" t="str">
        <f t="shared" si="20"/>
        <v/>
      </c>
    </row>
    <row r="452">
      <c r="A452" s="1" t="str">
        <f>IFERROR(__xludf.DUMMYFUNCTION("""COMPUTED_VALUE"""),"63ea6e9752ad6968805cf1a9")</f>
        <v>63ea6e9752ad6968805cf1a9</v>
      </c>
      <c r="B452" s="1" t="str">
        <f>IFERROR(__xludf.DUMMYFUNCTION("""COMPUTED_VALUE"""),"Teskom GmbH")</f>
        <v>Teskom GmbH</v>
      </c>
      <c r="C452" s="1" t="str">
        <f>IFERROR(__xludf.DUMMYFUNCTION("""COMPUTED_VALUE"""),"andreas.grossheimann@al-enterprise.com")</f>
        <v>andreas.grossheimann@al-enterprise.com</v>
      </c>
      <c r="D452" s="1" t="str">
        <f>IFERROR(__xludf.DUMMYFUNCTION("""COMPUTED_VALUE"""),"germany")</f>
        <v>germany</v>
      </c>
      <c r="E452" s="1" t="str">
        <f>IFERROR(__xludf.DUMMYFUNCTION("""COMPUTED_VALUE"""),"DE")</f>
        <v>DE</v>
      </c>
      <c r="F452" s="1"/>
      <c r="G452" s="1" t="str">
        <f>iferror(VLOOKUP(A452,'Business Plan Setup and Accepta'!A:G,6,false),"")</f>
        <v/>
      </c>
      <c r="H452" s="1" t="str">
        <f>iferror(VLOOKUP(A452,'Business Plan Setup and Accepta'!A:G,7,false),"")</f>
        <v/>
      </c>
      <c r="I452" s="17" t="str">
        <f t="shared" si="3"/>
        <v/>
      </c>
      <c r="J452" s="1" t="str">
        <f>IFERROR(VALUE(SUBSTITUTE(VLOOKUP(A452,'Sales IN Revenues vs Sales targ'!A:G,6,false)," $","")), "")
</f>
        <v/>
      </c>
      <c r="K452" s="1" t="str">
        <f>IFERROR(VALUE(SUBSTITUTE(VLOOKUP(A452,'Sales IN Revenues vs Sales targ'!A:G,7,false)," $","")), "")
</f>
        <v/>
      </c>
      <c r="L452" s="17" t="str">
        <f t="shared" si="4"/>
        <v/>
      </c>
      <c r="M452" s="1">
        <f>value(SUBSTITUTE(IFERROR(VLOOKUP(A452,'Certifications achievements vs '!A:G,6,false),""),"#","")
)</f>
        <v>0</v>
      </c>
      <c r="N452" s="1">
        <f>value(SUBSTITUTE(IFERROR(VLOOKUP(A452,'Certifications achievements vs '!A:G,7,false),""),"#","")
)</f>
        <v>0</v>
      </c>
      <c r="O452" s="17" t="str">
        <f t="shared" si="5"/>
        <v/>
      </c>
      <c r="P452" s="1">
        <f>value(SUBSTITUTE(IFERROR(VLOOKUP(A452,'Communications - Solution Speci'!A:G,6,false),""),"#","")
)</f>
        <v>0</v>
      </c>
      <c r="Q452" s="1">
        <f>value(SUBSTITUTE(IFERROR(VLOOKUP(A452,'Communications - Solution Speci'!A:G,7,false),""),"#","")
)</f>
        <v>0</v>
      </c>
      <c r="R452" s="17" t="str">
        <f t="shared" si="6"/>
        <v/>
      </c>
      <c r="S452" s="1">
        <f>value(SUBSTITUTE(IFERROR(VLOOKUP(A452,'Networking - Solution Specializ'!A:G,6,false),""),"#","")
)</f>
        <v>0</v>
      </c>
      <c r="T452" s="1">
        <f>value(SUBSTITUTE(IFERROR(VLOOKUP(A452,'Networking - Solution Specializ'!A:G,7,false),""),"#","")
)</f>
        <v>0</v>
      </c>
      <c r="U452" s="17" t="str">
        <f t="shared" si="7"/>
        <v/>
      </c>
      <c r="V452" s="1" t="str">
        <f>iferror(vlookup(A452,'Marketing Plan (extract summary'!A:G,6,false),"")</f>
        <v/>
      </c>
      <c r="W452" s="1" t="str">
        <f>iferror(vlookup(A452,'Marketing Plan (extract summary'!A:G,7,false),"")</f>
        <v/>
      </c>
      <c r="X452" s="17" t="str">
        <f t="shared" si="8"/>
        <v/>
      </c>
      <c r="Y452" s="1">
        <f>value(IFERROR(SUBSTITUTE(SUBSTITUTE(VLOOKUP(A452,'Quarterly Pipeline vs Target Pi'!A:G,6,false)," $","")," €",""), "")
)</f>
        <v>0</v>
      </c>
      <c r="Z452" s="1">
        <f>value(IFERROR(SUBSTITUTE(SUBSTITUTE(VLOOKUP(A452,'Quarterly Pipeline vs Target Pi'!A:G,7,false)," $","")," €",""), "")
)</f>
        <v>0</v>
      </c>
      <c r="AA452" s="17" t="str">
        <f t="shared" si="9"/>
        <v/>
      </c>
      <c r="AB452" s="1">
        <f>value(IFERROR(SUBSTITUTE(SUBSTITUTE(VLOOKUP($A452,'Quarterly Pipeline vs Target Pi'!$A:$V,11,false)," $","")," €",""), "")
)</f>
        <v>0</v>
      </c>
      <c r="AC452" s="1">
        <f>value(IFERROR(SUBSTITUTE(SUBSTITUTE(VLOOKUP($A452,'Quarterly Pipeline vs Target Pi'!$A:$V,12,false)," $","")," €",""), "")
)</f>
        <v>0</v>
      </c>
      <c r="AD452" s="17" t="str">
        <f t="shared" si="10"/>
        <v/>
      </c>
      <c r="AE452" s="1">
        <f>value(IFERROR(SUBSTITUTE(SUBSTITUTE(VLOOKUP($A452,'Quarterly Pipeline vs Target Pi'!$A:$V,16,false)," $","")," €",""), "")
)</f>
        <v>0</v>
      </c>
      <c r="AF452" s="1">
        <f>value(IFERROR(SUBSTITUTE(SUBSTITUTE(VLOOKUP($A452,'Quarterly Pipeline vs Target Pi'!$A:$V,17,false)," $","")," €",""), "")
)</f>
        <v>0</v>
      </c>
      <c r="AG452" s="17" t="str">
        <f t="shared" si="11"/>
        <v/>
      </c>
      <c r="AH452" s="1">
        <f>value(IFERROR(SUBSTITUTE(SUBSTITUTE(VLOOKUP($A452,'Quarterly Pipeline vs Target Pi'!$A:$V,21,false)," $","")," €",""), "")
)</f>
        <v>0</v>
      </c>
      <c r="AI452" s="1">
        <f>value(IFERROR(SUBSTITUTE(SUBSTITUTE(VLOOKUP($A452,'Quarterly Pipeline vs Target Pi'!$A:$V,22,false)," $","")," €",""), "")
)</f>
        <v>0</v>
      </c>
      <c r="AJ452" s="17" t="str">
        <f t="shared" si="12"/>
        <v/>
      </c>
      <c r="AK452" s="1">
        <f t="shared" ref="AK452:AL452" si="917">sum(Y452,AB452,AE452,AH452)</f>
        <v>0</v>
      </c>
      <c r="AL452" s="1">
        <f t="shared" si="917"/>
        <v>0</v>
      </c>
      <c r="AM452" s="17" t="str">
        <f t="shared" si="14"/>
        <v/>
      </c>
      <c r="AN452" s="1">
        <f>value(IFERROR(SUBSTITUTE(SUBSTITUTE(VLOOKUP($A452,'Quarterly Pipeline vs Target Pi'!$A:$AP,26,false)," $","")," €",""), "")
)</f>
        <v>0</v>
      </c>
      <c r="AO452" s="1">
        <f>value(IFERROR(SUBSTITUTE(SUBSTITUTE(VLOOKUP($A452,'Quarterly Pipeline vs Target Pi'!$A:$AP,27,false)," $","")," €",""), "")
)</f>
        <v>0</v>
      </c>
      <c r="AP452" s="17" t="str">
        <f t="shared" si="15"/>
        <v/>
      </c>
      <c r="AQ452" s="1">
        <f>value(IFERROR(SUBSTITUTE(SUBSTITUTE(VLOOKUP($A452,'Quarterly Pipeline vs Target Pi'!$A:$AP,31,false)," $","")," €",""), "")
)</f>
        <v>0</v>
      </c>
      <c r="AR452" s="1">
        <f>value(IFERROR(SUBSTITUTE(SUBSTITUTE(VLOOKUP($A452,'Quarterly Pipeline vs Target Pi'!$A:$AP,32,false)," $","")," €",""), "")
)</f>
        <v>0</v>
      </c>
      <c r="AS452" s="17" t="str">
        <f t="shared" si="16"/>
        <v/>
      </c>
      <c r="AT452" s="1">
        <f>value(IFERROR(SUBSTITUTE(SUBSTITUTE(VLOOKUP($A452,'Quarterly Pipeline vs Target Pi'!$A:$AP,36,false)," $","")," €",""), "")
)</f>
        <v>0</v>
      </c>
      <c r="AU452" s="1">
        <f>value(IFERROR(SUBSTITUTE(SUBSTITUTE(VLOOKUP($A452,'Quarterly Pipeline vs Target Pi'!$A:$AP,37,false)," $","")," €",""), "")
)</f>
        <v>0</v>
      </c>
      <c r="AV452" s="17" t="str">
        <f t="shared" si="17"/>
        <v/>
      </c>
      <c r="AW452" s="1">
        <f>value(IFERROR(SUBSTITUTE(SUBSTITUTE(VLOOKUP($A452,'Quarterly Pipeline vs Target Pi'!$A:$AP,41,false)," $","")," €",""), "")
)</f>
        <v>0</v>
      </c>
      <c r="AX452" s="1">
        <f>value(IFERROR(SUBSTITUTE(SUBSTITUTE(VLOOKUP($A452,'Quarterly Pipeline vs Target Pi'!$A:$AP,42,false)," $","")," €",""), "")
)</f>
        <v>0</v>
      </c>
      <c r="AY452" s="17" t="str">
        <f t="shared" si="18"/>
        <v/>
      </c>
      <c r="AZ452" s="1">
        <f t="shared" ref="AZ452:BA452" si="918">sum(AN452,AQ452,AT452,AW452)</f>
        <v>0</v>
      </c>
      <c r="BA452" s="1">
        <f t="shared" si="918"/>
        <v>0</v>
      </c>
      <c r="BB452" s="17" t="str">
        <f t="shared" si="20"/>
        <v/>
      </c>
    </row>
    <row r="453">
      <c r="A453" s="1" t="str">
        <f>IFERROR(__xludf.DUMMYFUNCTION("""COMPUTED_VALUE"""),"63fcbb7da107c871cf564653")</f>
        <v>63fcbb7da107c871cf564653</v>
      </c>
      <c r="B453" s="1" t="str">
        <f>IFERROR(__xludf.DUMMYFUNCTION("""COMPUTED_VALUE"""),"Tessco Incorporated")</f>
        <v>Tessco Incorporated</v>
      </c>
      <c r="C453" s="1" t="str">
        <f>IFERROR(__xludf.DUMMYFUNCTION("""COMPUTED_VALUE"""),"brendan.flaherty@al-enterprise.com")</f>
        <v>brendan.flaherty@al-enterprise.com</v>
      </c>
      <c r="D453" s="1" t="str">
        <f>IFERROR(__xludf.DUMMYFUNCTION("""COMPUTED_VALUE"""),"americas")</f>
        <v>americas</v>
      </c>
      <c r="E453" s="1" t="str">
        <f>IFERROR(__xludf.DUMMYFUNCTION("""COMPUTED_VALUE"""),"US")</f>
        <v>US</v>
      </c>
      <c r="F453" s="1"/>
      <c r="G453" s="1" t="str">
        <f>iferror(VLOOKUP(A453,'Business Plan Setup and Accepta'!A:G,6,false),"")</f>
        <v/>
      </c>
      <c r="H453" s="1" t="str">
        <f>iferror(VLOOKUP(A453,'Business Plan Setup and Accepta'!A:G,7,false),"")</f>
        <v/>
      </c>
      <c r="I453" s="17" t="str">
        <f t="shared" si="3"/>
        <v/>
      </c>
      <c r="J453" s="1" t="str">
        <f>IFERROR(VALUE(SUBSTITUTE(VLOOKUP(A453,'Sales IN Revenues vs Sales targ'!A:G,6,false)," $","")), "")
</f>
        <v/>
      </c>
      <c r="K453" s="1" t="str">
        <f>IFERROR(VALUE(SUBSTITUTE(VLOOKUP(A453,'Sales IN Revenues vs Sales targ'!A:G,7,false)," $","")), "")
</f>
        <v/>
      </c>
      <c r="L453" s="17" t="str">
        <f t="shared" si="4"/>
        <v/>
      </c>
      <c r="M453" s="1">
        <f>value(SUBSTITUTE(IFERROR(VLOOKUP(A453,'Certifications achievements vs '!A:G,6,false),""),"#","")
)</f>
        <v>0</v>
      </c>
      <c r="N453" s="1">
        <f>value(SUBSTITUTE(IFERROR(VLOOKUP(A453,'Certifications achievements vs '!A:G,7,false),""),"#","")
)</f>
        <v>0</v>
      </c>
      <c r="O453" s="17" t="str">
        <f t="shared" si="5"/>
        <v/>
      </c>
      <c r="P453" s="1">
        <f>value(SUBSTITUTE(IFERROR(VLOOKUP(A453,'Communications - Solution Speci'!A:G,6,false),""),"#","")
)</f>
        <v>0</v>
      </c>
      <c r="Q453" s="1">
        <f>value(SUBSTITUTE(IFERROR(VLOOKUP(A453,'Communications - Solution Speci'!A:G,7,false),""),"#","")
)</f>
        <v>0</v>
      </c>
      <c r="R453" s="17" t="str">
        <f t="shared" si="6"/>
        <v/>
      </c>
      <c r="S453" s="1">
        <f>value(SUBSTITUTE(IFERROR(VLOOKUP(A453,'Networking - Solution Specializ'!A:G,6,false),""),"#","")
)</f>
        <v>0</v>
      </c>
      <c r="T453" s="1">
        <f>value(SUBSTITUTE(IFERROR(VLOOKUP(A453,'Networking - Solution Specializ'!A:G,7,false),""),"#","")
)</f>
        <v>0</v>
      </c>
      <c r="U453" s="17" t="str">
        <f t="shared" si="7"/>
        <v/>
      </c>
      <c r="V453" s="1" t="str">
        <f>iferror(vlookup(A453,'Marketing Plan (extract summary'!A:G,6,false),"")</f>
        <v/>
      </c>
      <c r="W453" s="1" t="str">
        <f>iferror(vlookup(A453,'Marketing Plan (extract summary'!A:G,7,false),"")</f>
        <v/>
      </c>
      <c r="X453" s="17" t="str">
        <f t="shared" si="8"/>
        <v/>
      </c>
      <c r="Y453" s="1">
        <f>value(IFERROR(SUBSTITUTE(SUBSTITUTE(VLOOKUP(A453,'Quarterly Pipeline vs Target Pi'!A:G,6,false)," $","")," €",""), "")
)</f>
        <v>0</v>
      </c>
      <c r="Z453" s="1">
        <f>value(IFERROR(SUBSTITUTE(SUBSTITUTE(VLOOKUP(A453,'Quarterly Pipeline vs Target Pi'!A:G,7,false)," $","")," €",""), "")
)</f>
        <v>0</v>
      </c>
      <c r="AA453" s="17" t="str">
        <f t="shared" si="9"/>
        <v/>
      </c>
      <c r="AB453" s="1">
        <f>value(IFERROR(SUBSTITUTE(SUBSTITUTE(VLOOKUP($A453,'Quarterly Pipeline vs Target Pi'!$A:$V,11,false)," $","")," €",""), "")
)</f>
        <v>0</v>
      </c>
      <c r="AC453" s="1">
        <f>value(IFERROR(SUBSTITUTE(SUBSTITUTE(VLOOKUP($A453,'Quarterly Pipeline vs Target Pi'!$A:$V,12,false)," $","")," €",""), "")
)</f>
        <v>0</v>
      </c>
      <c r="AD453" s="17" t="str">
        <f t="shared" si="10"/>
        <v/>
      </c>
      <c r="AE453" s="1">
        <f>value(IFERROR(SUBSTITUTE(SUBSTITUTE(VLOOKUP($A453,'Quarterly Pipeline vs Target Pi'!$A:$V,16,false)," $","")," €",""), "")
)</f>
        <v>0</v>
      </c>
      <c r="AF453" s="1">
        <f>value(IFERROR(SUBSTITUTE(SUBSTITUTE(VLOOKUP($A453,'Quarterly Pipeline vs Target Pi'!$A:$V,17,false)," $","")," €",""), "")
)</f>
        <v>0</v>
      </c>
      <c r="AG453" s="17" t="str">
        <f t="shared" si="11"/>
        <v/>
      </c>
      <c r="AH453" s="1">
        <f>value(IFERROR(SUBSTITUTE(SUBSTITUTE(VLOOKUP($A453,'Quarterly Pipeline vs Target Pi'!$A:$V,21,false)," $","")," €",""), "")
)</f>
        <v>0</v>
      </c>
      <c r="AI453" s="1">
        <f>value(IFERROR(SUBSTITUTE(SUBSTITUTE(VLOOKUP($A453,'Quarterly Pipeline vs Target Pi'!$A:$V,22,false)," $","")," €",""), "")
)</f>
        <v>0</v>
      </c>
      <c r="AJ453" s="17" t="str">
        <f t="shared" si="12"/>
        <v/>
      </c>
      <c r="AK453" s="1">
        <f t="shared" ref="AK453:AL453" si="919">sum(Y453,AB453,AE453,AH453)</f>
        <v>0</v>
      </c>
      <c r="AL453" s="1">
        <f t="shared" si="919"/>
        <v>0</v>
      </c>
      <c r="AM453" s="17" t="str">
        <f t="shared" si="14"/>
        <v/>
      </c>
      <c r="AN453" s="1">
        <f>value(IFERROR(SUBSTITUTE(SUBSTITUTE(VLOOKUP($A453,'Quarterly Pipeline vs Target Pi'!$A:$AP,26,false)," $","")," €",""), "")
)</f>
        <v>0</v>
      </c>
      <c r="AO453" s="1">
        <f>value(IFERROR(SUBSTITUTE(SUBSTITUTE(VLOOKUP($A453,'Quarterly Pipeline vs Target Pi'!$A:$AP,27,false)," $","")," €",""), "")
)</f>
        <v>0</v>
      </c>
      <c r="AP453" s="17" t="str">
        <f t="shared" si="15"/>
        <v/>
      </c>
      <c r="AQ453" s="1">
        <f>value(IFERROR(SUBSTITUTE(SUBSTITUTE(VLOOKUP($A453,'Quarterly Pipeline vs Target Pi'!$A:$AP,31,false)," $","")," €",""), "")
)</f>
        <v>0</v>
      </c>
      <c r="AR453" s="1">
        <f>value(IFERROR(SUBSTITUTE(SUBSTITUTE(VLOOKUP($A453,'Quarterly Pipeline vs Target Pi'!$A:$AP,32,false)," $","")," €",""), "")
)</f>
        <v>0</v>
      </c>
      <c r="AS453" s="17" t="str">
        <f t="shared" si="16"/>
        <v/>
      </c>
      <c r="AT453" s="1">
        <f>value(IFERROR(SUBSTITUTE(SUBSTITUTE(VLOOKUP($A453,'Quarterly Pipeline vs Target Pi'!$A:$AP,36,false)," $","")," €",""), "")
)</f>
        <v>0</v>
      </c>
      <c r="AU453" s="1">
        <f>value(IFERROR(SUBSTITUTE(SUBSTITUTE(VLOOKUP($A453,'Quarterly Pipeline vs Target Pi'!$A:$AP,37,false)," $","")," €",""), "")
)</f>
        <v>0</v>
      </c>
      <c r="AV453" s="17" t="str">
        <f t="shared" si="17"/>
        <v/>
      </c>
      <c r="AW453" s="1">
        <f>value(IFERROR(SUBSTITUTE(SUBSTITUTE(VLOOKUP($A453,'Quarterly Pipeline vs Target Pi'!$A:$AP,41,false)," $","")," €",""), "")
)</f>
        <v>0</v>
      </c>
      <c r="AX453" s="1">
        <f>value(IFERROR(SUBSTITUTE(SUBSTITUTE(VLOOKUP($A453,'Quarterly Pipeline vs Target Pi'!$A:$AP,42,false)," $","")," €",""), "")
)</f>
        <v>0</v>
      </c>
      <c r="AY453" s="17" t="str">
        <f t="shared" si="18"/>
        <v/>
      </c>
      <c r="AZ453" s="1">
        <f t="shared" ref="AZ453:BA453" si="920">sum(AN453,AQ453,AT453,AW453)</f>
        <v>0</v>
      </c>
      <c r="BA453" s="1">
        <f t="shared" si="920"/>
        <v>0</v>
      </c>
      <c r="BB453" s="17" t="str">
        <f t="shared" si="20"/>
        <v/>
      </c>
    </row>
    <row r="454">
      <c r="A454" s="1" t="str">
        <f>IFERROR(__xludf.DUMMYFUNCTION("""COMPUTED_VALUE"""),"63ea6e9452ad6968805cec93")</f>
        <v>63ea6e9452ad6968805cec93</v>
      </c>
      <c r="B454" s="1" t="str">
        <f>IFERROR(__xludf.DUMMYFUNCTION("""COMPUTED_VALUE"""),"TFA Gesellschaft fur")</f>
        <v>TFA Gesellschaft fur</v>
      </c>
      <c r="C454" s="1" t="str">
        <f>IFERROR(__xludf.DUMMYFUNCTION("""COMPUTED_VALUE"""),"ralf.kloeppels@al-enterprise.com, andreas.grossheimann@al-enterprise.com")</f>
        <v>ralf.kloeppels@al-enterprise.com, andreas.grossheimann@al-enterprise.com</v>
      </c>
      <c r="D454" s="1" t="str">
        <f>IFERROR(__xludf.DUMMYFUNCTION("""COMPUTED_VALUE"""),"germany")</f>
        <v>germany</v>
      </c>
      <c r="E454" s="1" t="str">
        <f>IFERROR(__xludf.DUMMYFUNCTION("""COMPUTED_VALUE"""),"DE")</f>
        <v>DE</v>
      </c>
      <c r="F454" s="1"/>
      <c r="G454" s="1" t="str">
        <f>iferror(VLOOKUP(A454,'Business Plan Setup and Accepta'!A:G,6,false),"")</f>
        <v/>
      </c>
      <c r="H454" s="1" t="str">
        <f>iferror(VLOOKUP(A454,'Business Plan Setup and Accepta'!A:G,7,false),"")</f>
        <v/>
      </c>
      <c r="I454" s="17" t="str">
        <f t="shared" si="3"/>
        <v/>
      </c>
      <c r="J454" s="1" t="str">
        <f>IFERROR(VALUE(SUBSTITUTE(VLOOKUP(A454,'Sales IN Revenues vs Sales targ'!A:G,6,false)," $","")), "")
</f>
        <v/>
      </c>
      <c r="K454" s="1" t="str">
        <f>IFERROR(VALUE(SUBSTITUTE(VLOOKUP(A454,'Sales IN Revenues vs Sales targ'!A:G,7,false)," $","")), "")
</f>
        <v/>
      </c>
      <c r="L454" s="17" t="str">
        <f t="shared" si="4"/>
        <v/>
      </c>
      <c r="M454" s="1">
        <f>value(SUBSTITUTE(IFERROR(VLOOKUP(A454,'Certifications achievements vs '!A:G,6,false),""),"#","")
)</f>
        <v>0</v>
      </c>
      <c r="N454" s="1">
        <f>value(SUBSTITUTE(IFERROR(VLOOKUP(A454,'Certifications achievements vs '!A:G,7,false),""),"#","")
)</f>
        <v>0</v>
      </c>
      <c r="O454" s="17" t="str">
        <f t="shared" si="5"/>
        <v/>
      </c>
      <c r="P454" s="1">
        <f>value(SUBSTITUTE(IFERROR(VLOOKUP(A454,'Communications - Solution Speci'!A:G,6,false),""),"#","")
)</f>
        <v>0</v>
      </c>
      <c r="Q454" s="1">
        <f>value(SUBSTITUTE(IFERROR(VLOOKUP(A454,'Communications - Solution Speci'!A:G,7,false),""),"#","")
)</f>
        <v>0</v>
      </c>
      <c r="R454" s="17" t="str">
        <f t="shared" si="6"/>
        <v/>
      </c>
      <c r="S454" s="1">
        <f>value(SUBSTITUTE(IFERROR(VLOOKUP(A454,'Networking - Solution Specializ'!A:G,6,false),""),"#","")
)</f>
        <v>0</v>
      </c>
      <c r="T454" s="1">
        <f>value(SUBSTITUTE(IFERROR(VLOOKUP(A454,'Networking - Solution Specializ'!A:G,7,false),""),"#","")
)</f>
        <v>0</v>
      </c>
      <c r="U454" s="17" t="str">
        <f t="shared" si="7"/>
        <v/>
      </c>
      <c r="V454" s="1" t="str">
        <f>iferror(vlookup(A454,'Marketing Plan (extract summary'!A:G,6,false),"")</f>
        <v/>
      </c>
      <c r="W454" s="1" t="str">
        <f>iferror(vlookup(A454,'Marketing Plan (extract summary'!A:G,7,false),"")</f>
        <v/>
      </c>
      <c r="X454" s="17" t="str">
        <f t="shared" si="8"/>
        <v/>
      </c>
      <c r="Y454" s="1">
        <f>value(IFERROR(SUBSTITUTE(SUBSTITUTE(VLOOKUP(A454,'Quarterly Pipeline vs Target Pi'!A:G,6,false)," $","")," €",""), "")
)</f>
        <v>0</v>
      </c>
      <c r="Z454" s="1">
        <f>value(IFERROR(SUBSTITUTE(SUBSTITUTE(VLOOKUP(A454,'Quarterly Pipeline vs Target Pi'!A:G,7,false)," $","")," €",""), "")
)</f>
        <v>0</v>
      </c>
      <c r="AA454" s="17" t="str">
        <f t="shared" si="9"/>
        <v/>
      </c>
      <c r="AB454" s="1">
        <f>value(IFERROR(SUBSTITUTE(SUBSTITUTE(VLOOKUP($A454,'Quarterly Pipeline vs Target Pi'!$A:$V,11,false)," $","")," €",""), "")
)</f>
        <v>0</v>
      </c>
      <c r="AC454" s="1">
        <f>value(IFERROR(SUBSTITUTE(SUBSTITUTE(VLOOKUP($A454,'Quarterly Pipeline vs Target Pi'!$A:$V,12,false)," $","")," €",""), "")
)</f>
        <v>0</v>
      </c>
      <c r="AD454" s="17" t="str">
        <f t="shared" si="10"/>
        <v/>
      </c>
      <c r="AE454" s="1">
        <f>value(IFERROR(SUBSTITUTE(SUBSTITUTE(VLOOKUP($A454,'Quarterly Pipeline vs Target Pi'!$A:$V,16,false)," $","")," €",""), "")
)</f>
        <v>0</v>
      </c>
      <c r="AF454" s="1">
        <f>value(IFERROR(SUBSTITUTE(SUBSTITUTE(VLOOKUP($A454,'Quarterly Pipeline vs Target Pi'!$A:$V,17,false)," $","")," €",""), "")
)</f>
        <v>0</v>
      </c>
      <c r="AG454" s="17" t="str">
        <f t="shared" si="11"/>
        <v/>
      </c>
      <c r="AH454" s="1">
        <f>value(IFERROR(SUBSTITUTE(SUBSTITUTE(VLOOKUP($A454,'Quarterly Pipeline vs Target Pi'!$A:$V,21,false)," $","")," €",""), "")
)</f>
        <v>0</v>
      </c>
      <c r="AI454" s="1">
        <f>value(IFERROR(SUBSTITUTE(SUBSTITUTE(VLOOKUP($A454,'Quarterly Pipeline vs Target Pi'!$A:$V,22,false)," $","")," €",""), "")
)</f>
        <v>0</v>
      </c>
      <c r="AJ454" s="17" t="str">
        <f t="shared" si="12"/>
        <v/>
      </c>
      <c r="AK454" s="1">
        <f t="shared" ref="AK454:AL454" si="921">sum(Y454,AB454,AE454,AH454)</f>
        <v>0</v>
      </c>
      <c r="AL454" s="1">
        <f t="shared" si="921"/>
        <v>0</v>
      </c>
      <c r="AM454" s="17" t="str">
        <f t="shared" si="14"/>
        <v/>
      </c>
      <c r="AN454" s="1">
        <f>value(IFERROR(SUBSTITUTE(SUBSTITUTE(VLOOKUP($A454,'Quarterly Pipeline vs Target Pi'!$A:$AP,26,false)," $","")," €",""), "")
)</f>
        <v>0</v>
      </c>
      <c r="AO454" s="1">
        <f>value(IFERROR(SUBSTITUTE(SUBSTITUTE(VLOOKUP($A454,'Quarterly Pipeline vs Target Pi'!$A:$AP,27,false)," $","")," €",""), "")
)</f>
        <v>0</v>
      </c>
      <c r="AP454" s="17" t="str">
        <f t="shared" si="15"/>
        <v/>
      </c>
      <c r="AQ454" s="1">
        <f>value(IFERROR(SUBSTITUTE(SUBSTITUTE(VLOOKUP($A454,'Quarterly Pipeline vs Target Pi'!$A:$AP,31,false)," $","")," €",""), "")
)</f>
        <v>0</v>
      </c>
      <c r="AR454" s="1">
        <f>value(IFERROR(SUBSTITUTE(SUBSTITUTE(VLOOKUP($A454,'Quarterly Pipeline vs Target Pi'!$A:$AP,32,false)," $","")," €",""), "")
)</f>
        <v>0</v>
      </c>
      <c r="AS454" s="17" t="str">
        <f t="shared" si="16"/>
        <v/>
      </c>
      <c r="AT454" s="1">
        <f>value(IFERROR(SUBSTITUTE(SUBSTITUTE(VLOOKUP($A454,'Quarterly Pipeline vs Target Pi'!$A:$AP,36,false)," $","")," €",""), "")
)</f>
        <v>0</v>
      </c>
      <c r="AU454" s="1">
        <f>value(IFERROR(SUBSTITUTE(SUBSTITUTE(VLOOKUP($A454,'Quarterly Pipeline vs Target Pi'!$A:$AP,37,false)," $","")," €",""), "")
)</f>
        <v>0</v>
      </c>
      <c r="AV454" s="17" t="str">
        <f t="shared" si="17"/>
        <v/>
      </c>
      <c r="AW454" s="1">
        <f>value(IFERROR(SUBSTITUTE(SUBSTITUTE(VLOOKUP($A454,'Quarterly Pipeline vs Target Pi'!$A:$AP,41,false)," $","")," €",""), "")
)</f>
        <v>0</v>
      </c>
      <c r="AX454" s="1">
        <f>value(IFERROR(SUBSTITUTE(SUBSTITUTE(VLOOKUP($A454,'Quarterly Pipeline vs Target Pi'!$A:$AP,42,false)," $","")," €",""), "")
)</f>
        <v>0</v>
      </c>
      <c r="AY454" s="17" t="str">
        <f t="shared" si="18"/>
        <v/>
      </c>
      <c r="AZ454" s="1">
        <f t="shared" ref="AZ454:BA454" si="922">sum(AN454,AQ454,AT454,AW454)</f>
        <v>0</v>
      </c>
      <c r="BA454" s="1">
        <f t="shared" si="922"/>
        <v>0</v>
      </c>
      <c r="BB454" s="17" t="str">
        <f t="shared" si="20"/>
        <v/>
      </c>
    </row>
    <row r="455">
      <c r="A455" s="1" t="str">
        <f>IFERROR(__xludf.DUMMYFUNCTION("""COMPUTED_VALUE"""),"63ea6e9652ad6968805cef5d")</f>
        <v>63ea6e9652ad6968805cef5d</v>
      </c>
      <c r="B455" s="1" t="str">
        <f>IFERROR(__xludf.DUMMYFUNCTION("""COMPUTED_VALUE"""),"TFI-Systeme Radeberg GmbH")</f>
        <v>TFI-Systeme Radeberg GmbH</v>
      </c>
      <c r="C455" s="1" t="str">
        <f>IFERROR(__xludf.DUMMYFUNCTION("""COMPUTED_VALUE"""),"andreas.grossheimann@al-enterprise.com, andre.ramm@al-enterprise.com")</f>
        <v>andreas.grossheimann@al-enterprise.com, andre.ramm@al-enterprise.com</v>
      </c>
      <c r="D455" s="1" t="str">
        <f>IFERROR(__xludf.DUMMYFUNCTION("""COMPUTED_VALUE"""),"germany")</f>
        <v>germany</v>
      </c>
      <c r="E455" s="1" t="str">
        <f>IFERROR(__xludf.DUMMYFUNCTION("""COMPUTED_VALUE"""),"DE")</f>
        <v>DE</v>
      </c>
      <c r="F455" s="1"/>
      <c r="G455" s="1" t="str">
        <f>iferror(VLOOKUP(A455,'Business Plan Setup and Accepta'!A:G,6,false),"")</f>
        <v/>
      </c>
      <c r="H455" s="1" t="str">
        <f>iferror(VLOOKUP(A455,'Business Plan Setup and Accepta'!A:G,7,false),"")</f>
        <v/>
      </c>
      <c r="I455" s="17" t="str">
        <f t="shared" si="3"/>
        <v/>
      </c>
      <c r="J455" s="1" t="str">
        <f>IFERROR(VALUE(SUBSTITUTE(VLOOKUP(A455,'Sales IN Revenues vs Sales targ'!A:G,6,false)," $","")), "")
</f>
        <v/>
      </c>
      <c r="K455" s="1" t="str">
        <f>IFERROR(VALUE(SUBSTITUTE(VLOOKUP(A455,'Sales IN Revenues vs Sales targ'!A:G,7,false)," $","")), "")
</f>
        <v/>
      </c>
      <c r="L455" s="17" t="str">
        <f t="shared" si="4"/>
        <v/>
      </c>
      <c r="M455" s="1">
        <f>value(SUBSTITUTE(IFERROR(VLOOKUP(A455,'Certifications achievements vs '!A:G,6,false),""),"#","")
)</f>
        <v>0</v>
      </c>
      <c r="N455" s="1">
        <f>value(SUBSTITUTE(IFERROR(VLOOKUP(A455,'Certifications achievements vs '!A:G,7,false),""),"#","")
)</f>
        <v>0</v>
      </c>
      <c r="O455" s="17" t="str">
        <f t="shared" si="5"/>
        <v/>
      </c>
      <c r="P455" s="1">
        <f>value(SUBSTITUTE(IFERROR(VLOOKUP(A455,'Communications - Solution Speci'!A:G,6,false),""),"#","")
)</f>
        <v>0</v>
      </c>
      <c r="Q455" s="1">
        <f>value(SUBSTITUTE(IFERROR(VLOOKUP(A455,'Communications - Solution Speci'!A:G,7,false),""),"#","")
)</f>
        <v>0</v>
      </c>
      <c r="R455" s="17" t="str">
        <f t="shared" si="6"/>
        <v/>
      </c>
      <c r="S455" s="1">
        <f>value(SUBSTITUTE(IFERROR(VLOOKUP(A455,'Networking - Solution Specializ'!A:G,6,false),""),"#","")
)</f>
        <v>0</v>
      </c>
      <c r="T455" s="1">
        <f>value(SUBSTITUTE(IFERROR(VLOOKUP(A455,'Networking - Solution Specializ'!A:G,7,false),""),"#","")
)</f>
        <v>0</v>
      </c>
      <c r="U455" s="17" t="str">
        <f t="shared" si="7"/>
        <v/>
      </c>
      <c r="V455" s="1" t="str">
        <f>iferror(vlookup(A455,'Marketing Plan (extract summary'!A:G,6,false),"")</f>
        <v/>
      </c>
      <c r="W455" s="1" t="str">
        <f>iferror(vlookup(A455,'Marketing Plan (extract summary'!A:G,7,false),"")</f>
        <v/>
      </c>
      <c r="X455" s="17" t="str">
        <f t="shared" si="8"/>
        <v/>
      </c>
      <c r="Y455" s="1">
        <f>value(IFERROR(SUBSTITUTE(SUBSTITUTE(VLOOKUP(A455,'Quarterly Pipeline vs Target Pi'!A:G,6,false)," $","")," €",""), "")
)</f>
        <v>0</v>
      </c>
      <c r="Z455" s="1">
        <f>value(IFERROR(SUBSTITUTE(SUBSTITUTE(VLOOKUP(A455,'Quarterly Pipeline vs Target Pi'!A:G,7,false)," $","")," €",""), "")
)</f>
        <v>0</v>
      </c>
      <c r="AA455" s="17" t="str">
        <f t="shared" si="9"/>
        <v/>
      </c>
      <c r="AB455" s="1">
        <f>value(IFERROR(SUBSTITUTE(SUBSTITUTE(VLOOKUP($A455,'Quarterly Pipeline vs Target Pi'!$A:$V,11,false)," $","")," €",""), "")
)</f>
        <v>0</v>
      </c>
      <c r="AC455" s="1">
        <f>value(IFERROR(SUBSTITUTE(SUBSTITUTE(VLOOKUP($A455,'Quarterly Pipeline vs Target Pi'!$A:$V,12,false)," $","")," €",""), "")
)</f>
        <v>0</v>
      </c>
      <c r="AD455" s="17" t="str">
        <f t="shared" si="10"/>
        <v/>
      </c>
      <c r="AE455" s="1">
        <f>value(IFERROR(SUBSTITUTE(SUBSTITUTE(VLOOKUP($A455,'Quarterly Pipeline vs Target Pi'!$A:$V,16,false)," $","")," €",""), "")
)</f>
        <v>0</v>
      </c>
      <c r="AF455" s="1">
        <f>value(IFERROR(SUBSTITUTE(SUBSTITUTE(VLOOKUP($A455,'Quarterly Pipeline vs Target Pi'!$A:$V,17,false)," $","")," €",""), "")
)</f>
        <v>0</v>
      </c>
      <c r="AG455" s="17" t="str">
        <f t="shared" si="11"/>
        <v/>
      </c>
      <c r="AH455" s="1">
        <f>value(IFERROR(SUBSTITUTE(SUBSTITUTE(VLOOKUP($A455,'Quarterly Pipeline vs Target Pi'!$A:$V,21,false)," $","")," €",""), "")
)</f>
        <v>0</v>
      </c>
      <c r="AI455" s="1">
        <f>value(IFERROR(SUBSTITUTE(SUBSTITUTE(VLOOKUP($A455,'Quarterly Pipeline vs Target Pi'!$A:$V,22,false)," $","")," €",""), "")
)</f>
        <v>0</v>
      </c>
      <c r="AJ455" s="17" t="str">
        <f t="shared" si="12"/>
        <v/>
      </c>
      <c r="AK455" s="1">
        <f t="shared" ref="AK455:AL455" si="923">sum(Y455,AB455,AE455,AH455)</f>
        <v>0</v>
      </c>
      <c r="AL455" s="1">
        <f t="shared" si="923"/>
        <v>0</v>
      </c>
      <c r="AM455" s="17" t="str">
        <f t="shared" si="14"/>
        <v/>
      </c>
      <c r="AN455" s="1">
        <f>value(IFERROR(SUBSTITUTE(SUBSTITUTE(VLOOKUP($A455,'Quarterly Pipeline vs Target Pi'!$A:$AP,26,false)," $","")," €",""), "")
)</f>
        <v>0</v>
      </c>
      <c r="AO455" s="1">
        <f>value(IFERROR(SUBSTITUTE(SUBSTITUTE(VLOOKUP($A455,'Quarterly Pipeline vs Target Pi'!$A:$AP,27,false)," $","")," €",""), "")
)</f>
        <v>0</v>
      </c>
      <c r="AP455" s="17" t="str">
        <f t="shared" si="15"/>
        <v/>
      </c>
      <c r="AQ455" s="1">
        <f>value(IFERROR(SUBSTITUTE(SUBSTITUTE(VLOOKUP($A455,'Quarterly Pipeline vs Target Pi'!$A:$AP,31,false)," $","")," €",""), "")
)</f>
        <v>0</v>
      </c>
      <c r="AR455" s="1">
        <f>value(IFERROR(SUBSTITUTE(SUBSTITUTE(VLOOKUP($A455,'Quarterly Pipeline vs Target Pi'!$A:$AP,32,false)," $","")," €",""), "")
)</f>
        <v>0</v>
      </c>
      <c r="AS455" s="17" t="str">
        <f t="shared" si="16"/>
        <v/>
      </c>
      <c r="AT455" s="1">
        <f>value(IFERROR(SUBSTITUTE(SUBSTITUTE(VLOOKUP($A455,'Quarterly Pipeline vs Target Pi'!$A:$AP,36,false)," $","")," €",""), "")
)</f>
        <v>0</v>
      </c>
      <c r="AU455" s="1">
        <f>value(IFERROR(SUBSTITUTE(SUBSTITUTE(VLOOKUP($A455,'Quarterly Pipeline vs Target Pi'!$A:$AP,37,false)," $","")," €",""), "")
)</f>
        <v>0</v>
      </c>
      <c r="AV455" s="17" t="str">
        <f t="shared" si="17"/>
        <v/>
      </c>
      <c r="AW455" s="1">
        <f>value(IFERROR(SUBSTITUTE(SUBSTITUTE(VLOOKUP($A455,'Quarterly Pipeline vs Target Pi'!$A:$AP,41,false)," $","")," €",""), "")
)</f>
        <v>0</v>
      </c>
      <c r="AX455" s="1">
        <f>value(IFERROR(SUBSTITUTE(SUBSTITUTE(VLOOKUP($A455,'Quarterly Pipeline vs Target Pi'!$A:$AP,42,false)," $","")," €",""), "")
)</f>
        <v>0</v>
      </c>
      <c r="AY455" s="17" t="str">
        <f t="shared" si="18"/>
        <v/>
      </c>
      <c r="AZ455" s="1">
        <f t="shared" ref="AZ455:BA455" si="924">sum(AN455,AQ455,AT455,AW455)</f>
        <v>0</v>
      </c>
      <c r="BA455" s="1">
        <f t="shared" si="924"/>
        <v>0</v>
      </c>
      <c r="BB455" s="17" t="str">
        <f t="shared" si="20"/>
        <v/>
      </c>
    </row>
    <row r="456">
      <c r="A456" s="1" t="str">
        <f>IFERROR(__xludf.DUMMYFUNCTION("""COMPUTED_VALUE"""),"63ea6e9752ad6968805cf163")</f>
        <v>63ea6e9752ad6968805cf163</v>
      </c>
      <c r="B456" s="1" t="str">
        <f>IFERROR(__xludf.DUMMYFUNCTION("""COMPUTED_VALUE"""),"think about IT GmbH")</f>
        <v>think about IT GmbH</v>
      </c>
      <c r="C456" s="1" t="str">
        <f>IFERROR(__xludf.DUMMYFUNCTION("""COMPUTED_VALUE"""),"andreas.grossheimann@al-enterprise.com, andre.ramm@al-enterprise.com")</f>
        <v>andreas.grossheimann@al-enterprise.com, andre.ramm@al-enterprise.com</v>
      </c>
      <c r="D456" s="1" t="str">
        <f>IFERROR(__xludf.DUMMYFUNCTION("""COMPUTED_VALUE"""),"germany")</f>
        <v>germany</v>
      </c>
      <c r="E456" s="1" t="str">
        <f>IFERROR(__xludf.DUMMYFUNCTION("""COMPUTED_VALUE"""),"DE")</f>
        <v>DE</v>
      </c>
      <c r="F456" s="1" t="str">
        <f>IFERROR(__xludf.DUMMYFUNCTION("""COMPUTED_VALUE"""),"expert_200")</f>
        <v>expert_200</v>
      </c>
      <c r="G456" s="1">
        <f>iferror(VLOOKUP(A456,'Business Plan Setup and Accepta'!A:G,6,false),"")</f>
        <v>0</v>
      </c>
      <c r="H456" s="1">
        <f>iferror(VLOOKUP(A456,'Business Plan Setup and Accepta'!A:G,7,false),"")</f>
        <v>1</v>
      </c>
      <c r="I456" s="17">
        <f t="shared" si="3"/>
        <v>0</v>
      </c>
      <c r="J456" s="1">
        <f>IFERROR(VALUE(SUBSTITUTE(VLOOKUP(A456,'Sales IN Revenues vs Sales targ'!A:G,6,false)," $","")), "")
</f>
        <v>3.81</v>
      </c>
      <c r="K456" s="1">
        <f>IFERROR(VALUE(SUBSTITUTE(VLOOKUP(A456,'Sales IN Revenues vs Sales targ'!A:G,7,false)," $","")), "")
</f>
        <v>0</v>
      </c>
      <c r="L456" s="17" t="str">
        <f t="shared" si="4"/>
        <v/>
      </c>
      <c r="M456" s="1">
        <f>value(SUBSTITUTE(IFERROR(VLOOKUP(A456,'Certifications achievements vs '!A:G,6,false),""),"#","")
)</f>
        <v>0</v>
      </c>
      <c r="N456" s="1">
        <f>value(SUBSTITUTE(IFERROR(VLOOKUP(A456,'Certifications achievements vs '!A:G,7,false),""),"#","")
)</f>
        <v>0</v>
      </c>
      <c r="O456" s="17" t="str">
        <f t="shared" si="5"/>
        <v/>
      </c>
      <c r="P456" s="1">
        <f>value(SUBSTITUTE(IFERROR(VLOOKUP(A456,'Communications - Solution Speci'!A:G,6,false),""),"#","")
)</f>
        <v>0</v>
      </c>
      <c r="Q456" s="1">
        <f>value(SUBSTITUTE(IFERROR(VLOOKUP(A456,'Communications - Solution Speci'!A:G,7,false),""),"#","")
)</f>
        <v>1</v>
      </c>
      <c r="R456" s="17">
        <f t="shared" si="6"/>
        <v>0</v>
      </c>
      <c r="S456" s="1">
        <f>value(SUBSTITUTE(IFERROR(VLOOKUP(A456,'Networking - Solution Specializ'!A:G,6,false),""),"#","")
)</f>
        <v>0</v>
      </c>
      <c r="T456" s="1">
        <f>value(SUBSTITUTE(IFERROR(VLOOKUP(A456,'Networking - Solution Specializ'!A:G,7,false),""),"#","")
)</f>
        <v>1</v>
      </c>
      <c r="U456" s="17">
        <f t="shared" si="7"/>
        <v>0</v>
      </c>
      <c r="V456" s="1">
        <f>iferror(vlookup(A456,'Marketing Plan (extract summary'!A:G,6,false),"")</f>
        <v>0</v>
      </c>
      <c r="W456" s="1">
        <f>iferror(vlookup(A456,'Marketing Plan (extract summary'!A:G,7,false),"")</f>
        <v>1</v>
      </c>
      <c r="X456" s="17">
        <f t="shared" si="8"/>
        <v>0</v>
      </c>
      <c r="Y456" s="1">
        <f>value(IFERROR(SUBSTITUTE(SUBSTITUTE(VLOOKUP(A456,'Quarterly Pipeline vs Target Pi'!A:G,6,false)," $","")," €",""), "")
)</f>
        <v>0</v>
      </c>
      <c r="Z456" s="1">
        <f>value(IFERROR(SUBSTITUTE(SUBSTITUTE(VLOOKUP(A456,'Quarterly Pipeline vs Target Pi'!A:G,7,false)," $","")," €",""), "")
)</f>
        <v>0</v>
      </c>
      <c r="AA456" s="17" t="str">
        <f t="shared" si="9"/>
        <v/>
      </c>
      <c r="AB456" s="1">
        <f>value(IFERROR(SUBSTITUTE(SUBSTITUTE(VLOOKUP($A456,'Quarterly Pipeline vs Target Pi'!$A:$V,11,false)," $","")," €",""), "")
)</f>
        <v>0</v>
      </c>
      <c r="AC456" s="1">
        <f>value(IFERROR(SUBSTITUTE(SUBSTITUTE(VLOOKUP($A456,'Quarterly Pipeline vs Target Pi'!$A:$V,12,false)," $","")," €",""), "")
)</f>
        <v>0</v>
      </c>
      <c r="AD456" s="17" t="str">
        <f t="shared" si="10"/>
        <v/>
      </c>
      <c r="AE456" s="1">
        <f>value(IFERROR(SUBSTITUTE(SUBSTITUTE(VLOOKUP($A456,'Quarterly Pipeline vs Target Pi'!$A:$V,16,false)," $","")," €",""), "")
)</f>
        <v>0</v>
      </c>
      <c r="AF456" s="1">
        <f>value(IFERROR(SUBSTITUTE(SUBSTITUTE(VLOOKUP($A456,'Quarterly Pipeline vs Target Pi'!$A:$V,17,false)," $","")," €",""), "")
)</f>
        <v>0</v>
      </c>
      <c r="AG456" s="17" t="str">
        <f t="shared" si="11"/>
        <v/>
      </c>
      <c r="AH456" s="1">
        <f>value(IFERROR(SUBSTITUTE(SUBSTITUTE(VLOOKUP($A456,'Quarterly Pipeline vs Target Pi'!$A:$V,21,false)," $","")," €",""), "")
)</f>
        <v>0</v>
      </c>
      <c r="AI456" s="1">
        <f>value(IFERROR(SUBSTITUTE(SUBSTITUTE(VLOOKUP($A456,'Quarterly Pipeline vs Target Pi'!$A:$V,22,false)," $","")," €",""), "")
)</f>
        <v>0</v>
      </c>
      <c r="AJ456" s="17" t="str">
        <f t="shared" si="12"/>
        <v/>
      </c>
      <c r="AK456" s="1">
        <f t="shared" ref="AK456:AL456" si="925">sum(Y456,AB456,AE456,AH456)</f>
        <v>0</v>
      </c>
      <c r="AL456" s="1">
        <f t="shared" si="925"/>
        <v>0</v>
      </c>
      <c r="AM456" s="17" t="str">
        <f t="shared" si="14"/>
        <v/>
      </c>
      <c r="AN456" s="1">
        <f>value(IFERROR(SUBSTITUTE(SUBSTITUTE(VLOOKUP($A456,'Quarterly Pipeline vs Target Pi'!$A:$AP,26,false)," $","")," €",""), "")
)</f>
        <v>0</v>
      </c>
      <c r="AO456" s="1">
        <f>value(IFERROR(SUBSTITUTE(SUBSTITUTE(VLOOKUP($A456,'Quarterly Pipeline vs Target Pi'!$A:$AP,27,false)," $","")," €",""), "")
)</f>
        <v>0</v>
      </c>
      <c r="AP456" s="17" t="str">
        <f t="shared" si="15"/>
        <v/>
      </c>
      <c r="AQ456" s="1">
        <f>value(IFERROR(SUBSTITUTE(SUBSTITUTE(VLOOKUP($A456,'Quarterly Pipeline vs Target Pi'!$A:$AP,31,false)," $","")," €",""), "")
)</f>
        <v>0</v>
      </c>
      <c r="AR456" s="1">
        <f>value(IFERROR(SUBSTITUTE(SUBSTITUTE(VLOOKUP($A456,'Quarterly Pipeline vs Target Pi'!$A:$AP,32,false)," $","")," €",""), "")
)</f>
        <v>0</v>
      </c>
      <c r="AS456" s="17" t="str">
        <f t="shared" si="16"/>
        <v/>
      </c>
      <c r="AT456" s="1">
        <f>value(IFERROR(SUBSTITUTE(SUBSTITUTE(VLOOKUP($A456,'Quarterly Pipeline vs Target Pi'!$A:$AP,36,false)," $","")," €",""), "")
)</f>
        <v>0</v>
      </c>
      <c r="AU456" s="1">
        <f>value(IFERROR(SUBSTITUTE(SUBSTITUTE(VLOOKUP($A456,'Quarterly Pipeline vs Target Pi'!$A:$AP,37,false)," $","")," €",""), "")
)</f>
        <v>0</v>
      </c>
      <c r="AV456" s="17" t="str">
        <f t="shared" si="17"/>
        <v/>
      </c>
      <c r="AW456" s="1">
        <f>value(IFERROR(SUBSTITUTE(SUBSTITUTE(VLOOKUP($A456,'Quarterly Pipeline vs Target Pi'!$A:$AP,41,false)," $","")," €",""), "")
)</f>
        <v>0</v>
      </c>
      <c r="AX456" s="1">
        <f>value(IFERROR(SUBSTITUTE(SUBSTITUTE(VLOOKUP($A456,'Quarterly Pipeline vs Target Pi'!$A:$AP,42,false)," $","")," €",""), "")
)</f>
        <v>0</v>
      </c>
      <c r="AY456" s="17" t="str">
        <f t="shared" si="18"/>
        <v/>
      </c>
      <c r="AZ456" s="1">
        <f t="shared" ref="AZ456:BA456" si="926">sum(AN456,AQ456,AT456,AW456)</f>
        <v>0</v>
      </c>
      <c r="BA456" s="1">
        <f t="shared" si="926"/>
        <v>0</v>
      </c>
      <c r="BB456" s="17" t="str">
        <f t="shared" si="20"/>
        <v/>
      </c>
    </row>
    <row r="457">
      <c r="A457" s="1" t="str">
        <f>IFERROR(__xludf.DUMMYFUNCTION("""COMPUTED_VALUE"""),"63ea6e9452ad6968805cebdd")</f>
        <v>63ea6e9452ad6968805cebdd</v>
      </c>
      <c r="B457" s="1" t="str">
        <f>IFERROR(__xludf.DUMMYFUNCTION("""COMPUTED_VALUE"""),"TK Netzwerktechnik GmbH")</f>
        <v>TK Netzwerktechnik GmbH</v>
      </c>
      <c r="C457" s="1" t="str">
        <f>IFERROR(__xludf.DUMMYFUNCTION("""COMPUTED_VALUE"""),"andreas.grossheimann@al-enterprise.com, katrin.pfeiffer@al-enterprise.com, andre.ramm@al-enterprise.com, holger.viktor@al-enterprise.com, sibylle.klopfer@al-enterprise.com, igor.leko@al-enterprise.com")</f>
        <v>andreas.grossheimann@al-enterprise.com, katrin.pfeiffer@al-enterprise.com, andre.ramm@al-enterprise.com, holger.viktor@al-enterprise.com, sibylle.klopfer@al-enterprise.com, igor.leko@al-enterprise.com</v>
      </c>
      <c r="D457" s="1" t="str">
        <f>IFERROR(__xludf.DUMMYFUNCTION("""COMPUTED_VALUE"""),"germany")</f>
        <v>germany</v>
      </c>
      <c r="E457" s="1" t="str">
        <f>IFERROR(__xludf.DUMMYFUNCTION("""COMPUTED_VALUE"""),"DE")</f>
        <v>DE</v>
      </c>
      <c r="F457" s="1" t="str">
        <f>IFERROR(__xludf.DUMMYFUNCTION("""COMPUTED_VALUE"""),"expert_200")</f>
        <v>expert_200</v>
      </c>
      <c r="G457" s="1">
        <f>iferror(VLOOKUP(A457,'Business Plan Setup and Accepta'!A:G,6,false),"")</f>
        <v>1</v>
      </c>
      <c r="H457" s="1">
        <f>iferror(VLOOKUP(A457,'Business Plan Setup and Accepta'!A:G,7,false),"")</f>
        <v>1</v>
      </c>
      <c r="I457" s="17">
        <f t="shared" si="3"/>
        <v>1</v>
      </c>
      <c r="J457" s="1">
        <f>IFERROR(VALUE(SUBSTITUTE(VLOOKUP(A457,'Sales IN Revenues vs Sales targ'!A:G,6,false)," $","")), "")
</f>
        <v>56.26</v>
      </c>
      <c r="K457" s="1">
        <f>IFERROR(VALUE(SUBSTITUTE(VLOOKUP(A457,'Sales IN Revenues vs Sales targ'!A:G,7,false)," $","")), "")
</f>
        <v>333</v>
      </c>
      <c r="L457" s="17">
        <f t="shared" si="4"/>
        <v>0.1689489489</v>
      </c>
      <c r="M457" s="1">
        <f>value(SUBSTITUTE(IFERROR(VLOOKUP(A457,'Certifications achievements vs '!A:G,6,false),""),"#","")
)</f>
        <v>5</v>
      </c>
      <c r="N457" s="1">
        <f>value(SUBSTITUTE(IFERROR(VLOOKUP(A457,'Certifications achievements vs '!A:G,7,false),""),"#","")
)</f>
        <v>52</v>
      </c>
      <c r="O457" s="17">
        <f t="shared" si="5"/>
        <v>0.09615384615</v>
      </c>
      <c r="P457" s="1">
        <f>value(SUBSTITUTE(IFERROR(VLOOKUP(A457,'Communications - Solution Speci'!A:G,6,false),""),"#","")
)</f>
        <v>0</v>
      </c>
      <c r="Q457" s="1">
        <f>value(SUBSTITUTE(IFERROR(VLOOKUP(A457,'Communications - Solution Speci'!A:G,7,false),""),"#","")
)</f>
        <v>1</v>
      </c>
      <c r="R457" s="17">
        <f t="shared" si="6"/>
        <v>0</v>
      </c>
      <c r="S457" s="1">
        <f>value(SUBSTITUTE(IFERROR(VLOOKUP(A457,'Networking - Solution Specializ'!A:G,6,false),""),"#","")
)</f>
        <v>0</v>
      </c>
      <c r="T457" s="1">
        <f>value(SUBSTITUTE(IFERROR(VLOOKUP(A457,'Networking - Solution Specializ'!A:G,7,false),""),"#","")
)</f>
        <v>1</v>
      </c>
      <c r="U457" s="17">
        <f t="shared" si="7"/>
        <v>0</v>
      </c>
      <c r="V457" s="1">
        <f>iferror(vlookup(A457,'Marketing Plan (extract summary'!A:G,6,false),"")</f>
        <v>0</v>
      </c>
      <c r="W457" s="1">
        <f>iferror(vlookup(A457,'Marketing Plan (extract summary'!A:G,7,false),"")</f>
        <v>1</v>
      </c>
      <c r="X457" s="17">
        <f t="shared" si="8"/>
        <v>0</v>
      </c>
      <c r="Y457" s="1">
        <f>value(IFERROR(SUBSTITUTE(SUBSTITUTE(VLOOKUP(A457,'Quarterly Pipeline vs Target Pi'!A:G,6,false)," $","")," €",""), "")
)</f>
        <v>7.38</v>
      </c>
      <c r="Z457" s="1">
        <f>value(IFERROR(SUBSTITUTE(SUBSTITUTE(VLOOKUP(A457,'Quarterly Pipeline vs Target Pi'!A:G,7,false)," $","")," €",""), "")
)</f>
        <v>0</v>
      </c>
      <c r="AA457" s="17" t="str">
        <f t="shared" si="9"/>
        <v/>
      </c>
      <c r="AB457" s="1">
        <f>value(IFERROR(SUBSTITUTE(SUBSTITUTE(VLOOKUP($A457,'Quarterly Pipeline vs Target Pi'!$A:$V,11,false)," $","")," €",""), "")
)</f>
        <v>12.5</v>
      </c>
      <c r="AC457" s="1">
        <f>value(IFERROR(SUBSTITUTE(SUBSTITUTE(VLOOKUP($A457,'Quarterly Pipeline vs Target Pi'!$A:$V,12,false)," $","")," €",""), "")
)</f>
        <v>116.22</v>
      </c>
      <c r="AD457" s="17">
        <f t="shared" si="10"/>
        <v>0.1075546378</v>
      </c>
      <c r="AE457" s="1">
        <f>value(IFERROR(SUBSTITUTE(SUBSTITUTE(VLOOKUP($A457,'Quarterly Pipeline vs Target Pi'!$A:$V,16,false)," $","")," €",""), "")
)</f>
        <v>29.38</v>
      </c>
      <c r="AF457" s="1">
        <f>value(IFERROR(SUBSTITUTE(SUBSTITUTE(VLOOKUP($A457,'Quarterly Pipeline vs Target Pi'!$A:$V,17,false)," $","")," €",""), "")
)</f>
        <v>109.46</v>
      </c>
      <c r="AG457" s="17">
        <f t="shared" si="11"/>
        <v>0.2684085511</v>
      </c>
      <c r="AH457" s="1">
        <f>value(IFERROR(SUBSTITUTE(SUBSTITUTE(VLOOKUP($A457,'Quarterly Pipeline vs Target Pi'!$A:$V,21,false)," $","")," €",""), "")
)</f>
        <v>263.79</v>
      </c>
      <c r="AI457" s="1">
        <f>value(IFERROR(SUBSTITUTE(SUBSTITUTE(VLOOKUP($A457,'Quarterly Pipeline vs Target Pi'!$A:$V,22,false)," $","")," €",""), "")
)</f>
        <v>124.32</v>
      </c>
      <c r="AJ457" s="17">
        <f t="shared" si="12"/>
        <v>2.121862934</v>
      </c>
      <c r="AK457" s="1">
        <f t="shared" ref="AK457:AL457" si="927">sum(Y457,AB457,AE457,AH457)</f>
        <v>313.05</v>
      </c>
      <c r="AL457" s="1">
        <f t="shared" si="927"/>
        <v>350</v>
      </c>
      <c r="AM457" s="17">
        <f t="shared" si="14"/>
        <v>0.8944285714</v>
      </c>
      <c r="AN457" s="1">
        <f>value(IFERROR(SUBSTITUTE(SUBSTITUTE(VLOOKUP($A457,'Quarterly Pipeline vs Target Pi'!$A:$AP,26,false)," $","")," €",""), "")
)</f>
        <v>50</v>
      </c>
      <c r="AO457" s="1">
        <f>value(IFERROR(SUBSTITUTE(SUBSTITUTE(VLOOKUP($A457,'Quarterly Pipeline vs Target Pi'!$A:$AP,27,false)," $","")," €",""), "")
)</f>
        <v>0</v>
      </c>
      <c r="AP457" s="17" t="str">
        <f t="shared" si="15"/>
        <v/>
      </c>
      <c r="AQ457" s="1">
        <f>value(IFERROR(SUBSTITUTE(SUBSTITUTE(VLOOKUP($A457,'Quarterly Pipeline vs Target Pi'!$A:$AP,31,false)," $","")," €",""), "")
)</f>
        <v>20</v>
      </c>
      <c r="AR457" s="1">
        <f>value(IFERROR(SUBSTITUTE(SUBSTITUTE(VLOOKUP($A457,'Quarterly Pipeline vs Target Pi'!$A:$AP,32,false)," $","")," €",""), "")
)</f>
        <v>0</v>
      </c>
      <c r="AS457" s="17" t="str">
        <f t="shared" si="16"/>
        <v/>
      </c>
      <c r="AT457" s="1">
        <f>value(IFERROR(SUBSTITUTE(SUBSTITUTE(VLOOKUP($A457,'Quarterly Pipeline vs Target Pi'!$A:$AP,36,false)," $","")," €",""), "")
)</f>
        <v>0</v>
      </c>
      <c r="AU457" s="1">
        <f>value(IFERROR(SUBSTITUTE(SUBSTITUTE(VLOOKUP($A457,'Quarterly Pipeline vs Target Pi'!$A:$AP,37,false)," $","")," €",""), "")
)</f>
        <v>0</v>
      </c>
      <c r="AV457" s="17" t="str">
        <f t="shared" si="17"/>
        <v/>
      </c>
      <c r="AW457" s="1">
        <f>value(IFERROR(SUBSTITUTE(SUBSTITUTE(VLOOKUP($A457,'Quarterly Pipeline vs Target Pi'!$A:$AP,41,false)," $","")," €",""), "")
)</f>
        <v>0</v>
      </c>
      <c r="AX457" s="1">
        <f>value(IFERROR(SUBSTITUTE(SUBSTITUTE(VLOOKUP($A457,'Quarterly Pipeline vs Target Pi'!$A:$AP,42,false)," $","")," €",""), "")
)</f>
        <v>0</v>
      </c>
      <c r="AY457" s="17" t="str">
        <f t="shared" si="18"/>
        <v/>
      </c>
      <c r="AZ457" s="1">
        <f t="shared" ref="AZ457:BA457" si="928">sum(AN457,AQ457,AT457,AW457)</f>
        <v>70</v>
      </c>
      <c r="BA457" s="1">
        <f t="shared" si="928"/>
        <v>0</v>
      </c>
      <c r="BB457" s="17" t="str">
        <f t="shared" si="20"/>
        <v/>
      </c>
    </row>
    <row r="458">
      <c r="A458" s="1" t="str">
        <f>IFERROR(__xludf.DUMMYFUNCTION("""COMPUTED_VALUE"""),"63ea6e9452ad6968805ceccb")</f>
        <v>63ea6e9452ad6968805ceccb</v>
      </c>
      <c r="B458" s="1" t="str">
        <f>IFERROR(__xludf.DUMMYFUNCTION("""COMPUTED_VALUE"""),"TK-Systeme Buscher")</f>
        <v>TK-Systeme Buscher</v>
      </c>
      <c r="C458" s="1" t="str">
        <f>IFERROR(__xludf.DUMMYFUNCTION("""COMPUTED_VALUE"""),"andreas.grossheimann@al-enterprise.com, andre.ramm@al-enterprise.com")</f>
        <v>andreas.grossheimann@al-enterprise.com, andre.ramm@al-enterprise.com</v>
      </c>
      <c r="D458" s="1" t="str">
        <f>IFERROR(__xludf.DUMMYFUNCTION("""COMPUTED_VALUE"""),"germany")</f>
        <v>germany</v>
      </c>
      <c r="E458" s="1" t="str">
        <f>IFERROR(__xludf.DUMMYFUNCTION("""COMPUTED_VALUE"""),"DE")</f>
        <v>DE</v>
      </c>
      <c r="F458" s="1"/>
      <c r="G458" s="1" t="str">
        <f>iferror(VLOOKUP(A458,'Business Plan Setup and Accepta'!A:G,6,false),"")</f>
        <v/>
      </c>
      <c r="H458" s="1" t="str">
        <f>iferror(VLOOKUP(A458,'Business Plan Setup and Accepta'!A:G,7,false),"")</f>
        <v/>
      </c>
      <c r="I458" s="17" t="str">
        <f t="shared" si="3"/>
        <v/>
      </c>
      <c r="J458" s="1" t="str">
        <f>IFERROR(VALUE(SUBSTITUTE(VLOOKUP(A458,'Sales IN Revenues vs Sales targ'!A:G,6,false)," $","")), "")
</f>
        <v/>
      </c>
      <c r="K458" s="1" t="str">
        <f>IFERROR(VALUE(SUBSTITUTE(VLOOKUP(A458,'Sales IN Revenues vs Sales targ'!A:G,7,false)," $","")), "")
</f>
        <v/>
      </c>
      <c r="L458" s="17" t="str">
        <f t="shared" si="4"/>
        <v/>
      </c>
      <c r="M458" s="1">
        <f>value(SUBSTITUTE(IFERROR(VLOOKUP(A458,'Certifications achievements vs '!A:G,6,false),""),"#","")
)</f>
        <v>0</v>
      </c>
      <c r="N458" s="1">
        <f>value(SUBSTITUTE(IFERROR(VLOOKUP(A458,'Certifications achievements vs '!A:G,7,false),""),"#","")
)</f>
        <v>0</v>
      </c>
      <c r="O458" s="17" t="str">
        <f t="shared" si="5"/>
        <v/>
      </c>
      <c r="P458" s="1">
        <f>value(SUBSTITUTE(IFERROR(VLOOKUP(A458,'Communications - Solution Speci'!A:G,6,false),""),"#","")
)</f>
        <v>0</v>
      </c>
      <c r="Q458" s="1">
        <f>value(SUBSTITUTE(IFERROR(VLOOKUP(A458,'Communications - Solution Speci'!A:G,7,false),""),"#","")
)</f>
        <v>0</v>
      </c>
      <c r="R458" s="17" t="str">
        <f t="shared" si="6"/>
        <v/>
      </c>
      <c r="S458" s="1">
        <f>value(SUBSTITUTE(IFERROR(VLOOKUP(A458,'Networking - Solution Specializ'!A:G,6,false),""),"#","")
)</f>
        <v>0</v>
      </c>
      <c r="T458" s="1">
        <f>value(SUBSTITUTE(IFERROR(VLOOKUP(A458,'Networking - Solution Specializ'!A:G,7,false),""),"#","")
)</f>
        <v>0</v>
      </c>
      <c r="U458" s="17" t="str">
        <f t="shared" si="7"/>
        <v/>
      </c>
      <c r="V458" s="1" t="str">
        <f>iferror(vlookup(A458,'Marketing Plan (extract summary'!A:G,6,false),"")</f>
        <v/>
      </c>
      <c r="W458" s="1" t="str">
        <f>iferror(vlookup(A458,'Marketing Plan (extract summary'!A:G,7,false),"")</f>
        <v/>
      </c>
      <c r="X458" s="17" t="str">
        <f t="shared" si="8"/>
        <v/>
      </c>
      <c r="Y458" s="1">
        <f>value(IFERROR(SUBSTITUTE(SUBSTITUTE(VLOOKUP(A458,'Quarterly Pipeline vs Target Pi'!A:G,6,false)," $","")," €",""), "")
)</f>
        <v>0</v>
      </c>
      <c r="Z458" s="1">
        <f>value(IFERROR(SUBSTITUTE(SUBSTITUTE(VLOOKUP(A458,'Quarterly Pipeline vs Target Pi'!A:G,7,false)," $","")," €",""), "")
)</f>
        <v>0</v>
      </c>
      <c r="AA458" s="17" t="str">
        <f t="shared" si="9"/>
        <v/>
      </c>
      <c r="AB458" s="1">
        <f>value(IFERROR(SUBSTITUTE(SUBSTITUTE(VLOOKUP($A458,'Quarterly Pipeline vs Target Pi'!$A:$V,11,false)," $","")," €",""), "")
)</f>
        <v>0</v>
      </c>
      <c r="AC458" s="1">
        <f>value(IFERROR(SUBSTITUTE(SUBSTITUTE(VLOOKUP($A458,'Quarterly Pipeline vs Target Pi'!$A:$V,12,false)," $","")," €",""), "")
)</f>
        <v>0</v>
      </c>
      <c r="AD458" s="17" t="str">
        <f t="shared" si="10"/>
        <v/>
      </c>
      <c r="AE458" s="1">
        <f>value(IFERROR(SUBSTITUTE(SUBSTITUTE(VLOOKUP($A458,'Quarterly Pipeline vs Target Pi'!$A:$V,16,false)," $","")," €",""), "")
)</f>
        <v>0</v>
      </c>
      <c r="AF458" s="1">
        <f>value(IFERROR(SUBSTITUTE(SUBSTITUTE(VLOOKUP($A458,'Quarterly Pipeline vs Target Pi'!$A:$V,17,false)," $","")," €",""), "")
)</f>
        <v>0</v>
      </c>
      <c r="AG458" s="17" t="str">
        <f t="shared" si="11"/>
        <v/>
      </c>
      <c r="AH458" s="1">
        <f>value(IFERROR(SUBSTITUTE(SUBSTITUTE(VLOOKUP($A458,'Quarterly Pipeline vs Target Pi'!$A:$V,21,false)," $","")," €",""), "")
)</f>
        <v>0</v>
      </c>
      <c r="AI458" s="1">
        <f>value(IFERROR(SUBSTITUTE(SUBSTITUTE(VLOOKUP($A458,'Quarterly Pipeline vs Target Pi'!$A:$V,22,false)," $","")," €",""), "")
)</f>
        <v>0</v>
      </c>
      <c r="AJ458" s="17" t="str">
        <f t="shared" si="12"/>
        <v/>
      </c>
      <c r="AK458" s="1">
        <f t="shared" ref="AK458:AL458" si="929">sum(Y458,AB458,AE458,AH458)</f>
        <v>0</v>
      </c>
      <c r="AL458" s="1">
        <f t="shared" si="929"/>
        <v>0</v>
      </c>
      <c r="AM458" s="17" t="str">
        <f t="shared" si="14"/>
        <v/>
      </c>
      <c r="AN458" s="1">
        <f>value(IFERROR(SUBSTITUTE(SUBSTITUTE(VLOOKUP($A458,'Quarterly Pipeline vs Target Pi'!$A:$AP,26,false)," $","")," €",""), "")
)</f>
        <v>0</v>
      </c>
      <c r="AO458" s="1">
        <f>value(IFERROR(SUBSTITUTE(SUBSTITUTE(VLOOKUP($A458,'Quarterly Pipeline vs Target Pi'!$A:$AP,27,false)," $","")," €",""), "")
)</f>
        <v>0</v>
      </c>
      <c r="AP458" s="17" t="str">
        <f t="shared" si="15"/>
        <v/>
      </c>
      <c r="AQ458" s="1">
        <f>value(IFERROR(SUBSTITUTE(SUBSTITUTE(VLOOKUP($A458,'Quarterly Pipeline vs Target Pi'!$A:$AP,31,false)," $","")," €",""), "")
)</f>
        <v>0</v>
      </c>
      <c r="AR458" s="1">
        <f>value(IFERROR(SUBSTITUTE(SUBSTITUTE(VLOOKUP($A458,'Quarterly Pipeline vs Target Pi'!$A:$AP,32,false)," $","")," €",""), "")
)</f>
        <v>0</v>
      </c>
      <c r="AS458" s="17" t="str">
        <f t="shared" si="16"/>
        <v/>
      </c>
      <c r="AT458" s="1">
        <f>value(IFERROR(SUBSTITUTE(SUBSTITUTE(VLOOKUP($A458,'Quarterly Pipeline vs Target Pi'!$A:$AP,36,false)," $","")," €",""), "")
)</f>
        <v>0</v>
      </c>
      <c r="AU458" s="1">
        <f>value(IFERROR(SUBSTITUTE(SUBSTITUTE(VLOOKUP($A458,'Quarterly Pipeline vs Target Pi'!$A:$AP,37,false)," $","")," €",""), "")
)</f>
        <v>0</v>
      </c>
      <c r="AV458" s="17" t="str">
        <f t="shared" si="17"/>
        <v/>
      </c>
      <c r="AW458" s="1">
        <f>value(IFERROR(SUBSTITUTE(SUBSTITUTE(VLOOKUP($A458,'Quarterly Pipeline vs Target Pi'!$A:$AP,41,false)," $","")," €",""), "")
)</f>
        <v>0</v>
      </c>
      <c r="AX458" s="1">
        <f>value(IFERROR(SUBSTITUTE(SUBSTITUTE(VLOOKUP($A458,'Quarterly Pipeline vs Target Pi'!$A:$AP,42,false)," $","")," €",""), "")
)</f>
        <v>0</v>
      </c>
      <c r="AY458" s="17" t="str">
        <f t="shared" si="18"/>
        <v/>
      </c>
      <c r="AZ458" s="1">
        <f t="shared" ref="AZ458:BA458" si="930">sum(AN458,AQ458,AT458,AW458)</f>
        <v>0</v>
      </c>
      <c r="BA458" s="1">
        <f t="shared" si="930"/>
        <v>0</v>
      </c>
      <c r="BB458" s="17" t="str">
        <f t="shared" si="20"/>
        <v/>
      </c>
    </row>
    <row r="459">
      <c r="A459" s="1" t="str">
        <f>IFERROR(__xludf.DUMMYFUNCTION("""COMPUTED_VALUE"""),"63ea6e9752ad6968805cf1d3")</f>
        <v>63ea6e9752ad6968805cf1d3</v>
      </c>
      <c r="B459" s="1" t="str">
        <f>IFERROR(__xludf.DUMMYFUNCTION("""COMPUTED_VALUE"""),"TM Telekommunikation und Management")</f>
        <v>TM Telekommunikation und Management</v>
      </c>
      <c r="C459" s="1" t="str">
        <f>IFERROR(__xludf.DUMMYFUNCTION("""COMPUTED_VALUE"""),"andreas.grossheimann@al-enterprise.com, andre.ramm@al-enterprise.com")</f>
        <v>andreas.grossheimann@al-enterprise.com, andre.ramm@al-enterprise.com</v>
      </c>
      <c r="D459" s="1" t="str">
        <f>IFERROR(__xludf.DUMMYFUNCTION("""COMPUTED_VALUE"""),"germany")</f>
        <v>germany</v>
      </c>
      <c r="E459" s="1" t="str">
        <f>IFERROR(__xludf.DUMMYFUNCTION("""COMPUTED_VALUE"""),"DE")</f>
        <v>DE</v>
      </c>
      <c r="F459" s="1"/>
      <c r="G459" s="1" t="str">
        <f>iferror(VLOOKUP(A459,'Business Plan Setup and Accepta'!A:G,6,false),"")</f>
        <v/>
      </c>
      <c r="H459" s="1" t="str">
        <f>iferror(VLOOKUP(A459,'Business Plan Setup and Accepta'!A:G,7,false),"")</f>
        <v/>
      </c>
      <c r="I459" s="17" t="str">
        <f t="shared" si="3"/>
        <v/>
      </c>
      <c r="J459" s="1" t="str">
        <f>IFERROR(VALUE(SUBSTITUTE(VLOOKUP(A459,'Sales IN Revenues vs Sales targ'!A:G,6,false)," $","")), "")
</f>
        <v/>
      </c>
      <c r="K459" s="1" t="str">
        <f>IFERROR(VALUE(SUBSTITUTE(VLOOKUP(A459,'Sales IN Revenues vs Sales targ'!A:G,7,false)," $","")), "")
</f>
        <v/>
      </c>
      <c r="L459" s="17" t="str">
        <f t="shared" si="4"/>
        <v/>
      </c>
      <c r="M459" s="1">
        <f>value(SUBSTITUTE(IFERROR(VLOOKUP(A459,'Certifications achievements vs '!A:G,6,false),""),"#","")
)</f>
        <v>0</v>
      </c>
      <c r="N459" s="1">
        <f>value(SUBSTITUTE(IFERROR(VLOOKUP(A459,'Certifications achievements vs '!A:G,7,false),""),"#","")
)</f>
        <v>0</v>
      </c>
      <c r="O459" s="17" t="str">
        <f t="shared" si="5"/>
        <v/>
      </c>
      <c r="P459" s="1">
        <f>value(SUBSTITUTE(IFERROR(VLOOKUP(A459,'Communications - Solution Speci'!A:G,6,false),""),"#","")
)</f>
        <v>0</v>
      </c>
      <c r="Q459" s="1">
        <f>value(SUBSTITUTE(IFERROR(VLOOKUP(A459,'Communications - Solution Speci'!A:G,7,false),""),"#","")
)</f>
        <v>0</v>
      </c>
      <c r="R459" s="17" t="str">
        <f t="shared" si="6"/>
        <v/>
      </c>
      <c r="S459" s="1">
        <f>value(SUBSTITUTE(IFERROR(VLOOKUP(A459,'Networking - Solution Specializ'!A:G,6,false),""),"#","")
)</f>
        <v>0</v>
      </c>
      <c r="T459" s="1">
        <f>value(SUBSTITUTE(IFERROR(VLOOKUP(A459,'Networking - Solution Specializ'!A:G,7,false),""),"#","")
)</f>
        <v>0</v>
      </c>
      <c r="U459" s="17" t="str">
        <f t="shared" si="7"/>
        <v/>
      </c>
      <c r="V459" s="1" t="str">
        <f>iferror(vlookup(A459,'Marketing Plan (extract summary'!A:G,6,false),"")</f>
        <v/>
      </c>
      <c r="W459" s="1" t="str">
        <f>iferror(vlookup(A459,'Marketing Plan (extract summary'!A:G,7,false),"")</f>
        <v/>
      </c>
      <c r="X459" s="17" t="str">
        <f t="shared" si="8"/>
        <v/>
      </c>
      <c r="Y459" s="1">
        <f>value(IFERROR(SUBSTITUTE(SUBSTITUTE(VLOOKUP(A459,'Quarterly Pipeline vs Target Pi'!A:G,6,false)," $","")," €",""), "")
)</f>
        <v>0</v>
      </c>
      <c r="Z459" s="1">
        <f>value(IFERROR(SUBSTITUTE(SUBSTITUTE(VLOOKUP(A459,'Quarterly Pipeline vs Target Pi'!A:G,7,false)," $","")," €",""), "")
)</f>
        <v>0</v>
      </c>
      <c r="AA459" s="17" t="str">
        <f t="shared" si="9"/>
        <v/>
      </c>
      <c r="AB459" s="1">
        <f>value(IFERROR(SUBSTITUTE(SUBSTITUTE(VLOOKUP($A459,'Quarterly Pipeline vs Target Pi'!$A:$V,11,false)," $","")," €",""), "")
)</f>
        <v>0</v>
      </c>
      <c r="AC459" s="1">
        <f>value(IFERROR(SUBSTITUTE(SUBSTITUTE(VLOOKUP($A459,'Quarterly Pipeline vs Target Pi'!$A:$V,12,false)," $","")," €",""), "")
)</f>
        <v>0</v>
      </c>
      <c r="AD459" s="17" t="str">
        <f t="shared" si="10"/>
        <v/>
      </c>
      <c r="AE459" s="1">
        <f>value(IFERROR(SUBSTITUTE(SUBSTITUTE(VLOOKUP($A459,'Quarterly Pipeline vs Target Pi'!$A:$V,16,false)," $","")," €",""), "")
)</f>
        <v>0</v>
      </c>
      <c r="AF459" s="1">
        <f>value(IFERROR(SUBSTITUTE(SUBSTITUTE(VLOOKUP($A459,'Quarterly Pipeline vs Target Pi'!$A:$V,17,false)," $","")," €",""), "")
)</f>
        <v>0</v>
      </c>
      <c r="AG459" s="17" t="str">
        <f t="shared" si="11"/>
        <v/>
      </c>
      <c r="AH459" s="1">
        <f>value(IFERROR(SUBSTITUTE(SUBSTITUTE(VLOOKUP($A459,'Quarterly Pipeline vs Target Pi'!$A:$V,21,false)," $","")," €",""), "")
)</f>
        <v>0</v>
      </c>
      <c r="AI459" s="1">
        <f>value(IFERROR(SUBSTITUTE(SUBSTITUTE(VLOOKUP($A459,'Quarterly Pipeline vs Target Pi'!$A:$V,22,false)," $","")," €",""), "")
)</f>
        <v>0</v>
      </c>
      <c r="AJ459" s="17" t="str">
        <f t="shared" si="12"/>
        <v/>
      </c>
      <c r="AK459" s="1">
        <f t="shared" ref="AK459:AL459" si="931">sum(Y459,AB459,AE459,AH459)</f>
        <v>0</v>
      </c>
      <c r="AL459" s="1">
        <f t="shared" si="931"/>
        <v>0</v>
      </c>
      <c r="AM459" s="17" t="str">
        <f t="shared" si="14"/>
        <v/>
      </c>
      <c r="AN459" s="1">
        <f>value(IFERROR(SUBSTITUTE(SUBSTITUTE(VLOOKUP($A459,'Quarterly Pipeline vs Target Pi'!$A:$AP,26,false)," $","")," €",""), "")
)</f>
        <v>0</v>
      </c>
      <c r="AO459" s="1">
        <f>value(IFERROR(SUBSTITUTE(SUBSTITUTE(VLOOKUP($A459,'Quarterly Pipeline vs Target Pi'!$A:$AP,27,false)," $","")," €",""), "")
)</f>
        <v>0</v>
      </c>
      <c r="AP459" s="17" t="str">
        <f t="shared" si="15"/>
        <v/>
      </c>
      <c r="AQ459" s="1">
        <f>value(IFERROR(SUBSTITUTE(SUBSTITUTE(VLOOKUP($A459,'Quarterly Pipeline vs Target Pi'!$A:$AP,31,false)," $","")," €",""), "")
)</f>
        <v>0</v>
      </c>
      <c r="AR459" s="1">
        <f>value(IFERROR(SUBSTITUTE(SUBSTITUTE(VLOOKUP($A459,'Quarterly Pipeline vs Target Pi'!$A:$AP,32,false)," $","")," €",""), "")
)</f>
        <v>0</v>
      </c>
      <c r="AS459" s="17" t="str">
        <f t="shared" si="16"/>
        <v/>
      </c>
      <c r="AT459" s="1">
        <f>value(IFERROR(SUBSTITUTE(SUBSTITUTE(VLOOKUP($A459,'Quarterly Pipeline vs Target Pi'!$A:$AP,36,false)," $","")," €",""), "")
)</f>
        <v>0</v>
      </c>
      <c r="AU459" s="1">
        <f>value(IFERROR(SUBSTITUTE(SUBSTITUTE(VLOOKUP($A459,'Quarterly Pipeline vs Target Pi'!$A:$AP,37,false)," $","")," €",""), "")
)</f>
        <v>0</v>
      </c>
      <c r="AV459" s="17" t="str">
        <f t="shared" si="17"/>
        <v/>
      </c>
      <c r="AW459" s="1">
        <f>value(IFERROR(SUBSTITUTE(SUBSTITUTE(VLOOKUP($A459,'Quarterly Pipeline vs Target Pi'!$A:$AP,41,false)," $","")," €",""), "")
)</f>
        <v>0</v>
      </c>
      <c r="AX459" s="1">
        <f>value(IFERROR(SUBSTITUTE(SUBSTITUTE(VLOOKUP($A459,'Quarterly Pipeline vs Target Pi'!$A:$AP,42,false)," $","")," €",""), "")
)</f>
        <v>0</v>
      </c>
      <c r="AY459" s="17" t="str">
        <f t="shared" si="18"/>
        <v/>
      </c>
      <c r="AZ459" s="1">
        <f t="shared" ref="AZ459:BA459" si="932">sum(AN459,AQ459,AT459,AW459)</f>
        <v>0</v>
      </c>
      <c r="BA459" s="1">
        <f t="shared" si="932"/>
        <v>0</v>
      </c>
      <c r="BB459" s="17" t="str">
        <f t="shared" si="20"/>
        <v/>
      </c>
    </row>
    <row r="460">
      <c r="A460" s="1" t="str">
        <f>IFERROR(__xludf.DUMMYFUNCTION("""COMPUTED_VALUE"""),"67a5d5f929aefced430db0b2")</f>
        <v>67a5d5f929aefced430db0b2</v>
      </c>
      <c r="B460" s="1" t="str">
        <f>IFERROR(__xludf.DUMMYFUNCTION("""COMPUTED_VALUE"""),"Transcore North America")</f>
        <v>Transcore North America</v>
      </c>
      <c r="C460" s="1" t="str">
        <f>IFERROR(__xludf.DUMMYFUNCTION("""COMPUTED_VALUE"""),"brendan.flaherty@al-enterprise.com")</f>
        <v>brendan.flaherty@al-enterprise.com</v>
      </c>
      <c r="D460" s="1" t="str">
        <f>IFERROR(__xludf.DUMMYFUNCTION("""COMPUTED_VALUE"""),"americas")</f>
        <v>americas</v>
      </c>
      <c r="E460" s="1" t="str">
        <f>IFERROR(__xludf.DUMMYFUNCTION("""COMPUTED_VALUE"""),"US")</f>
        <v>US</v>
      </c>
      <c r="F460" s="1" t="str">
        <f>IFERROR(__xludf.DUMMYFUNCTION("""COMPUTED_VALUE"""),"expert_200")</f>
        <v>expert_200</v>
      </c>
      <c r="G460" s="1">
        <f>iferror(VLOOKUP(A460,'Business Plan Setup and Accepta'!A:G,6,false),"")</f>
        <v>0</v>
      </c>
      <c r="H460" s="1">
        <f>iferror(VLOOKUP(A460,'Business Plan Setup and Accepta'!A:G,7,false),"")</f>
        <v>1</v>
      </c>
      <c r="I460" s="17">
        <f t="shared" si="3"/>
        <v>0</v>
      </c>
      <c r="J460" s="1">
        <f>IFERROR(VALUE(SUBSTITUTE(VLOOKUP(A460,'Sales IN Revenues vs Sales targ'!A:G,6,false)," $","")), "")
</f>
        <v>0</v>
      </c>
      <c r="K460" s="1">
        <f>IFERROR(VALUE(SUBSTITUTE(VLOOKUP(A460,'Sales IN Revenues vs Sales targ'!A:G,7,false)," $","")), "")
</f>
        <v>0</v>
      </c>
      <c r="L460" s="17" t="str">
        <f t="shared" si="4"/>
        <v/>
      </c>
      <c r="M460" s="1">
        <f>value(SUBSTITUTE(IFERROR(VLOOKUP(A460,'Certifications achievements vs '!A:G,6,false),""),"#","")
)</f>
        <v>0</v>
      </c>
      <c r="N460" s="1">
        <f>value(SUBSTITUTE(IFERROR(VLOOKUP(A460,'Certifications achievements vs '!A:G,7,false),""),"#","")
)</f>
        <v>0</v>
      </c>
      <c r="O460" s="17" t="str">
        <f t="shared" si="5"/>
        <v/>
      </c>
      <c r="P460" s="1">
        <f>value(SUBSTITUTE(IFERROR(VLOOKUP(A460,'Communications - Solution Speci'!A:G,6,false),""),"#","")
)</f>
        <v>0</v>
      </c>
      <c r="Q460" s="1">
        <f>value(SUBSTITUTE(IFERROR(VLOOKUP(A460,'Communications - Solution Speci'!A:G,7,false),""),"#","")
)</f>
        <v>1</v>
      </c>
      <c r="R460" s="17">
        <f t="shared" si="6"/>
        <v>0</v>
      </c>
      <c r="S460" s="1">
        <f>value(SUBSTITUTE(IFERROR(VLOOKUP(A460,'Networking - Solution Specializ'!A:G,6,false),""),"#","")
)</f>
        <v>0</v>
      </c>
      <c r="T460" s="1">
        <f>value(SUBSTITUTE(IFERROR(VLOOKUP(A460,'Networking - Solution Specializ'!A:G,7,false),""),"#","")
)</f>
        <v>1</v>
      </c>
      <c r="U460" s="17">
        <f t="shared" si="7"/>
        <v>0</v>
      </c>
      <c r="V460" s="1">
        <f>iferror(vlookup(A460,'Marketing Plan (extract summary'!A:G,6,false),"")</f>
        <v>0</v>
      </c>
      <c r="W460" s="1">
        <f>iferror(vlookup(A460,'Marketing Plan (extract summary'!A:G,7,false),"")</f>
        <v>1</v>
      </c>
      <c r="X460" s="17">
        <f t="shared" si="8"/>
        <v>0</v>
      </c>
      <c r="Y460" s="1">
        <f>value(IFERROR(SUBSTITUTE(SUBSTITUTE(VLOOKUP(A460,'Quarterly Pipeline vs Target Pi'!A:G,6,false)," $","")," €",""), "")
)</f>
        <v>0</v>
      </c>
      <c r="Z460" s="1">
        <f>value(IFERROR(SUBSTITUTE(SUBSTITUTE(VLOOKUP(A460,'Quarterly Pipeline vs Target Pi'!A:G,7,false)," $","")," €",""), "")
)</f>
        <v>0</v>
      </c>
      <c r="AA460" s="17" t="str">
        <f t="shared" si="9"/>
        <v/>
      </c>
      <c r="AB460" s="1">
        <f>value(IFERROR(SUBSTITUTE(SUBSTITUTE(VLOOKUP($A460,'Quarterly Pipeline vs Target Pi'!$A:$V,11,false)," $","")," €",""), "")
)</f>
        <v>0</v>
      </c>
      <c r="AC460" s="1">
        <f>value(IFERROR(SUBSTITUTE(SUBSTITUTE(VLOOKUP($A460,'Quarterly Pipeline vs Target Pi'!$A:$V,12,false)," $","")," €",""), "")
)</f>
        <v>0</v>
      </c>
      <c r="AD460" s="17" t="str">
        <f t="shared" si="10"/>
        <v/>
      </c>
      <c r="AE460" s="1">
        <f>value(IFERROR(SUBSTITUTE(SUBSTITUTE(VLOOKUP($A460,'Quarterly Pipeline vs Target Pi'!$A:$V,16,false)," $","")," €",""), "")
)</f>
        <v>0</v>
      </c>
      <c r="AF460" s="1">
        <f>value(IFERROR(SUBSTITUTE(SUBSTITUTE(VLOOKUP($A460,'Quarterly Pipeline vs Target Pi'!$A:$V,17,false)," $","")," €",""), "")
)</f>
        <v>0</v>
      </c>
      <c r="AG460" s="17" t="str">
        <f t="shared" si="11"/>
        <v/>
      </c>
      <c r="AH460" s="1">
        <f>value(IFERROR(SUBSTITUTE(SUBSTITUTE(VLOOKUP($A460,'Quarterly Pipeline vs Target Pi'!$A:$V,21,false)," $","")," €",""), "")
)</f>
        <v>2119.98</v>
      </c>
      <c r="AI460" s="1">
        <f>value(IFERROR(SUBSTITUTE(SUBSTITUTE(VLOOKUP($A460,'Quarterly Pipeline vs Target Pi'!$A:$V,22,false)," $","")," €",""), "")
)</f>
        <v>0</v>
      </c>
      <c r="AJ460" s="17" t="str">
        <f t="shared" si="12"/>
        <v/>
      </c>
      <c r="AK460" s="1">
        <f t="shared" ref="AK460:AL460" si="933">sum(Y460,AB460,AE460,AH460)</f>
        <v>2119.98</v>
      </c>
      <c r="AL460" s="1">
        <f t="shared" si="933"/>
        <v>0</v>
      </c>
      <c r="AM460" s="17" t="str">
        <f t="shared" si="14"/>
        <v/>
      </c>
      <c r="AN460" s="1">
        <f>value(IFERROR(SUBSTITUTE(SUBSTITUTE(VLOOKUP($A460,'Quarterly Pipeline vs Target Pi'!$A:$AP,26,false)," $","")," €",""), "")
)</f>
        <v>0</v>
      </c>
      <c r="AO460" s="1">
        <f>value(IFERROR(SUBSTITUTE(SUBSTITUTE(VLOOKUP($A460,'Quarterly Pipeline vs Target Pi'!$A:$AP,27,false)," $","")," €",""), "")
)</f>
        <v>0</v>
      </c>
      <c r="AP460" s="17" t="str">
        <f t="shared" si="15"/>
        <v/>
      </c>
      <c r="AQ460" s="1">
        <f>value(IFERROR(SUBSTITUTE(SUBSTITUTE(VLOOKUP($A460,'Quarterly Pipeline vs Target Pi'!$A:$AP,31,false)," $","")," €",""), "")
)</f>
        <v>0</v>
      </c>
      <c r="AR460" s="1">
        <f>value(IFERROR(SUBSTITUTE(SUBSTITUTE(VLOOKUP($A460,'Quarterly Pipeline vs Target Pi'!$A:$AP,32,false)," $","")," €",""), "")
)</f>
        <v>0</v>
      </c>
      <c r="AS460" s="17" t="str">
        <f t="shared" si="16"/>
        <v/>
      </c>
      <c r="AT460" s="1">
        <f>value(IFERROR(SUBSTITUTE(SUBSTITUTE(VLOOKUP($A460,'Quarterly Pipeline vs Target Pi'!$A:$AP,36,false)," $","")," €",""), "")
)</f>
        <v>0</v>
      </c>
      <c r="AU460" s="1">
        <f>value(IFERROR(SUBSTITUTE(SUBSTITUTE(VLOOKUP($A460,'Quarterly Pipeline vs Target Pi'!$A:$AP,37,false)," $","")," €",""), "")
)</f>
        <v>0</v>
      </c>
      <c r="AV460" s="17" t="str">
        <f t="shared" si="17"/>
        <v/>
      </c>
      <c r="AW460" s="1">
        <f>value(IFERROR(SUBSTITUTE(SUBSTITUTE(VLOOKUP($A460,'Quarterly Pipeline vs Target Pi'!$A:$AP,41,false)," $","")," €",""), "")
)</f>
        <v>0</v>
      </c>
      <c r="AX460" s="1">
        <f>value(IFERROR(SUBSTITUTE(SUBSTITUTE(VLOOKUP($A460,'Quarterly Pipeline vs Target Pi'!$A:$AP,42,false)," $","")," €",""), "")
)</f>
        <v>0</v>
      </c>
      <c r="AY460" s="17" t="str">
        <f t="shared" si="18"/>
        <v/>
      </c>
      <c r="AZ460" s="1">
        <f t="shared" ref="AZ460:BA460" si="934">sum(AN460,AQ460,AT460,AW460)</f>
        <v>0</v>
      </c>
      <c r="BA460" s="1">
        <f t="shared" si="934"/>
        <v>0</v>
      </c>
      <c r="BB460" s="17" t="str">
        <f t="shared" si="20"/>
        <v/>
      </c>
    </row>
    <row r="461">
      <c r="A461" s="1" t="str">
        <f>IFERROR(__xludf.DUMMYFUNCTION("""COMPUTED_VALUE"""),"63ced849c5c820531c268e6a")</f>
        <v>63ced849c5c820531c268e6a</v>
      </c>
      <c r="B461" s="1" t="str">
        <f>IFERROR(__xludf.DUMMYFUNCTION("""COMPUTED_VALUE"""),"Transource Computers")</f>
        <v>Transource Computers</v>
      </c>
      <c r="C461" s="1" t="str">
        <f>IFERROR(__xludf.DUMMYFUNCTION("""COMPUTED_VALUE"""),"bill.rademacher@al-enterprise.com")</f>
        <v>bill.rademacher@al-enterprise.com</v>
      </c>
      <c r="D461" s="1" t="str">
        <f>IFERROR(__xludf.DUMMYFUNCTION("""COMPUTED_VALUE"""),"americas")</f>
        <v>americas</v>
      </c>
      <c r="E461" s="1" t="str">
        <f>IFERROR(__xludf.DUMMYFUNCTION("""COMPUTED_VALUE"""),"US")</f>
        <v>US</v>
      </c>
      <c r="F461" s="1" t="str">
        <f>IFERROR(__xludf.DUMMYFUNCTION("""COMPUTED_VALUE"""),"distributor")</f>
        <v>distributor</v>
      </c>
      <c r="G461" s="1">
        <f>iferror(VLOOKUP(A461,'Business Plan Setup and Accepta'!A:G,6,false),"")</f>
        <v>0</v>
      </c>
      <c r="H461" s="1">
        <f>iferror(VLOOKUP(A461,'Business Plan Setup and Accepta'!A:G,7,false),"")</f>
        <v>1</v>
      </c>
      <c r="I461" s="17">
        <f t="shared" si="3"/>
        <v>0</v>
      </c>
      <c r="J461" s="1">
        <f>IFERROR(VALUE(SUBSTITUTE(VLOOKUP(A461,'Sales IN Revenues vs Sales targ'!A:G,6,false)," $","")), "")
</f>
        <v>0</v>
      </c>
      <c r="K461" s="1">
        <f>IFERROR(VALUE(SUBSTITUTE(VLOOKUP(A461,'Sales IN Revenues vs Sales targ'!A:G,7,false)," $","")), "")
</f>
        <v>0</v>
      </c>
      <c r="L461" s="17" t="str">
        <f t="shared" si="4"/>
        <v/>
      </c>
      <c r="M461" s="1">
        <f>value(SUBSTITUTE(IFERROR(VLOOKUP(A461,'Certifications achievements vs '!A:G,6,false),""),"#","")
)</f>
        <v>0</v>
      </c>
      <c r="N461" s="1">
        <f>value(SUBSTITUTE(IFERROR(VLOOKUP(A461,'Certifications achievements vs '!A:G,7,false),""),"#","")
)</f>
        <v>0</v>
      </c>
      <c r="O461" s="17" t="str">
        <f t="shared" si="5"/>
        <v/>
      </c>
      <c r="P461" s="1">
        <f>value(SUBSTITUTE(IFERROR(VLOOKUP(A461,'Communications - Solution Speci'!A:G,6,false),""),"#","")
)</f>
        <v>0</v>
      </c>
      <c r="Q461" s="1">
        <f>value(SUBSTITUTE(IFERROR(VLOOKUP(A461,'Communications - Solution Speci'!A:G,7,false),""),"#","")
)</f>
        <v>1</v>
      </c>
      <c r="R461" s="17">
        <f t="shared" si="6"/>
        <v>0</v>
      </c>
      <c r="S461" s="1">
        <f>value(SUBSTITUTE(IFERROR(VLOOKUP(A461,'Networking - Solution Specializ'!A:G,6,false),""),"#","")
)</f>
        <v>0</v>
      </c>
      <c r="T461" s="1">
        <f>value(SUBSTITUTE(IFERROR(VLOOKUP(A461,'Networking - Solution Specializ'!A:G,7,false),""),"#","")
)</f>
        <v>1</v>
      </c>
      <c r="U461" s="17">
        <f t="shared" si="7"/>
        <v>0</v>
      </c>
      <c r="V461" s="1">
        <f>iferror(vlookup(A461,'Marketing Plan (extract summary'!A:G,6,false),"")</f>
        <v>0</v>
      </c>
      <c r="W461" s="1">
        <f>iferror(vlookup(A461,'Marketing Plan (extract summary'!A:G,7,false),"")</f>
        <v>1</v>
      </c>
      <c r="X461" s="17">
        <f t="shared" si="8"/>
        <v>0</v>
      </c>
      <c r="Y461" s="1">
        <f>value(IFERROR(SUBSTITUTE(SUBSTITUTE(VLOOKUP(A461,'Quarterly Pipeline vs Target Pi'!A:G,6,false)," $","")," €",""), "")
)</f>
        <v>229.35</v>
      </c>
      <c r="Z461" s="1">
        <f>value(IFERROR(SUBSTITUTE(SUBSTITUTE(VLOOKUP(A461,'Quarterly Pipeline vs Target Pi'!A:G,7,false)," $","")," €",""), "")
)</f>
        <v>0</v>
      </c>
      <c r="AA461" s="17" t="str">
        <f t="shared" si="9"/>
        <v/>
      </c>
      <c r="AB461" s="1">
        <f>value(IFERROR(SUBSTITUTE(SUBSTITUTE(VLOOKUP($A461,'Quarterly Pipeline vs Target Pi'!$A:$V,11,false)," $","")," €",""), "")
)</f>
        <v>42.65</v>
      </c>
      <c r="AC461" s="1">
        <f>value(IFERROR(SUBSTITUTE(SUBSTITUTE(VLOOKUP($A461,'Quarterly Pipeline vs Target Pi'!$A:$V,12,false)," $","")," €",""), "")
)</f>
        <v>0</v>
      </c>
      <c r="AD461" s="17" t="str">
        <f t="shared" si="10"/>
        <v/>
      </c>
      <c r="AE461" s="1">
        <f>value(IFERROR(SUBSTITUTE(SUBSTITUTE(VLOOKUP($A461,'Quarterly Pipeline vs Target Pi'!$A:$V,16,false)," $","")," €",""), "")
)</f>
        <v>203.57</v>
      </c>
      <c r="AF461" s="1">
        <f>value(IFERROR(SUBSTITUTE(SUBSTITUTE(VLOOKUP($A461,'Quarterly Pipeline vs Target Pi'!$A:$V,17,false)," $","")," €",""), "")
)</f>
        <v>0</v>
      </c>
      <c r="AG461" s="17" t="str">
        <f t="shared" si="11"/>
        <v/>
      </c>
      <c r="AH461" s="1">
        <f>value(IFERROR(SUBSTITUTE(SUBSTITUTE(VLOOKUP($A461,'Quarterly Pipeline vs Target Pi'!$A:$V,21,false)," $","")," €",""), "")
)</f>
        <v>386.29</v>
      </c>
      <c r="AI461" s="1">
        <f>value(IFERROR(SUBSTITUTE(SUBSTITUTE(VLOOKUP($A461,'Quarterly Pipeline vs Target Pi'!$A:$V,22,false)," $","")," €",""), "")
)</f>
        <v>0</v>
      </c>
      <c r="AJ461" s="17" t="str">
        <f t="shared" si="12"/>
        <v/>
      </c>
      <c r="AK461" s="1">
        <f t="shared" ref="AK461:AL461" si="935">sum(Y461,AB461,AE461,AH461)</f>
        <v>861.86</v>
      </c>
      <c r="AL461" s="1">
        <f t="shared" si="935"/>
        <v>0</v>
      </c>
      <c r="AM461" s="17" t="str">
        <f t="shared" si="14"/>
        <v/>
      </c>
      <c r="AN461" s="1">
        <f>value(IFERROR(SUBSTITUTE(SUBSTITUTE(VLOOKUP($A461,'Quarterly Pipeline vs Target Pi'!$A:$AP,26,false)," $","")," €",""), "")
)</f>
        <v>0</v>
      </c>
      <c r="AO461" s="1">
        <f>value(IFERROR(SUBSTITUTE(SUBSTITUTE(VLOOKUP($A461,'Quarterly Pipeline vs Target Pi'!$A:$AP,27,false)," $","")," €",""), "")
)</f>
        <v>0</v>
      </c>
      <c r="AP461" s="17" t="str">
        <f t="shared" si="15"/>
        <v/>
      </c>
      <c r="AQ461" s="1">
        <f>value(IFERROR(SUBSTITUTE(SUBSTITUTE(VLOOKUP($A461,'Quarterly Pipeline vs Target Pi'!$A:$AP,31,false)," $","")," €",""), "")
)</f>
        <v>0</v>
      </c>
      <c r="AR461" s="1">
        <f>value(IFERROR(SUBSTITUTE(SUBSTITUTE(VLOOKUP($A461,'Quarterly Pipeline vs Target Pi'!$A:$AP,32,false)," $","")," €",""), "")
)</f>
        <v>0</v>
      </c>
      <c r="AS461" s="17" t="str">
        <f t="shared" si="16"/>
        <v/>
      </c>
      <c r="AT461" s="1">
        <f>value(IFERROR(SUBSTITUTE(SUBSTITUTE(VLOOKUP($A461,'Quarterly Pipeline vs Target Pi'!$A:$AP,36,false)," $","")," €",""), "")
)</f>
        <v>589.85</v>
      </c>
      <c r="AU461" s="1">
        <f>value(IFERROR(SUBSTITUTE(SUBSTITUTE(VLOOKUP($A461,'Quarterly Pipeline vs Target Pi'!$A:$AP,37,false)," $","")," €",""), "")
)</f>
        <v>0</v>
      </c>
      <c r="AV461" s="17" t="str">
        <f t="shared" si="17"/>
        <v/>
      </c>
      <c r="AW461" s="1">
        <f>value(IFERROR(SUBSTITUTE(SUBSTITUTE(VLOOKUP($A461,'Quarterly Pipeline vs Target Pi'!$A:$AP,41,false)," $","")," €",""), "")
)</f>
        <v>0</v>
      </c>
      <c r="AX461" s="1">
        <f>value(IFERROR(SUBSTITUTE(SUBSTITUTE(VLOOKUP($A461,'Quarterly Pipeline vs Target Pi'!$A:$AP,42,false)," $","")," €",""), "")
)</f>
        <v>0</v>
      </c>
      <c r="AY461" s="17" t="str">
        <f t="shared" si="18"/>
        <v/>
      </c>
      <c r="AZ461" s="1">
        <f t="shared" ref="AZ461:BA461" si="936">sum(AN461,AQ461,AT461,AW461)</f>
        <v>589.85</v>
      </c>
      <c r="BA461" s="1">
        <f t="shared" si="936"/>
        <v>0</v>
      </c>
      <c r="BB461" s="17" t="str">
        <f t="shared" si="20"/>
        <v/>
      </c>
    </row>
    <row r="462">
      <c r="A462" s="1" t="str">
        <f>IFERROR(__xludf.DUMMYFUNCTION("""COMPUTED_VALUE"""),"67696ca3559b05e1b3063c22")</f>
        <v>67696ca3559b05e1b3063c22</v>
      </c>
      <c r="B462" s="1" t="str">
        <f>IFERROR(__xludf.DUMMYFUNCTION("""COMPUTED_VALUE"""),"Tridon")</f>
        <v>Tridon</v>
      </c>
      <c r="C462" s="1" t="str">
        <f>IFERROR(__xludf.DUMMYFUNCTION("""COMPUTED_VALUE"""),"philippe.girard@al-enterprise.com, rui.silva@al-enterprise.com, nuno.ribas@al-enterprise.com, tracy.dupree@al-enterprise.com")</f>
        <v>philippe.girard@al-enterprise.com, rui.silva@al-enterprise.com, nuno.ribas@al-enterprise.com, tracy.dupree@al-enterprise.com</v>
      </c>
      <c r="D462" s="1" t="str">
        <f>IFERROR(__xludf.DUMMYFUNCTION("""COMPUTED_VALUE"""),"americas")</f>
        <v>americas</v>
      </c>
      <c r="E462" s="1" t="str">
        <f>IFERROR(__xludf.DUMMYFUNCTION("""COMPUTED_VALUE"""),"CA")</f>
        <v>CA</v>
      </c>
      <c r="F462" s="1" t="str">
        <f>IFERROR(__xludf.DUMMYFUNCTION("""COMPUTED_VALUE"""),"expert_200")</f>
        <v>expert_200</v>
      </c>
      <c r="G462" s="1">
        <f>iferror(VLOOKUP(A462,'Business Plan Setup and Accepta'!A:G,6,false),"")</f>
        <v>0</v>
      </c>
      <c r="H462" s="1">
        <f>iferror(VLOOKUP(A462,'Business Plan Setup and Accepta'!A:G,7,false),"")</f>
        <v>1</v>
      </c>
      <c r="I462" s="17">
        <f t="shared" si="3"/>
        <v>0</v>
      </c>
      <c r="J462" s="1">
        <f>IFERROR(VALUE(SUBSTITUTE(VLOOKUP(A462,'Sales IN Revenues vs Sales targ'!A:G,6,false)," $","")), "")
</f>
        <v>0</v>
      </c>
      <c r="K462" s="1">
        <f>IFERROR(VALUE(SUBSTITUTE(VLOOKUP(A462,'Sales IN Revenues vs Sales targ'!A:G,7,false)," $","")), "")
</f>
        <v>100</v>
      </c>
      <c r="L462" s="17">
        <f t="shared" si="4"/>
        <v>0</v>
      </c>
      <c r="M462" s="1">
        <f>value(SUBSTITUTE(IFERROR(VLOOKUP(A462,'Certifications achievements vs '!A:G,6,false),""),"#","")
)</f>
        <v>0</v>
      </c>
      <c r="N462" s="1">
        <f>value(SUBSTITUTE(IFERROR(VLOOKUP(A462,'Certifications achievements vs '!A:G,7,false),""),"#","")
)</f>
        <v>0</v>
      </c>
      <c r="O462" s="17" t="str">
        <f t="shared" si="5"/>
        <v/>
      </c>
      <c r="P462" s="1">
        <f>value(SUBSTITUTE(IFERROR(VLOOKUP(A462,'Communications - Solution Speci'!A:G,6,false),""),"#","")
)</f>
        <v>0</v>
      </c>
      <c r="Q462" s="1">
        <f>value(SUBSTITUTE(IFERROR(VLOOKUP(A462,'Communications - Solution Speci'!A:G,7,false),""),"#","")
)</f>
        <v>1</v>
      </c>
      <c r="R462" s="17">
        <f t="shared" si="6"/>
        <v>0</v>
      </c>
      <c r="S462" s="1">
        <f>value(SUBSTITUTE(IFERROR(VLOOKUP(A462,'Networking - Solution Specializ'!A:G,6,false),""),"#","")
)</f>
        <v>0</v>
      </c>
      <c r="T462" s="1">
        <f>value(SUBSTITUTE(IFERROR(VLOOKUP(A462,'Networking - Solution Specializ'!A:G,7,false),""),"#","")
)</f>
        <v>1</v>
      </c>
      <c r="U462" s="17">
        <f t="shared" si="7"/>
        <v>0</v>
      </c>
      <c r="V462" s="1">
        <f>iferror(vlookup(A462,'Marketing Plan (extract summary'!A:G,6,false),"")</f>
        <v>0</v>
      </c>
      <c r="W462" s="1">
        <f>iferror(vlookup(A462,'Marketing Plan (extract summary'!A:G,7,false),"")</f>
        <v>1</v>
      </c>
      <c r="X462" s="17">
        <f t="shared" si="8"/>
        <v>0</v>
      </c>
      <c r="Y462" s="1">
        <f>value(IFERROR(SUBSTITUTE(SUBSTITUTE(VLOOKUP(A462,'Quarterly Pipeline vs Target Pi'!A:G,6,false)," $","")," €",""), "")
)</f>
        <v>209.7</v>
      </c>
      <c r="Z462" s="1">
        <f>value(IFERROR(SUBSTITUTE(SUBSTITUTE(VLOOKUP(A462,'Quarterly Pipeline vs Target Pi'!A:G,7,false)," $","")," €",""), "")
)</f>
        <v>0</v>
      </c>
      <c r="AA462" s="17" t="str">
        <f t="shared" si="9"/>
        <v/>
      </c>
      <c r="AB462" s="1">
        <f>value(IFERROR(SUBSTITUTE(SUBSTITUTE(VLOOKUP($A462,'Quarterly Pipeline vs Target Pi'!$A:$V,11,false)," $","")," €",""), "")
)</f>
        <v>1599.98</v>
      </c>
      <c r="AC462" s="1">
        <f>value(IFERROR(SUBSTITUTE(SUBSTITUTE(VLOOKUP($A462,'Quarterly Pipeline vs Target Pi'!$A:$V,12,false)," $","")," €",""), "")
)</f>
        <v>116.64</v>
      </c>
      <c r="AD462" s="17">
        <f t="shared" si="10"/>
        <v>13.71724966</v>
      </c>
      <c r="AE462" s="1">
        <f>value(IFERROR(SUBSTITUTE(SUBSTITUTE(VLOOKUP($A462,'Quarterly Pipeline vs Target Pi'!$A:$V,16,false)," $","")," €",""), "")
)</f>
        <v>1929.65</v>
      </c>
      <c r="AF462" s="1">
        <f>value(IFERROR(SUBSTITUTE(SUBSTITUTE(VLOOKUP($A462,'Quarterly Pipeline vs Target Pi'!$A:$V,17,false)," $","")," €",""), "")
)</f>
        <v>83.34</v>
      </c>
      <c r="AG462" s="17">
        <f t="shared" si="11"/>
        <v>23.15394768</v>
      </c>
      <c r="AH462" s="1">
        <f>value(IFERROR(SUBSTITUTE(SUBSTITUTE(VLOOKUP($A462,'Quarterly Pipeline vs Target Pi'!$A:$V,21,false)," $","")," €",""), "")
)</f>
        <v>1599.98</v>
      </c>
      <c r="AI462" s="1">
        <f>value(IFERROR(SUBSTITUTE(SUBSTITUTE(VLOOKUP($A462,'Quarterly Pipeline vs Target Pi'!$A:$V,22,false)," $","")," €",""), "")
)</f>
        <v>133.32</v>
      </c>
      <c r="AJ462" s="17">
        <f t="shared" si="12"/>
        <v>12.00105011</v>
      </c>
      <c r="AK462" s="1">
        <f t="shared" ref="AK462:AL462" si="937">sum(Y462,AB462,AE462,AH462)</f>
        <v>5339.31</v>
      </c>
      <c r="AL462" s="1">
        <f t="shared" si="937"/>
        <v>333.3</v>
      </c>
      <c r="AM462" s="17">
        <f t="shared" si="14"/>
        <v>16.01953195</v>
      </c>
      <c r="AN462" s="1">
        <f>value(IFERROR(SUBSTITUTE(SUBSTITUTE(VLOOKUP($A462,'Quarterly Pipeline vs Target Pi'!$A:$AP,26,false)," $","")," €",""), "")
)</f>
        <v>0</v>
      </c>
      <c r="AO462" s="1">
        <f>value(IFERROR(SUBSTITUTE(SUBSTITUTE(VLOOKUP($A462,'Quarterly Pipeline vs Target Pi'!$A:$AP,27,false)," $","")," €",""), "")
)</f>
        <v>0</v>
      </c>
      <c r="AP462" s="17" t="str">
        <f t="shared" si="15"/>
        <v/>
      </c>
      <c r="AQ462" s="1">
        <f>value(IFERROR(SUBSTITUTE(SUBSTITUTE(VLOOKUP($A462,'Quarterly Pipeline vs Target Pi'!$A:$AP,31,false)," $","")," €",""), "")
)</f>
        <v>0</v>
      </c>
      <c r="AR462" s="1">
        <f>value(IFERROR(SUBSTITUTE(SUBSTITUTE(VLOOKUP($A462,'Quarterly Pipeline vs Target Pi'!$A:$AP,32,false)," $","")," €",""), "")
)</f>
        <v>0</v>
      </c>
      <c r="AS462" s="17" t="str">
        <f t="shared" si="16"/>
        <v/>
      </c>
      <c r="AT462" s="1">
        <f>value(IFERROR(SUBSTITUTE(SUBSTITUTE(VLOOKUP($A462,'Quarterly Pipeline vs Target Pi'!$A:$AP,36,false)," $","")," €",""), "")
)</f>
        <v>0</v>
      </c>
      <c r="AU462" s="1">
        <f>value(IFERROR(SUBSTITUTE(SUBSTITUTE(VLOOKUP($A462,'Quarterly Pipeline vs Target Pi'!$A:$AP,37,false)," $","")," €",""), "")
)</f>
        <v>0</v>
      </c>
      <c r="AV462" s="17" t="str">
        <f t="shared" si="17"/>
        <v/>
      </c>
      <c r="AW462" s="1">
        <f>value(IFERROR(SUBSTITUTE(SUBSTITUTE(VLOOKUP($A462,'Quarterly Pipeline vs Target Pi'!$A:$AP,41,false)," $","")," €",""), "")
)</f>
        <v>0</v>
      </c>
      <c r="AX462" s="1">
        <f>value(IFERROR(SUBSTITUTE(SUBSTITUTE(VLOOKUP($A462,'Quarterly Pipeline vs Target Pi'!$A:$AP,42,false)," $","")," €",""), "")
)</f>
        <v>0</v>
      </c>
      <c r="AY462" s="17" t="str">
        <f t="shared" si="18"/>
        <v/>
      </c>
      <c r="AZ462" s="1">
        <f t="shared" ref="AZ462:BA462" si="938">sum(AN462,AQ462,AT462,AW462)</f>
        <v>0</v>
      </c>
      <c r="BA462" s="1">
        <f t="shared" si="938"/>
        <v>0</v>
      </c>
      <c r="BB462" s="17" t="str">
        <f t="shared" si="20"/>
        <v/>
      </c>
    </row>
    <row r="463">
      <c r="A463" s="1" t="str">
        <f>IFERROR(__xludf.DUMMYFUNCTION("""COMPUTED_VALUE"""),"67a4e49bb05936bb7003d3eb")</f>
        <v>67a4e49bb05936bb7003d3eb</v>
      </c>
      <c r="B463" s="1" t="str">
        <f>IFERROR(__xludf.DUMMYFUNCTION("""COMPUTED_VALUE"""),"TRL Systems, Inc.")</f>
        <v>TRL Systems, Inc.</v>
      </c>
      <c r="C463" s="1" t="str">
        <f>IFERROR(__xludf.DUMMYFUNCTION("""COMPUTED_VALUE"""),"bill.rademacher@al-enterprise.com")</f>
        <v>bill.rademacher@al-enterprise.com</v>
      </c>
      <c r="D463" s="1" t="str">
        <f>IFERROR(__xludf.DUMMYFUNCTION("""COMPUTED_VALUE"""),"americas")</f>
        <v>americas</v>
      </c>
      <c r="E463" s="1" t="str">
        <f>IFERROR(__xludf.DUMMYFUNCTION("""COMPUTED_VALUE"""),"US")</f>
        <v>US</v>
      </c>
      <c r="F463" s="1" t="str">
        <f>IFERROR(__xludf.DUMMYFUNCTION("""COMPUTED_VALUE"""),"expert_200")</f>
        <v>expert_200</v>
      </c>
      <c r="G463" s="1">
        <f>iferror(VLOOKUP(A463,'Business Plan Setup and Accepta'!A:G,6,false),"")</f>
        <v>0</v>
      </c>
      <c r="H463" s="1">
        <f>iferror(VLOOKUP(A463,'Business Plan Setup and Accepta'!A:G,7,false),"")</f>
        <v>1</v>
      </c>
      <c r="I463" s="17">
        <f t="shared" si="3"/>
        <v>0</v>
      </c>
      <c r="J463" s="1">
        <f>IFERROR(VALUE(SUBSTITUTE(VLOOKUP(A463,'Sales IN Revenues vs Sales targ'!A:G,6,false)," $","")), "")
</f>
        <v>0</v>
      </c>
      <c r="K463" s="1">
        <f>IFERROR(VALUE(SUBSTITUTE(VLOOKUP(A463,'Sales IN Revenues vs Sales targ'!A:G,7,false)," $","")), "")
</f>
        <v>0</v>
      </c>
      <c r="L463" s="17" t="str">
        <f t="shared" si="4"/>
        <v/>
      </c>
      <c r="M463" s="1">
        <f>value(SUBSTITUTE(IFERROR(VLOOKUP(A463,'Certifications achievements vs '!A:G,6,false),""),"#","")
)</f>
        <v>0</v>
      </c>
      <c r="N463" s="1">
        <f>value(SUBSTITUTE(IFERROR(VLOOKUP(A463,'Certifications achievements vs '!A:G,7,false),""),"#","")
)</f>
        <v>0</v>
      </c>
      <c r="O463" s="17" t="str">
        <f t="shared" si="5"/>
        <v/>
      </c>
      <c r="P463" s="1">
        <f>value(SUBSTITUTE(IFERROR(VLOOKUP(A463,'Communications - Solution Speci'!A:G,6,false),""),"#","")
)</f>
        <v>0</v>
      </c>
      <c r="Q463" s="1">
        <f>value(SUBSTITUTE(IFERROR(VLOOKUP(A463,'Communications - Solution Speci'!A:G,7,false),""),"#","")
)</f>
        <v>1</v>
      </c>
      <c r="R463" s="17">
        <f t="shared" si="6"/>
        <v>0</v>
      </c>
      <c r="S463" s="1">
        <f>value(SUBSTITUTE(IFERROR(VLOOKUP(A463,'Networking - Solution Specializ'!A:G,6,false),""),"#","")
)</f>
        <v>0</v>
      </c>
      <c r="T463" s="1">
        <f>value(SUBSTITUTE(IFERROR(VLOOKUP(A463,'Networking - Solution Specializ'!A:G,7,false),""),"#","")
)</f>
        <v>1</v>
      </c>
      <c r="U463" s="17">
        <f t="shared" si="7"/>
        <v>0</v>
      </c>
      <c r="V463" s="1">
        <f>iferror(vlookup(A463,'Marketing Plan (extract summary'!A:G,6,false),"")</f>
        <v>0</v>
      </c>
      <c r="W463" s="1">
        <f>iferror(vlookup(A463,'Marketing Plan (extract summary'!A:G,7,false),"")</f>
        <v>1</v>
      </c>
      <c r="X463" s="17">
        <f t="shared" si="8"/>
        <v>0</v>
      </c>
      <c r="Y463" s="1">
        <f>value(IFERROR(SUBSTITUTE(SUBSTITUTE(VLOOKUP(A463,'Quarterly Pipeline vs Target Pi'!A:G,6,false)," $","")," €",""), "")
)</f>
        <v>30</v>
      </c>
      <c r="Z463" s="1">
        <f>value(IFERROR(SUBSTITUTE(SUBSTITUTE(VLOOKUP(A463,'Quarterly Pipeline vs Target Pi'!A:G,7,false)," $","")," €",""), "")
)</f>
        <v>0</v>
      </c>
      <c r="AA463" s="17" t="str">
        <f t="shared" si="9"/>
        <v/>
      </c>
      <c r="AB463" s="1">
        <f>value(IFERROR(SUBSTITUTE(SUBSTITUTE(VLOOKUP($A463,'Quarterly Pipeline vs Target Pi'!$A:$V,11,false)," $","")," €",""), "")
)</f>
        <v>11.13</v>
      </c>
      <c r="AC463" s="1">
        <f>value(IFERROR(SUBSTITUTE(SUBSTITUTE(VLOOKUP($A463,'Quarterly Pipeline vs Target Pi'!$A:$V,12,false)," $","")," €",""), "")
)</f>
        <v>0</v>
      </c>
      <c r="AD463" s="17" t="str">
        <f t="shared" si="10"/>
        <v/>
      </c>
      <c r="AE463" s="1">
        <f>value(IFERROR(SUBSTITUTE(SUBSTITUTE(VLOOKUP($A463,'Quarterly Pipeline vs Target Pi'!$A:$V,16,false)," $","")," €",""), "")
)</f>
        <v>30</v>
      </c>
      <c r="AF463" s="1">
        <f>value(IFERROR(SUBSTITUTE(SUBSTITUTE(VLOOKUP($A463,'Quarterly Pipeline vs Target Pi'!$A:$V,17,false)," $","")," €",""), "")
)</f>
        <v>0</v>
      </c>
      <c r="AG463" s="17" t="str">
        <f t="shared" si="11"/>
        <v/>
      </c>
      <c r="AH463" s="1">
        <f>value(IFERROR(SUBSTITUTE(SUBSTITUTE(VLOOKUP($A463,'Quarterly Pipeline vs Target Pi'!$A:$V,21,false)," $","")," €",""), "")
)</f>
        <v>11.13</v>
      </c>
      <c r="AI463" s="1">
        <f>value(IFERROR(SUBSTITUTE(SUBSTITUTE(VLOOKUP($A463,'Quarterly Pipeline vs Target Pi'!$A:$V,22,false)," $","")," €",""), "")
)</f>
        <v>0</v>
      </c>
      <c r="AJ463" s="17" t="str">
        <f t="shared" si="12"/>
        <v/>
      </c>
      <c r="AK463" s="1">
        <f t="shared" ref="AK463:AL463" si="939">sum(Y463,AB463,AE463,AH463)</f>
        <v>82.26</v>
      </c>
      <c r="AL463" s="1">
        <f t="shared" si="939"/>
        <v>0</v>
      </c>
      <c r="AM463" s="17" t="str">
        <f t="shared" si="14"/>
        <v/>
      </c>
      <c r="AN463" s="1">
        <f>value(IFERROR(SUBSTITUTE(SUBSTITUTE(VLOOKUP($A463,'Quarterly Pipeline vs Target Pi'!$A:$AP,26,false)," $","")," €",""), "")
)</f>
        <v>0</v>
      </c>
      <c r="AO463" s="1">
        <f>value(IFERROR(SUBSTITUTE(SUBSTITUTE(VLOOKUP($A463,'Quarterly Pipeline vs Target Pi'!$A:$AP,27,false)," $","")," €",""), "")
)</f>
        <v>0</v>
      </c>
      <c r="AP463" s="17" t="str">
        <f t="shared" si="15"/>
        <v/>
      </c>
      <c r="AQ463" s="1">
        <f>value(IFERROR(SUBSTITUTE(SUBSTITUTE(VLOOKUP($A463,'Quarterly Pipeline vs Target Pi'!$A:$AP,31,false)," $","")," €",""), "")
)</f>
        <v>0</v>
      </c>
      <c r="AR463" s="1">
        <f>value(IFERROR(SUBSTITUTE(SUBSTITUTE(VLOOKUP($A463,'Quarterly Pipeline vs Target Pi'!$A:$AP,32,false)," $","")," €",""), "")
)</f>
        <v>0</v>
      </c>
      <c r="AS463" s="17" t="str">
        <f t="shared" si="16"/>
        <v/>
      </c>
      <c r="AT463" s="1">
        <f>value(IFERROR(SUBSTITUTE(SUBSTITUTE(VLOOKUP($A463,'Quarterly Pipeline vs Target Pi'!$A:$AP,36,false)," $","")," €",""), "")
)</f>
        <v>0</v>
      </c>
      <c r="AU463" s="1">
        <f>value(IFERROR(SUBSTITUTE(SUBSTITUTE(VLOOKUP($A463,'Quarterly Pipeline vs Target Pi'!$A:$AP,37,false)," $","")," €",""), "")
)</f>
        <v>0</v>
      </c>
      <c r="AV463" s="17" t="str">
        <f t="shared" si="17"/>
        <v/>
      </c>
      <c r="AW463" s="1">
        <f>value(IFERROR(SUBSTITUTE(SUBSTITUTE(VLOOKUP($A463,'Quarterly Pipeline vs Target Pi'!$A:$AP,41,false)," $","")," €",""), "")
)</f>
        <v>0</v>
      </c>
      <c r="AX463" s="1">
        <f>value(IFERROR(SUBSTITUTE(SUBSTITUTE(VLOOKUP($A463,'Quarterly Pipeline vs Target Pi'!$A:$AP,42,false)," $","")," €",""), "")
)</f>
        <v>0</v>
      </c>
      <c r="AY463" s="17" t="str">
        <f t="shared" si="18"/>
        <v/>
      </c>
      <c r="AZ463" s="1">
        <f t="shared" ref="AZ463:BA463" si="940">sum(AN463,AQ463,AT463,AW463)</f>
        <v>0</v>
      </c>
      <c r="BA463" s="1">
        <f t="shared" si="940"/>
        <v>0</v>
      </c>
      <c r="BB463" s="17" t="str">
        <f t="shared" si="20"/>
        <v/>
      </c>
    </row>
    <row r="464">
      <c r="A464" s="1" t="str">
        <f>IFERROR(__xludf.DUMMYFUNCTION("""COMPUTED_VALUE"""),"63ea6e9452ad6968805cec15")</f>
        <v>63ea6e9452ad6968805cec15</v>
      </c>
      <c r="B464" s="1" t="str">
        <f>IFERROR(__xludf.DUMMYFUNCTION("""COMPUTED_VALUE"""),"true networks e.K.")</f>
        <v>true networks e.K.</v>
      </c>
      <c r="C464" s="1" t="str">
        <f>IFERROR(__xludf.DUMMYFUNCTION("""COMPUTED_VALUE"""),"ralf.kloeppels@al-enterprise.com, andreas.grossheimann@al-enterprise.com")</f>
        <v>ralf.kloeppels@al-enterprise.com, andreas.grossheimann@al-enterprise.com</v>
      </c>
      <c r="D464" s="1" t="str">
        <f>IFERROR(__xludf.DUMMYFUNCTION("""COMPUTED_VALUE"""),"germany")</f>
        <v>germany</v>
      </c>
      <c r="E464" s="1" t="str">
        <f>IFERROR(__xludf.DUMMYFUNCTION("""COMPUTED_VALUE"""),"DE")</f>
        <v>DE</v>
      </c>
      <c r="F464" s="1"/>
      <c r="G464" s="1" t="str">
        <f>iferror(VLOOKUP(A464,'Business Plan Setup and Accepta'!A:G,6,false),"")</f>
        <v/>
      </c>
      <c r="H464" s="1" t="str">
        <f>iferror(VLOOKUP(A464,'Business Plan Setup and Accepta'!A:G,7,false),"")</f>
        <v/>
      </c>
      <c r="I464" s="17" t="str">
        <f t="shared" si="3"/>
        <v/>
      </c>
      <c r="J464" s="1" t="str">
        <f>IFERROR(VALUE(SUBSTITUTE(VLOOKUP(A464,'Sales IN Revenues vs Sales targ'!A:G,6,false)," $","")), "")
</f>
        <v/>
      </c>
      <c r="K464" s="1" t="str">
        <f>IFERROR(VALUE(SUBSTITUTE(VLOOKUP(A464,'Sales IN Revenues vs Sales targ'!A:G,7,false)," $","")), "")
</f>
        <v/>
      </c>
      <c r="L464" s="17" t="str">
        <f t="shared" si="4"/>
        <v/>
      </c>
      <c r="M464" s="1">
        <f>value(SUBSTITUTE(IFERROR(VLOOKUP(A464,'Certifications achievements vs '!A:G,6,false),""),"#","")
)</f>
        <v>0</v>
      </c>
      <c r="N464" s="1">
        <f>value(SUBSTITUTE(IFERROR(VLOOKUP(A464,'Certifications achievements vs '!A:G,7,false),""),"#","")
)</f>
        <v>0</v>
      </c>
      <c r="O464" s="17" t="str">
        <f t="shared" si="5"/>
        <v/>
      </c>
      <c r="P464" s="1">
        <f>value(SUBSTITUTE(IFERROR(VLOOKUP(A464,'Communications - Solution Speci'!A:G,6,false),""),"#","")
)</f>
        <v>0</v>
      </c>
      <c r="Q464" s="1">
        <f>value(SUBSTITUTE(IFERROR(VLOOKUP(A464,'Communications - Solution Speci'!A:G,7,false),""),"#","")
)</f>
        <v>0</v>
      </c>
      <c r="R464" s="17" t="str">
        <f t="shared" si="6"/>
        <v/>
      </c>
      <c r="S464" s="1">
        <f>value(SUBSTITUTE(IFERROR(VLOOKUP(A464,'Networking - Solution Specializ'!A:G,6,false),""),"#","")
)</f>
        <v>0</v>
      </c>
      <c r="T464" s="1">
        <f>value(SUBSTITUTE(IFERROR(VLOOKUP(A464,'Networking - Solution Specializ'!A:G,7,false),""),"#","")
)</f>
        <v>0</v>
      </c>
      <c r="U464" s="17" t="str">
        <f t="shared" si="7"/>
        <v/>
      </c>
      <c r="V464" s="1" t="str">
        <f>iferror(vlookup(A464,'Marketing Plan (extract summary'!A:G,6,false),"")</f>
        <v/>
      </c>
      <c r="W464" s="1" t="str">
        <f>iferror(vlookup(A464,'Marketing Plan (extract summary'!A:G,7,false),"")</f>
        <v/>
      </c>
      <c r="X464" s="17" t="str">
        <f t="shared" si="8"/>
        <v/>
      </c>
      <c r="Y464" s="1">
        <f>value(IFERROR(SUBSTITUTE(SUBSTITUTE(VLOOKUP(A464,'Quarterly Pipeline vs Target Pi'!A:G,6,false)," $","")," €",""), "")
)</f>
        <v>0</v>
      </c>
      <c r="Z464" s="1">
        <f>value(IFERROR(SUBSTITUTE(SUBSTITUTE(VLOOKUP(A464,'Quarterly Pipeline vs Target Pi'!A:G,7,false)," $","")," €",""), "")
)</f>
        <v>0</v>
      </c>
      <c r="AA464" s="17" t="str">
        <f t="shared" si="9"/>
        <v/>
      </c>
      <c r="AB464" s="1">
        <f>value(IFERROR(SUBSTITUTE(SUBSTITUTE(VLOOKUP($A464,'Quarterly Pipeline vs Target Pi'!$A:$V,11,false)," $","")," €",""), "")
)</f>
        <v>0</v>
      </c>
      <c r="AC464" s="1">
        <f>value(IFERROR(SUBSTITUTE(SUBSTITUTE(VLOOKUP($A464,'Quarterly Pipeline vs Target Pi'!$A:$V,12,false)," $","")," €",""), "")
)</f>
        <v>0</v>
      </c>
      <c r="AD464" s="17" t="str">
        <f t="shared" si="10"/>
        <v/>
      </c>
      <c r="AE464" s="1">
        <f>value(IFERROR(SUBSTITUTE(SUBSTITUTE(VLOOKUP($A464,'Quarterly Pipeline vs Target Pi'!$A:$V,16,false)," $","")," €",""), "")
)</f>
        <v>0</v>
      </c>
      <c r="AF464" s="1">
        <f>value(IFERROR(SUBSTITUTE(SUBSTITUTE(VLOOKUP($A464,'Quarterly Pipeline vs Target Pi'!$A:$V,17,false)," $","")," €",""), "")
)</f>
        <v>0</v>
      </c>
      <c r="AG464" s="17" t="str">
        <f t="shared" si="11"/>
        <v/>
      </c>
      <c r="AH464" s="1">
        <f>value(IFERROR(SUBSTITUTE(SUBSTITUTE(VLOOKUP($A464,'Quarterly Pipeline vs Target Pi'!$A:$V,21,false)," $","")," €",""), "")
)</f>
        <v>0</v>
      </c>
      <c r="AI464" s="1">
        <f>value(IFERROR(SUBSTITUTE(SUBSTITUTE(VLOOKUP($A464,'Quarterly Pipeline vs Target Pi'!$A:$V,22,false)," $","")," €",""), "")
)</f>
        <v>0</v>
      </c>
      <c r="AJ464" s="17" t="str">
        <f t="shared" si="12"/>
        <v/>
      </c>
      <c r="AK464" s="1">
        <f t="shared" ref="AK464:AL464" si="941">sum(Y464,AB464,AE464,AH464)</f>
        <v>0</v>
      </c>
      <c r="AL464" s="1">
        <f t="shared" si="941"/>
        <v>0</v>
      </c>
      <c r="AM464" s="17" t="str">
        <f t="shared" si="14"/>
        <v/>
      </c>
      <c r="AN464" s="1">
        <f>value(IFERROR(SUBSTITUTE(SUBSTITUTE(VLOOKUP($A464,'Quarterly Pipeline vs Target Pi'!$A:$AP,26,false)," $","")," €",""), "")
)</f>
        <v>0</v>
      </c>
      <c r="AO464" s="1">
        <f>value(IFERROR(SUBSTITUTE(SUBSTITUTE(VLOOKUP($A464,'Quarterly Pipeline vs Target Pi'!$A:$AP,27,false)," $","")," €",""), "")
)</f>
        <v>0</v>
      </c>
      <c r="AP464" s="17" t="str">
        <f t="shared" si="15"/>
        <v/>
      </c>
      <c r="AQ464" s="1">
        <f>value(IFERROR(SUBSTITUTE(SUBSTITUTE(VLOOKUP($A464,'Quarterly Pipeline vs Target Pi'!$A:$AP,31,false)," $","")," €",""), "")
)</f>
        <v>0</v>
      </c>
      <c r="AR464" s="1">
        <f>value(IFERROR(SUBSTITUTE(SUBSTITUTE(VLOOKUP($A464,'Quarterly Pipeline vs Target Pi'!$A:$AP,32,false)," $","")," €",""), "")
)</f>
        <v>0</v>
      </c>
      <c r="AS464" s="17" t="str">
        <f t="shared" si="16"/>
        <v/>
      </c>
      <c r="AT464" s="1">
        <f>value(IFERROR(SUBSTITUTE(SUBSTITUTE(VLOOKUP($A464,'Quarterly Pipeline vs Target Pi'!$A:$AP,36,false)," $","")," €",""), "")
)</f>
        <v>0</v>
      </c>
      <c r="AU464" s="1">
        <f>value(IFERROR(SUBSTITUTE(SUBSTITUTE(VLOOKUP($A464,'Quarterly Pipeline vs Target Pi'!$A:$AP,37,false)," $","")," €",""), "")
)</f>
        <v>0</v>
      </c>
      <c r="AV464" s="17" t="str">
        <f t="shared" si="17"/>
        <v/>
      </c>
      <c r="AW464" s="1">
        <f>value(IFERROR(SUBSTITUTE(SUBSTITUTE(VLOOKUP($A464,'Quarterly Pipeline vs Target Pi'!$A:$AP,41,false)," $","")," €",""), "")
)</f>
        <v>0</v>
      </c>
      <c r="AX464" s="1">
        <f>value(IFERROR(SUBSTITUTE(SUBSTITUTE(VLOOKUP($A464,'Quarterly Pipeline vs Target Pi'!$A:$AP,42,false)," $","")," €",""), "")
)</f>
        <v>0</v>
      </c>
      <c r="AY464" s="17" t="str">
        <f t="shared" si="18"/>
        <v/>
      </c>
      <c r="AZ464" s="1">
        <f t="shared" ref="AZ464:BA464" si="942">sum(AN464,AQ464,AT464,AW464)</f>
        <v>0</v>
      </c>
      <c r="BA464" s="1">
        <f t="shared" si="942"/>
        <v>0</v>
      </c>
      <c r="BB464" s="17" t="str">
        <f t="shared" si="20"/>
        <v/>
      </c>
    </row>
    <row r="465">
      <c r="A465" s="1" t="str">
        <f>IFERROR(__xludf.DUMMYFUNCTION("""COMPUTED_VALUE"""),"63ced84dc5c820531c26977f")</f>
        <v>63ced84dc5c820531c26977f</v>
      </c>
      <c r="B465" s="1" t="str">
        <f>IFERROR(__xludf.DUMMYFUNCTION("""COMPUTED_VALUE"""),"Turtle &amp; Hughes")</f>
        <v>Turtle &amp; Hughes</v>
      </c>
      <c r="C465" s="1" t="str">
        <f>IFERROR(__xludf.DUMMYFUNCTION("""COMPUTED_VALUE"""),"brendan.flaherty@al-enterprise.com")</f>
        <v>brendan.flaherty@al-enterprise.com</v>
      </c>
      <c r="D465" s="1" t="str">
        <f>IFERROR(__xludf.DUMMYFUNCTION("""COMPUTED_VALUE"""),"americas")</f>
        <v>americas</v>
      </c>
      <c r="E465" s="1" t="str">
        <f>IFERROR(__xludf.DUMMYFUNCTION("""COMPUTED_VALUE"""),"US")</f>
        <v>US</v>
      </c>
      <c r="F465" s="1"/>
      <c r="G465" s="1" t="str">
        <f>iferror(VLOOKUP(A465,'Business Plan Setup and Accepta'!A:G,6,false),"")</f>
        <v/>
      </c>
      <c r="H465" s="1" t="str">
        <f>iferror(VLOOKUP(A465,'Business Plan Setup and Accepta'!A:G,7,false),"")</f>
        <v/>
      </c>
      <c r="I465" s="17" t="str">
        <f t="shared" si="3"/>
        <v/>
      </c>
      <c r="J465" s="1" t="str">
        <f>IFERROR(VALUE(SUBSTITUTE(VLOOKUP(A465,'Sales IN Revenues vs Sales targ'!A:G,6,false)," $","")), "")
</f>
        <v/>
      </c>
      <c r="K465" s="1" t="str">
        <f>IFERROR(VALUE(SUBSTITUTE(VLOOKUP(A465,'Sales IN Revenues vs Sales targ'!A:G,7,false)," $","")), "")
</f>
        <v/>
      </c>
      <c r="L465" s="17" t="str">
        <f t="shared" si="4"/>
        <v/>
      </c>
      <c r="M465" s="1">
        <f>value(SUBSTITUTE(IFERROR(VLOOKUP(A465,'Certifications achievements vs '!A:G,6,false),""),"#","")
)</f>
        <v>0</v>
      </c>
      <c r="N465" s="1">
        <f>value(SUBSTITUTE(IFERROR(VLOOKUP(A465,'Certifications achievements vs '!A:G,7,false),""),"#","")
)</f>
        <v>0</v>
      </c>
      <c r="O465" s="17" t="str">
        <f t="shared" si="5"/>
        <v/>
      </c>
      <c r="P465" s="1">
        <f>value(SUBSTITUTE(IFERROR(VLOOKUP(A465,'Communications - Solution Speci'!A:G,6,false),""),"#","")
)</f>
        <v>0</v>
      </c>
      <c r="Q465" s="1">
        <f>value(SUBSTITUTE(IFERROR(VLOOKUP(A465,'Communications - Solution Speci'!A:G,7,false),""),"#","")
)</f>
        <v>0</v>
      </c>
      <c r="R465" s="17" t="str">
        <f t="shared" si="6"/>
        <v/>
      </c>
      <c r="S465" s="1">
        <f>value(SUBSTITUTE(IFERROR(VLOOKUP(A465,'Networking - Solution Specializ'!A:G,6,false),""),"#","")
)</f>
        <v>0</v>
      </c>
      <c r="T465" s="1">
        <f>value(SUBSTITUTE(IFERROR(VLOOKUP(A465,'Networking - Solution Specializ'!A:G,7,false),""),"#","")
)</f>
        <v>0</v>
      </c>
      <c r="U465" s="17" t="str">
        <f t="shared" si="7"/>
        <v/>
      </c>
      <c r="V465" s="1" t="str">
        <f>iferror(vlookup(A465,'Marketing Plan (extract summary'!A:G,6,false),"")</f>
        <v/>
      </c>
      <c r="W465" s="1" t="str">
        <f>iferror(vlookup(A465,'Marketing Plan (extract summary'!A:G,7,false),"")</f>
        <v/>
      </c>
      <c r="X465" s="17" t="str">
        <f t="shared" si="8"/>
        <v/>
      </c>
      <c r="Y465" s="1">
        <f>value(IFERROR(SUBSTITUTE(SUBSTITUTE(VLOOKUP(A465,'Quarterly Pipeline vs Target Pi'!A:G,6,false)," $","")," €",""), "")
)</f>
        <v>0</v>
      </c>
      <c r="Z465" s="1">
        <f>value(IFERROR(SUBSTITUTE(SUBSTITUTE(VLOOKUP(A465,'Quarterly Pipeline vs Target Pi'!A:G,7,false)," $","")," €",""), "")
)</f>
        <v>0</v>
      </c>
      <c r="AA465" s="17" t="str">
        <f t="shared" si="9"/>
        <v/>
      </c>
      <c r="AB465" s="1">
        <f>value(IFERROR(SUBSTITUTE(SUBSTITUTE(VLOOKUP($A465,'Quarterly Pipeline vs Target Pi'!$A:$V,11,false)," $","")," €",""), "")
)</f>
        <v>0</v>
      </c>
      <c r="AC465" s="1">
        <f>value(IFERROR(SUBSTITUTE(SUBSTITUTE(VLOOKUP($A465,'Quarterly Pipeline vs Target Pi'!$A:$V,12,false)," $","")," €",""), "")
)</f>
        <v>0</v>
      </c>
      <c r="AD465" s="17" t="str">
        <f t="shared" si="10"/>
        <v/>
      </c>
      <c r="AE465" s="1">
        <f>value(IFERROR(SUBSTITUTE(SUBSTITUTE(VLOOKUP($A465,'Quarterly Pipeline vs Target Pi'!$A:$V,16,false)," $","")," €",""), "")
)</f>
        <v>0</v>
      </c>
      <c r="AF465" s="1">
        <f>value(IFERROR(SUBSTITUTE(SUBSTITUTE(VLOOKUP($A465,'Quarterly Pipeline vs Target Pi'!$A:$V,17,false)," $","")," €",""), "")
)</f>
        <v>0</v>
      </c>
      <c r="AG465" s="17" t="str">
        <f t="shared" si="11"/>
        <v/>
      </c>
      <c r="AH465" s="1">
        <f>value(IFERROR(SUBSTITUTE(SUBSTITUTE(VLOOKUP($A465,'Quarterly Pipeline vs Target Pi'!$A:$V,21,false)," $","")," €",""), "")
)</f>
        <v>0</v>
      </c>
      <c r="AI465" s="1">
        <f>value(IFERROR(SUBSTITUTE(SUBSTITUTE(VLOOKUP($A465,'Quarterly Pipeline vs Target Pi'!$A:$V,22,false)," $","")," €",""), "")
)</f>
        <v>0</v>
      </c>
      <c r="AJ465" s="17" t="str">
        <f t="shared" si="12"/>
        <v/>
      </c>
      <c r="AK465" s="1">
        <f t="shared" ref="AK465:AL465" si="943">sum(Y465,AB465,AE465,AH465)</f>
        <v>0</v>
      </c>
      <c r="AL465" s="1">
        <f t="shared" si="943"/>
        <v>0</v>
      </c>
      <c r="AM465" s="17" t="str">
        <f t="shared" si="14"/>
        <v/>
      </c>
      <c r="AN465" s="1">
        <f>value(IFERROR(SUBSTITUTE(SUBSTITUTE(VLOOKUP($A465,'Quarterly Pipeline vs Target Pi'!$A:$AP,26,false)," $","")," €",""), "")
)</f>
        <v>0</v>
      </c>
      <c r="AO465" s="1">
        <f>value(IFERROR(SUBSTITUTE(SUBSTITUTE(VLOOKUP($A465,'Quarterly Pipeline vs Target Pi'!$A:$AP,27,false)," $","")," €",""), "")
)</f>
        <v>0</v>
      </c>
      <c r="AP465" s="17" t="str">
        <f t="shared" si="15"/>
        <v/>
      </c>
      <c r="AQ465" s="1">
        <f>value(IFERROR(SUBSTITUTE(SUBSTITUTE(VLOOKUP($A465,'Quarterly Pipeline vs Target Pi'!$A:$AP,31,false)," $","")," €",""), "")
)</f>
        <v>0</v>
      </c>
      <c r="AR465" s="1">
        <f>value(IFERROR(SUBSTITUTE(SUBSTITUTE(VLOOKUP($A465,'Quarterly Pipeline vs Target Pi'!$A:$AP,32,false)," $","")," €",""), "")
)</f>
        <v>0</v>
      </c>
      <c r="AS465" s="17" t="str">
        <f t="shared" si="16"/>
        <v/>
      </c>
      <c r="AT465" s="1">
        <f>value(IFERROR(SUBSTITUTE(SUBSTITUTE(VLOOKUP($A465,'Quarterly Pipeline vs Target Pi'!$A:$AP,36,false)," $","")," €",""), "")
)</f>
        <v>0</v>
      </c>
      <c r="AU465" s="1">
        <f>value(IFERROR(SUBSTITUTE(SUBSTITUTE(VLOOKUP($A465,'Quarterly Pipeline vs Target Pi'!$A:$AP,37,false)," $","")," €",""), "")
)</f>
        <v>0</v>
      </c>
      <c r="AV465" s="17" t="str">
        <f t="shared" si="17"/>
        <v/>
      </c>
      <c r="AW465" s="1">
        <f>value(IFERROR(SUBSTITUTE(SUBSTITUTE(VLOOKUP($A465,'Quarterly Pipeline vs Target Pi'!$A:$AP,41,false)," $","")," €",""), "")
)</f>
        <v>0</v>
      </c>
      <c r="AX465" s="1">
        <f>value(IFERROR(SUBSTITUTE(SUBSTITUTE(VLOOKUP($A465,'Quarterly Pipeline vs Target Pi'!$A:$AP,42,false)," $","")," €",""), "")
)</f>
        <v>0</v>
      </c>
      <c r="AY465" s="17" t="str">
        <f t="shared" si="18"/>
        <v/>
      </c>
      <c r="AZ465" s="1">
        <f t="shared" ref="AZ465:BA465" si="944">sum(AN465,AQ465,AT465,AW465)</f>
        <v>0</v>
      </c>
      <c r="BA465" s="1">
        <f t="shared" si="944"/>
        <v>0</v>
      </c>
      <c r="BB465" s="17" t="str">
        <f t="shared" si="20"/>
        <v/>
      </c>
    </row>
    <row r="466">
      <c r="A466" s="1" t="str">
        <f>IFERROR(__xludf.DUMMYFUNCTION("""COMPUTED_VALUE"""),"63ef9d58384f27260c1ba479")</f>
        <v>63ef9d58384f27260c1ba479</v>
      </c>
      <c r="B466" s="1" t="str">
        <f>IFERROR(__xludf.DUMMYFUNCTION("""COMPUTED_VALUE"""),"Twotrees Technologies")</f>
        <v>Twotrees Technologies</v>
      </c>
      <c r="C466" s="1" t="str">
        <f>IFERROR(__xludf.DUMMYFUNCTION("""COMPUTED_VALUE"""),"gene.hawks@al-enterprise.com, bill.rademacher@al-enterprise.com, jack.jachner@al-enterprise.com")</f>
        <v>gene.hawks@al-enterprise.com, bill.rademacher@al-enterprise.com, jack.jachner@al-enterprise.com</v>
      </c>
      <c r="D466" s="1" t="str">
        <f>IFERROR(__xludf.DUMMYFUNCTION("""COMPUTED_VALUE"""),"americas")</f>
        <v>americas</v>
      </c>
      <c r="E466" s="1" t="str">
        <f>IFERROR(__xludf.DUMMYFUNCTION("""COMPUTED_VALUE"""),"US")</f>
        <v>US</v>
      </c>
      <c r="F466" s="1" t="str">
        <f>IFERROR(__xludf.DUMMYFUNCTION("""COMPUTED_VALUE"""),"expert_1000")</f>
        <v>expert_1000</v>
      </c>
      <c r="G466" s="1">
        <f>iferror(VLOOKUP(A466,'Business Plan Setup and Accepta'!A:G,6,false),"")</f>
        <v>1</v>
      </c>
      <c r="H466" s="1">
        <f>iferror(VLOOKUP(A466,'Business Plan Setup and Accepta'!A:G,7,false),"")</f>
        <v>1</v>
      </c>
      <c r="I466" s="17">
        <f t="shared" si="3"/>
        <v>1</v>
      </c>
      <c r="J466" s="1">
        <f>IFERROR(VALUE(SUBSTITUTE(VLOOKUP(A466,'Sales IN Revenues vs Sales targ'!A:G,6,false)," $","")), "")
</f>
        <v>182.37</v>
      </c>
      <c r="K466" s="1">
        <f>IFERROR(VALUE(SUBSTITUTE(VLOOKUP(A466,'Sales IN Revenues vs Sales targ'!A:G,7,false)," $","")), "")
</f>
        <v>1743.38</v>
      </c>
      <c r="L466" s="17">
        <f t="shared" si="4"/>
        <v>0.1046071424</v>
      </c>
      <c r="M466" s="1">
        <f>value(SUBSTITUTE(IFERROR(VLOOKUP(A466,'Certifications achievements vs '!A:G,6,false),""),"#","")
)</f>
        <v>18</v>
      </c>
      <c r="N466" s="1">
        <f>value(SUBSTITUTE(IFERROR(VLOOKUP(A466,'Certifications achievements vs '!A:G,7,false),""),"#","")
)</f>
        <v>52</v>
      </c>
      <c r="O466" s="17">
        <f t="shared" si="5"/>
        <v>0.3461538462</v>
      </c>
      <c r="P466" s="1">
        <f>value(SUBSTITUTE(IFERROR(VLOOKUP(A466,'Communications - Solution Speci'!A:G,6,false),""),"#","")
)</f>
        <v>0</v>
      </c>
      <c r="Q466" s="1">
        <f>value(SUBSTITUTE(IFERROR(VLOOKUP(A466,'Communications - Solution Speci'!A:G,7,false),""),"#","")
)</f>
        <v>1</v>
      </c>
      <c r="R466" s="17">
        <f t="shared" si="6"/>
        <v>0</v>
      </c>
      <c r="S466" s="1">
        <f>value(SUBSTITUTE(IFERROR(VLOOKUP(A466,'Networking - Solution Specializ'!A:G,6,false),""),"#","")
)</f>
        <v>1</v>
      </c>
      <c r="T466" s="1">
        <f>value(SUBSTITUTE(IFERROR(VLOOKUP(A466,'Networking - Solution Specializ'!A:G,7,false),""),"#","")
)</f>
        <v>1</v>
      </c>
      <c r="U466" s="17">
        <f t="shared" si="7"/>
        <v>1</v>
      </c>
      <c r="V466" s="1">
        <f>iferror(vlookup(A466,'Marketing Plan (extract summary'!A:G,6,false),"")</f>
        <v>0</v>
      </c>
      <c r="W466" s="1">
        <f>iferror(vlookup(A466,'Marketing Plan (extract summary'!A:G,7,false),"")</f>
        <v>1</v>
      </c>
      <c r="X466" s="17">
        <f t="shared" si="8"/>
        <v>0</v>
      </c>
      <c r="Y466" s="1">
        <f>value(IFERROR(SUBSTITUTE(SUBSTITUTE(VLOOKUP(A466,'Quarterly Pipeline vs Target Pi'!A:G,6,false)," $","")," €",""), "")
)</f>
        <v>2.32</v>
      </c>
      <c r="Z466" s="1">
        <f>value(IFERROR(SUBSTITUTE(SUBSTITUTE(VLOOKUP(A466,'Quarterly Pipeline vs Target Pi'!A:G,7,false)," $","")," €",""), "")
)</f>
        <v>0</v>
      </c>
      <c r="AA466" s="17" t="str">
        <f t="shared" si="9"/>
        <v/>
      </c>
      <c r="AB466" s="1">
        <f>value(IFERROR(SUBSTITUTE(SUBSTITUTE(VLOOKUP($A466,'Quarterly Pipeline vs Target Pi'!$A:$V,11,false)," $","")," €",""), "")
)</f>
        <v>8.67</v>
      </c>
      <c r="AC466" s="1">
        <f>value(IFERROR(SUBSTITUTE(SUBSTITUTE(VLOOKUP($A466,'Quarterly Pipeline vs Target Pi'!$A:$V,12,false)," $","")," €",""), "")
)</f>
        <v>1162.33</v>
      </c>
      <c r="AD466" s="17">
        <f t="shared" si="10"/>
        <v>0.007459155317</v>
      </c>
      <c r="AE466" s="1">
        <f>value(IFERROR(SUBSTITUTE(SUBSTITUTE(VLOOKUP($A466,'Quarterly Pipeline vs Target Pi'!$A:$V,16,false)," $","")," €",""), "")
)</f>
        <v>272.55</v>
      </c>
      <c r="AF466" s="1">
        <f>value(IFERROR(SUBSTITUTE(SUBSTITUTE(VLOOKUP($A466,'Quarterly Pipeline vs Target Pi'!$A:$V,17,false)," $","")," €",""), "")
)</f>
        <v>1743.3</v>
      </c>
      <c r="AG466" s="17">
        <f t="shared" si="11"/>
        <v>0.1563414214</v>
      </c>
      <c r="AH466" s="1">
        <f>value(IFERROR(SUBSTITUTE(SUBSTITUTE(VLOOKUP($A466,'Quarterly Pipeline vs Target Pi'!$A:$V,21,false)," $","")," €",""), "")
)</f>
        <v>1934.1</v>
      </c>
      <c r="AI466" s="1">
        <f>value(IFERROR(SUBSTITUTE(SUBSTITUTE(VLOOKUP($A466,'Quarterly Pipeline vs Target Pi'!$A:$V,22,false)," $","")," €",""), "")
)</f>
        <v>1743.3</v>
      </c>
      <c r="AJ466" s="17">
        <f t="shared" si="12"/>
        <v>1.109447599</v>
      </c>
      <c r="AK466" s="1">
        <f t="shared" ref="AK466:AL466" si="945">sum(Y466,AB466,AE466,AH466)</f>
        <v>2217.64</v>
      </c>
      <c r="AL466" s="1">
        <f t="shared" si="945"/>
        <v>4648.93</v>
      </c>
      <c r="AM466" s="17">
        <f t="shared" si="14"/>
        <v>0.4770215942</v>
      </c>
      <c r="AN466" s="1">
        <f>value(IFERROR(SUBSTITUTE(SUBSTITUTE(VLOOKUP($A466,'Quarterly Pipeline vs Target Pi'!$A:$AP,26,false)," $","")," €",""), "")
)</f>
        <v>0</v>
      </c>
      <c r="AO466" s="1">
        <f>value(IFERROR(SUBSTITUTE(SUBSTITUTE(VLOOKUP($A466,'Quarterly Pipeline vs Target Pi'!$A:$AP,27,false)," $","")," €",""), "")
)</f>
        <v>0</v>
      </c>
      <c r="AP466" s="17" t="str">
        <f t="shared" si="15"/>
        <v/>
      </c>
      <c r="AQ466" s="1">
        <f>value(IFERROR(SUBSTITUTE(SUBSTITUTE(VLOOKUP($A466,'Quarterly Pipeline vs Target Pi'!$A:$AP,31,false)," $","")," €",""), "")
)</f>
        <v>42.27</v>
      </c>
      <c r="AR466" s="1">
        <f>value(IFERROR(SUBSTITUTE(SUBSTITUTE(VLOOKUP($A466,'Quarterly Pipeline vs Target Pi'!$A:$AP,32,false)," $","")," €",""), "")
)</f>
        <v>0</v>
      </c>
      <c r="AS466" s="17" t="str">
        <f t="shared" si="16"/>
        <v/>
      </c>
      <c r="AT466" s="1">
        <f>value(IFERROR(SUBSTITUTE(SUBSTITUTE(VLOOKUP($A466,'Quarterly Pipeline vs Target Pi'!$A:$AP,36,false)," $","")," €",""), "")
)</f>
        <v>50</v>
      </c>
      <c r="AU466" s="1">
        <f>value(IFERROR(SUBSTITUTE(SUBSTITUTE(VLOOKUP($A466,'Quarterly Pipeline vs Target Pi'!$A:$AP,37,false)," $","")," €",""), "")
)</f>
        <v>0</v>
      </c>
      <c r="AV466" s="17" t="str">
        <f t="shared" si="17"/>
        <v/>
      </c>
      <c r="AW466" s="1">
        <f>value(IFERROR(SUBSTITUTE(SUBSTITUTE(VLOOKUP($A466,'Quarterly Pipeline vs Target Pi'!$A:$AP,41,false)," $","")," €",""), "")
)</f>
        <v>0</v>
      </c>
      <c r="AX466" s="1">
        <f>value(IFERROR(SUBSTITUTE(SUBSTITUTE(VLOOKUP($A466,'Quarterly Pipeline vs Target Pi'!$A:$AP,42,false)," $","")," €",""), "")
)</f>
        <v>0</v>
      </c>
      <c r="AY466" s="17" t="str">
        <f t="shared" si="18"/>
        <v/>
      </c>
      <c r="AZ466" s="1">
        <f t="shared" ref="AZ466:BA466" si="946">sum(AN466,AQ466,AT466,AW466)</f>
        <v>92.27</v>
      </c>
      <c r="BA466" s="1">
        <f t="shared" si="946"/>
        <v>0</v>
      </c>
      <c r="BB466" s="17" t="str">
        <f t="shared" si="20"/>
        <v/>
      </c>
    </row>
    <row r="467">
      <c r="A467" s="1" t="str">
        <f>IFERROR(__xludf.DUMMYFUNCTION("""COMPUTED_VALUE"""),"63ea6e9752ad6968805cf11d")</f>
        <v>63ea6e9752ad6968805cf11d</v>
      </c>
      <c r="B467" s="1" t="str">
        <f>IFERROR(__xludf.DUMMYFUNCTION("""COMPUTED_VALUE"""),"UHTelekom")</f>
        <v>UHTelekom</v>
      </c>
      <c r="C467" s="1" t="str">
        <f>IFERROR(__xludf.DUMMYFUNCTION("""COMPUTED_VALUE"""),"andreas.grossheimann@al-enterprise.com, andre.ramm@al-enterprise.com")</f>
        <v>andreas.grossheimann@al-enterprise.com, andre.ramm@al-enterprise.com</v>
      </c>
      <c r="D467" s="1" t="str">
        <f>IFERROR(__xludf.DUMMYFUNCTION("""COMPUTED_VALUE"""),"germany")</f>
        <v>germany</v>
      </c>
      <c r="E467" s="1" t="str">
        <f>IFERROR(__xludf.DUMMYFUNCTION("""COMPUTED_VALUE"""),"DE")</f>
        <v>DE</v>
      </c>
      <c r="F467" s="1"/>
      <c r="G467" s="1" t="str">
        <f>iferror(VLOOKUP(A467,'Business Plan Setup and Accepta'!A:G,6,false),"")</f>
        <v/>
      </c>
      <c r="H467" s="1" t="str">
        <f>iferror(VLOOKUP(A467,'Business Plan Setup and Accepta'!A:G,7,false),"")</f>
        <v/>
      </c>
      <c r="I467" s="17" t="str">
        <f t="shared" si="3"/>
        <v/>
      </c>
      <c r="J467" s="1" t="str">
        <f>IFERROR(VALUE(SUBSTITUTE(VLOOKUP(A467,'Sales IN Revenues vs Sales targ'!A:G,6,false)," $","")), "")
</f>
        <v/>
      </c>
      <c r="K467" s="1" t="str">
        <f>IFERROR(VALUE(SUBSTITUTE(VLOOKUP(A467,'Sales IN Revenues vs Sales targ'!A:G,7,false)," $","")), "")
</f>
        <v/>
      </c>
      <c r="L467" s="17" t="str">
        <f t="shared" si="4"/>
        <v/>
      </c>
      <c r="M467" s="1">
        <f>value(SUBSTITUTE(IFERROR(VLOOKUP(A467,'Certifications achievements vs '!A:G,6,false),""),"#","")
)</f>
        <v>0</v>
      </c>
      <c r="N467" s="1">
        <f>value(SUBSTITUTE(IFERROR(VLOOKUP(A467,'Certifications achievements vs '!A:G,7,false),""),"#","")
)</f>
        <v>0</v>
      </c>
      <c r="O467" s="17" t="str">
        <f t="shared" si="5"/>
        <v/>
      </c>
      <c r="P467" s="1">
        <f>value(SUBSTITUTE(IFERROR(VLOOKUP(A467,'Communications - Solution Speci'!A:G,6,false),""),"#","")
)</f>
        <v>0</v>
      </c>
      <c r="Q467" s="1">
        <f>value(SUBSTITUTE(IFERROR(VLOOKUP(A467,'Communications - Solution Speci'!A:G,7,false),""),"#","")
)</f>
        <v>0</v>
      </c>
      <c r="R467" s="17" t="str">
        <f t="shared" si="6"/>
        <v/>
      </c>
      <c r="S467" s="1">
        <f>value(SUBSTITUTE(IFERROR(VLOOKUP(A467,'Networking - Solution Specializ'!A:G,6,false),""),"#","")
)</f>
        <v>0</v>
      </c>
      <c r="T467" s="1">
        <f>value(SUBSTITUTE(IFERROR(VLOOKUP(A467,'Networking - Solution Specializ'!A:G,7,false),""),"#","")
)</f>
        <v>0</v>
      </c>
      <c r="U467" s="17" t="str">
        <f t="shared" si="7"/>
        <v/>
      </c>
      <c r="V467" s="1" t="str">
        <f>iferror(vlookup(A467,'Marketing Plan (extract summary'!A:G,6,false),"")</f>
        <v/>
      </c>
      <c r="W467" s="1" t="str">
        <f>iferror(vlookup(A467,'Marketing Plan (extract summary'!A:G,7,false),"")</f>
        <v/>
      </c>
      <c r="X467" s="17" t="str">
        <f t="shared" si="8"/>
        <v/>
      </c>
      <c r="Y467" s="1">
        <f>value(IFERROR(SUBSTITUTE(SUBSTITUTE(VLOOKUP(A467,'Quarterly Pipeline vs Target Pi'!A:G,6,false)," $","")," €",""), "")
)</f>
        <v>0</v>
      </c>
      <c r="Z467" s="1">
        <f>value(IFERROR(SUBSTITUTE(SUBSTITUTE(VLOOKUP(A467,'Quarterly Pipeline vs Target Pi'!A:G,7,false)," $","")," €",""), "")
)</f>
        <v>0</v>
      </c>
      <c r="AA467" s="17" t="str">
        <f t="shared" si="9"/>
        <v/>
      </c>
      <c r="AB467" s="1">
        <f>value(IFERROR(SUBSTITUTE(SUBSTITUTE(VLOOKUP($A467,'Quarterly Pipeline vs Target Pi'!$A:$V,11,false)," $","")," €",""), "")
)</f>
        <v>0</v>
      </c>
      <c r="AC467" s="1">
        <f>value(IFERROR(SUBSTITUTE(SUBSTITUTE(VLOOKUP($A467,'Quarterly Pipeline vs Target Pi'!$A:$V,12,false)," $","")," €",""), "")
)</f>
        <v>0</v>
      </c>
      <c r="AD467" s="17" t="str">
        <f t="shared" si="10"/>
        <v/>
      </c>
      <c r="AE467" s="1">
        <f>value(IFERROR(SUBSTITUTE(SUBSTITUTE(VLOOKUP($A467,'Quarterly Pipeline vs Target Pi'!$A:$V,16,false)," $","")," €",""), "")
)</f>
        <v>0</v>
      </c>
      <c r="AF467" s="1">
        <f>value(IFERROR(SUBSTITUTE(SUBSTITUTE(VLOOKUP($A467,'Quarterly Pipeline vs Target Pi'!$A:$V,17,false)," $","")," €",""), "")
)</f>
        <v>0</v>
      </c>
      <c r="AG467" s="17" t="str">
        <f t="shared" si="11"/>
        <v/>
      </c>
      <c r="AH467" s="1">
        <f>value(IFERROR(SUBSTITUTE(SUBSTITUTE(VLOOKUP($A467,'Quarterly Pipeline vs Target Pi'!$A:$V,21,false)," $","")," €",""), "")
)</f>
        <v>0</v>
      </c>
      <c r="AI467" s="1">
        <f>value(IFERROR(SUBSTITUTE(SUBSTITUTE(VLOOKUP($A467,'Quarterly Pipeline vs Target Pi'!$A:$V,22,false)," $","")," €",""), "")
)</f>
        <v>0</v>
      </c>
      <c r="AJ467" s="17" t="str">
        <f t="shared" si="12"/>
        <v/>
      </c>
      <c r="AK467" s="1">
        <f t="shared" ref="AK467:AL467" si="947">sum(Y467,AB467,AE467,AH467)</f>
        <v>0</v>
      </c>
      <c r="AL467" s="1">
        <f t="shared" si="947"/>
        <v>0</v>
      </c>
      <c r="AM467" s="17" t="str">
        <f t="shared" si="14"/>
        <v/>
      </c>
      <c r="AN467" s="1">
        <f>value(IFERROR(SUBSTITUTE(SUBSTITUTE(VLOOKUP($A467,'Quarterly Pipeline vs Target Pi'!$A:$AP,26,false)," $","")," €",""), "")
)</f>
        <v>0</v>
      </c>
      <c r="AO467" s="1">
        <f>value(IFERROR(SUBSTITUTE(SUBSTITUTE(VLOOKUP($A467,'Quarterly Pipeline vs Target Pi'!$A:$AP,27,false)," $","")," €",""), "")
)</f>
        <v>0</v>
      </c>
      <c r="AP467" s="17" t="str">
        <f t="shared" si="15"/>
        <v/>
      </c>
      <c r="AQ467" s="1">
        <f>value(IFERROR(SUBSTITUTE(SUBSTITUTE(VLOOKUP($A467,'Quarterly Pipeline vs Target Pi'!$A:$AP,31,false)," $","")," €",""), "")
)</f>
        <v>0</v>
      </c>
      <c r="AR467" s="1">
        <f>value(IFERROR(SUBSTITUTE(SUBSTITUTE(VLOOKUP($A467,'Quarterly Pipeline vs Target Pi'!$A:$AP,32,false)," $","")," €",""), "")
)</f>
        <v>0</v>
      </c>
      <c r="AS467" s="17" t="str">
        <f t="shared" si="16"/>
        <v/>
      </c>
      <c r="AT467" s="1">
        <f>value(IFERROR(SUBSTITUTE(SUBSTITUTE(VLOOKUP($A467,'Quarterly Pipeline vs Target Pi'!$A:$AP,36,false)," $","")," €",""), "")
)</f>
        <v>0</v>
      </c>
      <c r="AU467" s="1">
        <f>value(IFERROR(SUBSTITUTE(SUBSTITUTE(VLOOKUP($A467,'Quarterly Pipeline vs Target Pi'!$A:$AP,37,false)," $","")," €",""), "")
)</f>
        <v>0</v>
      </c>
      <c r="AV467" s="17" t="str">
        <f t="shared" si="17"/>
        <v/>
      </c>
      <c r="AW467" s="1">
        <f>value(IFERROR(SUBSTITUTE(SUBSTITUTE(VLOOKUP($A467,'Quarterly Pipeline vs Target Pi'!$A:$AP,41,false)," $","")," €",""), "")
)</f>
        <v>0</v>
      </c>
      <c r="AX467" s="1">
        <f>value(IFERROR(SUBSTITUTE(SUBSTITUTE(VLOOKUP($A467,'Quarterly Pipeline vs Target Pi'!$A:$AP,42,false)," $","")," €",""), "")
)</f>
        <v>0</v>
      </c>
      <c r="AY467" s="17" t="str">
        <f t="shared" si="18"/>
        <v/>
      </c>
      <c r="AZ467" s="1">
        <f t="shared" ref="AZ467:BA467" si="948">sum(AN467,AQ467,AT467,AW467)</f>
        <v>0</v>
      </c>
      <c r="BA467" s="1">
        <f t="shared" si="948"/>
        <v>0</v>
      </c>
      <c r="BB467" s="17" t="str">
        <f t="shared" si="20"/>
        <v/>
      </c>
    </row>
    <row r="468">
      <c r="A468" s="1" t="str">
        <f>IFERROR(__xludf.DUMMYFUNCTION("""COMPUTED_VALUE"""),"63ced84ac5c820531c26902c")</f>
        <v>63ced84ac5c820531c26902c</v>
      </c>
      <c r="B468" s="1" t="str">
        <f>IFERROR(__xludf.DUMMYFUNCTION("""COMPUTED_VALUE"""),"Unentel Solucoes Tecnologicas Ltda")</f>
        <v>Unentel Solucoes Tecnologicas Ltda</v>
      </c>
      <c r="C468" s="1" t="str">
        <f>IFERROR(__xludf.DUMMYFUNCTION("""COMPUTED_VALUE"""),"renato-takashi.yoshizako@al-enterprise.com")</f>
        <v>renato-takashi.yoshizako@al-enterprise.com</v>
      </c>
      <c r="D468" s="1" t="str">
        <f>IFERROR(__xludf.DUMMYFUNCTION("""COMPUTED_VALUE"""),"americas")</f>
        <v>americas</v>
      </c>
      <c r="E468" s="1" t="str">
        <f>IFERROR(__xludf.DUMMYFUNCTION("""COMPUTED_VALUE"""),"BR")</f>
        <v>BR</v>
      </c>
      <c r="F468" s="1"/>
      <c r="G468" s="1" t="str">
        <f>iferror(VLOOKUP(A468,'Business Plan Setup and Accepta'!A:G,6,false),"")</f>
        <v/>
      </c>
      <c r="H468" s="1" t="str">
        <f>iferror(VLOOKUP(A468,'Business Plan Setup and Accepta'!A:G,7,false),"")</f>
        <v/>
      </c>
      <c r="I468" s="17" t="str">
        <f t="shared" si="3"/>
        <v/>
      </c>
      <c r="J468" s="1" t="str">
        <f>IFERROR(VALUE(SUBSTITUTE(VLOOKUP(A468,'Sales IN Revenues vs Sales targ'!A:G,6,false)," $","")), "")
</f>
        <v/>
      </c>
      <c r="K468" s="1" t="str">
        <f>IFERROR(VALUE(SUBSTITUTE(VLOOKUP(A468,'Sales IN Revenues vs Sales targ'!A:G,7,false)," $","")), "")
</f>
        <v/>
      </c>
      <c r="L468" s="17" t="str">
        <f t="shared" si="4"/>
        <v/>
      </c>
      <c r="M468" s="1">
        <f>value(SUBSTITUTE(IFERROR(VLOOKUP(A468,'Certifications achievements vs '!A:G,6,false),""),"#","")
)</f>
        <v>6</v>
      </c>
      <c r="N468" s="1">
        <f>value(SUBSTITUTE(IFERROR(VLOOKUP(A468,'Certifications achievements vs '!A:G,7,false),""),"#","")
)</f>
        <v>52</v>
      </c>
      <c r="O468" s="17">
        <f t="shared" si="5"/>
        <v>0.1153846154</v>
      </c>
      <c r="P468" s="1">
        <f>value(SUBSTITUTE(IFERROR(VLOOKUP(A468,'Communications - Solution Speci'!A:G,6,false),""),"#","")
)</f>
        <v>0</v>
      </c>
      <c r="Q468" s="1">
        <f>value(SUBSTITUTE(IFERROR(VLOOKUP(A468,'Communications - Solution Speci'!A:G,7,false),""),"#","")
)</f>
        <v>0</v>
      </c>
      <c r="R468" s="17" t="str">
        <f t="shared" si="6"/>
        <v/>
      </c>
      <c r="S468" s="1">
        <f>value(SUBSTITUTE(IFERROR(VLOOKUP(A468,'Networking - Solution Specializ'!A:G,6,false),""),"#","")
)</f>
        <v>0</v>
      </c>
      <c r="T468" s="1">
        <f>value(SUBSTITUTE(IFERROR(VLOOKUP(A468,'Networking - Solution Specializ'!A:G,7,false),""),"#","")
)</f>
        <v>0</v>
      </c>
      <c r="U468" s="17" t="str">
        <f t="shared" si="7"/>
        <v/>
      </c>
      <c r="V468" s="1" t="str">
        <f>iferror(vlookup(A468,'Marketing Plan (extract summary'!A:G,6,false),"")</f>
        <v/>
      </c>
      <c r="W468" s="1" t="str">
        <f>iferror(vlookup(A468,'Marketing Plan (extract summary'!A:G,7,false),"")</f>
        <v/>
      </c>
      <c r="X468" s="17" t="str">
        <f t="shared" si="8"/>
        <v/>
      </c>
      <c r="Y468" s="1">
        <f>value(IFERROR(SUBSTITUTE(SUBSTITUTE(VLOOKUP(A468,'Quarterly Pipeline vs Target Pi'!A:G,6,false)," $","")," €",""), "")
)</f>
        <v>0</v>
      </c>
      <c r="Z468" s="1">
        <f>value(IFERROR(SUBSTITUTE(SUBSTITUTE(VLOOKUP(A468,'Quarterly Pipeline vs Target Pi'!A:G,7,false)," $","")," €",""), "")
)</f>
        <v>0</v>
      </c>
      <c r="AA468" s="17" t="str">
        <f t="shared" si="9"/>
        <v/>
      </c>
      <c r="AB468" s="1">
        <f>value(IFERROR(SUBSTITUTE(SUBSTITUTE(VLOOKUP($A468,'Quarterly Pipeline vs Target Pi'!$A:$V,11,false)," $","")," €",""), "")
)</f>
        <v>0</v>
      </c>
      <c r="AC468" s="1">
        <f>value(IFERROR(SUBSTITUTE(SUBSTITUTE(VLOOKUP($A468,'Quarterly Pipeline vs Target Pi'!$A:$V,12,false)," $","")," €",""), "")
)</f>
        <v>0</v>
      </c>
      <c r="AD468" s="17" t="str">
        <f t="shared" si="10"/>
        <v/>
      </c>
      <c r="AE468" s="1">
        <f>value(IFERROR(SUBSTITUTE(SUBSTITUTE(VLOOKUP($A468,'Quarterly Pipeline vs Target Pi'!$A:$V,16,false)," $","")," €",""), "")
)</f>
        <v>0</v>
      </c>
      <c r="AF468" s="1">
        <f>value(IFERROR(SUBSTITUTE(SUBSTITUTE(VLOOKUP($A468,'Quarterly Pipeline vs Target Pi'!$A:$V,17,false)," $","")," €",""), "")
)</f>
        <v>0</v>
      </c>
      <c r="AG468" s="17" t="str">
        <f t="shared" si="11"/>
        <v/>
      </c>
      <c r="AH468" s="1">
        <f>value(IFERROR(SUBSTITUTE(SUBSTITUTE(VLOOKUP($A468,'Quarterly Pipeline vs Target Pi'!$A:$V,21,false)," $","")," €",""), "")
)</f>
        <v>0</v>
      </c>
      <c r="AI468" s="1">
        <f>value(IFERROR(SUBSTITUTE(SUBSTITUTE(VLOOKUP($A468,'Quarterly Pipeline vs Target Pi'!$A:$V,22,false)," $","")," €",""), "")
)</f>
        <v>0</v>
      </c>
      <c r="AJ468" s="17" t="str">
        <f t="shared" si="12"/>
        <v/>
      </c>
      <c r="AK468" s="1">
        <f t="shared" ref="AK468:AL468" si="949">sum(Y468,AB468,AE468,AH468)</f>
        <v>0</v>
      </c>
      <c r="AL468" s="1">
        <f t="shared" si="949"/>
        <v>0</v>
      </c>
      <c r="AM468" s="17" t="str">
        <f t="shared" si="14"/>
        <v/>
      </c>
      <c r="AN468" s="1">
        <f>value(IFERROR(SUBSTITUTE(SUBSTITUTE(VLOOKUP($A468,'Quarterly Pipeline vs Target Pi'!$A:$AP,26,false)," $","")," €",""), "")
)</f>
        <v>0</v>
      </c>
      <c r="AO468" s="1">
        <f>value(IFERROR(SUBSTITUTE(SUBSTITUTE(VLOOKUP($A468,'Quarterly Pipeline vs Target Pi'!$A:$AP,27,false)," $","")," €",""), "")
)</f>
        <v>0</v>
      </c>
      <c r="AP468" s="17" t="str">
        <f t="shared" si="15"/>
        <v/>
      </c>
      <c r="AQ468" s="1">
        <f>value(IFERROR(SUBSTITUTE(SUBSTITUTE(VLOOKUP($A468,'Quarterly Pipeline vs Target Pi'!$A:$AP,31,false)," $","")," €",""), "")
)</f>
        <v>0</v>
      </c>
      <c r="AR468" s="1">
        <f>value(IFERROR(SUBSTITUTE(SUBSTITUTE(VLOOKUP($A468,'Quarterly Pipeline vs Target Pi'!$A:$AP,32,false)," $","")," €",""), "")
)</f>
        <v>0</v>
      </c>
      <c r="AS468" s="17" t="str">
        <f t="shared" si="16"/>
        <v/>
      </c>
      <c r="AT468" s="1">
        <f>value(IFERROR(SUBSTITUTE(SUBSTITUTE(VLOOKUP($A468,'Quarterly Pipeline vs Target Pi'!$A:$AP,36,false)," $","")," €",""), "")
)</f>
        <v>0</v>
      </c>
      <c r="AU468" s="1">
        <f>value(IFERROR(SUBSTITUTE(SUBSTITUTE(VLOOKUP($A468,'Quarterly Pipeline vs Target Pi'!$A:$AP,37,false)," $","")," €",""), "")
)</f>
        <v>0</v>
      </c>
      <c r="AV468" s="17" t="str">
        <f t="shared" si="17"/>
        <v/>
      </c>
      <c r="AW468" s="1">
        <f>value(IFERROR(SUBSTITUTE(SUBSTITUTE(VLOOKUP($A468,'Quarterly Pipeline vs Target Pi'!$A:$AP,41,false)," $","")," €",""), "")
)</f>
        <v>0</v>
      </c>
      <c r="AX468" s="1">
        <f>value(IFERROR(SUBSTITUTE(SUBSTITUTE(VLOOKUP($A468,'Quarterly Pipeline vs Target Pi'!$A:$AP,42,false)," $","")," €",""), "")
)</f>
        <v>0</v>
      </c>
      <c r="AY468" s="17" t="str">
        <f t="shared" si="18"/>
        <v/>
      </c>
      <c r="AZ468" s="1">
        <f t="shared" ref="AZ468:BA468" si="950">sum(AN468,AQ468,AT468,AW468)</f>
        <v>0</v>
      </c>
      <c r="BA468" s="1">
        <f t="shared" si="950"/>
        <v>0</v>
      </c>
      <c r="BB468" s="17" t="str">
        <f t="shared" si="20"/>
        <v/>
      </c>
    </row>
    <row r="469">
      <c r="A469" s="1" t="str">
        <f>IFERROR(__xludf.DUMMYFUNCTION("""COMPUTED_VALUE"""),"6488e1ea863dcd5166276ab3")</f>
        <v>6488e1ea863dcd5166276ab3</v>
      </c>
      <c r="B469" s="1" t="str">
        <f>IFERROR(__xludf.DUMMYFUNCTION("""COMPUTED_VALUE"""),"United Group")</f>
        <v>United Group</v>
      </c>
      <c r="C469" s="1" t="str">
        <f>IFERROR(__xludf.DUMMYFUNCTION("""COMPUTED_VALUE"""),"steve.mcglasson@al-enterprise.com")</f>
        <v>steve.mcglasson@al-enterprise.com</v>
      </c>
      <c r="D469" s="1" t="str">
        <f>IFERROR(__xludf.DUMMYFUNCTION("""COMPUTED_VALUE"""),"americas")</f>
        <v>americas</v>
      </c>
      <c r="E469" s="1" t="str">
        <f>IFERROR(__xludf.DUMMYFUNCTION("""COMPUTED_VALUE"""),"US")</f>
        <v>US</v>
      </c>
      <c r="F469" s="1"/>
      <c r="G469" s="1" t="str">
        <f>iferror(VLOOKUP(A469,'Business Plan Setup and Accepta'!A:G,6,false),"")</f>
        <v/>
      </c>
      <c r="H469" s="1" t="str">
        <f>iferror(VLOOKUP(A469,'Business Plan Setup and Accepta'!A:G,7,false),"")</f>
        <v/>
      </c>
      <c r="I469" s="17" t="str">
        <f t="shared" si="3"/>
        <v/>
      </c>
      <c r="J469" s="1" t="str">
        <f>IFERROR(VALUE(SUBSTITUTE(VLOOKUP(A469,'Sales IN Revenues vs Sales targ'!A:G,6,false)," $","")), "")
</f>
        <v/>
      </c>
      <c r="K469" s="1" t="str">
        <f>IFERROR(VALUE(SUBSTITUTE(VLOOKUP(A469,'Sales IN Revenues vs Sales targ'!A:G,7,false)," $","")), "")
</f>
        <v/>
      </c>
      <c r="L469" s="17" t="str">
        <f t="shared" si="4"/>
        <v/>
      </c>
      <c r="M469" s="1">
        <f>value(SUBSTITUTE(IFERROR(VLOOKUP(A469,'Certifications achievements vs '!A:G,6,false),""),"#","")
)</f>
        <v>0</v>
      </c>
      <c r="N469" s="1">
        <f>value(SUBSTITUTE(IFERROR(VLOOKUP(A469,'Certifications achievements vs '!A:G,7,false),""),"#","")
)</f>
        <v>0</v>
      </c>
      <c r="O469" s="17" t="str">
        <f t="shared" si="5"/>
        <v/>
      </c>
      <c r="P469" s="1">
        <f>value(SUBSTITUTE(IFERROR(VLOOKUP(A469,'Communications - Solution Speci'!A:G,6,false),""),"#","")
)</f>
        <v>0</v>
      </c>
      <c r="Q469" s="1">
        <f>value(SUBSTITUTE(IFERROR(VLOOKUP(A469,'Communications - Solution Speci'!A:G,7,false),""),"#","")
)</f>
        <v>0</v>
      </c>
      <c r="R469" s="17" t="str">
        <f t="shared" si="6"/>
        <v/>
      </c>
      <c r="S469" s="1">
        <f>value(SUBSTITUTE(IFERROR(VLOOKUP(A469,'Networking - Solution Specializ'!A:G,6,false),""),"#","")
)</f>
        <v>0</v>
      </c>
      <c r="T469" s="1">
        <f>value(SUBSTITUTE(IFERROR(VLOOKUP(A469,'Networking - Solution Specializ'!A:G,7,false),""),"#","")
)</f>
        <v>0</v>
      </c>
      <c r="U469" s="17" t="str">
        <f t="shared" si="7"/>
        <v/>
      </c>
      <c r="V469" s="1" t="str">
        <f>iferror(vlookup(A469,'Marketing Plan (extract summary'!A:G,6,false),"")</f>
        <v/>
      </c>
      <c r="W469" s="1" t="str">
        <f>iferror(vlookup(A469,'Marketing Plan (extract summary'!A:G,7,false),"")</f>
        <v/>
      </c>
      <c r="X469" s="17" t="str">
        <f t="shared" si="8"/>
        <v/>
      </c>
      <c r="Y469" s="1">
        <f>value(IFERROR(SUBSTITUTE(SUBSTITUTE(VLOOKUP(A469,'Quarterly Pipeline vs Target Pi'!A:G,6,false)," $","")," €",""), "")
)</f>
        <v>0</v>
      </c>
      <c r="Z469" s="1">
        <f>value(IFERROR(SUBSTITUTE(SUBSTITUTE(VLOOKUP(A469,'Quarterly Pipeline vs Target Pi'!A:G,7,false)," $","")," €",""), "")
)</f>
        <v>0</v>
      </c>
      <c r="AA469" s="17" t="str">
        <f t="shared" si="9"/>
        <v/>
      </c>
      <c r="AB469" s="1">
        <f>value(IFERROR(SUBSTITUTE(SUBSTITUTE(VLOOKUP($A469,'Quarterly Pipeline vs Target Pi'!$A:$V,11,false)," $","")," €",""), "")
)</f>
        <v>0</v>
      </c>
      <c r="AC469" s="1">
        <f>value(IFERROR(SUBSTITUTE(SUBSTITUTE(VLOOKUP($A469,'Quarterly Pipeline vs Target Pi'!$A:$V,12,false)," $","")," €",""), "")
)</f>
        <v>0</v>
      </c>
      <c r="AD469" s="17" t="str">
        <f t="shared" si="10"/>
        <v/>
      </c>
      <c r="AE469" s="1">
        <f>value(IFERROR(SUBSTITUTE(SUBSTITUTE(VLOOKUP($A469,'Quarterly Pipeline vs Target Pi'!$A:$V,16,false)," $","")," €",""), "")
)</f>
        <v>0</v>
      </c>
      <c r="AF469" s="1">
        <f>value(IFERROR(SUBSTITUTE(SUBSTITUTE(VLOOKUP($A469,'Quarterly Pipeline vs Target Pi'!$A:$V,17,false)," $","")," €",""), "")
)</f>
        <v>0</v>
      </c>
      <c r="AG469" s="17" t="str">
        <f t="shared" si="11"/>
        <v/>
      </c>
      <c r="AH469" s="1">
        <f>value(IFERROR(SUBSTITUTE(SUBSTITUTE(VLOOKUP($A469,'Quarterly Pipeline vs Target Pi'!$A:$V,21,false)," $","")," €",""), "")
)</f>
        <v>0</v>
      </c>
      <c r="AI469" s="1">
        <f>value(IFERROR(SUBSTITUTE(SUBSTITUTE(VLOOKUP($A469,'Quarterly Pipeline vs Target Pi'!$A:$V,22,false)," $","")," €",""), "")
)</f>
        <v>0</v>
      </c>
      <c r="AJ469" s="17" t="str">
        <f t="shared" si="12"/>
        <v/>
      </c>
      <c r="AK469" s="1">
        <f t="shared" ref="AK469:AL469" si="951">sum(Y469,AB469,AE469,AH469)</f>
        <v>0</v>
      </c>
      <c r="AL469" s="1">
        <f t="shared" si="951"/>
        <v>0</v>
      </c>
      <c r="AM469" s="17" t="str">
        <f t="shared" si="14"/>
        <v/>
      </c>
      <c r="AN469" s="1">
        <f>value(IFERROR(SUBSTITUTE(SUBSTITUTE(VLOOKUP($A469,'Quarterly Pipeline vs Target Pi'!$A:$AP,26,false)," $","")," €",""), "")
)</f>
        <v>0</v>
      </c>
      <c r="AO469" s="1">
        <f>value(IFERROR(SUBSTITUTE(SUBSTITUTE(VLOOKUP($A469,'Quarterly Pipeline vs Target Pi'!$A:$AP,27,false)," $","")," €",""), "")
)</f>
        <v>0</v>
      </c>
      <c r="AP469" s="17" t="str">
        <f t="shared" si="15"/>
        <v/>
      </c>
      <c r="AQ469" s="1">
        <f>value(IFERROR(SUBSTITUTE(SUBSTITUTE(VLOOKUP($A469,'Quarterly Pipeline vs Target Pi'!$A:$AP,31,false)," $","")," €",""), "")
)</f>
        <v>0</v>
      </c>
      <c r="AR469" s="1">
        <f>value(IFERROR(SUBSTITUTE(SUBSTITUTE(VLOOKUP($A469,'Quarterly Pipeline vs Target Pi'!$A:$AP,32,false)," $","")," €",""), "")
)</f>
        <v>0</v>
      </c>
      <c r="AS469" s="17" t="str">
        <f t="shared" si="16"/>
        <v/>
      </c>
      <c r="AT469" s="1">
        <f>value(IFERROR(SUBSTITUTE(SUBSTITUTE(VLOOKUP($A469,'Quarterly Pipeline vs Target Pi'!$A:$AP,36,false)," $","")," €",""), "")
)</f>
        <v>0</v>
      </c>
      <c r="AU469" s="1">
        <f>value(IFERROR(SUBSTITUTE(SUBSTITUTE(VLOOKUP($A469,'Quarterly Pipeline vs Target Pi'!$A:$AP,37,false)," $","")," €",""), "")
)</f>
        <v>0</v>
      </c>
      <c r="AV469" s="17" t="str">
        <f t="shared" si="17"/>
        <v/>
      </c>
      <c r="AW469" s="1">
        <f>value(IFERROR(SUBSTITUTE(SUBSTITUTE(VLOOKUP($A469,'Quarterly Pipeline vs Target Pi'!$A:$AP,41,false)," $","")," €",""), "")
)</f>
        <v>0</v>
      </c>
      <c r="AX469" s="1">
        <f>value(IFERROR(SUBSTITUTE(SUBSTITUTE(VLOOKUP($A469,'Quarterly Pipeline vs Target Pi'!$A:$AP,42,false)," $","")," €",""), "")
)</f>
        <v>0</v>
      </c>
      <c r="AY469" s="17" t="str">
        <f t="shared" si="18"/>
        <v/>
      </c>
      <c r="AZ469" s="1">
        <f t="shared" ref="AZ469:BA469" si="952">sum(AN469,AQ469,AT469,AW469)</f>
        <v>0</v>
      </c>
      <c r="BA469" s="1">
        <f t="shared" si="952"/>
        <v>0</v>
      </c>
      <c r="BB469" s="17" t="str">
        <f t="shared" si="20"/>
        <v/>
      </c>
    </row>
    <row r="470">
      <c r="A470" s="1" t="str">
        <f>IFERROR(__xludf.DUMMYFUNCTION("""COMPUTED_VALUE"""),"63ef9d60384f27260c1bb12d")</f>
        <v>63ef9d60384f27260c1bb12d</v>
      </c>
      <c r="B470" s="1" t="str">
        <f>IFERROR(__xludf.DUMMYFUNCTION("""COMPUTED_VALUE"""),"Unitel Com. Equip.Telecomunicacoes")</f>
        <v>Unitel Com. Equip.Telecomunicacoes</v>
      </c>
      <c r="C470" s="1" t="str">
        <f>IFERROR(__xludf.DUMMYFUNCTION("""COMPUTED_VALUE"""),"renato-takashi.yoshizako@al-enterprise.com")</f>
        <v>renato-takashi.yoshizako@al-enterprise.com</v>
      </c>
      <c r="D470" s="1" t="str">
        <f>IFERROR(__xludf.DUMMYFUNCTION("""COMPUTED_VALUE"""),"americas")</f>
        <v>americas</v>
      </c>
      <c r="E470" s="1" t="str">
        <f>IFERROR(__xludf.DUMMYFUNCTION("""COMPUTED_VALUE"""),"BR")</f>
        <v>BR</v>
      </c>
      <c r="F470" s="1"/>
      <c r="G470" s="1" t="str">
        <f>iferror(VLOOKUP(A470,'Business Plan Setup and Accepta'!A:G,6,false),"")</f>
        <v/>
      </c>
      <c r="H470" s="1" t="str">
        <f>iferror(VLOOKUP(A470,'Business Plan Setup and Accepta'!A:G,7,false),"")</f>
        <v/>
      </c>
      <c r="I470" s="17" t="str">
        <f t="shared" si="3"/>
        <v/>
      </c>
      <c r="J470" s="1" t="str">
        <f>IFERROR(VALUE(SUBSTITUTE(VLOOKUP(A470,'Sales IN Revenues vs Sales targ'!A:G,6,false)," $","")), "")
</f>
        <v/>
      </c>
      <c r="K470" s="1" t="str">
        <f>IFERROR(VALUE(SUBSTITUTE(VLOOKUP(A470,'Sales IN Revenues vs Sales targ'!A:G,7,false)," $","")), "")
</f>
        <v/>
      </c>
      <c r="L470" s="17" t="str">
        <f t="shared" si="4"/>
        <v/>
      </c>
      <c r="M470" s="1">
        <f>value(SUBSTITUTE(IFERROR(VLOOKUP(A470,'Certifications achievements vs '!A:G,6,false),""),"#","")
)</f>
        <v>0</v>
      </c>
      <c r="N470" s="1">
        <f>value(SUBSTITUTE(IFERROR(VLOOKUP(A470,'Certifications achievements vs '!A:G,7,false),""),"#","")
)</f>
        <v>0</v>
      </c>
      <c r="O470" s="17" t="str">
        <f t="shared" si="5"/>
        <v/>
      </c>
      <c r="P470" s="1">
        <f>value(SUBSTITUTE(IFERROR(VLOOKUP(A470,'Communications - Solution Speci'!A:G,6,false),""),"#","")
)</f>
        <v>0</v>
      </c>
      <c r="Q470" s="1">
        <f>value(SUBSTITUTE(IFERROR(VLOOKUP(A470,'Communications - Solution Speci'!A:G,7,false),""),"#","")
)</f>
        <v>0</v>
      </c>
      <c r="R470" s="17" t="str">
        <f t="shared" si="6"/>
        <v/>
      </c>
      <c r="S470" s="1">
        <f>value(SUBSTITUTE(IFERROR(VLOOKUP(A470,'Networking - Solution Specializ'!A:G,6,false),""),"#","")
)</f>
        <v>0</v>
      </c>
      <c r="T470" s="1">
        <f>value(SUBSTITUTE(IFERROR(VLOOKUP(A470,'Networking - Solution Specializ'!A:G,7,false),""),"#","")
)</f>
        <v>0</v>
      </c>
      <c r="U470" s="17" t="str">
        <f t="shared" si="7"/>
        <v/>
      </c>
      <c r="V470" s="1" t="str">
        <f>iferror(vlookup(A470,'Marketing Plan (extract summary'!A:G,6,false),"")</f>
        <v/>
      </c>
      <c r="W470" s="1" t="str">
        <f>iferror(vlookup(A470,'Marketing Plan (extract summary'!A:G,7,false),"")</f>
        <v/>
      </c>
      <c r="X470" s="17" t="str">
        <f t="shared" si="8"/>
        <v/>
      </c>
      <c r="Y470" s="1">
        <f>value(IFERROR(SUBSTITUTE(SUBSTITUTE(VLOOKUP(A470,'Quarterly Pipeline vs Target Pi'!A:G,6,false)," $","")," €",""), "")
)</f>
        <v>0</v>
      </c>
      <c r="Z470" s="1">
        <f>value(IFERROR(SUBSTITUTE(SUBSTITUTE(VLOOKUP(A470,'Quarterly Pipeline vs Target Pi'!A:G,7,false)," $","")," €",""), "")
)</f>
        <v>0</v>
      </c>
      <c r="AA470" s="17" t="str">
        <f t="shared" si="9"/>
        <v/>
      </c>
      <c r="AB470" s="1">
        <f>value(IFERROR(SUBSTITUTE(SUBSTITUTE(VLOOKUP($A470,'Quarterly Pipeline vs Target Pi'!$A:$V,11,false)," $","")," €",""), "")
)</f>
        <v>0</v>
      </c>
      <c r="AC470" s="1">
        <f>value(IFERROR(SUBSTITUTE(SUBSTITUTE(VLOOKUP($A470,'Quarterly Pipeline vs Target Pi'!$A:$V,12,false)," $","")," €",""), "")
)</f>
        <v>0</v>
      </c>
      <c r="AD470" s="17" t="str">
        <f t="shared" si="10"/>
        <v/>
      </c>
      <c r="AE470" s="1">
        <f>value(IFERROR(SUBSTITUTE(SUBSTITUTE(VLOOKUP($A470,'Quarterly Pipeline vs Target Pi'!$A:$V,16,false)," $","")," €",""), "")
)</f>
        <v>0</v>
      </c>
      <c r="AF470" s="1">
        <f>value(IFERROR(SUBSTITUTE(SUBSTITUTE(VLOOKUP($A470,'Quarterly Pipeline vs Target Pi'!$A:$V,17,false)," $","")," €",""), "")
)</f>
        <v>0</v>
      </c>
      <c r="AG470" s="17" t="str">
        <f t="shared" si="11"/>
        <v/>
      </c>
      <c r="AH470" s="1">
        <f>value(IFERROR(SUBSTITUTE(SUBSTITUTE(VLOOKUP($A470,'Quarterly Pipeline vs Target Pi'!$A:$V,21,false)," $","")," €",""), "")
)</f>
        <v>0</v>
      </c>
      <c r="AI470" s="1">
        <f>value(IFERROR(SUBSTITUTE(SUBSTITUTE(VLOOKUP($A470,'Quarterly Pipeline vs Target Pi'!$A:$V,22,false)," $","")," €",""), "")
)</f>
        <v>0</v>
      </c>
      <c r="AJ470" s="17" t="str">
        <f t="shared" si="12"/>
        <v/>
      </c>
      <c r="AK470" s="1">
        <f t="shared" ref="AK470:AL470" si="953">sum(Y470,AB470,AE470,AH470)</f>
        <v>0</v>
      </c>
      <c r="AL470" s="1">
        <f t="shared" si="953"/>
        <v>0</v>
      </c>
      <c r="AM470" s="17" t="str">
        <f t="shared" si="14"/>
        <v/>
      </c>
      <c r="AN470" s="1">
        <f>value(IFERROR(SUBSTITUTE(SUBSTITUTE(VLOOKUP($A470,'Quarterly Pipeline vs Target Pi'!$A:$AP,26,false)," $","")," €",""), "")
)</f>
        <v>0</v>
      </c>
      <c r="AO470" s="1">
        <f>value(IFERROR(SUBSTITUTE(SUBSTITUTE(VLOOKUP($A470,'Quarterly Pipeline vs Target Pi'!$A:$AP,27,false)," $","")," €",""), "")
)</f>
        <v>0</v>
      </c>
      <c r="AP470" s="17" t="str">
        <f t="shared" si="15"/>
        <v/>
      </c>
      <c r="AQ470" s="1">
        <f>value(IFERROR(SUBSTITUTE(SUBSTITUTE(VLOOKUP($A470,'Quarterly Pipeline vs Target Pi'!$A:$AP,31,false)," $","")," €",""), "")
)</f>
        <v>0</v>
      </c>
      <c r="AR470" s="1">
        <f>value(IFERROR(SUBSTITUTE(SUBSTITUTE(VLOOKUP($A470,'Quarterly Pipeline vs Target Pi'!$A:$AP,32,false)," $","")," €",""), "")
)</f>
        <v>0</v>
      </c>
      <c r="AS470" s="17" t="str">
        <f t="shared" si="16"/>
        <v/>
      </c>
      <c r="AT470" s="1">
        <f>value(IFERROR(SUBSTITUTE(SUBSTITUTE(VLOOKUP($A470,'Quarterly Pipeline vs Target Pi'!$A:$AP,36,false)," $","")," €",""), "")
)</f>
        <v>0</v>
      </c>
      <c r="AU470" s="1">
        <f>value(IFERROR(SUBSTITUTE(SUBSTITUTE(VLOOKUP($A470,'Quarterly Pipeline vs Target Pi'!$A:$AP,37,false)," $","")," €",""), "")
)</f>
        <v>0</v>
      </c>
      <c r="AV470" s="17" t="str">
        <f t="shared" si="17"/>
        <v/>
      </c>
      <c r="AW470" s="1">
        <f>value(IFERROR(SUBSTITUTE(SUBSTITUTE(VLOOKUP($A470,'Quarterly Pipeline vs Target Pi'!$A:$AP,41,false)," $","")," €",""), "")
)</f>
        <v>0</v>
      </c>
      <c r="AX470" s="1">
        <f>value(IFERROR(SUBSTITUTE(SUBSTITUTE(VLOOKUP($A470,'Quarterly Pipeline vs Target Pi'!$A:$AP,42,false)," $","")," €",""), "")
)</f>
        <v>0</v>
      </c>
      <c r="AY470" s="17" t="str">
        <f t="shared" si="18"/>
        <v/>
      </c>
      <c r="AZ470" s="1">
        <f t="shared" ref="AZ470:BA470" si="954">sum(AN470,AQ470,AT470,AW470)</f>
        <v>0</v>
      </c>
      <c r="BA470" s="1">
        <f t="shared" si="954"/>
        <v>0</v>
      </c>
      <c r="BB470" s="17" t="str">
        <f t="shared" si="20"/>
        <v/>
      </c>
    </row>
    <row r="471">
      <c r="A471" s="1" t="str">
        <f>IFERROR(__xludf.DUMMYFUNCTION("""COMPUTED_VALUE"""),"63ea6e9352ad6968805ceb27")</f>
        <v>63ea6e9352ad6968805ceb27</v>
      </c>
      <c r="B471" s="1" t="str">
        <f>IFERROR(__xludf.DUMMYFUNCTION("""COMPUTED_VALUE"""),"UP Data Systems GmbH")</f>
        <v>UP Data Systems GmbH</v>
      </c>
      <c r="C471" s="1" t="str">
        <f>IFERROR(__xludf.DUMMYFUNCTION("""COMPUTED_VALUE"""),"silke.fraedrich@al-enterprise.com, andreas.grossheimann@al-enterprise.com, katrin.pfeiffer@al-enterprise.com, sibylle.klopfer@al-enterprise.com, igor.leko@al-enterprise.com")</f>
        <v>silke.fraedrich@al-enterprise.com, andreas.grossheimann@al-enterprise.com, katrin.pfeiffer@al-enterprise.com, sibylle.klopfer@al-enterprise.com, igor.leko@al-enterprise.com</v>
      </c>
      <c r="D471" s="1" t="str">
        <f>IFERROR(__xludf.DUMMYFUNCTION("""COMPUTED_VALUE"""),"germany")</f>
        <v>germany</v>
      </c>
      <c r="E471" s="1" t="str">
        <f>IFERROR(__xludf.DUMMYFUNCTION("""COMPUTED_VALUE"""),"DE")</f>
        <v>DE</v>
      </c>
      <c r="F471" s="1" t="str">
        <f>IFERROR(__xludf.DUMMYFUNCTION("""COMPUTED_VALUE"""),"expert_200")</f>
        <v>expert_200</v>
      </c>
      <c r="G471" s="1">
        <f>iferror(VLOOKUP(A471,'Business Plan Setup and Accepta'!A:G,6,false),"")</f>
        <v>1</v>
      </c>
      <c r="H471" s="1">
        <f>iferror(VLOOKUP(A471,'Business Plan Setup and Accepta'!A:G,7,false),"")</f>
        <v>1</v>
      </c>
      <c r="I471" s="17">
        <f t="shared" si="3"/>
        <v>1</v>
      </c>
      <c r="J471" s="1">
        <f>IFERROR(VALUE(SUBSTITUTE(VLOOKUP(A471,'Sales IN Revenues vs Sales targ'!A:G,6,false)," $","")), "")
</f>
        <v>318.53</v>
      </c>
      <c r="K471" s="1">
        <f>IFERROR(VALUE(SUBSTITUTE(VLOOKUP(A471,'Sales IN Revenues vs Sales targ'!A:G,7,false)," $","")), "")
</f>
        <v>460</v>
      </c>
      <c r="L471" s="17">
        <f t="shared" si="4"/>
        <v>0.6924565217</v>
      </c>
      <c r="M471" s="1">
        <f>value(SUBSTITUTE(IFERROR(VLOOKUP(A471,'Certifications achievements vs '!A:G,6,false),""),"#","")
)</f>
        <v>31</v>
      </c>
      <c r="N471" s="1">
        <f>value(SUBSTITUTE(IFERROR(VLOOKUP(A471,'Certifications achievements vs '!A:G,7,false),""),"#","")
)</f>
        <v>52</v>
      </c>
      <c r="O471" s="17">
        <f t="shared" si="5"/>
        <v>0.5961538462</v>
      </c>
      <c r="P471" s="1">
        <f>value(SUBSTITUTE(IFERROR(VLOOKUP(A471,'Communications - Solution Speci'!A:G,6,false),""),"#","")
)</f>
        <v>1</v>
      </c>
      <c r="Q471" s="1">
        <f>value(SUBSTITUTE(IFERROR(VLOOKUP(A471,'Communications - Solution Speci'!A:G,7,false),""),"#","")
)</f>
        <v>1</v>
      </c>
      <c r="R471" s="17">
        <f t="shared" si="6"/>
        <v>1</v>
      </c>
      <c r="S471" s="1">
        <f>value(SUBSTITUTE(IFERROR(VLOOKUP(A471,'Networking - Solution Specializ'!A:G,6,false),""),"#","")
)</f>
        <v>1</v>
      </c>
      <c r="T471" s="1">
        <f>value(SUBSTITUTE(IFERROR(VLOOKUP(A471,'Networking - Solution Specializ'!A:G,7,false),""),"#","")
)</f>
        <v>1</v>
      </c>
      <c r="U471" s="17">
        <f t="shared" si="7"/>
        <v>1</v>
      </c>
      <c r="V471" s="1">
        <f>iferror(vlookup(A471,'Marketing Plan (extract summary'!A:G,6,false),"")</f>
        <v>1</v>
      </c>
      <c r="W471" s="1">
        <f>iferror(vlookup(A471,'Marketing Plan (extract summary'!A:G,7,false),"")</f>
        <v>1</v>
      </c>
      <c r="X471" s="17">
        <f t="shared" si="8"/>
        <v>1</v>
      </c>
      <c r="Y471" s="1">
        <f>value(IFERROR(SUBSTITUTE(SUBSTITUTE(VLOOKUP(A471,'Quarterly Pipeline vs Target Pi'!A:G,6,false)," $","")," €",""), "")
)</f>
        <v>11.67</v>
      </c>
      <c r="Z471" s="1">
        <f>value(IFERROR(SUBSTITUTE(SUBSTITUTE(VLOOKUP(A471,'Quarterly Pipeline vs Target Pi'!A:G,7,false)," $","")," €",""), "")
)</f>
        <v>0</v>
      </c>
      <c r="AA471" s="17" t="str">
        <f t="shared" si="9"/>
        <v/>
      </c>
      <c r="AB471" s="1">
        <f>value(IFERROR(SUBSTITUTE(SUBSTITUTE(VLOOKUP($A471,'Quarterly Pipeline vs Target Pi'!$A:$V,11,false)," $","")," €",""), "")
)</f>
        <v>1.67</v>
      </c>
      <c r="AC471" s="1">
        <f>value(IFERROR(SUBSTITUTE(SUBSTITUTE(VLOOKUP($A471,'Quarterly Pipeline vs Target Pi'!$A:$V,12,false)," $","")," €",""), "")
)</f>
        <v>155.93</v>
      </c>
      <c r="AD471" s="17">
        <f t="shared" si="10"/>
        <v>0.01070993394</v>
      </c>
      <c r="AE471" s="1">
        <f>value(IFERROR(SUBSTITUTE(SUBSTITUTE(VLOOKUP($A471,'Quarterly Pipeline vs Target Pi'!$A:$V,16,false)," $","")," €",""), "")
)</f>
        <v>106.67</v>
      </c>
      <c r="AF471" s="1">
        <f>value(IFERROR(SUBSTITUTE(SUBSTITUTE(VLOOKUP($A471,'Quarterly Pipeline vs Target Pi'!$A:$V,17,false)," $","")," €",""), "")
)</f>
        <v>233.9</v>
      </c>
      <c r="AG471" s="17">
        <f t="shared" si="11"/>
        <v>0.4560495938</v>
      </c>
      <c r="AH471" s="1">
        <f>value(IFERROR(SUBSTITUTE(SUBSTITUTE(VLOOKUP($A471,'Quarterly Pipeline vs Target Pi'!$A:$V,21,false)," $","")," €",""), "")
)</f>
        <v>200.84</v>
      </c>
      <c r="AI471" s="1">
        <f>value(IFERROR(SUBSTITUTE(SUBSTITUTE(VLOOKUP($A471,'Quarterly Pipeline vs Target Pi'!$A:$V,22,false)," $","")," €",""), "")
)</f>
        <v>233.9</v>
      </c>
      <c r="AJ471" s="17">
        <f t="shared" si="12"/>
        <v>0.858657546</v>
      </c>
      <c r="AK471" s="1">
        <f t="shared" ref="AK471:AL471" si="955">sum(Y471,AB471,AE471,AH471)</f>
        <v>320.85</v>
      </c>
      <c r="AL471" s="1">
        <f t="shared" si="955"/>
        <v>623.73</v>
      </c>
      <c r="AM471" s="17">
        <f t="shared" si="14"/>
        <v>0.5144052715</v>
      </c>
      <c r="AN471" s="1">
        <f>value(IFERROR(SUBSTITUTE(SUBSTITUTE(VLOOKUP($A471,'Quarterly Pipeline vs Target Pi'!$A:$AP,26,false)," $","")," €",""), "")
)</f>
        <v>250</v>
      </c>
      <c r="AO471" s="1">
        <f>value(IFERROR(SUBSTITUTE(SUBSTITUTE(VLOOKUP($A471,'Quarterly Pipeline vs Target Pi'!$A:$AP,27,false)," $","")," €",""), "")
)</f>
        <v>0</v>
      </c>
      <c r="AP471" s="17" t="str">
        <f t="shared" si="15"/>
        <v/>
      </c>
      <c r="AQ471" s="1">
        <f>value(IFERROR(SUBSTITUTE(SUBSTITUTE(VLOOKUP($A471,'Quarterly Pipeline vs Target Pi'!$A:$AP,31,false)," $","")," €",""), "")
)</f>
        <v>1000</v>
      </c>
      <c r="AR471" s="1">
        <f>value(IFERROR(SUBSTITUTE(SUBSTITUTE(VLOOKUP($A471,'Quarterly Pipeline vs Target Pi'!$A:$AP,32,false)," $","")," €",""), "")
)</f>
        <v>0</v>
      </c>
      <c r="AS471" s="17" t="str">
        <f t="shared" si="16"/>
        <v/>
      </c>
      <c r="AT471" s="1">
        <f>value(IFERROR(SUBSTITUTE(SUBSTITUTE(VLOOKUP($A471,'Quarterly Pipeline vs Target Pi'!$A:$AP,36,false)," $","")," €",""), "")
)</f>
        <v>0</v>
      </c>
      <c r="AU471" s="1">
        <f>value(IFERROR(SUBSTITUTE(SUBSTITUTE(VLOOKUP($A471,'Quarterly Pipeline vs Target Pi'!$A:$AP,37,false)," $","")," €",""), "")
)</f>
        <v>0</v>
      </c>
      <c r="AV471" s="17" t="str">
        <f t="shared" si="17"/>
        <v/>
      </c>
      <c r="AW471" s="1">
        <f>value(IFERROR(SUBSTITUTE(SUBSTITUTE(VLOOKUP($A471,'Quarterly Pipeline vs Target Pi'!$A:$AP,41,false)," $","")," €",""), "")
)</f>
        <v>0</v>
      </c>
      <c r="AX471" s="1">
        <f>value(IFERROR(SUBSTITUTE(SUBSTITUTE(VLOOKUP($A471,'Quarterly Pipeline vs Target Pi'!$A:$AP,42,false)," $","")," €",""), "")
)</f>
        <v>0</v>
      </c>
      <c r="AY471" s="17" t="str">
        <f t="shared" si="18"/>
        <v/>
      </c>
      <c r="AZ471" s="1">
        <f t="shared" ref="AZ471:BA471" si="956">sum(AN471,AQ471,AT471,AW471)</f>
        <v>1250</v>
      </c>
      <c r="BA471" s="1">
        <f t="shared" si="956"/>
        <v>0</v>
      </c>
      <c r="BB471" s="17" t="str">
        <f t="shared" si="20"/>
        <v/>
      </c>
    </row>
    <row r="472">
      <c r="A472" s="1" t="str">
        <f>IFERROR(__xludf.DUMMYFUNCTION("""COMPUTED_VALUE"""),"63ced843c5c820531c2681e0")</f>
        <v>63ced843c5c820531c2681e0</v>
      </c>
      <c r="B472" s="1" t="str">
        <f>IFERROR(__xludf.DUMMYFUNCTION("""COMPUTED_VALUE"""),"UPSISTEMAS S.A.S.")</f>
        <v>UPSISTEMAS S.A.S.</v>
      </c>
      <c r="C472" s="1" t="str">
        <f>IFERROR(__xludf.DUMMYFUNCTION("""COMPUTED_VALUE"""),"javier.largacha@al-enterprise.com")</f>
        <v>javier.largacha@al-enterprise.com</v>
      </c>
      <c r="D472" s="1" t="str">
        <f>IFERROR(__xludf.DUMMYFUNCTION("""COMPUTED_VALUE"""),"americas")</f>
        <v>americas</v>
      </c>
      <c r="E472" s="1" t="str">
        <f>IFERROR(__xludf.DUMMYFUNCTION("""COMPUTED_VALUE"""),"CO")</f>
        <v>CO</v>
      </c>
      <c r="F472" s="1"/>
      <c r="G472" s="1" t="str">
        <f>iferror(VLOOKUP(A472,'Business Plan Setup and Accepta'!A:G,6,false),"")</f>
        <v/>
      </c>
      <c r="H472" s="1" t="str">
        <f>iferror(VLOOKUP(A472,'Business Plan Setup and Accepta'!A:G,7,false),"")</f>
        <v/>
      </c>
      <c r="I472" s="17" t="str">
        <f t="shared" si="3"/>
        <v/>
      </c>
      <c r="J472" s="1" t="str">
        <f>IFERROR(VALUE(SUBSTITUTE(VLOOKUP(A472,'Sales IN Revenues vs Sales targ'!A:G,6,false)," $","")), "")
</f>
        <v/>
      </c>
      <c r="K472" s="1" t="str">
        <f>IFERROR(VALUE(SUBSTITUTE(VLOOKUP(A472,'Sales IN Revenues vs Sales targ'!A:G,7,false)," $","")), "")
</f>
        <v/>
      </c>
      <c r="L472" s="17" t="str">
        <f t="shared" si="4"/>
        <v/>
      </c>
      <c r="M472" s="1">
        <f>value(SUBSTITUTE(IFERROR(VLOOKUP(A472,'Certifications achievements vs '!A:G,6,false),""),"#","")
)</f>
        <v>0</v>
      </c>
      <c r="N472" s="1">
        <f>value(SUBSTITUTE(IFERROR(VLOOKUP(A472,'Certifications achievements vs '!A:G,7,false),""),"#","")
)</f>
        <v>0</v>
      </c>
      <c r="O472" s="17" t="str">
        <f t="shared" si="5"/>
        <v/>
      </c>
      <c r="P472" s="1">
        <f>value(SUBSTITUTE(IFERROR(VLOOKUP(A472,'Communications - Solution Speci'!A:G,6,false),""),"#","")
)</f>
        <v>0</v>
      </c>
      <c r="Q472" s="1">
        <f>value(SUBSTITUTE(IFERROR(VLOOKUP(A472,'Communications - Solution Speci'!A:G,7,false),""),"#","")
)</f>
        <v>0</v>
      </c>
      <c r="R472" s="17" t="str">
        <f t="shared" si="6"/>
        <v/>
      </c>
      <c r="S472" s="1">
        <f>value(SUBSTITUTE(IFERROR(VLOOKUP(A472,'Networking - Solution Specializ'!A:G,6,false),""),"#","")
)</f>
        <v>0</v>
      </c>
      <c r="T472" s="1">
        <f>value(SUBSTITUTE(IFERROR(VLOOKUP(A472,'Networking - Solution Specializ'!A:G,7,false),""),"#","")
)</f>
        <v>0</v>
      </c>
      <c r="U472" s="17" t="str">
        <f t="shared" si="7"/>
        <v/>
      </c>
      <c r="V472" s="1" t="str">
        <f>iferror(vlookup(A472,'Marketing Plan (extract summary'!A:G,6,false),"")</f>
        <v/>
      </c>
      <c r="W472" s="1" t="str">
        <f>iferror(vlookup(A472,'Marketing Plan (extract summary'!A:G,7,false),"")</f>
        <v/>
      </c>
      <c r="X472" s="17" t="str">
        <f t="shared" si="8"/>
        <v/>
      </c>
      <c r="Y472" s="1">
        <f>value(IFERROR(SUBSTITUTE(SUBSTITUTE(VLOOKUP(A472,'Quarterly Pipeline vs Target Pi'!A:G,6,false)," $","")," €",""), "")
)</f>
        <v>0</v>
      </c>
      <c r="Z472" s="1">
        <f>value(IFERROR(SUBSTITUTE(SUBSTITUTE(VLOOKUP(A472,'Quarterly Pipeline vs Target Pi'!A:G,7,false)," $","")," €",""), "")
)</f>
        <v>0</v>
      </c>
      <c r="AA472" s="17" t="str">
        <f t="shared" si="9"/>
        <v/>
      </c>
      <c r="AB472" s="1">
        <f>value(IFERROR(SUBSTITUTE(SUBSTITUTE(VLOOKUP($A472,'Quarterly Pipeline vs Target Pi'!$A:$V,11,false)," $","")," €",""), "")
)</f>
        <v>0</v>
      </c>
      <c r="AC472" s="1">
        <f>value(IFERROR(SUBSTITUTE(SUBSTITUTE(VLOOKUP($A472,'Quarterly Pipeline vs Target Pi'!$A:$V,12,false)," $","")," €",""), "")
)</f>
        <v>0</v>
      </c>
      <c r="AD472" s="17" t="str">
        <f t="shared" si="10"/>
        <v/>
      </c>
      <c r="AE472" s="1">
        <f>value(IFERROR(SUBSTITUTE(SUBSTITUTE(VLOOKUP($A472,'Quarterly Pipeline vs Target Pi'!$A:$V,16,false)," $","")," €",""), "")
)</f>
        <v>0</v>
      </c>
      <c r="AF472" s="1">
        <f>value(IFERROR(SUBSTITUTE(SUBSTITUTE(VLOOKUP($A472,'Quarterly Pipeline vs Target Pi'!$A:$V,17,false)," $","")," €",""), "")
)</f>
        <v>0</v>
      </c>
      <c r="AG472" s="17" t="str">
        <f t="shared" si="11"/>
        <v/>
      </c>
      <c r="AH472" s="1">
        <f>value(IFERROR(SUBSTITUTE(SUBSTITUTE(VLOOKUP($A472,'Quarterly Pipeline vs Target Pi'!$A:$V,21,false)," $","")," €",""), "")
)</f>
        <v>0</v>
      </c>
      <c r="AI472" s="1">
        <f>value(IFERROR(SUBSTITUTE(SUBSTITUTE(VLOOKUP($A472,'Quarterly Pipeline vs Target Pi'!$A:$V,22,false)," $","")," €",""), "")
)</f>
        <v>0</v>
      </c>
      <c r="AJ472" s="17" t="str">
        <f t="shared" si="12"/>
        <v/>
      </c>
      <c r="AK472" s="1">
        <f t="shared" ref="AK472:AL472" si="957">sum(Y472,AB472,AE472,AH472)</f>
        <v>0</v>
      </c>
      <c r="AL472" s="1">
        <f t="shared" si="957"/>
        <v>0</v>
      </c>
      <c r="AM472" s="17" t="str">
        <f t="shared" si="14"/>
        <v/>
      </c>
      <c r="AN472" s="1">
        <f>value(IFERROR(SUBSTITUTE(SUBSTITUTE(VLOOKUP($A472,'Quarterly Pipeline vs Target Pi'!$A:$AP,26,false)," $","")," €",""), "")
)</f>
        <v>0</v>
      </c>
      <c r="AO472" s="1">
        <f>value(IFERROR(SUBSTITUTE(SUBSTITUTE(VLOOKUP($A472,'Quarterly Pipeline vs Target Pi'!$A:$AP,27,false)," $","")," €",""), "")
)</f>
        <v>0</v>
      </c>
      <c r="AP472" s="17" t="str">
        <f t="shared" si="15"/>
        <v/>
      </c>
      <c r="AQ472" s="1">
        <f>value(IFERROR(SUBSTITUTE(SUBSTITUTE(VLOOKUP($A472,'Quarterly Pipeline vs Target Pi'!$A:$AP,31,false)," $","")," €",""), "")
)</f>
        <v>0</v>
      </c>
      <c r="AR472" s="1">
        <f>value(IFERROR(SUBSTITUTE(SUBSTITUTE(VLOOKUP($A472,'Quarterly Pipeline vs Target Pi'!$A:$AP,32,false)," $","")," €",""), "")
)</f>
        <v>0</v>
      </c>
      <c r="AS472" s="17" t="str">
        <f t="shared" si="16"/>
        <v/>
      </c>
      <c r="AT472" s="1">
        <f>value(IFERROR(SUBSTITUTE(SUBSTITUTE(VLOOKUP($A472,'Quarterly Pipeline vs Target Pi'!$A:$AP,36,false)," $","")," €",""), "")
)</f>
        <v>0</v>
      </c>
      <c r="AU472" s="1">
        <f>value(IFERROR(SUBSTITUTE(SUBSTITUTE(VLOOKUP($A472,'Quarterly Pipeline vs Target Pi'!$A:$AP,37,false)," $","")," €",""), "")
)</f>
        <v>0</v>
      </c>
      <c r="AV472" s="17" t="str">
        <f t="shared" si="17"/>
        <v/>
      </c>
      <c r="AW472" s="1">
        <f>value(IFERROR(SUBSTITUTE(SUBSTITUTE(VLOOKUP($A472,'Quarterly Pipeline vs Target Pi'!$A:$AP,41,false)," $","")," €",""), "")
)</f>
        <v>0</v>
      </c>
      <c r="AX472" s="1">
        <f>value(IFERROR(SUBSTITUTE(SUBSTITUTE(VLOOKUP($A472,'Quarterly Pipeline vs Target Pi'!$A:$AP,42,false)," $","")," €",""), "")
)</f>
        <v>0</v>
      </c>
      <c r="AY472" s="17" t="str">
        <f t="shared" si="18"/>
        <v/>
      </c>
      <c r="AZ472" s="1">
        <f t="shared" ref="AZ472:BA472" si="958">sum(AN472,AQ472,AT472,AW472)</f>
        <v>0</v>
      </c>
      <c r="BA472" s="1">
        <f t="shared" si="958"/>
        <v>0</v>
      </c>
      <c r="BB472" s="17" t="str">
        <f t="shared" si="20"/>
        <v/>
      </c>
    </row>
    <row r="473">
      <c r="A473" s="1" t="str">
        <f>IFERROR(__xludf.DUMMYFUNCTION("""COMPUTED_VALUE"""),"63ef9d59384f27260c1ba523")</f>
        <v>63ef9d59384f27260c1ba523</v>
      </c>
      <c r="B473" s="1" t="str">
        <f>IFERROR(__xludf.DUMMYFUNCTION("""COMPUTED_VALUE"""),"UTM Tech19, Inc.")</f>
        <v>UTM Tech19, Inc.</v>
      </c>
      <c r="C473" s="1" t="str">
        <f>IFERROR(__xludf.DUMMYFUNCTION("""COMPUTED_VALUE"""),"gene.hawks@al-enterprise.com, bill.rademacher@al-enterprise.com")</f>
        <v>gene.hawks@al-enterprise.com, bill.rademacher@al-enterprise.com</v>
      </c>
      <c r="D473" s="1" t="str">
        <f>IFERROR(__xludf.DUMMYFUNCTION("""COMPUTED_VALUE"""),"americas")</f>
        <v>americas</v>
      </c>
      <c r="E473" s="1" t="str">
        <f>IFERROR(__xludf.DUMMYFUNCTION("""COMPUTED_VALUE"""),"US")</f>
        <v>US</v>
      </c>
      <c r="F473" s="1" t="str">
        <f>IFERROR(__xludf.DUMMYFUNCTION("""COMPUTED_VALUE"""),"expert_200")</f>
        <v>expert_200</v>
      </c>
      <c r="G473" s="1">
        <f>iferror(VLOOKUP(A473,'Business Plan Setup and Accepta'!A:G,6,false),"")</f>
        <v>0</v>
      </c>
      <c r="H473" s="1">
        <f>iferror(VLOOKUP(A473,'Business Plan Setup and Accepta'!A:G,7,false),"")</f>
        <v>1</v>
      </c>
      <c r="I473" s="17">
        <f t="shared" si="3"/>
        <v>0</v>
      </c>
      <c r="J473" s="1">
        <f>IFERROR(VALUE(SUBSTITUTE(VLOOKUP(A473,'Sales IN Revenues vs Sales targ'!A:G,6,false)," $","")), "")
</f>
        <v>0</v>
      </c>
      <c r="K473" s="1">
        <f>IFERROR(VALUE(SUBSTITUTE(VLOOKUP(A473,'Sales IN Revenues vs Sales targ'!A:G,7,false)," $","")), "")
</f>
        <v>0</v>
      </c>
      <c r="L473" s="17" t="str">
        <f t="shared" si="4"/>
        <v/>
      </c>
      <c r="M473" s="1">
        <f>value(SUBSTITUTE(IFERROR(VLOOKUP(A473,'Certifications achievements vs '!A:G,6,false),""),"#","")
)</f>
        <v>0</v>
      </c>
      <c r="N473" s="1">
        <f>value(SUBSTITUTE(IFERROR(VLOOKUP(A473,'Certifications achievements vs '!A:G,7,false),""),"#","")
)</f>
        <v>0</v>
      </c>
      <c r="O473" s="17" t="str">
        <f t="shared" si="5"/>
        <v/>
      </c>
      <c r="P473" s="1">
        <f>value(SUBSTITUTE(IFERROR(VLOOKUP(A473,'Communications - Solution Speci'!A:G,6,false),""),"#","")
)</f>
        <v>0</v>
      </c>
      <c r="Q473" s="1">
        <f>value(SUBSTITUTE(IFERROR(VLOOKUP(A473,'Communications - Solution Speci'!A:G,7,false),""),"#","")
)</f>
        <v>1</v>
      </c>
      <c r="R473" s="17">
        <f t="shared" si="6"/>
        <v>0</v>
      </c>
      <c r="S473" s="1">
        <f>value(SUBSTITUTE(IFERROR(VLOOKUP(A473,'Networking - Solution Specializ'!A:G,6,false),""),"#","")
)</f>
        <v>0</v>
      </c>
      <c r="T473" s="1">
        <f>value(SUBSTITUTE(IFERROR(VLOOKUP(A473,'Networking - Solution Specializ'!A:G,7,false),""),"#","")
)</f>
        <v>1</v>
      </c>
      <c r="U473" s="17">
        <f t="shared" si="7"/>
        <v>0</v>
      </c>
      <c r="V473" s="1">
        <f>iferror(vlookup(A473,'Marketing Plan (extract summary'!A:G,6,false),"")</f>
        <v>0</v>
      </c>
      <c r="W473" s="1">
        <f>iferror(vlookup(A473,'Marketing Plan (extract summary'!A:G,7,false),"")</f>
        <v>1</v>
      </c>
      <c r="X473" s="17">
        <f t="shared" si="8"/>
        <v>0</v>
      </c>
      <c r="Y473" s="1">
        <f>value(IFERROR(SUBSTITUTE(SUBSTITUTE(VLOOKUP(A473,'Quarterly Pipeline vs Target Pi'!A:G,6,false)," $","")," €",""), "")
)</f>
        <v>0.92</v>
      </c>
      <c r="Z473" s="1">
        <f>value(IFERROR(SUBSTITUTE(SUBSTITUTE(VLOOKUP(A473,'Quarterly Pipeline vs Target Pi'!A:G,7,false)," $","")," €",""), "")
)</f>
        <v>0</v>
      </c>
      <c r="AA473" s="17" t="str">
        <f t="shared" si="9"/>
        <v/>
      </c>
      <c r="AB473" s="1">
        <f>value(IFERROR(SUBSTITUTE(SUBSTITUTE(VLOOKUP($A473,'Quarterly Pipeline vs Target Pi'!$A:$V,11,false)," $","")," €",""), "")
)</f>
        <v>0.92</v>
      </c>
      <c r="AC473" s="1">
        <f>value(IFERROR(SUBSTITUTE(SUBSTITUTE(VLOOKUP($A473,'Quarterly Pipeline vs Target Pi'!$A:$V,12,false)," $","")," €",""), "")
)</f>
        <v>0</v>
      </c>
      <c r="AD473" s="17" t="str">
        <f t="shared" si="10"/>
        <v/>
      </c>
      <c r="AE473" s="1">
        <f>value(IFERROR(SUBSTITUTE(SUBSTITUTE(VLOOKUP($A473,'Quarterly Pipeline vs Target Pi'!$A:$V,16,false)," $","")," €",""), "")
)</f>
        <v>0</v>
      </c>
      <c r="AF473" s="1">
        <f>value(IFERROR(SUBSTITUTE(SUBSTITUTE(VLOOKUP($A473,'Quarterly Pipeline vs Target Pi'!$A:$V,17,false)," $","")," €",""), "")
)</f>
        <v>0</v>
      </c>
      <c r="AG473" s="17" t="str">
        <f t="shared" si="11"/>
        <v/>
      </c>
      <c r="AH473" s="1">
        <f>value(IFERROR(SUBSTITUTE(SUBSTITUTE(VLOOKUP($A473,'Quarterly Pipeline vs Target Pi'!$A:$V,21,false)," $","")," €",""), "")
)</f>
        <v>0</v>
      </c>
      <c r="AI473" s="1">
        <f>value(IFERROR(SUBSTITUTE(SUBSTITUTE(VLOOKUP($A473,'Quarterly Pipeline vs Target Pi'!$A:$V,22,false)," $","")," €",""), "")
)</f>
        <v>0</v>
      </c>
      <c r="AJ473" s="17" t="str">
        <f t="shared" si="12"/>
        <v/>
      </c>
      <c r="AK473" s="1">
        <f t="shared" ref="AK473:AL473" si="959">sum(Y473,AB473,AE473,AH473)</f>
        <v>1.84</v>
      </c>
      <c r="AL473" s="1">
        <f t="shared" si="959"/>
        <v>0</v>
      </c>
      <c r="AM473" s="17" t="str">
        <f t="shared" si="14"/>
        <v/>
      </c>
      <c r="AN473" s="1">
        <f>value(IFERROR(SUBSTITUTE(SUBSTITUTE(VLOOKUP($A473,'Quarterly Pipeline vs Target Pi'!$A:$AP,26,false)," $","")," €",""), "")
)</f>
        <v>0</v>
      </c>
      <c r="AO473" s="1">
        <f>value(IFERROR(SUBSTITUTE(SUBSTITUTE(VLOOKUP($A473,'Quarterly Pipeline vs Target Pi'!$A:$AP,27,false)," $","")," €",""), "")
)</f>
        <v>0</v>
      </c>
      <c r="AP473" s="17" t="str">
        <f t="shared" si="15"/>
        <v/>
      </c>
      <c r="AQ473" s="1">
        <f>value(IFERROR(SUBSTITUTE(SUBSTITUTE(VLOOKUP($A473,'Quarterly Pipeline vs Target Pi'!$A:$AP,31,false)," $","")," €",""), "")
)</f>
        <v>0</v>
      </c>
      <c r="AR473" s="1">
        <f>value(IFERROR(SUBSTITUTE(SUBSTITUTE(VLOOKUP($A473,'Quarterly Pipeline vs Target Pi'!$A:$AP,32,false)," $","")," €",""), "")
)</f>
        <v>0</v>
      </c>
      <c r="AS473" s="17" t="str">
        <f t="shared" si="16"/>
        <v/>
      </c>
      <c r="AT473" s="1">
        <f>value(IFERROR(SUBSTITUTE(SUBSTITUTE(VLOOKUP($A473,'Quarterly Pipeline vs Target Pi'!$A:$AP,36,false)," $","")," €",""), "")
)</f>
        <v>0</v>
      </c>
      <c r="AU473" s="1">
        <f>value(IFERROR(SUBSTITUTE(SUBSTITUTE(VLOOKUP($A473,'Quarterly Pipeline vs Target Pi'!$A:$AP,37,false)," $","")," €",""), "")
)</f>
        <v>0</v>
      </c>
      <c r="AV473" s="17" t="str">
        <f t="shared" si="17"/>
        <v/>
      </c>
      <c r="AW473" s="1">
        <f>value(IFERROR(SUBSTITUTE(SUBSTITUTE(VLOOKUP($A473,'Quarterly Pipeline vs Target Pi'!$A:$AP,41,false)," $","")," €",""), "")
)</f>
        <v>0</v>
      </c>
      <c r="AX473" s="1">
        <f>value(IFERROR(SUBSTITUTE(SUBSTITUTE(VLOOKUP($A473,'Quarterly Pipeline vs Target Pi'!$A:$AP,42,false)," $","")," €",""), "")
)</f>
        <v>0</v>
      </c>
      <c r="AY473" s="17" t="str">
        <f t="shared" si="18"/>
        <v/>
      </c>
      <c r="AZ473" s="1">
        <f t="shared" ref="AZ473:BA473" si="960">sum(AN473,AQ473,AT473,AW473)</f>
        <v>0</v>
      </c>
      <c r="BA473" s="1">
        <f t="shared" si="960"/>
        <v>0</v>
      </c>
      <c r="BB473" s="17" t="str">
        <f t="shared" si="20"/>
        <v/>
      </c>
    </row>
    <row r="474">
      <c r="A474" s="1" t="str">
        <f>IFERROR(__xludf.DUMMYFUNCTION("""COMPUTED_VALUE"""),"63ea6e9752ad6968805cf17f")</f>
        <v>63ea6e9752ad6968805cf17f</v>
      </c>
      <c r="B474" s="1" t="str">
        <f>IFERROR(__xludf.DUMMYFUNCTION("""COMPUTED_VALUE"""),"Uwe Müller    BFE - Büro- u. Fernmeldeelektr.")</f>
        <v>Uwe Müller    BFE - Büro- u. Fernmeldeelektr.</v>
      </c>
      <c r="C474" s="1" t="str">
        <f>IFERROR(__xludf.DUMMYFUNCTION("""COMPUTED_VALUE"""),"andreas.grossheimann@al-enterprise.com, andre.ramm@al-enterprise.com")</f>
        <v>andreas.grossheimann@al-enterprise.com, andre.ramm@al-enterprise.com</v>
      </c>
      <c r="D474" s="1" t="str">
        <f>IFERROR(__xludf.DUMMYFUNCTION("""COMPUTED_VALUE"""),"germany")</f>
        <v>germany</v>
      </c>
      <c r="E474" s="1" t="str">
        <f>IFERROR(__xludf.DUMMYFUNCTION("""COMPUTED_VALUE"""),"DE")</f>
        <v>DE</v>
      </c>
      <c r="F474" s="1"/>
      <c r="G474" s="1" t="str">
        <f>iferror(VLOOKUP(A474,'Business Plan Setup and Accepta'!A:G,6,false),"")</f>
        <v/>
      </c>
      <c r="H474" s="1" t="str">
        <f>iferror(VLOOKUP(A474,'Business Plan Setup and Accepta'!A:G,7,false),"")</f>
        <v/>
      </c>
      <c r="I474" s="17" t="str">
        <f t="shared" si="3"/>
        <v/>
      </c>
      <c r="J474" s="1" t="str">
        <f>IFERROR(VALUE(SUBSTITUTE(VLOOKUP(A474,'Sales IN Revenues vs Sales targ'!A:G,6,false)," $","")), "")
</f>
        <v/>
      </c>
      <c r="K474" s="1" t="str">
        <f>IFERROR(VALUE(SUBSTITUTE(VLOOKUP(A474,'Sales IN Revenues vs Sales targ'!A:G,7,false)," $","")), "")
</f>
        <v/>
      </c>
      <c r="L474" s="17" t="str">
        <f t="shared" si="4"/>
        <v/>
      </c>
      <c r="M474" s="1">
        <f>value(SUBSTITUTE(IFERROR(VLOOKUP(A474,'Certifications achievements vs '!A:G,6,false),""),"#","")
)</f>
        <v>0</v>
      </c>
      <c r="N474" s="1">
        <f>value(SUBSTITUTE(IFERROR(VLOOKUP(A474,'Certifications achievements vs '!A:G,7,false),""),"#","")
)</f>
        <v>0</v>
      </c>
      <c r="O474" s="17" t="str">
        <f t="shared" si="5"/>
        <v/>
      </c>
      <c r="P474" s="1">
        <f>value(SUBSTITUTE(IFERROR(VLOOKUP(A474,'Communications - Solution Speci'!A:G,6,false),""),"#","")
)</f>
        <v>0</v>
      </c>
      <c r="Q474" s="1">
        <f>value(SUBSTITUTE(IFERROR(VLOOKUP(A474,'Communications - Solution Speci'!A:G,7,false),""),"#","")
)</f>
        <v>0</v>
      </c>
      <c r="R474" s="17" t="str">
        <f t="shared" si="6"/>
        <v/>
      </c>
      <c r="S474" s="1">
        <f>value(SUBSTITUTE(IFERROR(VLOOKUP(A474,'Networking - Solution Specializ'!A:G,6,false),""),"#","")
)</f>
        <v>0</v>
      </c>
      <c r="T474" s="1">
        <f>value(SUBSTITUTE(IFERROR(VLOOKUP(A474,'Networking - Solution Specializ'!A:G,7,false),""),"#","")
)</f>
        <v>0</v>
      </c>
      <c r="U474" s="17" t="str">
        <f t="shared" si="7"/>
        <v/>
      </c>
      <c r="V474" s="1" t="str">
        <f>iferror(vlookup(A474,'Marketing Plan (extract summary'!A:G,6,false),"")</f>
        <v/>
      </c>
      <c r="W474" s="1" t="str">
        <f>iferror(vlookup(A474,'Marketing Plan (extract summary'!A:G,7,false),"")</f>
        <v/>
      </c>
      <c r="X474" s="17" t="str">
        <f t="shared" si="8"/>
        <v/>
      </c>
      <c r="Y474" s="1">
        <f>value(IFERROR(SUBSTITUTE(SUBSTITUTE(VLOOKUP(A474,'Quarterly Pipeline vs Target Pi'!A:G,6,false)," $","")," €",""), "")
)</f>
        <v>0</v>
      </c>
      <c r="Z474" s="1">
        <f>value(IFERROR(SUBSTITUTE(SUBSTITUTE(VLOOKUP(A474,'Quarterly Pipeline vs Target Pi'!A:G,7,false)," $","")," €",""), "")
)</f>
        <v>0</v>
      </c>
      <c r="AA474" s="17" t="str">
        <f t="shared" si="9"/>
        <v/>
      </c>
      <c r="AB474" s="1">
        <f>value(IFERROR(SUBSTITUTE(SUBSTITUTE(VLOOKUP($A474,'Quarterly Pipeline vs Target Pi'!$A:$V,11,false)," $","")," €",""), "")
)</f>
        <v>0</v>
      </c>
      <c r="AC474" s="1">
        <f>value(IFERROR(SUBSTITUTE(SUBSTITUTE(VLOOKUP($A474,'Quarterly Pipeline vs Target Pi'!$A:$V,12,false)," $","")," €",""), "")
)</f>
        <v>0</v>
      </c>
      <c r="AD474" s="17" t="str">
        <f t="shared" si="10"/>
        <v/>
      </c>
      <c r="AE474" s="1">
        <f>value(IFERROR(SUBSTITUTE(SUBSTITUTE(VLOOKUP($A474,'Quarterly Pipeline vs Target Pi'!$A:$V,16,false)," $","")," €",""), "")
)</f>
        <v>0</v>
      </c>
      <c r="AF474" s="1">
        <f>value(IFERROR(SUBSTITUTE(SUBSTITUTE(VLOOKUP($A474,'Quarterly Pipeline vs Target Pi'!$A:$V,17,false)," $","")," €",""), "")
)</f>
        <v>0</v>
      </c>
      <c r="AG474" s="17" t="str">
        <f t="shared" si="11"/>
        <v/>
      </c>
      <c r="AH474" s="1">
        <f>value(IFERROR(SUBSTITUTE(SUBSTITUTE(VLOOKUP($A474,'Quarterly Pipeline vs Target Pi'!$A:$V,21,false)," $","")," €",""), "")
)</f>
        <v>0</v>
      </c>
      <c r="AI474" s="1">
        <f>value(IFERROR(SUBSTITUTE(SUBSTITUTE(VLOOKUP($A474,'Quarterly Pipeline vs Target Pi'!$A:$V,22,false)," $","")," €",""), "")
)</f>
        <v>0</v>
      </c>
      <c r="AJ474" s="17" t="str">
        <f t="shared" si="12"/>
        <v/>
      </c>
      <c r="AK474" s="1">
        <f t="shared" ref="AK474:AL474" si="961">sum(Y474,AB474,AE474,AH474)</f>
        <v>0</v>
      </c>
      <c r="AL474" s="1">
        <f t="shared" si="961"/>
        <v>0</v>
      </c>
      <c r="AM474" s="17" t="str">
        <f t="shared" si="14"/>
        <v/>
      </c>
      <c r="AN474" s="1">
        <f>value(IFERROR(SUBSTITUTE(SUBSTITUTE(VLOOKUP($A474,'Quarterly Pipeline vs Target Pi'!$A:$AP,26,false)," $","")," €",""), "")
)</f>
        <v>0</v>
      </c>
      <c r="AO474" s="1">
        <f>value(IFERROR(SUBSTITUTE(SUBSTITUTE(VLOOKUP($A474,'Quarterly Pipeline vs Target Pi'!$A:$AP,27,false)," $","")," €",""), "")
)</f>
        <v>0</v>
      </c>
      <c r="AP474" s="17" t="str">
        <f t="shared" si="15"/>
        <v/>
      </c>
      <c r="AQ474" s="1">
        <f>value(IFERROR(SUBSTITUTE(SUBSTITUTE(VLOOKUP($A474,'Quarterly Pipeline vs Target Pi'!$A:$AP,31,false)," $","")," €",""), "")
)</f>
        <v>0</v>
      </c>
      <c r="AR474" s="1">
        <f>value(IFERROR(SUBSTITUTE(SUBSTITUTE(VLOOKUP($A474,'Quarterly Pipeline vs Target Pi'!$A:$AP,32,false)," $","")," €",""), "")
)</f>
        <v>0</v>
      </c>
      <c r="AS474" s="17" t="str">
        <f t="shared" si="16"/>
        <v/>
      </c>
      <c r="AT474" s="1">
        <f>value(IFERROR(SUBSTITUTE(SUBSTITUTE(VLOOKUP($A474,'Quarterly Pipeline vs Target Pi'!$A:$AP,36,false)," $","")," €",""), "")
)</f>
        <v>0</v>
      </c>
      <c r="AU474" s="1">
        <f>value(IFERROR(SUBSTITUTE(SUBSTITUTE(VLOOKUP($A474,'Quarterly Pipeline vs Target Pi'!$A:$AP,37,false)," $","")," €",""), "")
)</f>
        <v>0</v>
      </c>
      <c r="AV474" s="17" t="str">
        <f t="shared" si="17"/>
        <v/>
      </c>
      <c r="AW474" s="1">
        <f>value(IFERROR(SUBSTITUTE(SUBSTITUTE(VLOOKUP($A474,'Quarterly Pipeline vs Target Pi'!$A:$AP,41,false)," $","")," €",""), "")
)</f>
        <v>0</v>
      </c>
      <c r="AX474" s="1">
        <f>value(IFERROR(SUBSTITUTE(SUBSTITUTE(VLOOKUP($A474,'Quarterly Pipeline vs Target Pi'!$A:$AP,42,false)," $","")," €",""), "")
)</f>
        <v>0</v>
      </c>
      <c r="AY474" s="17" t="str">
        <f t="shared" si="18"/>
        <v/>
      </c>
      <c r="AZ474" s="1">
        <f t="shared" ref="AZ474:BA474" si="962">sum(AN474,AQ474,AT474,AW474)</f>
        <v>0</v>
      </c>
      <c r="BA474" s="1">
        <f t="shared" si="962"/>
        <v>0</v>
      </c>
      <c r="BB474" s="17" t="str">
        <f t="shared" si="20"/>
        <v/>
      </c>
    </row>
    <row r="475">
      <c r="A475" s="1" t="str">
        <f>IFERROR(__xludf.DUMMYFUNCTION("""COMPUTED_VALUE"""),"63ced84bc5c820531c269392")</f>
        <v>63ced84bc5c820531c269392</v>
      </c>
      <c r="B475" s="1" t="str">
        <f>IFERROR(__xludf.DUMMYFUNCTION("""COMPUTED_VALUE"""),"Vanquish GmbH")</f>
        <v>Vanquish GmbH</v>
      </c>
      <c r="C475" s="1" t="str">
        <f>IFERROR(__xludf.DUMMYFUNCTION("""COMPUTED_VALUE"""),"gunther.hahn@al-enterprise.com")</f>
        <v>gunther.hahn@al-enterprise.com</v>
      </c>
      <c r="D475" s="1" t="str">
        <f>IFERROR(__xludf.DUMMYFUNCTION("""COMPUTED_VALUE"""),"germany")</f>
        <v>germany</v>
      </c>
      <c r="E475" s="1" t="str">
        <f>IFERROR(__xludf.DUMMYFUNCTION("""COMPUTED_VALUE"""),"DE")</f>
        <v>DE</v>
      </c>
      <c r="F475" s="1"/>
      <c r="G475" s="1" t="str">
        <f>iferror(VLOOKUP(A475,'Business Plan Setup and Accepta'!A:G,6,false),"")</f>
        <v/>
      </c>
      <c r="H475" s="1" t="str">
        <f>iferror(VLOOKUP(A475,'Business Plan Setup and Accepta'!A:G,7,false),"")</f>
        <v/>
      </c>
      <c r="I475" s="17" t="str">
        <f t="shared" si="3"/>
        <v/>
      </c>
      <c r="J475" s="1" t="str">
        <f>IFERROR(VALUE(SUBSTITUTE(VLOOKUP(A475,'Sales IN Revenues vs Sales targ'!A:G,6,false)," $","")), "")
</f>
        <v/>
      </c>
      <c r="K475" s="1" t="str">
        <f>IFERROR(VALUE(SUBSTITUTE(VLOOKUP(A475,'Sales IN Revenues vs Sales targ'!A:G,7,false)," $","")), "")
</f>
        <v/>
      </c>
      <c r="L475" s="17" t="str">
        <f t="shared" si="4"/>
        <v/>
      </c>
      <c r="M475" s="1">
        <f>value(SUBSTITUTE(IFERROR(VLOOKUP(A475,'Certifications achievements vs '!A:G,6,false),""),"#","")
)</f>
        <v>0</v>
      </c>
      <c r="N475" s="1">
        <f>value(SUBSTITUTE(IFERROR(VLOOKUP(A475,'Certifications achievements vs '!A:G,7,false),""),"#","")
)</f>
        <v>0</v>
      </c>
      <c r="O475" s="17" t="str">
        <f t="shared" si="5"/>
        <v/>
      </c>
      <c r="P475" s="1">
        <f>value(SUBSTITUTE(IFERROR(VLOOKUP(A475,'Communications - Solution Speci'!A:G,6,false),""),"#","")
)</f>
        <v>0</v>
      </c>
      <c r="Q475" s="1">
        <f>value(SUBSTITUTE(IFERROR(VLOOKUP(A475,'Communications - Solution Speci'!A:G,7,false),""),"#","")
)</f>
        <v>0</v>
      </c>
      <c r="R475" s="17" t="str">
        <f t="shared" si="6"/>
        <v/>
      </c>
      <c r="S475" s="1">
        <f>value(SUBSTITUTE(IFERROR(VLOOKUP(A475,'Networking - Solution Specializ'!A:G,6,false),""),"#","")
)</f>
        <v>0</v>
      </c>
      <c r="T475" s="1">
        <f>value(SUBSTITUTE(IFERROR(VLOOKUP(A475,'Networking - Solution Specializ'!A:G,7,false),""),"#","")
)</f>
        <v>0</v>
      </c>
      <c r="U475" s="17" t="str">
        <f t="shared" si="7"/>
        <v/>
      </c>
      <c r="V475" s="1" t="str">
        <f>iferror(vlookup(A475,'Marketing Plan (extract summary'!A:G,6,false),"")</f>
        <v/>
      </c>
      <c r="W475" s="1" t="str">
        <f>iferror(vlookup(A475,'Marketing Plan (extract summary'!A:G,7,false),"")</f>
        <v/>
      </c>
      <c r="X475" s="17" t="str">
        <f t="shared" si="8"/>
        <v/>
      </c>
      <c r="Y475" s="1">
        <f>value(IFERROR(SUBSTITUTE(SUBSTITUTE(VLOOKUP(A475,'Quarterly Pipeline vs Target Pi'!A:G,6,false)," $","")," €",""), "")
)</f>
        <v>0</v>
      </c>
      <c r="Z475" s="1">
        <f>value(IFERROR(SUBSTITUTE(SUBSTITUTE(VLOOKUP(A475,'Quarterly Pipeline vs Target Pi'!A:G,7,false)," $","")," €",""), "")
)</f>
        <v>0</v>
      </c>
      <c r="AA475" s="17" t="str">
        <f t="shared" si="9"/>
        <v/>
      </c>
      <c r="AB475" s="1">
        <f>value(IFERROR(SUBSTITUTE(SUBSTITUTE(VLOOKUP($A475,'Quarterly Pipeline vs Target Pi'!$A:$V,11,false)," $","")," €",""), "")
)</f>
        <v>0</v>
      </c>
      <c r="AC475" s="1">
        <f>value(IFERROR(SUBSTITUTE(SUBSTITUTE(VLOOKUP($A475,'Quarterly Pipeline vs Target Pi'!$A:$V,12,false)," $","")," €",""), "")
)</f>
        <v>0</v>
      </c>
      <c r="AD475" s="17" t="str">
        <f t="shared" si="10"/>
        <v/>
      </c>
      <c r="AE475" s="1">
        <f>value(IFERROR(SUBSTITUTE(SUBSTITUTE(VLOOKUP($A475,'Quarterly Pipeline vs Target Pi'!$A:$V,16,false)," $","")," €",""), "")
)</f>
        <v>0</v>
      </c>
      <c r="AF475" s="1">
        <f>value(IFERROR(SUBSTITUTE(SUBSTITUTE(VLOOKUP($A475,'Quarterly Pipeline vs Target Pi'!$A:$V,17,false)," $","")," €",""), "")
)</f>
        <v>0</v>
      </c>
      <c r="AG475" s="17" t="str">
        <f t="shared" si="11"/>
        <v/>
      </c>
      <c r="AH475" s="1">
        <f>value(IFERROR(SUBSTITUTE(SUBSTITUTE(VLOOKUP($A475,'Quarterly Pipeline vs Target Pi'!$A:$V,21,false)," $","")," €",""), "")
)</f>
        <v>0</v>
      </c>
      <c r="AI475" s="1">
        <f>value(IFERROR(SUBSTITUTE(SUBSTITUTE(VLOOKUP($A475,'Quarterly Pipeline vs Target Pi'!$A:$V,22,false)," $","")," €",""), "")
)</f>
        <v>0</v>
      </c>
      <c r="AJ475" s="17" t="str">
        <f t="shared" si="12"/>
        <v/>
      </c>
      <c r="AK475" s="1">
        <f t="shared" ref="AK475:AL475" si="963">sum(Y475,AB475,AE475,AH475)</f>
        <v>0</v>
      </c>
      <c r="AL475" s="1">
        <f t="shared" si="963"/>
        <v>0</v>
      </c>
      <c r="AM475" s="17" t="str">
        <f t="shared" si="14"/>
        <v/>
      </c>
      <c r="AN475" s="1">
        <f>value(IFERROR(SUBSTITUTE(SUBSTITUTE(VLOOKUP($A475,'Quarterly Pipeline vs Target Pi'!$A:$AP,26,false)," $","")," €",""), "")
)</f>
        <v>0</v>
      </c>
      <c r="AO475" s="1">
        <f>value(IFERROR(SUBSTITUTE(SUBSTITUTE(VLOOKUP($A475,'Quarterly Pipeline vs Target Pi'!$A:$AP,27,false)," $","")," €",""), "")
)</f>
        <v>0</v>
      </c>
      <c r="AP475" s="17" t="str">
        <f t="shared" si="15"/>
        <v/>
      </c>
      <c r="AQ475" s="1">
        <f>value(IFERROR(SUBSTITUTE(SUBSTITUTE(VLOOKUP($A475,'Quarterly Pipeline vs Target Pi'!$A:$AP,31,false)," $","")," €",""), "")
)</f>
        <v>0</v>
      </c>
      <c r="AR475" s="1">
        <f>value(IFERROR(SUBSTITUTE(SUBSTITUTE(VLOOKUP($A475,'Quarterly Pipeline vs Target Pi'!$A:$AP,32,false)," $","")," €",""), "")
)</f>
        <v>0</v>
      </c>
      <c r="AS475" s="17" t="str">
        <f t="shared" si="16"/>
        <v/>
      </c>
      <c r="AT475" s="1">
        <f>value(IFERROR(SUBSTITUTE(SUBSTITUTE(VLOOKUP($A475,'Quarterly Pipeline vs Target Pi'!$A:$AP,36,false)," $","")," €",""), "")
)</f>
        <v>0</v>
      </c>
      <c r="AU475" s="1">
        <f>value(IFERROR(SUBSTITUTE(SUBSTITUTE(VLOOKUP($A475,'Quarterly Pipeline vs Target Pi'!$A:$AP,37,false)," $","")," €",""), "")
)</f>
        <v>0</v>
      </c>
      <c r="AV475" s="17" t="str">
        <f t="shared" si="17"/>
        <v/>
      </c>
      <c r="AW475" s="1">
        <f>value(IFERROR(SUBSTITUTE(SUBSTITUTE(VLOOKUP($A475,'Quarterly Pipeline vs Target Pi'!$A:$AP,41,false)," $","")," €",""), "")
)</f>
        <v>0</v>
      </c>
      <c r="AX475" s="1">
        <f>value(IFERROR(SUBSTITUTE(SUBSTITUTE(VLOOKUP($A475,'Quarterly Pipeline vs Target Pi'!$A:$AP,42,false)," $","")," €",""), "")
)</f>
        <v>0</v>
      </c>
      <c r="AY475" s="17" t="str">
        <f t="shared" si="18"/>
        <v/>
      </c>
      <c r="AZ475" s="1">
        <f t="shared" ref="AZ475:BA475" si="964">sum(AN475,AQ475,AT475,AW475)</f>
        <v>0</v>
      </c>
      <c r="BA475" s="1">
        <f t="shared" si="964"/>
        <v>0</v>
      </c>
      <c r="BB475" s="17" t="str">
        <f t="shared" si="20"/>
        <v/>
      </c>
    </row>
    <row r="476">
      <c r="A476" s="1" t="str">
        <f>IFERROR(__xludf.DUMMYFUNCTION("""COMPUTED_VALUE"""),"63fcbb7fa107c871cf5649ef")</f>
        <v>63fcbb7fa107c871cf5649ef</v>
      </c>
      <c r="B476" s="1" t="str">
        <f>IFERROR(__xludf.DUMMYFUNCTION("""COMPUTED_VALUE"""),"VECTOR RESOURCES, INC.")</f>
        <v>VECTOR RESOURCES, INC.</v>
      </c>
      <c r="C476" s="1" t="str">
        <f>IFERROR(__xludf.DUMMYFUNCTION("""COMPUTED_VALUE"""),"skleinpe@al-enterprise.com")</f>
        <v>skleinpe@al-enterprise.com</v>
      </c>
      <c r="D476" s="1" t="str">
        <f>IFERROR(__xludf.DUMMYFUNCTION("""COMPUTED_VALUE"""),"americas")</f>
        <v>americas</v>
      </c>
      <c r="E476" s="1" t="str">
        <f>IFERROR(__xludf.DUMMYFUNCTION("""COMPUTED_VALUE"""),"US")</f>
        <v>US</v>
      </c>
      <c r="F476" s="1"/>
      <c r="G476" s="1" t="str">
        <f>iferror(VLOOKUP(A476,'Business Plan Setup and Accepta'!A:G,6,false),"")</f>
        <v/>
      </c>
      <c r="H476" s="1" t="str">
        <f>iferror(VLOOKUP(A476,'Business Plan Setup and Accepta'!A:G,7,false),"")</f>
        <v/>
      </c>
      <c r="I476" s="17" t="str">
        <f t="shared" si="3"/>
        <v/>
      </c>
      <c r="J476" s="1" t="str">
        <f>IFERROR(VALUE(SUBSTITUTE(VLOOKUP(A476,'Sales IN Revenues vs Sales targ'!A:G,6,false)," $","")), "")
</f>
        <v/>
      </c>
      <c r="K476" s="1" t="str">
        <f>IFERROR(VALUE(SUBSTITUTE(VLOOKUP(A476,'Sales IN Revenues vs Sales targ'!A:G,7,false)," $","")), "")
</f>
        <v/>
      </c>
      <c r="L476" s="17" t="str">
        <f t="shared" si="4"/>
        <v/>
      </c>
      <c r="M476" s="1">
        <f>value(SUBSTITUTE(IFERROR(VLOOKUP(A476,'Certifications achievements vs '!A:G,6,false),""),"#","")
)</f>
        <v>0</v>
      </c>
      <c r="N476" s="1">
        <f>value(SUBSTITUTE(IFERROR(VLOOKUP(A476,'Certifications achievements vs '!A:G,7,false),""),"#","")
)</f>
        <v>0</v>
      </c>
      <c r="O476" s="17" t="str">
        <f t="shared" si="5"/>
        <v/>
      </c>
      <c r="P476" s="1">
        <f>value(SUBSTITUTE(IFERROR(VLOOKUP(A476,'Communications - Solution Speci'!A:G,6,false),""),"#","")
)</f>
        <v>0</v>
      </c>
      <c r="Q476" s="1">
        <f>value(SUBSTITUTE(IFERROR(VLOOKUP(A476,'Communications - Solution Speci'!A:G,7,false),""),"#","")
)</f>
        <v>0</v>
      </c>
      <c r="R476" s="17" t="str">
        <f t="shared" si="6"/>
        <v/>
      </c>
      <c r="S476" s="1">
        <f>value(SUBSTITUTE(IFERROR(VLOOKUP(A476,'Networking - Solution Specializ'!A:G,6,false),""),"#","")
)</f>
        <v>0</v>
      </c>
      <c r="T476" s="1">
        <f>value(SUBSTITUTE(IFERROR(VLOOKUP(A476,'Networking - Solution Specializ'!A:G,7,false),""),"#","")
)</f>
        <v>0</v>
      </c>
      <c r="U476" s="17" t="str">
        <f t="shared" si="7"/>
        <v/>
      </c>
      <c r="V476" s="1" t="str">
        <f>iferror(vlookup(A476,'Marketing Plan (extract summary'!A:G,6,false),"")</f>
        <v/>
      </c>
      <c r="W476" s="1" t="str">
        <f>iferror(vlookup(A476,'Marketing Plan (extract summary'!A:G,7,false),"")</f>
        <v/>
      </c>
      <c r="X476" s="17" t="str">
        <f t="shared" si="8"/>
        <v/>
      </c>
      <c r="Y476" s="1">
        <f>value(IFERROR(SUBSTITUTE(SUBSTITUTE(VLOOKUP(A476,'Quarterly Pipeline vs Target Pi'!A:G,6,false)," $","")," €",""), "")
)</f>
        <v>0</v>
      </c>
      <c r="Z476" s="1">
        <f>value(IFERROR(SUBSTITUTE(SUBSTITUTE(VLOOKUP(A476,'Quarterly Pipeline vs Target Pi'!A:G,7,false)," $","")," €",""), "")
)</f>
        <v>0</v>
      </c>
      <c r="AA476" s="17" t="str">
        <f t="shared" si="9"/>
        <v/>
      </c>
      <c r="AB476" s="1">
        <f>value(IFERROR(SUBSTITUTE(SUBSTITUTE(VLOOKUP($A476,'Quarterly Pipeline vs Target Pi'!$A:$V,11,false)," $","")," €",""), "")
)</f>
        <v>0</v>
      </c>
      <c r="AC476" s="1">
        <f>value(IFERROR(SUBSTITUTE(SUBSTITUTE(VLOOKUP($A476,'Quarterly Pipeline vs Target Pi'!$A:$V,12,false)," $","")," €",""), "")
)</f>
        <v>0</v>
      </c>
      <c r="AD476" s="17" t="str">
        <f t="shared" si="10"/>
        <v/>
      </c>
      <c r="AE476" s="1">
        <f>value(IFERROR(SUBSTITUTE(SUBSTITUTE(VLOOKUP($A476,'Quarterly Pipeline vs Target Pi'!$A:$V,16,false)," $","")," €",""), "")
)</f>
        <v>0</v>
      </c>
      <c r="AF476" s="1">
        <f>value(IFERROR(SUBSTITUTE(SUBSTITUTE(VLOOKUP($A476,'Quarterly Pipeline vs Target Pi'!$A:$V,17,false)," $","")," €",""), "")
)</f>
        <v>0</v>
      </c>
      <c r="AG476" s="17" t="str">
        <f t="shared" si="11"/>
        <v/>
      </c>
      <c r="AH476" s="1">
        <f>value(IFERROR(SUBSTITUTE(SUBSTITUTE(VLOOKUP($A476,'Quarterly Pipeline vs Target Pi'!$A:$V,21,false)," $","")," €",""), "")
)</f>
        <v>0</v>
      </c>
      <c r="AI476" s="1">
        <f>value(IFERROR(SUBSTITUTE(SUBSTITUTE(VLOOKUP($A476,'Quarterly Pipeline vs Target Pi'!$A:$V,22,false)," $","")," €",""), "")
)</f>
        <v>0</v>
      </c>
      <c r="AJ476" s="17" t="str">
        <f t="shared" si="12"/>
        <v/>
      </c>
      <c r="AK476" s="1">
        <f t="shared" ref="AK476:AL476" si="965">sum(Y476,AB476,AE476,AH476)</f>
        <v>0</v>
      </c>
      <c r="AL476" s="1">
        <f t="shared" si="965"/>
        <v>0</v>
      </c>
      <c r="AM476" s="17" t="str">
        <f t="shared" si="14"/>
        <v/>
      </c>
      <c r="AN476" s="1">
        <f>value(IFERROR(SUBSTITUTE(SUBSTITUTE(VLOOKUP($A476,'Quarterly Pipeline vs Target Pi'!$A:$AP,26,false)," $","")," €",""), "")
)</f>
        <v>0</v>
      </c>
      <c r="AO476" s="1">
        <f>value(IFERROR(SUBSTITUTE(SUBSTITUTE(VLOOKUP($A476,'Quarterly Pipeline vs Target Pi'!$A:$AP,27,false)," $","")," €",""), "")
)</f>
        <v>0</v>
      </c>
      <c r="AP476" s="17" t="str">
        <f t="shared" si="15"/>
        <v/>
      </c>
      <c r="AQ476" s="1">
        <f>value(IFERROR(SUBSTITUTE(SUBSTITUTE(VLOOKUP($A476,'Quarterly Pipeline vs Target Pi'!$A:$AP,31,false)," $","")," €",""), "")
)</f>
        <v>0</v>
      </c>
      <c r="AR476" s="1">
        <f>value(IFERROR(SUBSTITUTE(SUBSTITUTE(VLOOKUP($A476,'Quarterly Pipeline vs Target Pi'!$A:$AP,32,false)," $","")," €",""), "")
)</f>
        <v>0</v>
      </c>
      <c r="AS476" s="17" t="str">
        <f t="shared" si="16"/>
        <v/>
      </c>
      <c r="AT476" s="1">
        <f>value(IFERROR(SUBSTITUTE(SUBSTITUTE(VLOOKUP($A476,'Quarterly Pipeline vs Target Pi'!$A:$AP,36,false)," $","")," €",""), "")
)</f>
        <v>0</v>
      </c>
      <c r="AU476" s="1">
        <f>value(IFERROR(SUBSTITUTE(SUBSTITUTE(VLOOKUP($A476,'Quarterly Pipeline vs Target Pi'!$A:$AP,37,false)," $","")," €",""), "")
)</f>
        <v>0</v>
      </c>
      <c r="AV476" s="17" t="str">
        <f t="shared" si="17"/>
        <v/>
      </c>
      <c r="AW476" s="1">
        <f>value(IFERROR(SUBSTITUTE(SUBSTITUTE(VLOOKUP($A476,'Quarterly Pipeline vs Target Pi'!$A:$AP,41,false)," $","")," €",""), "")
)</f>
        <v>0</v>
      </c>
      <c r="AX476" s="1">
        <f>value(IFERROR(SUBSTITUTE(SUBSTITUTE(VLOOKUP($A476,'Quarterly Pipeline vs Target Pi'!$A:$AP,42,false)," $","")," €",""), "")
)</f>
        <v>0</v>
      </c>
      <c r="AY476" s="17" t="str">
        <f t="shared" si="18"/>
        <v/>
      </c>
      <c r="AZ476" s="1">
        <f t="shared" ref="AZ476:BA476" si="966">sum(AN476,AQ476,AT476,AW476)</f>
        <v>0</v>
      </c>
      <c r="BA476" s="1">
        <f t="shared" si="966"/>
        <v>0</v>
      </c>
      <c r="BB476" s="17" t="str">
        <f t="shared" si="20"/>
        <v/>
      </c>
    </row>
    <row r="477">
      <c r="A477" s="1" t="str">
        <f>IFERROR(__xludf.DUMMYFUNCTION("""COMPUTED_VALUE"""),"63fcbb87a107c871cf5657ef")</f>
        <v>63fcbb87a107c871cf5657ef</v>
      </c>
      <c r="B477" s="1" t="str">
        <f>IFERROR(__xludf.DUMMYFUNCTION("""COMPUTED_VALUE"""),"Velans Teleinformatica LTDA")</f>
        <v>Velans Teleinformatica LTDA</v>
      </c>
      <c r="C477" s="1" t="str">
        <f>IFERROR(__xludf.DUMMYFUNCTION("""COMPUTED_VALUE"""),"renato-takashi.yoshizako@al-enterprise.com")</f>
        <v>renato-takashi.yoshizako@al-enterprise.com</v>
      </c>
      <c r="D477" s="1" t="str">
        <f>IFERROR(__xludf.DUMMYFUNCTION("""COMPUTED_VALUE"""),"americas")</f>
        <v>americas</v>
      </c>
      <c r="E477" s="1" t="str">
        <f>IFERROR(__xludf.DUMMYFUNCTION("""COMPUTED_VALUE"""),"BR")</f>
        <v>BR</v>
      </c>
      <c r="F477" s="1"/>
      <c r="G477" s="1" t="str">
        <f>iferror(VLOOKUP(A477,'Business Plan Setup and Accepta'!A:G,6,false),"")</f>
        <v/>
      </c>
      <c r="H477" s="1" t="str">
        <f>iferror(VLOOKUP(A477,'Business Plan Setup and Accepta'!A:G,7,false),"")</f>
        <v/>
      </c>
      <c r="I477" s="17" t="str">
        <f t="shared" si="3"/>
        <v/>
      </c>
      <c r="J477" s="1" t="str">
        <f>IFERROR(VALUE(SUBSTITUTE(VLOOKUP(A477,'Sales IN Revenues vs Sales targ'!A:G,6,false)," $","")), "")
</f>
        <v/>
      </c>
      <c r="K477" s="1" t="str">
        <f>IFERROR(VALUE(SUBSTITUTE(VLOOKUP(A477,'Sales IN Revenues vs Sales targ'!A:G,7,false)," $","")), "")
</f>
        <v/>
      </c>
      <c r="L477" s="17" t="str">
        <f t="shared" si="4"/>
        <v/>
      </c>
      <c r="M477" s="1">
        <f>value(SUBSTITUTE(IFERROR(VLOOKUP(A477,'Certifications achievements vs '!A:G,6,false),""),"#","")
)</f>
        <v>0</v>
      </c>
      <c r="N477" s="1">
        <f>value(SUBSTITUTE(IFERROR(VLOOKUP(A477,'Certifications achievements vs '!A:G,7,false),""),"#","")
)</f>
        <v>0</v>
      </c>
      <c r="O477" s="17" t="str">
        <f t="shared" si="5"/>
        <v/>
      </c>
      <c r="P477" s="1">
        <f>value(SUBSTITUTE(IFERROR(VLOOKUP(A477,'Communications - Solution Speci'!A:G,6,false),""),"#","")
)</f>
        <v>0</v>
      </c>
      <c r="Q477" s="1">
        <f>value(SUBSTITUTE(IFERROR(VLOOKUP(A477,'Communications - Solution Speci'!A:G,7,false),""),"#","")
)</f>
        <v>0</v>
      </c>
      <c r="R477" s="17" t="str">
        <f t="shared" si="6"/>
        <v/>
      </c>
      <c r="S477" s="1">
        <f>value(SUBSTITUTE(IFERROR(VLOOKUP(A477,'Networking - Solution Specializ'!A:G,6,false),""),"#","")
)</f>
        <v>0</v>
      </c>
      <c r="T477" s="1">
        <f>value(SUBSTITUTE(IFERROR(VLOOKUP(A477,'Networking - Solution Specializ'!A:G,7,false),""),"#","")
)</f>
        <v>0</v>
      </c>
      <c r="U477" s="17" t="str">
        <f t="shared" si="7"/>
        <v/>
      </c>
      <c r="V477" s="1" t="str">
        <f>iferror(vlookup(A477,'Marketing Plan (extract summary'!A:G,6,false),"")</f>
        <v/>
      </c>
      <c r="W477" s="1" t="str">
        <f>iferror(vlookup(A477,'Marketing Plan (extract summary'!A:G,7,false),"")</f>
        <v/>
      </c>
      <c r="X477" s="17" t="str">
        <f t="shared" si="8"/>
        <v/>
      </c>
      <c r="Y477" s="1">
        <f>value(IFERROR(SUBSTITUTE(SUBSTITUTE(VLOOKUP(A477,'Quarterly Pipeline vs Target Pi'!A:G,6,false)," $","")," €",""), "")
)</f>
        <v>0</v>
      </c>
      <c r="Z477" s="1">
        <f>value(IFERROR(SUBSTITUTE(SUBSTITUTE(VLOOKUP(A477,'Quarterly Pipeline vs Target Pi'!A:G,7,false)," $","")," €",""), "")
)</f>
        <v>0</v>
      </c>
      <c r="AA477" s="17" t="str">
        <f t="shared" si="9"/>
        <v/>
      </c>
      <c r="AB477" s="1">
        <f>value(IFERROR(SUBSTITUTE(SUBSTITUTE(VLOOKUP($A477,'Quarterly Pipeline vs Target Pi'!$A:$V,11,false)," $","")," €",""), "")
)</f>
        <v>0</v>
      </c>
      <c r="AC477" s="1">
        <f>value(IFERROR(SUBSTITUTE(SUBSTITUTE(VLOOKUP($A477,'Quarterly Pipeline vs Target Pi'!$A:$V,12,false)," $","")," €",""), "")
)</f>
        <v>0</v>
      </c>
      <c r="AD477" s="17" t="str">
        <f t="shared" si="10"/>
        <v/>
      </c>
      <c r="AE477" s="1">
        <f>value(IFERROR(SUBSTITUTE(SUBSTITUTE(VLOOKUP($A477,'Quarterly Pipeline vs Target Pi'!$A:$V,16,false)," $","")," €",""), "")
)</f>
        <v>0</v>
      </c>
      <c r="AF477" s="1">
        <f>value(IFERROR(SUBSTITUTE(SUBSTITUTE(VLOOKUP($A477,'Quarterly Pipeline vs Target Pi'!$A:$V,17,false)," $","")," €",""), "")
)</f>
        <v>0</v>
      </c>
      <c r="AG477" s="17" t="str">
        <f t="shared" si="11"/>
        <v/>
      </c>
      <c r="AH477" s="1">
        <f>value(IFERROR(SUBSTITUTE(SUBSTITUTE(VLOOKUP($A477,'Quarterly Pipeline vs Target Pi'!$A:$V,21,false)," $","")," €",""), "")
)</f>
        <v>0</v>
      </c>
      <c r="AI477" s="1">
        <f>value(IFERROR(SUBSTITUTE(SUBSTITUTE(VLOOKUP($A477,'Quarterly Pipeline vs Target Pi'!$A:$V,22,false)," $","")," €",""), "")
)</f>
        <v>0</v>
      </c>
      <c r="AJ477" s="17" t="str">
        <f t="shared" si="12"/>
        <v/>
      </c>
      <c r="AK477" s="1">
        <f t="shared" ref="AK477:AL477" si="967">sum(Y477,AB477,AE477,AH477)</f>
        <v>0</v>
      </c>
      <c r="AL477" s="1">
        <f t="shared" si="967"/>
        <v>0</v>
      </c>
      <c r="AM477" s="17" t="str">
        <f t="shared" si="14"/>
        <v/>
      </c>
      <c r="AN477" s="1">
        <f>value(IFERROR(SUBSTITUTE(SUBSTITUTE(VLOOKUP($A477,'Quarterly Pipeline vs Target Pi'!$A:$AP,26,false)," $","")," €",""), "")
)</f>
        <v>0</v>
      </c>
      <c r="AO477" s="1">
        <f>value(IFERROR(SUBSTITUTE(SUBSTITUTE(VLOOKUP($A477,'Quarterly Pipeline vs Target Pi'!$A:$AP,27,false)," $","")," €",""), "")
)</f>
        <v>0</v>
      </c>
      <c r="AP477" s="17" t="str">
        <f t="shared" si="15"/>
        <v/>
      </c>
      <c r="AQ477" s="1">
        <f>value(IFERROR(SUBSTITUTE(SUBSTITUTE(VLOOKUP($A477,'Quarterly Pipeline vs Target Pi'!$A:$AP,31,false)," $","")," €",""), "")
)</f>
        <v>0</v>
      </c>
      <c r="AR477" s="1">
        <f>value(IFERROR(SUBSTITUTE(SUBSTITUTE(VLOOKUP($A477,'Quarterly Pipeline vs Target Pi'!$A:$AP,32,false)," $","")," €",""), "")
)</f>
        <v>0</v>
      </c>
      <c r="AS477" s="17" t="str">
        <f t="shared" si="16"/>
        <v/>
      </c>
      <c r="AT477" s="1">
        <f>value(IFERROR(SUBSTITUTE(SUBSTITUTE(VLOOKUP($A477,'Quarterly Pipeline vs Target Pi'!$A:$AP,36,false)," $","")," €",""), "")
)</f>
        <v>0</v>
      </c>
      <c r="AU477" s="1">
        <f>value(IFERROR(SUBSTITUTE(SUBSTITUTE(VLOOKUP($A477,'Quarterly Pipeline vs Target Pi'!$A:$AP,37,false)," $","")," €",""), "")
)</f>
        <v>0</v>
      </c>
      <c r="AV477" s="17" t="str">
        <f t="shared" si="17"/>
        <v/>
      </c>
      <c r="AW477" s="1">
        <f>value(IFERROR(SUBSTITUTE(SUBSTITUTE(VLOOKUP($A477,'Quarterly Pipeline vs Target Pi'!$A:$AP,41,false)," $","")," €",""), "")
)</f>
        <v>0</v>
      </c>
      <c r="AX477" s="1">
        <f>value(IFERROR(SUBSTITUTE(SUBSTITUTE(VLOOKUP($A477,'Quarterly Pipeline vs Target Pi'!$A:$AP,42,false)," $","")," €",""), "")
)</f>
        <v>0</v>
      </c>
      <c r="AY477" s="17" t="str">
        <f t="shared" si="18"/>
        <v/>
      </c>
      <c r="AZ477" s="1">
        <f t="shared" ref="AZ477:BA477" si="968">sum(AN477,AQ477,AT477,AW477)</f>
        <v>0</v>
      </c>
      <c r="BA477" s="1">
        <f t="shared" si="968"/>
        <v>0</v>
      </c>
      <c r="BB477" s="17" t="str">
        <f t="shared" si="20"/>
        <v/>
      </c>
    </row>
    <row r="478">
      <c r="A478" s="1" t="str">
        <f>IFERROR(__xludf.DUMMYFUNCTION("""COMPUTED_VALUE"""),"63ced84cc5c820531c2694fa")</f>
        <v>63ced84cc5c820531c2694fa</v>
      </c>
      <c r="B478" s="1" t="str">
        <f>IFERROR(__xludf.DUMMYFUNCTION("""COMPUTED_VALUE"""),"Velasea, LLC")</f>
        <v>Velasea, LLC</v>
      </c>
      <c r="C478" s="1" t="str">
        <f>IFERROR(__xludf.DUMMYFUNCTION("""COMPUTED_VALUE"""),"holly.berger@al-enterprise.com")</f>
        <v>holly.berger@al-enterprise.com</v>
      </c>
      <c r="D478" s="1" t="str">
        <f>IFERROR(__xludf.DUMMYFUNCTION("""COMPUTED_VALUE"""),"americas")</f>
        <v>americas</v>
      </c>
      <c r="E478" s="1" t="str">
        <f>IFERROR(__xludf.DUMMYFUNCTION("""COMPUTED_VALUE"""),"US")</f>
        <v>US</v>
      </c>
      <c r="F478" s="1"/>
      <c r="G478" s="1" t="str">
        <f>iferror(VLOOKUP(A478,'Business Plan Setup and Accepta'!A:G,6,false),"")</f>
        <v/>
      </c>
      <c r="H478" s="1" t="str">
        <f>iferror(VLOOKUP(A478,'Business Plan Setup and Accepta'!A:G,7,false),"")</f>
        <v/>
      </c>
      <c r="I478" s="17" t="str">
        <f t="shared" si="3"/>
        <v/>
      </c>
      <c r="J478" s="1" t="str">
        <f>IFERROR(VALUE(SUBSTITUTE(VLOOKUP(A478,'Sales IN Revenues vs Sales targ'!A:G,6,false)," $","")), "")
</f>
        <v/>
      </c>
      <c r="K478" s="1" t="str">
        <f>IFERROR(VALUE(SUBSTITUTE(VLOOKUP(A478,'Sales IN Revenues vs Sales targ'!A:G,7,false)," $","")), "")
</f>
        <v/>
      </c>
      <c r="L478" s="17" t="str">
        <f t="shared" si="4"/>
        <v/>
      </c>
      <c r="M478" s="1">
        <f>value(SUBSTITUTE(IFERROR(VLOOKUP(A478,'Certifications achievements vs '!A:G,6,false),""),"#","")
)</f>
        <v>1</v>
      </c>
      <c r="N478" s="1">
        <f>value(SUBSTITUTE(IFERROR(VLOOKUP(A478,'Certifications achievements vs '!A:G,7,false),""),"#","")
)</f>
        <v>56</v>
      </c>
      <c r="O478" s="17">
        <f t="shared" si="5"/>
        <v>0.01785714286</v>
      </c>
      <c r="P478" s="1">
        <f>value(SUBSTITUTE(IFERROR(VLOOKUP(A478,'Communications - Solution Speci'!A:G,6,false),""),"#","")
)</f>
        <v>0</v>
      </c>
      <c r="Q478" s="1">
        <f>value(SUBSTITUTE(IFERROR(VLOOKUP(A478,'Communications - Solution Speci'!A:G,7,false),""),"#","")
)</f>
        <v>0</v>
      </c>
      <c r="R478" s="17" t="str">
        <f t="shared" si="6"/>
        <v/>
      </c>
      <c r="S478" s="1">
        <f>value(SUBSTITUTE(IFERROR(VLOOKUP(A478,'Networking - Solution Specializ'!A:G,6,false),""),"#","")
)</f>
        <v>0</v>
      </c>
      <c r="T478" s="1">
        <f>value(SUBSTITUTE(IFERROR(VLOOKUP(A478,'Networking - Solution Specializ'!A:G,7,false),""),"#","")
)</f>
        <v>0</v>
      </c>
      <c r="U478" s="17" t="str">
        <f t="shared" si="7"/>
        <v/>
      </c>
      <c r="V478" s="1" t="str">
        <f>iferror(vlookup(A478,'Marketing Plan (extract summary'!A:G,6,false),"")</f>
        <v/>
      </c>
      <c r="W478" s="1" t="str">
        <f>iferror(vlookup(A478,'Marketing Plan (extract summary'!A:G,7,false),"")</f>
        <v/>
      </c>
      <c r="X478" s="17" t="str">
        <f t="shared" si="8"/>
        <v/>
      </c>
      <c r="Y478" s="1">
        <f>value(IFERROR(SUBSTITUTE(SUBSTITUTE(VLOOKUP(A478,'Quarterly Pipeline vs Target Pi'!A:G,6,false)," $","")," €",""), "")
)</f>
        <v>0</v>
      </c>
      <c r="Z478" s="1">
        <f>value(IFERROR(SUBSTITUTE(SUBSTITUTE(VLOOKUP(A478,'Quarterly Pipeline vs Target Pi'!A:G,7,false)," $","")," €",""), "")
)</f>
        <v>0</v>
      </c>
      <c r="AA478" s="17" t="str">
        <f t="shared" si="9"/>
        <v/>
      </c>
      <c r="AB478" s="1">
        <f>value(IFERROR(SUBSTITUTE(SUBSTITUTE(VLOOKUP($A478,'Quarterly Pipeline vs Target Pi'!$A:$V,11,false)," $","")," €",""), "")
)</f>
        <v>0</v>
      </c>
      <c r="AC478" s="1">
        <f>value(IFERROR(SUBSTITUTE(SUBSTITUTE(VLOOKUP($A478,'Quarterly Pipeline vs Target Pi'!$A:$V,12,false)," $","")," €",""), "")
)</f>
        <v>0</v>
      </c>
      <c r="AD478" s="17" t="str">
        <f t="shared" si="10"/>
        <v/>
      </c>
      <c r="AE478" s="1">
        <f>value(IFERROR(SUBSTITUTE(SUBSTITUTE(VLOOKUP($A478,'Quarterly Pipeline vs Target Pi'!$A:$V,16,false)," $","")," €",""), "")
)</f>
        <v>0</v>
      </c>
      <c r="AF478" s="1">
        <f>value(IFERROR(SUBSTITUTE(SUBSTITUTE(VLOOKUP($A478,'Quarterly Pipeline vs Target Pi'!$A:$V,17,false)," $","")," €",""), "")
)</f>
        <v>0</v>
      </c>
      <c r="AG478" s="17" t="str">
        <f t="shared" si="11"/>
        <v/>
      </c>
      <c r="AH478" s="1">
        <f>value(IFERROR(SUBSTITUTE(SUBSTITUTE(VLOOKUP($A478,'Quarterly Pipeline vs Target Pi'!$A:$V,21,false)," $","")," €",""), "")
)</f>
        <v>0</v>
      </c>
      <c r="AI478" s="1">
        <f>value(IFERROR(SUBSTITUTE(SUBSTITUTE(VLOOKUP($A478,'Quarterly Pipeline vs Target Pi'!$A:$V,22,false)," $","")," €",""), "")
)</f>
        <v>0</v>
      </c>
      <c r="AJ478" s="17" t="str">
        <f t="shared" si="12"/>
        <v/>
      </c>
      <c r="AK478" s="1">
        <f t="shared" ref="AK478:AL478" si="969">sum(Y478,AB478,AE478,AH478)</f>
        <v>0</v>
      </c>
      <c r="AL478" s="1">
        <f t="shared" si="969"/>
        <v>0</v>
      </c>
      <c r="AM478" s="17" t="str">
        <f t="shared" si="14"/>
        <v/>
      </c>
      <c r="AN478" s="1">
        <f>value(IFERROR(SUBSTITUTE(SUBSTITUTE(VLOOKUP($A478,'Quarterly Pipeline vs Target Pi'!$A:$AP,26,false)," $","")," €",""), "")
)</f>
        <v>0</v>
      </c>
      <c r="AO478" s="1">
        <f>value(IFERROR(SUBSTITUTE(SUBSTITUTE(VLOOKUP($A478,'Quarterly Pipeline vs Target Pi'!$A:$AP,27,false)," $","")," €",""), "")
)</f>
        <v>0</v>
      </c>
      <c r="AP478" s="17" t="str">
        <f t="shared" si="15"/>
        <v/>
      </c>
      <c r="AQ478" s="1">
        <f>value(IFERROR(SUBSTITUTE(SUBSTITUTE(VLOOKUP($A478,'Quarterly Pipeline vs Target Pi'!$A:$AP,31,false)," $","")," €",""), "")
)</f>
        <v>0</v>
      </c>
      <c r="AR478" s="1">
        <f>value(IFERROR(SUBSTITUTE(SUBSTITUTE(VLOOKUP($A478,'Quarterly Pipeline vs Target Pi'!$A:$AP,32,false)," $","")," €",""), "")
)</f>
        <v>0</v>
      </c>
      <c r="AS478" s="17" t="str">
        <f t="shared" si="16"/>
        <v/>
      </c>
      <c r="AT478" s="1">
        <f>value(IFERROR(SUBSTITUTE(SUBSTITUTE(VLOOKUP($A478,'Quarterly Pipeline vs Target Pi'!$A:$AP,36,false)," $","")," €",""), "")
)</f>
        <v>0</v>
      </c>
      <c r="AU478" s="1">
        <f>value(IFERROR(SUBSTITUTE(SUBSTITUTE(VLOOKUP($A478,'Quarterly Pipeline vs Target Pi'!$A:$AP,37,false)," $","")," €",""), "")
)</f>
        <v>0</v>
      </c>
      <c r="AV478" s="17" t="str">
        <f t="shared" si="17"/>
        <v/>
      </c>
      <c r="AW478" s="1">
        <f>value(IFERROR(SUBSTITUTE(SUBSTITUTE(VLOOKUP($A478,'Quarterly Pipeline vs Target Pi'!$A:$AP,41,false)," $","")," €",""), "")
)</f>
        <v>0</v>
      </c>
      <c r="AX478" s="1">
        <f>value(IFERROR(SUBSTITUTE(SUBSTITUTE(VLOOKUP($A478,'Quarterly Pipeline vs Target Pi'!$A:$AP,42,false)," $","")," €",""), "")
)</f>
        <v>0</v>
      </c>
      <c r="AY478" s="17" t="str">
        <f t="shared" si="18"/>
        <v/>
      </c>
      <c r="AZ478" s="1">
        <f t="shared" ref="AZ478:BA478" si="970">sum(AN478,AQ478,AT478,AW478)</f>
        <v>0</v>
      </c>
      <c r="BA478" s="1">
        <f t="shared" si="970"/>
        <v>0</v>
      </c>
      <c r="BB478" s="17" t="str">
        <f t="shared" si="20"/>
        <v/>
      </c>
    </row>
    <row r="479">
      <c r="A479" s="1" t="str">
        <f>IFERROR(__xludf.DUMMYFUNCTION("""COMPUTED_VALUE"""),"64466fad136de17627345725")</f>
        <v>64466fad136de17627345725</v>
      </c>
      <c r="B479" s="1" t="str">
        <f>IFERROR(__xludf.DUMMYFUNCTION("""COMPUTED_VALUE"""),"VIDELIO-FUNA GmbH")</f>
        <v>VIDELIO-FUNA GmbH</v>
      </c>
      <c r="C479" s="1" t="str">
        <f>IFERROR(__xludf.DUMMYFUNCTION("""COMPUTED_VALUE"""),"andreas.grossheimann@al-enterprise.com")</f>
        <v>andreas.grossheimann@al-enterprise.com</v>
      </c>
      <c r="D479" s="1" t="str">
        <f>IFERROR(__xludf.DUMMYFUNCTION("""COMPUTED_VALUE"""),"germany")</f>
        <v>germany</v>
      </c>
      <c r="E479" s="1" t="str">
        <f>IFERROR(__xludf.DUMMYFUNCTION("""COMPUTED_VALUE"""),"DE")</f>
        <v>DE</v>
      </c>
      <c r="F479" s="1"/>
      <c r="G479" s="1" t="str">
        <f>iferror(VLOOKUP(A479,'Business Plan Setup and Accepta'!A:G,6,false),"")</f>
        <v/>
      </c>
      <c r="H479" s="1" t="str">
        <f>iferror(VLOOKUP(A479,'Business Plan Setup and Accepta'!A:G,7,false),"")</f>
        <v/>
      </c>
      <c r="I479" s="17" t="str">
        <f t="shared" si="3"/>
        <v/>
      </c>
      <c r="J479" s="1" t="str">
        <f>IFERROR(VALUE(SUBSTITUTE(VLOOKUP(A479,'Sales IN Revenues vs Sales targ'!A:G,6,false)," $","")), "")
</f>
        <v/>
      </c>
      <c r="K479" s="1" t="str">
        <f>IFERROR(VALUE(SUBSTITUTE(VLOOKUP(A479,'Sales IN Revenues vs Sales targ'!A:G,7,false)," $","")), "")
</f>
        <v/>
      </c>
      <c r="L479" s="17" t="str">
        <f t="shared" si="4"/>
        <v/>
      </c>
      <c r="M479" s="1">
        <f>value(SUBSTITUTE(IFERROR(VLOOKUP(A479,'Certifications achievements vs '!A:G,6,false),""),"#","")
)</f>
        <v>3</v>
      </c>
      <c r="N479" s="1">
        <f>value(SUBSTITUTE(IFERROR(VLOOKUP(A479,'Certifications achievements vs '!A:G,7,false),""),"#","")
)</f>
        <v>0</v>
      </c>
      <c r="O479" s="17" t="str">
        <f t="shared" si="5"/>
        <v/>
      </c>
      <c r="P479" s="1">
        <f>value(SUBSTITUTE(IFERROR(VLOOKUP(A479,'Communications - Solution Speci'!A:G,6,false),""),"#","")
)</f>
        <v>0</v>
      </c>
      <c r="Q479" s="1">
        <f>value(SUBSTITUTE(IFERROR(VLOOKUP(A479,'Communications - Solution Speci'!A:G,7,false),""),"#","")
)</f>
        <v>0</v>
      </c>
      <c r="R479" s="17" t="str">
        <f t="shared" si="6"/>
        <v/>
      </c>
      <c r="S479" s="1">
        <f>value(SUBSTITUTE(IFERROR(VLOOKUP(A479,'Networking - Solution Specializ'!A:G,6,false),""),"#","")
)</f>
        <v>0</v>
      </c>
      <c r="T479" s="1">
        <f>value(SUBSTITUTE(IFERROR(VLOOKUP(A479,'Networking - Solution Specializ'!A:G,7,false),""),"#","")
)</f>
        <v>0</v>
      </c>
      <c r="U479" s="17" t="str">
        <f t="shared" si="7"/>
        <v/>
      </c>
      <c r="V479" s="1" t="str">
        <f>iferror(vlookup(A479,'Marketing Plan (extract summary'!A:G,6,false),"")</f>
        <v/>
      </c>
      <c r="W479" s="1" t="str">
        <f>iferror(vlookup(A479,'Marketing Plan (extract summary'!A:G,7,false),"")</f>
        <v/>
      </c>
      <c r="X479" s="17" t="str">
        <f t="shared" si="8"/>
        <v/>
      </c>
      <c r="Y479" s="1">
        <f>value(IFERROR(SUBSTITUTE(SUBSTITUTE(VLOOKUP(A479,'Quarterly Pipeline vs Target Pi'!A:G,6,false)," $","")," €",""), "")
)</f>
        <v>0</v>
      </c>
      <c r="Z479" s="1">
        <f>value(IFERROR(SUBSTITUTE(SUBSTITUTE(VLOOKUP(A479,'Quarterly Pipeline vs Target Pi'!A:G,7,false)," $","")," €",""), "")
)</f>
        <v>0</v>
      </c>
      <c r="AA479" s="17" t="str">
        <f t="shared" si="9"/>
        <v/>
      </c>
      <c r="AB479" s="1">
        <f>value(IFERROR(SUBSTITUTE(SUBSTITUTE(VLOOKUP($A479,'Quarterly Pipeline vs Target Pi'!$A:$V,11,false)," $","")," €",""), "")
)</f>
        <v>0</v>
      </c>
      <c r="AC479" s="1">
        <f>value(IFERROR(SUBSTITUTE(SUBSTITUTE(VLOOKUP($A479,'Quarterly Pipeline vs Target Pi'!$A:$V,12,false)," $","")," €",""), "")
)</f>
        <v>0</v>
      </c>
      <c r="AD479" s="17" t="str">
        <f t="shared" si="10"/>
        <v/>
      </c>
      <c r="AE479" s="1">
        <f>value(IFERROR(SUBSTITUTE(SUBSTITUTE(VLOOKUP($A479,'Quarterly Pipeline vs Target Pi'!$A:$V,16,false)," $","")," €",""), "")
)</f>
        <v>0</v>
      </c>
      <c r="AF479" s="1">
        <f>value(IFERROR(SUBSTITUTE(SUBSTITUTE(VLOOKUP($A479,'Quarterly Pipeline vs Target Pi'!$A:$V,17,false)," $","")," €",""), "")
)</f>
        <v>0</v>
      </c>
      <c r="AG479" s="17" t="str">
        <f t="shared" si="11"/>
        <v/>
      </c>
      <c r="AH479" s="1">
        <f>value(IFERROR(SUBSTITUTE(SUBSTITUTE(VLOOKUP($A479,'Quarterly Pipeline vs Target Pi'!$A:$V,21,false)," $","")," €",""), "")
)</f>
        <v>0</v>
      </c>
      <c r="AI479" s="1">
        <f>value(IFERROR(SUBSTITUTE(SUBSTITUTE(VLOOKUP($A479,'Quarterly Pipeline vs Target Pi'!$A:$V,22,false)," $","")," €",""), "")
)</f>
        <v>0</v>
      </c>
      <c r="AJ479" s="17" t="str">
        <f t="shared" si="12"/>
        <v/>
      </c>
      <c r="AK479" s="1">
        <f t="shared" ref="AK479:AL479" si="971">sum(Y479,AB479,AE479,AH479)</f>
        <v>0</v>
      </c>
      <c r="AL479" s="1">
        <f t="shared" si="971"/>
        <v>0</v>
      </c>
      <c r="AM479" s="17" t="str">
        <f t="shared" si="14"/>
        <v/>
      </c>
      <c r="AN479" s="1">
        <f>value(IFERROR(SUBSTITUTE(SUBSTITUTE(VLOOKUP($A479,'Quarterly Pipeline vs Target Pi'!$A:$AP,26,false)," $","")," €",""), "")
)</f>
        <v>0</v>
      </c>
      <c r="AO479" s="1">
        <f>value(IFERROR(SUBSTITUTE(SUBSTITUTE(VLOOKUP($A479,'Quarterly Pipeline vs Target Pi'!$A:$AP,27,false)," $","")," €",""), "")
)</f>
        <v>0</v>
      </c>
      <c r="AP479" s="17" t="str">
        <f t="shared" si="15"/>
        <v/>
      </c>
      <c r="AQ479" s="1">
        <f>value(IFERROR(SUBSTITUTE(SUBSTITUTE(VLOOKUP($A479,'Quarterly Pipeline vs Target Pi'!$A:$AP,31,false)," $","")," €",""), "")
)</f>
        <v>0</v>
      </c>
      <c r="AR479" s="1">
        <f>value(IFERROR(SUBSTITUTE(SUBSTITUTE(VLOOKUP($A479,'Quarterly Pipeline vs Target Pi'!$A:$AP,32,false)," $","")," €",""), "")
)</f>
        <v>0</v>
      </c>
      <c r="AS479" s="17" t="str">
        <f t="shared" si="16"/>
        <v/>
      </c>
      <c r="AT479" s="1">
        <f>value(IFERROR(SUBSTITUTE(SUBSTITUTE(VLOOKUP($A479,'Quarterly Pipeline vs Target Pi'!$A:$AP,36,false)," $","")," €",""), "")
)</f>
        <v>0</v>
      </c>
      <c r="AU479" s="1">
        <f>value(IFERROR(SUBSTITUTE(SUBSTITUTE(VLOOKUP($A479,'Quarterly Pipeline vs Target Pi'!$A:$AP,37,false)," $","")," €",""), "")
)</f>
        <v>0</v>
      </c>
      <c r="AV479" s="17" t="str">
        <f t="shared" si="17"/>
        <v/>
      </c>
      <c r="AW479" s="1">
        <f>value(IFERROR(SUBSTITUTE(SUBSTITUTE(VLOOKUP($A479,'Quarterly Pipeline vs Target Pi'!$A:$AP,41,false)," $","")," €",""), "")
)</f>
        <v>0</v>
      </c>
      <c r="AX479" s="1">
        <f>value(IFERROR(SUBSTITUTE(SUBSTITUTE(VLOOKUP($A479,'Quarterly Pipeline vs Target Pi'!$A:$AP,42,false)," $","")," €",""), "")
)</f>
        <v>0</v>
      </c>
      <c r="AY479" s="17" t="str">
        <f t="shared" si="18"/>
        <v/>
      </c>
      <c r="AZ479" s="1">
        <f t="shared" ref="AZ479:BA479" si="972">sum(AN479,AQ479,AT479,AW479)</f>
        <v>0</v>
      </c>
      <c r="BA479" s="1">
        <f t="shared" si="972"/>
        <v>0</v>
      </c>
      <c r="BB479" s="17" t="str">
        <f t="shared" si="20"/>
        <v/>
      </c>
    </row>
    <row r="480">
      <c r="A480" s="1" t="str">
        <f>IFERROR(__xludf.DUMMYFUNCTION("""COMPUTED_VALUE"""),"63ea6e9752ad6968805cf1e1")</f>
        <v>63ea6e9752ad6968805cf1e1</v>
      </c>
      <c r="B480" s="1" t="str">
        <f>IFERROR(__xludf.DUMMYFUNCTION("""COMPUTED_VALUE"""),"Viktor Steinhauer Kommunikations")</f>
        <v>Viktor Steinhauer Kommunikations</v>
      </c>
      <c r="C480" s="1" t="str">
        <f>IFERROR(__xludf.DUMMYFUNCTION("""COMPUTED_VALUE"""),"andreas.grossheimann@al-enterprise.com, andre.ramm@al-enterprise.com")</f>
        <v>andreas.grossheimann@al-enterprise.com, andre.ramm@al-enterprise.com</v>
      </c>
      <c r="D480" s="1" t="str">
        <f>IFERROR(__xludf.DUMMYFUNCTION("""COMPUTED_VALUE"""),"germany")</f>
        <v>germany</v>
      </c>
      <c r="E480" s="1" t="str">
        <f>IFERROR(__xludf.DUMMYFUNCTION("""COMPUTED_VALUE"""),"DE")</f>
        <v>DE</v>
      </c>
      <c r="F480" s="1"/>
      <c r="G480" s="1" t="str">
        <f>iferror(VLOOKUP(A480,'Business Plan Setup and Accepta'!A:G,6,false),"")</f>
        <v/>
      </c>
      <c r="H480" s="1" t="str">
        <f>iferror(VLOOKUP(A480,'Business Plan Setup and Accepta'!A:G,7,false),"")</f>
        <v/>
      </c>
      <c r="I480" s="17" t="str">
        <f t="shared" si="3"/>
        <v/>
      </c>
      <c r="J480" s="1" t="str">
        <f>IFERROR(VALUE(SUBSTITUTE(VLOOKUP(A480,'Sales IN Revenues vs Sales targ'!A:G,6,false)," $","")), "")
</f>
        <v/>
      </c>
      <c r="K480" s="1" t="str">
        <f>IFERROR(VALUE(SUBSTITUTE(VLOOKUP(A480,'Sales IN Revenues vs Sales targ'!A:G,7,false)," $","")), "")
</f>
        <v/>
      </c>
      <c r="L480" s="17" t="str">
        <f t="shared" si="4"/>
        <v/>
      </c>
      <c r="M480" s="1">
        <f>value(SUBSTITUTE(IFERROR(VLOOKUP(A480,'Certifications achievements vs '!A:G,6,false),""),"#","")
)</f>
        <v>0</v>
      </c>
      <c r="N480" s="1">
        <f>value(SUBSTITUTE(IFERROR(VLOOKUP(A480,'Certifications achievements vs '!A:G,7,false),""),"#","")
)</f>
        <v>0</v>
      </c>
      <c r="O480" s="17" t="str">
        <f t="shared" si="5"/>
        <v/>
      </c>
      <c r="P480" s="1">
        <f>value(SUBSTITUTE(IFERROR(VLOOKUP(A480,'Communications - Solution Speci'!A:G,6,false),""),"#","")
)</f>
        <v>0</v>
      </c>
      <c r="Q480" s="1">
        <f>value(SUBSTITUTE(IFERROR(VLOOKUP(A480,'Communications - Solution Speci'!A:G,7,false),""),"#","")
)</f>
        <v>0</v>
      </c>
      <c r="R480" s="17" t="str">
        <f t="shared" si="6"/>
        <v/>
      </c>
      <c r="S480" s="1">
        <f>value(SUBSTITUTE(IFERROR(VLOOKUP(A480,'Networking - Solution Specializ'!A:G,6,false),""),"#","")
)</f>
        <v>0</v>
      </c>
      <c r="T480" s="1">
        <f>value(SUBSTITUTE(IFERROR(VLOOKUP(A480,'Networking - Solution Specializ'!A:G,7,false),""),"#","")
)</f>
        <v>0</v>
      </c>
      <c r="U480" s="17" t="str">
        <f t="shared" si="7"/>
        <v/>
      </c>
      <c r="V480" s="1" t="str">
        <f>iferror(vlookup(A480,'Marketing Plan (extract summary'!A:G,6,false),"")</f>
        <v/>
      </c>
      <c r="W480" s="1" t="str">
        <f>iferror(vlookup(A480,'Marketing Plan (extract summary'!A:G,7,false),"")</f>
        <v/>
      </c>
      <c r="X480" s="17" t="str">
        <f t="shared" si="8"/>
        <v/>
      </c>
      <c r="Y480" s="1">
        <f>value(IFERROR(SUBSTITUTE(SUBSTITUTE(VLOOKUP(A480,'Quarterly Pipeline vs Target Pi'!A:G,6,false)," $","")," €",""), "")
)</f>
        <v>0</v>
      </c>
      <c r="Z480" s="1">
        <f>value(IFERROR(SUBSTITUTE(SUBSTITUTE(VLOOKUP(A480,'Quarterly Pipeline vs Target Pi'!A:G,7,false)," $","")," €",""), "")
)</f>
        <v>0</v>
      </c>
      <c r="AA480" s="17" t="str">
        <f t="shared" si="9"/>
        <v/>
      </c>
      <c r="AB480" s="1">
        <f>value(IFERROR(SUBSTITUTE(SUBSTITUTE(VLOOKUP($A480,'Quarterly Pipeline vs Target Pi'!$A:$V,11,false)," $","")," €",""), "")
)</f>
        <v>0</v>
      </c>
      <c r="AC480" s="1">
        <f>value(IFERROR(SUBSTITUTE(SUBSTITUTE(VLOOKUP($A480,'Quarterly Pipeline vs Target Pi'!$A:$V,12,false)," $","")," €",""), "")
)</f>
        <v>0</v>
      </c>
      <c r="AD480" s="17" t="str">
        <f t="shared" si="10"/>
        <v/>
      </c>
      <c r="AE480" s="1">
        <f>value(IFERROR(SUBSTITUTE(SUBSTITUTE(VLOOKUP($A480,'Quarterly Pipeline vs Target Pi'!$A:$V,16,false)," $","")," €",""), "")
)</f>
        <v>0</v>
      </c>
      <c r="AF480" s="1">
        <f>value(IFERROR(SUBSTITUTE(SUBSTITUTE(VLOOKUP($A480,'Quarterly Pipeline vs Target Pi'!$A:$V,17,false)," $","")," €",""), "")
)</f>
        <v>0</v>
      </c>
      <c r="AG480" s="17" t="str">
        <f t="shared" si="11"/>
        <v/>
      </c>
      <c r="AH480" s="1">
        <f>value(IFERROR(SUBSTITUTE(SUBSTITUTE(VLOOKUP($A480,'Quarterly Pipeline vs Target Pi'!$A:$V,21,false)," $","")," €",""), "")
)</f>
        <v>0</v>
      </c>
      <c r="AI480" s="1">
        <f>value(IFERROR(SUBSTITUTE(SUBSTITUTE(VLOOKUP($A480,'Quarterly Pipeline vs Target Pi'!$A:$V,22,false)," $","")," €",""), "")
)</f>
        <v>0</v>
      </c>
      <c r="AJ480" s="17" t="str">
        <f t="shared" si="12"/>
        <v/>
      </c>
      <c r="AK480" s="1">
        <f t="shared" ref="AK480:AL480" si="973">sum(Y480,AB480,AE480,AH480)</f>
        <v>0</v>
      </c>
      <c r="AL480" s="1">
        <f t="shared" si="973"/>
        <v>0</v>
      </c>
      <c r="AM480" s="17" t="str">
        <f t="shared" si="14"/>
        <v/>
      </c>
      <c r="AN480" s="1">
        <f>value(IFERROR(SUBSTITUTE(SUBSTITUTE(VLOOKUP($A480,'Quarterly Pipeline vs Target Pi'!$A:$AP,26,false)," $","")," €",""), "")
)</f>
        <v>0</v>
      </c>
      <c r="AO480" s="1">
        <f>value(IFERROR(SUBSTITUTE(SUBSTITUTE(VLOOKUP($A480,'Quarterly Pipeline vs Target Pi'!$A:$AP,27,false)," $","")," €",""), "")
)</f>
        <v>0</v>
      </c>
      <c r="AP480" s="17" t="str">
        <f t="shared" si="15"/>
        <v/>
      </c>
      <c r="AQ480" s="1">
        <f>value(IFERROR(SUBSTITUTE(SUBSTITUTE(VLOOKUP($A480,'Quarterly Pipeline vs Target Pi'!$A:$AP,31,false)," $","")," €",""), "")
)</f>
        <v>0</v>
      </c>
      <c r="AR480" s="1">
        <f>value(IFERROR(SUBSTITUTE(SUBSTITUTE(VLOOKUP($A480,'Quarterly Pipeline vs Target Pi'!$A:$AP,32,false)," $","")," €",""), "")
)</f>
        <v>0</v>
      </c>
      <c r="AS480" s="17" t="str">
        <f t="shared" si="16"/>
        <v/>
      </c>
      <c r="AT480" s="1">
        <f>value(IFERROR(SUBSTITUTE(SUBSTITUTE(VLOOKUP($A480,'Quarterly Pipeline vs Target Pi'!$A:$AP,36,false)," $","")," €",""), "")
)</f>
        <v>0</v>
      </c>
      <c r="AU480" s="1">
        <f>value(IFERROR(SUBSTITUTE(SUBSTITUTE(VLOOKUP($A480,'Quarterly Pipeline vs Target Pi'!$A:$AP,37,false)," $","")," €",""), "")
)</f>
        <v>0</v>
      </c>
      <c r="AV480" s="17" t="str">
        <f t="shared" si="17"/>
        <v/>
      </c>
      <c r="AW480" s="1">
        <f>value(IFERROR(SUBSTITUTE(SUBSTITUTE(VLOOKUP($A480,'Quarterly Pipeline vs Target Pi'!$A:$AP,41,false)," $","")," €",""), "")
)</f>
        <v>0</v>
      </c>
      <c r="AX480" s="1">
        <f>value(IFERROR(SUBSTITUTE(SUBSTITUTE(VLOOKUP($A480,'Quarterly Pipeline vs Target Pi'!$A:$AP,42,false)," $","")," €",""), "")
)</f>
        <v>0</v>
      </c>
      <c r="AY480" s="17" t="str">
        <f t="shared" si="18"/>
        <v/>
      </c>
      <c r="AZ480" s="1">
        <f t="shared" ref="AZ480:BA480" si="974">sum(AN480,AQ480,AT480,AW480)</f>
        <v>0</v>
      </c>
      <c r="BA480" s="1">
        <f t="shared" si="974"/>
        <v>0</v>
      </c>
      <c r="BB480" s="17" t="str">
        <f t="shared" si="20"/>
        <v/>
      </c>
    </row>
    <row r="481">
      <c r="A481" s="1" t="str">
        <f>IFERROR(__xludf.DUMMYFUNCTION("""COMPUTED_VALUE"""),"63ced843c5c820531c268177")</f>
        <v>63ced843c5c820531c268177</v>
      </c>
      <c r="B481" s="1" t="str">
        <f>IFERROR(__xludf.DUMMYFUNCTION("""COMPUTED_VALUE"""),"VS TELECOM LTDA")</f>
        <v>VS TELECOM LTDA</v>
      </c>
      <c r="C481" s="1" t="str">
        <f>IFERROR(__xludf.DUMMYFUNCTION("""COMPUTED_VALUE"""),"renato-takashi.yoshizako@al-enterprise.com")</f>
        <v>renato-takashi.yoshizako@al-enterprise.com</v>
      </c>
      <c r="D481" s="1" t="str">
        <f>IFERROR(__xludf.DUMMYFUNCTION("""COMPUTED_VALUE"""),"americas")</f>
        <v>americas</v>
      </c>
      <c r="E481" s="1" t="str">
        <f>IFERROR(__xludf.DUMMYFUNCTION("""COMPUTED_VALUE"""),"BR")</f>
        <v>BR</v>
      </c>
      <c r="F481" s="1" t="str">
        <f>IFERROR(__xludf.DUMMYFUNCTION("""COMPUTED_VALUE"""),"expert_1000")</f>
        <v>expert_1000</v>
      </c>
      <c r="G481" s="1">
        <f>iferror(VLOOKUP(A481,'Business Plan Setup and Accepta'!A:G,6,false),"")</f>
        <v>1</v>
      </c>
      <c r="H481" s="1">
        <f>iferror(VLOOKUP(A481,'Business Plan Setup and Accepta'!A:G,7,false),"")</f>
        <v>1</v>
      </c>
      <c r="I481" s="17">
        <f t="shared" si="3"/>
        <v>1</v>
      </c>
      <c r="J481" s="1">
        <f>IFERROR(VALUE(SUBSTITUTE(VLOOKUP(A481,'Sales IN Revenues vs Sales targ'!A:G,6,false)," $","")), "")
</f>
        <v>232.93</v>
      </c>
      <c r="K481" s="1">
        <f>IFERROR(VALUE(SUBSTITUTE(VLOOKUP(A481,'Sales IN Revenues vs Sales targ'!A:G,7,false)," $","")), "")
</f>
        <v>1349.99</v>
      </c>
      <c r="L481" s="17">
        <f t="shared" si="4"/>
        <v>0.1725420188</v>
      </c>
      <c r="M481" s="1">
        <f>value(SUBSTITUTE(IFERROR(VLOOKUP(A481,'Certifications achievements vs '!A:G,6,false),""),"#","")
)</f>
        <v>80</v>
      </c>
      <c r="N481" s="1">
        <f>value(SUBSTITUTE(IFERROR(VLOOKUP(A481,'Certifications achievements vs '!A:G,7,false),""),"#","")
)</f>
        <v>52</v>
      </c>
      <c r="O481" s="17">
        <f t="shared" si="5"/>
        <v>1.538461538</v>
      </c>
      <c r="P481" s="1">
        <f>value(SUBSTITUTE(IFERROR(VLOOKUP(A481,'Communications - Solution Speci'!A:G,6,false),""),"#","")
)</f>
        <v>1</v>
      </c>
      <c r="Q481" s="1">
        <f>value(SUBSTITUTE(IFERROR(VLOOKUP(A481,'Communications - Solution Speci'!A:G,7,false),""),"#","")
)</f>
        <v>1</v>
      </c>
      <c r="R481" s="17">
        <f t="shared" si="6"/>
        <v>1</v>
      </c>
      <c r="S481" s="1">
        <f>value(SUBSTITUTE(IFERROR(VLOOKUP(A481,'Networking - Solution Specializ'!A:G,6,false),""),"#","")
)</f>
        <v>1</v>
      </c>
      <c r="T481" s="1">
        <f>value(SUBSTITUTE(IFERROR(VLOOKUP(A481,'Networking - Solution Specializ'!A:G,7,false),""),"#","")
)</f>
        <v>1</v>
      </c>
      <c r="U481" s="17">
        <f t="shared" si="7"/>
        <v>1</v>
      </c>
      <c r="V481" s="1">
        <f>iferror(vlookup(A481,'Marketing Plan (extract summary'!A:G,6,false),"")</f>
        <v>0</v>
      </c>
      <c r="W481" s="1">
        <f>iferror(vlookup(A481,'Marketing Plan (extract summary'!A:G,7,false),"")</f>
        <v>1</v>
      </c>
      <c r="X481" s="17">
        <f t="shared" si="8"/>
        <v>0</v>
      </c>
      <c r="Y481" s="1">
        <f>value(IFERROR(SUBSTITUTE(SUBSTITUTE(VLOOKUP(A481,'Quarterly Pipeline vs Target Pi'!A:G,6,false)," $","")," €",""), "")
)</f>
        <v>16.27</v>
      </c>
      <c r="Z481" s="1">
        <f>value(IFERROR(SUBSTITUTE(SUBSTITUTE(VLOOKUP(A481,'Quarterly Pipeline vs Target Pi'!A:G,7,false)," $","")," €",""), "")
)</f>
        <v>0</v>
      </c>
      <c r="AA481" s="17" t="str">
        <f t="shared" si="9"/>
        <v/>
      </c>
      <c r="AB481" s="1">
        <f>value(IFERROR(SUBSTITUTE(SUBSTITUTE(VLOOKUP($A481,'Quarterly Pipeline vs Target Pi'!$A:$V,11,false)," $","")," €",""), "")
)</f>
        <v>8.37</v>
      </c>
      <c r="AC481" s="1">
        <f>value(IFERROR(SUBSTITUTE(SUBSTITUTE(VLOOKUP($A481,'Quarterly Pipeline vs Target Pi'!$A:$V,12,false)," $","")," €",""), "")
)</f>
        <v>1125</v>
      </c>
      <c r="AD481" s="17">
        <f t="shared" si="10"/>
        <v>0.00744</v>
      </c>
      <c r="AE481" s="1">
        <f>value(IFERROR(SUBSTITUTE(SUBSTITUTE(VLOOKUP($A481,'Quarterly Pipeline vs Target Pi'!$A:$V,16,false)," $","")," €",""), "")
)</f>
        <v>1904.02</v>
      </c>
      <c r="AF481" s="1">
        <f>value(IFERROR(SUBSTITUTE(SUBSTITUTE(VLOOKUP($A481,'Quarterly Pipeline vs Target Pi'!$A:$V,17,false)," $","")," €",""), "")
)</f>
        <v>1125</v>
      </c>
      <c r="AG481" s="17">
        <f t="shared" si="11"/>
        <v>1.692462222</v>
      </c>
      <c r="AH481" s="1">
        <f>value(IFERROR(SUBSTITUTE(SUBSTITUTE(VLOOKUP($A481,'Quarterly Pipeline vs Target Pi'!$A:$V,21,false)," $","")," €",""), "")
)</f>
        <v>2446.58</v>
      </c>
      <c r="AI481" s="1">
        <f>value(IFERROR(SUBSTITUTE(SUBSTITUTE(VLOOKUP($A481,'Quarterly Pipeline vs Target Pi'!$A:$V,22,false)," $","")," €",""), "")
)</f>
        <v>1125</v>
      </c>
      <c r="AJ481" s="17">
        <f t="shared" si="12"/>
        <v>2.174737778</v>
      </c>
      <c r="AK481" s="1">
        <f t="shared" ref="AK481:AL481" si="975">sum(Y481,AB481,AE481,AH481)</f>
        <v>4375.24</v>
      </c>
      <c r="AL481" s="1">
        <f t="shared" si="975"/>
        <v>3375</v>
      </c>
      <c r="AM481" s="17">
        <f t="shared" si="14"/>
        <v>1.296367407</v>
      </c>
      <c r="AN481" s="1">
        <f>value(IFERROR(SUBSTITUTE(SUBSTITUTE(VLOOKUP($A481,'Quarterly Pipeline vs Target Pi'!$A:$AP,26,false)," $","")," €",""), "")
)</f>
        <v>628.24</v>
      </c>
      <c r="AO481" s="1">
        <f>value(IFERROR(SUBSTITUTE(SUBSTITUTE(VLOOKUP($A481,'Quarterly Pipeline vs Target Pi'!$A:$AP,27,false)," $","")," €",""), "")
)</f>
        <v>0</v>
      </c>
      <c r="AP481" s="17" t="str">
        <f t="shared" si="15"/>
        <v/>
      </c>
      <c r="AQ481" s="1">
        <f>value(IFERROR(SUBSTITUTE(SUBSTITUTE(VLOOKUP($A481,'Quarterly Pipeline vs Target Pi'!$A:$AP,31,false)," $","")," €",""), "")
)</f>
        <v>7.22</v>
      </c>
      <c r="AR481" s="1">
        <f>value(IFERROR(SUBSTITUTE(SUBSTITUTE(VLOOKUP($A481,'Quarterly Pipeline vs Target Pi'!$A:$AP,32,false)," $","")," €",""), "")
)</f>
        <v>0</v>
      </c>
      <c r="AS481" s="17" t="str">
        <f t="shared" si="16"/>
        <v/>
      </c>
      <c r="AT481" s="1">
        <f>value(IFERROR(SUBSTITUTE(SUBSTITUTE(VLOOKUP($A481,'Quarterly Pipeline vs Target Pi'!$A:$AP,36,false)," $","")," €",""), "")
)</f>
        <v>0</v>
      </c>
      <c r="AU481" s="1">
        <f>value(IFERROR(SUBSTITUTE(SUBSTITUTE(VLOOKUP($A481,'Quarterly Pipeline vs Target Pi'!$A:$AP,37,false)," $","")," €",""), "")
)</f>
        <v>0</v>
      </c>
      <c r="AV481" s="17" t="str">
        <f t="shared" si="17"/>
        <v/>
      </c>
      <c r="AW481" s="1">
        <f>value(IFERROR(SUBSTITUTE(SUBSTITUTE(VLOOKUP($A481,'Quarterly Pipeline vs Target Pi'!$A:$AP,41,false)," $","")," €",""), "")
)</f>
        <v>10.45</v>
      </c>
      <c r="AX481" s="1">
        <f>value(IFERROR(SUBSTITUTE(SUBSTITUTE(VLOOKUP($A481,'Quarterly Pipeline vs Target Pi'!$A:$AP,42,false)," $","")," €",""), "")
)</f>
        <v>0</v>
      </c>
      <c r="AY481" s="17" t="str">
        <f t="shared" si="18"/>
        <v/>
      </c>
      <c r="AZ481" s="1">
        <f t="shared" ref="AZ481:BA481" si="976">sum(AN481,AQ481,AT481,AW481)</f>
        <v>645.91</v>
      </c>
      <c r="BA481" s="1">
        <f t="shared" si="976"/>
        <v>0</v>
      </c>
      <c r="BB481" s="17" t="str">
        <f t="shared" si="20"/>
        <v/>
      </c>
    </row>
    <row r="482">
      <c r="A482" s="1" t="str">
        <f>IFERROR(__xludf.DUMMYFUNCTION("""COMPUTED_VALUE"""),"63ea6e9752ad6968805cf0d7")</f>
        <v>63ea6e9752ad6968805cf0d7</v>
      </c>
      <c r="B482" s="1" t="str">
        <f>IFERROR(__xludf.DUMMYFUNCTION("""COMPUTED_VALUE"""),"Wahlcom GmbH")</f>
        <v>Wahlcom GmbH</v>
      </c>
      <c r="C482" s="1" t="str">
        <f>IFERROR(__xludf.DUMMYFUNCTION("""COMPUTED_VALUE"""),"andreas.grossheimann@al-enterprise.com, andre.ramm@al-enterprise.com")</f>
        <v>andreas.grossheimann@al-enterprise.com, andre.ramm@al-enterprise.com</v>
      </c>
      <c r="D482" s="1" t="str">
        <f>IFERROR(__xludf.DUMMYFUNCTION("""COMPUTED_VALUE"""),"germany")</f>
        <v>germany</v>
      </c>
      <c r="E482" s="1" t="str">
        <f>IFERROR(__xludf.DUMMYFUNCTION("""COMPUTED_VALUE"""),"DE")</f>
        <v>DE</v>
      </c>
      <c r="F482" s="1"/>
      <c r="G482" s="1" t="str">
        <f>iferror(VLOOKUP(A482,'Business Plan Setup and Accepta'!A:G,6,false),"")</f>
        <v/>
      </c>
      <c r="H482" s="1" t="str">
        <f>iferror(VLOOKUP(A482,'Business Plan Setup and Accepta'!A:G,7,false),"")</f>
        <v/>
      </c>
      <c r="I482" s="17" t="str">
        <f t="shared" si="3"/>
        <v/>
      </c>
      <c r="J482" s="1" t="str">
        <f>IFERROR(VALUE(SUBSTITUTE(VLOOKUP(A482,'Sales IN Revenues vs Sales targ'!A:G,6,false)," $","")), "")
</f>
        <v/>
      </c>
      <c r="K482" s="1" t="str">
        <f>IFERROR(VALUE(SUBSTITUTE(VLOOKUP(A482,'Sales IN Revenues vs Sales targ'!A:G,7,false)," $","")), "")
</f>
        <v/>
      </c>
      <c r="L482" s="17" t="str">
        <f t="shared" si="4"/>
        <v/>
      </c>
      <c r="M482" s="1">
        <f>value(SUBSTITUTE(IFERROR(VLOOKUP(A482,'Certifications achievements vs '!A:G,6,false),""),"#","")
)</f>
        <v>0</v>
      </c>
      <c r="N482" s="1">
        <f>value(SUBSTITUTE(IFERROR(VLOOKUP(A482,'Certifications achievements vs '!A:G,7,false),""),"#","")
)</f>
        <v>0</v>
      </c>
      <c r="O482" s="17" t="str">
        <f t="shared" si="5"/>
        <v/>
      </c>
      <c r="P482" s="1">
        <f>value(SUBSTITUTE(IFERROR(VLOOKUP(A482,'Communications - Solution Speci'!A:G,6,false),""),"#","")
)</f>
        <v>0</v>
      </c>
      <c r="Q482" s="1">
        <f>value(SUBSTITUTE(IFERROR(VLOOKUP(A482,'Communications - Solution Speci'!A:G,7,false),""),"#","")
)</f>
        <v>0</v>
      </c>
      <c r="R482" s="17" t="str">
        <f t="shared" si="6"/>
        <v/>
      </c>
      <c r="S482" s="1">
        <f>value(SUBSTITUTE(IFERROR(VLOOKUP(A482,'Networking - Solution Specializ'!A:G,6,false),""),"#","")
)</f>
        <v>0</v>
      </c>
      <c r="T482" s="1">
        <f>value(SUBSTITUTE(IFERROR(VLOOKUP(A482,'Networking - Solution Specializ'!A:G,7,false),""),"#","")
)</f>
        <v>0</v>
      </c>
      <c r="U482" s="17" t="str">
        <f t="shared" si="7"/>
        <v/>
      </c>
      <c r="V482" s="1" t="str">
        <f>iferror(vlookup(A482,'Marketing Plan (extract summary'!A:G,6,false),"")</f>
        <v/>
      </c>
      <c r="W482" s="1" t="str">
        <f>iferror(vlookup(A482,'Marketing Plan (extract summary'!A:G,7,false),"")</f>
        <v/>
      </c>
      <c r="X482" s="17" t="str">
        <f t="shared" si="8"/>
        <v/>
      </c>
      <c r="Y482" s="1">
        <f>value(IFERROR(SUBSTITUTE(SUBSTITUTE(VLOOKUP(A482,'Quarterly Pipeline vs Target Pi'!A:G,6,false)," $","")," €",""), "")
)</f>
        <v>0</v>
      </c>
      <c r="Z482" s="1">
        <f>value(IFERROR(SUBSTITUTE(SUBSTITUTE(VLOOKUP(A482,'Quarterly Pipeline vs Target Pi'!A:G,7,false)," $","")," €",""), "")
)</f>
        <v>0</v>
      </c>
      <c r="AA482" s="17" t="str">
        <f t="shared" si="9"/>
        <v/>
      </c>
      <c r="AB482" s="1">
        <f>value(IFERROR(SUBSTITUTE(SUBSTITUTE(VLOOKUP($A482,'Quarterly Pipeline vs Target Pi'!$A:$V,11,false)," $","")," €",""), "")
)</f>
        <v>0</v>
      </c>
      <c r="AC482" s="1">
        <f>value(IFERROR(SUBSTITUTE(SUBSTITUTE(VLOOKUP($A482,'Quarterly Pipeline vs Target Pi'!$A:$V,12,false)," $","")," €",""), "")
)</f>
        <v>0</v>
      </c>
      <c r="AD482" s="17" t="str">
        <f t="shared" si="10"/>
        <v/>
      </c>
      <c r="AE482" s="1">
        <f>value(IFERROR(SUBSTITUTE(SUBSTITUTE(VLOOKUP($A482,'Quarterly Pipeline vs Target Pi'!$A:$V,16,false)," $","")," €",""), "")
)</f>
        <v>0</v>
      </c>
      <c r="AF482" s="1">
        <f>value(IFERROR(SUBSTITUTE(SUBSTITUTE(VLOOKUP($A482,'Quarterly Pipeline vs Target Pi'!$A:$V,17,false)," $","")," €",""), "")
)</f>
        <v>0</v>
      </c>
      <c r="AG482" s="17" t="str">
        <f t="shared" si="11"/>
        <v/>
      </c>
      <c r="AH482" s="1">
        <f>value(IFERROR(SUBSTITUTE(SUBSTITUTE(VLOOKUP($A482,'Quarterly Pipeline vs Target Pi'!$A:$V,21,false)," $","")," €",""), "")
)</f>
        <v>0</v>
      </c>
      <c r="AI482" s="1">
        <f>value(IFERROR(SUBSTITUTE(SUBSTITUTE(VLOOKUP($A482,'Quarterly Pipeline vs Target Pi'!$A:$V,22,false)," $","")," €",""), "")
)</f>
        <v>0</v>
      </c>
      <c r="AJ482" s="17" t="str">
        <f t="shared" si="12"/>
        <v/>
      </c>
      <c r="AK482" s="1">
        <f t="shared" ref="AK482:AL482" si="977">sum(Y482,AB482,AE482,AH482)</f>
        <v>0</v>
      </c>
      <c r="AL482" s="1">
        <f t="shared" si="977"/>
        <v>0</v>
      </c>
      <c r="AM482" s="17" t="str">
        <f t="shared" si="14"/>
        <v/>
      </c>
      <c r="AN482" s="1">
        <f>value(IFERROR(SUBSTITUTE(SUBSTITUTE(VLOOKUP($A482,'Quarterly Pipeline vs Target Pi'!$A:$AP,26,false)," $","")," €",""), "")
)</f>
        <v>0</v>
      </c>
      <c r="AO482" s="1">
        <f>value(IFERROR(SUBSTITUTE(SUBSTITUTE(VLOOKUP($A482,'Quarterly Pipeline vs Target Pi'!$A:$AP,27,false)," $","")," €",""), "")
)</f>
        <v>0</v>
      </c>
      <c r="AP482" s="17" t="str">
        <f t="shared" si="15"/>
        <v/>
      </c>
      <c r="AQ482" s="1">
        <f>value(IFERROR(SUBSTITUTE(SUBSTITUTE(VLOOKUP($A482,'Quarterly Pipeline vs Target Pi'!$A:$AP,31,false)," $","")," €",""), "")
)</f>
        <v>0</v>
      </c>
      <c r="AR482" s="1">
        <f>value(IFERROR(SUBSTITUTE(SUBSTITUTE(VLOOKUP($A482,'Quarterly Pipeline vs Target Pi'!$A:$AP,32,false)," $","")," €",""), "")
)</f>
        <v>0</v>
      </c>
      <c r="AS482" s="17" t="str">
        <f t="shared" si="16"/>
        <v/>
      </c>
      <c r="AT482" s="1">
        <f>value(IFERROR(SUBSTITUTE(SUBSTITUTE(VLOOKUP($A482,'Quarterly Pipeline vs Target Pi'!$A:$AP,36,false)," $","")," €",""), "")
)</f>
        <v>0</v>
      </c>
      <c r="AU482" s="1">
        <f>value(IFERROR(SUBSTITUTE(SUBSTITUTE(VLOOKUP($A482,'Quarterly Pipeline vs Target Pi'!$A:$AP,37,false)," $","")," €",""), "")
)</f>
        <v>0</v>
      </c>
      <c r="AV482" s="17" t="str">
        <f t="shared" si="17"/>
        <v/>
      </c>
      <c r="AW482" s="1">
        <f>value(IFERROR(SUBSTITUTE(SUBSTITUTE(VLOOKUP($A482,'Quarterly Pipeline vs Target Pi'!$A:$AP,41,false)," $","")," €",""), "")
)</f>
        <v>0</v>
      </c>
      <c r="AX482" s="1">
        <f>value(IFERROR(SUBSTITUTE(SUBSTITUTE(VLOOKUP($A482,'Quarterly Pipeline vs Target Pi'!$A:$AP,42,false)," $","")," €",""), "")
)</f>
        <v>0</v>
      </c>
      <c r="AY482" s="17" t="str">
        <f t="shared" si="18"/>
        <v/>
      </c>
      <c r="AZ482" s="1">
        <f t="shared" ref="AZ482:BA482" si="978">sum(AN482,AQ482,AT482,AW482)</f>
        <v>0</v>
      </c>
      <c r="BA482" s="1">
        <f t="shared" si="978"/>
        <v>0</v>
      </c>
      <c r="BB482" s="17" t="str">
        <f t="shared" si="20"/>
        <v/>
      </c>
    </row>
    <row r="483">
      <c r="A483" s="1" t="str">
        <f>IFERROR(__xludf.DUMMYFUNCTION("""COMPUTED_VALUE"""),"63ea6e9452ad6968805cebeb")</f>
        <v>63ea6e9452ad6968805cebeb</v>
      </c>
      <c r="B483" s="1" t="str">
        <f>IFERROR(__xludf.DUMMYFUNCTION("""COMPUTED_VALUE"""),"Walter Rehdanz GmbH &amp; Co. KG")</f>
        <v>Walter Rehdanz GmbH &amp; Co. KG</v>
      </c>
      <c r="C483" s="1" t="str">
        <f>IFERROR(__xludf.DUMMYFUNCTION("""COMPUTED_VALUE"""),"thomas.ullmann@al-enterprise.com, andreas.grossheimann@al-enterprise.com, katrin.pfeiffer@al-enterprise.com, sibylle.klopfer@al-enterprise.com, igor.leko@al-enterprise.com")</f>
        <v>thomas.ullmann@al-enterprise.com, andreas.grossheimann@al-enterprise.com, katrin.pfeiffer@al-enterprise.com, sibylle.klopfer@al-enterprise.com, igor.leko@al-enterprise.com</v>
      </c>
      <c r="D483" s="1" t="str">
        <f>IFERROR(__xludf.DUMMYFUNCTION("""COMPUTED_VALUE"""),"germany")</f>
        <v>germany</v>
      </c>
      <c r="E483" s="1" t="str">
        <f>IFERROR(__xludf.DUMMYFUNCTION("""COMPUTED_VALUE"""),"DE")</f>
        <v>DE</v>
      </c>
      <c r="F483" s="1"/>
      <c r="G483" s="1">
        <f>iferror(VLOOKUP(A483,'Business Plan Setup and Accepta'!A:G,6,false),"")</f>
        <v>1</v>
      </c>
      <c r="H483" s="1">
        <f>iferror(VLOOKUP(A483,'Business Plan Setup and Accepta'!A:G,7,false),"")</f>
        <v>1</v>
      </c>
      <c r="I483" s="17">
        <f t="shared" si="3"/>
        <v>1</v>
      </c>
      <c r="J483" s="1">
        <f>IFERROR(VALUE(SUBSTITUTE(VLOOKUP(A483,'Sales IN Revenues vs Sales targ'!A:G,6,false)," $","")), "")
</f>
        <v>30.94</v>
      </c>
      <c r="K483" s="1">
        <f>IFERROR(VALUE(SUBSTITUTE(VLOOKUP(A483,'Sales IN Revenues vs Sales targ'!A:G,7,false)," $","")), "")
</f>
        <v>200.1</v>
      </c>
      <c r="L483" s="17">
        <f t="shared" si="4"/>
        <v>0.1546226887</v>
      </c>
      <c r="M483" s="1">
        <f>value(SUBSTITUTE(IFERROR(VLOOKUP(A483,'Certifications achievements vs '!A:G,6,false),""),"#","")
)</f>
        <v>15</v>
      </c>
      <c r="N483" s="1">
        <f>value(SUBSTITUTE(IFERROR(VLOOKUP(A483,'Certifications achievements vs '!A:G,7,false),""),"#","")
)</f>
        <v>0</v>
      </c>
      <c r="O483" s="17" t="str">
        <f t="shared" si="5"/>
        <v/>
      </c>
      <c r="P483" s="1">
        <f>value(SUBSTITUTE(IFERROR(VLOOKUP(A483,'Communications - Solution Speci'!A:G,6,false),""),"#","")
)</f>
        <v>1</v>
      </c>
      <c r="Q483" s="1">
        <f>value(SUBSTITUTE(IFERROR(VLOOKUP(A483,'Communications - Solution Speci'!A:G,7,false),""),"#","")
)</f>
        <v>1</v>
      </c>
      <c r="R483" s="17">
        <f t="shared" si="6"/>
        <v>1</v>
      </c>
      <c r="S483" s="1">
        <f>value(SUBSTITUTE(IFERROR(VLOOKUP(A483,'Networking - Solution Specializ'!A:G,6,false),""),"#","")
)</f>
        <v>0</v>
      </c>
      <c r="T483" s="1">
        <f>value(SUBSTITUTE(IFERROR(VLOOKUP(A483,'Networking - Solution Specializ'!A:G,7,false),""),"#","")
)</f>
        <v>1</v>
      </c>
      <c r="U483" s="17">
        <f t="shared" si="7"/>
        <v>0</v>
      </c>
      <c r="V483" s="1">
        <f>iferror(vlookup(A483,'Marketing Plan (extract summary'!A:G,6,false),"")</f>
        <v>0</v>
      </c>
      <c r="W483" s="1">
        <f>iferror(vlookup(A483,'Marketing Plan (extract summary'!A:G,7,false),"")</f>
        <v>1</v>
      </c>
      <c r="X483" s="17">
        <f t="shared" si="8"/>
        <v>0</v>
      </c>
      <c r="Y483" s="1">
        <f>value(IFERROR(SUBSTITUTE(SUBSTITUTE(VLOOKUP(A483,'Quarterly Pipeline vs Target Pi'!A:G,6,false)," $","")," €",""), "")
)</f>
        <v>0</v>
      </c>
      <c r="Z483" s="1">
        <f>value(IFERROR(SUBSTITUTE(SUBSTITUTE(VLOOKUP(A483,'Quarterly Pipeline vs Target Pi'!A:G,7,false)," $","")," €",""), "")
)</f>
        <v>0</v>
      </c>
      <c r="AA483" s="17" t="str">
        <f t="shared" si="9"/>
        <v/>
      </c>
      <c r="AB483" s="1">
        <f>value(IFERROR(SUBSTITUTE(SUBSTITUTE(VLOOKUP($A483,'Quarterly Pipeline vs Target Pi'!$A:$V,11,false)," $","")," €",""), "")
)</f>
        <v>0</v>
      </c>
      <c r="AC483" s="1">
        <f>value(IFERROR(SUBSTITUTE(SUBSTITUTE(VLOOKUP($A483,'Quarterly Pipeline vs Target Pi'!$A:$V,12,false)," $","")," €",""), "")
)</f>
        <v>83.33</v>
      </c>
      <c r="AD483" s="17">
        <f t="shared" si="10"/>
        <v>0</v>
      </c>
      <c r="AE483" s="1">
        <f>value(IFERROR(SUBSTITUTE(SUBSTITUTE(VLOOKUP($A483,'Quarterly Pipeline vs Target Pi'!$A:$V,16,false)," $","")," €",""), "")
)</f>
        <v>0</v>
      </c>
      <c r="AF483" s="1">
        <f>value(IFERROR(SUBSTITUTE(SUBSTITUTE(VLOOKUP($A483,'Quarterly Pipeline vs Target Pi'!$A:$V,17,false)," $","")," €",""), "")
)</f>
        <v>125</v>
      </c>
      <c r="AG483" s="17">
        <f t="shared" si="11"/>
        <v>0</v>
      </c>
      <c r="AH483" s="1">
        <f>value(IFERROR(SUBSTITUTE(SUBSTITUTE(VLOOKUP($A483,'Quarterly Pipeline vs Target Pi'!$A:$V,21,false)," $","")," €",""), "")
)</f>
        <v>65</v>
      </c>
      <c r="AI483" s="1">
        <f>value(IFERROR(SUBSTITUTE(SUBSTITUTE(VLOOKUP($A483,'Quarterly Pipeline vs Target Pi'!$A:$V,22,false)," $","")," €",""), "")
)</f>
        <v>125</v>
      </c>
      <c r="AJ483" s="17">
        <f t="shared" si="12"/>
        <v>0.52</v>
      </c>
      <c r="AK483" s="1">
        <f t="shared" ref="AK483:AL483" si="979">sum(Y483,AB483,AE483,AH483)</f>
        <v>65</v>
      </c>
      <c r="AL483" s="1">
        <f t="shared" si="979"/>
        <v>333.33</v>
      </c>
      <c r="AM483" s="17">
        <f t="shared" si="14"/>
        <v>0.19500195</v>
      </c>
      <c r="AN483" s="1">
        <f>value(IFERROR(SUBSTITUTE(SUBSTITUTE(VLOOKUP($A483,'Quarterly Pipeline vs Target Pi'!$A:$AP,26,false)," $","")," €",""), "")
)</f>
        <v>46.5</v>
      </c>
      <c r="AO483" s="1">
        <f>value(IFERROR(SUBSTITUTE(SUBSTITUTE(VLOOKUP($A483,'Quarterly Pipeline vs Target Pi'!$A:$AP,27,false)," $","")," €",""), "")
)</f>
        <v>0</v>
      </c>
      <c r="AP483" s="17" t="str">
        <f t="shared" si="15"/>
        <v/>
      </c>
      <c r="AQ483" s="1">
        <f>value(IFERROR(SUBSTITUTE(SUBSTITUTE(VLOOKUP($A483,'Quarterly Pipeline vs Target Pi'!$A:$AP,31,false)," $","")," €",""), "")
)</f>
        <v>0</v>
      </c>
      <c r="AR483" s="1">
        <f>value(IFERROR(SUBSTITUTE(SUBSTITUTE(VLOOKUP($A483,'Quarterly Pipeline vs Target Pi'!$A:$AP,32,false)," $","")," €",""), "")
)</f>
        <v>0</v>
      </c>
      <c r="AS483" s="17" t="str">
        <f t="shared" si="16"/>
        <v/>
      </c>
      <c r="AT483" s="1">
        <f>value(IFERROR(SUBSTITUTE(SUBSTITUTE(VLOOKUP($A483,'Quarterly Pipeline vs Target Pi'!$A:$AP,36,false)," $","")," €",""), "")
)</f>
        <v>0</v>
      </c>
      <c r="AU483" s="1">
        <f>value(IFERROR(SUBSTITUTE(SUBSTITUTE(VLOOKUP($A483,'Quarterly Pipeline vs Target Pi'!$A:$AP,37,false)," $","")," €",""), "")
)</f>
        <v>0</v>
      </c>
      <c r="AV483" s="17" t="str">
        <f t="shared" si="17"/>
        <v/>
      </c>
      <c r="AW483" s="1">
        <f>value(IFERROR(SUBSTITUTE(SUBSTITUTE(VLOOKUP($A483,'Quarterly Pipeline vs Target Pi'!$A:$AP,41,false)," $","")," €",""), "")
)</f>
        <v>0</v>
      </c>
      <c r="AX483" s="1">
        <f>value(IFERROR(SUBSTITUTE(SUBSTITUTE(VLOOKUP($A483,'Quarterly Pipeline vs Target Pi'!$A:$AP,42,false)," $","")," €",""), "")
)</f>
        <v>0</v>
      </c>
      <c r="AY483" s="17" t="str">
        <f t="shared" si="18"/>
        <v/>
      </c>
      <c r="AZ483" s="1">
        <f t="shared" ref="AZ483:BA483" si="980">sum(AN483,AQ483,AT483,AW483)</f>
        <v>46.5</v>
      </c>
      <c r="BA483" s="1">
        <f t="shared" si="980"/>
        <v>0</v>
      </c>
      <c r="BB483" s="17" t="str">
        <f t="shared" si="20"/>
        <v/>
      </c>
    </row>
    <row r="484">
      <c r="A484" s="1" t="str">
        <f>IFERROR(__xludf.DUMMYFUNCTION("""COMPUTED_VALUE"""),"63ef9d56384f27260c1ba0eb")</f>
        <v>63ef9d56384f27260c1ba0eb</v>
      </c>
      <c r="B484" s="1" t="str">
        <f>IFERROR(__xludf.DUMMYFUNCTION("""COMPUTED_VALUE"""),"Warpcom Services Espana S.L.")</f>
        <v>Warpcom Services Espana S.L.</v>
      </c>
      <c r="C484" s="1" t="str">
        <f>IFERROR(__xludf.DUMMYFUNCTION("""COMPUTED_VALUE"""),"astrid.savorani@al-enterprise.com, rafael.andreo@al-enterprise.com, esther.alonso@al-enterprise.com, marcos.rodriguez@al-enterprise.com")</f>
        <v>astrid.savorani@al-enterprise.com, rafael.andreo@al-enterprise.com, esther.alonso@al-enterprise.com, marcos.rodriguez@al-enterprise.com</v>
      </c>
      <c r="D484" s="1" t="str">
        <f>IFERROR(__xludf.DUMMYFUNCTION("""COMPUTED_VALUE"""),"emea")</f>
        <v>emea</v>
      </c>
      <c r="E484" s="1" t="str">
        <f>IFERROR(__xludf.DUMMYFUNCTION("""COMPUTED_VALUE"""),"ES")</f>
        <v>ES</v>
      </c>
      <c r="F484" s="1"/>
      <c r="G484" s="1" t="str">
        <f>iferror(VLOOKUP(A484,'Business Plan Setup and Accepta'!A:G,6,false),"")</f>
        <v/>
      </c>
      <c r="H484" s="1" t="str">
        <f>iferror(VLOOKUP(A484,'Business Plan Setup and Accepta'!A:G,7,false),"")</f>
        <v/>
      </c>
      <c r="I484" s="17" t="str">
        <f t="shared" si="3"/>
        <v/>
      </c>
      <c r="J484" s="1" t="str">
        <f>IFERROR(VALUE(SUBSTITUTE(VLOOKUP(A484,'Sales IN Revenues vs Sales targ'!A:G,6,false)," $","")), "")
</f>
        <v/>
      </c>
      <c r="K484" s="1" t="str">
        <f>IFERROR(VALUE(SUBSTITUTE(VLOOKUP(A484,'Sales IN Revenues vs Sales targ'!A:G,7,false)," $","")), "")
</f>
        <v/>
      </c>
      <c r="L484" s="17" t="str">
        <f t="shared" si="4"/>
        <v/>
      </c>
      <c r="M484" s="1">
        <f>value(SUBSTITUTE(IFERROR(VLOOKUP(A484,'Certifications achievements vs '!A:G,6,false),""),"#","")
)</f>
        <v>0</v>
      </c>
      <c r="N484" s="1">
        <f>value(SUBSTITUTE(IFERROR(VLOOKUP(A484,'Certifications achievements vs '!A:G,7,false),""),"#","")
)</f>
        <v>0</v>
      </c>
      <c r="O484" s="17" t="str">
        <f t="shared" si="5"/>
        <v/>
      </c>
      <c r="P484" s="1">
        <f>value(SUBSTITUTE(IFERROR(VLOOKUP(A484,'Communications - Solution Speci'!A:G,6,false),""),"#","")
)</f>
        <v>0</v>
      </c>
      <c r="Q484" s="1">
        <f>value(SUBSTITUTE(IFERROR(VLOOKUP(A484,'Communications - Solution Speci'!A:G,7,false),""),"#","")
)</f>
        <v>0</v>
      </c>
      <c r="R484" s="17" t="str">
        <f t="shared" si="6"/>
        <v/>
      </c>
      <c r="S484" s="1">
        <f>value(SUBSTITUTE(IFERROR(VLOOKUP(A484,'Networking - Solution Specializ'!A:G,6,false),""),"#","")
)</f>
        <v>0</v>
      </c>
      <c r="T484" s="1">
        <f>value(SUBSTITUTE(IFERROR(VLOOKUP(A484,'Networking - Solution Specializ'!A:G,7,false),""),"#","")
)</f>
        <v>0</v>
      </c>
      <c r="U484" s="17" t="str">
        <f t="shared" si="7"/>
        <v/>
      </c>
      <c r="V484" s="1" t="str">
        <f>iferror(vlookup(A484,'Marketing Plan (extract summary'!A:G,6,false),"")</f>
        <v/>
      </c>
      <c r="W484" s="1" t="str">
        <f>iferror(vlookup(A484,'Marketing Plan (extract summary'!A:G,7,false),"")</f>
        <v/>
      </c>
      <c r="X484" s="17" t="str">
        <f t="shared" si="8"/>
        <v/>
      </c>
      <c r="Y484" s="1">
        <f>value(IFERROR(SUBSTITUTE(SUBSTITUTE(VLOOKUP(A484,'Quarterly Pipeline vs Target Pi'!A:G,6,false)," $","")," €",""), "")
)</f>
        <v>0</v>
      </c>
      <c r="Z484" s="1">
        <f>value(IFERROR(SUBSTITUTE(SUBSTITUTE(VLOOKUP(A484,'Quarterly Pipeline vs Target Pi'!A:G,7,false)," $","")," €",""), "")
)</f>
        <v>0</v>
      </c>
      <c r="AA484" s="17" t="str">
        <f t="shared" si="9"/>
        <v/>
      </c>
      <c r="AB484" s="1">
        <f>value(IFERROR(SUBSTITUTE(SUBSTITUTE(VLOOKUP($A484,'Quarterly Pipeline vs Target Pi'!$A:$V,11,false)," $","")," €",""), "")
)</f>
        <v>0</v>
      </c>
      <c r="AC484" s="1">
        <f>value(IFERROR(SUBSTITUTE(SUBSTITUTE(VLOOKUP($A484,'Quarterly Pipeline vs Target Pi'!$A:$V,12,false)," $","")," €",""), "")
)</f>
        <v>0</v>
      </c>
      <c r="AD484" s="17" t="str">
        <f t="shared" si="10"/>
        <v/>
      </c>
      <c r="AE484" s="1">
        <f>value(IFERROR(SUBSTITUTE(SUBSTITUTE(VLOOKUP($A484,'Quarterly Pipeline vs Target Pi'!$A:$V,16,false)," $","")," €",""), "")
)</f>
        <v>0</v>
      </c>
      <c r="AF484" s="1">
        <f>value(IFERROR(SUBSTITUTE(SUBSTITUTE(VLOOKUP($A484,'Quarterly Pipeline vs Target Pi'!$A:$V,17,false)," $","")," €",""), "")
)</f>
        <v>0</v>
      </c>
      <c r="AG484" s="17" t="str">
        <f t="shared" si="11"/>
        <v/>
      </c>
      <c r="AH484" s="1">
        <f>value(IFERROR(SUBSTITUTE(SUBSTITUTE(VLOOKUP($A484,'Quarterly Pipeline vs Target Pi'!$A:$V,21,false)," $","")," €",""), "")
)</f>
        <v>0</v>
      </c>
      <c r="AI484" s="1">
        <f>value(IFERROR(SUBSTITUTE(SUBSTITUTE(VLOOKUP($A484,'Quarterly Pipeline vs Target Pi'!$A:$V,22,false)," $","")," €",""), "")
)</f>
        <v>0</v>
      </c>
      <c r="AJ484" s="17" t="str">
        <f t="shared" si="12"/>
        <v/>
      </c>
      <c r="AK484" s="1">
        <f t="shared" ref="AK484:AL484" si="981">sum(Y484,AB484,AE484,AH484)</f>
        <v>0</v>
      </c>
      <c r="AL484" s="1">
        <f t="shared" si="981"/>
        <v>0</v>
      </c>
      <c r="AM484" s="17" t="str">
        <f t="shared" si="14"/>
        <v/>
      </c>
      <c r="AN484" s="1">
        <f>value(IFERROR(SUBSTITUTE(SUBSTITUTE(VLOOKUP($A484,'Quarterly Pipeline vs Target Pi'!$A:$AP,26,false)," $","")," €",""), "")
)</f>
        <v>0</v>
      </c>
      <c r="AO484" s="1">
        <f>value(IFERROR(SUBSTITUTE(SUBSTITUTE(VLOOKUP($A484,'Quarterly Pipeline vs Target Pi'!$A:$AP,27,false)," $","")," €",""), "")
)</f>
        <v>0</v>
      </c>
      <c r="AP484" s="17" t="str">
        <f t="shared" si="15"/>
        <v/>
      </c>
      <c r="AQ484" s="1">
        <f>value(IFERROR(SUBSTITUTE(SUBSTITUTE(VLOOKUP($A484,'Quarterly Pipeline vs Target Pi'!$A:$AP,31,false)," $","")," €",""), "")
)</f>
        <v>0</v>
      </c>
      <c r="AR484" s="1">
        <f>value(IFERROR(SUBSTITUTE(SUBSTITUTE(VLOOKUP($A484,'Quarterly Pipeline vs Target Pi'!$A:$AP,32,false)," $","")," €",""), "")
)</f>
        <v>0</v>
      </c>
      <c r="AS484" s="17" t="str">
        <f t="shared" si="16"/>
        <v/>
      </c>
      <c r="AT484" s="1">
        <f>value(IFERROR(SUBSTITUTE(SUBSTITUTE(VLOOKUP($A484,'Quarterly Pipeline vs Target Pi'!$A:$AP,36,false)," $","")," €",""), "")
)</f>
        <v>0</v>
      </c>
      <c r="AU484" s="1">
        <f>value(IFERROR(SUBSTITUTE(SUBSTITUTE(VLOOKUP($A484,'Quarterly Pipeline vs Target Pi'!$A:$AP,37,false)," $","")," €",""), "")
)</f>
        <v>0</v>
      </c>
      <c r="AV484" s="17" t="str">
        <f t="shared" si="17"/>
        <v/>
      </c>
      <c r="AW484" s="1">
        <f>value(IFERROR(SUBSTITUTE(SUBSTITUTE(VLOOKUP($A484,'Quarterly Pipeline vs Target Pi'!$A:$AP,41,false)," $","")," €",""), "")
)</f>
        <v>0</v>
      </c>
      <c r="AX484" s="1">
        <f>value(IFERROR(SUBSTITUTE(SUBSTITUTE(VLOOKUP($A484,'Quarterly Pipeline vs Target Pi'!$A:$AP,42,false)," $","")," €",""), "")
)</f>
        <v>0</v>
      </c>
      <c r="AY484" s="17" t="str">
        <f t="shared" si="18"/>
        <v/>
      </c>
      <c r="AZ484" s="1">
        <f t="shared" ref="AZ484:BA484" si="982">sum(AN484,AQ484,AT484,AW484)</f>
        <v>0</v>
      </c>
      <c r="BA484" s="1">
        <f t="shared" si="982"/>
        <v>0</v>
      </c>
      <c r="BB484" s="17" t="str">
        <f t="shared" si="20"/>
        <v/>
      </c>
    </row>
    <row r="485">
      <c r="A485" s="1" t="str">
        <f>IFERROR(__xludf.DUMMYFUNCTION("""COMPUTED_VALUE"""),"63ea6e9452ad6968805cec77")</f>
        <v>63ea6e9452ad6968805cec77</v>
      </c>
      <c r="B485" s="1" t="str">
        <f>IFERROR(__xludf.DUMMYFUNCTION("""COMPUTED_VALUE"""),"WBS IT-Service GmbH")</f>
        <v>WBS IT-Service GmbH</v>
      </c>
      <c r="C485" s="1" t="str">
        <f>IFERROR(__xludf.DUMMYFUNCTION("""COMPUTED_VALUE"""),"thomas.ullmann@al-enterprise.com, andreas.grossheimann@al-enterprise.com")</f>
        <v>thomas.ullmann@al-enterprise.com, andreas.grossheimann@al-enterprise.com</v>
      </c>
      <c r="D485" s="1" t="str">
        <f>IFERROR(__xludf.DUMMYFUNCTION("""COMPUTED_VALUE"""),"germany")</f>
        <v>germany</v>
      </c>
      <c r="E485" s="1" t="str">
        <f>IFERROR(__xludf.DUMMYFUNCTION("""COMPUTED_VALUE"""),"DE")</f>
        <v>DE</v>
      </c>
      <c r="F485" s="1"/>
      <c r="G485" s="1" t="str">
        <f>iferror(VLOOKUP(A485,'Business Plan Setup and Accepta'!A:G,6,false),"")</f>
        <v/>
      </c>
      <c r="H485" s="1" t="str">
        <f>iferror(VLOOKUP(A485,'Business Plan Setup and Accepta'!A:G,7,false),"")</f>
        <v/>
      </c>
      <c r="I485" s="17" t="str">
        <f t="shared" si="3"/>
        <v/>
      </c>
      <c r="J485" s="1" t="str">
        <f>IFERROR(VALUE(SUBSTITUTE(VLOOKUP(A485,'Sales IN Revenues vs Sales targ'!A:G,6,false)," $","")), "")
</f>
        <v/>
      </c>
      <c r="K485" s="1" t="str">
        <f>IFERROR(VALUE(SUBSTITUTE(VLOOKUP(A485,'Sales IN Revenues vs Sales targ'!A:G,7,false)," $","")), "")
</f>
        <v/>
      </c>
      <c r="L485" s="17" t="str">
        <f t="shared" si="4"/>
        <v/>
      </c>
      <c r="M485" s="1">
        <f>value(SUBSTITUTE(IFERROR(VLOOKUP(A485,'Certifications achievements vs '!A:G,6,false),""),"#","")
)</f>
        <v>0</v>
      </c>
      <c r="N485" s="1">
        <f>value(SUBSTITUTE(IFERROR(VLOOKUP(A485,'Certifications achievements vs '!A:G,7,false),""),"#","")
)</f>
        <v>0</v>
      </c>
      <c r="O485" s="17" t="str">
        <f t="shared" si="5"/>
        <v/>
      </c>
      <c r="P485" s="1">
        <f>value(SUBSTITUTE(IFERROR(VLOOKUP(A485,'Communications - Solution Speci'!A:G,6,false),""),"#","")
)</f>
        <v>0</v>
      </c>
      <c r="Q485" s="1">
        <f>value(SUBSTITUTE(IFERROR(VLOOKUP(A485,'Communications - Solution Speci'!A:G,7,false),""),"#","")
)</f>
        <v>0</v>
      </c>
      <c r="R485" s="17" t="str">
        <f t="shared" si="6"/>
        <v/>
      </c>
      <c r="S485" s="1">
        <f>value(SUBSTITUTE(IFERROR(VLOOKUP(A485,'Networking - Solution Specializ'!A:G,6,false),""),"#","")
)</f>
        <v>0</v>
      </c>
      <c r="T485" s="1">
        <f>value(SUBSTITUTE(IFERROR(VLOOKUP(A485,'Networking - Solution Specializ'!A:G,7,false),""),"#","")
)</f>
        <v>0</v>
      </c>
      <c r="U485" s="17" t="str">
        <f t="shared" si="7"/>
        <v/>
      </c>
      <c r="V485" s="1" t="str">
        <f>iferror(vlookup(A485,'Marketing Plan (extract summary'!A:G,6,false),"")</f>
        <v/>
      </c>
      <c r="W485" s="1" t="str">
        <f>iferror(vlookup(A485,'Marketing Plan (extract summary'!A:G,7,false),"")</f>
        <v/>
      </c>
      <c r="X485" s="17" t="str">
        <f t="shared" si="8"/>
        <v/>
      </c>
      <c r="Y485" s="1">
        <f>value(IFERROR(SUBSTITUTE(SUBSTITUTE(VLOOKUP(A485,'Quarterly Pipeline vs Target Pi'!A:G,6,false)," $","")," €",""), "")
)</f>
        <v>0</v>
      </c>
      <c r="Z485" s="1">
        <f>value(IFERROR(SUBSTITUTE(SUBSTITUTE(VLOOKUP(A485,'Quarterly Pipeline vs Target Pi'!A:G,7,false)," $","")," €",""), "")
)</f>
        <v>0</v>
      </c>
      <c r="AA485" s="17" t="str">
        <f t="shared" si="9"/>
        <v/>
      </c>
      <c r="AB485" s="1">
        <f>value(IFERROR(SUBSTITUTE(SUBSTITUTE(VLOOKUP($A485,'Quarterly Pipeline vs Target Pi'!$A:$V,11,false)," $","")," €",""), "")
)</f>
        <v>0</v>
      </c>
      <c r="AC485" s="1">
        <f>value(IFERROR(SUBSTITUTE(SUBSTITUTE(VLOOKUP($A485,'Quarterly Pipeline vs Target Pi'!$A:$V,12,false)," $","")," €",""), "")
)</f>
        <v>0</v>
      </c>
      <c r="AD485" s="17" t="str">
        <f t="shared" si="10"/>
        <v/>
      </c>
      <c r="AE485" s="1">
        <f>value(IFERROR(SUBSTITUTE(SUBSTITUTE(VLOOKUP($A485,'Quarterly Pipeline vs Target Pi'!$A:$V,16,false)," $","")," €",""), "")
)</f>
        <v>0</v>
      </c>
      <c r="AF485" s="1">
        <f>value(IFERROR(SUBSTITUTE(SUBSTITUTE(VLOOKUP($A485,'Quarterly Pipeline vs Target Pi'!$A:$V,17,false)," $","")," €",""), "")
)</f>
        <v>0</v>
      </c>
      <c r="AG485" s="17" t="str">
        <f t="shared" si="11"/>
        <v/>
      </c>
      <c r="AH485" s="1">
        <f>value(IFERROR(SUBSTITUTE(SUBSTITUTE(VLOOKUP($A485,'Quarterly Pipeline vs Target Pi'!$A:$V,21,false)," $","")," €",""), "")
)</f>
        <v>0</v>
      </c>
      <c r="AI485" s="1">
        <f>value(IFERROR(SUBSTITUTE(SUBSTITUTE(VLOOKUP($A485,'Quarterly Pipeline vs Target Pi'!$A:$V,22,false)," $","")," €",""), "")
)</f>
        <v>0</v>
      </c>
      <c r="AJ485" s="17" t="str">
        <f t="shared" si="12"/>
        <v/>
      </c>
      <c r="AK485" s="1">
        <f t="shared" ref="AK485:AL485" si="983">sum(Y485,AB485,AE485,AH485)</f>
        <v>0</v>
      </c>
      <c r="AL485" s="1">
        <f t="shared" si="983"/>
        <v>0</v>
      </c>
      <c r="AM485" s="17" t="str">
        <f t="shared" si="14"/>
        <v/>
      </c>
      <c r="AN485" s="1">
        <f>value(IFERROR(SUBSTITUTE(SUBSTITUTE(VLOOKUP($A485,'Quarterly Pipeline vs Target Pi'!$A:$AP,26,false)," $","")," €",""), "")
)</f>
        <v>0</v>
      </c>
      <c r="AO485" s="1">
        <f>value(IFERROR(SUBSTITUTE(SUBSTITUTE(VLOOKUP($A485,'Quarterly Pipeline vs Target Pi'!$A:$AP,27,false)," $","")," €",""), "")
)</f>
        <v>0</v>
      </c>
      <c r="AP485" s="17" t="str">
        <f t="shared" si="15"/>
        <v/>
      </c>
      <c r="AQ485" s="1">
        <f>value(IFERROR(SUBSTITUTE(SUBSTITUTE(VLOOKUP($A485,'Quarterly Pipeline vs Target Pi'!$A:$AP,31,false)," $","")," €",""), "")
)</f>
        <v>0</v>
      </c>
      <c r="AR485" s="1">
        <f>value(IFERROR(SUBSTITUTE(SUBSTITUTE(VLOOKUP($A485,'Quarterly Pipeline vs Target Pi'!$A:$AP,32,false)," $","")," €",""), "")
)</f>
        <v>0</v>
      </c>
      <c r="AS485" s="17" t="str">
        <f t="shared" si="16"/>
        <v/>
      </c>
      <c r="AT485" s="1">
        <f>value(IFERROR(SUBSTITUTE(SUBSTITUTE(VLOOKUP($A485,'Quarterly Pipeline vs Target Pi'!$A:$AP,36,false)," $","")," €",""), "")
)</f>
        <v>0</v>
      </c>
      <c r="AU485" s="1">
        <f>value(IFERROR(SUBSTITUTE(SUBSTITUTE(VLOOKUP($A485,'Quarterly Pipeline vs Target Pi'!$A:$AP,37,false)," $","")," €",""), "")
)</f>
        <v>0</v>
      </c>
      <c r="AV485" s="17" t="str">
        <f t="shared" si="17"/>
        <v/>
      </c>
      <c r="AW485" s="1">
        <f>value(IFERROR(SUBSTITUTE(SUBSTITUTE(VLOOKUP($A485,'Quarterly Pipeline vs Target Pi'!$A:$AP,41,false)," $","")," €",""), "")
)</f>
        <v>0</v>
      </c>
      <c r="AX485" s="1">
        <f>value(IFERROR(SUBSTITUTE(SUBSTITUTE(VLOOKUP($A485,'Quarterly Pipeline vs Target Pi'!$A:$AP,42,false)," $","")," €",""), "")
)</f>
        <v>0</v>
      </c>
      <c r="AY485" s="17" t="str">
        <f t="shared" si="18"/>
        <v/>
      </c>
      <c r="AZ485" s="1">
        <f t="shared" ref="AZ485:BA485" si="984">sum(AN485,AQ485,AT485,AW485)</f>
        <v>0</v>
      </c>
      <c r="BA485" s="1">
        <f t="shared" si="984"/>
        <v>0</v>
      </c>
      <c r="BB485" s="17" t="str">
        <f t="shared" si="20"/>
        <v/>
      </c>
    </row>
    <row r="486">
      <c r="A486" s="1" t="str">
        <f>IFERROR(__xludf.DUMMYFUNCTION("""COMPUTED_VALUE"""),"63ea6e9752ad6968805cf155")</f>
        <v>63ea6e9752ad6968805cf155</v>
      </c>
      <c r="B486" s="1" t="str">
        <f>IFERROR(__xludf.DUMMYFUNCTION("""COMPUTED_VALUE"""),"Wegener Kommunikation")</f>
        <v>Wegener Kommunikation</v>
      </c>
      <c r="C486" s="1" t="str">
        <f>IFERROR(__xludf.DUMMYFUNCTION("""COMPUTED_VALUE"""),"andreas.grossheimann@al-enterprise.com, andre.ramm@al-enterprise.com")</f>
        <v>andreas.grossheimann@al-enterprise.com, andre.ramm@al-enterprise.com</v>
      </c>
      <c r="D486" s="1" t="str">
        <f>IFERROR(__xludf.DUMMYFUNCTION("""COMPUTED_VALUE"""),"germany")</f>
        <v>germany</v>
      </c>
      <c r="E486" s="1" t="str">
        <f>IFERROR(__xludf.DUMMYFUNCTION("""COMPUTED_VALUE"""),"DE")</f>
        <v>DE</v>
      </c>
      <c r="F486" s="1"/>
      <c r="G486" s="1" t="str">
        <f>iferror(VLOOKUP(A486,'Business Plan Setup and Accepta'!A:G,6,false),"")</f>
        <v/>
      </c>
      <c r="H486" s="1" t="str">
        <f>iferror(VLOOKUP(A486,'Business Plan Setup and Accepta'!A:G,7,false),"")</f>
        <v/>
      </c>
      <c r="I486" s="17" t="str">
        <f t="shared" si="3"/>
        <v/>
      </c>
      <c r="J486" s="1" t="str">
        <f>IFERROR(VALUE(SUBSTITUTE(VLOOKUP(A486,'Sales IN Revenues vs Sales targ'!A:G,6,false)," $","")), "")
</f>
        <v/>
      </c>
      <c r="K486" s="1" t="str">
        <f>IFERROR(VALUE(SUBSTITUTE(VLOOKUP(A486,'Sales IN Revenues vs Sales targ'!A:G,7,false)," $","")), "")
</f>
        <v/>
      </c>
      <c r="L486" s="17" t="str">
        <f t="shared" si="4"/>
        <v/>
      </c>
      <c r="M486" s="1">
        <f>value(SUBSTITUTE(IFERROR(VLOOKUP(A486,'Certifications achievements vs '!A:G,6,false),""),"#","")
)</f>
        <v>0</v>
      </c>
      <c r="N486" s="1">
        <f>value(SUBSTITUTE(IFERROR(VLOOKUP(A486,'Certifications achievements vs '!A:G,7,false),""),"#","")
)</f>
        <v>0</v>
      </c>
      <c r="O486" s="17" t="str">
        <f t="shared" si="5"/>
        <v/>
      </c>
      <c r="P486" s="1">
        <f>value(SUBSTITUTE(IFERROR(VLOOKUP(A486,'Communications - Solution Speci'!A:G,6,false),""),"#","")
)</f>
        <v>0</v>
      </c>
      <c r="Q486" s="1">
        <f>value(SUBSTITUTE(IFERROR(VLOOKUP(A486,'Communications - Solution Speci'!A:G,7,false),""),"#","")
)</f>
        <v>0</v>
      </c>
      <c r="R486" s="17" t="str">
        <f t="shared" si="6"/>
        <v/>
      </c>
      <c r="S486" s="1">
        <f>value(SUBSTITUTE(IFERROR(VLOOKUP(A486,'Networking - Solution Specializ'!A:G,6,false),""),"#","")
)</f>
        <v>0</v>
      </c>
      <c r="T486" s="1">
        <f>value(SUBSTITUTE(IFERROR(VLOOKUP(A486,'Networking - Solution Specializ'!A:G,7,false),""),"#","")
)</f>
        <v>0</v>
      </c>
      <c r="U486" s="17" t="str">
        <f t="shared" si="7"/>
        <v/>
      </c>
      <c r="V486" s="1" t="str">
        <f>iferror(vlookup(A486,'Marketing Plan (extract summary'!A:G,6,false),"")</f>
        <v/>
      </c>
      <c r="W486" s="1" t="str">
        <f>iferror(vlookup(A486,'Marketing Plan (extract summary'!A:G,7,false),"")</f>
        <v/>
      </c>
      <c r="X486" s="17" t="str">
        <f t="shared" si="8"/>
        <v/>
      </c>
      <c r="Y486" s="1">
        <f>value(IFERROR(SUBSTITUTE(SUBSTITUTE(VLOOKUP(A486,'Quarterly Pipeline vs Target Pi'!A:G,6,false)," $","")," €",""), "")
)</f>
        <v>0</v>
      </c>
      <c r="Z486" s="1">
        <f>value(IFERROR(SUBSTITUTE(SUBSTITUTE(VLOOKUP(A486,'Quarterly Pipeline vs Target Pi'!A:G,7,false)," $","")," €",""), "")
)</f>
        <v>0</v>
      </c>
      <c r="AA486" s="17" t="str">
        <f t="shared" si="9"/>
        <v/>
      </c>
      <c r="AB486" s="1">
        <f>value(IFERROR(SUBSTITUTE(SUBSTITUTE(VLOOKUP($A486,'Quarterly Pipeline vs Target Pi'!$A:$V,11,false)," $","")," €",""), "")
)</f>
        <v>0</v>
      </c>
      <c r="AC486" s="1">
        <f>value(IFERROR(SUBSTITUTE(SUBSTITUTE(VLOOKUP($A486,'Quarterly Pipeline vs Target Pi'!$A:$V,12,false)," $","")," €",""), "")
)</f>
        <v>0</v>
      </c>
      <c r="AD486" s="17" t="str">
        <f t="shared" si="10"/>
        <v/>
      </c>
      <c r="AE486" s="1">
        <f>value(IFERROR(SUBSTITUTE(SUBSTITUTE(VLOOKUP($A486,'Quarterly Pipeline vs Target Pi'!$A:$V,16,false)," $","")," €",""), "")
)</f>
        <v>0</v>
      </c>
      <c r="AF486" s="1">
        <f>value(IFERROR(SUBSTITUTE(SUBSTITUTE(VLOOKUP($A486,'Quarterly Pipeline vs Target Pi'!$A:$V,17,false)," $","")," €",""), "")
)</f>
        <v>0</v>
      </c>
      <c r="AG486" s="17" t="str">
        <f t="shared" si="11"/>
        <v/>
      </c>
      <c r="AH486" s="1">
        <f>value(IFERROR(SUBSTITUTE(SUBSTITUTE(VLOOKUP($A486,'Quarterly Pipeline vs Target Pi'!$A:$V,21,false)," $","")," €",""), "")
)</f>
        <v>0</v>
      </c>
      <c r="AI486" s="1">
        <f>value(IFERROR(SUBSTITUTE(SUBSTITUTE(VLOOKUP($A486,'Quarterly Pipeline vs Target Pi'!$A:$V,22,false)," $","")," €",""), "")
)</f>
        <v>0</v>
      </c>
      <c r="AJ486" s="17" t="str">
        <f t="shared" si="12"/>
        <v/>
      </c>
      <c r="AK486" s="1">
        <f t="shared" ref="AK486:AL486" si="985">sum(Y486,AB486,AE486,AH486)</f>
        <v>0</v>
      </c>
      <c r="AL486" s="1">
        <f t="shared" si="985"/>
        <v>0</v>
      </c>
      <c r="AM486" s="17" t="str">
        <f t="shared" si="14"/>
        <v/>
      </c>
      <c r="AN486" s="1">
        <f>value(IFERROR(SUBSTITUTE(SUBSTITUTE(VLOOKUP($A486,'Quarterly Pipeline vs Target Pi'!$A:$AP,26,false)," $","")," €",""), "")
)</f>
        <v>0</v>
      </c>
      <c r="AO486" s="1">
        <f>value(IFERROR(SUBSTITUTE(SUBSTITUTE(VLOOKUP($A486,'Quarterly Pipeline vs Target Pi'!$A:$AP,27,false)," $","")," €",""), "")
)</f>
        <v>0</v>
      </c>
      <c r="AP486" s="17" t="str">
        <f t="shared" si="15"/>
        <v/>
      </c>
      <c r="AQ486" s="1">
        <f>value(IFERROR(SUBSTITUTE(SUBSTITUTE(VLOOKUP($A486,'Quarterly Pipeline vs Target Pi'!$A:$AP,31,false)," $","")," €",""), "")
)</f>
        <v>0</v>
      </c>
      <c r="AR486" s="1">
        <f>value(IFERROR(SUBSTITUTE(SUBSTITUTE(VLOOKUP($A486,'Quarterly Pipeline vs Target Pi'!$A:$AP,32,false)," $","")," €",""), "")
)</f>
        <v>0</v>
      </c>
      <c r="AS486" s="17" t="str">
        <f t="shared" si="16"/>
        <v/>
      </c>
      <c r="AT486" s="1">
        <f>value(IFERROR(SUBSTITUTE(SUBSTITUTE(VLOOKUP($A486,'Quarterly Pipeline vs Target Pi'!$A:$AP,36,false)," $","")," €",""), "")
)</f>
        <v>0</v>
      </c>
      <c r="AU486" s="1">
        <f>value(IFERROR(SUBSTITUTE(SUBSTITUTE(VLOOKUP($A486,'Quarterly Pipeline vs Target Pi'!$A:$AP,37,false)," $","")," €",""), "")
)</f>
        <v>0</v>
      </c>
      <c r="AV486" s="17" t="str">
        <f t="shared" si="17"/>
        <v/>
      </c>
      <c r="AW486" s="1">
        <f>value(IFERROR(SUBSTITUTE(SUBSTITUTE(VLOOKUP($A486,'Quarterly Pipeline vs Target Pi'!$A:$AP,41,false)," $","")," €",""), "")
)</f>
        <v>0</v>
      </c>
      <c r="AX486" s="1">
        <f>value(IFERROR(SUBSTITUTE(SUBSTITUTE(VLOOKUP($A486,'Quarterly Pipeline vs Target Pi'!$A:$AP,42,false)," $","")," €",""), "")
)</f>
        <v>0</v>
      </c>
      <c r="AY486" s="17" t="str">
        <f t="shared" si="18"/>
        <v/>
      </c>
      <c r="AZ486" s="1">
        <f t="shared" ref="AZ486:BA486" si="986">sum(AN486,AQ486,AT486,AW486)</f>
        <v>0</v>
      </c>
      <c r="BA486" s="1">
        <f t="shared" si="986"/>
        <v>0</v>
      </c>
      <c r="BB486" s="17" t="str">
        <f t="shared" si="20"/>
        <v/>
      </c>
    </row>
    <row r="487">
      <c r="A487" s="1" t="str">
        <f>IFERROR(__xludf.DUMMYFUNCTION("""COMPUTED_VALUE"""),"63fcbb7da107c871cf5645e3")</f>
        <v>63fcbb7da107c871cf5645e3</v>
      </c>
      <c r="B487" s="1" t="str">
        <f>IFERROR(__xludf.DUMMYFUNCTION("""COMPUTED_VALUE"""),"WPI SOLUÇÕES EM TECNOLOGIA LTDA")</f>
        <v>WPI SOLUÇÕES EM TECNOLOGIA LTDA</v>
      </c>
      <c r="C487" s="1" t="str">
        <f>IFERROR(__xludf.DUMMYFUNCTION("""COMPUTED_VALUE"""),"renato-takashi.yoshizako@al-enterprise.com")</f>
        <v>renato-takashi.yoshizako@al-enterprise.com</v>
      </c>
      <c r="D487" s="1" t="str">
        <f>IFERROR(__xludf.DUMMYFUNCTION("""COMPUTED_VALUE"""),"americas")</f>
        <v>americas</v>
      </c>
      <c r="E487" s="1" t="str">
        <f>IFERROR(__xludf.DUMMYFUNCTION("""COMPUTED_VALUE"""),"BR")</f>
        <v>BR</v>
      </c>
      <c r="F487" s="1"/>
      <c r="G487" s="1" t="str">
        <f>iferror(VLOOKUP(A487,'Business Plan Setup and Accepta'!A:G,6,false),"")</f>
        <v/>
      </c>
      <c r="H487" s="1" t="str">
        <f>iferror(VLOOKUP(A487,'Business Plan Setup and Accepta'!A:G,7,false),"")</f>
        <v/>
      </c>
      <c r="I487" s="17" t="str">
        <f t="shared" si="3"/>
        <v/>
      </c>
      <c r="J487" s="1" t="str">
        <f>IFERROR(VALUE(SUBSTITUTE(VLOOKUP(A487,'Sales IN Revenues vs Sales targ'!A:G,6,false)," $","")), "")
</f>
        <v/>
      </c>
      <c r="K487" s="1" t="str">
        <f>IFERROR(VALUE(SUBSTITUTE(VLOOKUP(A487,'Sales IN Revenues vs Sales targ'!A:G,7,false)," $","")), "")
</f>
        <v/>
      </c>
      <c r="L487" s="17" t="str">
        <f t="shared" si="4"/>
        <v/>
      </c>
      <c r="M487" s="1">
        <f>value(SUBSTITUTE(IFERROR(VLOOKUP(A487,'Certifications achievements vs '!A:G,6,false),""),"#","")
)</f>
        <v>0</v>
      </c>
      <c r="N487" s="1">
        <f>value(SUBSTITUTE(IFERROR(VLOOKUP(A487,'Certifications achievements vs '!A:G,7,false),""),"#","")
)</f>
        <v>0</v>
      </c>
      <c r="O487" s="17" t="str">
        <f t="shared" si="5"/>
        <v/>
      </c>
      <c r="P487" s="1">
        <f>value(SUBSTITUTE(IFERROR(VLOOKUP(A487,'Communications - Solution Speci'!A:G,6,false),""),"#","")
)</f>
        <v>0</v>
      </c>
      <c r="Q487" s="1">
        <f>value(SUBSTITUTE(IFERROR(VLOOKUP(A487,'Communications - Solution Speci'!A:G,7,false),""),"#","")
)</f>
        <v>0</v>
      </c>
      <c r="R487" s="17" t="str">
        <f t="shared" si="6"/>
        <v/>
      </c>
      <c r="S487" s="1">
        <f>value(SUBSTITUTE(IFERROR(VLOOKUP(A487,'Networking - Solution Specializ'!A:G,6,false),""),"#","")
)</f>
        <v>0</v>
      </c>
      <c r="T487" s="1">
        <f>value(SUBSTITUTE(IFERROR(VLOOKUP(A487,'Networking - Solution Specializ'!A:G,7,false),""),"#","")
)</f>
        <v>0</v>
      </c>
      <c r="U487" s="17" t="str">
        <f t="shared" si="7"/>
        <v/>
      </c>
      <c r="V487" s="1" t="str">
        <f>iferror(vlookup(A487,'Marketing Plan (extract summary'!A:G,6,false),"")</f>
        <v/>
      </c>
      <c r="W487" s="1" t="str">
        <f>iferror(vlookup(A487,'Marketing Plan (extract summary'!A:G,7,false),"")</f>
        <v/>
      </c>
      <c r="X487" s="17" t="str">
        <f t="shared" si="8"/>
        <v/>
      </c>
      <c r="Y487" s="1">
        <f>value(IFERROR(SUBSTITUTE(SUBSTITUTE(VLOOKUP(A487,'Quarterly Pipeline vs Target Pi'!A:G,6,false)," $","")," €",""), "")
)</f>
        <v>0</v>
      </c>
      <c r="Z487" s="1">
        <f>value(IFERROR(SUBSTITUTE(SUBSTITUTE(VLOOKUP(A487,'Quarterly Pipeline vs Target Pi'!A:G,7,false)," $","")," €",""), "")
)</f>
        <v>0</v>
      </c>
      <c r="AA487" s="17" t="str">
        <f t="shared" si="9"/>
        <v/>
      </c>
      <c r="AB487" s="1">
        <f>value(IFERROR(SUBSTITUTE(SUBSTITUTE(VLOOKUP($A487,'Quarterly Pipeline vs Target Pi'!$A:$V,11,false)," $","")," €",""), "")
)</f>
        <v>0</v>
      </c>
      <c r="AC487" s="1">
        <f>value(IFERROR(SUBSTITUTE(SUBSTITUTE(VLOOKUP($A487,'Quarterly Pipeline vs Target Pi'!$A:$V,12,false)," $","")," €",""), "")
)</f>
        <v>0</v>
      </c>
      <c r="AD487" s="17" t="str">
        <f t="shared" si="10"/>
        <v/>
      </c>
      <c r="AE487" s="1">
        <f>value(IFERROR(SUBSTITUTE(SUBSTITUTE(VLOOKUP($A487,'Quarterly Pipeline vs Target Pi'!$A:$V,16,false)," $","")," €",""), "")
)</f>
        <v>0</v>
      </c>
      <c r="AF487" s="1">
        <f>value(IFERROR(SUBSTITUTE(SUBSTITUTE(VLOOKUP($A487,'Quarterly Pipeline vs Target Pi'!$A:$V,17,false)," $","")," €",""), "")
)</f>
        <v>0</v>
      </c>
      <c r="AG487" s="17" t="str">
        <f t="shared" si="11"/>
        <v/>
      </c>
      <c r="AH487" s="1">
        <f>value(IFERROR(SUBSTITUTE(SUBSTITUTE(VLOOKUP($A487,'Quarterly Pipeline vs Target Pi'!$A:$V,21,false)," $","")," €",""), "")
)</f>
        <v>0</v>
      </c>
      <c r="AI487" s="1">
        <f>value(IFERROR(SUBSTITUTE(SUBSTITUTE(VLOOKUP($A487,'Quarterly Pipeline vs Target Pi'!$A:$V,22,false)," $","")," €",""), "")
)</f>
        <v>0</v>
      </c>
      <c r="AJ487" s="17" t="str">
        <f t="shared" si="12"/>
        <v/>
      </c>
      <c r="AK487" s="1">
        <f t="shared" ref="AK487:AL487" si="987">sum(Y487,AB487,AE487,AH487)</f>
        <v>0</v>
      </c>
      <c r="AL487" s="1">
        <f t="shared" si="987"/>
        <v>0</v>
      </c>
      <c r="AM487" s="17" t="str">
        <f t="shared" si="14"/>
        <v/>
      </c>
      <c r="AN487" s="1">
        <f>value(IFERROR(SUBSTITUTE(SUBSTITUTE(VLOOKUP($A487,'Quarterly Pipeline vs Target Pi'!$A:$AP,26,false)," $","")," €",""), "")
)</f>
        <v>0</v>
      </c>
      <c r="AO487" s="1">
        <f>value(IFERROR(SUBSTITUTE(SUBSTITUTE(VLOOKUP($A487,'Quarterly Pipeline vs Target Pi'!$A:$AP,27,false)," $","")," €",""), "")
)</f>
        <v>0</v>
      </c>
      <c r="AP487" s="17" t="str">
        <f t="shared" si="15"/>
        <v/>
      </c>
      <c r="AQ487" s="1">
        <f>value(IFERROR(SUBSTITUTE(SUBSTITUTE(VLOOKUP($A487,'Quarterly Pipeline vs Target Pi'!$A:$AP,31,false)," $","")," €",""), "")
)</f>
        <v>0</v>
      </c>
      <c r="AR487" s="1">
        <f>value(IFERROR(SUBSTITUTE(SUBSTITUTE(VLOOKUP($A487,'Quarterly Pipeline vs Target Pi'!$A:$AP,32,false)," $","")," €",""), "")
)</f>
        <v>0</v>
      </c>
      <c r="AS487" s="17" t="str">
        <f t="shared" si="16"/>
        <v/>
      </c>
      <c r="AT487" s="1">
        <f>value(IFERROR(SUBSTITUTE(SUBSTITUTE(VLOOKUP($A487,'Quarterly Pipeline vs Target Pi'!$A:$AP,36,false)," $","")," €",""), "")
)</f>
        <v>0</v>
      </c>
      <c r="AU487" s="1">
        <f>value(IFERROR(SUBSTITUTE(SUBSTITUTE(VLOOKUP($A487,'Quarterly Pipeline vs Target Pi'!$A:$AP,37,false)," $","")," €",""), "")
)</f>
        <v>0</v>
      </c>
      <c r="AV487" s="17" t="str">
        <f t="shared" si="17"/>
        <v/>
      </c>
      <c r="AW487" s="1">
        <f>value(IFERROR(SUBSTITUTE(SUBSTITUTE(VLOOKUP($A487,'Quarterly Pipeline vs Target Pi'!$A:$AP,41,false)," $","")," €",""), "")
)</f>
        <v>0</v>
      </c>
      <c r="AX487" s="1">
        <f>value(IFERROR(SUBSTITUTE(SUBSTITUTE(VLOOKUP($A487,'Quarterly Pipeline vs Target Pi'!$A:$AP,42,false)," $","")," €",""), "")
)</f>
        <v>0</v>
      </c>
      <c r="AY487" s="17" t="str">
        <f t="shared" si="18"/>
        <v/>
      </c>
      <c r="AZ487" s="1">
        <f t="shared" ref="AZ487:BA487" si="988">sum(AN487,AQ487,AT487,AW487)</f>
        <v>0</v>
      </c>
      <c r="BA487" s="1">
        <f t="shared" si="988"/>
        <v>0</v>
      </c>
      <c r="BB487" s="17" t="str">
        <f t="shared" si="20"/>
        <v/>
      </c>
    </row>
    <row r="488">
      <c r="A488" s="1" t="str">
        <f>IFERROR(__xludf.DUMMYFUNCTION("""COMPUTED_VALUE"""),"63fcbb83a107c871cf56510b")</f>
        <v>63fcbb83a107c871cf56510b</v>
      </c>
      <c r="B488" s="1" t="str">
        <f>IFERROR(__xludf.DUMMYFUNCTION("""COMPUTED_VALUE"""),"Zech Sicherheitstechnik GmbH")</f>
        <v>Zech Sicherheitstechnik GmbH</v>
      </c>
      <c r="C488" s="1" t="str">
        <f>IFERROR(__xludf.DUMMYFUNCTION("""COMPUTED_VALUE"""),"marcel.marx@al-enterprise.com")</f>
        <v>marcel.marx@al-enterprise.com</v>
      </c>
      <c r="D488" s="1" t="str">
        <f>IFERROR(__xludf.DUMMYFUNCTION("""COMPUTED_VALUE"""),"germany")</f>
        <v>germany</v>
      </c>
      <c r="E488" s="1" t="str">
        <f>IFERROR(__xludf.DUMMYFUNCTION("""COMPUTED_VALUE"""),"DE")</f>
        <v>DE</v>
      </c>
      <c r="F488" s="1"/>
      <c r="G488" s="1" t="str">
        <f>iferror(VLOOKUP(A488,'Business Plan Setup and Accepta'!A:G,6,false),"")</f>
        <v/>
      </c>
      <c r="H488" s="1" t="str">
        <f>iferror(VLOOKUP(A488,'Business Plan Setup and Accepta'!A:G,7,false),"")</f>
        <v/>
      </c>
      <c r="I488" s="17" t="str">
        <f t="shared" si="3"/>
        <v/>
      </c>
      <c r="J488" s="1" t="str">
        <f>IFERROR(VALUE(SUBSTITUTE(VLOOKUP(A488,'Sales IN Revenues vs Sales targ'!A:G,6,false)," $","")), "")
</f>
        <v/>
      </c>
      <c r="K488" s="1" t="str">
        <f>IFERROR(VALUE(SUBSTITUTE(VLOOKUP(A488,'Sales IN Revenues vs Sales targ'!A:G,7,false)," $","")), "")
</f>
        <v/>
      </c>
      <c r="L488" s="17" t="str">
        <f t="shared" si="4"/>
        <v/>
      </c>
      <c r="M488" s="1">
        <f>value(SUBSTITUTE(IFERROR(VLOOKUP(A488,'Certifications achievements vs '!A:G,6,false),""),"#","")
)</f>
        <v>0</v>
      </c>
      <c r="N488" s="1">
        <f>value(SUBSTITUTE(IFERROR(VLOOKUP(A488,'Certifications achievements vs '!A:G,7,false),""),"#","")
)</f>
        <v>0</v>
      </c>
      <c r="O488" s="17" t="str">
        <f t="shared" si="5"/>
        <v/>
      </c>
      <c r="P488" s="1">
        <f>value(SUBSTITUTE(IFERROR(VLOOKUP(A488,'Communications - Solution Speci'!A:G,6,false),""),"#","")
)</f>
        <v>0</v>
      </c>
      <c r="Q488" s="1">
        <f>value(SUBSTITUTE(IFERROR(VLOOKUP(A488,'Communications - Solution Speci'!A:G,7,false),""),"#","")
)</f>
        <v>0</v>
      </c>
      <c r="R488" s="17" t="str">
        <f t="shared" si="6"/>
        <v/>
      </c>
      <c r="S488" s="1">
        <f>value(SUBSTITUTE(IFERROR(VLOOKUP(A488,'Networking - Solution Specializ'!A:G,6,false),""),"#","")
)</f>
        <v>0</v>
      </c>
      <c r="T488" s="1">
        <f>value(SUBSTITUTE(IFERROR(VLOOKUP(A488,'Networking - Solution Specializ'!A:G,7,false),""),"#","")
)</f>
        <v>0</v>
      </c>
      <c r="U488" s="17" t="str">
        <f t="shared" si="7"/>
        <v/>
      </c>
      <c r="V488" s="1" t="str">
        <f>iferror(vlookup(A488,'Marketing Plan (extract summary'!A:G,6,false),"")</f>
        <v/>
      </c>
      <c r="W488" s="1" t="str">
        <f>iferror(vlookup(A488,'Marketing Plan (extract summary'!A:G,7,false),"")</f>
        <v/>
      </c>
      <c r="X488" s="17" t="str">
        <f t="shared" si="8"/>
        <v/>
      </c>
      <c r="Y488" s="1">
        <f>value(IFERROR(SUBSTITUTE(SUBSTITUTE(VLOOKUP(A488,'Quarterly Pipeline vs Target Pi'!A:G,6,false)," $","")," €",""), "")
)</f>
        <v>0</v>
      </c>
      <c r="Z488" s="1">
        <f>value(IFERROR(SUBSTITUTE(SUBSTITUTE(VLOOKUP(A488,'Quarterly Pipeline vs Target Pi'!A:G,7,false)," $","")," €",""), "")
)</f>
        <v>0</v>
      </c>
      <c r="AA488" s="17" t="str">
        <f t="shared" si="9"/>
        <v/>
      </c>
      <c r="AB488" s="1">
        <f>value(IFERROR(SUBSTITUTE(SUBSTITUTE(VLOOKUP($A488,'Quarterly Pipeline vs Target Pi'!$A:$V,11,false)," $","")," €",""), "")
)</f>
        <v>0</v>
      </c>
      <c r="AC488" s="1">
        <f>value(IFERROR(SUBSTITUTE(SUBSTITUTE(VLOOKUP($A488,'Quarterly Pipeline vs Target Pi'!$A:$V,12,false)," $","")," €",""), "")
)</f>
        <v>0</v>
      </c>
      <c r="AD488" s="17" t="str">
        <f t="shared" si="10"/>
        <v/>
      </c>
      <c r="AE488" s="1">
        <f>value(IFERROR(SUBSTITUTE(SUBSTITUTE(VLOOKUP($A488,'Quarterly Pipeline vs Target Pi'!$A:$V,16,false)," $","")," €",""), "")
)</f>
        <v>0</v>
      </c>
      <c r="AF488" s="1">
        <f>value(IFERROR(SUBSTITUTE(SUBSTITUTE(VLOOKUP($A488,'Quarterly Pipeline vs Target Pi'!$A:$V,17,false)," $","")," €",""), "")
)</f>
        <v>0</v>
      </c>
      <c r="AG488" s="17" t="str">
        <f t="shared" si="11"/>
        <v/>
      </c>
      <c r="AH488" s="1">
        <f>value(IFERROR(SUBSTITUTE(SUBSTITUTE(VLOOKUP($A488,'Quarterly Pipeline vs Target Pi'!$A:$V,21,false)," $","")," €",""), "")
)</f>
        <v>0</v>
      </c>
      <c r="AI488" s="1">
        <f>value(IFERROR(SUBSTITUTE(SUBSTITUTE(VLOOKUP($A488,'Quarterly Pipeline vs Target Pi'!$A:$V,22,false)," $","")," €",""), "")
)</f>
        <v>0</v>
      </c>
      <c r="AJ488" s="17" t="str">
        <f t="shared" si="12"/>
        <v/>
      </c>
      <c r="AK488" s="1">
        <f t="shared" ref="AK488:AL488" si="989">sum(Y488,AB488,AE488,AH488)</f>
        <v>0</v>
      </c>
      <c r="AL488" s="1">
        <f t="shared" si="989"/>
        <v>0</v>
      </c>
      <c r="AM488" s="17" t="str">
        <f t="shared" si="14"/>
        <v/>
      </c>
      <c r="AN488" s="1">
        <f>value(IFERROR(SUBSTITUTE(SUBSTITUTE(VLOOKUP($A488,'Quarterly Pipeline vs Target Pi'!$A:$AP,26,false)," $","")," €",""), "")
)</f>
        <v>0</v>
      </c>
      <c r="AO488" s="1">
        <f>value(IFERROR(SUBSTITUTE(SUBSTITUTE(VLOOKUP($A488,'Quarterly Pipeline vs Target Pi'!$A:$AP,27,false)," $","")," €",""), "")
)</f>
        <v>0</v>
      </c>
      <c r="AP488" s="17" t="str">
        <f t="shared" si="15"/>
        <v/>
      </c>
      <c r="AQ488" s="1">
        <f>value(IFERROR(SUBSTITUTE(SUBSTITUTE(VLOOKUP($A488,'Quarterly Pipeline vs Target Pi'!$A:$AP,31,false)," $","")," €",""), "")
)</f>
        <v>0</v>
      </c>
      <c r="AR488" s="1">
        <f>value(IFERROR(SUBSTITUTE(SUBSTITUTE(VLOOKUP($A488,'Quarterly Pipeline vs Target Pi'!$A:$AP,32,false)," $","")," €",""), "")
)</f>
        <v>0</v>
      </c>
      <c r="AS488" s="17" t="str">
        <f t="shared" si="16"/>
        <v/>
      </c>
      <c r="AT488" s="1">
        <f>value(IFERROR(SUBSTITUTE(SUBSTITUTE(VLOOKUP($A488,'Quarterly Pipeline vs Target Pi'!$A:$AP,36,false)," $","")," €",""), "")
)</f>
        <v>0</v>
      </c>
      <c r="AU488" s="1">
        <f>value(IFERROR(SUBSTITUTE(SUBSTITUTE(VLOOKUP($A488,'Quarterly Pipeline vs Target Pi'!$A:$AP,37,false)," $","")," €",""), "")
)</f>
        <v>0</v>
      </c>
      <c r="AV488" s="17" t="str">
        <f t="shared" si="17"/>
        <v/>
      </c>
      <c r="AW488" s="1">
        <f>value(IFERROR(SUBSTITUTE(SUBSTITUTE(VLOOKUP($A488,'Quarterly Pipeline vs Target Pi'!$A:$AP,41,false)," $","")," €",""), "")
)</f>
        <v>0</v>
      </c>
      <c r="AX488" s="1">
        <f>value(IFERROR(SUBSTITUTE(SUBSTITUTE(VLOOKUP($A488,'Quarterly Pipeline vs Target Pi'!$A:$AP,42,false)," $","")," €",""), "")
)</f>
        <v>0</v>
      </c>
      <c r="AY488" s="17" t="str">
        <f t="shared" si="18"/>
        <v/>
      </c>
      <c r="AZ488" s="1">
        <f t="shared" ref="AZ488:BA488" si="990">sum(AN488,AQ488,AT488,AW488)</f>
        <v>0</v>
      </c>
      <c r="BA488" s="1">
        <f t="shared" si="990"/>
        <v>0</v>
      </c>
      <c r="BB488" s="17" t="str">
        <f t="shared" si="20"/>
        <v/>
      </c>
    </row>
    <row r="489">
      <c r="G489" s="1" t="str">
        <f>iferror(VLOOKUP(A489,'Business Plan Setup and Accepta'!A:G,6,false),"")</f>
        <v/>
      </c>
      <c r="H489" s="1" t="str">
        <f>iferror(VLOOKUP(A489,'Business Plan Setup and Accepta'!A:G,7,false),"")</f>
        <v/>
      </c>
      <c r="I489" s="17" t="str">
        <f t="shared" si="3"/>
        <v/>
      </c>
      <c r="J489" s="1" t="str">
        <f>IFERROR(VALUE(SUBSTITUTE(VLOOKUP(A489,'Sales IN Revenues vs Sales targ'!A:G,6,false)," $","")), "")
</f>
        <v/>
      </c>
      <c r="K489" s="1" t="str">
        <f>IFERROR(VALUE(SUBSTITUTE(VLOOKUP(A489,'Sales IN Revenues vs Sales targ'!A:G,7,false)," $","")), "")
</f>
        <v/>
      </c>
      <c r="L489" s="17" t="str">
        <f t="shared" si="4"/>
        <v/>
      </c>
      <c r="M489" s="1">
        <f>value(SUBSTITUTE(IFERROR(VLOOKUP(A489,'Certifications achievements vs '!A:G,6,false),""),"#","")
)</f>
        <v>0</v>
      </c>
      <c r="N489" s="1">
        <f>value(SUBSTITUTE(IFERROR(VLOOKUP(A489,'Certifications achievements vs '!A:G,7,false),""),"#","")
)</f>
        <v>0</v>
      </c>
      <c r="O489" s="17" t="str">
        <f t="shared" si="5"/>
        <v/>
      </c>
      <c r="P489" s="1">
        <f>value(SUBSTITUTE(IFERROR(VLOOKUP(A489,'Communications - Solution Speci'!A:G,6,false),""),"#","")
)</f>
        <v>0</v>
      </c>
      <c r="Q489" s="1">
        <f>value(SUBSTITUTE(IFERROR(VLOOKUP(A489,'Communications - Solution Speci'!A:G,7,false),""),"#","")
)</f>
        <v>0</v>
      </c>
      <c r="R489" s="17" t="str">
        <f t="shared" si="6"/>
        <v/>
      </c>
      <c r="S489" s="1">
        <f>value(SUBSTITUTE(IFERROR(VLOOKUP(A489,'Networking - Solution Specializ'!A:G,6,false),""),"#","")
)</f>
        <v>0</v>
      </c>
      <c r="T489" s="1">
        <f>value(SUBSTITUTE(IFERROR(VLOOKUP(A489,'Networking - Solution Specializ'!A:G,7,false),""),"#","")
)</f>
        <v>0</v>
      </c>
      <c r="U489" s="17" t="str">
        <f t="shared" si="7"/>
        <v/>
      </c>
      <c r="V489" s="1" t="str">
        <f>iferror(vlookup(A489,'Marketing Plan (extract summary'!A:G,6,false),"")</f>
        <v/>
      </c>
      <c r="W489" s="1" t="str">
        <f>iferror(vlookup(A489,'Marketing Plan (extract summary'!A:G,7,false),"")</f>
        <v/>
      </c>
      <c r="X489" s="17" t="str">
        <f t="shared" si="8"/>
        <v/>
      </c>
      <c r="Y489" s="1">
        <f>value(IFERROR(SUBSTITUTE(SUBSTITUTE(VLOOKUP(A489,'Quarterly Pipeline vs Target Pi'!A:G,6,false)," $","")," €",""), "")
)</f>
        <v>0</v>
      </c>
      <c r="Z489" s="1">
        <f>value(IFERROR(SUBSTITUTE(SUBSTITUTE(VLOOKUP(A489,'Quarterly Pipeline vs Target Pi'!A:G,7,false)," $","")," €",""), "")
)</f>
        <v>0</v>
      </c>
      <c r="AA489" s="17" t="str">
        <f t="shared" si="9"/>
        <v/>
      </c>
      <c r="AB489" s="1">
        <f>value(IFERROR(SUBSTITUTE(SUBSTITUTE(VLOOKUP($A489,'Quarterly Pipeline vs Target Pi'!$A:$V,11,false)," $","")," €",""), "")
)</f>
        <v>0</v>
      </c>
      <c r="AC489" s="1">
        <f>value(IFERROR(SUBSTITUTE(SUBSTITUTE(VLOOKUP($A489,'Quarterly Pipeline vs Target Pi'!$A:$V,12,false)," $","")," €",""), "")
)</f>
        <v>0</v>
      </c>
      <c r="AD489" s="17" t="str">
        <f t="shared" si="10"/>
        <v/>
      </c>
      <c r="AE489" s="1">
        <f>value(IFERROR(SUBSTITUTE(SUBSTITUTE(VLOOKUP($A489,'Quarterly Pipeline vs Target Pi'!$A:$V,16,false)," $","")," €",""), "")
)</f>
        <v>0</v>
      </c>
      <c r="AF489" s="1">
        <f>value(IFERROR(SUBSTITUTE(SUBSTITUTE(VLOOKUP($A489,'Quarterly Pipeline vs Target Pi'!$A:$V,17,false)," $","")," €",""), "")
)</f>
        <v>0</v>
      </c>
      <c r="AG489" s="17" t="str">
        <f t="shared" si="11"/>
        <v/>
      </c>
      <c r="AH489" s="1">
        <f>value(IFERROR(SUBSTITUTE(SUBSTITUTE(VLOOKUP($A489,'Quarterly Pipeline vs Target Pi'!$A:$V,21,false)," $","")," €",""), "")
)</f>
        <v>0</v>
      </c>
      <c r="AI489" s="1">
        <f>value(IFERROR(SUBSTITUTE(SUBSTITUTE(VLOOKUP($A489,'Quarterly Pipeline vs Target Pi'!$A:$V,22,false)," $","")," €",""), "")
)</f>
        <v>0</v>
      </c>
      <c r="AJ489" s="17" t="str">
        <f t="shared" si="12"/>
        <v/>
      </c>
      <c r="AK489" s="1">
        <f t="shared" ref="AK489:AL489" si="991">sum(Y489,AB489,AE489,AH489)</f>
        <v>0</v>
      </c>
      <c r="AL489" s="1">
        <f t="shared" si="991"/>
        <v>0</v>
      </c>
      <c r="AM489" s="17" t="str">
        <f t="shared" si="14"/>
        <v/>
      </c>
      <c r="AN489" s="1">
        <f>value(IFERROR(SUBSTITUTE(SUBSTITUTE(VLOOKUP($A489,'Quarterly Pipeline vs Target Pi'!$A:$AP,26,false)," $","")," €",""), "")
)</f>
        <v>0</v>
      </c>
      <c r="AO489" s="1">
        <f>value(IFERROR(SUBSTITUTE(SUBSTITUTE(VLOOKUP($A489,'Quarterly Pipeline vs Target Pi'!$A:$AP,27,false)," $","")," €",""), "")
)</f>
        <v>0</v>
      </c>
      <c r="AP489" s="17" t="str">
        <f t="shared" si="15"/>
        <v/>
      </c>
      <c r="AQ489" s="1">
        <f>value(IFERROR(SUBSTITUTE(SUBSTITUTE(VLOOKUP($A489,'Quarterly Pipeline vs Target Pi'!$A:$AP,31,false)," $","")," €",""), "")
)</f>
        <v>0</v>
      </c>
      <c r="AR489" s="1">
        <f>value(IFERROR(SUBSTITUTE(SUBSTITUTE(VLOOKUP($A489,'Quarterly Pipeline vs Target Pi'!$A:$AP,32,false)," $","")," €",""), "")
)</f>
        <v>0</v>
      </c>
      <c r="AS489" s="17" t="str">
        <f t="shared" si="16"/>
        <v/>
      </c>
      <c r="AT489" s="1">
        <f>value(IFERROR(SUBSTITUTE(SUBSTITUTE(VLOOKUP($A489,'Quarterly Pipeline vs Target Pi'!$A:$AP,36,false)," $","")," €",""), "")
)</f>
        <v>0</v>
      </c>
      <c r="AU489" s="1">
        <f>value(IFERROR(SUBSTITUTE(SUBSTITUTE(VLOOKUP($A489,'Quarterly Pipeline vs Target Pi'!$A:$AP,37,false)," $","")," €",""), "")
)</f>
        <v>0</v>
      </c>
      <c r="AV489" s="17" t="str">
        <f t="shared" si="17"/>
        <v/>
      </c>
      <c r="AW489" s="1">
        <f>value(IFERROR(SUBSTITUTE(SUBSTITUTE(VLOOKUP($A489,'Quarterly Pipeline vs Target Pi'!$A:$AP,41,false)," $","")," €",""), "")
)</f>
        <v>0</v>
      </c>
      <c r="AX489" s="1">
        <f>value(IFERROR(SUBSTITUTE(SUBSTITUTE(VLOOKUP($A489,'Quarterly Pipeline vs Target Pi'!$A:$AP,42,false)," $","")," €",""), "")
)</f>
        <v>0</v>
      </c>
      <c r="AY489" s="17" t="str">
        <f t="shared" si="18"/>
        <v/>
      </c>
      <c r="AZ489" s="1">
        <f t="shared" ref="AZ489:BA489" si="992">sum(AN489,AQ489,AT489,AW489)</f>
        <v>0</v>
      </c>
      <c r="BA489" s="1">
        <f t="shared" si="992"/>
        <v>0</v>
      </c>
      <c r="BB489" s="17" t="str">
        <f t="shared" si="20"/>
        <v/>
      </c>
    </row>
    <row r="490">
      <c r="G490" s="1" t="str">
        <f>iferror(VLOOKUP(A490,'Business Plan Setup and Accepta'!A:G,6,false),"")</f>
        <v/>
      </c>
      <c r="H490" s="1" t="str">
        <f>iferror(VLOOKUP(A490,'Business Plan Setup and Accepta'!A:G,7,false),"")</f>
        <v/>
      </c>
      <c r="I490" s="17" t="str">
        <f t="shared" si="3"/>
        <v/>
      </c>
      <c r="J490" s="1" t="str">
        <f>IFERROR(VALUE(SUBSTITUTE(VLOOKUP(A490,'Sales IN Revenues vs Sales targ'!A:G,6,false)," $","")), "")
</f>
        <v/>
      </c>
      <c r="K490" s="1" t="str">
        <f>IFERROR(VALUE(SUBSTITUTE(VLOOKUP(A490,'Sales IN Revenues vs Sales targ'!A:G,7,false)," $","")), "")
</f>
        <v/>
      </c>
      <c r="L490" s="17" t="str">
        <f t="shared" si="4"/>
        <v/>
      </c>
      <c r="M490" s="1">
        <f>value(SUBSTITUTE(IFERROR(VLOOKUP(A490,'Certifications achievements vs '!A:G,6,false),""),"#","")
)</f>
        <v>0</v>
      </c>
      <c r="N490" s="1">
        <f>value(SUBSTITUTE(IFERROR(VLOOKUP(A490,'Certifications achievements vs '!A:G,7,false),""),"#","")
)</f>
        <v>0</v>
      </c>
      <c r="O490" s="17" t="str">
        <f t="shared" si="5"/>
        <v/>
      </c>
      <c r="P490" s="1">
        <f>value(SUBSTITUTE(IFERROR(VLOOKUP(A490,'Communications - Solution Speci'!A:G,6,false),""),"#","")
)</f>
        <v>0</v>
      </c>
      <c r="Q490" s="1">
        <f>value(SUBSTITUTE(IFERROR(VLOOKUP(A490,'Communications - Solution Speci'!A:G,7,false),""),"#","")
)</f>
        <v>0</v>
      </c>
      <c r="R490" s="17" t="str">
        <f t="shared" si="6"/>
        <v/>
      </c>
      <c r="S490" s="1">
        <f>value(SUBSTITUTE(IFERROR(VLOOKUP(A490,'Networking - Solution Specializ'!A:G,6,false),""),"#","")
)</f>
        <v>0</v>
      </c>
      <c r="T490" s="1">
        <f>value(SUBSTITUTE(IFERROR(VLOOKUP(A490,'Networking - Solution Specializ'!A:G,7,false),""),"#","")
)</f>
        <v>0</v>
      </c>
      <c r="U490" s="17" t="str">
        <f t="shared" si="7"/>
        <v/>
      </c>
      <c r="V490" s="1" t="str">
        <f>iferror(vlookup(A490,'Marketing Plan (extract summary'!A:G,6,false),"")</f>
        <v/>
      </c>
      <c r="W490" s="1" t="str">
        <f>iferror(vlookup(A490,'Marketing Plan (extract summary'!A:G,7,false),"")</f>
        <v/>
      </c>
      <c r="X490" s="17" t="str">
        <f t="shared" si="8"/>
        <v/>
      </c>
      <c r="Y490" s="1">
        <f>value(IFERROR(SUBSTITUTE(SUBSTITUTE(VLOOKUP(A490,'Quarterly Pipeline vs Target Pi'!A:G,6,false)," $","")," €",""), "")
)</f>
        <v>0</v>
      </c>
      <c r="Z490" s="1">
        <f>value(IFERROR(SUBSTITUTE(SUBSTITUTE(VLOOKUP(A490,'Quarterly Pipeline vs Target Pi'!A:G,7,false)," $","")," €",""), "")
)</f>
        <v>0</v>
      </c>
      <c r="AA490" s="17" t="str">
        <f t="shared" si="9"/>
        <v/>
      </c>
      <c r="AB490" s="1">
        <f>value(IFERROR(SUBSTITUTE(SUBSTITUTE(VLOOKUP($A490,'Quarterly Pipeline vs Target Pi'!$A:$V,11,false)," $","")," €",""), "")
)</f>
        <v>0</v>
      </c>
      <c r="AC490" s="1">
        <f>value(IFERROR(SUBSTITUTE(SUBSTITUTE(VLOOKUP($A490,'Quarterly Pipeline vs Target Pi'!$A:$V,12,false)," $","")," €",""), "")
)</f>
        <v>0</v>
      </c>
      <c r="AD490" s="17" t="str">
        <f t="shared" si="10"/>
        <v/>
      </c>
      <c r="AE490" s="1">
        <f>value(IFERROR(SUBSTITUTE(SUBSTITUTE(VLOOKUP($A490,'Quarterly Pipeline vs Target Pi'!$A:$V,16,false)," $","")," €",""), "")
)</f>
        <v>0</v>
      </c>
      <c r="AF490" s="1">
        <f>value(IFERROR(SUBSTITUTE(SUBSTITUTE(VLOOKUP($A490,'Quarterly Pipeline vs Target Pi'!$A:$V,17,false)," $","")," €",""), "")
)</f>
        <v>0</v>
      </c>
      <c r="AG490" s="17" t="str">
        <f t="shared" si="11"/>
        <v/>
      </c>
      <c r="AH490" s="1">
        <f>value(IFERROR(SUBSTITUTE(SUBSTITUTE(VLOOKUP($A490,'Quarterly Pipeline vs Target Pi'!$A:$V,21,false)," $","")," €",""), "")
)</f>
        <v>0</v>
      </c>
      <c r="AI490" s="1">
        <f>value(IFERROR(SUBSTITUTE(SUBSTITUTE(VLOOKUP($A490,'Quarterly Pipeline vs Target Pi'!$A:$V,22,false)," $","")," €",""), "")
)</f>
        <v>0</v>
      </c>
      <c r="AJ490" s="17" t="str">
        <f t="shared" si="12"/>
        <v/>
      </c>
      <c r="AK490" s="1">
        <f t="shared" ref="AK490:AL490" si="993">sum(Y490,AB490,AE490,AH490)</f>
        <v>0</v>
      </c>
      <c r="AL490" s="1">
        <f t="shared" si="993"/>
        <v>0</v>
      </c>
      <c r="AM490" s="17" t="str">
        <f t="shared" si="14"/>
        <v/>
      </c>
      <c r="AN490" s="1">
        <f>value(IFERROR(SUBSTITUTE(SUBSTITUTE(VLOOKUP($A490,'Quarterly Pipeline vs Target Pi'!$A:$AP,26,false)," $","")," €",""), "")
)</f>
        <v>0</v>
      </c>
      <c r="AO490" s="1">
        <f>value(IFERROR(SUBSTITUTE(SUBSTITUTE(VLOOKUP($A490,'Quarterly Pipeline vs Target Pi'!$A:$AP,27,false)," $","")," €",""), "")
)</f>
        <v>0</v>
      </c>
      <c r="AP490" s="17" t="str">
        <f t="shared" si="15"/>
        <v/>
      </c>
      <c r="AQ490" s="1">
        <f>value(IFERROR(SUBSTITUTE(SUBSTITUTE(VLOOKUP($A490,'Quarterly Pipeline vs Target Pi'!$A:$AP,31,false)," $","")," €",""), "")
)</f>
        <v>0</v>
      </c>
      <c r="AR490" s="1">
        <f>value(IFERROR(SUBSTITUTE(SUBSTITUTE(VLOOKUP($A490,'Quarterly Pipeline vs Target Pi'!$A:$AP,32,false)," $","")," €",""), "")
)</f>
        <v>0</v>
      </c>
      <c r="AS490" s="17" t="str">
        <f t="shared" si="16"/>
        <v/>
      </c>
      <c r="AT490" s="1">
        <f>value(IFERROR(SUBSTITUTE(SUBSTITUTE(VLOOKUP($A490,'Quarterly Pipeline vs Target Pi'!$A:$AP,36,false)," $","")," €",""), "")
)</f>
        <v>0</v>
      </c>
      <c r="AU490" s="1">
        <f>value(IFERROR(SUBSTITUTE(SUBSTITUTE(VLOOKUP($A490,'Quarterly Pipeline vs Target Pi'!$A:$AP,37,false)," $","")," €",""), "")
)</f>
        <v>0</v>
      </c>
      <c r="AV490" s="17" t="str">
        <f t="shared" si="17"/>
        <v/>
      </c>
      <c r="AW490" s="1">
        <f>value(IFERROR(SUBSTITUTE(SUBSTITUTE(VLOOKUP($A490,'Quarterly Pipeline vs Target Pi'!$A:$AP,41,false)," $","")," €",""), "")
)</f>
        <v>0</v>
      </c>
      <c r="AX490" s="1">
        <f>value(IFERROR(SUBSTITUTE(SUBSTITUTE(VLOOKUP($A490,'Quarterly Pipeline vs Target Pi'!$A:$AP,42,false)," $","")," €",""), "")
)</f>
        <v>0</v>
      </c>
      <c r="AY490" s="17" t="str">
        <f t="shared" si="18"/>
        <v/>
      </c>
      <c r="AZ490" s="1">
        <f t="shared" ref="AZ490:BA490" si="994">sum(AN490,AQ490,AT490,AW490)</f>
        <v>0</v>
      </c>
      <c r="BA490" s="1">
        <f t="shared" si="994"/>
        <v>0</v>
      </c>
      <c r="BB490" s="17" t="str">
        <f t="shared" si="20"/>
        <v/>
      </c>
    </row>
    <row r="491">
      <c r="G491" s="1" t="str">
        <f>iferror(VLOOKUP(A491,'Business Plan Setup and Accepta'!A:G,6,false),"")</f>
        <v/>
      </c>
      <c r="H491" s="1" t="str">
        <f>iferror(VLOOKUP(A491,'Business Plan Setup and Accepta'!A:G,7,false),"")</f>
        <v/>
      </c>
      <c r="I491" s="17" t="str">
        <f t="shared" si="3"/>
        <v/>
      </c>
      <c r="J491" s="1" t="str">
        <f>IFERROR(VALUE(SUBSTITUTE(VLOOKUP(A491,'Sales IN Revenues vs Sales targ'!A:G,6,false)," $","")), "")
</f>
        <v/>
      </c>
      <c r="K491" s="1" t="str">
        <f>IFERROR(VALUE(SUBSTITUTE(VLOOKUP(A491,'Sales IN Revenues vs Sales targ'!A:G,7,false)," $","")), "")
</f>
        <v/>
      </c>
      <c r="L491" s="17" t="str">
        <f t="shared" si="4"/>
        <v/>
      </c>
      <c r="M491" s="1">
        <f>value(SUBSTITUTE(IFERROR(VLOOKUP(A491,'Certifications achievements vs '!A:G,6,false),""),"#","")
)</f>
        <v>0</v>
      </c>
      <c r="N491" s="1">
        <f>value(SUBSTITUTE(IFERROR(VLOOKUP(A491,'Certifications achievements vs '!A:G,7,false),""),"#","")
)</f>
        <v>0</v>
      </c>
      <c r="O491" s="17" t="str">
        <f t="shared" si="5"/>
        <v/>
      </c>
      <c r="P491" s="1">
        <f>value(SUBSTITUTE(IFERROR(VLOOKUP(A491,'Communications - Solution Speci'!A:G,6,false),""),"#","")
)</f>
        <v>0</v>
      </c>
      <c r="Q491" s="1">
        <f>value(SUBSTITUTE(IFERROR(VLOOKUP(A491,'Communications - Solution Speci'!A:G,7,false),""),"#","")
)</f>
        <v>0</v>
      </c>
      <c r="R491" s="17" t="str">
        <f t="shared" si="6"/>
        <v/>
      </c>
      <c r="S491" s="1">
        <f>value(SUBSTITUTE(IFERROR(VLOOKUP(A491,'Networking - Solution Specializ'!A:G,6,false),""),"#","")
)</f>
        <v>0</v>
      </c>
      <c r="T491" s="1">
        <f>value(SUBSTITUTE(IFERROR(VLOOKUP(A491,'Networking - Solution Specializ'!A:G,7,false),""),"#","")
)</f>
        <v>0</v>
      </c>
      <c r="U491" s="17" t="str">
        <f t="shared" si="7"/>
        <v/>
      </c>
      <c r="V491" s="1" t="str">
        <f>iferror(vlookup(A491,'Marketing Plan (extract summary'!A:G,6,false),"")</f>
        <v/>
      </c>
      <c r="W491" s="1" t="str">
        <f>iferror(vlookup(A491,'Marketing Plan (extract summary'!A:G,7,false),"")</f>
        <v/>
      </c>
      <c r="X491" s="17" t="str">
        <f t="shared" si="8"/>
        <v/>
      </c>
      <c r="Y491" s="1">
        <f>value(IFERROR(SUBSTITUTE(SUBSTITUTE(VLOOKUP(A491,'Quarterly Pipeline vs Target Pi'!A:G,6,false)," $","")," €",""), "")
)</f>
        <v>0</v>
      </c>
      <c r="Z491" s="1">
        <f>value(IFERROR(SUBSTITUTE(SUBSTITUTE(VLOOKUP(A491,'Quarterly Pipeline vs Target Pi'!A:G,7,false)," $","")," €",""), "")
)</f>
        <v>0</v>
      </c>
      <c r="AA491" s="17" t="str">
        <f t="shared" si="9"/>
        <v/>
      </c>
      <c r="AB491" s="1">
        <f>value(IFERROR(SUBSTITUTE(SUBSTITUTE(VLOOKUP($A491,'Quarterly Pipeline vs Target Pi'!$A:$V,11,false)," $","")," €",""), "")
)</f>
        <v>0</v>
      </c>
      <c r="AC491" s="1">
        <f>value(IFERROR(SUBSTITUTE(SUBSTITUTE(VLOOKUP($A491,'Quarterly Pipeline vs Target Pi'!$A:$V,12,false)," $","")," €",""), "")
)</f>
        <v>0</v>
      </c>
      <c r="AD491" s="17" t="str">
        <f t="shared" si="10"/>
        <v/>
      </c>
      <c r="AE491" s="1">
        <f>value(IFERROR(SUBSTITUTE(SUBSTITUTE(VLOOKUP($A491,'Quarterly Pipeline vs Target Pi'!$A:$V,16,false)," $","")," €",""), "")
)</f>
        <v>0</v>
      </c>
      <c r="AF491" s="1">
        <f>value(IFERROR(SUBSTITUTE(SUBSTITUTE(VLOOKUP($A491,'Quarterly Pipeline vs Target Pi'!$A:$V,17,false)," $","")," €",""), "")
)</f>
        <v>0</v>
      </c>
      <c r="AG491" s="17" t="str">
        <f t="shared" si="11"/>
        <v/>
      </c>
      <c r="AH491" s="1">
        <f>value(IFERROR(SUBSTITUTE(SUBSTITUTE(VLOOKUP($A491,'Quarterly Pipeline vs Target Pi'!$A:$V,21,false)," $","")," €",""), "")
)</f>
        <v>0</v>
      </c>
      <c r="AI491" s="1">
        <f>value(IFERROR(SUBSTITUTE(SUBSTITUTE(VLOOKUP($A491,'Quarterly Pipeline vs Target Pi'!$A:$V,22,false)," $","")," €",""), "")
)</f>
        <v>0</v>
      </c>
      <c r="AJ491" s="17" t="str">
        <f t="shared" si="12"/>
        <v/>
      </c>
      <c r="AK491" s="1">
        <f t="shared" ref="AK491:AL491" si="995">sum(Y491,AB491,AE491,AH491)</f>
        <v>0</v>
      </c>
      <c r="AL491" s="1">
        <f t="shared" si="995"/>
        <v>0</v>
      </c>
      <c r="AM491" s="17" t="str">
        <f t="shared" si="14"/>
        <v/>
      </c>
      <c r="AN491" s="1">
        <f>value(IFERROR(SUBSTITUTE(SUBSTITUTE(VLOOKUP($A491,'Quarterly Pipeline vs Target Pi'!$A:$AP,26,false)," $","")," €",""), "")
)</f>
        <v>0</v>
      </c>
      <c r="AO491" s="1">
        <f>value(IFERROR(SUBSTITUTE(SUBSTITUTE(VLOOKUP($A491,'Quarterly Pipeline vs Target Pi'!$A:$AP,27,false)," $","")," €",""), "")
)</f>
        <v>0</v>
      </c>
      <c r="AP491" s="17" t="str">
        <f t="shared" si="15"/>
        <v/>
      </c>
      <c r="AQ491" s="1">
        <f>value(IFERROR(SUBSTITUTE(SUBSTITUTE(VLOOKUP($A491,'Quarterly Pipeline vs Target Pi'!$A:$AP,31,false)," $","")," €",""), "")
)</f>
        <v>0</v>
      </c>
      <c r="AR491" s="1">
        <f>value(IFERROR(SUBSTITUTE(SUBSTITUTE(VLOOKUP($A491,'Quarterly Pipeline vs Target Pi'!$A:$AP,32,false)," $","")," €",""), "")
)</f>
        <v>0</v>
      </c>
      <c r="AS491" s="17" t="str">
        <f t="shared" si="16"/>
        <v/>
      </c>
      <c r="AT491" s="1">
        <f>value(IFERROR(SUBSTITUTE(SUBSTITUTE(VLOOKUP($A491,'Quarterly Pipeline vs Target Pi'!$A:$AP,36,false)," $","")," €",""), "")
)</f>
        <v>0</v>
      </c>
      <c r="AU491" s="1">
        <f>value(IFERROR(SUBSTITUTE(SUBSTITUTE(VLOOKUP($A491,'Quarterly Pipeline vs Target Pi'!$A:$AP,37,false)," $","")," €",""), "")
)</f>
        <v>0</v>
      </c>
      <c r="AV491" s="17" t="str">
        <f t="shared" si="17"/>
        <v/>
      </c>
      <c r="AW491" s="1">
        <f>value(IFERROR(SUBSTITUTE(SUBSTITUTE(VLOOKUP($A491,'Quarterly Pipeline vs Target Pi'!$A:$AP,41,false)," $","")," €",""), "")
)</f>
        <v>0</v>
      </c>
      <c r="AX491" s="1">
        <f>value(IFERROR(SUBSTITUTE(SUBSTITUTE(VLOOKUP($A491,'Quarterly Pipeline vs Target Pi'!$A:$AP,42,false)," $","")," €",""), "")
)</f>
        <v>0</v>
      </c>
      <c r="AY491" s="17" t="str">
        <f t="shared" si="18"/>
        <v/>
      </c>
      <c r="AZ491" s="1">
        <f t="shared" ref="AZ491:BA491" si="996">sum(AN491,AQ491,AT491,AW491)</f>
        <v>0</v>
      </c>
      <c r="BA491" s="1">
        <f t="shared" si="996"/>
        <v>0</v>
      </c>
      <c r="BB491" s="17" t="str">
        <f t="shared" si="20"/>
        <v/>
      </c>
    </row>
    <row r="492">
      <c r="G492" s="1" t="str">
        <f>iferror(VLOOKUP(A492,'Business Plan Setup and Accepta'!A:G,6,false),"")</f>
        <v/>
      </c>
      <c r="H492" s="1" t="str">
        <f>iferror(VLOOKUP(A492,'Business Plan Setup and Accepta'!A:G,7,false),"")</f>
        <v/>
      </c>
      <c r="I492" s="17" t="str">
        <f t="shared" si="3"/>
        <v/>
      </c>
      <c r="J492" s="1" t="str">
        <f>IFERROR(VALUE(SUBSTITUTE(VLOOKUP(A492,'Sales IN Revenues vs Sales targ'!A:G,6,false)," $","")), "")
</f>
        <v/>
      </c>
      <c r="K492" s="1" t="str">
        <f>IFERROR(VALUE(SUBSTITUTE(VLOOKUP(A492,'Sales IN Revenues vs Sales targ'!A:G,7,false)," $","")), "")
</f>
        <v/>
      </c>
      <c r="L492" s="17" t="str">
        <f t="shared" si="4"/>
        <v/>
      </c>
      <c r="M492" s="1">
        <f>value(SUBSTITUTE(IFERROR(VLOOKUP(A492,'Certifications achievements vs '!A:G,6,false),""),"#","")
)</f>
        <v>0</v>
      </c>
      <c r="N492" s="1">
        <f>value(SUBSTITUTE(IFERROR(VLOOKUP(A492,'Certifications achievements vs '!A:G,7,false),""),"#","")
)</f>
        <v>0</v>
      </c>
      <c r="O492" s="17" t="str">
        <f t="shared" si="5"/>
        <v/>
      </c>
      <c r="P492" s="1">
        <f>value(SUBSTITUTE(IFERROR(VLOOKUP(A492,'Communications - Solution Speci'!A:G,6,false),""),"#","")
)</f>
        <v>0</v>
      </c>
      <c r="Q492" s="1">
        <f>value(SUBSTITUTE(IFERROR(VLOOKUP(A492,'Communications - Solution Speci'!A:G,7,false),""),"#","")
)</f>
        <v>0</v>
      </c>
      <c r="R492" s="17" t="str">
        <f t="shared" si="6"/>
        <v/>
      </c>
      <c r="S492" s="1">
        <f>value(SUBSTITUTE(IFERROR(VLOOKUP(A492,'Networking - Solution Specializ'!A:G,6,false),""),"#","")
)</f>
        <v>0</v>
      </c>
      <c r="T492" s="1">
        <f>value(SUBSTITUTE(IFERROR(VLOOKUP(A492,'Networking - Solution Specializ'!A:G,7,false),""),"#","")
)</f>
        <v>0</v>
      </c>
      <c r="U492" s="17" t="str">
        <f t="shared" si="7"/>
        <v/>
      </c>
      <c r="V492" s="1" t="str">
        <f>iferror(vlookup(A492,'Marketing Plan (extract summary'!A:G,6,false),"")</f>
        <v/>
      </c>
      <c r="W492" s="1" t="str">
        <f>iferror(vlookup(A492,'Marketing Plan (extract summary'!A:G,7,false),"")</f>
        <v/>
      </c>
      <c r="X492" s="17" t="str">
        <f t="shared" si="8"/>
        <v/>
      </c>
      <c r="Y492" s="1">
        <f>value(IFERROR(SUBSTITUTE(SUBSTITUTE(VLOOKUP(A492,'Quarterly Pipeline vs Target Pi'!A:G,6,false)," $","")," €",""), "")
)</f>
        <v>0</v>
      </c>
      <c r="Z492" s="1">
        <f>value(IFERROR(SUBSTITUTE(SUBSTITUTE(VLOOKUP(A492,'Quarterly Pipeline vs Target Pi'!A:G,7,false)," $","")," €",""), "")
)</f>
        <v>0</v>
      </c>
      <c r="AA492" s="17" t="str">
        <f t="shared" si="9"/>
        <v/>
      </c>
      <c r="AB492" s="1">
        <f>value(IFERROR(SUBSTITUTE(SUBSTITUTE(VLOOKUP($A492,'Quarterly Pipeline vs Target Pi'!$A:$V,11,false)," $","")," €",""), "")
)</f>
        <v>0</v>
      </c>
      <c r="AC492" s="1">
        <f>value(IFERROR(SUBSTITUTE(SUBSTITUTE(VLOOKUP($A492,'Quarterly Pipeline vs Target Pi'!$A:$V,12,false)," $","")," €",""), "")
)</f>
        <v>0</v>
      </c>
      <c r="AD492" s="17" t="str">
        <f t="shared" si="10"/>
        <v/>
      </c>
      <c r="AE492" s="1">
        <f>value(IFERROR(SUBSTITUTE(SUBSTITUTE(VLOOKUP($A492,'Quarterly Pipeline vs Target Pi'!$A:$V,16,false)," $","")," €",""), "")
)</f>
        <v>0</v>
      </c>
      <c r="AF492" s="1">
        <f>value(IFERROR(SUBSTITUTE(SUBSTITUTE(VLOOKUP($A492,'Quarterly Pipeline vs Target Pi'!$A:$V,17,false)," $","")," €",""), "")
)</f>
        <v>0</v>
      </c>
      <c r="AG492" s="17" t="str">
        <f t="shared" si="11"/>
        <v/>
      </c>
      <c r="AH492" s="1">
        <f>value(IFERROR(SUBSTITUTE(SUBSTITUTE(VLOOKUP($A492,'Quarterly Pipeline vs Target Pi'!$A:$V,21,false)," $","")," €",""), "")
)</f>
        <v>0</v>
      </c>
      <c r="AI492" s="1">
        <f>value(IFERROR(SUBSTITUTE(SUBSTITUTE(VLOOKUP($A492,'Quarterly Pipeline vs Target Pi'!$A:$V,22,false)," $","")," €",""), "")
)</f>
        <v>0</v>
      </c>
      <c r="AJ492" s="17" t="str">
        <f t="shared" si="12"/>
        <v/>
      </c>
      <c r="AK492" s="1">
        <f t="shared" ref="AK492:AL492" si="997">sum(Y492,AB492,AE492,AH492)</f>
        <v>0</v>
      </c>
      <c r="AL492" s="1">
        <f t="shared" si="997"/>
        <v>0</v>
      </c>
      <c r="AM492" s="17" t="str">
        <f t="shared" si="14"/>
        <v/>
      </c>
      <c r="AN492" s="1">
        <f>value(IFERROR(SUBSTITUTE(SUBSTITUTE(VLOOKUP($A492,'Quarterly Pipeline vs Target Pi'!$A:$AP,26,false)," $","")," €",""), "")
)</f>
        <v>0</v>
      </c>
      <c r="AO492" s="1">
        <f>value(IFERROR(SUBSTITUTE(SUBSTITUTE(VLOOKUP($A492,'Quarterly Pipeline vs Target Pi'!$A:$AP,27,false)," $","")," €",""), "")
)</f>
        <v>0</v>
      </c>
      <c r="AP492" s="17" t="str">
        <f t="shared" si="15"/>
        <v/>
      </c>
      <c r="AQ492" s="1">
        <f>value(IFERROR(SUBSTITUTE(SUBSTITUTE(VLOOKUP($A492,'Quarterly Pipeline vs Target Pi'!$A:$AP,31,false)," $","")," €",""), "")
)</f>
        <v>0</v>
      </c>
      <c r="AR492" s="1">
        <f>value(IFERROR(SUBSTITUTE(SUBSTITUTE(VLOOKUP($A492,'Quarterly Pipeline vs Target Pi'!$A:$AP,32,false)," $","")," €",""), "")
)</f>
        <v>0</v>
      </c>
      <c r="AS492" s="17" t="str">
        <f t="shared" si="16"/>
        <v/>
      </c>
      <c r="AT492" s="1">
        <f>value(IFERROR(SUBSTITUTE(SUBSTITUTE(VLOOKUP($A492,'Quarterly Pipeline vs Target Pi'!$A:$AP,36,false)," $","")," €",""), "")
)</f>
        <v>0</v>
      </c>
      <c r="AU492" s="1">
        <f>value(IFERROR(SUBSTITUTE(SUBSTITUTE(VLOOKUP($A492,'Quarterly Pipeline vs Target Pi'!$A:$AP,37,false)," $","")," €",""), "")
)</f>
        <v>0</v>
      </c>
      <c r="AV492" s="17" t="str">
        <f t="shared" si="17"/>
        <v/>
      </c>
      <c r="AW492" s="1">
        <f>value(IFERROR(SUBSTITUTE(SUBSTITUTE(VLOOKUP($A492,'Quarterly Pipeline vs Target Pi'!$A:$AP,41,false)," $","")," €",""), "")
)</f>
        <v>0</v>
      </c>
      <c r="AX492" s="1">
        <f>value(IFERROR(SUBSTITUTE(SUBSTITUTE(VLOOKUP($A492,'Quarterly Pipeline vs Target Pi'!$A:$AP,42,false)," $","")," €",""), "")
)</f>
        <v>0</v>
      </c>
      <c r="AY492" s="17" t="str">
        <f t="shared" si="18"/>
        <v/>
      </c>
      <c r="AZ492" s="1">
        <f t="shared" ref="AZ492:BA492" si="998">sum(AN492,AQ492,AT492,AW492)</f>
        <v>0</v>
      </c>
      <c r="BA492" s="1">
        <f t="shared" si="998"/>
        <v>0</v>
      </c>
      <c r="BB492" s="17" t="str">
        <f t="shared" si="20"/>
        <v/>
      </c>
    </row>
    <row r="493">
      <c r="G493" s="1" t="str">
        <f>iferror(VLOOKUP(A493,'Business Plan Setup and Accepta'!A:G,6,false),"")</f>
        <v/>
      </c>
      <c r="H493" s="1" t="str">
        <f>iferror(VLOOKUP(A493,'Business Plan Setup and Accepta'!A:G,7,false),"")</f>
        <v/>
      </c>
      <c r="I493" s="17" t="str">
        <f t="shared" si="3"/>
        <v/>
      </c>
      <c r="J493" s="1" t="str">
        <f>IFERROR(VALUE(SUBSTITUTE(VLOOKUP(A493,'Sales IN Revenues vs Sales targ'!A:G,6,false)," $","")), "")
</f>
        <v/>
      </c>
      <c r="K493" s="1" t="str">
        <f>IFERROR(VALUE(SUBSTITUTE(VLOOKUP(A493,'Sales IN Revenues vs Sales targ'!A:G,7,false)," $","")), "")
</f>
        <v/>
      </c>
      <c r="L493" s="17" t="str">
        <f t="shared" si="4"/>
        <v/>
      </c>
      <c r="M493" s="1">
        <f>value(SUBSTITUTE(IFERROR(VLOOKUP(A493,'Certifications achievements vs '!A:G,6,false),""),"#","")
)</f>
        <v>0</v>
      </c>
      <c r="N493" s="1">
        <f>value(SUBSTITUTE(IFERROR(VLOOKUP(A493,'Certifications achievements vs '!A:G,7,false),""),"#","")
)</f>
        <v>0</v>
      </c>
      <c r="O493" s="17" t="str">
        <f t="shared" si="5"/>
        <v/>
      </c>
      <c r="P493" s="1">
        <f>value(SUBSTITUTE(IFERROR(VLOOKUP(A493,'Communications - Solution Speci'!A:G,6,false),""),"#","")
)</f>
        <v>0</v>
      </c>
      <c r="Q493" s="1">
        <f>value(SUBSTITUTE(IFERROR(VLOOKUP(A493,'Communications - Solution Speci'!A:G,7,false),""),"#","")
)</f>
        <v>0</v>
      </c>
      <c r="R493" s="17" t="str">
        <f t="shared" si="6"/>
        <v/>
      </c>
      <c r="S493" s="1">
        <f>value(SUBSTITUTE(IFERROR(VLOOKUP(A493,'Networking - Solution Specializ'!A:G,6,false),""),"#","")
)</f>
        <v>0</v>
      </c>
      <c r="T493" s="1">
        <f>value(SUBSTITUTE(IFERROR(VLOOKUP(A493,'Networking - Solution Specializ'!A:G,7,false),""),"#","")
)</f>
        <v>0</v>
      </c>
      <c r="U493" s="17" t="str">
        <f t="shared" si="7"/>
        <v/>
      </c>
      <c r="V493" s="1" t="str">
        <f>iferror(vlookup(A493,'Marketing Plan (extract summary'!A:G,6,false),"")</f>
        <v/>
      </c>
      <c r="W493" s="1" t="str">
        <f>iferror(vlookup(A493,'Marketing Plan (extract summary'!A:G,7,false),"")</f>
        <v/>
      </c>
      <c r="X493" s="17" t="str">
        <f t="shared" si="8"/>
        <v/>
      </c>
      <c r="Y493" s="1">
        <f>value(IFERROR(SUBSTITUTE(SUBSTITUTE(VLOOKUP(A493,'Quarterly Pipeline vs Target Pi'!A:G,6,false)," $","")," €",""), "")
)</f>
        <v>0</v>
      </c>
      <c r="Z493" s="1">
        <f>value(IFERROR(SUBSTITUTE(SUBSTITUTE(VLOOKUP(A493,'Quarterly Pipeline vs Target Pi'!A:G,7,false)," $","")," €",""), "")
)</f>
        <v>0</v>
      </c>
      <c r="AA493" s="17" t="str">
        <f t="shared" si="9"/>
        <v/>
      </c>
      <c r="AB493" s="1">
        <f>value(IFERROR(SUBSTITUTE(SUBSTITUTE(VLOOKUP($A493,'Quarterly Pipeline vs Target Pi'!$A:$V,11,false)," $","")," €",""), "")
)</f>
        <v>0</v>
      </c>
      <c r="AC493" s="1">
        <f>value(IFERROR(SUBSTITUTE(SUBSTITUTE(VLOOKUP($A493,'Quarterly Pipeline vs Target Pi'!$A:$V,12,false)," $","")," €",""), "")
)</f>
        <v>0</v>
      </c>
      <c r="AD493" s="17" t="str">
        <f t="shared" si="10"/>
        <v/>
      </c>
      <c r="AE493" s="1">
        <f>value(IFERROR(SUBSTITUTE(SUBSTITUTE(VLOOKUP($A493,'Quarterly Pipeline vs Target Pi'!$A:$V,16,false)," $","")," €",""), "")
)</f>
        <v>0</v>
      </c>
      <c r="AF493" s="1">
        <f>value(IFERROR(SUBSTITUTE(SUBSTITUTE(VLOOKUP($A493,'Quarterly Pipeline vs Target Pi'!$A:$V,17,false)," $","")," €",""), "")
)</f>
        <v>0</v>
      </c>
      <c r="AG493" s="17" t="str">
        <f t="shared" si="11"/>
        <v/>
      </c>
      <c r="AH493" s="1">
        <f>value(IFERROR(SUBSTITUTE(SUBSTITUTE(VLOOKUP($A493,'Quarterly Pipeline vs Target Pi'!$A:$V,21,false)," $","")," €",""), "")
)</f>
        <v>0</v>
      </c>
      <c r="AI493" s="1">
        <f>value(IFERROR(SUBSTITUTE(SUBSTITUTE(VLOOKUP($A493,'Quarterly Pipeline vs Target Pi'!$A:$V,22,false)," $","")," €",""), "")
)</f>
        <v>0</v>
      </c>
      <c r="AJ493" s="17" t="str">
        <f t="shared" si="12"/>
        <v/>
      </c>
      <c r="AK493" s="1">
        <f t="shared" ref="AK493:AL493" si="999">sum(Y493,AB493,AE493,AH493)</f>
        <v>0</v>
      </c>
      <c r="AL493" s="1">
        <f t="shared" si="999"/>
        <v>0</v>
      </c>
      <c r="AM493" s="17" t="str">
        <f t="shared" si="14"/>
        <v/>
      </c>
      <c r="AN493" s="1">
        <f>value(IFERROR(SUBSTITUTE(SUBSTITUTE(VLOOKUP($A493,'Quarterly Pipeline vs Target Pi'!$A:$AP,26,false)," $","")," €",""), "")
)</f>
        <v>0</v>
      </c>
      <c r="AO493" s="1">
        <f>value(IFERROR(SUBSTITUTE(SUBSTITUTE(VLOOKUP($A493,'Quarterly Pipeline vs Target Pi'!$A:$AP,27,false)," $","")," €",""), "")
)</f>
        <v>0</v>
      </c>
      <c r="AP493" s="17" t="str">
        <f t="shared" si="15"/>
        <v/>
      </c>
      <c r="AQ493" s="1">
        <f>value(IFERROR(SUBSTITUTE(SUBSTITUTE(VLOOKUP($A493,'Quarterly Pipeline vs Target Pi'!$A:$AP,31,false)," $","")," €",""), "")
)</f>
        <v>0</v>
      </c>
      <c r="AR493" s="1">
        <f>value(IFERROR(SUBSTITUTE(SUBSTITUTE(VLOOKUP($A493,'Quarterly Pipeline vs Target Pi'!$A:$AP,32,false)," $","")," €",""), "")
)</f>
        <v>0</v>
      </c>
      <c r="AS493" s="17" t="str">
        <f t="shared" si="16"/>
        <v/>
      </c>
      <c r="AT493" s="1">
        <f>value(IFERROR(SUBSTITUTE(SUBSTITUTE(VLOOKUP($A493,'Quarterly Pipeline vs Target Pi'!$A:$AP,36,false)," $","")," €",""), "")
)</f>
        <v>0</v>
      </c>
      <c r="AU493" s="1">
        <f>value(IFERROR(SUBSTITUTE(SUBSTITUTE(VLOOKUP($A493,'Quarterly Pipeline vs Target Pi'!$A:$AP,37,false)," $","")," €",""), "")
)</f>
        <v>0</v>
      </c>
      <c r="AV493" s="17" t="str">
        <f t="shared" si="17"/>
        <v/>
      </c>
      <c r="AW493" s="1">
        <f>value(IFERROR(SUBSTITUTE(SUBSTITUTE(VLOOKUP($A493,'Quarterly Pipeline vs Target Pi'!$A:$AP,41,false)," $","")," €",""), "")
)</f>
        <v>0</v>
      </c>
      <c r="AX493" s="1">
        <f>value(IFERROR(SUBSTITUTE(SUBSTITUTE(VLOOKUP($A493,'Quarterly Pipeline vs Target Pi'!$A:$AP,42,false)," $","")," €",""), "")
)</f>
        <v>0</v>
      </c>
      <c r="AY493" s="17" t="str">
        <f t="shared" si="18"/>
        <v/>
      </c>
      <c r="AZ493" s="1">
        <f t="shared" ref="AZ493:BA493" si="1000">sum(AN493,AQ493,AT493,AW493)</f>
        <v>0</v>
      </c>
      <c r="BA493" s="1">
        <f t="shared" si="1000"/>
        <v>0</v>
      </c>
      <c r="BB493" s="17" t="str">
        <f t="shared" si="20"/>
        <v/>
      </c>
    </row>
    <row r="494">
      <c r="G494" s="1" t="str">
        <f>iferror(VLOOKUP(A494,'Business Plan Setup and Accepta'!A:G,6,false),"")</f>
        <v/>
      </c>
      <c r="H494" s="1" t="str">
        <f>iferror(VLOOKUP(A494,'Business Plan Setup and Accepta'!A:G,7,false),"")</f>
        <v/>
      </c>
      <c r="I494" s="17" t="str">
        <f t="shared" si="3"/>
        <v/>
      </c>
      <c r="J494" s="1" t="str">
        <f>IFERROR(VALUE(SUBSTITUTE(VLOOKUP(A494,'Sales IN Revenues vs Sales targ'!A:G,6,false)," $","")), "")
</f>
        <v/>
      </c>
      <c r="K494" s="1" t="str">
        <f>IFERROR(VALUE(SUBSTITUTE(VLOOKUP(A494,'Sales IN Revenues vs Sales targ'!A:G,7,false)," $","")), "")
</f>
        <v/>
      </c>
      <c r="L494" s="17" t="str">
        <f t="shared" si="4"/>
        <v/>
      </c>
      <c r="M494" s="1">
        <f>value(SUBSTITUTE(IFERROR(VLOOKUP(A494,'Certifications achievements vs '!A:G,6,false),""),"#","")
)</f>
        <v>0</v>
      </c>
      <c r="N494" s="1">
        <f>value(SUBSTITUTE(IFERROR(VLOOKUP(A494,'Certifications achievements vs '!A:G,7,false),""),"#","")
)</f>
        <v>0</v>
      </c>
      <c r="O494" s="17" t="str">
        <f t="shared" si="5"/>
        <v/>
      </c>
      <c r="P494" s="1">
        <f>value(SUBSTITUTE(IFERROR(VLOOKUP(A494,'Communications - Solution Speci'!A:G,6,false),""),"#","")
)</f>
        <v>0</v>
      </c>
      <c r="Q494" s="1">
        <f>value(SUBSTITUTE(IFERROR(VLOOKUP(A494,'Communications - Solution Speci'!A:G,7,false),""),"#","")
)</f>
        <v>0</v>
      </c>
      <c r="R494" s="17" t="str">
        <f t="shared" si="6"/>
        <v/>
      </c>
      <c r="S494" s="1">
        <f>value(SUBSTITUTE(IFERROR(VLOOKUP(A494,'Networking - Solution Specializ'!A:G,6,false),""),"#","")
)</f>
        <v>0</v>
      </c>
      <c r="T494" s="1">
        <f>value(SUBSTITUTE(IFERROR(VLOOKUP(A494,'Networking - Solution Specializ'!A:G,7,false),""),"#","")
)</f>
        <v>0</v>
      </c>
      <c r="U494" s="17" t="str">
        <f t="shared" si="7"/>
        <v/>
      </c>
      <c r="V494" s="1" t="str">
        <f>iferror(vlookup(A494,'Marketing Plan (extract summary'!A:G,6,false),"")</f>
        <v/>
      </c>
      <c r="W494" s="1" t="str">
        <f>iferror(vlookup(A494,'Marketing Plan (extract summary'!A:G,7,false),"")</f>
        <v/>
      </c>
      <c r="X494" s="17" t="str">
        <f t="shared" si="8"/>
        <v/>
      </c>
      <c r="Y494" s="1">
        <f>value(IFERROR(SUBSTITUTE(SUBSTITUTE(VLOOKUP(A494,'Quarterly Pipeline vs Target Pi'!A:G,6,false)," $","")," €",""), "")
)</f>
        <v>0</v>
      </c>
      <c r="Z494" s="1">
        <f>value(IFERROR(SUBSTITUTE(SUBSTITUTE(VLOOKUP(A494,'Quarterly Pipeline vs Target Pi'!A:G,7,false)," $","")," €",""), "")
)</f>
        <v>0</v>
      </c>
      <c r="AA494" s="17" t="str">
        <f t="shared" si="9"/>
        <v/>
      </c>
      <c r="AB494" s="1">
        <f>value(IFERROR(SUBSTITUTE(SUBSTITUTE(VLOOKUP($A494,'Quarterly Pipeline vs Target Pi'!$A:$V,11,false)," $","")," €",""), "")
)</f>
        <v>0</v>
      </c>
      <c r="AC494" s="1">
        <f>value(IFERROR(SUBSTITUTE(SUBSTITUTE(VLOOKUP($A494,'Quarterly Pipeline vs Target Pi'!$A:$V,12,false)," $","")," €",""), "")
)</f>
        <v>0</v>
      </c>
      <c r="AD494" s="17" t="str">
        <f t="shared" si="10"/>
        <v/>
      </c>
      <c r="AE494" s="1">
        <f>value(IFERROR(SUBSTITUTE(SUBSTITUTE(VLOOKUP($A494,'Quarterly Pipeline vs Target Pi'!$A:$V,16,false)," $","")," €",""), "")
)</f>
        <v>0</v>
      </c>
      <c r="AF494" s="1">
        <f>value(IFERROR(SUBSTITUTE(SUBSTITUTE(VLOOKUP($A494,'Quarterly Pipeline vs Target Pi'!$A:$V,17,false)," $","")," €",""), "")
)</f>
        <v>0</v>
      </c>
      <c r="AG494" s="17" t="str">
        <f t="shared" si="11"/>
        <v/>
      </c>
      <c r="AH494" s="1">
        <f>value(IFERROR(SUBSTITUTE(SUBSTITUTE(VLOOKUP($A494,'Quarterly Pipeline vs Target Pi'!$A:$V,21,false)," $","")," €",""), "")
)</f>
        <v>0</v>
      </c>
      <c r="AI494" s="1">
        <f>value(IFERROR(SUBSTITUTE(SUBSTITUTE(VLOOKUP($A494,'Quarterly Pipeline vs Target Pi'!$A:$V,22,false)," $","")," €",""), "")
)</f>
        <v>0</v>
      </c>
      <c r="AJ494" s="17" t="str">
        <f t="shared" si="12"/>
        <v/>
      </c>
      <c r="AK494" s="1">
        <f t="shared" ref="AK494:AL494" si="1001">sum(Y494,AB494,AE494,AH494)</f>
        <v>0</v>
      </c>
      <c r="AL494" s="1">
        <f t="shared" si="1001"/>
        <v>0</v>
      </c>
      <c r="AM494" s="17" t="str">
        <f t="shared" si="14"/>
        <v/>
      </c>
      <c r="AN494" s="1">
        <f>value(IFERROR(SUBSTITUTE(SUBSTITUTE(VLOOKUP($A494,'Quarterly Pipeline vs Target Pi'!$A:$AP,26,false)," $","")," €",""), "")
)</f>
        <v>0</v>
      </c>
      <c r="AO494" s="1">
        <f>value(IFERROR(SUBSTITUTE(SUBSTITUTE(VLOOKUP($A494,'Quarterly Pipeline vs Target Pi'!$A:$AP,27,false)," $","")," €",""), "")
)</f>
        <v>0</v>
      </c>
      <c r="AP494" s="17" t="str">
        <f t="shared" si="15"/>
        <v/>
      </c>
      <c r="AQ494" s="1">
        <f>value(IFERROR(SUBSTITUTE(SUBSTITUTE(VLOOKUP($A494,'Quarterly Pipeline vs Target Pi'!$A:$AP,31,false)," $","")," €",""), "")
)</f>
        <v>0</v>
      </c>
      <c r="AR494" s="1">
        <f>value(IFERROR(SUBSTITUTE(SUBSTITUTE(VLOOKUP($A494,'Quarterly Pipeline vs Target Pi'!$A:$AP,32,false)," $","")," €",""), "")
)</f>
        <v>0</v>
      </c>
      <c r="AS494" s="17" t="str">
        <f t="shared" si="16"/>
        <v/>
      </c>
      <c r="AT494" s="1">
        <f>value(IFERROR(SUBSTITUTE(SUBSTITUTE(VLOOKUP($A494,'Quarterly Pipeline vs Target Pi'!$A:$AP,36,false)," $","")," €",""), "")
)</f>
        <v>0</v>
      </c>
      <c r="AU494" s="1">
        <f>value(IFERROR(SUBSTITUTE(SUBSTITUTE(VLOOKUP($A494,'Quarterly Pipeline vs Target Pi'!$A:$AP,37,false)," $","")," €",""), "")
)</f>
        <v>0</v>
      </c>
      <c r="AV494" s="17" t="str">
        <f t="shared" si="17"/>
        <v/>
      </c>
      <c r="AW494" s="1">
        <f>value(IFERROR(SUBSTITUTE(SUBSTITUTE(VLOOKUP($A494,'Quarterly Pipeline vs Target Pi'!$A:$AP,41,false)," $","")," €",""), "")
)</f>
        <v>0</v>
      </c>
      <c r="AX494" s="1">
        <f>value(IFERROR(SUBSTITUTE(SUBSTITUTE(VLOOKUP($A494,'Quarterly Pipeline vs Target Pi'!$A:$AP,42,false)," $","")," €",""), "")
)</f>
        <v>0</v>
      </c>
      <c r="AY494" s="17" t="str">
        <f t="shared" si="18"/>
        <v/>
      </c>
      <c r="AZ494" s="1">
        <f t="shared" ref="AZ494:BA494" si="1002">sum(AN494,AQ494,AT494,AW494)</f>
        <v>0</v>
      </c>
      <c r="BA494" s="1">
        <f t="shared" si="1002"/>
        <v>0</v>
      </c>
      <c r="BB494" s="17" t="str">
        <f t="shared" si="20"/>
        <v/>
      </c>
    </row>
    <row r="495">
      <c r="G495" s="1" t="str">
        <f>iferror(VLOOKUP(A495,'Business Plan Setup and Accepta'!A:G,6,false),"")</f>
        <v/>
      </c>
      <c r="H495" s="1" t="str">
        <f>iferror(VLOOKUP(A495,'Business Plan Setup and Accepta'!A:G,7,false),"")</f>
        <v/>
      </c>
      <c r="I495" s="17" t="str">
        <f t="shared" si="3"/>
        <v/>
      </c>
      <c r="J495" s="1" t="str">
        <f>IFERROR(VALUE(SUBSTITUTE(VLOOKUP(A495,'Sales IN Revenues vs Sales targ'!A:G,6,false)," $","")), "")
</f>
        <v/>
      </c>
      <c r="K495" s="1" t="str">
        <f>IFERROR(VALUE(SUBSTITUTE(VLOOKUP(A495,'Sales IN Revenues vs Sales targ'!A:G,7,false)," $","")), "")
</f>
        <v/>
      </c>
      <c r="L495" s="17" t="str">
        <f t="shared" si="4"/>
        <v/>
      </c>
      <c r="M495" s="1">
        <f>value(SUBSTITUTE(IFERROR(VLOOKUP(A495,'Certifications achievements vs '!A:G,6,false),""),"#","")
)</f>
        <v>0</v>
      </c>
      <c r="N495" s="1">
        <f>value(SUBSTITUTE(IFERROR(VLOOKUP(A495,'Certifications achievements vs '!A:G,7,false),""),"#","")
)</f>
        <v>0</v>
      </c>
      <c r="O495" s="17" t="str">
        <f t="shared" si="5"/>
        <v/>
      </c>
      <c r="P495" s="1">
        <f>value(SUBSTITUTE(IFERROR(VLOOKUP(A495,'Communications - Solution Speci'!A:G,6,false),""),"#","")
)</f>
        <v>0</v>
      </c>
      <c r="Q495" s="1">
        <f>value(SUBSTITUTE(IFERROR(VLOOKUP(A495,'Communications - Solution Speci'!A:G,7,false),""),"#","")
)</f>
        <v>0</v>
      </c>
      <c r="R495" s="17" t="str">
        <f t="shared" si="6"/>
        <v/>
      </c>
      <c r="S495" s="1">
        <f>value(SUBSTITUTE(IFERROR(VLOOKUP(A495,'Networking - Solution Specializ'!A:G,6,false),""),"#","")
)</f>
        <v>0</v>
      </c>
      <c r="T495" s="1">
        <f>value(SUBSTITUTE(IFERROR(VLOOKUP(A495,'Networking - Solution Specializ'!A:G,7,false),""),"#","")
)</f>
        <v>0</v>
      </c>
      <c r="U495" s="17" t="str">
        <f t="shared" si="7"/>
        <v/>
      </c>
      <c r="V495" s="1" t="str">
        <f>iferror(vlookup(A495,'Marketing Plan (extract summary'!A:G,6,false),"")</f>
        <v/>
      </c>
      <c r="W495" s="1" t="str">
        <f>iferror(vlookup(A495,'Marketing Plan (extract summary'!A:G,7,false),"")</f>
        <v/>
      </c>
      <c r="X495" s="17" t="str">
        <f t="shared" si="8"/>
        <v/>
      </c>
      <c r="Y495" s="1">
        <f>value(IFERROR(SUBSTITUTE(SUBSTITUTE(VLOOKUP(A495,'Quarterly Pipeline vs Target Pi'!A:G,6,false)," $","")," €",""), "")
)</f>
        <v>0</v>
      </c>
      <c r="Z495" s="1">
        <f>value(IFERROR(SUBSTITUTE(SUBSTITUTE(VLOOKUP(A495,'Quarterly Pipeline vs Target Pi'!A:G,7,false)," $","")," €",""), "")
)</f>
        <v>0</v>
      </c>
      <c r="AA495" s="17" t="str">
        <f t="shared" si="9"/>
        <v/>
      </c>
      <c r="AB495" s="1">
        <f>value(IFERROR(SUBSTITUTE(SUBSTITUTE(VLOOKUP($A495,'Quarterly Pipeline vs Target Pi'!$A:$V,11,false)," $","")," €",""), "")
)</f>
        <v>0</v>
      </c>
      <c r="AC495" s="1">
        <f>value(IFERROR(SUBSTITUTE(SUBSTITUTE(VLOOKUP($A495,'Quarterly Pipeline vs Target Pi'!$A:$V,12,false)," $","")," €",""), "")
)</f>
        <v>0</v>
      </c>
      <c r="AD495" s="17" t="str">
        <f t="shared" si="10"/>
        <v/>
      </c>
      <c r="AE495" s="1">
        <f>value(IFERROR(SUBSTITUTE(SUBSTITUTE(VLOOKUP($A495,'Quarterly Pipeline vs Target Pi'!$A:$V,16,false)," $","")," €",""), "")
)</f>
        <v>0</v>
      </c>
      <c r="AF495" s="1">
        <f>value(IFERROR(SUBSTITUTE(SUBSTITUTE(VLOOKUP($A495,'Quarterly Pipeline vs Target Pi'!$A:$V,17,false)," $","")," €",""), "")
)</f>
        <v>0</v>
      </c>
      <c r="AG495" s="17" t="str">
        <f t="shared" si="11"/>
        <v/>
      </c>
      <c r="AH495" s="1">
        <f>value(IFERROR(SUBSTITUTE(SUBSTITUTE(VLOOKUP($A495,'Quarterly Pipeline vs Target Pi'!$A:$V,21,false)," $","")," €",""), "")
)</f>
        <v>0</v>
      </c>
      <c r="AI495" s="1">
        <f>value(IFERROR(SUBSTITUTE(SUBSTITUTE(VLOOKUP($A495,'Quarterly Pipeline vs Target Pi'!$A:$V,22,false)," $","")," €",""), "")
)</f>
        <v>0</v>
      </c>
      <c r="AJ495" s="17" t="str">
        <f t="shared" si="12"/>
        <v/>
      </c>
      <c r="AK495" s="1">
        <f t="shared" ref="AK495:AL495" si="1003">sum(Y495,AB495,AE495,AH495)</f>
        <v>0</v>
      </c>
      <c r="AL495" s="1">
        <f t="shared" si="1003"/>
        <v>0</v>
      </c>
      <c r="AM495" s="17" t="str">
        <f t="shared" si="14"/>
        <v/>
      </c>
      <c r="AN495" s="1">
        <f>value(IFERROR(SUBSTITUTE(SUBSTITUTE(VLOOKUP($A495,'Quarterly Pipeline vs Target Pi'!$A:$AP,26,false)," $","")," €",""), "")
)</f>
        <v>0</v>
      </c>
      <c r="AO495" s="1">
        <f>value(IFERROR(SUBSTITUTE(SUBSTITUTE(VLOOKUP($A495,'Quarterly Pipeline vs Target Pi'!$A:$AP,27,false)," $","")," €",""), "")
)</f>
        <v>0</v>
      </c>
      <c r="AP495" s="17" t="str">
        <f t="shared" si="15"/>
        <v/>
      </c>
      <c r="AQ495" s="1">
        <f>value(IFERROR(SUBSTITUTE(SUBSTITUTE(VLOOKUP($A495,'Quarterly Pipeline vs Target Pi'!$A:$AP,31,false)," $","")," €",""), "")
)</f>
        <v>0</v>
      </c>
      <c r="AR495" s="1">
        <f>value(IFERROR(SUBSTITUTE(SUBSTITUTE(VLOOKUP($A495,'Quarterly Pipeline vs Target Pi'!$A:$AP,32,false)," $","")," €",""), "")
)</f>
        <v>0</v>
      </c>
      <c r="AS495" s="17" t="str">
        <f t="shared" si="16"/>
        <v/>
      </c>
      <c r="AT495" s="1">
        <f>value(IFERROR(SUBSTITUTE(SUBSTITUTE(VLOOKUP($A495,'Quarterly Pipeline vs Target Pi'!$A:$AP,36,false)," $","")," €",""), "")
)</f>
        <v>0</v>
      </c>
      <c r="AU495" s="1">
        <f>value(IFERROR(SUBSTITUTE(SUBSTITUTE(VLOOKUP($A495,'Quarterly Pipeline vs Target Pi'!$A:$AP,37,false)," $","")," €",""), "")
)</f>
        <v>0</v>
      </c>
      <c r="AV495" s="17" t="str">
        <f t="shared" si="17"/>
        <v/>
      </c>
      <c r="AW495" s="1">
        <f>value(IFERROR(SUBSTITUTE(SUBSTITUTE(VLOOKUP($A495,'Quarterly Pipeline vs Target Pi'!$A:$AP,41,false)," $","")," €",""), "")
)</f>
        <v>0</v>
      </c>
      <c r="AX495" s="1">
        <f>value(IFERROR(SUBSTITUTE(SUBSTITUTE(VLOOKUP($A495,'Quarterly Pipeline vs Target Pi'!$A:$AP,42,false)," $","")," €",""), "")
)</f>
        <v>0</v>
      </c>
      <c r="AY495" s="17" t="str">
        <f t="shared" si="18"/>
        <v/>
      </c>
      <c r="AZ495" s="1">
        <f t="shared" ref="AZ495:BA495" si="1004">sum(AN495,AQ495,AT495,AW495)</f>
        <v>0</v>
      </c>
      <c r="BA495" s="1">
        <f t="shared" si="1004"/>
        <v>0</v>
      </c>
      <c r="BB495" s="17" t="str">
        <f t="shared" si="20"/>
        <v/>
      </c>
    </row>
    <row r="496">
      <c r="G496" s="1" t="str">
        <f>iferror(VLOOKUP(A496,'Business Plan Setup and Accepta'!A:G,6,false),"")</f>
        <v/>
      </c>
      <c r="H496" s="1" t="str">
        <f>iferror(VLOOKUP(A496,'Business Plan Setup and Accepta'!A:G,7,false),"")</f>
        <v/>
      </c>
      <c r="I496" s="17" t="str">
        <f t="shared" si="3"/>
        <v/>
      </c>
      <c r="J496" s="1" t="str">
        <f>IFERROR(VALUE(SUBSTITUTE(VLOOKUP(A496,'Sales IN Revenues vs Sales targ'!A:G,6,false)," $","")), "")
</f>
        <v/>
      </c>
      <c r="K496" s="1" t="str">
        <f>IFERROR(VALUE(SUBSTITUTE(VLOOKUP(A496,'Sales IN Revenues vs Sales targ'!A:G,7,false)," $","")), "")
</f>
        <v/>
      </c>
      <c r="L496" s="17" t="str">
        <f t="shared" si="4"/>
        <v/>
      </c>
      <c r="M496" s="1">
        <f>value(SUBSTITUTE(IFERROR(VLOOKUP(A496,'Certifications achievements vs '!A:G,6,false),""),"#","")
)</f>
        <v>0</v>
      </c>
      <c r="N496" s="1">
        <f>value(SUBSTITUTE(IFERROR(VLOOKUP(A496,'Certifications achievements vs '!A:G,7,false),""),"#","")
)</f>
        <v>0</v>
      </c>
      <c r="O496" s="17" t="str">
        <f t="shared" si="5"/>
        <v/>
      </c>
      <c r="P496" s="1">
        <f>value(SUBSTITUTE(IFERROR(VLOOKUP(A496,'Communications - Solution Speci'!A:G,6,false),""),"#","")
)</f>
        <v>0</v>
      </c>
      <c r="Q496" s="1">
        <f>value(SUBSTITUTE(IFERROR(VLOOKUP(A496,'Communications - Solution Speci'!A:G,7,false),""),"#","")
)</f>
        <v>0</v>
      </c>
      <c r="R496" s="17" t="str">
        <f t="shared" si="6"/>
        <v/>
      </c>
      <c r="S496" s="1">
        <f>value(SUBSTITUTE(IFERROR(VLOOKUP(A496,'Networking - Solution Specializ'!A:G,6,false),""),"#","")
)</f>
        <v>0</v>
      </c>
      <c r="T496" s="1">
        <f>value(SUBSTITUTE(IFERROR(VLOOKUP(A496,'Networking - Solution Specializ'!A:G,7,false),""),"#","")
)</f>
        <v>0</v>
      </c>
      <c r="U496" s="17" t="str">
        <f t="shared" si="7"/>
        <v/>
      </c>
      <c r="V496" s="1" t="str">
        <f>iferror(vlookup(A496,'Marketing Plan (extract summary'!A:G,6,false),"")</f>
        <v/>
      </c>
      <c r="W496" s="1" t="str">
        <f>iferror(vlookup(A496,'Marketing Plan (extract summary'!A:G,7,false),"")</f>
        <v/>
      </c>
      <c r="X496" s="17" t="str">
        <f t="shared" si="8"/>
        <v/>
      </c>
      <c r="Y496" s="1">
        <f>value(IFERROR(SUBSTITUTE(SUBSTITUTE(VLOOKUP(A496,'Quarterly Pipeline vs Target Pi'!A:G,6,false)," $","")," €",""), "")
)</f>
        <v>0</v>
      </c>
      <c r="Z496" s="1">
        <f>value(IFERROR(SUBSTITUTE(SUBSTITUTE(VLOOKUP(A496,'Quarterly Pipeline vs Target Pi'!A:G,7,false)," $","")," €",""), "")
)</f>
        <v>0</v>
      </c>
      <c r="AA496" s="17" t="str">
        <f t="shared" si="9"/>
        <v/>
      </c>
      <c r="AB496" s="1">
        <f>value(IFERROR(SUBSTITUTE(SUBSTITUTE(VLOOKUP($A496,'Quarterly Pipeline vs Target Pi'!$A:$V,11,false)," $","")," €",""), "")
)</f>
        <v>0</v>
      </c>
      <c r="AC496" s="1">
        <f>value(IFERROR(SUBSTITUTE(SUBSTITUTE(VLOOKUP($A496,'Quarterly Pipeline vs Target Pi'!$A:$V,12,false)," $","")," €",""), "")
)</f>
        <v>0</v>
      </c>
      <c r="AD496" s="17" t="str">
        <f t="shared" si="10"/>
        <v/>
      </c>
      <c r="AE496" s="1">
        <f>value(IFERROR(SUBSTITUTE(SUBSTITUTE(VLOOKUP($A496,'Quarterly Pipeline vs Target Pi'!$A:$V,16,false)," $","")," €",""), "")
)</f>
        <v>0</v>
      </c>
      <c r="AF496" s="1">
        <f>value(IFERROR(SUBSTITUTE(SUBSTITUTE(VLOOKUP($A496,'Quarterly Pipeline vs Target Pi'!$A:$V,17,false)," $","")," €",""), "")
)</f>
        <v>0</v>
      </c>
      <c r="AG496" s="17" t="str">
        <f t="shared" si="11"/>
        <v/>
      </c>
      <c r="AH496" s="1">
        <f>value(IFERROR(SUBSTITUTE(SUBSTITUTE(VLOOKUP($A496,'Quarterly Pipeline vs Target Pi'!$A:$V,21,false)," $","")," €",""), "")
)</f>
        <v>0</v>
      </c>
      <c r="AI496" s="1">
        <f>value(IFERROR(SUBSTITUTE(SUBSTITUTE(VLOOKUP($A496,'Quarterly Pipeline vs Target Pi'!$A:$V,22,false)," $","")," €",""), "")
)</f>
        <v>0</v>
      </c>
      <c r="AJ496" s="17" t="str">
        <f t="shared" si="12"/>
        <v/>
      </c>
      <c r="AK496" s="1">
        <f t="shared" ref="AK496:AL496" si="1005">sum(Y496,AB496,AE496,AH496)</f>
        <v>0</v>
      </c>
      <c r="AL496" s="1">
        <f t="shared" si="1005"/>
        <v>0</v>
      </c>
      <c r="AM496" s="17" t="str">
        <f t="shared" si="14"/>
        <v/>
      </c>
      <c r="AN496" s="1">
        <f>value(IFERROR(SUBSTITUTE(SUBSTITUTE(VLOOKUP($A496,'Quarterly Pipeline vs Target Pi'!$A:$AP,26,false)," $","")," €",""), "")
)</f>
        <v>0</v>
      </c>
      <c r="AO496" s="1">
        <f>value(IFERROR(SUBSTITUTE(SUBSTITUTE(VLOOKUP($A496,'Quarterly Pipeline vs Target Pi'!$A:$AP,27,false)," $","")," €",""), "")
)</f>
        <v>0</v>
      </c>
      <c r="AP496" s="17" t="str">
        <f t="shared" si="15"/>
        <v/>
      </c>
      <c r="AQ496" s="1">
        <f>value(IFERROR(SUBSTITUTE(SUBSTITUTE(VLOOKUP($A496,'Quarterly Pipeline vs Target Pi'!$A:$AP,31,false)," $","")," €",""), "")
)</f>
        <v>0</v>
      </c>
      <c r="AR496" s="1">
        <f>value(IFERROR(SUBSTITUTE(SUBSTITUTE(VLOOKUP($A496,'Quarterly Pipeline vs Target Pi'!$A:$AP,32,false)," $","")," €",""), "")
)</f>
        <v>0</v>
      </c>
      <c r="AS496" s="17" t="str">
        <f t="shared" si="16"/>
        <v/>
      </c>
      <c r="AT496" s="1">
        <f>value(IFERROR(SUBSTITUTE(SUBSTITUTE(VLOOKUP($A496,'Quarterly Pipeline vs Target Pi'!$A:$AP,36,false)," $","")," €",""), "")
)</f>
        <v>0</v>
      </c>
      <c r="AU496" s="1">
        <f>value(IFERROR(SUBSTITUTE(SUBSTITUTE(VLOOKUP($A496,'Quarterly Pipeline vs Target Pi'!$A:$AP,37,false)," $","")," €",""), "")
)</f>
        <v>0</v>
      </c>
      <c r="AV496" s="17" t="str">
        <f t="shared" si="17"/>
        <v/>
      </c>
      <c r="AW496" s="1">
        <f>value(IFERROR(SUBSTITUTE(SUBSTITUTE(VLOOKUP($A496,'Quarterly Pipeline vs Target Pi'!$A:$AP,41,false)," $","")," €",""), "")
)</f>
        <v>0</v>
      </c>
      <c r="AX496" s="1">
        <f>value(IFERROR(SUBSTITUTE(SUBSTITUTE(VLOOKUP($A496,'Quarterly Pipeline vs Target Pi'!$A:$AP,42,false)," $","")," €",""), "")
)</f>
        <v>0</v>
      </c>
      <c r="AY496" s="17" t="str">
        <f t="shared" si="18"/>
        <v/>
      </c>
      <c r="AZ496" s="1">
        <f t="shared" ref="AZ496:BA496" si="1006">sum(AN496,AQ496,AT496,AW496)</f>
        <v>0</v>
      </c>
      <c r="BA496" s="1">
        <f t="shared" si="1006"/>
        <v>0</v>
      </c>
      <c r="BB496" s="17" t="str">
        <f t="shared" si="20"/>
        <v/>
      </c>
    </row>
    <row r="497">
      <c r="G497" s="1" t="str">
        <f>iferror(VLOOKUP(A497,'Business Plan Setup and Accepta'!A:G,6,false),"")</f>
        <v/>
      </c>
      <c r="H497" s="1" t="str">
        <f>iferror(VLOOKUP(A497,'Business Plan Setup and Accepta'!A:G,7,false),"")</f>
        <v/>
      </c>
      <c r="I497" s="17" t="str">
        <f t="shared" si="3"/>
        <v/>
      </c>
      <c r="J497" s="1" t="str">
        <f>IFERROR(VALUE(SUBSTITUTE(VLOOKUP(A497,'Sales IN Revenues vs Sales targ'!A:G,6,false)," $","")), "")
</f>
        <v/>
      </c>
      <c r="K497" s="1" t="str">
        <f>IFERROR(VALUE(SUBSTITUTE(VLOOKUP(A497,'Sales IN Revenues vs Sales targ'!A:G,7,false)," $","")), "")
</f>
        <v/>
      </c>
      <c r="L497" s="17" t="str">
        <f t="shared" si="4"/>
        <v/>
      </c>
      <c r="M497" s="1">
        <f>value(SUBSTITUTE(IFERROR(VLOOKUP(A497,'Certifications achievements vs '!A:G,6,false),""),"#","")
)</f>
        <v>0</v>
      </c>
      <c r="N497" s="1">
        <f>value(SUBSTITUTE(IFERROR(VLOOKUP(A497,'Certifications achievements vs '!A:G,7,false),""),"#","")
)</f>
        <v>0</v>
      </c>
      <c r="O497" s="17" t="str">
        <f t="shared" si="5"/>
        <v/>
      </c>
      <c r="P497" s="1">
        <f>value(SUBSTITUTE(IFERROR(VLOOKUP(A497,'Communications - Solution Speci'!A:G,6,false),""),"#","")
)</f>
        <v>0</v>
      </c>
      <c r="Q497" s="1">
        <f>value(SUBSTITUTE(IFERROR(VLOOKUP(A497,'Communications - Solution Speci'!A:G,7,false),""),"#","")
)</f>
        <v>0</v>
      </c>
      <c r="R497" s="17" t="str">
        <f t="shared" si="6"/>
        <v/>
      </c>
      <c r="S497" s="1">
        <f>value(SUBSTITUTE(IFERROR(VLOOKUP(A497,'Networking - Solution Specializ'!A:G,6,false),""),"#","")
)</f>
        <v>0</v>
      </c>
      <c r="T497" s="1">
        <f>value(SUBSTITUTE(IFERROR(VLOOKUP(A497,'Networking - Solution Specializ'!A:G,7,false),""),"#","")
)</f>
        <v>0</v>
      </c>
      <c r="U497" s="17" t="str">
        <f t="shared" si="7"/>
        <v/>
      </c>
      <c r="V497" s="1" t="str">
        <f>iferror(vlookup(A497,'Marketing Plan (extract summary'!A:G,6,false),"")</f>
        <v/>
      </c>
      <c r="W497" s="1" t="str">
        <f>iferror(vlookup(A497,'Marketing Plan (extract summary'!A:G,7,false),"")</f>
        <v/>
      </c>
      <c r="X497" s="17" t="str">
        <f t="shared" si="8"/>
        <v/>
      </c>
      <c r="Y497" s="1">
        <f>value(IFERROR(SUBSTITUTE(SUBSTITUTE(VLOOKUP(A497,'Quarterly Pipeline vs Target Pi'!A:G,6,false)," $","")," €",""), "")
)</f>
        <v>0</v>
      </c>
      <c r="Z497" s="1">
        <f>value(IFERROR(SUBSTITUTE(SUBSTITUTE(VLOOKUP(A497,'Quarterly Pipeline vs Target Pi'!A:G,7,false)," $","")," €",""), "")
)</f>
        <v>0</v>
      </c>
      <c r="AA497" s="17" t="str">
        <f t="shared" si="9"/>
        <v/>
      </c>
      <c r="AB497" s="1">
        <f>value(IFERROR(SUBSTITUTE(SUBSTITUTE(VLOOKUP($A497,'Quarterly Pipeline vs Target Pi'!$A:$V,11,false)," $","")," €",""), "")
)</f>
        <v>0</v>
      </c>
      <c r="AC497" s="1">
        <f>value(IFERROR(SUBSTITUTE(SUBSTITUTE(VLOOKUP($A497,'Quarterly Pipeline vs Target Pi'!$A:$V,12,false)," $","")," €",""), "")
)</f>
        <v>0</v>
      </c>
      <c r="AD497" s="17" t="str">
        <f t="shared" si="10"/>
        <v/>
      </c>
      <c r="AE497" s="1">
        <f>value(IFERROR(SUBSTITUTE(SUBSTITUTE(VLOOKUP($A497,'Quarterly Pipeline vs Target Pi'!$A:$V,16,false)," $","")," €",""), "")
)</f>
        <v>0</v>
      </c>
      <c r="AF497" s="1">
        <f>value(IFERROR(SUBSTITUTE(SUBSTITUTE(VLOOKUP($A497,'Quarterly Pipeline vs Target Pi'!$A:$V,17,false)," $","")," €",""), "")
)</f>
        <v>0</v>
      </c>
      <c r="AG497" s="17" t="str">
        <f t="shared" si="11"/>
        <v/>
      </c>
      <c r="AH497" s="1">
        <f>value(IFERROR(SUBSTITUTE(SUBSTITUTE(VLOOKUP($A497,'Quarterly Pipeline vs Target Pi'!$A:$V,21,false)," $","")," €",""), "")
)</f>
        <v>0</v>
      </c>
      <c r="AI497" s="1">
        <f>value(IFERROR(SUBSTITUTE(SUBSTITUTE(VLOOKUP($A497,'Quarterly Pipeline vs Target Pi'!$A:$V,22,false)," $","")," €",""), "")
)</f>
        <v>0</v>
      </c>
      <c r="AJ497" s="17" t="str">
        <f t="shared" si="12"/>
        <v/>
      </c>
      <c r="AK497" s="1">
        <f t="shared" ref="AK497:AL497" si="1007">sum(Y497,AB497,AE497,AH497)</f>
        <v>0</v>
      </c>
      <c r="AL497" s="1">
        <f t="shared" si="1007"/>
        <v>0</v>
      </c>
      <c r="AM497" s="17" t="str">
        <f t="shared" si="14"/>
        <v/>
      </c>
      <c r="AN497" s="1">
        <f>value(IFERROR(SUBSTITUTE(SUBSTITUTE(VLOOKUP($A497,'Quarterly Pipeline vs Target Pi'!$A:$AP,26,false)," $","")," €",""), "")
)</f>
        <v>0</v>
      </c>
      <c r="AO497" s="1">
        <f>value(IFERROR(SUBSTITUTE(SUBSTITUTE(VLOOKUP($A497,'Quarterly Pipeline vs Target Pi'!$A:$AP,27,false)," $","")," €",""), "")
)</f>
        <v>0</v>
      </c>
      <c r="AP497" s="17" t="str">
        <f t="shared" si="15"/>
        <v/>
      </c>
      <c r="AQ497" s="1">
        <f>value(IFERROR(SUBSTITUTE(SUBSTITUTE(VLOOKUP($A497,'Quarterly Pipeline vs Target Pi'!$A:$AP,31,false)," $","")," €",""), "")
)</f>
        <v>0</v>
      </c>
      <c r="AR497" s="1">
        <f>value(IFERROR(SUBSTITUTE(SUBSTITUTE(VLOOKUP($A497,'Quarterly Pipeline vs Target Pi'!$A:$AP,32,false)," $","")," €",""), "")
)</f>
        <v>0</v>
      </c>
      <c r="AS497" s="17" t="str">
        <f t="shared" si="16"/>
        <v/>
      </c>
      <c r="AT497" s="1">
        <f>value(IFERROR(SUBSTITUTE(SUBSTITUTE(VLOOKUP($A497,'Quarterly Pipeline vs Target Pi'!$A:$AP,36,false)," $","")," €",""), "")
)</f>
        <v>0</v>
      </c>
      <c r="AU497" s="1">
        <f>value(IFERROR(SUBSTITUTE(SUBSTITUTE(VLOOKUP($A497,'Quarterly Pipeline vs Target Pi'!$A:$AP,37,false)," $","")," €",""), "")
)</f>
        <v>0</v>
      </c>
      <c r="AV497" s="17" t="str">
        <f t="shared" si="17"/>
        <v/>
      </c>
      <c r="AW497" s="1">
        <f>value(IFERROR(SUBSTITUTE(SUBSTITUTE(VLOOKUP($A497,'Quarterly Pipeline vs Target Pi'!$A:$AP,41,false)," $","")," €",""), "")
)</f>
        <v>0</v>
      </c>
      <c r="AX497" s="1">
        <f>value(IFERROR(SUBSTITUTE(SUBSTITUTE(VLOOKUP($A497,'Quarterly Pipeline vs Target Pi'!$A:$AP,42,false)," $","")," €",""), "")
)</f>
        <v>0</v>
      </c>
      <c r="AY497" s="17" t="str">
        <f t="shared" si="18"/>
        <v/>
      </c>
      <c r="AZ497" s="1">
        <f t="shared" ref="AZ497:BA497" si="1008">sum(AN497,AQ497,AT497,AW497)</f>
        <v>0</v>
      </c>
      <c r="BA497" s="1">
        <f t="shared" si="1008"/>
        <v>0</v>
      </c>
      <c r="BB497" s="17" t="str">
        <f t="shared" si="20"/>
        <v/>
      </c>
    </row>
    <row r="498">
      <c r="G498" s="1" t="str">
        <f>iferror(VLOOKUP(A498,'Business Plan Setup and Accepta'!A:G,6,false),"")</f>
        <v/>
      </c>
      <c r="H498" s="1" t="str">
        <f>iferror(VLOOKUP(A498,'Business Plan Setup and Accepta'!A:G,7,false),"")</f>
        <v/>
      </c>
      <c r="I498" s="17" t="str">
        <f t="shared" si="3"/>
        <v/>
      </c>
      <c r="J498" s="1" t="str">
        <f>IFERROR(VALUE(SUBSTITUTE(VLOOKUP(A498,'Sales IN Revenues vs Sales targ'!A:G,6,false)," $","")), "")
</f>
        <v/>
      </c>
      <c r="K498" s="1" t="str">
        <f>IFERROR(VALUE(SUBSTITUTE(VLOOKUP(A498,'Sales IN Revenues vs Sales targ'!A:G,7,false)," $","")), "")
</f>
        <v/>
      </c>
      <c r="L498" s="17" t="str">
        <f t="shared" si="4"/>
        <v/>
      </c>
      <c r="M498" s="1">
        <f>value(SUBSTITUTE(IFERROR(VLOOKUP(A498,'Certifications achievements vs '!A:G,6,false),""),"#","")
)</f>
        <v>0</v>
      </c>
      <c r="N498" s="1">
        <f>value(SUBSTITUTE(IFERROR(VLOOKUP(A498,'Certifications achievements vs '!A:G,7,false),""),"#","")
)</f>
        <v>0</v>
      </c>
      <c r="O498" s="17" t="str">
        <f t="shared" si="5"/>
        <v/>
      </c>
      <c r="P498" s="1">
        <f>value(SUBSTITUTE(IFERROR(VLOOKUP(A498,'Communications - Solution Speci'!A:G,6,false),""),"#","")
)</f>
        <v>0</v>
      </c>
      <c r="Q498" s="1">
        <f>value(SUBSTITUTE(IFERROR(VLOOKUP(A498,'Communications - Solution Speci'!A:G,7,false),""),"#","")
)</f>
        <v>0</v>
      </c>
      <c r="R498" s="17" t="str">
        <f t="shared" si="6"/>
        <v/>
      </c>
      <c r="S498" s="1">
        <f>value(SUBSTITUTE(IFERROR(VLOOKUP(A498,'Networking - Solution Specializ'!A:G,6,false),""),"#","")
)</f>
        <v>0</v>
      </c>
      <c r="T498" s="1">
        <f>value(SUBSTITUTE(IFERROR(VLOOKUP(A498,'Networking - Solution Specializ'!A:G,7,false),""),"#","")
)</f>
        <v>0</v>
      </c>
      <c r="U498" s="17" t="str">
        <f t="shared" si="7"/>
        <v/>
      </c>
      <c r="V498" s="1" t="str">
        <f>iferror(vlookup(A498,'Marketing Plan (extract summary'!A:G,6,false),"")</f>
        <v/>
      </c>
      <c r="W498" s="1" t="str">
        <f>iferror(vlookup(A498,'Marketing Plan (extract summary'!A:G,7,false),"")</f>
        <v/>
      </c>
      <c r="X498" s="17" t="str">
        <f t="shared" si="8"/>
        <v/>
      </c>
      <c r="Y498" s="1">
        <f>value(IFERROR(SUBSTITUTE(SUBSTITUTE(VLOOKUP(A498,'Quarterly Pipeline vs Target Pi'!A:G,6,false)," $","")," €",""), "")
)</f>
        <v>0</v>
      </c>
      <c r="Z498" s="1">
        <f>value(IFERROR(SUBSTITUTE(SUBSTITUTE(VLOOKUP(A498,'Quarterly Pipeline vs Target Pi'!A:G,7,false)," $","")," €",""), "")
)</f>
        <v>0</v>
      </c>
      <c r="AA498" s="17" t="str">
        <f t="shared" si="9"/>
        <v/>
      </c>
      <c r="AB498" s="1">
        <f>value(IFERROR(SUBSTITUTE(SUBSTITUTE(VLOOKUP($A498,'Quarterly Pipeline vs Target Pi'!$A:$V,11,false)," $","")," €",""), "")
)</f>
        <v>0</v>
      </c>
      <c r="AC498" s="1">
        <f>value(IFERROR(SUBSTITUTE(SUBSTITUTE(VLOOKUP($A498,'Quarterly Pipeline vs Target Pi'!$A:$V,12,false)," $","")," €",""), "")
)</f>
        <v>0</v>
      </c>
      <c r="AD498" s="17" t="str">
        <f t="shared" si="10"/>
        <v/>
      </c>
      <c r="AE498" s="1">
        <f>value(IFERROR(SUBSTITUTE(SUBSTITUTE(VLOOKUP($A498,'Quarterly Pipeline vs Target Pi'!$A:$V,16,false)," $","")," €",""), "")
)</f>
        <v>0</v>
      </c>
      <c r="AF498" s="1">
        <f>value(IFERROR(SUBSTITUTE(SUBSTITUTE(VLOOKUP($A498,'Quarterly Pipeline vs Target Pi'!$A:$V,17,false)," $","")," €",""), "")
)</f>
        <v>0</v>
      </c>
      <c r="AG498" s="17" t="str">
        <f t="shared" si="11"/>
        <v/>
      </c>
      <c r="AH498" s="1">
        <f>value(IFERROR(SUBSTITUTE(SUBSTITUTE(VLOOKUP($A498,'Quarterly Pipeline vs Target Pi'!$A:$V,21,false)," $","")," €",""), "")
)</f>
        <v>0</v>
      </c>
      <c r="AI498" s="1">
        <f>value(IFERROR(SUBSTITUTE(SUBSTITUTE(VLOOKUP($A498,'Quarterly Pipeline vs Target Pi'!$A:$V,22,false)," $","")," €",""), "")
)</f>
        <v>0</v>
      </c>
      <c r="AJ498" s="17" t="str">
        <f t="shared" si="12"/>
        <v/>
      </c>
      <c r="AK498" s="1">
        <f t="shared" ref="AK498:AL498" si="1009">sum(Y498,AB498,AE498,AH498)</f>
        <v>0</v>
      </c>
      <c r="AL498" s="1">
        <f t="shared" si="1009"/>
        <v>0</v>
      </c>
      <c r="AM498" s="17" t="str">
        <f t="shared" si="14"/>
        <v/>
      </c>
      <c r="AN498" s="1">
        <f>value(IFERROR(SUBSTITUTE(SUBSTITUTE(VLOOKUP($A498,'Quarterly Pipeline vs Target Pi'!$A:$AP,26,false)," $","")," €",""), "")
)</f>
        <v>0</v>
      </c>
      <c r="AO498" s="1">
        <f>value(IFERROR(SUBSTITUTE(SUBSTITUTE(VLOOKUP($A498,'Quarterly Pipeline vs Target Pi'!$A:$AP,27,false)," $","")," €",""), "")
)</f>
        <v>0</v>
      </c>
      <c r="AP498" s="17" t="str">
        <f t="shared" si="15"/>
        <v/>
      </c>
      <c r="AQ498" s="1">
        <f>value(IFERROR(SUBSTITUTE(SUBSTITUTE(VLOOKUP($A498,'Quarterly Pipeline vs Target Pi'!$A:$AP,31,false)," $","")," €",""), "")
)</f>
        <v>0</v>
      </c>
      <c r="AR498" s="1">
        <f>value(IFERROR(SUBSTITUTE(SUBSTITUTE(VLOOKUP($A498,'Quarterly Pipeline vs Target Pi'!$A:$AP,32,false)," $","")," €",""), "")
)</f>
        <v>0</v>
      </c>
      <c r="AS498" s="17" t="str">
        <f t="shared" si="16"/>
        <v/>
      </c>
      <c r="AT498" s="1">
        <f>value(IFERROR(SUBSTITUTE(SUBSTITUTE(VLOOKUP($A498,'Quarterly Pipeline vs Target Pi'!$A:$AP,36,false)," $","")," €",""), "")
)</f>
        <v>0</v>
      </c>
      <c r="AU498" s="1">
        <f>value(IFERROR(SUBSTITUTE(SUBSTITUTE(VLOOKUP($A498,'Quarterly Pipeline vs Target Pi'!$A:$AP,37,false)," $","")," €",""), "")
)</f>
        <v>0</v>
      </c>
      <c r="AV498" s="17" t="str">
        <f t="shared" si="17"/>
        <v/>
      </c>
      <c r="AW498" s="1">
        <f>value(IFERROR(SUBSTITUTE(SUBSTITUTE(VLOOKUP($A498,'Quarterly Pipeline vs Target Pi'!$A:$AP,41,false)," $","")," €",""), "")
)</f>
        <v>0</v>
      </c>
      <c r="AX498" s="1">
        <f>value(IFERROR(SUBSTITUTE(SUBSTITUTE(VLOOKUP($A498,'Quarterly Pipeline vs Target Pi'!$A:$AP,42,false)," $","")," €",""), "")
)</f>
        <v>0</v>
      </c>
      <c r="AY498" s="17" t="str">
        <f t="shared" si="18"/>
        <v/>
      </c>
      <c r="AZ498" s="1">
        <f t="shared" ref="AZ498:BA498" si="1010">sum(AN498,AQ498,AT498,AW498)</f>
        <v>0</v>
      </c>
      <c r="BA498" s="1">
        <f t="shared" si="1010"/>
        <v>0</v>
      </c>
      <c r="BB498" s="17" t="str">
        <f t="shared" si="20"/>
        <v/>
      </c>
    </row>
    <row r="499">
      <c r="G499" s="1" t="str">
        <f>iferror(VLOOKUP(A499,'Business Plan Setup and Accepta'!A:G,6,false),"")</f>
        <v/>
      </c>
      <c r="H499" s="1" t="str">
        <f>iferror(VLOOKUP(A499,'Business Plan Setup and Accepta'!A:G,7,false),"")</f>
        <v/>
      </c>
      <c r="I499" s="17" t="str">
        <f t="shared" si="3"/>
        <v/>
      </c>
      <c r="J499" s="1" t="str">
        <f>IFERROR(VALUE(SUBSTITUTE(VLOOKUP(A499,'Sales IN Revenues vs Sales targ'!A:G,6,false)," $","")), "")
</f>
        <v/>
      </c>
      <c r="K499" s="1" t="str">
        <f>IFERROR(VALUE(SUBSTITUTE(VLOOKUP(A499,'Sales IN Revenues vs Sales targ'!A:G,7,false)," $","")), "")
</f>
        <v/>
      </c>
      <c r="L499" s="17" t="str">
        <f t="shared" si="4"/>
        <v/>
      </c>
      <c r="M499" s="1">
        <f>value(SUBSTITUTE(IFERROR(VLOOKUP(A499,'Certifications achievements vs '!A:G,6,false),""),"#","")
)</f>
        <v>0</v>
      </c>
      <c r="N499" s="1">
        <f>value(SUBSTITUTE(IFERROR(VLOOKUP(A499,'Certifications achievements vs '!A:G,7,false),""),"#","")
)</f>
        <v>0</v>
      </c>
      <c r="O499" s="17" t="str">
        <f t="shared" si="5"/>
        <v/>
      </c>
      <c r="P499" s="1">
        <f>value(SUBSTITUTE(IFERROR(VLOOKUP(A499,'Communications - Solution Speci'!A:G,6,false),""),"#","")
)</f>
        <v>0</v>
      </c>
      <c r="Q499" s="1">
        <f>value(SUBSTITUTE(IFERROR(VLOOKUP(A499,'Communications - Solution Speci'!A:G,7,false),""),"#","")
)</f>
        <v>0</v>
      </c>
      <c r="R499" s="17" t="str">
        <f t="shared" si="6"/>
        <v/>
      </c>
      <c r="S499" s="1">
        <f>value(SUBSTITUTE(IFERROR(VLOOKUP(A499,'Networking - Solution Specializ'!A:G,6,false),""),"#","")
)</f>
        <v>0</v>
      </c>
      <c r="T499" s="1">
        <f>value(SUBSTITUTE(IFERROR(VLOOKUP(A499,'Networking - Solution Specializ'!A:G,7,false),""),"#","")
)</f>
        <v>0</v>
      </c>
      <c r="U499" s="17" t="str">
        <f t="shared" si="7"/>
        <v/>
      </c>
      <c r="V499" s="1" t="str">
        <f>iferror(vlookup(A499,'Marketing Plan (extract summary'!A:G,6,false),"")</f>
        <v/>
      </c>
      <c r="W499" s="1" t="str">
        <f>iferror(vlookup(A499,'Marketing Plan (extract summary'!A:G,7,false),"")</f>
        <v/>
      </c>
      <c r="X499" s="17" t="str">
        <f t="shared" si="8"/>
        <v/>
      </c>
      <c r="Y499" s="1">
        <f>value(IFERROR(SUBSTITUTE(SUBSTITUTE(VLOOKUP(A499,'Quarterly Pipeline vs Target Pi'!A:G,6,false)," $","")," €",""), "")
)</f>
        <v>0</v>
      </c>
      <c r="Z499" s="1">
        <f>value(IFERROR(SUBSTITUTE(SUBSTITUTE(VLOOKUP(A499,'Quarterly Pipeline vs Target Pi'!A:G,7,false)," $","")," €",""), "")
)</f>
        <v>0</v>
      </c>
      <c r="AA499" s="17" t="str">
        <f t="shared" si="9"/>
        <v/>
      </c>
      <c r="AB499" s="1">
        <f>value(IFERROR(SUBSTITUTE(SUBSTITUTE(VLOOKUP($A499,'Quarterly Pipeline vs Target Pi'!$A:$V,11,false)," $","")," €",""), "")
)</f>
        <v>0</v>
      </c>
      <c r="AC499" s="1">
        <f>value(IFERROR(SUBSTITUTE(SUBSTITUTE(VLOOKUP($A499,'Quarterly Pipeline vs Target Pi'!$A:$V,12,false)," $","")," €",""), "")
)</f>
        <v>0</v>
      </c>
      <c r="AD499" s="17" t="str">
        <f t="shared" si="10"/>
        <v/>
      </c>
      <c r="AE499" s="1">
        <f>value(IFERROR(SUBSTITUTE(SUBSTITUTE(VLOOKUP($A499,'Quarterly Pipeline vs Target Pi'!$A:$V,16,false)," $","")," €",""), "")
)</f>
        <v>0</v>
      </c>
      <c r="AF499" s="1">
        <f>value(IFERROR(SUBSTITUTE(SUBSTITUTE(VLOOKUP($A499,'Quarterly Pipeline vs Target Pi'!$A:$V,17,false)," $","")," €",""), "")
)</f>
        <v>0</v>
      </c>
      <c r="AG499" s="17" t="str">
        <f t="shared" si="11"/>
        <v/>
      </c>
      <c r="AH499" s="1">
        <f>value(IFERROR(SUBSTITUTE(SUBSTITUTE(VLOOKUP($A499,'Quarterly Pipeline vs Target Pi'!$A:$V,21,false)," $","")," €",""), "")
)</f>
        <v>0</v>
      </c>
      <c r="AI499" s="1">
        <f>value(IFERROR(SUBSTITUTE(SUBSTITUTE(VLOOKUP($A499,'Quarterly Pipeline vs Target Pi'!$A:$V,22,false)," $","")," €",""), "")
)</f>
        <v>0</v>
      </c>
      <c r="AJ499" s="17" t="str">
        <f t="shared" si="12"/>
        <v/>
      </c>
      <c r="AK499" s="1">
        <f t="shared" ref="AK499:AL499" si="1011">sum(Y499,AB499,AE499,AH499)</f>
        <v>0</v>
      </c>
      <c r="AL499" s="1">
        <f t="shared" si="1011"/>
        <v>0</v>
      </c>
      <c r="AM499" s="17" t="str">
        <f t="shared" si="14"/>
        <v/>
      </c>
      <c r="AN499" s="1">
        <f>value(IFERROR(SUBSTITUTE(SUBSTITUTE(VLOOKUP($A499,'Quarterly Pipeline vs Target Pi'!$A:$AP,26,false)," $","")," €",""), "")
)</f>
        <v>0</v>
      </c>
      <c r="AO499" s="1">
        <f>value(IFERROR(SUBSTITUTE(SUBSTITUTE(VLOOKUP($A499,'Quarterly Pipeline vs Target Pi'!$A:$AP,27,false)," $","")," €",""), "")
)</f>
        <v>0</v>
      </c>
      <c r="AP499" s="17" t="str">
        <f t="shared" si="15"/>
        <v/>
      </c>
      <c r="AQ499" s="1">
        <f>value(IFERROR(SUBSTITUTE(SUBSTITUTE(VLOOKUP($A499,'Quarterly Pipeline vs Target Pi'!$A:$AP,31,false)," $","")," €",""), "")
)</f>
        <v>0</v>
      </c>
      <c r="AR499" s="1">
        <f>value(IFERROR(SUBSTITUTE(SUBSTITUTE(VLOOKUP($A499,'Quarterly Pipeline vs Target Pi'!$A:$AP,32,false)," $","")," €",""), "")
)</f>
        <v>0</v>
      </c>
      <c r="AS499" s="17" t="str">
        <f t="shared" si="16"/>
        <v/>
      </c>
      <c r="AT499" s="1">
        <f>value(IFERROR(SUBSTITUTE(SUBSTITUTE(VLOOKUP($A499,'Quarterly Pipeline vs Target Pi'!$A:$AP,36,false)," $","")," €",""), "")
)</f>
        <v>0</v>
      </c>
      <c r="AU499" s="1">
        <f>value(IFERROR(SUBSTITUTE(SUBSTITUTE(VLOOKUP($A499,'Quarterly Pipeline vs Target Pi'!$A:$AP,37,false)," $","")," €",""), "")
)</f>
        <v>0</v>
      </c>
      <c r="AV499" s="17" t="str">
        <f t="shared" si="17"/>
        <v/>
      </c>
      <c r="AW499" s="1">
        <f>value(IFERROR(SUBSTITUTE(SUBSTITUTE(VLOOKUP($A499,'Quarterly Pipeline vs Target Pi'!$A:$AP,41,false)," $","")," €",""), "")
)</f>
        <v>0</v>
      </c>
      <c r="AX499" s="1">
        <f>value(IFERROR(SUBSTITUTE(SUBSTITUTE(VLOOKUP($A499,'Quarterly Pipeline vs Target Pi'!$A:$AP,42,false)," $","")," €",""), "")
)</f>
        <v>0</v>
      </c>
      <c r="AY499" s="17" t="str">
        <f t="shared" si="18"/>
        <v/>
      </c>
      <c r="AZ499" s="1">
        <f t="shared" ref="AZ499:BA499" si="1012">sum(AN499,AQ499,AT499,AW499)</f>
        <v>0</v>
      </c>
      <c r="BA499" s="1">
        <f t="shared" si="1012"/>
        <v>0</v>
      </c>
      <c r="BB499" s="17" t="str">
        <f t="shared" si="20"/>
        <v/>
      </c>
    </row>
    <row r="500">
      <c r="G500" s="1" t="str">
        <f>iferror(VLOOKUP(A500,'Business Plan Setup and Accepta'!A:G,6,false),"")</f>
        <v/>
      </c>
      <c r="H500" s="1" t="str">
        <f>iferror(VLOOKUP(A500,'Business Plan Setup and Accepta'!A:G,7,false),"")</f>
        <v/>
      </c>
      <c r="I500" s="17" t="str">
        <f t="shared" si="3"/>
        <v/>
      </c>
      <c r="J500" s="1" t="str">
        <f>IFERROR(VALUE(SUBSTITUTE(VLOOKUP(A500,'Sales IN Revenues vs Sales targ'!A:G,6,false)," $","")), "")
</f>
        <v/>
      </c>
      <c r="K500" s="1" t="str">
        <f>IFERROR(VALUE(SUBSTITUTE(VLOOKUP(A500,'Sales IN Revenues vs Sales targ'!A:G,7,false)," $","")), "")
</f>
        <v/>
      </c>
      <c r="L500" s="17" t="str">
        <f t="shared" si="4"/>
        <v/>
      </c>
      <c r="M500" s="1">
        <f>value(SUBSTITUTE(IFERROR(VLOOKUP(A500,'Certifications achievements vs '!A:G,6,false),""),"#","")
)</f>
        <v>0</v>
      </c>
      <c r="N500" s="1">
        <f>value(SUBSTITUTE(IFERROR(VLOOKUP(A500,'Certifications achievements vs '!A:G,7,false),""),"#","")
)</f>
        <v>0</v>
      </c>
      <c r="O500" s="17" t="str">
        <f t="shared" si="5"/>
        <v/>
      </c>
      <c r="P500" s="1">
        <f>value(SUBSTITUTE(IFERROR(VLOOKUP(A500,'Communications - Solution Speci'!A:G,6,false),""),"#","")
)</f>
        <v>0</v>
      </c>
      <c r="Q500" s="1">
        <f>value(SUBSTITUTE(IFERROR(VLOOKUP(A500,'Communications - Solution Speci'!A:G,7,false),""),"#","")
)</f>
        <v>0</v>
      </c>
      <c r="R500" s="17" t="str">
        <f t="shared" si="6"/>
        <v/>
      </c>
      <c r="S500" s="1">
        <f>value(SUBSTITUTE(IFERROR(VLOOKUP(A500,'Networking - Solution Specializ'!A:G,6,false),""),"#","")
)</f>
        <v>0</v>
      </c>
      <c r="T500" s="1">
        <f>value(SUBSTITUTE(IFERROR(VLOOKUP(A500,'Networking - Solution Specializ'!A:G,7,false),""),"#","")
)</f>
        <v>0</v>
      </c>
      <c r="U500" s="17" t="str">
        <f t="shared" si="7"/>
        <v/>
      </c>
      <c r="V500" s="1" t="str">
        <f>iferror(vlookup(A500,'Marketing Plan (extract summary'!A:G,6,false),"")</f>
        <v/>
      </c>
      <c r="W500" s="1" t="str">
        <f>iferror(vlookup(A500,'Marketing Plan (extract summary'!A:G,7,false),"")</f>
        <v/>
      </c>
      <c r="X500" s="17" t="str">
        <f t="shared" si="8"/>
        <v/>
      </c>
      <c r="Y500" s="1">
        <f>value(IFERROR(SUBSTITUTE(SUBSTITUTE(VLOOKUP(A500,'Quarterly Pipeline vs Target Pi'!A:G,6,false)," $","")," €",""), "")
)</f>
        <v>0</v>
      </c>
      <c r="Z500" s="1">
        <f>value(IFERROR(SUBSTITUTE(SUBSTITUTE(VLOOKUP(A500,'Quarterly Pipeline vs Target Pi'!A:G,7,false)," $","")," €",""), "")
)</f>
        <v>0</v>
      </c>
      <c r="AA500" s="17" t="str">
        <f t="shared" si="9"/>
        <v/>
      </c>
      <c r="AB500" s="1">
        <f>value(IFERROR(SUBSTITUTE(SUBSTITUTE(VLOOKUP($A500,'Quarterly Pipeline vs Target Pi'!$A:$V,11,false)," $","")," €",""), "")
)</f>
        <v>0</v>
      </c>
      <c r="AC500" s="1">
        <f>value(IFERROR(SUBSTITUTE(SUBSTITUTE(VLOOKUP($A500,'Quarterly Pipeline vs Target Pi'!$A:$V,12,false)," $","")," €",""), "")
)</f>
        <v>0</v>
      </c>
      <c r="AD500" s="17" t="str">
        <f t="shared" si="10"/>
        <v/>
      </c>
      <c r="AE500" s="1">
        <f>value(IFERROR(SUBSTITUTE(SUBSTITUTE(VLOOKUP($A500,'Quarterly Pipeline vs Target Pi'!$A:$V,16,false)," $","")," €",""), "")
)</f>
        <v>0</v>
      </c>
      <c r="AF500" s="1">
        <f>value(IFERROR(SUBSTITUTE(SUBSTITUTE(VLOOKUP($A500,'Quarterly Pipeline vs Target Pi'!$A:$V,17,false)," $","")," €",""), "")
)</f>
        <v>0</v>
      </c>
      <c r="AG500" s="17" t="str">
        <f t="shared" si="11"/>
        <v/>
      </c>
      <c r="AH500" s="1">
        <f>value(IFERROR(SUBSTITUTE(SUBSTITUTE(VLOOKUP($A500,'Quarterly Pipeline vs Target Pi'!$A:$V,21,false)," $","")," €",""), "")
)</f>
        <v>0</v>
      </c>
      <c r="AI500" s="1">
        <f>value(IFERROR(SUBSTITUTE(SUBSTITUTE(VLOOKUP($A500,'Quarterly Pipeline vs Target Pi'!$A:$V,22,false)," $","")," €",""), "")
)</f>
        <v>0</v>
      </c>
      <c r="AJ500" s="17" t="str">
        <f t="shared" si="12"/>
        <v/>
      </c>
      <c r="AK500" s="1">
        <f t="shared" ref="AK500:AL500" si="1013">sum(Y500,AB500,AE500,AH500)</f>
        <v>0</v>
      </c>
      <c r="AL500" s="1">
        <f t="shared" si="1013"/>
        <v>0</v>
      </c>
      <c r="AM500" s="17" t="str">
        <f t="shared" si="14"/>
        <v/>
      </c>
      <c r="AN500" s="1">
        <f>value(IFERROR(SUBSTITUTE(SUBSTITUTE(VLOOKUP($A500,'Quarterly Pipeline vs Target Pi'!$A:$AP,26,false)," $","")," €",""), "")
)</f>
        <v>0</v>
      </c>
      <c r="AO500" s="1">
        <f>value(IFERROR(SUBSTITUTE(SUBSTITUTE(VLOOKUP($A500,'Quarterly Pipeline vs Target Pi'!$A:$AP,27,false)," $","")," €",""), "")
)</f>
        <v>0</v>
      </c>
      <c r="AP500" s="17" t="str">
        <f t="shared" si="15"/>
        <v/>
      </c>
      <c r="AQ500" s="1">
        <f>value(IFERROR(SUBSTITUTE(SUBSTITUTE(VLOOKUP($A500,'Quarterly Pipeline vs Target Pi'!$A:$AP,31,false)," $","")," €",""), "")
)</f>
        <v>0</v>
      </c>
      <c r="AR500" s="1">
        <f>value(IFERROR(SUBSTITUTE(SUBSTITUTE(VLOOKUP($A500,'Quarterly Pipeline vs Target Pi'!$A:$AP,32,false)," $","")," €",""), "")
)</f>
        <v>0</v>
      </c>
      <c r="AS500" s="17" t="str">
        <f t="shared" si="16"/>
        <v/>
      </c>
      <c r="AT500" s="1">
        <f>value(IFERROR(SUBSTITUTE(SUBSTITUTE(VLOOKUP($A500,'Quarterly Pipeline vs Target Pi'!$A:$AP,36,false)," $","")," €",""), "")
)</f>
        <v>0</v>
      </c>
      <c r="AU500" s="1">
        <f>value(IFERROR(SUBSTITUTE(SUBSTITUTE(VLOOKUP($A500,'Quarterly Pipeline vs Target Pi'!$A:$AP,37,false)," $","")," €",""), "")
)</f>
        <v>0</v>
      </c>
      <c r="AV500" s="17" t="str">
        <f t="shared" si="17"/>
        <v/>
      </c>
      <c r="AW500" s="1">
        <f>value(IFERROR(SUBSTITUTE(SUBSTITUTE(VLOOKUP($A500,'Quarterly Pipeline vs Target Pi'!$A:$AP,41,false)," $","")," €",""), "")
)</f>
        <v>0</v>
      </c>
      <c r="AX500" s="1">
        <f>value(IFERROR(SUBSTITUTE(SUBSTITUTE(VLOOKUP($A500,'Quarterly Pipeline vs Target Pi'!$A:$AP,42,false)," $","")," €",""), "")
)</f>
        <v>0</v>
      </c>
      <c r="AY500" s="17" t="str">
        <f t="shared" si="18"/>
        <v/>
      </c>
      <c r="AZ500" s="1">
        <f t="shared" ref="AZ500:BA500" si="1014">sum(AN500,AQ500,AT500,AW500)</f>
        <v>0</v>
      </c>
      <c r="BA500" s="1">
        <f t="shared" si="1014"/>
        <v>0</v>
      </c>
      <c r="BB500" s="17" t="str">
        <f t="shared" si="20"/>
        <v/>
      </c>
    </row>
    <row r="501">
      <c r="G501" s="1" t="str">
        <f>iferror(VLOOKUP(A501,'Business Plan Setup and Accepta'!A:G,6,false),"")</f>
        <v/>
      </c>
      <c r="H501" s="1" t="str">
        <f>iferror(VLOOKUP(A501,'Business Plan Setup and Accepta'!A:G,7,false),"")</f>
        <v/>
      </c>
      <c r="I501" s="17" t="str">
        <f t="shared" si="3"/>
        <v/>
      </c>
      <c r="J501" s="1" t="str">
        <f>IFERROR(VALUE(SUBSTITUTE(VLOOKUP(A501,'Sales IN Revenues vs Sales targ'!A:G,6,false)," $","")), "")
</f>
        <v/>
      </c>
      <c r="K501" s="1" t="str">
        <f>IFERROR(VALUE(SUBSTITUTE(VLOOKUP(A501,'Sales IN Revenues vs Sales targ'!A:G,7,false)," $","")), "")
</f>
        <v/>
      </c>
      <c r="L501" s="17" t="str">
        <f t="shared" si="4"/>
        <v/>
      </c>
      <c r="M501" s="1">
        <f>value(SUBSTITUTE(IFERROR(VLOOKUP(A501,'Certifications achievements vs '!A:G,6,false),""),"#","")
)</f>
        <v>0</v>
      </c>
      <c r="N501" s="1">
        <f>value(SUBSTITUTE(IFERROR(VLOOKUP(A501,'Certifications achievements vs '!A:G,7,false),""),"#","")
)</f>
        <v>0</v>
      </c>
      <c r="O501" s="17" t="str">
        <f t="shared" si="5"/>
        <v/>
      </c>
      <c r="P501" s="1">
        <f>value(SUBSTITUTE(IFERROR(VLOOKUP(A501,'Communications - Solution Speci'!A:G,6,false),""),"#","")
)</f>
        <v>0</v>
      </c>
      <c r="Q501" s="1">
        <f>value(SUBSTITUTE(IFERROR(VLOOKUP(A501,'Communications - Solution Speci'!A:G,7,false),""),"#","")
)</f>
        <v>0</v>
      </c>
      <c r="R501" s="17" t="str">
        <f t="shared" si="6"/>
        <v/>
      </c>
      <c r="S501" s="1">
        <f>value(SUBSTITUTE(IFERROR(VLOOKUP(A501,'Networking - Solution Specializ'!A:G,6,false),""),"#","")
)</f>
        <v>0</v>
      </c>
      <c r="T501" s="1">
        <f>value(SUBSTITUTE(IFERROR(VLOOKUP(A501,'Networking - Solution Specializ'!A:G,7,false),""),"#","")
)</f>
        <v>0</v>
      </c>
      <c r="U501" s="17" t="str">
        <f t="shared" si="7"/>
        <v/>
      </c>
      <c r="V501" s="1" t="str">
        <f>iferror(vlookup(A501,'Marketing Plan (extract summary'!A:G,6,false),"")</f>
        <v/>
      </c>
      <c r="W501" s="1" t="str">
        <f>iferror(vlookup(A501,'Marketing Plan (extract summary'!A:G,7,false),"")</f>
        <v/>
      </c>
      <c r="X501" s="17" t="str">
        <f t="shared" si="8"/>
        <v/>
      </c>
      <c r="Y501" s="1">
        <f>value(IFERROR(SUBSTITUTE(SUBSTITUTE(VLOOKUP(A501,'Quarterly Pipeline vs Target Pi'!A:G,6,false)," $","")," €",""), "")
)</f>
        <v>0</v>
      </c>
      <c r="Z501" s="1">
        <f>value(IFERROR(SUBSTITUTE(SUBSTITUTE(VLOOKUP(A501,'Quarterly Pipeline vs Target Pi'!A:G,7,false)," $","")," €",""), "")
)</f>
        <v>0</v>
      </c>
      <c r="AA501" s="17" t="str">
        <f t="shared" si="9"/>
        <v/>
      </c>
      <c r="AB501" s="1">
        <f>value(IFERROR(SUBSTITUTE(SUBSTITUTE(VLOOKUP($A501,'Quarterly Pipeline vs Target Pi'!$A:$V,11,false)," $","")," €",""), "")
)</f>
        <v>0</v>
      </c>
      <c r="AC501" s="1">
        <f>value(IFERROR(SUBSTITUTE(SUBSTITUTE(VLOOKUP($A501,'Quarterly Pipeline vs Target Pi'!$A:$V,12,false)," $","")," €",""), "")
)</f>
        <v>0</v>
      </c>
      <c r="AD501" s="17" t="str">
        <f t="shared" si="10"/>
        <v/>
      </c>
      <c r="AE501" s="1">
        <f>value(IFERROR(SUBSTITUTE(SUBSTITUTE(VLOOKUP($A501,'Quarterly Pipeline vs Target Pi'!$A:$V,16,false)," $","")," €",""), "")
)</f>
        <v>0</v>
      </c>
      <c r="AF501" s="1">
        <f>value(IFERROR(SUBSTITUTE(SUBSTITUTE(VLOOKUP($A501,'Quarterly Pipeline vs Target Pi'!$A:$V,17,false)," $","")," €",""), "")
)</f>
        <v>0</v>
      </c>
      <c r="AG501" s="17" t="str">
        <f t="shared" si="11"/>
        <v/>
      </c>
      <c r="AH501" s="1">
        <f>value(IFERROR(SUBSTITUTE(SUBSTITUTE(VLOOKUP($A501,'Quarterly Pipeline vs Target Pi'!$A:$V,21,false)," $","")," €",""), "")
)</f>
        <v>0</v>
      </c>
      <c r="AI501" s="1">
        <f>value(IFERROR(SUBSTITUTE(SUBSTITUTE(VLOOKUP($A501,'Quarterly Pipeline vs Target Pi'!$A:$V,22,false)," $","")," €",""), "")
)</f>
        <v>0</v>
      </c>
      <c r="AJ501" s="17" t="str">
        <f t="shared" si="12"/>
        <v/>
      </c>
      <c r="AK501" s="1">
        <f t="shared" ref="AK501:AL501" si="1015">sum(Y501,AB501,AE501,AH501)</f>
        <v>0</v>
      </c>
      <c r="AL501" s="1">
        <f t="shared" si="1015"/>
        <v>0</v>
      </c>
      <c r="AM501" s="17" t="str">
        <f t="shared" si="14"/>
        <v/>
      </c>
      <c r="AN501" s="1">
        <f>value(IFERROR(SUBSTITUTE(SUBSTITUTE(VLOOKUP($A501,'Quarterly Pipeline vs Target Pi'!$A:$AP,26,false)," $","")," €",""), "")
)</f>
        <v>0</v>
      </c>
      <c r="AO501" s="1">
        <f>value(IFERROR(SUBSTITUTE(SUBSTITUTE(VLOOKUP($A501,'Quarterly Pipeline vs Target Pi'!$A:$AP,27,false)," $","")," €",""), "")
)</f>
        <v>0</v>
      </c>
      <c r="AP501" s="17" t="str">
        <f t="shared" si="15"/>
        <v/>
      </c>
      <c r="AQ501" s="1">
        <f>value(IFERROR(SUBSTITUTE(SUBSTITUTE(VLOOKUP($A501,'Quarterly Pipeline vs Target Pi'!$A:$AP,31,false)," $","")," €",""), "")
)</f>
        <v>0</v>
      </c>
      <c r="AR501" s="1">
        <f>value(IFERROR(SUBSTITUTE(SUBSTITUTE(VLOOKUP($A501,'Quarterly Pipeline vs Target Pi'!$A:$AP,32,false)," $","")," €",""), "")
)</f>
        <v>0</v>
      </c>
      <c r="AS501" s="17" t="str">
        <f t="shared" si="16"/>
        <v/>
      </c>
      <c r="AT501" s="1">
        <f>value(IFERROR(SUBSTITUTE(SUBSTITUTE(VLOOKUP($A501,'Quarterly Pipeline vs Target Pi'!$A:$AP,36,false)," $","")," €",""), "")
)</f>
        <v>0</v>
      </c>
      <c r="AU501" s="1">
        <f>value(IFERROR(SUBSTITUTE(SUBSTITUTE(VLOOKUP($A501,'Quarterly Pipeline vs Target Pi'!$A:$AP,37,false)," $","")," €",""), "")
)</f>
        <v>0</v>
      </c>
      <c r="AV501" s="17" t="str">
        <f t="shared" si="17"/>
        <v/>
      </c>
      <c r="AW501" s="1">
        <f>value(IFERROR(SUBSTITUTE(SUBSTITUTE(VLOOKUP($A501,'Quarterly Pipeline vs Target Pi'!$A:$AP,41,false)," $","")," €",""), "")
)</f>
        <v>0</v>
      </c>
      <c r="AX501" s="1">
        <f>value(IFERROR(SUBSTITUTE(SUBSTITUTE(VLOOKUP($A501,'Quarterly Pipeline vs Target Pi'!$A:$AP,42,false)," $","")," €",""), "")
)</f>
        <v>0</v>
      </c>
      <c r="AY501" s="17" t="str">
        <f t="shared" si="18"/>
        <v/>
      </c>
      <c r="AZ501" s="1">
        <f t="shared" ref="AZ501:BA501" si="1016">sum(AN501,AQ501,AT501,AW501)</f>
        <v>0</v>
      </c>
      <c r="BA501" s="1">
        <f t="shared" si="1016"/>
        <v>0</v>
      </c>
      <c r="BB501" s="17" t="str">
        <f t="shared" si="20"/>
        <v/>
      </c>
    </row>
    <row r="502">
      <c r="G502" s="1" t="str">
        <f>iferror(VLOOKUP(A502,'Business Plan Setup and Accepta'!A:G,6,false),"")</f>
        <v/>
      </c>
      <c r="H502" s="1" t="str">
        <f>iferror(VLOOKUP(A502,'Business Plan Setup and Accepta'!A:G,7,false),"")</f>
        <v/>
      </c>
      <c r="I502" s="17" t="str">
        <f t="shared" si="3"/>
        <v/>
      </c>
      <c r="J502" s="1" t="str">
        <f>IFERROR(VALUE(SUBSTITUTE(VLOOKUP(A502,'Sales IN Revenues vs Sales targ'!A:G,6,false)," $","")), "")
</f>
        <v/>
      </c>
      <c r="K502" s="1" t="str">
        <f>IFERROR(VALUE(SUBSTITUTE(VLOOKUP(A502,'Sales IN Revenues vs Sales targ'!A:G,7,false)," $","")), "")
</f>
        <v/>
      </c>
      <c r="L502" s="17" t="str">
        <f t="shared" si="4"/>
        <v/>
      </c>
      <c r="M502" s="1">
        <f>value(SUBSTITUTE(IFERROR(VLOOKUP(A502,'Certifications achievements vs '!A:G,6,false),""),"#","")
)</f>
        <v>0</v>
      </c>
      <c r="N502" s="1">
        <f>value(SUBSTITUTE(IFERROR(VLOOKUP(A502,'Certifications achievements vs '!A:G,7,false),""),"#","")
)</f>
        <v>0</v>
      </c>
      <c r="O502" s="17" t="str">
        <f t="shared" si="5"/>
        <v/>
      </c>
      <c r="P502" s="1">
        <f>value(SUBSTITUTE(IFERROR(VLOOKUP(A502,'Communications - Solution Speci'!A:G,6,false),""),"#","")
)</f>
        <v>0</v>
      </c>
      <c r="Q502" s="1">
        <f>value(SUBSTITUTE(IFERROR(VLOOKUP(A502,'Communications - Solution Speci'!A:G,7,false),""),"#","")
)</f>
        <v>0</v>
      </c>
      <c r="R502" s="17" t="str">
        <f t="shared" si="6"/>
        <v/>
      </c>
      <c r="S502" s="1">
        <f>value(SUBSTITUTE(IFERROR(VLOOKUP(A502,'Networking - Solution Specializ'!A:G,6,false),""),"#","")
)</f>
        <v>0</v>
      </c>
      <c r="T502" s="1">
        <f>value(SUBSTITUTE(IFERROR(VLOOKUP(A502,'Networking - Solution Specializ'!A:G,7,false),""),"#","")
)</f>
        <v>0</v>
      </c>
      <c r="U502" s="17" t="str">
        <f t="shared" si="7"/>
        <v/>
      </c>
      <c r="V502" s="1" t="str">
        <f>iferror(vlookup(A502,'Marketing Plan (extract summary'!A:G,6,false),"")</f>
        <v/>
      </c>
      <c r="W502" s="1" t="str">
        <f>iferror(vlookup(A502,'Marketing Plan (extract summary'!A:G,7,false),"")</f>
        <v/>
      </c>
      <c r="X502" s="17" t="str">
        <f t="shared" si="8"/>
        <v/>
      </c>
      <c r="Y502" s="1">
        <f>value(IFERROR(SUBSTITUTE(SUBSTITUTE(VLOOKUP(A502,'Quarterly Pipeline vs Target Pi'!A:G,6,false)," $","")," €",""), "")
)</f>
        <v>0</v>
      </c>
      <c r="Z502" s="1">
        <f>value(IFERROR(SUBSTITUTE(SUBSTITUTE(VLOOKUP(A502,'Quarterly Pipeline vs Target Pi'!A:G,7,false)," $","")," €",""), "")
)</f>
        <v>0</v>
      </c>
      <c r="AA502" s="17" t="str">
        <f t="shared" si="9"/>
        <v/>
      </c>
      <c r="AB502" s="1">
        <f>value(IFERROR(SUBSTITUTE(SUBSTITUTE(VLOOKUP($A502,'Quarterly Pipeline vs Target Pi'!$A:$V,11,false)," $","")," €",""), "")
)</f>
        <v>0</v>
      </c>
      <c r="AC502" s="1">
        <f>value(IFERROR(SUBSTITUTE(SUBSTITUTE(VLOOKUP($A502,'Quarterly Pipeline vs Target Pi'!$A:$V,12,false)," $","")," €",""), "")
)</f>
        <v>0</v>
      </c>
      <c r="AD502" s="17" t="str">
        <f t="shared" si="10"/>
        <v/>
      </c>
      <c r="AE502" s="1">
        <f>value(IFERROR(SUBSTITUTE(SUBSTITUTE(VLOOKUP($A502,'Quarterly Pipeline vs Target Pi'!$A:$V,16,false)," $","")," €",""), "")
)</f>
        <v>0</v>
      </c>
      <c r="AF502" s="1">
        <f>value(IFERROR(SUBSTITUTE(SUBSTITUTE(VLOOKUP($A502,'Quarterly Pipeline vs Target Pi'!$A:$V,17,false)," $","")," €",""), "")
)</f>
        <v>0</v>
      </c>
      <c r="AG502" s="17" t="str">
        <f t="shared" si="11"/>
        <v/>
      </c>
      <c r="AH502" s="1">
        <f>value(IFERROR(SUBSTITUTE(SUBSTITUTE(VLOOKUP($A502,'Quarterly Pipeline vs Target Pi'!$A:$V,21,false)," $","")," €",""), "")
)</f>
        <v>0</v>
      </c>
      <c r="AI502" s="1">
        <f>value(IFERROR(SUBSTITUTE(SUBSTITUTE(VLOOKUP($A502,'Quarterly Pipeline vs Target Pi'!$A:$V,22,false)," $","")," €",""), "")
)</f>
        <v>0</v>
      </c>
      <c r="AJ502" s="17" t="str">
        <f t="shared" si="12"/>
        <v/>
      </c>
      <c r="AK502" s="1">
        <f t="shared" ref="AK502:AL502" si="1017">sum(Y502,AB502,AE502,AH502)</f>
        <v>0</v>
      </c>
      <c r="AL502" s="1">
        <f t="shared" si="1017"/>
        <v>0</v>
      </c>
      <c r="AM502" s="17" t="str">
        <f t="shared" si="14"/>
        <v/>
      </c>
      <c r="AN502" s="1">
        <f>value(IFERROR(SUBSTITUTE(SUBSTITUTE(VLOOKUP($A502,'Quarterly Pipeline vs Target Pi'!$A:$AP,26,false)," $","")," €",""), "")
)</f>
        <v>0</v>
      </c>
      <c r="AO502" s="1">
        <f>value(IFERROR(SUBSTITUTE(SUBSTITUTE(VLOOKUP($A502,'Quarterly Pipeline vs Target Pi'!$A:$AP,27,false)," $","")," €",""), "")
)</f>
        <v>0</v>
      </c>
      <c r="AP502" s="17" t="str">
        <f t="shared" si="15"/>
        <v/>
      </c>
      <c r="AQ502" s="1">
        <f>value(IFERROR(SUBSTITUTE(SUBSTITUTE(VLOOKUP($A502,'Quarterly Pipeline vs Target Pi'!$A:$AP,31,false)," $","")," €",""), "")
)</f>
        <v>0</v>
      </c>
      <c r="AR502" s="1">
        <f>value(IFERROR(SUBSTITUTE(SUBSTITUTE(VLOOKUP($A502,'Quarterly Pipeline vs Target Pi'!$A:$AP,32,false)," $","")," €",""), "")
)</f>
        <v>0</v>
      </c>
      <c r="AS502" s="17" t="str">
        <f t="shared" si="16"/>
        <v/>
      </c>
      <c r="AT502" s="1">
        <f>value(IFERROR(SUBSTITUTE(SUBSTITUTE(VLOOKUP($A502,'Quarterly Pipeline vs Target Pi'!$A:$AP,36,false)," $","")," €",""), "")
)</f>
        <v>0</v>
      </c>
      <c r="AU502" s="1">
        <f>value(IFERROR(SUBSTITUTE(SUBSTITUTE(VLOOKUP($A502,'Quarterly Pipeline vs Target Pi'!$A:$AP,37,false)," $","")," €",""), "")
)</f>
        <v>0</v>
      </c>
      <c r="AV502" s="17" t="str">
        <f t="shared" si="17"/>
        <v/>
      </c>
      <c r="AW502" s="1">
        <f>value(IFERROR(SUBSTITUTE(SUBSTITUTE(VLOOKUP($A502,'Quarterly Pipeline vs Target Pi'!$A:$AP,41,false)," $","")," €",""), "")
)</f>
        <v>0</v>
      </c>
      <c r="AX502" s="1">
        <f>value(IFERROR(SUBSTITUTE(SUBSTITUTE(VLOOKUP($A502,'Quarterly Pipeline vs Target Pi'!$A:$AP,42,false)," $","")," €",""), "")
)</f>
        <v>0</v>
      </c>
      <c r="AY502" s="17" t="str">
        <f t="shared" si="18"/>
        <v/>
      </c>
      <c r="AZ502" s="1">
        <f t="shared" ref="AZ502:BA502" si="1018">sum(AN502,AQ502,AT502,AW502)</f>
        <v>0</v>
      </c>
      <c r="BA502" s="1">
        <f t="shared" si="1018"/>
        <v>0</v>
      </c>
      <c r="BB502" s="17" t="str">
        <f t="shared" si="20"/>
        <v/>
      </c>
    </row>
    <row r="503">
      <c r="G503" s="1" t="str">
        <f>iferror(VLOOKUP(A503,'Business Plan Setup and Accepta'!A:G,6,false),"")</f>
        <v/>
      </c>
      <c r="H503" s="1" t="str">
        <f>iferror(VLOOKUP(A503,'Business Plan Setup and Accepta'!A:G,7,false),"")</f>
        <v/>
      </c>
      <c r="I503" s="17" t="str">
        <f t="shared" si="3"/>
        <v/>
      </c>
      <c r="J503" s="1" t="str">
        <f>IFERROR(VALUE(SUBSTITUTE(VLOOKUP(A503,'Sales IN Revenues vs Sales targ'!A:G,6,false)," $","")), "")
</f>
        <v/>
      </c>
      <c r="K503" s="1" t="str">
        <f>IFERROR(VALUE(SUBSTITUTE(VLOOKUP(A503,'Sales IN Revenues vs Sales targ'!A:G,7,false)," $","")), "")
</f>
        <v/>
      </c>
      <c r="L503" s="17" t="str">
        <f t="shared" si="4"/>
        <v/>
      </c>
      <c r="M503" s="1">
        <f>value(SUBSTITUTE(IFERROR(VLOOKUP(A503,'Certifications achievements vs '!A:G,6,false),""),"#","")
)</f>
        <v>0</v>
      </c>
      <c r="N503" s="1">
        <f>value(SUBSTITUTE(IFERROR(VLOOKUP(A503,'Certifications achievements vs '!A:G,7,false),""),"#","")
)</f>
        <v>0</v>
      </c>
      <c r="O503" s="17" t="str">
        <f t="shared" si="5"/>
        <v/>
      </c>
      <c r="P503" s="1">
        <f>value(SUBSTITUTE(IFERROR(VLOOKUP(A503,'Communications - Solution Speci'!A:G,6,false),""),"#","")
)</f>
        <v>0</v>
      </c>
      <c r="Q503" s="1">
        <f>value(SUBSTITUTE(IFERROR(VLOOKUP(A503,'Communications - Solution Speci'!A:G,7,false),""),"#","")
)</f>
        <v>0</v>
      </c>
      <c r="R503" s="17" t="str">
        <f t="shared" si="6"/>
        <v/>
      </c>
      <c r="S503" s="1">
        <f>value(SUBSTITUTE(IFERROR(VLOOKUP(A503,'Networking - Solution Specializ'!A:G,6,false),""),"#","")
)</f>
        <v>0</v>
      </c>
      <c r="T503" s="1">
        <f>value(SUBSTITUTE(IFERROR(VLOOKUP(A503,'Networking - Solution Specializ'!A:G,7,false),""),"#","")
)</f>
        <v>0</v>
      </c>
      <c r="U503" s="17" t="str">
        <f t="shared" si="7"/>
        <v/>
      </c>
      <c r="V503" s="1" t="str">
        <f>iferror(vlookup(A503,'Marketing Plan (extract summary'!A:G,6,false),"")</f>
        <v/>
      </c>
      <c r="W503" s="1" t="str">
        <f>iferror(vlookup(A503,'Marketing Plan (extract summary'!A:G,7,false),"")</f>
        <v/>
      </c>
      <c r="X503" s="17" t="str">
        <f t="shared" si="8"/>
        <v/>
      </c>
      <c r="Y503" s="1">
        <f>value(IFERROR(SUBSTITUTE(SUBSTITUTE(VLOOKUP(A503,'Quarterly Pipeline vs Target Pi'!A:G,6,false)," $","")," €",""), "")
)</f>
        <v>0</v>
      </c>
      <c r="Z503" s="1">
        <f>value(IFERROR(SUBSTITUTE(SUBSTITUTE(VLOOKUP(A503,'Quarterly Pipeline vs Target Pi'!A:G,7,false)," $","")," €",""), "")
)</f>
        <v>0</v>
      </c>
      <c r="AA503" s="17" t="str">
        <f t="shared" si="9"/>
        <v/>
      </c>
      <c r="AB503" s="1">
        <f>value(IFERROR(SUBSTITUTE(SUBSTITUTE(VLOOKUP($A503,'Quarterly Pipeline vs Target Pi'!$A:$V,11,false)," $","")," €",""), "")
)</f>
        <v>0</v>
      </c>
      <c r="AC503" s="1">
        <f>value(IFERROR(SUBSTITUTE(SUBSTITUTE(VLOOKUP($A503,'Quarterly Pipeline vs Target Pi'!$A:$V,12,false)," $","")," €",""), "")
)</f>
        <v>0</v>
      </c>
      <c r="AD503" s="17" t="str">
        <f t="shared" si="10"/>
        <v/>
      </c>
      <c r="AE503" s="1">
        <f>value(IFERROR(SUBSTITUTE(SUBSTITUTE(VLOOKUP($A503,'Quarterly Pipeline vs Target Pi'!$A:$V,16,false)," $","")," €",""), "")
)</f>
        <v>0</v>
      </c>
      <c r="AF503" s="1">
        <f>value(IFERROR(SUBSTITUTE(SUBSTITUTE(VLOOKUP($A503,'Quarterly Pipeline vs Target Pi'!$A:$V,17,false)," $","")," €",""), "")
)</f>
        <v>0</v>
      </c>
      <c r="AG503" s="17" t="str">
        <f t="shared" si="11"/>
        <v/>
      </c>
      <c r="AH503" s="1">
        <f>value(IFERROR(SUBSTITUTE(SUBSTITUTE(VLOOKUP($A503,'Quarterly Pipeline vs Target Pi'!$A:$V,21,false)," $","")," €",""), "")
)</f>
        <v>0</v>
      </c>
      <c r="AI503" s="1">
        <f>value(IFERROR(SUBSTITUTE(SUBSTITUTE(VLOOKUP($A503,'Quarterly Pipeline vs Target Pi'!$A:$V,22,false)," $","")," €",""), "")
)</f>
        <v>0</v>
      </c>
      <c r="AJ503" s="17" t="str">
        <f t="shared" si="12"/>
        <v/>
      </c>
      <c r="AK503" s="1">
        <f t="shared" ref="AK503:AL503" si="1019">sum(Y503,AB503,AE503,AH503)</f>
        <v>0</v>
      </c>
      <c r="AL503" s="1">
        <f t="shared" si="1019"/>
        <v>0</v>
      </c>
      <c r="AM503" s="17" t="str">
        <f t="shared" si="14"/>
        <v/>
      </c>
      <c r="AN503" s="1">
        <f>value(IFERROR(SUBSTITUTE(SUBSTITUTE(VLOOKUP($A503,'Quarterly Pipeline vs Target Pi'!$A:$AP,26,false)," $","")," €",""), "")
)</f>
        <v>0</v>
      </c>
      <c r="AO503" s="1">
        <f>value(IFERROR(SUBSTITUTE(SUBSTITUTE(VLOOKUP($A503,'Quarterly Pipeline vs Target Pi'!$A:$AP,27,false)," $","")," €",""), "")
)</f>
        <v>0</v>
      </c>
      <c r="AP503" s="17" t="str">
        <f t="shared" si="15"/>
        <v/>
      </c>
      <c r="AQ503" s="1">
        <f>value(IFERROR(SUBSTITUTE(SUBSTITUTE(VLOOKUP($A503,'Quarterly Pipeline vs Target Pi'!$A:$AP,31,false)," $","")," €",""), "")
)</f>
        <v>0</v>
      </c>
      <c r="AR503" s="1">
        <f>value(IFERROR(SUBSTITUTE(SUBSTITUTE(VLOOKUP($A503,'Quarterly Pipeline vs Target Pi'!$A:$AP,32,false)," $","")," €",""), "")
)</f>
        <v>0</v>
      </c>
      <c r="AS503" s="17" t="str">
        <f t="shared" si="16"/>
        <v/>
      </c>
      <c r="AT503" s="1">
        <f>value(IFERROR(SUBSTITUTE(SUBSTITUTE(VLOOKUP($A503,'Quarterly Pipeline vs Target Pi'!$A:$AP,36,false)," $","")," €",""), "")
)</f>
        <v>0</v>
      </c>
      <c r="AU503" s="1">
        <f>value(IFERROR(SUBSTITUTE(SUBSTITUTE(VLOOKUP($A503,'Quarterly Pipeline vs Target Pi'!$A:$AP,37,false)," $","")," €",""), "")
)</f>
        <v>0</v>
      </c>
      <c r="AV503" s="17" t="str">
        <f t="shared" si="17"/>
        <v/>
      </c>
      <c r="AW503" s="1">
        <f>value(IFERROR(SUBSTITUTE(SUBSTITUTE(VLOOKUP($A503,'Quarterly Pipeline vs Target Pi'!$A:$AP,41,false)," $","")," €",""), "")
)</f>
        <v>0</v>
      </c>
      <c r="AX503" s="1">
        <f>value(IFERROR(SUBSTITUTE(SUBSTITUTE(VLOOKUP($A503,'Quarterly Pipeline vs Target Pi'!$A:$AP,42,false)," $","")," €",""), "")
)</f>
        <v>0</v>
      </c>
      <c r="AY503" s="17" t="str">
        <f t="shared" si="18"/>
        <v/>
      </c>
      <c r="AZ503" s="1">
        <f t="shared" ref="AZ503:BA503" si="1020">sum(AN503,AQ503,AT503,AW503)</f>
        <v>0</v>
      </c>
      <c r="BA503" s="1">
        <f t="shared" si="1020"/>
        <v>0</v>
      </c>
      <c r="BB503" s="17" t="str">
        <f t="shared" si="20"/>
        <v/>
      </c>
    </row>
    <row r="504">
      <c r="G504" s="1" t="str">
        <f>iferror(VLOOKUP(A504,'Business Plan Setup and Accepta'!A:G,6,false),"")</f>
        <v/>
      </c>
      <c r="H504" s="1" t="str">
        <f>iferror(VLOOKUP(A504,'Business Plan Setup and Accepta'!A:G,7,false),"")</f>
        <v/>
      </c>
      <c r="I504" s="17" t="str">
        <f t="shared" si="3"/>
        <v/>
      </c>
      <c r="J504" s="1" t="str">
        <f>IFERROR(VALUE(SUBSTITUTE(VLOOKUP(A504,'Sales IN Revenues vs Sales targ'!A:G,6,false)," $","")), "")
</f>
        <v/>
      </c>
      <c r="K504" s="1" t="str">
        <f>IFERROR(VALUE(SUBSTITUTE(VLOOKUP(A504,'Sales IN Revenues vs Sales targ'!A:G,7,false)," $","")), "")
</f>
        <v/>
      </c>
      <c r="L504" s="17" t="str">
        <f t="shared" si="4"/>
        <v/>
      </c>
      <c r="M504" s="1">
        <f>value(SUBSTITUTE(IFERROR(VLOOKUP(A504,'Certifications achievements vs '!A:G,6,false),""),"#","")
)</f>
        <v>0</v>
      </c>
      <c r="N504" s="1">
        <f>value(SUBSTITUTE(IFERROR(VLOOKUP(A504,'Certifications achievements vs '!A:G,7,false),""),"#","")
)</f>
        <v>0</v>
      </c>
      <c r="O504" s="17" t="str">
        <f t="shared" si="5"/>
        <v/>
      </c>
      <c r="P504" s="1">
        <f>value(SUBSTITUTE(IFERROR(VLOOKUP(A504,'Communications - Solution Speci'!A:G,6,false),""),"#","")
)</f>
        <v>0</v>
      </c>
      <c r="Q504" s="1">
        <f>value(SUBSTITUTE(IFERROR(VLOOKUP(A504,'Communications - Solution Speci'!A:G,7,false),""),"#","")
)</f>
        <v>0</v>
      </c>
      <c r="R504" s="17" t="str">
        <f t="shared" si="6"/>
        <v/>
      </c>
      <c r="S504" s="1">
        <f>value(SUBSTITUTE(IFERROR(VLOOKUP(A504,'Networking - Solution Specializ'!A:G,6,false),""),"#","")
)</f>
        <v>0</v>
      </c>
      <c r="T504" s="1">
        <f>value(SUBSTITUTE(IFERROR(VLOOKUP(A504,'Networking - Solution Specializ'!A:G,7,false),""),"#","")
)</f>
        <v>0</v>
      </c>
      <c r="U504" s="17" t="str">
        <f t="shared" si="7"/>
        <v/>
      </c>
      <c r="V504" s="1" t="str">
        <f>iferror(vlookup(A504,'Marketing Plan (extract summary'!A:G,6,false),"")</f>
        <v/>
      </c>
      <c r="W504" s="1" t="str">
        <f>iferror(vlookup(A504,'Marketing Plan (extract summary'!A:G,7,false),"")</f>
        <v/>
      </c>
      <c r="X504" s="17" t="str">
        <f t="shared" si="8"/>
        <v/>
      </c>
      <c r="Y504" s="1">
        <f>value(IFERROR(SUBSTITUTE(SUBSTITUTE(VLOOKUP(A504,'Quarterly Pipeline vs Target Pi'!A:G,6,false)," $","")," €",""), "")
)</f>
        <v>0</v>
      </c>
      <c r="Z504" s="1">
        <f>value(IFERROR(SUBSTITUTE(SUBSTITUTE(VLOOKUP(A504,'Quarterly Pipeline vs Target Pi'!A:G,7,false)," $","")," €",""), "")
)</f>
        <v>0</v>
      </c>
      <c r="AA504" s="17" t="str">
        <f t="shared" si="9"/>
        <v/>
      </c>
      <c r="AB504" s="1">
        <f>value(IFERROR(SUBSTITUTE(SUBSTITUTE(VLOOKUP($A504,'Quarterly Pipeline vs Target Pi'!$A:$V,11,false)," $","")," €",""), "")
)</f>
        <v>0</v>
      </c>
      <c r="AC504" s="1">
        <f>value(IFERROR(SUBSTITUTE(SUBSTITUTE(VLOOKUP($A504,'Quarterly Pipeline vs Target Pi'!$A:$V,12,false)," $","")," €",""), "")
)</f>
        <v>0</v>
      </c>
      <c r="AD504" s="17" t="str">
        <f t="shared" si="10"/>
        <v/>
      </c>
      <c r="AE504" s="1">
        <f>value(IFERROR(SUBSTITUTE(SUBSTITUTE(VLOOKUP($A504,'Quarterly Pipeline vs Target Pi'!$A:$V,16,false)," $","")," €",""), "")
)</f>
        <v>0</v>
      </c>
      <c r="AF504" s="1">
        <f>value(IFERROR(SUBSTITUTE(SUBSTITUTE(VLOOKUP($A504,'Quarterly Pipeline vs Target Pi'!$A:$V,17,false)," $","")," €",""), "")
)</f>
        <v>0</v>
      </c>
      <c r="AG504" s="17" t="str">
        <f t="shared" si="11"/>
        <v/>
      </c>
      <c r="AH504" s="1">
        <f>value(IFERROR(SUBSTITUTE(SUBSTITUTE(VLOOKUP($A504,'Quarterly Pipeline vs Target Pi'!$A:$V,21,false)," $","")," €",""), "")
)</f>
        <v>0</v>
      </c>
      <c r="AI504" s="1">
        <f>value(IFERROR(SUBSTITUTE(SUBSTITUTE(VLOOKUP($A504,'Quarterly Pipeline vs Target Pi'!$A:$V,22,false)," $","")," €",""), "")
)</f>
        <v>0</v>
      </c>
      <c r="AJ504" s="17" t="str">
        <f t="shared" si="12"/>
        <v/>
      </c>
      <c r="AK504" s="1">
        <f t="shared" ref="AK504:AL504" si="1021">sum(Y504,AB504,AE504,AH504)</f>
        <v>0</v>
      </c>
      <c r="AL504" s="1">
        <f t="shared" si="1021"/>
        <v>0</v>
      </c>
      <c r="AM504" s="17" t="str">
        <f t="shared" si="14"/>
        <v/>
      </c>
      <c r="AN504" s="1">
        <f>value(IFERROR(SUBSTITUTE(SUBSTITUTE(VLOOKUP($A504,'Quarterly Pipeline vs Target Pi'!$A:$AP,26,false)," $","")," €",""), "")
)</f>
        <v>0</v>
      </c>
      <c r="AO504" s="1">
        <f>value(IFERROR(SUBSTITUTE(SUBSTITUTE(VLOOKUP($A504,'Quarterly Pipeline vs Target Pi'!$A:$AP,27,false)," $","")," €",""), "")
)</f>
        <v>0</v>
      </c>
      <c r="AP504" s="17" t="str">
        <f t="shared" si="15"/>
        <v/>
      </c>
      <c r="AQ504" s="1">
        <f>value(IFERROR(SUBSTITUTE(SUBSTITUTE(VLOOKUP($A504,'Quarterly Pipeline vs Target Pi'!$A:$AP,31,false)," $","")," €",""), "")
)</f>
        <v>0</v>
      </c>
      <c r="AR504" s="1">
        <f>value(IFERROR(SUBSTITUTE(SUBSTITUTE(VLOOKUP($A504,'Quarterly Pipeline vs Target Pi'!$A:$AP,32,false)," $","")," €",""), "")
)</f>
        <v>0</v>
      </c>
      <c r="AS504" s="17" t="str">
        <f t="shared" si="16"/>
        <v/>
      </c>
      <c r="AT504" s="1">
        <f>value(IFERROR(SUBSTITUTE(SUBSTITUTE(VLOOKUP($A504,'Quarterly Pipeline vs Target Pi'!$A:$AP,36,false)," $","")," €",""), "")
)</f>
        <v>0</v>
      </c>
      <c r="AU504" s="1">
        <f>value(IFERROR(SUBSTITUTE(SUBSTITUTE(VLOOKUP($A504,'Quarterly Pipeline vs Target Pi'!$A:$AP,37,false)," $","")," €",""), "")
)</f>
        <v>0</v>
      </c>
      <c r="AV504" s="17" t="str">
        <f t="shared" si="17"/>
        <v/>
      </c>
      <c r="AW504" s="1">
        <f>value(IFERROR(SUBSTITUTE(SUBSTITUTE(VLOOKUP($A504,'Quarterly Pipeline vs Target Pi'!$A:$AP,41,false)," $","")," €",""), "")
)</f>
        <v>0</v>
      </c>
      <c r="AX504" s="1">
        <f>value(IFERROR(SUBSTITUTE(SUBSTITUTE(VLOOKUP($A504,'Quarterly Pipeline vs Target Pi'!$A:$AP,42,false)," $","")," €",""), "")
)</f>
        <v>0</v>
      </c>
      <c r="AY504" s="17" t="str">
        <f t="shared" si="18"/>
        <v/>
      </c>
      <c r="AZ504" s="1">
        <f t="shared" ref="AZ504:BA504" si="1022">sum(AN504,AQ504,AT504,AW504)</f>
        <v>0</v>
      </c>
      <c r="BA504" s="1">
        <f t="shared" si="1022"/>
        <v>0</v>
      </c>
      <c r="BB504" s="17" t="str">
        <f t="shared" si="20"/>
        <v/>
      </c>
    </row>
    <row r="505">
      <c r="G505" s="1" t="str">
        <f>iferror(VLOOKUP(A505,'Business Plan Setup and Accepta'!A:G,6,false),"")</f>
        <v/>
      </c>
      <c r="H505" s="1" t="str">
        <f>iferror(VLOOKUP(A505,'Business Plan Setup and Accepta'!A:G,7,false),"")</f>
        <v/>
      </c>
      <c r="I505" s="17" t="str">
        <f t="shared" si="3"/>
        <v/>
      </c>
      <c r="J505" s="1" t="str">
        <f>IFERROR(VALUE(SUBSTITUTE(VLOOKUP(A505,'Sales IN Revenues vs Sales targ'!A:G,6,false)," $","")), "")
</f>
        <v/>
      </c>
      <c r="K505" s="1" t="str">
        <f>IFERROR(VALUE(SUBSTITUTE(VLOOKUP(A505,'Sales IN Revenues vs Sales targ'!A:G,7,false)," $","")), "")
</f>
        <v/>
      </c>
      <c r="L505" s="17" t="str">
        <f t="shared" si="4"/>
        <v/>
      </c>
      <c r="M505" s="1">
        <f>value(SUBSTITUTE(IFERROR(VLOOKUP(A505,'Certifications achievements vs '!A:G,6,false),""),"#","")
)</f>
        <v>0</v>
      </c>
      <c r="N505" s="1">
        <f>value(SUBSTITUTE(IFERROR(VLOOKUP(A505,'Certifications achievements vs '!A:G,7,false),""),"#","")
)</f>
        <v>0</v>
      </c>
      <c r="O505" s="17" t="str">
        <f t="shared" si="5"/>
        <v/>
      </c>
      <c r="P505" s="1">
        <f>value(SUBSTITUTE(IFERROR(VLOOKUP(A505,'Communications - Solution Speci'!A:G,6,false),""),"#","")
)</f>
        <v>0</v>
      </c>
      <c r="Q505" s="1">
        <f>value(SUBSTITUTE(IFERROR(VLOOKUP(A505,'Communications - Solution Speci'!A:G,7,false),""),"#","")
)</f>
        <v>0</v>
      </c>
      <c r="R505" s="17" t="str">
        <f t="shared" si="6"/>
        <v/>
      </c>
      <c r="S505" s="1">
        <f>value(SUBSTITUTE(IFERROR(VLOOKUP(A505,'Networking - Solution Specializ'!A:G,6,false),""),"#","")
)</f>
        <v>0</v>
      </c>
      <c r="T505" s="1">
        <f>value(SUBSTITUTE(IFERROR(VLOOKUP(A505,'Networking - Solution Specializ'!A:G,7,false),""),"#","")
)</f>
        <v>0</v>
      </c>
      <c r="U505" s="17" t="str">
        <f t="shared" si="7"/>
        <v/>
      </c>
      <c r="V505" s="1" t="str">
        <f>iferror(vlookup(A505,'Marketing Plan (extract summary'!A:G,6,false),"")</f>
        <v/>
      </c>
      <c r="W505" s="1" t="str">
        <f>iferror(vlookup(A505,'Marketing Plan (extract summary'!A:G,7,false),"")</f>
        <v/>
      </c>
      <c r="X505" s="17" t="str">
        <f t="shared" si="8"/>
        <v/>
      </c>
      <c r="Y505" s="1">
        <f>value(IFERROR(SUBSTITUTE(SUBSTITUTE(VLOOKUP(A505,'Quarterly Pipeline vs Target Pi'!A:G,6,false)," $","")," €",""), "")
)</f>
        <v>0</v>
      </c>
      <c r="Z505" s="1">
        <f>value(IFERROR(SUBSTITUTE(SUBSTITUTE(VLOOKUP(A505,'Quarterly Pipeline vs Target Pi'!A:G,7,false)," $","")," €",""), "")
)</f>
        <v>0</v>
      </c>
      <c r="AA505" s="17" t="str">
        <f t="shared" si="9"/>
        <v/>
      </c>
      <c r="AB505" s="1">
        <f>value(IFERROR(SUBSTITUTE(SUBSTITUTE(VLOOKUP($A505,'Quarterly Pipeline vs Target Pi'!$A:$V,11,false)," $","")," €",""), "")
)</f>
        <v>0</v>
      </c>
      <c r="AC505" s="1">
        <f>value(IFERROR(SUBSTITUTE(SUBSTITUTE(VLOOKUP($A505,'Quarterly Pipeline vs Target Pi'!$A:$V,12,false)," $","")," €",""), "")
)</f>
        <v>0</v>
      </c>
      <c r="AD505" s="17" t="str">
        <f t="shared" si="10"/>
        <v/>
      </c>
      <c r="AE505" s="1">
        <f>value(IFERROR(SUBSTITUTE(SUBSTITUTE(VLOOKUP($A505,'Quarterly Pipeline vs Target Pi'!$A:$V,16,false)," $","")," €",""), "")
)</f>
        <v>0</v>
      </c>
      <c r="AF505" s="1">
        <f>value(IFERROR(SUBSTITUTE(SUBSTITUTE(VLOOKUP($A505,'Quarterly Pipeline vs Target Pi'!$A:$V,17,false)," $","")," €",""), "")
)</f>
        <v>0</v>
      </c>
      <c r="AG505" s="17" t="str">
        <f t="shared" si="11"/>
        <v/>
      </c>
      <c r="AH505" s="1">
        <f>value(IFERROR(SUBSTITUTE(SUBSTITUTE(VLOOKUP($A505,'Quarterly Pipeline vs Target Pi'!$A:$V,21,false)," $","")," €",""), "")
)</f>
        <v>0</v>
      </c>
      <c r="AI505" s="1">
        <f>value(IFERROR(SUBSTITUTE(SUBSTITUTE(VLOOKUP($A505,'Quarterly Pipeline vs Target Pi'!$A:$V,22,false)," $","")," €",""), "")
)</f>
        <v>0</v>
      </c>
      <c r="AJ505" s="17" t="str">
        <f t="shared" si="12"/>
        <v/>
      </c>
      <c r="AK505" s="1">
        <f t="shared" ref="AK505:AL505" si="1023">sum(Y505,AB505,AE505,AH505)</f>
        <v>0</v>
      </c>
      <c r="AL505" s="1">
        <f t="shared" si="1023"/>
        <v>0</v>
      </c>
      <c r="AM505" s="17" t="str">
        <f t="shared" si="14"/>
        <v/>
      </c>
      <c r="AN505" s="1">
        <f>value(IFERROR(SUBSTITUTE(SUBSTITUTE(VLOOKUP($A505,'Quarterly Pipeline vs Target Pi'!$A:$AP,26,false)," $","")," €",""), "")
)</f>
        <v>0</v>
      </c>
      <c r="AO505" s="1">
        <f>value(IFERROR(SUBSTITUTE(SUBSTITUTE(VLOOKUP($A505,'Quarterly Pipeline vs Target Pi'!$A:$AP,27,false)," $","")," €",""), "")
)</f>
        <v>0</v>
      </c>
      <c r="AP505" s="17" t="str">
        <f t="shared" si="15"/>
        <v/>
      </c>
      <c r="AQ505" s="1">
        <f>value(IFERROR(SUBSTITUTE(SUBSTITUTE(VLOOKUP($A505,'Quarterly Pipeline vs Target Pi'!$A:$AP,31,false)," $","")," €",""), "")
)</f>
        <v>0</v>
      </c>
      <c r="AR505" s="1">
        <f>value(IFERROR(SUBSTITUTE(SUBSTITUTE(VLOOKUP($A505,'Quarterly Pipeline vs Target Pi'!$A:$AP,32,false)," $","")," €",""), "")
)</f>
        <v>0</v>
      </c>
      <c r="AS505" s="17" t="str">
        <f t="shared" si="16"/>
        <v/>
      </c>
      <c r="AT505" s="1">
        <f>value(IFERROR(SUBSTITUTE(SUBSTITUTE(VLOOKUP($A505,'Quarterly Pipeline vs Target Pi'!$A:$AP,36,false)," $","")," €",""), "")
)</f>
        <v>0</v>
      </c>
      <c r="AU505" s="1">
        <f>value(IFERROR(SUBSTITUTE(SUBSTITUTE(VLOOKUP($A505,'Quarterly Pipeline vs Target Pi'!$A:$AP,37,false)," $","")," €",""), "")
)</f>
        <v>0</v>
      </c>
      <c r="AV505" s="17" t="str">
        <f t="shared" si="17"/>
        <v/>
      </c>
      <c r="AW505" s="1">
        <f>value(IFERROR(SUBSTITUTE(SUBSTITUTE(VLOOKUP($A505,'Quarterly Pipeline vs Target Pi'!$A:$AP,41,false)," $","")," €",""), "")
)</f>
        <v>0</v>
      </c>
      <c r="AX505" s="1">
        <f>value(IFERROR(SUBSTITUTE(SUBSTITUTE(VLOOKUP($A505,'Quarterly Pipeline vs Target Pi'!$A:$AP,42,false)," $","")," €",""), "")
)</f>
        <v>0</v>
      </c>
      <c r="AY505" s="17" t="str">
        <f t="shared" si="18"/>
        <v/>
      </c>
      <c r="AZ505" s="1">
        <f t="shared" ref="AZ505:BA505" si="1024">sum(AN505,AQ505,AT505,AW505)</f>
        <v>0</v>
      </c>
      <c r="BA505" s="1">
        <f t="shared" si="1024"/>
        <v>0</v>
      </c>
      <c r="BB505" s="17" t="str">
        <f t="shared" si="20"/>
        <v/>
      </c>
    </row>
    <row r="506">
      <c r="G506" s="1" t="str">
        <f>iferror(VLOOKUP(A506,'Business Plan Setup and Accepta'!A:G,6,false),"")</f>
        <v/>
      </c>
      <c r="H506" s="1" t="str">
        <f>iferror(VLOOKUP(A506,'Business Plan Setup and Accepta'!A:G,7,false),"")</f>
        <v/>
      </c>
      <c r="I506" s="17" t="str">
        <f t="shared" si="3"/>
        <v/>
      </c>
      <c r="J506" s="1" t="str">
        <f>IFERROR(VALUE(SUBSTITUTE(VLOOKUP(A506,'Sales IN Revenues vs Sales targ'!A:G,6,false)," $","")), "")
</f>
        <v/>
      </c>
      <c r="K506" s="1" t="str">
        <f>IFERROR(VALUE(SUBSTITUTE(VLOOKUP(A506,'Sales IN Revenues vs Sales targ'!A:G,7,false)," $","")), "")
</f>
        <v/>
      </c>
      <c r="L506" s="17" t="str">
        <f t="shared" si="4"/>
        <v/>
      </c>
      <c r="M506" s="1">
        <f>value(SUBSTITUTE(IFERROR(VLOOKUP(A506,'Certifications achievements vs '!A:G,6,false),""),"#","")
)</f>
        <v>0</v>
      </c>
      <c r="N506" s="1">
        <f>value(SUBSTITUTE(IFERROR(VLOOKUP(A506,'Certifications achievements vs '!A:G,7,false),""),"#","")
)</f>
        <v>0</v>
      </c>
      <c r="O506" s="17" t="str">
        <f t="shared" si="5"/>
        <v/>
      </c>
      <c r="P506" s="1">
        <f>value(SUBSTITUTE(IFERROR(VLOOKUP(A506,'Communications - Solution Speci'!A:G,6,false),""),"#","")
)</f>
        <v>0</v>
      </c>
      <c r="Q506" s="1">
        <f>value(SUBSTITUTE(IFERROR(VLOOKUP(A506,'Communications - Solution Speci'!A:G,7,false),""),"#","")
)</f>
        <v>0</v>
      </c>
      <c r="R506" s="17" t="str">
        <f t="shared" si="6"/>
        <v/>
      </c>
      <c r="S506" s="1">
        <f>value(SUBSTITUTE(IFERROR(VLOOKUP(A506,'Networking - Solution Specializ'!A:G,6,false),""),"#","")
)</f>
        <v>0</v>
      </c>
      <c r="T506" s="1">
        <f>value(SUBSTITUTE(IFERROR(VLOOKUP(A506,'Networking - Solution Specializ'!A:G,7,false),""),"#","")
)</f>
        <v>0</v>
      </c>
      <c r="U506" s="17" t="str">
        <f t="shared" si="7"/>
        <v/>
      </c>
      <c r="V506" s="1" t="str">
        <f>iferror(vlookup(A506,'Marketing Plan (extract summary'!A:G,6,false),"")</f>
        <v/>
      </c>
      <c r="W506" s="1" t="str">
        <f>iferror(vlookup(A506,'Marketing Plan (extract summary'!A:G,7,false),"")</f>
        <v/>
      </c>
      <c r="X506" s="17" t="str">
        <f t="shared" si="8"/>
        <v/>
      </c>
      <c r="Y506" s="1">
        <f>value(IFERROR(SUBSTITUTE(SUBSTITUTE(VLOOKUP(A506,'Quarterly Pipeline vs Target Pi'!A:G,6,false)," $","")," €",""), "")
)</f>
        <v>0</v>
      </c>
      <c r="Z506" s="1">
        <f>value(IFERROR(SUBSTITUTE(SUBSTITUTE(VLOOKUP(A506,'Quarterly Pipeline vs Target Pi'!A:G,7,false)," $","")," €",""), "")
)</f>
        <v>0</v>
      </c>
      <c r="AA506" s="17" t="str">
        <f t="shared" si="9"/>
        <v/>
      </c>
      <c r="AB506" s="1">
        <f>value(IFERROR(SUBSTITUTE(SUBSTITUTE(VLOOKUP($A506,'Quarterly Pipeline vs Target Pi'!$A:$V,11,false)," $","")," €",""), "")
)</f>
        <v>0</v>
      </c>
      <c r="AC506" s="1">
        <f>value(IFERROR(SUBSTITUTE(SUBSTITUTE(VLOOKUP($A506,'Quarterly Pipeline vs Target Pi'!$A:$V,12,false)," $","")," €",""), "")
)</f>
        <v>0</v>
      </c>
      <c r="AD506" s="17" t="str">
        <f t="shared" si="10"/>
        <v/>
      </c>
      <c r="AE506" s="1">
        <f>value(IFERROR(SUBSTITUTE(SUBSTITUTE(VLOOKUP($A506,'Quarterly Pipeline vs Target Pi'!$A:$V,16,false)," $","")," €",""), "")
)</f>
        <v>0</v>
      </c>
      <c r="AF506" s="1">
        <f>value(IFERROR(SUBSTITUTE(SUBSTITUTE(VLOOKUP($A506,'Quarterly Pipeline vs Target Pi'!$A:$V,17,false)," $","")," €",""), "")
)</f>
        <v>0</v>
      </c>
      <c r="AG506" s="17" t="str">
        <f t="shared" si="11"/>
        <v/>
      </c>
      <c r="AH506" s="1">
        <f>value(IFERROR(SUBSTITUTE(SUBSTITUTE(VLOOKUP($A506,'Quarterly Pipeline vs Target Pi'!$A:$V,21,false)," $","")," €",""), "")
)</f>
        <v>0</v>
      </c>
      <c r="AI506" s="1">
        <f>value(IFERROR(SUBSTITUTE(SUBSTITUTE(VLOOKUP($A506,'Quarterly Pipeline vs Target Pi'!$A:$V,22,false)," $","")," €",""), "")
)</f>
        <v>0</v>
      </c>
      <c r="AJ506" s="17" t="str">
        <f t="shared" si="12"/>
        <v/>
      </c>
      <c r="AK506" s="1">
        <f t="shared" ref="AK506:AL506" si="1025">sum(Y506,AB506,AE506,AH506)</f>
        <v>0</v>
      </c>
      <c r="AL506" s="1">
        <f t="shared" si="1025"/>
        <v>0</v>
      </c>
      <c r="AM506" s="17" t="str">
        <f t="shared" si="14"/>
        <v/>
      </c>
      <c r="AN506" s="1">
        <f>value(IFERROR(SUBSTITUTE(SUBSTITUTE(VLOOKUP($A506,'Quarterly Pipeline vs Target Pi'!$A:$AP,26,false)," $","")," €",""), "")
)</f>
        <v>0</v>
      </c>
      <c r="AO506" s="1">
        <f>value(IFERROR(SUBSTITUTE(SUBSTITUTE(VLOOKUP($A506,'Quarterly Pipeline vs Target Pi'!$A:$AP,27,false)," $","")," €",""), "")
)</f>
        <v>0</v>
      </c>
      <c r="AP506" s="17" t="str">
        <f t="shared" si="15"/>
        <v/>
      </c>
      <c r="AQ506" s="1">
        <f>value(IFERROR(SUBSTITUTE(SUBSTITUTE(VLOOKUP($A506,'Quarterly Pipeline vs Target Pi'!$A:$AP,31,false)," $","")," €",""), "")
)</f>
        <v>0</v>
      </c>
      <c r="AR506" s="1">
        <f>value(IFERROR(SUBSTITUTE(SUBSTITUTE(VLOOKUP($A506,'Quarterly Pipeline vs Target Pi'!$A:$AP,32,false)," $","")," €",""), "")
)</f>
        <v>0</v>
      </c>
      <c r="AS506" s="17" t="str">
        <f t="shared" si="16"/>
        <v/>
      </c>
      <c r="AT506" s="1">
        <f>value(IFERROR(SUBSTITUTE(SUBSTITUTE(VLOOKUP($A506,'Quarterly Pipeline vs Target Pi'!$A:$AP,36,false)," $","")," €",""), "")
)</f>
        <v>0</v>
      </c>
      <c r="AU506" s="1">
        <f>value(IFERROR(SUBSTITUTE(SUBSTITUTE(VLOOKUP($A506,'Quarterly Pipeline vs Target Pi'!$A:$AP,37,false)," $","")," €",""), "")
)</f>
        <v>0</v>
      </c>
      <c r="AV506" s="17" t="str">
        <f t="shared" si="17"/>
        <v/>
      </c>
      <c r="AW506" s="1">
        <f>value(IFERROR(SUBSTITUTE(SUBSTITUTE(VLOOKUP($A506,'Quarterly Pipeline vs Target Pi'!$A:$AP,41,false)," $","")," €",""), "")
)</f>
        <v>0</v>
      </c>
      <c r="AX506" s="1">
        <f>value(IFERROR(SUBSTITUTE(SUBSTITUTE(VLOOKUP($A506,'Quarterly Pipeline vs Target Pi'!$A:$AP,42,false)," $","")," €",""), "")
)</f>
        <v>0</v>
      </c>
      <c r="AY506" s="17" t="str">
        <f t="shared" si="18"/>
        <v/>
      </c>
      <c r="AZ506" s="1">
        <f t="shared" ref="AZ506:BA506" si="1026">sum(AN506,AQ506,AT506,AW506)</f>
        <v>0</v>
      </c>
      <c r="BA506" s="1">
        <f t="shared" si="1026"/>
        <v>0</v>
      </c>
      <c r="BB506" s="17" t="str">
        <f t="shared" si="20"/>
        <v/>
      </c>
    </row>
    <row r="507">
      <c r="G507" s="1" t="str">
        <f>iferror(VLOOKUP(A507,'Business Plan Setup and Accepta'!A:G,6,false),"")</f>
        <v/>
      </c>
      <c r="H507" s="1" t="str">
        <f>iferror(VLOOKUP(A507,'Business Plan Setup and Accepta'!A:G,7,false),"")</f>
        <v/>
      </c>
      <c r="I507" s="17" t="str">
        <f t="shared" si="3"/>
        <v/>
      </c>
      <c r="J507" s="1" t="str">
        <f>IFERROR(VALUE(SUBSTITUTE(VLOOKUP(A507,'Sales IN Revenues vs Sales targ'!A:G,6,false)," $","")), "")
</f>
        <v/>
      </c>
      <c r="K507" s="1" t="str">
        <f>IFERROR(VALUE(SUBSTITUTE(VLOOKUP(A507,'Sales IN Revenues vs Sales targ'!A:G,7,false)," $","")), "")
</f>
        <v/>
      </c>
      <c r="L507" s="17" t="str">
        <f t="shared" si="4"/>
        <v/>
      </c>
      <c r="M507" s="1">
        <f>value(SUBSTITUTE(IFERROR(VLOOKUP(A507,'Certifications achievements vs '!A:G,6,false),""),"#","")
)</f>
        <v>0</v>
      </c>
      <c r="N507" s="1">
        <f>value(SUBSTITUTE(IFERROR(VLOOKUP(A507,'Certifications achievements vs '!A:G,7,false),""),"#","")
)</f>
        <v>0</v>
      </c>
      <c r="O507" s="17" t="str">
        <f t="shared" si="5"/>
        <v/>
      </c>
      <c r="P507" s="1">
        <f>value(SUBSTITUTE(IFERROR(VLOOKUP(A507,'Communications - Solution Speci'!A:G,6,false),""),"#","")
)</f>
        <v>0</v>
      </c>
      <c r="Q507" s="1">
        <f>value(SUBSTITUTE(IFERROR(VLOOKUP(A507,'Communications - Solution Speci'!A:G,7,false),""),"#","")
)</f>
        <v>0</v>
      </c>
      <c r="R507" s="17" t="str">
        <f t="shared" si="6"/>
        <v/>
      </c>
      <c r="S507" s="1">
        <f>value(SUBSTITUTE(IFERROR(VLOOKUP(A507,'Networking - Solution Specializ'!A:G,6,false),""),"#","")
)</f>
        <v>0</v>
      </c>
      <c r="T507" s="1">
        <f>value(SUBSTITUTE(IFERROR(VLOOKUP(A507,'Networking - Solution Specializ'!A:G,7,false),""),"#","")
)</f>
        <v>0</v>
      </c>
      <c r="U507" s="17" t="str">
        <f t="shared" si="7"/>
        <v/>
      </c>
      <c r="V507" s="1" t="str">
        <f>iferror(vlookup(A507,'Marketing Plan (extract summary'!A:G,6,false),"")</f>
        <v/>
      </c>
      <c r="W507" s="1" t="str">
        <f>iferror(vlookup(A507,'Marketing Plan (extract summary'!A:G,7,false),"")</f>
        <v/>
      </c>
      <c r="X507" s="17" t="str">
        <f t="shared" si="8"/>
        <v/>
      </c>
      <c r="Y507" s="1">
        <f>value(IFERROR(SUBSTITUTE(SUBSTITUTE(VLOOKUP(A507,'Quarterly Pipeline vs Target Pi'!A:G,6,false)," $","")," €",""), "")
)</f>
        <v>0</v>
      </c>
      <c r="Z507" s="1">
        <f>value(IFERROR(SUBSTITUTE(SUBSTITUTE(VLOOKUP(A507,'Quarterly Pipeline vs Target Pi'!A:G,7,false)," $","")," €",""), "")
)</f>
        <v>0</v>
      </c>
      <c r="AA507" s="17" t="str">
        <f t="shared" si="9"/>
        <v/>
      </c>
      <c r="AB507" s="1">
        <f>value(IFERROR(SUBSTITUTE(SUBSTITUTE(VLOOKUP($A507,'Quarterly Pipeline vs Target Pi'!$A:$V,11,false)," $","")," €",""), "")
)</f>
        <v>0</v>
      </c>
      <c r="AC507" s="1">
        <f>value(IFERROR(SUBSTITUTE(SUBSTITUTE(VLOOKUP($A507,'Quarterly Pipeline vs Target Pi'!$A:$V,12,false)," $","")," €",""), "")
)</f>
        <v>0</v>
      </c>
      <c r="AD507" s="17" t="str">
        <f t="shared" si="10"/>
        <v/>
      </c>
      <c r="AE507" s="1">
        <f>value(IFERROR(SUBSTITUTE(SUBSTITUTE(VLOOKUP($A507,'Quarterly Pipeline vs Target Pi'!$A:$V,16,false)," $","")," €",""), "")
)</f>
        <v>0</v>
      </c>
      <c r="AF507" s="1">
        <f>value(IFERROR(SUBSTITUTE(SUBSTITUTE(VLOOKUP($A507,'Quarterly Pipeline vs Target Pi'!$A:$V,17,false)," $","")," €",""), "")
)</f>
        <v>0</v>
      </c>
      <c r="AG507" s="17" t="str">
        <f t="shared" si="11"/>
        <v/>
      </c>
      <c r="AH507" s="1">
        <f>value(IFERROR(SUBSTITUTE(SUBSTITUTE(VLOOKUP($A507,'Quarterly Pipeline vs Target Pi'!$A:$V,21,false)," $","")," €",""), "")
)</f>
        <v>0</v>
      </c>
      <c r="AI507" s="1">
        <f>value(IFERROR(SUBSTITUTE(SUBSTITUTE(VLOOKUP($A507,'Quarterly Pipeline vs Target Pi'!$A:$V,22,false)," $","")," €",""), "")
)</f>
        <v>0</v>
      </c>
      <c r="AJ507" s="17" t="str">
        <f t="shared" si="12"/>
        <v/>
      </c>
      <c r="AK507" s="1">
        <f t="shared" ref="AK507:AL507" si="1027">sum(Y507,AB507,AE507,AH507)</f>
        <v>0</v>
      </c>
      <c r="AL507" s="1">
        <f t="shared" si="1027"/>
        <v>0</v>
      </c>
      <c r="AM507" s="17" t="str">
        <f t="shared" si="14"/>
        <v/>
      </c>
      <c r="AN507" s="1">
        <f>value(IFERROR(SUBSTITUTE(SUBSTITUTE(VLOOKUP($A507,'Quarterly Pipeline vs Target Pi'!$A:$AP,26,false)," $","")," €",""), "")
)</f>
        <v>0</v>
      </c>
      <c r="AO507" s="1">
        <f>value(IFERROR(SUBSTITUTE(SUBSTITUTE(VLOOKUP($A507,'Quarterly Pipeline vs Target Pi'!$A:$AP,27,false)," $","")," €",""), "")
)</f>
        <v>0</v>
      </c>
      <c r="AP507" s="17" t="str">
        <f t="shared" si="15"/>
        <v/>
      </c>
      <c r="AQ507" s="1">
        <f>value(IFERROR(SUBSTITUTE(SUBSTITUTE(VLOOKUP($A507,'Quarterly Pipeline vs Target Pi'!$A:$AP,31,false)," $","")," €",""), "")
)</f>
        <v>0</v>
      </c>
      <c r="AR507" s="1">
        <f>value(IFERROR(SUBSTITUTE(SUBSTITUTE(VLOOKUP($A507,'Quarterly Pipeline vs Target Pi'!$A:$AP,32,false)," $","")," €",""), "")
)</f>
        <v>0</v>
      </c>
      <c r="AS507" s="17" t="str">
        <f t="shared" si="16"/>
        <v/>
      </c>
      <c r="AT507" s="1">
        <f>value(IFERROR(SUBSTITUTE(SUBSTITUTE(VLOOKUP($A507,'Quarterly Pipeline vs Target Pi'!$A:$AP,36,false)," $","")," €",""), "")
)</f>
        <v>0</v>
      </c>
      <c r="AU507" s="1">
        <f>value(IFERROR(SUBSTITUTE(SUBSTITUTE(VLOOKUP($A507,'Quarterly Pipeline vs Target Pi'!$A:$AP,37,false)," $","")," €",""), "")
)</f>
        <v>0</v>
      </c>
      <c r="AV507" s="17" t="str">
        <f t="shared" si="17"/>
        <v/>
      </c>
      <c r="AW507" s="1">
        <f>value(IFERROR(SUBSTITUTE(SUBSTITUTE(VLOOKUP($A507,'Quarterly Pipeline vs Target Pi'!$A:$AP,41,false)," $","")," €",""), "")
)</f>
        <v>0</v>
      </c>
      <c r="AX507" s="1">
        <f>value(IFERROR(SUBSTITUTE(SUBSTITUTE(VLOOKUP($A507,'Quarterly Pipeline vs Target Pi'!$A:$AP,42,false)," $","")," €",""), "")
)</f>
        <v>0</v>
      </c>
      <c r="AY507" s="17" t="str">
        <f t="shared" si="18"/>
        <v/>
      </c>
      <c r="AZ507" s="1">
        <f t="shared" ref="AZ507:BA507" si="1028">sum(AN507,AQ507,AT507,AW507)</f>
        <v>0</v>
      </c>
      <c r="BA507" s="1">
        <f t="shared" si="1028"/>
        <v>0</v>
      </c>
      <c r="BB507" s="17" t="str">
        <f t="shared" si="20"/>
        <v/>
      </c>
    </row>
    <row r="508">
      <c r="G508" s="1" t="str">
        <f>iferror(VLOOKUP(A508,'Business Plan Setup and Accepta'!A:G,6,false),"")</f>
        <v/>
      </c>
      <c r="H508" s="1" t="str">
        <f>iferror(VLOOKUP(A508,'Business Plan Setup and Accepta'!A:G,7,false),"")</f>
        <v/>
      </c>
      <c r="I508" s="17" t="str">
        <f t="shared" si="3"/>
        <v/>
      </c>
      <c r="J508" s="1" t="str">
        <f>IFERROR(VALUE(SUBSTITUTE(VLOOKUP(A508,'Sales IN Revenues vs Sales targ'!A:G,6,false)," $","")), "")
</f>
        <v/>
      </c>
      <c r="K508" s="1" t="str">
        <f>IFERROR(VALUE(SUBSTITUTE(VLOOKUP(A508,'Sales IN Revenues vs Sales targ'!A:G,7,false)," $","")), "")
</f>
        <v/>
      </c>
      <c r="L508" s="17" t="str">
        <f t="shared" si="4"/>
        <v/>
      </c>
      <c r="M508" s="1">
        <f>value(SUBSTITUTE(IFERROR(VLOOKUP(A508,'Certifications achievements vs '!A:G,6,false),""),"#","")
)</f>
        <v>0</v>
      </c>
      <c r="N508" s="1">
        <f>value(SUBSTITUTE(IFERROR(VLOOKUP(A508,'Certifications achievements vs '!A:G,7,false),""),"#","")
)</f>
        <v>0</v>
      </c>
      <c r="O508" s="17" t="str">
        <f t="shared" si="5"/>
        <v/>
      </c>
      <c r="P508" s="1">
        <f>value(SUBSTITUTE(IFERROR(VLOOKUP(A508,'Communications - Solution Speci'!A:G,6,false),""),"#","")
)</f>
        <v>0</v>
      </c>
      <c r="Q508" s="1">
        <f>value(SUBSTITUTE(IFERROR(VLOOKUP(A508,'Communications - Solution Speci'!A:G,7,false),""),"#","")
)</f>
        <v>0</v>
      </c>
      <c r="R508" s="17" t="str">
        <f t="shared" si="6"/>
        <v/>
      </c>
      <c r="S508" s="1">
        <f>value(SUBSTITUTE(IFERROR(VLOOKUP(A508,'Networking - Solution Specializ'!A:G,6,false),""),"#","")
)</f>
        <v>0</v>
      </c>
      <c r="T508" s="1">
        <f>value(SUBSTITUTE(IFERROR(VLOOKUP(A508,'Networking - Solution Specializ'!A:G,7,false),""),"#","")
)</f>
        <v>0</v>
      </c>
      <c r="U508" s="17" t="str">
        <f t="shared" si="7"/>
        <v/>
      </c>
      <c r="V508" s="1" t="str">
        <f>iferror(vlookup(A508,'Marketing Plan (extract summary'!A:G,6,false),"")</f>
        <v/>
      </c>
      <c r="W508" s="1" t="str">
        <f>iferror(vlookup(A508,'Marketing Plan (extract summary'!A:G,7,false),"")</f>
        <v/>
      </c>
      <c r="X508" s="17" t="str">
        <f t="shared" si="8"/>
        <v/>
      </c>
      <c r="Y508" s="1">
        <f>value(IFERROR(SUBSTITUTE(SUBSTITUTE(VLOOKUP(A508,'Quarterly Pipeline vs Target Pi'!A:G,6,false)," $","")," €",""), "")
)</f>
        <v>0</v>
      </c>
      <c r="Z508" s="1">
        <f>value(IFERROR(SUBSTITUTE(SUBSTITUTE(VLOOKUP(A508,'Quarterly Pipeline vs Target Pi'!A:G,7,false)," $","")," €",""), "")
)</f>
        <v>0</v>
      </c>
      <c r="AA508" s="17" t="str">
        <f t="shared" si="9"/>
        <v/>
      </c>
      <c r="AB508" s="1">
        <f>value(IFERROR(SUBSTITUTE(SUBSTITUTE(VLOOKUP($A508,'Quarterly Pipeline vs Target Pi'!$A:$V,11,false)," $","")," €",""), "")
)</f>
        <v>0</v>
      </c>
      <c r="AC508" s="1">
        <f>value(IFERROR(SUBSTITUTE(SUBSTITUTE(VLOOKUP($A508,'Quarterly Pipeline vs Target Pi'!$A:$V,12,false)," $","")," €",""), "")
)</f>
        <v>0</v>
      </c>
      <c r="AD508" s="17" t="str">
        <f t="shared" si="10"/>
        <v/>
      </c>
      <c r="AE508" s="1">
        <f>value(IFERROR(SUBSTITUTE(SUBSTITUTE(VLOOKUP($A508,'Quarterly Pipeline vs Target Pi'!$A:$V,16,false)," $","")," €",""), "")
)</f>
        <v>0</v>
      </c>
      <c r="AF508" s="1">
        <f>value(IFERROR(SUBSTITUTE(SUBSTITUTE(VLOOKUP($A508,'Quarterly Pipeline vs Target Pi'!$A:$V,17,false)," $","")," €",""), "")
)</f>
        <v>0</v>
      </c>
      <c r="AG508" s="17" t="str">
        <f t="shared" si="11"/>
        <v/>
      </c>
      <c r="AH508" s="1">
        <f>value(IFERROR(SUBSTITUTE(SUBSTITUTE(VLOOKUP($A508,'Quarterly Pipeline vs Target Pi'!$A:$V,21,false)," $","")," €",""), "")
)</f>
        <v>0</v>
      </c>
      <c r="AI508" s="1">
        <f>value(IFERROR(SUBSTITUTE(SUBSTITUTE(VLOOKUP($A508,'Quarterly Pipeline vs Target Pi'!$A:$V,22,false)," $","")," €",""), "")
)</f>
        <v>0</v>
      </c>
      <c r="AJ508" s="17" t="str">
        <f t="shared" si="12"/>
        <v/>
      </c>
      <c r="AK508" s="1">
        <f t="shared" ref="AK508:AL508" si="1029">sum(Y508,AB508,AE508,AH508)</f>
        <v>0</v>
      </c>
      <c r="AL508" s="1">
        <f t="shared" si="1029"/>
        <v>0</v>
      </c>
      <c r="AM508" s="17" t="str">
        <f t="shared" si="14"/>
        <v/>
      </c>
      <c r="AN508" s="1">
        <f>value(IFERROR(SUBSTITUTE(SUBSTITUTE(VLOOKUP($A508,'Quarterly Pipeline vs Target Pi'!$A:$AP,26,false)," $","")," €",""), "")
)</f>
        <v>0</v>
      </c>
      <c r="AO508" s="1">
        <f>value(IFERROR(SUBSTITUTE(SUBSTITUTE(VLOOKUP($A508,'Quarterly Pipeline vs Target Pi'!$A:$AP,27,false)," $","")," €",""), "")
)</f>
        <v>0</v>
      </c>
      <c r="AP508" s="17" t="str">
        <f t="shared" si="15"/>
        <v/>
      </c>
      <c r="AQ508" s="1">
        <f>value(IFERROR(SUBSTITUTE(SUBSTITUTE(VLOOKUP($A508,'Quarterly Pipeline vs Target Pi'!$A:$AP,31,false)," $","")," €",""), "")
)</f>
        <v>0</v>
      </c>
      <c r="AR508" s="1">
        <f>value(IFERROR(SUBSTITUTE(SUBSTITUTE(VLOOKUP($A508,'Quarterly Pipeline vs Target Pi'!$A:$AP,32,false)," $","")," €",""), "")
)</f>
        <v>0</v>
      </c>
      <c r="AS508" s="17" t="str">
        <f t="shared" si="16"/>
        <v/>
      </c>
      <c r="AT508" s="1">
        <f>value(IFERROR(SUBSTITUTE(SUBSTITUTE(VLOOKUP($A508,'Quarterly Pipeline vs Target Pi'!$A:$AP,36,false)," $","")," €",""), "")
)</f>
        <v>0</v>
      </c>
      <c r="AU508" s="1">
        <f>value(IFERROR(SUBSTITUTE(SUBSTITUTE(VLOOKUP($A508,'Quarterly Pipeline vs Target Pi'!$A:$AP,37,false)," $","")," €",""), "")
)</f>
        <v>0</v>
      </c>
      <c r="AV508" s="17" t="str">
        <f t="shared" si="17"/>
        <v/>
      </c>
      <c r="AW508" s="1">
        <f>value(IFERROR(SUBSTITUTE(SUBSTITUTE(VLOOKUP($A508,'Quarterly Pipeline vs Target Pi'!$A:$AP,41,false)," $","")," €",""), "")
)</f>
        <v>0</v>
      </c>
      <c r="AX508" s="1">
        <f>value(IFERROR(SUBSTITUTE(SUBSTITUTE(VLOOKUP($A508,'Quarterly Pipeline vs Target Pi'!$A:$AP,42,false)," $","")," €",""), "")
)</f>
        <v>0</v>
      </c>
      <c r="AY508" s="17" t="str">
        <f t="shared" si="18"/>
        <v/>
      </c>
      <c r="AZ508" s="1">
        <f t="shared" ref="AZ508:BA508" si="1030">sum(AN508,AQ508,AT508,AW508)</f>
        <v>0</v>
      </c>
      <c r="BA508" s="1">
        <f t="shared" si="1030"/>
        <v>0</v>
      </c>
      <c r="BB508" s="17" t="str">
        <f t="shared" si="20"/>
        <v/>
      </c>
    </row>
    <row r="509">
      <c r="G509" s="1" t="str">
        <f>iferror(VLOOKUP(A509,'Business Plan Setup and Accepta'!A:G,6,false),"")</f>
        <v/>
      </c>
      <c r="H509" s="1" t="str">
        <f>iferror(VLOOKUP(A509,'Business Plan Setup and Accepta'!A:G,7,false),"")</f>
        <v/>
      </c>
      <c r="I509" s="17" t="str">
        <f t="shared" si="3"/>
        <v/>
      </c>
      <c r="J509" s="1" t="str">
        <f>IFERROR(VALUE(SUBSTITUTE(VLOOKUP(A509,'Sales IN Revenues vs Sales targ'!A:G,6,false)," $","")), "")
</f>
        <v/>
      </c>
      <c r="K509" s="1" t="str">
        <f>IFERROR(VALUE(SUBSTITUTE(VLOOKUP(A509,'Sales IN Revenues vs Sales targ'!A:G,7,false)," $","")), "")
</f>
        <v/>
      </c>
      <c r="L509" s="17" t="str">
        <f t="shared" si="4"/>
        <v/>
      </c>
      <c r="M509" s="1">
        <f>value(SUBSTITUTE(IFERROR(VLOOKUP(A509,'Certifications achievements vs '!A:G,6,false),""),"#","")
)</f>
        <v>0</v>
      </c>
      <c r="N509" s="1">
        <f>value(SUBSTITUTE(IFERROR(VLOOKUP(A509,'Certifications achievements vs '!A:G,7,false),""),"#","")
)</f>
        <v>0</v>
      </c>
      <c r="O509" s="17" t="str">
        <f t="shared" si="5"/>
        <v/>
      </c>
      <c r="P509" s="1">
        <f>value(SUBSTITUTE(IFERROR(VLOOKUP(A509,'Communications - Solution Speci'!A:G,6,false),""),"#","")
)</f>
        <v>0</v>
      </c>
      <c r="Q509" s="1">
        <f>value(SUBSTITUTE(IFERROR(VLOOKUP(A509,'Communications - Solution Speci'!A:G,7,false),""),"#","")
)</f>
        <v>0</v>
      </c>
      <c r="R509" s="17" t="str">
        <f t="shared" si="6"/>
        <v/>
      </c>
      <c r="S509" s="1">
        <f>value(SUBSTITUTE(IFERROR(VLOOKUP(A509,'Networking - Solution Specializ'!A:G,6,false),""),"#","")
)</f>
        <v>0</v>
      </c>
      <c r="T509" s="1">
        <f>value(SUBSTITUTE(IFERROR(VLOOKUP(A509,'Networking - Solution Specializ'!A:G,7,false),""),"#","")
)</f>
        <v>0</v>
      </c>
      <c r="U509" s="17" t="str">
        <f t="shared" si="7"/>
        <v/>
      </c>
      <c r="V509" s="1" t="str">
        <f>iferror(vlookup(A509,'Marketing Plan (extract summary'!A:G,6,false),"")</f>
        <v/>
      </c>
      <c r="W509" s="1" t="str">
        <f>iferror(vlookup(A509,'Marketing Plan (extract summary'!A:G,7,false),"")</f>
        <v/>
      </c>
      <c r="X509" s="17" t="str">
        <f t="shared" si="8"/>
        <v/>
      </c>
      <c r="Y509" s="1">
        <f>value(IFERROR(SUBSTITUTE(SUBSTITUTE(VLOOKUP(A509,'Quarterly Pipeline vs Target Pi'!A:G,6,false)," $","")," €",""), "")
)</f>
        <v>0</v>
      </c>
      <c r="Z509" s="1">
        <f>value(IFERROR(SUBSTITUTE(SUBSTITUTE(VLOOKUP(A509,'Quarterly Pipeline vs Target Pi'!A:G,7,false)," $","")," €",""), "")
)</f>
        <v>0</v>
      </c>
      <c r="AA509" s="17" t="str">
        <f t="shared" si="9"/>
        <v/>
      </c>
      <c r="AB509" s="1">
        <f>value(IFERROR(SUBSTITUTE(SUBSTITUTE(VLOOKUP($A509,'Quarterly Pipeline vs Target Pi'!$A:$V,11,false)," $","")," €",""), "")
)</f>
        <v>0</v>
      </c>
      <c r="AC509" s="1">
        <f>value(IFERROR(SUBSTITUTE(SUBSTITUTE(VLOOKUP($A509,'Quarterly Pipeline vs Target Pi'!$A:$V,12,false)," $","")," €",""), "")
)</f>
        <v>0</v>
      </c>
      <c r="AD509" s="17" t="str">
        <f t="shared" si="10"/>
        <v/>
      </c>
      <c r="AE509" s="1">
        <f>value(IFERROR(SUBSTITUTE(SUBSTITUTE(VLOOKUP($A509,'Quarterly Pipeline vs Target Pi'!$A:$V,16,false)," $","")," €",""), "")
)</f>
        <v>0</v>
      </c>
      <c r="AF509" s="1">
        <f>value(IFERROR(SUBSTITUTE(SUBSTITUTE(VLOOKUP($A509,'Quarterly Pipeline vs Target Pi'!$A:$V,17,false)," $","")," €",""), "")
)</f>
        <v>0</v>
      </c>
      <c r="AG509" s="17" t="str">
        <f t="shared" si="11"/>
        <v/>
      </c>
      <c r="AH509" s="1">
        <f>value(IFERROR(SUBSTITUTE(SUBSTITUTE(VLOOKUP($A509,'Quarterly Pipeline vs Target Pi'!$A:$V,21,false)," $","")," €",""), "")
)</f>
        <v>0</v>
      </c>
      <c r="AI509" s="1">
        <f>value(IFERROR(SUBSTITUTE(SUBSTITUTE(VLOOKUP($A509,'Quarterly Pipeline vs Target Pi'!$A:$V,22,false)," $","")," €",""), "")
)</f>
        <v>0</v>
      </c>
      <c r="AJ509" s="17" t="str">
        <f t="shared" si="12"/>
        <v/>
      </c>
      <c r="AK509" s="1">
        <f t="shared" ref="AK509:AL509" si="1031">sum(Y509,AB509,AE509,AH509)</f>
        <v>0</v>
      </c>
      <c r="AL509" s="1">
        <f t="shared" si="1031"/>
        <v>0</v>
      </c>
      <c r="AM509" s="17" t="str">
        <f t="shared" si="14"/>
        <v/>
      </c>
      <c r="AN509" s="1">
        <f>value(IFERROR(SUBSTITUTE(SUBSTITUTE(VLOOKUP($A509,'Quarterly Pipeline vs Target Pi'!$A:$AP,26,false)," $","")," €",""), "")
)</f>
        <v>0</v>
      </c>
      <c r="AO509" s="1">
        <f>value(IFERROR(SUBSTITUTE(SUBSTITUTE(VLOOKUP($A509,'Quarterly Pipeline vs Target Pi'!$A:$AP,27,false)," $","")," €",""), "")
)</f>
        <v>0</v>
      </c>
      <c r="AP509" s="17" t="str">
        <f t="shared" si="15"/>
        <v/>
      </c>
      <c r="AQ509" s="1">
        <f>value(IFERROR(SUBSTITUTE(SUBSTITUTE(VLOOKUP($A509,'Quarterly Pipeline vs Target Pi'!$A:$AP,31,false)," $","")," €",""), "")
)</f>
        <v>0</v>
      </c>
      <c r="AR509" s="1">
        <f>value(IFERROR(SUBSTITUTE(SUBSTITUTE(VLOOKUP($A509,'Quarterly Pipeline vs Target Pi'!$A:$AP,32,false)," $","")," €",""), "")
)</f>
        <v>0</v>
      </c>
      <c r="AS509" s="17" t="str">
        <f t="shared" si="16"/>
        <v/>
      </c>
      <c r="AT509" s="1">
        <f>value(IFERROR(SUBSTITUTE(SUBSTITUTE(VLOOKUP($A509,'Quarterly Pipeline vs Target Pi'!$A:$AP,36,false)," $","")," €",""), "")
)</f>
        <v>0</v>
      </c>
      <c r="AU509" s="1">
        <f>value(IFERROR(SUBSTITUTE(SUBSTITUTE(VLOOKUP($A509,'Quarterly Pipeline vs Target Pi'!$A:$AP,37,false)," $","")," €",""), "")
)</f>
        <v>0</v>
      </c>
      <c r="AV509" s="17" t="str">
        <f t="shared" si="17"/>
        <v/>
      </c>
      <c r="AW509" s="1">
        <f>value(IFERROR(SUBSTITUTE(SUBSTITUTE(VLOOKUP($A509,'Quarterly Pipeline vs Target Pi'!$A:$AP,41,false)," $","")," €",""), "")
)</f>
        <v>0</v>
      </c>
      <c r="AX509" s="1">
        <f>value(IFERROR(SUBSTITUTE(SUBSTITUTE(VLOOKUP($A509,'Quarterly Pipeline vs Target Pi'!$A:$AP,42,false)," $","")," €",""), "")
)</f>
        <v>0</v>
      </c>
      <c r="AY509" s="17" t="str">
        <f t="shared" si="18"/>
        <v/>
      </c>
      <c r="AZ509" s="1">
        <f t="shared" ref="AZ509:BA509" si="1032">sum(AN509,AQ509,AT509,AW509)</f>
        <v>0</v>
      </c>
      <c r="BA509" s="1">
        <f t="shared" si="1032"/>
        <v>0</v>
      </c>
      <c r="BB509" s="17" t="str">
        <f t="shared" si="20"/>
        <v/>
      </c>
    </row>
    <row r="510">
      <c r="G510" s="1" t="str">
        <f>iferror(VLOOKUP(A510,'Business Plan Setup and Accepta'!A:G,6,false),"")</f>
        <v/>
      </c>
      <c r="H510" s="1" t="str">
        <f>iferror(VLOOKUP(A510,'Business Plan Setup and Accepta'!A:G,7,false),"")</f>
        <v/>
      </c>
      <c r="I510" s="17" t="str">
        <f t="shared" si="3"/>
        <v/>
      </c>
      <c r="J510" s="1" t="str">
        <f>IFERROR(VALUE(SUBSTITUTE(VLOOKUP(A510,'Sales IN Revenues vs Sales targ'!A:G,6,false)," $","")), "")
</f>
        <v/>
      </c>
      <c r="K510" s="1" t="str">
        <f>IFERROR(VALUE(SUBSTITUTE(VLOOKUP(A510,'Sales IN Revenues vs Sales targ'!A:G,7,false)," $","")), "")
</f>
        <v/>
      </c>
      <c r="L510" s="17" t="str">
        <f t="shared" si="4"/>
        <v/>
      </c>
      <c r="M510" s="1">
        <f>value(SUBSTITUTE(IFERROR(VLOOKUP(A510,'Certifications achievements vs '!A:G,6,false),""),"#","")
)</f>
        <v>0</v>
      </c>
      <c r="N510" s="1">
        <f>value(SUBSTITUTE(IFERROR(VLOOKUP(A510,'Certifications achievements vs '!A:G,7,false),""),"#","")
)</f>
        <v>0</v>
      </c>
      <c r="O510" s="17" t="str">
        <f t="shared" si="5"/>
        <v/>
      </c>
      <c r="P510" s="1">
        <f>value(SUBSTITUTE(IFERROR(VLOOKUP(A510,'Communications - Solution Speci'!A:G,6,false),""),"#","")
)</f>
        <v>0</v>
      </c>
      <c r="Q510" s="1">
        <f>value(SUBSTITUTE(IFERROR(VLOOKUP(A510,'Communications - Solution Speci'!A:G,7,false),""),"#","")
)</f>
        <v>0</v>
      </c>
      <c r="R510" s="17" t="str">
        <f t="shared" si="6"/>
        <v/>
      </c>
      <c r="S510" s="1">
        <f>value(SUBSTITUTE(IFERROR(VLOOKUP(A510,'Networking - Solution Specializ'!A:G,6,false),""),"#","")
)</f>
        <v>0</v>
      </c>
      <c r="T510" s="1">
        <f>value(SUBSTITUTE(IFERROR(VLOOKUP(A510,'Networking - Solution Specializ'!A:G,7,false),""),"#","")
)</f>
        <v>0</v>
      </c>
      <c r="U510" s="17" t="str">
        <f t="shared" si="7"/>
        <v/>
      </c>
      <c r="V510" s="1" t="str">
        <f>iferror(vlookup(A510,'Marketing Plan (extract summary'!A:G,6,false),"")</f>
        <v/>
      </c>
      <c r="W510" s="1" t="str">
        <f>iferror(vlookup(A510,'Marketing Plan (extract summary'!A:G,7,false),"")</f>
        <v/>
      </c>
      <c r="X510" s="17" t="str">
        <f t="shared" si="8"/>
        <v/>
      </c>
      <c r="Y510" s="1">
        <f>value(IFERROR(SUBSTITUTE(SUBSTITUTE(VLOOKUP(A510,'Quarterly Pipeline vs Target Pi'!A:G,6,false)," $","")," €",""), "")
)</f>
        <v>0</v>
      </c>
      <c r="Z510" s="1">
        <f>value(IFERROR(SUBSTITUTE(SUBSTITUTE(VLOOKUP(A510,'Quarterly Pipeline vs Target Pi'!A:G,7,false)," $","")," €",""), "")
)</f>
        <v>0</v>
      </c>
      <c r="AA510" s="17" t="str">
        <f t="shared" si="9"/>
        <v/>
      </c>
      <c r="AB510" s="1">
        <f>value(IFERROR(SUBSTITUTE(SUBSTITUTE(VLOOKUP($A510,'Quarterly Pipeline vs Target Pi'!$A:$V,11,false)," $","")," €",""), "")
)</f>
        <v>0</v>
      </c>
      <c r="AC510" s="1">
        <f>value(IFERROR(SUBSTITUTE(SUBSTITUTE(VLOOKUP($A510,'Quarterly Pipeline vs Target Pi'!$A:$V,12,false)," $","")," €",""), "")
)</f>
        <v>0</v>
      </c>
      <c r="AD510" s="17" t="str">
        <f t="shared" si="10"/>
        <v/>
      </c>
      <c r="AE510" s="1">
        <f>value(IFERROR(SUBSTITUTE(SUBSTITUTE(VLOOKUP($A510,'Quarterly Pipeline vs Target Pi'!$A:$V,16,false)," $","")," €",""), "")
)</f>
        <v>0</v>
      </c>
      <c r="AF510" s="1">
        <f>value(IFERROR(SUBSTITUTE(SUBSTITUTE(VLOOKUP($A510,'Quarterly Pipeline vs Target Pi'!$A:$V,17,false)," $","")," €",""), "")
)</f>
        <v>0</v>
      </c>
      <c r="AG510" s="17" t="str">
        <f t="shared" si="11"/>
        <v/>
      </c>
      <c r="AH510" s="1">
        <f>value(IFERROR(SUBSTITUTE(SUBSTITUTE(VLOOKUP($A510,'Quarterly Pipeline vs Target Pi'!$A:$V,21,false)," $","")," €",""), "")
)</f>
        <v>0</v>
      </c>
      <c r="AI510" s="1">
        <f>value(IFERROR(SUBSTITUTE(SUBSTITUTE(VLOOKUP($A510,'Quarterly Pipeline vs Target Pi'!$A:$V,22,false)," $","")," €",""), "")
)</f>
        <v>0</v>
      </c>
      <c r="AJ510" s="17" t="str">
        <f t="shared" si="12"/>
        <v/>
      </c>
      <c r="AK510" s="1">
        <f t="shared" ref="AK510:AL510" si="1033">sum(Y510,AB510,AE510,AH510)</f>
        <v>0</v>
      </c>
      <c r="AL510" s="1">
        <f t="shared" si="1033"/>
        <v>0</v>
      </c>
      <c r="AM510" s="17" t="str">
        <f t="shared" si="14"/>
        <v/>
      </c>
      <c r="AN510" s="1">
        <f>value(IFERROR(SUBSTITUTE(SUBSTITUTE(VLOOKUP($A510,'Quarterly Pipeline vs Target Pi'!$A:$AP,26,false)," $","")," €",""), "")
)</f>
        <v>0</v>
      </c>
      <c r="AO510" s="1">
        <f>value(IFERROR(SUBSTITUTE(SUBSTITUTE(VLOOKUP($A510,'Quarterly Pipeline vs Target Pi'!$A:$AP,27,false)," $","")," €",""), "")
)</f>
        <v>0</v>
      </c>
      <c r="AP510" s="17" t="str">
        <f t="shared" si="15"/>
        <v/>
      </c>
      <c r="AQ510" s="1">
        <f>value(IFERROR(SUBSTITUTE(SUBSTITUTE(VLOOKUP($A510,'Quarterly Pipeline vs Target Pi'!$A:$AP,31,false)," $","")," €",""), "")
)</f>
        <v>0</v>
      </c>
      <c r="AR510" s="1">
        <f>value(IFERROR(SUBSTITUTE(SUBSTITUTE(VLOOKUP($A510,'Quarterly Pipeline vs Target Pi'!$A:$AP,32,false)," $","")," €",""), "")
)</f>
        <v>0</v>
      </c>
      <c r="AS510" s="17" t="str">
        <f t="shared" si="16"/>
        <v/>
      </c>
      <c r="AT510" s="1">
        <f>value(IFERROR(SUBSTITUTE(SUBSTITUTE(VLOOKUP($A510,'Quarterly Pipeline vs Target Pi'!$A:$AP,36,false)," $","")," €",""), "")
)</f>
        <v>0</v>
      </c>
      <c r="AU510" s="1">
        <f>value(IFERROR(SUBSTITUTE(SUBSTITUTE(VLOOKUP($A510,'Quarterly Pipeline vs Target Pi'!$A:$AP,37,false)," $","")," €",""), "")
)</f>
        <v>0</v>
      </c>
      <c r="AV510" s="17" t="str">
        <f t="shared" si="17"/>
        <v/>
      </c>
      <c r="AW510" s="1">
        <f>value(IFERROR(SUBSTITUTE(SUBSTITUTE(VLOOKUP($A510,'Quarterly Pipeline vs Target Pi'!$A:$AP,41,false)," $","")," €",""), "")
)</f>
        <v>0</v>
      </c>
      <c r="AX510" s="1">
        <f>value(IFERROR(SUBSTITUTE(SUBSTITUTE(VLOOKUP($A510,'Quarterly Pipeline vs Target Pi'!$A:$AP,42,false)," $","")," €",""), "")
)</f>
        <v>0</v>
      </c>
      <c r="AY510" s="17" t="str">
        <f t="shared" si="18"/>
        <v/>
      </c>
      <c r="AZ510" s="1">
        <f t="shared" ref="AZ510:BA510" si="1034">sum(AN510,AQ510,AT510,AW510)</f>
        <v>0</v>
      </c>
      <c r="BA510" s="1">
        <f t="shared" si="1034"/>
        <v>0</v>
      </c>
      <c r="BB510" s="17" t="str">
        <f t="shared" si="20"/>
        <v/>
      </c>
    </row>
    <row r="511">
      <c r="G511" s="1" t="str">
        <f>iferror(VLOOKUP(A511,'Business Plan Setup and Accepta'!A:G,6,false),"")</f>
        <v/>
      </c>
      <c r="H511" s="1" t="str">
        <f>iferror(VLOOKUP(A511,'Business Plan Setup and Accepta'!A:G,7,false),"")</f>
        <v/>
      </c>
      <c r="I511" s="17" t="str">
        <f t="shared" si="3"/>
        <v/>
      </c>
      <c r="J511" s="1" t="str">
        <f>IFERROR(VALUE(SUBSTITUTE(VLOOKUP(A511,'Sales IN Revenues vs Sales targ'!A:G,6,false)," $","")), "")
</f>
        <v/>
      </c>
      <c r="K511" s="1" t="str">
        <f>IFERROR(VALUE(SUBSTITUTE(VLOOKUP(A511,'Sales IN Revenues vs Sales targ'!A:G,7,false)," $","")), "")
</f>
        <v/>
      </c>
      <c r="L511" s="17" t="str">
        <f t="shared" si="4"/>
        <v/>
      </c>
      <c r="M511" s="1">
        <f>value(SUBSTITUTE(IFERROR(VLOOKUP(A511,'Certifications achievements vs '!A:G,6,false),""),"#","")
)</f>
        <v>0</v>
      </c>
      <c r="N511" s="1">
        <f>value(SUBSTITUTE(IFERROR(VLOOKUP(A511,'Certifications achievements vs '!A:G,7,false),""),"#","")
)</f>
        <v>0</v>
      </c>
      <c r="O511" s="17" t="str">
        <f t="shared" si="5"/>
        <v/>
      </c>
      <c r="P511" s="1">
        <f>value(SUBSTITUTE(IFERROR(VLOOKUP(A511,'Communications - Solution Speci'!A:G,6,false),""),"#","")
)</f>
        <v>0</v>
      </c>
      <c r="Q511" s="1">
        <f>value(SUBSTITUTE(IFERROR(VLOOKUP(A511,'Communications - Solution Speci'!A:G,7,false),""),"#","")
)</f>
        <v>0</v>
      </c>
      <c r="R511" s="17" t="str">
        <f t="shared" si="6"/>
        <v/>
      </c>
      <c r="S511" s="1">
        <f>value(SUBSTITUTE(IFERROR(VLOOKUP(A511,'Networking - Solution Specializ'!A:G,6,false),""),"#","")
)</f>
        <v>0</v>
      </c>
      <c r="T511" s="1">
        <f>value(SUBSTITUTE(IFERROR(VLOOKUP(A511,'Networking - Solution Specializ'!A:G,7,false),""),"#","")
)</f>
        <v>0</v>
      </c>
      <c r="U511" s="17" t="str">
        <f t="shared" si="7"/>
        <v/>
      </c>
      <c r="V511" s="1" t="str">
        <f>iferror(vlookup(A511,'Marketing Plan (extract summary'!A:G,6,false),"")</f>
        <v/>
      </c>
      <c r="W511" s="1" t="str">
        <f>iferror(vlookup(A511,'Marketing Plan (extract summary'!A:G,7,false),"")</f>
        <v/>
      </c>
      <c r="X511" s="17" t="str">
        <f t="shared" si="8"/>
        <v/>
      </c>
      <c r="Y511" s="1">
        <f>value(IFERROR(SUBSTITUTE(SUBSTITUTE(VLOOKUP(A511,'Quarterly Pipeline vs Target Pi'!A:G,6,false)," $","")," €",""), "")
)</f>
        <v>0</v>
      </c>
      <c r="Z511" s="1">
        <f>value(IFERROR(SUBSTITUTE(SUBSTITUTE(VLOOKUP(A511,'Quarterly Pipeline vs Target Pi'!A:G,7,false)," $","")," €",""), "")
)</f>
        <v>0</v>
      </c>
      <c r="AA511" s="17" t="str">
        <f t="shared" si="9"/>
        <v/>
      </c>
      <c r="AB511" s="1">
        <f>value(IFERROR(SUBSTITUTE(SUBSTITUTE(VLOOKUP($A511,'Quarterly Pipeline vs Target Pi'!$A:$V,11,false)," $","")," €",""), "")
)</f>
        <v>0</v>
      </c>
      <c r="AC511" s="1">
        <f>value(IFERROR(SUBSTITUTE(SUBSTITUTE(VLOOKUP($A511,'Quarterly Pipeline vs Target Pi'!$A:$V,12,false)," $","")," €",""), "")
)</f>
        <v>0</v>
      </c>
      <c r="AD511" s="17" t="str">
        <f t="shared" si="10"/>
        <v/>
      </c>
      <c r="AE511" s="1">
        <f>value(IFERROR(SUBSTITUTE(SUBSTITUTE(VLOOKUP($A511,'Quarterly Pipeline vs Target Pi'!$A:$V,16,false)," $","")," €",""), "")
)</f>
        <v>0</v>
      </c>
      <c r="AF511" s="1">
        <f>value(IFERROR(SUBSTITUTE(SUBSTITUTE(VLOOKUP($A511,'Quarterly Pipeline vs Target Pi'!$A:$V,17,false)," $","")," €",""), "")
)</f>
        <v>0</v>
      </c>
      <c r="AG511" s="17" t="str">
        <f t="shared" si="11"/>
        <v/>
      </c>
      <c r="AH511" s="1">
        <f>value(IFERROR(SUBSTITUTE(SUBSTITUTE(VLOOKUP($A511,'Quarterly Pipeline vs Target Pi'!$A:$V,21,false)," $","")," €",""), "")
)</f>
        <v>0</v>
      </c>
      <c r="AI511" s="1">
        <f>value(IFERROR(SUBSTITUTE(SUBSTITUTE(VLOOKUP($A511,'Quarterly Pipeline vs Target Pi'!$A:$V,22,false)," $","")," €",""), "")
)</f>
        <v>0</v>
      </c>
      <c r="AJ511" s="17" t="str">
        <f t="shared" si="12"/>
        <v/>
      </c>
      <c r="AK511" s="1">
        <f t="shared" ref="AK511:AL511" si="1035">sum(Y511,AB511,AE511,AH511)</f>
        <v>0</v>
      </c>
      <c r="AL511" s="1">
        <f t="shared" si="1035"/>
        <v>0</v>
      </c>
      <c r="AM511" s="17" t="str">
        <f t="shared" si="14"/>
        <v/>
      </c>
      <c r="AN511" s="1">
        <f>value(IFERROR(SUBSTITUTE(SUBSTITUTE(VLOOKUP($A511,'Quarterly Pipeline vs Target Pi'!$A:$AP,26,false)," $","")," €",""), "")
)</f>
        <v>0</v>
      </c>
      <c r="AO511" s="1">
        <f>value(IFERROR(SUBSTITUTE(SUBSTITUTE(VLOOKUP($A511,'Quarterly Pipeline vs Target Pi'!$A:$AP,27,false)," $","")," €",""), "")
)</f>
        <v>0</v>
      </c>
      <c r="AP511" s="17" t="str">
        <f t="shared" si="15"/>
        <v/>
      </c>
      <c r="AQ511" s="1">
        <f>value(IFERROR(SUBSTITUTE(SUBSTITUTE(VLOOKUP($A511,'Quarterly Pipeline vs Target Pi'!$A:$AP,31,false)," $","")," €",""), "")
)</f>
        <v>0</v>
      </c>
      <c r="AR511" s="1">
        <f>value(IFERROR(SUBSTITUTE(SUBSTITUTE(VLOOKUP($A511,'Quarterly Pipeline vs Target Pi'!$A:$AP,32,false)," $","")," €",""), "")
)</f>
        <v>0</v>
      </c>
      <c r="AS511" s="17" t="str">
        <f t="shared" si="16"/>
        <v/>
      </c>
      <c r="AT511" s="1">
        <f>value(IFERROR(SUBSTITUTE(SUBSTITUTE(VLOOKUP($A511,'Quarterly Pipeline vs Target Pi'!$A:$AP,36,false)," $","")," €",""), "")
)</f>
        <v>0</v>
      </c>
      <c r="AU511" s="1">
        <f>value(IFERROR(SUBSTITUTE(SUBSTITUTE(VLOOKUP($A511,'Quarterly Pipeline vs Target Pi'!$A:$AP,37,false)," $","")," €",""), "")
)</f>
        <v>0</v>
      </c>
      <c r="AV511" s="17" t="str">
        <f t="shared" si="17"/>
        <v/>
      </c>
      <c r="AW511" s="1">
        <f>value(IFERROR(SUBSTITUTE(SUBSTITUTE(VLOOKUP($A511,'Quarterly Pipeline vs Target Pi'!$A:$AP,41,false)," $","")," €",""), "")
)</f>
        <v>0</v>
      </c>
      <c r="AX511" s="1">
        <f>value(IFERROR(SUBSTITUTE(SUBSTITUTE(VLOOKUP($A511,'Quarterly Pipeline vs Target Pi'!$A:$AP,42,false)," $","")," €",""), "")
)</f>
        <v>0</v>
      </c>
      <c r="AY511" s="17" t="str">
        <f t="shared" si="18"/>
        <v/>
      </c>
      <c r="AZ511" s="1">
        <f t="shared" ref="AZ511:BA511" si="1036">sum(AN511,AQ511,AT511,AW511)</f>
        <v>0</v>
      </c>
      <c r="BA511" s="1">
        <f t="shared" si="1036"/>
        <v>0</v>
      </c>
      <c r="BB511" s="17" t="str">
        <f t="shared" si="20"/>
        <v/>
      </c>
    </row>
    <row r="512">
      <c r="G512" s="1" t="str">
        <f>iferror(VLOOKUP(A512,'Business Plan Setup and Accepta'!A:G,6,false),"")</f>
        <v/>
      </c>
      <c r="H512" s="1" t="str">
        <f>iferror(VLOOKUP(A512,'Business Plan Setup and Accepta'!A:G,7,false),"")</f>
        <v/>
      </c>
      <c r="I512" s="17" t="str">
        <f t="shared" si="3"/>
        <v/>
      </c>
      <c r="J512" s="1" t="str">
        <f>IFERROR(VALUE(SUBSTITUTE(VLOOKUP(A512,'Sales IN Revenues vs Sales targ'!A:G,6,false)," $","")), "")
</f>
        <v/>
      </c>
      <c r="K512" s="1" t="str">
        <f>IFERROR(VALUE(SUBSTITUTE(VLOOKUP(A512,'Sales IN Revenues vs Sales targ'!A:G,7,false)," $","")), "")
</f>
        <v/>
      </c>
      <c r="L512" s="17" t="str">
        <f t="shared" si="4"/>
        <v/>
      </c>
      <c r="M512" s="1">
        <f>value(SUBSTITUTE(IFERROR(VLOOKUP(A512,'Certifications achievements vs '!A:G,6,false),""),"#","")
)</f>
        <v>0</v>
      </c>
      <c r="N512" s="1">
        <f>value(SUBSTITUTE(IFERROR(VLOOKUP(A512,'Certifications achievements vs '!A:G,7,false),""),"#","")
)</f>
        <v>0</v>
      </c>
      <c r="O512" s="17" t="str">
        <f t="shared" si="5"/>
        <v/>
      </c>
      <c r="P512" s="1">
        <f>value(SUBSTITUTE(IFERROR(VLOOKUP(A512,'Communications - Solution Speci'!A:G,6,false),""),"#","")
)</f>
        <v>0</v>
      </c>
      <c r="Q512" s="1">
        <f>value(SUBSTITUTE(IFERROR(VLOOKUP(A512,'Communications - Solution Speci'!A:G,7,false),""),"#","")
)</f>
        <v>0</v>
      </c>
      <c r="R512" s="17" t="str">
        <f t="shared" si="6"/>
        <v/>
      </c>
      <c r="S512" s="1">
        <f>value(SUBSTITUTE(IFERROR(VLOOKUP(A512,'Networking - Solution Specializ'!A:G,6,false),""),"#","")
)</f>
        <v>0</v>
      </c>
      <c r="T512" s="1">
        <f>value(SUBSTITUTE(IFERROR(VLOOKUP(A512,'Networking - Solution Specializ'!A:G,7,false),""),"#","")
)</f>
        <v>0</v>
      </c>
      <c r="U512" s="17" t="str">
        <f t="shared" si="7"/>
        <v/>
      </c>
      <c r="V512" s="1" t="str">
        <f>iferror(vlookup(A512,'Marketing Plan (extract summary'!A:G,6,false),"")</f>
        <v/>
      </c>
      <c r="W512" s="1" t="str">
        <f>iferror(vlookup(A512,'Marketing Plan (extract summary'!A:G,7,false),"")</f>
        <v/>
      </c>
      <c r="X512" s="17" t="str">
        <f t="shared" si="8"/>
        <v/>
      </c>
      <c r="Y512" s="1">
        <f>value(IFERROR(SUBSTITUTE(SUBSTITUTE(VLOOKUP(A512,'Quarterly Pipeline vs Target Pi'!A:G,6,false)," $","")," €",""), "")
)</f>
        <v>0</v>
      </c>
      <c r="Z512" s="1">
        <f>value(IFERROR(SUBSTITUTE(SUBSTITUTE(VLOOKUP(A512,'Quarterly Pipeline vs Target Pi'!A:G,7,false)," $","")," €",""), "")
)</f>
        <v>0</v>
      </c>
      <c r="AA512" s="17" t="str">
        <f t="shared" si="9"/>
        <v/>
      </c>
      <c r="AB512" s="1">
        <f>value(IFERROR(SUBSTITUTE(SUBSTITUTE(VLOOKUP($A512,'Quarterly Pipeline vs Target Pi'!$A:$V,11,false)," $","")," €",""), "")
)</f>
        <v>0</v>
      </c>
      <c r="AC512" s="1">
        <f>value(IFERROR(SUBSTITUTE(SUBSTITUTE(VLOOKUP($A512,'Quarterly Pipeline vs Target Pi'!$A:$V,12,false)," $","")," €",""), "")
)</f>
        <v>0</v>
      </c>
      <c r="AD512" s="17" t="str">
        <f t="shared" si="10"/>
        <v/>
      </c>
      <c r="AE512" s="1">
        <f>value(IFERROR(SUBSTITUTE(SUBSTITUTE(VLOOKUP($A512,'Quarterly Pipeline vs Target Pi'!$A:$V,16,false)," $","")," €",""), "")
)</f>
        <v>0</v>
      </c>
      <c r="AF512" s="1">
        <f>value(IFERROR(SUBSTITUTE(SUBSTITUTE(VLOOKUP($A512,'Quarterly Pipeline vs Target Pi'!$A:$V,17,false)," $","")," €",""), "")
)</f>
        <v>0</v>
      </c>
      <c r="AG512" s="17" t="str">
        <f t="shared" si="11"/>
        <v/>
      </c>
      <c r="AH512" s="1">
        <f>value(IFERROR(SUBSTITUTE(SUBSTITUTE(VLOOKUP($A512,'Quarterly Pipeline vs Target Pi'!$A:$V,21,false)," $","")," €",""), "")
)</f>
        <v>0</v>
      </c>
      <c r="AI512" s="1">
        <f>value(IFERROR(SUBSTITUTE(SUBSTITUTE(VLOOKUP($A512,'Quarterly Pipeline vs Target Pi'!$A:$V,22,false)," $","")," €",""), "")
)</f>
        <v>0</v>
      </c>
      <c r="AJ512" s="17" t="str">
        <f t="shared" si="12"/>
        <v/>
      </c>
      <c r="AK512" s="1">
        <f t="shared" ref="AK512:AL512" si="1037">sum(Y512,AB512,AE512,AH512)</f>
        <v>0</v>
      </c>
      <c r="AL512" s="1">
        <f t="shared" si="1037"/>
        <v>0</v>
      </c>
      <c r="AM512" s="17" t="str">
        <f t="shared" si="14"/>
        <v/>
      </c>
      <c r="AN512" s="1">
        <f>value(IFERROR(SUBSTITUTE(SUBSTITUTE(VLOOKUP($A512,'Quarterly Pipeline vs Target Pi'!$A:$AP,26,false)," $","")," €",""), "")
)</f>
        <v>0</v>
      </c>
      <c r="AO512" s="1">
        <f>value(IFERROR(SUBSTITUTE(SUBSTITUTE(VLOOKUP($A512,'Quarterly Pipeline vs Target Pi'!$A:$AP,27,false)," $","")," €",""), "")
)</f>
        <v>0</v>
      </c>
      <c r="AP512" s="17" t="str">
        <f t="shared" si="15"/>
        <v/>
      </c>
      <c r="AQ512" s="1">
        <f>value(IFERROR(SUBSTITUTE(SUBSTITUTE(VLOOKUP($A512,'Quarterly Pipeline vs Target Pi'!$A:$AP,31,false)," $","")," €",""), "")
)</f>
        <v>0</v>
      </c>
      <c r="AR512" s="1">
        <f>value(IFERROR(SUBSTITUTE(SUBSTITUTE(VLOOKUP($A512,'Quarterly Pipeline vs Target Pi'!$A:$AP,32,false)," $","")," €",""), "")
)</f>
        <v>0</v>
      </c>
      <c r="AS512" s="17" t="str">
        <f t="shared" si="16"/>
        <v/>
      </c>
      <c r="AT512" s="1">
        <f>value(IFERROR(SUBSTITUTE(SUBSTITUTE(VLOOKUP($A512,'Quarterly Pipeline vs Target Pi'!$A:$AP,36,false)," $","")," €",""), "")
)</f>
        <v>0</v>
      </c>
      <c r="AU512" s="1">
        <f>value(IFERROR(SUBSTITUTE(SUBSTITUTE(VLOOKUP($A512,'Quarterly Pipeline vs Target Pi'!$A:$AP,37,false)," $","")," €",""), "")
)</f>
        <v>0</v>
      </c>
      <c r="AV512" s="17" t="str">
        <f t="shared" si="17"/>
        <v/>
      </c>
      <c r="AW512" s="1">
        <f>value(IFERROR(SUBSTITUTE(SUBSTITUTE(VLOOKUP($A512,'Quarterly Pipeline vs Target Pi'!$A:$AP,41,false)," $","")," €",""), "")
)</f>
        <v>0</v>
      </c>
      <c r="AX512" s="1">
        <f>value(IFERROR(SUBSTITUTE(SUBSTITUTE(VLOOKUP($A512,'Quarterly Pipeline vs Target Pi'!$A:$AP,42,false)," $","")," €",""), "")
)</f>
        <v>0</v>
      </c>
      <c r="AY512" s="17" t="str">
        <f t="shared" si="18"/>
        <v/>
      </c>
      <c r="AZ512" s="1">
        <f t="shared" ref="AZ512:BA512" si="1038">sum(AN512,AQ512,AT512,AW512)</f>
        <v>0</v>
      </c>
      <c r="BA512" s="1">
        <f t="shared" si="1038"/>
        <v>0</v>
      </c>
      <c r="BB512" s="17" t="str">
        <f t="shared" si="20"/>
        <v/>
      </c>
    </row>
    <row r="513">
      <c r="G513" s="1" t="str">
        <f>iferror(VLOOKUP(A513,'Business Plan Setup and Accepta'!A:G,6,false),"")</f>
        <v/>
      </c>
      <c r="H513" s="1" t="str">
        <f>iferror(VLOOKUP(A513,'Business Plan Setup and Accepta'!A:G,7,false),"")</f>
        <v/>
      </c>
      <c r="I513" s="17" t="str">
        <f t="shared" si="3"/>
        <v/>
      </c>
      <c r="J513" s="1" t="str">
        <f>IFERROR(VALUE(SUBSTITUTE(VLOOKUP(A513,'Sales IN Revenues vs Sales targ'!A:G,6,false)," $","")), "")
</f>
        <v/>
      </c>
      <c r="K513" s="1" t="str">
        <f>IFERROR(VALUE(SUBSTITUTE(VLOOKUP(A513,'Sales IN Revenues vs Sales targ'!A:G,7,false)," $","")), "")
</f>
        <v/>
      </c>
      <c r="L513" s="17" t="str">
        <f t="shared" si="4"/>
        <v/>
      </c>
      <c r="M513" s="1">
        <f>value(SUBSTITUTE(IFERROR(VLOOKUP(A513,'Certifications achievements vs '!A:G,6,false),""),"#","")
)</f>
        <v>0</v>
      </c>
      <c r="N513" s="1">
        <f>value(SUBSTITUTE(IFERROR(VLOOKUP(A513,'Certifications achievements vs '!A:G,7,false),""),"#","")
)</f>
        <v>0</v>
      </c>
      <c r="O513" s="17" t="str">
        <f t="shared" si="5"/>
        <v/>
      </c>
      <c r="P513" s="1">
        <f>value(SUBSTITUTE(IFERROR(VLOOKUP(A513,'Communications - Solution Speci'!A:G,6,false),""),"#","")
)</f>
        <v>0</v>
      </c>
      <c r="Q513" s="1">
        <f>value(SUBSTITUTE(IFERROR(VLOOKUP(A513,'Communications - Solution Speci'!A:G,7,false),""),"#","")
)</f>
        <v>0</v>
      </c>
      <c r="R513" s="17" t="str">
        <f t="shared" si="6"/>
        <v/>
      </c>
      <c r="S513" s="1">
        <f>value(SUBSTITUTE(IFERROR(VLOOKUP(A513,'Networking - Solution Specializ'!A:G,6,false),""),"#","")
)</f>
        <v>0</v>
      </c>
      <c r="T513" s="1">
        <f>value(SUBSTITUTE(IFERROR(VLOOKUP(A513,'Networking - Solution Specializ'!A:G,7,false),""),"#","")
)</f>
        <v>0</v>
      </c>
      <c r="U513" s="17" t="str">
        <f t="shared" si="7"/>
        <v/>
      </c>
      <c r="V513" s="1" t="str">
        <f>iferror(vlookup(A513,'Marketing Plan (extract summary'!A:G,6,false),"")</f>
        <v/>
      </c>
      <c r="W513" s="1" t="str">
        <f>iferror(vlookup(A513,'Marketing Plan (extract summary'!A:G,7,false),"")</f>
        <v/>
      </c>
      <c r="X513" s="17" t="str">
        <f t="shared" si="8"/>
        <v/>
      </c>
      <c r="Y513" s="1">
        <f>value(IFERROR(SUBSTITUTE(SUBSTITUTE(VLOOKUP(A513,'Quarterly Pipeline vs Target Pi'!A:G,6,false)," $","")," €",""), "")
)</f>
        <v>0</v>
      </c>
      <c r="Z513" s="1">
        <f>value(IFERROR(SUBSTITUTE(SUBSTITUTE(VLOOKUP(A513,'Quarterly Pipeline vs Target Pi'!A:G,7,false)," $","")," €",""), "")
)</f>
        <v>0</v>
      </c>
      <c r="AA513" s="17" t="str">
        <f t="shared" si="9"/>
        <v/>
      </c>
      <c r="AB513" s="1">
        <f>value(IFERROR(SUBSTITUTE(SUBSTITUTE(VLOOKUP($A513,'Quarterly Pipeline vs Target Pi'!$A:$V,11,false)," $","")," €",""), "")
)</f>
        <v>0</v>
      </c>
      <c r="AC513" s="1">
        <f>value(IFERROR(SUBSTITUTE(SUBSTITUTE(VLOOKUP($A513,'Quarterly Pipeline vs Target Pi'!$A:$V,12,false)," $","")," €",""), "")
)</f>
        <v>0</v>
      </c>
      <c r="AD513" s="17" t="str">
        <f t="shared" si="10"/>
        <v/>
      </c>
      <c r="AE513" s="1">
        <f>value(IFERROR(SUBSTITUTE(SUBSTITUTE(VLOOKUP($A513,'Quarterly Pipeline vs Target Pi'!$A:$V,16,false)," $","")," €",""), "")
)</f>
        <v>0</v>
      </c>
      <c r="AF513" s="1">
        <f>value(IFERROR(SUBSTITUTE(SUBSTITUTE(VLOOKUP($A513,'Quarterly Pipeline vs Target Pi'!$A:$V,17,false)," $","")," €",""), "")
)</f>
        <v>0</v>
      </c>
      <c r="AG513" s="17" t="str">
        <f t="shared" si="11"/>
        <v/>
      </c>
      <c r="AH513" s="1">
        <f>value(IFERROR(SUBSTITUTE(SUBSTITUTE(VLOOKUP($A513,'Quarterly Pipeline vs Target Pi'!$A:$V,21,false)," $","")," €",""), "")
)</f>
        <v>0</v>
      </c>
      <c r="AI513" s="1">
        <f>value(IFERROR(SUBSTITUTE(SUBSTITUTE(VLOOKUP($A513,'Quarterly Pipeline vs Target Pi'!$A:$V,22,false)," $","")," €",""), "")
)</f>
        <v>0</v>
      </c>
      <c r="AJ513" s="17" t="str">
        <f t="shared" si="12"/>
        <v/>
      </c>
      <c r="AK513" s="1">
        <f t="shared" ref="AK513:AL513" si="1039">sum(Y513,AB513,AE513,AH513)</f>
        <v>0</v>
      </c>
      <c r="AL513" s="1">
        <f t="shared" si="1039"/>
        <v>0</v>
      </c>
      <c r="AM513" s="17" t="str">
        <f t="shared" si="14"/>
        <v/>
      </c>
      <c r="AN513" s="1">
        <f>value(IFERROR(SUBSTITUTE(SUBSTITUTE(VLOOKUP($A513,'Quarterly Pipeline vs Target Pi'!$A:$AP,26,false)," $","")," €",""), "")
)</f>
        <v>0</v>
      </c>
      <c r="AO513" s="1">
        <f>value(IFERROR(SUBSTITUTE(SUBSTITUTE(VLOOKUP($A513,'Quarterly Pipeline vs Target Pi'!$A:$AP,27,false)," $","")," €",""), "")
)</f>
        <v>0</v>
      </c>
      <c r="AP513" s="17" t="str">
        <f t="shared" si="15"/>
        <v/>
      </c>
      <c r="AQ513" s="1">
        <f>value(IFERROR(SUBSTITUTE(SUBSTITUTE(VLOOKUP($A513,'Quarterly Pipeline vs Target Pi'!$A:$AP,31,false)," $","")," €",""), "")
)</f>
        <v>0</v>
      </c>
      <c r="AR513" s="1">
        <f>value(IFERROR(SUBSTITUTE(SUBSTITUTE(VLOOKUP($A513,'Quarterly Pipeline vs Target Pi'!$A:$AP,32,false)," $","")," €",""), "")
)</f>
        <v>0</v>
      </c>
      <c r="AS513" s="17" t="str">
        <f t="shared" si="16"/>
        <v/>
      </c>
      <c r="AT513" s="1">
        <f>value(IFERROR(SUBSTITUTE(SUBSTITUTE(VLOOKUP($A513,'Quarterly Pipeline vs Target Pi'!$A:$AP,36,false)," $","")," €",""), "")
)</f>
        <v>0</v>
      </c>
      <c r="AU513" s="1">
        <f>value(IFERROR(SUBSTITUTE(SUBSTITUTE(VLOOKUP($A513,'Quarterly Pipeline vs Target Pi'!$A:$AP,37,false)," $","")," €",""), "")
)</f>
        <v>0</v>
      </c>
      <c r="AV513" s="17" t="str">
        <f t="shared" si="17"/>
        <v/>
      </c>
      <c r="AW513" s="1">
        <f>value(IFERROR(SUBSTITUTE(SUBSTITUTE(VLOOKUP($A513,'Quarterly Pipeline vs Target Pi'!$A:$AP,41,false)," $","")," €",""), "")
)</f>
        <v>0</v>
      </c>
      <c r="AX513" s="1">
        <f>value(IFERROR(SUBSTITUTE(SUBSTITUTE(VLOOKUP($A513,'Quarterly Pipeline vs Target Pi'!$A:$AP,42,false)," $","")," €",""), "")
)</f>
        <v>0</v>
      </c>
      <c r="AY513" s="17" t="str">
        <f t="shared" si="18"/>
        <v/>
      </c>
      <c r="AZ513" s="1">
        <f t="shared" ref="AZ513:BA513" si="1040">sum(AN513,AQ513,AT513,AW513)</f>
        <v>0</v>
      </c>
      <c r="BA513" s="1">
        <f t="shared" si="1040"/>
        <v>0</v>
      </c>
      <c r="BB513" s="17" t="str">
        <f t="shared" si="20"/>
        <v/>
      </c>
    </row>
    <row r="514">
      <c r="G514" s="1" t="str">
        <f>iferror(VLOOKUP(A514,'Business Plan Setup and Accepta'!A:G,6,false),"")</f>
        <v/>
      </c>
      <c r="H514" s="1" t="str">
        <f>iferror(VLOOKUP(A514,'Business Plan Setup and Accepta'!A:G,7,false),"")</f>
        <v/>
      </c>
      <c r="I514" s="17" t="str">
        <f t="shared" si="3"/>
        <v/>
      </c>
      <c r="J514" s="1" t="str">
        <f>IFERROR(VALUE(SUBSTITUTE(VLOOKUP(A514,'Sales IN Revenues vs Sales targ'!A:G,6,false)," $","")), "")
</f>
        <v/>
      </c>
      <c r="K514" s="1" t="str">
        <f>IFERROR(VALUE(SUBSTITUTE(VLOOKUP(A514,'Sales IN Revenues vs Sales targ'!A:G,7,false)," $","")), "")
</f>
        <v/>
      </c>
      <c r="L514" s="17" t="str">
        <f t="shared" si="4"/>
        <v/>
      </c>
      <c r="M514" s="1">
        <f>value(SUBSTITUTE(IFERROR(VLOOKUP(A514,'Certifications achievements vs '!A:G,6,false),""),"#","")
)</f>
        <v>0</v>
      </c>
      <c r="N514" s="1">
        <f>value(SUBSTITUTE(IFERROR(VLOOKUP(A514,'Certifications achievements vs '!A:G,7,false),""),"#","")
)</f>
        <v>0</v>
      </c>
      <c r="O514" s="17" t="str">
        <f t="shared" si="5"/>
        <v/>
      </c>
      <c r="P514" s="1">
        <f>value(SUBSTITUTE(IFERROR(VLOOKUP(A514,'Communications - Solution Speci'!A:G,6,false),""),"#","")
)</f>
        <v>0</v>
      </c>
      <c r="Q514" s="1">
        <f>value(SUBSTITUTE(IFERROR(VLOOKUP(A514,'Communications - Solution Speci'!A:G,7,false),""),"#","")
)</f>
        <v>0</v>
      </c>
      <c r="R514" s="17" t="str">
        <f t="shared" si="6"/>
        <v/>
      </c>
      <c r="S514" s="1">
        <f>value(SUBSTITUTE(IFERROR(VLOOKUP(A514,'Networking - Solution Specializ'!A:G,6,false),""),"#","")
)</f>
        <v>0</v>
      </c>
      <c r="T514" s="1">
        <f>value(SUBSTITUTE(IFERROR(VLOOKUP(A514,'Networking - Solution Specializ'!A:G,7,false),""),"#","")
)</f>
        <v>0</v>
      </c>
      <c r="U514" s="17" t="str">
        <f t="shared" si="7"/>
        <v/>
      </c>
      <c r="V514" s="1" t="str">
        <f>iferror(vlookup(A514,'Marketing Plan (extract summary'!A:G,6,false),"")</f>
        <v/>
      </c>
      <c r="W514" s="1" t="str">
        <f>iferror(vlookup(A514,'Marketing Plan (extract summary'!A:G,7,false),"")</f>
        <v/>
      </c>
      <c r="X514" s="17" t="str">
        <f t="shared" si="8"/>
        <v/>
      </c>
      <c r="Y514" s="1">
        <f>value(IFERROR(SUBSTITUTE(SUBSTITUTE(VLOOKUP(A514,'Quarterly Pipeline vs Target Pi'!A:G,6,false)," $","")," €",""), "")
)</f>
        <v>0</v>
      </c>
      <c r="Z514" s="1">
        <f>value(IFERROR(SUBSTITUTE(SUBSTITUTE(VLOOKUP(A514,'Quarterly Pipeline vs Target Pi'!A:G,7,false)," $","")," €",""), "")
)</f>
        <v>0</v>
      </c>
      <c r="AA514" s="17" t="str">
        <f t="shared" si="9"/>
        <v/>
      </c>
      <c r="AB514" s="1">
        <f>value(IFERROR(SUBSTITUTE(SUBSTITUTE(VLOOKUP($A514,'Quarterly Pipeline vs Target Pi'!$A:$V,11,false)," $","")," €",""), "")
)</f>
        <v>0</v>
      </c>
      <c r="AC514" s="1">
        <f>value(IFERROR(SUBSTITUTE(SUBSTITUTE(VLOOKUP($A514,'Quarterly Pipeline vs Target Pi'!$A:$V,12,false)," $","")," €",""), "")
)</f>
        <v>0</v>
      </c>
      <c r="AD514" s="17" t="str">
        <f t="shared" si="10"/>
        <v/>
      </c>
      <c r="AE514" s="1">
        <f>value(IFERROR(SUBSTITUTE(SUBSTITUTE(VLOOKUP($A514,'Quarterly Pipeline vs Target Pi'!$A:$V,16,false)," $","")," €",""), "")
)</f>
        <v>0</v>
      </c>
      <c r="AF514" s="1">
        <f>value(IFERROR(SUBSTITUTE(SUBSTITUTE(VLOOKUP($A514,'Quarterly Pipeline vs Target Pi'!$A:$V,17,false)," $","")," €",""), "")
)</f>
        <v>0</v>
      </c>
      <c r="AG514" s="17" t="str">
        <f t="shared" si="11"/>
        <v/>
      </c>
      <c r="AH514" s="1">
        <f>value(IFERROR(SUBSTITUTE(SUBSTITUTE(VLOOKUP($A514,'Quarterly Pipeline vs Target Pi'!$A:$V,21,false)," $","")," €",""), "")
)</f>
        <v>0</v>
      </c>
      <c r="AI514" s="1">
        <f>value(IFERROR(SUBSTITUTE(SUBSTITUTE(VLOOKUP($A514,'Quarterly Pipeline vs Target Pi'!$A:$V,22,false)," $","")," €",""), "")
)</f>
        <v>0</v>
      </c>
      <c r="AJ514" s="17" t="str">
        <f t="shared" si="12"/>
        <v/>
      </c>
      <c r="AK514" s="1">
        <f t="shared" ref="AK514:AL514" si="1041">sum(Y514,AB514,AE514,AH514)</f>
        <v>0</v>
      </c>
      <c r="AL514" s="1">
        <f t="shared" si="1041"/>
        <v>0</v>
      </c>
      <c r="AM514" s="17" t="str">
        <f t="shared" si="14"/>
        <v/>
      </c>
      <c r="AN514" s="1">
        <f>value(IFERROR(SUBSTITUTE(SUBSTITUTE(VLOOKUP($A514,'Quarterly Pipeline vs Target Pi'!$A:$AP,26,false)," $","")," €",""), "")
)</f>
        <v>0</v>
      </c>
      <c r="AO514" s="1">
        <f>value(IFERROR(SUBSTITUTE(SUBSTITUTE(VLOOKUP($A514,'Quarterly Pipeline vs Target Pi'!$A:$AP,27,false)," $","")," €",""), "")
)</f>
        <v>0</v>
      </c>
      <c r="AP514" s="17" t="str">
        <f t="shared" si="15"/>
        <v/>
      </c>
      <c r="AQ514" s="1">
        <f>value(IFERROR(SUBSTITUTE(SUBSTITUTE(VLOOKUP($A514,'Quarterly Pipeline vs Target Pi'!$A:$AP,31,false)," $","")," €",""), "")
)</f>
        <v>0</v>
      </c>
      <c r="AR514" s="1">
        <f>value(IFERROR(SUBSTITUTE(SUBSTITUTE(VLOOKUP($A514,'Quarterly Pipeline vs Target Pi'!$A:$AP,32,false)," $","")," €",""), "")
)</f>
        <v>0</v>
      </c>
      <c r="AS514" s="17" t="str">
        <f t="shared" si="16"/>
        <v/>
      </c>
      <c r="AT514" s="1">
        <f>value(IFERROR(SUBSTITUTE(SUBSTITUTE(VLOOKUP($A514,'Quarterly Pipeline vs Target Pi'!$A:$AP,36,false)," $","")," €",""), "")
)</f>
        <v>0</v>
      </c>
      <c r="AU514" s="1">
        <f>value(IFERROR(SUBSTITUTE(SUBSTITUTE(VLOOKUP($A514,'Quarterly Pipeline vs Target Pi'!$A:$AP,37,false)," $","")," €",""), "")
)</f>
        <v>0</v>
      </c>
      <c r="AV514" s="17" t="str">
        <f t="shared" si="17"/>
        <v/>
      </c>
      <c r="AW514" s="1">
        <f>value(IFERROR(SUBSTITUTE(SUBSTITUTE(VLOOKUP($A514,'Quarterly Pipeline vs Target Pi'!$A:$AP,41,false)," $","")," €",""), "")
)</f>
        <v>0</v>
      </c>
      <c r="AX514" s="1">
        <f>value(IFERROR(SUBSTITUTE(SUBSTITUTE(VLOOKUP($A514,'Quarterly Pipeline vs Target Pi'!$A:$AP,42,false)," $","")," €",""), "")
)</f>
        <v>0</v>
      </c>
      <c r="AY514" s="17" t="str">
        <f t="shared" si="18"/>
        <v/>
      </c>
      <c r="AZ514" s="1">
        <f t="shared" ref="AZ514:BA514" si="1042">sum(AN514,AQ514,AT514,AW514)</f>
        <v>0</v>
      </c>
      <c r="BA514" s="1">
        <f t="shared" si="1042"/>
        <v>0</v>
      </c>
      <c r="BB514" s="17" t="str">
        <f t="shared" si="20"/>
        <v/>
      </c>
    </row>
    <row r="515">
      <c r="G515" s="1" t="str">
        <f>iferror(VLOOKUP(A515,'Business Plan Setup and Accepta'!A:G,6,false),"")</f>
        <v/>
      </c>
      <c r="H515" s="1" t="str">
        <f>iferror(VLOOKUP(A515,'Business Plan Setup and Accepta'!A:G,7,false),"")</f>
        <v/>
      </c>
      <c r="I515" s="17" t="str">
        <f t="shared" si="3"/>
        <v/>
      </c>
      <c r="J515" s="1" t="str">
        <f>IFERROR(VALUE(SUBSTITUTE(VLOOKUP(A515,'Sales IN Revenues vs Sales targ'!A:G,6,false)," $","")), "")
</f>
        <v/>
      </c>
      <c r="K515" s="1" t="str">
        <f>IFERROR(VALUE(SUBSTITUTE(VLOOKUP(A515,'Sales IN Revenues vs Sales targ'!A:G,7,false)," $","")), "")
</f>
        <v/>
      </c>
      <c r="L515" s="17" t="str">
        <f t="shared" si="4"/>
        <v/>
      </c>
      <c r="M515" s="1">
        <f>value(SUBSTITUTE(IFERROR(VLOOKUP(A515,'Certifications achievements vs '!A:G,6,false),""),"#","")
)</f>
        <v>0</v>
      </c>
      <c r="N515" s="1">
        <f>value(SUBSTITUTE(IFERROR(VLOOKUP(A515,'Certifications achievements vs '!A:G,7,false),""),"#","")
)</f>
        <v>0</v>
      </c>
      <c r="O515" s="17" t="str">
        <f t="shared" si="5"/>
        <v/>
      </c>
      <c r="P515" s="1">
        <f>value(SUBSTITUTE(IFERROR(VLOOKUP(A515,'Communications - Solution Speci'!A:G,6,false),""),"#","")
)</f>
        <v>0</v>
      </c>
      <c r="Q515" s="1">
        <f>value(SUBSTITUTE(IFERROR(VLOOKUP(A515,'Communications - Solution Speci'!A:G,7,false),""),"#","")
)</f>
        <v>0</v>
      </c>
      <c r="R515" s="17" t="str">
        <f t="shared" si="6"/>
        <v/>
      </c>
      <c r="S515" s="1">
        <f>value(SUBSTITUTE(IFERROR(VLOOKUP(A515,'Networking - Solution Specializ'!A:G,6,false),""),"#","")
)</f>
        <v>0</v>
      </c>
      <c r="T515" s="1">
        <f>value(SUBSTITUTE(IFERROR(VLOOKUP(A515,'Networking - Solution Specializ'!A:G,7,false),""),"#","")
)</f>
        <v>0</v>
      </c>
      <c r="U515" s="17" t="str">
        <f t="shared" si="7"/>
        <v/>
      </c>
      <c r="V515" s="1" t="str">
        <f>iferror(vlookup(A515,'Marketing Plan (extract summary'!A:G,6,false),"")</f>
        <v/>
      </c>
      <c r="W515" s="1" t="str">
        <f>iferror(vlookup(A515,'Marketing Plan (extract summary'!A:G,7,false),"")</f>
        <v/>
      </c>
      <c r="X515" s="17" t="str">
        <f t="shared" si="8"/>
        <v/>
      </c>
      <c r="Y515" s="1">
        <f>value(IFERROR(SUBSTITUTE(SUBSTITUTE(VLOOKUP(A515,'Quarterly Pipeline vs Target Pi'!A:G,6,false)," $","")," €",""), "")
)</f>
        <v>0</v>
      </c>
      <c r="Z515" s="1">
        <f>value(IFERROR(SUBSTITUTE(SUBSTITUTE(VLOOKUP(A515,'Quarterly Pipeline vs Target Pi'!A:G,7,false)," $","")," €",""), "")
)</f>
        <v>0</v>
      </c>
      <c r="AA515" s="17" t="str">
        <f t="shared" si="9"/>
        <v/>
      </c>
      <c r="AB515" s="1">
        <f>value(IFERROR(SUBSTITUTE(SUBSTITUTE(VLOOKUP($A515,'Quarterly Pipeline vs Target Pi'!$A:$V,11,false)," $","")," €",""), "")
)</f>
        <v>0</v>
      </c>
      <c r="AC515" s="1">
        <f>value(IFERROR(SUBSTITUTE(SUBSTITUTE(VLOOKUP($A515,'Quarterly Pipeline vs Target Pi'!$A:$V,12,false)," $","")," €",""), "")
)</f>
        <v>0</v>
      </c>
      <c r="AD515" s="17" t="str">
        <f t="shared" si="10"/>
        <v/>
      </c>
      <c r="AE515" s="1">
        <f>value(IFERROR(SUBSTITUTE(SUBSTITUTE(VLOOKUP($A515,'Quarterly Pipeline vs Target Pi'!$A:$V,16,false)," $","")," €",""), "")
)</f>
        <v>0</v>
      </c>
      <c r="AF515" s="1">
        <f>value(IFERROR(SUBSTITUTE(SUBSTITUTE(VLOOKUP($A515,'Quarterly Pipeline vs Target Pi'!$A:$V,17,false)," $","")," €",""), "")
)</f>
        <v>0</v>
      </c>
      <c r="AG515" s="17" t="str">
        <f t="shared" si="11"/>
        <v/>
      </c>
      <c r="AH515" s="1">
        <f>value(IFERROR(SUBSTITUTE(SUBSTITUTE(VLOOKUP($A515,'Quarterly Pipeline vs Target Pi'!$A:$V,21,false)," $","")," €",""), "")
)</f>
        <v>0</v>
      </c>
      <c r="AI515" s="1">
        <f>value(IFERROR(SUBSTITUTE(SUBSTITUTE(VLOOKUP($A515,'Quarterly Pipeline vs Target Pi'!$A:$V,22,false)," $","")," €",""), "")
)</f>
        <v>0</v>
      </c>
      <c r="AJ515" s="17" t="str">
        <f t="shared" si="12"/>
        <v/>
      </c>
      <c r="AK515" s="1">
        <f t="shared" ref="AK515:AL515" si="1043">sum(Y515,AB515,AE515,AH515)</f>
        <v>0</v>
      </c>
      <c r="AL515" s="1">
        <f t="shared" si="1043"/>
        <v>0</v>
      </c>
      <c r="AM515" s="17" t="str">
        <f t="shared" si="14"/>
        <v/>
      </c>
      <c r="AN515" s="1">
        <f>value(IFERROR(SUBSTITUTE(SUBSTITUTE(VLOOKUP($A515,'Quarterly Pipeline vs Target Pi'!$A:$AP,26,false)," $","")," €",""), "")
)</f>
        <v>0</v>
      </c>
      <c r="AO515" s="1">
        <f>value(IFERROR(SUBSTITUTE(SUBSTITUTE(VLOOKUP($A515,'Quarterly Pipeline vs Target Pi'!$A:$AP,27,false)," $","")," €",""), "")
)</f>
        <v>0</v>
      </c>
      <c r="AP515" s="17" t="str">
        <f t="shared" si="15"/>
        <v/>
      </c>
      <c r="AQ515" s="1">
        <f>value(IFERROR(SUBSTITUTE(SUBSTITUTE(VLOOKUP($A515,'Quarterly Pipeline vs Target Pi'!$A:$AP,31,false)," $","")," €",""), "")
)</f>
        <v>0</v>
      </c>
      <c r="AR515" s="1">
        <f>value(IFERROR(SUBSTITUTE(SUBSTITUTE(VLOOKUP($A515,'Quarterly Pipeline vs Target Pi'!$A:$AP,32,false)," $","")," €",""), "")
)</f>
        <v>0</v>
      </c>
      <c r="AS515" s="17" t="str">
        <f t="shared" si="16"/>
        <v/>
      </c>
      <c r="AT515" s="1">
        <f>value(IFERROR(SUBSTITUTE(SUBSTITUTE(VLOOKUP($A515,'Quarterly Pipeline vs Target Pi'!$A:$AP,36,false)," $","")," €",""), "")
)</f>
        <v>0</v>
      </c>
      <c r="AU515" s="1">
        <f>value(IFERROR(SUBSTITUTE(SUBSTITUTE(VLOOKUP($A515,'Quarterly Pipeline vs Target Pi'!$A:$AP,37,false)," $","")," €",""), "")
)</f>
        <v>0</v>
      </c>
      <c r="AV515" s="17" t="str">
        <f t="shared" si="17"/>
        <v/>
      </c>
      <c r="AW515" s="1">
        <f>value(IFERROR(SUBSTITUTE(SUBSTITUTE(VLOOKUP($A515,'Quarterly Pipeline vs Target Pi'!$A:$AP,41,false)," $","")," €",""), "")
)</f>
        <v>0</v>
      </c>
      <c r="AX515" s="1">
        <f>value(IFERROR(SUBSTITUTE(SUBSTITUTE(VLOOKUP($A515,'Quarterly Pipeline vs Target Pi'!$A:$AP,42,false)," $","")," €",""), "")
)</f>
        <v>0</v>
      </c>
      <c r="AY515" s="17" t="str">
        <f t="shared" si="18"/>
        <v/>
      </c>
      <c r="AZ515" s="1">
        <f t="shared" ref="AZ515:BA515" si="1044">sum(AN515,AQ515,AT515,AW515)</f>
        <v>0</v>
      </c>
      <c r="BA515" s="1">
        <f t="shared" si="1044"/>
        <v>0</v>
      </c>
      <c r="BB515" s="17" t="str">
        <f t="shared" si="20"/>
        <v/>
      </c>
    </row>
    <row r="516">
      <c r="G516" s="1" t="str">
        <f>iferror(VLOOKUP(A516,'Business Plan Setup and Accepta'!A:G,6,false),"")</f>
        <v/>
      </c>
      <c r="H516" s="1" t="str">
        <f>iferror(VLOOKUP(A516,'Business Plan Setup and Accepta'!A:G,7,false),"")</f>
        <v/>
      </c>
      <c r="I516" s="17" t="str">
        <f t="shared" si="3"/>
        <v/>
      </c>
      <c r="J516" s="1" t="str">
        <f>IFERROR(VALUE(SUBSTITUTE(VLOOKUP(A516,'Sales IN Revenues vs Sales targ'!A:G,6,false)," $","")), "")
</f>
        <v/>
      </c>
      <c r="K516" s="1" t="str">
        <f>IFERROR(VALUE(SUBSTITUTE(VLOOKUP(A516,'Sales IN Revenues vs Sales targ'!A:G,7,false)," $","")), "")
</f>
        <v/>
      </c>
      <c r="L516" s="17" t="str">
        <f t="shared" si="4"/>
        <v/>
      </c>
      <c r="M516" s="1">
        <f>value(SUBSTITUTE(IFERROR(VLOOKUP(A516,'Certifications achievements vs '!A:G,6,false),""),"#","")
)</f>
        <v>0</v>
      </c>
      <c r="N516" s="1">
        <f>value(SUBSTITUTE(IFERROR(VLOOKUP(A516,'Certifications achievements vs '!A:G,7,false),""),"#","")
)</f>
        <v>0</v>
      </c>
      <c r="O516" s="17" t="str">
        <f t="shared" si="5"/>
        <v/>
      </c>
      <c r="P516" s="1">
        <f>value(SUBSTITUTE(IFERROR(VLOOKUP(A516,'Communications - Solution Speci'!A:G,6,false),""),"#","")
)</f>
        <v>0</v>
      </c>
      <c r="Q516" s="1">
        <f>value(SUBSTITUTE(IFERROR(VLOOKUP(A516,'Communications - Solution Speci'!A:G,7,false),""),"#","")
)</f>
        <v>0</v>
      </c>
      <c r="R516" s="17" t="str">
        <f t="shared" si="6"/>
        <v/>
      </c>
      <c r="S516" s="1">
        <f>value(SUBSTITUTE(IFERROR(VLOOKUP(A516,'Networking - Solution Specializ'!A:G,6,false),""),"#","")
)</f>
        <v>0</v>
      </c>
      <c r="T516" s="1">
        <f>value(SUBSTITUTE(IFERROR(VLOOKUP(A516,'Networking - Solution Specializ'!A:G,7,false),""),"#","")
)</f>
        <v>0</v>
      </c>
      <c r="U516" s="17" t="str">
        <f t="shared" si="7"/>
        <v/>
      </c>
      <c r="V516" s="1" t="str">
        <f>iferror(vlookup(A516,'Marketing Plan (extract summary'!A:G,6,false),"")</f>
        <v/>
      </c>
      <c r="W516" s="1" t="str">
        <f>iferror(vlookup(A516,'Marketing Plan (extract summary'!A:G,7,false),"")</f>
        <v/>
      </c>
      <c r="X516" s="17" t="str">
        <f t="shared" si="8"/>
        <v/>
      </c>
      <c r="Y516" s="1">
        <f>value(IFERROR(SUBSTITUTE(SUBSTITUTE(VLOOKUP(A516,'Quarterly Pipeline vs Target Pi'!A:G,6,false)," $","")," €",""), "")
)</f>
        <v>0</v>
      </c>
      <c r="Z516" s="1">
        <f>value(IFERROR(SUBSTITUTE(SUBSTITUTE(VLOOKUP(A516,'Quarterly Pipeline vs Target Pi'!A:G,7,false)," $","")," €",""), "")
)</f>
        <v>0</v>
      </c>
      <c r="AA516" s="17" t="str">
        <f t="shared" si="9"/>
        <v/>
      </c>
      <c r="AB516" s="1">
        <f>value(IFERROR(SUBSTITUTE(SUBSTITUTE(VLOOKUP($A516,'Quarterly Pipeline vs Target Pi'!$A:$V,11,false)," $","")," €",""), "")
)</f>
        <v>0</v>
      </c>
      <c r="AC516" s="1">
        <f>value(IFERROR(SUBSTITUTE(SUBSTITUTE(VLOOKUP($A516,'Quarterly Pipeline vs Target Pi'!$A:$V,12,false)," $","")," €",""), "")
)</f>
        <v>0</v>
      </c>
      <c r="AD516" s="17" t="str">
        <f t="shared" si="10"/>
        <v/>
      </c>
      <c r="AE516" s="1">
        <f>value(IFERROR(SUBSTITUTE(SUBSTITUTE(VLOOKUP($A516,'Quarterly Pipeline vs Target Pi'!$A:$V,16,false)," $","")," €",""), "")
)</f>
        <v>0</v>
      </c>
      <c r="AF516" s="1">
        <f>value(IFERROR(SUBSTITUTE(SUBSTITUTE(VLOOKUP($A516,'Quarterly Pipeline vs Target Pi'!$A:$V,17,false)," $","")," €",""), "")
)</f>
        <v>0</v>
      </c>
      <c r="AG516" s="17" t="str">
        <f t="shared" si="11"/>
        <v/>
      </c>
      <c r="AH516" s="1">
        <f>value(IFERROR(SUBSTITUTE(SUBSTITUTE(VLOOKUP($A516,'Quarterly Pipeline vs Target Pi'!$A:$V,21,false)," $","")," €",""), "")
)</f>
        <v>0</v>
      </c>
      <c r="AI516" s="1">
        <f>value(IFERROR(SUBSTITUTE(SUBSTITUTE(VLOOKUP($A516,'Quarterly Pipeline vs Target Pi'!$A:$V,22,false)," $","")," €",""), "")
)</f>
        <v>0</v>
      </c>
      <c r="AJ516" s="17" t="str">
        <f t="shared" si="12"/>
        <v/>
      </c>
      <c r="AK516" s="1">
        <f t="shared" ref="AK516:AL516" si="1045">sum(Y516,AB516,AE516,AH516)</f>
        <v>0</v>
      </c>
      <c r="AL516" s="1">
        <f t="shared" si="1045"/>
        <v>0</v>
      </c>
      <c r="AM516" s="17" t="str">
        <f t="shared" si="14"/>
        <v/>
      </c>
      <c r="AN516" s="1">
        <f>value(IFERROR(SUBSTITUTE(SUBSTITUTE(VLOOKUP($A516,'Quarterly Pipeline vs Target Pi'!$A:$AP,26,false)," $","")," €",""), "")
)</f>
        <v>0</v>
      </c>
      <c r="AO516" s="1">
        <f>value(IFERROR(SUBSTITUTE(SUBSTITUTE(VLOOKUP($A516,'Quarterly Pipeline vs Target Pi'!$A:$AP,27,false)," $","")," €",""), "")
)</f>
        <v>0</v>
      </c>
      <c r="AP516" s="17" t="str">
        <f t="shared" si="15"/>
        <v/>
      </c>
      <c r="AQ516" s="1">
        <f>value(IFERROR(SUBSTITUTE(SUBSTITUTE(VLOOKUP($A516,'Quarterly Pipeline vs Target Pi'!$A:$AP,31,false)," $","")," €",""), "")
)</f>
        <v>0</v>
      </c>
      <c r="AR516" s="1">
        <f>value(IFERROR(SUBSTITUTE(SUBSTITUTE(VLOOKUP($A516,'Quarterly Pipeline vs Target Pi'!$A:$AP,32,false)," $","")," €",""), "")
)</f>
        <v>0</v>
      </c>
      <c r="AS516" s="17" t="str">
        <f t="shared" si="16"/>
        <v/>
      </c>
      <c r="AT516" s="1">
        <f>value(IFERROR(SUBSTITUTE(SUBSTITUTE(VLOOKUP($A516,'Quarterly Pipeline vs Target Pi'!$A:$AP,36,false)," $","")," €",""), "")
)</f>
        <v>0</v>
      </c>
      <c r="AU516" s="1">
        <f>value(IFERROR(SUBSTITUTE(SUBSTITUTE(VLOOKUP($A516,'Quarterly Pipeline vs Target Pi'!$A:$AP,37,false)," $","")," €",""), "")
)</f>
        <v>0</v>
      </c>
      <c r="AV516" s="17" t="str">
        <f t="shared" si="17"/>
        <v/>
      </c>
      <c r="AW516" s="1">
        <f>value(IFERROR(SUBSTITUTE(SUBSTITUTE(VLOOKUP($A516,'Quarterly Pipeline vs Target Pi'!$A:$AP,41,false)," $","")," €",""), "")
)</f>
        <v>0</v>
      </c>
      <c r="AX516" s="1">
        <f>value(IFERROR(SUBSTITUTE(SUBSTITUTE(VLOOKUP($A516,'Quarterly Pipeline vs Target Pi'!$A:$AP,42,false)," $","")," €",""), "")
)</f>
        <v>0</v>
      </c>
      <c r="AY516" s="17" t="str">
        <f t="shared" si="18"/>
        <v/>
      </c>
      <c r="AZ516" s="1">
        <f t="shared" ref="AZ516:BA516" si="1046">sum(AN516,AQ516,AT516,AW516)</f>
        <v>0</v>
      </c>
      <c r="BA516" s="1">
        <f t="shared" si="1046"/>
        <v>0</v>
      </c>
      <c r="BB516" s="17" t="str">
        <f t="shared" si="20"/>
        <v/>
      </c>
    </row>
    <row r="517">
      <c r="G517" s="1" t="str">
        <f>iferror(VLOOKUP(A517,'Business Plan Setup and Accepta'!A:G,6,false),"")</f>
        <v/>
      </c>
      <c r="H517" s="1" t="str">
        <f>iferror(VLOOKUP(A517,'Business Plan Setup and Accepta'!A:G,7,false),"")</f>
        <v/>
      </c>
      <c r="I517" s="17" t="str">
        <f t="shared" si="3"/>
        <v/>
      </c>
      <c r="J517" s="1" t="str">
        <f>IFERROR(VALUE(SUBSTITUTE(VLOOKUP(A517,'Sales IN Revenues vs Sales targ'!A:G,6,false)," $","")), "")
</f>
        <v/>
      </c>
      <c r="K517" s="1" t="str">
        <f>IFERROR(VALUE(SUBSTITUTE(VLOOKUP(A517,'Sales IN Revenues vs Sales targ'!A:G,7,false)," $","")), "")
</f>
        <v/>
      </c>
      <c r="L517" s="17" t="str">
        <f t="shared" si="4"/>
        <v/>
      </c>
      <c r="M517" s="1">
        <f>value(SUBSTITUTE(IFERROR(VLOOKUP(A517,'Certifications achievements vs '!A:G,6,false),""),"#","")
)</f>
        <v>0</v>
      </c>
      <c r="N517" s="1">
        <f>value(SUBSTITUTE(IFERROR(VLOOKUP(A517,'Certifications achievements vs '!A:G,7,false),""),"#","")
)</f>
        <v>0</v>
      </c>
      <c r="O517" s="17" t="str">
        <f t="shared" si="5"/>
        <v/>
      </c>
      <c r="P517" s="1">
        <f>value(SUBSTITUTE(IFERROR(VLOOKUP(A517,'Communications - Solution Speci'!A:G,6,false),""),"#","")
)</f>
        <v>0</v>
      </c>
      <c r="Q517" s="1">
        <f>value(SUBSTITUTE(IFERROR(VLOOKUP(A517,'Communications - Solution Speci'!A:G,7,false),""),"#","")
)</f>
        <v>0</v>
      </c>
      <c r="R517" s="17" t="str">
        <f t="shared" si="6"/>
        <v/>
      </c>
      <c r="S517" s="1">
        <f>value(SUBSTITUTE(IFERROR(VLOOKUP(A517,'Networking - Solution Specializ'!A:G,6,false),""),"#","")
)</f>
        <v>0</v>
      </c>
      <c r="T517" s="1">
        <f>value(SUBSTITUTE(IFERROR(VLOOKUP(A517,'Networking - Solution Specializ'!A:G,7,false),""),"#","")
)</f>
        <v>0</v>
      </c>
      <c r="U517" s="17" t="str">
        <f t="shared" si="7"/>
        <v/>
      </c>
      <c r="V517" s="1" t="str">
        <f>iferror(vlookup(A517,'Marketing Plan (extract summary'!A:G,6,false),"")</f>
        <v/>
      </c>
      <c r="W517" s="1" t="str">
        <f>iferror(vlookup(A517,'Marketing Plan (extract summary'!A:G,7,false),"")</f>
        <v/>
      </c>
      <c r="X517" s="17" t="str">
        <f t="shared" si="8"/>
        <v/>
      </c>
      <c r="Y517" s="1">
        <f>value(IFERROR(SUBSTITUTE(SUBSTITUTE(VLOOKUP(A517,'Quarterly Pipeline vs Target Pi'!A:G,6,false)," $","")," €",""), "")
)</f>
        <v>0</v>
      </c>
      <c r="Z517" s="1">
        <f>value(IFERROR(SUBSTITUTE(SUBSTITUTE(VLOOKUP(A517,'Quarterly Pipeline vs Target Pi'!A:G,7,false)," $","")," €",""), "")
)</f>
        <v>0</v>
      </c>
      <c r="AA517" s="17" t="str">
        <f t="shared" si="9"/>
        <v/>
      </c>
      <c r="AB517" s="1">
        <f>value(IFERROR(SUBSTITUTE(SUBSTITUTE(VLOOKUP($A517,'Quarterly Pipeline vs Target Pi'!$A:$V,11,false)," $","")," €",""), "")
)</f>
        <v>0</v>
      </c>
      <c r="AC517" s="1">
        <f>value(IFERROR(SUBSTITUTE(SUBSTITUTE(VLOOKUP($A517,'Quarterly Pipeline vs Target Pi'!$A:$V,12,false)," $","")," €",""), "")
)</f>
        <v>0</v>
      </c>
      <c r="AD517" s="17" t="str">
        <f t="shared" si="10"/>
        <v/>
      </c>
      <c r="AE517" s="1">
        <f>value(IFERROR(SUBSTITUTE(SUBSTITUTE(VLOOKUP($A517,'Quarterly Pipeline vs Target Pi'!$A:$V,16,false)," $","")," €",""), "")
)</f>
        <v>0</v>
      </c>
      <c r="AF517" s="1">
        <f>value(IFERROR(SUBSTITUTE(SUBSTITUTE(VLOOKUP($A517,'Quarterly Pipeline vs Target Pi'!$A:$V,17,false)," $","")," €",""), "")
)</f>
        <v>0</v>
      </c>
      <c r="AG517" s="17" t="str">
        <f t="shared" si="11"/>
        <v/>
      </c>
      <c r="AH517" s="1">
        <f>value(IFERROR(SUBSTITUTE(SUBSTITUTE(VLOOKUP($A517,'Quarterly Pipeline vs Target Pi'!$A:$V,21,false)," $","")," €",""), "")
)</f>
        <v>0</v>
      </c>
      <c r="AI517" s="1">
        <f>value(IFERROR(SUBSTITUTE(SUBSTITUTE(VLOOKUP($A517,'Quarterly Pipeline vs Target Pi'!$A:$V,22,false)," $","")," €",""), "")
)</f>
        <v>0</v>
      </c>
      <c r="AJ517" s="17" t="str">
        <f t="shared" si="12"/>
        <v/>
      </c>
      <c r="AK517" s="1">
        <f t="shared" ref="AK517:AL517" si="1047">sum(Y517,AB517,AE517,AH517)</f>
        <v>0</v>
      </c>
      <c r="AL517" s="1">
        <f t="shared" si="1047"/>
        <v>0</v>
      </c>
      <c r="AM517" s="17" t="str">
        <f t="shared" si="14"/>
        <v/>
      </c>
      <c r="AN517" s="1">
        <f>value(IFERROR(SUBSTITUTE(SUBSTITUTE(VLOOKUP($A517,'Quarterly Pipeline vs Target Pi'!$A:$AP,26,false)," $","")," €",""), "")
)</f>
        <v>0</v>
      </c>
      <c r="AO517" s="1">
        <f>value(IFERROR(SUBSTITUTE(SUBSTITUTE(VLOOKUP($A517,'Quarterly Pipeline vs Target Pi'!$A:$AP,27,false)," $","")," €",""), "")
)</f>
        <v>0</v>
      </c>
      <c r="AP517" s="17" t="str">
        <f t="shared" si="15"/>
        <v/>
      </c>
      <c r="AQ517" s="1">
        <f>value(IFERROR(SUBSTITUTE(SUBSTITUTE(VLOOKUP($A517,'Quarterly Pipeline vs Target Pi'!$A:$AP,31,false)," $","")," €",""), "")
)</f>
        <v>0</v>
      </c>
      <c r="AR517" s="1">
        <f>value(IFERROR(SUBSTITUTE(SUBSTITUTE(VLOOKUP($A517,'Quarterly Pipeline vs Target Pi'!$A:$AP,32,false)," $","")," €",""), "")
)</f>
        <v>0</v>
      </c>
      <c r="AS517" s="17" t="str">
        <f t="shared" si="16"/>
        <v/>
      </c>
      <c r="AT517" s="1">
        <f>value(IFERROR(SUBSTITUTE(SUBSTITUTE(VLOOKUP($A517,'Quarterly Pipeline vs Target Pi'!$A:$AP,36,false)," $","")," €",""), "")
)</f>
        <v>0</v>
      </c>
      <c r="AU517" s="1">
        <f>value(IFERROR(SUBSTITUTE(SUBSTITUTE(VLOOKUP($A517,'Quarterly Pipeline vs Target Pi'!$A:$AP,37,false)," $","")," €",""), "")
)</f>
        <v>0</v>
      </c>
      <c r="AV517" s="17" t="str">
        <f t="shared" si="17"/>
        <v/>
      </c>
      <c r="AW517" s="1">
        <f>value(IFERROR(SUBSTITUTE(SUBSTITUTE(VLOOKUP($A517,'Quarterly Pipeline vs Target Pi'!$A:$AP,41,false)," $","")," €",""), "")
)</f>
        <v>0</v>
      </c>
      <c r="AX517" s="1">
        <f>value(IFERROR(SUBSTITUTE(SUBSTITUTE(VLOOKUP($A517,'Quarterly Pipeline vs Target Pi'!$A:$AP,42,false)," $","")," €",""), "")
)</f>
        <v>0</v>
      </c>
      <c r="AY517" s="17" t="str">
        <f t="shared" si="18"/>
        <v/>
      </c>
      <c r="AZ517" s="1">
        <f t="shared" ref="AZ517:BA517" si="1048">sum(AN517,AQ517,AT517,AW517)</f>
        <v>0</v>
      </c>
      <c r="BA517" s="1">
        <f t="shared" si="1048"/>
        <v>0</v>
      </c>
      <c r="BB517" s="17" t="str">
        <f t="shared" si="20"/>
        <v/>
      </c>
    </row>
    <row r="518">
      <c r="G518" s="1" t="str">
        <f>iferror(VLOOKUP(A518,'Business Plan Setup and Accepta'!A:G,6,false),"")</f>
        <v/>
      </c>
      <c r="H518" s="1" t="str">
        <f>iferror(VLOOKUP(A518,'Business Plan Setup and Accepta'!A:G,7,false),"")</f>
        <v/>
      </c>
      <c r="I518" s="17" t="str">
        <f t="shared" si="3"/>
        <v/>
      </c>
      <c r="J518" s="1" t="str">
        <f>IFERROR(VALUE(SUBSTITUTE(VLOOKUP(A518,'Sales IN Revenues vs Sales targ'!A:G,6,false)," $","")), "")
</f>
        <v/>
      </c>
      <c r="K518" s="1" t="str">
        <f>IFERROR(VALUE(SUBSTITUTE(VLOOKUP(A518,'Sales IN Revenues vs Sales targ'!A:G,7,false)," $","")), "")
</f>
        <v/>
      </c>
      <c r="L518" s="17" t="str">
        <f t="shared" si="4"/>
        <v/>
      </c>
      <c r="M518" s="1">
        <f>value(SUBSTITUTE(IFERROR(VLOOKUP(A518,'Certifications achievements vs '!A:G,6,false),""),"#","")
)</f>
        <v>0</v>
      </c>
      <c r="N518" s="1">
        <f>value(SUBSTITUTE(IFERROR(VLOOKUP(A518,'Certifications achievements vs '!A:G,7,false),""),"#","")
)</f>
        <v>0</v>
      </c>
      <c r="O518" s="17" t="str">
        <f t="shared" si="5"/>
        <v/>
      </c>
      <c r="P518" s="1">
        <f>value(SUBSTITUTE(IFERROR(VLOOKUP(A518,'Communications - Solution Speci'!A:G,6,false),""),"#","")
)</f>
        <v>0</v>
      </c>
      <c r="Q518" s="1">
        <f>value(SUBSTITUTE(IFERROR(VLOOKUP(A518,'Communications - Solution Speci'!A:G,7,false),""),"#","")
)</f>
        <v>0</v>
      </c>
      <c r="R518" s="17" t="str">
        <f t="shared" si="6"/>
        <v/>
      </c>
      <c r="S518" s="1">
        <f>value(SUBSTITUTE(IFERROR(VLOOKUP(A518,'Networking - Solution Specializ'!A:G,6,false),""),"#","")
)</f>
        <v>0</v>
      </c>
      <c r="T518" s="1">
        <f>value(SUBSTITUTE(IFERROR(VLOOKUP(A518,'Networking - Solution Specializ'!A:G,7,false),""),"#","")
)</f>
        <v>0</v>
      </c>
      <c r="U518" s="17" t="str">
        <f t="shared" si="7"/>
        <v/>
      </c>
      <c r="V518" s="1" t="str">
        <f>iferror(vlookup(A518,'Marketing Plan (extract summary'!A:G,6,false),"")</f>
        <v/>
      </c>
      <c r="W518" s="1" t="str">
        <f>iferror(vlookup(A518,'Marketing Plan (extract summary'!A:G,7,false),"")</f>
        <v/>
      </c>
      <c r="X518" s="17" t="str">
        <f t="shared" si="8"/>
        <v/>
      </c>
      <c r="Y518" s="1">
        <f>value(IFERROR(SUBSTITUTE(SUBSTITUTE(VLOOKUP(A518,'Quarterly Pipeline vs Target Pi'!A:G,6,false)," $","")," €",""), "")
)</f>
        <v>0</v>
      </c>
      <c r="Z518" s="1">
        <f>value(IFERROR(SUBSTITUTE(SUBSTITUTE(VLOOKUP(A518,'Quarterly Pipeline vs Target Pi'!A:G,7,false)," $","")," €",""), "")
)</f>
        <v>0</v>
      </c>
      <c r="AA518" s="17" t="str">
        <f t="shared" si="9"/>
        <v/>
      </c>
      <c r="AB518" s="1">
        <f>value(IFERROR(SUBSTITUTE(SUBSTITUTE(VLOOKUP($A518,'Quarterly Pipeline vs Target Pi'!$A:$V,11,false)," $","")," €",""), "")
)</f>
        <v>0</v>
      </c>
      <c r="AC518" s="1">
        <f>value(IFERROR(SUBSTITUTE(SUBSTITUTE(VLOOKUP($A518,'Quarterly Pipeline vs Target Pi'!$A:$V,12,false)," $","")," €",""), "")
)</f>
        <v>0</v>
      </c>
      <c r="AD518" s="17" t="str">
        <f t="shared" si="10"/>
        <v/>
      </c>
      <c r="AE518" s="1">
        <f>value(IFERROR(SUBSTITUTE(SUBSTITUTE(VLOOKUP($A518,'Quarterly Pipeline vs Target Pi'!$A:$V,16,false)," $","")," €",""), "")
)</f>
        <v>0</v>
      </c>
      <c r="AF518" s="1">
        <f>value(IFERROR(SUBSTITUTE(SUBSTITUTE(VLOOKUP($A518,'Quarterly Pipeline vs Target Pi'!$A:$V,17,false)," $","")," €",""), "")
)</f>
        <v>0</v>
      </c>
      <c r="AG518" s="17" t="str">
        <f t="shared" si="11"/>
        <v/>
      </c>
      <c r="AH518" s="1">
        <f>value(IFERROR(SUBSTITUTE(SUBSTITUTE(VLOOKUP($A518,'Quarterly Pipeline vs Target Pi'!$A:$V,21,false)," $","")," €",""), "")
)</f>
        <v>0</v>
      </c>
      <c r="AI518" s="1">
        <f>value(IFERROR(SUBSTITUTE(SUBSTITUTE(VLOOKUP($A518,'Quarterly Pipeline vs Target Pi'!$A:$V,22,false)," $","")," €",""), "")
)</f>
        <v>0</v>
      </c>
      <c r="AJ518" s="17" t="str">
        <f t="shared" si="12"/>
        <v/>
      </c>
      <c r="AK518" s="1">
        <f t="shared" ref="AK518:AL518" si="1049">sum(Y518,AB518,AE518,AH518)</f>
        <v>0</v>
      </c>
      <c r="AL518" s="1">
        <f t="shared" si="1049"/>
        <v>0</v>
      </c>
      <c r="AM518" s="17" t="str">
        <f t="shared" si="14"/>
        <v/>
      </c>
      <c r="AN518" s="1">
        <f>value(IFERROR(SUBSTITUTE(SUBSTITUTE(VLOOKUP($A518,'Quarterly Pipeline vs Target Pi'!$A:$AP,26,false)," $","")," €",""), "")
)</f>
        <v>0</v>
      </c>
      <c r="AO518" s="1">
        <f>value(IFERROR(SUBSTITUTE(SUBSTITUTE(VLOOKUP($A518,'Quarterly Pipeline vs Target Pi'!$A:$AP,27,false)," $","")," €",""), "")
)</f>
        <v>0</v>
      </c>
      <c r="AP518" s="17" t="str">
        <f t="shared" si="15"/>
        <v/>
      </c>
      <c r="AQ518" s="1">
        <f>value(IFERROR(SUBSTITUTE(SUBSTITUTE(VLOOKUP($A518,'Quarterly Pipeline vs Target Pi'!$A:$AP,31,false)," $","")," €",""), "")
)</f>
        <v>0</v>
      </c>
      <c r="AR518" s="1">
        <f>value(IFERROR(SUBSTITUTE(SUBSTITUTE(VLOOKUP($A518,'Quarterly Pipeline vs Target Pi'!$A:$AP,32,false)," $","")," €",""), "")
)</f>
        <v>0</v>
      </c>
      <c r="AS518" s="17" t="str">
        <f t="shared" si="16"/>
        <v/>
      </c>
      <c r="AT518" s="1">
        <f>value(IFERROR(SUBSTITUTE(SUBSTITUTE(VLOOKUP($A518,'Quarterly Pipeline vs Target Pi'!$A:$AP,36,false)," $","")," €",""), "")
)</f>
        <v>0</v>
      </c>
      <c r="AU518" s="1">
        <f>value(IFERROR(SUBSTITUTE(SUBSTITUTE(VLOOKUP($A518,'Quarterly Pipeline vs Target Pi'!$A:$AP,37,false)," $","")," €",""), "")
)</f>
        <v>0</v>
      </c>
      <c r="AV518" s="17" t="str">
        <f t="shared" si="17"/>
        <v/>
      </c>
      <c r="AW518" s="1">
        <f>value(IFERROR(SUBSTITUTE(SUBSTITUTE(VLOOKUP($A518,'Quarterly Pipeline vs Target Pi'!$A:$AP,41,false)," $","")," €",""), "")
)</f>
        <v>0</v>
      </c>
      <c r="AX518" s="1">
        <f>value(IFERROR(SUBSTITUTE(SUBSTITUTE(VLOOKUP($A518,'Quarterly Pipeline vs Target Pi'!$A:$AP,42,false)," $","")," €",""), "")
)</f>
        <v>0</v>
      </c>
      <c r="AY518" s="17" t="str">
        <f t="shared" si="18"/>
        <v/>
      </c>
      <c r="AZ518" s="1">
        <f t="shared" ref="AZ518:BA518" si="1050">sum(AN518,AQ518,AT518,AW518)</f>
        <v>0</v>
      </c>
      <c r="BA518" s="1">
        <f t="shared" si="1050"/>
        <v>0</v>
      </c>
      <c r="BB518" s="17" t="str">
        <f t="shared" si="20"/>
        <v/>
      </c>
    </row>
    <row r="519">
      <c r="G519" s="1" t="str">
        <f>iferror(VLOOKUP(A519,'Business Plan Setup and Accepta'!A:G,6,false),"")</f>
        <v/>
      </c>
      <c r="H519" s="1" t="str">
        <f>iferror(VLOOKUP(A519,'Business Plan Setup and Accepta'!A:G,7,false),"")</f>
        <v/>
      </c>
      <c r="I519" s="17" t="str">
        <f t="shared" si="3"/>
        <v/>
      </c>
      <c r="J519" s="1" t="str">
        <f>IFERROR(VALUE(SUBSTITUTE(VLOOKUP(A519,'Sales IN Revenues vs Sales targ'!A:G,6,false)," $","")), "")
</f>
        <v/>
      </c>
      <c r="K519" s="1" t="str">
        <f>IFERROR(VALUE(SUBSTITUTE(VLOOKUP(A519,'Sales IN Revenues vs Sales targ'!A:G,7,false)," $","")), "")
</f>
        <v/>
      </c>
      <c r="L519" s="17" t="str">
        <f t="shared" si="4"/>
        <v/>
      </c>
      <c r="M519" s="1">
        <f>value(SUBSTITUTE(IFERROR(VLOOKUP(A519,'Certifications achievements vs '!A:G,6,false),""),"#","")
)</f>
        <v>0</v>
      </c>
      <c r="N519" s="1">
        <f>value(SUBSTITUTE(IFERROR(VLOOKUP(A519,'Certifications achievements vs '!A:G,7,false),""),"#","")
)</f>
        <v>0</v>
      </c>
      <c r="O519" s="17" t="str">
        <f t="shared" si="5"/>
        <v/>
      </c>
      <c r="P519" s="1">
        <f>value(SUBSTITUTE(IFERROR(VLOOKUP(A519,'Communications - Solution Speci'!A:G,6,false),""),"#","")
)</f>
        <v>0</v>
      </c>
      <c r="Q519" s="1">
        <f>value(SUBSTITUTE(IFERROR(VLOOKUP(A519,'Communications - Solution Speci'!A:G,7,false),""),"#","")
)</f>
        <v>0</v>
      </c>
      <c r="R519" s="17" t="str">
        <f t="shared" si="6"/>
        <v/>
      </c>
      <c r="S519" s="1">
        <f>value(SUBSTITUTE(IFERROR(VLOOKUP(A519,'Networking - Solution Specializ'!A:G,6,false),""),"#","")
)</f>
        <v>0</v>
      </c>
      <c r="T519" s="1">
        <f>value(SUBSTITUTE(IFERROR(VLOOKUP(A519,'Networking - Solution Specializ'!A:G,7,false),""),"#","")
)</f>
        <v>0</v>
      </c>
      <c r="U519" s="17" t="str">
        <f t="shared" si="7"/>
        <v/>
      </c>
      <c r="V519" s="1" t="str">
        <f>iferror(vlookup(A519,'Marketing Plan (extract summary'!A:G,6,false),"")</f>
        <v/>
      </c>
      <c r="W519" s="1" t="str">
        <f>iferror(vlookup(A519,'Marketing Plan (extract summary'!A:G,7,false),"")</f>
        <v/>
      </c>
      <c r="X519" s="17" t="str">
        <f t="shared" si="8"/>
        <v/>
      </c>
      <c r="Y519" s="1">
        <f>value(IFERROR(SUBSTITUTE(SUBSTITUTE(VLOOKUP(A519,'Quarterly Pipeline vs Target Pi'!A:G,6,false)," $","")," €",""), "")
)</f>
        <v>0</v>
      </c>
      <c r="Z519" s="1">
        <f>value(IFERROR(SUBSTITUTE(SUBSTITUTE(VLOOKUP(A519,'Quarterly Pipeline vs Target Pi'!A:G,7,false)," $","")," €",""), "")
)</f>
        <v>0</v>
      </c>
      <c r="AA519" s="17" t="str">
        <f t="shared" si="9"/>
        <v/>
      </c>
      <c r="AB519" s="1">
        <f>value(IFERROR(SUBSTITUTE(SUBSTITUTE(VLOOKUP($A519,'Quarterly Pipeline vs Target Pi'!$A:$V,11,false)," $","")," €",""), "")
)</f>
        <v>0</v>
      </c>
      <c r="AC519" s="1">
        <f>value(IFERROR(SUBSTITUTE(SUBSTITUTE(VLOOKUP($A519,'Quarterly Pipeline vs Target Pi'!$A:$V,12,false)," $","")," €",""), "")
)</f>
        <v>0</v>
      </c>
      <c r="AD519" s="17" t="str">
        <f t="shared" si="10"/>
        <v/>
      </c>
      <c r="AE519" s="1">
        <f>value(IFERROR(SUBSTITUTE(SUBSTITUTE(VLOOKUP($A519,'Quarterly Pipeline vs Target Pi'!$A:$V,16,false)," $","")," €",""), "")
)</f>
        <v>0</v>
      </c>
      <c r="AF519" s="1">
        <f>value(IFERROR(SUBSTITUTE(SUBSTITUTE(VLOOKUP($A519,'Quarterly Pipeline vs Target Pi'!$A:$V,17,false)," $","")," €",""), "")
)</f>
        <v>0</v>
      </c>
      <c r="AG519" s="17" t="str">
        <f t="shared" si="11"/>
        <v/>
      </c>
      <c r="AH519" s="1">
        <f>value(IFERROR(SUBSTITUTE(SUBSTITUTE(VLOOKUP($A519,'Quarterly Pipeline vs Target Pi'!$A:$V,21,false)," $","")," €",""), "")
)</f>
        <v>0</v>
      </c>
      <c r="AI519" s="1">
        <f>value(IFERROR(SUBSTITUTE(SUBSTITUTE(VLOOKUP($A519,'Quarterly Pipeline vs Target Pi'!$A:$V,22,false)," $","")," €",""), "")
)</f>
        <v>0</v>
      </c>
      <c r="AJ519" s="17" t="str">
        <f t="shared" si="12"/>
        <v/>
      </c>
      <c r="AK519" s="1">
        <f t="shared" ref="AK519:AL519" si="1051">sum(Y519,AB519,AE519,AH519)</f>
        <v>0</v>
      </c>
      <c r="AL519" s="1">
        <f t="shared" si="1051"/>
        <v>0</v>
      </c>
      <c r="AM519" s="17" t="str">
        <f t="shared" si="14"/>
        <v/>
      </c>
      <c r="AN519" s="1">
        <f>value(IFERROR(SUBSTITUTE(SUBSTITUTE(VLOOKUP($A519,'Quarterly Pipeline vs Target Pi'!$A:$AP,26,false)," $","")," €",""), "")
)</f>
        <v>0</v>
      </c>
      <c r="AO519" s="1">
        <f>value(IFERROR(SUBSTITUTE(SUBSTITUTE(VLOOKUP($A519,'Quarterly Pipeline vs Target Pi'!$A:$AP,27,false)," $","")," €",""), "")
)</f>
        <v>0</v>
      </c>
      <c r="AP519" s="17" t="str">
        <f t="shared" si="15"/>
        <v/>
      </c>
      <c r="AQ519" s="1">
        <f>value(IFERROR(SUBSTITUTE(SUBSTITUTE(VLOOKUP($A519,'Quarterly Pipeline vs Target Pi'!$A:$AP,31,false)," $","")," €",""), "")
)</f>
        <v>0</v>
      </c>
      <c r="AR519" s="1">
        <f>value(IFERROR(SUBSTITUTE(SUBSTITUTE(VLOOKUP($A519,'Quarterly Pipeline vs Target Pi'!$A:$AP,32,false)," $","")," €",""), "")
)</f>
        <v>0</v>
      </c>
      <c r="AS519" s="17" t="str">
        <f t="shared" si="16"/>
        <v/>
      </c>
      <c r="AT519" s="1">
        <f>value(IFERROR(SUBSTITUTE(SUBSTITUTE(VLOOKUP($A519,'Quarterly Pipeline vs Target Pi'!$A:$AP,36,false)," $","")," €",""), "")
)</f>
        <v>0</v>
      </c>
      <c r="AU519" s="1">
        <f>value(IFERROR(SUBSTITUTE(SUBSTITUTE(VLOOKUP($A519,'Quarterly Pipeline vs Target Pi'!$A:$AP,37,false)," $","")," €",""), "")
)</f>
        <v>0</v>
      </c>
      <c r="AV519" s="17" t="str">
        <f t="shared" si="17"/>
        <v/>
      </c>
      <c r="AW519" s="1">
        <f>value(IFERROR(SUBSTITUTE(SUBSTITUTE(VLOOKUP($A519,'Quarterly Pipeline vs Target Pi'!$A:$AP,41,false)," $","")," €",""), "")
)</f>
        <v>0</v>
      </c>
      <c r="AX519" s="1">
        <f>value(IFERROR(SUBSTITUTE(SUBSTITUTE(VLOOKUP($A519,'Quarterly Pipeline vs Target Pi'!$A:$AP,42,false)," $","")," €",""), "")
)</f>
        <v>0</v>
      </c>
      <c r="AY519" s="17" t="str">
        <f t="shared" si="18"/>
        <v/>
      </c>
      <c r="AZ519" s="1">
        <f t="shared" ref="AZ519:BA519" si="1052">sum(AN519,AQ519,AT519,AW519)</f>
        <v>0</v>
      </c>
      <c r="BA519" s="1">
        <f t="shared" si="1052"/>
        <v>0</v>
      </c>
      <c r="BB519" s="17" t="str">
        <f t="shared" si="20"/>
        <v/>
      </c>
    </row>
    <row r="520">
      <c r="G520" s="1" t="str">
        <f>iferror(VLOOKUP(A520,'Business Plan Setup and Accepta'!A:G,6,false),"")</f>
        <v/>
      </c>
      <c r="H520" s="1" t="str">
        <f>iferror(VLOOKUP(A520,'Business Plan Setup and Accepta'!A:G,7,false),"")</f>
        <v/>
      </c>
      <c r="I520" s="17" t="str">
        <f t="shared" si="3"/>
        <v/>
      </c>
      <c r="J520" s="1" t="str">
        <f>IFERROR(VALUE(SUBSTITUTE(VLOOKUP(A520,'Sales IN Revenues vs Sales targ'!A:G,6,false)," $","")), "")
</f>
        <v/>
      </c>
      <c r="K520" s="1" t="str">
        <f>IFERROR(VALUE(SUBSTITUTE(VLOOKUP(A520,'Sales IN Revenues vs Sales targ'!A:G,7,false)," $","")), "")
</f>
        <v/>
      </c>
      <c r="L520" s="17" t="str">
        <f t="shared" si="4"/>
        <v/>
      </c>
      <c r="M520" s="1">
        <f>value(SUBSTITUTE(IFERROR(VLOOKUP(A520,'Certifications achievements vs '!A:G,6,false),""),"#","")
)</f>
        <v>0</v>
      </c>
      <c r="N520" s="1">
        <f>value(SUBSTITUTE(IFERROR(VLOOKUP(A520,'Certifications achievements vs '!A:G,7,false),""),"#","")
)</f>
        <v>0</v>
      </c>
      <c r="O520" s="17" t="str">
        <f t="shared" si="5"/>
        <v/>
      </c>
      <c r="P520" s="1">
        <f>value(SUBSTITUTE(IFERROR(VLOOKUP(A520,'Communications - Solution Speci'!A:G,6,false),""),"#","")
)</f>
        <v>0</v>
      </c>
      <c r="Q520" s="1">
        <f>value(SUBSTITUTE(IFERROR(VLOOKUP(A520,'Communications - Solution Speci'!A:G,7,false),""),"#","")
)</f>
        <v>0</v>
      </c>
      <c r="R520" s="17" t="str">
        <f t="shared" si="6"/>
        <v/>
      </c>
      <c r="S520" s="1">
        <f>value(SUBSTITUTE(IFERROR(VLOOKUP(A520,'Networking - Solution Specializ'!A:G,6,false),""),"#","")
)</f>
        <v>0</v>
      </c>
      <c r="T520" s="1">
        <f>value(SUBSTITUTE(IFERROR(VLOOKUP(A520,'Networking - Solution Specializ'!A:G,7,false),""),"#","")
)</f>
        <v>0</v>
      </c>
      <c r="U520" s="17" t="str">
        <f t="shared" si="7"/>
        <v/>
      </c>
      <c r="V520" s="1" t="str">
        <f>iferror(vlookup(A520,'Marketing Plan (extract summary'!A:G,6,false),"")</f>
        <v/>
      </c>
      <c r="W520" s="1" t="str">
        <f>iferror(vlookup(A520,'Marketing Plan (extract summary'!A:G,7,false),"")</f>
        <v/>
      </c>
      <c r="X520" s="17" t="str">
        <f t="shared" si="8"/>
        <v/>
      </c>
      <c r="Y520" s="1">
        <f>value(IFERROR(SUBSTITUTE(SUBSTITUTE(VLOOKUP(A520,'Quarterly Pipeline vs Target Pi'!A:G,6,false)," $","")," €",""), "")
)</f>
        <v>0</v>
      </c>
      <c r="Z520" s="1">
        <f>value(IFERROR(SUBSTITUTE(SUBSTITUTE(VLOOKUP(A520,'Quarterly Pipeline vs Target Pi'!A:G,7,false)," $","")," €",""), "")
)</f>
        <v>0</v>
      </c>
      <c r="AA520" s="17" t="str">
        <f t="shared" si="9"/>
        <v/>
      </c>
      <c r="AB520" s="1">
        <f>value(IFERROR(SUBSTITUTE(SUBSTITUTE(VLOOKUP($A520,'Quarterly Pipeline vs Target Pi'!$A:$V,11,false)," $","")," €",""), "")
)</f>
        <v>0</v>
      </c>
      <c r="AC520" s="1">
        <f>value(IFERROR(SUBSTITUTE(SUBSTITUTE(VLOOKUP($A520,'Quarterly Pipeline vs Target Pi'!$A:$V,12,false)," $","")," €",""), "")
)</f>
        <v>0</v>
      </c>
      <c r="AD520" s="17" t="str">
        <f t="shared" si="10"/>
        <v/>
      </c>
      <c r="AE520" s="1">
        <f>value(IFERROR(SUBSTITUTE(SUBSTITUTE(VLOOKUP($A520,'Quarterly Pipeline vs Target Pi'!$A:$V,16,false)," $","")," €",""), "")
)</f>
        <v>0</v>
      </c>
      <c r="AF520" s="1">
        <f>value(IFERROR(SUBSTITUTE(SUBSTITUTE(VLOOKUP($A520,'Quarterly Pipeline vs Target Pi'!$A:$V,17,false)," $","")," €",""), "")
)</f>
        <v>0</v>
      </c>
      <c r="AG520" s="17" t="str">
        <f t="shared" si="11"/>
        <v/>
      </c>
      <c r="AH520" s="1">
        <f>value(IFERROR(SUBSTITUTE(SUBSTITUTE(VLOOKUP($A520,'Quarterly Pipeline vs Target Pi'!$A:$V,21,false)," $","")," €",""), "")
)</f>
        <v>0</v>
      </c>
      <c r="AI520" s="1">
        <f>value(IFERROR(SUBSTITUTE(SUBSTITUTE(VLOOKUP($A520,'Quarterly Pipeline vs Target Pi'!$A:$V,22,false)," $","")," €",""), "")
)</f>
        <v>0</v>
      </c>
      <c r="AJ520" s="17" t="str">
        <f t="shared" si="12"/>
        <v/>
      </c>
      <c r="AK520" s="1">
        <f t="shared" ref="AK520:AL520" si="1053">sum(Y520,AB520,AE520,AH520)</f>
        <v>0</v>
      </c>
      <c r="AL520" s="1">
        <f t="shared" si="1053"/>
        <v>0</v>
      </c>
      <c r="AM520" s="17" t="str">
        <f t="shared" si="14"/>
        <v/>
      </c>
      <c r="AN520" s="1">
        <f>value(IFERROR(SUBSTITUTE(SUBSTITUTE(VLOOKUP($A520,'Quarterly Pipeline vs Target Pi'!$A:$AP,26,false)," $","")," €",""), "")
)</f>
        <v>0</v>
      </c>
      <c r="AO520" s="1">
        <f>value(IFERROR(SUBSTITUTE(SUBSTITUTE(VLOOKUP($A520,'Quarterly Pipeline vs Target Pi'!$A:$AP,27,false)," $","")," €",""), "")
)</f>
        <v>0</v>
      </c>
      <c r="AP520" s="17" t="str">
        <f t="shared" si="15"/>
        <v/>
      </c>
      <c r="AQ520" s="1">
        <f>value(IFERROR(SUBSTITUTE(SUBSTITUTE(VLOOKUP($A520,'Quarterly Pipeline vs Target Pi'!$A:$AP,31,false)," $","")," €",""), "")
)</f>
        <v>0</v>
      </c>
      <c r="AR520" s="1">
        <f>value(IFERROR(SUBSTITUTE(SUBSTITUTE(VLOOKUP($A520,'Quarterly Pipeline vs Target Pi'!$A:$AP,32,false)," $","")," €",""), "")
)</f>
        <v>0</v>
      </c>
      <c r="AS520" s="17" t="str">
        <f t="shared" si="16"/>
        <v/>
      </c>
      <c r="AT520" s="1">
        <f>value(IFERROR(SUBSTITUTE(SUBSTITUTE(VLOOKUP($A520,'Quarterly Pipeline vs Target Pi'!$A:$AP,36,false)," $","")," €",""), "")
)</f>
        <v>0</v>
      </c>
      <c r="AU520" s="1">
        <f>value(IFERROR(SUBSTITUTE(SUBSTITUTE(VLOOKUP($A520,'Quarterly Pipeline vs Target Pi'!$A:$AP,37,false)," $","")," €",""), "")
)</f>
        <v>0</v>
      </c>
      <c r="AV520" s="17" t="str">
        <f t="shared" si="17"/>
        <v/>
      </c>
      <c r="AW520" s="1">
        <f>value(IFERROR(SUBSTITUTE(SUBSTITUTE(VLOOKUP($A520,'Quarterly Pipeline vs Target Pi'!$A:$AP,41,false)," $","")," €",""), "")
)</f>
        <v>0</v>
      </c>
      <c r="AX520" s="1">
        <f>value(IFERROR(SUBSTITUTE(SUBSTITUTE(VLOOKUP($A520,'Quarterly Pipeline vs Target Pi'!$A:$AP,42,false)," $","")," €",""), "")
)</f>
        <v>0</v>
      </c>
      <c r="AY520" s="17" t="str">
        <f t="shared" si="18"/>
        <v/>
      </c>
      <c r="AZ520" s="1">
        <f t="shared" ref="AZ520:BA520" si="1054">sum(AN520,AQ520,AT520,AW520)</f>
        <v>0</v>
      </c>
      <c r="BA520" s="1">
        <f t="shared" si="1054"/>
        <v>0</v>
      </c>
      <c r="BB520" s="17" t="str">
        <f t="shared" si="20"/>
        <v/>
      </c>
    </row>
    <row r="521">
      <c r="G521" s="1" t="str">
        <f>iferror(VLOOKUP(A521,'Business Plan Setup and Accepta'!A:G,6,false),"")</f>
        <v/>
      </c>
      <c r="H521" s="1" t="str">
        <f>iferror(VLOOKUP(A521,'Business Plan Setup and Accepta'!A:G,7,false),"")</f>
        <v/>
      </c>
      <c r="I521" s="17" t="str">
        <f t="shared" si="3"/>
        <v/>
      </c>
      <c r="J521" s="1" t="str">
        <f>IFERROR(VALUE(SUBSTITUTE(VLOOKUP(A521,'Sales IN Revenues vs Sales targ'!A:G,6,false)," $","")), "")
</f>
        <v/>
      </c>
      <c r="K521" s="1" t="str">
        <f>IFERROR(VALUE(SUBSTITUTE(VLOOKUP(A521,'Sales IN Revenues vs Sales targ'!A:G,7,false)," $","")), "")
</f>
        <v/>
      </c>
      <c r="L521" s="17" t="str">
        <f t="shared" si="4"/>
        <v/>
      </c>
      <c r="M521" s="1">
        <f>value(SUBSTITUTE(IFERROR(VLOOKUP(A521,'Certifications achievements vs '!A:G,6,false),""),"#","")
)</f>
        <v>0</v>
      </c>
      <c r="N521" s="1">
        <f>value(SUBSTITUTE(IFERROR(VLOOKUP(A521,'Certifications achievements vs '!A:G,7,false),""),"#","")
)</f>
        <v>0</v>
      </c>
      <c r="O521" s="17" t="str">
        <f t="shared" si="5"/>
        <v/>
      </c>
      <c r="P521" s="1">
        <f>value(SUBSTITUTE(IFERROR(VLOOKUP(A521,'Communications - Solution Speci'!A:G,6,false),""),"#","")
)</f>
        <v>0</v>
      </c>
      <c r="Q521" s="1">
        <f>value(SUBSTITUTE(IFERROR(VLOOKUP(A521,'Communications - Solution Speci'!A:G,7,false),""),"#","")
)</f>
        <v>0</v>
      </c>
      <c r="R521" s="17" t="str">
        <f t="shared" si="6"/>
        <v/>
      </c>
      <c r="S521" s="1">
        <f>value(SUBSTITUTE(IFERROR(VLOOKUP(A521,'Networking - Solution Specializ'!A:G,6,false),""),"#","")
)</f>
        <v>0</v>
      </c>
      <c r="T521" s="1">
        <f>value(SUBSTITUTE(IFERROR(VLOOKUP(A521,'Networking - Solution Specializ'!A:G,7,false),""),"#","")
)</f>
        <v>0</v>
      </c>
      <c r="U521" s="17" t="str">
        <f t="shared" si="7"/>
        <v/>
      </c>
      <c r="V521" s="1" t="str">
        <f>iferror(vlookup(A521,'Marketing Plan (extract summary'!A:G,6,false),"")</f>
        <v/>
      </c>
      <c r="W521" s="1" t="str">
        <f>iferror(vlookup(A521,'Marketing Plan (extract summary'!A:G,7,false),"")</f>
        <v/>
      </c>
      <c r="X521" s="17" t="str">
        <f t="shared" si="8"/>
        <v/>
      </c>
      <c r="Y521" s="1">
        <f>value(IFERROR(SUBSTITUTE(SUBSTITUTE(VLOOKUP(A521,'Quarterly Pipeline vs Target Pi'!A:G,6,false)," $","")," €",""), "")
)</f>
        <v>0</v>
      </c>
      <c r="Z521" s="1">
        <f>value(IFERROR(SUBSTITUTE(SUBSTITUTE(VLOOKUP(A521,'Quarterly Pipeline vs Target Pi'!A:G,7,false)," $","")," €",""), "")
)</f>
        <v>0</v>
      </c>
      <c r="AA521" s="17" t="str">
        <f t="shared" si="9"/>
        <v/>
      </c>
      <c r="AB521" s="1">
        <f>value(IFERROR(SUBSTITUTE(SUBSTITUTE(VLOOKUP($A521,'Quarterly Pipeline vs Target Pi'!$A:$V,11,false)," $","")," €",""), "")
)</f>
        <v>0</v>
      </c>
      <c r="AC521" s="1">
        <f>value(IFERROR(SUBSTITUTE(SUBSTITUTE(VLOOKUP($A521,'Quarterly Pipeline vs Target Pi'!$A:$V,12,false)," $","")," €",""), "")
)</f>
        <v>0</v>
      </c>
      <c r="AD521" s="17" t="str">
        <f t="shared" si="10"/>
        <v/>
      </c>
      <c r="AE521" s="1">
        <f>value(IFERROR(SUBSTITUTE(SUBSTITUTE(VLOOKUP($A521,'Quarterly Pipeline vs Target Pi'!$A:$V,16,false)," $","")," €",""), "")
)</f>
        <v>0</v>
      </c>
      <c r="AF521" s="1">
        <f>value(IFERROR(SUBSTITUTE(SUBSTITUTE(VLOOKUP($A521,'Quarterly Pipeline vs Target Pi'!$A:$V,17,false)," $","")," €",""), "")
)</f>
        <v>0</v>
      </c>
      <c r="AG521" s="17" t="str">
        <f t="shared" si="11"/>
        <v/>
      </c>
      <c r="AH521" s="1">
        <f>value(IFERROR(SUBSTITUTE(SUBSTITUTE(VLOOKUP($A521,'Quarterly Pipeline vs Target Pi'!$A:$V,21,false)," $","")," €",""), "")
)</f>
        <v>0</v>
      </c>
      <c r="AI521" s="1">
        <f>value(IFERROR(SUBSTITUTE(SUBSTITUTE(VLOOKUP($A521,'Quarterly Pipeline vs Target Pi'!$A:$V,22,false)," $","")," €",""), "")
)</f>
        <v>0</v>
      </c>
      <c r="AJ521" s="17" t="str">
        <f t="shared" si="12"/>
        <v/>
      </c>
      <c r="AK521" s="1">
        <f t="shared" ref="AK521:AL521" si="1055">sum(Y521,AB521,AE521,AH521)</f>
        <v>0</v>
      </c>
      <c r="AL521" s="1">
        <f t="shared" si="1055"/>
        <v>0</v>
      </c>
      <c r="AM521" s="17" t="str">
        <f t="shared" si="14"/>
        <v/>
      </c>
      <c r="AN521" s="1">
        <f>value(IFERROR(SUBSTITUTE(SUBSTITUTE(VLOOKUP($A521,'Quarterly Pipeline vs Target Pi'!$A:$AP,26,false)," $","")," €",""), "")
)</f>
        <v>0</v>
      </c>
      <c r="AO521" s="1">
        <f>value(IFERROR(SUBSTITUTE(SUBSTITUTE(VLOOKUP($A521,'Quarterly Pipeline vs Target Pi'!$A:$AP,27,false)," $","")," €",""), "")
)</f>
        <v>0</v>
      </c>
      <c r="AP521" s="17" t="str">
        <f t="shared" si="15"/>
        <v/>
      </c>
      <c r="AQ521" s="1">
        <f>value(IFERROR(SUBSTITUTE(SUBSTITUTE(VLOOKUP($A521,'Quarterly Pipeline vs Target Pi'!$A:$AP,31,false)," $","")," €",""), "")
)</f>
        <v>0</v>
      </c>
      <c r="AR521" s="1">
        <f>value(IFERROR(SUBSTITUTE(SUBSTITUTE(VLOOKUP($A521,'Quarterly Pipeline vs Target Pi'!$A:$AP,32,false)," $","")," €",""), "")
)</f>
        <v>0</v>
      </c>
      <c r="AS521" s="17" t="str">
        <f t="shared" si="16"/>
        <v/>
      </c>
      <c r="AT521" s="1">
        <f>value(IFERROR(SUBSTITUTE(SUBSTITUTE(VLOOKUP($A521,'Quarterly Pipeline vs Target Pi'!$A:$AP,36,false)," $","")," €",""), "")
)</f>
        <v>0</v>
      </c>
      <c r="AU521" s="1">
        <f>value(IFERROR(SUBSTITUTE(SUBSTITUTE(VLOOKUP($A521,'Quarterly Pipeline vs Target Pi'!$A:$AP,37,false)," $","")," €",""), "")
)</f>
        <v>0</v>
      </c>
      <c r="AV521" s="17" t="str">
        <f t="shared" si="17"/>
        <v/>
      </c>
      <c r="AW521" s="1">
        <f>value(IFERROR(SUBSTITUTE(SUBSTITUTE(VLOOKUP($A521,'Quarterly Pipeline vs Target Pi'!$A:$AP,41,false)," $","")," €",""), "")
)</f>
        <v>0</v>
      </c>
      <c r="AX521" s="1">
        <f>value(IFERROR(SUBSTITUTE(SUBSTITUTE(VLOOKUP($A521,'Quarterly Pipeline vs Target Pi'!$A:$AP,42,false)," $","")," €",""), "")
)</f>
        <v>0</v>
      </c>
      <c r="AY521" s="17" t="str">
        <f t="shared" si="18"/>
        <v/>
      </c>
      <c r="AZ521" s="1">
        <f t="shared" ref="AZ521:BA521" si="1056">sum(AN521,AQ521,AT521,AW521)</f>
        <v>0</v>
      </c>
      <c r="BA521" s="1">
        <f t="shared" si="1056"/>
        <v>0</v>
      </c>
      <c r="BB521" s="17" t="str">
        <f t="shared" si="20"/>
        <v/>
      </c>
    </row>
    <row r="522">
      <c r="G522" s="1" t="str">
        <f>iferror(VLOOKUP(A522,'Business Plan Setup and Accepta'!A:G,6,false),"")</f>
        <v/>
      </c>
      <c r="H522" s="1" t="str">
        <f>iferror(VLOOKUP(A522,'Business Plan Setup and Accepta'!A:G,7,false),"")</f>
        <v/>
      </c>
      <c r="I522" s="17" t="str">
        <f t="shared" si="3"/>
        <v/>
      </c>
      <c r="J522" s="1" t="str">
        <f>IFERROR(VALUE(SUBSTITUTE(VLOOKUP(A522,'Sales IN Revenues vs Sales targ'!A:G,6,false)," $","")), "")
</f>
        <v/>
      </c>
      <c r="K522" s="1" t="str">
        <f>IFERROR(VALUE(SUBSTITUTE(VLOOKUP(A522,'Sales IN Revenues vs Sales targ'!A:G,7,false)," $","")), "")
</f>
        <v/>
      </c>
      <c r="L522" s="17" t="str">
        <f t="shared" si="4"/>
        <v/>
      </c>
      <c r="M522" s="1">
        <f>value(SUBSTITUTE(IFERROR(VLOOKUP(A522,'Certifications achievements vs '!A:G,6,false),""),"#","")
)</f>
        <v>0</v>
      </c>
      <c r="N522" s="1">
        <f>value(SUBSTITUTE(IFERROR(VLOOKUP(A522,'Certifications achievements vs '!A:G,7,false),""),"#","")
)</f>
        <v>0</v>
      </c>
      <c r="O522" s="17" t="str">
        <f t="shared" si="5"/>
        <v/>
      </c>
      <c r="P522" s="1">
        <f>value(SUBSTITUTE(IFERROR(VLOOKUP(A522,'Communications - Solution Speci'!A:G,6,false),""),"#","")
)</f>
        <v>0</v>
      </c>
      <c r="Q522" s="1">
        <f>value(SUBSTITUTE(IFERROR(VLOOKUP(A522,'Communications - Solution Speci'!A:G,7,false),""),"#","")
)</f>
        <v>0</v>
      </c>
      <c r="R522" s="17" t="str">
        <f t="shared" si="6"/>
        <v/>
      </c>
      <c r="S522" s="1">
        <f>value(SUBSTITUTE(IFERROR(VLOOKUP(A522,'Networking - Solution Specializ'!A:G,6,false),""),"#","")
)</f>
        <v>0</v>
      </c>
      <c r="T522" s="1">
        <f>value(SUBSTITUTE(IFERROR(VLOOKUP(A522,'Networking - Solution Specializ'!A:G,7,false),""),"#","")
)</f>
        <v>0</v>
      </c>
      <c r="U522" s="17" t="str">
        <f t="shared" si="7"/>
        <v/>
      </c>
      <c r="V522" s="1" t="str">
        <f>iferror(vlookup(A522,'Marketing Plan (extract summary'!A:G,6,false),"")</f>
        <v/>
      </c>
      <c r="W522" s="1" t="str">
        <f>iferror(vlookup(A522,'Marketing Plan (extract summary'!A:G,7,false),"")</f>
        <v/>
      </c>
      <c r="X522" s="17" t="str">
        <f t="shared" si="8"/>
        <v/>
      </c>
      <c r="Y522" s="1">
        <f>value(IFERROR(SUBSTITUTE(SUBSTITUTE(VLOOKUP(A522,'Quarterly Pipeline vs Target Pi'!A:G,6,false)," $","")," €",""), "")
)</f>
        <v>0</v>
      </c>
      <c r="Z522" s="1">
        <f>value(IFERROR(SUBSTITUTE(SUBSTITUTE(VLOOKUP(A522,'Quarterly Pipeline vs Target Pi'!A:G,7,false)," $","")," €",""), "")
)</f>
        <v>0</v>
      </c>
      <c r="AA522" s="17" t="str">
        <f t="shared" si="9"/>
        <v/>
      </c>
      <c r="AB522" s="1">
        <f>value(IFERROR(SUBSTITUTE(SUBSTITUTE(VLOOKUP($A522,'Quarterly Pipeline vs Target Pi'!$A:$V,11,false)," $","")," €",""), "")
)</f>
        <v>0</v>
      </c>
      <c r="AC522" s="1">
        <f>value(IFERROR(SUBSTITUTE(SUBSTITUTE(VLOOKUP($A522,'Quarterly Pipeline vs Target Pi'!$A:$V,12,false)," $","")," €",""), "")
)</f>
        <v>0</v>
      </c>
      <c r="AD522" s="17" t="str">
        <f t="shared" si="10"/>
        <v/>
      </c>
      <c r="AE522" s="1">
        <f>value(IFERROR(SUBSTITUTE(SUBSTITUTE(VLOOKUP($A522,'Quarterly Pipeline vs Target Pi'!$A:$V,16,false)," $","")," €",""), "")
)</f>
        <v>0</v>
      </c>
      <c r="AF522" s="1">
        <f>value(IFERROR(SUBSTITUTE(SUBSTITUTE(VLOOKUP($A522,'Quarterly Pipeline vs Target Pi'!$A:$V,17,false)," $","")," €",""), "")
)</f>
        <v>0</v>
      </c>
      <c r="AG522" s="17" t="str">
        <f t="shared" si="11"/>
        <v/>
      </c>
      <c r="AH522" s="1">
        <f>value(IFERROR(SUBSTITUTE(SUBSTITUTE(VLOOKUP($A522,'Quarterly Pipeline vs Target Pi'!$A:$V,21,false)," $","")," €",""), "")
)</f>
        <v>0</v>
      </c>
      <c r="AI522" s="1">
        <f>value(IFERROR(SUBSTITUTE(SUBSTITUTE(VLOOKUP($A522,'Quarterly Pipeline vs Target Pi'!$A:$V,22,false)," $","")," €",""), "")
)</f>
        <v>0</v>
      </c>
      <c r="AJ522" s="17" t="str">
        <f t="shared" si="12"/>
        <v/>
      </c>
      <c r="AK522" s="1">
        <f t="shared" ref="AK522:AL522" si="1057">sum(Y522,AB522,AE522,AH522)</f>
        <v>0</v>
      </c>
      <c r="AL522" s="1">
        <f t="shared" si="1057"/>
        <v>0</v>
      </c>
      <c r="AM522" s="17" t="str">
        <f t="shared" si="14"/>
        <v/>
      </c>
      <c r="AN522" s="1">
        <f>value(IFERROR(SUBSTITUTE(SUBSTITUTE(VLOOKUP($A522,'Quarterly Pipeline vs Target Pi'!$A:$AP,26,false)," $","")," €",""), "")
)</f>
        <v>0</v>
      </c>
      <c r="AO522" s="1">
        <f>value(IFERROR(SUBSTITUTE(SUBSTITUTE(VLOOKUP($A522,'Quarterly Pipeline vs Target Pi'!$A:$AP,27,false)," $","")," €",""), "")
)</f>
        <v>0</v>
      </c>
      <c r="AP522" s="17" t="str">
        <f t="shared" si="15"/>
        <v/>
      </c>
      <c r="AQ522" s="1">
        <f>value(IFERROR(SUBSTITUTE(SUBSTITUTE(VLOOKUP($A522,'Quarterly Pipeline vs Target Pi'!$A:$AP,31,false)," $","")," €",""), "")
)</f>
        <v>0</v>
      </c>
      <c r="AR522" s="1">
        <f>value(IFERROR(SUBSTITUTE(SUBSTITUTE(VLOOKUP($A522,'Quarterly Pipeline vs Target Pi'!$A:$AP,32,false)," $","")," €",""), "")
)</f>
        <v>0</v>
      </c>
      <c r="AS522" s="17" t="str">
        <f t="shared" si="16"/>
        <v/>
      </c>
      <c r="AT522" s="1">
        <f>value(IFERROR(SUBSTITUTE(SUBSTITUTE(VLOOKUP($A522,'Quarterly Pipeline vs Target Pi'!$A:$AP,36,false)," $","")," €",""), "")
)</f>
        <v>0</v>
      </c>
      <c r="AU522" s="1">
        <f>value(IFERROR(SUBSTITUTE(SUBSTITUTE(VLOOKUP($A522,'Quarterly Pipeline vs Target Pi'!$A:$AP,37,false)," $","")," €",""), "")
)</f>
        <v>0</v>
      </c>
      <c r="AV522" s="17" t="str">
        <f t="shared" si="17"/>
        <v/>
      </c>
      <c r="AW522" s="1">
        <f>value(IFERROR(SUBSTITUTE(SUBSTITUTE(VLOOKUP($A522,'Quarterly Pipeline vs Target Pi'!$A:$AP,41,false)," $","")," €",""), "")
)</f>
        <v>0</v>
      </c>
      <c r="AX522" s="1">
        <f>value(IFERROR(SUBSTITUTE(SUBSTITUTE(VLOOKUP($A522,'Quarterly Pipeline vs Target Pi'!$A:$AP,42,false)," $","")," €",""), "")
)</f>
        <v>0</v>
      </c>
      <c r="AY522" s="17" t="str">
        <f t="shared" si="18"/>
        <v/>
      </c>
      <c r="AZ522" s="1">
        <f t="shared" ref="AZ522:BA522" si="1058">sum(AN522,AQ522,AT522,AW522)</f>
        <v>0</v>
      </c>
      <c r="BA522" s="1">
        <f t="shared" si="1058"/>
        <v>0</v>
      </c>
      <c r="BB522" s="17" t="str">
        <f t="shared" si="20"/>
        <v/>
      </c>
    </row>
    <row r="523">
      <c r="G523" s="1" t="str">
        <f>iferror(VLOOKUP(A523,'Business Plan Setup and Accepta'!A:G,6,false),"")</f>
        <v/>
      </c>
      <c r="H523" s="1" t="str">
        <f>iferror(VLOOKUP(A523,'Business Plan Setup and Accepta'!A:G,7,false),"")</f>
        <v/>
      </c>
      <c r="I523" s="17" t="str">
        <f t="shared" si="3"/>
        <v/>
      </c>
      <c r="J523" s="1" t="str">
        <f>IFERROR(VALUE(SUBSTITUTE(VLOOKUP(A523,'Sales IN Revenues vs Sales targ'!A:G,6,false)," $","")), "")
</f>
        <v/>
      </c>
      <c r="K523" s="1" t="str">
        <f>IFERROR(VALUE(SUBSTITUTE(VLOOKUP(A523,'Sales IN Revenues vs Sales targ'!A:G,7,false)," $","")), "")
</f>
        <v/>
      </c>
      <c r="L523" s="17" t="str">
        <f t="shared" si="4"/>
        <v/>
      </c>
      <c r="M523" s="1">
        <f>value(SUBSTITUTE(IFERROR(VLOOKUP(A523,'Certifications achievements vs '!A:G,6,false),""),"#","")
)</f>
        <v>0</v>
      </c>
      <c r="N523" s="1">
        <f>value(SUBSTITUTE(IFERROR(VLOOKUP(A523,'Certifications achievements vs '!A:G,7,false),""),"#","")
)</f>
        <v>0</v>
      </c>
      <c r="O523" s="17" t="str">
        <f t="shared" si="5"/>
        <v/>
      </c>
      <c r="P523" s="1">
        <f>value(SUBSTITUTE(IFERROR(VLOOKUP(A523,'Communications - Solution Speci'!A:G,6,false),""),"#","")
)</f>
        <v>0</v>
      </c>
      <c r="Q523" s="1">
        <f>value(SUBSTITUTE(IFERROR(VLOOKUP(A523,'Communications - Solution Speci'!A:G,7,false),""),"#","")
)</f>
        <v>0</v>
      </c>
      <c r="R523" s="17" t="str">
        <f t="shared" si="6"/>
        <v/>
      </c>
      <c r="S523" s="1">
        <f>value(SUBSTITUTE(IFERROR(VLOOKUP(A523,'Networking - Solution Specializ'!A:G,6,false),""),"#","")
)</f>
        <v>0</v>
      </c>
      <c r="T523" s="1">
        <f>value(SUBSTITUTE(IFERROR(VLOOKUP(A523,'Networking - Solution Specializ'!A:G,7,false),""),"#","")
)</f>
        <v>0</v>
      </c>
      <c r="U523" s="17" t="str">
        <f t="shared" si="7"/>
        <v/>
      </c>
      <c r="V523" s="1" t="str">
        <f>iferror(vlookup(A523,'Marketing Plan (extract summary'!A:G,6,false),"")</f>
        <v/>
      </c>
      <c r="W523" s="1" t="str">
        <f>iferror(vlookup(A523,'Marketing Plan (extract summary'!A:G,7,false),"")</f>
        <v/>
      </c>
      <c r="X523" s="17" t="str">
        <f t="shared" si="8"/>
        <v/>
      </c>
      <c r="Y523" s="1">
        <f>value(IFERROR(SUBSTITUTE(SUBSTITUTE(VLOOKUP(A523,'Quarterly Pipeline vs Target Pi'!A:G,6,false)," $","")," €",""), "")
)</f>
        <v>0</v>
      </c>
      <c r="Z523" s="1">
        <f>value(IFERROR(SUBSTITUTE(SUBSTITUTE(VLOOKUP(A523,'Quarterly Pipeline vs Target Pi'!A:G,7,false)," $","")," €",""), "")
)</f>
        <v>0</v>
      </c>
      <c r="AA523" s="17" t="str">
        <f t="shared" si="9"/>
        <v/>
      </c>
      <c r="AB523" s="1">
        <f>value(IFERROR(SUBSTITUTE(SUBSTITUTE(VLOOKUP($A523,'Quarterly Pipeline vs Target Pi'!$A:$V,11,false)," $","")," €",""), "")
)</f>
        <v>0</v>
      </c>
      <c r="AC523" s="1">
        <f>value(IFERROR(SUBSTITUTE(SUBSTITUTE(VLOOKUP($A523,'Quarterly Pipeline vs Target Pi'!$A:$V,12,false)," $","")," €",""), "")
)</f>
        <v>0</v>
      </c>
      <c r="AD523" s="17" t="str">
        <f t="shared" si="10"/>
        <v/>
      </c>
      <c r="AE523" s="1">
        <f>value(IFERROR(SUBSTITUTE(SUBSTITUTE(VLOOKUP($A523,'Quarterly Pipeline vs Target Pi'!$A:$V,16,false)," $","")," €",""), "")
)</f>
        <v>0</v>
      </c>
      <c r="AF523" s="1">
        <f>value(IFERROR(SUBSTITUTE(SUBSTITUTE(VLOOKUP($A523,'Quarterly Pipeline vs Target Pi'!$A:$V,17,false)," $","")," €",""), "")
)</f>
        <v>0</v>
      </c>
      <c r="AG523" s="17" t="str">
        <f t="shared" si="11"/>
        <v/>
      </c>
      <c r="AH523" s="1">
        <f>value(IFERROR(SUBSTITUTE(SUBSTITUTE(VLOOKUP($A523,'Quarterly Pipeline vs Target Pi'!$A:$V,21,false)," $","")," €",""), "")
)</f>
        <v>0</v>
      </c>
      <c r="AI523" s="1">
        <f>value(IFERROR(SUBSTITUTE(SUBSTITUTE(VLOOKUP($A523,'Quarterly Pipeline vs Target Pi'!$A:$V,22,false)," $","")," €",""), "")
)</f>
        <v>0</v>
      </c>
      <c r="AJ523" s="17" t="str">
        <f t="shared" si="12"/>
        <v/>
      </c>
      <c r="AK523" s="1">
        <f t="shared" ref="AK523:AL523" si="1059">sum(Y523,AB523,AE523,AH523)</f>
        <v>0</v>
      </c>
      <c r="AL523" s="1">
        <f t="shared" si="1059"/>
        <v>0</v>
      </c>
      <c r="AM523" s="17" t="str">
        <f t="shared" si="14"/>
        <v/>
      </c>
      <c r="AN523" s="1">
        <f>value(IFERROR(SUBSTITUTE(SUBSTITUTE(VLOOKUP($A523,'Quarterly Pipeline vs Target Pi'!$A:$AP,26,false)," $","")," €",""), "")
)</f>
        <v>0</v>
      </c>
      <c r="AO523" s="1">
        <f>value(IFERROR(SUBSTITUTE(SUBSTITUTE(VLOOKUP($A523,'Quarterly Pipeline vs Target Pi'!$A:$AP,27,false)," $","")," €",""), "")
)</f>
        <v>0</v>
      </c>
      <c r="AP523" s="17" t="str">
        <f t="shared" si="15"/>
        <v/>
      </c>
      <c r="AQ523" s="1">
        <f>value(IFERROR(SUBSTITUTE(SUBSTITUTE(VLOOKUP($A523,'Quarterly Pipeline vs Target Pi'!$A:$AP,31,false)," $","")," €",""), "")
)</f>
        <v>0</v>
      </c>
      <c r="AR523" s="1">
        <f>value(IFERROR(SUBSTITUTE(SUBSTITUTE(VLOOKUP($A523,'Quarterly Pipeline vs Target Pi'!$A:$AP,32,false)," $","")," €",""), "")
)</f>
        <v>0</v>
      </c>
      <c r="AS523" s="17" t="str">
        <f t="shared" si="16"/>
        <v/>
      </c>
      <c r="AT523" s="1">
        <f>value(IFERROR(SUBSTITUTE(SUBSTITUTE(VLOOKUP($A523,'Quarterly Pipeline vs Target Pi'!$A:$AP,36,false)," $","")," €",""), "")
)</f>
        <v>0</v>
      </c>
      <c r="AU523" s="1">
        <f>value(IFERROR(SUBSTITUTE(SUBSTITUTE(VLOOKUP($A523,'Quarterly Pipeline vs Target Pi'!$A:$AP,37,false)," $","")," €",""), "")
)</f>
        <v>0</v>
      </c>
      <c r="AV523" s="17" t="str">
        <f t="shared" si="17"/>
        <v/>
      </c>
      <c r="AW523" s="1">
        <f>value(IFERROR(SUBSTITUTE(SUBSTITUTE(VLOOKUP($A523,'Quarterly Pipeline vs Target Pi'!$A:$AP,41,false)," $","")," €",""), "")
)</f>
        <v>0</v>
      </c>
      <c r="AX523" s="1">
        <f>value(IFERROR(SUBSTITUTE(SUBSTITUTE(VLOOKUP($A523,'Quarterly Pipeline vs Target Pi'!$A:$AP,42,false)," $","")," €",""), "")
)</f>
        <v>0</v>
      </c>
      <c r="AY523" s="17" t="str">
        <f t="shared" si="18"/>
        <v/>
      </c>
      <c r="AZ523" s="1">
        <f t="shared" ref="AZ523:BA523" si="1060">sum(AN523,AQ523,AT523,AW523)</f>
        <v>0</v>
      </c>
      <c r="BA523" s="1">
        <f t="shared" si="1060"/>
        <v>0</v>
      </c>
      <c r="BB523" s="17" t="str">
        <f t="shared" si="20"/>
        <v/>
      </c>
    </row>
    <row r="524">
      <c r="G524" s="1" t="str">
        <f>iferror(VLOOKUP(A524,'Business Plan Setup and Accepta'!A:G,6,false),"")</f>
        <v/>
      </c>
      <c r="H524" s="1" t="str">
        <f>iferror(VLOOKUP(A524,'Business Plan Setup and Accepta'!A:G,7,false),"")</f>
        <v/>
      </c>
      <c r="I524" s="17" t="str">
        <f t="shared" si="3"/>
        <v/>
      </c>
      <c r="J524" s="1" t="str">
        <f>IFERROR(VALUE(SUBSTITUTE(VLOOKUP(A524,'Sales IN Revenues vs Sales targ'!A:G,6,false)," $","")), "")
</f>
        <v/>
      </c>
      <c r="K524" s="1" t="str">
        <f>IFERROR(VALUE(SUBSTITUTE(VLOOKUP(A524,'Sales IN Revenues vs Sales targ'!A:G,7,false)," $","")), "")
</f>
        <v/>
      </c>
      <c r="L524" s="17" t="str">
        <f t="shared" si="4"/>
        <v/>
      </c>
      <c r="M524" s="1">
        <f>value(SUBSTITUTE(IFERROR(VLOOKUP(A524,'Certifications achievements vs '!A:G,6,false),""),"#","")
)</f>
        <v>0</v>
      </c>
      <c r="N524" s="1">
        <f>value(SUBSTITUTE(IFERROR(VLOOKUP(A524,'Certifications achievements vs '!A:G,7,false),""),"#","")
)</f>
        <v>0</v>
      </c>
      <c r="O524" s="17" t="str">
        <f t="shared" si="5"/>
        <v/>
      </c>
      <c r="P524" s="1">
        <f>value(SUBSTITUTE(IFERROR(VLOOKUP(A524,'Communications - Solution Speci'!A:G,6,false),""),"#","")
)</f>
        <v>0</v>
      </c>
      <c r="Q524" s="1">
        <f>value(SUBSTITUTE(IFERROR(VLOOKUP(A524,'Communications - Solution Speci'!A:G,7,false),""),"#","")
)</f>
        <v>0</v>
      </c>
      <c r="R524" s="17" t="str">
        <f t="shared" si="6"/>
        <v/>
      </c>
      <c r="S524" s="1">
        <f>value(SUBSTITUTE(IFERROR(VLOOKUP(A524,'Networking - Solution Specializ'!A:G,6,false),""),"#","")
)</f>
        <v>0</v>
      </c>
      <c r="T524" s="1">
        <f>value(SUBSTITUTE(IFERROR(VLOOKUP(A524,'Networking - Solution Specializ'!A:G,7,false),""),"#","")
)</f>
        <v>0</v>
      </c>
      <c r="U524" s="17" t="str">
        <f t="shared" si="7"/>
        <v/>
      </c>
      <c r="V524" s="1" t="str">
        <f>iferror(vlookup(A524,'Marketing Plan (extract summary'!A:G,6,false),"")</f>
        <v/>
      </c>
      <c r="W524" s="1" t="str">
        <f>iferror(vlookup(A524,'Marketing Plan (extract summary'!A:G,7,false),"")</f>
        <v/>
      </c>
      <c r="X524" s="17" t="str">
        <f t="shared" si="8"/>
        <v/>
      </c>
      <c r="Y524" s="1">
        <f>value(IFERROR(SUBSTITUTE(SUBSTITUTE(VLOOKUP(A524,'Quarterly Pipeline vs Target Pi'!A:G,6,false)," $","")," €",""), "")
)</f>
        <v>0</v>
      </c>
      <c r="Z524" s="1">
        <f>value(IFERROR(SUBSTITUTE(SUBSTITUTE(VLOOKUP(A524,'Quarterly Pipeline vs Target Pi'!A:G,7,false)," $","")," €",""), "")
)</f>
        <v>0</v>
      </c>
      <c r="AA524" s="17" t="str">
        <f t="shared" si="9"/>
        <v/>
      </c>
      <c r="AB524" s="1">
        <f>value(IFERROR(SUBSTITUTE(SUBSTITUTE(VLOOKUP($A524,'Quarterly Pipeline vs Target Pi'!$A:$V,11,false)," $","")," €",""), "")
)</f>
        <v>0</v>
      </c>
      <c r="AC524" s="1">
        <f>value(IFERROR(SUBSTITUTE(SUBSTITUTE(VLOOKUP($A524,'Quarterly Pipeline vs Target Pi'!$A:$V,12,false)," $","")," €",""), "")
)</f>
        <v>0</v>
      </c>
      <c r="AD524" s="17" t="str">
        <f t="shared" si="10"/>
        <v/>
      </c>
      <c r="AE524" s="1">
        <f>value(IFERROR(SUBSTITUTE(SUBSTITUTE(VLOOKUP($A524,'Quarterly Pipeline vs Target Pi'!$A:$V,16,false)," $","")," €",""), "")
)</f>
        <v>0</v>
      </c>
      <c r="AF524" s="1">
        <f>value(IFERROR(SUBSTITUTE(SUBSTITUTE(VLOOKUP($A524,'Quarterly Pipeline vs Target Pi'!$A:$V,17,false)," $","")," €",""), "")
)</f>
        <v>0</v>
      </c>
      <c r="AG524" s="17" t="str">
        <f t="shared" si="11"/>
        <v/>
      </c>
      <c r="AH524" s="1">
        <f>value(IFERROR(SUBSTITUTE(SUBSTITUTE(VLOOKUP($A524,'Quarterly Pipeline vs Target Pi'!$A:$V,21,false)," $","")," €",""), "")
)</f>
        <v>0</v>
      </c>
      <c r="AI524" s="1">
        <f>value(IFERROR(SUBSTITUTE(SUBSTITUTE(VLOOKUP($A524,'Quarterly Pipeline vs Target Pi'!$A:$V,22,false)," $","")," €",""), "")
)</f>
        <v>0</v>
      </c>
      <c r="AJ524" s="17" t="str">
        <f t="shared" si="12"/>
        <v/>
      </c>
      <c r="AK524" s="1">
        <f t="shared" ref="AK524:AL524" si="1061">sum(Y524,AB524,AE524,AH524)</f>
        <v>0</v>
      </c>
      <c r="AL524" s="1">
        <f t="shared" si="1061"/>
        <v>0</v>
      </c>
      <c r="AM524" s="17" t="str">
        <f t="shared" si="14"/>
        <v/>
      </c>
      <c r="AN524" s="1">
        <f>value(IFERROR(SUBSTITUTE(SUBSTITUTE(VLOOKUP($A524,'Quarterly Pipeline vs Target Pi'!$A:$AP,26,false)," $","")," €",""), "")
)</f>
        <v>0</v>
      </c>
      <c r="AO524" s="1">
        <f>value(IFERROR(SUBSTITUTE(SUBSTITUTE(VLOOKUP($A524,'Quarterly Pipeline vs Target Pi'!$A:$AP,27,false)," $","")," €",""), "")
)</f>
        <v>0</v>
      </c>
      <c r="AP524" s="17" t="str">
        <f t="shared" si="15"/>
        <v/>
      </c>
      <c r="AQ524" s="1">
        <f>value(IFERROR(SUBSTITUTE(SUBSTITUTE(VLOOKUP($A524,'Quarterly Pipeline vs Target Pi'!$A:$AP,31,false)," $","")," €",""), "")
)</f>
        <v>0</v>
      </c>
      <c r="AR524" s="1">
        <f>value(IFERROR(SUBSTITUTE(SUBSTITUTE(VLOOKUP($A524,'Quarterly Pipeline vs Target Pi'!$A:$AP,32,false)," $","")," €",""), "")
)</f>
        <v>0</v>
      </c>
      <c r="AS524" s="17" t="str">
        <f t="shared" si="16"/>
        <v/>
      </c>
      <c r="AT524" s="1">
        <f>value(IFERROR(SUBSTITUTE(SUBSTITUTE(VLOOKUP($A524,'Quarterly Pipeline vs Target Pi'!$A:$AP,36,false)," $","")," €",""), "")
)</f>
        <v>0</v>
      </c>
      <c r="AU524" s="1">
        <f>value(IFERROR(SUBSTITUTE(SUBSTITUTE(VLOOKUP($A524,'Quarterly Pipeline vs Target Pi'!$A:$AP,37,false)," $","")," €",""), "")
)</f>
        <v>0</v>
      </c>
      <c r="AV524" s="17" t="str">
        <f t="shared" si="17"/>
        <v/>
      </c>
      <c r="AW524" s="1">
        <f>value(IFERROR(SUBSTITUTE(SUBSTITUTE(VLOOKUP($A524,'Quarterly Pipeline vs Target Pi'!$A:$AP,41,false)," $","")," €",""), "")
)</f>
        <v>0</v>
      </c>
      <c r="AX524" s="1">
        <f>value(IFERROR(SUBSTITUTE(SUBSTITUTE(VLOOKUP($A524,'Quarterly Pipeline vs Target Pi'!$A:$AP,42,false)," $","")," €",""), "")
)</f>
        <v>0</v>
      </c>
      <c r="AY524" s="17" t="str">
        <f t="shared" si="18"/>
        <v/>
      </c>
      <c r="AZ524" s="1">
        <f t="shared" ref="AZ524:BA524" si="1062">sum(AN524,AQ524,AT524,AW524)</f>
        <v>0</v>
      </c>
      <c r="BA524" s="1">
        <f t="shared" si="1062"/>
        <v>0</v>
      </c>
      <c r="BB524" s="17" t="str">
        <f t="shared" si="20"/>
        <v/>
      </c>
    </row>
    <row r="525">
      <c r="G525" s="1" t="str">
        <f>iferror(VLOOKUP(A525,'Business Plan Setup and Accepta'!A:G,6,false),"")</f>
        <v/>
      </c>
      <c r="H525" s="1" t="str">
        <f>iferror(VLOOKUP(A525,'Business Plan Setup and Accepta'!A:G,7,false),"")</f>
        <v/>
      </c>
      <c r="I525" s="17" t="str">
        <f t="shared" si="3"/>
        <v/>
      </c>
      <c r="J525" s="1" t="str">
        <f>IFERROR(VALUE(SUBSTITUTE(VLOOKUP(A525,'Sales IN Revenues vs Sales targ'!A:G,6,false)," $","")), "")
</f>
        <v/>
      </c>
      <c r="K525" s="1" t="str">
        <f>IFERROR(VALUE(SUBSTITUTE(VLOOKUP(A525,'Sales IN Revenues vs Sales targ'!A:G,7,false)," $","")), "")
</f>
        <v/>
      </c>
      <c r="L525" s="17" t="str">
        <f t="shared" si="4"/>
        <v/>
      </c>
      <c r="M525" s="1">
        <f>value(SUBSTITUTE(IFERROR(VLOOKUP(A525,'Certifications achievements vs '!A:G,6,false),""),"#","")
)</f>
        <v>0</v>
      </c>
      <c r="N525" s="1">
        <f>value(SUBSTITUTE(IFERROR(VLOOKUP(A525,'Certifications achievements vs '!A:G,7,false),""),"#","")
)</f>
        <v>0</v>
      </c>
      <c r="O525" s="17" t="str">
        <f t="shared" si="5"/>
        <v/>
      </c>
      <c r="P525" s="1">
        <f>value(SUBSTITUTE(IFERROR(VLOOKUP(A525,'Communications - Solution Speci'!A:G,6,false),""),"#","")
)</f>
        <v>0</v>
      </c>
      <c r="Q525" s="1">
        <f>value(SUBSTITUTE(IFERROR(VLOOKUP(A525,'Communications - Solution Speci'!A:G,7,false),""),"#","")
)</f>
        <v>0</v>
      </c>
      <c r="R525" s="17" t="str">
        <f t="shared" si="6"/>
        <v/>
      </c>
      <c r="S525" s="1">
        <f>value(SUBSTITUTE(IFERROR(VLOOKUP(A525,'Networking - Solution Specializ'!A:G,6,false),""),"#","")
)</f>
        <v>0</v>
      </c>
      <c r="T525" s="1">
        <f>value(SUBSTITUTE(IFERROR(VLOOKUP(A525,'Networking - Solution Specializ'!A:G,7,false),""),"#","")
)</f>
        <v>0</v>
      </c>
      <c r="U525" s="17" t="str">
        <f t="shared" si="7"/>
        <v/>
      </c>
      <c r="V525" s="1" t="str">
        <f>iferror(vlookup(A525,'Marketing Plan (extract summary'!A:G,6,false),"")</f>
        <v/>
      </c>
      <c r="W525" s="1" t="str">
        <f>iferror(vlookup(A525,'Marketing Plan (extract summary'!A:G,7,false),"")</f>
        <v/>
      </c>
      <c r="X525" s="17" t="str">
        <f t="shared" si="8"/>
        <v/>
      </c>
      <c r="Y525" s="1">
        <f>value(IFERROR(SUBSTITUTE(SUBSTITUTE(VLOOKUP(A525,'Quarterly Pipeline vs Target Pi'!A:G,6,false)," $","")," €",""), "")
)</f>
        <v>0</v>
      </c>
      <c r="Z525" s="1">
        <f>value(IFERROR(SUBSTITUTE(SUBSTITUTE(VLOOKUP(A525,'Quarterly Pipeline vs Target Pi'!A:G,7,false)," $","")," €",""), "")
)</f>
        <v>0</v>
      </c>
      <c r="AA525" s="17" t="str">
        <f t="shared" si="9"/>
        <v/>
      </c>
      <c r="AB525" s="1">
        <f>value(IFERROR(SUBSTITUTE(SUBSTITUTE(VLOOKUP($A525,'Quarterly Pipeline vs Target Pi'!$A:$V,11,false)," $","")," €",""), "")
)</f>
        <v>0</v>
      </c>
      <c r="AC525" s="1">
        <f>value(IFERROR(SUBSTITUTE(SUBSTITUTE(VLOOKUP($A525,'Quarterly Pipeline vs Target Pi'!$A:$V,12,false)," $","")," €",""), "")
)</f>
        <v>0</v>
      </c>
      <c r="AD525" s="17" t="str">
        <f t="shared" si="10"/>
        <v/>
      </c>
      <c r="AE525" s="1">
        <f>value(IFERROR(SUBSTITUTE(SUBSTITUTE(VLOOKUP($A525,'Quarterly Pipeline vs Target Pi'!$A:$V,16,false)," $","")," €",""), "")
)</f>
        <v>0</v>
      </c>
      <c r="AF525" s="1">
        <f>value(IFERROR(SUBSTITUTE(SUBSTITUTE(VLOOKUP($A525,'Quarterly Pipeline vs Target Pi'!$A:$V,17,false)," $","")," €",""), "")
)</f>
        <v>0</v>
      </c>
      <c r="AG525" s="17" t="str">
        <f t="shared" si="11"/>
        <v/>
      </c>
      <c r="AH525" s="1">
        <f>value(IFERROR(SUBSTITUTE(SUBSTITUTE(VLOOKUP($A525,'Quarterly Pipeline vs Target Pi'!$A:$V,21,false)," $","")," €",""), "")
)</f>
        <v>0</v>
      </c>
      <c r="AI525" s="1">
        <f>value(IFERROR(SUBSTITUTE(SUBSTITUTE(VLOOKUP($A525,'Quarterly Pipeline vs Target Pi'!$A:$V,22,false)," $","")," €",""), "")
)</f>
        <v>0</v>
      </c>
      <c r="AJ525" s="17" t="str">
        <f t="shared" si="12"/>
        <v/>
      </c>
      <c r="AK525" s="1">
        <f t="shared" ref="AK525:AL525" si="1063">sum(Y525,AB525,AE525,AH525)</f>
        <v>0</v>
      </c>
      <c r="AL525" s="1">
        <f t="shared" si="1063"/>
        <v>0</v>
      </c>
      <c r="AM525" s="17" t="str">
        <f t="shared" si="14"/>
        <v/>
      </c>
      <c r="AN525" s="1">
        <f>value(IFERROR(SUBSTITUTE(SUBSTITUTE(VLOOKUP($A525,'Quarterly Pipeline vs Target Pi'!$A:$AP,26,false)," $","")," €",""), "")
)</f>
        <v>0</v>
      </c>
      <c r="AO525" s="1">
        <f>value(IFERROR(SUBSTITUTE(SUBSTITUTE(VLOOKUP($A525,'Quarterly Pipeline vs Target Pi'!$A:$AP,27,false)," $","")," €",""), "")
)</f>
        <v>0</v>
      </c>
      <c r="AP525" s="17" t="str">
        <f t="shared" si="15"/>
        <v/>
      </c>
      <c r="AQ525" s="1">
        <f>value(IFERROR(SUBSTITUTE(SUBSTITUTE(VLOOKUP($A525,'Quarterly Pipeline vs Target Pi'!$A:$AP,31,false)," $","")," €",""), "")
)</f>
        <v>0</v>
      </c>
      <c r="AR525" s="1">
        <f>value(IFERROR(SUBSTITUTE(SUBSTITUTE(VLOOKUP($A525,'Quarterly Pipeline vs Target Pi'!$A:$AP,32,false)," $","")," €",""), "")
)</f>
        <v>0</v>
      </c>
      <c r="AS525" s="17" t="str">
        <f t="shared" si="16"/>
        <v/>
      </c>
      <c r="AT525" s="1">
        <f>value(IFERROR(SUBSTITUTE(SUBSTITUTE(VLOOKUP($A525,'Quarterly Pipeline vs Target Pi'!$A:$AP,36,false)," $","")," €",""), "")
)</f>
        <v>0</v>
      </c>
      <c r="AU525" s="1">
        <f>value(IFERROR(SUBSTITUTE(SUBSTITUTE(VLOOKUP($A525,'Quarterly Pipeline vs Target Pi'!$A:$AP,37,false)," $","")," €",""), "")
)</f>
        <v>0</v>
      </c>
      <c r="AV525" s="17" t="str">
        <f t="shared" si="17"/>
        <v/>
      </c>
      <c r="AW525" s="1">
        <f>value(IFERROR(SUBSTITUTE(SUBSTITUTE(VLOOKUP($A525,'Quarterly Pipeline vs Target Pi'!$A:$AP,41,false)," $","")," €",""), "")
)</f>
        <v>0</v>
      </c>
      <c r="AX525" s="1">
        <f>value(IFERROR(SUBSTITUTE(SUBSTITUTE(VLOOKUP($A525,'Quarterly Pipeline vs Target Pi'!$A:$AP,42,false)," $","")," €",""), "")
)</f>
        <v>0</v>
      </c>
      <c r="AY525" s="17" t="str">
        <f t="shared" si="18"/>
        <v/>
      </c>
      <c r="AZ525" s="1">
        <f t="shared" ref="AZ525:BA525" si="1064">sum(AN525,AQ525,AT525,AW525)</f>
        <v>0</v>
      </c>
      <c r="BA525" s="1">
        <f t="shared" si="1064"/>
        <v>0</v>
      </c>
      <c r="BB525" s="17" t="str">
        <f t="shared" si="20"/>
        <v/>
      </c>
    </row>
    <row r="526">
      <c r="G526" s="1" t="str">
        <f>iferror(VLOOKUP(A526,'Business Plan Setup and Accepta'!A:G,6,false),"")</f>
        <v/>
      </c>
      <c r="H526" s="1" t="str">
        <f>iferror(VLOOKUP(A526,'Business Plan Setup and Accepta'!A:G,7,false),"")</f>
        <v/>
      </c>
      <c r="I526" s="17" t="str">
        <f t="shared" si="3"/>
        <v/>
      </c>
      <c r="J526" s="1" t="str">
        <f>IFERROR(VALUE(SUBSTITUTE(VLOOKUP(A526,'Sales IN Revenues vs Sales targ'!A:G,6,false)," $","")), "")
</f>
        <v/>
      </c>
      <c r="K526" s="1" t="str">
        <f>IFERROR(VALUE(SUBSTITUTE(VLOOKUP(A526,'Sales IN Revenues vs Sales targ'!A:G,7,false)," $","")), "")
</f>
        <v/>
      </c>
      <c r="L526" s="17" t="str">
        <f t="shared" si="4"/>
        <v/>
      </c>
      <c r="M526" s="1">
        <f>value(SUBSTITUTE(IFERROR(VLOOKUP(A526,'Certifications achievements vs '!A:G,6,false),""),"#","")
)</f>
        <v>0</v>
      </c>
      <c r="N526" s="1">
        <f>value(SUBSTITUTE(IFERROR(VLOOKUP(A526,'Certifications achievements vs '!A:G,7,false),""),"#","")
)</f>
        <v>0</v>
      </c>
      <c r="O526" s="17" t="str">
        <f t="shared" si="5"/>
        <v/>
      </c>
      <c r="P526" s="1">
        <f>value(SUBSTITUTE(IFERROR(VLOOKUP(A526,'Communications - Solution Speci'!A:G,6,false),""),"#","")
)</f>
        <v>0</v>
      </c>
      <c r="Q526" s="1">
        <f>value(SUBSTITUTE(IFERROR(VLOOKUP(A526,'Communications - Solution Speci'!A:G,7,false),""),"#","")
)</f>
        <v>0</v>
      </c>
      <c r="R526" s="17" t="str">
        <f t="shared" si="6"/>
        <v/>
      </c>
      <c r="S526" s="1">
        <f>value(SUBSTITUTE(IFERROR(VLOOKUP(A526,'Networking - Solution Specializ'!A:G,6,false),""),"#","")
)</f>
        <v>0</v>
      </c>
      <c r="T526" s="1">
        <f>value(SUBSTITUTE(IFERROR(VLOOKUP(A526,'Networking - Solution Specializ'!A:G,7,false),""),"#","")
)</f>
        <v>0</v>
      </c>
      <c r="U526" s="17" t="str">
        <f t="shared" si="7"/>
        <v/>
      </c>
      <c r="V526" s="1" t="str">
        <f>iferror(vlookup(A526,'Marketing Plan (extract summary'!A:G,6,false),"")</f>
        <v/>
      </c>
      <c r="W526" s="1" t="str">
        <f>iferror(vlookup(A526,'Marketing Plan (extract summary'!A:G,7,false),"")</f>
        <v/>
      </c>
      <c r="X526" s="17" t="str">
        <f t="shared" si="8"/>
        <v/>
      </c>
      <c r="Y526" s="1">
        <f>value(IFERROR(SUBSTITUTE(SUBSTITUTE(VLOOKUP(A526,'Quarterly Pipeline vs Target Pi'!A:G,6,false)," $","")," €",""), "")
)</f>
        <v>0</v>
      </c>
      <c r="Z526" s="1">
        <f>value(IFERROR(SUBSTITUTE(SUBSTITUTE(VLOOKUP(A526,'Quarterly Pipeline vs Target Pi'!A:G,7,false)," $","")," €",""), "")
)</f>
        <v>0</v>
      </c>
      <c r="AA526" s="17" t="str">
        <f t="shared" si="9"/>
        <v/>
      </c>
      <c r="AB526" s="1">
        <f>value(IFERROR(SUBSTITUTE(SUBSTITUTE(VLOOKUP($A526,'Quarterly Pipeline vs Target Pi'!$A:$V,11,false)," $","")," €",""), "")
)</f>
        <v>0</v>
      </c>
      <c r="AC526" s="1">
        <f>value(IFERROR(SUBSTITUTE(SUBSTITUTE(VLOOKUP($A526,'Quarterly Pipeline vs Target Pi'!$A:$V,12,false)," $","")," €",""), "")
)</f>
        <v>0</v>
      </c>
      <c r="AD526" s="17" t="str">
        <f t="shared" si="10"/>
        <v/>
      </c>
      <c r="AE526" s="1">
        <f>value(IFERROR(SUBSTITUTE(SUBSTITUTE(VLOOKUP($A526,'Quarterly Pipeline vs Target Pi'!$A:$V,16,false)," $","")," €",""), "")
)</f>
        <v>0</v>
      </c>
      <c r="AF526" s="1">
        <f>value(IFERROR(SUBSTITUTE(SUBSTITUTE(VLOOKUP($A526,'Quarterly Pipeline vs Target Pi'!$A:$V,17,false)," $","")," €",""), "")
)</f>
        <v>0</v>
      </c>
      <c r="AG526" s="17" t="str">
        <f t="shared" si="11"/>
        <v/>
      </c>
      <c r="AH526" s="1">
        <f>value(IFERROR(SUBSTITUTE(SUBSTITUTE(VLOOKUP($A526,'Quarterly Pipeline vs Target Pi'!$A:$V,21,false)," $","")," €",""), "")
)</f>
        <v>0</v>
      </c>
      <c r="AI526" s="1">
        <f>value(IFERROR(SUBSTITUTE(SUBSTITUTE(VLOOKUP($A526,'Quarterly Pipeline vs Target Pi'!$A:$V,22,false)," $","")," €",""), "")
)</f>
        <v>0</v>
      </c>
      <c r="AJ526" s="17" t="str">
        <f t="shared" si="12"/>
        <v/>
      </c>
      <c r="AK526" s="1">
        <f t="shared" ref="AK526:AL526" si="1065">sum(Y526,AB526,AE526,AH526)</f>
        <v>0</v>
      </c>
      <c r="AL526" s="1">
        <f t="shared" si="1065"/>
        <v>0</v>
      </c>
      <c r="AM526" s="17" t="str">
        <f t="shared" si="14"/>
        <v/>
      </c>
      <c r="AN526" s="1">
        <f>value(IFERROR(SUBSTITUTE(SUBSTITUTE(VLOOKUP($A526,'Quarterly Pipeline vs Target Pi'!$A:$AP,26,false)," $","")," €",""), "")
)</f>
        <v>0</v>
      </c>
      <c r="AO526" s="1">
        <f>value(IFERROR(SUBSTITUTE(SUBSTITUTE(VLOOKUP($A526,'Quarterly Pipeline vs Target Pi'!$A:$AP,27,false)," $","")," €",""), "")
)</f>
        <v>0</v>
      </c>
      <c r="AP526" s="17" t="str">
        <f t="shared" si="15"/>
        <v/>
      </c>
      <c r="AQ526" s="1">
        <f>value(IFERROR(SUBSTITUTE(SUBSTITUTE(VLOOKUP($A526,'Quarterly Pipeline vs Target Pi'!$A:$AP,31,false)," $","")," €",""), "")
)</f>
        <v>0</v>
      </c>
      <c r="AR526" s="1">
        <f>value(IFERROR(SUBSTITUTE(SUBSTITUTE(VLOOKUP($A526,'Quarterly Pipeline vs Target Pi'!$A:$AP,32,false)," $","")," €",""), "")
)</f>
        <v>0</v>
      </c>
      <c r="AS526" s="17" t="str">
        <f t="shared" si="16"/>
        <v/>
      </c>
      <c r="AT526" s="1">
        <f>value(IFERROR(SUBSTITUTE(SUBSTITUTE(VLOOKUP($A526,'Quarterly Pipeline vs Target Pi'!$A:$AP,36,false)," $","")," €",""), "")
)</f>
        <v>0</v>
      </c>
      <c r="AU526" s="1">
        <f>value(IFERROR(SUBSTITUTE(SUBSTITUTE(VLOOKUP($A526,'Quarterly Pipeline vs Target Pi'!$A:$AP,37,false)," $","")," €",""), "")
)</f>
        <v>0</v>
      </c>
      <c r="AV526" s="17" t="str">
        <f t="shared" si="17"/>
        <v/>
      </c>
      <c r="AW526" s="1">
        <f>value(IFERROR(SUBSTITUTE(SUBSTITUTE(VLOOKUP($A526,'Quarterly Pipeline vs Target Pi'!$A:$AP,41,false)," $","")," €",""), "")
)</f>
        <v>0</v>
      </c>
      <c r="AX526" s="1">
        <f>value(IFERROR(SUBSTITUTE(SUBSTITUTE(VLOOKUP($A526,'Quarterly Pipeline vs Target Pi'!$A:$AP,42,false)," $","")," €",""), "")
)</f>
        <v>0</v>
      </c>
      <c r="AY526" s="17" t="str">
        <f t="shared" si="18"/>
        <v/>
      </c>
      <c r="AZ526" s="1">
        <f t="shared" ref="AZ526:BA526" si="1066">sum(AN526,AQ526,AT526,AW526)</f>
        <v>0</v>
      </c>
      <c r="BA526" s="1">
        <f t="shared" si="1066"/>
        <v>0</v>
      </c>
      <c r="BB526" s="17" t="str">
        <f t="shared" si="20"/>
        <v/>
      </c>
    </row>
    <row r="527">
      <c r="G527" s="1" t="str">
        <f>iferror(VLOOKUP(A527,'Business Plan Setup and Accepta'!A:G,6,false),"")</f>
        <v/>
      </c>
      <c r="H527" s="1" t="str">
        <f>iferror(VLOOKUP(A527,'Business Plan Setup and Accepta'!A:G,7,false),"")</f>
        <v/>
      </c>
      <c r="I527" s="17" t="str">
        <f t="shared" si="3"/>
        <v/>
      </c>
      <c r="J527" s="1" t="str">
        <f>IFERROR(VALUE(SUBSTITUTE(VLOOKUP(A527,'Sales IN Revenues vs Sales targ'!A:G,6,false)," $","")), "")
</f>
        <v/>
      </c>
      <c r="K527" s="1" t="str">
        <f>IFERROR(VALUE(SUBSTITUTE(VLOOKUP(A527,'Sales IN Revenues vs Sales targ'!A:G,7,false)," $","")), "")
</f>
        <v/>
      </c>
      <c r="L527" s="17" t="str">
        <f t="shared" si="4"/>
        <v/>
      </c>
      <c r="M527" s="1">
        <f>value(SUBSTITUTE(IFERROR(VLOOKUP(A527,'Certifications achievements vs '!A:G,6,false),""),"#","")
)</f>
        <v>0</v>
      </c>
      <c r="N527" s="1">
        <f>value(SUBSTITUTE(IFERROR(VLOOKUP(A527,'Certifications achievements vs '!A:G,7,false),""),"#","")
)</f>
        <v>0</v>
      </c>
      <c r="O527" s="17" t="str">
        <f t="shared" si="5"/>
        <v/>
      </c>
      <c r="P527" s="1">
        <f>value(SUBSTITUTE(IFERROR(VLOOKUP(A527,'Communications - Solution Speci'!A:G,6,false),""),"#","")
)</f>
        <v>0</v>
      </c>
      <c r="Q527" s="1">
        <f>value(SUBSTITUTE(IFERROR(VLOOKUP(A527,'Communications - Solution Speci'!A:G,7,false),""),"#","")
)</f>
        <v>0</v>
      </c>
      <c r="R527" s="17" t="str">
        <f t="shared" si="6"/>
        <v/>
      </c>
      <c r="S527" s="1">
        <f>value(SUBSTITUTE(IFERROR(VLOOKUP(A527,'Networking - Solution Specializ'!A:G,6,false),""),"#","")
)</f>
        <v>0</v>
      </c>
      <c r="T527" s="1">
        <f>value(SUBSTITUTE(IFERROR(VLOOKUP(A527,'Networking - Solution Specializ'!A:G,7,false),""),"#","")
)</f>
        <v>0</v>
      </c>
      <c r="U527" s="17" t="str">
        <f t="shared" si="7"/>
        <v/>
      </c>
      <c r="V527" s="1" t="str">
        <f>iferror(vlookup(A527,'Marketing Plan (extract summary'!A:G,6,false),"")</f>
        <v/>
      </c>
      <c r="W527" s="1" t="str">
        <f>iferror(vlookup(A527,'Marketing Plan (extract summary'!A:G,7,false),"")</f>
        <v/>
      </c>
      <c r="X527" s="17" t="str">
        <f t="shared" si="8"/>
        <v/>
      </c>
      <c r="Y527" s="1">
        <f>value(IFERROR(SUBSTITUTE(SUBSTITUTE(VLOOKUP(A527,'Quarterly Pipeline vs Target Pi'!A:G,6,false)," $","")," €",""), "")
)</f>
        <v>0</v>
      </c>
      <c r="Z527" s="1">
        <f>value(IFERROR(SUBSTITUTE(SUBSTITUTE(VLOOKUP(A527,'Quarterly Pipeline vs Target Pi'!A:G,7,false)," $","")," €",""), "")
)</f>
        <v>0</v>
      </c>
      <c r="AA527" s="17" t="str">
        <f t="shared" si="9"/>
        <v/>
      </c>
      <c r="AB527" s="1">
        <f>value(IFERROR(SUBSTITUTE(SUBSTITUTE(VLOOKUP($A527,'Quarterly Pipeline vs Target Pi'!$A:$V,11,false)," $","")," €",""), "")
)</f>
        <v>0</v>
      </c>
      <c r="AC527" s="1">
        <f>value(IFERROR(SUBSTITUTE(SUBSTITUTE(VLOOKUP($A527,'Quarterly Pipeline vs Target Pi'!$A:$V,12,false)," $","")," €",""), "")
)</f>
        <v>0</v>
      </c>
      <c r="AD527" s="17" t="str">
        <f t="shared" si="10"/>
        <v/>
      </c>
      <c r="AE527" s="1">
        <f>value(IFERROR(SUBSTITUTE(SUBSTITUTE(VLOOKUP($A527,'Quarterly Pipeline vs Target Pi'!$A:$V,16,false)," $","")," €",""), "")
)</f>
        <v>0</v>
      </c>
      <c r="AF527" s="1">
        <f>value(IFERROR(SUBSTITUTE(SUBSTITUTE(VLOOKUP($A527,'Quarterly Pipeline vs Target Pi'!$A:$V,17,false)," $","")," €",""), "")
)</f>
        <v>0</v>
      </c>
      <c r="AG527" s="17" t="str">
        <f t="shared" si="11"/>
        <v/>
      </c>
      <c r="AH527" s="1">
        <f>value(IFERROR(SUBSTITUTE(SUBSTITUTE(VLOOKUP($A527,'Quarterly Pipeline vs Target Pi'!$A:$V,21,false)," $","")," €",""), "")
)</f>
        <v>0</v>
      </c>
      <c r="AI527" s="1">
        <f>value(IFERROR(SUBSTITUTE(SUBSTITUTE(VLOOKUP($A527,'Quarterly Pipeline vs Target Pi'!$A:$V,22,false)," $","")," €",""), "")
)</f>
        <v>0</v>
      </c>
      <c r="AJ527" s="17" t="str">
        <f t="shared" si="12"/>
        <v/>
      </c>
      <c r="AK527" s="1">
        <f t="shared" ref="AK527:AL527" si="1067">sum(Y527,AB527,AE527,AH527)</f>
        <v>0</v>
      </c>
      <c r="AL527" s="1">
        <f t="shared" si="1067"/>
        <v>0</v>
      </c>
      <c r="AM527" s="17" t="str">
        <f t="shared" si="14"/>
        <v/>
      </c>
      <c r="AN527" s="1">
        <f>value(IFERROR(SUBSTITUTE(SUBSTITUTE(VLOOKUP($A527,'Quarterly Pipeline vs Target Pi'!$A:$AP,26,false)," $","")," €",""), "")
)</f>
        <v>0</v>
      </c>
      <c r="AO527" s="1">
        <f>value(IFERROR(SUBSTITUTE(SUBSTITUTE(VLOOKUP($A527,'Quarterly Pipeline vs Target Pi'!$A:$AP,27,false)," $","")," €",""), "")
)</f>
        <v>0</v>
      </c>
      <c r="AP527" s="17" t="str">
        <f t="shared" si="15"/>
        <v/>
      </c>
      <c r="AQ527" s="1">
        <f>value(IFERROR(SUBSTITUTE(SUBSTITUTE(VLOOKUP($A527,'Quarterly Pipeline vs Target Pi'!$A:$AP,31,false)," $","")," €",""), "")
)</f>
        <v>0</v>
      </c>
      <c r="AR527" s="1">
        <f>value(IFERROR(SUBSTITUTE(SUBSTITUTE(VLOOKUP($A527,'Quarterly Pipeline vs Target Pi'!$A:$AP,32,false)," $","")," €",""), "")
)</f>
        <v>0</v>
      </c>
      <c r="AS527" s="17" t="str">
        <f t="shared" si="16"/>
        <v/>
      </c>
      <c r="AT527" s="1">
        <f>value(IFERROR(SUBSTITUTE(SUBSTITUTE(VLOOKUP($A527,'Quarterly Pipeline vs Target Pi'!$A:$AP,36,false)," $","")," €",""), "")
)</f>
        <v>0</v>
      </c>
      <c r="AU527" s="1">
        <f>value(IFERROR(SUBSTITUTE(SUBSTITUTE(VLOOKUP($A527,'Quarterly Pipeline vs Target Pi'!$A:$AP,37,false)," $","")," €",""), "")
)</f>
        <v>0</v>
      </c>
      <c r="AV527" s="17" t="str">
        <f t="shared" si="17"/>
        <v/>
      </c>
      <c r="AW527" s="1">
        <f>value(IFERROR(SUBSTITUTE(SUBSTITUTE(VLOOKUP($A527,'Quarterly Pipeline vs Target Pi'!$A:$AP,41,false)," $","")," €",""), "")
)</f>
        <v>0</v>
      </c>
      <c r="AX527" s="1">
        <f>value(IFERROR(SUBSTITUTE(SUBSTITUTE(VLOOKUP($A527,'Quarterly Pipeline vs Target Pi'!$A:$AP,42,false)," $","")," €",""), "")
)</f>
        <v>0</v>
      </c>
      <c r="AY527" s="17" t="str">
        <f t="shared" si="18"/>
        <v/>
      </c>
      <c r="AZ527" s="1">
        <f t="shared" ref="AZ527:BA527" si="1068">sum(AN527,AQ527,AT527,AW527)</f>
        <v>0</v>
      </c>
      <c r="BA527" s="1">
        <f t="shared" si="1068"/>
        <v>0</v>
      </c>
      <c r="BB527" s="17" t="str">
        <f t="shared" si="20"/>
        <v/>
      </c>
    </row>
    <row r="528">
      <c r="G528" s="1" t="str">
        <f>iferror(VLOOKUP(A528,'Business Plan Setup and Accepta'!A:G,6,false),"")</f>
        <v/>
      </c>
      <c r="H528" s="1" t="str">
        <f>iferror(VLOOKUP(A528,'Business Plan Setup and Accepta'!A:G,7,false),"")</f>
        <v/>
      </c>
      <c r="I528" s="17" t="str">
        <f t="shared" si="3"/>
        <v/>
      </c>
      <c r="J528" s="1" t="str">
        <f>IFERROR(VALUE(SUBSTITUTE(VLOOKUP(A528,'Sales IN Revenues vs Sales targ'!A:G,6,false)," $","")), "")
</f>
        <v/>
      </c>
      <c r="K528" s="1" t="str">
        <f>IFERROR(VALUE(SUBSTITUTE(VLOOKUP(A528,'Sales IN Revenues vs Sales targ'!A:G,7,false)," $","")), "")
</f>
        <v/>
      </c>
      <c r="L528" s="17" t="str">
        <f t="shared" si="4"/>
        <v/>
      </c>
      <c r="M528" s="1">
        <f>value(SUBSTITUTE(IFERROR(VLOOKUP(A528,'Certifications achievements vs '!A:G,6,false),""),"#","")
)</f>
        <v>0</v>
      </c>
      <c r="N528" s="1">
        <f>value(SUBSTITUTE(IFERROR(VLOOKUP(A528,'Certifications achievements vs '!A:G,7,false),""),"#","")
)</f>
        <v>0</v>
      </c>
      <c r="O528" s="17" t="str">
        <f t="shared" si="5"/>
        <v/>
      </c>
      <c r="P528" s="1">
        <f>value(SUBSTITUTE(IFERROR(VLOOKUP(A528,'Communications - Solution Speci'!A:G,6,false),""),"#","")
)</f>
        <v>0</v>
      </c>
      <c r="Q528" s="1">
        <f>value(SUBSTITUTE(IFERROR(VLOOKUP(A528,'Communications - Solution Speci'!A:G,7,false),""),"#","")
)</f>
        <v>0</v>
      </c>
      <c r="R528" s="17" t="str">
        <f t="shared" si="6"/>
        <v/>
      </c>
      <c r="S528" s="1">
        <f>value(SUBSTITUTE(IFERROR(VLOOKUP(A528,'Networking - Solution Specializ'!A:G,6,false),""),"#","")
)</f>
        <v>0</v>
      </c>
      <c r="T528" s="1">
        <f>value(SUBSTITUTE(IFERROR(VLOOKUP(A528,'Networking - Solution Specializ'!A:G,7,false),""),"#","")
)</f>
        <v>0</v>
      </c>
      <c r="U528" s="17" t="str">
        <f t="shared" si="7"/>
        <v/>
      </c>
      <c r="V528" s="1" t="str">
        <f>iferror(vlookup(A528,'Marketing Plan (extract summary'!A:G,6,false),"")</f>
        <v/>
      </c>
      <c r="W528" s="1" t="str">
        <f>iferror(vlookup(A528,'Marketing Plan (extract summary'!A:G,7,false),"")</f>
        <v/>
      </c>
      <c r="X528" s="17" t="str">
        <f t="shared" si="8"/>
        <v/>
      </c>
      <c r="Y528" s="1">
        <f>value(IFERROR(SUBSTITUTE(SUBSTITUTE(VLOOKUP(A528,'Quarterly Pipeline vs Target Pi'!A:G,6,false)," $","")," €",""), "")
)</f>
        <v>0</v>
      </c>
      <c r="Z528" s="1">
        <f>value(IFERROR(SUBSTITUTE(SUBSTITUTE(VLOOKUP(A528,'Quarterly Pipeline vs Target Pi'!A:G,7,false)," $","")," €",""), "")
)</f>
        <v>0</v>
      </c>
      <c r="AA528" s="17" t="str">
        <f t="shared" si="9"/>
        <v/>
      </c>
      <c r="AB528" s="1">
        <f>value(IFERROR(SUBSTITUTE(SUBSTITUTE(VLOOKUP($A528,'Quarterly Pipeline vs Target Pi'!$A:$V,11,false)," $","")," €",""), "")
)</f>
        <v>0</v>
      </c>
      <c r="AC528" s="1">
        <f>value(IFERROR(SUBSTITUTE(SUBSTITUTE(VLOOKUP($A528,'Quarterly Pipeline vs Target Pi'!$A:$V,12,false)," $","")," €",""), "")
)</f>
        <v>0</v>
      </c>
      <c r="AD528" s="17" t="str">
        <f t="shared" si="10"/>
        <v/>
      </c>
      <c r="AE528" s="1">
        <f>value(IFERROR(SUBSTITUTE(SUBSTITUTE(VLOOKUP($A528,'Quarterly Pipeline vs Target Pi'!$A:$V,16,false)," $","")," €",""), "")
)</f>
        <v>0</v>
      </c>
      <c r="AF528" s="1">
        <f>value(IFERROR(SUBSTITUTE(SUBSTITUTE(VLOOKUP($A528,'Quarterly Pipeline vs Target Pi'!$A:$V,17,false)," $","")," €",""), "")
)</f>
        <v>0</v>
      </c>
      <c r="AG528" s="17" t="str">
        <f t="shared" si="11"/>
        <v/>
      </c>
      <c r="AH528" s="1">
        <f>value(IFERROR(SUBSTITUTE(SUBSTITUTE(VLOOKUP($A528,'Quarterly Pipeline vs Target Pi'!$A:$V,21,false)," $","")," €",""), "")
)</f>
        <v>0</v>
      </c>
      <c r="AI528" s="1">
        <f>value(IFERROR(SUBSTITUTE(SUBSTITUTE(VLOOKUP($A528,'Quarterly Pipeline vs Target Pi'!$A:$V,22,false)," $","")," €",""), "")
)</f>
        <v>0</v>
      </c>
      <c r="AJ528" s="17" t="str">
        <f t="shared" si="12"/>
        <v/>
      </c>
      <c r="AK528" s="1">
        <f t="shared" ref="AK528:AL528" si="1069">sum(Y528,AB528,AE528,AH528)</f>
        <v>0</v>
      </c>
      <c r="AL528" s="1">
        <f t="shared" si="1069"/>
        <v>0</v>
      </c>
      <c r="AM528" s="17" t="str">
        <f t="shared" si="14"/>
        <v/>
      </c>
      <c r="AN528" s="1">
        <f>value(IFERROR(SUBSTITUTE(SUBSTITUTE(VLOOKUP($A528,'Quarterly Pipeline vs Target Pi'!$A:$AP,26,false)," $","")," €",""), "")
)</f>
        <v>0</v>
      </c>
      <c r="AO528" s="1">
        <f>value(IFERROR(SUBSTITUTE(SUBSTITUTE(VLOOKUP($A528,'Quarterly Pipeline vs Target Pi'!$A:$AP,27,false)," $","")," €",""), "")
)</f>
        <v>0</v>
      </c>
      <c r="AP528" s="17" t="str">
        <f t="shared" si="15"/>
        <v/>
      </c>
      <c r="AQ528" s="1">
        <f>value(IFERROR(SUBSTITUTE(SUBSTITUTE(VLOOKUP($A528,'Quarterly Pipeline vs Target Pi'!$A:$AP,31,false)," $","")," €",""), "")
)</f>
        <v>0</v>
      </c>
      <c r="AR528" s="1">
        <f>value(IFERROR(SUBSTITUTE(SUBSTITUTE(VLOOKUP($A528,'Quarterly Pipeline vs Target Pi'!$A:$AP,32,false)," $","")," €",""), "")
)</f>
        <v>0</v>
      </c>
      <c r="AS528" s="17" t="str">
        <f t="shared" si="16"/>
        <v/>
      </c>
      <c r="AT528" s="1">
        <f>value(IFERROR(SUBSTITUTE(SUBSTITUTE(VLOOKUP($A528,'Quarterly Pipeline vs Target Pi'!$A:$AP,36,false)," $","")," €",""), "")
)</f>
        <v>0</v>
      </c>
      <c r="AU528" s="1">
        <f>value(IFERROR(SUBSTITUTE(SUBSTITUTE(VLOOKUP($A528,'Quarterly Pipeline vs Target Pi'!$A:$AP,37,false)," $","")," €",""), "")
)</f>
        <v>0</v>
      </c>
      <c r="AV528" s="17" t="str">
        <f t="shared" si="17"/>
        <v/>
      </c>
      <c r="AW528" s="1">
        <f>value(IFERROR(SUBSTITUTE(SUBSTITUTE(VLOOKUP($A528,'Quarterly Pipeline vs Target Pi'!$A:$AP,41,false)," $","")," €",""), "")
)</f>
        <v>0</v>
      </c>
      <c r="AX528" s="1">
        <f>value(IFERROR(SUBSTITUTE(SUBSTITUTE(VLOOKUP($A528,'Quarterly Pipeline vs Target Pi'!$A:$AP,42,false)," $","")," €",""), "")
)</f>
        <v>0</v>
      </c>
      <c r="AY528" s="17" t="str">
        <f t="shared" si="18"/>
        <v/>
      </c>
      <c r="AZ528" s="1">
        <f t="shared" ref="AZ528:BA528" si="1070">sum(AN528,AQ528,AT528,AW528)</f>
        <v>0</v>
      </c>
      <c r="BA528" s="1">
        <f t="shared" si="1070"/>
        <v>0</v>
      </c>
      <c r="BB528" s="17" t="str">
        <f t="shared" si="20"/>
        <v/>
      </c>
    </row>
    <row r="529">
      <c r="G529" s="1" t="str">
        <f>iferror(VLOOKUP(A529,'Business Plan Setup and Accepta'!A:G,6,false),"")</f>
        <v/>
      </c>
      <c r="H529" s="1" t="str">
        <f>iferror(VLOOKUP(A529,'Business Plan Setup and Accepta'!A:G,7,false),"")</f>
        <v/>
      </c>
      <c r="I529" s="17" t="str">
        <f t="shared" si="3"/>
        <v/>
      </c>
      <c r="J529" s="1" t="str">
        <f>IFERROR(VALUE(SUBSTITUTE(VLOOKUP(A529,'Sales IN Revenues vs Sales targ'!A:G,6,false)," $","")), "")
</f>
        <v/>
      </c>
      <c r="K529" s="1" t="str">
        <f>IFERROR(VALUE(SUBSTITUTE(VLOOKUP(A529,'Sales IN Revenues vs Sales targ'!A:G,7,false)," $","")), "")
</f>
        <v/>
      </c>
      <c r="L529" s="17" t="str">
        <f t="shared" si="4"/>
        <v/>
      </c>
      <c r="M529" s="1">
        <f>value(SUBSTITUTE(IFERROR(VLOOKUP(A529,'Certifications achievements vs '!A:G,6,false),""),"#","")
)</f>
        <v>0</v>
      </c>
      <c r="N529" s="1">
        <f>value(SUBSTITUTE(IFERROR(VLOOKUP(A529,'Certifications achievements vs '!A:G,7,false),""),"#","")
)</f>
        <v>0</v>
      </c>
      <c r="O529" s="17" t="str">
        <f t="shared" si="5"/>
        <v/>
      </c>
      <c r="P529" s="1">
        <f>value(SUBSTITUTE(IFERROR(VLOOKUP(A529,'Communications - Solution Speci'!A:G,6,false),""),"#","")
)</f>
        <v>0</v>
      </c>
      <c r="Q529" s="1">
        <f>value(SUBSTITUTE(IFERROR(VLOOKUP(A529,'Communications - Solution Speci'!A:G,7,false),""),"#","")
)</f>
        <v>0</v>
      </c>
      <c r="R529" s="17" t="str">
        <f t="shared" si="6"/>
        <v/>
      </c>
      <c r="S529" s="1">
        <f>value(SUBSTITUTE(IFERROR(VLOOKUP(A529,'Networking - Solution Specializ'!A:G,6,false),""),"#","")
)</f>
        <v>0</v>
      </c>
      <c r="T529" s="1">
        <f>value(SUBSTITUTE(IFERROR(VLOOKUP(A529,'Networking - Solution Specializ'!A:G,7,false),""),"#","")
)</f>
        <v>0</v>
      </c>
      <c r="U529" s="17" t="str">
        <f t="shared" si="7"/>
        <v/>
      </c>
      <c r="V529" s="1" t="str">
        <f>iferror(vlookup(A529,'Marketing Plan (extract summary'!A:G,6,false),"")</f>
        <v/>
      </c>
      <c r="W529" s="1" t="str">
        <f>iferror(vlookup(A529,'Marketing Plan (extract summary'!A:G,7,false),"")</f>
        <v/>
      </c>
      <c r="X529" s="17" t="str">
        <f t="shared" si="8"/>
        <v/>
      </c>
      <c r="Y529" s="1">
        <f>value(IFERROR(SUBSTITUTE(SUBSTITUTE(VLOOKUP(A529,'Quarterly Pipeline vs Target Pi'!A:G,6,false)," $","")," €",""), "")
)</f>
        <v>0</v>
      </c>
      <c r="Z529" s="1">
        <f>value(IFERROR(SUBSTITUTE(SUBSTITUTE(VLOOKUP(A529,'Quarterly Pipeline vs Target Pi'!A:G,7,false)," $","")," €",""), "")
)</f>
        <v>0</v>
      </c>
      <c r="AA529" s="17" t="str">
        <f t="shared" si="9"/>
        <v/>
      </c>
      <c r="AB529" s="1">
        <f>value(IFERROR(SUBSTITUTE(SUBSTITUTE(VLOOKUP($A529,'Quarterly Pipeline vs Target Pi'!$A:$V,11,false)," $","")," €",""), "")
)</f>
        <v>0</v>
      </c>
      <c r="AC529" s="1">
        <f>value(IFERROR(SUBSTITUTE(SUBSTITUTE(VLOOKUP($A529,'Quarterly Pipeline vs Target Pi'!$A:$V,12,false)," $","")," €",""), "")
)</f>
        <v>0</v>
      </c>
      <c r="AD529" s="17" t="str">
        <f t="shared" si="10"/>
        <v/>
      </c>
      <c r="AE529" s="1">
        <f>value(IFERROR(SUBSTITUTE(SUBSTITUTE(VLOOKUP($A529,'Quarterly Pipeline vs Target Pi'!$A:$V,16,false)," $","")," €",""), "")
)</f>
        <v>0</v>
      </c>
      <c r="AF529" s="1">
        <f>value(IFERROR(SUBSTITUTE(SUBSTITUTE(VLOOKUP($A529,'Quarterly Pipeline vs Target Pi'!$A:$V,17,false)," $","")," €",""), "")
)</f>
        <v>0</v>
      </c>
      <c r="AG529" s="17" t="str">
        <f t="shared" si="11"/>
        <v/>
      </c>
      <c r="AH529" s="1">
        <f>value(IFERROR(SUBSTITUTE(SUBSTITUTE(VLOOKUP($A529,'Quarterly Pipeline vs Target Pi'!$A:$V,21,false)," $","")," €",""), "")
)</f>
        <v>0</v>
      </c>
      <c r="AI529" s="1">
        <f>value(IFERROR(SUBSTITUTE(SUBSTITUTE(VLOOKUP($A529,'Quarterly Pipeline vs Target Pi'!$A:$V,22,false)," $","")," €",""), "")
)</f>
        <v>0</v>
      </c>
      <c r="AJ529" s="17" t="str">
        <f t="shared" si="12"/>
        <v/>
      </c>
      <c r="AK529" s="1">
        <f t="shared" ref="AK529:AL529" si="1071">sum(Y529,AB529,AE529,AH529)</f>
        <v>0</v>
      </c>
      <c r="AL529" s="1">
        <f t="shared" si="1071"/>
        <v>0</v>
      </c>
      <c r="AM529" s="17" t="str">
        <f t="shared" si="14"/>
        <v/>
      </c>
      <c r="AN529" s="1">
        <f>value(IFERROR(SUBSTITUTE(SUBSTITUTE(VLOOKUP($A529,'Quarterly Pipeline vs Target Pi'!$A:$AP,26,false)," $","")," €",""), "")
)</f>
        <v>0</v>
      </c>
      <c r="AO529" s="1">
        <f>value(IFERROR(SUBSTITUTE(SUBSTITUTE(VLOOKUP($A529,'Quarterly Pipeline vs Target Pi'!$A:$AP,27,false)," $","")," €",""), "")
)</f>
        <v>0</v>
      </c>
      <c r="AP529" s="17" t="str">
        <f t="shared" si="15"/>
        <v/>
      </c>
      <c r="AQ529" s="1">
        <f>value(IFERROR(SUBSTITUTE(SUBSTITUTE(VLOOKUP($A529,'Quarterly Pipeline vs Target Pi'!$A:$AP,31,false)," $","")," €",""), "")
)</f>
        <v>0</v>
      </c>
      <c r="AR529" s="1">
        <f>value(IFERROR(SUBSTITUTE(SUBSTITUTE(VLOOKUP($A529,'Quarterly Pipeline vs Target Pi'!$A:$AP,32,false)," $","")," €",""), "")
)</f>
        <v>0</v>
      </c>
      <c r="AS529" s="17" t="str">
        <f t="shared" si="16"/>
        <v/>
      </c>
      <c r="AT529" s="1">
        <f>value(IFERROR(SUBSTITUTE(SUBSTITUTE(VLOOKUP($A529,'Quarterly Pipeline vs Target Pi'!$A:$AP,36,false)," $","")," €",""), "")
)</f>
        <v>0</v>
      </c>
      <c r="AU529" s="1">
        <f>value(IFERROR(SUBSTITUTE(SUBSTITUTE(VLOOKUP($A529,'Quarterly Pipeline vs Target Pi'!$A:$AP,37,false)," $","")," €",""), "")
)</f>
        <v>0</v>
      </c>
      <c r="AV529" s="17" t="str">
        <f t="shared" si="17"/>
        <v/>
      </c>
      <c r="AW529" s="1">
        <f>value(IFERROR(SUBSTITUTE(SUBSTITUTE(VLOOKUP($A529,'Quarterly Pipeline vs Target Pi'!$A:$AP,41,false)," $","")," €",""), "")
)</f>
        <v>0</v>
      </c>
      <c r="AX529" s="1">
        <f>value(IFERROR(SUBSTITUTE(SUBSTITUTE(VLOOKUP($A529,'Quarterly Pipeline vs Target Pi'!$A:$AP,42,false)," $","")," €",""), "")
)</f>
        <v>0</v>
      </c>
      <c r="AY529" s="17" t="str">
        <f t="shared" si="18"/>
        <v/>
      </c>
      <c r="AZ529" s="1">
        <f t="shared" ref="AZ529:BA529" si="1072">sum(AN529,AQ529,AT529,AW529)</f>
        <v>0</v>
      </c>
      <c r="BA529" s="1">
        <f t="shared" si="1072"/>
        <v>0</v>
      </c>
      <c r="BB529" s="17" t="str">
        <f t="shared" si="20"/>
        <v/>
      </c>
    </row>
    <row r="530">
      <c r="G530" s="1" t="str">
        <f>iferror(VLOOKUP(A530,'Business Plan Setup and Accepta'!A:G,6,false),"")</f>
        <v/>
      </c>
      <c r="H530" s="1" t="str">
        <f>iferror(VLOOKUP(A530,'Business Plan Setup and Accepta'!A:G,7,false),"")</f>
        <v/>
      </c>
      <c r="I530" s="17" t="str">
        <f t="shared" si="3"/>
        <v/>
      </c>
      <c r="J530" s="1" t="str">
        <f>IFERROR(VALUE(SUBSTITUTE(VLOOKUP(A530,'Sales IN Revenues vs Sales targ'!A:G,6,false)," $","")), "")
</f>
        <v/>
      </c>
      <c r="K530" s="1" t="str">
        <f>IFERROR(VALUE(SUBSTITUTE(VLOOKUP(A530,'Sales IN Revenues vs Sales targ'!A:G,7,false)," $","")), "")
</f>
        <v/>
      </c>
      <c r="L530" s="17" t="str">
        <f t="shared" si="4"/>
        <v/>
      </c>
      <c r="M530" s="1">
        <f>value(SUBSTITUTE(IFERROR(VLOOKUP(A530,'Certifications achievements vs '!A:G,6,false),""),"#","")
)</f>
        <v>0</v>
      </c>
      <c r="N530" s="1">
        <f>value(SUBSTITUTE(IFERROR(VLOOKUP(A530,'Certifications achievements vs '!A:G,7,false),""),"#","")
)</f>
        <v>0</v>
      </c>
      <c r="O530" s="17" t="str">
        <f t="shared" si="5"/>
        <v/>
      </c>
      <c r="P530" s="1">
        <f>value(SUBSTITUTE(IFERROR(VLOOKUP(A530,'Communications - Solution Speci'!A:G,6,false),""),"#","")
)</f>
        <v>0</v>
      </c>
      <c r="Q530" s="1">
        <f>value(SUBSTITUTE(IFERROR(VLOOKUP(A530,'Communications - Solution Speci'!A:G,7,false),""),"#","")
)</f>
        <v>0</v>
      </c>
      <c r="R530" s="17" t="str">
        <f t="shared" si="6"/>
        <v/>
      </c>
      <c r="S530" s="1">
        <f>value(SUBSTITUTE(IFERROR(VLOOKUP(A530,'Networking - Solution Specializ'!A:G,6,false),""),"#","")
)</f>
        <v>0</v>
      </c>
      <c r="T530" s="1">
        <f>value(SUBSTITUTE(IFERROR(VLOOKUP(A530,'Networking - Solution Specializ'!A:G,7,false),""),"#","")
)</f>
        <v>0</v>
      </c>
      <c r="U530" s="17" t="str">
        <f t="shared" si="7"/>
        <v/>
      </c>
      <c r="V530" s="1" t="str">
        <f>iferror(vlookup(A530,'Marketing Plan (extract summary'!A:G,6,false),"")</f>
        <v/>
      </c>
      <c r="W530" s="1" t="str">
        <f>iferror(vlookup(A530,'Marketing Plan (extract summary'!A:G,7,false),"")</f>
        <v/>
      </c>
      <c r="X530" s="17" t="str">
        <f t="shared" si="8"/>
        <v/>
      </c>
      <c r="Y530" s="1">
        <f>value(IFERROR(SUBSTITUTE(SUBSTITUTE(VLOOKUP(A530,'Quarterly Pipeline vs Target Pi'!A:G,6,false)," $","")," €",""), "")
)</f>
        <v>0</v>
      </c>
      <c r="Z530" s="1">
        <f>value(IFERROR(SUBSTITUTE(SUBSTITUTE(VLOOKUP(A530,'Quarterly Pipeline vs Target Pi'!A:G,7,false)," $","")," €",""), "")
)</f>
        <v>0</v>
      </c>
      <c r="AA530" s="17" t="str">
        <f t="shared" si="9"/>
        <v/>
      </c>
      <c r="AB530" s="1">
        <f>value(IFERROR(SUBSTITUTE(SUBSTITUTE(VLOOKUP($A530,'Quarterly Pipeline vs Target Pi'!$A:$V,11,false)," $","")," €",""), "")
)</f>
        <v>0</v>
      </c>
      <c r="AC530" s="1">
        <f>value(IFERROR(SUBSTITUTE(SUBSTITUTE(VLOOKUP($A530,'Quarterly Pipeline vs Target Pi'!$A:$V,12,false)," $","")," €",""), "")
)</f>
        <v>0</v>
      </c>
      <c r="AD530" s="17" t="str">
        <f t="shared" si="10"/>
        <v/>
      </c>
      <c r="AE530" s="1">
        <f>value(IFERROR(SUBSTITUTE(SUBSTITUTE(VLOOKUP($A530,'Quarterly Pipeline vs Target Pi'!$A:$V,16,false)," $","")," €",""), "")
)</f>
        <v>0</v>
      </c>
      <c r="AF530" s="1">
        <f>value(IFERROR(SUBSTITUTE(SUBSTITUTE(VLOOKUP($A530,'Quarterly Pipeline vs Target Pi'!$A:$V,17,false)," $","")," €",""), "")
)</f>
        <v>0</v>
      </c>
      <c r="AG530" s="17" t="str">
        <f t="shared" si="11"/>
        <v/>
      </c>
      <c r="AH530" s="1">
        <f>value(IFERROR(SUBSTITUTE(SUBSTITUTE(VLOOKUP($A530,'Quarterly Pipeline vs Target Pi'!$A:$V,21,false)," $","")," €",""), "")
)</f>
        <v>0</v>
      </c>
      <c r="AI530" s="1">
        <f>value(IFERROR(SUBSTITUTE(SUBSTITUTE(VLOOKUP($A530,'Quarterly Pipeline vs Target Pi'!$A:$V,22,false)," $","")," €",""), "")
)</f>
        <v>0</v>
      </c>
      <c r="AJ530" s="17" t="str">
        <f t="shared" si="12"/>
        <v/>
      </c>
      <c r="AK530" s="1">
        <f t="shared" ref="AK530:AL530" si="1073">sum(Y530,AB530,AE530,AH530)</f>
        <v>0</v>
      </c>
      <c r="AL530" s="1">
        <f t="shared" si="1073"/>
        <v>0</v>
      </c>
      <c r="AM530" s="17" t="str">
        <f t="shared" si="14"/>
        <v/>
      </c>
      <c r="AN530" s="1">
        <f>value(IFERROR(SUBSTITUTE(SUBSTITUTE(VLOOKUP($A530,'Quarterly Pipeline vs Target Pi'!$A:$AP,26,false)," $","")," €",""), "")
)</f>
        <v>0</v>
      </c>
      <c r="AO530" s="1">
        <f>value(IFERROR(SUBSTITUTE(SUBSTITUTE(VLOOKUP($A530,'Quarterly Pipeline vs Target Pi'!$A:$AP,27,false)," $","")," €",""), "")
)</f>
        <v>0</v>
      </c>
      <c r="AP530" s="17" t="str">
        <f t="shared" si="15"/>
        <v/>
      </c>
      <c r="AQ530" s="1">
        <f>value(IFERROR(SUBSTITUTE(SUBSTITUTE(VLOOKUP($A530,'Quarterly Pipeline vs Target Pi'!$A:$AP,31,false)," $","")," €",""), "")
)</f>
        <v>0</v>
      </c>
      <c r="AR530" s="1">
        <f>value(IFERROR(SUBSTITUTE(SUBSTITUTE(VLOOKUP($A530,'Quarterly Pipeline vs Target Pi'!$A:$AP,32,false)," $","")," €",""), "")
)</f>
        <v>0</v>
      </c>
      <c r="AS530" s="17" t="str">
        <f t="shared" si="16"/>
        <v/>
      </c>
      <c r="AT530" s="1">
        <f>value(IFERROR(SUBSTITUTE(SUBSTITUTE(VLOOKUP($A530,'Quarterly Pipeline vs Target Pi'!$A:$AP,36,false)," $","")," €",""), "")
)</f>
        <v>0</v>
      </c>
      <c r="AU530" s="1">
        <f>value(IFERROR(SUBSTITUTE(SUBSTITUTE(VLOOKUP($A530,'Quarterly Pipeline vs Target Pi'!$A:$AP,37,false)," $","")," €",""), "")
)</f>
        <v>0</v>
      </c>
      <c r="AV530" s="17" t="str">
        <f t="shared" si="17"/>
        <v/>
      </c>
      <c r="AW530" s="1">
        <f>value(IFERROR(SUBSTITUTE(SUBSTITUTE(VLOOKUP($A530,'Quarterly Pipeline vs Target Pi'!$A:$AP,41,false)," $","")," €",""), "")
)</f>
        <v>0</v>
      </c>
      <c r="AX530" s="1">
        <f>value(IFERROR(SUBSTITUTE(SUBSTITUTE(VLOOKUP($A530,'Quarterly Pipeline vs Target Pi'!$A:$AP,42,false)," $","")," €",""), "")
)</f>
        <v>0</v>
      </c>
      <c r="AY530" s="17" t="str">
        <f t="shared" si="18"/>
        <v/>
      </c>
      <c r="AZ530" s="1">
        <f t="shared" ref="AZ530:BA530" si="1074">sum(AN530,AQ530,AT530,AW530)</f>
        <v>0</v>
      </c>
      <c r="BA530" s="1">
        <f t="shared" si="1074"/>
        <v>0</v>
      </c>
      <c r="BB530" s="17" t="str">
        <f t="shared" si="20"/>
        <v/>
      </c>
    </row>
    <row r="531">
      <c r="G531" s="1" t="str">
        <f>iferror(VLOOKUP(A531,'Business Plan Setup and Accepta'!A:G,6,false),"")</f>
        <v/>
      </c>
      <c r="H531" s="1" t="str">
        <f>iferror(VLOOKUP(A531,'Business Plan Setup and Accepta'!A:G,7,false),"")</f>
        <v/>
      </c>
      <c r="I531" s="17" t="str">
        <f t="shared" si="3"/>
        <v/>
      </c>
      <c r="J531" s="1" t="str">
        <f>IFERROR(VALUE(SUBSTITUTE(VLOOKUP(A531,'Sales IN Revenues vs Sales targ'!A:G,6,false)," $","")), "")
</f>
        <v/>
      </c>
      <c r="K531" s="1" t="str">
        <f>IFERROR(VALUE(SUBSTITUTE(VLOOKUP(A531,'Sales IN Revenues vs Sales targ'!A:G,7,false)," $","")), "")
</f>
        <v/>
      </c>
      <c r="L531" s="17" t="str">
        <f t="shared" si="4"/>
        <v/>
      </c>
      <c r="M531" s="1">
        <f>value(SUBSTITUTE(IFERROR(VLOOKUP(A531,'Certifications achievements vs '!A:G,6,false),""),"#","")
)</f>
        <v>0</v>
      </c>
      <c r="N531" s="1">
        <f>value(SUBSTITUTE(IFERROR(VLOOKUP(A531,'Certifications achievements vs '!A:G,7,false),""),"#","")
)</f>
        <v>0</v>
      </c>
      <c r="O531" s="17" t="str">
        <f t="shared" si="5"/>
        <v/>
      </c>
      <c r="P531" s="1">
        <f>value(SUBSTITUTE(IFERROR(VLOOKUP(A531,'Communications - Solution Speci'!A:G,6,false),""),"#","")
)</f>
        <v>0</v>
      </c>
      <c r="Q531" s="1">
        <f>value(SUBSTITUTE(IFERROR(VLOOKUP(A531,'Communications - Solution Speci'!A:G,7,false),""),"#","")
)</f>
        <v>0</v>
      </c>
      <c r="R531" s="17" t="str">
        <f t="shared" si="6"/>
        <v/>
      </c>
      <c r="S531" s="1">
        <f>value(SUBSTITUTE(IFERROR(VLOOKUP(A531,'Networking - Solution Specializ'!A:G,6,false),""),"#","")
)</f>
        <v>0</v>
      </c>
      <c r="T531" s="1">
        <f>value(SUBSTITUTE(IFERROR(VLOOKUP(A531,'Networking - Solution Specializ'!A:G,7,false),""),"#","")
)</f>
        <v>0</v>
      </c>
      <c r="U531" s="17" t="str">
        <f t="shared" si="7"/>
        <v/>
      </c>
      <c r="V531" s="1" t="str">
        <f>iferror(vlookup(A531,'Marketing Plan (extract summary'!A:G,6,false),"")</f>
        <v/>
      </c>
      <c r="W531" s="1" t="str">
        <f>iferror(vlookup(A531,'Marketing Plan (extract summary'!A:G,7,false),"")</f>
        <v/>
      </c>
      <c r="X531" s="17" t="str">
        <f t="shared" si="8"/>
        <v/>
      </c>
      <c r="Y531" s="1">
        <f>value(IFERROR(SUBSTITUTE(SUBSTITUTE(VLOOKUP(A531,'Quarterly Pipeline vs Target Pi'!A:G,6,false)," $","")," €",""), "")
)</f>
        <v>0</v>
      </c>
      <c r="Z531" s="1">
        <f>value(IFERROR(SUBSTITUTE(SUBSTITUTE(VLOOKUP(A531,'Quarterly Pipeline vs Target Pi'!A:G,7,false)," $","")," €",""), "")
)</f>
        <v>0</v>
      </c>
      <c r="AA531" s="17" t="str">
        <f t="shared" si="9"/>
        <v/>
      </c>
      <c r="AB531" s="1">
        <f>value(IFERROR(SUBSTITUTE(SUBSTITUTE(VLOOKUP($A531,'Quarterly Pipeline vs Target Pi'!$A:$V,11,false)," $","")," €",""), "")
)</f>
        <v>0</v>
      </c>
      <c r="AC531" s="1">
        <f>value(IFERROR(SUBSTITUTE(SUBSTITUTE(VLOOKUP($A531,'Quarterly Pipeline vs Target Pi'!$A:$V,12,false)," $","")," €",""), "")
)</f>
        <v>0</v>
      </c>
      <c r="AD531" s="17" t="str">
        <f t="shared" si="10"/>
        <v/>
      </c>
      <c r="AE531" s="1">
        <f>value(IFERROR(SUBSTITUTE(SUBSTITUTE(VLOOKUP($A531,'Quarterly Pipeline vs Target Pi'!$A:$V,16,false)," $","")," €",""), "")
)</f>
        <v>0</v>
      </c>
      <c r="AF531" s="1">
        <f>value(IFERROR(SUBSTITUTE(SUBSTITUTE(VLOOKUP($A531,'Quarterly Pipeline vs Target Pi'!$A:$V,17,false)," $","")," €",""), "")
)</f>
        <v>0</v>
      </c>
      <c r="AG531" s="17" t="str">
        <f t="shared" si="11"/>
        <v/>
      </c>
      <c r="AH531" s="1">
        <f>value(IFERROR(SUBSTITUTE(SUBSTITUTE(VLOOKUP($A531,'Quarterly Pipeline vs Target Pi'!$A:$V,21,false)," $","")," €",""), "")
)</f>
        <v>0</v>
      </c>
      <c r="AI531" s="1">
        <f>value(IFERROR(SUBSTITUTE(SUBSTITUTE(VLOOKUP($A531,'Quarterly Pipeline vs Target Pi'!$A:$V,22,false)," $","")," €",""), "")
)</f>
        <v>0</v>
      </c>
      <c r="AJ531" s="17" t="str">
        <f t="shared" si="12"/>
        <v/>
      </c>
      <c r="AK531" s="1">
        <f t="shared" ref="AK531:AL531" si="1075">sum(Y531,AB531,AE531,AH531)</f>
        <v>0</v>
      </c>
      <c r="AL531" s="1">
        <f t="shared" si="1075"/>
        <v>0</v>
      </c>
      <c r="AM531" s="17" t="str">
        <f t="shared" si="14"/>
        <v/>
      </c>
      <c r="AN531" s="1">
        <f>value(IFERROR(SUBSTITUTE(SUBSTITUTE(VLOOKUP($A531,'Quarterly Pipeline vs Target Pi'!$A:$AP,26,false)," $","")," €",""), "")
)</f>
        <v>0</v>
      </c>
      <c r="AO531" s="1">
        <f>value(IFERROR(SUBSTITUTE(SUBSTITUTE(VLOOKUP($A531,'Quarterly Pipeline vs Target Pi'!$A:$AP,27,false)," $","")," €",""), "")
)</f>
        <v>0</v>
      </c>
      <c r="AP531" s="17" t="str">
        <f t="shared" si="15"/>
        <v/>
      </c>
      <c r="AQ531" s="1">
        <f>value(IFERROR(SUBSTITUTE(SUBSTITUTE(VLOOKUP($A531,'Quarterly Pipeline vs Target Pi'!$A:$AP,31,false)," $","")," €",""), "")
)</f>
        <v>0</v>
      </c>
      <c r="AR531" s="1">
        <f>value(IFERROR(SUBSTITUTE(SUBSTITUTE(VLOOKUP($A531,'Quarterly Pipeline vs Target Pi'!$A:$AP,32,false)," $","")," €",""), "")
)</f>
        <v>0</v>
      </c>
      <c r="AS531" s="17" t="str">
        <f t="shared" si="16"/>
        <v/>
      </c>
      <c r="AT531" s="1">
        <f>value(IFERROR(SUBSTITUTE(SUBSTITUTE(VLOOKUP($A531,'Quarterly Pipeline vs Target Pi'!$A:$AP,36,false)," $","")," €",""), "")
)</f>
        <v>0</v>
      </c>
      <c r="AU531" s="1">
        <f>value(IFERROR(SUBSTITUTE(SUBSTITUTE(VLOOKUP($A531,'Quarterly Pipeline vs Target Pi'!$A:$AP,37,false)," $","")," €",""), "")
)</f>
        <v>0</v>
      </c>
      <c r="AV531" s="17" t="str">
        <f t="shared" si="17"/>
        <v/>
      </c>
      <c r="AW531" s="1">
        <f>value(IFERROR(SUBSTITUTE(SUBSTITUTE(VLOOKUP($A531,'Quarterly Pipeline vs Target Pi'!$A:$AP,41,false)," $","")," €",""), "")
)</f>
        <v>0</v>
      </c>
      <c r="AX531" s="1">
        <f>value(IFERROR(SUBSTITUTE(SUBSTITUTE(VLOOKUP($A531,'Quarterly Pipeline vs Target Pi'!$A:$AP,42,false)," $","")," €",""), "")
)</f>
        <v>0</v>
      </c>
      <c r="AY531" s="17" t="str">
        <f t="shared" si="18"/>
        <v/>
      </c>
      <c r="AZ531" s="1">
        <f t="shared" ref="AZ531:BA531" si="1076">sum(AN531,AQ531,AT531,AW531)</f>
        <v>0</v>
      </c>
      <c r="BA531" s="1">
        <f t="shared" si="1076"/>
        <v>0</v>
      </c>
      <c r="BB531" s="17" t="str">
        <f t="shared" si="20"/>
        <v/>
      </c>
    </row>
    <row r="532">
      <c r="G532" s="1" t="str">
        <f>iferror(VLOOKUP(A532,'Business Plan Setup and Accepta'!A:G,6,false),"")</f>
        <v/>
      </c>
      <c r="H532" s="1" t="str">
        <f>iferror(VLOOKUP(A532,'Business Plan Setup and Accepta'!A:G,7,false),"")</f>
        <v/>
      </c>
      <c r="I532" s="17" t="str">
        <f t="shared" si="3"/>
        <v/>
      </c>
      <c r="J532" s="1" t="str">
        <f>IFERROR(VALUE(SUBSTITUTE(VLOOKUP(A532,'Sales IN Revenues vs Sales targ'!A:G,6,false)," $","")), "")
</f>
        <v/>
      </c>
      <c r="K532" s="1" t="str">
        <f>IFERROR(VALUE(SUBSTITUTE(VLOOKUP(A532,'Sales IN Revenues vs Sales targ'!A:G,7,false)," $","")), "")
</f>
        <v/>
      </c>
      <c r="L532" s="17" t="str">
        <f t="shared" si="4"/>
        <v/>
      </c>
      <c r="M532" s="1">
        <f>value(SUBSTITUTE(IFERROR(VLOOKUP(A532,'Certifications achievements vs '!A:G,6,false),""),"#","")
)</f>
        <v>0</v>
      </c>
      <c r="N532" s="1">
        <f>value(SUBSTITUTE(IFERROR(VLOOKUP(A532,'Certifications achievements vs '!A:G,7,false),""),"#","")
)</f>
        <v>0</v>
      </c>
      <c r="O532" s="17" t="str">
        <f t="shared" si="5"/>
        <v/>
      </c>
      <c r="P532" s="1">
        <f>value(SUBSTITUTE(IFERROR(VLOOKUP(A532,'Communications - Solution Speci'!A:G,6,false),""),"#","")
)</f>
        <v>0</v>
      </c>
      <c r="Q532" s="1">
        <f>value(SUBSTITUTE(IFERROR(VLOOKUP(A532,'Communications - Solution Speci'!A:G,7,false),""),"#","")
)</f>
        <v>0</v>
      </c>
      <c r="R532" s="17" t="str">
        <f t="shared" si="6"/>
        <v/>
      </c>
      <c r="S532" s="1">
        <f>value(SUBSTITUTE(IFERROR(VLOOKUP(A532,'Networking - Solution Specializ'!A:G,6,false),""),"#","")
)</f>
        <v>0</v>
      </c>
      <c r="T532" s="1">
        <f>value(SUBSTITUTE(IFERROR(VLOOKUP(A532,'Networking - Solution Specializ'!A:G,7,false),""),"#","")
)</f>
        <v>0</v>
      </c>
      <c r="U532" s="17" t="str">
        <f t="shared" si="7"/>
        <v/>
      </c>
      <c r="V532" s="1" t="str">
        <f>iferror(vlookup(A532,'Marketing Plan (extract summary'!A:G,6,false),"")</f>
        <v/>
      </c>
      <c r="W532" s="1" t="str">
        <f>iferror(vlookup(A532,'Marketing Plan (extract summary'!A:G,7,false),"")</f>
        <v/>
      </c>
      <c r="X532" s="17" t="str">
        <f t="shared" si="8"/>
        <v/>
      </c>
      <c r="Y532" s="1">
        <f>value(IFERROR(SUBSTITUTE(SUBSTITUTE(VLOOKUP(A532,'Quarterly Pipeline vs Target Pi'!A:G,6,false)," $","")," €",""), "")
)</f>
        <v>0</v>
      </c>
      <c r="Z532" s="1">
        <f>value(IFERROR(SUBSTITUTE(SUBSTITUTE(VLOOKUP(A532,'Quarterly Pipeline vs Target Pi'!A:G,7,false)," $","")," €",""), "")
)</f>
        <v>0</v>
      </c>
      <c r="AA532" s="17" t="str">
        <f t="shared" si="9"/>
        <v/>
      </c>
      <c r="AB532" s="1">
        <f>value(IFERROR(SUBSTITUTE(SUBSTITUTE(VLOOKUP($A532,'Quarterly Pipeline vs Target Pi'!$A:$V,11,false)," $","")," €",""), "")
)</f>
        <v>0</v>
      </c>
      <c r="AC532" s="1">
        <f>value(IFERROR(SUBSTITUTE(SUBSTITUTE(VLOOKUP($A532,'Quarterly Pipeline vs Target Pi'!$A:$V,12,false)," $","")," €",""), "")
)</f>
        <v>0</v>
      </c>
      <c r="AD532" s="17" t="str">
        <f t="shared" si="10"/>
        <v/>
      </c>
      <c r="AE532" s="1">
        <f>value(IFERROR(SUBSTITUTE(SUBSTITUTE(VLOOKUP($A532,'Quarterly Pipeline vs Target Pi'!$A:$V,16,false)," $","")," €",""), "")
)</f>
        <v>0</v>
      </c>
      <c r="AF532" s="1">
        <f>value(IFERROR(SUBSTITUTE(SUBSTITUTE(VLOOKUP($A532,'Quarterly Pipeline vs Target Pi'!$A:$V,17,false)," $","")," €",""), "")
)</f>
        <v>0</v>
      </c>
      <c r="AG532" s="17" t="str">
        <f t="shared" si="11"/>
        <v/>
      </c>
      <c r="AH532" s="1">
        <f>value(IFERROR(SUBSTITUTE(SUBSTITUTE(VLOOKUP($A532,'Quarterly Pipeline vs Target Pi'!$A:$V,21,false)," $","")," €",""), "")
)</f>
        <v>0</v>
      </c>
      <c r="AI532" s="1">
        <f>value(IFERROR(SUBSTITUTE(SUBSTITUTE(VLOOKUP($A532,'Quarterly Pipeline vs Target Pi'!$A:$V,22,false)," $","")," €",""), "")
)</f>
        <v>0</v>
      </c>
      <c r="AJ532" s="17" t="str">
        <f t="shared" si="12"/>
        <v/>
      </c>
      <c r="AK532" s="1">
        <f t="shared" ref="AK532:AL532" si="1077">sum(Y532,AB532,AE532,AH532)</f>
        <v>0</v>
      </c>
      <c r="AL532" s="1">
        <f t="shared" si="1077"/>
        <v>0</v>
      </c>
      <c r="AM532" s="17" t="str">
        <f t="shared" si="14"/>
        <v/>
      </c>
      <c r="AN532" s="1">
        <f>value(IFERROR(SUBSTITUTE(SUBSTITUTE(VLOOKUP($A532,'Quarterly Pipeline vs Target Pi'!$A:$AP,26,false)," $","")," €",""), "")
)</f>
        <v>0</v>
      </c>
      <c r="AO532" s="1">
        <f>value(IFERROR(SUBSTITUTE(SUBSTITUTE(VLOOKUP($A532,'Quarterly Pipeline vs Target Pi'!$A:$AP,27,false)," $","")," €",""), "")
)</f>
        <v>0</v>
      </c>
      <c r="AP532" s="17" t="str">
        <f t="shared" si="15"/>
        <v/>
      </c>
      <c r="AQ532" s="1">
        <f>value(IFERROR(SUBSTITUTE(SUBSTITUTE(VLOOKUP($A532,'Quarterly Pipeline vs Target Pi'!$A:$AP,31,false)," $","")," €",""), "")
)</f>
        <v>0</v>
      </c>
      <c r="AR532" s="1">
        <f>value(IFERROR(SUBSTITUTE(SUBSTITUTE(VLOOKUP($A532,'Quarterly Pipeline vs Target Pi'!$A:$AP,32,false)," $","")," €",""), "")
)</f>
        <v>0</v>
      </c>
      <c r="AS532" s="17" t="str">
        <f t="shared" si="16"/>
        <v/>
      </c>
      <c r="AT532" s="1">
        <f>value(IFERROR(SUBSTITUTE(SUBSTITUTE(VLOOKUP($A532,'Quarterly Pipeline vs Target Pi'!$A:$AP,36,false)," $","")," €",""), "")
)</f>
        <v>0</v>
      </c>
      <c r="AU532" s="1">
        <f>value(IFERROR(SUBSTITUTE(SUBSTITUTE(VLOOKUP($A532,'Quarterly Pipeline vs Target Pi'!$A:$AP,37,false)," $","")," €",""), "")
)</f>
        <v>0</v>
      </c>
      <c r="AV532" s="17" t="str">
        <f t="shared" si="17"/>
        <v/>
      </c>
      <c r="AW532" s="1">
        <f>value(IFERROR(SUBSTITUTE(SUBSTITUTE(VLOOKUP($A532,'Quarterly Pipeline vs Target Pi'!$A:$AP,41,false)," $","")," €",""), "")
)</f>
        <v>0</v>
      </c>
      <c r="AX532" s="1">
        <f>value(IFERROR(SUBSTITUTE(SUBSTITUTE(VLOOKUP($A532,'Quarterly Pipeline vs Target Pi'!$A:$AP,42,false)," $","")," €",""), "")
)</f>
        <v>0</v>
      </c>
      <c r="AY532" s="17" t="str">
        <f t="shared" si="18"/>
        <v/>
      </c>
      <c r="AZ532" s="1">
        <f t="shared" ref="AZ532:BA532" si="1078">sum(AN532,AQ532,AT532,AW532)</f>
        <v>0</v>
      </c>
      <c r="BA532" s="1">
        <f t="shared" si="1078"/>
        <v>0</v>
      </c>
      <c r="BB532" s="17" t="str">
        <f t="shared" si="20"/>
        <v/>
      </c>
    </row>
    <row r="533">
      <c r="G533" s="1" t="str">
        <f>iferror(VLOOKUP(A533,'Business Plan Setup and Accepta'!A:G,6,false),"")</f>
        <v/>
      </c>
      <c r="H533" s="1" t="str">
        <f>iferror(VLOOKUP(A533,'Business Plan Setup and Accepta'!A:G,7,false),"")</f>
        <v/>
      </c>
      <c r="I533" s="17" t="str">
        <f t="shared" si="3"/>
        <v/>
      </c>
      <c r="J533" s="1" t="str">
        <f>IFERROR(VALUE(SUBSTITUTE(VLOOKUP(A533,'Sales IN Revenues vs Sales targ'!A:G,6,false)," $","")), "")
</f>
        <v/>
      </c>
      <c r="K533" s="1" t="str">
        <f>IFERROR(VALUE(SUBSTITUTE(VLOOKUP(A533,'Sales IN Revenues vs Sales targ'!A:G,7,false)," $","")), "")
</f>
        <v/>
      </c>
      <c r="L533" s="17" t="str">
        <f t="shared" si="4"/>
        <v/>
      </c>
      <c r="M533" s="1">
        <f>value(SUBSTITUTE(IFERROR(VLOOKUP(A533,'Certifications achievements vs '!A:G,6,false),""),"#","")
)</f>
        <v>0</v>
      </c>
      <c r="N533" s="1">
        <f>value(SUBSTITUTE(IFERROR(VLOOKUP(A533,'Certifications achievements vs '!A:G,7,false),""),"#","")
)</f>
        <v>0</v>
      </c>
      <c r="O533" s="17" t="str">
        <f t="shared" si="5"/>
        <v/>
      </c>
      <c r="P533" s="1">
        <f>value(SUBSTITUTE(IFERROR(VLOOKUP(A533,'Communications - Solution Speci'!A:G,6,false),""),"#","")
)</f>
        <v>0</v>
      </c>
      <c r="Q533" s="1">
        <f>value(SUBSTITUTE(IFERROR(VLOOKUP(A533,'Communications - Solution Speci'!A:G,7,false),""),"#","")
)</f>
        <v>0</v>
      </c>
      <c r="R533" s="17" t="str">
        <f t="shared" si="6"/>
        <v/>
      </c>
      <c r="S533" s="1">
        <f>value(SUBSTITUTE(IFERROR(VLOOKUP(A533,'Networking - Solution Specializ'!A:G,6,false),""),"#","")
)</f>
        <v>0</v>
      </c>
      <c r="T533" s="1">
        <f>value(SUBSTITUTE(IFERROR(VLOOKUP(A533,'Networking - Solution Specializ'!A:G,7,false),""),"#","")
)</f>
        <v>0</v>
      </c>
      <c r="U533" s="17" t="str">
        <f t="shared" si="7"/>
        <v/>
      </c>
      <c r="V533" s="1" t="str">
        <f>iferror(vlookup(A533,'Marketing Plan (extract summary'!A:G,6,false),"")</f>
        <v/>
      </c>
      <c r="W533" s="1" t="str">
        <f>iferror(vlookup(A533,'Marketing Plan (extract summary'!A:G,7,false),"")</f>
        <v/>
      </c>
      <c r="X533" s="17" t="str">
        <f t="shared" si="8"/>
        <v/>
      </c>
      <c r="Y533" s="1">
        <f>value(IFERROR(SUBSTITUTE(SUBSTITUTE(VLOOKUP(A533,'Quarterly Pipeline vs Target Pi'!A:G,6,false)," $","")," €",""), "")
)</f>
        <v>0</v>
      </c>
      <c r="Z533" s="1">
        <f>value(IFERROR(SUBSTITUTE(SUBSTITUTE(VLOOKUP(A533,'Quarterly Pipeline vs Target Pi'!A:G,7,false)," $","")," €",""), "")
)</f>
        <v>0</v>
      </c>
      <c r="AA533" s="17" t="str">
        <f t="shared" si="9"/>
        <v/>
      </c>
      <c r="AB533" s="1">
        <f>value(IFERROR(SUBSTITUTE(SUBSTITUTE(VLOOKUP($A533,'Quarterly Pipeline vs Target Pi'!$A:$V,11,false)," $","")," €",""), "")
)</f>
        <v>0</v>
      </c>
      <c r="AC533" s="1">
        <f>value(IFERROR(SUBSTITUTE(SUBSTITUTE(VLOOKUP($A533,'Quarterly Pipeline vs Target Pi'!$A:$V,12,false)," $","")," €",""), "")
)</f>
        <v>0</v>
      </c>
      <c r="AD533" s="17" t="str">
        <f t="shared" si="10"/>
        <v/>
      </c>
      <c r="AE533" s="1">
        <f>value(IFERROR(SUBSTITUTE(SUBSTITUTE(VLOOKUP($A533,'Quarterly Pipeline vs Target Pi'!$A:$V,16,false)," $","")," €",""), "")
)</f>
        <v>0</v>
      </c>
      <c r="AF533" s="1">
        <f>value(IFERROR(SUBSTITUTE(SUBSTITUTE(VLOOKUP($A533,'Quarterly Pipeline vs Target Pi'!$A:$V,17,false)," $","")," €",""), "")
)</f>
        <v>0</v>
      </c>
      <c r="AG533" s="17" t="str">
        <f t="shared" si="11"/>
        <v/>
      </c>
      <c r="AH533" s="1">
        <f>value(IFERROR(SUBSTITUTE(SUBSTITUTE(VLOOKUP($A533,'Quarterly Pipeline vs Target Pi'!$A:$V,21,false)," $","")," €",""), "")
)</f>
        <v>0</v>
      </c>
      <c r="AI533" s="1">
        <f>value(IFERROR(SUBSTITUTE(SUBSTITUTE(VLOOKUP($A533,'Quarterly Pipeline vs Target Pi'!$A:$V,22,false)," $","")," €",""), "")
)</f>
        <v>0</v>
      </c>
      <c r="AJ533" s="17" t="str">
        <f t="shared" si="12"/>
        <v/>
      </c>
      <c r="AK533" s="1">
        <f t="shared" ref="AK533:AL533" si="1079">sum(Y533,AB533,AE533,AH533)</f>
        <v>0</v>
      </c>
      <c r="AL533" s="1">
        <f t="shared" si="1079"/>
        <v>0</v>
      </c>
      <c r="AM533" s="17" t="str">
        <f t="shared" si="14"/>
        <v/>
      </c>
      <c r="AN533" s="1">
        <f>value(IFERROR(SUBSTITUTE(SUBSTITUTE(VLOOKUP($A533,'Quarterly Pipeline vs Target Pi'!$A:$AP,26,false)," $","")," €",""), "")
)</f>
        <v>0</v>
      </c>
      <c r="AO533" s="1">
        <f>value(IFERROR(SUBSTITUTE(SUBSTITUTE(VLOOKUP($A533,'Quarterly Pipeline vs Target Pi'!$A:$AP,27,false)," $","")," €",""), "")
)</f>
        <v>0</v>
      </c>
      <c r="AP533" s="17" t="str">
        <f t="shared" si="15"/>
        <v/>
      </c>
      <c r="AQ533" s="1">
        <f>value(IFERROR(SUBSTITUTE(SUBSTITUTE(VLOOKUP($A533,'Quarterly Pipeline vs Target Pi'!$A:$AP,31,false)," $","")," €",""), "")
)</f>
        <v>0</v>
      </c>
      <c r="AR533" s="1">
        <f>value(IFERROR(SUBSTITUTE(SUBSTITUTE(VLOOKUP($A533,'Quarterly Pipeline vs Target Pi'!$A:$AP,32,false)," $","")," €",""), "")
)</f>
        <v>0</v>
      </c>
      <c r="AS533" s="17" t="str">
        <f t="shared" si="16"/>
        <v/>
      </c>
      <c r="AT533" s="1">
        <f>value(IFERROR(SUBSTITUTE(SUBSTITUTE(VLOOKUP($A533,'Quarterly Pipeline vs Target Pi'!$A:$AP,36,false)," $","")," €",""), "")
)</f>
        <v>0</v>
      </c>
      <c r="AU533" s="1">
        <f>value(IFERROR(SUBSTITUTE(SUBSTITUTE(VLOOKUP($A533,'Quarterly Pipeline vs Target Pi'!$A:$AP,37,false)," $","")," €",""), "")
)</f>
        <v>0</v>
      </c>
      <c r="AV533" s="17" t="str">
        <f t="shared" si="17"/>
        <v/>
      </c>
      <c r="AW533" s="1">
        <f>value(IFERROR(SUBSTITUTE(SUBSTITUTE(VLOOKUP($A533,'Quarterly Pipeline vs Target Pi'!$A:$AP,41,false)," $","")," €",""), "")
)</f>
        <v>0</v>
      </c>
      <c r="AX533" s="1">
        <f>value(IFERROR(SUBSTITUTE(SUBSTITUTE(VLOOKUP($A533,'Quarterly Pipeline vs Target Pi'!$A:$AP,42,false)," $","")," €",""), "")
)</f>
        <v>0</v>
      </c>
      <c r="AY533" s="17" t="str">
        <f t="shared" si="18"/>
        <v/>
      </c>
      <c r="AZ533" s="1">
        <f t="shared" ref="AZ533:BA533" si="1080">sum(AN533,AQ533,AT533,AW533)</f>
        <v>0</v>
      </c>
      <c r="BA533" s="1">
        <f t="shared" si="1080"/>
        <v>0</v>
      </c>
      <c r="BB533" s="17" t="str">
        <f t="shared" si="20"/>
        <v/>
      </c>
    </row>
    <row r="534">
      <c r="G534" s="1" t="str">
        <f>iferror(VLOOKUP(A534,'Business Plan Setup and Accepta'!A:G,6,false),"")</f>
        <v/>
      </c>
      <c r="H534" s="1" t="str">
        <f>iferror(VLOOKUP(A534,'Business Plan Setup and Accepta'!A:G,7,false),"")</f>
        <v/>
      </c>
      <c r="I534" s="17" t="str">
        <f t="shared" si="3"/>
        <v/>
      </c>
      <c r="J534" s="1" t="str">
        <f>IFERROR(VALUE(SUBSTITUTE(VLOOKUP(A534,'Sales IN Revenues vs Sales targ'!A:G,6,false)," $","")), "")
</f>
        <v/>
      </c>
      <c r="K534" s="1" t="str">
        <f>IFERROR(VALUE(SUBSTITUTE(VLOOKUP(A534,'Sales IN Revenues vs Sales targ'!A:G,7,false)," $","")), "")
</f>
        <v/>
      </c>
      <c r="L534" s="17" t="str">
        <f t="shared" si="4"/>
        <v/>
      </c>
      <c r="M534" s="1">
        <f>value(SUBSTITUTE(IFERROR(VLOOKUP(A534,'Certifications achievements vs '!A:G,6,false),""),"#","")
)</f>
        <v>0</v>
      </c>
      <c r="N534" s="1">
        <f>value(SUBSTITUTE(IFERROR(VLOOKUP(A534,'Certifications achievements vs '!A:G,7,false),""),"#","")
)</f>
        <v>0</v>
      </c>
      <c r="O534" s="17" t="str">
        <f t="shared" si="5"/>
        <v/>
      </c>
      <c r="P534" s="1">
        <f>value(SUBSTITUTE(IFERROR(VLOOKUP(A534,'Communications - Solution Speci'!A:G,6,false),""),"#","")
)</f>
        <v>0</v>
      </c>
      <c r="Q534" s="1">
        <f>value(SUBSTITUTE(IFERROR(VLOOKUP(A534,'Communications - Solution Speci'!A:G,7,false),""),"#","")
)</f>
        <v>0</v>
      </c>
      <c r="R534" s="17" t="str">
        <f t="shared" si="6"/>
        <v/>
      </c>
      <c r="S534" s="1">
        <f>value(SUBSTITUTE(IFERROR(VLOOKUP(A534,'Networking - Solution Specializ'!A:G,6,false),""),"#","")
)</f>
        <v>0</v>
      </c>
      <c r="T534" s="1">
        <f>value(SUBSTITUTE(IFERROR(VLOOKUP(A534,'Networking - Solution Specializ'!A:G,7,false),""),"#","")
)</f>
        <v>0</v>
      </c>
      <c r="U534" s="17" t="str">
        <f t="shared" si="7"/>
        <v/>
      </c>
      <c r="V534" s="1" t="str">
        <f>iferror(vlookup(A534,'Marketing Plan (extract summary'!A:G,6,false),"")</f>
        <v/>
      </c>
      <c r="W534" s="1" t="str">
        <f>iferror(vlookup(A534,'Marketing Plan (extract summary'!A:G,7,false),"")</f>
        <v/>
      </c>
      <c r="X534" s="17" t="str">
        <f t="shared" si="8"/>
        <v/>
      </c>
      <c r="Y534" s="1">
        <f>value(IFERROR(SUBSTITUTE(SUBSTITUTE(VLOOKUP(A534,'Quarterly Pipeline vs Target Pi'!A:G,6,false)," $","")," €",""), "")
)</f>
        <v>0</v>
      </c>
      <c r="Z534" s="1">
        <f>value(IFERROR(SUBSTITUTE(SUBSTITUTE(VLOOKUP(A534,'Quarterly Pipeline vs Target Pi'!A:G,7,false)," $","")," €",""), "")
)</f>
        <v>0</v>
      </c>
      <c r="AA534" s="17" t="str">
        <f t="shared" si="9"/>
        <v/>
      </c>
      <c r="AB534" s="1">
        <f>value(IFERROR(SUBSTITUTE(SUBSTITUTE(VLOOKUP($A534,'Quarterly Pipeline vs Target Pi'!$A:$V,11,false)," $","")," €",""), "")
)</f>
        <v>0</v>
      </c>
      <c r="AC534" s="1">
        <f>value(IFERROR(SUBSTITUTE(SUBSTITUTE(VLOOKUP($A534,'Quarterly Pipeline vs Target Pi'!$A:$V,12,false)," $","")," €",""), "")
)</f>
        <v>0</v>
      </c>
      <c r="AD534" s="17" t="str">
        <f t="shared" si="10"/>
        <v/>
      </c>
      <c r="AE534" s="1">
        <f>value(IFERROR(SUBSTITUTE(SUBSTITUTE(VLOOKUP($A534,'Quarterly Pipeline vs Target Pi'!$A:$V,16,false)," $","")," €",""), "")
)</f>
        <v>0</v>
      </c>
      <c r="AF534" s="1">
        <f>value(IFERROR(SUBSTITUTE(SUBSTITUTE(VLOOKUP($A534,'Quarterly Pipeline vs Target Pi'!$A:$V,17,false)," $","")," €",""), "")
)</f>
        <v>0</v>
      </c>
      <c r="AG534" s="17" t="str">
        <f t="shared" si="11"/>
        <v/>
      </c>
      <c r="AH534" s="1">
        <f>value(IFERROR(SUBSTITUTE(SUBSTITUTE(VLOOKUP($A534,'Quarterly Pipeline vs Target Pi'!$A:$V,21,false)," $","")," €",""), "")
)</f>
        <v>0</v>
      </c>
      <c r="AI534" s="1">
        <f>value(IFERROR(SUBSTITUTE(SUBSTITUTE(VLOOKUP($A534,'Quarterly Pipeline vs Target Pi'!$A:$V,22,false)," $","")," €",""), "")
)</f>
        <v>0</v>
      </c>
      <c r="AJ534" s="17" t="str">
        <f t="shared" si="12"/>
        <v/>
      </c>
      <c r="AK534" s="1">
        <f t="shared" ref="AK534:AL534" si="1081">sum(Y534,AB534,AE534,AH534)</f>
        <v>0</v>
      </c>
      <c r="AL534" s="1">
        <f t="shared" si="1081"/>
        <v>0</v>
      </c>
      <c r="AM534" s="17" t="str">
        <f t="shared" si="14"/>
        <v/>
      </c>
      <c r="AN534" s="1">
        <f>value(IFERROR(SUBSTITUTE(SUBSTITUTE(VLOOKUP($A534,'Quarterly Pipeline vs Target Pi'!$A:$AP,26,false)," $","")," €",""), "")
)</f>
        <v>0</v>
      </c>
      <c r="AO534" s="1">
        <f>value(IFERROR(SUBSTITUTE(SUBSTITUTE(VLOOKUP($A534,'Quarterly Pipeline vs Target Pi'!$A:$AP,27,false)," $","")," €",""), "")
)</f>
        <v>0</v>
      </c>
      <c r="AP534" s="17" t="str">
        <f t="shared" si="15"/>
        <v/>
      </c>
      <c r="AQ534" s="1">
        <f>value(IFERROR(SUBSTITUTE(SUBSTITUTE(VLOOKUP($A534,'Quarterly Pipeline vs Target Pi'!$A:$AP,31,false)," $","")," €",""), "")
)</f>
        <v>0</v>
      </c>
      <c r="AR534" s="1">
        <f>value(IFERROR(SUBSTITUTE(SUBSTITUTE(VLOOKUP($A534,'Quarterly Pipeline vs Target Pi'!$A:$AP,32,false)," $","")," €",""), "")
)</f>
        <v>0</v>
      </c>
      <c r="AS534" s="17" t="str">
        <f t="shared" si="16"/>
        <v/>
      </c>
      <c r="AT534" s="1">
        <f>value(IFERROR(SUBSTITUTE(SUBSTITUTE(VLOOKUP($A534,'Quarterly Pipeline vs Target Pi'!$A:$AP,36,false)," $","")," €",""), "")
)</f>
        <v>0</v>
      </c>
      <c r="AU534" s="1">
        <f>value(IFERROR(SUBSTITUTE(SUBSTITUTE(VLOOKUP($A534,'Quarterly Pipeline vs Target Pi'!$A:$AP,37,false)," $","")," €",""), "")
)</f>
        <v>0</v>
      </c>
      <c r="AV534" s="17" t="str">
        <f t="shared" si="17"/>
        <v/>
      </c>
      <c r="AW534" s="1">
        <f>value(IFERROR(SUBSTITUTE(SUBSTITUTE(VLOOKUP($A534,'Quarterly Pipeline vs Target Pi'!$A:$AP,41,false)," $","")," €",""), "")
)</f>
        <v>0</v>
      </c>
      <c r="AX534" s="1">
        <f>value(IFERROR(SUBSTITUTE(SUBSTITUTE(VLOOKUP($A534,'Quarterly Pipeline vs Target Pi'!$A:$AP,42,false)," $","")," €",""), "")
)</f>
        <v>0</v>
      </c>
      <c r="AY534" s="17" t="str">
        <f t="shared" si="18"/>
        <v/>
      </c>
      <c r="AZ534" s="1">
        <f t="shared" ref="AZ534:BA534" si="1082">sum(AN534,AQ534,AT534,AW534)</f>
        <v>0</v>
      </c>
      <c r="BA534" s="1">
        <f t="shared" si="1082"/>
        <v>0</v>
      </c>
      <c r="BB534" s="17" t="str">
        <f t="shared" si="20"/>
        <v/>
      </c>
    </row>
    <row r="535">
      <c r="G535" s="1" t="str">
        <f>iferror(VLOOKUP(A535,'Business Plan Setup and Accepta'!A:G,6,false),"")</f>
        <v/>
      </c>
      <c r="H535" s="1" t="str">
        <f>iferror(VLOOKUP(A535,'Business Plan Setup and Accepta'!A:G,7,false),"")</f>
        <v/>
      </c>
      <c r="I535" s="17" t="str">
        <f t="shared" si="3"/>
        <v/>
      </c>
      <c r="J535" s="1" t="str">
        <f>IFERROR(VALUE(SUBSTITUTE(VLOOKUP(A535,'Sales IN Revenues vs Sales targ'!A:G,6,false)," $","")), "")
</f>
        <v/>
      </c>
      <c r="K535" s="1" t="str">
        <f>IFERROR(VALUE(SUBSTITUTE(VLOOKUP(A535,'Sales IN Revenues vs Sales targ'!A:G,7,false)," $","")), "")
</f>
        <v/>
      </c>
      <c r="L535" s="17" t="str">
        <f t="shared" si="4"/>
        <v/>
      </c>
      <c r="M535" s="1">
        <f>value(SUBSTITUTE(IFERROR(VLOOKUP(A535,'Certifications achievements vs '!A:G,6,false),""),"#","")
)</f>
        <v>0</v>
      </c>
      <c r="N535" s="1">
        <f>value(SUBSTITUTE(IFERROR(VLOOKUP(A535,'Certifications achievements vs '!A:G,7,false),""),"#","")
)</f>
        <v>0</v>
      </c>
      <c r="O535" s="17" t="str">
        <f t="shared" si="5"/>
        <v/>
      </c>
      <c r="P535" s="1">
        <f>value(SUBSTITUTE(IFERROR(VLOOKUP(A535,'Communications - Solution Speci'!A:G,6,false),""),"#","")
)</f>
        <v>0</v>
      </c>
      <c r="Q535" s="1">
        <f>value(SUBSTITUTE(IFERROR(VLOOKUP(A535,'Communications - Solution Speci'!A:G,7,false),""),"#","")
)</f>
        <v>0</v>
      </c>
      <c r="R535" s="17" t="str">
        <f t="shared" si="6"/>
        <v/>
      </c>
      <c r="S535" s="1">
        <f>value(SUBSTITUTE(IFERROR(VLOOKUP(A535,'Networking - Solution Specializ'!A:G,6,false),""),"#","")
)</f>
        <v>0</v>
      </c>
      <c r="T535" s="1">
        <f>value(SUBSTITUTE(IFERROR(VLOOKUP(A535,'Networking - Solution Specializ'!A:G,7,false),""),"#","")
)</f>
        <v>0</v>
      </c>
      <c r="U535" s="17" t="str">
        <f t="shared" si="7"/>
        <v/>
      </c>
      <c r="V535" s="1" t="str">
        <f>iferror(vlookup(A535,'Marketing Plan (extract summary'!A:G,6,false),"")</f>
        <v/>
      </c>
      <c r="W535" s="1" t="str">
        <f>iferror(vlookup(A535,'Marketing Plan (extract summary'!A:G,7,false),"")</f>
        <v/>
      </c>
      <c r="X535" s="17" t="str">
        <f t="shared" si="8"/>
        <v/>
      </c>
      <c r="Y535" s="1">
        <f>value(IFERROR(SUBSTITUTE(SUBSTITUTE(VLOOKUP(A535,'Quarterly Pipeline vs Target Pi'!A:G,6,false)," $","")," €",""), "")
)</f>
        <v>0</v>
      </c>
      <c r="Z535" s="1">
        <f>value(IFERROR(SUBSTITUTE(SUBSTITUTE(VLOOKUP(A535,'Quarterly Pipeline vs Target Pi'!A:G,7,false)," $","")," €",""), "")
)</f>
        <v>0</v>
      </c>
      <c r="AA535" s="17" t="str">
        <f t="shared" si="9"/>
        <v/>
      </c>
      <c r="AB535" s="1">
        <f>value(IFERROR(SUBSTITUTE(SUBSTITUTE(VLOOKUP($A535,'Quarterly Pipeline vs Target Pi'!$A:$V,11,false)," $","")," €",""), "")
)</f>
        <v>0</v>
      </c>
      <c r="AC535" s="1">
        <f>value(IFERROR(SUBSTITUTE(SUBSTITUTE(VLOOKUP($A535,'Quarterly Pipeline vs Target Pi'!$A:$V,12,false)," $","")," €",""), "")
)</f>
        <v>0</v>
      </c>
      <c r="AD535" s="17" t="str">
        <f t="shared" si="10"/>
        <v/>
      </c>
      <c r="AE535" s="1">
        <f>value(IFERROR(SUBSTITUTE(SUBSTITUTE(VLOOKUP($A535,'Quarterly Pipeline vs Target Pi'!$A:$V,16,false)," $","")," €",""), "")
)</f>
        <v>0</v>
      </c>
      <c r="AF535" s="1">
        <f>value(IFERROR(SUBSTITUTE(SUBSTITUTE(VLOOKUP($A535,'Quarterly Pipeline vs Target Pi'!$A:$V,17,false)," $","")," €",""), "")
)</f>
        <v>0</v>
      </c>
      <c r="AG535" s="17" t="str">
        <f t="shared" si="11"/>
        <v/>
      </c>
      <c r="AH535" s="1">
        <f>value(IFERROR(SUBSTITUTE(SUBSTITUTE(VLOOKUP($A535,'Quarterly Pipeline vs Target Pi'!$A:$V,21,false)," $","")," €",""), "")
)</f>
        <v>0</v>
      </c>
      <c r="AI535" s="1">
        <f>value(IFERROR(SUBSTITUTE(SUBSTITUTE(VLOOKUP($A535,'Quarterly Pipeline vs Target Pi'!$A:$V,22,false)," $","")," €",""), "")
)</f>
        <v>0</v>
      </c>
      <c r="AJ535" s="17" t="str">
        <f t="shared" si="12"/>
        <v/>
      </c>
      <c r="AK535" s="1">
        <f t="shared" ref="AK535:AL535" si="1083">sum(Y535,AB535,AE535,AH535)</f>
        <v>0</v>
      </c>
      <c r="AL535" s="1">
        <f t="shared" si="1083"/>
        <v>0</v>
      </c>
      <c r="AM535" s="17" t="str">
        <f t="shared" si="14"/>
        <v/>
      </c>
      <c r="AN535" s="1">
        <f>value(IFERROR(SUBSTITUTE(SUBSTITUTE(VLOOKUP($A535,'Quarterly Pipeline vs Target Pi'!$A:$AP,26,false)," $","")," €",""), "")
)</f>
        <v>0</v>
      </c>
      <c r="AO535" s="1">
        <f>value(IFERROR(SUBSTITUTE(SUBSTITUTE(VLOOKUP($A535,'Quarterly Pipeline vs Target Pi'!$A:$AP,27,false)," $","")," €",""), "")
)</f>
        <v>0</v>
      </c>
      <c r="AP535" s="17" t="str">
        <f t="shared" si="15"/>
        <v/>
      </c>
      <c r="AQ535" s="1">
        <f>value(IFERROR(SUBSTITUTE(SUBSTITUTE(VLOOKUP($A535,'Quarterly Pipeline vs Target Pi'!$A:$AP,31,false)," $","")," €",""), "")
)</f>
        <v>0</v>
      </c>
      <c r="AR535" s="1">
        <f>value(IFERROR(SUBSTITUTE(SUBSTITUTE(VLOOKUP($A535,'Quarterly Pipeline vs Target Pi'!$A:$AP,32,false)," $","")," €",""), "")
)</f>
        <v>0</v>
      </c>
      <c r="AS535" s="17" t="str">
        <f t="shared" si="16"/>
        <v/>
      </c>
      <c r="AT535" s="1">
        <f>value(IFERROR(SUBSTITUTE(SUBSTITUTE(VLOOKUP($A535,'Quarterly Pipeline vs Target Pi'!$A:$AP,36,false)," $","")," €",""), "")
)</f>
        <v>0</v>
      </c>
      <c r="AU535" s="1">
        <f>value(IFERROR(SUBSTITUTE(SUBSTITUTE(VLOOKUP($A535,'Quarterly Pipeline vs Target Pi'!$A:$AP,37,false)," $","")," €",""), "")
)</f>
        <v>0</v>
      </c>
      <c r="AV535" s="17" t="str">
        <f t="shared" si="17"/>
        <v/>
      </c>
      <c r="AW535" s="1">
        <f>value(IFERROR(SUBSTITUTE(SUBSTITUTE(VLOOKUP($A535,'Quarterly Pipeline vs Target Pi'!$A:$AP,41,false)," $","")," €",""), "")
)</f>
        <v>0</v>
      </c>
      <c r="AX535" s="1">
        <f>value(IFERROR(SUBSTITUTE(SUBSTITUTE(VLOOKUP($A535,'Quarterly Pipeline vs Target Pi'!$A:$AP,42,false)," $","")," €",""), "")
)</f>
        <v>0</v>
      </c>
      <c r="AY535" s="17" t="str">
        <f t="shared" si="18"/>
        <v/>
      </c>
      <c r="AZ535" s="1">
        <f t="shared" ref="AZ535:BA535" si="1084">sum(AN535,AQ535,AT535,AW535)</f>
        <v>0</v>
      </c>
      <c r="BA535" s="1">
        <f t="shared" si="1084"/>
        <v>0</v>
      </c>
      <c r="BB535" s="17" t="str">
        <f t="shared" si="20"/>
        <v/>
      </c>
    </row>
    <row r="536">
      <c r="G536" s="1" t="str">
        <f>iferror(VLOOKUP(A536,'Business Plan Setup and Accepta'!A:G,6,false),"")</f>
        <v/>
      </c>
      <c r="H536" s="1" t="str">
        <f>iferror(VLOOKUP(A536,'Business Plan Setup and Accepta'!A:G,7,false),"")</f>
        <v/>
      </c>
      <c r="I536" s="17"/>
      <c r="J536" s="1" t="str">
        <f>IFERROR(VALUE(SUBSTITUTE(VLOOKUP(A536,'Sales IN Revenues vs Sales targ'!A:G,6,false)," $","")), "")
</f>
        <v/>
      </c>
      <c r="K536" s="1" t="str">
        <f>IFERROR(VALUE(SUBSTITUTE(VLOOKUP(A536,'Sales IN Revenues vs Sales targ'!A:G,7,false)," $","")), "")
</f>
        <v/>
      </c>
      <c r="L536" s="17"/>
      <c r="M536" s="1">
        <f>value(SUBSTITUTE(IFERROR(VLOOKUP(A536,'Certifications achievements vs '!A:G,6,false),""),"#","")
)</f>
        <v>0</v>
      </c>
      <c r="N536" s="1">
        <f>value(SUBSTITUTE(IFERROR(VLOOKUP(A536,'Certifications achievements vs '!A:G,7,false),""),"#","")
)</f>
        <v>0</v>
      </c>
      <c r="O536" s="17"/>
      <c r="P536" s="1">
        <f>value(SUBSTITUTE(IFERROR(VLOOKUP(A536,'Communications - Solution Speci'!A:G,6,false),""),"#","")
)</f>
        <v>0</v>
      </c>
      <c r="Q536" s="1">
        <f>value(SUBSTITUTE(IFERROR(VLOOKUP(A536,'Communications - Solution Speci'!A:G,7,false),""),"#","")
)</f>
        <v>0</v>
      </c>
      <c r="R536" s="17" t="str">
        <f t="shared" si="6"/>
        <v/>
      </c>
      <c r="S536" s="1">
        <f>value(SUBSTITUTE(IFERROR(VLOOKUP(A536,'Networking - Solution Specializ'!A:G,6,false),""),"#","")
)</f>
        <v>0</v>
      </c>
      <c r="T536" s="1">
        <f>value(SUBSTITUTE(IFERROR(VLOOKUP(A536,'Networking - Solution Specializ'!A:G,7,false),""),"#","")
)</f>
        <v>0</v>
      </c>
      <c r="U536" s="17" t="str">
        <f t="shared" si="7"/>
        <v/>
      </c>
      <c r="V536" s="1" t="str">
        <f>iferror(vlookup(A536,'Marketing Plan (extract summary'!A:G,6,false),"")</f>
        <v/>
      </c>
      <c r="W536" s="1" t="str">
        <f>iferror(vlookup(A536,'Marketing Plan (extract summary'!A:G,7,false),"")</f>
        <v/>
      </c>
      <c r="X536" s="17"/>
      <c r="Y536" s="1">
        <f>value(IFERROR(SUBSTITUTE(SUBSTITUTE(VLOOKUP(A536,'Quarterly Pipeline vs Target Pi'!A:G,6,false)," $","")," €",""), "")
)</f>
        <v>0</v>
      </c>
      <c r="Z536" s="1">
        <f>value(IFERROR(SUBSTITUTE(SUBSTITUTE(VLOOKUP(A536,'Quarterly Pipeline vs Target Pi'!A:G,7,false)," $","")," €",""), "")
)</f>
        <v>0</v>
      </c>
      <c r="AA536" s="17" t="str">
        <f t="shared" si="9"/>
        <v/>
      </c>
      <c r="AB536" s="1">
        <f>value(IFERROR(SUBSTITUTE(SUBSTITUTE(VLOOKUP($A536,'Quarterly Pipeline vs Target Pi'!$A:$V,11,false)," $","")," €",""), "")
)</f>
        <v>0</v>
      </c>
      <c r="AC536" s="1">
        <f>value(IFERROR(SUBSTITUTE(SUBSTITUTE(VLOOKUP($A536,'Quarterly Pipeline vs Target Pi'!$A:$V,12,false)," $","")," €",""), "")
)</f>
        <v>0</v>
      </c>
      <c r="AD536" s="17" t="str">
        <f t="shared" si="10"/>
        <v/>
      </c>
      <c r="AE536" s="1">
        <f>value(IFERROR(SUBSTITUTE(SUBSTITUTE(VLOOKUP($A536,'Quarterly Pipeline vs Target Pi'!$A:$V,16,false)," $","")," €",""), "")
)</f>
        <v>0</v>
      </c>
      <c r="AF536" s="1">
        <f>value(IFERROR(SUBSTITUTE(SUBSTITUTE(VLOOKUP($A536,'Quarterly Pipeline vs Target Pi'!$A:$V,17,false)," $","")," €",""), "")
)</f>
        <v>0</v>
      </c>
      <c r="AG536" s="17" t="str">
        <f t="shared" si="11"/>
        <v/>
      </c>
      <c r="AH536" s="1">
        <f>value(IFERROR(SUBSTITUTE(SUBSTITUTE(VLOOKUP($A536,'Quarterly Pipeline vs Target Pi'!$A:$V,21,false)," $","")," €",""), "")
)</f>
        <v>0</v>
      </c>
      <c r="AI536" s="1">
        <f>value(IFERROR(SUBSTITUTE(SUBSTITUTE(VLOOKUP($A536,'Quarterly Pipeline vs Target Pi'!$A:$V,22,false)," $","")," €",""), "")
)</f>
        <v>0</v>
      </c>
      <c r="AJ536" s="17" t="str">
        <f t="shared" si="12"/>
        <v/>
      </c>
      <c r="AK536" s="1">
        <f t="shared" ref="AK536:AL536" si="1085">sum(Y536,AB536,AE536,AH536)</f>
        <v>0</v>
      </c>
      <c r="AL536" s="1">
        <f t="shared" si="1085"/>
        <v>0</v>
      </c>
      <c r="AM536" s="17" t="str">
        <f t="shared" si="14"/>
        <v/>
      </c>
      <c r="AN536" s="1">
        <f>value(IFERROR(SUBSTITUTE(SUBSTITUTE(VLOOKUP($A536,'Quarterly Pipeline vs Target Pi'!$A:$AP,26,false)," $","")," €",""), "")
)</f>
        <v>0</v>
      </c>
      <c r="AO536" s="1">
        <f>value(IFERROR(SUBSTITUTE(SUBSTITUTE(VLOOKUP($A536,'Quarterly Pipeline vs Target Pi'!$A:$AP,27,false)," $","")," €",""), "")
)</f>
        <v>0</v>
      </c>
      <c r="AP536" s="17" t="str">
        <f t="shared" si="15"/>
        <v/>
      </c>
      <c r="AQ536" s="1">
        <f>value(IFERROR(SUBSTITUTE(SUBSTITUTE(VLOOKUP($A536,'Quarterly Pipeline vs Target Pi'!$A:$AP,31,false)," $","")," €",""), "")
)</f>
        <v>0</v>
      </c>
      <c r="AR536" s="1">
        <f>value(IFERROR(SUBSTITUTE(SUBSTITUTE(VLOOKUP($A536,'Quarterly Pipeline vs Target Pi'!$A:$AP,32,false)," $","")," €",""), "")
)</f>
        <v>0</v>
      </c>
      <c r="AS536" s="17" t="str">
        <f t="shared" si="16"/>
        <v/>
      </c>
      <c r="AT536" s="1">
        <f>value(IFERROR(SUBSTITUTE(SUBSTITUTE(VLOOKUP($A536,'Quarterly Pipeline vs Target Pi'!$A:$AP,36,false)," $","")," €",""), "")
)</f>
        <v>0</v>
      </c>
      <c r="AU536" s="1">
        <f>value(IFERROR(SUBSTITUTE(SUBSTITUTE(VLOOKUP($A536,'Quarterly Pipeline vs Target Pi'!$A:$AP,37,false)," $","")," €",""), "")
)</f>
        <v>0</v>
      </c>
      <c r="AV536" s="17" t="str">
        <f t="shared" si="17"/>
        <v/>
      </c>
      <c r="AW536" s="1">
        <f>value(IFERROR(SUBSTITUTE(SUBSTITUTE(VLOOKUP($A536,'Quarterly Pipeline vs Target Pi'!$A:$AP,41,false)," $","")," €",""), "")
)</f>
        <v>0</v>
      </c>
      <c r="AX536" s="1">
        <f>value(IFERROR(SUBSTITUTE(SUBSTITUTE(VLOOKUP($A536,'Quarterly Pipeline vs Target Pi'!$A:$AP,42,false)," $","")," €",""), "")
)</f>
        <v>0</v>
      </c>
      <c r="AY536" s="17" t="str">
        <f t="shared" si="18"/>
        <v/>
      </c>
      <c r="AZ536" s="1">
        <f t="shared" ref="AZ536:BA536" si="1086">sum(AN536,AQ536,AT536,AW536)</f>
        <v>0</v>
      </c>
      <c r="BA536" s="1">
        <f t="shared" si="1086"/>
        <v>0</v>
      </c>
      <c r="BB536" s="17" t="str">
        <f t="shared" si="20"/>
        <v/>
      </c>
    </row>
    <row r="537">
      <c r="G537" s="1" t="str">
        <f>iferror(VLOOKUP(A537,'Business Plan Setup and Accepta'!A:G,6,false),"")</f>
        <v/>
      </c>
      <c r="H537" s="1" t="str">
        <f>iferror(VLOOKUP(A537,'Business Plan Setup and Accepta'!A:G,7,false),"")</f>
        <v/>
      </c>
      <c r="I537" s="17"/>
      <c r="J537" s="1" t="str">
        <f>IFERROR(VALUE(SUBSTITUTE(VLOOKUP(A537,'Sales IN Revenues vs Sales targ'!A:G,6,false)," $","")), "")
</f>
        <v/>
      </c>
      <c r="K537" s="1" t="str">
        <f>IFERROR(VALUE(SUBSTITUTE(VLOOKUP(A537,'Sales IN Revenues vs Sales targ'!A:G,7,false)," $","")), "")
</f>
        <v/>
      </c>
      <c r="L537" s="17"/>
      <c r="M537" s="1">
        <f>value(SUBSTITUTE(IFERROR(VLOOKUP(A537,'Certifications achievements vs '!A:G,6,false),""),"#","")
)</f>
        <v>0</v>
      </c>
      <c r="N537" s="1">
        <f>value(SUBSTITUTE(IFERROR(VLOOKUP(A537,'Certifications achievements vs '!A:G,7,false),""),"#","")
)</f>
        <v>0</v>
      </c>
      <c r="O537" s="17"/>
      <c r="P537" s="1">
        <f>value(SUBSTITUTE(IFERROR(VLOOKUP(A537,'Communications - Solution Speci'!A:G,6,false),""),"#","")
)</f>
        <v>0</v>
      </c>
      <c r="Q537" s="1">
        <f>value(SUBSTITUTE(IFERROR(VLOOKUP(A537,'Communications - Solution Speci'!A:G,7,false),""),"#","")
)</f>
        <v>0</v>
      </c>
      <c r="R537" s="17" t="str">
        <f t="shared" si="6"/>
        <v/>
      </c>
      <c r="S537" s="1">
        <f>value(SUBSTITUTE(IFERROR(VLOOKUP(A537,'Networking - Solution Specializ'!A:G,6,false),""),"#","")
)</f>
        <v>0</v>
      </c>
      <c r="T537" s="1">
        <f>value(SUBSTITUTE(IFERROR(VLOOKUP(A537,'Networking - Solution Specializ'!A:G,7,false),""),"#","")
)</f>
        <v>0</v>
      </c>
      <c r="U537" s="17" t="str">
        <f t="shared" si="7"/>
        <v/>
      </c>
      <c r="V537" s="1" t="str">
        <f>iferror(vlookup(A537,'Marketing Plan (extract summary'!A:G,6,false),"")</f>
        <v/>
      </c>
      <c r="W537" s="1" t="str">
        <f>iferror(vlookup(A537,'Marketing Plan (extract summary'!A:G,7,false),"")</f>
        <v/>
      </c>
      <c r="X537" s="17"/>
      <c r="Y537" s="1">
        <f>value(IFERROR(SUBSTITUTE(SUBSTITUTE(VLOOKUP(A537,'Quarterly Pipeline vs Target Pi'!A:G,6,false)," $","")," €",""), "")
)</f>
        <v>0</v>
      </c>
      <c r="Z537" s="1">
        <f>value(IFERROR(SUBSTITUTE(SUBSTITUTE(VLOOKUP(A537,'Quarterly Pipeline vs Target Pi'!A:G,7,false)," $","")," €",""), "")
)</f>
        <v>0</v>
      </c>
      <c r="AA537" s="17" t="str">
        <f t="shared" si="9"/>
        <v/>
      </c>
      <c r="AB537" s="1">
        <f>value(IFERROR(SUBSTITUTE(SUBSTITUTE(VLOOKUP($A537,'Quarterly Pipeline vs Target Pi'!$A:$V,11,false)," $","")," €",""), "")
)</f>
        <v>0</v>
      </c>
      <c r="AC537" s="1">
        <f>value(IFERROR(SUBSTITUTE(SUBSTITUTE(VLOOKUP($A537,'Quarterly Pipeline vs Target Pi'!$A:$V,12,false)," $","")," €",""), "")
)</f>
        <v>0</v>
      </c>
      <c r="AD537" s="17" t="str">
        <f t="shared" si="10"/>
        <v/>
      </c>
      <c r="AE537" s="1">
        <f>value(IFERROR(SUBSTITUTE(SUBSTITUTE(VLOOKUP($A537,'Quarterly Pipeline vs Target Pi'!$A:$V,16,false)," $","")," €",""), "")
)</f>
        <v>0</v>
      </c>
      <c r="AF537" s="1">
        <f>value(IFERROR(SUBSTITUTE(SUBSTITUTE(VLOOKUP($A537,'Quarterly Pipeline vs Target Pi'!$A:$V,17,false)," $","")," €",""), "")
)</f>
        <v>0</v>
      </c>
      <c r="AG537" s="17" t="str">
        <f t="shared" si="11"/>
        <v/>
      </c>
      <c r="AH537" s="1">
        <f>value(IFERROR(SUBSTITUTE(SUBSTITUTE(VLOOKUP($A537,'Quarterly Pipeline vs Target Pi'!$A:$V,21,false)," $","")," €",""), "")
)</f>
        <v>0</v>
      </c>
      <c r="AI537" s="1">
        <f>value(IFERROR(SUBSTITUTE(SUBSTITUTE(VLOOKUP($A537,'Quarterly Pipeline vs Target Pi'!$A:$V,22,false)," $","")," €",""), "")
)</f>
        <v>0</v>
      </c>
      <c r="AJ537" s="17" t="str">
        <f t="shared" si="12"/>
        <v/>
      </c>
      <c r="AK537" s="1">
        <f t="shared" ref="AK537:AL537" si="1087">sum(Y537,AB537,AE537,AH537)</f>
        <v>0</v>
      </c>
      <c r="AL537" s="1">
        <f t="shared" si="1087"/>
        <v>0</v>
      </c>
      <c r="AM537" s="17" t="str">
        <f t="shared" si="14"/>
        <v/>
      </c>
      <c r="AN537" s="1">
        <f>value(IFERROR(SUBSTITUTE(SUBSTITUTE(VLOOKUP($A537,'Quarterly Pipeline vs Target Pi'!$A:$AP,26,false)," $","")," €",""), "")
)</f>
        <v>0</v>
      </c>
      <c r="AO537" s="1">
        <f>value(IFERROR(SUBSTITUTE(SUBSTITUTE(VLOOKUP($A537,'Quarterly Pipeline vs Target Pi'!$A:$AP,27,false)," $","")," €",""), "")
)</f>
        <v>0</v>
      </c>
      <c r="AP537" s="17" t="str">
        <f t="shared" si="15"/>
        <v/>
      </c>
      <c r="AQ537" s="1">
        <f>value(IFERROR(SUBSTITUTE(SUBSTITUTE(VLOOKUP($A537,'Quarterly Pipeline vs Target Pi'!$A:$AP,31,false)," $","")," €",""), "")
)</f>
        <v>0</v>
      </c>
      <c r="AR537" s="1">
        <f>value(IFERROR(SUBSTITUTE(SUBSTITUTE(VLOOKUP($A537,'Quarterly Pipeline vs Target Pi'!$A:$AP,32,false)," $","")," €",""), "")
)</f>
        <v>0</v>
      </c>
      <c r="AS537" s="17" t="str">
        <f t="shared" si="16"/>
        <v/>
      </c>
      <c r="AT537" s="1">
        <f>value(IFERROR(SUBSTITUTE(SUBSTITUTE(VLOOKUP($A537,'Quarterly Pipeline vs Target Pi'!$A:$AP,36,false)," $","")," €",""), "")
)</f>
        <v>0</v>
      </c>
      <c r="AU537" s="1">
        <f>value(IFERROR(SUBSTITUTE(SUBSTITUTE(VLOOKUP($A537,'Quarterly Pipeline vs Target Pi'!$A:$AP,37,false)," $","")," €",""), "")
)</f>
        <v>0</v>
      </c>
      <c r="AV537" s="17" t="str">
        <f t="shared" si="17"/>
        <v/>
      </c>
      <c r="AW537" s="1">
        <f>value(IFERROR(SUBSTITUTE(SUBSTITUTE(VLOOKUP($A537,'Quarterly Pipeline vs Target Pi'!$A:$AP,41,false)," $","")," €",""), "")
)</f>
        <v>0</v>
      </c>
      <c r="AX537" s="1">
        <f>value(IFERROR(SUBSTITUTE(SUBSTITUTE(VLOOKUP($A537,'Quarterly Pipeline vs Target Pi'!$A:$AP,42,false)," $","")," €",""), "")
)</f>
        <v>0</v>
      </c>
      <c r="AY537" s="17" t="str">
        <f t="shared" si="18"/>
        <v/>
      </c>
      <c r="AZ537" s="1">
        <f t="shared" ref="AZ537:BA537" si="1088">sum(AN537,AQ537,AT537,AW537)</f>
        <v>0</v>
      </c>
      <c r="BA537" s="1">
        <f t="shared" si="1088"/>
        <v>0</v>
      </c>
      <c r="BB537" s="17" t="str">
        <f t="shared" si="20"/>
        <v/>
      </c>
    </row>
    <row r="538">
      <c r="G538" s="1" t="str">
        <f>iferror(VLOOKUP(A538,'Business Plan Setup and Accepta'!A:G,6,false),"")</f>
        <v/>
      </c>
      <c r="H538" s="1" t="str">
        <f>iferror(VLOOKUP(A538,'Business Plan Setup and Accepta'!A:G,7,false),"")</f>
        <v/>
      </c>
      <c r="I538" s="17"/>
      <c r="J538" s="1" t="str">
        <f>IFERROR(VALUE(SUBSTITUTE(VLOOKUP(A538,'Sales IN Revenues vs Sales targ'!A:G,6,false)," $","")), "")
</f>
        <v/>
      </c>
      <c r="K538" s="1" t="str">
        <f>IFERROR(VALUE(SUBSTITUTE(VLOOKUP(A538,'Sales IN Revenues vs Sales targ'!A:G,7,false)," $","")), "")
</f>
        <v/>
      </c>
      <c r="L538" s="17"/>
      <c r="M538" s="1">
        <f>value(SUBSTITUTE(IFERROR(VLOOKUP(A538,'Certifications achievements vs '!A:G,6,false),""),"#","")
)</f>
        <v>0</v>
      </c>
      <c r="N538" s="1">
        <f>value(SUBSTITUTE(IFERROR(VLOOKUP(A538,'Certifications achievements vs '!A:G,7,false),""),"#","")
)</f>
        <v>0</v>
      </c>
      <c r="O538" s="17"/>
      <c r="P538" s="1">
        <f>value(SUBSTITUTE(IFERROR(VLOOKUP(A538,'Communications - Solution Speci'!A:G,6,false),""),"#","")
)</f>
        <v>0</v>
      </c>
      <c r="Q538" s="1">
        <f>value(SUBSTITUTE(IFERROR(VLOOKUP(A538,'Communications - Solution Speci'!A:G,7,false),""),"#","")
)</f>
        <v>0</v>
      </c>
      <c r="R538" s="17" t="str">
        <f t="shared" si="6"/>
        <v/>
      </c>
      <c r="S538" s="1">
        <f>value(SUBSTITUTE(IFERROR(VLOOKUP(A538,'Networking - Solution Specializ'!A:G,6,false),""),"#","")
)</f>
        <v>0</v>
      </c>
      <c r="T538" s="1">
        <f>value(SUBSTITUTE(IFERROR(VLOOKUP(A538,'Networking - Solution Specializ'!A:G,7,false),""),"#","")
)</f>
        <v>0</v>
      </c>
      <c r="U538" s="17" t="str">
        <f t="shared" si="7"/>
        <v/>
      </c>
      <c r="V538" s="1" t="str">
        <f>iferror(vlookup(A538,'Marketing Plan (extract summary'!A:G,6,false),"")</f>
        <v/>
      </c>
      <c r="W538" s="1" t="str">
        <f>iferror(vlookup(A538,'Marketing Plan (extract summary'!A:G,7,false),"")</f>
        <v/>
      </c>
      <c r="X538" s="17"/>
      <c r="Y538" s="1">
        <f>value(IFERROR(SUBSTITUTE(SUBSTITUTE(VLOOKUP(A538,'Quarterly Pipeline vs Target Pi'!A:G,6,false)," $","")," €",""), "")
)</f>
        <v>0</v>
      </c>
      <c r="Z538" s="1">
        <f>value(IFERROR(SUBSTITUTE(SUBSTITUTE(VLOOKUP(A538,'Quarterly Pipeline vs Target Pi'!A:G,7,false)," $","")," €",""), "")
)</f>
        <v>0</v>
      </c>
      <c r="AA538" s="17" t="str">
        <f t="shared" si="9"/>
        <v/>
      </c>
      <c r="AB538" s="1">
        <f>value(IFERROR(SUBSTITUTE(SUBSTITUTE(VLOOKUP($A538,'Quarterly Pipeline vs Target Pi'!$A:$V,11,false)," $","")," €",""), "")
)</f>
        <v>0</v>
      </c>
      <c r="AC538" s="1">
        <f>value(IFERROR(SUBSTITUTE(SUBSTITUTE(VLOOKUP($A538,'Quarterly Pipeline vs Target Pi'!$A:$V,12,false)," $","")," €",""), "")
)</f>
        <v>0</v>
      </c>
      <c r="AD538" s="17" t="str">
        <f t="shared" si="10"/>
        <v/>
      </c>
      <c r="AE538" s="1">
        <f>value(IFERROR(SUBSTITUTE(SUBSTITUTE(VLOOKUP($A538,'Quarterly Pipeline vs Target Pi'!$A:$V,16,false)," $","")," €",""), "")
)</f>
        <v>0</v>
      </c>
      <c r="AF538" s="1">
        <f>value(IFERROR(SUBSTITUTE(SUBSTITUTE(VLOOKUP($A538,'Quarterly Pipeline vs Target Pi'!$A:$V,17,false)," $","")," €",""), "")
)</f>
        <v>0</v>
      </c>
      <c r="AG538" s="17" t="str">
        <f t="shared" si="11"/>
        <v/>
      </c>
      <c r="AH538" s="1">
        <f>value(IFERROR(SUBSTITUTE(SUBSTITUTE(VLOOKUP($A538,'Quarterly Pipeline vs Target Pi'!$A:$V,21,false)," $","")," €",""), "")
)</f>
        <v>0</v>
      </c>
      <c r="AI538" s="1">
        <f>value(IFERROR(SUBSTITUTE(SUBSTITUTE(VLOOKUP($A538,'Quarterly Pipeline vs Target Pi'!$A:$V,22,false)," $","")," €",""), "")
)</f>
        <v>0</v>
      </c>
      <c r="AJ538" s="17" t="str">
        <f t="shared" si="12"/>
        <v/>
      </c>
      <c r="AK538" s="1">
        <f t="shared" ref="AK538:AL538" si="1089">sum(Y538,AB538,AE538,AH538)</f>
        <v>0</v>
      </c>
      <c r="AL538" s="1">
        <f t="shared" si="1089"/>
        <v>0</v>
      </c>
      <c r="AM538" s="17" t="str">
        <f t="shared" si="14"/>
        <v/>
      </c>
      <c r="AN538" s="1">
        <f>value(IFERROR(SUBSTITUTE(SUBSTITUTE(VLOOKUP($A538,'Quarterly Pipeline vs Target Pi'!$A:$AP,26,false)," $","")," €",""), "")
)</f>
        <v>0</v>
      </c>
      <c r="AO538" s="1">
        <f>value(IFERROR(SUBSTITUTE(SUBSTITUTE(VLOOKUP($A538,'Quarterly Pipeline vs Target Pi'!$A:$AP,27,false)," $","")," €",""), "")
)</f>
        <v>0</v>
      </c>
      <c r="AP538" s="17" t="str">
        <f t="shared" si="15"/>
        <v/>
      </c>
      <c r="AQ538" s="1">
        <f>value(IFERROR(SUBSTITUTE(SUBSTITUTE(VLOOKUP($A538,'Quarterly Pipeline vs Target Pi'!$A:$AP,31,false)," $","")," €",""), "")
)</f>
        <v>0</v>
      </c>
      <c r="AR538" s="1">
        <f>value(IFERROR(SUBSTITUTE(SUBSTITUTE(VLOOKUP($A538,'Quarterly Pipeline vs Target Pi'!$A:$AP,32,false)," $","")," €",""), "")
)</f>
        <v>0</v>
      </c>
      <c r="AS538" s="17" t="str">
        <f t="shared" si="16"/>
        <v/>
      </c>
      <c r="AT538" s="1">
        <f>value(IFERROR(SUBSTITUTE(SUBSTITUTE(VLOOKUP($A538,'Quarterly Pipeline vs Target Pi'!$A:$AP,36,false)," $","")," €",""), "")
)</f>
        <v>0</v>
      </c>
      <c r="AU538" s="1">
        <f>value(IFERROR(SUBSTITUTE(SUBSTITUTE(VLOOKUP($A538,'Quarterly Pipeline vs Target Pi'!$A:$AP,37,false)," $","")," €",""), "")
)</f>
        <v>0</v>
      </c>
      <c r="AV538" s="17" t="str">
        <f t="shared" si="17"/>
        <v/>
      </c>
      <c r="AW538" s="1">
        <f>value(IFERROR(SUBSTITUTE(SUBSTITUTE(VLOOKUP($A538,'Quarterly Pipeline vs Target Pi'!$A:$AP,41,false)," $","")," €",""), "")
)</f>
        <v>0</v>
      </c>
      <c r="AX538" s="1">
        <f>value(IFERROR(SUBSTITUTE(SUBSTITUTE(VLOOKUP($A538,'Quarterly Pipeline vs Target Pi'!$A:$AP,42,false)," $","")," €",""), "")
)</f>
        <v>0</v>
      </c>
      <c r="AY538" s="17" t="str">
        <f t="shared" si="18"/>
        <v/>
      </c>
      <c r="AZ538" s="1">
        <f t="shared" ref="AZ538:BA538" si="1090">sum(AN538,AQ538,AT538,AW538)</f>
        <v>0</v>
      </c>
      <c r="BA538" s="1">
        <f t="shared" si="1090"/>
        <v>0</v>
      </c>
      <c r="BB538" s="17" t="str">
        <f t="shared" si="20"/>
        <v/>
      </c>
    </row>
    <row r="539">
      <c r="G539" s="1" t="str">
        <f>iferror(VLOOKUP(A539,'Business Plan Setup and Accepta'!A:G,6,false),"")</f>
        <v/>
      </c>
      <c r="H539" s="1" t="str">
        <f>iferror(VLOOKUP(A539,'Business Plan Setup and Accepta'!A:G,7,false),"")</f>
        <v/>
      </c>
      <c r="I539" s="17"/>
      <c r="J539" s="1" t="str">
        <f>IFERROR(VALUE(SUBSTITUTE(VLOOKUP(A539,'Sales IN Revenues vs Sales targ'!A:G,6,false)," $","")), "")
</f>
        <v/>
      </c>
      <c r="K539" s="1" t="str">
        <f>IFERROR(VALUE(SUBSTITUTE(VLOOKUP(A539,'Sales IN Revenues vs Sales targ'!A:G,7,false)," $","")), "")
</f>
        <v/>
      </c>
      <c r="L539" s="17"/>
      <c r="M539" s="1">
        <f>value(SUBSTITUTE(IFERROR(VLOOKUP(A539,'Certifications achievements vs '!A:G,6,false),""),"#","")
)</f>
        <v>0</v>
      </c>
      <c r="N539" s="1">
        <f>value(SUBSTITUTE(IFERROR(VLOOKUP(A539,'Certifications achievements vs '!A:G,7,false),""),"#","")
)</f>
        <v>0</v>
      </c>
      <c r="O539" s="17"/>
      <c r="P539" s="1">
        <f>value(SUBSTITUTE(IFERROR(VLOOKUP(A539,'Communications - Solution Speci'!A:G,6,false),""),"#","")
)</f>
        <v>0</v>
      </c>
      <c r="Q539" s="1">
        <f>value(SUBSTITUTE(IFERROR(VLOOKUP(A539,'Communications - Solution Speci'!A:G,7,false),""),"#","")
)</f>
        <v>0</v>
      </c>
      <c r="R539" s="17" t="str">
        <f t="shared" si="6"/>
        <v/>
      </c>
      <c r="S539" s="1">
        <f>value(SUBSTITUTE(IFERROR(VLOOKUP(A539,'Networking - Solution Specializ'!A:G,6,false),""),"#","")
)</f>
        <v>0</v>
      </c>
      <c r="T539" s="1">
        <f>value(SUBSTITUTE(IFERROR(VLOOKUP(A539,'Networking - Solution Specializ'!A:G,7,false),""),"#","")
)</f>
        <v>0</v>
      </c>
      <c r="U539" s="17" t="str">
        <f t="shared" si="7"/>
        <v/>
      </c>
      <c r="V539" s="1" t="str">
        <f>iferror(vlookup(A539,'Marketing Plan (extract summary'!A:G,6,false),"")</f>
        <v/>
      </c>
      <c r="W539" s="1" t="str">
        <f>iferror(vlookup(A539,'Marketing Plan (extract summary'!A:G,7,false),"")</f>
        <v/>
      </c>
      <c r="X539" s="17"/>
      <c r="Y539" s="1">
        <f>value(IFERROR(SUBSTITUTE(SUBSTITUTE(VLOOKUP(A539,'Quarterly Pipeline vs Target Pi'!A:G,6,false)," $","")," €",""), "")
)</f>
        <v>0</v>
      </c>
      <c r="Z539" s="1">
        <f>value(IFERROR(SUBSTITUTE(SUBSTITUTE(VLOOKUP(A539,'Quarterly Pipeline vs Target Pi'!A:G,7,false)," $","")," €",""), "")
)</f>
        <v>0</v>
      </c>
      <c r="AA539" s="17" t="str">
        <f t="shared" si="9"/>
        <v/>
      </c>
      <c r="AB539" s="1">
        <f>value(IFERROR(SUBSTITUTE(SUBSTITUTE(VLOOKUP($A539,'Quarterly Pipeline vs Target Pi'!$A:$V,11,false)," $","")," €",""), "")
)</f>
        <v>0</v>
      </c>
      <c r="AC539" s="1">
        <f>value(IFERROR(SUBSTITUTE(SUBSTITUTE(VLOOKUP($A539,'Quarterly Pipeline vs Target Pi'!$A:$V,12,false)," $","")," €",""), "")
)</f>
        <v>0</v>
      </c>
      <c r="AD539" s="17" t="str">
        <f t="shared" si="10"/>
        <v/>
      </c>
      <c r="AE539" s="1">
        <f>value(IFERROR(SUBSTITUTE(SUBSTITUTE(VLOOKUP($A539,'Quarterly Pipeline vs Target Pi'!$A:$V,16,false)," $","")," €",""), "")
)</f>
        <v>0</v>
      </c>
      <c r="AF539" s="1">
        <f>value(IFERROR(SUBSTITUTE(SUBSTITUTE(VLOOKUP($A539,'Quarterly Pipeline vs Target Pi'!$A:$V,17,false)," $","")," €",""), "")
)</f>
        <v>0</v>
      </c>
      <c r="AG539" s="17" t="str">
        <f t="shared" si="11"/>
        <v/>
      </c>
      <c r="AH539" s="1">
        <f>value(IFERROR(SUBSTITUTE(SUBSTITUTE(VLOOKUP($A539,'Quarterly Pipeline vs Target Pi'!$A:$V,21,false)," $","")," €",""), "")
)</f>
        <v>0</v>
      </c>
      <c r="AI539" s="1">
        <f>value(IFERROR(SUBSTITUTE(SUBSTITUTE(VLOOKUP($A539,'Quarterly Pipeline vs Target Pi'!$A:$V,22,false)," $","")," €",""), "")
)</f>
        <v>0</v>
      </c>
      <c r="AJ539" s="17" t="str">
        <f t="shared" si="12"/>
        <v/>
      </c>
      <c r="AK539" s="1">
        <f t="shared" ref="AK539:AL539" si="1091">sum(Y539,AB539,AE539,AH539)</f>
        <v>0</v>
      </c>
      <c r="AL539" s="1">
        <f t="shared" si="1091"/>
        <v>0</v>
      </c>
      <c r="AM539" s="17" t="str">
        <f t="shared" si="14"/>
        <v/>
      </c>
      <c r="AN539" s="1">
        <f>value(IFERROR(SUBSTITUTE(SUBSTITUTE(VLOOKUP($A539,'Quarterly Pipeline vs Target Pi'!$A:$AP,26,false)," $","")," €",""), "")
)</f>
        <v>0</v>
      </c>
      <c r="AO539" s="1">
        <f>value(IFERROR(SUBSTITUTE(SUBSTITUTE(VLOOKUP($A539,'Quarterly Pipeline vs Target Pi'!$A:$AP,27,false)," $","")," €",""), "")
)</f>
        <v>0</v>
      </c>
      <c r="AP539" s="17" t="str">
        <f t="shared" si="15"/>
        <v/>
      </c>
      <c r="AQ539" s="1">
        <f>value(IFERROR(SUBSTITUTE(SUBSTITUTE(VLOOKUP($A539,'Quarterly Pipeline vs Target Pi'!$A:$AP,31,false)," $","")," €",""), "")
)</f>
        <v>0</v>
      </c>
      <c r="AR539" s="1">
        <f>value(IFERROR(SUBSTITUTE(SUBSTITUTE(VLOOKUP($A539,'Quarterly Pipeline vs Target Pi'!$A:$AP,32,false)," $","")," €",""), "")
)</f>
        <v>0</v>
      </c>
      <c r="AS539" s="17" t="str">
        <f t="shared" si="16"/>
        <v/>
      </c>
      <c r="AT539" s="1">
        <f>value(IFERROR(SUBSTITUTE(SUBSTITUTE(VLOOKUP($A539,'Quarterly Pipeline vs Target Pi'!$A:$AP,36,false)," $","")," €",""), "")
)</f>
        <v>0</v>
      </c>
      <c r="AU539" s="1">
        <f>value(IFERROR(SUBSTITUTE(SUBSTITUTE(VLOOKUP($A539,'Quarterly Pipeline vs Target Pi'!$A:$AP,37,false)," $","")," €",""), "")
)</f>
        <v>0</v>
      </c>
      <c r="AV539" s="17" t="str">
        <f t="shared" si="17"/>
        <v/>
      </c>
      <c r="AW539" s="1">
        <f>value(IFERROR(SUBSTITUTE(SUBSTITUTE(VLOOKUP($A539,'Quarterly Pipeline vs Target Pi'!$A:$AP,41,false)," $","")," €",""), "")
)</f>
        <v>0</v>
      </c>
      <c r="AX539" s="1">
        <f>value(IFERROR(SUBSTITUTE(SUBSTITUTE(VLOOKUP($A539,'Quarterly Pipeline vs Target Pi'!$A:$AP,42,false)," $","")," €",""), "")
)</f>
        <v>0</v>
      </c>
      <c r="AY539" s="17" t="str">
        <f t="shared" si="18"/>
        <v/>
      </c>
      <c r="AZ539" s="1">
        <f t="shared" ref="AZ539:BA539" si="1092">sum(AN539,AQ539,AT539,AW539)</f>
        <v>0</v>
      </c>
      <c r="BA539" s="1">
        <f t="shared" si="1092"/>
        <v>0</v>
      </c>
      <c r="BB539" s="17" t="str">
        <f t="shared" si="20"/>
        <v/>
      </c>
    </row>
    <row r="540">
      <c r="G540" s="1" t="str">
        <f>iferror(VLOOKUP(A540,'Business Plan Setup and Accepta'!A:G,6,false),"")</f>
        <v/>
      </c>
      <c r="H540" s="1" t="str">
        <f>iferror(VLOOKUP(A540,'Business Plan Setup and Accepta'!A:G,7,false),"")</f>
        <v/>
      </c>
      <c r="I540" s="17"/>
      <c r="J540" s="1" t="str">
        <f>IFERROR(VALUE(SUBSTITUTE(VLOOKUP(A540,'Sales IN Revenues vs Sales targ'!A:G,6,false)," $","")), "")
</f>
        <v/>
      </c>
      <c r="K540" s="1" t="str">
        <f>IFERROR(VALUE(SUBSTITUTE(VLOOKUP(A540,'Sales IN Revenues vs Sales targ'!A:G,7,false)," $","")), "")
</f>
        <v/>
      </c>
      <c r="L540" s="17"/>
      <c r="M540" s="1">
        <f>value(SUBSTITUTE(IFERROR(VLOOKUP(A540,'Certifications achievements vs '!A:G,6,false),""),"#","")
)</f>
        <v>0</v>
      </c>
      <c r="N540" s="1">
        <f>value(SUBSTITUTE(IFERROR(VLOOKUP(A540,'Certifications achievements vs '!A:G,7,false),""),"#","")
)</f>
        <v>0</v>
      </c>
      <c r="O540" s="17"/>
      <c r="P540" s="1">
        <f>value(SUBSTITUTE(IFERROR(VLOOKUP(A540,'Communications - Solution Speci'!A:G,6,false),""),"#","")
)</f>
        <v>0</v>
      </c>
      <c r="Q540" s="1">
        <f>value(SUBSTITUTE(IFERROR(VLOOKUP(A540,'Communications - Solution Speci'!A:G,7,false),""),"#","")
)</f>
        <v>0</v>
      </c>
      <c r="R540" s="17" t="str">
        <f t="shared" si="6"/>
        <v/>
      </c>
      <c r="S540" s="1">
        <f>value(SUBSTITUTE(IFERROR(VLOOKUP(A540,'Networking - Solution Specializ'!A:G,6,false),""),"#","")
)</f>
        <v>0</v>
      </c>
      <c r="T540" s="1">
        <f>value(SUBSTITUTE(IFERROR(VLOOKUP(A540,'Networking - Solution Specializ'!A:G,7,false),""),"#","")
)</f>
        <v>0</v>
      </c>
      <c r="U540" s="17" t="str">
        <f t="shared" si="7"/>
        <v/>
      </c>
      <c r="V540" s="1" t="str">
        <f>iferror(vlookup(A540,'Marketing Plan (extract summary'!A:G,6,false),"")</f>
        <v/>
      </c>
      <c r="W540" s="1" t="str">
        <f>iferror(vlookup(A540,'Marketing Plan (extract summary'!A:G,7,false),"")</f>
        <v/>
      </c>
      <c r="X540" s="17"/>
      <c r="Y540" s="1">
        <f>value(IFERROR(SUBSTITUTE(SUBSTITUTE(VLOOKUP(A540,'Quarterly Pipeline vs Target Pi'!A:G,6,false)," $","")," €",""), "")
)</f>
        <v>0</v>
      </c>
      <c r="Z540" s="1">
        <f>value(IFERROR(SUBSTITUTE(SUBSTITUTE(VLOOKUP(A540,'Quarterly Pipeline vs Target Pi'!A:G,7,false)," $","")," €",""), "")
)</f>
        <v>0</v>
      </c>
      <c r="AA540" s="17" t="str">
        <f t="shared" si="9"/>
        <v/>
      </c>
      <c r="AB540" s="1">
        <f>value(IFERROR(SUBSTITUTE(SUBSTITUTE(VLOOKUP($A540,'Quarterly Pipeline vs Target Pi'!$A:$V,11,false)," $","")," €",""), "")
)</f>
        <v>0</v>
      </c>
      <c r="AC540" s="1">
        <f>value(IFERROR(SUBSTITUTE(SUBSTITUTE(VLOOKUP($A540,'Quarterly Pipeline vs Target Pi'!$A:$V,12,false)," $","")," €",""), "")
)</f>
        <v>0</v>
      </c>
      <c r="AD540" s="17" t="str">
        <f t="shared" si="10"/>
        <v/>
      </c>
      <c r="AE540" s="1">
        <f>value(IFERROR(SUBSTITUTE(SUBSTITUTE(VLOOKUP($A540,'Quarterly Pipeline vs Target Pi'!$A:$V,16,false)," $","")," €",""), "")
)</f>
        <v>0</v>
      </c>
      <c r="AF540" s="1">
        <f>value(IFERROR(SUBSTITUTE(SUBSTITUTE(VLOOKUP($A540,'Quarterly Pipeline vs Target Pi'!$A:$V,17,false)," $","")," €",""), "")
)</f>
        <v>0</v>
      </c>
      <c r="AG540" s="17" t="str">
        <f t="shared" si="11"/>
        <v/>
      </c>
      <c r="AH540" s="1">
        <f>value(IFERROR(SUBSTITUTE(SUBSTITUTE(VLOOKUP($A540,'Quarterly Pipeline vs Target Pi'!$A:$V,21,false)," $","")," €",""), "")
)</f>
        <v>0</v>
      </c>
      <c r="AI540" s="1">
        <f>value(IFERROR(SUBSTITUTE(SUBSTITUTE(VLOOKUP($A540,'Quarterly Pipeline vs Target Pi'!$A:$V,22,false)," $","")," €",""), "")
)</f>
        <v>0</v>
      </c>
      <c r="AJ540" s="17" t="str">
        <f t="shared" si="12"/>
        <v/>
      </c>
      <c r="AK540" s="1">
        <f t="shared" ref="AK540:AL540" si="1093">sum(Y540,AB540,AE540,AH540)</f>
        <v>0</v>
      </c>
      <c r="AL540" s="1">
        <f t="shared" si="1093"/>
        <v>0</v>
      </c>
      <c r="AM540" s="17" t="str">
        <f t="shared" si="14"/>
        <v/>
      </c>
      <c r="AN540" s="1">
        <f>value(IFERROR(SUBSTITUTE(SUBSTITUTE(VLOOKUP($A540,'Quarterly Pipeline vs Target Pi'!$A:$AP,26,false)," $","")," €",""), "")
)</f>
        <v>0</v>
      </c>
      <c r="AO540" s="1">
        <f>value(IFERROR(SUBSTITUTE(SUBSTITUTE(VLOOKUP($A540,'Quarterly Pipeline vs Target Pi'!$A:$AP,27,false)," $","")," €",""), "")
)</f>
        <v>0</v>
      </c>
      <c r="AP540" s="17" t="str">
        <f t="shared" si="15"/>
        <v/>
      </c>
      <c r="AQ540" s="1">
        <f>value(IFERROR(SUBSTITUTE(SUBSTITUTE(VLOOKUP($A540,'Quarterly Pipeline vs Target Pi'!$A:$AP,31,false)," $","")," €",""), "")
)</f>
        <v>0</v>
      </c>
      <c r="AR540" s="1">
        <f>value(IFERROR(SUBSTITUTE(SUBSTITUTE(VLOOKUP($A540,'Quarterly Pipeline vs Target Pi'!$A:$AP,32,false)," $","")," €",""), "")
)</f>
        <v>0</v>
      </c>
      <c r="AS540" s="17" t="str">
        <f t="shared" si="16"/>
        <v/>
      </c>
      <c r="AT540" s="1">
        <f>value(IFERROR(SUBSTITUTE(SUBSTITUTE(VLOOKUP($A540,'Quarterly Pipeline vs Target Pi'!$A:$AP,36,false)," $","")," €",""), "")
)</f>
        <v>0</v>
      </c>
      <c r="AU540" s="1">
        <f>value(IFERROR(SUBSTITUTE(SUBSTITUTE(VLOOKUP($A540,'Quarterly Pipeline vs Target Pi'!$A:$AP,37,false)," $","")," €",""), "")
)</f>
        <v>0</v>
      </c>
      <c r="AV540" s="17" t="str">
        <f t="shared" si="17"/>
        <v/>
      </c>
      <c r="AW540" s="1">
        <f>value(IFERROR(SUBSTITUTE(SUBSTITUTE(VLOOKUP($A540,'Quarterly Pipeline vs Target Pi'!$A:$AP,41,false)," $","")," €",""), "")
)</f>
        <v>0</v>
      </c>
      <c r="AX540" s="1">
        <f>value(IFERROR(SUBSTITUTE(SUBSTITUTE(VLOOKUP($A540,'Quarterly Pipeline vs Target Pi'!$A:$AP,42,false)," $","")," €",""), "")
)</f>
        <v>0</v>
      </c>
      <c r="AY540" s="17" t="str">
        <f t="shared" si="18"/>
        <v/>
      </c>
      <c r="AZ540" s="1">
        <f t="shared" ref="AZ540:BA540" si="1094">sum(AN540,AQ540,AT540,AW540)</f>
        <v>0</v>
      </c>
      <c r="BA540" s="1">
        <f t="shared" si="1094"/>
        <v>0</v>
      </c>
      <c r="BB540" s="17" t="str">
        <f t="shared" si="20"/>
        <v/>
      </c>
    </row>
    <row r="541">
      <c r="G541" s="1" t="str">
        <f>iferror(VLOOKUP(A541,'Business Plan Setup and Accepta'!A:G,6,false),"")</f>
        <v/>
      </c>
      <c r="H541" s="1" t="str">
        <f>iferror(VLOOKUP(A541,'Business Plan Setup and Accepta'!A:G,7,false),"")</f>
        <v/>
      </c>
      <c r="I541" s="17"/>
      <c r="J541" s="1" t="str">
        <f>IFERROR(VALUE(SUBSTITUTE(VLOOKUP(A541,'Sales IN Revenues vs Sales targ'!A:G,6,false)," $","")), "")
</f>
        <v/>
      </c>
      <c r="K541" s="1" t="str">
        <f>IFERROR(VALUE(SUBSTITUTE(VLOOKUP(A541,'Sales IN Revenues vs Sales targ'!A:G,7,false)," $","")), "")
</f>
        <v/>
      </c>
      <c r="L541" s="17"/>
      <c r="M541" s="1">
        <f>value(SUBSTITUTE(IFERROR(VLOOKUP(A541,'Certifications achievements vs '!A:G,6,false),""),"#","")
)</f>
        <v>0</v>
      </c>
      <c r="N541" s="1">
        <f>value(SUBSTITUTE(IFERROR(VLOOKUP(A541,'Certifications achievements vs '!A:G,7,false),""),"#","")
)</f>
        <v>0</v>
      </c>
      <c r="O541" s="17"/>
      <c r="P541" s="1">
        <f>value(SUBSTITUTE(IFERROR(VLOOKUP(A541,'Communications - Solution Speci'!A:G,6,false),""),"#","")
)</f>
        <v>0</v>
      </c>
      <c r="Q541" s="1">
        <f>value(SUBSTITUTE(IFERROR(VLOOKUP(A541,'Communications - Solution Speci'!A:G,7,false),""),"#","")
)</f>
        <v>0</v>
      </c>
      <c r="R541" s="17" t="str">
        <f t="shared" si="6"/>
        <v/>
      </c>
      <c r="S541" s="1">
        <f>value(SUBSTITUTE(IFERROR(VLOOKUP(A541,'Networking - Solution Specializ'!A:G,6,false),""),"#","")
)</f>
        <v>0</v>
      </c>
      <c r="T541" s="1">
        <f>value(SUBSTITUTE(IFERROR(VLOOKUP(A541,'Networking - Solution Specializ'!A:G,7,false),""),"#","")
)</f>
        <v>0</v>
      </c>
      <c r="U541" s="17" t="str">
        <f t="shared" si="7"/>
        <v/>
      </c>
      <c r="V541" s="1" t="str">
        <f>iferror(vlookup(A541,'Marketing Plan (extract summary'!A:G,6,false),"")</f>
        <v/>
      </c>
      <c r="W541" s="1" t="str">
        <f>iferror(vlookup(A541,'Marketing Plan (extract summary'!A:G,7,false),"")</f>
        <v/>
      </c>
      <c r="X541" s="17"/>
      <c r="Y541" s="1">
        <f>value(IFERROR(SUBSTITUTE(SUBSTITUTE(VLOOKUP(A541,'Quarterly Pipeline vs Target Pi'!A:G,6,false)," $","")," €",""), "")
)</f>
        <v>0</v>
      </c>
      <c r="Z541" s="1">
        <f>value(IFERROR(SUBSTITUTE(SUBSTITUTE(VLOOKUP(A541,'Quarterly Pipeline vs Target Pi'!A:G,7,false)," $","")," €",""), "")
)</f>
        <v>0</v>
      </c>
      <c r="AA541" s="17" t="str">
        <f t="shared" si="9"/>
        <v/>
      </c>
      <c r="AB541" s="1">
        <f>value(IFERROR(SUBSTITUTE(SUBSTITUTE(VLOOKUP($A541,'Quarterly Pipeline vs Target Pi'!$A:$V,11,false)," $","")," €",""), "")
)</f>
        <v>0</v>
      </c>
      <c r="AC541" s="1">
        <f>value(IFERROR(SUBSTITUTE(SUBSTITUTE(VLOOKUP($A541,'Quarterly Pipeline vs Target Pi'!$A:$V,12,false)," $","")," €",""), "")
)</f>
        <v>0</v>
      </c>
      <c r="AD541" s="17" t="str">
        <f t="shared" si="10"/>
        <v/>
      </c>
      <c r="AE541" s="1">
        <f>value(IFERROR(SUBSTITUTE(SUBSTITUTE(VLOOKUP($A541,'Quarterly Pipeline vs Target Pi'!$A:$V,16,false)," $","")," €",""), "")
)</f>
        <v>0</v>
      </c>
      <c r="AF541" s="1">
        <f>value(IFERROR(SUBSTITUTE(SUBSTITUTE(VLOOKUP($A541,'Quarterly Pipeline vs Target Pi'!$A:$V,17,false)," $","")," €",""), "")
)</f>
        <v>0</v>
      </c>
      <c r="AG541" s="17" t="str">
        <f t="shared" si="11"/>
        <v/>
      </c>
      <c r="AH541" s="1">
        <f>value(IFERROR(SUBSTITUTE(SUBSTITUTE(VLOOKUP($A541,'Quarterly Pipeline vs Target Pi'!$A:$V,21,false)," $","")," €",""), "")
)</f>
        <v>0</v>
      </c>
      <c r="AI541" s="1">
        <f>value(IFERROR(SUBSTITUTE(SUBSTITUTE(VLOOKUP($A541,'Quarterly Pipeline vs Target Pi'!$A:$V,22,false)," $","")," €",""), "")
)</f>
        <v>0</v>
      </c>
      <c r="AJ541" s="17" t="str">
        <f t="shared" si="12"/>
        <v/>
      </c>
      <c r="AK541" s="1">
        <f t="shared" ref="AK541:AL541" si="1095">sum(Y541,AB541,AE541,AH541)</f>
        <v>0</v>
      </c>
      <c r="AL541" s="1">
        <f t="shared" si="1095"/>
        <v>0</v>
      </c>
      <c r="AM541" s="17" t="str">
        <f t="shared" si="14"/>
        <v/>
      </c>
      <c r="AN541" s="1">
        <f>value(IFERROR(SUBSTITUTE(SUBSTITUTE(VLOOKUP($A541,'Quarterly Pipeline vs Target Pi'!$A:$AP,26,false)," $","")," €",""), "")
)</f>
        <v>0</v>
      </c>
      <c r="AO541" s="1">
        <f>value(IFERROR(SUBSTITUTE(SUBSTITUTE(VLOOKUP($A541,'Quarterly Pipeline vs Target Pi'!$A:$AP,27,false)," $","")," €",""), "")
)</f>
        <v>0</v>
      </c>
      <c r="AP541" s="17" t="str">
        <f t="shared" si="15"/>
        <v/>
      </c>
      <c r="AQ541" s="1">
        <f>value(IFERROR(SUBSTITUTE(SUBSTITUTE(VLOOKUP($A541,'Quarterly Pipeline vs Target Pi'!$A:$AP,31,false)," $","")," €",""), "")
)</f>
        <v>0</v>
      </c>
      <c r="AR541" s="1">
        <f>value(IFERROR(SUBSTITUTE(SUBSTITUTE(VLOOKUP($A541,'Quarterly Pipeline vs Target Pi'!$A:$AP,32,false)," $","")," €",""), "")
)</f>
        <v>0</v>
      </c>
      <c r="AS541" s="17" t="str">
        <f t="shared" si="16"/>
        <v/>
      </c>
      <c r="AT541" s="1">
        <f>value(IFERROR(SUBSTITUTE(SUBSTITUTE(VLOOKUP($A541,'Quarterly Pipeline vs Target Pi'!$A:$AP,36,false)," $","")," €",""), "")
)</f>
        <v>0</v>
      </c>
      <c r="AU541" s="1">
        <f>value(IFERROR(SUBSTITUTE(SUBSTITUTE(VLOOKUP($A541,'Quarterly Pipeline vs Target Pi'!$A:$AP,37,false)," $","")," €",""), "")
)</f>
        <v>0</v>
      </c>
      <c r="AV541" s="17" t="str">
        <f t="shared" si="17"/>
        <v/>
      </c>
      <c r="AW541" s="1">
        <f>value(IFERROR(SUBSTITUTE(SUBSTITUTE(VLOOKUP($A541,'Quarterly Pipeline vs Target Pi'!$A:$AP,41,false)," $","")," €",""), "")
)</f>
        <v>0</v>
      </c>
      <c r="AX541" s="1">
        <f>value(IFERROR(SUBSTITUTE(SUBSTITUTE(VLOOKUP($A541,'Quarterly Pipeline vs Target Pi'!$A:$AP,42,false)," $","")," €",""), "")
)</f>
        <v>0</v>
      </c>
      <c r="AY541" s="17" t="str">
        <f t="shared" si="18"/>
        <v/>
      </c>
      <c r="AZ541" s="1">
        <f t="shared" ref="AZ541:BA541" si="1096">sum(AN541,AQ541,AT541,AW541)</f>
        <v>0</v>
      </c>
      <c r="BA541" s="1">
        <f t="shared" si="1096"/>
        <v>0</v>
      </c>
      <c r="BB541" s="17" t="str">
        <f t="shared" si="20"/>
        <v/>
      </c>
    </row>
    <row r="542">
      <c r="G542" s="1" t="str">
        <f>iferror(VLOOKUP(A542,'Business Plan Setup and Accepta'!A:G,6,false),"")</f>
        <v/>
      </c>
      <c r="H542" s="1" t="str">
        <f>iferror(VLOOKUP(A542,'Business Plan Setup and Accepta'!A:G,7,false),"")</f>
        <v/>
      </c>
      <c r="I542" s="17"/>
      <c r="J542" s="1" t="str">
        <f>IFERROR(VALUE(SUBSTITUTE(VLOOKUP(A542,'Sales IN Revenues vs Sales targ'!A:G,6,false)," $","")), "")
</f>
        <v/>
      </c>
      <c r="K542" s="1" t="str">
        <f>IFERROR(VALUE(SUBSTITUTE(VLOOKUP(A542,'Sales IN Revenues vs Sales targ'!A:G,7,false)," $","")), "")
</f>
        <v/>
      </c>
      <c r="L542" s="17"/>
      <c r="M542" s="1">
        <f>value(SUBSTITUTE(IFERROR(VLOOKUP(A542,'Certifications achievements vs '!A:G,6,false),""),"#","")
)</f>
        <v>0</v>
      </c>
      <c r="N542" s="1">
        <f>value(SUBSTITUTE(IFERROR(VLOOKUP(A542,'Certifications achievements vs '!A:G,7,false),""),"#","")
)</f>
        <v>0</v>
      </c>
      <c r="O542" s="17"/>
      <c r="P542" s="1">
        <f>value(SUBSTITUTE(IFERROR(VLOOKUP(A542,'Communications - Solution Speci'!A:G,6,false),""),"#","")
)</f>
        <v>0</v>
      </c>
      <c r="Q542" s="1">
        <f>value(SUBSTITUTE(IFERROR(VLOOKUP(A542,'Communications - Solution Speci'!A:G,7,false),""),"#","")
)</f>
        <v>0</v>
      </c>
      <c r="R542" s="17" t="str">
        <f t="shared" si="6"/>
        <v/>
      </c>
      <c r="S542" s="1">
        <f>value(SUBSTITUTE(IFERROR(VLOOKUP(A542,'Networking - Solution Specializ'!A:G,6,false),""),"#","")
)</f>
        <v>0</v>
      </c>
      <c r="T542" s="1">
        <f>value(SUBSTITUTE(IFERROR(VLOOKUP(A542,'Networking - Solution Specializ'!A:G,7,false),""),"#","")
)</f>
        <v>0</v>
      </c>
      <c r="U542" s="17" t="str">
        <f t="shared" si="7"/>
        <v/>
      </c>
      <c r="V542" s="1" t="str">
        <f>iferror(vlookup(A542,'Marketing Plan (extract summary'!A:G,6,false),"")</f>
        <v/>
      </c>
      <c r="W542" s="1" t="str">
        <f>iferror(vlookup(A542,'Marketing Plan (extract summary'!A:G,7,false),"")</f>
        <v/>
      </c>
      <c r="X542" s="17"/>
      <c r="Y542" s="1">
        <f>value(IFERROR(SUBSTITUTE(SUBSTITUTE(VLOOKUP(A542,'Quarterly Pipeline vs Target Pi'!A:G,6,false)," $","")," €",""), "")
)</f>
        <v>0</v>
      </c>
      <c r="Z542" s="1">
        <f>value(IFERROR(SUBSTITUTE(SUBSTITUTE(VLOOKUP(A542,'Quarterly Pipeline vs Target Pi'!A:G,7,false)," $","")," €",""), "")
)</f>
        <v>0</v>
      </c>
      <c r="AA542" s="17" t="str">
        <f t="shared" si="9"/>
        <v/>
      </c>
      <c r="AB542" s="1">
        <f>value(IFERROR(SUBSTITUTE(SUBSTITUTE(VLOOKUP($A542,'Quarterly Pipeline vs Target Pi'!$A:$V,11,false)," $","")," €",""), "")
)</f>
        <v>0</v>
      </c>
      <c r="AC542" s="1">
        <f>value(IFERROR(SUBSTITUTE(SUBSTITUTE(VLOOKUP($A542,'Quarterly Pipeline vs Target Pi'!$A:$V,12,false)," $","")," €",""), "")
)</f>
        <v>0</v>
      </c>
      <c r="AD542" s="17" t="str">
        <f t="shared" si="10"/>
        <v/>
      </c>
      <c r="AE542" s="1">
        <f>value(IFERROR(SUBSTITUTE(SUBSTITUTE(VLOOKUP($A542,'Quarterly Pipeline vs Target Pi'!$A:$V,16,false)," $","")," €",""), "")
)</f>
        <v>0</v>
      </c>
      <c r="AF542" s="1">
        <f>value(IFERROR(SUBSTITUTE(SUBSTITUTE(VLOOKUP($A542,'Quarterly Pipeline vs Target Pi'!$A:$V,17,false)," $","")," €",""), "")
)</f>
        <v>0</v>
      </c>
      <c r="AG542" s="17" t="str">
        <f t="shared" si="11"/>
        <v/>
      </c>
      <c r="AH542" s="1">
        <f>value(IFERROR(SUBSTITUTE(SUBSTITUTE(VLOOKUP($A542,'Quarterly Pipeline vs Target Pi'!$A:$V,21,false)," $","")," €",""), "")
)</f>
        <v>0</v>
      </c>
      <c r="AI542" s="1">
        <f>value(IFERROR(SUBSTITUTE(SUBSTITUTE(VLOOKUP($A542,'Quarterly Pipeline vs Target Pi'!$A:$V,22,false)," $","")," €",""), "")
)</f>
        <v>0</v>
      </c>
      <c r="AJ542" s="17" t="str">
        <f t="shared" si="12"/>
        <v/>
      </c>
      <c r="AK542" s="1">
        <f t="shared" ref="AK542:AL542" si="1097">sum(Y542,AB542,AE542,AH542)</f>
        <v>0</v>
      </c>
      <c r="AL542" s="1">
        <f t="shared" si="1097"/>
        <v>0</v>
      </c>
      <c r="AM542" s="17" t="str">
        <f t="shared" si="14"/>
        <v/>
      </c>
      <c r="AN542" s="1">
        <f>value(IFERROR(SUBSTITUTE(SUBSTITUTE(VLOOKUP($A542,'Quarterly Pipeline vs Target Pi'!$A:$AP,26,false)," $","")," €",""), "")
)</f>
        <v>0</v>
      </c>
      <c r="AO542" s="1">
        <f>value(IFERROR(SUBSTITUTE(SUBSTITUTE(VLOOKUP($A542,'Quarterly Pipeline vs Target Pi'!$A:$AP,27,false)," $","")," €",""), "")
)</f>
        <v>0</v>
      </c>
      <c r="AP542" s="17" t="str">
        <f t="shared" si="15"/>
        <v/>
      </c>
      <c r="AQ542" s="1">
        <f>value(IFERROR(SUBSTITUTE(SUBSTITUTE(VLOOKUP($A542,'Quarterly Pipeline vs Target Pi'!$A:$AP,31,false)," $","")," €",""), "")
)</f>
        <v>0</v>
      </c>
      <c r="AR542" s="1">
        <f>value(IFERROR(SUBSTITUTE(SUBSTITUTE(VLOOKUP($A542,'Quarterly Pipeline vs Target Pi'!$A:$AP,32,false)," $","")," €",""), "")
)</f>
        <v>0</v>
      </c>
      <c r="AS542" s="17" t="str">
        <f t="shared" si="16"/>
        <v/>
      </c>
      <c r="AT542" s="1">
        <f>value(IFERROR(SUBSTITUTE(SUBSTITUTE(VLOOKUP($A542,'Quarterly Pipeline vs Target Pi'!$A:$AP,36,false)," $","")," €",""), "")
)</f>
        <v>0</v>
      </c>
      <c r="AU542" s="1">
        <f>value(IFERROR(SUBSTITUTE(SUBSTITUTE(VLOOKUP($A542,'Quarterly Pipeline vs Target Pi'!$A:$AP,37,false)," $","")," €",""), "")
)</f>
        <v>0</v>
      </c>
      <c r="AV542" s="17" t="str">
        <f t="shared" si="17"/>
        <v/>
      </c>
      <c r="AW542" s="1">
        <f>value(IFERROR(SUBSTITUTE(SUBSTITUTE(VLOOKUP($A542,'Quarterly Pipeline vs Target Pi'!$A:$AP,41,false)," $","")," €",""), "")
)</f>
        <v>0</v>
      </c>
      <c r="AX542" s="1">
        <f>value(IFERROR(SUBSTITUTE(SUBSTITUTE(VLOOKUP($A542,'Quarterly Pipeline vs Target Pi'!$A:$AP,42,false)," $","")," €",""), "")
)</f>
        <v>0</v>
      </c>
      <c r="AY542" s="17" t="str">
        <f t="shared" si="18"/>
        <v/>
      </c>
      <c r="AZ542" s="1">
        <f t="shared" ref="AZ542:BA542" si="1098">sum(AN542,AQ542,AT542,AW542)</f>
        <v>0</v>
      </c>
      <c r="BA542" s="1">
        <f t="shared" si="1098"/>
        <v>0</v>
      </c>
      <c r="BB542" s="17" t="str">
        <f t="shared" si="20"/>
        <v/>
      </c>
    </row>
    <row r="543">
      <c r="G543" s="1" t="str">
        <f>iferror(VLOOKUP(A543,'Business Plan Setup and Accepta'!A:G,6,false),"")</f>
        <v/>
      </c>
      <c r="H543" s="1" t="str">
        <f>iferror(VLOOKUP(A543,'Business Plan Setup and Accepta'!A:G,7,false),"")</f>
        <v/>
      </c>
      <c r="I543" s="17"/>
      <c r="J543" s="1" t="str">
        <f>IFERROR(VALUE(SUBSTITUTE(VLOOKUP(A543,'Sales IN Revenues vs Sales targ'!A:G,6,false)," $","")), "")
</f>
        <v/>
      </c>
      <c r="K543" s="1" t="str">
        <f>IFERROR(VALUE(SUBSTITUTE(VLOOKUP(A543,'Sales IN Revenues vs Sales targ'!A:G,7,false)," $","")), "")
</f>
        <v/>
      </c>
      <c r="L543" s="17"/>
      <c r="M543" s="1">
        <f>value(SUBSTITUTE(IFERROR(VLOOKUP(A543,'Certifications achievements vs '!A:G,6,false),""),"#","")
)</f>
        <v>0</v>
      </c>
      <c r="N543" s="1">
        <f>value(SUBSTITUTE(IFERROR(VLOOKUP(A543,'Certifications achievements vs '!A:G,7,false),""),"#","")
)</f>
        <v>0</v>
      </c>
      <c r="O543" s="17"/>
      <c r="P543" s="1">
        <f>value(SUBSTITUTE(IFERROR(VLOOKUP(A543,'Communications - Solution Speci'!A:G,6,false),""),"#","")
)</f>
        <v>0</v>
      </c>
      <c r="Q543" s="1">
        <f>value(SUBSTITUTE(IFERROR(VLOOKUP(A543,'Communications - Solution Speci'!A:G,7,false),""),"#","")
)</f>
        <v>0</v>
      </c>
      <c r="R543" s="17" t="str">
        <f t="shared" si="6"/>
        <v/>
      </c>
      <c r="S543" s="1">
        <f>value(SUBSTITUTE(IFERROR(VLOOKUP(A543,'Networking - Solution Specializ'!A:G,6,false),""),"#","")
)</f>
        <v>0</v>
      </c>
      <c r="T543" s="1">
        <f>value(SUBSTITUTE(IFERROR(VLOOKUP(A543,'Networking - Solution Specializ'!A:G,7,false),""),"#","")
)</f>
        <v>0</v>
      </c>
      <c r="U543" s="17" t="str">
        <f t="shared" si="7"/>
        <v/>
      </c>
      <c r="V543" s="1" t="str">
        <f>iferror(vlookup(A543,'Marketing Plan (extract summary'!A:G,6,false),"")</f>
        <v/>
      </c>
      <c r="W543" s="1" t="str">
        <f>iferror(vlookup(A543,'Marketing Plan (extract summary'!A:G,7,false),"")</f>
        <v/>
      </c>
      <c r="X543" s="17"/>
      <c r="Y543" s="1">
        <f>value(IFERROR(SUBSTITUTE(SUBSTITUTE(VLOOKUP(A543,'Quarterly Pipeline vs Target Pi'!A:G,6,false)," $","")," €",""), "")
)</f>
        <v>0</v>
      </c>
      <c r="Z543" s="1">
        <f>value(IFERROR(SUBSTITUTE(SUBSTITUTE(VLOOKUP(A543,'Quarterly Pipeline vs Target Pi'!A:G,7,false)," $","")," €",""), "")
)</f>
        <v>0</v>
      </c>
      <c r="AA543" s="17" t="str">
        <f t="shared" si="9"/>
        <v/>
      </c>
      <c r="AB543" s="1">
        <f>value(IFERROR(SUBSTITUTE(SUBSTITUTE(VLOOKUP($A543,'Quarterly Pipeline vs Target Pi'!$A:$V,11,false)," $","")," €",""), "")
)</f>
        <v>0</v>
      </c>
      <c r="AC543" s="1">
        <f>value(IFERROR(SUBSTITUTE(SUBSTITUTE(VLOOKUP($A543,'Quarterly Pipeline vs Target Pi'!$A:$V,12,false)," $","")," €",""), "")
)</f>
        <v>0</v>
      </c>
      <c r="AD543" s="17" t="str">
        <f t="shared" si="10"/>
        <v/>
      </c>
      <c r="AE543" s="1">
        <f>value(IFERROR(SUBSTITUTE(SUBSTITUTE(VLOOKUP($A543,'Quarterly Pipeline vs Target Pi'!$A:$V,16,false)," $","")," €",""), "")
)</f>
        <v>0</v>
      </c>
      <c r="AF543" s="1">
        <f>value(IFERROR(SUBSTITUTE(SUBSTITUTE(VLOOKUP($A543,'Quarterly Pipeline vs Target Pi'!$A:$V,17,false)," $","")," €",""), "")
)</f>
        <v>0</v>
      </c>
      <c r="AG543" s="17" t="str">
        <f t="shared" si="11"/>
        <v/>
      </c>
      <c r="AH543" s="1">
        <f>value(IFERROR(SUBSTITUTE(SUBSTITUTE(VLOOKUP($A543,'Quarterly Pipeline vs Target Pi'!$A:$V,21,false)," $","")," €",""), "")
)</f>
        <v>0</v>
      </c>
      <c r="AI543" s="1">
        <f>value(IFERROR(SUBSTITUTE(SUBSTITUTE(VLOOKUP($A543,'Quarterly Pipeline vs Target Pi'!$A:$V,22,false)," $","")," €",""), "")
)</f>
        <v>0</v>
      </c>
      <c r="AJ543" s="17" t="str">
        <f t="shared" si="12"/>
        <v/>
      </c>
      <c r="AK543" s="1">
        <f t="shared" ref="AK543:AL543" si="1099">sum(Y543,AB543,AE543,AH543)</f>
        <v>0</v>
      </c>
      <c r="AL543" s="1">
        <f t="shared" si="1099"/>
        <v>0</v>
      </c>
      <c r="AM543" s="17" t="str">
        <f t="shared" si="14"/>
        <v/>
      </c>
      <c r="AN543" s="1">
        <f>value(IFERROR(SUBSTITUTE(SUBSTITUTE(VLOOKUP($A543,'Quarterly Pipeline vs Target Pi'!$A:$AP,26,false)," $","")," €",""), "")
)</f>
        <v>0</v>
      </c>
      <c r="AO543" s="1">
        <f>value(IFERROR(SUBSTITUTE(SUBSTITUTE(VLOOKUP($A543,'Quarterly Pipeline vs Target Pi'!$A:$AP,27,false)," $","")," €",""), "")
)</f>
        <v>0</v>
      </c>
      <c r="AP543" s="17" t="str">
        <f t="shared" si="15"/>
        <v/>
      </c>
      <c r="AQ543" s="1">
        <f>value(IFERROR(SUBSTITUTE(SUBSTITUTE(VLOOKUP($A543,'Quarterly Pipeline vs Target Pi'!$A:$AP,31,false)," $","")," €",""), "")
)</f>
        <v>0</v>
      </c>
      <c r="AR543" s="1">
        <f>value(IFERROR(SUBSTITUTE(SUBSTITUTE(VLOOKUP($A543,'Quarterly Pipeline vs Target Pi'!$A:$AP,32,false)," $","")," €",""), "")
)</f>
        <v>0</v>
      </c>
      <c r="AS543" s="17" t="str">
        <f t="shared" si="16"/>
        <v/>
      </c>
      <c r="AT543" s="1">
        <f>value(IFERROR(SUBSTITUTE(SUBSTITUTE(VLOOKUP($A543,'Quarterly Pipeline vs Target Pi'!$A:$AP,36,false)," $","")," €",""), "")
)</f>
        <v>0</v>
      </c>
      <c r="AU543" s="1">
        <f>value(IFERROR(SUBSTITUTE(SUBSTITUTE(VLOOKUP($A543,'Quarterly Pipeline vs Target Pi'!$A:$AP,37,false)," $","")," €",""), "")
)</f>
        <v>0</v>
      </c>
      <c r="AV543" s="17" t="str">
        <f t="shared" si="17"/>
        <v/>
      </c>
      <c r="AW543" s="1">
        <f>value(IFERROR(SUBSTITUTE(SUBSTITUTE(VLOOKUP($A543,'Quarterly Pipeline vs Target Pi'!$A:$AP,41,false)," $","")," €",""), "")
)</f>
        <v>0</v>
      </c>
      <c r="AX543" s="1">
        <f>value(IFERROR(SUBSTITUTE(SUBSTITUTE(VLOOKUP($A543,'Quarterly Pipeline vs Target Pi'!$A:$AP,42,false)," $","")," €",""), "")
)</f>
        <v>0</v>
      </c>
      <c r="AY543" s="17" t="str">
        <f t="shared" si="18"/>
        <v/>
      </c>
      <c r="AZ543" s="1">
        <f t="shared" ref="AZ543:BA543" si="1100">sum(AN543,AQ543,AT543,AW543)</f>
        <v>0</v>
      </c>
      <c r="BA543" s="1">
        <f t="shared" si="1100"/>
        <v>0</v>
      </c>
      <c r="BB543" s="17" t="str">
        <f t="shared" si="20"/>
        <v/>
      </c>
    </row>
    <row r="544">
      <c r="G544" s="1" t="str">
        <f>iferror(VLOOKUP(A544,'Business Plan Setup and Accepta'!A:G,6,false),"")</f>
        <v/>
      </c>
      <c r="H544" s="1" t="str">
        <f>iferror(VLOOKUP(A544,'Business Plan Setup and Accepta'!A:G,7,false),"")</f>
        <v/>
      </c>
      <c r="I544" s="17"/>
      <c r="J544" s="1" t="str">
        <f>IFERROR(VALUE(SUBSTITUTE(VLOOKUP(A544,'Sales IN Revenues vs Sales targ'!A:G,6,false)," $","")), "")
</f>
        <v/>
      </c>
      <c r="K544" s="1" t="str">
        <f>IFERROR(VALUE(SUBSTITUTE(VLOOKUP(A544,'Sales IN Revenues vs Sales targ'!A:G,7,false)," $","")), "")
</f>
        <v/>
      </c>
      <c r="L544" s="17"/>
      <c r="M544" s="1">
        <f>value(SUBSTITUTE(IFERROR(VLOOKUP(A544,'Certifications achievements vs '!A:G,6,false),""),"#","")
)</f>
        <v>0</v>
      </c>
      <c r="N544" s="1">
        <f>value(SUBSTITUTE(IFERROR(VLOOKUP(A544,'Certifications achievements vs '!A:G,7,false),""),"#","")
)</f>
        <v>0</v>
      </c>
      <c r="O544" s="17"/>
      <c r="P544" s="1">
        <f>value(SUBSTITUTE(IFERROR(VLOOKUP(A544,'Communications - Solution Speci'!A:G,6,false),""),"#","")
)</f>
        <v>0</v>
      </c>
      <c r="Q544" s="1">
        <f>value(SUBSTITUTE(IFERROR(VLOOKUP(A544,'Communications - Solution Speci'!A:G,7,false),""),"#","")
)</f>
        <v>0</v>
      </c>
      <c r="R544" s="17" t="str">
        <f t="shared" si="6"/>
        <v/>
      </c>
      <c r="S544" s="1">
        <f>value(SUBSTITUTE(IFERROR(VLOOKUP(A544,'Networking - Solution Specializ'!A:G,6,false),""),"#","")
)</f>
        <v>0</v>
      </c>
      <c r="T544" s="1">
        <f>value(SUBSTITUTE(IFERROR(VLOOKUP(A544,'Networking - Solution Specializ'!A:G,7,false),""),"#","")
)</f>
        <v>0</v>
      </c>
      <c r="U544" s="17" t="str">
        <f t="shared" si="7"/>
        <v/>
      </c>
      <c r="V544" s="1" t="str">
        <f>iferror(vlookup(A544,'Marketing Plan (extract summary'!A:G,6,false),"")</f>
        <v/>
      </c>
      <c r="W544" s="1" t="str">
        <f>iferror(vlookup(A544,'Marketing Plan (extract summary'!A:G,7,false),"")</f>
        <v/>
      </c>
      <c r="X544" s="17"/>
      <c r="Y544" s="1">
        <f>value(IFERROR(SUBSTITUTE(SUBSTITUTE(VLOOKUP(A544,'Quarterly Pipeline vs Target Pi'!A:G,6,false)," $","")," €",""), "")
)</f>
        <v>0</v>
      </c>
      <c r="Z544" s="1">
        <f>value(IFERROR(SUBSTITUTE(SUBSTITUTE(VLOOKUP(A544,'Quarterly Pipeline vs Target Pi'!A:G,7,false)," $","")," €",""), "")
)</f>
        <v>0</v>
      </c>
      <c r="AA544" s="17" t="str">
        <f t="shared" si="9"/>
        <v/>
      </c>
      <c r="AB544" s="1">
        <f>value(IFERROR(SUBSTITUTE(SUBSTITUTE(VLOOKUP($A544,'Quarterly Pipeline vs Target Pi'!$A:$V,11,false)," $","")," €",""), "")
)</f>
        <v>0</v>
      </c>
      <c r="AC544" s="1">
        <f>value(IFERROR(SUBSTITUTE(SUBSTITUTE(VLOOKUP($A544,'Quarterly Pipeline vs Target Pi'!$A:$V,12,false)," $","")," €",""), "")
)</f>
        <v>0</v>
      </c>
      <c r="AD544" s="17" t="str">
        <f t="shared" si="10"/>
        <v/>
      </c>
      <c r="AE544" s="1">
        <f>value(IFERROR(SUBSTITUTE(SUBSTITUTE(VLOOKUP($A544,'Quarterly Pipeline vs Target Pi'!$A:$V,16,false)," $","")," €",""), "")
)</f>
        <v>0</v>
      </c>
      <c r="AF544" s="1">
        <f>value(IFERROR(SUBSTITUTE(SUBSTITUTE(VLOOKUP($A544,'Quarterly Pipeline vs Target Pi'!$A:$V,17,false)," $","")," €",""), "")
)</f>
        <v>0</v>
      </c>
      <c r="AG544" s="17" t="str">
        <f t="shared" si="11"/>
        <v/>
      </c>
      <c r="AH544" s="1">
        <f>value(IFERROR(SUBSTITUTE(SUBSTITUTE(VLOOKUP($A544,'Quarterly Pipeline vs Target Pi'!$A:$V,21,false)," $","")," €",""), "")
)</f>
        <v>0</v>
      </c>
      <c r="AI544" s="1">
        <f>value(IFERROR(SUBSTITUTE(SUBSTITUTE(VLOOKUP($A544,'Quarterly Pipeline vs Target Pi'!$A:$V,22,false)," $","")," €",""), "")
)</f>
        <v>0</v>
      </c>
      <c r="AJ544" s="17" t="str">
        <f t="shared" si="12"/>
        <v/>
      </c>
      <c r="AK544" s="1">
        <f t="shared" ref="AK544:AL544" si="1101">sum(Y544,AB544,AE544,AH544)</f>
        <v>0</v>
      </c>
      <c r="AL544" s="1">
        <f t="shared" si="1101"/>
        <v>0</v>
      </c>
      <c r="AM544" s="17" t="str">
        <f t="shared" si="14"/>
        <v/>
      </c>
      <c r="AN544" s="1">
        <f>value(IFERROR(SUBSTITUTE(SUBSTITUTE(VLOOKUP($A544,'Quarterly Pipeline vs Target Pi'!$A:$AP,26,false)," $","")," €",""), "")
)</f>
        <v>0</v>
      </c>
      <c r="AO544" s="1">
        <f>value(IFERROR(SUBSTITUTE(SUBSTITUTE(VLOOKUP($A544,'Quarterly Pipeline vs Target Pi'!$A:$AP,27,false)," $","")," €",""), "")
)</f>
        <v>0</v>
      </c>
      <c r="AP544" s="17" t="str">
        <f t="shared" si="15"/>
        <v/>
      </c>
      <c r="AQ544" s="1">
        <f>value(IFERROR(SUBSTITUTE(SUBSTITUTE(VLOOKUP($A544,'Quarterly Pipeline vs Target Pi'!$A:$AP,31,false)," $","")," €",""), "")
)</f>
        <v>0</v>
      </c>
      <c r="AR544" s="1">
        <f>value(IFERROR(SUBSTITUTE(SUBSTITUTE(VLOOKUP($A544,'Quarterly Pipeline vs Target Pi'!$A:$AP,32,false)," $","")," €",""), "")
)</f>
        <v>0</v>
      </c>
      <c r="AS544" s="17" t="str">
        <f t="shared" si="16"/>
        <v/>
      </c>
      <c r="AT544" s="1">
        <f>value(IFERROR(SUBSTITUTE(SUBSTITUTE(VLOOKUP($A544,'Quarterly Pipeline vs Target Pi'!$A:$AP,36,false)," $","")," €",""), "")
)</f>
        <v>0</v>
      </c>
      <c r="AU544" s="1">
        <f>value(IFERROR(SUBSTITUTE(SUBSTITUTE(VLOOKUP($A544,'Quarterly Pipeline vs Target Pi'!$A:$AP,37,false)," $","")," €",""), "")
)</f>
        <v>0</v>
      </c>
      <c r="AV544" s="17" t="str">
        <f t="shared" si="17"/>
        <v/>
      </c>
      <c r="AW544" s="1">
        <f>value(IFERROR(SUBSTITUTE(SUBSTITUTE(VLOOKUP($A544,'Quarterly Pipeline vs Target Pi'!$A:$AP,41,false)," $","")," €",""), "")
)</f>
        <v>0</v>
      </c>
      <c r="AX544" s="1">
        <f>value(IFERROR(SUBSTITUTE(SUBSTITUTE(VLOOKUP($A544,'Quarterly Pipeline vs Target Pi'!$A:$AP,42,false)," $","")," €",""), "")
)</f>
        <v>0</v>
      </c>
      <c r="AY544" s="17" t="str">
        <f t="shared" si="18"/>
        <v/>
      </c>
      <c r="AZ544" s="1">
        <f t="shared" ref="AZ544:BA544" si="1102">sum(AN544,AQ544,AT544,AW544)</f>
        <v>0</v>
      </c>
      <c r="BA544" s="1">
        <f t="shared" si="1102"/>
        <v>0</v>
      </c>
      <c r="BB544" s="17" t="str">
        <f t="shared" si="20"/>
        <v/>
      </c>
    </row>
    <row r="545">
      <c r="G545" s="1" t="str">
        <f>iferror(VLOOKUP(A545,'Business Plan Setup and Accepta'!A:G,6,false),"")</f>
        <v/>
      </c>
      <c r="H545" s="1" t="str">
        <f>iferror(VLOOKUP(A545,'Business Plan Setup and Accepta'!A:G,7,false),"")</f>
        <v/>
      </c>
      <c r="I545" s="17"/>
      <c r="J545" s="1" t="str">
        <f>IFERROR(VALUE(SUBSTITUTE(VLOOKUP(A545,'Sales IN Revenues vs Sales targ'!A:G,6,false)," $","")), "")
</f>
        <v/>
      </c>
      <c r="K545" s="1" t="str">
        <f>IFERROR(VALUE(SUBSTITUTE(VLOOKUP(A545,'Sales IN Revenues vs Sales targ'!A:G,7,false)," $","")), "")
</f>
        <v/>
      </c>
      <c r="L545" s="17"/>
      <c r="M545" s="1">
        <f>value(SUBSTITUTE(IFERROR(VLOOKUP(A545,'Certifications achievements vs '!A:G,6,false),""),"#","")
)</f>
        <v>0</v>
      </c>
      <c r="N545" s="1">
        <f>value(SUBSTITUTE(IFERROR(VLOOKUP(A545,'Certifications achievements vs '!A:G,7,false),""),"#","")
)</f>
        <v>0</v>
      </c>
      <c r="O545" s="17"/>
      <c r="P545" s="1">
        <f>value(SUBSTITUTE(IFERROR(VLOOKUP(A545,'Communications - Solution Speci'!A:G,6,false),""),"#","")
)</f>
        <v>0</v>
      </c>
      <c r="Q545" s="1">
        <f>value(SUBSTITUTE(IFERROR(VLOOKUP(A545,'Communications - Solution Speci'!A:G,7,false),""),"#","")
)</f>
        <v>0</v>
      </c>
      <c r="R545" s="17" t="str">
        <f t="shared" si="6"/>
        <v/>
      </c>
      <c r="S545" s="1">
        <f>value(SUBSTITUTE(IFERROR(VLOOKUP(A545,'Networking - Solution Specializ'!A:G,6,false),""),"#","")
)</f>
        <v>0</v>
      </c>
      <c r="T545" s="1">
        <f>value(SUBSTITUTE(IFERROR(VLOOKUP(A545,'Networking - Solution Specializ'!A:G,7,false),""),"#","")
)</f>
        <v>0</v>
      </c>
      <c r="U545" s="17" t="str">
        <f t="shared" si="7"/>
        <v/>
      </c>
      <c r="V545" s="1" t="str">
        <f>iferror(vlookup(A545,'Marketing Plan (extract summary'!A:G,6,false),"")</f>
        <v/>
      </c>
      <c r="W545" s="1" t="str">
        <f>iferror(vlookup(A545,'Marketing Plan (extract summary'!A:G,7,false),"")</f>
        <v/>
      </c>
      <c r="X545" s="17"/>
      <c r="Y545" s="1">
        <f>value(IFERROR(SUBSTITUTE(SUBSTITUTE(VLOOKUP(A545,'Quarterly Pipeline vs Target Pi'!A:G,6,false)," $","")," €",""), "")
)</f>
        <v>0</v>
      </c>
      <c r="Z545" s="1">
        <f>value(IFERROR(SUBSTITUTE(SUBSTITUTE(VLOOKUP(A545,'Quarterly Pipeline vs Target Pi'!A:G,7,false)," $","")," €",""), "")
)</f>
        <v>0</v>
      </c>
      <c r="AA545" s="17" t="str">
        <f t="shared" si="9"/>
        <v/>
      </c>
      <c r="AB545" s="1">
        <f>value(IFERROR(SUBSTITUTE(SUBSTITUTE(VLOOKUP($A545,'Quarterly Pipeline vs Target Pi'!$A:$V,11,false)," $","")," €",""), "")
)</f>
        <v>0</v>
      </c>
      <c r="AC545" s="1">
        <f>value(IFERROR(SUBSTITUTE(SUBSTITUTE(VLOOKUP($A545,'Quarterly Pipeline vs Target Pi'!$A:$V,12,false)," $","")," €",""), "")
)</f>
        <v>0</v>
      </c>
      <c r="AD545" s="17" t="str">
        <f t="shared" si="10"/>
        <v/>
      </c>
      <c r="AE545" s="1">
        <f>value(IFERROR(SUBSTITUTE(SUBSTITUTE(VLOOKUP($A545,'Quarterly Pipeline vs Target Pi'!$A:$V,16,false)," $","")," €",""), "")
)</f>
        <v>0</v>
      </c>
      <c r="AF545" s="1">
        <f>value(IFERROR(SUBSTITUTE(SUBSTITUTE(VLOOKUP($A545,'Quarterly Pipeline vs Target Pi'!$A:$V,17,false)," $","")," €",""), "")
)</f>
        <v>0</v>
      </c>
      <c r="AG545" s="17" t="str">
        <f t="shared" si="11"/>
        <v/>
      </c>
      <c r="AH545" s="1">
        <f>value(IFERROR(SUBSTITUTE(SUBSTITUTE(VLOOKUP($A545,'Quarterly Pipeline vs Target Pi'!$A:$V,21,false)," $","")," €",""), "")
)</f>
        <v>0</v>
      </c>
      <c r="AI545" s="1">
        <f>value(IFERROR(SUBSTITUTE(SUBSTITUTE(VLOOKUP($A545,'Quarterly Pipeline vs Target Pi'!$A:$V,22,false)," $","")," €",""), "")
)</f>
        <v>0</v>
      </c>
      <c r="AJ545" s="17" t="str">
        <f t="shared" si="12"/>
        <v/>
      </c>
      <c r="AK545" s="1">
        <f t="shared" ref="AK545:AL545" si="1103">sum(Y545,AB545,AE545,AH545)</f>
        <v>0</v>
      </c>
      <c r="AL545" s="1">
        <f t="shared" si="1103"/>
        <v>0</v>
      </c>
      <c r="AM545" s="17" t="str">
        <f t="shared" si="14"/>
        <v/>
      </c>
      <c r="AN545" s="1">
        <f>value(IFERROR(SUBSTITUTE(SUBSTITUTE(VLOOKUP($A545,'Quarterly Pipeline vs Target Pi'!$A:$AP,26,false)," $","")," €",""), "")
)</f>
        <v>0</v>
      </c>
      <c r="AO545" s="1">
        <f>value(IFERROR(SUBSTITUTE(SUBSTITUTE(VLOOKUP($A545,'Quarterly Pipeline vs Target Pi'!$A:$AP,27,false)," $","")," €",""), "")
)</f>
        <v>0</v>
      </c>
      <c r="AP545" s="17" t="str">
        <f t="shared" si="15"/>
        <v/>
      </c>
      <c r="AQ545" s="1">
        <f>value(IFERROR(SUBSTITUTE(SUBSTITUTE(VLOOKUP($A545,'Quarterly Pipeline vs Target Pi'!$A:$AP,31,false)," $","")," €",""), "")
)</f>
        <v>0</v>
      </c>
      <c r="AR545" s="1">
        <f>value(IFERROR(SUBSTITUTE(SUBSTITUTE(VLOOKUP($A545,'Quarterly Pipeline vs Target Pi'!$A:$AP,32,false)," $","")," €",""), "")
)</f>
        <v>0</v>
      </c>
      <c r="AS545" s="17" t="str">
        <f t="shared" si="16"/>
        <v/>
      </c>
      <c r="AT545" s="1">
        <f>value(IFERROR(SUBSTITUTE(SUBSTITUTE(VLOOKUP($A545,'Quarterly Pipeline vs Target Pi'!$A:$AP,36,false)," $","")," €",""), "")
)</f>
        <v>0</v>
      </c>
      <c r="AU545" s="1">
        <f>value(IFERROR(SUBSTITUTE(SUBSTITUTE(VLOOKUP($A545,'Quarterly Pipeline vs Target Pi'!$A:$AP,37,false)," $","")," €",""), "")
)</f>
        <v>0</v>
      </c>
      <c r="AV545" s="17" t="str">
        <f t="shared" si="17"/>
        <v/>
      </c>
      <c r="AW545" s="1">
        <f>value(IFERROR(SUBSTITUTE(SUBSTITUTE(VLOOKUP($A545,'Quarterly Pipeline vs Target Pi'!$A:$AP,41,false)," $","")," €",""), "")
)</f>
        <v>0</v>
      </c>
      <c r="AX545" s="1">
        <f>value(IFERROR(SUBSTITUTE(SUBSTITUTE(VLOOKUP($A545,'Quarterly Pipeline vs Target Pi'!$A:$AP,42,false)," $","")," €",""), "")
)</f>
        <v>0</v>
      </c>
      <c r="AY545" s="17" t="str">
        <f t="shared" si="18"/>
        <v/>
      </c>
      <c r="AZ545" s="1">
        <f t="shared" ref="AZ545:BA545" si="1104">sum(AN545,AQ545,AT545,AW545)</f>
        <v>0</v>
      </c>
      <c r="BA545" s="1">
        <f t="shared" si="1104"/>
        <v>0</v>
      </c>
      <c r="BB545" s="17" t="str">
        <f t="shared" si="20"/>
        <v/>
      </c>
    </row>
    <row r="546">
      <c r="G546" s="1" t="str">
        <f>iferror(VLOOKUP(A546,'Business Plan Setup and Accepta'!A:G,6,false),"")</f>
        <v/>
      </c>
      <c r="H546" s="1" t="str">
        <f>iferror(VLOOKUP(A546,'Business Plan Setup and Accepta'!A:G,7,false),"")</f>
        <v/>
      </c>
      <c r="I546" s="17"/>
      <c r="J546" s="1" t="str">
        <f>IFERROR(VALUE(SUBSTITUTE(VLOOKUP(A546,'Sales IN Revenues vs Sales targ'!A:G,6,false)," $","")), "")
</f>
        <v/>
      </c>
      <c r="K546" s="1" t="str">
        <f>IFERROR(VALUE(SUBSTITUTE(VLOOKUP(A546,'Sales IN Revenues vs Sales targ'!A:G,7,false)," $","")), "")
</f>
        <v/>
      </c>
      <c r="L546" s="17"/>
      <c r="M546" s="1">
        <f>value(SUBSTITUTE(IFERROR(VLOOKUP(A546,'Certifications achievements vs '!A:G,6,false),""),"#","")
)</f>
        <v>0</v>
      </c>
      <c r="N546" s="1">
        <f>value(SUBSTITUTE(IFERROR(VLOOKUP(A546,'Certifications achievements vs '!A:G,7,false),""),"#","")
)</f>
        <v>0</v>
      </c>
      <c r="O546" s="17"/>
      <c r="P546" s="1">
        <f>value(SUBSTITUTE(IFERROR(VLOOKUP(A546,'Communications - Solution Speci'!A:G,6,false),""),"#","")
)</f>
        <v>0</v>
      </c>
      <c r="Q546" s="1">
        <f>value(SUBSTITUTE(IFERROR(VLOOKUP(A546,'Communications - Solution Speci'!A:G,7,false),""),"#","")
)</f>
        <v>0</v>
      </c>
      <c r="R546" s="17" t="str">
        <f t="shared" si="6"/>
        <v/>
      </c>
      <c r="S546" s="1">
        <f>value(SUBSTITUTE(IFERROR(VLOOKUP(A546,'Networking - Solution Specializ'!A:G,6,false),""),"#","")
)</f>
        <v>0</v>
      </c>
      <c r="T546" s="1">
        <f>value(SUBSTITUTE(IFERROR(VLOOKUP(A546,'Networking - Solution Specializ'!A:G,7,false),""),"#","")
)</f>
        <v>0</v>
      </c>
      <c r="U546" s="17" t="str">
        <f t="shared" si="7"/>
        <v/>
      </c>
      <c r="V546" s="1" t="str">
        <f>iferror(vlookup(A546,'Marketing Plan (extract summary'!A:G,6,false),"")</f>
        <v/>
      </c>
      <c r="W546" s="1" t="str">
        <f>iferror(vlookup(A546,'Marketing Plan (extract summary'!A:G,7,false),"")</f>
        <v/>
      </c>
      <c r="X546" s="17"/>
      <c r="Y546" s="1">
        <f>value(IFERROR(SUBSTITUTE(SUBSTITUTE(VLOOKUP(A546,'Quarterly Pipeline vs Target Pi'!A:G,6,false)," $","")," €",""), "")
)</f>
        <v>0</v>
      </c>
      <c r="Z546" s="1">
        <f>value(IFERROR(SUBSTITUTE(SUBSTITUTE(VLOOKUP(A546,'Quarterly Pipeline vs Target Pi'!A:G,7,false)," $","")," €",""), "")
)</f>
        <v>0</v>
      </c>
      <c r="AA546" s="17" t="str">
        <f t="shared" si="9"/>
        <v/>
      </c>
      <c r="AB546" s="1">
        <f>value(IFERROR(SUBSTITUTE(SUBSTITUTE(VLOOKUP($A546,'Quarterly Pipeline vs Target Pi'!$A:$V,11,false)," $","")," €",""), "")
)</f>
        <v>0</v>
      </c>
      <c r="AC546" s="1">
        <f>value(IFERROR(SUBSTITUTE(SUBSTITUTE(VLOOKUP($A546,'Quarterly Pipeline vs Target Pi'!$A:$V,12,false)," $","")," €",""), "")
)</f>
        <v>0</v>
      </c>
      <c r="AD546" s="17" t="str">
        <f t="shared" si="10"/>
        <v/>
      </c>
      <c r="AE546" s="1">
        <f>value(IFERROR(SUBSTITUTE(SUBSTITUTE(VLOOKUP($A546,'Quarterly Pipeline vs Target Pi'!$A:$V,16,false)," $","")," €",""), "")
)</f>
        <v>0</v>
      </c>
      <c r="AF546" s="1">
        <f>value(IFERROR(SUBSTITUTE(SUBSTITUTE(VLOOKUP($A546,'Quarterly Pipeline vs Target Pi'!$A:$V,17,false)," $","")," €",""), "")
)</f>
        <v>0</v>
      </c>
      <c r="AG546" s="17" t="str">
        <f t="shared" si="11"/>
        <v/>
      </c>
      <c r="AH546" s="1">
        <f>value(IFERROR(SUBSTITUTE(SUBSTITUTE(VLOOKUP($A546,'Quarterly Pipeline vs Target Pi'!$A:$V,21,false)," $","")," €",""), "")
)</f>
        <v>0</v>
      </c>
      <c r="AI546" s="1">
        <f>value(IFERROR(SUBSTITUTE(SUBSTITUTE(VLOOKUP($A546,'Quarterly Pipeline vs Target Pi'!$A:$V,22,false)," $","")," €",""), "")
)</f>
        <v>0</v>
      </c>
      <c r="AJ546" s="17" t="str">
        <f t="shared" si="12"/>
        <v/>
      </c>
      <c r="AK546" s="1">
        <f t="shared" ref="AK546:AL546" si="1105">sum(Y546,AB546,AE546,AH546)</f>
        <v>0</v>
      </c>
      <c r="AL546" s="1">
        <f t="shared" si="1105"/>
        <v>0</v>
      </c>
      <c r="AM546" s="17" t="str">
        <f t="shared" si="14"/>
        <v/>
      </c>
      <c r="AN546" s="1">
        <f>value(IFERROR(SUBSTITUTE(SUBSTITUTE(VLOOKUP($A546,'Quarterly Pipeline vs Target Pi'!$A:$AP,26,false)," $","")," €",""), "")
)</f>
        <v>0</v>
      </c>
      <c r="AO546" s="1">
        <f>value(IFERROR(SUBSTITUTE(SUBSTITUTE(VLOOKUP($A546,'Quarterly Pipeline vs Target Pi'!$A:$AP,27,false)," $","")," €",""), "")
)</f>
        <v>0</v>
      </c>
      <c r="AP546" s="17" t="str">
        <f t="shared" si="15"/>
        <v/>
      </c>
      <c r="AQ546" s="1">
        <f>value(IFERROR(SUBSTITUTE(SUBSTITUTE(VLOOKUP($A546,'Quarterly Pipeline vs Target Pi'!$A:$AP,31,false)," $","")," €",""), "")
)</f>
        <v>0</v>
      </c>
      <c r="AR546" s="1">
        <f>value(IFERROR(SUBSTITUTE(SUBSTITUTE(VLOOKUP($A546,'Quarterly Pipeline vs Target Pi'!$A:$AP,32,false)," $","")," €",""), "")
)</f>
        <v>0</v>
      </c>
      <c r="AS546" s="17" t="str">
        <f t="shared" si="16"/>
        <v/>
      </c>
      <c r="AT546" s="1">
        <f>value(IFERROR(SUBSTITUTE(SUBSTITUTE(VLOOKUP($A546,'Quarterly Pipeline vs Target Pi'!$A:$AP,36,false)," $","")," €",""), "")
)</f>
        <v>0</v>
      </c>
      <c r="AU546" s="1">
        <f>value(IFERROR(SUBSTITUTE(SUBSTITUTE(VLOOKUP($A546,'Quarterly Pipeline vs Target Pi'!$A:$AP,37,false)," $","")," €",""), "")
)</f>
        <v>0</v>
      </c>
      <c r="AV546" s="17" t="str">
        <f t="shared" si="17"/>
        <v/>
      </c>
      <c r="AW546" s="1">
        <f>value(IFERROR(SUBSTITUTE(SUBSTITUTE(VLOOKUP($A546,'Quarterly Pipeline vs Target Pi'!$A:$AP,41,false)," $","")," €",""), "")
)</f>
        <v>0</v>
      </c>
      <c r="AX546" s="1">
        <f>value(IFERROR(SUBSTITUTE(SUBSTITUTE(VLOOKUP($A546,'Quarterly Pipeline vs Target Pi'!$A:$AP,42,false)," $","")," €",""), "")
)</f>
        <v>0</v>
      </c>
      <c r="AY546" s="17" t="str">
        <f t="shared" si="18"/>
        <v/>
      </c>
      <c r="AZ546" s="1">
        <f t="shared" ref="AZ546:BA546" si="1106">sum(AN546,AQ546,AT546,AW546)</f>
        <v>0</v>
      </c>
      <c r="BA546" s="1">
        <f t="shared" si="1106"/>
        <v>0</v>
      </c>
      <c r="BB546" s="17" t="str">
        <f t="shared" si="20"/>
        <v/>
      </c>
    </row>
    <row r="547">
      <c r="G547" s="1" t="str">
        <f>iferror(VLOOKUP(A547,'Business Plan Setup and Accepta'!A:G,6,false),"")</f>
        <v/>
      </c>
      <c r="H547" s="1" t="str">
        <f>iferror(VLOOKUP(A547,'Business Plan Setup and Accepta'!A:G,7,false),"")</f>
        <v/>
      </c>
      <c r="I547" s="17"/>
      <c r="J547" s="1" t="str">
        <f>IFERROR(VALUE(SUBSTITUTE(VLOOKUP(A547,'Sales IN Revenues vs Sales targ'!A:G,6,false)," $","")), "")
</f>
        <v/>
      </c>
      <c r="K547" s="1" t="str">
        <f>IFERROR(VALUE(SUBSTITUTE(VLOOKUP(A547,'Sales IN Revenues vs Sales targ'!A:G,7,false)," $","")), "")
</f>
        <v/>
      </c>
      <c r="L547" s="17"/>
      <c r="M547" s="1">
        <f>value(SUBSTITUTE(IFERROR(VLOOKUP(A547,'Certifications achievements vs '!A:G,6,false),""),"#","")
)</f>
        <v>0</v>
      </c>
      <c r="N547" s="1">
        <f>value(SUBSTITUTE(IFERROR(VLOOKUP(A547,'Certifications achievements vs '!A:G,7,false),""),"#","")
)</f>
        <v>0</v>
      </c>
      <c r="O547" s="17"/>
      <c r="P547" s="1">
        <f>value(SUBSTITUTE(IFERROR(VLOOKUP(A547,'Communications - Solution Speci'!A:G,6,false),""),"#","")
)</f>
        <v>0</v>
      </c>
      <c r="Q547" s="1">
        <f>value(SUBSTITUTE(IFERROR(VLOOKUP(A547,'Communications - Solution Speci'!A:G,7,false),""),"#","")
)</f>
        <v>0</v>
      </c>
      <c r="R547" s="17" t="str">
        <f t="shared" si="6"/>
        <v/>
      </c>
      <c r="S547" s="1">
        <f>value(SUBSTITUTE(IFERROR(VLOOKUP(A547,'Networking - Solution Specializ'!A:G,6,false),""),"#","")
)</f>
        <v>0</v>
      </c>
      <c r="T547" s="1">
        <f>value(SUBSTITUTE(IFERROR(VLOOKUP(A547,'Networking - Solution Specializ'!A:G,7,false),""),"#","")
)</f>
        <v>0</v>
      </c>
      <c r="U547" s="17" t="str">
        <f t="shared" si="7"/>
        <v/>
      </c>
      <c r="V547" s="1" t="str">
        <f>iferror(vlookup(A547,'Marketing Plan (extract summary'!A:G,6,false),"")</f>
        <v/>
      </c>
      <c r="W547" s="1" t="str">
        <f>iferror(vlookup(A547,'Marketing Plan (extract summary'!A:G,7,false),"")</f>
        <v/>
      </c>
      <c r="X547" s="17"/>
      <c r="Y547" s="1">
        <f>value(IFERROR(SUBSTITUTE(SUBSTITUTE(VLOOKUP(A547,'Quarterly Pipeline vs Target Pi'!A:G,6,false)," $","")," €",""), "")
)</f>
        <v>0</v>
      </c>
      <c r="Z547" s="1">
        <f>value(IFERROR(SUBSTITUTE(SUBSTITUTE(VLOOKUP(A547,'Quarterly Pipeline vs Target Pi'!A:G,7,false)," $","")," €",""), "")
)</f>
        <v>0</v>
      </c>
      <c r="AA547" s="17" t="str">
        <f t="shared" si="9"/>
        <v/>
      </c>
      <c r="AB547" s="1">
        <f>value(IFERROR(SUBSTITUTE(SUBSTITUTE(VLOOKUP($A547,'Quarterly Pipeline vs Target Pi'!$A:$V,11,false)," $","")," €",""), "")
)</f>
        <v>0</v>
      </c>
      <c r="AC547" s="1">
        <f>value(IFERROR(SUBSTITUTE(SUBSTITUTE(VLOOKUP($A547,'Quarterly Pipeline vs Target Pi'!$A:$V,12,false)," $","")," €",""), "")
)</f>
        <v>0</v>
      </c>
      <c r="AD547" s="17" t="str">
        <f t="shared" si="10"/>
        <v/>
      </c>
      <c r="AE547" s="1">
        <f>value(IFERROR(SUBSTITUTE(SUBSTITUTE(VLOOKUP($A547,'Quarterly Pipeline vs Target Pi'!$A:$V,16,false)," $","")," €",""), "")
)</f>
        <v>0</v>
      </c>
      <c r="AF547" s="1">
        <f>value(IFERROR(SUBSTITUTE(SUBSTITUTE(VLOOKUP($A547,'Quarterly Pipeline vs Target Pi'!$A:$V,17,false)," $","")," €",""), "")
)</f>
        <v>0</v>
      </c>
      <c r="AG547" s="17" t="str">
        <f t="shared" si="11"/>
        <v/>
      </c>
      <c r="AH547" s="1">
        <f>value(IFERROR(SUBSTITUTE(SUBSTITUTE(VLOOKUP($A547,'Quarterly Pipeline vs Target Pi'!$A:$V,21,false)," $","")," €",""), "")
)</f>
        <v>0</v>
      </c>
      <c r="AI547" s="1">
        <f>value(IFERROR(SUBSTITUTE(SUBSTITUTE(VLOOKUP($A547,'Quarterly Pipeline vs Target Pi'!$A:$V,22,false)," $","")," €",""), "")
)</f>
        <v>0</v>
      </c>
      <c r="AJ547" s="17" t="str">
        <f t="shared" si="12"/>
        <v/>
      </c>
      <c r="AK547" s="1">
        <f t="shared" ref="AK547:AL547" si="1107">sum(Y547,AB547,AE547,AH547)</f>
        <v>0</v>
      </c>
      <c r="AL547" s="1">
        <f t="shared" si="1107"/>
        <v>0</v>
      </c>
      <c r="AM547" s="17" t="str">
        <f t="shared" si="14"/>
        <v/>
      </c>
      <c r="AN547" s="1">
        <f>value(IFERROR(SUBSTITUTE(SUBSTITUTE(VLOOKUP($A547,'Quarterly Pipeline vs Target Pi'!$A:$AP,26,false)," $","")," €",""), "")
)</f>
        <v>0</v>
      </c>
      <c r="AO547" s="1">
        <f>value(IFERROR(SUBSTITUTE(SUBSTITUTE(VLOOKUP($A547,'Quarterly Pipeline vs Target Pi'!$A:$AP,27,false)," $","")," €",""), "")
)</f>
        <v>0</v>
      </c>
      <c r="AP547" s="17" t="str">
        <f t="shared" si="15"/>
        <v/>
      </c>
      <c r="AQ547" s="1">
        <f>value(IFERROR(SUBSTITUTE(SUBSTITUTE(VLOOKUP($A547,'Quarterly Pipeline vs Target Pi'!$A:$AP,31,false)," $","")," €",""), "")
)</f>
        <v>0</v>
      </c>
      <c r="AR547" s="1">
        <f>value(IFERROR(SUBSTITUTE(SUBSTITUTE(VLOOKUP($A547,'Quarterly Pipeline vs Target Pi'!$A:$AP,32,false)," $","")," €",""), "")
)</f>
        <v>0</v>
      </c>
      <c r="AS547" s="17" t="str">
        <f t="shared" si="16"/>
        <v/>
      </c>
      <c r="AT547" s="1">
        <f>value(IFERROR(SUBSTITUTE(SUBSTITUTE(VLOOKUP($A547,'Quarterly Pipeline vs Target Pi'!$A:$AP,36,false)," $","")," €",""), "")
)</f>
        <v>0</v>
      </c>
      <c r="AU547" s="1">
        <f>value(IFERROR(SUBSTITUTE(SUBSTITUTE(VLOOKUP($A547,'Quarterly Pipeline vs Target Pi'!$A:$AP,37,false)," $","")," €",""), "")
)</f>
        <v>0</v>
      </c>
      <c r="AV547" s="17" t="str">
        <f t="shared" si="17"/>
        <v/>
      </c>
      <c r="AW547" s="1">
        <f>value(IFERROR(SUBSTITUTE(SUBSTITUTE(VLOOKUP($A547,'Quarterly Pipeline vs Target Pi'!$A:$AP,41,false)," $","")," €",""), "")
)</f>
        <v>0</v>
      </c>
      <c r="AX547" s="1">
        <f>value(IFERROR(SUBSTITUTE(SUBSTITUTE(VLOOKUP($A547,'Quarterly Pipeline vs Target Pi'!$A:$AP,42,false)," $","")," €",""), "")
)</f>
        <v>0</v>
      </c>
      <c r="AY547" s="17" t="str">
        <f t="shared" si="18"/>
        <v/>
      </c>
      <c r="AZ547" s="1">
        <f t="shared" ref="AZ547:BA547" si="1108">sum(AN547,AQ547,AT547,AW547)</f>
        <v>0</v>
      </c>
      <c r="BA547" s="1">
        <f t="shared" si="1108"/>
        <v>0</v>
      </c>
      <c r="BB547" s="17" t="str">
        <f t="shared" si="20"/>
        <v/>
      </c>
    </row>
    <row r="548">
      <c r="G548" s="1" t="str">
        <f>iferror(VLOOKUP(A548,'Business Plan Setup and Accepta'!A:G,6,false),"")</f>
        <v/>
      </c>
      <c r="H548" s="1" t="str">
        <f>iferror(VLOOKUP(A548,'Business Plan Setup and Accepta'!A:G,7,false),"")</f>
        <v/>
      </c>
      <c r="I548" s="17"/>
      <c r="J548" s="1" t="str">
        <f>IFERROR(VALUE(SUBSTITUTE(VLOOKUP(A548,'Sales IN Revenues vs Sales targ'!A:G,6,false)," $","")), "")
</f>
        <v/>
      </c>
      <c r="K548" s="1" t="str">
        <f>IFERROR(VALUE(SUBSTITUTE(VLOOKUP(A548,'Sales IN Revenues vs Sales targ'!A:G,7,false)," $","")), "")
</f>
        <v/>
      </c>
      <c r="L548" s="17"/>
      <c r="M548" s="1">
        <f>value(SUBSTITUTE(IFERROR(VLOOKUP(A548,'Certifications achievements vs '!A:G,6,false),""),"#","")
)</f>
        <v>0</v>
      </c>
      <c r="N548" s="1">
        <f>value(SUBSTITUTE(IFERROR(VLOOKUP(A548,'Certifications achievements vs '!A:G,7,false),""),"#","")
)</f>
        <v>0</v>
      </c>
      <c r="O548" s="17"/>
      <c r="P548" s="1">
        <f>value(SUBSTITUTE(IFERROR(VLOOKUP(A548,'Communications - Solution Speci'!A:G,6,false),""),"#","")
)</f>
        <v>0</v>
      </c>
      <c r="Q548" s="1">
        <f>value(SUBSTITUTE(IFERROR(VLOOKUP(A548,'Communications - Solution Speci'!A:G,7,false),""),"#","")
)</f>
        <v>0</v>
      </c>
      <c r="R548" s="17" t="str">
        <f t="shared" si="6"/>
        <v/>
      </c>
      <c r="S548" s="1">
        <f>value(SUBSTITUTE(IFERROR(VLOOKUP(A548,'Networking - Solution Specializ'!A:G,6,false),""),"#","")
)</f>
        <v>0</v>
      </c>
      <c r="T548" s="1">
        <f>value(SUBSTITUTE(IFERROR(VLOOKUP(A548,'Networking - Solution Specializ'!A:G,7,false),""),"#","")
)</f>
        <v>0</v>
      </c>
      <c r="U548" s="17" t="str">
        <f t="shared" si="7"/>
        <v/>
      </c>
      <c r="V548" s="1" t="str">
        <f>iferror(vlookup(A548,'Marketing Plan (extract summary'!A:G,6,false),"")</f>
        <v/>
      </c>
      <c r="W548" s="1" t="str">
        <f>iferror(vlookup(A548,'Marketing Plan (extract summary'!A:G,7,false),"")</f>
        <v/>
      </c>
      <c r="X548" s="17"/>
      <c r="Y548" s="1">
        <f>value(IFERROR(SUBSTITUTE(SUBSTITUTE(VLOOKUP(A548,'Quarterly Pipeline vs Target Pi'!A:G,6,false)," $","")," €",""), "")
)</f>
        <v>0</v>
      </c>
      <c r="Z548" s="1">
        <f>value(IFERROR(SUBSTITUTE(SUBSTITUTE(VLOOKUP(A548,'Quarterly Pipeline vs Target Pi'!A:G,7,false)," $","")," €",""), "")
)</f>
        <v>0</v>
      </c>
      <c r="AA548" s="17" t="str">
        <f t="shared" si="9"/>
        <v/>
      </c>
      <c r="AB548" s="1">
        <f>value(IFERROR(SUBSTITUTE(SUBSTITUTE(VLOOKUP($A548,'Quarterly Pipeline vs Target Pi'!$A:$V,11,false)," $","")," €",""), "")
)</f>
        <v>0</v>
      </c>
      <c r="AC548" s="1">
        <f>value(IFERROR(SUBSTITUTE(SUBSTITUTE(VLOOKUP($A548,'Quarterly Pipeline vs Target Pi'!$A:$V,12,false)," $","")," €",""), "")
)</f>
        <v>0</v>
      </c>
      <c r="AD548" s="17" t="str">
        <f t="shared" si="10"/>
        <v/>
      </c>
      <c r="AE548" s="1">
        <f>value(IFERROR(SUBSTITUTE(SUBSTITUTE(VLOOKUP($A548,'Quarterly Pipeline vs Target Pi'!$A:$V,16,false)," $","")," €",""), "")
)</f>
        <v>0</v>
      </c>
      <c r="AF548" s="1">
        <f>value(IFERROR(SUBSTITUTE(SUBSTITUTE(VLOOKUP($A548,'Quarterly Pipeline vs Target Pi'!$A:$V,17,false)," $","")," €",""), "")
)</f>
        <v>0</v>
      </c>
      <c r="AG548" s="17" t="str">
        <f t="shared" si="11"/>
        <v/>
      </c>
      <c r="AH548" s="1">
        <f>value(IFERROR(SUBSTITUTE(SUBSTITUTE(VLOOKUP($A548,'Quarterly Pipeline vs Target Pi'!$A:$V,21,false)," $","")," €",""), "")
)</f>
        <v>0</v>
      </c>
      <c r="AI548" s="1">
        <f>value(IFERROR(SUBSTITUTE(SUBSTITUTE(VLOOKUP($A548,'Quarterly Pipeline vs Target Pi'!$A:$V,22,false)," $","")," €",""), "")
)</f>
        <v>0</v>
      </c>
      <c r="AJ548" s="17" t="str">
        <f t="shared" si="12"/>
        <v/>
      </c>
      <c r="AK548" s="1">
        <f t="shared" ref="AK548:AL548" si="1109">sum(Y548,AB548,AE548,AH548)</f>
        <v>0</v>
      </c>
      <c r="AL548" s="1">
        <f t="shared" si="1109"/>
        <v>0</v>
      </c>
      <c r="AM548" s="17" t="str">
        <f t="shared" si="14"/>
        <v/>
      </c>
      <c r="AN548" s="1">
        <f>value(IFERROR(SUBSTITUTE(SUBSTITUTE(VLOOKUP($A548,'Quarterly Pipeline vs Target Pi'!$A:$AP,26,false)," $","")," €",""), "")
)</f>
        <v>0</v>
      </c>
      <c r="AO548" s="1">
        <f>value(IFERROR(SUBSTITUTE(SUBSTITUTE(VLOOKUP($A548,'Quarterly Pipeline vs Target Pi'!$A:$AP,27,false)," $","")," €",""), "")
)</f>
        <v>0</v>
      </c>
      <c r="AP548" s="17" t="str">
        <f t="shared" si="15"/>
        <v/>
      </c>
      <c r="AQ548" s="1">
        <f>value(IFERROR(SUBSTITUTE(SUBSTITUTE(VLOOKUP($A548,'Quarterly Pipeline vs Target Pi'!$A:$AP,31,false)," $","")," €",""), "")
)</f>
        <v>0</v>
      </c>
      <c r="AR548" s="1">
        <f>value(IFERROR(SUBSTITUTE(SUBSTITUTE(VLOOKUP($A548,'Quarterly Pipeline vs Target Pi'!$A:$AP,32,false)," $","")," €",""), "")
)</f>
        <v>0</v>
      </c>
      <c r="AS548" s="17" t="str">
        <f t="shared" si="16"/>
        <v/>
      </c>
      <c r="AT548" s="1">
        <f>value(IFERROR(SUBSTITUTE(SUBSTITUTE(VLOOKUP($A548,'Quarterly Pipeline vs Target Pi'!$A:$AP,36,false)," $","")," €",""), "")
)</f>
        <v>0</v>
      </c>
      <c r="AU548" s="1">
        <f>value(IFERROR(SUBSTITUTE(SUBSTITUTE(VLOOKUP($A548,'Quarterly Pipeline vs Target Pi'!$A:$AP,37,false)," $","")," €",""), "")
)</f>
        <v>0</v>
      </c>
      <c r="AV548" s="17" t="str">
        <f t="shared" si="17"/>
        <v/>
      </c>
      <c r="AW548" s="1">
        <f>value(IFERROR(SUBSTITUTE(SUBSTITUTE(VLOOKUP($A548,'Quarterly Pipeline vs Target Pi'!$A:$AP,41,false)," $","")," €",""), "")
)</f>
        <v>0</v>
      </c>
      <c r="AX548" s="1">
        <f>value(IFERROR(SUBSTITUTE(SUBSTITUTE(VLOOKUP($A548,'Quarterly Pipeline vs Target Pi'!$A:$AP,42,false)," $","")," €",""), "")
)</f>
        <v>0</v>
      </c>
      <c r="AY548" s="17" t="str">
        <f t="shared" si="18"/>
        <v/>
      </c>
      <c r="AZ548" s="1">
        <f t="shared" ref="AZ548:BA548" si="1110">sum(AN548,AQ548,AT548,AW548)</f>
        <v>0</v>
      </c>
      <c r="BA548" s="1">
        <f t="shared" si="1110"/>
        <v>0</v>
      </c>
      <c r="BB548" s="17" t="str">
        <f t="shared" si="20"/>
        <v/>
      </c>
    </row>
    <row r="549">
      <c r="G549" s="1" t="str">
        <f>iferror(VLOOKUP(A549,'Business Plan Setup and Accepta'!A:G,6,false),"")</f>
        <v/>
      </c>
      <c r="H549" s="1" t="str">
        <f>iferror(VLOOKUP(A549,'Business Plan Setup and Accepta'!A:G,7,false),"")</f>
        <v/>
      </c>
      <c r="I549" s="17"/>
      <c r="J549" s="1" t="str">
        <f>IFERROR(VALUE(SUBSTITUTE(VLOOKUP(A549,'Sales IN Revenues vs Sales targ'!A:G,6,false)," $","")), "")
</f>
        <v/>
      </c>
      <c r="K549" s="1" t="str">
        <f>IFERROR(VALUE(SUBSTITUTE(VLOOKUP(A549,'Sales IN Revenues vs Sales targ'!A:G,7,false)," $","")), "")
</f>
        <v/>
      </c>
      <c r="L549" s="17"/>
      <c r="M549" s="1">
        <f>value(SUBSTITUTE(IFERROR(VLOOKUP(A549,'Certifications achievements vs '!A:G,6,false),""),"#","")
)</f>
        <v>0</v>
      </c>
      <c r="N549" s="1">
        <f>value(SUBSTITUTE(IFERROR(VLOOKUP(A549,'Certifications achievements vs '!A:G,7,false),""),"#","")
)</f>
        <v>0</v>
      </c>
      <c r="O549" s="17"/>
      <c r="P549" s="1">
        <f>value(SUBSTITUTE(IFERROR(VLOOKUP(A549,'Communications - Solution Speci'!A:G,6,false),""),"#","")
)</f>
        <v>0</v>
      </c>
      <c r="Q549" s="1">
        <f>value(SUBSTITUTE(IFERROR(VLOOKUP(A549,'Communications - Solution Speci'!A:G,7,false),""),"#","")
)</f>
        <v>0</v>
      </c>
      <c r="R549" s="17" t="str">
        <f t="shared" si="6"/>
        <v/>
      </c>
      <c r="S549" s="1">
        <f>value(SUBSTITUTE(IFERROR(VLOOKUP(A549,'Networking - Solution Specializ'!A:G,6,false),""),"#","")
)</f>
        <v>0</v>
      </c>
      <c r="T549" s="1">
        <f>value(SUBSTITUTE(IFERROR(VLOOKUP(A549,'Networking - Solution Specializ'!A:G,7,false),""),"#","")
)</f>
        <v>0</v>
      </c>
      <c r="U549" s="17" t="str">
        <f t="shared" si="7"/>
        <v/>
      </c>
      <c r="V549" s="1" t="str">
        <f>iferror(vlookup(A549,'Marketing Plan (extract summary'!A:G,6,false),"")</f>
        <v/>
      </c>
      <c r="W549" s="1" t="str">
        <f>iferror(vlookup(A549,'Marketing Plan (extract summary'!A:G,7,false),"")</f>
        <v/>
      </c>
      <c r="X549" s="17"/>
      <c r="Y549" s="1">
        <f>value(IFERROR(SUBSTITUTE(SUBSTITUTE(VLOOKUP(A549,'Quarterly Pipeline vs Target Pi'!A:G,6,false)," $","")," €",""), "")
)</f>
        <v>0</v>
      </c>
      <c r="Z549" s="1">
        <f>value(IFERROR(SUBSTITUTE(SUBSTITUTE(VLOOKUP(A549,'Quarterly Pipeline vs Target Pi'!A:G,7,false)," $","")," €",""), "")
)</f>
        <v>0</v>
      </c>
      <c r="AA549" s="17" t="str">
        <f t="shared" si="9"/>
        <v/>
      </c>
      <c r="AB549" s="1">
        <f>value(IFERROR(SUBSTITUTE(SUBSTITUTE(VLOOKUP($A549,'Quarterly Pipeline vs Target Pi'!$A:$V,11,false)," $","")," €",""), "")
)</f>
        <v>0</v>
      </c>
      <c r="AC549" s="1">
        <f>value(IFERROR(SUBSTITUTE(SUBSTITUTE(VLOOKUP($A549,'Quarterly Pipeline vs Target Pi'!$A:$V,12,false)," $","")," €",""), "")
)</f>
        <v>0</v>
      </c>
      <c r="AD549" s="17" t="str">
        <f t="shared" si="10"/>
        <v/>
      </c>
      <c r="AE549" s="1">
        <f>value(IFERROR(SUBSTITUTE(SUBSTITUTE(VLOOKUP($A549,'Quarterly Pipeline vs Target Pi'!$A:$V,16,false)," $","")," €",""), "")
)</f>
        <v>0</v>
      </c>
      <c r="AF549" s="1">
        <f>value(IFERROR(SUBSTITUTE(SUBSTITUTE(VLOOKUP($A549,'Quarterly Pipeline vs Target Pi'!$A:$V,17,false)," $","")," €",""), "")
)</f>
        <v>0</v>
      </c>
      <c r="AG549" s="17" t="str">
        <f t="shared" si="11"/>
        <v/>
      </c>
      <c r="AH549" s="1">
        <f>value(IFERROR(SUBSTITUTE(SUBSTITUTE(VLOOKUP($A549,'Quarterly Pipeline vs Target Pi'!$A:$V,21,false)," $","")," €",""), "")
)</f>
        <v>0</v>
      </c>
      <c r="AI549" s="1">
        <f>value(IFERROR(SUBSTITUTE(SUBSTITUTE(VLOOKUP($A549,'Quarterly Pipeline vs Target Pi'!$A:$V,22,false)," $","")," €",""), "")
)</f>
        <v>0</v>
      </c>
      <c r="AJ549" s="17" t="str">
        <f t="shared" si="12"/>
        <v/>
      </c>
      <c r="AK549" s="1">
        <f t="shared" ref="AK549:AL549" si="1111">sum(Y549,AB549,AE549,AH549)</f>
        <v>0</v>
      </c>
      <c r="AL549" s="1">
        <f t="shared" si="1111"/>
        <v>0</v>
      </c>
      <c r="AM549" s="17" t="str">
        <f t="shared" si="14"/>
        <v/>
      </c>
      <c r="AN549" s="1">
        <f>value(IFERROR(SUBSTITUTE(SUBSTITUTE(VLOOKUP($A549,'Quarterly Pipeline vs Target Pi'!$A:$AP,26,false)," $","")," €",""), "")
)</f>
        <v>0</v>
      </c>
      <c r="AO549" s="1">
        <f>value(IFERROR(SUBSTITUTE(SUBSTITUTE(VLOOKUP($A549,'Quarterly Pipeline vs Target Pi'!$A:$AP,27,false)," $","")," €",""), "")
)</f>
        <v>0</v>
      </c>
      <c r="AP549" s="17" t="str">
        <f t="shared" si="15"/>
        <v/>
      </c>
      <c r="AQ549" s="1">
        <f>value(IFERROR(SUBSTITUTE(SUBSTITUTE(VLOOKUP($A549,'Quarterly Pipeline vs Target Pi'!$A:$AP,31,false)," $","")," €",""), "")
)</f>
        <v>0</v>
      </c>
      <c r="AR549" s="1">
        <f>value(IFERROR(SUBSTITUTE(SUBSTITUTE(VLOOKUP($A549,'Quarterly Pipeline vs Target Pi'!$A:$AP,32,false)," $","")," €",""), "")
)</f>
        <v>0</v>
      </c>
      <c r="AS549" s="17" t="str">
        <f t="shared" si="16"/>
        <v/>
      </c>
      <c r="AT549" s="1">
        <f>value(IFERROR(SUBSTITUTE(SUBSTITUTE(VLOOKUP($A549,'Quarterly Pipeline vs Target Pi'!$A:$AP,36,false)," $","")," €",""), "")
)</f>
        <v>0</v>
      </c>
      <c r="AU549" s="1">
        <f>value(IFERROR(SUBSTITUTE(SUBSTITUTE(VLOOKUP($A549,'Quarterly Pipeline vs Target Pi'!$A:$AP,37,false)," $","")," €",""), "")
)</f>
        <v>0</v>
      </c>
      <c r="AV549" s="17" t="str">
        <f t="shared" si="17"/>
        <v/>
      </c>
      <c r="AW549" s="1">
        <f>value(IFERROR(SUBSTITUTE(SUBSTITUTE(VLOOKUP($A549,'Quarterly Pipeline vs Target Pi'!$A:$AP,41,false)," $","")," €",""), "")
)</f>
        <v>0</v>
      </c>
      <c r="AX549" s="1">
        <f>value(IFERROR(SUBSTITUTE(SUBSTITUTE(VLOOKUP($A549,'Quarterly Pipeline vs Target Pi'!$A:$AP,42,false)," $","")," €",""), "")
)</f>
        <v>0</v>
      </c>
      <c r="AY549" s="17" t="str">
        <f t="shared" si="18"/>
        <v/>
      </c>
      <c r="AZ549" s="1">
        <f t="shared" ref="AZ549:BA549" si="1112">sum(AN549,AQ549,AT549,AW549)</f>
        <v>0</v>
      </c>
      <c r="BA549" s="1">
        <f t="shared" si="1112"/>
        <v>0</v>
      </c>
      <c r="BB549" s="17" t="str">
        <f t="shared" si="20"/>
        <v/>
      </c>
    </row>
    <row r="550">
      <c r="G550" s="1" t="str">
        <f>iferror(VLOOKUP(A550,'Business Plan Setup and Accepta'!A:G,6,false),"")</f>
        <v/>
      </c>
      <c r="H550" s="1" t="str">
        <f>iferror(VLOOKUP(A550,'Business Plan Setup and Accepta'!A:G,7,false),"")</f>
        <v/>
      </c>
      <c r="I550" s="17"/>
      <c r="J550" s="1" t="str">
        <f>IFERROR(VALUE(SUBSTITUTE(VLOOKUP(A550,'Sales IN Revenues vs Sales targ'!A:G,6,false)," $","")), "")
</f>
        <v/>
      </c>
      <c r="K550" s="1" t="str">
        <f>IFERROR(VALUE(SUBSTITUTE(VLOOKUP(A550,'Sales IN Revenues vs Sales targ'!A:G,7,false)," $","")), "")
</f>
        <v/>
      </c>
      <c r="L550" s="17"/>
      <c r="M550" s="1">
        <f>value(SUBSTITUTE(IFERROR(VLOOKUP(A550,'Certifications achievements vs '!A:G,6,false),""),"#","")
)</f>
        <v>0</v>
      </c>
      <c r="N550" s="1">
        <f>value(SUBSTITUTE(IFERROR(VLOOKUP(A550,'Certifications achievements vs '!A:G,7,false),""),"#","")
)</f>
        <v>0</v>
      </c>
      <c r="O550" s="17"/>
      <c r="P550" s="1">
        <f>value(SUBSTITUTE(IFERROR(VLOOKUP(A550,'Communications - Solution Speci'!A:G,6,false),""),"#","")
)</f>
        <v>0</v>
      </c>
      <c r="Q550" s="1">
        <f>value(SUBSTITUTE(IFERROR(VLOOKUP(A550,'Communications - Solution Speci'!A:G,7,false),""),"#","")
)</f>
        <v>0</v>
      </c>
      <c r="R550" s="17" t="str">
        <f t="shared" si="6"/>
        <v/>
      </c>
      <c r="S550" s="1">
        <f>value(SUBSTITUTE(IFERROR(VLOOKUP(A550,'Networking - Solution Specializ'!A:G,6,false),""),"#","")
)</f>
        <v>0</v>
      </c>
      <c r="T550" s="1">
        <f>value(SUBSTITUTE(IFERROR(VLOOKUP(A550,'Networking - Solution Specializ'!A:G,7,false),""),"#","")
)</f>
        <v>0</v>
      </c>
      <c r="U550" s="17" t="str">
        <f t="shared" si="7"/>
        <v/>
      </c>
      <c r="V550" s="1" t="str">
        <f>iferror(vlookup(A550,'Marketing Plan (extract summary'!A:G,6,false),"")</f>
        <v/>
      </c>
      <c r="W550" s="1" t="str">
        <f>iferror(vlookup(A550,'Marketing Plan (extract summary'!A:G,7,false),"")</f>
        <v/>
      </c>
      <c r="X550" s="17"/>
      <c r="Y550" s="1">
        <f>value(IFERROR(SUBSTITUTE(SUBSTITUTE(VLOOKUP(A550,'Quarterly Pipeline vs Target Pi'!A:G,6,false)," $","")," €",""), "")
)</f>
        <v>0</v>
      </c>
      <c r="Z550" s="1">
        <f>value(IFERROR(SUBSTITUTE(SUBSTITUTE(VLOOKUP(A550,'Quarterly Pipeline vs Target Pi'!A:G,7,false)," $","")," €",""), "")
)</f>
        <v>0</v>
      </c>
      <c r="AA550" s="17" t="str">
        <f t="shared" si="9"/>
        <v/>
      </c>
      <c r="AB550" s="1">
        <f>value(IFERROR(SUBSTITUTE(SUBSTITUTE(VLOOKUP($A550,'Quarterly Pipeline vs Target Pi'!$A:$V,11,false)," $","")," €",""), "")
)</f>
        <v>0</v>
      </c>
      <c r="AC550" s="1">
        <f>value(IFERROR(SUBSTITUTE(SUBSTITUTE(VLOOKUP($A550,'Quarterly Pipeline vs Target Pi'!$A:$V,12,false)," $","")," €",""), "")
)</f>
        <v>0</v>
      </c>
      <c r="AD550" s="17" t="str">
        <f t="shared" si="10"/>
        <v/>
      </c>
      <c r="AE550" s="1">
        <f>value(IFERROR(SUBSTITUTE(SUBSTITUTE(VLOOKUP($A550,'Quarterly Pipeline vs Target Pi'!$A:$V,16,false)," $","")," €",""), "")
)</f>
        <v>0</v>
      </c>
      <c r="AF550" s="1">
        <f>value(IFERROR(SUBSTITUTE(SUBSTITUTE(VLOOKUP($A550,'Quarterly Pipeline vs Target Pi'!$A:$V,17,false)," $","")," €",""), "")
)</f>
        <v>0</v>
      </c>
      <c r="AG550" s="17" t="str">
        <f t="shared" si="11"/>
        <v/>
      </c>
      <c r="AH550" s="1">
        <f>value(IFERROR(SUBSTITUTE(SUBSTITUTE(VLOOKUP($A550,'Quarterly Pipeline vs Target Pi'!$A:$V,21,false)," $","")," €",""), "")
)</f>
        <v>0</v>
      </c>
      <c r="AI550" s="1">
        <f>value(IFERROR(SUBSTITUTE(SUBSTITUTE(VLOOKUP($A550,'Quarterly Pipeline vs Target Pi'!$A:$V,22,false)," $","")," €",""), "")
)</f>
        <v>0</v>
      </c>
      <c r="AJ550" s="17" t="str">
        <f t="shared" si="12"/>
        <v/>
      </c>
      <c r="AK550" s="1">
        <f t="shared" ref="AK550:AL550" si="1113">sum(Y550,AB550,AE550,AH550)</f>
        <v>0</v>
      </c>
      <c r="AL550" s="1">
        <f t="shared" si="1113"/>
        <v>0</v>
      </c>
      <c r="AM550" s="17" t="str">
        <f t="shared" si="14"/>
        <v/>
      </c>
      <c r="AN550" s="1">
        <f>value(IFERROR(SUBSTITUTE(SUBSTITUTE(VLOOKUP($A550,'Quarterly Pipeline vs Target Pi'!$A:$AP,26,false)," $","")," €",""), "")
)</f>
        <v>0</v>
      </c>
      <c r="AO550" s="1">
        <f>value(IFERROR(SUBSTITUTE(SUBSTITUTE(VLOOKUP($A550,'Quarterly Pipeline vs Target Pi'!$A:$AP,27,false)," $","")," €",""), "")
)</f>
        <v>0</v>
      </c>
      <c r="AP550" s="17" t="str">
        <f t="shared" si="15"/>
        <v/>
      </c>
      <c r="AQ550" s="1">
        <f>value(IFERROR(SUBSTITUTE(SUBSTITUTE(VLOOKUP($A550,'Quarterly Pipeline vs Target Pi'!$A:$AP,31,false)," $","")," €",""), "")
)</f>
        <v>0</v>
      </c>
      <c r="AR550" s="1">
        <f>value(IFERROR(SUBSTITUTE(SUBSTITUTE(VLOOKUP($A550,'Quarterly Pipeline vs Target Pi'!$A:$AP,32,false)," $","")," €",""), "")
)</f>
        <v>0</v>
      </c>
      <c r="AS550" s="17" t="str">
        <f t="shared" si="16"/>
        <v/>
      </c>
      <c r="AT550" s="1">
        <f>value(IFERROR(SUBSTITUTE(SUBSTITUTE(VLOOKUP($A550,'Quarterly Pipeline vs Target Pi'!$A:$AP,36,false)," $","")," €",""), "")
)</f>
        <v>0</v>
      </c>
      <c r="AU550" s="1">
        <f>value(IFERROR(SUBSTITUTE(SUBSTITUTE(VLOOKUP($A550,'Quarterly Pipeline vs Target Pi'!$A:$AP,37,false)," $","")," €",""), "")
)</f>
        <v>0</v>
      </c>
      <c r="AV550" s="17" t="str">
        <f t="shared" si="17"/>
        <v/>
      </c>
      <c r="AW550" s="1">
        <f>value(IFERROR(SUBSTITUTE(SUBSTITUTE(VLOOKUP($A550,'Quarterly Pipeline vs Target Pi'!$A:$AP,41,false)," $","")," €",""), "")
)</f>
        <v>0</v>
      </c>
      <c r="AX550" s="1">
        <f>value(IFERROR(SUBSTITUTE(SUBSTITUTE(VLOOKUP($A550,'Quarterly Pipeline vs Target Pi'!$A:$AP,42,false)," $","")," €",""), "")
)</f>
        <v>0</v>
      </c>
      <c r="AY550" s="17" t="str">
        <f t="shared" si="18"/>
        <v/>
      </c>
      <c r="AZ550" s="1">
        <f t="shared" ref="AZ550:BA550" si="1114">sum(AN550,AQ550,AT550,AW550)</f>
        <v>0</v>
      </c>
      <c r="BA550" s="1">
        <f t="shared" si="1114"/>
        <v>0</v>
      </c>
      <c r="BB550" s="17" t="str">
        <f t="shared" si="20"/>
        <v/>
      </c>
    </row>
    <row r="551">
      <c r="G551" s="1" t="str">
        <f>iferror(VLOOKUP(A551,'Business Plan Setup and Accepta'!A:G,6,false),"")</f>
        <v/>
      </c>
      <c r="H551" s="1" t="str">
        <f>iferror(VLOOKUP(A551,'Business Plan Setup and Accepta'!A:G,7,false),"")</f>
        <v/>
      </c>
      <c r="I551" s="17"/>
      <c r="J551" s="1" t="str">
        <f>IFERROR(VALUE(SUBSTITUTE(VLOOKUP(A551,'Sales IN Revenues vs Sales targ'!A:G,6,false)," $","")), "")
</f>
        <v/>
      </c>
      <c r="K551" s="1" t="str">
        <f>IFERROR(VALUE(SUBSTITUTE(VLOOKUP(A551,'Sales IN Revenues vs Sales targ'!A:G,7,false)," $","")), "")
</f>
        <v/>
      </c>
      <c r="L551" s="17"/>
      <c r="M551" s="1">
        <f>value(SUBSTITUTE(IFERROR(VLOOKUP(A551,'Certifications achievements vs '!A:G,6,false),""),"#","")
)</f>
        <v>0</v>
      </c>
      <c r="N551" s="1">
        <f>value(SUBSTITUTE(IFERROR(VLOOKUP(A551,'Certifications achievements vs '!A:G,7,false),""),"#","")
)</f>
        <v>0</v>
      </c>
      <c r="O551" s="17"/>
      <c r="P551" s="1">
        <f>value(SUBSTITUTE(IFERROR(VLOOKUP(A551,'Communications - Solution Speci'!A:G,6,false),""),"#","")
)</f>
        <v>0</v>
      </c>
      <c r="Q551" s="1">
        <f>value(SUBSTITUTE(IFERROR(VLOOKUP(A551,'Communications - Solution Speci'!A:G,7,false),""),"#","")
)</f>
        <v>0</v>
      </c>
      <c r="R551" s="17" t="str">
        <f t="shared" si="6"/>
        <v/>
      </c>
      <c r="S551" s="1">
        <f>value(SUBSTITUTE(IFERROR(VLOOKUP(A551,'Networking - Solution Specializ'!A:G,6,false),""),"#","")
)</f>
        <v>0</v>
      </c>
      <c r="T551" s="1">
        <f>value(SUBSTITUTE(IFERROR(VLOOKUP(A551,'Networking - Solution Specializ'!A:G,7,false),""),"#","")
)</f>
        <v>0</v>
      </c>
      <c r="U551" s="17" t="str">
        <f t="shared" si="7"/>
        <v/>
      </c>
      <c r="V551" s="1" t="str">
        <f>iferror(vlookup(A551,'Marketing Plan (extract summary'!A:G,6,false),"")</f>
        <v/>
      </c>
      <c r="W551" s="1" t="str">
        <f>iferror(vlookup(A551,'Marketing Plan (extract summary'!A:G,7,false),"")</f>
        <v/>
      </c>
      <c r="X551" s="17"/>
      <c r="Y551" s="1">
        <f>value(IFERROR(SUBSTITUTE(SUBSTITUTE(VLOOKUP(A551,'Quarterly Pipeline vs Target Pi'!A:G,6,false)," $","")," €",""), "")
)</f>
        <v>0</v>
      </c>
      <c r="Z551" s="1">
        <f>value(IFERROR(SUBSTITUTE(SUBSTITUTE(VLOOKUP(A551,'Quarterly Pipeline vs Target Pi'!A:G,7,false)," $","")," €",""), "")
)</f>
        <v>0</v>
      </c>
      <c r="AA551" s="17" t="str">
        <f t="shared" si="9"/>
        <v/>
      </c>
      <c r="AB551" s="1">
        <f>value(IFERROR(SUBSTITUTE(SUBSTITUTE(VLOOKUP($A551,'Quarterly Pipeline vs Target Pi'!$A:$V,11,false)," $","")," €",""), "")
)</f>
        <v>0</v>
      </c>
      <c r="AC551" s="1">
        <f>value(IFERROR(SUBSTITUTE(SUBSTITUTE(VLOOKUP($A551,'Quarterly Pipeline vs Target Pi'!$A:$V,12,false)," $","")," €",""), "")
)</f>
        <v>0</v>
      </c>
      <c r="AD551" s="17" t="str">
        <f t="shared" si="10"/>
        <v/>
      </c>
      <c r="AE551" s="1">
        <f>value(IFERROR(SUBSTITUTE(SUBSTITUTE(VLOOKUP($A551,'Quarterly Pipeline vs Target Pi'!$A:$V,16,false)," $","")," €",""), "")
)</f>
        <v>0</v>
      </c>
      <c r="AF551" s="1">
        <f>value(IFERROR(SUBSTITUTE(SUBSTITUTE(VLOOKUP($A551,'Quarterly Pipeline vs Target Pi'!$A:$V,17,false)," $","")," €",""), "")
)</f>
        <v>0</v>
      </c>
      <c r="AG551" s="17" t="str">
        <f t="shared" si="11"/>
        <v/>
      </c>
      <c r="AH551" s="1">
        <f>value(IFERROR(SUBSTITUTE(SUBSTITUTE(VLOOKUP($A551,'Quarterly Pipeline vs Target Pi'!$A:$V,21,false)," $","")," €",""), "")
)</f>
        <v>0</v>
      </c>
      <c r="AI551" s="1">
        <f>value(IFERROR(SUBSTITUTE(SUBSTITUTE(VLOOKUP($A551,'Quarterly Pipeline vs Target Pi'!$A:$V,22,false)," $","")," €",""), "")
)</f>
        <v>0</v>
      </c>
      <c r="AJ551" s="17" t="str">
        <f t="shared" si="12"/>
        <v/>
      </c>
      <c r="AK551" s="1">
        <f t="shared" ref="AK551:AL551" si="1115">sum(Y551,AB551,AE551,AH551)</f>
        <v>0</v>
      </c>
      <c r="AL551" s="1">
        <f t="shared" si="1115"/>
        <v>0</v>
      </c>
      <c r="AM551" s="17" t="str">
        <f t="shared" si="14"/>
        <v/>
      </c>
      <c r="AN551" s="1">
        <f>value(IFERROR(SUBSTITUTE(SUBSTITUTE(VLOOKUP($A551,'Quarterly Pipeline vs Target Pi'!$A:$AP,26,false)," $","")," €",""), "")
)</f>
        <v>0</v>
      </c>
      <c r="AO551" s="1">
        <f>value(IFERROR(SUBSTITUTE(SUBSTITUTE(VLOOKUP($A551,'Quarterly Pipeline vs Target Pi'!$A:$AP,27,false)," $","")," €",""), "")
)</f>
        <v>0</v>
      </c>
      <c r="AP551" s="17" t="str">
        <f t="shared" si="15"/>
        <v/>
      </c>
      <c r="AQ551" s="1">
        <f>value(IFERROR(SUBSTITUTE(SUBSTITUTE(VLOOKUP($A551,'Quarterly Pipeline vs Target Pi'!$A:$AP,31,false)," $","")," €",""), "")
)</f>
        <v>0</v>
      </c>
      <c r="AR551" s="1">
        <f>value(IFERROR(SUBSTITUTE(SUBSTITUTE(VLOOKUP($A551,'Quarterly Pipeline vs Target Pi'!$A:$AP,32,false)," $","")," €",""), "")
)</f>
        <v>0</v>
      </c>
      <c r="AS551" s="17" t="str">
        <f t="shared" si="16"/>
        <v/>
      </c>
      <c r="AT551" s="1">
        <f>value(IFERROR(SUBSTITUTE(SUBSTITUTE(VLOOKUP($A551,'Quarterly Pipeline vs Target Pi'!$A:$AP,36,false)," $","")," €",""), "")
)</f>
        <v>0</v>
      </c>
      <c r="AU551" s="1">
        <f>value(IFERROR(SUBSTITUTE(SUBSTITUTE(VLOOKUP($A551,'Quarterly Pipeline vs Target Pi'!$A:$AP,37,false)," $","")," €",""), "")
)</f>
        <v>0</v>
      </c>
      <c r="AV551" s="17" t="str">
        <f t="shared" si="17"/>
        <v/>
      </c>
      <c r="AW551" s="1">
        <f>value(IFERROR(SUBSTITUTE(SUBSTITUTE(VLOOKUP($A551,'Quarterly Pipeline vs Target Pi'!$A:$AP,41,false)," $","")," €",""), "")
)</f>
        <v>0</v>
      </c>
      <c r="AX551" s="1">
        <f>value(IFERROR(SUBSTITUTE(SUBSTITUTE(VLOOKUP($A551,'Quarterly Pipeline vs Target Pi'!$A:$AP,42,false)," $","")," €",""), "")
)</f>
        <v>0</v>
      </c>
      <c r="AY551" s="17" t="str">
        <f t="shared" si="18"/>
        <v/>
      </c>
      <c r="AZ551" s="1">
        <f t="shared" ref="AZ551:BA551" si="1116">sum(AN551,AQ551,AT551,AW551)</f>
        <v>0</v>
      </c>
      <c r="BA551" s="1">
        <f t="shared" si="1116"/>
        <v>0</v>
      </c>
      <c r="BB551" s="17" t="str">
        <f t="shared" si="20"/>
        <v/>
      </c>
    </row>
    <row r="552">
      <c r="G552" s="1" t="str">
        <f>iferror(VLOOKUP(A552,'Business Plan Setup and Accepta'!A:G,6,false),"")</f>
        <v/>
      </c>
      <c r="H552" s="1" t="str">
        <f>iferror(VLOOKUP(A552,'Business Plan Setup and Accepta'!A:G,7,false),"")</f>
        <v/>
      </c>
      <c r="I552" s="17"/>
      <c r="J552" s="1" t="str">
        <f>IFERROR(VALUE(SUBSTITUTE(VLOOKUP(A552,'Sales IN Revenues vs Sales targ'!A:G,6,false)," $","")), "")
</f>
        <v/>
      </c>
      <c r="K552" s="1" t="str">
        <f>IFERROR(VALUE(SUBSTITUTE(VLOOKUP(A552,'Sales IN Revenues vs Sales targ'!A:G,7,false)," $","")), "")
</f>
        <v/>
      </c>
      <c r="L552" s="17"/>
      <c r="M552" s="1">
        <f>value(SUBSTITUTE(IFERROR(VLOOKUP(A552,'Certifications achievements vs '!A:G,6,false),""),"#","")
)</f>
        <v>0</v>
      </c>
      <c r="N552" s="1">
        <f>value(SUBSTITUTE(IFERROR(VLOOKUP(A552,'Certifications achievements vs '!A:G,7,false),""),"#","")
)</f>
        <v>0</v>
      </c>
      <c r="O552" s="17"/>
      <c r="P552" s="1">
        <f>value(SUBSTITUTE(IFERROR(VLOOKUP(A552,'Communications - Solution Speci'!A:G,6,false),""),"#","")
)</f>
        <v>0</v>
      </c>
      <c r="Q552" s="1">
        <f>value(SUBSTITUTE(IFERROR(VLOOKUP(A552,'Communications - Solution Speci'!A:G,7,false),""),"#","")
)</f>
        <v>0</v>
      </c>
      <c r="R552" s="17" t="str">
        <f t="shared" si="6"/>
        <v/>
      </c>
      <c r="S552" s="1">
        <f>value(SUBSTITUTE(IFERROR(VLOOKUP(A552,'Networking - Solution Specializ'!A:G,6,false),""),"#","")
)</f>
        <v>0</v>
      </c>
      <c r="T552" s="1">
        <f>value(SUBSTITUTE(IFERROR(VLOOKUP(A552,'Networking - Solution Specializ'!A:G,7,false),""),"#","")
)</f>
        <v>0</v>
      </c>
      <c r="U552" s="17" t="str">
        <f t="shared" si="7"/>
        <v/>
      </c>
      <c r="V552" s="1" t="str">
        <f>iferror(vlookup(A552,'Marketing Plan (extract summary'!A:G,6,false),"")</f>
        <v/>
      </c>
      <c r="W552" s="1" t="str">
        <f>iferror(vlookup(A552,'Marketing Plan (extract summary'!A:G,7,false),"")</f>
        <v/>
      </c>
      <c r="X552" s="17"/>
      <c r="Y552" s="1">
        <f>value(IFERROR(SUBSTITUTE(SUBSTITUTE(VLOOKUP(A552,'Quarterly Pipeline vs Target Pi'!A:G,6,false)," $","")," €",""), "")
)</f>
        <v>0</v>
      </c>
      <c r="Z552" s="1">
        <f>value(IFERROR(SUBSTITUTE(SUBSTITUTE(VLOOKUP(A552,'Quarterly Pipeline vs Target Pi'!A:G,7,false)," $","")," €",""), "")
)</f>
        <v>0</v>
      </c>
      <c r="AA552" s="17" t="str">
        <f t="shared" si="9"/>
        <v/>
      </c>
      <c r="AB552" s="1">
        <f>value(IFERROR(SUBSTITUTE(SUBSTITUTE(VLOOKUP($A552,'Quarterly Pipeline vs Target Pi'!$A:$V,11,false)," $","")," €",""), "")
)</f>
        <v>0</v>
      </c>
      <c r="AC552" s="1">
        <f>value(IFERROR(SUBSTITUTE(SUBSTITUTE(VLOOKUP($A552,'Quarterly Pipeline vs Target Pi'!$A:$V,12,false)," $","")," €",""), "")
)</f>
        <v>0</v>
      </c>
      <c r="AD552" s="17" t="str">
        <f t="shared" si="10"/>
        <v/>
      </c>
      <c r="AE552" s="1">
        <f>value(IFERROR(SUBSTITUTE(SUBSTITUTE(VLOOKUP($A552,'Quarterly Pipeline vs Target Pi'!$A:$V,16,false)," $","")," €",""), "")
)</f>
        <v>0</v>
      </c>
      <c r="AF552" s="1">
        <f>value(IFERROR(SUBSTITUTE(SUBSTITUTE(VLOOKUP($A552,'Quarterly Pipeline vs Target Pi'!$A:$V,17,false)," $","")," €",""), "")
)</f>
        <v>0</v>
      </c>
      <c r="AG552" s="17" t="str">
        <f t="shared" si="11"/>
        <v/>
      </c>
      <c r="AH552" s="1">
        <f>value(IFERROR(SUBSTITUTE(SUBSTITUTE(VLOOKUP($A552,'Quarterly Pipeline vs Target Pi'!$A:$V,21,false)," $","")," €",""), "")
)</f>
        <v>0</v>
      </c>
      <c r="AI552" s="1">
        <f>value(IFERROR(SUBSTITUTE(SUBSTITUTE(VLOOKUP($A552,'Quarterly Pipeline vs Target Pi'!$A:$V,22,false)," $","")," €",""), "")
)</f>
        <v>0</v>
      </c>
      <c r="AJ552" s="17" t="str">
        <f t="shared" si="12"/>
        <v/>
      </c>
      <c r="AK552" s="1">
        <f t="shared" ref="AK552:AL552" si="1117">sum(Y552,AB552,AE552,AH552)</f>
        <v>0</v>
      </c>
      <c r="AL552" s="1">
        <f t="shared" si="1117"/>
        <v>0</v>
      </c>
      <c r="AM552" s="17" t="str">
        <f t="shared" si="14"/>
        <v/>
      </c>
      <c r="AN552" s="1">
        <f>value(IFERROR(SUBSTITUTE(SUBSTITUTE(VLOOKUP($A552,'Quarterly Pipeline vs Target Pi'!$A:$AP,26,false)," $","")," €",""), "")
)</f>
        <v>0</v>
      </c>
      <c r="AO552" s="1">
        <f>value(IFERROR(SUBSTITUTE(SUBSTITUTE(VLOOKUP($A552,'Quarterly Pipeline vs Target Pi'!$A:$AP,27,false)," $","")," €",""), "")
)</f>
        <v>0</v>
      </c>
      <c r="AP552" s="17" t="str">
        <f t="shared" si="15"/>
        <v/>
      </c>
      <c r="AQ552" s="1">
        <f>value(IFERROR(SUBSTITUTE(SUBSTITUTE(VLOOKUP($A552,'Quarterly Pipeline vs Target Pi'!$A:$AP,31,false)," $","")," €",""), "")
)</f>
        <v>0</v>
      </c>
      <c r="AR552" s="1">
        <f>value(IFERROR(SUBSTITUTE(SUBSTITUTE(VLOOKUP($A552,'Quarterly Pipeline vs Target Pi'!$A:$AP,32,false)," $","")," €",""), "")
)</f>
        <v>0</v>
      </c>
      <c r="AS552" s="17" t="str">
        <f t="shared" si="16"/>
        <v/>
      </c>
      <c r="AT552" s="1">
        <f>value(IFERROR(SUBSTITUTE(SUBSTITUTE(VLOOKUP($A552,'Quarterly Pipeline vs Target Pi'!$A:$AP,36,false)," $","")," €",""), "")
)</f>
        <v>0</v>
      </c>
      <c r="AU552" s="1">
        <f>value(IFERROR(SUBSTITUTE(SUBSTITUTE(VLOOKUP($A552,'Quarterly Pipeline vs Target Pi'!$A:$AP,37,false)," $","")," €",""), "")
)</f>
        <v>0</v>
      </c>
      <c r="AV552" s="17" t="str">
        <f t="shared" si="17"/>
        <v/>
      </c>
      <c r="AW552" s="1">
        <f>value(IFERROR(SUBSTITUTE(SUBSTITUTE(VLOOKUP($A552,'Quarterly Pipeline vs Target Pi'!$A:$AP,41,false)," $","")," €",""), "")
)</f>
        <v>0</v>
      </c>
      <c r="AX552" s="1">
        <f>value(IFERROR(SUBSTITUTE(SUBSTITUTE(VLOOKUP($A552,'Quarterly Pipeline vs Target Pi'!$A:$AP,42,false)," $","")," €",""), "")
)</f>
        <v>0</v>
      </c>
      <c r="AY552" s="17" t="str">
        <f t="shared" si="18"/>
        <v/>
      </c>
      <c r="AZ552" s="1">
        <f t="shared" ref="AZ552:BA552" si="1118">sum(AN552,AQ552,AT552,AW552)</f>
        <v>0</v>
      </c>
      <c r="BA552" s="1">
        <f t="shared" si="1118"/>
        <v>0</v>
      </c>
      <c r="BB552" s="17" t="str">
        <f t="shared" si="20"/>
        <v/>
      </c>
    </row>
    <row r="553">
      <c r="G553" s="1" t="str">
        <f>iferror(VLOOKUP(A553,'Business Plan Setup and Accepta'!A:G,6,false),"")</f>
        <v/>
      </c>
      <c r="H553" s="1" t="str">
        <f>iferror(VLOOKUP(A553,'Business Plan Setup and Accepta'!A:G,7,false),"")</f>
        <v/>
      </c>
      <c r="I553" s="17"/>
      <c r="J553" s="1" t="str">
        <f>IFERROR(VALUE(SUBSTITUTE(VLOOKUP(A553,'Sales IN Revenues vs Sales targ'!A:G,6,false)," $","")), "")
</f>
        <v/>
      </c>
      <c r="K553" s="1" t="str">
        <f>IFERROR(VALUE(SUBSTITUTE(VLOOKUP(A553,'Sales IN Revenues vs Sales targ'!A:G,7,false)," $","")), "")
</f>
        <v/>
      </c>
      <c r="L553" s="17"/>
      <c r="M553" s="1">
        <f>value(SUBSTITUTE(IFERROR(VLOOKUP(A553,'Certifications achievements vs '!A:G,6,false),""),"#","")
)</f>
        <v>0</v>
      </c>
      <c r="N553" s="1">
        <f>value(SUBSTITUTE(IFERROR(VLOOKUP(A553,'Certifications achievements vs '!A:G,7,false),""),"#","")
)</f>
        <v>0</v>
      </c>
      <c r="O553" s="17"/>
      <c r="P553" s="1">
        <f>value(SUBSTITUTE(IFERROR(VLOOKUP(A553,'Communications - Solution Speci'!A:G,6,false),""),"#","")
)</f>
        <v>0</v>
      </c>
      <c r="Q553" s="1">
        <f>value(SUBSTITUTE(IFERROR(VLOOKUP(A553,'Communications - Solution Speci'!A:G,7,false),""),"#","")
)</f>
        <v>0</v>
      </c>
      <c r="R553" s="17" t="str">
        <f t="shared" si="6"/>
        <v/>
      </c>
      <c r="S553" s="1">
        <f>value(SUBSTITUTE(IFERROR(VLOOKUP(A553,'Networking - Solution Specializ'!A:G,6,false),""),"#","")
)</f>
        <v>0</v>
      </c>
      <c r="T553" s="1">
        <f>value(SUBSTITUTE(IFERROR(VLOOKUP(A553,'Networking - Solution Specializ'!A:G,7,false),""),"#","")
)</f>
        <v>0</v>
      </c>
      <c r="U553" s="17" t="str">
        <f t="shared" si="7"/>
        <v/>
      </c>
      <c r="V553" s="1" t="str">
        <f>iferror(vlookup(A553,'Marketing Plan (extract summary'!A:G,6,false),"")</f>
        <v/>
      </c>
      <c r="W553" s="1" t="str">
        <f>iferror(vlookup(A553,'Marketing Plan (extract summary'!A:G,7,false),"")</f>
        <v/>
      </c>
      <c r="X553" s="17"/>
      <c r="Y553" s="1">
        <f>value(IFERROR(SUBSTITUTE(SUBSTITUTE(VLOOKUP(A553,'Quarterly Pipeline vs Target Pi'!A:G,6,false)," $","")," €",""), "")
)</f>
        <v>0</v>
      </c>
      <c r="Z553" s="1">
        <f>value(IFERROR(SUBSTITUTE(SUBSTITUTE(VLOOKUP(A553,'Quarterly Pipeline vs Target Pi'!A:G,7,false)," $","")," €",""), "")
)</f>
        <v>0</v>
      </c>
      <c r="AA553" s="17" t="str">
        <f t="shared" si="9"/>
        <v/>
      </c>
      <c r="AB553" s="1">
        <f>value(IFERROR(SUBSTITUTE(SUBSTITUTE(VLOOKUP($A553,'Quarterly Pipeline vs Target Pi'!$A:$V,11,false)," $","")," €",""), "")
)</f>
        <v>0</v>
      </c>
      <c r="AC553" s="1">
        <f>value(IFERROR(SUBSTITUTE(SUBSTITUTE(VLOOKUP($A553,'Quarterly Pipeline vs Target Pi'!$A:$V,12,false)," $","")," €",""), "")
)</f>
        <v>0</v>
      </c>
      <c r="AD553" s="17" t="str">
        <f t="shared" si="10"/>
        <v/>
      </c>
      <c r="AE553" s="1">
        <f>value(IFERROR(SUBSTITUTE(SUBSTITUTE(VLOOKUP($A553,'Quarterly Pipeline vs Target Pi'!$A:$V,16,false)," $","")," €",""), "")
)</f>
        <v>0</v>
      </c>
      <c r="AF553" s="1">
        <f>value(IFERROR(SUBSTITUTE(SUBSTITUTE(VLOOKUP($A553,'Quarterly Pipeline vs Target Pi'!$A:$V,17,false)," $","")," €",""), "")
)</f>
        <v>0</v>
      </c>
      <c r="AG553" s="17" t="str">
        <f t="shared" si="11"/>
        <v/>
      </c>
      <c r="AH553" s="1">
        <f>value(IFERROR(SUBSTITUTE(SUBSTITUTE(VLOOKUP($A553,'Quarterly Pipeline vs Target Pi'!$A:$V,21,false)," $","")," €",""), "")
)</f>
        <v>0</v>
      </c>
      <c r="AI553" s="1">
        <f>value(IFERROR(SUBSTITUTE(SUBSTITUTE(VLOOKUP($A553,'Quarterly Pipeline vs Target Pi'!$A:$V,22,false)," $","")," €",""), "")
)</f>
        <v>0</v>
      </c>
      <c r="AJ553" s="17" t="str">
        <f t="shared" si="12"/>
        <v/>
      </c>
      <c r="AK553" s="1">
        <f t="shared" ref="AK553:AL553" si="1119">sum(Y553,AB553,AE553,AH553)</f>
        <v>0</v>
      </c>
      <c r="AL553" s="1">
        <f t="shared" si="1119"/>
        <v>0</v>
      </c>
      <c r="AM553" s="17" t="str">
        <f t="shared" si="14"/>
        <v/>
      </c>
      <c r="AN553" s="1">
        <f>value(IFERROR(SUBSTITUTE(SUBSTITUTE(VLOOKUP($A553,'Quarterly Pipeline vs Target Pi'!$A:$AP,26,false)," $","")," €",""), "")
)</f>
        <v>0</v>
      </c>
      <c r="AO553" s="1">
        <f>value(IFERROR(SUBSTITUTE(SUBSTITUTE(VLOOKUP($A553,'Quarterly Pipeline vs Target Pi'!$A:$AP,27,false)," $","")," €",""), "")
)</f>
        <v>0</v>
      </c>
      <c r="AP553" s="17" t="str">
        <f t="shared" si="15"/>
        <v/>
      </c>
      <c r="AQ553" s="1">
        <f>value(IFERROR(SUBSTITUTE(SUBSTITUTE(VLOOKUP($A553,'Quarterly Pipeline vs Target Pi'!$A:$AP,31,false)," $","")," €",""), "")
)</f>
        <v>0</v>
      </c>
      <c r="AR553" s="1">
        <f>value(IFERROR(SUBSTITUTE(SUBSTITUTE(VLOOKUP($A553,'Quarterly Pipeline vs Target Pi'!$A:$AP,32,false)," $","")," €",""), "")
)</f>
        <v>0</v>
      </c>
      <c r="AS553" s="17" t="str">
        <f t="shared" si="16"/>
        <v/>
      </c>
      <c r="AT553" s="1">
        <f>value(IFERROR(SUBSTITUTE(SUBSTITUTE(VLOOKUP($A553,'Quarterly Pipeline vs Target Pi'!$A:$AP,36,false)," $","")," €",""), "")
)</f>
        <v>0</v>
      </c>
      <c r="AU553" s="1">
        <f>value(IFERROR(SUBSTITUTE(SUBSTITUTE(VLOOKUP($A553,'Quarterly Pipeline vs Target Pi'!$A:$AP,37,false)," $","")," €",""), "")
)</f>
        <v>0</v>
      </c>
      <c r="AV553" s="17" t="str">
        <f t="shared" si="17"/>
        <v/>
      </c>
      <c r="AW553" s="1">
        <f>value(IFERROR(SUBSTITUTE(SUBSTITUTE(VLOOKUP($A553,'Quarterly Pipeline vs Target Pi'!$A:$AP,41,false)," $","")," €",""), "")
)</f>
        <v>0</v>
      </c>
      <c r="AX553" s="1">
        <f>value(IFERROR(SUBSTITUTE(SUBSTITUTE(VLOOKUP($A553,'Quarterly Pipeline vs Target Pi'!$A:$AP,42,false)," $","")," €",""), "")
)</f>
        <v>0</v>
      </c>
      <c r="AY553" s="17" t="str">
        <f t="shared" si="18"/>
        <v/>
      </c>
      <c r="AZ553" s="1">
        <f t="shared" ref="AZ553:BA553" si="1120">sum(AN553,AQ553,AT553,AW553)</f>
        <v>0</v>
      </c>
      <c r="BA553" s="1">
        <f t="shared" si="1120"/>
        <v>0</v>
      </c>
      <c r="BB553" s="17" t="str">
        <f t="shared" si="20"/>
        <v/>
      </c>
    </row>
    <row r="554">
      <c r="G554" s="1" t="str">
        <f>iferror(VLOOKUP(A554,'Business Plan Setup and Accepta'!A:G,6,false),"")</f>
        <v/>
      </c>
      <c r="H554" s="1" t="str">
        <f>iferror(VLOOKUP(A554,'Business Plan Setup and Accepta'!A:G,7,false),"")</f>
        <v/>
      </c>
      <c r="I554" s="17"/>
      <c r="J554" s="1" t="str">
        <f>IFERROR(VALUE(SUBSTITUTE(VLOOKUP(A554,'Sales IN Revenues vs Sales targ'!A:G,6,false)," $","")), "")
</f>
        <v/>
      </c>
      <c r="K554" s="1" t="str">
        <f>IFERROR(VALUE(SUBSTITUTE(VLOOKUP(A554,'Sales IN Revenues vs Sales targ'!A:G,7,false)," $","")), "")
</f>
        <v/>
      </c>
      <c r="L554" s="17"/>
      <c r="M554" s="1">
        <f>value(SUBSTITUTE(IFERROR(VLOOKUP(A554,'Certifications achievements vs '!A:G,6,false),""),"#","")
)</f>
        <v>0</v>
      </c>
      <c r="N554" s="1">
        <f>value(SUBSTITUTE(IFERROR(VLOOKUP(A554,'Certifications achievements vs '!A:G,7,false),""),"#","")
)</f>
        <v>0</v>
      </c>
      <c r="O554" s="17"/>
      <c r="P554" s="1">
        <f>value(SUBSTITUTE(IFERROR(VLOOKUP(A554,'Communications - Solution Speci'!A:G,6,false),""),"#","")
)</f>
        <v>0</v>
      </c>
      <c r="Q554" s="1">
        <f>value(SUBSTITUTE(IFERROR(VLOOKUP(A554,'Communications - Solution Speci'!A:G,7,false),""),"#","")
)</f>
        <v>0</v>
      </c>
      <c r="R554" s="17" t="str">
        <f t="shared" si="6"/>
        <v/>
      </c>
      <c r="S554" s="1">
        <f>value(SUBSTITUTE(IFERROR(VLOOKUP(A554,'Networking - Solution Specializ'!A:G,6,false),""),"#","")
)</f>
        <v>0</v>
      </c>
      <c r="T554" s="1">
        <f>value(SUBSTITUTE(IFERROR(VLOOKUP(A554,'Networking - Solution Specializ'!A:G,7,false),""),"#","")
)</f>
        <v>0</v>
      </c>
      <c r="U554" s="17" t="str">
        <f t="shared" si="7"/>
        <v/>
      </c>
      <c r="V554" s="1" t="str">
        <f>iferror(vlookup(A554,'Marketing Plan (extract summary'!A:G,6,false),"")</f>
        <v/>
      </c>
      <c r="W554" s="1" t="str">
        <f>iferror(vlookup(A554,'Marketing Plan (extract summary'!A:G,7,false),"")</f>
        <v/>
      </c>
      <c r="X554" s="17"/>
      <c r="Y554" s="1">
        <f>value(IFERROR(SUBSTITUTE(SUBSTITUTE(VLOOKUP(A554,'Quarterly Pipeline vs Target Pi'!A:G,6,false)," $","")," €",""), "")
)</f>
        <v>0</v>
      </c>
      <c r="Z554" s="1">
        <f>value(IFERROR(SUBSTITUTE(SUBSTITUTE(VLOOKUP(A554,'Quarterly Pipeline vs Target Pi'!A:G,7,false)," $","")," €",""), "")
)</f>
        <v>0</v>
      </c>
      <c r="AA554" s="17" t="str">
        <f t="shared" si="9"/>
        <v/>
      </c>
      <c r="AB554" s="1">
        <f>value(IFERROR(SUBSTITUTE(SUBSTITUTE(VLOOKUP($A554,'Quarterly Pipeline vs Target Pi'!$A:$V,11,false)," $","")," €",""), "")
)</f>
        <v>0</v>
      </c>
      <c r="AC554" s="1">
        <f>value(IFERROR(SUBSTITUTE(SUBSTITUTE(VLOOKUP($A554,'Quarterly Pipeline vs Target Pi'!$A:$V,12,false)," $","")," €",""), "")
)</f>
        <v>0</v>
      </c>
      <c r="AD554" s="17" t="str">
        <f t="shared" si="10"/>
        <v/>
      </c>
      <c r="AE554" s="1">
        <f>value(IFERROR(SUBSTITUTE(SUBSTITUTE(VLOOKUP($A554,'Quarterly Pipeline vs Target Pi'!$A:$V,16,false)," $","")," €",""), "")
)</f>
        <v>0</v>
      </c>
      <c r="AF554" s="1">
        <f>value(IFERROR(SUBSTITUTE(SUBSTITUTE(VLOOKUP($A554,'Quarterly Pipeline vs Target Pi'!$A:$V,17,false)," $","")," €",""), "")
)</f>
        <v>0</v>
      </c>
      <c r="AG554" s="17" t="str">
        <f t="shared" si="11"/>
        <v/>
      </c>
      <c r="AH554" s="1">
        <f>value(IFERROR(SUBSTITUTE(SUBSTITUTE(VLOOKUP($A554,'Quarterly Pipeline vs Target Pi'!$A:$V,21,false)," $","")," €",""), "")
)</f>
        <v>0</v>
      </c>
      <c r="AI554" s="1">
        <f>value(IFERROR(SUBSTITUTE(SUBSTITUTE(VLOOKUP($A554,'Quarterly Pipeline vs Target Pi'!$A:$V,22,false)," $","")," €",""), "")
)</f>
        <v>0</v>
      </c>
      <c r="AJ554" s="17" t="str">
        <f t="shared" si="12"/>
        <v/>
      </c>
      <c r="AK554" s="1">
        <f t="shared" ref="AK554:AL554" si="1121">sum(Y554,AB554,AE554,AH554)</f>
        <v>0</v>
      </c>
      <c r="AL554" s="1">
        <f t="shared" si="1121"/>
        <v>0</v>
      </c>
      <c r="AM554" s="17" t="str">
        <f t="shared" si="14"/>
        <v/>
      </c>
      <c r="AN554" s="1">
        <f>value(IFERROR(SUBSTITUTE(SUBSTITUTE(VLOOKUP($A554,'Quarterly Pipeline vs Target Pi'!$A:$AP,26,false)," $","")," €",""), "")
)</f>
        <v>0</v>
      </c>
      <c r="AO554" s="1">
        <f>value(IFERROR(SUBSTITUTE(SUBSTITUTE(VLOOKUP($A554,'Quarterly Pipeline vs Target Pi'!$A:$AP,27,false)," $","")," €",""), "")
)</f>
        <v>0</v>
      </c>
      <c r="AP554" s="17" t="str">
        <f t="shared" si="15"/>
        <v/>
      </c>
      <c r="AQ554" s="1">
        <f>value(IFERROR(SUBSTITUTE(SUBSTITUTE(VLOOKUP($A554,'Quarterly Pipeline vs Target Pi'!$A:$AP,31,false)," $","")," €",""), "")
)</f>
        <v>0</v>
      </c>
      <c r="AR554" s="1">
        <f>value(IFERROR(SUBSTITUTE(SUBSTITUTE(VLOOKUP($A554,'Quarterly Pipeline vs Target Pi'!$A:$AP,32,false)," $","")," €",""), "")
)</f>
        <v>0</v>
      </c>
      <c r="AS554" s="17" t="str">
        <f t="shared" si="16"/>
        <v/>
      </c>
      <c r="AT554" s="1">
        <f>value(IFERROR(SUBSTITUTE(SUBSTITUTE(VLOOKUP($A554,'Quarterly Pipeline vs Target Pi'!$A:$AP,36,false)," $","")," €",""), "")
)</f>
        <v>0</v>
      </c>
      <c r="AU554" s="1">
        <f>value(IFERROR(SUBSTITUTE(SUBSTITUTE(VLOOKUP($A554,'Quarterly Pipeline vs Target Pi'!$A:$AP,37,false)," $","")," €",""), "")
)</f>
        <v>0</v>
      </c>
      <c r="AV554" s="17" t="str">
        <f t="shared" si="17"/>
        <v/>
      </c>
      <c r="AW554" s="1">
        <f>value(IFERROR(SUBSTITUTE(SUBSTITUTE(VLOOKUP($A554,'Quarterly Pipeline vs Target Pi'!$A:$AP,41,false)," $","")," €",""), "")
)</f>
        <v>0</v>
      </c>
      <c r="AX554" s="1">
        <f>value(IFERROR(SUBSTITUTE(SUBSTITUTE(VLOOKUP($A554,'Quarterly Pipeline vs Target Pi'!$A:$AP,42,false)," $","")," €",""), "")
)</f>
        <v>0</v>
      </c>
      <c r="AY554" s="17" t="str">
        <f t="shared" si="18"/>
        <v/>
      </c>
      <c r="AZ554" s="1">
        <f t="shared" ref="AZ554:BA554" si="1122">sum(AN554,AQ554,AT554,AW554)</f>
        <v>0</v>
      </c>
      <c r="BA554" s="1">
        <f t="shared" si="1122"/>
        <v>0</v>
      </c>
      <c r="BB554" s="17" t="str">
        <f t="shared" si="20"/>
        <v/>
      </c>
    </row>
    <row r="555">
      <c r="G555" s="1" t="str">
        <f>iferror(VLOOKUP(A555,'Business Plan Setup and Accepta'!A:G,6,false),"")</f>
        <v/>
      </c>
      <c r="H555" s="1" t="str">
        <f>iferror(VLOOKUP(A555,'Business Plan Setup and Accepta'!A:G,7,false),"")</f>
        <v/>
      </c>
      <c r="I555" s="17"/>
      <c r="J555" s="1" t="str">
        <f>IFERROR(VALUE(SUBSTITUTE(VLOOKUP(A555,'Sales IN Revenues vs Sales targ'!A:G,6,false)," $","")), "")
</f>
        <v/>
      </c>
      <c r="K555" s="1" t="str">
        <f>IFERROR(VALUE(SUBSTITUTE(VLOOKUP(A555,'Sales IN Revenues vs Sales targ'!A:G,7,false)," $","")), "")
</f>
        <v/>
      </c>
      <c r="L555" s="17"/>
      <c r="M555" s="1">
        <f>value(SUBSTITUTE(IFERROR(VLOOKUP(A555,'Certifications achievements vs '!A:G,6,false),""),"#","")
)</f>
        <v>0</v>
      </c>
      <c r="N555" s="1">
        <f>value(SUBSTITUTE(IFERROR(VLOOKUP(A555,'Certifications achievements vs '!A:G,7,false),""),"#","")
)</f>
        <v>0</v>
      </c>
      <c r="O555" s="17"/>
      <c r="P555" s="1">
        <f>value(SUBSTITUTE(IFERROR(VLOOKUP(A555,'Communications - Solution Speci'!A:G,6,false),""),"#","")
)</f>
        <v>0</v>
      </c>
      <c r="Q555" s="1">
        <f>value(SUBSTITUTE(IFERROR(VLOOKUP(A555,'Communications - Solution Speci'!A:G,7,false),""),"#","")
)</f>
        <v>0</v>
      </c>
      <c r="R555" s="17" t="str">
        <f t="shared" si="6"/>
        <v/>
      </c>
      <c r="S555" s="1">
        <f>value(SUBSTITUTE(IFERROR(VLOOKUP(A555,'Networking - Solution Specializ'!A:G,6,false),""),"#","")
)</f>
        <v>0</v>
      </c>
      <c r="T555" s="1">
        <f>value(SUBSTITUTE(IFERROR(VLOOKUP(A555,'Networking - Solution Specializ'!A:G,7,false),""),"#","")
)</f>
        <v>0</v>
      </c>
      <c r="U555" s="17" t="str">
        <f t="shared" si="7"/>
        <v/>
      </c>
      <c r="V555" s="1" t="str">
        <f>iferror(vlookup(A555,'Marketing Plan (extract summary'!A:G,6,false),"")</f>
        <v/>
      </c>
      <c r="W555" s="1" t="str">
        <f>iferror(vlookup(A555,'Marketing Plan (extract summary'!A:G,7,false),"")</f>
        <v/>
      </c>
      <c r="X555" s="17"/>
      <c r="Y555" s="1">
        <f>value(IFERROR(SUBSTITUTE(SUBSTITUTE(VLOOKUP(A555,'Quarterly Pipeline vs Target Pi'!A:G,6,false)," $","")," €",""), "")
)</f>
        <v>0</v>
      </c>
      <c r="Z555" s="1">
        <f>value(IFERROR(SUBSTITUTE(SUBSTITUTE(VLOOKUP(A555,'Quarterly Pipeline vs Target Pi'!A:G,7,false)," $","")," €",""), "")
)</f>
        <v>0</v>
      </c>
      <c r="AA555" s="17" t="str">
        <f t="shared" si="9"/>
        <v/>
      </c>
      <c r="AB555" s="1">
        <f>value(IFERROR(SUBSTITUTE(SUBSTITUTE(VLOOKUP($A555,'Quarterly Pipeline vs Target Pi'!$A:$V,11,false)," $","")," €",""), "")
)</f>
        <v>0</v>
      </c>
      <c r="AC555" s="1">
        <f>value(IFERROR(SUBSTITUTE(SUBSTITUTE(VLOOKUP($A555,'Quarterly Pipeline vs Target Pi'!$A:$V,12,false)," $","")," €",""), "")
)</f>
        <v>0</v>
      </c>
      <c r="AD555" s="17" t="str">
        <f t="shared" si="10"/>
        <v/>
      </c>
      <c r="AE555" s="1">
        <f>value(IFERROR(SUBSTITUTE(SUBSTITUTE(VLOOKUP($A555,'Quarterly Pipeline vs Target Pi'!$A:$V,16,false)," $","")," €",""), "")
)</f>
        <v>0</v>
      </c>
      <c r="AF555" s="1">
        <f>value(IFERROR(SUBSTITUTE(SUBSTITUTE(VLOOKUP($A555,'Quarterly Pipeline vs Target Pi'!$A:$V,17,false)," $","")," €",""), "")
)</f>
        <v>0</v>
      </c>
      <c r="AG555" s="17" t="str">
        <f t="shared" si="11"/>
        <v/>
      </c>
      <c r="AH555" s="1">
        <f>value(IFERROR(SUBSTITUTE(SUBSTITUTE(VLOOKUP($A555,'Quarterly Pipeline vs Target Pi'!$A:$V,21,false)," $","")," €",""), "")
)</f>
        <v>0</v>
      </c>
      <c r="AI555" s="1">
        <f>value(IFERROR(SUBSTITUTE(SUBSTITUTE(VLOOKUP($A555,'Quarterly Pipeline vs Target Pi'!$A:$V,22,false)," $","")," €",""), "")
)</f>
        <v>0</v>
      </c>
      <c r="AJ555" s="17" t="str">
        <f t="shared" si="12"/>
        <v/>
      </c>
      <c r="AK555" s="1">
        <f t="shared" ref="AK555:AL555" si="1123">sum(Y555,AB555,AE555,AH555)</f>
        <v>0</v>
      </c>
      <c r="AL555" s="1">
        <f t="shared" si="1123"/>
        <v>0</v>
      </c>
      <c r="AM555" s="17" t="str">
        <f t="shared" si="14"/>
        <v/>
      </c>
      <c r="AN555" s="1">
        <f>value(IFERROR(SUBSTITUTE(SUBSTITUTE(VLOOKUP($A555,'Quarterly Pipeline vs Target Pi'!$A:$AP,26,false)," $","")," €",""), "")
)</f>
        <v>0</v>
      </c>
      <c r="AO555" s="1">
        <f>value(IFERROR(SUBSTITUTE(SUBSTITUTE(VLOOKUP($A555,'Quarterly Pipeline vs Target Pi'!$A:$AP,27,false)," $","")," €",""), "")
)</f>
        <v>0</v>
      </c>
      <c r="AP555" s="17" t="str">
        <f t="shared" si="15"/>
        <v/>
      </c>
      <c r="AQ555" s="1">
        <f>value(IFERROR(SUBSTITUTE(SUBSTITUTE(VLOOKUP($A555,'Quarterly Pipeline vs Target Pi'!$A:$AP,31,false)," $","")," €",""), "")
)</f>
        <v>0</v>
      </c>
      <c r="AR555" s="1">
        <f>value(IFERROR(SUBSTITUTE(SUBSTITUTE(VLOOKUP($A555,'Quarterly Pipeline vs Target Pi'!$A:$AP,32,false)," $","")," €",""), "")
)</f>
        <v>0</v>
      </c>
      <c r="AS555" s="17" t="str">
        <f t="shared" si="16"/>
        <v/>
      </c>
      <c r="AT555" s="1">
        <f>value(IFERROR(SUBSTITUTE(SUBSTITUTE(VLOOKUP($A555,'Quarterly Pipeline vs Target Pi'!$A:$AP,36,false)," $","")," €",""), "")
)</f>
        <v>0</v>
      </c>
      <c r="AU555" s="1">
        <f>value(IFERROR(SUBSTITUTE(SUBSTITUTE(VLOOKUP($A555,'Quarterly Pipeline vs Target Pi'!$A:$AP,37,false)," $","")," €",""), "")
)</f>
        <v>0</v>
      </c>
      <c r="AV555" s="17" t="str">
        <f t="shared" si="17"/>
        <v/>
      </c>
      <c r="AW555" s="1">
        <f>value(IFERROR(SUBSTITUTE(SUBSTITUTE(VLOOKUP($A555,'Quarterly Pipeline vs Target Pi'!$A:$AP,41,false)," $","")," €",""), "")
)</f>
        <v>0</v>
      </c>
      <c r="AX555" s="1">
        <f>value(IFERROR(SUBSTITUTE(SUBSTITUTE(VLOOKUP($A555,'Quarterly Pipeline vs Target Pi'!$A:$AP,42,false)," $","")," €",""), "")
)</f>
        <v>0</v>
      </c>
      <c r="AY555" s="17" t="str">
        <f t="shared" si="18"/>
        <v/>
      </c>
      <c r="AZ555" s="1">
        <f t="shared" ref="AZ555:BA555" si="1124">sum(AN555,AQ555,AT555,AW555)</f>
        <v>0</v>
      </c>
      <c r="BA555" s="1">
        <f t="shared" si="1124"/>
        <v>0</v>
      </c>
      <c r="BB555" s="17" t="str">
        <f t="shared" si="20"/>
        <v/>
      </c>
    </row>
    <row r="556">
      <c r="G556" s="1" t="str">
        <f>iferror(VLOOKUP(A556,'Business Plan Setup and Accepta'!A:G,6,false),"")</f>
        <v/>
      </c>
      <c r="H556" s="1" t="str">
        <f>iferror(VLOOKUP(A556,'Business Plan Setup and Accepta'!A:G,7,false),"")</f>
        <v/>
      </c>
      <c r="I556" s="17"/>
      <c r="J556" s="1" t="str">
        <f>IFERROR(VALUE(SUBSTITUTE(VLOOKUP(A556,'Sales IN Revenues vs Sales targ'!A:G,6,false)," $","")), "")
</f>
        <v/>
      </c>
      <c r="K556" s="1" t="str">
        <f>IFERROR(VALUE(SUBSTITUTE(VLOOKUP(A556,'Sales IN Revenues vs Sales targ'!A:G,7,false)," $","")), "")
</f>
        <v/>
      </c>
      <c r="L556" s="17"/>
      <c r="M556" s="1">
        <f>value(SUBSTITUTE(IFERROR(VLOOKUP(A556,'Certifications achievements vs '!A:G,6,false),""),"#","")
)</f>
        <v>0</v>
      </c>
      <c r="N556" s="1">
        <f>value(SUBSTITUTE(IFERROR(VLOOKUP(A556,'Certifications achievements vs '!A:G,7,false),""),"#","")
)</f>
        <v>0</v>
      </c>
      <c r="O556" s="17"/>
      <c r="P556" s="1">
        <f>value(SUBSTITUTE(IFERROR(VLOOKUP(A556,'Communications - Solution Speci'!A:G,6,false),""),"#","")
)</f>
        <v>0</v>
      </c>
      <c r="Q556" s="1">
        <f>value(SUBSTITUTE(IFERROR(VLOOKUP(A556,'Communications - Solution Speci'!A:G,7,false),""),"#","")
)</f>
        <v>0</v>
      </c>
      <c r="R556" s="17" t="str">
        <f t="shared" si="6"/>
        <v/>
      </c>
      <c r="S556" s="1">
        <f>value(SUBSTITUTE(IFERROR(VLOOKUP(A556,'Networking - Solution Specializ'!A:G,6,false),""),"#","")
)</f>
        <v>0</v>
      </c>
      <c r="T556" s="1">
        <f>value(SUBSTITUTE(IFERROR(VLOOKUP(A556,'Networking - Solution Specializ'!A:G,7,false),""),"#","")
)</f>
        <v>0</v>
      </c>
      <c r="U556" s="17" t="str">
        <f t="shared" si="7"/>
        <v/>
      </c>
      <c r="V556" s="1" t="str">
        <f>iferror(vlookup(A556,'Marketing Plan (extract summary'!A:G,6,false),"")</f>
        <v/>
      </c>
      <c r="W556" s="1" t="str">
        <f>iferror(vlookup(A556,'Marketing Plan (extract summary'!A:G,7,false),"")</f>
        <v/>
      </c>
      <c r="X556" s="17"/>
      <c r="Y556" s="1">
        <f>value(IFERROR(SUBSTITUTE(SUBSTITUTE(VLOOKUP(A556,'Quarterly Pipeline vs Target Pi'!A:G,6,false)," $","")," €",""), "")
)</f>
        <v>0</v>
      </c>
      <c r="Z556" s="1">
        <f>value(IFERROR(SUBSTITUTE(SUBSTITUTE(VLOOKUP(A556,'Quarterly Pipeline vs Target Pi'!A:G,7,false)," $","")," €",""), "")
)</f>
        <v>0</v>
      </c>
      <c r="AA556" s="17" t="str">
        <f t="shared" si="9"/>
        <v/>
      </c>
      <c r="AB556" s="1">
        <f>value(IFERROR(SUBSTITUTE(SUBSTITUTE(VLOOKUP($A556,'Quarterly Pipeline vs Target Pi'!$A:$V,11,false)," $","")," €",""), "")
)</f>
        <v>0</v>
      </c>
      <c r="AC556" s="1">
        <f>value(IFERROR(SUBSTITUTE(SUBSTITUTE(VLOOKUP($A556,'Quarterly Pipeline vs Target Pi'!$A:$V,12,false)," $","")," €",""), "")
)</f>
        <v>0</v>
      </c>
      <c r="AD556" s="17" t="str">
        <f t="shared" si="10"/>
        <v/>
      </c>
      <c r="AE556" s="1">
        <f>value(IFERROR(SUBSTITUTE(SUBSTITUTE(VLOOKUP($A556,'Quarterly Pipeline vs Target Pi'!$A:$V,16,false)," $","")," €",""), "")
)</f>
        <v>0</v>
      </c>
      <c r="AF556" s="1">
        <f>value(IFERROR(SUBSTITUTE(SUBSTITUTE(VLOOKUP($A556,'Quarterly Pipeline vs Target Pi'!$A:$V,17,false)," $","")," €",""), "")
)</f>
        <v>0</v>
      </c>
      <c r="AG556" s="17" t="str">
        <f t="shared" si="11"/>
        <v/>
      </c>
      <c r="AH556" s="1">
        <f>value(IFERROR(SUBSTITUTE(SUBSTITUTE(VLOOKUP($A556,'Quarterly Pipeline vs Target Pi'!$A:$V,21,false)," $","")," €",""), "")
)</f>
        <v>0</v>
      </c>
      <c r="AI556" s="1">
        <f>value(IFERROR(SUBSTITUTE(SUBSTITUTE(VLOOKUP($A556,'Quarterly Pipeline vs Target Pi'!$A:$V,22,false)," $","")," €",""), "")
)</f>
        <v>0</v>
      </c>
      <c r="AJ556" s="17" t="str">
        <f t="shared" si="12"/>
        <v/>
      </c>
      <c r="AK556" s="1">
        <f t="shared" ref="AK556:AL556" si="1125">sum(Y556,AB556,AE556,AH556)</f>
        <v>0</v>
      </c>
      <c r="AL556" s="1">
        <f t="shared" si="1125"/>
        <v>0</v>
      </c>
      <c r="AM556" s="17" t="str">
        <f t="shared" si="14"/>
        <v/>
      </c>
      <c r="AN556" s="1">
        <f>value(IFERROR(SUBSTITUTE(SUBSTITUTE(VLOOKUP($A556,'Quarterly Pipeline vs Target Pi'!$A:$AP,26,false)," $","")," €",""), "")
)</f>
        <v>0</v>
      </c>
      <c r="AO556" s="1">
        <f>value(IFERROR(SUBSTITUTE(SUBSTITUTE(VLOOKUP($A556,'Quarterly Pipeline vs Target Pi'!$A:$AP,27,false)," $","")," €",""), "")
)</f>
        <v>0</v>
      </c>
      <c r="AP556" s="17" t="str">
        <f t="shared" si="15"/>
        <v/>
      </c>
      <c r="AQ556" s="1">
        <f>value(IFERROR(SUBSTITUTE(SUBSTITUTE(VLOOKUP($A556,'Quarterly Pipeline vs Target Pi'!$A:$AP,31,false)," $","")," €",""), "")
)</f>
        <v>0</v>
      </c>
      <c r="AR556" s="1">
        <f>value(IFERROR(SUBSTITUTE(SUBSTITUTE(VLOOKUP($A556,'Quarterly Pipeline vs Target Pi'!$A:$AP,32,false)," $","")," €",""), "")
)</f>
        <v>0</v>
      </c>
      <c r="AS556" s="17" t="str">
        <f t="shared" si="16"/>
        <v/>
      </c>
      <c r="AT556" s="1">
        <f>value(IFERROR(SUBSTITUTE(SUBSTITUTE(VLOOKUP($A556,'Quarterly Pipeline vs Target Pi'!$A:$AP,36,false)," $","")," €",""), "")
)</f>
        <v>0</v>
      </c>
      <c r="AU556" s="1">
        <f>value(IFERROR(SUBSTITUTE(SUBSTITUTE(VLOOKUP($A556,'Quarterly Pipeline vs Target Pi'!$A:$AP,37,false)," $","")," €",""), "")
)</f>
        <v>0</v>
      </c>
      <c r="AV556" s="17" t="str">
        <f t="shared" si="17"/>
        <v/>
      </c>
      <c r="AW556" s="1">
        <f>value(IFERROR(SUBSTITUTE(SUBSTITUTE(VLOOKUP($A556,'Quarterly Pipeline vs Target Pi'!$A:$AP,41,false)," $","")," €",""), "")
)</f>
        <v>0</v>
      </c>
      <c r="AX556" s="1">
        <f>value(IFERROR(SUBSTITUTE(SUBSTITUTE(VLOOKUP($A556,'Quarterly Pipeline vs Target Pi'!$A:$AP,42,false)," $","")," €",""), "")
)</f>
        <v>0</v>
      </c>
      <c r="AY556" s="17" t="str">
        <f t="shared" si="18"/>
        <v/>
      </c>
      <c r="AZ556" s="1">
        <f t="shared" ref="AZ556:BA556" si="1126">sum(AN556,AQ556,AT556,AW556)</f>
        <v>0</v>
      </c>
      <c r="BA556" s="1">
        <f t="shared" si="1126"/>
        <v>0</v>
      </c>
      <c r="BB556" s="17" t="str">
        <f t="shared" si="20"/>
        <v/>
      </c>
    </row>
    <row r="557">
      <c r="G557" s="1" t="str">
        <f>iferror(VLOOKUP(A557,'Business Plan Setup and Accepta'!A:G,6,false),"")</f>
        <v/>
      </c>
      <c r="H557" s="1" t="str">
        <f>iferror(VLOOKUP(A557,'Business Plan Setup and Accepta'!A:G,7,false),"")</f>
        <v/>
      </c>
      <c r="I557" s="17"/>
      <c r="J557" s="1" t="str">
        <f>IFERROR(VALUE(SUBSTITUTE(VLOOKUP(A557,'Sales IN Revenues vs Sales targ'!A:G,6,false)," $","")), "")
</f>
        <v/>
      </c>
      <c r="K557" s="1" t="str">
        <f>IFERROR(VALUE(SUBSTITUTE(VLOOKUP(A557,'Sales IN Revenues vs Sales targ'!A:G,7,false)," $","")), "")
</f>
        <v/>
      </c>
      <c r="L557" s="17"/>
      <c r="M557" s="1">
        <f>value(SUBSTITUTE(IFERROR(VLOOKUP(A557,'Certifications achievements vs '!A:G,6,false),""),"#","")
)</f>
        <v>0</v>
      </c>
      <c r="N557" s="1">
        <f>value(SUBSTITUTE(IFERROR(VLOOKUP(A557,'Certifications achievements vs '!A:G,7,false),""),"#","")
)</f>
        <v>0</v>
      </c>
      <c r="O557" s="17"/>
      <c r="P557" s="1">
        <f>value(SUBSTITUTE(IFERROR(VLOOKUP(A557,'Communications - Solution Speci'!A:G,6,false),""),"#","")
)</f>
        <v>0</v>
      </c>
      <c r="Q557" s="1">
        <f>value(SUBSTITUTE(IFERROR(VLOOKUP(A557,'Communications - Solution Speci'!A:G,7,false),""),"#","")
)</f>
        <v>0</v>
      </c>
      <c r="R557" s="17" t="str">
        <f t="shared" si="6"/>
        <v/>
      </c>
      <c r="S557" s="1">
        <f>value(SUBSTITUTE(IFERROR(VLOOKUP(A557,'Networking - Solution Specializ'!A:G,6,false),""),"#","")
)</f>
        <v>0</v>
      </c>
      <c r="T557" s="1">
        <f>value(SUBSTITUTE(IFERROR(VLOOKUP(A557,'Networking - Solution Specializ'!A:G,7,false),""),"#","")
)</f>
        <v>0</v>
      </c>
      <c r="U557" s="17" t="str">
        <f t="shared" si="7"/>
        <v/>
      </c>
      <c r="V557" s="1" t="str">
        <f>iferror(vlookup(A557,'Marketing Plan (extract summary'!A:G,6,false),"")</f>
        <v/>
      </c>
      <c r="W557" s="1" t="str">
        <f>iferror(vlookup(A557,'Marketing Plan (extract summary'!A:G,7,false),"")</f>
        <v/>
      </c>
      <c r="X557" s="17"/>
      <c r="Y557" s="1">
        <f>value(IFERROR(SUBSTITUTE(SUBSTITUTE(VLOOKUP(A557,'Quarterly Pipeline vs Target Pi'!A:G,6,false)," $","")," €",""), "")
)</f>
        <v>0</v>
      </c>
      <c r="Z557" s="1">
        <f>value(IFERROR(SUBSTITUTE(SUBSTITUTE(VLOOKUP(A557,'Quarterly Pipeline vs Target Pi'!A:G,7,false)," $","")," €",""), "")
)</f>
        <v>0</v>
      </c>
      <c r="AA557" s="17" t="str">
        <f t="shared" si="9"/>
        <v/>
      </c>
      <c r="AB557" s="1">
        <f>value(IFERROR(SUBSTITUTE(SUBSTITUTE(VLOOKUP($A557,'Quarterly Pipeline vs Target Pi'!$A:$V,11,false)," $","")," €",""), "")
)</f>
        <v>0</v>
      </c>
      <c r="AC557" s="1">
        <f>value(IFERROR(SUBSTITUTE(SUBSTITUTE(VLOOKUP($A557,'Quarterly Pipeline vs Target Pi'!$A:$V,12,false)," $","")," €",""), "")
)</f>
        <v>0</v>
      </c>
      <c r="AD557" s="17" t="str">
        <f t="shared" si="10"/>
        <v/>
      </c>
      <c r="AE557" s="1">
        <f>value(IFERROR(SUBSTITUTE(SUBSTITUTE(VLOOKUP($A557,'Quarterly Pipeline vs Target Pi'!$A:$V,16,false)," $","")," €",""), "")
)</f>
        <v>0</v>
      </c>
      <c r="AF557" s="1">
        <f>value(IFERROR(SUBSTITUTE(SUBSTITUTE(VLOOKUP($A557,'Quarterly Pipeline vs Target Pi'!$A:$V,17,false)," $","")," €",""), "")
)</f>
        <v>0</v>
      </c>
      <c r="AG557" s="17" t="str">
        <f t="shared" si="11"/>
        <v/>
      </c>
      <c r="AH557" s="1">
        <f>value(IFERROR(SUBSTITUTE(SUBSTITUTE(VLOOKUP($A557,'Quarterly Pipeline vs Target Pi'!$A:$V,21,false)," $","")," €",""), "")
)</f>
        <v>0</v>
      </c>
      <c r="AI557" s="1">
        <f>value(IFERROR(SUBSTITUTE(SUBSTITUTE(VLOOKUP($A557,'Quarterly Pipeline vs Target Pi'!$A:$V,22,false)," $","")," €",""), "")
)</f>
        <v>0</v>
      </c>
      <c r="AJ557" s="17" t="str">
        <f t="shared" si="12"/>
        <v/>
      </c>
      <c r="AK557" s="1">
        <f t="shared" ref="AK557:AL557" si="1127">sum(Y557,AB557,AE557,AH557)</f>
        <v>0</v>
      </c>
      <c r="AL557" s="1">
        <f t="shared" si="1127"/>
        <v>0</v>
      </c>
      <c r="AM557" s="17" t="str">
        <f t="shared" si="14"/>
        <v/>
      </c>
      <c r="AN557" s="1">
        <f>value(IFERROR(SUBSTITUTE(SUBSTITUTE(VLOOKUP($A557,'Quarterly Pipeline vs Target Pi'!$A:$AP,26,false)," $","")," €",""), "")
)</f>
        <v>0</v>
      </c>
      <c r="AO557" s="1">
        <f>value(IFERROR(SUBSTITUTE(SUBSTITUTE(VLOOKUP($A557,'Quarterly Pipeline vs Target Pi'!$A:$AP,27,false)," $","")," €",""), "")
)</f>
        <v>0</v>
      </c>
      <c r="AP557" s="17" t="str">
        <f t="shared" si="15"/>
        <v/>
      </c>
      <c r="AQ557" s="1">
        <f>value(IFERROR(SUBSTITUTE(SUBSTITUTE(VLOOKUP($A557,'Quarterly Pipeline vs Target Pi'!$A:$AP,31,false)," $","")," €",""), "")
)</f>
        <v>0</v>
      </c>
      <c r="AR557" s="1">
        <f>value(IFERROR(SUBSTITUTE(SUBSTITUTE(VLOOKUP($A557,'Quarterly Pipeline vs Target Pi'!$A:$AP,32,false)," $","")," €",""), "")
)</f>
        <v>0</v>
      </c>
      <c r="AS557" s="17" t="str">
        <f t="shared" si="16"/>
        <v/>
      </c>
      <c r="AT557" s="1">
        <f>value(IFERROR(SUBSTITUTE(SUBSTITUTE(VLOOKUP($A557,'Quarterly Pipeline vs Target Pi'!$A:$AP,36,false)," $","")," €",""), "")
)</f>
        <v>0</v>
      </c>
      <c r="AU557" s="1">
        <f>value(IFERROR(SUBSTITUTE(SUBSTITUTE(VLOOKUP($A557,'Quarterly Pipeline vs Target Pi'!$A:$AP,37,false)," $","")," €",""), "")
)</f>
        <v>0</v>
      </c>
      <c r="AV557" s="17" t="str">
        <f t="shared" si="17"/>
        <v/>
      </c>
      <c r="AW557" s="1">
        <f>value(IFERROR(SUBSTITUTE(SUBSTITUTE(VLOOKUP($A557,'Quarterly Pipeline vs Target Pi'!$A:$AP,41,false)," $","")," €",""), "")
)</f>
        <v>0</v>
      </c>
      <c r="AX557" s="1">
        <f>value(IFERROR(SUBSTITUTE(SUBSTITUTE(VLOOKUP($A557,'Quarterly Pipeline vs Target Pi'!$A:$AP,42,false)," $","")," €",""), "")
)</f>
        <v>0</v>
      </c>
      <c r="AY557" s="17" t="str">
        <f t="shared" si="18"/>
        <v/>
      </c>
      <c r="AZ557" s="1">
        <f t="shared" ref="AZ557:BA557" si="1128">sum(AN557,AQ557,AT557,AW557)</f>
        <v>0</v>
      </c>
      <c r="BA557" s="1">
        <f t="shared" si="1128"/>
        <v>0</v>
      </c>
      <c r="BB557" s="17" t="str">
        <f t="shared" si="20"/>
        <v/>
      </c>
    </row>
    <row r="558">
      <c r="G558" s="1" t="str">
        <f>iferror(VLOOKUP(A558,'Business Plan Setup and Accepta'!A:G,6,false),"")</f>
        <v/>
      </c>
      <c r="H558" s="1" t="str">
        <f>iferror(VLOOKUP(A558,'Business Plan Setup and Accepta'!A:G,7,false),"")</f>
        <v/>
      </c>
      <c r="I558" s="17"/>
      <c r="J558" s="1" t="str">
        <f>IFERROR(VALUE(SUBSTITUTE(VLOOKUP(A558,'Sales IN Revenues vs Sales targ'!A:G,6,false)," $","")), "")
</f>
        <v/>
      </c>
      <c r="K558" s="1" t="str">
        <f>IFERROR(VALUE(SUBSTITUTE(VLOOKUP(A558,'Sales IN Revenues vs Sales targ'!A:G,7,false)," $","")), "")
</f>
        <v/>
      </c>
      <c r="L558" s="17"/>
      <c r="M558" s="1">
        <f>value(SUBSTITUTE(IFERROR(VLOOKUP(A558,'Certifications achievements vs '!A:G,6,false),""),"#","")
)</f>
        <v>0</v>
      </c>
      <c r="N558" s="1">
        <f>value(SUBSTITUTE(IFERROR(VLOOKUP(A558,'Certifications achievements vs '!A:G,7,false),""),"#","")
)</f>
        <v>0</v>
      </c>
      <c r="O558" s="17"/>
      <c r="P558" s="1">
        <f>value(SUBSTITUTE(IFERROR(VLOOKUP(A558,'Communications - Solution Speci'!A:G,6,false),""),"#","")
)</f>
        <v>0</v>
      </c>
      <c r="Q558" s="1">
        <f>value(SUBSTITUTE(IFERROR(VLOOKUP(A558,'Communications - Solution Speci'!A:G,7,false),""),"#","")
)</f>
        <v>0</v>
      </c>
      <c r="R558" s="17" t="str">
        <f t="shared" si="6"/>
        <v/>
      </c>
      <c r="S558" s="1">
        <f>value(SUBSTITUTE(IFERROR(VLOOKUP(A558,'Networking - Solution Specializ'!A:G,6,false),""),"#","")
)</f>
        <v>0</v>
      </c>
      <c r="T558" s="1">
        <f>value(SUBSTITUTE(IFERROR(VLOOKUP(A558,'Networking - Solution Specializ'!A:G,7,false),""),"#","")
)</f>
        <v>0</v>
      </c>
      <c r="U558" s="17" t="str">
        <f t="shared" si="7"/>
        <v/>
      </c>
      <c r="V558" s="1" t="str">
        <f>iferror(vlookup(A558,'Marketing Plan (extract summary'!A:G,6,false),"")</f>
        <v/>
      </c>
      <c r="W558" s="1" t="str">
        <f>iferror(vlookup(A558,'Marketing Plan (extract summary'!A:G,7,false),"")</f>
        <v/>
      </c>
      <c r="X558" s="17"/>
      <c r="Y558" s="1">
        <f>value(IFERROR(SUBSTITUTE(SUBSTITUTE(VLOOKUP(A558,'Quarterly Pipeline vs Target Pi'!A:G,6,false)," $","")," €",""), "")
)</f>
        <v>0</v>
      </c>
      <c r="Z558" s="1">
        <f>value(IFERROR(SUBSTITUTE(SUBSTITUTE(VLOOKUP(A558,'Quarterly Pipeline vs Target Pi'!A:G,7,false)," $","")," €",""), "")
)</f>
        <v>0</v>
      </c>
      <c r="AA558" s="17" t="str">
        <f t="shared" si="9"/>
        <v/>
      </c>
      <c r="AB558" s="1">
        <f>value(IFERROR(SUBSTITUTE(SUBSTITUTE(VLOOKUP($A558,'Quarterly Pipeline vs Target Pi'!$A:$V,11,false)," $","")," €",""), "")
)</f>
        <v>0</v>
      </c>
      <c r="AC558" s="1">
        <f>value(IFERROR(SUBSTITUTE(SUBSTITUTE(VLOOKUP($A558,'Quarterly Pipeline vs Target Pi'!$A:$V,12,false)," $","")," €",""), "")
)</f>
        <v>0</v>
      </c>
      <c r="AD558" s="17" t="str">
        <f t="shared" si="10"/>
        <v/>
      </c>
      <c r="AE558" s="1">
        <f>value(IFERROR(SUBSTITUTE(SUBSTITUTE(VLOOKUP($A558,'Quarterly Pipeline vs Target Pi'!$A:$V,16,false)," $","")," €",""), "")
)</f>
        <v>0</v>
      </c>
      <c r="AF558" s="1">
        <f>value(IFERROR(SUBSTITUTE(SUBSTITUTE(VLOOKUP($A558,'Quarterly Pipeline vs Target Pi'!$A:$V,17,false)," $","")," €",""), "")
)</f>
        <v>0</v>
      </c>
      <c r="AG558" s="17" t="str">
        <f t="shared" si="11"/>
        <v/>
      </c>
      <c r="AH558" s="1">
        <f>value(IFERROR(SUBSTITUTE(SUBSTITUTE(VLOOKUP($A558,'Quarterly Pipeline vs Target Pi'!$A:$V,21,false)," $","")," €",""), "")
)</f>
        <v>0</v>
      </c>
      <c r="AI558" s="1">
        <f>value(IFERROR(SUBSTITUTE(SUBSTITUTE(VLOOKUP($A558,'Quarterly Pipeline vs Target Pi'!$A:$V,22,false)," $","")," €",""), "")
)</f>
        <v>0</v>
      </c>
      <c r="AJ558" s="17" t="str">
        <f t="shared" si="12"/>
        <v/>
      </c>
      <c r="AK558" s="1">
        <f t="shared" ref="AK558:AL558" si="1129">sum(Y558,AB558,AE558,AH558)</f>
        <v>0</v>
      </c>
      <c r="AL558" s="1">
        <f t="shared" si="1129"/>
        <v>0</v>
      </c>
      <c r="AM558" s="17" t="str">
        <f t="shared" si="14"/>
        <v/>
      </c>
      <c r="AN558" s="1">
        <f>value(IFERROR(SUBSTITUTE(SUBSTITUTE(VLOOKUP($A558,'Quarterly Pipeline vs Target Pi'!$A:$AP,26,false)," $","")," €",""), "")
)</f>
        <v>0</v>
      </c>
      <c r="AO558" s="1">
        <f>value(IFERROR(SUBSTITUTE(SUBSTITUTE(VLOOKUP($A558,'Quarterly Pipeline vs Target Pi'!$A:$AP,27,false)," $","")," €",""), "")
)</f>
        <v>0</v>
      </c>
      <c r="AP558" s="17" t="str">
        <f t="shared" si="15"/>
        <v/>
      </c>
      <c r="AQ558" s="1">
        <f>value(IFERROR(SUBSTITUTE(SUBSTITUTE(VLOOKUP($A558,'Quarterly Pipeline vs Target Pi'!$A:$AP,31,false)," $","")," €",""), "")
)</f>
        <v>0</v>
      </c>
      <c r="AR558" s="1">
        <f>value(IFERROR(SUBSTITUTE(SUBSTITUTE(VLOOKUP($A558,'Quarterly Pipeline vs Target Pi'!$A:$AP,32,false)," $","")," €",""), "")
)</f>
        <v>0</v>
      </c>
      <c r="AS558" s="17" t="str">
        <f t="shared" si="16"/>
        <v/>
      </c>
      <c r="AT558" s="1">
        <f>value(IFERROR(SUBSTITUTE(SUBSTITUTE(VLOOKUP($A558,'Quarterly Pipeline vs Target Pi'!$A:$AP,36,false)," $","")," €",""), "")
)</f>
        <v>0</v>
      </c>
      <c r="AU558" s="1">
        <f>value(IFERROR(SUBSTITUTE(SUBSTITUTE(VLOOKUP($A558,'Quarterly Pipeline vs Target Pi'!$A:$AP,37,false)," $","")," €",""), "")
)</f>
        <v>0</v>
      </c>
      <c r="AV558" s="17" t="str">
        <f t="shared" si="17"/>
        <v/>
      </c>
      <c r="AW558" s="1">
        <f>value(IFERROR(SUBSTITUTE(SUBSTITUTE(VLOOKUP($A558,'Quarterly Pipeline vs Target Pi'!$A:$AP,41,false)," $","")," €",""), "")
)</f>
        <v>0</v>
      </c>
      <c r="AX558" s="1">
        <f>value(IFERROR(SUBSTITUTE(SUBSTITUTE(VLOOKUP($A558,'Quarterly Pipeline vs Target Pi'!$A:$AP,42,false)," $","")," €",""), "")
)</f>
        <v>0</v>
      </c>
      <c r="AY558" s="17" t="str">
        <f t="shared" si="18"/>
        <v/>
      </c>
      <c r="AZ558" s="1">
        <f t="shared" ref="AZ558:BA558" si="1130">sum(AN558,AQ558,AT558,AW558)</f>
        <v>0</v>
      </c>
      <c r="BA558" s="1">
        <f t="shared" si="1130"/>
        <v>0</v>
      </c>
      <c r="BB558" s="17" t="str">
        <f t="shared" si="20"/>
        <v/>
      </c>
    </row>
    <row r="559">
      <c r="G559" s="1" t="str">
        <f>iferror(VLOOKUP(A559,'Business Plan Setup and Accepta'!A:G,6,false),"")</f>
        <v/>
      </c>
      <c r="H559" s="1" t="str">
        <f>iferror(VLOOKUP(A559,'Business Plan Setup and Accepta'!A:G,7,false),"")</f>
        <v/>
      </c>
      <c r="I559" s="17"/>
      <c r="J559" s="1" t="str">
        <f>IFERROR(VALUE(SUBSTITUTE(VLOOKUP(A559,'Sales IN Revenues vs Sales targ'!A:G,6,false)," $","")), "")
</f>
        <v/>
      </c>
      <c r="K559" s="1" t="str">
        <f>IFERROR(VALUE(SUBSTITUTE(VLOOKUP(A559,'Sales IN Revenues vs Sales targ'!A:G,7,false)," $","")), "")
</f>
        <v/>
      </c>
      <c r="L559" s="17"/>
      <c r="M559" s="1">
        <f>value(SUBSTITUTE(IFERROR(VLOOKUP(A559,'Certifications achievements vs '!A:G,6,false),""),"#","")
)</f>
        <v>0</v>
      </c>
      <c r="N559" s="1">
        <f>value(SUBSTITUTE(IFERROR(VLOOKUP(A559,'Certifications achievements vs '!A:G,7,false),""),"#","")
)</f>
        <v>0</v>
      </c>
      <c r="O559" s="17"/>
      <c r="P559" s="1">
        <f>value(SUBSTITUTE(IFERROR(VLOOKUP(A559,'Communications - Solution Speci'!A:G,6,false),""),"#","")
)</f>
        <v>0</v>
      </c>
      <c r="Q559" s="1">
        <f>value(SUBSTITUTE(IFERROR(VLOOKUP(A559,'Communications - Solution Speci'!A:G,7,false),""),"#","")
)</f>
        <v>0</v>
      </c>
      <c r="R559" s="17" t="str">
        <f t="shared" si="6"/>
        <v/>
      </c>
      <c r="S559" s="1">
        <f>value(SUBSTITUTE(IFERROR(VLOOKUP(A559,'Networking - Solution Specializ'!A:G,6,false),""),"#","")
)</f>
        <v>0</v>
      </c>
      <c r="T559" s="1">
        <f>value(SUBSTITUTE(IFERROR(VLOOKUP(A559,'Networking - Solution Specializ'!A:G,7,false),""),"#","")
)</f>
        <v>0</v>
      </c>
      <c r="U559" s="17" t="str">
        <f t="shared" si="7"/>
        <v/>
      </c>
      <c r="V559" s="1" t="str">
        <f>iferror(vlookup(A559,'Marketing Plan (extract summary'!A:G,6,false),"")</f>
        <v/>
      </c>
      <c r="W559" s="1" t="str">
        <f>iferror(vlookup(A559,'Marketing Plan (extract summary'!A:G,7,false),"")</f>
        <v/>
      </c>
      <c r="X559" s="17"/>
      <c r="Y559" s="1">
        <f>value(IFERROR(SUBSTITUTE(SUBSTITUTE(VLOOKUP(A559,'Quarterly Pipeline vs Target Pi'!A:G,6,false)," $","")," €",""), "")
)</f>
        <v>0</v>
      </c>
      <c r="Z559" s="1">
        <f>value(IFERROR(SUBSTITUTE(SUBSTITUTE(VLOOKUP(A559,'Quarterly Pipeline vs Target Pi'!A:G,7,false)," $","")," €",""), "")
)</f>
        <v>0</v>
      </c>
      <c r="AA559" s="17" t="str">
        <f t="shared" si="9"/>
        <v/>
      </c>
      <c r="AB559" s="1">
        <f>value(IFERROR(SUBSTITUTE(SUBSTITUTE(VLOOKUP($A559,'Quarterly Pipeline vs Target Pi'!$A:$V,11,false)," $","")," €",""), "")
)</f>
        <v>0</v>
      </c>
      <c r="AC559" s="1">
        <f>value(IFERROR(SUBSTITUTE(SUBSTITUTE(VLOOKUP($A559,'Quarterly Pipeline vs Target Pi'!$A:$V,12,false)," $","")," €",""), "")
)</f>
        <v>0</v>
      </c>
      <c r="AD559" s="17" t="str">
        <f t="shared" si="10"/>
        <v/>
      </c>
      <c r="AE559" s="1">
        <f>value(IFERROR(SUBSTITUTE(SUBSTITUTE(VLOOKUP($A559,'Quarterly Pipeline vs Target Pi'!$A:$V,16,false)," $","")," €",""), "")
)</f>
        <v>0</v>
      </c>
      <c r="AF559" s="1">
        <f>value(IFERROR(SUBSTITUTE(SUBSTITUTE(VLOOKUP($A559,'Quarterly Pipeline vs Target Pi'!$A:$V,17,false)," $","")," €",""), "")
)</f>
        <v>0</v>
      </c>
      <c r="AG559" s="17" t="str">
        <f t="shared" si="11"/>
        <v/>
      </c>
      <c r="AH559" s="1">
        <f>value(IFERROR(SUBSTITUTE(SUBSTITUTE(VLOOKUP($A559,'Quarterly Pipeline vs Target Pi'!$A:$V,21,false)," $","")," €",""), "")
)</f>
        <v>0</v>
      </c>
      <c r="AI559" s="1">
        <f>value(IFERROR(SUBSTITUTE(SUBSTITUTE(VLOOKUP($A559,'Quarterly Pipeline vs Target Pi'!$A:$V,22,false)," $","")," €",""), "")
)</f>
        <v>0</v>
      </c>
      <c r="AJ559" s="17" t="str">
        <f t="shared" si="12"/>
        <v/>
      </c>
      <c r="AK559" s="1">
        <f t="shared" ref="AK559:AL559" si="1131">sum(Y559,AB559,AE559,AH559)</f>
        <v>0</v>
      </c>
      <c r="AL559" s="1">
        <f t="shared" si="1131"/>
        <v>0</v>
      </c>
      <c r="AM559" s="17" t="str">
        <f t="shared" si="14"/>
        <v/>
      </c>
      <c r="AN559" s="1">
        <f>value(IFERROR(SUBSTITUTE(SUBSTITUTE(VLOOKUP($A559,'Quarterly Pipeline vs Target Pi'!$A:$AP,26,false)," $","")," €",""), "")
)</f>
        <v>0</v>
      </c>
      <c r="AO559" s="1">
        <f>value(IFERROR(SUBSTITUTE(SUBSTITUTE(VLOOKUP($A559,'Quarterly Pipeline vs Target Pi'!$A:$AP,27,false)," $","")," €",""), "")
)</f>
        <v>0</v>
      </c>
      <c r="AP559" s="17" t="str">
        <f t="shared" si="15"/>
        <v/>
      </c>
      <c r="AQ559" s="1">
        <f>value(IFERROR(SUBSTITUTE(SUBSTITUTE(VLOOKUP($A559,'Quarterly Pipeline vs Target Pi'!$A:$AP,31,false)," $","")," €",""), "")
)</f>
        <v>0</v>
      </c>
      <c r="AR559" s="1">
        <f>value(IFERROR(SUBSTITUTE(SUBSTITUTE(VLOOKUP($A559,'Quarterly Pipeline vs Target Pi'!$A:$AP,32,false)," $","")," €",""), "")
)</f>
        <v>0</v>
      </c>
      <c r="AS559" s="17" t="str">
        <f t="shared" si="16"/>
        <v/>
      </c>
      <c r="AT559" s="1">
        <f>value(IFERROR(SUBSTITUTE(SUBSTITUTE(VLOOKUP($A559,'Quarterly Pipeline vs Target Pi'!$A:$AP,36,false)," $","")," €",""), "")
)</f>
        <v>0</v>
      </c>
      <c r="AU559" s="1">
        <f>value(IFERROR(SUBSTITUTE(SUBSTITUTE(VLOOKUP($A559,'Quarterly Pipeline vs Target Pi'!$A:$AP,37,false)," $","")," €",""), "")
)</f>
        <v>0</v>
      </c>
      <c r="AV559" s="17" t="str">
        <f t="shared" si="17"/>
        <v/>
      </c>
      <c r="AW559" s="1">
        <f>value(IFERROR(SUBSTITUTE(SUBSTITUTE(VLOOKUP($A559,'Quarterly Pipeline vs Target Pi'!$A:$AP,41,false)," $","")," €",""), "")
)</f>
        <v>0</v>
      </c>
      <c r="AX559" s="1">
        <f>value(IFERROR(SUBSTITUTE(SUBSTITUTE(VLOOKUP($A559,'Quarterly Pipeline vs Target Pi'!$A:$AP,42,false)," $","")," €",""), "")
)</f>
        <v>0</v>
      </c>
      <c r="AY559" s="17" t="str">
        <f t="shared" si="18"/>
        <v/>
      </c>
      <c r="AZ559" s="1">
        <f t="shared" ref="AZ559:BA559" si="1132">sum(AN559,AQ559,AT559,AW559)</f>
        <v>0</v>
      </c>
      <c r="BA559" s="1">
        <f t="shared" si="1132"/>
        <v>0</v>
      </c>
      <c r="BB559" s="17" t="str">
        <f t="shared" si="20"/>
        <v/>
      </c>
    </row>
    <row r="560">
      <c r="G560" s="1" t="str">
        <f>iferror(VLOOKUP(A560,'Business Plan Setup and Accepta'!A:G,6,false),"")</f>
        <v/>
      </c>
      <c r="H560" s="1" t="str">
        <f>iferror(VLOOKUP(A560,'Business Plan Setup and Accepta'!A:G,7,false),"")</f>
        <v/>
      </c>
      <c r="I560" s="17"/>
      <c r="J560" s="1" t="str">
        <f>IFERROR(VALUE(SUBSTITUTE(VLOOKUP(A560,'Sales IN Revenues vs Sales targ'!A:G,6,false)," $","")), "")
</f>
        <v/>
      </c>
      <c r="K560" s="1" t="str">
        <f>IFERROR(VALUE(SUBSTITUTE(VLOOKUP(A560,'Sales IN Revenues vs Sales targ'!A:G,7,false)," $","")), "")
</f>
        <v/>
      </c>
      <c r="L560" s="17"/>
      <c r="M560" s="1">
        <f>value(SUBSTITUTE(IFERROR(VLOOKUP(A560,'Certifications achievements vs '!A:G,6,false),""),"#","")
)</f>
        <v>0</v>
      </c>
      <c r="N560" s="1">
        <f>value(SUBSTITUTE(IFERROR(VLOOKUP(A560,'Certifications achievements vs '!A:G,7,false),""),"#","")
)</f>
        <v>0</v>
      </c>
      <c r="O560" s="17"/>
      <c r="P560" s="1">
        <f>value(SUBSTITUTE(IFERROR(VLOOKUP(A560,'Communications - Solution Speci'!A:G,6,false),""),"#","")
)</f>
        <v>0</v>
      </c>
      <c r="Q560" s="1">
        <f>value(SUBSTITUTE(IFERROR(VLOOKUP(A560,'Communications - Solution Speci'!A:G,7,false),""),"#","")
)</f>
        <v>0</v>
      </c>
      <c r="R560" s="17" t="str">
        <f t="shared" si="6"/>
        <v/>
      </c>
      <c r="S560" s="1">
        <f>value(SUBSTITUTE(IFERROR(VLOOKUP(A560,'Networking - Solution Specializ'!A:G,6,false),""),"#","")
)</f>
        <v>0</v>
      </c>
      <c r="T560" s="1">
        <f>value(SUBSTITUTE(IFERROR(VLOOKUP(A560,'Networking - Solution Specializ'!A:G,7,false),""),"#","")
)</f>
        <v>0</v>
      </c>
      <c r="U560" s="17" t="str">
        <f t="shared" si="7"/>
        <v/>
      </c>
      <c r="V560" s="1" t="str">
        <f>iferror(vlookup(A560,'Marketing Plan (extract summary'!A:G,6,false),"")</f>
        <v/>
      </c>
      <c r="W560" s="1" t="str">
        <f>iferror(vlookup(A560,'Marketing Plan (extract summary'!A:G,7,false),"")</f>
        <v/>
      </c>
      <c r="X560" s="17"/>
      <c r="Y560" s="1">
        <f>value(IFERROR(SUBSTITUTE(SUBSTITUTE(VLOOKUP(A560,'Quarterly Pipeline vs Target Pi'!A:G,6,false)," $","")," €",""), "")
)</f>
        <v>0</v>
      </c>
      <c r="Z560" s="1">
        <f>value(IFERROR(SUBSTITUTE(SUBSTITUTE(VLOOKUP(A560,'Quarterly Pipeline vs Target Pi'!A:G,7,false)," $","")," €",""), "")
)</f>
        <v>0</v>
      </c>
      <c r="AA560" s="17" t="str">
        <f t="shared" si="9"/>
        <v/>
      </c>
      <c r="AB560" s="1">
        <f>value(IFERROR(SUBSTITUTE(SUBSTITUTE(VLOOKUP($A560,'Quarterly Pipeline vs Target Pi'!$A:$V,11,false)," $","")," €",""), "")
)</f>
        <v>0</v>
      </c>
      <c r="AC560" s="1">
        <f>value(IFERROR(SUBSTITUTE(SUBSTITUTE(VLOOKUP($A560,'Quarterly Pipeline vs Target Pi'!$A:$V,12,false)," $","")," €",""), "")
)</f>
        <v>0</v>
      </c>
      <c r="AD560" s="17" t="str">
        <f t="shared" si="10"/>
        <v/>
      </c>
      <c r="AE560" s="1">
        <f>value(IFERROR(SUBSTITUTE(SUBSTITUTE(VLOOKUP($A560,'Quarterly Pipeline vs Target Pi'!$A:$V,16,false)," $","")," €",""), "")
)</f>
        <v>0</v>
      </c>
      <c r="AF560" s="1">
        <f>value(IFERROR(SUBSTITUTE(SUBSTITUTE(VLOOKUP($A560,'Quarterly Pipeline vs Target Pi'!$A:$V,17,false)," $","")," €",""), "")
)</f>
        <v>0</v>
      </c>
      <c r="AG560" s="17" t="str">
        <f t="shared" si="11"/>
        <v/>
      </c>
      <c r="AH560" s="1">
        <f>value(IFERROR(SUBSTITUTE(SUBSTITUTE(VLOOKUP($A560,'Quarterly Pipeline vs Target Pi'!$A:$V,21,false)," $","")," €",""), "")
)</f>
        <v>0</v>
      </c>
      <c r="AI560" s="1">
        <f>value(IFERROR(SUBSTITUTE(SUBSTITUTE(VLOOKUP($A560,'Quarterly Pipeline vs Target Pi'!$A:$V,22,false)," $","")," €",""), "")
)</f>
        <v>0</v>
      </c>
      <c r="AJ560" s="17" t="str">
        <f t="shared" si="12"/>
        <v/>
      </c>
      <c r="AK560" s="1">
        <f t="shared" ref="AK560:AL560" si="1133">sum(Y560,AB560,AE560,AH560)</f>
        <v>0</v>
      </c>
      <c r="AL560" s="1">
        <f t="shared" si="1133"/>
        <v>0</v>
      </c>
      <c r="AM560" s="17" t="str">
        <f t="shared" si="14"/>
        <v/>
      </c>
      <c r="AN560" s="1">
        <f>value(IFERROR(SUBSTITUTE(SUBSTITUTE(VLOOKUP($A560,'Quarterly Pipeline vs Target Pi'!$A:$AP,26,false)," $","")," €",""), "")
)</f>
        <v>0</v>
      </c>
      <c r="AO560" s="1">
        <f>value(IFERROR(SUBSTITUTE(SUBSTITUTE(VLOOKUP($A560,'Quarterly Pipeline vs Target Pi'!$A:$AP,27,false)," $","")," €",""), "")
)</f>
        <v>0</v>
      </c>
      <c r="AP560" s="17" t="str">
        <f t="shared" si="15"/>
        <v/>
      </c>
      <c r="AQ560" s="1">
        <f>value(IFERROR(SUBSTITUTE(SUBSTITUTE(VLOOKUP($A560,'Quarterly Pipeline vs Target Pi'!$A:$AP,31,false)," $","")," €",""), "")
)</f>
        <v>0</v>
      </c>
      <c r="AR560" s="1">
        <f>value(IFERROR(SUBSTITUTE(SUBSTITUTE(VLOOKUP($A560,'Quarterly Pipeline vs Target Pi'!$A:$AP,32,false)," $","")," €",""), "")
)</f>
        <v>0</v>
      </c>
      <c r="AS560" s="17" t="str">
        <f t="shared" si="16"/>
        <v/>
      </c>
      <c r="AT560" s="1">
        <f>value(IFERROR(SUBSTITUTE(SUBSTITUTE(VLOOKUP($A560,'Quarterly Pipeline vs Target Pi'!$A:$AP,36,false)," $","")," €",""), "")
)</f>
        <v>0</v>
      </c>
      <c r="AU560" s="1">
        <f>value(IFERROR(SUBSTITUTE(SUBSTITUTE(VLOOKUP($A560,'Quarterly Pipeline vs Target Pi'!$A:$AP,37,false)," $","")," €",""), "")
)</f>
        <v>0</v>
      </c>
      <c r="AV560" s="17" t="str">
        <f t="shared" si="17"/>
        <v/>
      </c>
      <c r="AW560" s="1">
        <f>value(IFERROR(SUBSTITUTE(SUBSTITUTE(VLOOKUP($A560,'Quarterly Pipeline vs Target Pi'!$A:$AP,41,false)," $","")," €",""), "")
)</f>
        <v>0</v>
      </c>
      <c r="AX560" s="1">
        <f>value(IFERROR(SUBSTITUTE(SUBSTITUTE(VLOOKUP($A560,'Quarterly Pipeline vs Target Pi'!$A:$AP,42,false)," $","")," €",""), "")
)</f>
        <v>0</v>
      </c>
      <c r="AY560" s="17" t="str">
        <f t="shared" si="18"/>
        <v/>
      </c>
      <c r="AZ560" s="1">
        <f t="shared" ref="AZ560:BA560" si="1134">sum(AN560,AQ560,AT560,AW560)</f>
        <v>0</v>
      </c>
      <c r="BA560" s="1">
        <f t="shared" si="1134"/>
        <v>0</v>
      </c>
      <c r="BB560" s="17" t="str">
        <f t="shared" si="20"/>
        <v/>
      </c>
    </row>
    <row r="561">
      <c r="G561" s="1" t="str">
        <f>iferror(VLOOKUP(A561,'Business Plan Setup and Accepta'!A:G,6,false),"")</f>
        <v/>
      </c>
      <c r="H561" s="1" t="str">
        <f>iferror(VLOOKUP(A561,'Business Plan Setup and Accepta'!A:G,7,false),"")</f>
        <v/>
      </c>
      <c r="I561" s="17"/>
      <c r="J561" s="1" t="str">
        <f>IFERROR(VALUE(SUBSTITUTE(VLOOKUP(A561,'Sales IN Revenues vs Sales targ'!A:G,6,false)," $","")), "")
</f>
        <v/>
      </c>
      <c r="K561" s="1" t="str">
        <f>IFERROR(VALUE(SUBSTITUTE(VLOOKUP(A561,'Sales IN Revenues vs Sales targ'!A:G,7,false)," $","")), "")
</f>
        <v/>
      </c>
      <c r="L561" s="17"/>
      <c r="M561" s="1">
        <f>value(SUBSTITUTE(IFERROR(VLOOKUP(A561,'Certifications achievements vs '!A:G,6,false),""),"#","")
)</f>
        <v>0</v>
      </c>
      <c r="N561" s="1">
        <f>value(SUBSTITUTE(IFERROR(VLOOKUP(A561,'Certifications achievements vs '!A:G,7,false),""),"#","")
)</f>
        <v>0</v>
      </c>
      <c r="O561" s="17"/>
      <c r="P561" s="1">
        <f>value(SUBSTITUTE(IFERROR(VLOOKUP(A561,'Communications - Solution Speci'!A:G,6,false),""),"#","")
)</f>
        <v>0</v>
      </c>
      <c r="Q561" s="1">
        <f>value(SUBSTITUTE(IFERROR(VLOOKUP(A561,'Communications - Solution Speci'!A:G,7,false),""),"#","")
)</f>
        <v>0</v>
      </c>
      <c r="R561" s="17" t="str">
        <f t="shared" si="6"/>
        <v/>
      </c>
      <c r="S561" s="1">
        <f>value(SUBSTITUTE(IFERROR(VLOOKUP(A561,'Networking - Solution Specializ'!A:G,6,false),""),"#","")
)</f>
        <v>0</v>
      </c>
      <c r="T561" s="1">
        <f>value(SUBSTITUTE(IFERROR(VLOOKUP(A561,'Networking - Solution Specializ'!A:G,7,false),""),"#","")
)</f>
        <v>0</v>
      </c>
      <c r="U561" s="17" t="str">
        <f t="shared" si="7"/>
        <v/>
      </c>
      <c r="V561" s="1" t="str">
        <f>iferror(vlookup(A561,'Marketing Plan (extract summary'!A:G,6,false),"")</f>
        <v/>
      </c>
      <c r="W561" s="1" t="str">
        <f>iferror(vlookup(A561,'Marketing Plan (extract summary'!A:G,7,false),"")</f>
        <v/>
      </c>
      <c r="X561" s="17"/>
      <c r="Y561" s="1">
        <f>value(IFERROR(SUBSTITUTE(SUBSTITUTE(VLOOKUP(A561,'Quarterly Pipeline vs Target Pi'!A:G,6,false)," $","")," €",""), "")
)</f>
        <v>0</v>
      </c>
      <c r="Z561" s="1">
        <f>value(IFERROR(SUBSTITUTE(SUBSTITUTE(VLOOKUP(A561,'Quarterly Pipeline vs Target Pi'!A:G,7,false)," $","")," €",""), "")
)</f>
        <v>0</v>
      </c>
      <c r="AA561" s="17" t="str">
        <f t="shared" si="9"/>
        <v/>
      </c>
      <c r="AB561" s="1">
        <f>value(IFERROR(SUBSTITUTE(SUBSTITUTE(VLOOKUP($A561,'Quarterly Pipeline vs Target Pi'!$A:$V,11,false)," $","")," €",""), "")
)</f>
        <v>0</v>
      </c>
      <c r="AC561" s="1">
        <f>value(IFERROR(SUBSTITUTE(SUBSTITUTE(VLOOKUP($A561,'Quarterly Pipeline vs Target Pi'!$A:$V,12,false)," $","")," €",""), "")
)</f>
        <v>0</v>
      </c>
      <c r="AD561" s="17" t="str">
        <f t="shared" si="10"/>
        <v/>
      </c>
      <c r="AE561" s="1">
        <f>value(IFERROR(SUBSTITUTE(SUBSTITUTE(VLOOKUP($A561,'Quarterly Pipeline vs Target Pi'!$A:$V,16,false)," $","")," €",""), "")
)</f>
        <v>0</v>
      </c>
      <c r="AF561" s="1">
        <f>value(IFERROR(SUBSTITUTE(SUBSTITUTE(VLOOKUP($A561,'Quarterly Pipeline vs Target Pi'!$A:$V,17,false)," $","")," €",""), "")
)</f>
        <v>0</v>
      </c>
      <c r="AG561" s="17" t="str">
        <f t="shared" si="11"/>
        <v/>
      </c>
      <c r="AH561" s="1">
        <f>value(IFERROR(SUBSTITUTE(SUBSTITUTE(VLOOKUP($A561,'Quarterly Pipeline vs Target Pi'!$A:$V,21,false)," $","")," €",""), "")
)</f>
        <v>0</v>
      </c>
      <c r="AI561" s="1">
        <f>value(IFERROR(SUBSTITUTE(SUBSTITUTE(VLOOKUP($A561,'Quarterly Pipeline vs Target Pi'!$A:$V,22,false)," $","")," €",""), "")
)</f>
        <v>0</v>
      </c>
      <c r="AJ561" s="17" t="str">
        <f t="shared" si="12"/>
        <v/>
      </c>
      <c r="AK561" s="1">
        <f t="shared" ref="AK561:AL561" si="1135">sum(Y561,AB561,AE561,AH561)</f>
        <v>0</v>
      </c>
      <c r="AL561" s="1">
        <f t="shared" si="1135"/>
        <v>0</v>
      </c>
      <c r="AM561" s="17" t="str">
        <f t="shared" si="14"/>
        <v/>
      </c>
      <c r="AN561" s="1">
        <f>value(IFERROR(SUBSTITUTE(SUBSTITUTE(VLOOKUP($A561,'Quarterly Pipeline vs Target Pi'!$A:$AP,26,false)," $","")," €",""), "")
)</f>
        <v>0</v>
      </c>
      <c r="AO561" s="1">
        <f>value(IFERROR(SUBSTITUTE(SUBSTITUTE(VLOOKUP($A561,'Quarterly Pipeline vs Target Pi'!$A:$AP,27,false)," $","")," €",""), "")
)</f>
        <v>0</v>
      </c>
      <c r="AP561" s="17" t="str">
        <f t="shared" si="15"/>
        <v/>
      </c>
      <c r="AQ561" s="1">
        <f>value(IFERROR(SUBSTITUTE(SUBSTITUTE(VLOOKUP($A561,'Quarterly Pipeline vs Target Pi'!$A:$AP,31,false)," $","")," €",""), "")
)</f>
        <v>0</v>
      </c>
      <c r="AR561" s="1">
        <f>value(IFERROR(SUBSTITUTE(SUBSTITUTE(VLOOKUP($A561,'Quarterly Pipeline vs Target Pi'!$A:$AP,32,false)," $","")," €",""), "")
)</f>
        <v>0</v>
      </c>
      <c r="AS561" s="17" t="str">
        <f t="shared" si="16"/>
        <v/>
      </c>
      <c r="AT561" s="1">
        <f>value(IFERROR(SUBSTITUTE(SUBSTITUTE(VLOOKUP($A561,'Quarterly Pipeline vs Target Pi'!$A:$AP,36,false)," $","")," €",""), "")
)</f>
        <v>0</v>
      </c>
      <c r="AU561" s="1">
        <f>value(IFERROR(SUBSTITUTE(SUBSTITUTE(VLOOKUP($A561,'Quarterly Pipeline vs Target Pi'!$A:$AP,37,false)," $","")," €",""), "")
)</f>
        <v>0</v>
      </c>
      <c r="AV561" s="17" t="str">
        <f t="shared" si="17"/>
        <v/>
      </c>
      <c r="AW561" s="1">
        <f>value(IFERROR(SUBSTITUTE(SUBSTITUTE(VLOOKUP($A561,'Quarterly Pipeline vs Target Pi'!$A:$AP,41,false)," $","")," €",""), "")
)</f>
        <v>0</v>
      </c>
      <c r="AX561" s="1">
        <f>value(IFERROR(SUBSTITUTE(SUBSTITUTE(VLOOKUP($A561,'Quarterly Pipeline vs Target Pi'!$A:$AP,42,false)," $","")," €",""), "")
)</f>
        <v>0</v>
      </c>
      <c r="AY561" s="17" t="str">
        <f t="shared" si="18"/>
        <v/>
      </c>
      <c r="AZ561" s="1">
        <f t="shared" ref="AZ561:BA561" si="1136">sum(AN561,AQ561,AT561,AW561)</f>
        <v>0</v>
      </c>
      <c r="BA561" s="1">
        <f t="shared" si="1136"/>
        <v>0</v>
      </c>
      <c r="BB561" s="17" t="str">
        <f t="shared" si="20"/>
        <v/>
      </c>
    </row>
    <row r="562">
      <c r="G562" s="1" t="str">
        <f>iferror(VLOOKUP(A562,'Business Plan Setup and Accepta'!A:G,6,false),"")</f>
        <v/>
      </c>
      <c r="H562" s="1" t="str">
        <f>iferror(VLOOKUP(A562,'Business Plan Setup and Accepta'!A:G,7,false),"")</f>
        <v/>
      </c>
      <c r="I562" s="17"/>
      <c r="J562" s="1" t="str">
        <f>IFERROR(VALUE(SUBSTITUTE(VLOOKUP(A562,'Sales IN Revenues vs Sales targ'!A:G,6,false)," $","")), "")
</f>
        <v/>
      </c>
      <c r="K562" s="1" t="str">
        <f>IFERROR(VALUE(SUBSTITUTE(VLOOKUP(A562,'Sales IN Revenues vs Sales targ'!A:G,7,false)," $","")), "")
</f>
        <v/>
      </c>
      <c r="L562" s="17"/>
      <c r="M562" s="1">
        <f>value(SUBSTITUTE(IFERROR(VLOOKUP(A562,'Certifications achievements vs '!A:G,6,false),""),"#","")
)</f>
        <v>0</v>
      </c>
      <c r="N562" s="1">
        <f>value(SUBSTITUTE(IFERROR(VLOOKUP(A562,'Certifications achievements vs '!A:G,7,false),""),"#","")
)</f>
        <v>0</v>
      </c>
      <c r="O562" s="17"/>
      <c r="P562" s="1">
        <f>value(SUBSTITUTE(IFERROR(VLOOKUP(A562,'Communications - Solution Speci'!A:G,6,false),""),"#","")
)</f>
        <v>0</v>
      </c>
      <c r="Q562" s="1">
        <f>value(SUBSTITUTE(IFERROR(VLOOKUP(A562,'Communications - Solution Speci'!A:G,7,false),""),"#","")
)</f>
        <v>0</v>
      </c>
      <c r="R562" s="17" t="str">
        <f t="shared" si="6"/>
        <v/>
      </c>
      <c r="S562" s="1">
        <f>value(SUBSTITUTE(IFERROR(VLOOKUP(A562,'Networking - Solution Specializ'!A:G,6,false),""),"#","")
)</f>
        <v>0</v>
      </c>
      <c r="T562" s="1">
        <f>value(SUBSTITUTE(IFERROR(VLOOKUP(A562,'Networking - Solution Specializ'!A:G,7,false),""),"#","")
)</f>
        <v>0</v>
      </c>
      <c r="U562" s="17" t="str">
        <f t="shared" si="7"/>
        <v/>
      </c>
      <c r="V562" s="1" t="str">
        <f>iferror(vlookup(A562,'Marketing Plan (extract summary'!A:G,6,false),"")</f>
        <v/>
      </c>
      <c r="W562" s="1" t="str">
        <f>iferror(vlookup(A562,'Marketing Plan (extract summary'!A:G,7,false),"")</f>
        <v/>
      </c>
      <c r="X562" s="17"/>
      <c r="Y562" s="1">
        <f>value(IFERROR(SUBSTITUTE(SUBSTITUTE(VLOOKUP(A562,'Quarterly Pipeline vs Target Pi'!A:G,6,false)," $","")," €",""), "")
)</f>
        <v>0</v>
      </c>
      <c r="Z562" s="1">
        <f>value(IFERROR(SUBSTITUTE(SUBSTITUTE(VLOOKUP(A562,'Quarterly Pipeline vs Target Pi'!A:G,7,false)," $","")," €",""), "")
)</f>
        <v>0</v>
      </c>
      <c r="AA562" s="17" t="str">
        <f t="shared" si="9"/>
        <v/>
      </c>
      <c r="AB562" s="1">
        <f>value(IFERROR(SUBSTITUTE(SUBSTITUTE(VLOOKUP($A562,'Quarterly Pipeline vs Target Pi'!$A:$V,11,false)," $","")," €",""), "")
)</f>
        <v>0</v>
      </c>
      <c r="AC562" s="1">
        <f>value(IFERROR(SUBSTITUTE(SUBSTITUTE(VLOOKUP($A562,'Quarterly Pipeline vs Target Pi'!$A:$V,12,false)," $","")," €",""), "")
)</f>
        <v>0</v>
      </c>
      <c r="AD562" s="17" t="str">
        <f t="shared" si="10"/>
        <v/>
      </c>
      <c r="AE562" s="1">
        <f>value(IFERROR(SUBSTITUTE(SUBSTITUTE(VLOOKUP($A562,'Quarterly Pipeline vs Target Pi'!$A:$V,16,false)," $","")," €",""), "")
)</f>
        <v>0</v>
      </c>
      <c r="AF562" s="1">
        <f>value(IFERROR(SUBSTITUTE(SUBSTITUTE(VLOOKUP($A562,'Quarterly Pipeline vs Target Pi'!$A:$V,17,false)," $","")," €",""), "")
)</f>
        <v>0</v>
      </c>
      <c r="AG562" s="17" t="str">
        <f t="shared" si="11"/>
        <v/>
      </c>
      <c r="AH562" s="1">
        <f>value(IFERROR(SUBSTITUTE(SUBSTITUTE(VLOOKUP($A562,'Quarterly Pipeline vs Target Pi'!$A:$V,21,false)," $","")," €",""), "")
)</f>
        <v>0</v>
      </c>
      <c r="AI562" s="1">
        <f>value(IFERROR(SUBSTITUTE(SUBSTITUTE(VLOOKUP($A562,'Quarterly Pipeline vs Target Pi'!$A:$V,22,false)," $","")," €",""), "")
)</f>
        <v>0</v>
      </c>
      <c r="AJ562" s="17" t="str">
        <f t="shared" si="12"/>
        <v/>
      </c>
      <c r="AK562" s="1">
        <f t="shared" ref="AK562:AL562" si="1137">sum(Y562,AB562,AE562,AH562)</f>
        <v>0</v>
      </c>
      <c r="AL562" s="1">
        <f t="shared" si="1137"/>
        <v>0</v>
      </c>
      <c r="AM562" s="17" t="str">
        <f t="shared" si="14"/>
        <v/>
      </c>
      <c r="AN562" s="1">
        <f>value(IFERROR(SUBSTITUTE(SUBSTITUTE(VLOOKUP($A562,'Quarterly Pipeline vs Target Pi'!$A:$AP,26,false)," $","")," €",""), "")
)</f>
        <v>0</v>
      </c>
      <c r="AO562" s="1">
        <f>value(IFERROR(SUBSTITUTE(SUBSTITUTE(VLOOKUP($A562,'Quarterly Pipeline vs Target Pi'!$A:$AP,27,false)," $","")," €",""), "")
)</f>
        <v>0</v>
      </c>
      <c r="AP562" s="17" t="str">
        <f t="shared" si="15"/>
        <v/>
      </c>
      <c r="AQ562" s="1">
        <f>value(IFERROR(SUBSTITUTE(SUBSTITUTE(VLOOKUP($A562,'Quarterly Pipeline vs Target Pi'!$A:$AP,31,false)," $","")," €",""), "")
)</f>
        <v>0</v>
      </c>
      <c r="AR562" s="1">
        <f>value(IFERROR(SUBSTITUTE(SUBSTITUTE(VLOOKUP($A562,'Quarterly Pipeline vs Target Pi'!$A:$AP,32,false)," $","")," €",""), "")
)</f>
        <v>0</v>
      </c>
      <c r="AS562" s="17" t="str">
        <f t="shared" si="16"/>
        <v/>
      </c>
      <c r="AT562" s="1">
        <f>value(IFERROR(SUBSTITUTE(SUBSTITUTE(VLOOKUP($A562,'Quarterly Pipeline vs Target Pi'!$A:$AP,36,false)," $","")," €",""), "")
)</f>
        <v>0</v>
      </c>
      <c r="AU562" s="1">
        <f>value(IFERROR(SUBSTITUTE(SUBSTITUTE(VLOOKUP($A562,'Quarterly Pipeline vs Target Pi'!$A:$AP,37,false)," $","")," €",""), "")
)</f>
        <v>0</v>
      </c>
      <c r="AV562" s="17" t="str">
        <f t="shared" si="17"/>
        <v/>
      </c>
      <c r="AW562" s="1">
        <f>value(IFERROR(SUBSTITUTE(SUBSTITUTE(VLOOKUP($A562,'Quarterly Pipeline vs Target Pi'!$A:$AP,41,false)," $","")," €",""), "")
)</f>
        <v>0</v>
      </c>
      <c r="AX562" s="1">
        <f>value(IFERROR(SUBSTITUTE(SUBSTITUTE(VLOOKUP($A562,'Quarterly Pipeline vs Target Pi'!$A:$AP,42,false)," $","")," €",""), "")
)</f>
        <v>0</v>
      </c>
      <c r="AY562" s="17" t="str">
        <f t="shared" si="18"/>
        <v/>
      </c>
      <c r="AZ562" s="1">
        <f t="shared" ref="AZ562:BA562" si="1138">sum(AN562,AQ562,AT562,AW562)</f>
        <v>0</v>
      </c>
      <c r="BA562" s="1">
        <f t="shared" si="1138"/>
        <v>0</v>
      </c>
      <c r="BB562" s="17" t="str">
        <f t="shared" si="20"/>
        <v/>
      </c>
    </row>
    <row r="563">
      <c r="G563" s="1" t="str">
        <f>iferror(VLOOKUP(A563,'Business Plan Setup and Accepta'!A:G,6,false),"")</f>
        <v/>
      </c>
      <c r="H563" s="1" t="str">
        <f>iferror(VLOOKUP(A563,'Business Plan Setup and Accepta'!A:G,7,false),"")</f>
        <v/>
      </c>
      <c r="I563" s="17"/>
      <c r="J563" s="1" t="str">
        <f>IFERROR(VALUE(SUBSTITUTE(VLOOKUP(A563,'Sales IN Revenues vs Sales targ'!A:G,6,false)," $","")), "")
</f>
        <v/>
      </c>
      <c r="K563" s="1" t="str">
        <f>IFERROR(VALUE(SUBSTITUTE(VLOOKUP(A563,'Sales IN Revenues vs Sales targ'!A:G,7,false)," $","")), "")
</f>
        <v/>
      </c>
      <c r="L563" s="17"/>
      <c r="M563" s="1">
        <f>value(SUBSTITUTE(IFERROR(VLOOKUP(A563,'Certifications achievements vs '!A:G,6,false),""),"#","")
)</f>
        <v>0</v>
      </c>
      <c r="N563" s="1">
        <f>value(SUBSTITUTE(IFERROR(VLOOKUP(A563,'Certifications achievements vs '!A:G,7,false),""),"#","")
)</f>
        <v>0</v>
      </c>
      <c r="O563" s="17"/>
      <c r="P563" s="1">
        <f>value(SUBSTITUTE(IFERROR(VLOOKUP(A563,'Communications - Solution Speci'!A:G,6,false),""),"#","")
)</f>
        <v>0</v>
      </c>
      <c r="Q563" s="1">
        <f>value(SUBSTITUTE(IFERROR(VLOOKUP(A563,'Communications - Solution Speci'!A:G,7,false),""),"#","")
)</f>
        <v>0</v>
      </c>
      <c r="R563" s="17" t="str">
        <f t="shared" si="6"/>
        <v/>
      </c>
      <c r="S563" s="1">
        <f>value(SUBSTITUTE(IFERROR(VLOOKUP(A563,'Networking - Solution Specializ'!A:G,6,false),""),"#","")
)</f>
        <v>0</v>
      </c>
      <c r="T563" s="1">
        <f>value(SUBSTITUTE(IFERROR(VLOOKUP(A563,'Networking - Solution Specializ'!A:G,7,false),""),"#","")
)</f>
        <v>0</v>
      </c>
      <c r="U563" s="17" t="str">
        <f t="shared" si="7"/>
        <v/>
      </c>
      <c r="V563" s="1" t="str">
        <f>iferror(vlookup(A563,'Marketing Plan (extract summary'!A:G,6,false),"")</f>
        <v/>
      </c>
      <c r="W563" s="1" t="str">
        <f>iferror(vlookup(A563,'Marketing Plan (extract summary'!A:G,7,false),"")</f>
        <v/>
      </c>
      <c r="X563" s="17"/>
      <c r="Y563" s="1">
        <f>value(IFERROR(SUBSTITUTE(SUBSTITUTE(VLOOKUP(A563,'Quarterly Pipeline vs Target Pi'!A:G,6,false)," $","")," €",""), "")
)</f>
        <v>0</v>
      </c>
      <c r="Z563" s="1">
        <f>value(IFERROR(SUBSTITUTE(SUBSTITUTE(VLOOKUP(A563,'Quarterly Pipeline vs Target Pi'!A:G,7,false)," $","")," €",""), "")
)</f>
        <v>0</v>
      </c>
      <c r="AA563" s="17" t="str">
        <f t="shared" si="9"/>
        <v/>
      </c>
      <c r="AB563" s="1">
        <f>value(IFERROR(SUBSTITUTE(SUBSTITUTE(VLOOKUP($A563,'Quarterly Pipeline vs Target Pi'!$A:$V,11,false)," $","")," €",""), "")
)</f>
        <v>0</v>
      </c>
      <c r="AC563" s="1">
        <f>value(IFERROR(SUBSTITUTE(SUBSTITUTE(VLOOKUP($A563,'Quarterly Pipeline vs Target Pi'!$A:$V,12,false)," $","")," €",""), "")
)</f>
        <v>0</v>
      </c>
      <c r="AD563" s="17" t="str">
        <f t="shared" si="10"/>
        <v/>
      </c>
      <c r="AE563" s="1">
        <f>value(IFERROR(SUBSTITUTE(SUBSTITUTE(VLOOKUP($A563,'Quarterly Pipeline vs Target Pi'!$A:$V,16,false)," $","")," €",""), "")
)</f>
        <v>0</v>
      </c>
      <c r="AF563" s="1">
        <f>value(IFERROR(SUBSTITUTE(SUBSTITUTE(VLOOKUP($A563,'Quarterly Pipeline vs Target Pi'!$A:$V,17,false)," $","")," €",""), "")
)</f>
        <v>0</v>
      </c>
      <c r="AG563" s="17" t="str">
        <f t="shared" si="11"/>
        <v/>
      </c>
      <c r="AH563" s="1">
        <f>value(IFERROR(SUBSTITUTE(SUBSTITUTE(VLOOKUP($A563,'Quarterly Pipeline vs Target Pi'!$A:$V,21,false)," $","")," €",""), "")
)</f>
        <v>0</v>
      </c>
      <c r="AI563" s="1">
        <f>value(IFERROR(SUBSTITUTE(SUBSTITUTE(VLOOKUP($A563,'Quarterly Pipeline vs Target Pi'!$A:$V,22,false)," $","")," €",""), "")
)</f>
        <v>0</v>
      </c>
      <c r="AJ563" s="17" t="str">
        <f t="shared" si="12"/>
        <v/>
      </c>
      <c r="AK563" s="1">
        <f t="shared" ref="AK563:AL563" si="1139">sum(Y563,AB563,AE563,AH563)</f>
        <v>0</v>
      </c>
      <c r="AL563" s="1">
        <f t="shared" si="1139"/>
        <v>0</v>
      </c>
      <c r="AM563" s="17" t="str">
        <f t="shared" si="14"/>
        <v/>
      </c>
      <c r="AN563" s="1">
        <f>value(IFERROR(SUBSTITUTE(SUBSTITUTE(VLOOKUP($A563,'Quarterly Pipeline vs Target Pi'!$A:$AP,26,false)," $","")," €",""), "")
)</f>
        <v>0</v>
      </c>
      <c r="AO563" s="1">
        <f>value(IFERROR(SUBSTITUTE(SUBSTITUTE(VLOOKUP($A563,'Quarterly Pipeline vs Target Pi'!$A:$AP,27,false)," $","")," €",""), "")
)</f>
        <v>0</v>
      </c>
      <c r="AP563" s="17" t="str">
        <f t="shared" si="15"/>
        <v/>
      </c>
      <c r="AQ563" s="1">
        <f>value(IFERROR(SUBSTITUTE(SUBSTITUTE(VLOOKUP($A563,'Quarterly Pipeline vs Target Pi'!$A:$AP,31,false)," $","")," €",""), "")
)</f>
        <v>0</v>
      </c>
      <c r="AR563" s="1">
        <f>value(IFERROR(SUBSTITUTE(SUBSTITUTE(VLOOKUP($A563,'Quarterly Pipeline vs Target Pi'!$A:$AP,32,false)," $","")," €",""), "")
)</f>
        <v>0</v>
      </c>
      <c r="AS563" s="17" t="str">
        <f t="shared" si="16"/>
        <v/>
      </c>
      <c r="AT563" s="1">
        <f>value(IFERROR(SUBSTITUTE(SUBSTITUTE(VLOOKUP($A563,'Quarterly Pipeline vs Target Pi'!$A:$AP,36,false)," $","")," €",""), "")
)</f>
        <v>0</v>
      </c>
      <c r="AU563" s="1">
        <f>value(IFERROR(SUBSTITUTE(SUBSTITUTE(VLOOKUP($A563,'Quarterly Pipeline vs Target Pi'!$A:$AP,37,false)," $","")," €",""), "")
)</f>
        <v>0</v>
      </c>
      <c r="AV563" s="17" t="str">
        <f t="shared" si="17"/>
        <v/>
      </c>
      <c r="AW563" s="1">
        <f>value(IFERROR(SUBSTITUTE(SUBSTITUTE(VLOOKUP($A563,'Quarterly Pipeline vs Target Pi'!$A:$AP,41,false)," $","")," €",""), "")
)</f>
        <v>0</v>
      </c>
      <c r="AX563" s="1">
        <f>value(IFERROR(SUBSTITUTE(SUBSTITUTE(VLOOKUP($A563,'Quarterly Pipeline vs Target Pi'!$A:$AP,42,false)," $","")," €",""), "")
)</f>
        <v>0</v>
      </c>
      <c r="AY563" s="17" t="str">
        <f t="shared" si="18"/>
        <v/>
      </c>
      <c r="AZ563" s="1">
        <f t="shared" ref="AZ563:BA563" si="1140">sum(AN563,AQ563,AT563,AW563)</f>
        <v>0</v>
      </c>
      <c r="BA563" s="1">
        <f t="shared" si="1140"/>
        <v>0</v>
      </c>
      <c r="BB563" s="17" t="str">
        <f t="shared" si="20"/>
        <v/>
      </c>
    </row>
    <row r="564">
      <c r="G564" s="1" t="str">
        <f>iferror(VLOOKUP(A564,'Business Plan Setup and Accepta'!A:G,6,false),"")</f>
        <v/>
      </c>
      <c r="H564" s="1" t="str">
        <f>iferror(VLOOKUP(A564,'Business Plan Setup and Accepta'!A:G,7,false),"")</f>
        <v/>
      </c>
      <c r="I564" s="17"/>
      <c r="J564" s="1" t="str">
        <f>IFERROR(VALUE(SUBSTITUTE(VLOOKUP(A564,'Sales IN Revenues vs Sales targ'!A:G,6,false)," $","")), "")
</f>
        <v/>
      </c>
      <c r="K564" s="1" t="str">
        <f>IFERROR(VALUE(SUBSTITUTE(VLOOKUP(A564,'Sales IN Revenues vs Sales targ'!A:G,7,false)," $","")), "")
</f>
        <v/>
      </c>
      <c r="L564" s="17"/>
      <c r="M564" s="1">
        <f>value(SUBSTITUTE(IFERROR(VLOOKUP(A564,'Certifications achievements vs '!A:G,6,false),""),"#","")
)</f>
        <v>0</v>
      </c>
      <c r="N564" s="1">
        <f>value(SUBSTITUTE(IFERROR(VLOOKUP(A564,'Certifications achievements vs '!A:G,7,false),""),"#","")
)</f>
        <v>0</v>
      </c>
      <c r="O564" s="17"/>
      <c r="P564" s="1">
        <f>value(SUBSTITUTE(IFERROR(VLOOKUP(A564,'Communications - Solution Speci'!A:G,6,false),""),"#","")
)</f>
        <v>0</v>
      </c>
      <c r="Q564" s="1">
        <f>value(SUBSTITUTE(IFERROR(VLOOKUP(A564,'Communications - Solution Speci'!A:G,7,false),""),"#","")
)</f>
        <v>0</v>
      </c>
      <c r="R564" s="17" t="str">
        <f t="shared" si="6"/>
        <v/>
      </c>
      <c r="S564" s="1">
        <f>value(SUBSTITUTE(IFERROR(VLOOKUP(A564,'Networking - Solution Specializ'!A:G,6,false),""),"#","")
)</f>
        <v>0</v>
      </c>
      <c r="T564" s="1">
        <f>value(SUBSTITUTE(IFERROR(VLOOKUP(A564,'Networking - Solution Specializ'!A:G,7,false),""),"#","")
)</f>
        <v>0</v>
      </c>
      <c r="U564" s="17" t="str">
        <f t="shared" si="7"/>
        <v/>
      </c>
      <c r="V564" s="1" t="str">
        <f>iferror(vlookup(A564,'Marketing Plan (extract summary'!A:G,6,false),"")</f>
        <v/>
      </c>
      <c r="W564" s="1" t="str">
        <f>iferror(vlookup(A564,'Marketing Plan (extract summary'!A:G,7,false),"")</f>
        <v/>
      </c>
      <c r="X564" s="17"/>
      <c r="Y564" s="1">
        <f>value(IFERROR(SUBSTITUTE(SUBSTITUTE(VLOOKUP(A564,'Quarterly Pipeline vs Target Pi'!A:G,6,false)," $","")," €",""), "")
)</f>
        <v>0</v>
      </c>
      <c r="Z564" s="1">
        <f>value(IFERROR(SUBSTITUTE(SUBSTITUTE(VLOOKUP(A564,'Quarterly Pipeline vs Target Pi'!A:G,7,false)," $","")," €",""), "")
)</f>
        <v>0</v>
      </c>
      <c r="AA564" s="17" t="str">
        <f t="shared" si="9"/>
        <v/>
      </c>
      <c r="AB564" s="1">
        <f>value(IFERROR(SUBSTITUTE(SUBSTITUTE(VLOOKUP($A564,'Quarterly Pipeline vs Target Pi'!$A:$V,11,false)," $","")," €",""), "")
)</f>
        <v>0</v>
      </c>
      <c r="AC564" s="1">
        <f>value(IFERROR(SUBSTITUTE(SUBSTITUTE(VLOOKUP($A564,'Quarterly Pipeline vs Target Pi'!$A:$V,12,false)," $","")," €",""), "")
)</f>
        <v>0</v>
      </c>
      <c r="AD564" s="17" t="str">
        <f t="shared" si="10"/>
        <v/>
      </c>
      <c r="AE564" s="1">
        <f>value(IFERROR(SUBSTITUTE(SUBSTITUTE(VLOOKUP($A564,'Quarterly Pipeline vs Target Pi'!$A:$V,16,false)," $","")," €",""), "")
)</f>
        <v>0</v>
      </c>
      <c r="AF564" s="1">
        <f>value(IFERROR(SUBSTITUTE(SUBSTITUTE(VLOOKUP($A564,'Quarterly Pipeline vs Target Pi'!$A:$V,17,false)," $","")," €",""), "")
)</f>
        <v>0</v>
      </c>
      <c r="AG564" s="17" t="str">
        <f t="shared" si="11"/>
        <v/>
      </c>
      <c r="AH564" s="1">
        <f>value(IFERROR(SUBSTITUTE(SUBSTITUTE(VLOOKUP($A564,'Quarterly Pipeline vs Target Pi'!$A:$V,21,false)," $","")," €",""), "")
)</f>
        <v>0</v>
      </c>
      <c r="AI564" s="1">
        <f>value(IFERROR(SUBSTITUTE(SUBSTITUTE(VLOOKUP($A564,'Quarterly Pipeline vs Target Pi'!$A:$V,22,false)," $","")," €",""), "")
)</f>
        <v>0</v>
      </c>
      <c r="AJ564" s="17" t="str">
        <f t="shared" si="12"/>
        <v/>
      </c>
      <c r="AK564" s="1">
        <f t="shared" ref="AK564:AL564" si="1141">sum(Y564,AB564,AE564,AH564)</f>
        <v>0</v>
      </c>
      <c r="AL564" s="1">
        <f t="shared" si="1141"/>
        <v>0</v>
      </c>
      <c r="AM564" s="17" t="str">
        <f t="shared" si="14"/>
        <v/>
      </c>
      <c r="AN564" s="1">
        <f>value(IFERROR(SUBSTITUTE(SUBSTITUTE(VLOOKUP($A564,'Quarterly Pipeline vs Target Pi'!$A:$AP,26,false)," $","")," €",""), "")
)</f>
        <v>0</v>
      </c>
      <c r="AO564" s="1">
        <f>value(IFERROR(SUBSTITUTE(SUBSTITUTE(VLOOKUP($A564,'Quarterly Pipeline vs Target Pi'!$A:$AP,27,false)," $","")," €",""), "")
)</f>
        <v>0</v>
      </c>
      <c r="AP564" s="17" t="str">
        <f t="shared" si="15"/>
        <v/>
      </c>
      <c r="AQ564" s="1">
        <f>value(IFERROR(SUBSTITUTE(SUBSTITUTE(VLOOKUP($A564,'Quarterly Pipeline vs Target Pi'!$A:$AP,31,false)," $","")," €",""), "")
)</f>
        <v>0</v>
      </c>
      <c r="AR564" s="1">
        <f>value(IFERROR(SUBSTITUTE(SUBSTITUTE(VLOOKUP($A564,'Quarterly Pipeline vs Target Pi'!$A:$AP,32,false)," $","")," €",""), "")
)</f>
        <v>0</v>
      </c>
      <c r="AS564" s="17" t="str">
        <f t="shared" si="16"/>
        <v/>
      </c>
      <c r="AT564" s="1">
        <f>value(IFERROR(SUBSTITUTE(SUBSTITUTE(VLOOKUP($A564,'Quarterly Pipeline vs Target Pi'!$A:$AP,36,false)," $","")," €",""), "")
)</f>
        <v>0</v>
      </c>
      <c r="AU564" s="1">
        <f>value(IFERROR(SUBSTITUTE(SUBSTITUTE(VLOOKUP($A564,'Quarterly Pipeline vs Target Pi'!$A:$AP,37,false)," $","")," €",""), "")
)</f>
        <v>0</v>
      </c>
      <c r="AV564" s="17" t="str">
        <f t="shared" si="17"/>
        <v/>
      </c>
      <c r="AW564" s="1">
        <f>value(IFERROR(SUBSTITUTE(SUBSTITUTE(VLOOKUP($A564,'Quarterly Pipeline vs Target Pi'!$A:$AP,41,false)," $","")," €",""), "")
)</f>
        <v>0</v>
      </c>
      <c r="AX564" s="1">
        <f>value(IFERROR(SUBSTITUTE(SUBSTITUTE(VLOOKUP($A564,'Quarterly Pipeline vs Target Pi'!$A:$AP,42,false)," $","")," €",""), "")
)</f>
        <v>0</v>
      </c>
      <c r="AY564" s="17" t="str">
        <f t="shared" si="18"/>
        <v/>
      </c>
      <c r="AZ564" s="1">
        <f t="shared" ref="AZ564:BA564" si="1142">sum(AN564,AQ564,AT564,AW564)</f>
        <v>0</v>
      </c>
      <c r="BA564" s="1">
        <f t="shared" si="1142"/>
        <v>0</v>
      </c>
      <c r="BB564" s="17" t="str">
        <f t="shared" si="20"/>
        <v/>
      </c>
    </row>
    <row r="565">
      <c r="G565" s="1" t="str">
        <f>iferror(VLOOKUP(A565,'Business Plan Setup and Accepta'!A:G,6,false),"")</f>
        <v/>
      </c>
      <c r="H565" s="1" t="str">
        <f>iferror(VLOOKUP(A565,'Business Plan Setup and Accepta'!A:G,7,false),"")</f>
        <v/>
      </c>
      <c r="I565" s="17"/>
      <c r="J565" s="1" t="str">
        <f>IFERROR(VALUE(SUBSTITUTE(VLOOKUP(A565,'Sales IN Revenues vs Sales targ'!A:G,6,false)," $","")), "")
</f>
        <v/>
      </c>
      <c r="K565" s="1" t="str">
        <f>IFERROR(VALUE(SUBSTITUTE(VLOOKUP(A565,'Sales IN Revenues vs Sales targ'!A:G,7,false)," $","")), "")
</f>
        <v/>
      </c>
      <c r="L565" s="17"/>
      <c r="M565" s="1">
        <f>value(SUBSTITUTE(IFERROR(VLOOKUP(A565,'Certifications achievements vs '!A:G,6,false),""),"#","")
)</f>
        <v>0</v>
      </c>
      <c r="N565" s="1">
        <f>value(SUBSTITUTE(IFERROR(VLOOKUP(A565,'Certifications achievements vs '!A:G,7,false),""),"#","")
)</f>
        <v>0</v>
      </c>
      <c r="O565" s="17"/>
      <c r="P565" s="1">
        <f>value(SUBSTITUTE(IFERROR(VLOOKUP(A565,'Communications - Solution Speci'!A:G,6,false),""),"#","")
)</f>
        <v>0</v>
      </c>
      <c r="Q565" s="1">
        <f>value(SUBSTITUTE(IFERROR(VLOOKUP(A565,'Communications - Solution Speci'!A:G,7,false),""),"#","")
)</f>
        <v>0</v>
      </c>
      <c r="R565" s="17" t="str">
        <f t="shared" si="6"/>
        <v/>
      </c>
      <c r="S565" s="1">
        <f>value(SUBSTITUTE(IFERROR(VLOOKUP(A565,'Networking - Solution Specializ'!A:G,6,false),""),"#","")
)</f>
        <v>0</v>
      </c>
      <c r="T565" s="1">
        <f>value(SUBSTITUTE(IFERROR(VLOOKUP(A565,'Networking - Solution Specializ'!A:G,7,false),""),"#","")
)</f>
        <v>0</v>
      </c>
      <c r="U565" s="17" t="str">
        <f t="shared" si="7"/>
        <v/>
      </c>
      <c r="V565" s="1" t="str">
        <f>iferror(vlookup(A565,'Marketing Plan (extract summary'!A:G,6,false),"")</f>
        <v/>
      </c>
      <c r="W565" s="1" t="str">
        <f>iferror(vlookup(A565,'Marketing Plan (extract summary'!A:G,7,false),"")</f>
        <v/>
      </c>
      <c r="X565" s="17"/>
      <c r="Y565" s="1">
        <f>value(IFERROR(SUBSTITUTE(SUBSTITUTE(VLOOKUP(A565,'Quarterly Pipeline vs Target Pi'!A:G,6,false)," $","")," €",""), "")
)</f>
        <v>0</v>
      </c>
      <c r="Z565" s="1">
        <f>value(IFERROR(SUBSTITUTE(SUBSTITUTE(VLOOKUP(A565,'Quarterly Pipeline vs Target Pi'!A:G,7,false)," $","")," €",""), "")
)</f>
        <v>0</v>
      </c>
      <c r="AA565" s="17" t="str">
        <f t="shared" si="9"/>
        <v/>
      </c>
      <c r="AB565" s="1">
        <f>value(IFERROR(SUBSTITUTE(SUBSTITUTE(VLOOKUP($A565,'Quarterly Pipeline vs Target Pi'!$A:$V,11,false)," $","")," €",""), "")
)</f>
        <v>0</v>
      </c>
      <c r="AC565" s="1">
        <f>value(IFERROR(SUBSTITUTE(SUBSTITUTE(VLOOKUP($A565,'Quarterly Pipeline vs Target Pi'!$A:$V,12,false)," $","")," €",""), "")
)</f>
        <v>0</v>
      </c>
      <c r="AD565" s="17" t="str">
        <f t="shared" si="10"/>
        <v/>
      </c>
      <c r="AE565" s="1">
        <f>value(IFERROR(SUBSTITUTE(SUBSTITUTE(VLOOKUP($A565,'Quarterly Pipeline vs Target Pi'!$A:$V,16,false)," $","")," €",""), "")
)</f>
        <v>0</v>
      </c>
      <c r="AF565" s="1">
        <f>value(IFERROR(SUBSTITUTE(SUBSTITUTE(VLOOKUP($A565,'Quarterly Pipeline vs Target Pi'!$A:$V,17,false)," $","")," €",""), "")
)</f>
        <v>0</v>
      </c>
      <c r="AG565" s="17" t="str">
        <f t="shared" si="11"/>
        <v/>
      </c>
      <c r="AH565" s="1">
        <f>value(IFERROR(SUBSTITUTE(SUBSTITUTE(VLOOKUP($A565,'Quarterly Pipeline vs Target Pi'!$A:$V,21,false)," $","")," €",""), "")
)</f>
        <v>0</v>
      </c>
      <c r="AI565" s="1">
        <f>value(IFERROR(SUBSTITUTE(SUBSTITUTE(VLOOKUP($A565,'Quarterly Pipeline vs Target Pi'!$A:$V,22,false)," $","")," €",""), "")
)</f>
        <v>0</v>
      </c>
      <c r="AJ565" s="17" t="str">
        <f t="shared" si="12"/>
        <v/>
      </c>
      <c r="AK565" s="1">
        <f t="shared" ref="AK565:AL565" si="1143">sum(Y565,AB565,AE565,AH565)</f>
        <v>0</v>
      </c>
      <c r="AL565" s="1">
        <f t="shared" si="1143"/>
        <v>0</v>
      </c>
      <c r="AM565" s="17" t="str">
        <f t="shared" si="14"/>
        <v/>
      </c>
      <c r="AN565" s="1">
        <f>value(IFERROR(SUBSTITUTE(SUBSTITUTE(VLOOKUP($A565,'Quarterly Pipeline vs Target Pi'!$A:$AP,26,false)," $","")," €",""), "")
)</f>
        <v>0</v>
      </c>
      <c r="AO565" s="1">
        <f>value(IFERROR(SUBSTITUTE(SUBSTITUTE(VLOOKUP($A565,'Quarterly Pipeline vs Target Pi'!$A:$AP,27,false)," $","")," €",""), "")
)</f>
        <v>0</v>
      </c>
      <c r="AP565" s="17" t="str">
        <f t="shared" si="15"/>
        <v/>
      </c>
      <c r="AQ565" s="1">
        <f>value(IFERROR(SUBSTITUTE(SUBSTITUTE(VLOOKUP($A565,'Quarterly Pipeline vs Target Pi'!$A:$AP,31,false)," $","")," €",""), "")
)</f>
        <v>0</v>
      </c>
      <c r="AR565" s="1">
        <f>value(IFERROR(SUBSTITUTE(SUBSTITUTE(VLOOKUP($A565,'Quarterly Pipeline vs Target Pi'!$A:$AP,32,false)," $","")," €",""), "")
)</f>
        <v>0</v>
      </c>
      <c r="AS565" s="17" t="str">
        <f t="shared" si="16"/>
        <v/>
      </c>
      <c r="AT565" s="1">
        <f>value(IFERROR(SUBSTITUTE(SUBSTITUTE(VLOOKUP($A565,'Quarterly Pipeline vs Target Pi'!$A:$AP,36,false)," $","")," €",""), "")
)</f>
        <v>0</v>
      </c>
      <c r="AU565" s="1">
        <f>value(IFERROR(SUBSTITUTE(SUBSTITUTE(VLOOKUP($A565,'Quarterly Pipeline vs Target Pi'!$A:$AP,37,false)," $","")," €",""), "")
)</f>
        <v>0</v>
      </c>
      <c r="AV565" s="17" t="str">
        <f t="shared" si="17"/>
        <v/>
      </c>
      <c r="AW565" s="1">
        <f>value(IFERROR(SUBSTITUTE(SUBSTITUTE(VLOOKUP($A565,'Quarterly Pipeline vs Target Pi'!$A:$AP,41,false)," $","")," €",""), "")
)</f>
        <v>0</v>
      </c>
      <c r="AX565" s="1">
        <f>value(IFERROR(SUBSTITUTE(SUBSTITUTE(VLOOKUP($A565,'Quarterly Pipeline vs Target Pi'!$A:$AP,42,false)," $","")," €",""), "")
)</f>
        <v>0</v>
      </c>
      <c r="AY565" s="17" t="str">
        <f t="shared" si="18"/>
        <v/>
      </c>
      <c r="AZ565" s="1">
        <f t="shared" ref="AZ565:BA565" si="1144">sum(AN565,AQ565,AT565,AW565)</f>
        <v>0</v>
      </c>
      <c r="BA565" s="1">
        <f t="shared" si="1144"/>
        <v>0</v>
      </c>
      <c r="BB565" s="17" t="str">
        <f t="shared" si="20"/>
        <v/>
      </c>
    </row>
    <row r="566">
      <c r="G566" s="1" t="str">
        <f>iferror(VLOOKUP(A566,'Business Plan Setup and Accepta'!A:G,6,false),"")</f>
        <v/>
      </c>
      <c r="H566" s="1" t="str">
        <f>iferror(VLOOKUP(A566,'Business Plan Setup and Accepta'!A:G,7,false),"")</f>
        <v/>
      </c>
      <c r="I566" s="17"/>
      <c r="J566" s="1" t="str">
        <f>IFERROR(VALUE(SUBSTITUTE(VLOOKUP(A566,'Sales IN Revenues vs Sales targ'!A:G,6,false)," $","")), "")
</f>
        <v/>
      </c>
      <c r="K566" s="1" t="str">
        <f>IFERROR(VALUE(SUBSTITUTE(VLOOKUP(A566,'Sales IN Revenues vs Sales targ'!A:G,7,false)," $","")), "")
</f>
        <v/>
      </c>
      <c r="L566" s="17"/>
      <c r="M566" s="1">
        <f>value(SUBSTITUTE(IFERROR(VLOOKUP(A566,'Certifications achievements vs '!A:G,6,false),""),"#","")
)</f>
        <v>0</v>
      </c>
      <c r="N566" s="1">
        <f>value(SUBSTITUTE(IFERROR(VLOOKUP(A566,'Certifications achievements vs '!A:G,7,false),""),"#","")
)</f>
        <v>0</v>
      </c>
      <c r="O566" s="17"/>
      <c r="P566" s="1">
        <f>value(SUBSTITUTE(IFERROR(VLOOKUP(A566,'Communications - Solution Speci'!A:G,6,false),""),"#","")
)</f>
        <v>0</v>
      </c>
      <c r="Q566" s="1">
        <f>value(SUBSTITUTE(IFERROR(VLOOKUP(A566,'Communications - Solution Speci'!A:G,7,false),""),"#","")
)</f>
        <v>0</v>
      </c>
      <c r="R566" s="17" t="str">
        <f t="shared" si="6"/>
        <v/>
      </c>
      <c r="S566" s="1">
        <f>value(SUBSTITUTE(IFERROR(VLOOKUP(A566,'Networking - Solution Specializ'!A:G,6,false),""),"#","")
)</f>
        <v>0</v>
      </c>
      <c r="T566" s="1">
        <f>value(SUBSTITUTE(IFERROR(VLOOKUP(A566,'Networking - Solution Specializ'!A:G,7,false),""),"#","")
)</f>
        <v>0</v>
      </c>
      <c r="U566" s="17" t="str">
        <f t="shared" si="7"/>
        <v/>
      </c>
      <c r="V566" s="1" t="str">
        <f>iferror(vlookup(A566,'Marketing Plan (extract summary'!A:G,6,false),"")</f>
        <v/>
      </c>
      <c r="W566" s="1" t="str">
        <f>iferror(vlookup(A566,'Marketing Plan (extract summary'!A:G,7,false),"")</f>
        <v/>
      </c>
      <c r="X566" s="17"/>
      <c r="Y566" s="1">
        <f>value(IFERROR(SUBSTITUTE(SUBSTITUTE(VLOOKUP(A566,'Quarterly Pipeline vs Target Pi'!A:G,6,false)," $","")," €",""), "")
)</f>
        <v>0</v>
      </c>
      <c r="Z566" s="1">
        <f>value(IFERROR(SUBSTITUTE(SUBSTITUTE(VLOOKUP(A566,'Quarterly Pipeline vs Target Pi'!A:G,7,false)," $","")," €",""), "")
)</f>
        <v>0</v>
      </c>
      <c r="AA566" s="17" t="str">
        <f t="shared" si="9"/>
        <v/>
      </c>
      <c r="AB566" s="1">
        <f>value(IFERROR(SUBSTITUTE(SUBSTITUTE(VLOOKUP($A566,'Quarterly Pipeline vs Target Pi'!$A:$V,11,false)," $","")," €",""), "")
)</f>
        <v>0</v>
      </c>
      <c r="AC566" s="1">
        <f>value(IFERROR(SUBSTITUTE(SUBSTITUTE(VLOOKUP($A566,'Quarterly Pipeline vs Target Pi'!$A:$V,12,false)," $","")," €",""), "")
)</f>
        <v>0</v>
      </c>
      <c r="AD566" s="17" t="str">
        <f t="shared" si="10"/>
        <v/>
      </c>
      <c r="AE566" s="1">
        <f>value(IFERROR(SUBSTITUTE(SUBSTITUTE(VLOOKUP($A566,'Quarterly Pipeline vs Target Pi'!$A:$V,16,false)," $","")," €",""), "")
)</f>
        <v>0</v>
      </c>
      <c r="AF566" s="1">
        <f>value(IFERROR(SUBSTITUTE(SUBSTITUTE(VLOOKUP($A566,'Quarterly Pipeline vs Target Pi'!$A:$V,17,false)," $","")," €",""), "")
)</f>
        <v>0</v>
      </c>
      <c r="AG566" s="17" t="str">
        <f t="shared" si="11"/>
        <v/>
      </c>
      <c r="AH566" s="1">
        <f>value(IFERROR(SUBSTITUTE(SUBSTITUTE(VLOOKUP($A566,'Quarterly Pipeline vs Target Pi'!$A:$V,21,false)," $","")," €",""), "")
)</f>
        <v>0</v>
      </c>
      <c r="AI566" s="1">
        <f>value(IFERROR(SUBSTITUTE(SUBSTITUTE(VLOOKUP($A566,'Quarterly Pipeline vs Target Pi'!$A:$V,22,false)," $","")," €",""), "")
)</f>
        <v>0</v>
      </c>
      <c r="AJ566" s="17" t="str">
        <f t="shared" si="12"/>
        <v/>
      </c>
      <c r="AK566" s="1">
        <f t="shared" ref="AK566:AL566" si="1145">sum(Y566,AB566,AE566,AH566)</f>
        <v>0</v>
      </c>
      <c r="AL566" s="1">
        <f t="shared" si="1145"/>
        <v>0</v>
      </c>
      <c r="AM566" s="17" t="str">
        <f t="shared" si="14"/>
        <v/>
      </c>
      <c r="AN566" s="1">
        <f>value(IFERROR(SUBSTITUTE(SUBSTITUTE(VLOOKUP($A566,'Quarterly Pipeline vs Target Pi'!$A:$AP,26,false)," $","")," €",""), "")
)</f>
        <v>0</v>
      </c>
      <c r="AO566" s="1">
        <f>value(IFERROR(SUBSTITUTE(SUBSTITUTE(VLOOKUP($A566,'Quarterly Pipeline vs Target Pi'!$A:$AP,27,false)," $","")," €",""), "")
)</f>
        <v>0</v>
      </c>
      <c r="AP566" s="17" t="str">
        <f t="shared" si="15"/>
        <v/>
      </c>
      <c r="AQ566" s="1">
        <f>value(IFERROR(SUBSTITUTE(SUBSTITUTE(VLOOKUP($A566,'Quarterly Pipeline vs Target Pi'!$A:$AP,31,false)," $","")," €",""), "")
)</f>
        <v>0</v>
      </c>
      <c r="AR566" s="1">
        <f>value(IFERROR(SUBSTITUTE(SUBSTITUTE(VLOOKUP($A566,'Quarterly Pipeline vs Target Pi'!$A:$AP,32,false)," $","")," €",""), "")
)</f>
        <v>0</v>
      </c>
      <c r="AS566" s="17" t="str">
        <f t="shared" si="16"/>
        <v/>
      </c>
      <c r="AT566" s="1">
        <f>value(IFERROR(SUBSTITUTE(SUBSTITUTE(VLOOKUP($A566,'Quarterly Pipeline vs Target Pi'!$A:$AP,36,false)," $","")," €",""), "")
)</f>
        <v>0</v>
      </c>
      <c r="AU566" s="1">
        <f>value(IFERROR(SUBSTITUTE(SUBSTITUTE(VLOOKUP($A566,'Quarterly Pipeline vs Target Pi'!$A:$AP,37,false)," $","")," €",""), "")
)</f>
        <v>0</v>
      </c>
      <c r="AV566" s="17" t="str">
        <f t="shared" si="17"/>
        <v/>
      </c>
      <c r="AW566" s="1">
        <f>value(IFERROR(SUBSTITUTE(SUBSTITUTE(VLOOKUP($A566,'Quarterly Pipeline vs Target Pi'!$A:$AP,41,false)," $","")," €",""), "")
)</f>
        <v>0</v>
      </c>
      <c r="AX566" s="1">
        <f>value(IFERROR(SUBSTITUTE(SUBSTITUTE(VLOOKUP($A566,'Quarterly Pipeline vs Target Pi'!$A:$AP,42,false)," $","")," €",""), "")
)</f>
        <v>0</v>
      </c>
      <c r="AY566" s="17" t="str">
        <f t="shared" si="18"/>
        <v/>
      </c>
      <c r="AZ566" s="1">
        <f t="shared" ref="AZ566:BA566" si="1146">sum(AN566,AQ566,AT566,AW566)</f>
        <v>0</v>
      </c>
      <c r="BA566" s="1">
        <f t="shared" si="1146"/>
        <v>0</v>
      </c>
      <c r="BB566" s="17" t="str">
        <f t="shared" si="20"/>
        <v/>
      </c>
    </row>
    <row r="567">
      <c r="G567" s="1" t="str">
        <f>iferror(VLOOKUP(A567,'Business Plan Setup and Accepta'!A:G,6,false),"")</f>
        <v/>
      </c>
      <c r="H567" s="1" t="str">
        <f>iferror(VLOOKUP(A567,'Business Plan Setup and Accepta'!A:G,7,false),"")</f>
        <v/>
      </c>
      <c r="I567" s="17"/>
      <c r="J567" s="1" t="str">
        <f>IFERROR(VALUE(SUBSTITUTE(VLOOKUP(A567,'Sales IN Revenues vs Sales targ'!A:G,6,false)," $","")), "")
</f>
        <v/>
      </c>
      <c r="K567" s="1" t="str">
        <f>IFERROR(VALUE(SUBSTITUTE(VLOOKUP(A567,'Sales IN Revenues vs Sales targ'!A:G,7,false)," $","")), "")
</f>
        <v/>
      </c>
      <c r="L567" s="17"/>
      <c r="M567" s="1">
        <f>value(SUBSTITUTE(IFERROR(VLOOKUP(A567,'Certifications achievements vs '!A:G,6,false),""),"#","")
)</f>
        <v>0</v>
      </c>
      <c r="N567" s="1">
        <f>value(SUBSTITUTE(IFERROR(VLOOKUP(A567,'Certifications achievements vs '!A:G,7,false),""),"#","")
)</f>
        <v>0</v>
      </c>
      <c r="O567" s="17"/>
      <c r="P567" s="1">
        <f>value(SUBSTITUTE(IFERROR(VLOOKUP(A567,'Communications - Solution Speci'!A:G,6,false),""),"#","")
)</f>
        <v>0</v>
      </c>
      <c r="Q567" s="1">
        <f>value(SUBSTITUTE(IFERROR(VLOOKUP(A567,'Communications - Solution Speci'!A:G,7,false),""),"#","")
)</f>
        <v>0</v>
      </c>
      <c r="R567" s="17" t="str">
        <f t="shared" si="6"/>
        <v/>
      </c>
      <c r="S567" s="1">
        <f>value(SUBSTITUTE(IFERROR(VLOOKUP(A567,'Networking - Solution Specializ'!A:G,6,false),""),"#","")
)</f>
        <v>0</v>
      </c>
      <c r="T567" s="1">
        <f>value(SUBSTITUTE(IFERROR(VLOOKUP(A567,'Networking - Solution Specializ'!A:G,7,false),""),"#","")
)</f>
        <v>0</v>
      </c>
      <c r="U567" s="17" t="str">
        <f t="shared" si="7"/>
        <v/>
      </c>
      <c r="V567" s="1" t="str">
        <f>iferror(vlookup(A567,'Marketing Plan (extract summary'!A:G,6,false),"")</f>
        <v/>
      </c>
      <c r="W567" s="1" t="str">
        <f>iferror(vlookup(A567,'Marketing Plan (extract summary'!A:G,7,false),"")</f>
        <v/>
      </c>
      <c r="X567" s="17"/>
      <c r="Y567" s="1">
        <f>value(IFERROR(SUBSTITUTE(SUBSTITUTE(VLOOKUP(A567,'Quarterly Pipeline vs Target Pi'!A:G,6,false)," $","")," €",""), "")
)</f>
        <v>0</v>
      </c>
      <c r="Z567" s="1">
        <f>value(IFERROR(SUBSTITUTE(SUBSTITUTE(VLOOKUP(A567,'Quarterly Pipeline vs Target Pi'!A:G,7,false)," $","")," €",""), "")
)</f>
        <v>0</v>
      </c>
      <c r="AA567" s="17" t="str">
        <f t="shared" si="9"/>
        <v/>
      </c>
      <c r="AB567" s="1">
        <f>value(IFERROR(SUBSTITUTE(SUBSTITUTE(VLOOKUP($A567,'Quarterly Pipeline vs Target Pi'!$A:$V,11,false)," $","")," €",""), "")
)</f>
        <v>0</v>
      </c>
      <c r="AC567" s="1">
        <f>value(IFERROR(SUBSTITUTE(SUBSTITUTE(VLOOKUP($A567,'Quarterly Pipeline vs Target Pi'!$A:$V,12,false)," $","")," €",""), "")
)</f>
        <v>0</v>
      </c>
      <c r="AD567" s="17" t="str">
        <f t="shared" si="10"/>
        <v/>
      </c>
      <c r="AE567" s="1">
        <f>value(IFERROR(SUBSTITUTE(SUBSTITUTE(VLOOKUP($A567,'Quarterly Pipeline vs Target Pi'!$A:$V,16,false)," $","")," €",""), "")
)</f>
        <v>0</v>
      </c>
      <c r="AF567" s="1">
        <f>value(IFERROR(SUBSTITUTE(SUBSTITUTE(VLOOKUP($A567,'Quarterly Pipeline vs Target Pi'!$A:$V,17,false)," $","")," €",""), "")
)</f>
        <v>0</v>
      </c>
      <c r="AG567" s="17" t="str">
        <f t="shared" si="11"/>
        <v/>
      </c>
      <c r="AH567" s="1">
        <f>value(IFERROR(SUBSTITUTE(SUBSTITUTE(VLOOKUP($A567,'Quarterly Pipeline vs Target Pi'!$A:$V,21,false)," $","")," €",""), "")
)</f>
        <v>0</v>
      </c>
      <c r="AI567" s="1">
        <f>value(IFERROR(SUBSTITUTE(SUBSTITUTE(VLOOKUP($A567,'Quarterly Pipeline vs Target Pi'!$A:$V,22,false)," $","")," €",""), "")
)</f>
        <v>0</v>
      </c>
      <c r="AJ567" s="17" t="str">
        <f t="shared" si="12"/>
        <v/>
      </c>
      <c r="AK567" s="1">
        <f t="shared" ref="AK567:AL567" si="1147">sum(Y567,AB567,AE567,AH567)</f>
        <v>0</v>
      </c>
      <c r="AL567" s="1">
        <f t="shared" si="1147"/>
        <v>0</v>
      </c>
      <c r="AM567" s="17" t="str">
        <f t="shared" si="14"/>
        <v/>
      </c>
      <c r="AN567" s="1">
        <f>value(IFERROR(SUBSTITUTE(SUBSTITUTE(VLOOKUP($A567,'Quarterly Pipeline vs Target Pi'!$A:$AP,26,false)," $","")," €",""), "")
)</f>
        <v>0</v>
      </c>
      <c r="AO567" s="1">
        <f>value(IFERROR(SUBSTITUTE(SUBSTITUTE(VLOOKUP($A567,'Quarterly Pipeline vs Target Pi'!$A:$AP,27,false)," $","")," €",""), "")
)</f>
        <v>0</v>
      </c>
      <c r="AP567" s="17" t="str">
        <f t="shared" si="15"/>
        <v/>
      </c>
      <c r="AQ567" s="1">
        <f>value(IFERROR(SUBSTITUTE(SUBSTITUTE(VLOOKUP($A567,'Quarterly Pipeline vs Target Pi'!$A:$AP,31,false)," $","")," €",""), "")
)</f>
        <v>0</v>
      </c>
      <c r="AR567" s="1">
        <f>value(IFERROR(SUBSTITUTE(SUBSTITUTE(VLOOKUP($A567,'Quarterly Pipeline vs Target Pi'!$A:$AP,32,false)," $","")," €",""), "")
)</f>
        <v>0</v>
      </c>
      <c r="AS567" s="17" t="str">
        <f t="shared" si="16"/>
        <v/>
      </c>
      <c r="AT567" s="1">
        <f>value(IFERROR(SUBSTITUTE(SUBSTITUTE(VLOOKUP($A567,'Quarterly Pipeline vs Target Pi'!$A:$AP,36,false)," $","")," €",""), "")
)</f>
        <v>0</v>
      </c>
      <c r="AU567" s="1">
        <f>value(IFERROR(SUBSTITUTE(SUBSTITUTE(VLOOKUP($A567,'Quarterly Pipeline vs Target Pi'!$A:$AP,37,false)," $","")," €",""), "")
)</f>
        <v>0</v>
      </c>
      <c r="AV567" s="17" t="str">
        <f t="shared" si="17"/>
        <v/>
      </c>
      <c r="AW567" s="1">
        <f>value(IFERROR(SUBSTITUTE(SUBSTITUTE(VLOOKUP($A567,'Quarterly Pipeline vs Target Pi'!$A:$AP,41,false)," $","")," €",""), "")
)</f>
        <v>0</v>
      </c>
      <c r="AX567" s="1">
        <f>value(IFERROR(SUBSTITUTE(SUBSTITUTE(VLOOKUP($A567,'Quarterly Pipeline vs Target Pi'!$A:$AP,42,false)," $","")," €",""), "")
)</f>
        <v>0</v>
      </c>
      <c r="AY567" s="17" t="str">
        <f t="shared" si="18"/>
        <v/>
      </c>
      <c r="AZ567" s="1">
        <f t="shared" ref="AZ567:BA567" si="1148">sum(AN567,AQ567,AT567,AW567)</f>
        <v>0</v>
      </c>
      <c r="BA567" s="1">
        <f t="shared" si="1148"/>
        <v>0</v>
      </c>
      <c r="BB567" s="17" t="str">
        <f t="shared" si="20"/>
        <v/>
      </c>
    </row>
    <row r="568">
      <c r="G568" s="1" t="str">
        <f>iferror(VLOOKUP(A568,'Business Plan Setup and Accepta'!A:G,6,false),"")</f>
        <v/>
      </c>
      <c r="H568" s="1" t="str">
        <f>iferror(VLOOKUP(A568,'Business Plan Setup and Accepta'!A:G,7,false),"")</f>
        <v/>
      </c>
      <c r="I568" s="17"/>
      <c r="J568" s="1" t="str">
        <f>IFERROR(VALUE(SUBSTITUTE(VLOOKUP(A568,'Sales IN Revenues vs Sales targ'!A:G,6,false)," $","")), "")
</f>
        <v/>
      </c>
      <c r="K568" s="1" t="str">
        <f>IFERROR(VALUE(SUBSTITUTE(VLOOKUP(A568,'Sales IN Revenues vs Sales targ'!A:G,7,false)," $","")), "")
</f>
        <v/>
      </c>
      <c r="L568" s="17"/>
      <c r="M568" s="1">
        <f>value(SUBSTITUTE(IFERROR(VLOOKUP(A568,'Certifications achievements vs '!A:G,6,false),""),"#","")
)</f>
        <v>0</v>
      </c>
      <c r="N568" s="1">
        <f>value(SUBSTITUTE(IFERROR(VLOOKUP(A568,'Certifications achievements vs '!A:G,7,false),""),"#","")
)</f>
        <v>0</v>
      </c>
      <c r="O568" s="17"/>
      <c r="P568" s="1">
        <f>value(SUBSTITUTE(IFERROR(VLOOKUP(A568,'Communications - Solution Speci'!A:G,6,false),""),"#","")
)</f>
        <v>0</v>
      </c>
      <c r="Q568" s="1">
        <f>value(SUBSTITUTE(IFERROR(VLOOKUP(A568,'Communications - Solution Speci'!A:G,7,false),""),"#","")
)</f>
        <v>0</v>
      </c>
      <c r="R568" s="17" t="str">
        <f t="shared" si="6"/>
        <v/>
      </c>
      <c r="S568" s="1">
        <f>value(SUBSTITUTE(IFERROR(VLOOKUP(A568,'Networking - Solution Specializ'!A:G,6,false),""),"#","")
)</f>
        <v>0</v>
      </c>
      <c r="T568" s="1">
        <f>value(SUBSTITUTE(IFERROR(VLOOKUP(A568,'Networking - Solution Specializ'!A:G,7,false),""),"#","")
)</f>
        <v>0</v>
      </c>
      <c r="U568" s="17" t="str">
        <f t="shared" si="7"/>
        <v/>
      </c>
      <c r="V568" s="1" t="str">
        <f>iferror(vlookup(A568,'Marketing Plan (extract summary'!A:G,6,false),"")</f>
        <v/>
      </c>
      <c r="W568" s="1" t="str">
        <f>iferror(vlookup(A568,'Marketing Plan (extract summary'!A:G,7,false),"")</f>
        <v/>
      </c>
      <c r="X568" s="17"/>
      <c r="Y568" s="1">
        <f>value(IFERROR(SUBSTITUTE(SUBSTITUTE(VLOOKUP(A568,'Quarterly Pipeline vs Target Pi'!A:G,6,false)," $","")," €",""), "")
)</f>
        <v>0</v>
      </c>
      <c r="Z568" s="1">
        <f>value(IFERROR(SUBSTITUTE(SUBSTITUTE(VLOOKUP(A568,'Quarterly Pipeline vs Target Pi'!A:G,7,false)," $","")," €",""), "")
)</f>
        <v>0</v>
      </c>
      <c r="AA568" s="17" t="str">
        <f t="shared" si="9"/>
        <v/>
      </c>
      <c r="AB568" s="1">
        <f>value(IFERROR(SUBSTITUTE(SUBSTITUTE(VLOOKUP($A568,'Quarterly Pipeline vs Target Pi'!$A:$V,11,false)," $","")," €",""), "")
)</f>
        <v>0</v>
      </c>
      <c r="AC568" s="1">
        <f>value(IFERROR(SUBSTITUTE(SUBSTITUTE(VLOOKUP($A568,'Quarterly Pipeline vs Target Pi'!$A:$V,12,false)," $","")," €",""), "")
)</f>
        <v>0</v>
      </c>
      <c r="AD568" s="17" t="str">
        <f t="shared" si="10"/>
        <v/>
      </c>
      <c r="AE568" s="1">
        <f>value(IFERROR(SUBSTITUTE(SUBSTITUTE(VLOOKUP($A568,'Quarterly Pipeline vs Target Pi'!$A:$V,16,false)," $","")," €",""), "")
)</f>
        <v>0</v>
      </c>
      <c r="AF568" s="1">
        <f>value(IFERROR(SUBSTITUTE(SUBSTITUTE(VLOOKUP($A568,'Quarterly Pipeline vs Target Pi'!$A:$V,17,false)," $","")," €",""), "")
)</f>
        <v>0</v>
      </c>
      <c r="AG568" s="17" t="str">
        <f t="shared" si="11"/>
        <v/>
      </c>
      <c r="AH568" s="1">
        <f>value(IFERROR(SUBSTITUTE(SUBSTITUTE(VLOOKUP($A568,'Quarterly Pipeline vs Target Pi'!$A:$V,21,false)," $","")," €",""), "")
)</f>
        <v>0</v>
      </c>
      <c r="AI568" s="1">
        <f>value(IFERROR(SUBSTITUTE(SUBSTITUTE(VLOOKUP($A568,'Quarterly Pipeline vs Target Pi'!$A:$V,22,false)," $","")," €",""), "")
)</f>
        <v>0</v>
      </c>
      <c r="AJ568" s="17" t="str">
        <f t="shared" si="12"/>
        <v/>
      </c>
      <c r="AK568" s="1">
        <f t="shared" ref="AK568:AL568" si="1149">sum(Y568,AB568,AE568,AH568)</f>
        <v>0</v>
      </c>
      <c r="AL568" s="1">
        <f t="shared" si="1149"/>
        <v>0</v>
      </c>
      <c r="AM568" s="17" t="str">
        <f t="shared" si="14"/>
        <v/>
      </c>
      <c r="AN568" s="1">
        <f>value(IFERROR(SUBSTITUTE(SUBSTITUTE(VLOOKUP($A568,'Quarterly Pipeline vs Target Pi'!$A:$AP,26,false)," $","")," €",""), "")
)</f>
        <v>0</v>
      </c>
      <c r="AO568" s="1">
        <f>value(IFERROR(SUBSTITUTE(SUBSTITUTE(VLOOKUP($A568,'Quarterly Pipeline vs Target Pi'!$A:$AP,27,false)," $","")," €",""), "")
)</f>
        <v>0</v>
      </c>
      <c r="AP568" s="17" t="str">
        <f t="shared" si="15"/>
        <v/>
      </c>
      <c r="AQ568" s="1">
        <f>value(IFERROR(SUBSTITUTE(SUBSTITUTE(VLOOKUP($A568,'Quarterly Pipeline vs Target Pi'!$A:$AP,31,false)," $","")," €",""), "")
)</f>
        <v>0</v>
      </c>
      <c r="AR568" s="1">
        <f>value(IFERROR(SUBSTITUTE(SUBSTITUTE(VLOOKUP($A568,'Quarterly Pipeline vs Target Pi'!$A:$AP,32,false)," $","")," €",""), "")
)</f>
        <v>0</v>
      </c>
      <c r="AS568" s="17" t="str">
        <f t="shared" si="16"/>
        <v/>
      </c>
      <c r="AT568" s="1">
        <f>value(IFERROR(SUBSTITUTE(SUBSTITUTE(VLOOKUP($A568,'Quarterly Pipeline vs Target Pi'!$A:$AP,36,false)," $","")," €",""), "")
)</f>
        <v>0</v>
      </c>
      <c r="AU568" s="1">
        <f>value(IFERROR(SUBSTITUTE(SUBSTITUTE(VLOOKUP($A568,'Quarterly Pipeline vs Target Pi'!$A:$AP,37,false)," $","")," €",""), "")
)</f>
        <v>0</v>
      </c>
      <c r="AV568" s="17" t="str">
        <f t="shared" si="17"/>
        <v/>
      </c>
      <c r="AW568" s="1">
        <f>value(IFERROR(SUBSTITUTE(SUBSTITUTE(VLOOKUP($A568,'Quarterly Pipeline vs Target Pi'!$A:$AP,41,false)," $","")," €",""), "")
)</f>
        <v>0</v>
      </c>
      <c r="AX568" s="1">
        <f>value(IFERROR(SUBSTITUTE(SUBSTITUTE(VLOOKUP($A568,'Quarterly Pipeline vs Target Pi'!$A:$AP,42,false)," $","")," €",""), "")
)</f>
        <v>0</v>
      </c>
      <c r="AY568" s="17" t="str">
        <f t="shared" si="18"/>
        <v/>
      </c>
      <c r="AZ568" s="1">
        <f t="shared" ref="AZ568:BA568" si="1150">sum(AN568,AQ568,AT568,AW568)</f>
        <v>0</v>
      </c>
      <c r="BA568" s="1">
        <f t="shared" si="1150"/>
        <v>0</v>
      </c>
      <c r="BB568" s="17" t="str">
        <f t="shared" si="20"/>
        <v/>
      </c>
    </row>
    <row r="569">
      <c r="G569" s="1" t="str">
        <f>iferror(VLOOKUP(A569,'Business Plan Setup and Accepta'!A:G,6,false),"")</f>
        <v/>
      </c>
      <c r="H569" s="1" t="str">
        <f>iferror(VLOOKUP(A569,'Business Plan Setup and Accepta'!A:G,7,false),"")</f>
        <v/>
      </c>
      <c r="I569" s="17"/>
      <c r="J569" s="1" t="str">
        <f>IFERROR(VALUE(SUBSTITUTE(VLOOKUP(A569,'Sales IN Revenues vs Sales targ'!A:G,6,false)," $","")), "")
</f>
        <v/>
      </c>
      <c r="K569" s="1" t="str">
        <f>IFERROR(VALUE(SUBSTITUTE(VLOOKUP(A569,'Sales IN Revenues vs Sales targ'!A:G,7,false)," $","")), "")
</f>
        <v/>
      </c>
      <c r="L569" s="17"/>
      <c r="M569" s="1">
        <f>value(SUBSTITUTE(IFERROR(VLOOKUP(A569,'Certifications achievements vs '!A:G,6,false),""),"#","")
)</f>
        <v>0</v>
      </c>
      <c r="N569" s="1">
        <f>value(SUBSTITUTE(IFERROR(VLOOKUP(A569,'Certifications achievements vs '!A:G,7,false),""),"#","")
)</f>
        <v>0</v>
      </c>
      <c r="O569" s="17"/>
      <c r="P569" s="1">
        <f>value(SUBSTITUTE(IFERROR(VLOOKUP(A569,'Communications - Solution Speci'!A:G,6,false),""),"#","")
)</f>
        <v>0</v>
      </c>
      <c r="Q569" s="1">
        <f>value(SUBSTITUTE(IFERROR(VLOOKUP(A569,'Communications - Solution Speci'!A:G,7,false),""),"#","")
)</f>
        <v>0</v>
      </c>
      <c r="R569" s="17" t="str">
        <f t="shared" si="6"/>
        <v/>
      </c>
      <c r="S569" s="1">
        <f>value(SUBSTITUTE(IFERROR(VLOOKUP(A569,'Networking - Solution Specializ'!A:G,6,false),""),"#","")
)</f>
        <v>0</v>
      </c>
      <c r="T569" s="1">
        <f>value(SUBSTITUTE(IFERROR(VLOOKUP(A569,'Networking - Solution Specializ'!A:G,7,false),""),"#","")
)</f>
        <v>0</v>
      </c>
      <c r="U569" s="17" t="str">
        <f t="shared" si="7"/>
        <v/>
      </c>
      <c r="V569" s="1" t="str">
        <f>iferror(vlookup(A569,'Marketing Plan (extract summary'!A:G,6,false),"")</f>
        <v/>
      </c>
      <c r="W569" s="1" t="str">
        <f>iferror(vlookup(A569,'Marketing Plan (extract summary'!A:G,7,false),"")</f>
        <v/>
      </c>
      <c r="X569" s="17"/>
      <c r="Y569" s="1">
        <f>value(IFERROR(SUBSTITUTE(SUBSTITUTE(VLOOKUP(A569,'Quarterly Pipeline vs Target Pi'!A:G,6,false)," $","")," €",""), "")
)</f>
        <v>0</v>
      </c>
      <c r="Z569" s="1">
        <f>value(IFERROR(SUBSTITUTE(SUBSTITUTE(VLOOKUP(A569,'Quarterly Pipeline vs Target Pi'!A:G,7,false)," $","")," €",""), "")
)</f>
        <v>0</v>
      </c>
      <c r="AA569" s="17" t="str">
        <f t="shared" si="9"/>
        <v/>
      </c>
      <c r="AB569" s="1">
        <f>value(IFERROR(SUBSTITUTE(SUBSTITUTE(VLOOKUP($A569,'Quarterly Pipeline vs Target Pi'!$A:$V,11,false)," $","")," €",""), "")
)</f>
        <v>0</v>
      </c>
      <c r="AC569" s="1">
        <f>value(IFERROR(SUBSTITUTE(SUBSTITUTE(VLOOKUP($A569,'Quarterly Pipeline vs Target Pi'!$A:$V,12,false)," $","")," €",""), "")
)</f>
        <v>0</v>
      </c>
      <c r="AD569" s="17" t="str">
        <f t="shared" si="10"/>
        <v/>
      </c>
      <c r="AE569" s="1">
        <f>value(IFERROR(SUBSTITUTE(SUBSTITUTE(VLOOKUP($A569,'Quarterly Pipeline vs Target Pi'!$A:$V,16,false)," $","")," €",""), "")
)</f>
        <v>0</v>
      </c>
      <c r="AF569" s="1">
        <f>value(IFERROR(SUBSTITUTE(SUBSTITUTE(VLOOKUP($A569,'Quarterly Pipeline vs Target Pi'!$A:$V,17,false)," $","")," €",""), "")
)</f>
        <v>0</v>
      </c>
      <c r="AG569" s="17" t="str">
        <f t="shared" si="11"/>
        <v/>
      </c>
      <c r="AH569" s="1">
        <f>value(IFERROR(SUBSTITUTE(SUBSTITUTE(VLOOKUP($A569,'Quarterly Pipeline vs Target Pi'!$A:$V,21,false)," $","")," €",""), "")
)</f>
        <v>0</v>
      </c>
      <c r="AI569" s="1">
        <f>value(IFERROR(SUBSTITUTE(SUBSTITUTE(VLOOKUP($A569,'Quarterly Pipeline vs Target Pi'!$A:$V,22,false)," $","")," €",""), "")
)</f>
        <v>0</v>
      </c>
      <c r="AJ569" s="17" t="str">
        <f t="shared" si="12"/>
        <v/>
      </c>
      <c r="AK569" s="1">
        <f t="shared" ref="AK569:AL569" si="1151">sum(Y569,AB569,AE569,AH569)</f>
        <v>0</v>
      </c>
      <c r="AL569" s="1">
        <f t="shared" si="1151"/>
        <v>0</v>
      </c>
      <c r="AM569" s="17" t="str">
        <f t="shared" si="14"/>
        <v/>
      </c>
      <c r="AN569" s="1">
        <f>value(IFERROR(SUBSTITUTE(SUBSTITUTE(VLOOKUP($A569,'Quarterly Pipeline vs Target Pi'!$A:$AP,26,false)," $","")," €",""), "")
)</f>
        <v>0</v>
      </c>
      <c r="AO569" s="1">
        <f>value(IFERROR(SUBSTITUTE(SUBSTITUTE(VLOOKUP($A569,'Quarterly Pipeline vs Target Pi'!$A:$AP,27,false)," $","")," €",""), "")
)</f>
        <v>0</v>
      </c>
      <c r="AP569" s="17" t="str">
        <f t="shared" si="15"/>
        <v/>
      </c>
      <c r="AQ569" s="1">
        <f>value(IFERROR(SUBSTITUTE(SUBSTITUTE(VLOOKUP($A569,'Quarterly Pipeline vs Target Pi'!$A:$AP,31,false)," $","")," €",""), "")
)</f>
        <v>0</v>
      </c>
      <c r="AR569" s="1">
        <f>value(IFERROR(SUBSTITUTE(SUBSTITUTE(VLOOKUP($A569,'Quarterly Pipeline vs Target Pi'!$A:$AP,32,false)," $","")," €",""), "")
)</f>
        <v>0</v>
      </c>
      <c r="AS569" s="17" t="str">
        <f t="shared" si="16"/>
        <v/>
      </c>
      <c r="AT569" s="1">
        <f>value(IFERROR(SUBSTITUTE(SUBSTITUTE(VLOOKUP($A569,'Quarterly Pipeline vs Target Pi'!$A:$AP,36,false)," $","")," €",""), "")
)</f>
        <v>0</v>
      </c>
      <c r="AU569" s="1">
        <f>value(IFERROR(SUBSTITUTE(SUBSTITUTE(VLOOKUP($A569,'Quarterly Pipeline vs Target Pi'!$A:$AP,37,false)," $","")," €",""), "")
)</f>
        <v>0</v>
      </c>
      <c r="AV569" s="17" t="str">
        <f t="shared" si="17"/>
        <v/>
      </c>
      <c r="AW569" s="1">
        <f>value(IFERROR(SUBSTITUTE(SUBSTITUTE(VLOOKUP($A569,'Quarterly Pipeline vs Target Pi'!$A:$AP,41,false)," $","")," €",""), "")
)</f>
        <v>0</v>
      </c>
      <c r="AX569" s="1">
        <f>value(IFERROR(SUBSTITUTE(SUBSTITUTE(VLOOKUP($A569,'Quarterly Pipeline vs Target Pi'!$A:$AP,42,false)," $","")," €",""), "")
)</f>
        <v>0</v>
      </c>
      <c r="AY569" s="17" t="str">
        <f t="shared" si="18"/>
        <v/>
      </c>
      <c r="AZ569" s="1">
        <f t="shared" ref="AZ569:BA569" si="1152">sum(AN569,AQ569,AT569,AW569)</f>
        <v>0</v>
      </c>
      <c r="BA569" s="1">
        <f t="shared" si="1152"/>
        <v>0</v>
      </c>
      <c r="BB569" s="17" t="str">
        <f t="shared" si="20"/>
        <v/>
      </c>
    </row>
    <row r="570">
      <c r="G570" s="1" t="str">
        <f>iferror(VLOOKUP(A570,'Business Plan Setup and Accepta'!A:G,6,false),"")</f>
        <v/>
      </c>
      <c r="H570" s="1" t="str">
        <f>iferror(VLOOKUP(A570,'Business Plan Setup and Accepta'!A:G,7,false),"")</f>
        <v/>
      </c>
      <c r="I570" s="17"/>
      <c r="J570" s="1" t="str">
        <f>IFERROR(VALUE(SUBSTITUTE(VLOOKUP(A570,'Sales IN Revenues vs Sales targ'!A:G,6,false)," $","")), "")
</f>
        <v/>
      </c>
      <c r="K570" s="1" t="str">
        <f>IFERROR(VALUE(SUBSTITUTE(VLOOKUP(A570,'Sales IN Revenues vs Sales targ'!A:G,7,false)," $","")), "")
</f>
        <v/>
      </c>
      <c r="L570" s="17"/>
      <c r="M570" s="1">
        <f>value(SUBSTITUTE(IFERROR(VLOOKUP(A570,'Certifications achievements vs '!A:G,6,false),""),"#","")
)</f>
        <v>0</v>
      </c>
      <c r="N570" s="1">
        <f>value(SUBSTITUTE(IFERROR(VLOOKUP(A570,'Certifications achievements vs '!A:G,7,false),""),"#","")
)</f>
        <v>0</v>
      </c>
      <c r="O570" s="17"/>
      <c r="P570" s="1">
        <f>value(SUBSTITUTE(IFERROR(VLOOKUP(A570,'Communications - Solution Speci'!A:G,6,false),""),"#","")
)</f>
        <v>0</v>
      </c>
      <c r="Q570" s="1">
        <f>value(SUBSTITUTE(IFERROR(VLOOKUP(A570,'Communications - Solution Speci'!A:G,7,false),""),"#","")
)</f>
        <v>0</v>
      </c>
      <c r="R570" s="17" t="str">
        <f t="shared" si="6"/>
        <v/>
      </c>
      <c r="S570" s="1">
        <f>value(SUBSTITUTE(IFERROR(VLOOKUP(A570,'Networking - Solution Specializ'!A:G,6,false),""),"#","")
)</f>
        <v>0</v>
      </c>
      <c r="T570" s="1">
        <f>value(SUBSTITUTE(IFERROR(VLOOKUP(A570,'Networking - Solution Specializ'!A:G,7,false),""),"#","")
)</f>
        <v>0</v>
      </c>
      <c r="U570" s="17" t="str">
        <f t="shared" si="7"/>
        <v/>
      </c>
      <c r="V570" s="1" t="str">
        <f>iferror(vlookup(A570,'Marketing Plan (extract summary'!A:G,6,false),"")</f>
        <v/>
      </c>
      <c r="W570" s="1" t="str">
        <f>iferror(vlookup(A570,'Marketing Plan (extract summary'!A:G,7,false),"")</f>
        <v/>
      </c>
      <c r="X570" s="17"/>
      <c r="Y570" s="1">
        <f>value(IFERROR(SUBSTITUTE(SUBSTITUTE(VLOOKUP(A570,'Quarterly Pipeline vs Target Pi'!A:G,6,false)," $","")," €",""), "")
)</f>
        <v>0</v>
      </c>
      <c r="Z570" s="1">
        <f>value(IFERROR(SUBSTITUTE(SUBSTITUTE(VLOOKUP(A570,'Quarterly Pipeline vs Target Pi'!A:G,7,false)," $","")," €",""), "")
)</f>
        <v>0</v>
      </c>
      <c r="AA570" s="17" t="str">
        <f t="shared" si="9"/>
        <v/>
      </c>
      <c r="AB570" s="1">
        <f>value(IFERROR(SUBSTITUTE(SUBSTITUTE(VLOOKUP($A570,'Quarterly Pipeline vs Target Pi'!$A:$V,11,false)," $","")," €",""), "")
)</f>
        <v>0</v>
      </c>
      <c r="AC570" s="1">
        <f>value(IFERROR(SUBSTITUTE(SUBSTITUTE(VLOOKUP($A570,'Quarterly Pipeline vs Target Pi'!$A:$V,12,false)," $","")," €",""), "")
)</f>
        <v>0</v>
      </c>
      <c r="AD570" s="17" t="str">
        <f t="shared" si="10"/>
        <v/>
      </c>
      <c r="AE570" s="1">
        <f>value(IFERROR(SUBSTITUTE(SUBSTITUTE(VLOOKUP($A570,'Quarterly Pipeline vs Target Pi'!$A:$V,16,false)," $","")," €",""), "")
)</f>
        <v>0</v>
      </c>
      <c r="AF570" s="1">
        <f>value(IFERROR(SUBSTITUTE(SUBSTITUTE(VLOOKUP($A570,'Quarterly Pipeline vs Target Pi'!$A:$V,17,false)," $","")," €",""), "")
)</f>
        <v>0</v>
      </c>
      <c r="AG570" s="17" t="str">
        <f t="shared" si="11"/>
        <v/>
      </c>
      <c r="AH570" s="1">
        <f>value(IFERROR(SUBSTITUTE(SUBSTITUTE(VLOOKUP($A570,'Quarterly Pipeline vs Target Pi'!$A:$V,21,false)," $","")," €",""), "")
)</f>
        <v>0</v>
      </c>
      <c r="AI570" s="1">
        <f>value(IFERROR(SUBSTITUTE(SUBSTITUTE(VLOOKUP($A570,'Quarterly Pipeline vs Target Pi'!$A:$V,22,false)," $","")," €",""), "")
)</f>
        <v>0</v>
      </c>
      <c r="AJ570" s="17" t="str">
        <f t="shared" si="12"/>
        <v/>
      </c>
      <c r="AK570" s="1">
        <f t="shared" ref="AK570:AL570" si="1153">sum(Y570,AB570,AE570,AH570)</f>
        <v>0</v>
      </c>
      <c r="AL570" s="1">
        <f t="shared" si="1153"/>
        <v>0</v>
      </c>
      <c r="AM570" s="17" t="str">
        <f t="shared" si="14"/>
        <v/>
      </c>
      <c r="AN570" s="1">
        <f>value(IFERROR(SUBSTITUTE(SUBSTITUTE(VLOOKUP($A570,'Quarterly Pipeline vs Target Pi'!$A:$AP,26,false)," $","")," €",""), "")
)</f>
        <v>0</v>
      </c>
      <c r="AO570" s="1">
        <f>value(IFERROR(SUBSTITUTE(SUBSTITUTE(VLOOKUP($A570,'Quarterly Pipeline vs Target Pi'!$A:$AP,27,false)," $","")," €",""), "")
)</f>
        <v>0</v>
      </c>
      <c r="AP570" s="17" t="str">
        <f t="shared" si="15"/>
        <v/>
      </c>
      <c r="AQ570" s="1">
        <f>value(IFERROR(SUBSTITUTE(SUBSTITUTE(VLOOKUP($A570,'Quarterly Pipeline vs Target Pi'!$A:$AP,31,false)," $","")," €",""), "")
)</f>
        <v>0</v>
      </c>
      <c r="AR570" s="1">
        <f>value(IFERROR(SUBSTITUTE(SUBSTITUTE(VLOOKUP($A570,'Quarterly Pipeline vs Target Pi'!$A:$AP,32,false)," $","")," €",""), "")
)</f>
        <v>0</v>
      </c>
      <c r="AS570" s="17" t="str">
        <f t="shared" si="16"/>
        <v/>
      </c>
      <c r="AT570" s="1">
        <f>value(IFERROR(SUBSTITUTE(SUBSTITUTE(VLOOKUP($A570,'Quarterly Pipeline vs Target Pi'!$A:$AP,36,false)," $","")," €",""), "")
)</f>
        <v>0</v>
      </c>
      <c r="AU570" s="1">
        <f>value(IFERROR(SUBSTITUTE(SUBSTITUTE(VLOOKUP($A570,'Quarterly Pipeline vs Target Pi'!$A:$AP,37,false)," $","")," €",""), "")
)</f>
        <v>0</v>
      </c>
      <c r="AV570" s="17" t="str">
        <f t="shared" si="17"/>
        <v/>
      </c>
      <c r="AW570" s="1">
        <f>value(IFERROR(SUBSTITUTE(SUBSTITUTE(VLOOKUP($A570,'Quarterly Pipeline vs Target Pi'!$A:$AP,41,false)," $","")," €",""), "")
)</f>
        <v>0</v>
      </c>
      <c r="AX570" s="1">
        <f>value(IFERROR(SUBSTITUTE(SUBSTITUTE(VLOOKUP($A570,'Quarterly Pipeline vs Target Pi'!$A:$AP,42,false)," $","")," €",""), "")
)</f>
        <v>0</v>
      </c>
      <c r="AY570" s="17" t="str">
        <f t="shared" si="18"/>
        <v/>
      </c>
      <c r="AZ570" s="1">
        <f t="shared" ref="AZ570:BA570" si="1154">sum(AN570,AQ570,AT570,AW570)</f>
        <v>0</v>
      </c>
      <c r="BA570" s="1">
        <f t="shared" si="1154"/>
        <v>0</v>
      </c>
      <c r="BB570" s="17" t="str">
        <f t="shared" si="20"/>
        <v/>
      </c>
    </row>
    <row r="571">
      <c r="G571" s="1" t="str">
        <f>iferror(VLOOKUP(A571,'Business Plan Setup and Accepta'!A:G,6,false),"")</f>
        <v/>
      </c>
      <c r="H571" s="1" t="str">
        <f>iferror(VLOOKUP(A571,'Business Plan Setup and Accepta'!A:G,7,false),"")</f>
        <v/>
      </c>
      <c r="I571" s="17"/>
      <c r="J571" s="1" t="str">
        <f>IFERROR(VALUE(SUBSTITUTE(VLOOKUP(A571,'Sales IN Revenues vs Sales targ'!A:G,6,false)," $","")), "")
</f>
        <v/>
      </c>
      <c r="K571" s="1" t="str">
        <f>IFERROR(VALUE(SUBSTITUTE(VLOOKUP(A571,'Sales IN Revenues vs Sales targ'!A:G,7,false)," $","")), "")
</f>
        <v/>
      </c>
      <c r="L571" s="17"/>
      <c r="M571" s="1">
        <f>value(SUBSTITUTE(IFERROR(VLOOKUP(A571,'Certifications achievements vs '!A:G,6,false),""),"#","")
)</f>
        <v>0</v>
      </c>
      <c r="N571" s="1">
        <f>value(SUBSTITUTE(IFERROR(VLOOKUP(A571,'Certifications achievements vs '!A:G,7,false),""),"#","")
)</f>
        <v>0</v>
      </c>
      <c r="O571" s="17"/>
      <c r="P571" s="1">
        <f>value(SUBSTITUTE(IFERROR(VLOOKUP(A571,'Communications - Solution Speci'!A:G,6,false),""),"#","")
)</f>
        <v>0</v>
      </c>
      <c r="Q571" s="1">
        <f>value(SUBSTITUTE(IFERROR(VLOOKUP(A571,'Communications - Solution Speci'!A:G,7,false),""),"#","")
)</f>
        <v>0</v>
      </c>
      <c r="R571" s="17" t="str">
        <f t="shared" si="6"/>
        <v/>
      </c>
      <c r="S571" s="1">
        <f>value(SUBSTITUTE(IFERROR(VLOOKUP(A571,'Networking - Solution Specializ'!A:G,6,false),""),"#","")
)</f>
        <v>0</v>
      </c>
      <c r="T571" s="1">
        <f>value(SUBSTITUTE(IFERROR(VLOOKUP(A571,'Networking - Solution Specializ'!A:G,7,false),""),"#","")
)</f>
        <v>0</v>
      </c>
      <c r="U571" s="17" t="str">
        <f t="shared" si="7"/>
        <v/>
      </c>
      <c r="V571" s="1" t="str">
        <f>iferror(vlookup(A571,'Marketing Plan (extract summary'!A:G,6,false),"")</f>
        <v/>
      </c>
      <c r="W571" s="1" t="str">
        <f>iferror(vlookup(A571,'Marketing Plan (extract summary'!A:G,7,false),"")</f>
        <v/>
      </c>
      <c r="X571" s="17"/>
      <c r="Y571" s="1">
        <f>value(IFERROR(SUBSTITUTE(SUBSTITUTE(VLOOKUP(A571,'Quarterly Pipeline vs Target Pi'!A:G,6,false)," $","")," €",""), "")
)</f>
        <v>0</v>
      </c>
      <c r="Z571" s="1">
        <f>value(IFERROR(SUBSTITUTE(SUBSTITUTE(VLOOKUP(A571,'Quarterly Pipeline vs Target Pi'!A:G,7,false)," $","")," €",""), "")
)</f>
        <v>0</v>
      </c>
      <c r="AA571" s="17" t="str">
        <f t="shared" si="9"/>
        <v/>
      </c>
      <c r="AB571" s="1">
        <f>value(IFERROR(SUBSTITUTE(SUBSTITUTE(VLOOKUP($A571,'Quarterly Pipeline vs Target Pi'!$A:$V,11,false)," $","")," €",""), "")
)</f>
        <v>0</v>
      </c>
      <c r="AC571" s="1">
        <f>value(IFERROR(SUBSTITUTE(SUBSTITUTE(VLOOKUP($A571,'Quarterly Pipeline vs Target Pi'!$A:$V,12,false)," $","")," €",""), "")
)</f>
        <v>0</v>
      </c>
      <c r="AD571" s="17" t="str">
        <f t="shared" si="10"/>
        <v/>
      </c>
      <c r="AE571" s="1">
        <f>value(IFERROR(SUBSTITUTE(SUBSTITUTE(VLOOKUP($A571,'Quarterly Pipeline vs Target Pi'!$A:$V,16,false)," $","")," €",""), "")
)</f>
        <v>0</v>
      </c>
      <c r="AF571" s="1">
        <f>value(IFERROR(SUBSTITUTE(SUBSTITUTE(VLOOKUP($A571,'Quarterly Pipeline vs Target Pi'!$A:$V,17,false)," $","")," €",""), "")
)</f>
        <v>0</v>
      </c>
      <c r="AG571" s="17" t="str">
        <f t="shared" si="11"/>
        <v/>
      </c>
      <c r="AH571" s="1">
        <f>value(IFERROR(SUBSTITUTE(SUBSTITUTE(VLOOKUP($A571,'Quarterly Pipeline vs Target Pi'!$A:$V,21,false)," $","")," €",""), "")
)</f>
        <v>0</v>
      </c>
      <c r="AI571" s="1">
        <f>value(IFERROR(SUBSTITUTE(SUBSTITUTE(VLOOKUP($A571,'Quarterly Pipeline vs Target Pi'!$A:$V,22,false)," $","")," €",""), "")
)</f>
        <v>0</v>
      </c>
      <c r="AJ571" s="17" t="str">
        <f t="shared" si="12"/>
        <v/>
      </c>
      <c r="AK571" s="1">
        <f t="shared" ref="AK571:AL571" si="1155">sum(Y571,AB571,AE571,AH571)</f>
        <v>0</v>
      </c>
      <c r="AL571" s="1">
        <f t="shared" si="1155"/>
        <v>0</v>
      </c>
      <c r="AM571" s="17" t="str">
        <f t="shared" si="14"/>
        <v/>
      </c>
      <c r="AN571" s="1">
        <f>value(IFERROR(SUBSTITUTE(SUBSTITUTE(VLOOKUP($A571,'Quarterly Pipeline vs Target Pi'!$A:$AP,26,false)," $","")," €",""), "")
)</f>
        <v>0</v>
      </c>
      <c r="AO571" s="1">
        <f>value(IFERROR(SUBSTITUTE(SUBSTITUTE(VLOOKUP($A571,'Quarterly Pipeline vs Target Pi'!$A:$AP,27,false)," $","")," €",""), "")
)</f>
        <v>0</v>
      </c>
      <c r="AP571" s="17" t="str">
        <f t="shared" si="15"/>
        <v/>
      </c>
      <c r="AQ571" s="1">
        <f>value(IFERROR(SUBSTITUTE(SUBSTITUTE(VLOOKUP($A571,'Quarterly Pipeline vs Target Pi'!$A:$AP,31,false)," $","")," €",""), "")
)</f>
        <v>0</v>
      </c>
      <c r="AR571" s="1">
        <f>value(IFERROR(SUBSTITUTE(SUBSTITUTE(VLOOKUP($A571,'Quarterly Pipeline vs Target Pi'!$A:$AP,32,false)," $","")," €",""), "")
)</f>
        <v>0</v>
      </c>
      <c r="AS571" s="17" t="str">
        <f t="shared" si="16"/>
        <v/>
      </c>
      <c r="AT571" s="1">
        <f>value(IFERROR(SUBSTITUTE(SUBSTITUTE(VLOOKUP($A571,'Quarterly Pipeline vs Target Pi'!$A:$AP,36,false)," $","")," €",""), "")
)</f>
        <v>0</v>
      </c>
      <c r="AU571" s="1">
        <f>value(IFERROR(SUBSTITUTE(SUBSTITUTE(VLOOKUP($A571,'Quarterly Pipeline vs Target Pi'!$A:$AP,37,false)," $","")," €",""), "")
)</f>
        <v>0</v>
      </c>
      <c r="AV571" s="17" t="str">
        <f t="shared" si="17"/>
        <v/>
      </c>
      <c r="AW571" s="1">
        <f>value(IFERROR(SUBSTITUTE(SUBSTITUTE(VLOOKUP($A571,'Quarterly Pipeline vs Target Pi'!$A:$AP,41,false)," $","")," €",""), "")
)</f>
        <v>0</v>
      </c>
      <c r="AX571" s="1">
        <f>value(IFERROR(SUBSTITUTE(SUBSTITUTE(VLOOKUP($A571,'Quarterly Pipeline vs Target Pi'!$A:$AP,42,false)," $","")," €",""), "")
)</f>
        <v>0</v>
      </c>
      <c r="AY571" s="17" t="str">
        <f t="shared" si="18"/>
        <v/>
      </c>
      <c r="AZ571" s="1">
        <f t="shared" ref="AZ571:BA571" si="1156">sum(AN571,AQ571,AT571,AW571)</f>
        <v>0</v>
      </c>
      <c r="BA571" s="1">
        <f t="shared" si="1156"/>
        <v>0</v>
      </c>
      <c r="BB571" s="17" t="str">
        <f t="shared" si="20"/>
        <v/>
      </c>
    </row>
    <row r="572">
      <c r="G572" s="1" t="str">
        <f>iferror(VLOOKUP(A572,'Business Plan Setup and Accepta'!A:G,6,false),"")</f>
        <v/>
      </c>
      <c r="H572" s="1" t="str">
        <f>iferror(VLOOKUP(A572,'Business Plan Setup and Accepta'!A:G,7,false),"")</f>
        <v/>
      </c>
      <c r="I572" s="17"/>
      <c r="J572" s="1" t="str">
        <f>IFERROR(VALUE(SUBSTITUTE(VLOOKUP(A572,'Sales IN Revenues vs Sales targ'!A:G,6,false)," $","")), "")
</f>
        <v/>
      </c>
      <c r="K572" s="1" t="str">
        <f>IFERROR(VALUE(SUBSTITUTE(VLOOKUP(A572,'Sales IN Revenues vs Sales targ'!A:G,7,false)," $","")), "")
</f>
        <v/>
      </c>
      <c r="L572" s="17"/>
      <c r="M572" s="1">
        <f>value(SUBSTITUTE(IFERROR(VLOOKUP(A572,'Certifications achievements vs '!A:G,6,false),""),"#","")
)</f>
        <v>0</v>
      </c>
      <c r="N572" s="1">
        <f>value(SUBSTITUTE(IFERROR(VLOOKUP(A572,'Certifications achievements vs '!A:G,7,false),""),"#","")
)</f>
        <v>0</v>
      </c>
      <c r="O572" s="17"/>
      <c r="P572" s="1">
        <f>value(SUBSTITUTE(IFERROR(VLOOKUP(A572,'Communications - Solution Speci'!A:G,6,false),""),"#","")
)</f>
        <v>0</v>
      </c>
      <c r="Q572" s="1">
        <f>value(SUBSTITUTE(IFERROR(VLOOKUP(A572,'Communications - Solution Speci'!A:G,7,false),""),"#","")
)</f>
        <v>0</v>
      </c>
      <c r="R572" s="17" t="str">
        <f t="shared" si="6"/>
        <v/>
      </c>
      <c r="S572" s="1">
        <f>value(SUBSTITUTE(IFERROR(VLOOKUP(A572,'Networking - Solution Specializ'!A:G,6,false),""),"#","")
)</f>
        <v>0</v>
      </c>
      <c r="T572" s="1">
        <f>value(SUBSTITUTE(IFERROR(VLOOKUP(A572,'Networking - Solution Specializ'!A:G,7,false),""),"#","")
)</f>
        <v>0</v>
      </c>
      <c r="U572" s="17" t="str">
        <f t="shared" si="7"/>
        <v/>
      </c>
      <c r="V572" s="1" t="str">
        <f>iferror(vlookup(A572,'Marketing Plan (extract summary'!A:G,6,false),"")</f>
        <v/>
      </c>
      <c r="W572" s="1" t="str">
        <f>iferror(vlookup(A572,'Marketing Plan (extract summary'!A:G,7,false),"")</f>
        <v/>
      </c>
      <c r="X572" s="17"/>
      <c r="Y572" s="1">
        <f>value(IFERROR(SUBSTITUTE(SUBSTITUTE(VLOOKUP(A572,'Quarterly Pipeline vs Target Pi'!A:G,6,false)," $","")," €",""), "")
)</f>
        <v>0</v>
      </c>
      <c r="Z572" s="1">
        <f>value(IFERROR(SUBSTITUTE(SUBSTITUTE(VLOOKUP(A572,'Quarterly Pipeline vs Target Pi'!A:G,7,false)," $","")," €",""), "")
)</f>
        <v>0</v>
      </c>
      <c r="AA572" s="17" t="str">
        <f t="shared" si="9"/>
        <v/>
      </c>
      <c r="AB572" s="1">
        <f>value(IFERROR(SUBSTITUTE(SUBSTITUTE(VLOOKUP($A572,'Quarterly Pipeline vs Target Pi'!$A:$V,11,false)," $","")," €",""), "")
)</f>
        <v>0</v>
      </c>
      <c r="AC572" s="1">
        <f>value(IFERROR(SUBSTITUTE(SUBSTITUTE(VLOOKUP($A572,'Quarterly Pipeline vs Target Pi'!$A:$V,12,false)," $","")," €",""), "")
)</f>
        <v>0</v>
      </c>
      <c r="AD572" s="17" t="str">
        <f t="shared" si="10"/>
        <v/>
      </c>
      <c r="AE572" s="1">
        <f>value(IFERROR(SUBSTITUTE(SUBSTITUTE(VLOOKUP($A572,'Quarterly Pipeline vs Target Pi'!$A:$V,16,false)," $","")," €",""), "")
)</f>
        <v>0</v>
      </c>
      <c r="AF572" s="1">
        <f>value(IFERROR(SUBSTITUTE(SUBSTITUTE(VLOOKUP($A572,'Quarterly Pipeline vs Target Pi'!$A:$V,17,false)," $","")," €",""), "")
)</f>
        <v>0</v>
      </c>
      <c r="AG572" s="17" t="str">
        <f t="shared" si="11"/>
        <v/>
      </c>
      <c r="AH572" s="1">
        <f>value(IFERROR(SUBSTITUTE(SUBSTITUTE(VLOOKUP($A572,'Quarterly Pipeline vs Target Pi'!$A:$V,21,false)," $","")," €",""), "")
)</f>
        <v>0</v>
      </c>
      <c r="AI572" s="1">
        <f>value(IFERROR(SUBSTITUTE(SUBSTITUTE(VLOOKUP($A572,'Quarterly Pipeline vs Target Pi'!$A:$V,22,false)," $","")," €",""), "")
)</f>
        <v>0</v>
      </c>
      <c r="AJ572" s="17" t="str">
        <f t="shared" si="12"/>
        <v/>
      </c>
      <c r="AK572" s="1">
        <f t="shared" ref="AK572:AL572" si="1157">sum(Y572,AB572,AE572,AH572)</f>
        <v>0</v>
      </c>
      <c r="AL572" s="1">
        <f t="shared" si="1157"/>
        <v>0</v>
      </c>
      <c r="AM572" s="17" t="str">
        <f t="shared" si="14"/>
        <v/>
      </c>
      <c r="AN572" s="1">
        <f>value(IFERROR(SUBSTITUTE(SUBSTITUTE(VLOOKUP($A572,'Quarterly Pipeline vs Target Pi'!$A:$AP,26,false)," $","")," €",""), "")
)</f>
        <v>0</v>
      </c>
      <c r="AO572" s="1">
        <f>value(IFERROR(SUBSTITUTE(SUBSTITUTE(VLOOKUP($A572,'Quarterly Pipeline vs Target Pi'!$A:$AP,27,false)," $","")," €",""), "")
)</f>
        <v>0</v>
      </c>
      <c r="AP572" s="17" t="str">
        <f t="shared" si="15"/>
        <v/>
      </c>
      <c r="AQ572" s="1">
        <f>value(IFERROR(SUBSTITUTE(SUBSTITUTE(VLOOKUP($A572,'Quarterly Pipeline vs Target Pi'!$A:$AP,31,false)," $","")," €",""), "")
)</f>
        <v>0</v>
      </c>
      <c r="AR572" s="1">
        <f>value(IFERROR(SUBSTITUTE(SUBSTITUTE(VLOOKUP($A572,'Quarterly Pipeline vs Target Pi'!$A:$AP,32,false)," $","")," €",""), "")
)</f>
        <v>0</v>
      </c>
      <c r="AS572" s="17" t="str">
        <f t="shared" si="16"/>
        <v/>
      </c>
      <c r="AT572" s="1">
        <f>value(IFERROR(SUBSTITUTE(SUBSTITUTE(VLOOKUP($A572,'Quarterly Pipeline vs Target Pi'!$A:$AP,36,false)," $","")," €",""), "")
)</f>
        <v>0</v>
      </c>
      <c r="AU572" s="1">
        <f>value(IFERROR(SUBSTITUTE(SUBSTITUTE(VLOOKUP($A572,'Quarterly Pipeline vs Target Pi'!$A:$AP,37,false)," $","")," €",""), "")
)</f>
        <v>0</v>
      </c>
      <c r="AV572" s="17" t="str">
        <f t="shared" si="17"/>
        <v/>
      </c>
      <c r="AW572" s="1">
        <f>value(IFERROR(SUBSTITUTE(SUBSTITUTE(VLOOKUP($A572,'Quarterly Pipeline vs Target Pi'!$A:$AP,41,false)," $","")," €",""), "")
)</f>
        <v>0</v>
      </c>
      <c r="AX572" s="1">
        <f>value(IFERROR(SUBSTITUTE(SUBSTITUTE(VLOOKUP($A572,'Quarterly Pipeline vs Target Pi'!$A:$AP,42,false)," $","")," €",""), "")
)</f>
        <v>0</v>
      </c>
      <c r="AY572" s="17" t="str">
        <f t="shared" si="18"/>
        <v/>
      </c>
      <c r="AZ572" s="1">
        <f t="shared" ref="AZ572:BA572" si="1158">sum(AN572,AQ572,AT572,AW572)</f>
        <v>0</v>
      </c>
      <c r="BA572" s="1">
        <f t="shared" si="1158"/>
        <v>0</v>
      </c>
      <c r="BB572" s="17" t="str">
        <f t="shared" si="20"/>
        <v/>
      </c>
    </row>
    <row r="573">
      <c r="G573" s="1" t="str">
        <f>iferror(VLOOKUP(A573,'Business Plan Setup and Accepta'!A:G,6,false),"")</f>
        <v/>
      </c>
      <c r="H573" s="1" t="str">
        <f>iferror(VLOOKUP(A573,'Business Plan Setup and Accepta'!A:G,7,false),"")</f>
        <v/>
      </c>
      <c r="I573" s="17"/>
      <c r="J573" s="1" t="str">
        <f>IFERROR(VALUE(SUBSTITUTE(VLOOKUP(A573,'Sales IN Revenues vs Sales targ'!A:G,6,false)," $","")), "")
</f>
        <v/>
      </c>
      <c r="K573" s="1" t="str">
        <f>IFERROR(VALUE(SUBSTITUTE(VLOOKUP(A573,'Sales IN Revenues vs Sales targ'!A:G,7,false)," $","")), "")
</f>
        <v/>
      </c>
      <c r="L573" s="17"/>
      <c r="M573" s="1">
        <f>value(SUBSTITUTE(IFERROR(VLOOKUP(A573,'Certifications achievements vs '!A:G,6,false),""),"#","")
)</f>
        <v>0</v>
      </c>
      <c r="N573" s="1">
        <f>value(SUBSTITUTE(IFERROR(VLOOKUP(A573,'Certifications achievements vs '!A:G,7,false),""),"#","")
)</f>
        <v>0</v>
      </c>
      <c r="O573" s="17"/>
      <c r="P573" s="1">
        <f>value(SUBSTITUTE(IFERROR(VLOOKUP(A573,'Communications - Solution Speci'!A:G,6,false),""),"#","")
)</f>
        <v>0</v>
      </c>
      <c r="Q573" s="1">
        <f>value(SUBSTITUTE(IFERROR(VLOOKUP(A573,'Communications - Solution Speci'!A:G,7,false),""),"#","")
)</f>
        <v>0</v>
      </c>
      <c r="R573" s="17" t="str">
        <f t="shared" si="6"/>
        <v/>
      </c>
      <c r="S573" s="1">
        <f>value(SUBSTITUTE(IFERROR(VLOOKUP(A573,'Networking - Solution Specializ'!A:G,6,false),""),"#","")
)</f>
        <v>0</v>
      </c>
      <c r="T573" s="1">
        <f>value(SUBSTITUTE(IFERROR(VLOOKUP(A573,'Networking - Solution Specializ'!A:G,7,false),""),"#","")
)</f>
        <v>0</v>
      </c>
      <c r="U573" s="17" t="str">
        <f t="shared" si="7"/>
        <v/>
      </c>
      <c r="V573" s="1" t="str">
        <f>iferror(vlookup(A573,'Marketing Plan (extract summary'!A:G,6,false),"")</f>
        <v/>
      </c>
      <c r="W573" s="1" t="str">
        <f>iferror(vlookup(A573,'Marketing Plan (extract summary'!A:G,7,false),"")</f>
        <v/>
      </c>
      <c r="X573" s="17"/>
      <c r="Y573" s="1">
        <f>value(IFERROR(SUBSTITUTE(SUBSTITUTE(VLOOKUP(A573,'Quarterly Pipeline vs Target Pi'!A:G,6,false)," $","")," €",""), "")
)</f>
        <v>0</v>
      </c>
      <c r="Z573" s="1">
        <f>value(IFERROR(SUBSTITUTE(SUBSTITUTE(VLOOKUP(A573,'Quarterly Pipeline vs Target Pi'!A:G,7,false)," $","")," €",""), "")
)</f>
        <v>0</v>
      </c>
      <c r="AA573" s="17" t="str">
        <f t="shared" si="9"/>
        <v/>
      </c>
      <c r="AB573" s="1">
        <f>value(IFERROR(SUBSTITUTE(SUBSTITUTE(VLOOKUP($A573,'Quarterly Pipeline vs Target Pi'!$A:$V,11,false)," $","")," €",""), "")
)</f>
        <v>0</v>
      </c>
      <c r="AC573" s="1">
        <f>value(IFERROR(SUBSTITUTE(SUBSTITUTE(VLOOKUP($A573,'Quarterly Pipeline vs Target Pi'!$A:$V,12,false)," $","")," €",""), "")
)</f>
        <v>0</v>
      </c>
      <c r="AD573" s="17" t="str">
        <f t="shared" si="10"/>
        <v/>
      </c>
      <c r="AE573" s="1">
        <f>value(IFERROR(SUBSTITUTE(SUBSTITUTE(VLOOKUP($A573,'Quarterly Pipeline vs Target Pi'!$A:$V,16,false)," $","")," €",""), "")
)</f>
        <v>0</v>
      </c>
      <c r="AF573" s="1">
        <f>value(IFERROR(SUBSTITUTE(SUBSTITUTE(VLOOKUP($A573,'Quarterly Pipeline vs Target Pi'!$A:$V,17,false)," $","")," €",""), "")
)</f>
        <v>0</v>
      </c>
      <c r="AG573" s="17" t="str">
        <f t="shared" si="11"/>
        <v/>
      </c>
      <c r="AH573" s="1">
        <f>value(IFERROR(SUBSTITUTE(SUBSTITUTE(VLOOKUP($A573,'Quarterly Pipeline vs Target Pi'!$A:$V,21,false)," $","")," €",""), "")
)</f>
        <v>0</v>
      </c>
      <c r="AI573" s="1">
        <f>value(IFERROR(SUBSTITUTE(SUBSTITUTE(VLOOKUP($A573,'Quarterly Pipeline vs Target Pi'!$A:$V,22,false)," $","")," €",""), "")
)</f>
        <v>0</v>
      </c>
      <c r="AJ573" s="17" t="str">
        <f t="shared" si="12"/>
        <v/>
      </c>
      <c r="AK573" s="1">
        <f t="shared" ref="AK573:AL573" si="1159">sum(Y573,AB573,AE573,AH573)</f>
        <v>0</v>
      </c>
      <c r="AL573" s="1">
        <f t="shared" si="1159"/>
        <v>0</v>
      </c>
      <c r="AM573" s="17" t="str">
        <f t="shared" si="14"/>
        <v/>
      </c>
      <c r="AN573" s="1">
        <f>value(IFERROR(SUBSTITUTE(SUBSTITUTE(VLOOKUP($A573,'Quarterly Pipeline vs Target Pi'!$A:$AP,26,false)," $","")," €",""), "")
)</f>
        <v>0</v>
      </c>
      <c r="AO573" s="1">
        <f>value(IFERROR(SUBSTITUTE(SUBSTITUTE(VLOOKUP($A573,'Quarterly Pipeline vs Target Pi'!$A:$AP,27,false)," $","")," €",""), "")
)</f>
        <v>0</v>
      </c>
      <c r="AP573" s="17" t="str">
        <f t="shared" si="15"/>
        <v/>
      </c>
      <c r="AQ573" s="1">
        <f>value(IFERROR(SUBSTITUTE(SUBSTITUTE(VLOOKUP($A573,'Quarterly Pipeline vs Target Pi'!$A:$AP,31,false)," $","")," €",""), "")
)</f>
        <v>0</v>
      </c>
      <c r="AR573" s="1">
        <f>value(IFERROR(SUBSTITUTE(SUBSTITUTE(VLOOKUP($A573,'Quarterly Pipeline vs Target Pi'!$A:$AP,32,false)," $","")," €",""), "")
)</f>
        <v>0</v>
      </c>
      <c r="AS573" s="17" t="str">
        <f t="shared" si="16"/>
        <v/>
      </c>
      <c r="AT573" s="1">
        <f>value(IFERROR(SUBSTITUTE(SUBSTITUTE(VLOOKUP($A573,'Quarterly Pipeline vs Target Pi'!$A:$AP,36,false)," $","")," €",""), "")
)</f>
        <v>0</v>
      </c>
      <c r="AU573" s="1">
        <f>value(IFERROR(SUBSTITUTE(SUBSTITUTE(VLOOKUP($A573,'Quarterly Pipeline vs Target Pi'!$A:$AP,37,false)," $","")," €",""), "")
)</f>
        <v>0</v>
      </c>
      <c r="AV573" s="17" t="str">
        <f t="shared" si="17"/>
        <v/>
      </c>
      <c r="AW573" s="1">
        <f>value(IFERROR(SUBSTITUTE(SUBSTITUTE(VLOOKUP($A573,'Quarterly Pipeline vs Target Pi'!$A:$AP,41,false)," $","")," €",""), "")
)</f>
        <v>0</v>
      </c>
      <c r="AX573" s="1">
        <f>value(IFERROR(SUBSTITUTE(SUBSTITUTE(VLOOKUP($A573,'Quarterly Pipeline vs Target Pi'!$A:$AP,42,false)," $","")," €",""), "")
)</f>
        <v>0</v>
      </c>
      <c r="AY573" s="17" t="str">
        <f t="shared" si="18"/>
        <v/>
      </c>
      <c r="AZ573" s="1">
        <f t="shared" ref="AZ573:BA573" si="1160">sum(AN573,AQ573,AT573,AW573)</f>
        <v>0</v>
      </c>
      <c r="BA573" s="1">
        <f t="shared" si="1160"/>
        <v>0</v>
      </c>
      <c r="BB573" s="17" t="str">
        <f t="shared" si="20"/>
        <v/>
      </c>
    </row>
    <row r="574">
      <c r="G574" s="1" t="str">
        <f>iferror(VLOOKUP(A574,'Business Plan Setup and Accepta'!A:G,6,false),"")</f>
        <v/>
      </c>
      <c r="H574" s="1" t="str">
        <f>iferror(VLOOKUP(A574,'Business Plan Setup and Accepta'!A:G,7,false),"")</f>
        <v/>
      </c>
      <c r="I574" s="17"/>
      <c r="J574" s="1" t="str">
        <f>IFERROR(VALUE(SUBSTITUTE(VLOOKUP(A574,'Sales IN Revenues vs Sales targ'!A:G,6,false)," $","")), "")
</f>
        <v/>
      </c>
      <c r="K574" s="1" t="str">
        <f>IFERROR(VALUE(SUBSTITUTE(VLOOKUP(A574,'Sales IN Revenues vs Sales targ'!A:G,7,false)," $","")), "")
</f>
        <v/>
      </c>
      <c r="L574" s="17"/>
      <c r="M574" s="1">
        <f>value(SUBSTITUTE(IFERROR(VLOOKUP(A574,'Certifications achievements vs '!A:G,6,false),""),"#","")
)</f>
        <v>0</v>
      </c>
      <c r="N574" s="1">
        <f>value(SUBSTITUTE(IFERROR(VLOOKUP(A574,'Certifications achievements vs '!A:G,7,false),""),"#","")
)</f>
        <v>0</v>
      </c>
      <c r="O574" s="17"/>
      <c r="P574" s="1">
        <f>value(SUBSTITUTE(IFERROR(VLOOKUP(A574,'Communications - Solution Speci'!A:G,6,false),""),"#","")
)</f>
        <v>0</v>
      </c>
      <c r="Q574" s="1">
        <f>value(SUBSTITUTE(IFERROR(VLOOKUP(A574,'Communications - Solution Speci'!A:G,7,false),""),"#","")
)</f>
        <v>0</v>
      </c>
      <c r="R574" s="17" t="str">
        <f t="shared" si="6"/>
        <v/>
      </c>
      <c r="S574" s="1">
        <f>value(SUBSTITUTE(IFERROR(VLOOKUP(A574,'Networking - Solution Specializ'!A:G,6,false),""),"#","")
)</f>
        <v>0</v>
      </c>
      <c r="T574" s="1">
        <f>value(SUBSTITUTE(IFERROR(VLOOKUP(A574,'Networking - Solution Specializ'!A:G,7,false),""),"#","")
)</f>
        <v>0</v>
      </c>
      <c r="U574" s="17" t="str">
        <f t="shared" si="7"/>
        <v/>
      </c>
      <c r="V574" s="1" t="str">
        <f>iferror(vlookup(A574,'Marketing Plan (extract summary'!A:G,6,false),"")</f>
        <v/>
      </c>
      <c r="W574" s="1" t="str">
        <f>iferror(vlookup(A574,'Marketing Plan (extract summary'!A:G,7,false),"")</f>
        <v/>
      </c>
      <c r="X574" s="17"/>
      <c r="Y574" s="1">
        <f>value(IFERROR(SUBSTITUTE(SUBSTITUTE(VLOOKUP(A574,'Quarterly Pipeline vs Target Pi'!A:G,6,false)," $","")," €",""), "")
)</f>
        <v>0</v>
      </c>
      <c r="Z574" s="1">
        <f>value(IFERROR(SUBSTITUTE(SUBSTITUTE(VLOOKUP(A574,'Quarterly Pipeline vs Target Pi'!A:G,7,false)," $","")," €",""), "")
)</f>
        <v>0</v>
      </c>
      <c r="AA574" s="17" t="str">
        <f t="shared" si="9"/>
        <v/>
      </c>
      <c r="AB574" s="1">
        <f>value(IFERROR(SUBSTITUTE(SUBSTITUTE(VLOOKUP($A574,'Quarterly Pipeline vs Target Pi'!$A:$V,11,false)," $","")," €",""), "")
)</f>
        <v>0</v>
      </c>
      <c r="AC574" s="1">
        <f>value(IFERROR(SUBSTITUTE(SUBSTITUTE(VLOOKUP($A574,'Quarterly Pipeline vs Target Pi'!$A:$V,12,false)," $","")," €",""), "")
)</f>
        <v>0</v>
      </c>
      <c r="AD574" s="17" t="str">
        <f t="shared" si="10"/>
        <v/>
      </c>
      <c r="AE574" s="1">
        <f>value(IFERROR(SUBSTITUTE(SUBSTITUTE(VLOOKUP($A574,'Quarterly Pipeline vs Target Pi'!$A:$V,16,false)," $","")," €",""), "")
)</f>
        <v>0</v>
      </c>
      <c r="AF574" s="1">
        <f>value(IFERROR(SUBSTITUTE(SUBSTITUTE(VLOOKUP($A574,'Quarterly Pipeline vs Target Pi'!$A:$V,17,false)," $","")," €",""), "")
)</f>
        <v>0</v>
      </c>
      <c r="AG574" s="17" t="str">
        <f t="shared" si="11"/>
        <v/>
      </c>
      <c r="AH574" s="1">
        <f>value(IFERROR(SUBSTITUTE(SUBSTITUTE(VLOOKUP($A574,'Quarterly Pipeline vs Target Pi'!$A:$V,21,false)," $","")," €",""), "")
)</f>
        <v>0</v>
      </c>
      <c r="AI574" s="1">
        <f>value(IFERROR(SUBSTITUTE(SUBSTITUTE(VLOOKUP($A574,'Quarterly Pipeline vs Target Pi'!$A:$V,22,false)," $","")," €",""), "")
)</f>
        <v>0</v>
      </c>
      <c r="AJ574" s="17" t="str">
        <f t="shared" si="12"/>
        <v/>
      </c>
      <c r="AK574" s="1">
        <f t="shared" ref="AK574:AL574" si="1161">sum(Y574,AB574,AE574,AH574)</f>
        <v>0</v>
      </c>
      <c r="AL574" s="1">
        <f t="shared" si="1161"/>
        <v>0</v>
      </c>
      <c r="AM574" s="17" t="str">
        <f t="shared" si="14"/>
        <v/>
      </c>
      <c r="AN574" s="1">
        <f>value(IFERROR(SUBSTITUTE(SUBSTITUTE(VLOOKUP($A574,'Quarterly Pipeline vs Target Pi'!$A:$AP,26,false)," $","")," €",""), "")
)</f>
        <v>0</v>
      </c>
      <c r="AO574" s="1">
        <f>value(IFERROR(SUBSTITUTE(SUBSTITUTE(VLOOKUP($A574,'Quarterly Pipeline vs Target Pi'!$A:$AP,27,false)," $","")," €",""), "")
)</f>
        <v>0</v>
      </c>
      <c r="AP574" s="17" t="str">
        <f t="shared" si="15"/>
        <v/>
      </c>
      <c r="AQ574" s="1">
        <f>value(IFERROR(SUBSTITUTE(SUBSTITUTE(VLOOKUP($A574,'Quarterly Pipeline vs Target Pi'!$A:$AP,31,false)," $","")," €",""), "")
)</f>
        <v>0</v>
      </c>
      <c r="AR574" s="1">
        <f>value(IFERROR(SUBSTITUTE(SUBSTITUTE(VLOOKUP($A574,'Quarterly Pipeline vs Target Pi'!$A:$AP,32,false)," $","")," €",""), "")
)</f>
        <v>0</v>
      </c>
      <c r="AS574" s="17" t="str">
        <f t="shared" si="16"/>
        <v/>
      </c>
      <c r="AT574" s="1">
        <f>value(IFERROR(SUBSTITUTE(SUBSTITUTE(VLOOKUP($A574,'Quarterly Pipeline vs Target Pi'!$A:$AP,36,false)," $","")," €",""), "")
)</f>
        <v>0</v>
      </c>
      <c r="AU574" s="1">
        <f>value(IFERROR(SUBSTITUTE(SUBSTITUTE(VLOOKUP($A574,'Quarterly Pipeline vs Target Pi'!$A:$AP,37,false)," $","")," €",""), "")
)</f>
        <v>0</v>
      </c>
      <c r="AV574" s="17" t="str">
        <f t="shared" si="17"/>
        <v/>
      </c>
      <c r="AW574" s="1">
        <f>value(IFERROR(SUBSTITUTE(SUBSTITUTE(VLOOKUP($A574,'Quarterly Pipeline vs Target Pi'!$A:$AP,41,false)," $","")," €",""), "")
)</f>
        <v>0</v>
      </c>
      <c r="AX574" s="1">
        <f>value(IFERROR(SUBSTITUTE(SUBSTITUTE(VLOOKUP($A574,'Quarterly Pipeline vs Target Pi'!$A:$AP,42,false)," $","")," €",""), "")
)</f>
        <v>0</v>
      </c>
      <c r="AY574" s="17" t="str">
        <f t="shared" si="18"/>
        <v/>
      </c>
      <c r="AZ574" s="1">
        <f t="shared" ref="AZ574:BA574" si="1162">sum(AN574,AQ574,AT574,AW574)</f>
        <v>0</v>
      </c>
      <c r="BA574" s="1">
        <f t="shared" si="1162"/>
        <v>0</v>
      </c>
      <c r="BB574" s="17" t="str">
        <f t="shared" si="20"/>
        <v/>
      </c>
    </row>
    <row r="575">
      <c r="G575" s="1" t="str">
        <f>iferror(VLOOKUP(A575,'Business Plan Setup and Accepta'!A:G,6,false),"")</f>
        <v/>
      </c>
      <c r="H575" s="1" t="str">
        <f>iferror(VLOOKUP(A575,'Business Plan Setup and Accepta'!A:G,7,false),"")</f>
        <v/>
      </c>
      <c r="I575" s="17"/>
      <c r="J575" s="1" t="str">
        <f>IFERROR(VALUE(SUBSTITUTE(VLOOKUP(A575,'Sales IN Revenues vs Sales targ'!A:G,6,false)," $","")), "")
</f>
        <v/>
      </c>
      <c r="K575" s="1" t="str">
        <f>IFERROR(VALUE(SUBSTITUTE(VLOOKUP(A575,'Sales IN Revenues vs Sales targ'!A:G,7,false)," $","")), "")
</f>
        <v/>
      </c>
      <c r="L575" s="17"/>
      <c r="M575" s="1">
        <f>value(SUBSTITUTE(IFERROR(VLOOKUP(A575,'Certifications achievements vs '!A:G,6,false),""),"#","")
)</f>
        <v>0</v>
      </c>
      <c r="N575" s="1">
        <f>value(SUBSTITUTE(IFERROR(VLOOKUP(A575,'Certifications achievements vs '!A:G,7,false),""),"#","")
)</f>
        <v>0</v>
      </c>
      <c r="O575" s="17"/>
      <c r="P575" s="1">
        <f>value(SUBSTITUTE(IFERROR(VLOOKUP(A575,'Communications - Solution Speci'!A:G,6,false),""),"#","")
)</f>
        <v>0</v>
      </c>
      <c r="Q575" s="1">
        <f>value(SUBSTITUTE(IFERROR(VLOOKUP(A575,'Communications - Solution Speci'!A:G,7,false),""),"#","")
)</f>
        <v>0</v>
      </c>
      <c r="R575" s="17" t="str">
        <f t="shared" si="6"/>
        <v/>
      </c>
      <c r="S575" s="1">
        <f>value(SUBSTITUTE(IFERROR(VLOOKUP(A575,'Networking - Solution Specializ'!A:G,6,false),""),"#","")
)</f>
        <v>0</v>
      </c>
      <c r="T575" s="1">
        <f>value(SUBSTITUTE(IFERROR(VLOOKUP(A575,'Networking - Solution Specializ'!A:G,7,false),""),"#","")
)</f>
        <v>0</v>
      </c>
      <c r="U575" s="17" t="str">
        <f t="shared" si="7"/>
        <v/>
      </c>
      <c r="V575" s="1" t="str">
        <f>iferror(vlookup(A575,'Marketing Plan (extract summary'!A:G,6,false),"")</f>
        <v/>
      </c>
      <c r="W575" s="1" t="str">
        <f>iferror(vlookup(A575,'Marketing Plan (extract summary'!A:G,7,false),"")</f>
        <v/>
      </c>
      <c r="X575" s="17"/>
      <c r="Y575" s="1">
        <f>value(IFERROR(SUBSTITUTE(SUBSTITUTE(VLOOKUP(A575,'Quarterly Pipeline vs Target Pi'!A:G,6,false)," $","")," €",""), "")
)</f>
        <v>0</v>
      </c>
      <c r="Z575" s="1">
        <f>value(IFERROR(SUBSTITUTE(SUBSTITUTE(VLOOKUP(A575,'Quarterly Pipeline vs Target Pi'!A:G,7,false)," $","")," €",""), "")
)</f>
        <v>0</v>
      </c>
      <c r="AA575" s="17" t="str">
        <f t="shared" si="9"/>
        <v/>
      </c>
      <c r="AB575" s="1">
        <f>value(IFERROR(SUBSTITUTE(SUBSTITUTE(VLOOKUP($A575,'Quarterly Pipeline vs Target Pi'!$A:$V,11,false)," $","")," €",""), "")
)</f>
        <v>0</v>
      </c>
      <c r="AC575" s="1">
        <f>value(IFERROR(SUBSTITUTE(SUBSTITUTE(VLOOKUP($A575,'Quarterly Pipeline vs Target Pi'!$A:$V,12,false)," $","")," €",""), "")
)</f>
        <v>0</v>
      </c>
      <c r="AD575" s="17" t="str">
        <f t="shared" si="10"/>
        <v/>
      </c>
      <c r="AE575" s="1">
        <f>value(IFERROR(SUBSTITUTE(SUBSTITUTE(VLOOKUP($A575,'Quarterly Pipeline vs Target Pi'!$A:$V,16,false)," $","")," €",""), "")
)</f>
        <v>0</v>
      </c>
      <c r="AF575" s="1">
        <f>value(IFERROR(SUBSTITUTE(SUBSTITUTE(VLOOKUP($A575,'Quarterly Pipeline vs Target Pi'!$A:$V,17,false)," $","")," €",""), "")
)</f>
        <v>0</v>
      </c>
      <c r="AG575" s="17" t="str">
        <f t="shared" si="11"/>
        <v/>
      </c>
      <c r="AH575" s="1">
        <f>value(IFERROR(SUBSTITUTE(SUBSTITUTE(VLOOKUP($A575,'Quarterly Pipeline vs Target Pi'!$A:$V,21,false)," $","")," €",""), "")
)</f>
        <v>0</v>
      </c>
      <c r="AI575" s="1">
        <f>value(IFERROR(SUBSTITUTE(SUBSTITUTE(VLOOKUP($A575,'Quarterly Pipeline vs Target Pi'!$A:$V,22,false)," $","")," €",""), "")
)</f>
        <v>0</v>
      </c>
      <c r="AJ575" s="17" t="str">
        <f t="shared" si="12"/>
        <v/>
      </c>
      <c r="AK575" s="1">
        <f t="shared" ref="AK575:AL575" si="1163">sum(Y575,AB575,AE575,AH575)</f>
        <v>0</v>
      </c>
      <c r="AL575" s="1">
        <f t="shared" si="1163"/>
        <v>0</v>
      </c>
      <c r="AM575" s="17" t="str">
        <f t="shared" si="14"/>
        <v/>
      </c>
      <c r="AN575" s="1">
        <f>value(IFERROR(SUBSTITUTE(SUBSTITUTE(VLOOKUP($A575,'Quarterly Pipeline vs Target Pi'!$A:$AP,26,false)," $","")," €",""), "")
)</f>
        <v>0</v>
      </c>
      <c r="AO575" s="1">
        <f>value(IFERROR(SUBSTITUTE(SUBSTITUTE(VLOOKUP($A575,'Quarterly Pipeline vs Target Pi'!$A:$AP,27,false)," $","")," €",""), "")
)</f>
        <v>0</v>
      </c>
      <c r="AP575" s="17" t="str">
        <f t="shared" si="15"/>
        <v/>
      </c>
      <c r="AQ575" s="1">
        <f>value(IFERROR(SUBSTITUTE(SUBSTITUTE(VLOOKUP($A575,'Quarterly Pipeline vs Target Pi'!$A:$AP,31,false)," $","")," €",""), "")
)</f>
        <v>0</v>
      </c>
      <c r="AR575" s="1">
        <f>value(IFERROR(SUBSTITUTE(SUBSTITUTE(VLOOKUP($A575,'Quarterly Pipeline vs Target Pi'!$A:$AP,32,false)," $","")," €",""), "")
)</f>
        <v>0</v>
      </c>
      <c r="AS575" s="17" t="str">
        <f t="shared" si="16"/>
        <v/>
      </c>
      <c r="AT575" s="1">
        <f>value(IFERROR(SUBSTITUTE(SUBSTITUTE(VLOOKUP($A575,'Quarterly Pipeline vs Target Pi'!$A:$AP,36,false)," $","")," €",""), "")
)</f>
        <v>0</v>
      </c>
      <c r="AU575" s="1">
        <f>value(IFERROR(SUBSTITUTE(SUBSTITUTE(VLOOKUP($A575,'Quarterly Pipeline vs Target Pi'!$A:$AP,37,false)," $","")," €",""), "")
)</f>
        <v>0</v>
      </c>
      <c r="AV575" s="17" t="str">
        <f t="shared" si="17"/>
        <v/>
      </c>
      <c r="AW575" s="1">
        <f>value(IFERROR(SUBSTITUTE(SUBSTITUTE(VLOOKUP($A575,'Quarterly Pipeline vs Target Pi'!$A:$AP,41,false)," $","")," €",""), "")
)</f>
        <v>0</v>
      </c>
      <c r="AX575" s="1">
        <f>value(IFERROR(SUBSTITUTE(SUBSTITUTE(VLOOKUP($A575,'Quarterly Pipeline vs Target Pi'!$A:$AP,42,false)," $","")," €",""), "")
)</f>
        <v>0</v>
      </c>
      <c r="AY575" s="17" t="str">
        <f t="shared" si="18"/>
        <v/>
      </c>
      <c r="AZ575" s="1">
        <f t="shared" ref="AZ575:BA575" si="1164">sum(AN575,AQ575,AT575,AW575)</f>
        <v>0</v>
      </c>
      <c r="BA575" s="1">
        <f t="shared" si="1164"/>
        <v>0</v>
      </c>
      <c r="BB575" s="17" t="str">
        <f t="shared" si="20"/>
        <v/>
      </c>
    </row>
    <row r="576">
      <c r="G576" s="1" t="str">
        <f>iferror(VLOOKUP(A576,'Business Plan Setup and Accepta'!A:G,6,false),"")</f>
        <v/>
      </c>
      <c r="H576" s="1" t="str">
        <f>iferror(VLOOKUP(A576,'Business Plan Setup and Accepta'!A:G,7,false),"")</f>
        <v/>
      </c>
      <c r="I576" s="17"/>
      <c r="J576" s="1" t="str">
        <f>IFERROR(VALUE(SUBSTITUTE(VLOOKUP(A576,'Sales IN Revenues vs Sales targ'!A:G,6,false)," $","")), "")
</f>
        <v/>
      </c>
      <c r="K576" s="1" t="str">
        <f>IFERROR(VALUE(SUBSTITUTE(VLOOKUP(A576,'Sales IN Revenues vs Sales targ'!A:G,7,false)," $","")), "")
</f>
        <v/>
      </c>
      <c r="L576" s="17"/>
      <c r="M576" s="1">
        <f>value(SUBSTITUTE(IFERROR(VLOOKUP(A576,'Certifications achievements vs '!A:G,6,false),""),"#","")
)</f>
        <v>0</v>
      </c>
      <c r="N576" s="1">
        <f>value(SUBSTITUTE(IFERROR(VLOOKUP(A576,'Certifications achievements vs '!A:G,7,false),""),"#","")
)</f>
        <v>0</v>
      </c>
      <c r="O576" s="17"/>
      <c r="P576" s="1">
        <f>value(SUBSTITUTE(IFERROR(VLOOKUP(A576,'Communications - Solution Speci'!A:G,6,false),""),"#","")
)</f>
        <v>0</v>
      </c>
      <c r="Q576" s="1">
        <f>value(SUBSTITUTE(IFERROR(VLOOKUP(A576,'Communications - Solution Speci'!A:G,7,false),""),"#","")
)</f>
        <v>0</v>
      </c>
      <c r="R576" s="17" t="str">
        <f t="shared" si="6"/>
        <v/>
      </c>
      <c r="S576" s="1">
        <f>value(SUBSTITUTE(IFERROR(VLOOKUP(A576,'Networking - Solution Specializ'!A:G,6,false),""),"#","")
)</f>
        <v>0</v>
      </c>
      <c r="T576" s="1">
        <f>value(SUBSTITUTE(IFERROR(VLOOKUP(A576,'Networking - Solution Specializ'!A:G,7,false),""),"#","")
)</f>
        <v>0</v>
      </c>
      <c r="U576" s="17" t="str">
        <f t="shared" si="7"/>
        <v/>
      </c>
      <c r="V576" s="1" t="str">
        <f>iferror(vlookup(A576,'Marketing Plan (extract summary'!A:G,6,false),"")</f>
        <v/>
      </c>
      <c r="W576" s="1" t="str">
        <f>iferror(vlookup(A576,'Marketing Plan (extract summary'!A:G,7,false),"")</f>
        <v/>
      </c>
      <c r="X576" s="17"/>
      <c r="Y576" s="1">
        <f>value(IFERROR(SUBSTITUTE(SUBSTITUTE(VLOOKUP(A576,'Quarterly Pipeline vs Target Pi'!A:G,6,false)," $","")," €",""), "")
)</f>
        <v>0</v>
      </c>
      <c r="Z576" s="1">
        <f>value(IFERROR(SUBSTITUTE(SUBSTITUTE(VLOOKUP(A576,'Quarterly Pipeline vs Target Pi'!A:G,7,false)," $","")," €",""), "")
)</f>
        <v>0</v>
      </c>
      <c r="AA576" s="17" t="str">
        <f t="shared" si="9"/>
        <v/>
      </c>
      <c r="AB576" s="1">
        <f>value(IFERROR(SUBSTITUTE(SUBSTITUTE(VLOOKUP($A576,'Quarterly Pipeline vs Target Pi'!$A:$V,11,false)," $","")," €",""), "")
)</f>
        <v>0</v>
      </c>
      <c r="AC576" s="1">
        <f>value(IFERROR(SUBSTITUTE(SUBSTITUTE(VLOOKUP($A576,'Quarterly Pipeline vs Target Pi'!$A:$V,12,false)," $","")," €",""), "")
)</f>
        <v>0</v>
      </c>
      <c r="AD576" s="17" t="str">
        <f t="shared" si="10"/>
        <v/>
      </c>
      <c r="AE576" s="1">
        <f>value(IFERROR(SUBSTITUTE(SUBSTITUTE(VLOOKUP($A576,'Quarterly Pipeline vs Target Pi'!$A:$V,16,false)," $","")," €",""), "")
)</f>
        <v>0</v>
      </c>
      <c r="AF576" s="1">
        <f>value(IFERROR(SUBSTITUTE(SUBSTITUTE(VLOOKUP($A576,'Quarterly Pipeline vs Target Pi'!$A:$V,17,false)," $","")," €",""), "")
)</f>
        <v>0</v>
      </c>
      <c r="AG576" s="17" t="str">
        <f t="shared" si="11"/>
        <v/>
      </c>
      <c r="AH576" s="1">
        <f>value(IFERROR(SUBSTITUTE(SUBSTITUTE(VLOOKUP($A576,'Quarterly Pipeline vs Target Pi'!$A:$V,21,false)," $","")," €",""), "")
)</f>
        <v>0</v>
      </c>
      <c r="AI576" s="1">
        <f>value(IFERROR(SUBSTITUTE(SUBSTITUTE(VLOOKUP($A576,'Quarterly Pipeline vs Target Pi'!$A:$V,22,false)," $","")," €",""), "")
)</f>
        <v>0</v>
      </c>
      <c r="AJ576" s="17" t="str">
        <f t="shared" si="12"/>
        <v/>
      </c>
      <c r="AK576" s="1">
        <f t="shared" ref="AK576:AL576" si="1165">sum(Y576,AB576,AE576,AH576)</f>
        <v>0</v>
      </c>
      <c r="AL576" s="1">
        <f t="shared" si="1165"/>
        <v>0</v>
      </c>
      <c r="AM576" s="17" t="str">
        <f t="shared" si="14"/>
        <v/>
      </c>
      <c r="AN576" s="1">
        <f>value(IFERROR(SUBSTITUTE(SUBSTITUTE(VLOOKUP($A576,'Quarterly Pipeline vs Target Pi'!$A:$AP,26,false)," $","")," €",""), "")
)</f>
        <v>0</v>
      </c>
      <c r="AO576" s="1">
        <f>value(IFERROR(SUBSTITUTE(SUBSTITUTE(VLOOKUP($A576,'Quarterly Pipeline vs Target Pi'!$A:$AP,27,false)," $","")," €",""), "")
)</f>
        <v>0</v>
      </c>
      <c r="AP576" s="17" t="str">
        <f t="shared" si="15"/>
        <v/>
      </c>
      <c r="AQ576" s="1">
        <f>value(IFERROR(SUBSTITUTE(SUBSTITUTE(VLOOKUP($A576,'Quarterly Pipeline vs Target Pi'!$A:$AP,31,false)," $","")," €",""), "")
)</f>
        <v>0</v>
      </c>
      <c r="AR576" s="1">
        <f>value(IFERROR(SUBSTITUTE(SUBSTITUTE(VLOOKUP($A576,'Quarterly Pipeline vs Target Pi'!$A:$AP,32,false)," $","")," €",""), "")
)</f>
        <v>0</v>
      </c>
      <c r="AS576" s="17" t="str">
        <f t="shared" si="16"/>
        <v/>
      </c>
      <c r="AT576" s="1">
        <f>value(IFERROR(SUBSTITUTE(SUBSTITUTE(VLOOKUP($A576,'Quarterly Pipeline vs Target Pi'!$A:$AP,36,false)," $","")," €",""), "")
)</f>
        <v>0</v>
      </c>
      <c r="AU576" s="1">
        <f>value(IFERROR(SUBSTITUTE(SUBSTITUTE(VLOOKUP($A576,'Quarterly Pipeline vs Target Pi'!$A:$AP,37,false)," $","")," €",""), "")
)</f>
        <v>0</v>
      </c>
      <c r="AV576" s="17" t="str">
        <f t="shared" si="17"/>
        <v/>
      </c>
      <c r="AW576" s="1">
        <f>value(IFERROR(SUBSTITUTE(SUBSTITUTE(VLOOKUP($A576,'Quarterly Pipeline vs Target Pi'!$A:$AP,41,false)," $","")," €",""), "")
)</f>
        <v>0</v>
      </c>
      <c r="AX576" s="1">
        <f>value(IFERROR(SUBSTITUTE(SUBSTITUTE(VLOOKUP($A576,'Quarterly Pipeline vs Target Pi'!$A:$AP,42,false)," $","")," €",""), "")
)</f>
        <v>0</v>
      </c>
      <c r="AY576" s="17" t="str">
        <f t="shared" si="18"/>
        <v/>
      </c>
      <c r="AZ576" s="1">
        <f t="shared" ref="AZ576:BA576" si="1166">sum(AN576,AQ576,AT576,AW576)</f>
        <v>0</v>
      </c>
      <c r="BA576" s="1">
        <f t="shared" si="1166"/>
        <v>0</v>
      </c>
      <c r="BB576" s="17" t="str">
        <f t="shared" si="20"/>
        <v/>
      </c>
    </row>
    <row r="577">
      <c r="G577" s="1" t="str">
        <f>iferror(VLOOKUP(A577,'Business Plan Setup and Accepta'!A:G,6,false),"")</f>
        <v/>
      </c>
      <c r="H577" s="1" t="str">
        <f>iferror(VLOOKUP(A577,'Business Plan Setup and Accepta'!A:G,7,false),"")</f>
        <v/>
      </c>
      <c r="I577" s="17"/>
      <c r="J577" s="1" t="str">
        <f>IFERROR(VALUE(SUBSTITUTE(VLOOKUP(A577,'Sales IN Revenues vs Sales targ'!A:G,6,false)," $","")), "")
</f>
        <v/>
      </c>
      <c r="K577" s="1" t="str">
        <f>IFERROR(VALUE(SUBSTITUTE(VLOOKUP(A577,'Sales IN Revenues vs Sales targ'!A:G,7,false)," $","")), "")
</f>
        <v/>
      </c>
      <c r="L577" s="17"/>
      <c r="M577" s="1">
        <f>value(SUBSTITUTE(IFERROR(VLOOKUP(A577,'Certifications achievements vs '!A:G,6,false),""),"#","")
)</f>
        <v>0</v>
      </c>
      <c r="N577" s="1">
        <f>value(SUBSTITUTE(IFERROR(VLOOKUP(A577,'Certifications achievements vs '!A:G,7,false),""),"#","")
)</f>
        <v>0</v>
      </c>
      <c r="O577" s="17"/>
      <c r="P577" s="1">
        <f>value(SUBSTITUTE(IFERROR(VLOOKUP(A577,'Communications - Solution Speci'!A:G,6,false),""),"#","")
)</f>
        <v>0</v>
      </c>
      <c r="Q577" s="1">
        <f>value(SUBSTITUTE(IFERROR(VLOOKUP(A577,'Communications - Solution Speci'!A:G,7,false),""),"#","")
)</f>
        <v>0</v>
      </c>
      <c r="R577" s="17" t="str">
        <f t="shared" si="6"/>
        <v/>
      </c>
      <c r="S577" s="1">
        <f>value(SUBSTITUTE(IFERROR(VLOOKUP(A577,'Networking - Solution Specializ'!A:G,6,false),""),"#","")
)</f>
        <v>0</v>
      </c>
      <c r="T577" s="1">
        <f>value(SUBSTITUTE(IFERROR(VLOOKUP(A577,'Networking - Solution Specializ'!A:G,7,false),""),"#","")
)</f>
        <v>0</v>
      </c>
      <c r="U577" s="17" t="str">
        <f t="shared" si="7"/>
        <v/>
      </c>
      <c r="V577" s="1" t="str">
        <f>iferror(vlookup(A577,'Marketing Plan (extract summary'!A:G,6,false),"")</f>
        <v/>
      </c>
      <c r="W577" s="1" t="str">
        <f>iferror(vlookup(A577,'Marketing Plan (extract summary'!A:G,7,false),"")</f>
        <v/>
      </c>
      <c r="X577" s="17"/>
      <c r="Y577" s="1">
        <f>value(IFERROR(SUBSTITUTE(SUBSTITUTE(VLOOKUP(A577,'Quarterly Pipeline vs Target Pi'!A:G,6,false)," $","")," €",""), "")
)</f>
        <v>0</v>
      </c>
      <c r="Z577" s="1">
        <f>value(IFERROR(SUBSTITUTE(SUBSTITUTE(VLOOKUP(A577,'Quarterly Pipeline vs Target Pi'!A:G,7,false)," $","")," €",""), "")
)</f>
        <v>0</v>
      </c>
      <c r="AA577" s="17" t="str">
        <f t="shared" si="9"/>
        <v/>
      </c>
      <c r="AB577" s="1">
        <f>value(IFERROR(SUBSTITUTE(SUBSTITUTE(VLOOKUP($A577,'Quarterly Pipeline vs Target Pi'!$A:$V,11,false)," $","")," €",""), "")
)</f>
        <v>0</v>
      </c>
      <c r="AC577" s="1">
        <f>value(IFERROR(SUBSTITUTE(SUBSTITUTE(VLOOKUP($A577,'Quarterly Pipeline vs Target Pi'!$A:$V,12,false)," $","")," €",""), "")
)</f>
        <v>0</v>
      </c>
      <c r="AD577" s="17" t="str">
        <f t="shared" si="10"/>
        <v/>
      </c>
      <c r="AE577" s="1">
        <f>value(IFERROR(SUBSTITUTE(SUBSTITUTE(VLOOKUP($A577,'Quarterly Pipeline vs Target Pi'!$A:$V,16,false)," $","")," €",""), "")
)</f>
        <v>0</v>
      </c>
      <c r="AF577" s="1">
        <f>value(IFERROR(SUBSTITUTE(SUBSTITUTE(VLOOKUP($A577,'Quarterly Pipeline vs Target Pi'!$A:$V,17,false)," $","")," €",""), "")
)</f>
        <v>0</v>
      </c>
      <c r="AG577" s="17" t="str">
        <f t="shared" si="11"/>
        <v/>
      </c>
      <c r="AH577" s="1">
        <f>value(IFERROR(SUBSTITUTE(SUBSTITUTE(VLOOKUP($A577,'Quarterly Pipeline vs Target Pi'!$A:$V,21,false)," $","")," €",""), "")
)</f>
        <v>0</v>
      </c>
      <c r="AI577" s="1">
        <f>value(IFERROR(SUBSTITUTE(SUBSTITUTE(VLOOKUP($A577,'Quarterly Pipeline vs Target Pi'!$A:$V,22,false)," $","")," €",""), "")
)</f>
        <v>0</v>
      </c>
      <c r="AJ577" s="17" t="str">
        <f t="shared" si="12"/>
        <v/>
      </c>
      <c r="AK577" s="1">
        <f t="shared" ref="AK577:AL577" si="1167">sum(Y577,AB577,AE577,AH577)</f>
        <v>0</v>
      </c>
      <c r="AL577" s="1">
        <f t="shared" si="1167"/>
        <v>0</v>
      </c>
      <c r="AM577" s="17" t="str">
        <f t="shared" si="14"/>
        <v/>
      </c>
      <c r="AN577" s="1">
        <f>value(IFERROR(SUBSTITUTE(SUBSTITUTE(VLOOKUP($A577,'Quarterly Pipeline vs Target Pi'!$A:$AP,26,false)," $","")," €",""), "")
)</f>
        <v>0</v>
      </c>
      <c r="AO577" s="1">
        <f>value(IFERROR(SUBSTITUTE(SUBSTITUTE(VLOOKUP($A577,'Quarterly Pipeline vs Target Pi'!$A:$AP,27,false)," $","")," €",""), "")
)</f>
        <v>0</v>
      </c>
      <c r="AP577" s="17" t="str">
        <f t="shared" si="15"/>
        <v/>
      </c>
      <c r="AQ577" s="1">
        <f>value(IFERROR(SUBSTITUTE(SUBSTITUTE(VLOOKUP($A577,'Quarterly Pipeline vs Target Pi'!$A:$AP,31,false)," $","")," €",""), "")
)</f>
        <v>0</v>
      </c>
      <c r="AR577" s="1">
        <f>value(IFERROR(SUBSTITUTE(SUBSTITUTE(VLOOKUP($A577,'Quarterly Pipeline vs Target Pi'!$A:$AP,32,false)," $","")," €",""), "")
)</f>
        <v>0</v>
      </c>
      <c r="AS577" s="17" t="str">
        <f t="shared" si="16"/>
        <v/>
      </c>
      <c r="AT577" s="1">
        <f>value(IFERROR(SUBSTITUTE(SUBSTITUTE(VLOOKUP($A577,'Quarterly Pipeline vs Target Pi'!$A:$AP,36,false)," $","")," €",""), "")
)</f>
        <v>0</v>
      </c>
      <c r="AU577" s="1">
        <f>value(IFERROR(SUBSTITUTE(SUBSTITUTE(VLOOKUP($A577,'Quarterly Pipeline vs Target Pi'!$A:$AP,37,false)," $","")," €",""), "")
)</f>
        <v>0</v>
      </c>
      <c r="AV577" s="17" t="str">
        <f t="shared" si="17"/>
        <v/>
      </c>
      <c r="AW577" s="1">
        <f>value(IFERROR(SUBSTITUTE(SUBSTITUTE(VLOOKUP($A577,'Quarterly Pipeline vs Target Pi'!$A:$AP,41,false)," $","")," €",""), "")
)</f>
        <v>0</v>
      </c>
      <c r="AX577" s="1">
        <f>value(IFERROR(SUBSTITUTE(SUBSTITUTE(VLOOKUP($A577,'Quarterly Pipeline vs Target Pi'!$A:$AP,42,false)," $","")," €",""), "")
)</f>
        <v>0</v>
      </c>
      <c r="AY577" s="17" t="str">
        <f t="shared" si="18"/>
        <v/>
      </c>
      <c r="AZ577" s="1">
        <f t="shared" ref="AZ577:BA577" si="1168">sum(AN577,AQ577,AT577,AW577)</f>
        <v>0</v>
      </c>
      <c r="BA577" s="1">
        <f t="shared" si="1168"/>
        <v>0</v>
      </c>
      <c r="BB577" s="17" t="str">
        <f t="shared" si="20"/>
        <v/>
      </c>
    </row>
    <row r="578">
      <c r="G578" s="1" t="str">
        <f>iferror(VLOOKUP(A578,'Business Plan Setup and Accepta'!A:G,6,false),"")</f>
        <v/>
      </c>
      <c r="H578" s="1" t="str">
        <f>iferror(VLOOKUP(A578,'Business Plan Setup and Accepta'!A:G,7,false),"")</f>
        <v/>
      </c>
      <c r="I578" s="17"/>
      <c r="J578" s="1" t="str">
        <f>IFERROR(VALUE(SUBSTITUTE(VLOOKUP(A578,'Sales IN Revenues vs Sales targ'!A:G,6,false)," $","")), "")
</f>
        <v/>
      </c>
      <c r="K578" s="1" t="str">
        <f>IFERROR(VALUE(SUBSTITUTE(VLOOKUP(A578,'Sales IN Revenues vs Sales targ'!A:G,7,false)," $","")), "")
</f>
        <v/>
      </c>
      <c r="L578" s="17"/>
      <c r="M578" s="1">
        <f>value(SUBSTITUTE(IFERROR(VLOOKUP(A578,'Certifications achievements vs '!A:G,6,false),""),"#","")
)</f>
        <v>0</v>
      </c>
      <c r="N578" s="1">
        <f>value(SUBSTITUTE(IFERROR(VLOOKUP(A578,'Certifications achievements vs '!A:G,7,false),""),"#","")
)</f>
        <v>0</v>
      </c>
      <c r="O578" s="17"/>
      <c r="P578" s="1">
        <f>value(SUBSTITUTE(IFERROR(VLOOKUP(A578,'Communications - Solution Speci'!A:G,6,false),""),"#","")
)</f>
        <v>0</v>
      </c>
      <c r="Q578" s="1">
        <f>value(SUBSTITUTE(IFERROR(VLOOKUP(A578,'Communications - Solution Speci'!A:G,7,false),""),"#","")
)</f>
        <v>0</v>
      </c>
      <c r="R578" s="17" t="str">
        <f t="shared" si="6"/>
        <v/>
      </c>
      <c r="S578" s="1">
        <f>value(SUBSTITUTE(IFERROR(VLOOKUP(A578,'Networking - Solution Specializ'!A:G,6,false),""),"#","")
)</f>
        <v>0</v>
      </c>
      <c r="T578" s="1">
        <f>value(SUBSTITUTE(IFERROR(VLOOKUP(A578,'Networking - Solution Specializ'!A:G,7,false),""),"#","")
)</f>
        <v>0</v>
      </c>
      <c r="U578" s="17" t="str">
        <f t="shared" si="7"/>
        <v/>
      </c>
      <c r="V578" s="1" t="str">
        <f>iferror(vlookup(A578,'Marketing Plan (extract summary'!A:G,6,false),"")</f>
        <v/>
      </c>
      <c r="W578" s="1" t="str">
        <f>iferror(vlookup(A578,'Marketing Plan (extract summary'!A:G,7,false),"")</f>
        <v/>
      </c>
      <c r="X578" s="17"/>
      <c r="Y578" s="1">
        <f>value(IFERROR(SUBSTITUTE(SUBSTITUTE(VLOOKUP(A578,'Quarterly Pipeline vs Target Pi'!A:G,6,false)," $","")," €",""), "")
)</f>
        <v>0</v>
      </c>
      <c r="Z578" s="1">
        <f>value(IFERROR(SUBSTITUTE(SUBSTITUTE(VLOOKUP(A578,'Quarterly Pipeline vs Target Pi'!A:G,7,false)," $","")," €",""), "")
)</f>
        <v>0</v>
      </c>
      <c r="AA578" s="17" t="str">
        <f t="shared" si="9"/>
        <v/>
      </c>
      <c r="AB578" s="1">
        <f>value(IFERROR(SUBSTITUTE(SUBSTITUTE(VLOOKUP($A578,'Quarterly Pipeline vs Target Pi'!$A:$V,11,false)," $","")," €",""), "")
)</f>
        <v>0</v>
      </c>
      <c r="AC578" s="1">
        <f>value(IFERROR(SUBSTITUTE(SUBSTITUTE(VLOOKUP($A578,'Quarterly Pipeline vs Target Pi'!$A:$V,12,false)," $","")," €",""), "")
)</f>
        <v>0</v>
      </c>
      <c r="AD578" s="17" t="str">
        <f t="shared" si="10"/>
        <v/>
      </c>
      <c r="AE578" s="1">
        <f>value(IFERROR(SUBSTITUTE(SUBSTITUTE(VLOOKUP($A578,'Quarterly Pipeline vs Target Pi'!$A:$V,16,false)," $","")," €",""), "")
)</f>
        <v>0</v>
      </c>
      <c r="AF578" s="1">
        <f>value(IFERROR(SUBSTITUTE(SUBSTITUTE(VLOOKUP($A578,'Quarterly Pipeline vs Target Pi'!$A:$V,17,false)," $","")," €",""), "")
)</f>
        <v>0</v>
      </c>
      <c r="AG578" s="17" t="str">
        <f t="shared" si="11"/>
        <v/>
      </c>
      <c r="AH578" s="1">
        <f>value(IFERROR(SUBSTITUTE(SUBSTITUTE(VLOOKUP($A578,'Quarterly Pipeline vs Target Pi'!$A:$V,21,false)," $","")," €",""), "")
)</f>
        <v>0</v>
      </c>
      <c r="AI578" s="1">
        <f>value(IFERROR(SUBSTITUTE(SUBSTITUTE(VLOOKUP($A578,'Quarterly Pipeline vs Target Pi'!$A:$V,22,false)," $","")," €",""), "")
)</f>
        <v>0</v>
      </c>
      <c r="AJ578" s="17" t="str">
        <f t="shared" si="12"/>
        <v/>
      </c>
      <c r="AK578" s="1">
        <f t="shared" ref="AK578:AL578" si="1169">sum(Y578,AB578,AE578,AH578)</f>
        <v>0</v>
      </c>
      <c r="AL578" s="1">
        <f t="shared" si="1169"/>
        <v>0</v>
      </c>
      <c r="AM578" s="17" t="str">
        <f t="shared" si="14"/>
        <v/>
      </c>
      <c r="AN578" s="1">
        <f>value(IFERROR(SUBSTITUTE(SUBSTITUTE(VLOOKUP($A578,'Quarterly Pipeline vs Target Pi'!$A:$AP,26,false)," $","")," €",""), "")
)</f>
        <v>0</v>
      </c>
      <c r="AO578" s="1">
        <f>value(IFERROR(SUBSTITUTE(SUBSTITUTE(VLOOKUP($A578,'Quarterly Pipeline vs Target Pi'!$A:$AP,27,false)," $","")," €",""), "")
)</f>
        <v>0</v>
      </c>
      <c r="AP578" s="17" t="str">
        <f t="shared" si="15"/>
        <v/>
      </c>
      <c r="AQ578" s="1">
        <f>value(IFERROR(SUBSTITUTE(SUBSTITUTE(VLOOKUP($A578,'Quarterly Pipeline vs Target Pi'!$A:$AP,31,false)," $","")," €",""), "")
)</f>
        <v>0</v>
      </c>
      <c r="AR578" s="1">
        <f>value(IFERROR(SUBSTITUTE(SUBSTITUTE(VLOOKUP($A578,'Quarterly Pipeline vs Target Pi'!$A:$AP,32,false)," $","")," €",""), "")
)</f>
        <v>0</v>
      </c>
      <c r="AS578" s="17" t="str">
        <f t="shared" si="16"/>
        <v/>
      </c>
      <c r="AT578" s="1">
        <f>value(IFERROR(SUBSTITUTE(SUBSTITUTE(VLOOKUP($A578,'Quarterly Pipeline vs Target Pi'!$A:$AP,36,false)," $","")," €",""), "")
)</f>
        <v>0</v>
      </c>
      <c r="AU578" s="1">
        <f>value(IFERROR(SUBSTITUTE(SUBSTITUTE(VLOOKUP($A578,'Quarterly Pipeline vs Target Pi'!$A:$AP,37,false)," $","")," €",""), "")
)</f>
        <v>0</v>
      </c>
      <c r="AV578" s="17" t="str">
        <f t="shared" si="17"/>
        <v/>
      </c>
      <c r="AW578" s="1">
        <f>value(IFERROR(SUBSTITUTE(SUBSTITUTE(VLOOKUP($A578,'Quarterly Pipeline vs Target Pi'!$A:$AP,41,false)," $","")," €",""), "")
)</f>
        <v>0</v>
      </c>
      <c r="AX578" s="1">
        <f>value(IFERROR(SUBSTITUTE(SUBSTITUTE(VLOOKUP($A578,'Quarterly Pipeline vs Target Pi'!$A:$AP,42,false)," $","")," €",""), "")
)</f>
        <v>0</v>
      </c>
      <c r="AY578" s="17" t="str">
        <f t="shared" si="18"/>
        <v/>
      </c>
      <c r="AZ578" s="1">
        <f t="shared" ref="AZ578:BA578" si="1170">sum(AN578,AQ578,AT578,AW578)</f>
        <v>0</v>
      </c>
      <c r="BA578" s="1">
        <f t="shared" si="1170"/>
        <v>0</v>
      </c>
      <c r="BB578" s="17" t="str">
        <f t="shared" si="20"/>
        <v/>
      </c>
    </row>
    <row r="579">
      <c r="G579" s="1" t="str">
        <f>iferror(VLOOKUP(A579,'Business Plan Setup and Accepta'!A:G,6,false),"")</f>
        <v/>
      </c>
      <c r="H579" s="1" t="str">
        <f>iferror(VLOOKUP(A579,'Business Plan Setup and Accepta'!A:G,7,false),"")</f>
        <v/>
      </c>
      <c r="I579" s="17"/>
      <c r="J579" s="1" t="str">
        <f>IFERROR(VALUE(SUBSTITUTE(VLOOKUP(A579,'Sales IN Revenues vs Sales targ'!A:G,6,false)," $","")), "")
</f>
        <v/>
      </c>
      <c r="K579" s="1" t="str">
        <f>IFERROR(VALUE(SUBSTITUTE(VLOOKUP(A579,'Sales IN Revenues vs Sales targ'!A:G,7,false)," $","")), "")
</f>
        <v/>
      </c>
      <c r="L579" s="17"/>
      <c r="M579" s="1">
        <f>value(SUBSTITUTE(IFERROR(VLOOKUP(A579,'Certifications achievements vs '!A:G,6,false),""),"#","")
)</f>
        <v>0</v>
      </c>
      <c r="N579" s="1">
        <f>value(SUBSTITUTE(IFERROR(VLOOKUP(A579,'Certifications achievements vs '!A:G,7,false),""),"#","")
)</f>
        <v>0</v>
      </c>
      <c r="O579" s="17"/>
      <c r="P579" s="1">
        <f>value(SUBSTITUTE(IFERROR(VLOOKUP(A579,'Communications - Solution Speci'!A:G,6,false),""),"#","")
)</f>
        <v>0</v>
      </c>
      <c r="Q579" s="1">
        <f>value(SUBSTITUTE(IFERROR(VLOOKUP(A579,'Communications - Solution Speci'!A:G,7,false),""),"#","")
)</f>
        <v>0</v>
      </c>
      <c r="R579" s="17" t="str">
        <f t="shared" si="6"/>
        <v/>
      </c>
      <c r="S579" s="1">
        <f>value(SUBSTITUTE(IFERROR(VLOOKUP(A579,'Networking - Solution Specializ'!A:G,6,false),""),"#","")
)</f>
        <v>0</v>
      </c>
      <c r="T579" s="1">
        <f>value(SUBSTITUTE(IFERROR(VLOOKUP(A579,'Networking - Solution Specializ'!A:G,7,false),""),"#","")
)</f>
        <v>0</v>
      </c>
      <c r="U579" s="17" t="str">
        <f t="shared" si="7"/>
        <v/>
      </c>
      <c r="V579" s="1" t="str">
        <f>iferror(vlookup(A579,'Marketing Plan (extract summary'!A:G,6,false),"")</f>
        <v/>
      </c>
      <c r="W579" s="1" t="str">
        <f>iferror(vlookup(A579,'Marketing Plan (extract summary'!A:G,7,false),"")</f>
        <v/>
      </c>
      <c r="X579" s="17"/>
      <c r="Y579" s="1">
        <f>value(IFERROR(SUBSTITUTE(SUBSTITUTE(VLOOKUP(A579,'Quarterly Pipeline vs Target Pi'!A:G,6,false)," $","")," €",""), "")
)</f>
        <v>0</v>
      </c>
      <c r="Z579" s="1">
        <f>value(IFERROR(SUBSTITUTE(SUBSTITUTE(VLOOKUP(A579,'Quarterly Pipeline vs Target Pi'!A:G,7,false)," $","")," €",""), "")
)</f>
        <v>0</v>
      </c>
      <c r="AA579" s="17" t="str">
        <f t="shared" si="9"/>
        <v/>
      </c>
      <c r="AB579" s="1">
        <f>value(IFERROR(SUBSTITUTE(SUBSTITUTE(VLOOKUP($A579,'Quarterly Pipeline vs Target Pi'!$A:$V,11,false)," $","")," €",""), "")
)</f>
        <v>0</v>
      </c>
      <c r="AC579" s="1">
        <f>value(IFERROR(SUBSTITUTE(SUBSTITUTE(VLOOKUP($A579,'Quarterly Pipeline vs Target Pi'!$A:$V,12,false)," $","")," €",""), "")
)</f>
        <v>0</v>
      </c>
      <c r="AD579" s="17" t="str">
        <f t="shared" si="10"/>
        <v/>
      </c>
      <c r="AE579" s="1">
        <f>value(IFERROR(SUBSTITUTE(SUBSTITUTE(VLOOKUP($A579,'Quarterly Pipeline vs Target Pi'!$A:$V,16,false)," $","")," €",""), "")
)</f>
        <v>0</v>
      </c>
      <c r="AF579" s="1">
        <f>value(IFERROR(SUBSTITUTE(SUBSTITUTE(VLOOKUP($A579,'Quarterly Pipeline vs Target Pi'!$A:$V,17,false)," $","")," €",""), "")
)</f>
        <v>0</v>
      </c>
      <c r="AG579" s="17" t="str">
        <f t="shared" si="11"/>
        <v/>
      </c>
      <c r="AH579" s="1">
        <f>value(IFERROR(SUBSTITUTE(SUBSTITUTE(VLOOKUP($A579,'Quarterly Pipeline vs Target Pi'!$A:$V,21,false)," $","")," €",""), "")
)</f>
        <v>0</v>
      </c>
      <c r="AI579" s="1">
        <f>value(IFERROR(SUBSTITUTE(SUBSTITUTE(VLOOKUP($A579,'Quarterly Pipeline vs Target Pi'!$A:$V,22,false)," $","")," €",""), "")
)</f>
        <v>0</v>
      </c>
      <c r="AJ579" s="17" t="str">
        <f t="shared" si="12"/>
        <v/>
      </c>
      <c r="AK579" s="1">
        <f t="shared" ref="AK579:AL579" si="1171">sum(Y579,AB579,AE579,AH579)</f>
        <v>0</v>
      </c>
      <c r="AL579" s="1">
        <f t="shared" si="1171"/>
        <v>0</v>
      </c>
      <c r="AM579" s="17" t="str">
        <f t="shared" si="14"/>
        <v/>
      </c>
      <c r="AN579" s="1">
        <f>value(IFERROR(SUBSTITUTE(SUBSTITUTE(VLOOKUP($A579,'Quarterly Pipeline vs Target Pi'!$A:$AP,26,false)," $","")," €",""), "")
)</f>
        <v>0</v>
      </c>
      <c r="AO579" s="1">
        <f>value(IFERROR(SUBSTITUTE(SUBSTITUTE(VLOOKUP($A579,'Quarterly Pipeline vs Target Pi'!$A:$AP,27,false)," $","")," €",""), "")
)</f>
        <v>0</v>
      </c>
      <c r="AP579" s="17" t="str">
        <f t="shared" si="15"/>
        <v/>
      </c>
      <c r="AQ579" s="1">
        <f>value(IFERROR(SUBSTITUTE(SUBSTITUTE(VLOOKUP($A579,'Quarterly Pipeline vs Target Pi'!$A:$AP,31,false)," $","")," €",""), "")
)</f>
        <v>0</v>
      </c>
      <c r="AR579" s="1">
        <f>value(IFERROR(SUBSTITUTE(SUBSTITUTE(VLOOKUP($A579,'Quarterly Pipeline vs Target Pi'!$A:$AP,32,false)," $","")," €",""), "")
)</f>
        <v>0</v>
      </c>
      <c r="AS579" s="17" t="str">
        <f t="shared" si="16"/>
        <v/>
      </c>
      <c r="AT579" s="1">
        <f>value(IFERROR(SUBSTITUTE(SUBSTITUTE(VLOOKUP($A579,'Quarterly Pipeline vs Target Pi'!$A:$AP,36,false)," $","")," €",""), "")
)</f>
        <v>0</v>
      </c>
      <c r="AU579" s="1">
        <f>value(IFERROR(SUBSTITUTE(SUBSTITUTE(VLOOKUP($A579,'Quarterly Pipeline vs Target Pi'!$A:$AP,37,false)," $","")," €",""), "")
)</f>
        <v>0</v>
      </c>
      <c r="AV579" s="17" t="str">
        <f t="shared" si="17"/>
        <v/>
      </c>
      <c r="AW579" s="1">
        <f>value(IFERROR(SUBSTITUTE(SUBSTITUTE(VLOOKUP($A579,'Quarterly Pipeline vs Target Pi'!$A:$AP,41,false)," $","")," €",""), "")
)</f>
        <v>0</v>
      </c>
      <c r="AX579" s="1">
        <f>value(IFERROR(SUBSTITUTE(SUBSTITUTE(VLOOKUP($A579,'Quarterly Pipeline vs Target Pi'!$A:$AP,42,false)," $","")," €",""), "")
)</f>
        <v>0</v>
      </c>
      <c r="AY579" s="17" t="str">
        <f t="shared" si="18"/>
        <v/>
      </c>
      <c r="AZ579" s="1">
        <f t="shared" ref="AZ579:BA579" si="1172">sum(AN579,AQ579,AT579,AW579)</f>
        <v>0</v>
      </c>
      <c r="BA579" s="1">
        <f t="shared" si="1172"/>
        <v>0</v>
      </c>
      <c r="BB579" s="17" t="str">
        <f t="shared" si="20"/>
        <v/>
      </c>
    </row>
    <row r="580">
      <c r="G580" s="1" t="str">
        <f>iferror(VLOOKUP(A580,'Business Plan Setup and Accepta'!A:G,6,false),"")</f>
        <v/>
      </c>
      <c r="H580" s="1" t="str">
        <f>iferror(VLOOKUP(A580,'Business Plan Setup and Accepta'!A:G,7,false),"")</f>
        <v/>
      </c>
      <c r="I580" s="17"/>
      <c r="J580" s="1" t="str">
        <f>IFERROR(VALUE(SUBSTITUTE(VLOOKUP(A580,'Sales IN Revenues vs Sales targ'!A:G,6,false)," $","")), "")
</f>
        <v/>
      </c>
      <c r="K580" s="1" t="str">
        <f>IFERROR(VALUE(SUBSTITUTE(VLOOKUP(A580,'Sales IN Revenues vs Sales targ'!A:G,7,false)," $","")), "")
</f>
        <v/>
      </c>
      <c r="L580" s="17"/>
      <c r="M580" s="1">
        <f>value(SUBSTITUTE(IFERROR(VLOOKUP(A580,'Certifications achievements vs '!A:G,6,false),""),"#","")
)</f>
        <v>0</v>
      </c>
      <c r="N580" s="1">
        <f>value(SUBSTITUTE(IFERROR(VLOOKUP(A580,'Certifications achievements vs '!A:G,7,false),""),"#","")
)</f>
        <v>0</v>
      </c>
      <c r="O580" s="17"/>
      <c r="P580" s="1">
        <f>value(SUBSTITUTE(IFERROR(VLOOKUP(A580,'Communications - Solution Speci'!A:G,6,false),""),"#","")
)</f>
        <v>0</v>
      </c>
      <c r="Q580" s="1">
        <f>value(SUBSTITUTE(IFERROR(VLOOKUP(A580,'Communications - Solution Speci'!A:G,7,false),""),"#","")
)</f>
        <v>0</v>
      </c>
      <c r="R580" s="17" t="str">
        <f t="shared" si="6"/>
        <v/>
      </c>
      <c r="S580" s="1">
        <f>value(SUBSTITUTE(IFERROR(VLOOKUP(A580,'Networking - Solution Specializ'!A:G,6,false),""),"#","")
)</f>
        <v>0</v>
      </c>
      <c r="T580" s="1">
        <f>value(SUBSTITUTE(IFERROR(VLOOKUP(A580,'Networking - Solution Specializ'!A:G,7,false),""),"#","")
)</f>
        <v>0</v>
      </c>
      <c r="U580" s="17" t="str">
        <f t="shared" si="7"/>
        <v/>
      </c>
      <c r="V580" s="1" t="str">
        <f>iferror(vlookup(A580,'Marketing Plan (extract summary'!A:G,6,false),"")</f>
        <v/>
      </c>
      <c r="W580" s="1" t="str">
        <f>iferror(vlookup(A580,'Marketing Plan (extract summary'!A:G,7,false),"")</f>
        <v/>
      </c>
      <c r="X580" s="17"/>
      <c r="Y580" s="1">
        <f>value(IFERROR(SUBSTITUTE(SUBSTITUTE(VLOOKUP(A580,'Quarterly Pipeline vs Target Pi'!A:G,6,false)," $","")," €",""), "")
)</f>
        <v>0</v>
      </c>
      <c r="Z580" s="1">
        <f>value(IFERROR(SUBSTITUTE(SUBSTITUTE(VLOOKUP(A580,'Quarterly Pipeline vs Target Pi'!A:G,7,false)," $","")," €",""), "")
)</f>
        <v>0</v>
      </c>
      <c r="AA580" s="17" t="str">
        <f t="shared" si="9"/>
        <v/>
      </c>
      <c r="AB580" s="1">
        <f>value(IFERROR(SUBSTITUTE(SUBSTITUTE(VLOOKUP($A580,'Quarterly Pipeline vs Target Pi'!$A:$V,11,false)," $","")," €",""), "")
)</f>
        <v>0</v>
      </c>
      <c r="AC580" s="1">
        <f>value(IFERROR(SUBSTITUTE(SUBSTITUTE(VLOOKUP($A580,'Quarterly Pipeline vs Target Pi'!$A:$V,12,false)," $","")," €",""), "")
)</f>
        <v>0</v>
      </c>
      <c r="AD580" s="17" t="str">
        <f t="shared" si="10"/>
        <v/>
      </c>
      <c r="AE580" s="1">
        <f>value(IFERROR(SUBSTITUTE(SUBSTITUTE(VLOOKUP($A580,'Quarterly Pipeline vs Target Pi'!$A:$V,16,false)," $","")," €",""), "")
)</f>
        <v>0</v>
      </c>
      <c r="AF580" s="1">
        <f>value(IFERROR(SUBSTITUTE(SUBSTITUTE(VLOOKUP($A580,'Quarterly Pipeline vs Target Pi'!$A:$V,17,false)," $","")," €",""), "")
)</f>
        <v>0</v>
      </c>
      <c r="AG580" s="17" t="str">
        <f t="shared" si="11"/>
        <v/>
      </c>
      <c r="AH580" s="1">
        <f>value(IFERROR(SUBSTITUTE(SUBSTITUTE(VLOOKUP($A580,'Quarterly Pipeline vs Target Pi'!$A:$V,21,false)," $","")," €",""), "")
)</f>
        <v>0</v>
      </c>
      <c r="AI580" s="1">
        <f>value(IFERROR(SUBSTITUTE(SUBSTITUTE(VLOOKUP($A580,'Quarterly Pipeline vs Target Pi'!$A:$V,22,false)," $","")," €",""), "")
)</f>
        <v>0</v>
      </c>
      <c r="AJ580" s="17" t="str">
        <f t="shared" si="12"/>
        <v/>
      </c>
      <c r="AK580" s="1">
        <f t="shared" ref="AK580:AL580" si="1173">sum(Y580,AB580,AE580,AH580)</f>
        <v>0</v>
      </c>
      <c r="AL580" s="1">
        <f t="shared" si="1173"/>
        <v>0</v>
      </c>
      <c r="AM580" s="17" t="str">
        <f t="shared" si="14"/>
        <v/>
      </c>
      <c r="AN580" s="1">
        <f>value(IFERROR(SUBSTITUTE(SUBSTITUTE(VLOOKUP($A580,'Quarterly Pipeline vs Target Pi'!$A:$AP,26,false)," $","")," €",""), "")
)</f>
        <v>0</v>
      </c>
      <c r="AO580" s="1">
        <f>value(IFERROR(SUBSTITUTE(SUBSTITUTE(VLOOKUP($A580,'Quarterly Pipeline vs Target Pi'!$A:$AP,27,false)," $","")," €",""), "")
)</f>
        <v>0</v>
      </c>
      <c r="AP580" s="17" t="str">
        <f t="shared" si="15"/>
        <v/>
      </c>
      <c r="AQ580" s="1">
        <f>value(IFERROR(SUBSTITUTE(SUBSTITUTE(VLOOKUP($A580,'Quarterly Pipeline vs Target Pi'!$A:$AP,31,false)," $","")," €",""), "")
)</f>
        <v>0</v>
      </c>
      <c r="AR580" s="1">
        <f>value(IFERROR(SUBSTITUTE(SUBSTITUTE(VLOOKUP($A580,'Quarterly Pipeline vs Target Pi'!$A:$AP,32,false)," $","")," €",""), "")
)</f>
        <v>0</v>
      </c>
      <c r="AS580" s="17" t="str">
        <f t="shared" si="16"/>
        <v/>
      </c>
      <c r="AT580" s="1">
        <f>value(IFERROR(SUBSTITUTE(SUBSTITUTE(VLOOKUP($A580,'Quarterly Pipeline vs Target Pi'!$A:$AP,36,false)," $","")," €",""), "")
)</f>
        <v>0</v>
      </c>
      <c r="AU580" s="1">
        <f>value(IFERROR(SUBSTITUTE(SUBSTITUTE(VLOOKUP($A580,'Quarterly Pipeline vs Target Pi'!$A:$AP,37,false)," $","")," €",""), "")
)</f>
        <v>0</v>
      </c>
      <c r="AV580" s="17" t="str">
        <f t="shared" si="17"/>
        <v/>
      </c>
      <c r="AW580" s="1">
        <f>value(IFERROR(SUBSTITUTE(SUBSTITUTE(VLOOKUP($A580,'Quarterly Pipeline vs Target Pi'!$A:$AP,41,false)," $","")," €",""), "")
)</f>
        <v>0</v>
      </c>
      <c r="AX580" s="1">
        <f>value(IFERROR(SUBSTITUTE(SUBSTITUTE(VLOOKUP($A580,'Quarterly Pipeline vs Target Pi'!$A:$AP,42,false)," $","")," €",""), "")
)</f>
        <v>0</v>
      </c>
      <c r="AY580" s="17" t="str">
        <f t="shared" si="18"/>
        <v/>
      </c>
      <c r="AZ580" s="1">
        <f t="shared" ref="AZ580:BA580" si="1174">sum(AN580,AQ580,AT580,AW580)</f>
        <v>0</v>
      </c>
      <c r="BA580" s="1">
        <f t="shared" si="1174"/>
        <v>0</v>
      </c>
      <c r="BB580" s="17" t="str">
        <f t="shared" si="20"/>
        <v/>
      </c>
    </row>
    <row r="581">
      <c r="G581" s="1" t="str">
        <f>iferror(VLOOKUP(A581,'Business Plan Setup and Accepta'!A:G,6,false),"")</f>
        <v/>
      </c>
      <c r="H581" s="1" t="str">
        <f>iferror(VLOOKUP(A581,'Business Plan Setup and Accepta'!A:G,7,false),"")</f>
        <v/>
      </c>
      <c r="I581" s="17"/>
      <c r="J581" s="1" t="str">
        <f>IFERROR(VALUE(SUBSTITUTE(VLOOKUP(A581,'Sales IN Revenues vs Sales targ'!A:G,6,false)," $","")), "")
</f>
        <v/>
      </c>
      <c r="K581" s="1" t="str">
        <f>IFERROR(VALUE(SUBSTITUTE(VLOOKUP(A581,'Sales IN Revenues vs Sales targ'!A:G,7,false)," $","")), "")
</f>
        <v/>
      </c>
      <c r="L581" s="17"/>
      <c r="M581" s="1">
        <f>value(SUBSTITUTE(IFERROR(VLOOKUP(A581,'Certifications achievements vs '!A:G,6,false),""),"#","")
)</f>
        <v>0</v>
      </c>
      <c r="N581" s="1">
        <f>value(SUBSTITUTE(IFERROR(VLOOKUP(A581,'Certifications achievements vs '!A:G,7,false),""),"#","")
)</f>
        <v>0</v>
      </c>
      <c r="O581" s="17"/>
      <c r="P581" s="1">
        <f>value(SUBSTITUTE(IFERROR(VLOOKUP(A581,'Communications - Solution Speci'!A:G,6,false),""),"#","")
)</f>
        <v>0</v>
      </c>
      <c r="Q581" s="1">
        <f>value(SUBSTITUTE(IFERROR(VLOOKUP(A581,'Communications - Solution Speci'!A:G,7,false),""),"#","")
)</f>
        <v>0</v>
      </c>
      <c r="R581" s="17" t="str">
        <f t="shared" si="6"/>
        <v/>
      </c>
      <c r="S581" s="1">
        <f>value(SUBSTITUTE(IFERROR(VLOOKUP(A581,'Networking - Solution Specializ'!A:G,6,false),""),"#","")
)</f>
        <v>0</v>
      </c>
      <c r="T581" s="1">
        <f>value(SUBSTITUTE(IFERROR(VLOOKUP(A581,'Networking - Solution Specializ'!A:G,7,false),""),"#","")
)</f>
        <v>0</v>
      </c>
      <c r="U581" s="17" t="str">
        <f t="shared" si="7"/>
        <v/>
      </c>
      <c r="V581" s="1" t="str">
        <f>iferror(vlookup(A581,'Marketing Plan (extract summary'!A:G,6,false),"")</f>
        <v/>
      </c>
      <c r="W581" s="1" t="str">
        <f>iferror(vlookup(A581,'Marketing Plan (extract summary'!A:G,7,false),"")</f>
        <v/>
      </c>
      <c r="X581" s="17"/>
      <c r="Y581" s="1">
        <f>value(IFERROR(SUBSTITUTE(SUBSTITUTE(VLOOKUP(A581,'Quarterly Pipeline vs Target Pi'!A:G,6,false)," $","")," €",""), "")
)</f>
        <v>0</v>
      </c>
      <c r="Z581" s="1">
        <f>value(IFERROR(SUBSTITUTE(SUBSTITUTE(VLOOKUP(A581,'Quarterly Pipeline vs Target Pi'!A:G,7,false)," $","")," €",""), "")
)</f>
        <v>0</v>
      </c>
      <c r="AA581" s="17" t="str">
        <f t="shared" si="9"/>
        <v/>
      </c>
      <c r="AB581" s="1">
        <f>value(IFERROR(SUBSTITUTE(SUBSTITUTE(VLOOKUP($A581,'Quarterly Pipeline vs Target Pi'!$A:$V,11,false)," $","")," €",""), "")
)</f>
        <v>0</v>
      </c>
      <c r="AC581" s="1">
        <f>value(IFERROR(SUBSTITUTE(SUBSTITUTE(VLOOKUP($A581,'Quarterly Pipeline vs Target Pi'!$A:$V,12,false)," $","")," €",""), "")
)</f>
        <v>0</v>
      </c>
      <c r="AD581" s="17" t="str">
        <f t="shared" si="10"/>
        <v/>
      </c>
      <c r="AE581" s="1">
        <f>value(IFERROR(SUBSTITUTE(SUBSTITUTE(VLOOKUP($A581,'Quarterly Pipeline vs Target Pi'!$A:$V,16,false)," $","")," €",""), "")
)</f>
        <v>0</v>
      </c>
      <c r="AF581" s="1">
        <f>value(IFERROR(SUBSTITUTE(SUBSTITUTE(VLOOKUP($A581,'Quarterly Pipeline vs Target Pi'!$A:$V,17,false)," $","")," €",""), "")
)</f>
        <v>0</v>
      </c>
      <c r="AG581" s="17" t="str">
        <f t="shared" si="11"/>
        <v/>
      </c>
      <c r="AH581" s="1">
        <f>value(IFERROR(SUBSTITUTE(SUBSTITUTE(VLOOKUP($A581,'Quarterly Pipeline vs Target Pi'!$A:$V,21,false)," $","")," €",""), "")
)</f>
        <v>0</v>
      </c>
      <c r="AI581" s="1">
        <f>value(IFERROR(SUBSTITUTE(SUBSTITUTE(VLOOKUP($A581,'Quarterly Pipeline vs Target Pi'!$A:$V,22,false)," $","")," €",""), "")
)</f>
        <v>0</v>
      </c>
      <c r="AJ581" s="17" t="str">
        <f t="shared" si="12"/>
        <v/>
      </c>
      <c r="AK581" s="1">
        <f t="shared" ref="AK581:AL581" si="1175">sum(Y581,AB581,AE581,AH581)</f>
        <v>0</v>
      </c>
      <c r="AL581" s="1">
        <f t="shared" si="1175"/>
        <v>0</v>
      </c>
      <c r="AM581" s="17" t="str">
        <f t="shared" si="14"/>
        <v/>
      </c>
      <c r="AN581" s="1">
        <f>value(IFERROR(SUBSTITUTE(SUBSTITUTE(VLOOKUP($A581,'Quarterly Pipeline vs Target Pi'!$A:$AP,26,false)," $","")," €",""), "")
)</f>
        <v>0</v>
      </c>
      <c r="AO581" s="1">
        <f>value(IFERROR(SUBSTITUTE(SUBSTITUTE(VLOOKUP($A581,'Quarterly Pipeline vs Target Pi'!$A:$AP,27,false)," $","")," €",""), "")
)</f>
        <v>0</v>
      </c>
      <c r="AP581" s="17" t="str">
        <f t="shared" si="15"/>
        <v/>
      </c>
      <c r="AQ581" s="1">
        <f>value(IFERROR(SUBSTITUTE(SUBSTITUTE(VLOOKUP($A581,'Quarterly Pipeline vs Target Pi'!$A:$AP,31,false)," $","")," €",""), "")
)</f>
        <v>0</v>
      </c>
      <c r="AR581" s="1">
        <f>value(IFERROR(SUBSTITUTE(SUBSTITUTE(VLOOKUP($A581,'Quarterly Pipeline vs Target Pi'!$A:$AP,32,false)," $","")," €",""), "")
)</f>
        <v>0</v>
      </c>
      <c r="AS581" s="17" t="str">
        <f t="shared" si="16"/>
        <v/>
      </c>
      <c r="AT581" s="1">
        <f>value(IFERROR(SUBSTITUTE(SUBSTITUTE(VLOOKUP($A581,'Quarterly Pipeline vs Target Pi'!$A:$AP,36,false)," $","")," €",""), "")
)</f>
        <v>0</v>
      </c>
      <c r="AU581" s="1">
        <f>value(IFERROR(SUBSTITUTE(SUBSTITUTE(VLOOKUP($A581,'Quarterly Pipeline vs Target Pi'!$A:$AP,37,false)," $","")," €",""), "")
)</f>
        <v>0</v>
      </c>
      <c r="AV581" s="17" t="str">
        <f t="shared" si="17"/>
        <v/>
      </c>
      <c r="AW581" s="1">
        <f>value(IFERROR(SUBSTITUTE(SUBSTITUTE(VLOOKUP($A581,'Quarterly Pipeline vs Target Pi'!$A:$AP,41,false)," $","")," €",""), "")
)</f>
        <v>0</v>
      </c>
      <c r="AX581" s="1">
        <f>value(IFERROR(SUBSTITUTE(SUBSTITUTE(VLOOKUP($A581,'Quarterly Pipeline vs Target Pi'!$A:$AP,42,false)," $","")," €",""), "")
)</f>
        <v>0</v>
      </c>
      <c r="AY581" s="17" t="str">
        <f t="shared" si="18"/>
        <v/>
      </c>
      <c r="AZ581" s="1">
        <f t="shared" ref="AZ581:BA581" si="1176">sum(AN581,AQ581,AT581,AW581)</f>
        <v>0</v>
      </c>
      <c r="BA581" s="1">
        <f t="shared" si="1176"/>
        <v>0</v>
      </c>
      <c r="BB581" s="17" t="str">
        <f t="shared" si="20"/>
        <v/>
      </c>
    </row>
    <row r="582">
      <c r="G582" s="1" t="str">
        <f>iferror(VLOOKUP(A582,'Business Plan Setup and Accepta'!A:G,6,false),"")</f>
        <v/>
      </c>
      <c r="H582" s="1" t="str">
        <f>iferror(VLOOKUP(A582,'Business Plan Setup and Accepta'!A:G,7,false),"")</f>
        <v/>
      </c>
      <c r="I582" s="17"/>
      <c r="J582" s="1" t="str">
        <f>IFERROR(VALUE(SUBSTITUTE(VLOOKUP(A582,'Sales IN Revenues vs Sales targ'!A:G,6,false)," $","")), "")
</f>
        <v/>
      </c>
      <c r="K582" s="1" t="str">
        <f>IFERROR(VALUE(SUBSTITUTE(VLOOKUP(A582,'Sales IN Revenues vs Sales targ'!A:G,7,false)," $","")), "")
</f>
        <v/>
      </c>
      <c r="L582" s="17"/>
      <c r="M582" s="1">
        <f>value(SUBSTITUTE(IFERROR(VLOOKUP(A582,'Certifications achievements vs '!A:G,6,false),""),"#","")
)</f>
        <v>0</v>
      </c>
      <c r="N582" s="1">
        <f>value(SUBSTITUTE(IFERROR(VLOOKUP(A582,'Certifications achievements vs '!A:G,7,false),""),"#","")
)</f>
        <v>0</v>
      </c>
      <c r="O582" s="17"/>
      <c r="P582" s="1">
        <f>value(SUBSTITUTE(IFERROR(VLOOKUP(A582,'Communications - Solution Speci'!A:G,6,false),""),"#","")
)</f>
        <v>0</v>
      </c>
      <c r="Q582" s="1">
        <f>value(SUBSTITUTE(IFERROR(VLOOKUP(A582,'Communications - Solution Speci'!A:G,7,false),""),"#","")
)</f>
        <v>0</v>
      </c>
      <c r="R582" s="17" t="str">
        <f t="shared" si="6"/>
        <v/>
      </c>
      <c r="S582" s="1">
        <f>value(SUBSTITUTE(IFERROR(VLOOKUP(A582,'Networking - Solution Specializ'!A:G,6,false),""),"#","")
)</f>
        <v>0</v>
      </c>
      <c r="T582" s="1">
        <f>value(SUBSTITUTE(IFERROR(VLOOKUP(A582,'Networking - Solution Specializ'!A:G,7,false),""),"#","")
)</f>
        <v>0</v>
      </c>
      <c r="U582" s="17" t="str">
        <f t="shared" si="7"/>
        <v/>
      </c>
      <c r="V582" s="1" t="str">
        <f>iferror(vlookup(A582,'Marketing Plan (extract summary'!A:G,6,false),"")</f>
        <v/>
      </c>
      <c r="W582" s="1" t="str">
        <f>iferror(vlookup(A582,'Marketing Plan (extract summary'!A:G,7,false),"")</f>
        <v/>
      </c>
      <c r="X582" s="17"/>
      <c r="Y582" s="1">
        <f>value(IFERROR(SUBSTITUTE(SUBSTITUTE(VLOOKUP(A582,'Quarterly Pipeline vs Target Pi'!A:G,6,false)," $","")," €",""), "")
)</f>
        <v>0</v>
      </c>
      <c r="Z582" s="1">
        <f>value(IFERROR(SUBSTITUTE(SUBSTITUTE(VLOOKUP(A582,'Quarterly Pipeline vs Target Pi'!A:G,7,false)," $","")," €",""), "")
)</f>
        <v>0</v>
      </c>
      <c r="AA582" s="17" t="str">
        <f t="shared" si="9"/>
        <v/>
      </c>
      <c r="AB582" s="1">
        <f>value(IFERROR(SUBSTITUTE(SUBSTITUTE(VLOOKUP($A582,'Quarterly Pipeline vs Target Pi'!$A:$V,11,false)," $","")," €",""), "")
)</f>
        <v>0</v>
      </c>
      <c r="AC582" s="1">
        <f>value(IFERROR(SUBSTITUTE(SUBSTITUTE(VLOOKUP($A582,'Quarterly Pipeline vs Target Pi'!$A:$V,12,false)," $","")," €",""), "")
)</f>
        <v>0</v>
      </c>
      <c r="AD582" s="17" t="str">
        <f t="shared" si="10"/>
        <v/>
      </c>
      <c r="AE582" s="1">
        <f>value(IFERROR(SUBSTITUTE(SUBSTITUTE(VLOOKUP($A582,'Quarterly Pipeline vs Target Pi'!$A:$V,16,false)," $","")," €",""), "")
)</f>
        <v>0</v>
      </c>
      <c r="AF582" s="1">
        <f>value(IFERROR(SUBSTITUTE(SUBSTITUTE(VLOOKUP($A582,'Quarterly Pipeline vs Target Pi'!$A:$V,17,false)," $","")," €",""), "")
)</f>
        <v>0</v>
      </c>
      <c r="AG582" s="17" t="str">
        <f t="shared" si="11"/>
        <v/>
      </c>
      <c r="AH582" s="1">
        <f>value(IFERROR(SUBSTITUTE(SUBSTITUTE(VLOOKUP($A582,'Quarterly Pipeline vs Target Pi'!$A:$V,21,false)," $","")," €",""), "")
)</f>
        <v>0</v>
      </c>
      <c r="AI582" s="1">
        <f>value(IFERROR(SUBSTITUTE(SUBSTITUTE(VLOOKUP($A582,'Quarterly Pipeline vs Target Pi'!$A:$V,22,false)," $","")," €",""), "")
)</f>
        <v>0</v>
      </c>
      <c r="AJ582" s="17" t="str">
        <f t="shared" si="12"/>
        <v/>
      </c>
      <c r="AK582" s="1">
        <f t="shared" ref="AK582:AL582" si="1177">sum(Y582,AB582,AE582,AH582)</f>
        <v>0</v>
      </c>
      <c r="AL582" s="1">
        <f t="shared" si="1177"/>
        <v>0</v>
      </c>
      <c r="AM582" s="17" t="str">
        <f t="shared" si="14"/>
        <v/>
      </c>
      <c r="AN582" s="1">
        <f>value(IFERROR(SUBSTITUTE(SUBSTITUTE(VLOOKUP($A582,'Quarterly Pipeline vs Target Pi'!$A:$AP,26,false)," $","")," €",""), "")
)</f>
        <v>0</v>
      </c>
      <c r="AO582" s="1">
        <f>value(IFERROR(SUBSTITUTE(SUBSTITUTE(VLOOKUP($A582,'Quarterly Pipeline vs Target Pi'!$A:$AP,27,false)," $","")," €",""), "")
)</f>
        <v>0</v>
      </c>
      <c r="AP582" s="17" t="str">
        <f t="shared" si="15"/>
        <v/>
      </c>
      <c r="AQ582" s="1">
        <f>value(IFERROR(SUBSTITUTE(SUBSTITUTE(VLOOKUP($A582,'Quarterly Pipeline vs Target Pi'!$A:$AP,31,false)," $","")," €",""), "")
)</f>
        <v>0</v>
      </c>
      <c r="AR582" s="1">
        <f>value(IFERROR(SUBSTITUTE(SUBSTITUTE(VLOOKUP($A582,'Quarterly Pipeline vs Target Pi'!$A:$AP,32,false)," $","")," €",""), "")
)</f>
        <v>0</v>
      </c>
      <c r="AS582" s="17" t="str">
        <f t="shared" si="16"/>
        <v/>
      </c>
      <c r="AT582" s="1">
        <f>value(IFERROR(SUBSTITUTE(SUBSTITUTE(VLOOKUP($A582,'Quarterly Pipeline vs Target Pi'!$A:$AP,36,false)," $","")," €",""), "")
)</f>
        <v>0</v>
      </c>
      <c r="AU582" s="1">
        <f>value(IFERROR(SUBSTITUTE(SUBSTITUTE(VLOOKUP($A582,'Quarterly Pipeline vs Target Pi'!$A:$AP,37,false)," $","")," €",""), "")
)</f>
        <v>0</v>
      </c>
      <c r="AV582" s="17" t="str">
        <f t="shared" si="17"/>
        <v/>
      </c>
      <c r="AW582" s="1">
        <f>value(IFERROR(SUBSTITUTE(SUBSTITUTE(VLOOKUP($A582,'Quarterly Pipeline vs Target Pi'!$A:$AP,41,false)," $","")," €",""), "")
)</f>
        <v>0</v>
      </c>
      <c r="AX582" s="1">
        <f>value(IFERROR(SUBSTITUTE(SUBSTITUTE(VLOOKUP($A582,'Quarterly Pipeline vs Target Pi'!$A:$AP,42,false)," $","")," €",""), "")
)</f>
        <v>0</v>
      </c>
      <c r="AY582" s="17" t="str">
        <f t="shared" si="18"/>
        <v/>
      </c>
      <c r="AZ582" s="1">
        <f t="shared" ref="AZ582:BA582" si="1178">sum(AN582,AQ582,AT582,AW582)</f>
        <v>0</v>
      </c>
      <c r="BA582" s="1">
        <f t="shared" si="1178"/>
        <v>0</v>
      </c>
      <c r="BB582" s="17" t="str">
        <f t="shared" si="20"/>
        <v/>
      </c>
    </row>
    <row r="583">
      <c r="G583" s="1" t="str">
        <f>iferror(VLOOKUP(A583,'Business Plan Setup and Accepta'!A:G,6,false),"")</f>
        <v/>
      </c>
      <c r="H583" s="1" t="str">
        <f>iferror(VLOOKUP(A583,'Business Plan Setup and Accepta'!A:G,7,false),"")</f>
        <v/>
      </c>
      <c r="I583" s="17"/>
      <c r="J583" s="1" t="str">
        <f>IFERROR(VALUE(SUBSTITUTE(VLOOKUP(A583,'Sales IN Revenues vs Sales targ'!A:G,6,false)," $","")), "")
</f>
        <v/>
      </c>
      <c r="K583" s="1" t="str">
        <f>IFERROR(VALUE(SUBSTITUTE(VLOOKUP(A583,'Sales IN Revenues vs Sales targ'!A:G,7,false)," $","")), "")
</f>
        <v/>
      </c>
      <c r="L583" s="17"/>
      <c r="M583" s="1">
        <f>value(SUBSTITUTE(IFERROR(VLOOKUP(A583,'Certifications achievements vs '!A:G,6,false),""),"#","")
)</f>
        <v>0</v>
      </c>
      <c r="N583" s="1">
        <f>value(SUBSTITUTE(IFERROR(VLOOKUP(A583,'Certifications achievements vs '!A:G,7,false),""),"#","")
)</f>
        <v>0</v>
      </c>
      <c r="O583" s="17"/>
      <c r="P583" s="1">
        <f>value(SUBSTITUTE(IFERROR(VLOOKUP(A583,'Communications - Solution Speci'!A:G,6,false),""),"#","")
)</f>
        <v>0</v>
      </c>
      <c r="Q583" s="1">
        <f>value(SUBSTITUTE(IFERROR(VLOOKUP(A583,'Communications - Solution Speci'!A:G,7,false),""),"#","")
)</f>
        <v>0</v>
      </c>
      <c r="R583" s="17" t="str">
        <f t="shared" si="6"/>
        <v/>
      </c>
      <c r="S583" s="1">
        <f>value(SUBSTITUTE(IFERROR(VLOOKUP(A583,'Networking - Solution Specializ'!A:G,6,false),""),"#","")
)</f>
        <v>0</v>
      </c>
      <c r="T583" s="1">
        <f>value(SUBSTITUTE(IFERROR(VLOOKUP(A583,'Networking - Solution Specializ'!A:G,7,false),""),"#","")
)</f>
        <v>0</v>
      </c>
      <c r="U583" s="17" t="str">
        <f t="shared" si="7"/>
        <v/>
      </c>
      <c r="V583" s="1" t="str">
        <f>iferror(vlookup(A583,'Marketing Plan (extract summary'!A:G,6,false),"")</f>
        <v/>
      </c>
      <c r="W583" s="1" t="str">
        <f>iferror(vlookup(A583,'Marketing Plan (extract summary'!A:G,7,false),"")</f>
        <v/>
      </c>
      <c r="X583" s="17"/>
      <c r="Y583" s="1">
        <f>value(IFERROR(SUBSTITUTE(SUBSTITUTE(VLOOKUP(A583,'Quarterly Pipeline vs Target Pi'!A:G,6,false)," $","")," €",""), "")
)</f>
        <v>0</v>
      </c>
      <c r="Z583" s="1">
        <f>value(IFERROR(SUBSTITUTE(SUBSTITUTE(VLOOKUP(A583,'Quarterly Pipeline vs Target Pi'!A:G,7,false)," $","")," €",""), "")
)</f>
        <v>0</v>
      </c>
      <c r="AA583" s="17" t="str">
        <f t="shared" si="9"/>
        <v/>
      </c>
      <c r="AB583" s="1">
        <f>value(IFERROR(SUBSTITUTE(SUBSTITUTE(VLOOKUP($A583,'Quarterly Pipeline vs Target Pi'!$A:$V,11,false)," $","")," €",""), "")
)</f>
        <v>0</v>
      </c>
      <c r="AC583" s="1">
        <f>value(IFERROR(SUBSTITUTE(SUBSTITUTE(VLOOKUP($A583,'Quarterly Pipeline vs Target Pi'!$A:$V,12,false)," $","")," €",""), "")
)</f>
        <v>0</v>
      </c>
      <c r="AD583" s="17" t="str">
        <f t="shared" si="10"/>
        <v/>
      </c>
      <c r="AE583" s="1">
        <f>value(IFERROR(SUBSTITUTE(SUBSTITUTE(VLOOKUP($A583,'Quarterly Pipeline vs Target Pi'!$A:$V,16,false)," $","")," €",""), "")
)</f>
        <v>0</v>
      </c>
      <c r="AF583" s="1">
        <f>value(IFERROR(SUBSTITUTE(SUBSTITUTE(VLOOKUP($A583,'Quarterly Pipeline vs Target Pi'!$A:$V,17,false)," $","")," €",""), "")
)</f>
        <v>0</v>
      </c>
      <c r="AG583" s="17" t="str">
        <f t="shared" si="11"/>
        <v/>
      </c>
      <c r="AH583" s="1">
        <f>value(IFERROR(SUBSTITUTE(SUBSTITUTE(VLOOKUP($A583,'Quarterly Pipeline vs Target Pi'!$A:$V,21,false)," $","")," €",""), "")
)</f>
        <v>0</v>
      </c>
      <c r="AI583" s="1">
        <f>value(IFERROR(SUBSTITUTE(SUBSTITUTE(VLOOKUP($A583,'Quarterly Pipeline vs Target Pi'!$A:$V,22,false)," $","")," €",""), "")
)</f>
        <v>0</v>
      </c>
      <c r="AJ583" s="17" t="str">
        <f t="shared" si="12"/>
        <v/>
      </c>
      <c r="AK583" s="1">
        <f t="shared" ref="AK583:AL583" si="1179">sum(Y583,AB583,AE583,AH583)</f>
        <v>0</v>
      </c>
      <c r="AL583" s="1">
        <f t="shared" si="1179"/>
        <v>0</v>
      </c>
      <c r="AM583" s="17" t="str">
        <f t="shared" si="14"/>
        <v/>
      </c>
      <c r="AN583" s="1">
        <f>value(IFERROR(SUBSTITUTE(SUBSTITUTE(VLOOKUP($A583,'Quarterly Pipeline vs Target Pi'!$A:$AP,26,false)," $","")," €",""), "")
)</f>
        <v>0</v>
      </c>
      <c r="AO583" s="1">
        <f>value(IFERROR(SUBSTITUTE(SUBSTITUTE(VLOOKUP($A583,'Quarterly Pipeline vs Target Pi'!$A:$AP,27,false)," $","")," €",""), "")
)</f>
        <v>0</v>
      </c>
      <c r="AP583" s="17" t="str">
        <f t="shared" si="15"/>
        <v/>
      </c>
      <c r="AQ583" s="1">
        <f>value(IFERROR(SUBSTITUTE(SUBSTITUTE(VLOOKUP($A583,'Quarterly Pipeline vs Target Pi'!$A:$AP,31,false)," $","")," €",""), "")
)</f>
        <v>0</v>
      </c>
      <c r="AR583" s="1">
        <f>value(IFERROR(SUBSTITUTE(SUBSTITUTE(VLOOKUP($A583,'Quarterly Pipeline vs Target Pi'!$A:$AP,32,false)," $","")," €",""), "")
)</f>
        <v>0</v>
      </c>
      <c r="AS583" s="17" t="str">
        <f t="shared" si="16"/>
        <v/>
      </c>
      <c r="AT583" s="1">
        <f>value(IFERROR(SUBSTITUTE(SUBSTITUTE(VLOOKUP($A583,'Quarterly Pipeline vs Target Pi'!$A:$AP,36,false)," $","")," €",""), "")
)</f>
        <v>0</v>
      </c>
      <c r="AU583" s="1">
        <f>value(IFERROR(SUBSTITUTE(SUBSTITUTE(VLOOKUP($A583,'Quarterly Pipeline vs Target Pi'!$A:$AP,37,false)," $","")," €",""), "")
)</f>
        <v>0</v>
      </c>
      <c r="AV583" s="17" t="str">
        <f t="shared" si="17"/>
        <v/>
      </c>
      <c r="AW583" s="1">
        <f>value(IFERROR(SUBSTITUTE(SUBSTITUTE(VLOOKUP($A583,'Quarterly Pipeline vs Target Pi'!$A:$AP,41,false)," $","")," €",""), "")
)</f>
        <v>0</v>
      </c>
      <c r="AX583" s="1">
        <f>value(IFERROR(SUBSTITUTE(SUBSTITUTE(VLOOKUP($A583,'Quarterly Pipeline vs Target Pi'!$A:$AP,42,false)," $","")," €",""), "")
)</f>
        <v>0</v>
      </c>
      <c r="AY583" s="17" t="str">
        <f t="shared" si="18"/>
        <v/>
      </c>
      <c r="AZ583" s="1">
        <f t="shared" ref="AZ583:BA583" si="1180">sum(AN583,AQ583,AT583,AW583)</f>
        <v>0</v>
      </c>
      <c r="BA583" s="1">
        <f t="shared" si="1180"/>
        <v>0</v>
      </c>
      <c r="BB583" s="17" t="str">
        <f t="shared" si="20"/>
        <v/>
      </c>
    </row>
    <row r="584">
      <c r="G584" s="1" t="str">
        <f>iferror(VLOOKUP(A584,'Business Plan Setup and Accepta'!A:G,6,false),"")</f>
        <v/>
      </c>
      <c r="H584" s="1" t="str">
        <f>iferror(VLOOKUP(A584,'Business Plan Setup and Accepta'!A:G,7,false),"")</f>
        <v/>
      </c>
      <c r="I584" s="17"/>
      <c r="J584" s="1" t="str">
        <f>IFERROR(VALUE(SUBSTITUTE(VLOOKUP(A584,'Sales IN Revenues vs Sales targ'!A:G,6,false)," $","")), "")
</f>
        <v/>
      </c>
      <c r="K584" s="1" t="str">
        <f>IFERROR(VALUE(SUBSTITUTE(VLOOKUP(A584,'Sales IN Revenues vs Sales targ'!A:G,7,false)," $","")), "")
</f>
        <v/>
      </c>
      <c r="L584" s="17"/>
      <c r="M584" s="1">
        <f>value(SUBSTITUTE(IFERROR(VLOOKUP(A584,'Certifications achievements vs '!A:G,6,false),""),"#","")
)</f>
        <v>0</v>
      </c>
      <c r="N584" s="1">
        <f>value(SUBSTITUTE(IFERROR(VLOOKUP(A584,'Certifications achievements vs '!A:G,7,false),""),"#","")
)</f>
        <v>0</v>
      </c>
      <c r="O584" s="17"/>
      <c r="P584" s="1">
        <f>value(SUBSTITUTE(IFERROR(VLOOKUP(A584,'Communications - Solution Speci'!A:G,6,false),""),"#","")
)</f>
        <v>0</v>
      </c>
      <c r="Q584" s="1">
        <f>value(SUBSTITUTE(IFERROR(VLOOKUP(A584,'Communications - Solution Speci'!A:G,7,false),""),"#","")
)</f>
        <v>0</v>
      </c>
      <c r="R584" s="17" t="str">
        <f t="shared" si="6"/>
        <v/>
      </c>
      <c r="S584" s="1">
        <f>value(SUBSTITUTE(IFERROR(VLOOKUP(A584,'Networking - Solution Specializ'!A:G,6,false),""),"#","")
)</f>
        <v>0</v>
      </c>
      <c r="T584" s="1">
        <f>value(SUBSTITUTE(IFERROR(VLOOKUP(A584,'Networking - Solution Specializ'!A:G,7,false),""),"#","")
)</f>
        <v>0</v>
      </c>
      <c r="U584" s="17" t="str">
        <f t="shared" si="7"/>
        <v/>
      </c>
      <c r="V584" s="1" t="str">
        <f>iferror(vlookup(A584,'Marketing Plan (extract summary'!A:G,6,false),"")</f>
        <v/>
      </c>
      <c r="W584" s="1" t="str">
        <f>iferror(vlookup(A584,'Marketing Plan (extract summary'!A:G,7,false),"")</f>
        <v/>
      </c>
      <c r="X584" s="17"/>
      <c r="Y584" s="1">
        <f>value(IFERROR(SUBSTITUTE(SUBSTITUTE(VLOOKUP(A584,'Quarterly Pipeline vs Target Pi'!A:G,6,false)," $","")," €",""), "")
)</f>
        <v>0</v>
      </c>
      <c r="Z584" s="1">
        <f>value(IFERROR(SUBSTITUTE(SUBSTITUTE(VLOOKUP(A584,'Quarterly Pipeline vs Target Pi'!A:G,7,false)," $","")," €",""), "")
)</f>
        <v>0</v>
      </c>
      <c r="AA584" s="17" t="str">
        <f t="shared" si="9"/>
        <v/>
      </c>
      <c r="AB584" s="1">
        <f>value(IFERROR(SUBSTITUTE(SUBSTITUTE(VLOOKUP($A584,'Quarterly Pipeline vs Target Pi'!$A:$V,11,false)," $","")," €",""), "")
)</f>
        <v>0</v>
      </c>
      <c r="AC584" s="1">
        <f>value(IFERROR(SUBSTITUTE(SUBSTITUTE(VLOOKUP($A584,'Quarterly Pipeline vs Target Pi'!$A:$V,12,false)," $","")," €",""), "")
)</f>
        <v>0</v>
      </c>
      <c r="AD584" s="17" t="str">
        <f t="shared" si="10"/>
        <v/>
      </c>
      <c r="AE584" s="1">
        <f>value(IFERROR(SUBSTITUTE(SUBSTITUTE(VLOOKUP($A584,'Quarterly Pipeline vs Target Pi'!$A:$V,16,false)," $","")," €",""), "")
)</f>
        <v>0</v>
      </c>
      <c r="AF584" s="1">
        <f>value(IFERROR(SUBSTITUTE(SUBSTITUTE(VLOOKUP($A584,'Quarterly Pipeline vs Target Pi'!$A:$V,17,false)," $","")," €",""), "")
)</f>
        <v>0</v>
      </c>
      <c r="AG584" s="17" t="str">
        <f t="shared" si="11"/>
        <v/>
      </c>
      <c r="AH584" s="1">
        <f>value(IFERROR(SUBSTITUTE(SUBSTITUTE(VLOOKUP($A584,'Quarterly Pipeline vs Target Pi'!$A:$V,21,false)," $","")," €",""), "")
)</f>
        <v>0</v>
      </c>
      <c r="AI584" s="1">
        <f>value(IFERROR(SUBSTITUTE(SUBSTITUTE(VLOOKUP($A584,'Quarterly Pipeline vs Target Pi'!$A:$V,22,false)," $","")," €",""), "")
)</f>
        <v>0</v>
      </c>
      <c r="AJ584" s="17" t="str">
        <f t="shared" si="12"/>
        <v/>
      </c>
      <c r="AK584" s="1">
        <f t="shared" ref="AK584:AL584" si="1181">sum(Y584,AB584,AE584,AH584)</f>
        <v>0</v>
      </c>
      <c r="AL584" s="1">
        <f t="shared" si="1181"/>
        <v>0</v>
      </c>
      <c r="AM584" s="17" t="str">
        <f t="shared" si="14"/>
        <v/>
      </c>
      <c r="AN584" s="1">
        <f>value(IFERROR(SUBSTITUTE(SUBSTITUTE(VLOOKUP($A584,'Quarterly Pipeline vs Target Pi'!$A:$AP,26,false)," $","")," €",""), "")
)</f>
        <v>0</v>
      </c>
      <c r="AO584" s="1">
        <f>value(IFERROR(SUBSTITUTE(SUBSTITUTE(VLOOKUP($A584,'Quarterly Pipeline vs Target Pi'!$A:$AP,27,false)," $","")," €",""), "")
)</f>
        <v>0</v>
      </c>
      <c r="AP584" s="17" t="str">
        <f t="shared" si="15"/>
        <v/>
      </c>
      <c r="AQ584" s="1">
        <f>value(IFERROR(SUBSTITUTE(SUBSTITUTE(VLOOKUP($A584,'Quarterly Pipeline vs Target Pi'!$A:$AP,31,false)," $","")," €",""), "")
)</f>
        <v>0</v>
      </c>
      <c r="AR584" s="1">
        <f>value(IFERROR(SUBSTITUTE(SUBSTITUTE(VLOOKUP($A584,'Quarterly Pipeline vs Target Pi'!$A:$AP,32,false)," $","")," €",""), "")
)</f>
        <v>0</v>
      </c>
      <c r="AS584" s="17" t="str">
        <f t="shared" si="16"/>
        <v/>
      </c>
      <c r="AT584" s="1">
        <f>value(IFERROR(SUBSTITUTE(SUBSTITUTE(VLOOKUP($A584,'Quarterly Pipeline vs Target Pi'!$A:$AP,36,false)," $","")," €",""), "")
)</f>
        <v>0</v>
      </c>
      <c r="AU584" s="1">
        <f>value(IFERROR(SUBSTITUTE(SUBSTITUTE(VLOOKUP($A584,'Quarterly Pipeline vs Target Pi'!$A:$AP,37,false)," $","")," €",""), "")
)</f>
        <v>0</v>
      </c>
      <c r="AV584" s="17" t="str">
        <f t="shared" si="17"/>
        <v/>
      </c>
      <c r="AW584" s="1">
        <f>value(IFERROR(SUBSTITUTE(SUBSTITUTE(VLOOKUP($A584,'Quarterly Pipeline vs Target Pi'!$A:$AP,41,false)," $","")," €",""), "")
)</f>
        <v>0</v>
      </c>
      <c r="AX584" s="1">
        <f>value(IFERROR(SUBSTITUTE(SUBSTITUTE(VLOOKUP($A584,'Quarterly Pipeline vs Target Pi'!$A:$AP,42,false)," $","")," €",""), "")
)</f>
        <v>0</v>
      </c>
      <c r="AY584" s="17" t="str">
        <f t="shared" si="18"/>
        <v/>
      </c>
      <c r="AZ584" s="1">
        <f t="shared" ref="AZ584:BA584" si="1182">sum(AN584,AQ584,AT584,AW584)</f>
        <v>0</v>
      </c>
      <c r="BA584" s="1">
        <f t="shared" si="1182"/>
        <v>0</v>
      </c>
      <c r="BB584" s="17" t="str">
        <f t="shared" si="20"/>
        <v/>
      </c>
    </row>
    <row r="585">
      <c r="G585" s="1" t="str">
        <f>iferror(VLOOKUP(A585,'Business Plan Setup and Accepta'!A:G,6,false),"")</f>
        <v/>
      </c>
      <c r="H585" s="1" t="str">
        <f>iferror(VLOOKUP(A585,'Business Plan Setup and Accepta'!A:G,7,false),"")</f>
        <v/>
      </c>
      <c r="I585" s="17"/>
      <c r="J585" s="1" t="str">
        <f>IFERROR(VALUE(SUBSTITUTE(VLOOKUP(A585,'Sales IN Revenues vs Sales targ'!A:G,6,false)," $","")), "")
</f>
        <v/>
      </c>
      <c r="K585" s="1" t="str">
        <f>IFERROR(VALUE(SUBSTITUTE(VLOOKUP(A585,'Sales IN Revenues vs Sales targ'!A:G,7,false)," $","")), "")
</f>
        <v/>
      </c>
      <c r="L585" s="17"/>
      <c r="M585" s="1">
        <f>value(SUBSTITUTE(IFERROR(VLOOKUP(A585,'Certifications achievements vs '!A:G,6,false),""),"#","")
)</f>
        <v>0</v>
      </c>
      <c r="N585" s="1">
        <f>value(SUBSTITUTE(IFERROR(VLOOKUP(A585,'Certifications achievements vs '!A:G,7,false),""),"#","")
)</f>
        <v>0</v>
      </c>
      <c r="O585" s="17"/>
      <c r="P585" s="1">
        <f>value(SUBSTITUTE(IFERROR(VLOOKUP(A585,'Communications - Solution Speci'!A:G,6,false),""),"#","")
)</f>
        <v>0</v>
      </c>
      <c r="Q585" s="1">
        <f>value(SUBSTITUTE(IFERROR(VLOOKUP(A585,'Communications - Solution Speci'!A:G,7,false),""),"#","")
)</f>
        <v>0</v>
      </c>
      <c r="R585" s="17" t="str">
        <f t="shared" si="6"/>
        <v/>
      </c>
      <c r="S585" s="1">
        <f>value(SUBSTITUTE(IFERROR(VLOOKUP(A585,'Networking - Solution Specializ'!A:G,6,false),""),"#","")
)</f>
        <v>0</v>
      </c>
      <c r="T585" s="1">
        <f>value(SUBSTITUTE(IFERROR(VLOOKUP(A585,'Networking - Solution Specializ'!A:G,7,false),""),"#","")
)</f>
        <v>0</v>
      </c>
      <c r="U585" s="17" t="str">
        <f t="shared" si="7"/>
        <v/>
      </c>
      <c r="V585" s="1" t="str">
        <f>iferror(vlookup(A585,'Marketing Plan (extract summary'!A:G,6,false),"")</f>
        <v/>
      </c>
      <c r="W585" s="1" t="str">
        <f>iferror(vlookup(A585,'Marketing Plan (extract summary'!A:G,7,false),"")</f>
        <v/>
      </c>
      <c r="X585" s="17"/>
      <c r="Y585" s="1">
        <f>value(IFERROR(SUBSTITUTE(SUBSTITUTE(VLOOKUP(A585,'Quarterly Pipeline vs Target Pi'!A:G,6,false)," $","")," €",""), "")
)</f>
        <v>0</v>
      </c>
      <c r="Z585" s="1">
        <f>value(IFERROR(SUBSTITUTE(SUBSTITUTE(VLOOKUP(A585,'Quarterly Pipeline vs Target Pi'!A:G,7,false)," $","")," €",""), "")
)</f>
        <v>0</v>
      </c>
      <c r="AA585" s="17" t="str">
        <f t="shared" si="9"/>
        <v/>
      </c>
      <c r="AB585" s="1">
        <f>value(IFERROR(SUBSTITUTE(SUBSTITUTE(VLOOKUP($A585,'Quarterly Pipeline vs Target Pi'!$A:$V,11,false)," $","")," €",""), "")
)</f>
        <v>0</v>
      </c>
      <c r="AC585" s="1">
        <f>value(IFERROR(SUBSTITUTE(SUBSTITUTE(VLOOKUP($A585,'Quarterly Pipeline vs Target Pi'!$A:$V,12,false)," $","")," €",""), "")
)</f>
        <v>0</v>
      </c>
      <c r="AD585" s="17" t="str">
        <f t="shared" si="10"/>
        <v/>
      </c>
      <c r="AE585" s="1">
        <f>value(IFERROR(SUBSTITUTE(SUBSTITUTE(VLOOKUP($A585,'Quarterly Pipeline vs Target Pi'!$A:$V,16,false)," $","")," €",""), "")
)</f>
        <v>0</v>
      </c>
      <c r="AF585" s="1">
        <f>value(IFERROR(SUBSTITUTE(SUBSTITUTE(VLOOKUP($A585,'Quarterly Pipeline vs Target Pi'!$A:$V,17,false)," $","")," €",""), "")
)</f>
        <v>0</v>
      </c>
      <c r="AG585" s="17" t="str">
        <f t="shared" si="11"/>
        <v/>
      </c>
      <c r="AH585" s="1">
        <f>value(IFERROR(SUBSTITUTE(SUBSTITUTE(VLOOKUP($A585,'Quarterly Pipeline vs Target Pi'!$A:$V,21,false)," $","")," €",""), "")
)</f>
        <v>0</v>
      </c>
      <c r="AI585" s="1">
        <f>value(IFERROR(SUBSTITUTE(SUBSTITUTE(VLOOKUP($A585,'Quarterly Pipeline vs Target Pi'!$A:$V,22,false)," $","")," €",""), "")
)</f>
        <v>0</v>
      </c>
      <c r="AJ585" s="17" t="str">
        <f t="shared" si="12"/>
        <v/>
      </c>
      <c r="AK585" s="1">
        <f t="shared" ref="AK585:AL585" si="1183">sum(Y585,AB585,AE585,AH585)</f>
        <v>0</v>
      </c>
      <c r="AL585" s="1">
        <f t="shared" si="1183"/>
        <v>0</v>
      </c>
      <c r="AM585" s="17" t="str">
        <f t="shared" si="14"/>
        <v/>
      </c>
      <c r="AN585" s="1">
        <f>value(IFERROR(SUBSTITUTE(SUBSTITUTE(VLOOKUP($A585,'Quarterly Pipeline vs Target Pi'!$A:$AP,26,false)," $","")," €",""), "")
)</f>
        <v>0</v>
      </c>
      <c r="AO585" s="1">
        <f>value(IFERROR(SUBSTITUTE(SUBSTITUTE(VLOOKUP($A585,'Quarterly Pipeline vs Target Pi'!$A:$AP,27,false)," $","")," €",""), "")
)</f>
        <v>0</v>
      </c>
      <c r="AP585" s="17" t="str">
        <f t="shared" si="15"/>
        <v/>
      </c>
      <c r="AQ585" s="1">
        <f>value(IFERROR(SUBSTITUTE(SUBSTITUTE(VLOOKUP($A585,'Quarterly Pipeline vs Target Pi'!$A:$AP,31,false)," $","")," €",""), "")
)</f>
        <v>0</v>
      </c>
      <c r="AR585" s="1">
        <f>value(IFERROR(SUBSTITUTE(SUBSTITUTE(VLOOKUP($A585,'Quarterly Pipeline vs Target Pi'!$A:$AP,32,false)," $","")," €",""), "")
)</f>
        <v>0</v>
      </c>
      <c r="AS585" s="17" t="str">
        <f t="shared" si="16"/>
        <v/>
      </c>
      <c r="AT585" s="1">
        <f>value(IFERROR(SUBSTITUTE(SUBSTITUTE(VLOOKUP($A585,'Quarterly Pipeline vs Target Pi'!$A:$AP,36,false)," $","")," €",""), "")
)</f>
        <v>0</v>
      </c>
      <c r="AU585" s="1">
        <f>value(IFERROR(SUBSTITUTE(SUBSTITUTE(VLOOKUP($A585,'Quarterly Pipeline vs Target Pi'!$A:$AP,37,false)," $","")," €",""), "")
)</f>
        <v>0</v>
      </c>
      <c r="AV585" s="17" t="str">
        <f t="shared" si="17"/>
        <v/>
      </c>
      <c r="AW585" s="1">
        <f>value(IFERROR(SUBSTITUTE(SUBSTITUTE(VLOOKUP($A585,'Quarterly Pipeline vs Target Pi'!$A:$AP,41,false)," $","")," €",""), "")
)</f>
        <v>0</v>
      </c>
      <c r="AX585" s="1">
        <f>value(IFERROR(SUBSTITUTE(SUBSTITUTE(VLOOKUP($A585,'Quarterly Pipeline vs Target Pi'!$A:$AP,42,false)," $","")," €",""), "")
)</f>
        <v>0</v>
      </c>
      <c r="AY585" s="17" t="str">
        <f t="shared" si="18"/>
        <v/>
      </c>
      <c r="AZ585" s="1">
        <f t="shared" ref="AZ585:BA585" si="1184">sum(AN585,AQ585,AT585,AW585)</f>
        <v>0</v>
      </c>
      <c r="BA585" s="1">
        <f t="shared" si="1184"/>
        <v>0</v>
      </c>
      <c r="BB585" s="17" t="str">
        <f t="shared" si="20"/>
        <v/>
      </c>
    </row>
    <row r="586">
      <c r="G586" s="1" t="str">
        <f>iferror(VLOOKUP(A586,'Business Plan Setup and Accepta'!A:G,6,false),"")</f>
        <v/>
      </c>
      <c r="H586" s="1" t="str">
        <f>iferror(VLOOKUP(A586,'Business Plan Setup and Accepta'!A:G,7,false),"")</f>
        <v/>
      </c>
      <c r="I586" s="17"/>
      <c r="J586" s="1" t="str">
        <f>IFERROR(VALUE(SUBSTITUTE(VLOOKUP(A586,'Sales IN Revenues vs Sales targ'!A:G,6,false)," $","")), "")
</f>
        <v/>
      </c>
      <c r="K586" s="1" t="str">
        <f>IFERROR(VALUE(SUBSTITUTE(VLOOKUP(A586,'Sales IN Revenues vs Sales targ'!A:G,7,false)," $","")), "")
</f>
        <v/>
      </c>
      <c r="L586" s="17"/>
      <c r="M586" s="1">
        <f>value(SUBSTITUTE(IFERROR(VLOOKUP(A586,'Certifications achievements vs '!A:G,6,false),""),"#","")
)</f>
        <v>0</v>
      </c>
      <c r="N586" s="1">
        <f>value(SUBSTITUTE(IFERROR(VLOOKUP(A586,'Certifications achievements vs '!A:G,7,false),""),"#","")
)</f>
        <v>0</v>
      </c>
      <c r="O586" s="17"/>
      <c r="P586" s="1">
        <f>value(SUBSTITUTE(IFERROR(VLOOKUP(A586,'Communications - Solution Speci'!A:G,6,false),""),"#","")
)</f>
        <v>0</v>
      </c>
      <c r="Q586" s="1">
        <f>value(SUBSTITUTE(IFERROR(VLOOKUP(A586,'Communications - Solution Speci'!A:G,7,false),""),"#","")
)</f>
        <v>0</v>
      </c>
      <c r="R586" s="17" t="str">
        <f t="shared" si="6"/>
        <v/>
      </c>
      <c r="S586" s="1">
        <f>value(SUBSTITUTE(IFERROR(VLOOKUP(A586,'Networking - Solution Specializ'!A:G,6,false),""),"#","")
)</f>
        <v>0</v>
      </c>
      <c r="T586" s="1">
        <f>value(SUBSTITUTE(IFERROR(VLOOKUP(A586,'Networking - Solution Specializ'!A:G,7,false),""),"#","")
)</f>
        <v>0</v>
      </c>
      <c r="U586" s="17" t="str">
        <f t="shared" si="7"/>
        <v/>
      </c>
      <c r="V586" s="1" t="str">
        <f>iferror(vlookup(A586,'Marketing Plan (extract summary'!A:G,6,false),"")</f>
        <v/>
      </c>
      <c r="W586" s="1" t="str">
        <f>iferror(vlookup(A586,'Marketing Plan (extract summary'!A:G,7,false),"")</f>
        <v/>
      </c>
      <c r="X586" s="17"/>
      <c r="Y586" s="1">
        <f>value(IFERROR(SUBSTITUTE(SUBSTITUTE(VLOOKUP(A586,'Quarterly Pipeline vs Target Pi'!A:G,6,false)," $","")," €",""), "")
)</f>
        <v>0</v>
      </c>
      <c r="Z586" s="1">
        <f>value(IFERROR(SUBSTITUTE(SUBSTITUTE(VLOOKUP(A586,'Quarterly Pipeline vs Target Pi'!A:G,7,false)," $","")," €",""), "")
)</f>
        <v>0</v>
      </c>
      <c r="AA586" s="17" t="str">
        <f t="shared" si="9"/>
        <v/>
      </c>
      <c r="AB586" s="1">
        <f>value(IFERROR(SUBSTITUTE(SUBSTITUTE(VLOOKUP($A586,'Quarterly Pipeline vs Target Pi'!$A:$V,11,false)," $","")," €",""), "")
)</f>
        <v>0</v>
      </c>
      <c r="AC586" s="1">
        <f>value(IFERROR(SUBSTITUTE(SUBSTITUTE(VLOOKUP($A586,'Quarterly Pipeline vs Target Pi'!$A:$V,12,false)," $","")," €",""), "")
)</f>
        <v>0</v>
      </c>
      <c r="AD586" s="17" t="str">
        <f t="shared" si="10"/>
        <v/>
      </c>
      <c r="AE586" s="1">
        <f>value(IFERROR(SUBSTITUTE(SUBSTITUTE(VLOOKUP($A586,'Quarterly Pipeline vs Target Pi'!$A:$V,16,false)," $","")," €",""), "")
)</f>
        <v>0</v>
      </c>
      <c r="AF586" s="1">
        <f>value(IFERROR(SUBSTITUTE(SUBSTITUTE(VLOOKUP($A586,'Quarterly Pipeline vs Target Pi'!$A:$V,17,false)," $","")," €",""), "")
)</f>
        <v>0</v>
      </c>
      <c r="AG586" s="17" t="str">
        <f t="shared" si="11"/>
        <v/>
      </c>
      <c r="AH586" s="1">
        <f>value(IFERROR(SUBSTITUTE(SUBSTITUTE(VLOOKUP($A586,'Quarterly Pipeline vs Target Pi'!$A:$V,21,false)," $","")," €",""), "")
)</f>
        <v>0</v>
      </c>
      <c r="AI586" s="1">
        <f>value(IFERROR(SUBSTITUTE(SUBSTITUTE(VLOOKUP($A586,'Quarterly Pipeline vs Target Pi'!$A:$V,22,false)," $","")," €",""), "")
)</f>
        <v>0</v>
      </c>
      <c r="AJ586" s="17" t="str">
        <f t="shared" si="12"/>
        <v/>
      </c>
      <c r="AK586" s="1">
        <f t="shared" ref="AK586:AL586" si="1185">sum(Y586,AB586,AE586,AH586)</f>
        <v>0</v>
      </c>
      <c r="AL586" s="1">
        <f t="shared" si="1185"/>
        <v>0</v>
      </c>
      <c r="AM586" s="17" t="str">
        <f t="shared" si="14"/>
        <v/>
      </c>
      <c r="AN586" s="1">
        <f>value(IFERROR(SUBSTITUTE(SUBSTITUTE(VLOOKUP($A586,'Quarterly Pipeline vs Target Pi'!$A:$AP,26,false)," $","")," €",""), "")
)</f>
        <v>0</v>
      </c>
      <c r="AO586" s="1">
        <f>value(IFERROR(SUBSTITUTE(SUBSTITUTE(VLOOKUP($A586,'Quarterly Pipeline vs Target Pi'!$A:$AP,27,false)," $","")," €",""), "")
)</f>
        <v>0</v>
      </c>
      <c r="AP586" s="17" t="str">
        <f t="shared" si="15"/>
        <v/>
      </c>
      <c r="AQ586" s="1">
        <f>value(IFERROR(SUBSTITUTE(SUBSTITUTE(VLOOKUP($A586,'Quarterly Pipeline vs Target Pi'!$A:$AP,31,false)," $","")," €",""), "")
)</f>
        <v>0</v>
      </c>
      <c r="AR586" s="1">
        <f>value(IFERROR(SUBSTITUTE(SUBSTITUTE(VLOOKUP($A586,'Quarterly Pipeline vs Target Pi'!$A:$AP,32,false)," $","")," €",""), "")
)</f>
        <v>0</v>
      </c>
      <c r="AS586" s="17" t="str">
        <f t="shared" si="16"/>
        <v/>
      </c>
      <c r="AT586" s="1">
        <f>value(IFERROR(SUBSTITUTE(SUBSTITUTE(VLOOKUP($A586,'Quarterly Pipeline vs Target Pi'!$A:$AP,36,false)," $","")," €",""), "")
)</f>
        <v>0</v>
      </c>
      <c r="AU586" s="1">
        <f>value(IFERROR(SUBSTITUTE(SUBSTITUTE(VLOOKUP($A586,'Quarterly Pipeline vs Target Pi'!$A:$AP,37,false)," $","")," €",""), "")
)</f>
        <v>0</v>
      </c>
      <c r="AV586" s="17" t="str">
        <f t="shared" si="17"/>
        <v/>
      </c>
      <c r="AW586" s="1">
        <f>value(IFERROR(SUBSTITUTE(SUBSTITUTE(VLOOKUP($A586,'Quarterly Pipeline vs Target Pi'!$A:$AP,41,false)," $","")," €",""), "")
)</f>
        <v>0</v>
      </c>
      <c r="AX586" s="1">
        <f>value(IFERROR(SUBSTITUTE(SUBSTITUTE(VLOOKUP($A586,'Quarterly Pipeline vs Target Pi'!$A:$AP,42,false)," $","")," €",""), "")
)</f>
        <v>0</v>
      </c>
      <c r="AY586" s="17" t="str">
        <f t="shared" si="18"/>
        <v/>
      </c>
      <c r="AZ586" s="1">
        <f t="shared" ref="AZ586:BA586" si="1186">sum(AN586,AQ586,AT586,AW586)</f>
        <v>0</v>
      </c>
      <c r="BA586" s="1">
        <f t="shared" si="1186"/>
        <v>0</v>
      </c>
      <c r="BB586" s="17" t="str">
        <f t="shared" si="20"/>
        <v/>
      </c>
    </row>
    <row r="587">
      <c r="G587" s="1" t="str">
        <f>iferror(VLOOKUP(A587,'Business Plan Setup and Accepta'!A:G,6,false),"")</f>
        <v/>
      </c>
      <c r="H587" s="1" t="str">
        <f>iferror(VLOOKUP(A587,'Business Plan Setup and Accepta'!A:G,7,false),"")</f>
        <v/>
      </c>
      <c r="I587" s="17"/>
      <c r="J587" s="1" t="str">
        <f>IFERROR(VALUE(SUBSTITUTE(VLOOKUP(A587,'Sales IN Revenues vs Sales targ'!A:G,6,false)," $","")), "")
</f>
        <v/>
      </c>
      <c r="K587" s="1" t="str">
        <f>IFERROR(VALUE(SUBSTITUTE(VLOOKUP(A587,'Sales IN Revenues vs Sales targ'!A:G,7,false)," $","")), "")
</f>
        <v/>
      </c>
      <c r="L587" s="17"/>
      <c r="M587" s="1">
        <f>value(SUBSTITUTE(IFERROR(VLOOKUP(A587,'Certifications achievements vs '!A:G,6,false),""),"#","")
)</f>
        <v>0</v>
      </c>
      <c r="N587" s="1">
        <f>value(SUBSTITUTE(IFERROR(VLOOKUP(A587,'Certifications achievements vs '!A:G,7,false),""),"#","")
)</f>
        <v>0</v>
      </c>
      <c r="O587" s="17"/>
      <c r="P587" s="1">
        <f>value(SUBSTITUTE(IFERROR(VLOOKUP(A587,'Communications - Solution Speci'!A:G,6,false),""),"#","")
)</f>
        <v>0</v>
      </c>
      <c r="Q587" s="1">
        <f>value(SUBSTITUTE(IFERROR(VLOOKUP(A587,'Communications - Solution Speci'!A:G,7,false),""),"#","")
)</f>
        <v>0</v>
      </c>
      <c r="R587" s="17" t="str">
        <f t="shared" si="6"/>
        <v/>
      </c>
      <c r="S587" s="1">
        <f>value(SUBSTITUTE(IFERROR(VLOOKUP(A587,'Networking - Solution Specializ'!A:G,6,false),""),"#","")
)</f>
        <v>0</v>
      </c>
      <c r="T587" s="1">
        <f>value(SUBSTITUTE(IFERROR(VLOOKUP(A587,'Networking - Solution Specializ'!A:G,7,false),""),"#","")
)</f>
        <v>0</v>
      </c>
      <c r="U587" s="17" t="str">
        <f t="shared" si="7"/>
        <v/>
      </c>
      <c r="V587" s="1" t="str">
        <f>iferror(vlookup(A587,'Marketing Plan (extract summary'!A:G,6,false),"")</f>
        <v/>
      </c>
      <c r="W587" s="1" t="str">
        <f>iferror(vlookup(A587,'Marketing Plan (extract summary'!A:G,7,false),"")</f>
        <v/>
      </c>
      <c r="X587" s="17"/>
      <c r="Y587" s="1">
        <f>value(IFERROR(SUBSTITUTE(SUBSTITUTE(VLOOKUP(A587,'Quarterly Pipeline vs Target Pi'!A:G,6,false)," $","")," €",""), "")
)</f>
        <v>0</v>
      </c>
      <c r="Z587" s="1">
        <f>value(IFERROR(SUBSTITUTE(SUBSTITUTE(VLOOKUP(A587,'Quarterly Pipeline vs Target Pi'!A:G,7,false)," $","")," €",""), "")
)</f>
        <v>0</v>
      </c>
      <c r="AA587" s="17" t="str">
        <f t="shared" si="9"/>
        <v/>
      </c>
      <c r="AB587" s="1">
        <f>value(IFERROR(SUBSTITUTE(SUBSTITUTE(VLOOKUP($A587,'Quarterly Pipeline vs Target Pi'!$A:$V,11,false)," $","")," €",""), "")
)</f>
        <v>0</v>
      </c>
      <c r="AC587" s="1">
        <f>value(IFERROR(SUBSTITUTE(SUBSTITUTE(VLOOKUP($A587,'Quarterly Pipeline vs Target Pi'!$A:$V,12,false)," $","")," €",""), "")
)</f>
        <v>0</v>
      </c>
      <c r="AD587" s="17" t="str">
        <f t="shared" si="10"/>
        <v/>
      </c>
      <c r="AE587" s="1">
        <f>value(IFERROR(SUBSTITUTE(SUBSTITUTE(VLOOKUP($A587,'Quarterly Pipeline vs Target Pi'!$A:$V,16,false)," $","")," €",""), "")
)</f>
        <v>0</v>
      </c>
      <c r="AF587" s="1">
        <f>value(IFERROR(SUBSTITUTE(SUBSTITUTE(VLOOKUP($A587,'Quarterly Pipeline vs Target Pi'!$A:$V,17,false)," $","")," €",""), "")
)</f>
        <v>0</v>
      </c>
      <c r="AG587" s="17" t="str">
        <f t="shared" si="11"/>
        <v/>
      </c>
      <c r="AH587" s="1">
        <f>value(IFERROR(SUBSTITUTE(SUBSTITUTE(VLOOKUP($A587,'Quarterly Pipeline vs Target Pi'!$A:$V,21,false)," $","")," €",""), "")
)</f>
        <v>0</v>
      </c>
      <c r="AI587" s="1">
        <f>value(IFERROR(SUBSTITUTE(SUBSTITUTE(VLOOKUP($A587,'Quarterly Pipeline vs Target Pi'!$A:$V,22,false)," $","")," €",""), "")
)</f>
        <v>0</v>
      </c>
      <c r="AJ587" s="17" t="str">
        <f t="shared" si="12"/>
        <v/>
      </c>
      <c r="AK587" s="1">
        <f t="shared" ref="AK587:AL587" si="1187">sum(Y587,AB587,AE587,AH587)</f>
        <v>0</v>
      </c>
      <c r="AL587" s="1">
        <f t="shared" si="1187"/>
        <v>0</v>
      </c>
      <c r="AM587" s="17" t="str">
        <f t="shared" si="14"/>
        <v/>
      </c>
      <c r="AN587" s="1">
        <f>value(IFERROR(SUBSTITUTE(SUBSTITUTE(VLOOKUP($A587,'Quarterly Pipeline vs Target Pi'!$A:$AP,26,false)," $","")," €",""), "")
)</f>
        <v>0</v>
      </c>
      <c r="AO587" s="1">
        <f>value(IFERROR(SUBSTITUTE(SUBSTITUTE(VLOOKUP($A587,'Quarterly Pipeline vs Target Pi'!$A:$AP,27,false)," $","")," €",""), "")
)</f>
        <v>0</v>
      </c>
      <c r="AP587" s="17" t="str">
        <f t="shared" si="15"/>
        <v/>
      </c>
      <c r="AQ587" s="1">
        <f>value(IFERROR(SUBSTITUTE(SUBSTITUTE(VLOOKUP($A587,'Quarterly Pipeline vs Target Pi'!$A:$AP,31,false)," $","")," €",""), "")
)</f>
        <v>0</v>
      </c>
      <c r="AR587" s="1">
        <f>value(IFERROR(SUBSTITUTE(SUBSTITUTE(VLOOKUP($A587,'Quarterly Pipeline vs Target Pi'!$A:$AP,32,false)," $","")," €",""), "")
)</f>
        <v>0</v>
      </c>
      <c r="AS587" s="17" t="str">
        <f t="shared" si="16"/>
        <v/>
      </c>
      <c r="AT587" s="1">
        <f>value(IFERROR(SUBSTITUTE(SUBSTITUTE(VLOOKUP($A587,'Quarterly Pipeline vs Target Pi'!$A:$AP,36,false)," $","")," €",""), "")
)</f>
        <v>0</v>
      </c>
      <c r="AU587" s="1">
        <f>value(IFERROR(SUBSTITUTE(SUBSTITUTE(VLOOKUP($A587,'Quarterly Pipeline vs Target Pi'!$A:$AP,37,false)," $","")," €",""), "")
)</f>
        <v>0</v>
      </c>
      <c r="AV587" s="17" t="str">
        <f t="shared" si="17"/>
        <v/>
      </c>
      <c r="AW587" s="1">
        <f>value(IFERROR(SUBSTITUTE(SUBSTITUTE(VLOOKUP($A587,'Quarterly Pipeline vs Target Pi'!$A:$AP,41,false)," $","")," €",""), "")
)</f>
        <v>0</v>
      </c>
      <c r="AX587" s="1">
        <f>value(IFERROR(SUBSTITUTE(SUBSTITUTE(VLOOKUP($A587,'Quarterly Pipeline vs Target Pi'!$A:$AP,42,false)," $","")," €",""), "")
)</f>
        <v>0</v>
      </c>
      <c r="AY587" s="17" t="str">
        <f t="shared" si="18"/>
        <v/>
      </c>
      <c r="AZ587" s="1">
        <f t="shared" ref="AZ587:BA587" si="1188">sum(AN587,AQ587,AT587,AW587)</f>
        <v>0</v>
      </c>
      <c r="BA587" s="1">
        <f t="shared" si="1188"/>
        <v>0</v>
      </c>
      <c r="BB587" s="17" t="str">
        <f t="shared" si="20"/>
        <v/>
      </c>
    </row>
    <row r="588">
      <c r="G588" s="1" t="str">
        <f>iferror(VLOOKUP(A588,'Business Plan Setup and Accepta'!A:G,6,false),"")</f>
        <v/>
      </c>
      <c r="H588" s="1" t="str">
        <f>iferror(VLOOKUP(A588,'Business Plan Setup and Accepta'!A:G,7,false),"")</f>
        <v/>
      </c>
      <c r="I588" s="17"/>
      <c r="J588" s="1" t="str">
        <f>IFERROR(VALUE(SUBSTITUTE(VLOOKUP(A588,'Sales IN Revenues vs Sales targ'!A:G,6,false)," $","")), "")
</f>
        <v/>
      </c>
      <c r="K588" s="1" t="str">
        <f>IFERROR(VALUE(SUBSTITUTE(VLOOKUP(A588,'Sales IN Revenues vs Sales targ'!A:G,7,false)," $","")), "")
</f>
        <v/>
      </c>
      <c r="L588" s="17"/>
      <c r="M588" s="1">
        <f>value(SUBSTITUTE(IFERROR(VLOOKUP(A588,'Certifications achievements vs '!A:G,6,false),""),"#","")
)</f>
        <v>0</v>
      </c>
      <c r="N588" s="1">
        <f>value(SUBSTITUTE(IFERROR(VLOOKUP(A588,'Certifications achievements vs '!A:G,7,false),""),"#","")
)</f>
        <v>0</v>
      </c>
      <c r="O588" s="17"/>
      <c r="P588" s="1">
        <f>value(SUBSTITUTE(IFERROR(VLOOKUP(A588,'Communications - Solution Speci'!A:G,6,false),""),"#","")
)</f>
        <v>0</v>
      </c>
      <c r="Q588" s="1">
        <f>value(SUBSTITUTE(IFERROR(VLOOKUP(A588,'Communications - Solution Speci'!A:G,7,false),""),"#","")
)</f>
        <v>0</v>
      </c>
      <c r="R588" s="17" t="str">
        <f t="shared" si="6"/>
        <v/>
      </c>
      <c r="S588" s="1">
        <f>value(SUBSTITUTE(IFERROR(VLOOKUP(A588,'Networking - Solution Specializ'!A:G,6,false),""),"#","")
)</f>
        <v>0</v>
      </c>
      <c r="T588" s="1">
        <f>value(SUBSTITUTE(IFERROR(VLOOKUP(A588,'Networking - Solution Specializ'!A:G,7,false),""),"#","")
)</f>
        <v>0</v>
      </c>
      <c r="U588" s="17" t="str">
        <f t="shared" si="7"/>
        <v/>
      </c>
      <c r="V588" s="1" t="str">
        <f>iferror(vlookup(A588,'Marketing Plan (extract summary'!A:G,6,false),"")</f>
        <v/>
      </c>
      <c r="W588" s="1" t="str">
        <f>iferror(vlookup(A588,'Marketing Plan (extract summary'!A:G,7,false),"")</f>
        <v/>
      </c>
      <c r="X588" s="17"/>
      <c r="Y588" s="1">
        <f>value(IFERROR(SUBSTITUTE(SUBSTITUTE(VLOOKUP(A588,'Quarterly Pipeline vs Target Pi'!A:G,6,false)," $","")," €",""), "")
)</f>
        <v>0</v>
      </c>
      <c r="Z588" s="1">
        <f>value(IFERROR(SUBSTITUTE(SUBSTITUTE(VLOOKUP(A588,'Quarterly Pipeline vs Target Pi'!A:G,7,false)," $","")," €",""), "")
)</f>
        <v>0</v>
      </c>
      <c r="AA588" s="17" t="str">
        <f t="shared" si="9"/>
        <v/>
      </c>
      <c r="AB588" s="1">
        <f>value(IFERROR(SUBSTITUTE(SUBSTITUTE(VLOOKUP($A588,'Quarterly Pipeline vs Target Pi'!$A:$V,11,false)," $","")," €",""), "")
)</f>
        <v>0</v>
      </c>
      <c r="AC588" s="1">
        <f>value(IFERROR(SUBSTITUTE(SUBSTITUTE(VLOOKUP($A588,'Quarterly Pipeline vs Target Pi'!$A:$V,12,false)," $","")," €",""), "")
)</f>
        <v>0</v>
      </c>
      <c r="AD588" s="17" t="str">
        <f t="shared" si="10"/>
        <v/>
      </c>
      <c r="AE588" s="1">
        <f>value(IFERROR(SUBSTITUTE(SUBSTITUTE(VLOOKUP($A588,'Quarterly Pipeline vs Target Pi'!$A:$V,16,false)," $","")," €",""), "")
)</f>
        <v>0</v>
      </c>
      <c r="AF588" s="1">
        <f>value(IFERROR(SUBSTITUTE(SUBSTITUTE(VLOOKUP($A588,'Quarterly Pipeline vs Target Pi'!$A:$V,17,false)," $","")," €",""), "")
)</f>
        <v>0</v>
      </c>
      <c r="AG588" s="17" t="str">
        <f t="shared" si="11"/>
        <v/>
      </c>
      <c r="AH588" s="1">
        <f>value(IFERROR(SUBSTITUTE(SUBSTITUTE(VLOOKUP($A588,'Quarterly Pipeline vs Target Pi'!$A:$V,21,false)," $","")," €",""), "")
)</f>
        <v>0</v>
      </c>
      <c r="AI588" s="1">
        <f>value(IFERROR(SUBSTITUTE(SUBSTITUTE(VLOOKUP($A588,'Quarterly Pipeline vs Target Pi'!$A:$V,22,false)," $","")," €",""), "")
)</f>
        <v>0</v>
      </c>
      <c r="AJ588" s="17" t="str">
        <f t="shared" si="12"/>
        <v/>
      </c>
      <c r="AK588" s="1">
        <f t="shared" ref="AK588:AL588" si="1189">sum(Y588,AB588,AE588,AH588)</f>
        <v>0</v>
      </c>
      <c r="AL588" s="1">
        <f t="shared" si="1189"/>
        <v>0</v>
      </c>
      <c r="AM588" s="17" t="str">
        <f t="shared" si="14"/>
        <v/>
      </c>
      <c r="AN588" s="1">
        <f>value(IFERROR(SUBSTITUTE(SUBSTITUTE(VLOOKUP($A588,'Quarterly Pipeline vs Target Pi'!$A:$AP,26,false)," $","")," €",""), "")
)</f>
        <v>0</v>
      </c>
      <c r="AO588" s="1">
        <f>value(IFERROR(SUBSTITUTE(SUBSTITUTE(VLOOKUP($A588,'Quarterly Pipeline vs Target Pi'!$A:$AP,27,false)," $","")," €",""), "")
)</f>
        <v>0</v>
      </c>
      <c r="AP588" s="17" t="str">
        <f t="shared" si="15"/>
        <v/>
      </c>
      <c r="AQ588" s="1">
        <f>value(IFERROR(SUBSTITUTE(SUBSTITUTE(VLOOKUP($A588,'Quarterly Pipeline vs Target Pi'!$A:$AP,31,false)," $","")," €",""), "")
)</f>
        <v>0</v>
      </c>
      <c r="AR588" s="1">
        <f>value(IFERROR(SUBSTITUTE(SUBSTITUTE(VLOOKUP($A588,'Quarterly Pipeline vs Target Pi'!$A:$AP,32,false)," $","")," €",""), "")
)</f>
        <v>0</v>
      </c>
      <c r="AS588" s="17" t="str">
        <f t="shared" si="16"/>
        <v/>
      </c>
      <c r="AT588" s="1">
        <f>value(IFERROR(SUBSTITUTE(SUBSTITUTE(VLOOKUP($A588,'Quarterly Pipeline vs Target Pi'!$A:$AP,36,false)," $","")," €",""), "")
)</f>
        <v>0</v>
      </c>
      <c r="AU588" s="1">
        <f>value(IFERROR(SUBSTITUTE(SUBSTITUTE(VLOOKUP($A588,'Quarterly Pipeline vs Target Pi'!$A:$AP,37,false)," $","")," €",""), "")
)</f>
        <v>0</v>
      </c>
      <c r="AV588" s="17" t="str">
        <f t="shared" si="17"/>
        <v/>
      </c>
      <c r="AW588" s="1">
        <f>value(IFERROR(SUBSTITUTE(SUBSTITUTE(VLOOKUP($A588,'Quarterly Pipeline vs Target Pi'!$A:$AP,41,false)," $","")," €",""), "")
)</f>
        <v>0</v>
      </c>
      <c r="AX588" s="1">
        <f>value(IFERROR(SUBSTITUTE(SUBSTITUTE(VLOOKUP($A588,'Quarterly Pipeline vs Target Pi'!$A:$AP,42,false)," $","")," €",""), "")
)</f>
        <v>0</v>
      </c>
      <c r="AY588" s="17" t="str">
        <f t="shared" si="18"/>
        <v/>
      </c>
      <c r="AZ588" s="1">
        <f t="shared" ref="AZ588:BA588" si="1190">sum(AN588,AQ588,AT588,AW588)</f>
        <v>0</v>
      </c>
      <c r="BA588" s="1">
        <f t="shared" si="1190"/>
        <v>0</v>
      </c>
      <c r="BB588" s="17" t="str">
        <f t="shared" si="20"/>
        <v/>
      </c>
    </row>
    <row r="589">
      <c r="G589" s="1" t="str">
        <f>iferror(VLOOKUP(A589,'Business Plan Setup and Accepta'!A:G,6,false),"")</f>
        <v/>
      </c>
      <c r="H589" s="1" t="str">
        <f>iferror(VLOOKUP(A589,'Business Plan Setup and Accepta'!A:G,7,false),"")</f>
        <v/>
      </c>
      <c r="I589" s="17"/>
      <c r="J589" s="1" t="str">
        <f>IFERROR(VALUE(SUBSTITUTE(VLOOKUP(A589,'Sales IN Revenues vs Sales targ'!A:G,6,false)," $","")), "")
</f>
        <v/>
      </c>
      <c r="K589" s="1" t="str">
        <f>IFERROR(VALUE(SUBSTITUTE(VLOOKUP(A589,'Sales IN Revenues vs Sales targ'!A:G,7,false)," $","")), "")
</f>
        <v/>
      </c>
      <c r="L589" s="17"/>
      <c r="M589" s="1">
        <f>value(SUBSTITUTE(IFERROR(VLOOKUP(A589,'Certifications achievements vs '!A:G,6,false),""),"#","")
)</f>
        <v>0</v>
      </c>
      <c r="N589" s="1">
        <f>value(SUBSTITUTE(IFERROR(VLOOKUP(A589,'Certifications achievements vs '!A:G,7,false),""),"#","")
)</f>
        <v>0</v>
      </c>
      <c r="O589" s="17"/>
      <c r="P589" s="1">
        <f>value(SUBSTITUTE(IFERROR(VLOOKUP(A589,'Communications - Solution Speci'!A:G,6,false),""),"#","")
)</f>
        <v>0</v>
      </c>
      <c r="Q589" s="1">
        <f>value(SUBSTITUTE(IFERROR(VLOOKUP(A589,'Communications - Solution Speci'!A:G,7,false),""),"#","")
)</f>
        <v>0</v>
      </c>
      <c r="R589" s="17" t="str">
        <f t="shared" si="6"/>
        <v/>
      </c>
      <c r="S589" s="1">
        <f>value(SUBSTITUTE(IFERROR(VLOOKUP(A589,'Networking - Solution Specializ'!A:G,6,false),""),"#","")
)</f>
        <v>0</v>
      </c>
      <c r="T589" s="1">
        <f>value(SUBSTITUTE(IFERROR(VLOOKUP(A589,'Networking - Solution Specializ'!A:G,7,false),""),"#","")
)</f>
        <v>0</v>
      </c>
      <c r="U589" s="17" t="str">
        <f t="shared" si="7"/>
        <v/>
      </c>
      <c r="V589" s="1" t="str">
        <f>iferror(vlookup(A589,'Marketing Plan (extract summary'!A:G,6,false),"")</f>
        <v/>
      </c>
      <c r="W589" s="1" t="str">
        <f>iferror(vlookup(A589,'Marketing Plan (extract summary'!A:G,7,false),"")</f>
        <v/>
      </c>
      <c r="X589" s="17"/>
      <c r="Y589" s="1">
        <f>value(IFERROR(SUBSTITUTE(SUBSTITUTE(VLOOKUP(A589,'Quarterly Pipeline vs Target Pi'!A:G,6,false)," $","")," €",""), "")
)</f>
        <v>0</v>
      </c>
      <c r="Z589" s="1">
        <f>value(IFERROR(SUBSTITUTE(SUBSTITUTE(VLOOKUP(A589,'Quarterly Pipeline vs Target Pi'!A:G,7,false)," $","")," €",""), "")
)</f>
        <v>0</v>
      </c>
      <c r="AA589" s="17" t="str">
        <f t="shared" si="9"/>
        <v/>
      </c>
      <c r="AB589" s="1">
        <f>value(IFERROR(SUBSTITUTE(SUBSTITUTE(VLOOKUP($A589,'Quarterly Pipeline vs Target Pi'!$A:$V,11,false)," $","")," €",""), "")
)</f>
        <v>0</v>
      </c>
      <c r="AC589" s="1">
        <f>value(IFERROR(SUBSTITUTE(SUBSTITUTE(VLOOKUP($A589,'Quarterly Pipeline vs Target Pi'!$A:$V,12,false)," $","")," €",""), "")
)</f>
        <v>0</v>
      </c>
      <c r="AD589" s="17" t="str">
        <f t="shared" si="10"/>
        <v/>
      </c>
      <c r="AE589" s="1">
        <f>value(IFERROR(SUBSTITUTE(SUBSTITUTE(VLOOKUP($A589,'Quarterly Pipeline vs Target Pi'!$A:$V,16,false)," $","")," €",""), "")
)</f>
        <v>0</v>
      </c>
      <c r="AF589" s="1">
        <f>value(IFERROR(SUBSTITUTE(SUBSTITUTE(VLOOKUP($A589,'Quarterly Pipeline vs Target Pi'!$A:$V,17,false)," $","")," €",""), "")
)</f>
        <v>0</v>
      </c>
      <c r="AG589" s="17" t="str">
        <f t="shared" si="11"/>
        <v/>
      </c>
      <c r="AH589" s="1">
        <f>value(IFERROR(SUBSTITUTE(SUBSTITUTE(VLOOKUP($A589,'Quarterly Pipeline vs Target Pi'!$A:$V,21,false)," $","")," €",""), "")
)</f>
        <v>0</v>
      </c>
      <c r="AI589" s="1">
        <f>value(IFERROR(SUBSTITUTE(SUBSTITUTE(VLOOKUP($A589,'Quarterly Pipeline vs Target Pi'!$A:$V,22,false)," $","")," €",""), "")
)</f>
        <v>0</v>
      </c>
      <c r="AJ589" s="17" t="str">
        <f t="shared" si="12"/>
        <v/>
      </c>
      <c r="AK589" s="1">
        <f t="shared" ref="AK589:AL589" si="1191">sum(Y589,AB589,AE589,AH589)</f>
        <v>0</v>
      </c>
      <c r="AL589" s="1">
        <f t="shared" si="1191"/>
        <v>0</v>
      </c>
      <c r="AM589" s="17" t="str">
        <f t="shared" si="14"/>
        <v/>
      </c>
      <c r="AN589" s="1">
        <f>value(IFERROR(SUBSTITUTE(SUBSTITUTE(VLOOKUP($A589,'Quarterly Pipeline vs Target Pi'!$A:$AP,26,false)," $","")," €",""), "")
)</f>
        <v>0</v>
      </c>
      <c r="AO589" s="1">
        <f>value(IFERROR(SUBSTITUTE(SUBSTITUTE(VLOOKUP($A589,'Quarterly Pipeline vs Target Pi'!$A:$AP,27,false)," $","")," €",""), "")
)</f>
        <v>0</v>
      </c>
      <c r="AP589" s="17" t="str">
        <f t="shared" si="15"/>
        <v/>
      </c>
      <c r="AQ589" s="1">
        <f>value(IFERROR(SUBSTITUTE(SUBSTITUTE(VLOOKUP($A589,'Quarterly Pipeline vs Target Pi'!$A:$AP,31,false)," $","")," €",""), "")
)</f>
        <v>0</v>
      </c>
      <c r="AR589" s="1">
        <f>value(IFERROR(SUBSTITUTE(SUBSTITUTE(VLOOKUP($A589,'Quarterly Pipeline vs Target Pi'!$A:$AP,32,false)," $","")," €",""), "")
)</f>
        <v>0</v>
      </c>
      <c r="AS589" s="17" t="str">
        <f t="shared" si="16"/>
        <v/>
      </c>
      <c r="AT589" s="1">
        <f>value(IFERROR(SUBSTITUTE(SUBSTITUTE(VLOOKUP($A589,'Quarterly Pipeline vs Target Pi'!$A:$AP,36,false)," $","")," €",""), "")
)</f>
        <v>0</v>
      </c>
      <c r="AU589" s="1">
        <f>value(IFERROR(SUBSTITUTE(SUBSTITUTE(VLOOKUP($A589,'Quarterly Pipeline vs Target Pi'!$A:$AP,37,false)," $","")," €",""), "")
)</f>
        <v>0</v>
      </c>
      <c r="AV589" s="17" t="str">
        <f t="shared" si="17"/>
        <v/>
      </c>
      <c r="AW589" s="1">
        <f>value(IFERROR(SUBSTITUTE(SUBSTITUTE(VLOOKUP($A589,'Quarterly Pipeline vs Target Pi'!$A:$AP,41,false)," $","")," €",""), "")
)</f>
        <v>0</v>
      </c>
      <c r="AX589" s="1">
        <f>value(IFERROR(SUBSTITUTE(SUBSTITUTE(VLOOKUP($A589,'Quarterly Pipeline vs Target Pi'!$A:$AP,42,false)," $","")," €",""), "")
)</f>
        <v>0</v>
      </c>
      <c r="AY589" s="17" t="str">
        <f t="shared" si="18"/>
        <v/>
      </c>
      <c r="AZ589" s="1">
        <f t="shared" ref="AZ589:BA589" si="1192">sum(AN589,AQ589,AT589,AW589)</f>
        <v>0</v>
      </c>
      <c r="BA589" s="1">
        <f t="shared" si="1192"/>
        <v>0</v>
      </c>
      <c r="BB589" s="17" t="str">
        <f t="shared" si="20"/>
        <v/>
      </c>
    </row>
    <row r="590">
      <c r="G590" s="1" t="str">
        <f>iferror(VLOOKUP(A590,'Business Plan Setup and Accepta'!A:G,6,false),"")</f>
        <v/>
      </c>
      <c r="H590" s="1" t="str">
        <f>iferror(VLOOKUP(A590,'Business Plan Setup and Accepta'!A:G,7,false),"")</f>
        <v/>
      </c>
      <c r="I590" s="17"/>
      <c r="J590" s="1" t="str">
        <f>IFERROR(VALUE(SUBSTITUTE(VLOOKUP(A590,'Sales IN Revenues vs Sales targ'!A:G,6,false)," $","")), "")
</f>
        <v/>
      </c>
      <c r="K590" s="1" t="str">
        <f>IFERROR(VALUE(SUBSTITUTE(VLOOKUP(A590,'Sales IN Revenues vs Sales targ'!A:G,7,false)," $","")), "")
</f>
        <v/>
      </c>
      <c r="L590" s="17"/>
      <c r="M590" s="1">
        <f>value(SUBSTITUTE(IFERROR(VLOOKUP(A590,'Certifications achievements vs '!A:G,6,false),""),"#","")
)</f>
        <v>0</v>
      </c>
      <c r="N590" s="1">
        <f>value(SUBSTITUTE(IFERROR(VLOOKUP(A590,'Certifications achievements vs '!A:G,7,false),""),"#","")
)</f>
        <v>0</v>
      </c>
      <c r="O590" s="17"/>
      <c r="P590" s="1">
        <f>value(SUBSTITUTE(IFERROR(VLOOKUP(A590,'Communications - Solution Speci'!A:G,6,false),""),"#","")
)</f>
        <v>0</v>
      </c>
      <c r="Q590" s="1">
        <f>value(SUBSTITUTE(IFERROR(VLOOKUP(A590,'Communications - Solution Speci'!A:G,7,false),""),"#","")
)</f>
        <v>0</v>
      </c>
      <c r="R590" s="17" t="str">
        <f t="shared" si="6"/>
        <v/>
      </c>
      <c r="S590" s="1">
        <f>value(SUBSTITUTE(IFERROR(VLOOKUP(A590,'Networking - Solution Specializ'!A:G,6,false),""),"#","")
)</f>
        <v>0</v>
      </c>
      <c r="T590" s="1">
        <f>value(SUBSTITUTE(IFERROR(VLOOKUP(A590,'Networking - Solution Specializ'!A:G,7,false),""),"#","")
)</f>
        <v>0</v>
      </c>
      <c r="U590" s="17" t="str">
        <f t="shared" si="7"/>
        <v/>
      </c>
      <c r="V590" s="1" t="str">
        <f>iferror(vlookup(A590,'Marketing Plan (extract summary'!A:G,6,false),"")</f>
        <v/>
      </c>
      <c r="W590" s="1" t="str">
        <f>iferror(vlookup(A590,'Marketing Plan (extract summary'!A:G,7,false),"")</f>
        <v/>
      </c>
      <c r="X590" s="17"/>
      <c r="Y590" s="1">
        <f>value(IFERROR(SUBSTITUTE(SUBSTITUTE(VLOOKUP(A590,'Quarterly Pipeline vs Target Pi'!A:G,6,false)," $","")," €",""), "")
)</f>
        <v>0</v>
      </c>
      <c r="Z590" s="1">
        <f>value(IFERROR(SUBSTITUTE(SUBSTITUTE(VLOOKUP(A590,'Quarterly Pipeline vs Target Pi'!A:G,7,false)," $","")," €",""), "")
)</f>
        <v>0</v>
      </c>
      <c r="AA590" s="17" t="str">
        <f t="shared" si="9"/>
        <v/>
      </c>
      <c r="AB590" s="1">
        <f>value(IFERROR(SUBSTITUTE(SUBSTITUTE(VLOOKUP($A590,'Quarterly Pipeline vs Target Pi'!$A:$V,11,false)," $","")," €",""), "")
)</f>
        <v>0</v>
      </c>
      <c r="AC590" s="1">
        <f>value(IFERROR(SUBSTITUTE(SUBSTITUTE(VLOOKUP($A590,'Quarterly Pipeline vs Target Pi'!$A:$V,12,false)," $","")," €",""), "")
)</f>
        <v>0</v>
      </c>
      <c r="AD590" s="17" t="str">
        <f t="shared" si="10"/>
        <v/>
      </c>
      <c r="AE590" s="1">
        <f>value(IFERROR(SUBSTITUTE(SUBSTITUTE(VLOOKUP($A590,'Quarterly Pipeline vs Target Pi'!$A:$V,16,false)," $","")," €",""), "")
)</f>
        <v>0</v>
      </c>
      <c r="AF590" s="1">
        <f>value(IFERROR(SUBSTITUTE(SUBSTITUTE(VLOOKUP($A590,'Quarterly Pipeline vs Target Pi'!$A:$V,17,false)," $","")," €",""), "")
)</f>
        <v>0</v>
      </c>
      <c r="AG590" s="17" t="str">
        <f t="shared" si="11"/>
        <v/>
      </c>
      <c r="AH590" s="1">
        <f>value(IFERROR(SUBSTITUTE(SUBSTITUTE(VLOOKUP($A590,'Quarterly Pipeline vs Target Pi'!$A:$V,21,false)," $","")," €",""), "")
)</f>
        <v>0</v>
      </c>
      <c r="AI590" s="1">
        <f>value(IFERROR(SUBSTITUTE(SUBSTITUTE(VLOOKUP($A590,'Quarterly Pipeline vs Target Pi'!$A:$V,22,false)," $","")," €",""), "")
)</f>
        <v>0</v>
      </c>
      <c r="AJ590" s="17" t="str">
        <f t="shared" si="12"/>
        <v/>
      </c>
      <c r="AK590" s="1">
        <f t="shared" ref="AK590:AL590" si="1193">sum(Y590,AB590,AE590,AH590)</f>
        <v>0</v>
      </c>
      <c r="AL590" s="1">
        <f t="shared" si="1193"/>
        <v>0</v>
      </c>
      <c r="AM590" s="17" t="str">
        <f t="shared" si="14"/>
        <v/>
      </c>
      <c r="AN590" s="1">
        <f>value(IFERROR(SUBSTITUTE(SUBSTITUTE(VLOOKUP($A590,'Quarterly Pipeline vs Target Pi'!$A:$AP,26,false)," $","")," €",""), "")
)</f>
        <v>0</v>
      </c>
      <c r="AO590" s="1">
        <f>value(IFERROR(SUBSTITUTE(SUBSTITUTE(VLOOKUP($A590,'Quarterly Pipeline vs Target Pi'!$A:$AP,27,false)," $","")," €",""), "")
)</f>
        <v>0</v>
      </c>
      <c r="AP590" s="17" t="str">
        <f t="shared" si="15"/>
        <v/>
      </c>
      <c r="AQ590" s="1">
        <f>value(IFERROR(SUBSTITUTE(SUBSTITUTE(VLOOKUP($A590,'Quarterly Pipeline vs Target Pi'!$A:$AP,31,false)," $","")," €",""), "")
)</f>
        <v>0</v>
      </c>
      <c r="AR590" s="1">
        <f>value(IFERROR(SUBSTITUTE(SUBSTITUTE(VLOOKUP($A590,'Quarterly Pipeline vs Target Pi'!$A:$AP,32,false)," $","")," €",""), "")
)</f>
        <v>0</v>
      </c>
      <c r="AS590" s="17" t="str">
        <f t="shared" si="16"/>
        <v/>
      </c>
      <c r="AT590" s="1">
        <f>value(IFERROR(SUBSTITUTE(SUBSTITUTE(VLOOKUP($A590,'Quarterly Pipeline vs Target Pi'!$A:$AP,36,false)," $","")," €",""), "")
)</f>
        <v>0</v>
      </c>
      <c r="AU590" s="1">
        <f>value(IFERROR(SUBSTITUTE(SUBSTITUTE(VLOOKUP($A590,'Quarterly Pipeline vs Target Pi'!$A:$AP,37,false)," $","")," €",""), "")
)</f>
        <v>0</v>
      </c>
      <c r="AV590" s="17" t="str">
        <f t="shared" si="17"/>
        <v/>
      </c>
      <c r="AW590" s="1">
        <f>value(IFERROR(SUBSTITUTE(SUBSTITUTE(VLOOKUP($A590,'Quarterly Pipeline vs Target Pi'!$A:$AP,41,false)," $","")," €",""), "")
)</f>
        <v>0</v>
      </c>
      <c r="AX590" s="1">
        <f>value(IFERROR(SUBSTITUTE(SUBSTITUTE(VLOOKUP($A590,'Quarterly Pipeline vs Target Pi'!$A:$AP,42,false)," $","")," €",""), "")
)</f>
        <v>0</v>
      </c>
      <c r="AY590" s="17" t="str">
        <f t="shared" si="18"/>
        <v/>
      </c>
      <c r="AZ590" s="1">
        <f t="shared" ref="AZ590:BA590" si="1194">sum(AN590,AQ590,AT590,AW590)</f>
        <v>0</v>
      </c>
      <c r="BA590" s="1">
        <f t="shared" si="1194"/>
        <v>0</v>
      </c>
      <c r="BB590" s="17" t="str">
        <f t="shared" si="20"/>
        <v/>
      </c>
    </row>
    <row r="591">
      <c r="G591" s="1" t="str">
        <f>iferror(VLOOKUP(A591,'Business Plan Setup and Accepta'!A:G,6,false),"")</f>
        <v/>
      </c>
      <c r="H591" s="1" t="str">
        <f>iferror(VLOOKUP(A591,'Business Plan Setup and Accepta'!A:G,7,false),"")</f>
        <v/>
      </c>
      <c r="I591" s="17"/>
      <c r="J591" s="1" t="str">
        <f>IFERROR(VALUE(SUBSTITUTE(VLOOKUP(A591,'Sales IN Revenues vs Sales targ'!A:G,6,false)," $","")), "")
</f>
        <v/>
      </c>
      <c r="K591" s="1" t="str">
        <f>IFERROR(VALUE(SUBSTITUTE(VLOOKUP(A591,'Sales IN Revenues vs Sales targ'!A:G,7,false)," $","")), "")
</f>
        <v/>
      </c>
      <c r="L591" s="17"/>
      <c r="M591" s="1">
        <f>value(SUBSTITUTE(IFERROR(VLOOKUP(A591,'Certifications achievements vs '!A:G,6,false),""),"#","")
)</f>
        <v>0</v>
      </c>
      <c r="N591" s="1">
        <f>value(SUBSTITUTE(IFERROR(VLOOKUP(A591,'Certifications achievements vs '!A:G,7,false),""),"#","")
)</f>
        <v>0</v>
      </c>
      <c r="O591" s="17"/>
      <c r="P591" s="1">
        <f>value(SUBSTITUTE(IFERROR(VLOOKUP(A591,'Communications - Solution Speci'!A:G,6,false),""),"#","")
)</f>
        <v>0</v>
      </c>
      <c r="Q591" s="1">
        <f>value(SUBSTITUTE(IFERROR(VLOOKUP(A591,'Communications - Solution Speci'!A:G,7,false),""),"#","")
)</f>
        <v>0</v>
      </c>
      <c r="R591" s="17" t="str">
        <f t="shared" si="6"/>
        <v/>
      </c>
      <c r="S591" s="1">
        <f>value(SUBSTITUTE(IFERROR(VLOOKUP(A591,'Networking - Solution Specializ'!A:G,6,false),""),"#","")
)</f>
        <v>0</v>
      </c>
      <c r="T591" s="1">
        <f>value(SUBSTITUTE(IFERROR(VLOOKUP(A591,'Networking - Solution Specializ'!A:G,7,false),""),"#","")
)</f>
        <v>0</v>
      </c>
      <c r="U591" s="17" t="str">
        <f t="shared" si="7"/>
        <v/>
      </c>
      <c r="V591" s="1" t="str">
        <f>iferror(vlookup(A591,'Marketing Plan (extract summary'!A:G,6,false),"")</f>
        <v/>
      </c>
      <c r="W591" s="1" t="str">
        <f>iferror(vlookup(A591,'Marketing Plan (extract summary'!A:G,7,false),"")</f>
        <v/>
      </c>
      <c r="X591" s="17"/>
      <c r="Y591" s="1">
        <f>value(IFERROR(SUBSTITUTE(SUBSTITUTE(VLOOKUP(A591,'Quarterly Pipeline vs Target Pi'!A:G,6,false)," $","")," €",""), "")
)</f>
        <v>0</v>
      </c>
      <c r="Z591" s="1">
        <f>value(IFERROR(SUBSTITUTE(SUBSTITUTE(VLOOKUP(A591,'Quarterly Pipeline vs Target Pi'!A:G,7,false)," $","")," €",""), "")
)</f>
        <v>0</v>
      </c>
      <c r="AA591" s="17" t="str">
        <f t="shared" si="9"/>
        <v/>
      </c>
      <c r="AB591" s="1">
        <f>value(IFERROR(SUBSTITUTE(SUBSTITUTE(VLOOKUP($A591,'Quarterly Pipeline vs Target Pi'!$A:$V,11,false)," $","")," €",""), "")
)</f>
        <v>0</v>
      </c>
      <c r="AC591" s="1">
        <f>value(IFERROR(SUBSTITUTE(SUBSTITUTE(VLOOKUP($A591,'Quarterly Pipeline vs Target Pi'!$A:$V,12,false)," $","")," €",""), "")
)</f>
        <v>0</v>
      </c>
      <c r="AD591" s="17" t="str">
        <f t="shared" si="10"/>
        <v/>
      </c>
      <c r="AE591" s="1">
        <f>value(IFERROR(SUBSTITUTE(SUBSTITUTE(VLOOKUP($A591,'Quarterly Pipeline vs Target Pi'!$A:$V,16,false)," $","")," €",""), "")
)</f>
        <v>0</v>
      </c>
      <c r="AF591" s="1">
        <f>value(IFERROR(SUBSTITUTE(SUBSTITUTE(VLOOKUP($A591,'Quarterly Pipeline vs Target Pi'!$A:$V,17,false)," $","")," €",""), "")
)</f>
        <v>0</v>
      </c>
      <c r="AG591" s="17" t="str">
        <f t="shared" si="11"/>
        <v/>
      </c>
      <c r="AH591" s="1">
        <f>value(IFERROR(SUBSTITUTE(SUBSTITUTE(VLOOKUP($A591,'Quarterly Pipeline vs Target Pi'!$A:$V,21,false)," $","")," €",""), "")
)</f>
        <v>0</v>
      </c>
      <c r="AI591" s="1">
        <f>value(IFERROR(SUBSTITUTE(SUBSTITUTE(VLOOKUP($A591,'Quarterly Pipeline vs Target Pi'!$A:$V,22,false)," $","")," €",""), "")
)</f>
        <v>0</v>
      </c>
      <c r="AJ591" s="17" t="str">
        <f t="shared" si="12"/>
        <v/>
      </c>
      <c r="AK591" s="1">
        <f t="shared" ref="AK591:AL591" si="1195">sum(Y591,AB591,AE591,AH591)</f>
        <v>0</v>
      </c>
      <c r="AL591" s="1">
        <f t="shared" si="1195"/>
        <v>0</v>
      </c>
      <c r="AM591" s="17" t="str">
        <f t="shared" si="14"/>
        <v/>
      </c>
      <c r="AN591" s="1">
        <f>value(IFERROR(SUBSTITUTE(SUBSTITUTE(VLOOKUP($A591,'Quarterly Pipeline vs Target Pi'!$A:$AP,26,false)," $","")," €",""), "")
)</f>
        <v>0</v>
      </c>
      <c r="AO591" s="1">
        <f>value(IFERROR(SUBSTITUTE(SUBSTITUTE(VLOOKUP($A591,'Quarterly Pipeline vs Target Pi'!$A:$AP,27,false)," $","")," €",""), "")
)</f>
        <v>0</v>
      </c>
      <c r="AP591" s="17" t="str">
        <f t="shared" si="15"/>
        <v/>
      </c>
      <c r="AQ591" s="1">
        <f>value(IFERROR(SUBSTITUTE(SUBSTITUTE(VLOOKUP($A591,'Quarterly Pipeline vs Target Pi'!$A:$AP,31,false)," $","")," €",""), "")
)</f>
        <v>0</v>
      </c>
      <c r="AR591" s="1">
        <f>value(IFERROR(SUBSTITUTE(SUBSTITUTE(VLOOKUP($A591,'Quarterly Pipeline vs Target Pi'!$A:$AP,32,false)," $","")," €",""), "")
)</f>
        <v>0</v>
      </c>
      <c r="AS591" s="17" t="str">
        <f t="shared" si="16"/>
        <v/>
      </c>
      <c r="AT591" s="1">
        <f>value(IFERROR(SUBSTITUTE(SUBSTITUTE(VLOOKUP($A591,'Quarterly Pipeline vs Target Pi'!$A:$AP,36,false)," $","")," €",""), "")
)</f>
        <v>0</v>
      </c>
      <c r="AU591" s="1">
        <f>value(IFERROR(SUBSTITUTE(SUBSTITUTE(VLOOKUP($A591,'Quarterly Pipeline vs Target Pi'!$A:$AP,37,false)," $","")," €",""), "")
)</f>
        <v>0</v>
      </c>
      <c r="AV591" s="17" t="str">
        <f t="shared" si="17"/>
        <v/>
      </c>
      <c r="AW591" s="1">
        <f>value(IFERROR(SUBSTITUTE(SUBSTITUTE(VLOOKUP($A591,'Quarterly Pipeline vs Target Pi'!$A:$AP,41,false)," $","")," €",""), "")
)</f>
        <v>0</v>
      </c>
      <c r="AX591" s="1">
        <f>value(IFERROR(SUBSTITUTE(SUBSTITUTE(VLOOKUP($A591,'Quarterly Pipeline vs Target Pi'!$A:$AP,42,false)," $","")," €",""), "")
)</f>
        <v>0</v>
      </c>
      <c r="AY591" s="17" t="str">
        <f t="shared" si="18"/>
        <v/>
      </c>
      <c r="AZ591" s="1">
        <f t="shared" ref="AZ591:BA591" si="1196">sum(AN591,AQ591,AT591,AW591)</f>
        <v>0</v>
      </c>
      <c r="BA591" s="1">
        <f t="shared" si="1196"/>
        <v>0</v>
      </c>
      <c r="BB591" s="17" t="str">
        <f t="shared" si="20"/>
        <v/>
      </c>
    </row>
    <row r="592">
      <c r="G592" s="1" t="str">
        <f>iferror(VLOOKUP(A592,'Business Plan Setup and Accepta'!A:G,6,false),"")</f>
        <v/>
      </c>
      <c r="H592" s="1" t="str">
        <f>iferror(VLOOKUP(A592,'Business Plan Setup and Accepta'!A:G,7,false),"")</f>
        <v/>
      </c>
      <c r="I592" s="17"/>
      <c r="J592" s="1" t="str">
        <f>IFERROR(VALUE(SUBSTITUTE(VLOOKUP(A592,'Sales IN Revenues vs Sales targ'!A:G,6,false)," $","")), "")
</f>
        <v/>
      </c>
      <c r="K592" s="1" t="str">
        <f>IFERROR(VALUE(SUBSTITUTE(VLOOKUP(A592,'Sales IN Revenues vs Sales targ'!A:G,7,false)," $","")), "")
</f>
        <v/>
      </c>
      <c r="L592" s="17"/>
      <c r="M592" s="1">
        <f>value(SUBSTITUTE(IFERROR(VLOOKUP(A592,'Certifications achievements vs '!A:G,6,false),""),"#","")
)</f>
        <v>0</v>
      </c>
      <c r="N592" s="1">
        <f>value(SUBSTITUTE(IFERROR(VLOOKUP(A592,'Certifications achievements vs '!A:G,7,false),""),"#","")
)</f>
        <v>0</v>
      </c>
      <c r="O592" s="17"/>
      <c r="P592" s="1">
        <f>value(SUBSTITUTE(IFERROR(VLOOKUP(A592,'Communications - Solution Speci'!A:G,6,false),""),"#","")
)</f>
        <v>0</v>
      </c>
      <c r="Q592" s="1">
        <f>value(SUBSTITUTE(IFERROR(VLOOKUP(A592,'Communications - Solution Speci'!A:G,7,false),""),"#","")
)</f>
        <v>0</v>
      </c>
      <c r="R592" s="17" t="str">
        <f t="shared" si="6"/>
        <v/>
      </c>
      <c r="S592" s="1">
        <f>value(SUBSTITUTE(IFERROR(VLOOKUP(A592,'Networking - Solution Specializ'!A:G,6,false),""),"#","")
)</f>
        <v>0</v>
      </c>
      <c r="T592" s="1">
        <f>value(SUBSTITUTE(IFERROR(VLOOKUP(A592,'Networking - Solution Specializ'!A:G,7,false),""),"#","")
)</f>
        <v>0</v>
      </c>
      <c r="U592" s="17" t="str">
        <f t="shared" si="7"/>
        <v/>
      </c>
      <c r="V592" s="1" t="str">
        <f>iferror(vlookup(A592,'Marketing Plan (extract summary'!A:G,6,false),"")</f>
        <v/>
      </c>
      <c r="W592" s="1" t="str">
        <f>iferror(vlookup(A592,'Marketing Plan (extract summary'!A:G,7,false),"")</f>
        <v/>
      </c>
      <c r="X592" s="17"/>
      <c r="Y592" s="1">
        <f>value(IFERROR(SUBSTITUTE(SUBSTITUTE(VLOOKUP(A592,'Quarterly Pipeline vs Target Pi'!A:G,6,false)," $","")," €",""), "")
)</f>
        <v>0</v>
      </c>
      <c r="Z592" s="1">
        <f>value(IFERROR(SUBSTITUTE(SUBSTITUTE(VLOOKUP(A592,'Quarterly Pipeline vs Target Pi'!A:G,7,false)," $","")," €",""), "")
)</f>
        <v>0</v>
      </c>
      <c r="AA592" s="17" t="str">
        <f t="shared" si="9"/>
        <v/>
      </c>
      <c r="AB592" s="1">
        <f>value(IFERROR(SUBSTITUTE(SUBSTITUTE(VLOOKUP($A592,'Quarterly Pipeline vs Target Pi'!$A:$V,11,false)," $","")," €",""), "")
)</f>
        <v>0</v>
      </c>
      <c r="AC592" s="1">
        <f>value(IFERROR(SUBSTITUTE(SUBSTITUTE(VLOOKUP($A592,'Quarterly Pipeline vs Target Pi'!$A:$V,12,false)," $","")," €",""), "")
)</f>
        <v>0</v>
      </c>
      <c r="AD592" s="17" t="str">
        <f t="shared" si="10"/>
        <v/>
      </c>
      <c r="AE592" s="1">
        <f>value(IFERROR(SUBSTITUTE(SUBSTITUTE(VLOOKUP($A592,'Quarterly Pipeline vs Target Pi'!$A:$V,16,false)," $","")," €",""), "")
)</f>
        <v>0</v>
      </c>
      <c r="AF592" s="1">
        <f>value(IFERROR(SUBSTITUTE(SUBSTITUTE(VLOOKUP($A592,'Quarterly Pipeline vs Target Pi'!$A:$V,17,false)," $","")," €",""), "")
)</f>
        <v>0</v>
      </c>
      <c r="AG592" s="17" t="str">
        <f t="shared" si="11"/>
        <v/>
      </c>
      <c r="AH592" s="1">
        <f>value(IFERROR(SUBSTITUTE(SUBSTITUTE(VLOOKUP($A592,'Quarterly Pipeline vs Target Pi'!$A:$V,21,false)," $","")," €",""), "")
)</f>
        <v>0</v>
      </c>
      <c r="AI592" s="1">
        <f>value(IFERROR(SUBSTITUTE(SUBSTITUTE(VLOOKUP($A592,'Quarterly Pipeline vs Target Pi'!$A:$V,22,false)," $","")," €",""), "")
)</f>
        <v>0</v>
      </c>
      <c r="AJ592" s="17" t="str">
        <f t="shared" si="12"/>
        <v/>
      </c>
      <c r="AK592" s="1">
        <f t="shared" ref="AK592:AL592" si="1197">sum(Y592,AB592,AE592,AH592)</f>
        <v>0</v>
      </c>
      <c r="AL592" s="1">
        <f t="shared" si="1197"/>
        <v>0</v>
      </c>
      <c r="AM592" s="17" t="str">
        <f t="shared" si="14"/>
        <v/>
      </c>
      <c r="AN592" s="1">
        <f>value(IFERROR(SUBSTITUTE(SUBSTITUTE(VLOOKUP($A592,'Quarterly Pipeline vs Target Pi'!$A:$AP,26,false)," $","")," €",""), "")
)</f>
        <v>0</v>
      </c>
      <c r="AO592" s="1">
        <f>value(IFERROR(SUBSTITUTE(SUBSTITUTE(VLOOKUP($A592,'Quarterly Pipeline vs Target Pi'!$A:$AP,27,false)," $","")," €",""), "")
)</f>
        <v>0</v>
      </c>
      <c r="AP592" s="17" t="str">
        <f t="shared" si="15"/>
        <v/>
      </c>
      <c r="AQ592" s="1">
        <f>value(IFERROR(SUBSTITUTE(SUBSTITUTE(VLOOKUP($A592,'Quarterly Pipeline vs Target Pi'!$A:$AP,31,false)," $","")," €",""), "")
)</f>
        <v>0</v>
      </c>
      <c r="AR592" s="1">
        <f>value(IFERROR(SUBSTITUTE(SUBSTITUTE(VLOOKUP($A592,'Quarterly Pipeline vs Target Pi'!$A:$AP,32,false)," $","")," €",""), "")
)</f>
        <v>0</v>
      </c>
      <c r="AS592" s="17" t="str">
        <f t="shared" si="16"/>
        <v/>
      </c>
      <c r="AT592" s="1">
        <f>value(IFERROR(SUBSTITUTE(SUBSTITUTE(VLOOKUP($A592,'Quarterly Pipeline vs Target Pi'!$A:$AP,36,false)," $","")," €",""), "")
)</f>
        <v>0</v>
      </c>
      <c r="AU592" s="1">
        <f>value(IFERROR(SUBSTITUTE(SUBSTITUTE(VLOOKUP($A592,'Quarterly Pipeline vs Target Pi'!$A:$AP,37,false)," $","")," €",""), "")
)</f>
        <v>0</v>
      </c>
      <c r="AV592" s="17" t="str">
        <f t="shared" si="17"/>
        <v/>
      </c>
      <c r="AW592" s="1">
        <f>value(IFERROR(SUBSTITUTE(SUBSTITUTE(VLOOKUP($A592,'Quarterly Pipeline vs Target Pi'!$A:$AP,41,false)," $","")," €",""), "")
)</f>
        <v>0</v>
      </c>
      <c r="AX592" s="1">
        <f>value(IFERROR(SUBSTITUTE(SUBSTITUTE(VLOOKUP($A592,'Quarterly Pipeline vs Target Pi'!$A:$AP,42,false)," $","")," €",""), "")
)</f>
        <v>0</v>
      </c>
      <c r="AY592" s="17" t="str">
        <f t="shared" si="18"/>
        <v/>
      </c>
      <c r="AZ592" s="1">
        <f t="shared" ref="AZ592:BA592" si="1198">sum(AN592,AQ592,AT592,AW592)</f>
        <v>0</v>
      </c>
      <c r="BA592" s="1">
        <f t="shared" si="1198"/>
        <v>0</v>
      </c>
      <c r="BB592" s="17" t="str">
        <f t="shared" si="20"/>
        <v/>
      </c>
    </row>
    <row r="593">
      <c r="G593" s="1" t="str">
        <f>iferror(VLOOKUP(A593,'Business Plan Setup and Accepta'!A:G,6,false),"")</f>
        <v/>
      </c>
      <c r="H593" s="1" t="str">
        <f>iferror(VLOOKUP(A593,'Business Plan Setup and Accepta'!A:G,7,false),"")</f>
        <v/>
      </c>
      <c r="I593" s="17"/>
      <c r="J593" s="1" t="str">
        <f>IFERROR(VALUE(SUBSTITUTE(VLOOKUP(A593,'Sales IN Revenues vs Sales targ'!A:G,6,false)," $","")), "")
</f>
        <v/>
      </c>
      <c r="K593" s="1" t="str">
        <f>IFERROR(VALUE(SUBSTITUTE(VLOOKUP(A593,'Sales IN Revenues vs Sales targ'!A:G,7,false)," $","")), "")
</f>
        <v/>
      </c>
      <c r="L593" s="17"/>
      <c r="M593" s="1">
        <f>value(SUBSTITUTE(IFERROR(VLOOKUP(A593,'Certifications achievements vs '!A:G,6,false),""),"#","")
)</f>
        <v>0</v>
      </c>
      <c r="N593" s="1">
        <f>value(SUBSTITUTE(IFERROR(VLOOKUP(A593,'Certifications achievements vs '!A:G,7,false),""),"#","")
)</f>
        <v>0</v>
      </c>
      <c r="O593" s="17"/>
      <c r="P593" s="1">
        <f>value(SUBSTITUTE(IFERROR(VLOOKUP(A593,'Communications - Solution Speci'!A:G,6,false),""),"#","")
)</f>
        <v>0</v>
      </c>
      <c r="Q593" s="1">
        <f>value(SUBSTITUTE(IFERROR(VLOOKUP(A593,'Communications - Solution Speci'!A:G,7,false),""),"#","")
)</f>
        <v>0</v>
      </c>
      <c r="R593" s="17" t="str">
        <f t="shared" si="6"/>
        <v/>
      </c>
      <c r="S593" s="1">
        <f>value(SUBSTITUTE(IFERROR(VLOOKUP(A593,'Networking - Solution Specializ'!A:G,6,false),""),"#","")
)</f>
        <v>0</v>
      </c>
      <c r="T593" s="1">
        <f>value(SUBSTITUTE(IFERROR(VLOOKUP(A593,'Networking - Solution Specializ'!A:G,7,false),""),"#","")
)</f>
        <v>0</v>
      </c>
      <c r="U593" s="17" t="str">
        <f t="shared" si="7"/>
        <v/>
      </c>
      <c r="V593" s="1" t="str">
        <f>iferror(vlookup(A593,'Marketing Plan (extract summary'!A:G,6,false),"")</f>
        <v/>
      </c>
      <c r="W593" s="1" t="str">
        <f>iferror(vlookup(A593,'Marketing Plan (extract summary'!A:G,7,false),"")</f>
        <v/>
      </c>
      <c r="X593" s="17"/>
      <c r="Y593" s="1">
        <f>value(IFERROR(SUBSTITUTE(SUBSTITUTE(VLOOKUP(A593,'Quarterly Pipeline vs Target Pi'!A:G,6,false)," $","")," €",""), "")
)</f>
        <v>0</v>
      </c>
      <c r="Z593" s="1">
        <f>value(IFERROR(SUBSTITUTE(SUBSTITUTE(VLOOKUP(A593,'Quarterly Pipeline vs Target Pi'!A:G,7,false)," $","")," €",""), "")
)</f>
        <v>0</v>
      </c>
      <c r="AA593" s="17" t="str">
        <f t="shared" si="9"/>
        <v/>
      </c>
      <c r="AB593" s="1">
        <f>value(IFERROR(SUBSTITUTE(SUBSTITUTE(VLOOKUP($A593,'Quarterly Pipeline vs Target Pi'!$A:$V,11,false)," $","")," €",""), "")
)</f>
        <v>0</v>
      </c>
      <c r="AC593" s="1">
        <f>value(IFERROR(SUBSTITUTE(SUBSTITUTE(VLOOKUP($A593,'Quarterly Pipeline vs Target Pi'!$A:$V,12,false)," $","")," €",""), "")
)</f>
        <v>0</v>
      </c>
      <c r="AD593" s="17" t="str">
        <f t="shared" si="10"/>
        <v/>
      </c>
      <c r="AE593" s="1">
        <f>value(IFERROR(SUBSTITUTE(SUBSTITUTE(VLOOKUP($A593,'Quarterly Pipeline vs Target Pi'!$A:$V,16,false)," $","")," €",""), "")
)</f>
        <v>0</v>
      </c>
      <c r="AF593" s="1">
        <f>value(IFERROR(SUBSTITUTE(SUBSTITUTE(VLOOKUP($A593,'Quarterly Pipeline vs Target Pi'!$A:$V,17,false)," $","")," €",""), "")
)</f>
        <v>0</v>
      </c>
      <c r="AG593" s="17" t="str">
        <f t="shared" si="11"/>
        <v/>
      </c>
      <c r="AH593" s="1">
        <f>value(IFERROR(SUBSTITUTE(SUBSTITUTE(VLOOKUP($A593,'Quarterly Pipeline vs Target Pi'!$A:$V,21,false)," $","")," €",""), "")
)</f>
        <v>0</v>
      </c>
      <c r="AI593" s="1">
        <f>value(IFERROR(SUBSTITUTE(SUBSTITUTE(VLOOKUP($A593,'Quarterly Pipeline vs Target Pi'!$A:$V,22,false)," $","")," €",""), "")
)</f>
        <v>0</v>
      </c>
      <c r="AJ593" s="17" t="str">
        <f t="shared" si="12"/>
        <v/>
      </c>
      <c r="AK593" s="1">
        <f t="shared" ref="AK593:AL593" si="1199">sum(Y593,AB593,AE593,AH593)</f>
        <v>0</v>
      </c>
      <c r="AL593" s="1">
        <f t="shared" si="1199"/>
        <v>0</v>
      </c>
      <c r="AM593" s="17" t="str">
        <f t="shared" si="14"/>
        <v/>
      </c>
      <c r="AN593" s="1">
        <f>value(IFERROR(SUBSTITUTE(SUBSTITUTE(VLOOKUP($A593,'Quarterly Pipeline vs Target Pi'!$A:$AP,26,false)," $","")," €",""), "")
)</f>
        <v>0</v>
      </c>
      <c r="AO593" s="1">
        <f>value(IFERROR(SUBSTITUTE(SUBSTITUTE(VLOOKUP($A593,'Quarterly Pipeline vs Target Pi'!$A:$AP,27,false)," $","")," €",""), "")
)</f>
        <v>0</v>
      </c>
      <c r="AP593" s="17" t="str">
        <f t="shared" si="15"/>
        <v/>
      </c>
      <c r="AQ593" s="1">
        <f>value(IFERROR(SUBSTITUTE(SUBSTITUTE(VLOOKUP($A593,'Quarterly Pipeline vs Target Pi'!$A:$AP,31,false)," $","")," €",""), "")
)</f>
        <v>0</v>
      </c>
      <c r="AR593" s="1">
        <f>value(IFERROR(SUBSTITUTE(SUBSTITUTE(VLOOKUP($A593,'Quarterly Pipeline vs Target Pi'!$A:$AP,32,false)," $","")," €",""), "")
)</f>
        <v>0</v>
      </c>
      <c r="AS593" s="17" t="str">
        <f t="shared" si="16"/>
        <v/>
      </c>
      <c r="AT593" s="1">
        <f>value(IFERROR(SUBSTITUTE(SUBSTITUTE(VLOOKUP($A593,'Quarterly Pipeline vs Target Pi'!$A:$AP,36,false)," $","")," €",""), "")
)</f>
        <v>0</v>
      </c>
      <c r="AU593" s="1">
        <f>value(IFERROR(SUBSTITUTE(SUBSTITUTE(VLOOKUP($A593,'Quarterly Pipeline vs Target Pi'!$A:$AP,37,false)," $","")," €",""), "")
)</f>
        <v>0</v>
      </c>
      <c r="AV593" s="17" t="str">
        <f t="shared" si="17"/>
        <v/>
      </c>
      <c r="AW593" s="1">
        <f>value(IFERROR(SUBSTITUTE(SUBSTITUTE(VLOOKUP($A593,'Quarterly Pipeline vs Target Pi'!$A:$AP,41,false)," $","")," €",""), "")
)</f>
        <v>0</v>
      </c>
      <c r="AX593" s="1">
        <f>value(IFERROR(SUBSTITUTE(SUBSTITUTE(VLOOKUP($A593,'Quarterly Pipeline vs Target Pi'!$A:$AP,42,false)," $","")," €",""), "")
)</f>
        <v>0</v>
      </c>
      <c r="AY593" s="17" t="str">
        <f t="shared" si="18"/>
        <v/>
      </c>
      <c r="AZ593" s="1">
        <f t="shared" ref="AZ593:BA593" si="1200">sum(AN593,AQ593,AT593,AW593)</f>
        <v>0</v>
      </c>
      <c r="BA593" s="1">
        <f t="shared" si="1200"/>
        <v>0</v>
      </c>
      <c r="BB593" s="17" t="str">
        <f t="shared" si="20"/>
        <v/>
      </c>
    </row>
    <row r="594">
      <c r="G594" s="1" t="str">
        <f>iferror(VLOOKUP(A594,'Business Plan Setup and Accepta'!A:G,6,false),"")</f>
        <v/>
      </c>
      <c r="H594" s="1" t="str">
        <f>iferror(VLOOKUP(A594,'Business Plan Setup and Accepta'!A:G,7,false),"")</f>
        <v/>
      </c>
      <c r="I594" s="17"/>
      <c r="J594" s="1" t="str">
        <f>IFERROR(VALUE(SUBSTITUTE(VLOOKUP(A594,'Sales IN Revenues vs Sales targ'!A:G,6,false)," $","")), "")
</f>
        <v/>
      </c>
      <c r="K594" s="1" t="str">
        <f>IFERROR(VALUE(SUBSTITUTE(VLOOKUP(A594,'Sales IN Revenues vs Sales targ'!A:G,7,false)," $","")), "")
</f>
        <v/>
      </c>
      <c r="L594" s="17"/>
      <c r="M594" s="1">
        <f>value(SUBSTITUTE(IFERROR(VLOOKUP(A594,'Certifications achievements vs '!A:G,6,false),""),"#","")
)</f>
        <v>0</v>
      </c>
      <c r="N594" s="1">
        <f>value(SUBSTITUTE(IFERROR(VLOOKUP(A594,'Certifications achievements vs '!A:G,7,false),""),"#","")
)</f>
        <v>0</v>
      </c>
      <c r="O594" s="17"/>
      <c r="P594" s="1">
        <f>value(SUBSTITUTE(IFERROR(VLOOKUP(A594,'Communications - Solution Speci'!A:G,6,false),""),"#","")
)</f>
        <v>0</v>
      </c>
      <c r="Q594" s="1">
        <f>value(SUBSTITUTE(IFERROR(VLOOKUP(A594,'Communications - Solution Speci'!A:G,7,false),""),"#","")
)</f>
        <v>0</v>
      </c>
      <c r="R594" s="17" t="str">
        <f t="shared" si="6"/>
        <v/>
      </c>
      <c r="S594" s="1">
        <f>value(SUBSTITUTE(IFERROR(VLOOKUP(A594,'Networking - Solution Specializ'!A:G,6,false),""),"#","")
)</f>
        <v>0</v>
      </c>
      <c r="T594" s="1">
        <f>value(SUBSTITUTE(IFERROR(VLOOKUP(A594,'Networking - Solution Specializ'!A:G,7,false),""),"#","")
)</f>
        <v>0</v>
      </c>
      <c r="U594" s="17" t="str">
        <f t="shared" si="7"/>
        <v/>
      </c>
      <c r="V594" s="1" t="str">
        <f>iferror(vlookup(A594,'Marketing Plan (extract summary'!A:G,6,false),"")</f>
        <v/>
      </c>
      <c r="W594" s="1" t="str">
        <f>iferror(vlookup(A594,'Marketing Plan (extract summary'!A:G,7,false),"")</f>
        <v/>
      </c>
      <c r="X594" s="17"/>
      <c r="Y594" s="1">
        <f>value(IFERROR(SUBSTITUTE(SUBSTITUTE(VLOOKUP(A594,'Quarterly Pipeline vs Target Pi'!A:G,6,false)," $","")," €",""), "")
)</f>
        <v>0</v>
      </c>
      <c r="Z594" s="1">
        <f>value(IFERROR(SUBSTITUTE(SUBSTITUTE(VLOOKUP(A594,'Quarterly Pipeline vs Target Pi'!A:G,7,false)," $","")," €",""), "")
)</f>
        <v>0</v>
      </c>
      <c r="AA594" s="17" t="str">
        <f t="shared" si="9"/>
        <v/>
      </c>
      <c r="AB594" s="1">
        <f>value(IFERROR(SUBSTITUTE(SUBSTITUTE(VLOOKUP($A594,'Quarterly Pipeline vs Target Pi'!$A:$V,11,false)," $","")," €",""), "")
)</f>
        <v>0</v>
      </c>
      <c r="AC594" s="1">
        <f>value(IFERROR(SUBSTITUTE(SUBSTITUTE(VLOOKUP($A594,'Quarterly Pipeline vs Target Pi'!$A:$V,12,false)," $","")," €",""), "")
)</f>
        <v>0</v>
      </c>
      <c r="AD594" s="17" t="str">
        <f t="shared" si="10"/>
        <v/>
      </c>
      <c r="AE594" s="1">
        <f>value(IFERROR(SUBSTITUTE(SUBSTITUTE(VLOOKUP($A594,'Quarterly Pipeline vs Target Pi'!$A:$V,16,false)," $","")," €",""), "")
)</f>
        <v>0</v>
      </c>
      <c r="AF594" s="1">
        <f>value(IFERROR(SUBSTITUTE(SUBSTITUTE(VLOOKUP($A594,'Quarterly Pipeline vs Target Pi'!$A:$V,17,false)," $","")," €",""), "")
)</f>
        <v>0</v>
      </c>
      <c r="AG594" s="17" t="str">
        <f t="shared" si="11"/>
        <v/>
      </c>
      <c r="AH594" s="1">
        <f>value(IFERROR(SUBSTITUTE(SUBSTITUTE(VLOOKUP($A594,'Quarterly Pipeline vs Target Pi'!$A:$V,21,false)," $","")," €",""), "")
)</f>
        <v>0</v>
      </c>
      <c r="AI594" s="1">
        <f>value(IFERROR(SUBSTITUTE(SUBSTITUTE(VLOOKUP($A594,'Quarterly Pipeline vs Target Pi'!$A:$V,22,false)," $","")," €",""), "")
)</f>
        <v>0</v>
      </c>
      <c r="AJ594" s="17" t="str">
        <f t="shared" si="12"/>
        <v/>
      </c>
      <c r="AK594" s="1">
        <f t="shared" ref="AK594:AL594" si="1201">sum(Y594,AB594,AE594,AH594)</f>
        <v>0</v>
      </c>
      <c r="AL594" s="1">
        <f t="shared" si="1201"/>
        <v>0</v>
      </c>
      <c r="AM594" s="17" t="str">
        <f t="shared" si="14"/>
        <v/>
      </c>
      <c r="AN594" s="1">
        <f>value(IFERROR(SUBSTITUTE(SUBSTITUTE(VLOOKUP($A594,'Quarterly Pipeline vs Target Pi'!$A:$AP,26,false)," $","")," €",""), "")
)</f>
        <v>0</v>
      </c>
      <c r="AO594" s="1">
        <f>value(IFERROR(SUBSTITUTE(SUBSTITUTE(VLOOKUP($A594,'Quarterly Pipeline vs Target Pi'!$A:$AP,27,false)," $","")," €",""), "")
)</f>
        <v>0</v>
      </c>
      <c r="AP594" s="17" t="str">
        <f t="shared" si="15"/>
        <v/>
      </c>
      <c r="AQ594" s="1">
        <f>value(IFERROR(SUBSTITUTE(SUBSTITUTE(VLOOKUP($A594,'Quarterly Pipeline vs Target Pi'!$A:$AP,31,false)," $","")," €",""), "")
)</f>
        <v>0</v>
      </c>
      <c r="AR594" s="1">
        <f>value(IFERROR(SUBSTITUTE(SUBSTITUTE(VLOOKUP($A594,'Quarterly Pipeline vs Target Pi'!$A:$AP,32,false)," $","")," €",""), "")
)</f>
        <v>0</v>
      </c>
      <c r="AS594" s="17" t="str">
        <f t="shared" si="16"/>
        <v/>
      </c>
      <c r="AT594" s="1">
        <f>value(IFERROR(SUBSTITUTE(SUBSTITUTE(VLOOKUP($A594,'Quarterly Pipeline vs Target Pi'!$A:$AP,36,false)," $","")," €",""), "")
)</f>
        <v>0</v>
      </c>
      <c r="AU594" s="1">
        <f>value(IFERROR(SUBSTITUTE(SUBSTITUTE(VLOOKUP($A594,'Quarterly Pipeline vs Target Pi'!$A:$AP,37,false)," $","")," €",""), "")
)</f>
        <v>0</v>
      </c>
      <c r="AV594" s="17" t="str">
        <f t="shared" si="17"/>
        <v/>
      </c>
      <c r="AW594" s="1">
        <f>value(IFERROR(SUBSTITUTE(SUBSTITUTE(VLOOKUP($A594,'Quarterly Pipeline vs Target Pi'!$A:$AP,41,false)," $","")," €",""), "")
)</f>
        <v>0</v>
      </c>
      <c r="AX594" s="1">
        <f>value(IFERROR(SUBSTITUTE(SUBSTITUTE(VLOOKUP($A594,'Quarterly Pipeline vs Target Pi'!$A:$AP,42,false)," $","")," €",""), "")
)</f>
        <v>0</v>
      </c>
      <c r="AY594" s="17" t="str">
        <f t="shared" si="18"/>
        <v/>
      </c>
      <c r="AZ594" s="1">
        <f t="shared" ref="AZ594:BA594" si="1202">sum(AN594,AQ594,AT594,AW594)</f>
        <v>0</v>
      </c>
      <c r="BA594" s="1">
        <f t="shared" si="1202"/>
        <v>0</v>
      </c>
      <c r="BB594" s="17" t="str">
        <f t="shared" si="20"/>
        <v/>
      </c>
    </row>
    <row r="595">
      <c r="G595" s="1" t="str">
        <f>iferror(VLOOKUP(A595,'Business Plan Setup and Accepta'!A:G,6,false),"")</f>
        <v/>
      </c>
      <c r="H595" s="1" t="str">
        <f>iferror(VLOOKUP(A595,'Business Plan Setup and Accepta'!A:G,7,false),"")</f>
        <v/>
      </c>
      <c r="I595" s="17"/>
      <c r="J595" s="1" t="str">
        <f>IFERROR(VALUE(SUBSTITUTE(VLOOKUP(A595,'Sales IN Revenues vs Sales targ'!A:G,6,false)," $","")), "")
</f>
        <v/>
      </c>
      <c r="K595" s="1" t="str">
        <f>IFERROR(VALUE(SUBSTITUTE(VLOOKUP(A595,'Sales IN Revenues vs Sales targ'!A:G,7,false)," $","")), "")
</f>
        <v/>
      </c>
      <c r="L595" s="17"/>
      <c r="M595" s="1">
        <f>value(SUBSTITUTE(IFERROR(VLOOKUP(A595,'Certifications achievements vs '!A:G,6,false),""),"#","")
)</f>
        <v>0</v>
      </c>
      <c r="N595" s="1">
        <f>value(SUBSTITUTE(IFERROR(VLOOKUP(A595,'Certifications achievements vs '!A:G,7,false),""),"#","")
)</f>
        <v>0</v>
      </c>
      <c r="O595" s="17"/>
      <c r="P595" s="1">
        <f>value(SUBSTITUTE(IFERROR(VLOOKUP(A595,'Communications - Solution Speci'!A:G,6,false),""),"#","")
)</f>
        <v>0</v>
      </c>
      <c r="Q595" s="1">
        <f>value(SUBSTITUTE(IFERROR(VLOOKUP(A595,'Communications - Solution Speci'!A:G,7,false),""),"#","")
)</f>
        <v>0</v>
      </c>
      <c r="R595" s="17" t="str">
        <f t="shared" si="6"/>
        <v/>
      </c>
      <c r="S595" s="1">
        <f>value(SUBSTITUTE(IFERROR(VLOOKUP(A595,'Networking - Solution Specializ'!A:G,6,false),""),"#","")
)</f>
        <v>0</v>
      </c>
      <c r="T595" s="1">
        <f>value(SUBSTITUTE(IFERROR(VLOOKUP(A595,'Networking - Solution Specializ'!A:G,7,false),""),"#","")
)</f>
        <v>0</v>
      </c>
      <c r="U595" s="17" t="str">
        <f t="shared" si="7"/>
        <v/>
      </c>
      <c r="V595" s="1" t="str">
        <f>iferror(vlookup(A595,'Marketing Plan (extract summary'!A:G,6,false),"")</f>
        <v/>
      </c>
      <c r="W595" s="1" t="str">
        <f>iferror(vlookup(A595,'Marketing Plan (extract summary'!A:G,7,false),"")</f>
        <v/>
      </c>
      <c r="X595" s="17"/>
      <c r="Y595" s="1">
        <f>value(IFERROR(SUBSTITUTE(SUBSTITUTE(VLOOKUP(A595,'Quarterly Pipeline vs Target Pi'!A:G,6,false)," $","")," €",""), "")
)</f>
        <v>0</v>
      </c>
      <c r="Z595" s="1">
        <f>value(IFERROR(SUBSTITUTE(SUBSTITUTE(VLOOKUP(A595,'Quarterly Pipeline vs Target Pi'!A:G,7,false)," $","")," €",""), "")
)</f>
        <v>0</v>
      </c>
      <c r="AA595" s="17" t="str">
        <f t="shared" si="9"/>
        <v/>
      </c>
      <c r="AB595" s="1">
        <f>value(IFERROR(SUBSTITUTE(SUBSTITUTE(VLOOKUP($A595,'Quarterly Pipeline vs Target Pi'!$A:$V,11,false)," $","")," €",""), "")
)</f>
        <v>0</v>
      </c>
      <c r="AC595" s="1">
        <f>value(IFERROR(SUBSTITUTE(SUBSTITUTE(VLOOKUP($A595,'Quarterly Pipeline vs Target Pi'!$A:$V,12,false)," $","")," €",""), "")
)</f>
        <v>0</v>
      </c>
      <c r="AD595" s="17" t="str">
        <f t="shared" si="10"/>
        <v/>
      </c>
      <c r="AE595" s="1">
        <f>value(IFERROR(SUBSTITUTE(SUBSTITUTE(VLOOKUP($A595,'Quarterly Pipeline vs Target Pi'!$A:$V,16,false)," $","")," €",""), "")
)</f>
        <v>0</v>
      </c>
      <c r="AF595" s="1">
        <f>value(IFERROR(SUBSTITUTE(SUBSTITUTE(VLOOKUP($A595,'Quarterly Pipeline vs Target Pi'!$A:$V,17,false)," $","")," €",""), "")
)</f>
        <v>0</v>
      </c>
      <c r="AG595" s="17" t="str">
        <f t="shared" si="11"/>
        <v/>
      </c>
      <c r="AH595" s="1">
        <f>value(IFERROR(SUBSTITUTE(SUBSTITUTE(VLOOKUP($A595,'Quarterly Pipeline vs Target Pi'!$A:$V,21,false)," $","")," €",""), "")
)</f>
        <v>0</v>
      </c>
      <c r="AI595" s="1">
        <f>value(IFERROR(SUBSTITUTE(SUBSTITUTE(VLOOKUP($A595,'Quarterly Pipeline vs Target Pi'!$A:$V,22,false)," $","")," €",""), "")
)</f>
        <v>0</v>
      </c>
      <c r="AJ595" s="17" t="str">
        <f t="shared" si="12"/>
        <v/>
      </c>
      <c r="AK595" s="1">
        <f t="shared" ref="AK595:AL595" si="1203">sum(Y595,AB595,AE595,AH595)</f>
        <v>0</v>
      </c>
      <c r="AL595" s="1">
        <f t="shared" si="1203"/>
        <v>0</v>
      </c>
      <c r="AM595" s="17" t="str">
        <f t="shared" si="14"/>
        <v/>
      </c>
      <c r="AN595" s="1">
        <f>value(IFERROR(SUBSTITUTE(SUBSTITUTE(VLOOKUP($A595,'Quarterly Pipeline vs Target Pi'!$A:$AP,26,false)," $","")," €",""), "")
)</f>
        <v>0</v>
      </c>
      <c r="AO595" s="1">
        <f>value(IFERROR(SUBSTITUTE(SUBSTITUTE(VLOOKUP($A595,'Quarterly Pipeline vs Target Pi'!$A:$AP,27,false)," $","")," €",""), "")
)</f>
        <v>0</v>
      </c>
      <c r="AP595" s="17" t="str">
        <f t="shared" si="15"/>
        <v/>
      </c>
      <c r="AQ595" s="1">
        <f>value(IFERROR(SUBSTITUTE(SUBSTITUTE(VLOOKUP($A595,'Quarterly Pipeline vs Target Pi'!$A:$AP,31,false)," $","")," €",""), "")
)</f>
        <v>0</v>
      </c>
      <c r="AR595" s="1">
        <f>value(IFERROR(SUBSTITUTE(SUBSTITUTE(VLOOKUP($A595,'Quarterly Pipeline vs Target Pi'!$A:$AP,32,false)," $","")," €",""), "")
)</f>
        <v>0</v>
      </c>
      <c r="AS595" s="17" t="str">
        <f t="shared" si="16"/>
        <v/>
      </c>
      <c r="AT595" s="1">
        <f>value(IFERROR(SUBSTITUTE(SUBSTITUTE(VLOOKUP($A595,'Quarterly Pipeline vs Target Pi'!$A:$AP,36,false)," $","")," €",""), "")
)</f>
        <v>0</v>
      </c>
      <c r="AU595" s="1">
        <f>value(IFERROR(SUBSTITUTE(SUBSTITUTE(VLOOKUP($A595,'Quarterly Pipeline vs Target Pi'!$A:$AP,37,false)," $","")," €",""), "")
)</f>
        <v>0</v>
      </c>
      <c r="AV595" s="17" t="str">
        <f t="shared" si="17"/>
        <v/>
      </c>
      <c r="AW595" s="1">
        <f>value(IFERROR(SUBSTITUTE(SUBSTITUTE(VLOOKUP($A595,'Quarterly Pipeline vs Target Pi'!$A:$AP,41,false)," $","")," €",""), "")
)</f>
        <v>0</v>
      </c>
      <c r="AX595" s="1">
        <f>value(IFERROR(SUBSTITUTE(SUBSTITUTE(VLOOKUP($A595,'Quarterly Pipeline vs Target Pi'!$A:$AP,42,false)," $","")," €",""), "")
)</f>
        <v>0</v>
      </c>
      <c r="AY595" s="17" t="str">
        <f t="shared" si="18"/>
        <v/>
      </c>
      <c r="AZ595" s="1">
        <f t="shared" ref="AZ595:BA595" si="1204">sum(AN595,AQ595,AT595,AW595)</f>
        <v>0</v>
      </c>
      <c r="BA595" s="1">
        <f t="shared" si="1204"/>
        <v>0</v>
      </c>
      <c r="BB595" s="17" t="str">
        <f t="shared" si="20"/>
        <v/>
      </c>
    </row>
    <row r="596">
      <c r="G596" s="1" t="str">
        <f>iferror(VLOOKUP(A596,'Business Plan Setup and Accepta'!A:G,6,false),"")</f>
        <v/>
      </c>
      <c r="H596" s="1" t="str">
        <f>iferror(VLOOKUP(A596,'Business Plan Setup and Accepta'!A:G,7,false),"")</f>
        <v/>
      </c>
      <c r="I596" s="17"/>
      <c r="J596" s="1" t="str">
        <f>IFERROR(VALUE(SUBSTITUTE(VLOOKUP(A596,'Sales IN Revenues vs Sales targ'!A:G,6,false)," $","")), "")
</f>
        <v/>
      </c>
      <c r="K596" s="1" t="str">
        <f>IFERROR(VALUE(SUBSTITUTE(VLOOKUP(A596,'Sales IN Revenues vs Sales targ'!A:G,7,false)," $","")), "")
</f>
        <v/>
      </c>
      <c r="L596" s="17"/>
      <c r="M596" s="1">
        <f>value(SUBSTITUTE(IFERROR(VLOOKUP(A596,'Certifications achievements vs '!A:G,6,false),""),"#","")
)</f>
        <v>0</v>
      </c>
      <c r="N596" s="1">
        <f>value(SUBSTITUTE(IFERROR(VLOOKUP(A596,'Certifications achievements vs '!A:G,7,false),""),"#","")
)</f>
        <v>0</v>
      </c>
      <c r="O596" s="17"/>
      <c r="P596" s="1">
        <f>value(SUBSTITUTE(IFERROR(VLOOKUP(A596,'Communications - Solution Speci'!A:G,6,false),""),"#","")
)</f>
        <v>0</v>
      </c>
      <c r="Q596" s="1">
        <f>value(SUBSTITUTE(IFERROR(VLOOKUP(A596,'Communications - Solution Speci'!A:G,7,false),""),"#","")
)</f>
        <v>0</v>
      </c>
      <c r="R596" s="17" t="str">
        <f t="shared" si="6"/>
        <v/>
      </c>
      <c r="S596" s="1">
        <f>value(SUBSTITUTE(IFERROR(VLOOKUP(A596,'Networking - Solution Specializ'!A:G,6,false),""),"#","")
)</f>
        <v>0</v>
      </c>
      <c r="T596" s="1">
        <f>value(SUBSTITUTE(IFERROR(VLOOKUP(A596,'Networking - Solution Specializ'!A:G,7,false),""),"#","")
)</f>
        <v>0</v>
      </c>
      <c r="U596" s="17" t="str">
        <f t="shared" si="7"/>
        <v/>
      </c>
      <c r="V596" s="1" t="str">
        <f>iferror(vlookup(A596,'Marketing Plan (extract summary'!A:G,6,false),"")</f>
        <v/>
      </c>
      <c r="W596" s="1" t="str">
        <f>iferror(vlookup(A596,'Marketing Plan (extract summary'!A:G,7,false),"")</f>
        <v/>
      </c>
      <c r="X596" s="17"/>
      <c r="Y596" s="1">
        <f>value(IFERROR(SUBSTITUTE(SUBSTITUTE(VLOOKUP(A596,'Quarterly Pipeline vs Target Pi'!A:G,6,false)," $","")," €",""), "")
)</f>
        <v>0</v>
      </c>
      <c r="Z596" s="1">
        <f>value(IFERROR(SUBSTITUTE(SUBSTITUTE(VLOOKUP(A596,'Quarterly Pipeline vs Target Pi'!A:G,7,false)," $","")," €",""), "")
)</f>
        <v>0</v>
      </c>
      <c r="AA596" s="17" t="str">
        <f t="shared" si="9"/>
        <v/>
      </c>
      <c r="AB596" s="1">
        <f>value(IFERROR(SUBSTITUTE(SUBSTITUTE(VLOOKUP($A596,'Quarterly Pipeline vs Target Pi'!$A:$V,11,false)," $","")," €",""), "")
)</f>
        <v>0</v>
      </c>
      <c r="AC596" s="1">
        <f>value(IFERROR(SUBSTITUTE(SUBSTITUTE(VLOOKUP($A596,'Quarterly Pipeline vs Target Pi'!$A:$V,12,false)," $","")," €",""), "")
)</f>
        <v>0</v>
      </c>
      <c r="AD596" s="17" t="str">
        <f t="shared" si="10"/>
        <v/>
      </c>
      <c r="AE596" s="1">
        <f>value(IFERROR(SUBSTITUTE(SUBSTITUTE(VLOOKUP($A596,'Quarterly Pipeline vs Target Pi'!$A:$V,16,false)," $","")," €",""), "")
)</f>
        <v>0</v>
      </c>
      <c r="AF596" s="1">
        <f>value(IFERROR(SUBSTITUTE(SUBSTITUTE(VLOOKUP($A596,'Quarterly Pipeline vs Target Pi'!$A:$V,17,false)," $","")," €",""), "")
)</f>
        <v>0</v>
      </c>
      <c r="AG596" s="17" t="str">
        <f t="shared" si="11"/>
        <v/>
      </c>
      <c r="AH596" s="1">
        <f>value(IFERROR(SUBSTITUTE(SUBSTITUTE(VLOOKUP($A596,'Quarterly Pipeline vs Target Pi'!$A:$V,21,false)," $","")," €",""), "")
)</f>
        <v>0</v>
      </c>
      <c r="AI596" s="1">
        <f>value(IFERROR(SUBSTITUTE(SUBSTITUTE(VLOOKUP($A596,'Quarterly Pipeline vs Target Pi'!$A:$V,22,false)," $","")," €",""), "")
)</f>
        <v>0</v>
      </c>
      <c r="AJ596" s="17" t="str">
        <f t="shared" si="12"/>
        <v/>
      </c>
      <c r="AK596" s="1">
        <f t="shared" ref="AK596:AL596" si="1205">sum(Y596,AB596,AE596,AH596)</f>
        <v>0</v>
      </c>
      <c r="AL596" s="1">
        <f t="shared" si="1205"/>
        <v>0</v>
      </c>
      <c r="AM596" s="17" t="str">
        <f t="shared" si="14"/>
        <v/>
      </c>
      <c r="AN596" s="1">
        <f>value(IFERROR(SUBSTITUTE(SUBSTITUTE(VLOOKUP($A596,'Quarterly Pipeline vs Target Pi'!$A:$AP,26,false)," $","")," €",""), "")
)</f>
        <v>0</v>
      </c>
      <c r="AO596" s="1">
        <f>value(IFERROR(SUBSTITUTE(SUBSTITUTE(VLOOKUP($A596,'Quarterly Pipeline vs Target Pi'!$A:$AP,27,false)," $","")," €",""), "")
)</f>
        <v>0</v>
      </c>
      <c r="AP596" s="17" t="str">
        <f t="shared" si="15"/>
        <v/>
      </c>
      <c r="AQ596" s="1">
        <f>value(IFERROR(SUBSTITUTE(SUBSTITUTE(VLOOKUP($A596,'Quarterly Pipeline vs Target Pi'!$A:$AP,31,false)," $","")," €",""), "")
)</f>
        <v>0</v>
      </c>
      <c r="AR596" s="1">
        <f>value(IFERROR(SUBSTITUTE(SUBSTITUTE(VLOOKUP($A596,'Quarterly Pipeline vs Target Pi'!$A:$AP,32,false)," $","")," €",""), "")
)</f>
        <v>0</v>
      </c>
      <c r="AS596" s="17" t="str">
        <f t="shared" si="16"/>
        <v/>
      </c>
      <c r="AT596" s="1">
        <f>value(IFERROR(SUBSTITUTE(SUBSTITUTE(VLOOKUP($A596,'Quarterly Pipeline vs Target Pi'!$A:$AP,36,false)," $","")," €",""), "")
)</f>
        <v>0</v>
      </c>
      <c r="AU596" s="1">
        <f>value(IFERROR(SUBSTITUTE(SUBSTITUTE(VLOOKUP($A596,'Quarterly Pipeline vs Target Pi'!$A:$AP,37,false)," $","")," €",""), "")
)</f>
        <v>0</v>
      </c>
      <c r="AV596" s="17" t="str">
        <f t="shared" si="17"/>
        <v/>
      </c>
      <c r="AW596" s="1">
        <f>value(IFERROR(SUBSTITUTE(SUBSTITUTE(VLOOKUP($A596,'Quarterly Pipeline vs Target Pi'!$A:$AP,41,false)," $","")," €",""), "")
)</f>
        <v>0</v>
      </c>
      <c r="AX596" s="1">
        <f>value(IFERROR(SUBSTITUTE(SUBSTITUTE(VLOOKUP($A596,'Quarterly Pipeline vs Target Pi'!$A:$AP,42,false)," $","")," €",""), "")
)</f>
        <v>0</v>
      </c>
      <c r="AY596" s="17" t="str">
        <f t="shared" si="18"/>
        <v/>
      </c>
      <c r="AZ596" s="1">
        <f t="shared" ref="AZ596:BA596" si="1206">sum(AN596,AQ596,AT596,AW596)</f>
        <v>0</v>
      </c>
      <c r="BA596" s="1">
        <f t="shared" si="1206"/>
        <v>0</v>
      </c>
      <c r="BB596" s="17" t="str">
        <f t="shared" si="20"/>
        <v/>
      </c>
    </row>
    <row r="597">
      <c r="G597" s="1" t="str">
        <f>iferror(VLOOKUP(A597,'Business Plan Setup and Accepta'!A:G,6,false),"")</f>
        <v/>
      </c>
      <c r="H597" s="1" t="str">
        <f>iferror(VLOOKUP(A597,'Business Plan Setup and Accepta'!A:G,7,false),"")</f>
        <v/>
      </c>
      <c r="I597" s="17"/>
      <c r="J597" s="1" t="str">
        <f>IFERROR(VALUE(SUBSTITUTE(VLOOKUP(A597,'Sales IN Revenues vs Sales targ'!A:G,6,false)," $","")), "")
</f>
        <v/>
      </c>
      <c r="K597" s="1" t="str">
        <f>IFERROR(VALUE(SUBSTITUTE(VLOOKUP(A597,'Sales IN Revenues vs Sales targ'!A:G,7,false)," $","")), "")
</f>
        <v/>
      </c>
      <c r="L597" s="17"/>
      <c r="M597" s="1">
        <f>value(SUBSTITUTE(IFERROR(VLOOKUP(A597,'Certifications achievements vs '!A:G,6,false),""),"#","")
)</f>
        <v>0</v>
      </c>
      <c r="N597" s="1">
        <f>value(SUBSTITUTE(IFERROR(VLOOKUP(A597,'Certifications achievements vs '!A:G,7,false),""),"#","")
)</f>
        <v>0</v>
      </c>
      <c r="O597" s="17"/>
      <c r="P597" s="1">
        <f>value(SUBSTITUTE(IFERROR(VLOOKUP(A597,'Communications - Solution Speci'!A:G,6,false),""),"#","")
)</f>
        <v>0</v>
      </c>
      <c r="Q597" s="1">
        <f>value(SUBSTITUTE(IFERROR(VLOOKUP(A597,'Communications - Solution Speci'!A:G,7,false),""),"#","")
)</f>
        <v>0</v>
      </c>
      <c r="R597" s="17" t="str">
        <f t="shared" si="6"/>
        <v/>
      </c>
      <c r="S597" s="1">
        <f>value(SUBSTITUTE(IFERROR(VLOOKUP(A597,'Networking - Solution Specializ'!A:G,6,false),""),"#","")
)</f>
        <v>0</v>
      </c>
      <c r="T597" s="1">
        <f>value(SUBSTITUTE(IFERROR(VLOOKUP(A597,'Networking - Solution Specializ'!A:G,7,false),""),"#","")
)</f>
        <v>0</v>
      </c>
      <c r="U597" s="17" t="str">
        <f t="shared" si="7"/>
        <v/>
      </c>
      <c r="V597" s="1" t="str">
        <f>iferror(vlookup(A597,'Marketing Plan (extract summary'!A:G,6,false),"")</f>
        <v/>
      </c>
      <c r="W597" s="1" t="str">
        <f>iferror(vlookup(A597,'Marketing Plan (extract summary'!A:G,7,false),"")</f>
        <v/>
      </c>
      <c r="X597" s="17"/>
      <c r="Y597" s="1">
        <f>value(IFERROR(SUBSTITUTE(SUBSTITUTE(VLOOKUP(A597,'Quarterly Pipeline vs Target Pi'!A:G,6,false)," $","")," €",""), "")
)</f>
        <v>0</v>
      </c>
      <c r="Z597" s="1">
        <f>value(IFERROR(SUBSTITUTE(SUBSTITUTE(VLOOKUP(A597,'Quarterly Pipeline vs Target Pi'!A:G,7,false)," $","")," €",""), "")
)</f>
        <v>0</v>
      </c>
      <c r="AA597" s="17" t="str">
        <f t="shared" si="9"/>
        <v/>
      </c>
      <c r="AB597" s="1">
        <f>value(IFERROR(SUBSTITUTE(SUBSTITUTE(VLOOKUP($A597,'Quarterly Pipeline vs Target Pi'!$A:$V,11,false)," $","")," €",""), "")
)</f>
        <v>0</v>
      </c>
      <c r="AC597" s="1">
        <f>value(IFERROR(SUBSTITUTE(SUBSTITUTE(VLOOKUP($A597,'Quarterly Pipeline vs Target Pi'!$A:$V,12,false)," $","")," €",""), "")
)</f>
        <v>0</v>
      </c>
      <c r="AD597" s="17" t="str">
        <f t="shared" si="10"/>
        <v/>
      </c>
      <c r="AE597" s="1">
        <f>value(IFERROR(SUBSTITUTE(SUBSTITUTE(VLOOKUP($A597,'Quarterly Pipeline vs Target Pi'!$A:$V,16,false)," $","")," €",""), "")
)</f>
        <v>0</v>
      </c>
      <c r="AF597" s="1">
        <f>value(IFERROR(SUBSTITUTE(SUBSTITUTE(VLOOKUP($A597,'Quarterly Pipeline vs Target Pi'!$A:$V,17,false)," $","")," €",""), "")
)</f>
        <v>0</v>
      </c>
      <c r="AG597" s="17" t="str">
        <f t="shared" si="11"/>
        <v/>
      </c>
      <c r="AH597" s="1">
        <f>value(IFERROR(SUBSTITUTE(SUBSTITUTE(VLOOKUP($A597,'Quarterly Pipeline vs Target Pi'!$A:$V,21,false)," $","")," €",""), "")
)</f>
        <v>0</v>
      </c>
      <c r="AI597" s="1">
        <f>value(IFERROR(SUBSTITUTE(SUBSTITUTE(VLOOKUP($A597,'Quarterly Pipeline vs Target Pi'!$A:$V,22,false)," $","")," €",""), "")
)</f>
        <v>0</v>
      </c>
      <c r="AJ597" s="17" t="str">
        <f t="shared" si="12"/>
        <v/>
      </c>
      <c r="AK597" s="1">
        <f t="shared" ref="AK597:AL597" si="1207">sum(Y597,AB597,AE597,AH597)</f>
        <v>0</v>
      </c>
      <c r="AL597" s="1">
        <f t="shared" si="1207"/>
        <v>0</v>
      </c>
      <c r="AM597" s="17" t="str">
        <f t="shared" si="14"/>
        <v/>
      </c>
      <c r="AN597" s="1">
        <f>value(IFERROR(SUBSTITUTE(SUBSTITUTE(VLOOKUP($A597,'Quarterly Pipeline vs Target Pi'!$A:$AP,26,false)," $","")," €",""), "")
)</f>
        <v>0</v>
      </c>
      <c r="AO597" s="1">
        <f>value(IFERROR(SUBSTITUTE(SUBSTITUTE(VLOOKUP($A597,'Quarterly Pipeline vs Target Pi'!$A:$AP,27,false)," $","")," €",""), "")
)</f>
        <v>0</v>
      </c>
      <c r="AP597" s="17" t="str">
        <f t="shared" si="15"/>
        <v/>
      </c>
      <c r="AQ597" s="1">
        <f>value(IFERROR(SUBSTITUTE(SUBSTITUTE(VLOOKUP($A597,'Quarterly Pipeline vs Target Pi'!$A:$AP,31,false)," $","")," €",""), "")
)</f>
        <v>0</v>
      </c>
      <c r="AR597" s="1">
        <f>value(IFERROR(SUBSTITUTE(SUBSTITUTE(VLOOKUP($A597,'Quarterly Pipeline vs Target Pi'!$A:$AP,32,false)," $","")," €",""), "")
)</f>
        <v>0</v>
      </c>
      <c r="AS597" s="17" t="str">
        <f t="shared" si="16"/>
        <v/>
      </c>
      <c r="AT597" s="1">
        <f>value(IFERROR(SUBSTITUTE(SUBSTITUTE(VLOOKUP($A597,'Quarterly Pipeline vs Target Pi'!$A:$AP,36,false)," $","")," €",""), "")
)</f>
        <v>0</v>
      </c>
      <c r="AU597" s="1">
        <f>value(IFERROR(SUBSTITUTE(SUBSTITUTE(VLOOKUP($A597,'Quarterly Pipeline vs Target Pi'!$A:$AP,37,false)," $","")," €",""), "")
)</f>
        <v>0</v>
      </c>
      <c r="AV597" s="17" t="str">
        <f t="shared" si="17"/>
        <v/>
      </c>
      <c r="AW597" s="1">
        <f>value(IFERROR(SUBSTITUTE(SUBSTITUTE(VLOOKUP($A597,'Quarterly Pipeline vs Target Pi'!$A:$AP,41,false)," $","")," €",""), "")
)</f>
        <v>0</v>
      </c>
      <c r="AX597" s="1">
        <f>value(IFERROR(SUBSTITUTE(SUBSTITUTE(VLOOKUP($A597,'Quarterly Pipeline vs Target Pi'!$A:$AP,42,false)," $","")," €",""), "")
)</f>
        <v>0</v>
      </c>
      <c r="AY597" s="17" t="str">
        <f t="shared" si="18"/>
        <v/>
      </c>
      <c r="AZ597" s="1">
        <f t="shared" ref="AZ597:BA597" si="1208">sum(AN597,AQ597,AT597,AW597)</f>
        <v>0</v>
      </c>
      <c r="BA597" s="1">
        <f t="shared" si="1208"/>
        <v>0</v>
      </c>
      <c r="BB597" s="17" t="str">
        <f t="shared" si="20"/>
        <v/>
      </c>
    </row>
    <row r="598">
      <c r="G598" s="1" t="str">
        <f>iferror(VLOOKUP(A598,'Business Plan Setup and Accepta'!A:G,6,false),"")</f>
        <v/>
      </c>
      <c r="H598" s="1" t="str">
        <f>iferror(VLOOKUP(A598,'Business Plan Setup and Accepta'!A:G,7,false),"")</f>
        <v/>
      </c>
      <c r="I598" s="17"/>
      <c r="J598" s="1" t="str">
        <f>IFERROR(VALUE(SUBSTITUTE(VLOOKUP(A598,'Sales IN Revenues vs Sales targ'!A:G,6,false)," $","")), "")
</f>
        <v/>
      </c>
      <c r="K598" s="1" t="str">
        <f>IFERROR(VALUE(SUBSTITUTE(VLOOKUP(A598,'Sales IN Revenues vs Sales targ'!A:G,7,false)," $","")), "")
</f>
        <v/>
      </c>
      <c r="L598" s="17"/>
      <c r="M598" s="1">
        <f>value(SUBSTITUTE(IFERROR(VLOOKUP(A598,'Certifications achievements vs '!A:G,6,false),""),"#","")
)</f>
        <v>0</v>
      </c>
      <c r="N598" s="1">
        <f>value(SUBSTITUTE(IFERROR(VLOOKUP(A598,'Certifications achievements vs '!A:G,7,false),""),"#","")
)</f>
        <v>0</v>
      </c>
      <c r="O598" s="17"/>
      <c r="P598" s="1">
        <f>value(SUBSTITUTE(IFERROR(VLOOKUP(A598,'Communications - Solution Speci'!A:G,6,false),""),"#","")
)</f>
        <v>0</v>
      </c>
      <c r="Q598" s="1">
        <f>value(SUBSTITUTE(IFERROR(VLOOKUP(A598,'Communications - Solution Speci'!A:G,7,false),""),"#","")
)</f>
        <v>0</v>
      </c>
      <c r="R598" s="17" t="str">
        <f t="shared" si="6"/>
        <v/>
      </c>
      <c r="S598" s="1">
        <f>value(SUBSTITUTE(IFERROR(VLOOKUP(A598,'Networking - Solution Specializ'!A:G,6,false),""),"#","")
)</f>
        <v>0</v>
      </c>
      <c r="T598" s="1">
        <f>value(SUBSTITUTE(IFERROR(VLOOKUP(A598,'Networking - Solution Specializ'!A:G,7,false),""),"#","")
)</f>
        <v>0</v>
      </c>
      <c r="U598" s="17" t="str">
        <f t="shared" si="7"/>
        <v/>
      </c>
      <c r="V598" s="1" t="str">
        <f>iferror(vlookup(A598,'Marketing Plan (extract summary'!A:G,6,false),"")</f>
        <v/>
      </c>
      <c r="W598" s="1" t="str">
        <f>iferror(vlookup(A598,'Marketing Plan (extract summary'!A:G,7,false),"")</f>
        <v/>
      </c>
      <c r="X598" s="17"/>
      <c r="Y598" s="1">
        <f>value(IFERROR(SUBSTITUTE(SUBSTITUTE(VLOOKUP(A598,'Quarterly Pipeline vs Target Pi'!A:G,6,false)," $","")," €",""), "")
)</f>
        <v>0</v>
      </c>
      <c r="Z598" s="1">
        <f>value(IFERROR(SUBSTITUTE(SUBSTITUTE(VLOOKUP(A598,'Quarterly Pipeline vs Target Pi'!A:G,7,false)," $","")," €",""), "")
)</f>
        <v>0</v>
      </c>
      <c r="AA598" s="17" t="str">
        <f t="shared" si="9"/>
        <v/>
      </c>
      <c r="AB598" s="1">
        <f>value(IFERROR(SUBSTITUTE(SUBSTITUTE(VLOOKUP($A598,'Quarterly Pipeline vs Target Pi'!$A:$V,11,false)," $","")," €",""), "")
)</f>
        <v>0</v>
      </c>
      <c r="AC598" s="1">
        <f>value(IFERROR(SUBSTITUTE(SUBSTITUTE(VLOOKUP($A598,'Quarterly Pipeline vs Target Pi'!$A:$V,12,false)," $","")," €",""), "")
)</f>
        <v>0</v>
      </c>
      <c r="AD598" s="17" t="str">
        <f t="shared" si="10"/>
        <v/>
      </c>
      <c r="AE598" s="1">
        <f>value(IFERROR(SUBSTITUTE(SUBSTITUTE(VLOOKUP($A598,'Quarterly Pipeline vs Target Pi'!$A:$V,16,false)," $","")," €",""), "")
)</f>
        <v>0</v>
      </c>
      <c r="AF598" s="1">
        <f>value(IFERROR(SUBSTITUTE(SUBSTITUTE(VLOOKUP($A598,'Quarterly Pipeline vs Target Pi'!$A:$V,17,false)," $","")," €",""), "")
)</f>
        <v>0</v>
      </c>
      <c r="AG598" s="17" t="str">
        <f t="shared" si="11"/>
        <v/>
      </c>
      <c r="AH598" s="1">
        <f>value(IFERROR(SUBSTITUTE(SUBSTITUTE(VLOOKUP($A598,'Quarterly Pipeline vs Target Pi'!$A:$V,21,false)," $","")," €",""), "")
)</f>
        <v>0</v>
      </c>
      <c r="AI598" s="1">
        <f>value(IFERROR(SUBSTITUTE(SUBSTITUTE(VLOOKUP($A598,'Quarterly Pipeline vs Target Pi'!$A:$V,22,false)," $","")," €",""), "")
)</f>
        <v>0</v>
      </c>
      <c r="AJ598" s="17" t="str">
        <f t="shared" si="12"/>
        <v/>
      </c>
      <c r="AK598" s="1">
        <f t="shared" ref="AK598:AL598" si="1209">sum(Y598,AB598,AE598,AH598)</f>
        <v>0</v>
      </c>
      <c r="AL598" s="1">
        <f t="shared" si="1209"/>
        <v>0</v>
      </c>
      <c r="AM598" s="17" t="str">
        <f t="shared" si="14"/>
        <v/>
      </c>
      <c r="AN598" s="1">
        <f>value(IFERROR(SUBSTITUTE(SUBSTITUTE(VLOOKUP($A598,'Quarterly Pipeline vs Target Pi'!$A:$AP,26,false)," $","")," €",""), "")
)</f>
        <v>0</v>
      </c>
      <c r="AO598" s="1">
        <f>value(IFERROR(SUBSTITUTE(SUBSTITUTE(VLOOKUP($A598,'Quarterly Pipeline vs Target Pi'!$A:$AP,27,false)," $","")," €",""), "")
)</f>
        <v>0</v>
      </c>
      <c r="AP598" s="17" t="str">
        <f t="shared" si="15"/>
        <v/>
      </c>
      <c r="AQ598" s="1">
        <f>value(IFERROR(SUBSTITUTE(SUBSTITUTE(VLOOKUP($A598,'Quarterly Pipeline vs Target Pi'!$A:$AP,31,false)," $","")," €",""), "")
)</f>
        <v>0</v>
      </c>
      <c r="AR598" s="1">
        <f>value(IFERROR(SUBSTITUTE(SUBSTITUTE(VLOOKUP($A598,'Quarterly Pipeline vs Target Pi'!$A:$AP,32,false)," $","")," €",""), "")
)</f>
        <v>0</v>
      </c>
      <c r="AS598" s="17" t="str">
        <f t="shared" si="16"/>
        <v/>
      </c>
      <c r="AT598" s="1">
        <f>value(IFERROR(SUBSTITUTE(SUBSTITUTE(VLOOKUP($A598,'Quarterly Pipeline vs Target Pi'!$A:$AP,36,false)," $","")," €",""), "")
)</f>
        <v>0</v>
      </c>
      <c r="AU598" s="1">
        <f>value(IFERROR(SUBSTITUTE(SUBSTITUTE(VLOOKUP($A598,'Quarterly Pipeline vs Target Pi'!$A:$AP,37,false)," $","")," €",""), "")
)</f>
        <v>0</v>
      </c>
      <c r="AV598" s="17" t="str">
        <f t="shared" si="17"/>
        <v/>
      </c>
      <c r="AW598" s="1">
        <f>value(IFERROR(SUBSTITUTE(SUBSTITUTE(VLOOKUP($A598,'Quarterly Pipeline vs Target Pi'!$A:$AP,41,false)," $","")," €",""), "")
)</f>
        <v>0</v>
      </c>
      <c r="AX598" s="1">
        <f>value(IFERROR(SUBSTITUTE(SUBSTITUTE(VLOOKUP($A598,'Quarterly Pipeline vs Target Pi'!$A:$AP,42,false)," $","")," €",""), "")
)</f>
        <v>0</v>
      </c>
      <c r="AY598" s="17" t="str">
        <f t="shared" si="18"/>
        <v/>
      </c>
      <c r="AZ598" s="1">
        <f t="shared" ref="AZ598:BA598" si="1210">sum(AN598,AQ598,AT598,AW598)</f>
        <v>0</v>
      </c>
      <c r="BA598" s="1">
        <f t="shared" si="1210"/>
        <v>0</v>
      </c>
      <c r="BB598" s="17" t="str">
        <f t="shared" si="20"/>
        <v/>
      </c>
    </row>
    <row r="599">
      <c r="G599" s="1" t="str">
        <f>iferror(VLOOKUP(A599,'Business Plan Setup and Accepta'!A:G,6,false),"")</f>
        <v/>
      </c>
      <c r="H599" s="1" t="str">
        <f>iferror(VLOOKUP(A599,'Business Plan Setup and Accepta'!A:G,7,false),"")</f>
        <v/>
      </c>
      <c r="I599" s="17"/>
      <c r="J599" s="1" t="str">
        <f>IFERROR(VALUE(SUBSTITUTE(VLOOKUP(A599,'Sales IN Revenues vs Sales targ'!A:G,6,false)," $","")), "")
</f>
        <v/>
      </c>
      <c r="K599" s="1" t="str">
        <f>IFERROR(VALUE(SUBSTITUTE(VLOOKUP(A599,'Sales IN Revenues vs Sales targ'!A:G,7,false)," $","")), "")
</f>
        <v/>
      </c>
      <c r="L599" s="17"/>
      <c r="M599" s="1">
        <f>value(SUBSTITUTE(IFERROR(VLOOKUP(A599,'Certifications achievements vs '!A:G,6,false),""),"#","")
)</f>
        <v>0</v>
      </c>
      <c r="N599" s="1">
        <f>value(SUBSTITUTE(IFERROR(VLOOKUP(A599,'Certifications achievements vs '!A:G,7,false),""),"#","")
)</f>
        <v>0</v>
      </c>
      <c r="O599" s="17"/>
      <c r="P599" s="1">
        <f>value(SUBSTITUTE(IFERROR(VLOOKUP(A599,'Communications - Solution Speci'!A:G,6,false),""),"#","")
)</f>
        <v>0</v>
      </c>
      <c r="Q599" s="1">
        <f>value(SUBSTITUTE(IFERROR(VLOOKUP(A599,'Communications - Solution Speci'!A:G,7,false),""),"#","")
)</f>
        <v>0</v>
      </c>
      <c r="R599" s="17" t="str">
        <f t="shared" si="6"/>
        <v/>
      </c>
      <c r="S599" s="1">
        <f>value(SUBSTITUTE(IFERROR(VLOOKUP(A599,'Networking - Solution Specializ'!A:G,6,false),""),"#","")
)</f>
        <v>0</v>
      </c>
      <c r="T599" s="1">
        <f>value(SUBSTITUTE(IFERROR(VLOOKUP(A599,'Networking - Solution Specializ'!A:G,7,false),""),"#","")
)</f>
        <v>0</v>
      </c>
      <c r="U599" s="17" t="str">
        <f t="shared" si="7"/>
        <v/>
      </c>
      <c r="V599" s="1" t="str">
        <f>iferror(vlookup(A599,'Marketing Plan (extract summary'!A:G,6,false),"")</f>
        <v/>
      </c>
      <c r="W599" s="1" t="str">
        <f>iferror(vlookup(A599,'Marketing Plan (extract summary'!A:G,7,false),"")</f>
        <v/>
      </c>
      <c r="X599" s="17"/>
      <c r="Y599" s="1">
        <f>value(IFERROR(SUBSTITUTE(SUBSTITUTE(VLOOKUP(A599,'Quarterly Pipeline vs Target Pi'!A:G,6,false)," $","")," €",""), "")
)</f>
        <v>0</v>
      </c>
      <c r="Z599" s="1">
        <f>value(IFERROR(SUBSTITUTE(SUBSTITUTE(VLOOKUP(A599,'Quarterly Pipeline vs Target Pi'!A:G,7,false)," $","")," €",""), "")
)</f>
        <v>0</v>
      </c>
      <c r="AA599" s="17" t="str">
        <f t="shared" si="9"/>
        <v/>
      </c>
      <c r="AB599" s="1">
        <f>value(IFERROR(SUBSTITUTE(SUBSTITUTE(VLOOKUP($A599,'Quarterly Pipeline vs Target Pi'!$A:$V,11,false)," $","")," €",""), "")
)</f>
        <v>0</v>
      </c>
      <c r="AC599" s="1">
        <f>value(IFERROR(SUBSTITUTE(SUBSTITUTE(VLOOKUP($A599,'Quarterly Pipeline vs Target Pi'!$A:$V,12,false)," $","")," €",""), "")
)</f>
        <v>0</v>
      </c>
      <c r="AD599" s="17" t="str">
        <f t="shared" si="10"/>
        <v/>
      </c>
      <c r="AE599" s="1">
        <f>value(IFERROR(SUBSTITUTE(SUBSTITUTE(VLOOKUP($A599,'Quarterly Pipeline vs Target Pi'!$A:$V,16,false)," $","")," €",""), "")
)</f>
        <v>0</v>
      </c>
      <c r="AF599" s="1">
        <f>value(IFERROR(SUBSTITUTE(SUBSTITUTE(VLOOKUP($A599,'Quarterly Pipeline vs Target Pi'!$A:$V,17,false)," $","")," €",""), "")
)</f>
        <v>0</v>
      </c>
      <c r="AG599" s="17" t="str">
        <f t="shared" si="11"/>
        <v/>
      </c>
      <c r="AH599" s="1">
        <f>value(IFERROR(SUBSTITUTE(SUBSTITUTE(VLOOKUP($A599,'Quarterly Pipeline vs Target Pi'!$A:$V,21,false)," $","")," €",""), "")
)</f>
        <v>0</v>
      </c>
      <c r="AI599" s="1">
        <f>value(IFERROR(SUBSTITUTE(SUBSTITUTE(VLOOKUP($A599,'Quarterly Pipeline vs Target Pi'!$A:$V,22,false)," $","")," €",""), "")
)</f>
        <v>0</v>
      </c>
      <c r="AJ599" s="17" t="str">
        <f t="shared" si="12"/>
        <v/>
      </c>
      <c r="AK599" s="1">
        <f t="shared" ref="AK599:AL599" si="1211">sum(Y599,AB599,AE599,AH599)</f>
        <v>0</v>
      </c>
      <c r="AL599" s="1">
        <f t="shared" si="1211"/>
        <v>0</v>
      </c>
      <c r="AM599" s="17" t="str">
        <f t="shared" si="14"/>
        <v/>
      </c>
      <c r="AN599" s="1">
        <f>value(IFERROR(SUBSTITUTE(SUBSTITUTE(VLOOKUP($A599,'Quarterly Pipeline vs Target Pi'!$A:$AP,26,false)," $","")," €",""), "")
)</f>
        <v>0</v>
      </c>
      <c r="AO599" s="1">
        <f>value(IFERROR(SUBSTITUTE(SUBSTITUTE(VLOOKUP($A599,'Quarterly Pipeline vs Target Pi'!$A:$AP,27,false)," $","")," €",""), "")
)</f>
        <v>0</v>
      </c>
      <c r="AP599" s="17" t="str">
        <f t="shared" si="15"/>
        <v/>
      </c>
      <c r="AQ599" s="1">
        <f>value(IFERROR(SUBSTITUTE(SUBSTITUTE(VLOOKUP($A599,'Quarterly Pipeline vs Target Pi'!$A:$AP,31,false)," $","")," €",""), "")
)</f>
        <v>0</v>
      </c>
      <c r="AR599" s="1">
        <f>value(IFERROR(SUBSTITUTE(SUBSTITUTE(VLOOKUP($A599,'Quarterly Pipeline vs Target Pi'!$A:$AP,32,false)," $","")," €",""), "")
)</f>
        <v>0</v>
      </c>
      <c r="AS599" s="17" t="str">
        <f t="shared" si="16"/>
        <v/>
      </c>
      <c r="AT599" s="1">
        <f>value(IFERROR(SUBSTITUTE(SUBSTITUTE(VLOOKUP($A599,'Quarterly Pipeline vs Target Pi'!$A:$AP,36,false)," $","")," €",""), "")
)</f>
        <v>0</v>
      </c>
      <c r="AU599" s="1">
        <f>value(IFERROR(SUBSTITUTE(SUBSTITUTE(VLOOKUP($A599,'Quarterly Pipeline vs Target Pi'!$A:$AP,37,false)," $","")," €",""), "")
)</f>
        <v>0</v>
      </c>
      <c r="AV599" s="17" t="str">
        <f t="shared" si="17"/>
        <v/>
      </c>
      <c r="AW599" s="1">
        <f>value(IFERROR(SUBSTITUTE(SUBSTITUTE(VLOOKUP($A599,'Quarterly Pipeline vs Target Pi'!$A:$AP,41,false)," $","")," €",""), "")
)</f>
        <v>0</v>
      </c>
      <c r="AX599" s="1">
        <f>value(IFERROR(SUBSTITUTE(SUBSTITUTE(VLOOKUP($A599,'Quarterly Pipeline vs Target Pi'!$A:$AP,42,false)," $","")," €",""), "")
)</f>
        <v>0</v>
      </c>
      <c r="AY599" s="17" t="str">
        <f t="shared" si="18"/>
        <v/>
      </c>
      <c r="AZ599" s="1">
        <f t="shared" ref="AZ599:BA599" si="1212">sum(AN599,AQ599,AT599,AW599)</f>
        <v>0</v>
      </c>
      <c r="BA599" s="1">
        <f t="shared" si="1212"/>
        <v>0</v>
      </c>
      <c r="BB599" s="17" t="str">
        <f t="shared" si="20"/>
        <v/>
      </c>
    </row>
    <row r="600">
      <c r="G600" s="1" t="str">
        <f>iferror(VLOOKUP(A600,'Business Plan Setup and Accepta'!A:G,6,false),"")</f>
        <v/>
      </c>
      <c r="H600" s="1" t="str">
        <f>iferror(VLOOKUP(A600,'Business Plan Setup and Accepta'!A:G,7,false),"")</f>
        <v/>
      </c>
      <c r="I600" s="17"/>
      <c r="J600" s="1" t="str">
        <f>IFERROR(VALUE(SUBSTITUTE(VLOOKUP(A600,'Sales IN Revenues vs Sales targ'!A:G,6,false)," $","")), "")
</f>
        <v/>
      </c>
      <c r="K600" s="1" t="str">
        <f>IFERROR(VALUE(SUBSTITUTE(VLOOKUP(A600,'Sales IN Revenues vs Sales targ'!A:G,7,false)," $","")), "")
</f>
        <v/>
      </c>
      <c r="L600" s="17"/>
      <c r="M600" s="1">
        <f>value(SUBSTITUTE(IFERROR(VLOOKUP(A600,'Certifications achievements vs '!A:G,6,false),""),"#","")
)</f>
        <v>0</v>
      </c>
      <c r="N600" s="1">
        <f>value(SUBSTITUTE(IFERROR(VLOOKUP(A600,'Certifications achievements vs '!A:G,7,false),""),"#","")
)</f>
        <v>0</v>
      </c>
      <c r="O600" s="17"/>
      <c r="P600" s="1">
        <f>value(SUBSTITUTE(IFERROR(VLOOKUP(A600,'Communications - Solution Speci'!A:G,6,false),""),"#","")
)</f>
        <v>0</v>
      </c>
      <c r="Q600" s="1">
        <f>value(SUBSTITUTE(IFERROR(VLOOKUP(A600,'Communications - Solution Speci'!A:G,7,false),""),"#","")
)</f>
        <v>0</v>
      </c>
      <c r="R600" s="17" t="str">
        <f t="shared" si="6"/>
        <v/>
      </c>
      <c r="S600" s="1">
        <f>value(SUBSTITUTE(IFERROR(VLOOKUP(A600,'Networking - Solution Specializ'!A:G,6,false),""),"#","")
)</f>
        <v>0</v>
      </c>
      <c r="T600" s="1">
        <f>value(SUBSTITUTE(IFERROR(VLOOKUP(A600,'Networking - Solution Specializ'!A:G,7,false),""),"#","")
)</f>
        <v>0</v>
      </c>
      <c r="U600" s="17" t="str">
        <f t="shared" si="7"/>
        <v/>
      </c>
      <c r="V600" s="1" t="str">
        <f>iferror(vlookup(A600,'Marketing Plan (extract summary'!A:G,6,false),"")</f>
        <v/>
      </c>
      <c r="W600" s="1" t="str">
        <f>iferror(vlookup(A600,'Marketing Plan (extract summary'!A:G,7,false),"")</f>
        <v/>
      </c>
      <c r="X600" s="17"/>
      <c r="Y600" s="1">
        <f>value(IFERROR(SUBSTITUTE(SUBSTITUTE(VLOOKUP(A600,'Quarterly Pipeline vs Target Pi'!A:G,6,false)," $","")," €",""), "")
)</f>
        <v>0</v>
      </c>
      <c r="Z600" s="1">
        <f>value(IFERROR(SUBSTITUTE(SUBSTITUTE(VLOOKUP(A600,'Quarterly Pipeline vs Target Pi'!A:G,7,false)," $","")," €",""), "")
)</f>
        <v>0</v>
      </c>
      <c r="AA600" s="17" t="str">
        <f t="shared" si="9"/>
        <v/>
      </c>
      <c r="AB600" s="1">
        <f>value(IFERROR(SUBSTITUTE(SUBSTITUTE(VLOOKUP($A600,'Quarterly Pipeline vs Target Pi'!$A:$V,11,false)," $","")," €",""), "")
)</f>
        <v>0</v>
      </c>
      <c r="AC600" s="1">
        <f>value(IFERROR(SUBSTITUTE(SUBSTITUTE(VLOOKUP($A600,'Quarterly Pipeline vs Target Pi'!$A:$V,12,false)," $","")," €",""), "")
)</f>
        <v>0</v>
      </c>
      <c r="AD600" s="17" t="str">
        <f t="shared" si="10"/>
        <v/>
      </c>
      <c r="AE600" s="1">
        <f>value(IFERROR(SUBSTITUTE(SUBSTITUTE(VLOOKUP($A600,'Quarterly Pipeline vs Target Pi'!$A:$V,16,false)," $","")," €",""), "")
)</f>
        <v>0</v>
      </c>
      <c r="AF600" s="1">
        <f>value(IFERROR(SUBSTITUTE(SUBSTITUTE(VLOOKUP($A600,'Quarterly Pipeline vs Target Pi'!$A:$V,17,false)," $","")," €",""), "")
)</f>
        <v>0</v>
      </c>
      <c r="AG600" s="17" t="str">
        <f t="shared" si="11"/>
        <v/>
      </c>
      <c r="AH600" s="1">
        <f>value(IFERROR(SUBSTITUTE(SUBSTITUTE(VLOOKUP($A600,'Quarterly Pipeline vs Target Pi'!$A:$V,21,false)," $","")," €",""), "")
)</f>
        <v>0</v>
      </c>
      <c r="AI600" s="1">
        <f>value(IFERROR(SUBSTITUTE(SUBSTITUTE(VLOOKUP($A600,'Quarterly Pipeline vs Target Pi'!$A:$V,22,false)," $","")," €",""), "")
)</f>
        <v>0</v>
      </c>
      <c r="AJ600" s="17" t="str">
        <f t="shared" si="12"/>
        <v/>
      </c>
      <c r="AK600" s="1">
        <f t="shared" ref="AK600:AL600" si="1213">sum(Y600,AB600,AE600,AH600)</f>
        <v>0</v>
      </c>
      <c r="AL600" s="1">
        <f t="shared" si="1213"/>
        <v>0</v>
      </c>
      <c r="AM600" s="17" t="str">
        <f t="shared" si="14"/>
        <v/>
      </c>
      <c r="AN600" s="1">
        <f>value(IFERROR(SUBSTITUTE(SUBSTITUTE(VLOOKUP($A600,'Quarterly Pipeline vs Target Pi'!$A:$AP,26,false)," $","")," €",""), "")
)</f>
        <v>0</v>
      </c>
      <c r="AO600" s="1">
        <f>value(IFERROR(SUBSTITUTE(SUBSTITUTE(VLOOKUP($A600,'Quarterly Pipeline vs Target Pi'!$A:$AP,27,false)," $","")," €",""), "")
)</f>
        <v>0</v>
      </c>
      <c r="AP600" s="17" t="str">
        <f t="shared" si="15"/>
        <v/>
      </c>
      <c r="AQ600" s="1">
        <f>value(IFERROR(SUBSTITUTE(SUBSTITUTE(VLOOKUP($A600,'Quarterly Pipeline vs Target Pi'!$A:$AP,31,false)," $","")," €",""), "")
)</f>
        <v>0</v>
      </c>
      <c r="AR600" s="1">
        <f>value(IFERROR(SUBSTITUTE(SUBSTITUTE(VLOOKUP($A600,'Quarterly Pipeline vs Target Pi'!$A:$AP,32,false)," $","")," €",""), "")
)</f>
        <v>0</v>
      </c>
      <c r="AS600" s="17" t="str">
        <f t="shared" si="16"/>
        <v/>
      </c>
      <c r="AT600" s="1">
        <f>value(IFERROR(SUBSTITUTE(SUBSTITUTE(VLOOKUP($A600,'Quarterly Pipeline vs Target Pi'!$A:$AP,36,false)," $","")," €",""), "")
)</f>
        <v>0</v>
      </c>
      <c r="AU600" s="1">
        <f>value(IFERROR(SUBSTITUTE(SUBSTITUTE(VLOOKUP($A600,'Quarterly Pipeline vs Target Pi'!$A:$AP,37,false)," $","")," €",""), "")
)</f>
        <v>0</v>
      </c>
      <c r="AV600" s="17" t="str">
        <f t="shared" si="17"/>
        <v/>
      </c>
      <c r="AW600" s="1">
        <f>value(IFERROR(SUBSTITUTE(SUBSTITUTE(VLOOKUP($A600,'Quarterly Pipeline vs Target Pi'!$A:$AP,41,false)," $","")," €",""), "")
)</f>
        <v>0</v>
      </c>
      <c r="AX600" s="1">
        <f>value(IFERROR(SUBSTITUTE(SUBSTITUTE(VLOOKUP($A600,'Quarterly Pipeline vs Target Pi'!$A:$AP,42,false)," $","")," €",""), "")
)</f>
        <v>0</v>
      </c>
      <c r="AY600" s="17" t="str">
        <f t="shared" si="18"/>
        <v/>
      </c>
      <c r="AZ600" s="1">
        <f t="shared" ref="AZ600:BA600" si="1214">sum(AN600,AQ600,AT600,AW600)</f>
        <v>0</v>
      </c>
      <c r="BA600" s="1">
        <f t="shared" si="1214"/>
        <v>0</v>
      </c>
      <c r="BB600" s="17" t="str">
        <f t="shared" si="20"/>
        <v/>
      </c>
    </row>
    <row r="601">
      <c r="G601" s="1" t="str">
        <f>iferror(VLOOKUP(A601,'Business Plan Setup and Accepta'!A:G,6,false),"")</f>
        <v/>
      </c>
      <c r="H601" s="1" t="str">
        <f>iferror(VLOOKUP(A601,'Business Plan Setup and Accepta'!A:G,7,false),"")</f>
        <v/>
      </c>
      <c r="I601" s="17"/>
      <c r="J601" s="1" t="str">
        <f>IFERROR(VALUE(SUBSTITUTE(VLOOKUP(A601,'Sales IN Revenues vs Sales targ'!A:G,6,false)," $","")), "")
</f>
        <v/>
      </c>
      <c r="K601" s="1" t="str">
        <f>IFERROR(VALUE(SUBSTITUTE(VLOOKUP(A601,'Sales IN Revenues vs Sales targ'!A:G,7,false)," $","")), "")
</f>
        <v/>
      </c>
      <c r="L601" s="17"/>
      <c r="M601" s="1">
        <f>value(SUBSTITUTE(IFERROR(VLOOKUP(A601,'Certifications achievements vs '!A:G,6,false),""),"#","")
)</f>
        <v>0</v>
      </c>
      <c r="N601" s="1">
        <f>value(SUBSTITUTE(IFERROR(VLOOKUP(A601,'Certifications achievements vs '!A:G,7,false),""),"#","")
)</f>
        <v>0</v>
      </c>
      <c r="O601" s="17"/>
      <c r="P601" s="1">
        <f>value(SUBSTITUTE(IFERROR(VLOOKUP(A601,'Communications - Solution Speci'!A:G,6,false),""),"#","")
)</f>
        <v>0</v>
      </c>
      <c r="Q601" s="1">
        <f>value(SUBSTITUTE(IFERROR(VLOOKUP(A601,'Communications - Solution Speci'!A:G,7,false),""),"#","")
)</f>
        <v>0</v>
      </c>
      <c r="R601" s="17" t="str">
        <f t="shared" si="6"/>
        <v/>
      </c>
      <c r="S601" s="1">
        <f>value(SUBSTITUTE(IFERROR(VLOOKUP(A601,'Networking - Solution Specializ'!A:G,6,false),""),"#","")
)</f>
        <v>0</v>
      </c>
      <c r="T601" s="1">
        <f>value(SUBSTITUTE(IFERROR(VLOOKUP(A601,'Networking - Solution Specializ'!A:G,7,false),""),"#","")
)</f>
        <v>0</v>
      </c>
      <c r="U601" s="17" t="str">
        <f t="shared" si="7"/>
        <v/>
      </c>
      <c r="V601" s="1" t="str">
        <f>iferror(vlookup(A601,'Marketing Plan (extract summary'!A:G,6,false),"")</f>
        <v/>
      </c>
      <c r="W601" s="1" t="str">
        <f>iferror(vlookup(A601,'Marketing Plan (extract summary'!A:G,7,false),"")</f>
        <v/>
      </c>
      <c r="X601" s="17"/>
      <c r="Y601" s="1">
        <f>value(IFERROR(SUBSTITUTE(SUBSTITUTE(VLOOKUP(A601,'Quarterly Pipeline vs Target Pi'!A:G,6,false)," $","")," €",""), "")
)</f>
        <v>0</v>
      </c>
      <c r="Z601" s="1">
        <f>value(IFERROR(SUBSTITUTE(SUBSTITUTE(VLOOKUP(A601,'Quarterly Pipeline vs Target Pi'!A:G,7,false)," $","")," €",""), "")
)</f>
        <v>0</v>
      </c>
      <c r="AA601" s="17" t="str">
        <f t="shared" si="9"/>
        <v/>
      </c>
      <c r="AB601" s="1">
        <f>value(IFERROR(SUBSTITUTE(SUBSTITUTE(VLOOKUP($A601,'Quarterly Pipeline vs Target Pi'!$A:$V,11,false)," $","")," €",""), "")
)</f>
        <v>0</v>
      </c>
      <c r="AC601" s="1">
        <f>value(IFERROR(SUBSTITUTE(SUBSTITUTE(VLOOKUP($A601,'Quarterly Pipeline vs Target Pi'!$A:$V,12,false)," $","")," €",""), "")
)</f>
        <v>0</v>
      </c>
      <c r="AD601" s="17" t="str">
        <f t="shared" si="10"/>
        <v/>
      </c>
      <c r="AE601" s="1">
        <f>value(IFERROR(SUBSTITUTE(SUBSTITUTE(VLOOKUP($A601,'Quarterly Pipeline vs Target Pi'!$A:$V,16,false)," $","")," €",""), "")
)</f>
        <v>0</v>
      </c>
      <c r="AF601" s="1">
        <f>value(IFERROR(SUBSTITUTE(SUBSTITUTE(VLOOKUP($A601,'Quarterly Pipeline vs Target Pi'!$A:$V,17,false)," $","")," €",""), "")
)</f>
        <v>0</v>
      </c>
      <c r="AG601" s="17" t="str">
        <f t="shared" si="11"/>
        <v/>
      </c>
      <c r="AH601" s="1">
        <f>value(IFERROR(SUBSTITUTE(SUBSTITUTE(VLOOKUP($A601,'Quarterly Pipeline vs Target Pi'!$A:$V,21,false)," $","")," €",""), "")
)</f>
        <v>0</v>
      </c>
      <c r="AI601" s="1">
        <f>value(IFERROR(SUBSTITUTE(SUBSTITUTE(VLOOKUP($A601,'Quarterly Pipeline vs Target Pi'!$A:$V,22,false)," $","")," €",""), "")
)</f>
        <v>0</v>
      </c>
      <c r="AJ601" s="17" t="str">
        <f t="shared" si="12"/>
        <v/>
      </c>
      <c r="AK601" s="1">
        <f t="shared" ref="AK601:AL601" si="1215">sum(Y601,AB601,AE601,AH601)</f>
        <v>0</v>
      </c>
      <c r="AL601" s="1">
        <f t="shared" si="1215"/>
        <v>0</v>
      </c>
      <c r="AM601" s="17" t="str">
        <f t="shared" si="14"/>
        <v/>
      </c>
      <c r="AN601" s="1">
        <f>value(IFERROR(SUBSTITUTE(SUBSTITUTE(VLOOKUP($A601,'Quarterly Pipeline vs Target Pi'!$A:$AP,26,false)," $","")," €",""), "")
)</f>
        <v>0</v>
      </c>
      <c r="AO601" s="1">
        <f>value(IFERROR(SUBSTITUTE(SUBSTITUTE(VLOOKUP($A601,'Quarterly Pipeline vs Target Pi'!$A:$AP,27,false)," $","")," €",""), "")
)</f>
        <v>0</v>
      </c>
      <c r="AP601" s="17" t="str">
        <f t="shared" si="15"/>
        <v/>
      </c>
      <c r="AQ601" s="1">
        <f>value(IFERROR(SUBSTITUTE(SUBSTITUTE(VLOOKUP($A601,'Quarterly Pipeline vs Target Pi'!$A:$AP,31,false)," $","")," €",""), "")
)</f>
        <v>0</v>
      </c>
      <c r="AR601" s="1">
        <f>value(IFERROR(SUBSTITUTE(SUBSTITUTE(VLOOKUP($A601,'Quarterly Pipeline vs Target Pi'!$A:$AP,32,false)," $","")," €",""), "")
)</f>
        <v>0</v>
      </c>
      <c r="AS601" s="17" t="str">
        <f t="shared" si="16"/>
        <v/>
      </c>
      <c r="AT601" s="1">
        <f>value(IFERROR(SUBSTITUTE(SUBSTITUTE(VLOOKUP($A601,'Quarterly Pipeline vs Target Pi'!$A:$AP,36,false)," $","")," €",""), "")
)</f>
        <v>0</v>
      </c>
      <c r="AU601" s="1">
        <f>value(IFERROR(SUBSTITUTE(SUBSTITUTE(VLOOKUP($A601,'Quarterly Pipeline vs Target Pi'!$A:$AP,37,false)," $","")," €",""), "")
)</f>
        <v>0</v>
      </c>
      <c r="AV601" s="17" t="str">
        <f t="shared" si="17"/>
        <v/>
      </c>
      <c r="AW601" s="1">
        <f>value(IFERROR(SUBSTITUTE(SUBSTITUTE(VLOOKUP($A601,'Quarterly Pipeline vs Target Pi'!$A:$AP,41,false)," $","")," €",""), "")
)</f>
        <v>0</v>
      </c>
      <c r="AX601" s="1">
        <f>value(IFERROR(SUBSTITUTE(SUBSTITUTE(VLOOKUP($A601,'Quarterly Pipeline vs Target Pi'!$A:$AP,42,false)," $","")," €",""), "")
)</f>
        <v>0</v>
      </c>
      <c r="AY601" s="17" t="str">
        <f t="shared" si="18"/>
        <v/>
      </c>
      <c r="AZ601" s="1">
        <f t="shared" ref="AZ601:BA601" si="1216">sum(AN601,AQ601,AT601,AW601)</f>
        <v>0</v>
      </c>
      <c r="BA601" s="1">
        <f t="shared" si="1216"/>
        <v>0</v>
      </c>
      <c r="BB601" s="17" t="str">
        <f t="shared" si="20"/>
        <v/>
      </c>
    </row>
    <row r="602">
      <c r="G602" s="1" t="str">
        <f>iferror(VLOOKUP(A602,'Business Plan Setup and Accepta'!A:G,6,false),"")</f>
        <v/>
      </c>
      <c r="H602" s="1" t="str">
        <f>iferror(VLOOKUP(A602,'Business Plan Setup and Accepta'!A:G,7,false),"")</f>
        <v/>
      </c>
      <c r="I602" s="17"/>
      <c r="J602" s="1" t="str">
        <f>IFERROR(VALUE(SUBSTITUTE(VLOOKUP(A602,'Sales IN Revenues vs Sales targ'!A:G,6,false)," $","")), "")
</f>
        <v/>
      </c>
      <c r="K602" s="1" t="str">
        <f>IFERROR(VALUE(SUBSTITUTE(VLOOKUP(A602,'Sales IN Revenues vs Sales targ'!A:G,7,false)," $","")), "")
</f>
        <v/>
      </c>
      <c r="L602" s="17"/>
      <c r="M602" s="1">
        <f>value(SUBSTITUTE(IFERROR(VLOOKUP(A602,'Certifications achievements vs '!A:G,6,false),""),"#","")
)</f>
        <v>0</v>
      </c>
      <c r="N602" s="1">
        <f>value(SUBSTITUTE(IFERROR(VLOOKUP(A602,'Certifications achievements vs '!A:G,7,false),""),"#","")
)</f>
        <v>0</v>
      </c>
      <c r="O602" s="17"/>
      <c r="P602" s="1">
        <f>value(SUBSTITUTE(IFERROR(VLOOKUP(A602,'Communications - Solution Speci'!A:G,6,false),""),"#","")
)</f>
        <v>0</v>
      </c>
      <c r="Q602" s="1">
        <f>value(SUBSTITUTE(IFERROR(VLOOKUP(A602,'Communications - Solution Speci'!A:G,7,false),""),"#","")
)</f>
        <v>0</v>
      </c>
      <c r="R602" s="17" t="str">
        <f t="shared" si="6"/>
        <v/>
      </c>
      <c r="S602" s="1">
        <f>value(SUBSTITUTE(IFERROR(VLOOKUP(A602,'Networking - Solution Specializ'!A:G,6,false),""),"#","")
)</f>
        <v>0</v>
      </c>
      <c r="T602" s="1">
        <f>value(SUBSTITUTE(IFERROR(VLOOKUP(A602,'Networking - Solution Specializ'!A:G,7,false),""),"#","")
)</f>
        <v>0</v>
      </c>
      <c r="U602" s="17" t="str">
        <f t="shared" si="7"/>
        <v/>
      </c>
      <c r="V602" s="1" t="str">
        <f>iferror(vlookup(A602,'Marketing Plan (extract summary'!A:G,6,false),"")</f>
        <v/>
      </c>
      <c r="W602" s="1" t="str">
        <f>iferror(vlookup(A602,'Marketing Plan (extract summary'!A:G,7,false),"")</f>
        <v/>
      </c>
      <c r="X602" s="17"/>
      <c r="Y602" s="1">
        <f>value(IFERROR(SUBSTITUTE(SUBSTITUTE(VLOOKUP(A602,'Quarterly Pipeline vs Target Pi'!A:G,6,false)," $","")," €",""), "")
)</f>
        <v>0</v>
      </c>
      <c r="Z602" s="1">
        <f>value(IFERROR(SUBSTITUTE(SUBSTITUTE(VLOOKUP(A602,'Quarterly Pipeline vs Target Pi'!A:G,7,false)," $","")," €",""), "")
)</f>
        <v>0</v>
      </c>
      <c r="AA602" s="17" t="str">
        <f t="shared" si="9"/>
        <v/>
      </c>
      <c r="AB602" s="1">
        <f>value(IFERROR(SUBSTITUTE(SUBSTITUTE(VLOOKUP($A602,'Quarterly Pipeline vs Target Pi'!$A:$V,11,false)," $","")," €",""), "")
)</f>
        <v>0</v>
      </c>
      <c r="AC602" s="1">
        <f>value(IFERROR(SUBSTITUTE(SUBSTITUTE(VLOOKUP($A602,'Quarterly Pipeline vs Target Pi'!$A:$V,12,false)," $","")," €",""), "")
)</f>
        <v>0</v>
      </c>
      <c r="AD602" s="17" t="str">
        <f t="shared" si="10"/>
        <v/>
      </c>
      <c r="AE602" s="1">
        <f>value(IFERROR(SUBSTITUTE(SUBSTITUTE(VLOOKUP($A602,'Quarterly Pipeline vs Target Pi'!$A:$V,16,false)," $","")," €",""), "")
)</f>
        <v>0</v>
      </c>
      <c r="AF602" s="1">
        <f>value(IFERROR(SUBSTITUTE(SUBSTITUTE(VLOOKUP($A602,'Quarterly Pipeline vs Target Pi'!$A:$V,17,false)," $","")," €",""), "")
)</f>
        <v>0</v>
      </c>
      <c r="AG602" s="17" t="str">
        <f t="shared" si="11"/>
        <v/>
      </c>
      <c r="AH602" s="1">
        <f>value(IFERROR(SUBSTITUTE(SUBSTITUTE(VLOOKUP($A602,'Quarterly Pipeline vs Target Pi'!$A:$V,21,false)," $","")," €",""), "")
)</f>
        <v>0</v>
      </c>
      <c r="AI602" s="1">
        <f>value(IFERROR(SUBSTITUTE(SUBSTITUTE(VLOOKUP($A602,'Quarterly Pipeline vs Target Pi'!$A:$V,22,false)," $","")," €",""), "")
)</f>
        <v>0</v>
      </c>
      <c r="AJ602" s="17" t="str">
        <f t="shared" si="12"/>
        <v/>
      </c>
      <c r="AK602" s="1">
        <f t="shared" ref="AK602:AL602" si="1217">sum(Y602,AB602,AE602,AH602)</f>
        <v>0</v>
      </c>
      <c r="AL602" s="1">
        <f t="shared" si="1217"/>
        <v>0</v>
      </c>
      <c r="AM602" s="17" t="str">
        <f t="shared" si="14"/>
        <v/>
      </c>
      <c r="AN602" s="1">
        <f>value(IFERROR(SUBSTITUTE(SUBSTITUTE(VLOOKUP($A602,'Quarterly Pipeline vs Target Pi'!$A:$AP,26,false)," $","")," €",""), "")
)</f>
        <v>0</v>
      </c>
      <c r="AO602" s="1">
        <f>value(IFERROR(SUBSTITUTE(SUBSTITUTE(VLOOKUP($A602,'Quarterly Pipeline vs Target Pi'!$A:$AP,27,false)," $","")," €",""), "")
)</f>
        <v>0</v>
      </c>
      <c r="AP602" s="17" t="str">
        <f t="shared" si="15"/>
        <v/>
      </c>
      <c r="AQ602" s="1">
        <f>value(IFERROR(SUBSTITUTE(SUBSTITUTE(VLOOKUP($A602,'Quarterly Pipeline vs Target Pi'!$A:$AP,31,false)," $","")," €",""), "")
)</f>
        <v>0</v>
      </c>
      <c r="AR602" s="1">
        <f>value(IFERROR(SUBSTITUTE(SUBSTITUTE(VLOOKUP($A602,'Quarterly Pipeline vs Target Pi'!$A:$AP,32,false)," $","")," €",""), "")
)</f>
        <v>0</v>
      </c>
      <c r="AS602" s="17" t="str">
        <f t="shared" si="16"/>
        <v/>
      </c>
      <c r="AT602" s="1">
        <f>value(IFERROR(SUBSTITUTE(SUBSTITUTE(VLOOKUP($A602,'Quarterly Pipeline vs Target Pi'!$A:$AP,36,false)," $","")," €",""), "")
)</f>
        <v>0</v>
      </c>
      <c r="AU602" s="1">
        <f>value(IFERROR(SUBSTITUTE(SUBSTITUTE(VLOOKUP($A602,'Quarterly Pipeline vs Target Pi'!$A:$AP,37,false)," $","")," €",""), "")
)</f>
        <v>0</v>
      </c>
      <c r="AV602" s="17" t="str">
        <f t="shared" si="17"/>
        <v/>
      </c>
      <c r="AW602" s="1">
        <f>value(IFERROR(SUBSTITUTE(SUBSTITUTE(VLOOKUP($A602,'Quarterly Pipeline vs Target Pi'!$A:$AP,41,false)," $","")," €",""), "")
)</f>
        <v>0</v>
      </c>
      <c r="AX602" s="1">
        <f>value(IFERROR(SUBSTITUTE(SUBSTITUTE(VLOOKUP($A602,'Quarterly Pipeline vs Target Pi'!$A:$AP,42,false)," $","")," €",""), "")
)</f>
        <v>0</v>
      </c>
      <c r="AY602" s="17" t="str">
        <f t="shared" si="18"/>
        <v/>
      </c>
      <c r="AZ602" s="1">
        <f t="shared" ref="AZ602:BA602" si="1218">sum(AN602,AQ602,AT602,AW602)</f>
        <v>0</v>
      </c>
      <c r="BA602" s="1">
        <f t="shared" si="1218"/>
        <v>0</v>
      </c>
      <c r="BB602" s="17" t="str">
        <f t="shared" si="20"/>
        <v/>
      </c>
    </row>
    <row r="603">
      <c r="G603" s="1" t="str">
        <f>iferror(VLOOKUP(A603,'Business Plan Setup and Accepta'!A:G,6,false),"")</f>
        <v/>
      </c>
      <c r="H603" s="1" t="str">
        <f>iferror(VLOOKUP(A603,'Business Plan Setup and Accepta'!A:G,7,false),"")</f>
        <v/>
      </c>
      <c r="I603" s="17"/>
      <c r="J603" s="1" t="str">
        <f>IFERROR(VALUE(SUBSTITUTE(VLOOKUP(A603,'Sales IN Revenues vs Sales targ'!A:G,6,false)," $","")), "")
</f>
        <v/>
      </c>
      <c r="K603" s="1" t="str">
        <f>IFERROR(VALUE(SUBSTITUTE(VLOOKUP(A603,'Sales IN Revenues vs Sales targ'!A:G,7,false)," $","")), "")
</f>
        <v/>
      </c>
      <c r="L603" s="17"/>
      <c r="M603" s="1">
        <f>value(SUBSTITUTE(IFERROR(VLOOKUP(A603,'Certifications achievements vs '!A:G,6,false),""),"#","")
)</f>
        <v>0</v>
      </c>
      <c r="N603" s="1">
        <f>value(SUBSTITUTE(IFERROR(VLOOKUP(A603,'Certifications achievements vs '!A:G,7,false),""),"#","")
)</f>
        <v>0</v>
      </c>
      <c r="O603" s="17"/>
      <c r="P603" s="1">
        <f>value(SUBSTITUTE(IFERROR(VLOOKUP(A603,'Communications - Solution Speci'!A:G,6,false),""),"#","")
)</f>
        <v>0</v>
      </c>
      <c r="Q603" s="1">
        <f>value(SUBSTITUTE(IFERROR(VLOOKUP(A603,'Communications - Solution Speci'!A:G,7,false),""),"#","")
)</f>
        <v>0</v>
      </c>
      <c r="R603" s="17" t="str">
        <f t="shared" si="6"/>
        <v/>
      </c>
      <c r="S603" s="1">
        <f>value(SUBSTITUTE(IFERROR(VLOOKUP(A603,'Networking - Solution Specializ'!A:G,6,false),""),"#","")
)</f>
        <v>0</v>
      </c>
      <c r="T603" s="1">
        <f>value(SUBSTITUTE(IFERROR(VLOOKUP(A603,'Networking - Solution Specializ'!A:G,7,false),""),"#","")
)</f>
        <v>0</v>
      </c>
      <c r="U603" s="17" t="str">
        <f t="shared" si="7"/>
        <v/>
      </c>
      <c r="V603" s="1" t="str">
        <f>iferror(vlookup(A603,'Marketing Plan (extract summary'!A:G,6,false),"")</f>
        <v/>
      </c>
      <c r="W603" s="1" t="str">
        <f>iferror(vlookup(A603,'Marketing Plan (extract summary'!A:G,7,false),"")</f>
        <v/>
      </c>
      <c r="X603" s="17"/>
      <c r="Y603" s="1">
        <f>value(IFERROR(SUBSTITUTE(SUBSTITUTE(VLOOKUP(A603,'Quarterly Pipeline vs Target Pi'!A:G,6,false)," $","")," €",""), "")
)</f>
        <v>0</v>
      </c>
      <c r="Z603" s="1">
        <f>value(IFERROR(SUBSTITUTE(SUBSTITUTE(VLOOKUP(A603,'Quarterly Pipeline vs Target Pi'!A:G,7,false)," $","")," €",""), "")
)</f>
        <v>0</v>
      </c>
      <c r="AA603" s="17" t="str">
        <f t="shared" si="9"/>
        <v/>
      </c>
      <c r="AB603" s="1">
        <f>value(IFERROR(SUBSTITUTE(SUBSTITUTE(VLOOKUP($A603,'Quarterly Pipeline vs Target Pi'!$A:$V,11,false)," $","")," €",""), "")
)</f>
        <v>0</v>
      </c>
      <c r="AC603" s="1">
        <f>value(IFERROR(SUBSTITUTE(SUBSTITUTE(VLOOKUP($A603,'Quarterly Pipeline vs Target Pi'!$A:$V,12,false)," $","")," €",""), "")
)</f>
        <v>0</v>
      </c>
      <c r="AD603" s="17" t="str">
        <f t="shared" si="10"/>
        <v/>
      </c>
      <c r="AE603" s="1">
        <f>value(IFERROR(SUBSTITUTE(SUBSTITUTE(VLOOKUP($A603,'Quarterly Pipeline vs Target Pi'!$A:$V,16,false)," $","")," €",""), "")
)</f>
        <v>0</v>
      </c>
      <c r="AF603" s="1">
        <f>value(IFERROR(SUBSTITUTE(SUBSTITUTE(VLOOKUP($A603,'Quarterly Pipeline vs Target Pi'!$A:$V,17,false)," $","")," €",""), "")
)</f>
        <v>0</v>
      </c>
      <c r="AG603" s="17" t="str">
        <f t="shared" si="11"/>
        <v/>
      </c>
      <c r="AH603" s="1">
        <f>value(IFERROR(SUBSTITUTE(SUBSTITUTE(VLOOKUP($A603,'Quarterly Pipeline vs Target Pi'!$A:$V,21,false)," $","")," €",""), "")
)</f>
        <v>0</v>
      </c>
      <c r="AI603" s="1">
        <f>value(IFERROR(SUBSTITUTE(SUBSTITUTE(VLOOKUP($A603,'Quarterly Pipeline vs Target Pi'!$A:$V,22,false)," $","")," €",""), "")
)</f>
        <v>0</v>
      </c>
      <c r="AJ603" s="17" t="str">
        <f t="shared" si="12"/>
        <v/>
      </c>
      <c r="AK603" s="1">
        <f t="shared" ref="AK603:AL603" si="1219">sum(Y603,AB603,AE603,AH603)</f>
        <v>0</v>
      </c>
      <c r="AL603" s="1">
        <f t="shared" si="1219"/>
        <v>0</v>
      </c>
      <c r="AM603" s="17" t="str">
        <f t="shared" si="14"/>
        <v/>
      </c>
      <c r="AN603" s="1">
        <f>value(IFERROR(SUBSTITUTE(SUBSTITUTE(VLOOKUP($A603,'Quarterly Pipeline vs Target Pi'!$A:$AP,26,false)," $","")," €",""), "")
)</f>
        <v>0</v>
      </c>
      <c r="AO603" s="1">
        <f>value(IFERROR(SUBSTITUTE(SUBSTITUTE(VLOOKUP($A603,'Quarterly Pipeline vs Target Pi'!$A:$AP,27,false)," $","")," €",""), "")
)</f>
        <v>0</v>
      </c>
      <c r="AP603" s="17" t="str">
        <f t="shared" si="15"/>
        <v/>
      </c>
      <c r="AQ603" s="1">
        <f>value(IFERROR(SUBSTITUTE(SUBSTITUTE(VLOOKUP($A603,'Quarterly Pipeline vs Target Pi'!$A:$AP,31,false)," $","")," €",""), "")
)</f>
        <v>0</v>
      </c>
      <c r="AR603" s="1">
        <f>value(IFERROR(SUBSTITUTE(SUBSTITUTE(VLOOKUP($A603,'Quarterly Pipeline vs Target Pi'!$A:$AP,32,false)," $","")," €",""), "")
)</f>
        <v>0</v>
      </c>
      <c r="AS603" s="17" t="str">
        <f t="shared" si="16"/>
        <v/>
      </c>
      <c r="AT603" s="1">
        <f>value(IFERROR(SUBSTITUTE(SUBSTITUTE(VLOOKUP($A603,'Quarterly Pipeline vs Target Pi'!$A:$AP,36,false)," $","")," €",""), "")
)</f>
        <v>0</v>
      </c>
      <c r="AU603" s="1">
        <f>value(IFERROR(SUBSTITUTE(SUBSTITUTE(VLOOKUP($A603,'Quarterly Pipeline vs Target Pi'!$A:$AP,37,false)," $","")," €",""), "")
)</f>
        <v>0</v>
      </c>
      <c r="AV603" s="17" t="str">
        <f t="shared" si="17"/>
        <v/>
      </c>
      <c r="AW603" s="1">
        <f>value(IFERROR(SUBSTITUTE(SUBSTITUTE(VLOOKUP($A603,'Quarterly Pipeline vs Target Pi'!$A:$AP,41,false)," $","")," €",""), "")
)</f>
        <v>0</v>
      </c>
      <c r="AX603" s="1">
        <f>value(IFERROR(SUBSTITUTE(SUBSTITUTE(VLOOKUP($A603,'Quarterly Pipeline vs Target Pi'!$A:$AP,42,false)," $","")," €",""), "")
)</f>
        <v>0</v>
      </c>
      <c r="AY603" s="17" t="str">
        <f t="shared" si="18"/>
        <v/>
      </c>
      <c r="AZ603" s="1">
        <f t="shared" ref="AZ603:BA603" si="1220">sum(AN603,AQ603,AT603,AW603)</f>
        <v>0</v>
      </c>
      <c r="BA603" s="1">
        <f t="shared" si="1220"/>
        <v>0</v>
      </c>
      <c r="BB603" s="17" t="str">
        <f t="shared" si="20"/>
        <v/>
      </c>
    </row>
    <row r="604">
      <c r="G604" s="1" t="str">
        <f>iferror(VLOOKUP(A604,'Business Plan Setup and Accepta'!A:G,6,false),"")</f>
        <v/>
      </c>
      <c r="H604" s="1" t="str">
        <f>iferror(VLOOKUP(A604,'Business Plan Setup and Accepta'!A:G,7,false),"")</f>
        <v/>
      </c>
      <c r="I604" s="17"/>
      <c r="J604" s="1" t="str">
        <f>IFERROR(VALUE(SUBSTITUTE(VLOOKUP(A604,'Sales IN Revenues vs Sales targ'!A:G,6,false)," $","")), "")
</f>
        <v/>
      </c>
      <c r="K604" s="1" t="str">
        <f>IFERROR(VALUE(SUBSTITUTE(VLOOKUP(A604,'Sales IN Revenues vs Sales targ'!A:G,7,false)," $","")), "")
</f>
        <v/>
      </c>
      <c r="L604" s="17"/>
      <c r="M604" s="1">
        <f>value(SUBSTITUTE(IFERROR(VLOOKUP(A604,'Certifications achievements vs '!A:G,6,false),""),"#","")
)</f>
        <v>0</v>
      </c>
      <c r="N604" s="1">
        <f>value(SUBSTITUTE(IFERROR(VLOOKUP(A604,'Certifications achievements vs '!A:G,7,false),""),"#","")
)</f>
        <v>0</v>
      </c>
      <c r="O604" s="17"/>
      <c r="P604" s="1">
        <f>value(SUBSTITUTE(IFERROR(VLOOKUP(A604,'Communications - Solution Speci'!A:G,6,false),""),"#","")
)</f>
        <v>0</v>
      </c>
      <c r="Q604" s="1">
        <f>value(SUBSTITUTE(IFERROR(VLOOKUP(A604,'Communications - Solution Speci'!A:G,7,false),""),"#","")
)</f>
        <v>0</v>
      </c>
      <c r="R604" s="17" t="str">
        <f t="shared" si="6"/>
        <v/>
      </c>
      <c r="S604" s="1">
        <f>value(SUBSTITUTE(IFERROR(VLOOKUP(A604,'Networking - Solution Specializ'!A:G,6,false),""),"#","")
)</f>
        <v>0</v>
      </c>
      <c r="T604" s="1">
        <f>value(SUBSTITUTE(IFERROR(VLOOKUP(A604,'Networking - Solution Specializ'!A:G,7,false),""),"#","")
)</f>
        <v>0</v>
      </c>
      <c r="U604" s="17" t="str">
        <f t="shared" si="7"/>
        <v/>
      </c>
      <c r="V604" s="1" t="str">
        <f>iferror(vlookup(A604,'Marketing Plan (extract summary'!A:G,6,false),"")</f>
        <v/>
      </c>
      <c r="W604" s="1" t="str">
        <f>iferror(vlookup(A604,'Marketing Plan (extract summary'!A:G,7,false),"")</f>
        <v/>
      </c>
      <c r="X604" s="17"/>
      <c r="Y604" s="1">
        <f>value(IFERROR(SUBSTITUTE(SUBSTITUTE(VLOOKUP(A604,'Quarterly Pipeline vs Target Pi'!A:G,6,false)," $","")," €",""), "")
)</f>
        <v>0</v>
      </c>
      <c r="Z604" s="1">
        <f>value(IFERROR(SUBSTITUTE(SUBSTITUTE(VLOOKUP(A604,'Quarterly Pipeline vs Target Pi'!A:G,7,false)," $","")," €",""), "")
)</f>
        <v>0</v>
      </c>
      <c r="AA604" s="17" t="str">
        <f t="shared" si="9"/>
        <v/>
      </c>
      <c r="AB604" s="1">
        <f>value(IFERROR(SUBSTITUTE(SUBSTITUTE(VLOOKUP($A604,'Quarterly Pipeline vs Target Pi'!$A:$V,11,false)," $","")," €",""), "")
)</f>
        <v>0</v>
      </c>
      <c r="AC604" s="1">
        <f>value(IFERROR(SUBSTITUTE(SUBSTITUTE(VLOOKUP($A604,'Quarterly Pipeline vs Target Pi'!$A:$V,12,false)," $","")," €",""), "")
)</f>
        <v>0</v>
      </c>
      <c r="AD604" s="17" t="str">
        <f t="shared" si="10"/>
        <v/>
      </c>
      <c r="AE604" s="1">
        <f>value(IFERROR(SUBSTITUTE(SUBSTITUTE(VLOOKUP($A604,'Quarterly Pipeline vs Target Pi'!$A:$V,16,false)," $","")," €",""), "")
)</f>
        <v>0</v>
      </c>
      <c r="AF604" s="1">
        <f>value(IFERROR(SUBSTITUTE(SUBSTITUTE(VLOOKUP($A604,'Quarterly Pipeline vs Target Pi'!$A:$V,17,false)," $","")," €",""), "")
)</f>
        <v>0</v>
      </c>
      <c r="AG604" s="17" t="str">
        <f t="shared" si="11"/>
        <v/>
      </c>
      <c r="AH604" s="1">
        <f>value(IFERROR(SUBSTITUTE(SUBSTITUTE(VLOOKUP($A604,'Quarterly Pipeline vs Target Pi'!$A:$V,21,false)," $","")," €",""), "")
)</f>
        <v>0</v>
      </c>
      <c r="AI604" s="1">
        <f>value(IFERROR(SUBSTITUTE(SUBSTITUTE(VLOOKUP($A604,'Quarterly Pipeline vs Target Pi'!$A:$V,22,false)," $","")," €",""), "")
)</f>
        <v>0</v>
      </c>
      <c r="AJ604" s="17" t="str">
        <f t="shared" si="12"/>
        <v/>
      </c>
      <c r="AK604" s="1">
        <f t="shared" ref="AK604:AL604" si="1221">sum(Y604,AB604,AE604,AH604)</f>
        <v>0</v>
      </c>
      <c r="AL604" s="1">
        <f t="shared" si="1221"/>
        <v>0</v>
      </c>
      <c r="AM604" s="17" t="str">
        <f t="shared" si="14"/>
        <v/>
      </c>
      <c r="AN604" s="1">
        <f>value(IFERROR(SUBSTITUTE(SUBSTITUTE(VLOOKUP($A604,'Quarterly Pipeline vs Target Pi'!$A:$AP,26,false)," $","")," €",""), "")
)</f>
        <v>0</v>
      </c>
      <c r="AO604" s="1">
        <f>value(IFERROR(SUBSTITUTE(SUBSTITUTE(VLOOKUP($A604,'Quarterly Pipeline vs Target Pi'!$A:$AP,27,false)," $","")," €",""), "")
)</f>
        <v>0</v>
      </c>
      <c r="AP604" s="17" t="str">
        <f t="shared" si="15"/>
        <v/>
      </c>
      <c r="AQ604" s="1">
        <f>value(IFERROR(SUBSTITUTE(SUBSTITUTE(VLOOKUP($A604,'Quarterly Pipeline vs Target Pi'!$A:$AP,31,false)," $","")," €",""), "")
)</f>
        <v>0</v>
      </c>
      <c r="AR604" s="1">
        <f>value(IFERROR(SUBSTITUTE(SUBSTITUTE(VLOOKUP($A604,'Quarterly Pipeline vs Target Pi'!$A:$AP,32,false)," $","")," €",""), "")
)</f>
        <v>0</v>
      </c>
      <c r="AS604" s="17" t="str">
        <f t="shared" si="16"/>
        <v/>
      </c>
      <c r="AT604" s="1">
        <f>value(IFERROR(SUBSTITUTE(SUBSTITUTE(VLOOKUP($A604,'Quarterly Pipeline vs Target Pi'!$A:$AP,36,false)," $","")," €",""), "")
)</f>
        <v>0</v>
      </c>
      <c r="AU604" s="1">
        <f>value(IFERROR(SUBSTITUTE(SUBSTITUTE(VLOOKUP($A604,'Quarterly Pipeline vs Target Pi'!$A:$AP,37,false)," $","")," €",""), "")
)</f>
        <v>0</v>
      </c>
      <c r="AV604" s="17" t="str">
        <f t="shared" si="17"/>
        <v/>
      </c>
      <c r="AW604" s="1">
        <f>value(IFERROR(SUBSTITUTE(SUBSTITUTE(VLOOKUP($A604,'Quarterly Pipeline vs Target Pi'!$A:$AP,41,false)," $","")," €",""), "")
)</f>
        <v>0</v>
      </c>
      <c r="AX604" s="1">
        <f>value(IFERROR(SUBSTITUTE(SUBSTITUTE(VLOOKUP($A604,'Quarterly Pipeline vs Target Pi'!$A:$AP,42,false)," $","")," €",""), "")
)</f>
        <v>0</v>
      </c>
      <c r="AY604" s="17" t="str">
        <f t="shared" si="18"/>
        <v/>
      </c>
      <c r="AZ604" s="1">
        <f t="shared" ref="AZ604:BA604" si="1222">sum(AN604,AQ604,AT604,AW604)</f>
        <v>0</v>
      </c>
      <c r="BA604" s="1">
        <f t="shared" si="1222"/>
        <v>0</v>
      </c>
      <c r="BB604" s="17" t="str">
        <f t="shared" si="20"/>
        <v/>
      </c>
    </row>
    <row r="605">
      <c r="G605" s="1" t="str">
        <f>iferror(VLOOKUP(A605,'Business Plan Setup and Accepta'!A:G,6,false),"")</f>
        <v/>
      </c>
      <c r="H605" s="1" t="str">
        <f>iferror(VLOOKUP(A605,'Business Plan Setup and Accepta'!A:G,7,false),"")</f>
        <v/>
      </c>
      <c r="I605" s="17"/>
      <c r="J605" s="1" t="str">
        <f>IFERROR(VALUE(SUBSTITUTE(VLOOKUP(A605,'Sales IN Revenues vs Sales targ'!A:G,6,false)," $","")), "")
</f>
        <v/>
      </c>
      <c r="K605" s="1" t="str">
        <f>IFERROR(VALUE(SUBSTITUTE(VLOOKUP(A605,'Sales IN Revenues vs Sales targ'!A:G,7,false)," $","")), "")
</f>
        <v/>
      </c>
      <c r="L605" s="17"/>
      <c r="M605" s="1">
        <f>value(SUBSTITUTE(IFERROR(VLOOKUP(A605,'Certifications achievements vs '!A:G,6,false),""),"#","")
)</f>
        <v>0</v>
      </c>
      <c r="N605" s="1">
        <f>value(SUBSTITUTE(IFERROR(VLOOKUP(A605,'Certifications achievements vs '!A:G,7,false),""),"#","")
)</f>
        <v>0</v>
      </c>
      <c r="O605" s="17"/>
      <c r="P605" s="1">
        <f>value(SUBSTITUTE(IFERROR(VLOOKUP(A605,'Communications - Solution Speci'!A:G,6,false),""),"#","")
)</f>
        <v>0</v>
      </c>
      <c r="Q605" s="1">
        <f>value(SUBSTITUTE(IFERROR(VLOOKUP(A605,'Communications - Solution Speci'!A:G,7,false),""),"#","")
)</f>
        <v>0</v>
      </c>
      <c r="R605" s="17" t="str">
        <f t="shared" si="6"/>
        <v/>
      </c>
      <c r="S605" s="1">
        <f>value(SUBSTITUTE(IFERROR(VLOOKUP(A605,'Networking - Solution Specializ'!A:G,6,false),""),"#","")
)</f>
        <v>0</v>
      </c>
      <c r="T605" s="1">
        <f>value(SUBSTITUTE(IFERROR(VLOOKUP(A605,'Networking - Solution Specializ'!A:G,7,false),""),"#","")
)</f>
        <v>0</v>
      </c>
      <c r="U605" s="17" t="str">
        <f t="shared" si="7"/>
        <v/>
      </c>
      <c r="V605" s="1" t="str">
        <f>iferror(vlookup(A605,'Marketing Plan (extract summary'!A:G,6,false),"")</f>
        <v/>
      </c>
      <c r="W605" s="1" t="str">
        <f>iferror(vlookup(A605,'Marketing Plan (extract summary'!A:G,7,false),"")</f>
        <v/>
      </c>
      <c r="X605" s="17"/>
      <c r="Y605" s="1">
        <f>value(IFERROR(SUBSTITUTE(SUBSTITUTE(VLOOKUP(A605,'Quarterly Pipeline vs Target Pi'!A:G,6,false)," $","")," €",""), "")
)</f>
        <v>0</v>
      </c>
      <c r="Z605" s="1">
        <f>value(IFERROR(SUBSTITUTE(SUBSTITUTE(VLOOKUP(A605,'Quarterly Pipeline vs Target Pi'!A:G,7,false)," $","")," €",""), "")
)</f>
        <v>0</v>
      </c>
      <c r="AA605" s="17" t="str">
        <f t="shared" si="9"/>
        <v/>
      </c>
      <c r="AB605" s="1">
        <f>value(IFERROR(SUBSTITUTE(SUBSTITUTE(VLOOKUP($A605,'Quarterly Pipeline vs Target Pi'!$A:$V,11,false)," $","")," €",""), "")
)</f>
        <v>0</v>
      </c>
      <c r="AC605" s="1">
        <f>value(IFERROR(SUBSTITUTE(SUBSTITUTE(VLOOKUP($A605,'Quarterly Pipeline vs Target Pi'!$A:$V,12,false)," $","")," €",""), "")
)</f>
        <v>0</v>
      </c>
      <c r="AD605" s="17" t="str">
        <f t="shared" si="10"/>
        <v/>
      </c>
      <c r="AE605" s="1">
        <f>value(IFERROR(SUBSTITUTE(SUBSTITUTE(VLOOKUP($A605,'Quarterly Pipeline vs Target Pi'!$A:$V,16,false)," $","")," €",""), "")
)</f>
        <v>0</v>
      </c>
      <c r="AF605" s="1">
        <f>value(IFERROR(SUBSTITUTE(SUBSTITUTE(VLOOKUP($A605,'Quarterly Pipeline vs Target Pi'!$A:$V,17,false)," $","")," €",""), "")
)</f>
        <v>0</v>
      </c>
      <c r="AG605" s="17" t="str">
        <f t="shared" si="11"/>
        <v/>
      </c>
      <c r="AH605" s="1">
        <f>value(IFERROR(SUBSTITUTE(SUBSTITUTE(VLOOKUP($A605,'Quarterly Pipeline vs Target Pi'!$A:$V,21,false)," $","")," €",""), "")
)</f>
        <v>0</v>
      </c>
      <c r="AI605" s="1">
        <f>value(IFERROR(SUBSTITUTE(SUBSTITUTE(VLOOKUP($A605,'Quarterly Pipeline vs Target Pi'!$A:$V,22,false)," $","")," €",""), "")
)</f>
        <v>0</v>
      </c>
      <c r="AJ605" s="17" t="str">
        <f t="shared" si="12"/>
        <v/>
      </c>
      <c r="AK605" s="1">
        <f t="shared" ref="AK605:AL605" si="1223">sum(Y605,AB605,AE605,AH605)</f>
        <v>0</v>
      </c>
      <c r="AL605" s="1">
        <f t="shared" si="1223"/>
        <v>0</v>
      </c>
      <c r="AM605" s="17" t="str">
        <f t="shared" si="14"/>
        <v/>
      </c>
      <c r="AN605" s="1">
        <f>value(IFERROR(SUBSTITUTE(SUBSTITUTE(VLOOKUP($A605,'Quarterly Pipeline vs Target Pi'!$A:$AP,26,false)," $","")," €",""), "")
)</f>
        <v>0</v>
      </c>
      <c r="AO605" s="1">
        <f>value(IFERROR(SUBSTITUTE(SUBSTITUTE(VLOOKUP($A605,'Quarterly Pipeline vs Target Pi'!$A:$AP,27,false)," $","")," €",""), "")
)</f>
        <v>0</v>
      </c>
      <c r="AP605" s="17" t="str">
        <f t="shared" si="15"/>
        <v/>
      </c>
      <c r="AQ605" s="1">
        <f>value(IFERROR(SUBSTITUTE(SUBSTITUTE(VLOOKUP($A605,'Quarterly Pipeline vs Target Pi'!$A:$AP,31,false)," $","")," €",""), "")
)</f>
        <v>0</v>
      </c>
      <c r="AR605" s="1">
        <f>value(IFERROR(SUBSTITUTE(SUBSTITUTE(VLOOKUP($A605,'Quarterly Pipeline vs Target Pi'!$A:$AP,32,false)," $","")," €",""), "")
)</f>
        <v>0</v>
      </c>
      <c r="AS605" s="17" t="str">
        <f t="shared" si="16"/>
        <v/>
      </c>
      <c r="AT605" s="1">
        <f>value(IFERROR(SUBSTITUTE(SUBSTITUTE(VLOOKUP($A605,'Quarterly Pipeline vs Target Pi'!$A:$AP,36,false)," $","")," €",""), "")
)</f>
        <v>0</v>
      </c>
      <c r="AU605" s="1">
        <f>value(IFERROR(SUBSTITUTE(SUBSTITUTE(VLOOKUP($A605,'Quarterly Pipeline vs Target Pi'!$A:$AP,37,false)," $","")," €",""), "")
)</f>
        <v>0</v>
      </c>
      <c r="AV605" s="17" t="str">
        <f t="shared" si="17"/>
        <v/>
      </c>
      <c r="AW605" s="1">
        <f>value(IFERROR(SUBSTITUTE(SUBSTITUTE(VLOOKUP($A605,'Quarterly Pipeline vs Target Pi'!$A:$AP,41,false)," $","")," €",""), "")
)</f>
        <v>0</v>
      </c>
      <c r="AX605" s="1">
        <f>value(IFERROR(SUBSTITUTE(SUBSTITUTE(VLOOKUP($A605,'Quarterly Pipeline vs Target Pi'!$A:$AP,42,false)," $","")," €",""), "")
)</f>
        <v>0</v>
      </c>
      <c r="AY605" s="17" t="str">
        <f t="shared" si="18"/>
        <v/>
      </c>
      <c r="AZ605" s="1">
        <f t="shared" ref="AZ605:BA605" si="1224">sum(AN605,AQ605,AT605,AW605)</f>
        <v>0</v>
      </c>
      <c r="BA605" s="1">
        <f t="shared" si="1224"/>
        <v>0</v>
      </c>
      <c r="BB605" s="17" t="str">
        <f t="shared" si="20"/>
        <v/>
      </c>
    </row>
    <row r="606">
      <c r="G606" s="1" t="str">
        <f>iferror(VLOOKUP(A606,'Business Plan Setup and Accepta'!A:G,6,false),"")</f>
        <v/>
      </c>
      <c r="H606" s="1" t="str">
        <f>iferror(VLOOKUP(A606,'Business Plan Setup and Accepta'!A:G,7,false),"")</f>
        <v/>
      </c>
      <c r="I606" s="17"/>
      <c r="J606" s="1" t="str">
        <f>IFERROR(VALUE(SUBSTITUTE(VLOOKUP(A606,'Sales IN Revenues vs Sales targ'!A:G,6,false)," $","")), "")
</f>
        <v/>
      </c>
      <c r="K606" s="1" t="str">
        <f>IFERROR(VALUE(SUBSTITUTE(VLOOKUP(A606,'Sales IN Revenues vs Sales targ'!A:G,7,false)," $","")), "")
</f>
        <v/>
      </c>
      <c r="L606" s="17"/>
      <c r="M606" s="1">
        <f>value(SUBSTITUTE(IFERROR(VLOOKUP(A606,'Certifications achievements vs '!A:G,6,false),""),"#","")
)</f>
        <v>0</v>
      </c>
      <c r="N606" s="1">
        <f>value(SUBSTITUTE(IFERROR(VLOOKUP(A606,'Certifications achievements vs '!A:G,7,false),""),"#","")
)</f>
        <v>0</v>
      </c>
      <c r="O606" s="17"/>
      <c r="P606" s="1">
        <f>value(SUBSTITUTE(IFERROR(VLOOKUP(A606,'Communications - Solution Speci'!A:G,6,false),""),"#","")
)</f>
        <v>0</v>
      </c>
      <c r="Q606" s="1">
        <f>value(SUBSTITUTE(IFERROR(VLOOKUP(A606,'Communications - Solution Speci'!A:G,7,false),""),"#","")
)</f>
        <v>0</v>
      </c>
      <c r="R606" s="17" t="str">
        <f t="shared" si="6"/>
        <v/>
      </c>
      <c r="S606" s="1">
        <f>value(SUBSTITUTE(IFERROR(VLOOKUP(A606,'Networking - Solution Specializ'!A:G,6,false),""),"#","")
)</f>
        <v>0</v>
      </c>
      <c r="T606" s="1">
        <f>value(SUBSTITUTE(IFERROR(VLOOKUP(A606,'Networking - Solution Specializ'!A:G,7,false),""),"#","")
)</f>
        <v>0</v>
      </c>
      <c r="U606" s="17" t="str">
        <f t="shared" si="7"/>
        <v/>
      </c>
      <c r="V606" s="1" t="str">
        <f>iferror(vlookup(A606,'Marketing Plan (extract summary'!A:G,6,false),"")</f>
        <v/>
      </c>
      <c r="W606" s="1" t="str">
        <f>iferror(vlookup(A606,'Marketing Plan (extract summary'!A:G,7,false),"")</f>
        <v/>
      </c>
      <c r="X606" s="17"/>
      <c r="Y606" s="1">
        <f>value(IFERROR(SUBSTITUTE(SUBSTITUTE(VLOOKUP(A606,'Quarterly Pipeline vs Target Pi'!A:G,6,false)," $","")," €",""), "")
)</f>
        <v>0</v>
      </c>
      <c r="Z606" s="1">
        <f>value(IFERROR(SUBSTITUTE(SUBSTITUTE(VLOOKUP(A606,'Quarterly Pipeline vs Target Pi'!A:G,7,false)," $","")," €",""), "")
)</f>
        <v>0</v>
      </c>
      <c r="AA606" s="17" t="str">
        <f t="shared" si="9"/>
        <v/>
      </c>
      <c r="AB606" s="1">
        <f>value(IFERROR(SUBSTITUTE(SUBSTITUTE(VLOOKUP($A606,'Quarterly Pipeline vs Target Pi'!$A:$V,11,false)," $","")," €",""), "")
)</f>
        <v>0</v>
      </c>
      <c r="AC606" s="1">
        <f>value(IFERROR(SUBSTITUTE(SUBSTITUTE(VLOOKUP($A606,'Quarterly Pipeline vs Target Pi'!$A:$V,12,false)," $","")," €",""), "")
)</f>
        <v>0</v>
      </c>
      <c r="AD606" s="17" t="str">
        <f t="shared" si="10"/>
        <v/>
      </c>
      <c r="AE606" s="1">
        <f>value(IFERROR(SUBSTITUTE(SUBSTITUTE(VLOOKUP($A606,'Quarterly Pipeline vs Target Pi'!$A:$V,16,false)," $","")," €",""), "")
)</f>
        <v>0</v>
      </c>
      <c r="AF606" s="1">
        <f>value(IFERROR(SUBSTITUTE(SUBSTITUTE(VLOOKUP($A606,'Quarterly Pipeline vs Target Pi'!$A:$V,17,false)," $","")," €",""), "")
)</f>
        <v>0</v>
      </c>
      <c r="AG606" s="17" t="str">
        <f t="shared" si="11"/>
        <v/>
      </c>
      <c r="AH606" s="1">
        <f>value(IFERROR(SUBSTITUTE(SUBSTITUTE(VLOOKUP($A606,'Quarterly Pipeline vs Target Pi'!$A:$V,21,false)," $","")," €",""), "")
)</f>
        <v>0</v>
      </c>
      <c r="AI606" s="1">
        <f>value(IFERROR(SUBSTITUTE(SUBSTITUTE(VLOOKUP($A606,'Quarterly Pipeline vs Target Pi'!$A:$V,22,false)," $","")," €",""), "")
)</f>
        <v>0</v>
      </c>
      <c r="AJ606" s="17" t="str">
        <f t="shared" si="12"/>
        <v/>
      </c>
      <c r="AK606" s="1">
        <f t="shared" ref="AK606:AL606" si="1225">sum(Y606,AB606,AE606,AH606)</f>
        <v>0</v>
      </c>
      <c r="AL606" s="1">
        <f t="shared" si="1225"/>
        <v>0</v>
      </c>
      <c r="AM606" s="17" t="str">
        <f t="shared" si="14"/>
        <v/>
      </c>
      <c r="AN606" s="1">
        <f>value(IFERROR(SUBSTITUTE(SUBSTITUTE(VLOOKUP($A606,'Quarterly Pipeline vs Target Pi'!$A:$AP,26,false)," $","")," €",""), "")
)</f>
        <v>0</v>
      </c>
      <c r="AO606" s="1">
        <f>value(IFERROR(SUBSTITUTE(SUBSTITUTE(VLOOKUP($A606,'Quarterly Pipeline vs Target Pi'!$A:$AP,27,false)," $","")," €",""), "")
)</f>
        <v>0</v>
      </c>
      <c r="AP606" s="17" t="str">
        <f t="shared" si="15"/>
        <v/>
      </c>
      <c r="AQ606" s="1">
        <f>value(IFERROR(SUBSTITUTE(SUBSTITUTE(VLOOKUP($A606,'Quarterly Pipeline vs Target Pi'!$A:$AP,31,false)," $","")," €",""), "")
)</f>
        <v>0</v>
      </c>
      <c r="AR606" s="1">
        <f>value(IFERROR(SUBSTITUTE(SUBSTITUTE(VLOOKUP($A606,'Quarterly Pipeline vs Target Pi'!$A:$AP,32,false)," $","")," €",""), "")
)</f>
        <v>0</v>
      </c>
      <c r="AS606" s="17" t="str">
        <f t="shared" si="16"/>
        <v/>
      </c>
      <c r="AT606" s="1">
        <f>value(IFERROR(SUBSTITUTE(SUBSTITUTE(VLOOKUP($A606,'Quarterly Pipeline vs Target Pi'!$A:$AP,36,false)," $","")," €",""), "")
)</f>
        <v>0</v>
      </c>
      <c r="AU606" s="1">
        <f>value(IFERROR(SUBSTITUTE(SUBSTITUTE(VLOOKUP($A606,'Quarterly Pipeline vs Target Pi'!$A:$AP,37,false)," $","")," €",""), "")
)</f>
        <v>0</v>
      </c>
      <c r="AV606" s="17" t="str">
        <f t="shared" si="17"/>
        <v/>
      </c>
      <c r="AW606" s="1">
        <f>value(IFERROR(SUBSTITUTE(SUBSTITUTE(VLOOKUP($A606,'Quarterly Pipeline vs Target Pi'!$A:$AP,41,false)," $","")," €",""), "")
)</f>
        <v>0</v>
      </c>
      <c r="AX606" s="1">
        <f>value(IFERROR(SUBSTITUTE(SUBSTITUTE(VLOOKUP($A606,'Quarterly Pipeline vs Target Pi'!$A:$AP,42,false)," $","")," €",""), "")
)</f>
        <v>0</v>
      </c>
      <c r="AY606" s="17" t="str">
        <f t="shared" si="18"/>
        <v/>
      </c>
      <c r="AZ606" s="1">
        <f t="shared" ref="AZ606:BA606" si="1226">sum(AN606,AQ606,AT606,AW606)</f>
        <v>0</v>
      </c>
      <c r="BA606" s="1">
        <f t="shared" si="1226"/>
        <v>0</v>
      </c>
      <c r="BB606" s="17" t="str">
        <f t="shared" si="20"/>
        <v/>
      </c>
    </row>
    <row r="607">
      <c r="G607" s="1" t="str">
        <f>iferror(VLOOKUP(A607,'Business Plan Setup and Accepta'!A:G,6,false),"")</f>
        <v/>
      </c>
      <c r="H607" s="1" t="str">
        <f>iferror(VLOOKUP(A607,'Business Plan Setup and Accepta'!A:G,7,false),"")</f>
        <v/>
      </c>
      <c r="I607" s="17"/>
      <c r="J607" s="1" t="str">
        <f>IFERROR(VALUE(SUBSTITUTE(VLOOKUP(A607,'Sales IN Revenues vs Sales targ'!A:G,6,false)," $","")), "")
</f>
        <v/>
      </c>
      <c r="K607" s="1" t="str">
        <f>IFERROR(VALUE(SUBSTITUTE(VLOOKUP(A607,'Sales IN Revenues vs Sales targ'!A:G,7,false)," $","")), "")
</f>
        <v/>
      </c>
      <c r="L607" s="17"/>
      <c r="M607" s="1">
        <f>value(SUBSTITUTE(IFERROR(VLOOKUP(A607,'Certifications achievements vs '!A:G,6,false),""),"#","")
)</f>
        <v>0</v>
      </c>
      <c r="N607" s="1">
        <f>value(SUBSTITUTE(IFERROR(VLOOKUP(A607,'Certifications achievements vs '!A:G,7,false),""),"#","")
)</f>
        <v>0</v>
      </c>
      <c r="O607" s="17"/>
      <c r="P607" s="1">
        <f>value(SUBSTITUTE(IFERROR(VLOOKUP(A607,'Communications - Solution Speci'!A:G,6,false),""),"#","")
)</f>
        <v>0</v>
      </c>
      <c r="Q607" s="1">
        <f>value(SUBSTITUTE(IFERROR(VLOOKUP(A607,'Communications - Solution Speci'!A:G,7,false),""),"#","")
)</f>
        <v>0</v>
      </c>
      <c r="R607" s="17" t="str">
        <f t="shared" si="6"/>
        <v/>
      </c>
      <c r="S607" s="1">
        <f>value(SUBSTITUTE(IFERROR(VLOOKUP(A607,'Networking - Solution Specializ'!A:G,6,false),""),"#","")
)</f>
        <v>0</v>
      </c>
      <c r="T607" s="1">
        <f>value(SUBSTITUTE(IFERROR(VLOOKUP(A607,'Networking - Solution Specializ'!A:G,7,false),""),"#","")
)</f>
        <v>0</v>
      </c>
      <c r="U607" s="17" t="str">
        <f t="shared" si="7"/>
        <v/>
      </c>
      <c r="V607" s="1" t="str">
        <f>iferror(vlookup(A607,'Marketing Plan (extract summary'!A:G,6,false),"")</f>
        <v/>
      </c>
      <c r="W607" s="1" t="str">
        <f>iferror(vlookup(A607,'Marketing Plan (extract summary'!A:G,7,false),"")</f>
        <v/>
      </c>
      <c r="X607" s="17"/>
      <c r="Y607" s="1">
        <f>value(IFERROR(SUBSTITUTE(SUBSTITUTE(VLOOKUP(A607,'Quarterly Pipeline vs Target Pi'!A:G,6,false)," $","")," €",""), "")
)</f>
        <v>0</v>
      </c>
      <c r="Z607" s="1">
        <f>value(IFERROR(SUBSTITUTE(SUBSTITUTE(VLOOKUP(A607,'Quarterly Pipeline vs Target Pi'!A:G,7,false)," $","")," €",""), "")
)</f>
        <v>0</v>
      </c>
      <c r="AA607" s="17" t="str">
        <f t="shared" si="9"/>
        <v/>
      </c>
      <c r="AB607" s="1">
        <f>value(IFERROR(SUBSTITUTE(SUBSTITUTE(VLOOKUP($A607,'Quarterly Pipeline vs Target Pi'!$A:$V,11,false)," $","")," €",""), "")
)</f>
        <v>0</v>
      </c>
      <c r="AC607" s="1">
        <f>value(IFERROR(SUBSTITUTE(SUBSTITUTE(VLOOKUP($A607,'Quarterly Pipeline vs Target Pi'!$A:$V,12,false)," $","")," €",""), "")
)</f>
        <v>0</v>
      </c>
      <c r="AD607" s="17" t="str">
        <f t="shared" si="10"/>
        <v/>
      </c>
      <c r="AE607" s="1">
        <f>value(IFERROR(SUBSTITUTE(SUBSTITUTE(VLOOKUP($A607,'Quarterly Pipeline vs Target Pi'!$A:$V,16,false)," $","")," €",""), "")
)</f>
        <v>0</v>
      </c>
      <c r="AF607" s="1">
        <f>value(IFERROR(SUBSTITUTE(SUBSTITUTE(VLOOKUP($A607,'Quarterly Pipeline vs Target Pi'!$A:$V,17,false)," $","")," €",""), "")
)</f>
        <v>0</v>
      </c>
      <c r="AG607" s="17" t="str">
        <f t="shared" si="11"/>
        <v/>
      </c>
      <c r="AH607" s="1">
        <f>value(IFERROR(SUBSTITUTE(SUBSTITUTE(VLOOKUP($A607,'Quarterly Pipeline vs Target Pi'!$A:$V,21,false)," $","")," €",""), "")
)</f>
        <v>0</v>
      </c>
      <c r="AI607" s="1">
        <f>value(IFERROR(SUBSTITUTE(SUBSTITUTE(VLOOKUP($A607,'Quarterly Pipeline vs Target Pi'!$A:$V,22,false)," $","")," €",""), "")
)</f>
        <v>0</v>
      </c>
      <c r="AJ607" s="17" t="str">
        <f t="shared" si="12"/>
        <v/>
      </c>
      <c r="AK607" s="1">
        <f t="shared" ref="AK607:AL607" si="1227">sum(Y607,AB607,AE607,AH607)</f>
        <v>0</v>
      </c>
      <c r="AL607" s="1">
        <f t="shared" si="1227"/>
        <v>0</v>
      </c>
      <c r="AM607" s="17" t="str">
        <f t="shared" si="14"/>
        <v/>
      </c>
      <c r="AN607" s="1">
        <f>value(IFERROR(SUBSTITUTE(SUBSTITUTE(VLOOKUP($A607,'Quarterly Pipeline vs Target Pi'!$A:$AP,26,false)," $","")," €",""), "")
)</f>
        <v>0</v>
      </c>
      <c r="AO607" s="1">
        <f>value(IFERROR(SUBSTITUTE(SUBSTITUTE(VLOOKUP($A607,'Quarterly Pipeline vs Target Pi'!$A:$AP,27,false)," $","")," €",""), "")
)</f>
        <v>0</v>
      </c>
      <c r="AP607" s="17" t="str">
        <f t="shared" si="15"/>
        <v/>
      </c>
      <c r="AQ607" s="1">
        <f>value(IFERROR(SUBSTITUTE(SUBSTITUTE(VLOOKUP($A607,'Quarterly Pipeline vs Target Pi'!$A:$AP,31,false)," $","")," €",""), "")
)</f>
        <v>0</v>
      </c>
      <c r="AR607" s="1">
        <f>value(IFERROR(SUBSTITUTE(SUBSTITUTE(VLOOKUP($A607,'Quarterly Pipeline vs Target Pi'!$A:$AP,32,false)," $","")," €",""), "")
)</f>
        <v>0</v>
      </c>
      <c r="AS607" s="17" t="str">
        <f t="shared" si="16"/>
        <v/>
      </c>
      <c r="AT607" s="1">
        <f>value(IFERROR(SUBSTITUTE(SUBSTITUTE(VLOOKUP($A607,'Quarterly Pipeline vs Target Pi'!$A:$AP,36,false)," $","")," €",""), "")
)</f>
        <v>0</v>
      </c>
      <c r="AU607" s="1">
        <f>value(IFERROR(SUBSTITUTE(SUBSTITUTE(VLOOKUP($A607,'Quarterly Pipeline vs Target Pi'!$A:$AP,37,false)," $","")," €",""), "")
)</f>
        <v>0</v>
      </c>
      <c r="AV607" s="17" t="str">
        <f t="shared" si="17"/>
        <v/>
      </c>
      <c r="AW607" s="1">
        <f>value(IFERROR(SUBSTITUTE(SUBSTITUTE(VLOOKUP($A607,'Quarterly Pipeline vs Target Pi'!$A:$AP,41,false)," $","")," €",""), "")
)</f>
        <v>0</v>
      </c>
      <c r="AX607" s="1">
        <f>value(IFERROR(SUBSTITUTE(SUBSTITUTE(VLOOKUP($A607,'Quarterly Pipeline vs Target Pi'!$A:$AP,42,false)," $","")," €",""), "")
)</f>
        <v>0</v>
      </c>
      <c r="AY607" s="17" t="str">
        <f t="shared" si="18"/>
        <v/>
      </c>
      <c r="AZ607" s="1">
        <f t="shared" ref="AZ607:BA607" si="1228">sum(AN607,AQ607,AT607,AW607)</f>
        <v>0</v>
      </c>
      <c r="BA607" s="1">
        <f t="shared" si="1228"/>
        <v>0</v>
      </c>
      <c r="BB607" s="17" t="str">
        <f t="shared" si="20"/>
        <v/>
      </c>
    </row>
    <row r="608">
      <c r="G608" s="1" t="str">
        <f>iferror(VLOOKUP(A608,'Business Plan Setup and Accepta'!A:G,6,false),"")</f>
        <v/>
      </c>
      <c r="H608" s="1" t="str">
        <f>iferror(VLOOKUP(A608,'Business Plan Setup and Accepta'!A:G,7,false),"")</f>
        <v/>
      </c>
      <c r="I608" s="17"/>
      <c r="J608" s="1" t="str">
        <f>IFERROR(VALUE(SUBSTITUTE(VLOOKUP(A608,'Sales IN Revenues vs Sales targ'!A:G,6,false)," $","")), "")
</f>
        <v/>
      </c>
      <c r="K608" s="1" t="str">
        <f>IFERROR(VALUE(SUBSTITUTE(VLOOKUP(A608,'Sales IN Revenues vs Sales targ'!A:G,7,false)," $","")), "")
</f>
        <v/>
      </c>
      <c r="L608" s="17"/>
      <c r="M608" s="1">
        <f>value(SUBSTITUTE(IFERROR(VLOOKUP(A608,'Certifications achievements vs '!A:G,6,false),""),"#","")
)</f>
        <v>0</v>
      </c>
      <c r="N608" s="1">
        <f>value(SUBSTITUTE(IFERROR(VLOOKUP(A608,'Certifications achievements vs '!A:G,7,false),""),"#","")
)</f>
        <v>0</v>
      </c>
      <c r="O608" s="17"/>
      <c r="P608" s="1">
        <f>value(SUBSTITUTE(IFERROR(VLOOKUP(A608,'Communications - Solution Speci'!A:G,6,false),""),"#","")
)</f>
        <v>0</v>
      </c>
      <c r="Q608" s="1">
        <f>value(SUBSTITUTE(IFERROR(VLOOKUP(A608,'Communications - Solution Speci'!A:G,7,false),""),"#","")
)</f>
        <v>0</v>
      </c>
      <c r="R608" s="17" t="str">
        <f t="shared" si="6"/>
        <v/>
      </c>
      <c r="S608" s="1">
        <f>value(SUBSTITUTE(IFERROR(VLOOKUP(A608,'Networking - Solution Specializ'!A:G,6,false),""),"#","")
)</f>
        <v>0</v>
      </c>
      <c r="T608" s="1">
        <f>value(SUBSTITUTE(IFERROR(VLOOKUP(A608,'Networking - Solution Specializ'!A:G,7,false),""),"#","")
)</f>
        <v>0</v>
      </c>
      <c r="U608" s="17" t="str">
        <f t="shared" si="7"/>
        <v/>
      </c>
      <c r="V608" s="1" t="str">
        <f>iferror(vlookup(A608,'Marketing Plan (extract summary'!A:G,6,false),"")</f>
        <v/>
      </c>
      <c r="W608" s="1" t="str">
        <f>iferror(vlookup(A608,'Marketing Plan (extract summary'!A:G,7,false),"")</f>
        <v/>
      </c>
      <c r="X608" s="17"/>
      <c r="Y608" s="1">
        <f>value(IFERROR(SUBSTITUTE(SUBSTITUTE(VLOOKUP(A608,'Quarterly Pipeline vs Target Pi'!A:G,6,false)," $","")," €",""), "")
)</f>
        <v>0</v>
      </c>
      <c r="Z608" s="1">
        <f>value(IFERROR(SUBSTITUTE(SUBSTITUTE(VLOOKUP(A608,'Quarterly Pipeline vs Target Pi'!A:G,7,false)," $","")," €",""), "")
)</f>
        <v>0</v>
      </c>
      <c r="AA608" s="17" t="str">
        <f t="shared" si="9"/>
        <v/>
      </c>
      <c r="AB608" s="1">
        <f>value(IFERROR(SUBSTITUTE(SUBSTITUTE(VLOOKUP($A608,'Quarterly Pipeline vs Target Pi'!$A:$V,11,false)," $","")," €",""), "")
)</f>
        <v>0</v>
      </c>
      <c r="AC608" s="1">
        <f>value(IFERROR(SUBSTITUTE(SUBSTITUTE(VLOOKUP($A608,'Quarterly Pipeline vs Target Pi'!$A:$V,12,false)," $","")," €",""), "")
)</f>
        <v>0</v>
      </c>
      <c r="AD608" s="17" t="str">
        <f t="shared" si="10"/>
        <v/>
      </c>
      <c r="AE608" s="1">
        <f>value(IFERROR(SUBSTITUTE(SUBSTITUTE(VLOOKUP($A608,'Quarterly Pipeline vs Target Pi'!$A:$V,16,false)," $","")," €",""), "")
)</f>
        <v>0</v>
      </c>
      <c r="AF608" s="1">
        <f>value(IFERROR(SUBSTITUTE(SUBSTITUTE(VLOOKUP($A608,'Quarterly Pipeline vs Target Pi'!$A:$V,17,false)," $","")," €",""), "")
)</f>
        <v>0</v>
      </c>
      <c r="AG608" s="17" t="str">
        <f t="shared" si="11"/>
        <v/>
      </c>
      <c r="AH608" s="1">
        <f>value(IFERROR(SUBSTITUTE(SUBSTITUTE(VLOOKUP($A608,'Quarterly Pipeline vs Target Pi'!$A:$V,21,false)," $","")," €",""), "")
)</f>
        <v>0</v>
      </c>
      <c r="AI608" s="1">
        <f>value(IFERROR(SUBSTITUTE(SUBSTITUTE(VLOOKUP($A608,'Quarterly Pipeline vs Target Pi'!$A:$V,22,false)," $","")," €",""), "")
)</f>
        <v>0</v>
      </c>
      <c r="AJ608" s="17" t="str">
        <f t="shared" si="12"/>
        <v/>
      </c>
      <c r="AK608" s="1">
        <f t="shared" ref="AK608:AL608" si="1229">sum(Y608,AB608,AE608,AH608)</f>
        <v>0</v>
      </c>
      <c r="AL608" s="1">
        <f t="shared" si="1229"/>
        <v>0</v>
      </c>
      <c r="AM608" s="17" t="str">
        <f t="shared" si="14"/>
        <v/>
      </c>
      <c r="AN608" s="1">
        <f>value(IFERROR(SUBSTITUTE(SUBSTITUTE(VLOOKUP($A608,'Quarterly Pipeline vs Target Pi'!$A:$AP,26,false)," $","")," €",""), "")
)</f>
        <v>0</v>
      </c>
      <c r="AO608" s="1">
        <f>value(IFERROR(SUBSTITUTE(SUBSTITUTE(VLOOKUP($A608,'Quarterly Pipeline vs Target Pi'!$A:$AP,27,false)," $","")," €",""), "")
)</f>
        <v>0</v>
      </c>
      <c r="AP608" s="17" t="str">
        <f t="shared" si="15"/>
        <v/>
      </c>
      <c r="AQ608" s="1">
        <f>value(IFERROR(SUBSTITUTE(SUBSTITUTE(VLOOKUP($A608,'Quarterly Pipeline vs Target Pi'!$A:$AP,31,false)," $","")," €",""), "")
)</f>
        <v>0</v>
      </c>
      <c r="AR608" s="1">
        <f>value(IFERROR(SUBSTITUTE(SUBSTITUTE(VLOOKUP($A608,'Quarterly Pipeline vs Target Pi'!$A:$AP,32,false)," $","")," €",""), "")
)</f>
        <v>0</v>
      </c>
      <c r="AS608" s="17" t="str">
        <f t="shared" si="16"/>
        <v/>
      </c>
      <c r="AT608" s="1">
        <f>value(IFERROR(SUBSTITUTE(SUBSTITUTE(VLOOKUP($A608,'Quarterly Pipeline vs Target Pi'!$A:$AP,36,false)," $","")," €",""), "")
)</f>
        <v>0</v>
      </c>
      <c r="AU608" s="1">
        <f>value(IFERROR(SUBSTITUTE(SUBSTITUTE(VLOOKUP($A608,'Quarterly Pipeline vs Target Pi'!$A:$AP,37,false)," $","")," €",""), "")
)</f>
        <v>0</v>
      </c>
      <c r="AV608" s="17" t="str">
        <f t="shared" si="17"/>
        <v/>
      </c>
      <c r="AW608" s="1">
        <f>value(IFERROR(SUBSTITUTE(SUBSTITUTE(VLOOKUP($A608,'Quarterly Pipeline vs Target Pi'!$A:$AP,41,false)," $","")," €",""), "")
)</f>
        <v>0</v>
      </c>
      <c r="AX608" s="1">
        <f>value(IFERROR(SUBSTITUTE(SUBSTITUTE(VLOOKUP($A608,'Quarterly Pipeline vs Target Pi'!$A:$AP,42,false)," $","")," €",""), "")
)</f>
        <v>0</v>
      </c>
      <c r="AY608" s="17" t="str">
        <f t="shared" si="18"/>
        <v/>
      </c>
      <c r="AZ608" s="1">
        <f t="shared" ref="AZ608:BA608" si="1230">sum(AN608,AQ608,AT608,AW608)</f>
        <v>0</v>
      </c>
      <c r="BA608" s="1">
        <f t="shared" si="1230"/>
        <v>0</v>
      </c>
      <c r="BB608" s="17" t="str">
        <f t="shared" si="20"/>
        <v/>
      </c>
    </row>
    <row r="609">
      <c r="G609" s="1" t="str">
        <f>iferror(VLOOKUP(A609,'Business Plan Setup and Accepta'!A:G,6,false),"")</f>
        <v/>
      </c>
      <c r="H609" s="1" t="str">
        <f>iferror(VLOOKUP(A609,'Business Plan Setup and Accepta'!A:G,7,false),"")</f>
        <v/>
      </c>
      <c r="I609" s="17"/>
      <c r="J609" s="1" t="str">
        <f>IFERROR(VALUE(SUBSTITUTE(VLOOKUP(A609,'Sales IN Revenues vs Sales targ'!A:G,6,false)," $","")), "")
</f>
        <v/>
      </c>
      <c r="K609" s="1" t="str">
        <f>IFERROR(VALUE(SUBSTITUTE(VLOOKUP(A609,'Sales IN Revenues vs Sales targ'!A:G,7,false)," $","")), "")
</f>
        <v/>
      </c>
      <c r="L609" s="17"/>
      <c r="M609" s="1">
        <f>value(SUBSTITUTE(IFERROR(VLOOKUP(A609,'Certifications achievements vs '!A:G,6,false),""),"#","")
)</f>
        <v>0</v>
      </c>
      <c r="N609" s="1">
        <f>value(SUBSTITUTE(IFERROR(VLOOKUP(A609,'Certifications achievements vs '!A:G,7,false),""),"#","")
)</f>
        <v>0</v>
      </c>
      <c r="O609" s="17"/>
      <c r="P609" s="1">
        <f>value(SUBSTITUTE(IFERROR(VLOOKUP(A609,'Communications - Solution Speci'!A:G,6,false),""),"#","")
)</f>
        <v>0</v>
      </c>
      <c r="Q609" s="1">
        <f>value(SUBSTITUTE(IFERROR(VLOOKUP(A609,'Communications - Solution Speci'!A:G,7,false),""),"#","")
)</f>
        <v>0</v>
      </c>
      <c r="R609" s="17" t="str">
        <f t="shared" si="6"/>
        <v/>
      </c>
      <c r="S609" s="1">
        <f>value(SUBSTITUTE(IFERROR(VLOOKUP(A609,'Networking - Solution Specializ'!A:G,6,false),""),"#","")
)</f>
        <v>0</v>
      </c>
      <c r="T609" s="1">
        <f>value(SUBSTITUTE(IFERROR(VLOOKUP(A609,'Networking - Solution Specializ'!A:G,7,false),""),"#","")
)</f>
        <v>0</v>
      </c>
      <c r="U609" s="17" t="str">
        <f t="shared" si="7"/>
        <v/>
      </c>
      <c r="V609" s="1" t="str">
        <f>iferror(vlookup(A609,'Marketing Plan (extract summary'!A:G,6,false),"")</f>
        <v/>
      </c>
      <c r="W609" s="1" t="str">
        <f>iferror(vlookup(A609,'Marketing Plan (extract summary'!A:G,7,false),"")</f>
        <v/>
      </c>
      <c r="X609" s="17"/>
      <c r="Y609" s="1">
        <f>value(IFERROR(SUBSTITUTE(SUBSTITUTE(VLOOKUP(A609,'Quarterly Pipeline vs Target Pi'!A:G,6,false)," $","")," €",""), "")
)</f>
        <v>0</v>
      </c>
      <c r="Z609" s="1">
        <f>value(IFERROR(SUBSTITUTE(SUBSTITUTE(VLOOKUP(A609,'Quarterly Pipeline vs Target Pi'!A:G,7,false)," $","")," €",""), "")
)</f>
        <v>0</v>
      </c>
      <c r="AA609" s="17" t="str">
        <f t="shared" si="9"/>
        <v/>
      </c>
      <c r="AB609" s="1">
        <f>value(IFERROR(SUBSTITUTE(SUBSTITUTE(VLOOKUP($A609,'Quarterly Pipeline vs Target Pi'!$A:$V,11,false)," $","")," €",""), "")
)</f>
        <v>0</v>
      </c>
      <c r="AC609" s="1">
        <f>value(IFERROR(SUBSTITUTE(SUBSTITUTE(VLOOKUP($A609,'Quarterly Pipeline vs Target Pi'!$A:$V,12,false)," $","")," €",""), "")
)</f>
        <v>0</v>
      </c>
      <c r="AD609" s="17" t="str">
        <f t="shared" si="10"/>
        <v/>
      </c>
      <c r="AE609" s="1">
        <f>value(IFERROR(SUBSTITUTE(SUBSTITUTE(VLOOKUP($A609,'Quarterly Pipeline vs Target Pi'!$A:$V,16,false)," $","")," €",""), "")
)</f>
        <v>0</v>
      </c>
      <c r="AF609" s="1">
        <f>value(IFERROR(SUBSTITUTE(SUBSTITUTE(VLOOKUP($A609,'Quarterly Pipeline vs Target Pi'!$A:$V,17,false)," $","")," €",""), "")
)</f>
        <v>0</v>
      </c>
      <c r="AG609" s="17" t="str">
        <f t="shared" si="11"/>
        <v/>
      </c>
      <c r="AH609" s="1">
        <f>value(IFERROR(SUBSTITUTE(SUBSTITUTE(VLOOKUP($A609,'Quarterly Pipeline vs Target Pi'!$A:$V,21,false)," $","")," €",""), "")
)</f>
        <v>0</v>
      </c>
      <c r="AI609" s="1">
        <f>value(IFERROR(SUBSTITUTE(SUBSTITUTE(VLOOKUP($A609,'Quarterly Pipeline vs Target Pi'!$A:$V,22,false)," $","")," €",""), "")
)</f>
        <v>0</v>
      </c>
      <c r="AJ609" s="17" t="str">
        <f t="shared" si="12"/>
        <v/>
      </c>
      <c r="AK609" s="1">
        <f t="shared" ref="AK609:AL609" si="1231">sum(Y609,AB609,AE609,AH609)</f>
        <v>0</v>
      </c>
      <c r="AL609" s="1">
        <f t="shared" si="1231"/>
        <v>0</v>
      </c>
      <c r="AM609" s="17" t="str">
        <f t="shared" si="14"/>
        <v/>
      </c>
      <c r="AN609" s="1">
        <f>value(IFERROR(SUBSTITUTE(SUBSTITUTE(VLOOKUP($A609,'Quarterly Pipeline vs Target Pi'!$A:$AP,26,false)," $","")," €",""), "")
)</f>
        <v>0</v>
      </c>
      <c r="AO609" s="1">
        <f>value(IFERROR(SUBSTITUTE(SUBSTITUTE(VLOOKUP($A609,'Quarterly Pipeline vs Target Pi'!$A:$AP,27,false)," $","")," €",""), "")
)</f>
        <v>0</v>
      </c>
      <c r="AP609" s="17" t="str">
        <f t="shared" si="15"/>
        <v/>
      </c>
      <c r="AQ609" s="1">
        <f>value(IFERROR(SUBSTITUTE(SUBSTITUTE(VLOOKUP($A609,'Quarterly Pipeline vs Target Pi'!$A:$AP,31,false)," $","")," €",""), "")
)</f>
        <v>0</v>
      </c>
      <c r="AR609" s="1">
        <f>value(IFERROR(SUBSTITUTE(SUBSTITUTE(VLOOKUP($A609,'Quarterly Pipeline vs Target Pi'!$A:$AP,32,false)," $","")," €",""), "")
)</f>
        <v>0</v>
      </c>
      <c r="AS609" s="17" t="str">
        <f t="shared" si="16"/>
        <v/>
      </c>
      <c r="AT609" s="1">
        <f>value(IFERROR(SUBSTITUTE(SUBSTITUTE(VLOOKUP($A609,'Quarterly Pipeline vs Target Pi'!$A:$AP,36,false)," $","")," €",""), "")
)</f>
        <v>0</v>
      </c>
      <c r="AU609" s="1">
        <f>value(IFERROR(SUBSTITUTE(SUBSTITUTE(VLOOKUP($A609,'Quarterly Pipeline vs Target Pi'!$A:$AP,37,false)," $","")," €",""), "")
)</f>
        <v>0</v>
      </c>
      <c r="AV609" s="17" t="str">
        <f t="shared" si="17"/>
        <v/>
      </c>
      <c r="AW609" s="1">
        <f>value(IFERROR(SUBSTITUTE(SUBSTITUTE(VLOOKUP($A609,'Quarterly Pipeline vs Target Pi'!$A:$AP,41,false)," $","")," €",""), "")
)</f>
        <v>0</v>
      </c>
      <c r="AX609" s="1">
        <f>value(IFERROR(SUBSTITUTE(SUBSTITUTE(VLOOKUP($A609,'Quarterly Pipeline vs Target Pi'!$A:$AP,42,false)," $","")," €",""), "")
)</f>
        <v>0</v>
      </c>
      <c r="AY609" s="17" t="str">
        <f t="shared" si="18"/>
        <v/>
      </c>
      <c r="AZ609" s="1">
        <f t="shared" ref="AZ609:BA609" si="1232">sum(AN609,AQ609,AT609,AW609)</f>
        <v>0</v>
      </c>
      <c r="BA609" s="1">
        <f t="shared" si="1232"/>
        <v>0</v>
      </c>
      <c r="BB609" s="17" t="str">
        <f t="shared" si="20"/>
        <v/>
      </c>
    </row>
    <row r="610">
      <c r="G610" s="1" t="str">
        <f>iferror(VLOOKUP(A610,'Business Plan Setup and Accepta'!A:G,6,false),"")</f>
        <v/>
      </c>
      <c r="H610" s="1" t="str">
        <f>iferror(VLOOKUP(A610,'Business Plan Setup and Accepta'!A:G,7,false),"")</f>
        <v/>
      </c>
      <c r="I610" s="17"/>
      <c r="J610" s="1" t="str">
        <f>IFERROR(VALUE(SUBSTITUTE(VLOOKUP(A610,'Sales IN Revenues vs Sales targ'!A:G,6,false)," $","")), "")
</f>
        <v/>
      </c>
      <c r="K610" s="1" t="str">
        <f>IFERROR(VALUE(SUBSTITUTE(VLOOKUP(A610,'Sales IN Revenues vs Sales targ'!A:G,7,false)," $","")), "")
</f>
        <v/>
      </c>
      <c r="L610" s="17"/>
      <c r="M610" s="1">
        <f>value(SUBSTITUTE(IFERROR(VLOOKUP(A610,'Certifications achievements vs '!A:G,6,false),""),"#","")
)</f>
        <v>0</v>
      </c>
      <c r="N610" s="1">
        <f>value(SUBSTITUTE(IFERROR(VLOOKUP(A610,'Certifications achievements vs '!A:G,7,false),""),"#","")
)</f>
        <v>0</v>
      </c>
      <c r="O610" s="17"/>
      <c r="P610" s="1">
        <f>value(SUBSTITUTE(IFERROR(VLOOKUP(A610,'Communications - Solution Speci'!A:G,6,false),""),"#","")
)</f>
        <v>0</v>
      </c>
      <c r="Q610" s="1">
        <f>value(SUBSTITUTE(IFERROR(VLOOKUP(A610,'Communications - Solution Speci'!A:G,7,false),""),"#","")
)</f>
        <v>0</v>
      </c>
      <c r="R610" s="17" t="str">
        <f t="shared" si="6"/>
        <v/>
      </c>
      <c r="S610" s="1">
        <f>value(SUBSTITUTE(IFERROR(VLOOKUP(A610,'Networking - Solution Specializ'!A:G,6,false),""),"#","")
)</f>
        <v>0</v>
      </c>
      <c r="T610" s="1">
        <f>value(SUBSTITUTE(IFERROR(VLOOKUP(A610,'Networking - Solution Specializ'!A:G,7,false),""),"#","")
)</f>
        <v>0</v>
      </c>
      <c r="U610" s="17" t="str">
        <f t="shared" si="7"/>
        <v/>
      </c>
      <c r="V610" s="1" t="str">
        <f>iferror(vlookup(A610,'Marketing Plan (extract summary'!A:G,6,false),"")</f>
        <v/>
      </c>
      <c r="W610" s="1" t="str">
        <f>iferror(vlookup(A610,'Marketing Plan (extract summary'!A:G,7,false),"")</f>
        <v/>
      </c>
      <c r="X610" s="17"/>
      <c r="Y610" s="1">
        <f>value(IFERROR(SUBSTITUTE(SUBSTITUTE(VLOOKUP(A610,'Quarterly Pipeline vs Target Pi'!A:G,6,false)," $","")," €",""), "")
)</f>
        <v>0</v>
      </c>
      <c r="Z610" s="1">
        <f>value(IFERROR(SUBSTITUTE(SUBSTITUTE(VLOOKUP(A610,'Quarterly Pipeline vs Target Pi'!A:G,7,false)," $","")," €",""), "")
)</f>
        <v>0</v>
      </c>
      <c r="AA610" s="17" t="str">
        <f t="shared" si="9"/>
        <v/>
      </c>
      <c r="AB610" s="1">
        <f>value(IFERROR(SUBSTITUTE(SUBSTITUTE(VLOOKUP($A610,'Quarterly Pipeline vs Target Pi'!$A:$V,11,false)," $","")," €",""), "")
)</f>
        <v>0</v>
      </c>
      <c r="AC610" s="1">
        <f>value(IFERROR(SUBSTITUTE(SUBSTITUTE(VLOOKUP($A610,'Quarterly Pipeline vs Target Pi'!$A:$V,12,false)," $","")," €",""), "")
)</f>
        <v>0</v>
      </c>
      <c r="AD610" s="17" t="str">
        <f t="shared" si="10"/>
        <v/>
      </c>
      <c r="AE610" s="1">
        <f>value(IFERROR(SUBSTITUTE(SUBSTITUTE(VLOOKUP($A610,'Quarterly Pipeline vs Target Pi'!$A:$V,16,false)," $","")," €",""), "")
)</f>
        <v>0</v>
      </c>
      <c r="AF610" s="1">
        <f>value(IFERROR(SUBSTITUTE(SUBSTITUTE(VLOOKUP($A610,'Quarterly Pipeline vs Target Pi'!$A:$V,17,false)," $","")," €",""), "")
)</f>
        <v>0</v>
      </c>
      <c r="AG610" s="17" t="str">
        <f t="shared" si="11"/>
        <v/>
      </c>
      <c r="AH610" s="1">
        <f>value(IFERROR(SUBSTITUTE(SUBSTITUTE(VLOOKUP($A610,'Quarterly Pipeline vs Target Pi'!$A:$V,21,false)," $","")," €",""), "")
)</f>
        <v>0</v>
      </c>
      <c r="AI610" s="1">
        <f>value(IFERROR(SUBSTITUTE(SUBSTITUTE(VLOOKUP($A610,'Quarterly Pipeline vs Target Pi'!$A:$V,22,false)," $","")," €",""), "")
)</f>
        <v>0</v>
      </c>
      <c r="AJ610" s="17" t="str">
        <f t="shared" si="12"/>
        <v/>
      </c>
      <c r="AK610" s="1">
        <f t="shared" ref="AK610:AL610" si="1233">sum(Y610,AB610,AE610,AH610)</f>
        <v>0</v>
      </c>
      <c r="AL610" s="1">
        <f t="shared" si="1233"/>
        <v>0</v>
      </c>
      <c r="AM610" s="17" t="str">
        <f t="shared" si="14"/>
        <v/>
      </c>
      <c r="AN610" s="1">
        <f>value(IFERROR(SUBSTITUTE(SUBSTITUTE(VLOOKUP($A610,'Quarterly Pipeline vs Target Pi'!$A:$AP,26,false)," $","")," €",""), "")
)</f>
        <v>0</v>
      </c>
      <c r="AO610" s="1">
        <f>value(IFERROR(SUBSTITUTE(SUBSTITUTE(VLOOKUP($A610,'Quarterly Pipeline vs Target Pi'!$A:$AP,27,false)," $","")," €",""), "")
)</f>
        <v>0</v>
      </c>
      <c r="AP610" s="17" t="str">
        <f t="shared" si="15"/>
        <v/>
      </c>
      <c r="AQ610" s="1">
        <f>value(IFERROR(SUBSTITUTE(SUBSTITUTE(VLOOKUP($A610,'Quarterly Pipeline vs Target Pi'!$A:$AP,31,false)," $","")," €",""), "")
)</f>
        <v>0</v>
      </c>
      <c r="AR610" s="1">
        <f>value(IFERROR(SUBSTITUTE(SUBSTITUTE(VLOOKUP($A610,'Quarterly Pipeline vs Target Pi'!$A:$AP,32,false)," $","")," €",""), "")
)</f>
        <v>0</v>
      </c>
      <c r="AS610" s="17" t="str">
        <f t="shared" si="16"/>
        <v/>
      </c>
      <c r="AT610" s="1">
        <f>value(IFERROR(SUBSTITUTE(SUBSTITUTE(VLOOKUP($A610,'Quarterly Pipeline vs Target Pi'!$A:$AP,36,false)," $","")," €",""), "")
)</f>
        <v>0</v>
      </c>
      <c r="AU610" s="1">
        <f>value(IFERROR(SUBSTITUTE(SUBSTITUTE(VLOOKUP($A610,'Quarterly Pipeline vs Target Pi'!$A:$AP,37,false)," $","")," €",""), "")
)</f>
        <v>0</v>
      </c>
      <c r="AV610" s="17" t="str">
        <f t="shared" si="17"/>
        <v/>
      </c>
      <c r="AW610" s="1">
        <f>value(IFERROR(SUBSTITUTE(SUBSTITUTE(VLOOKUP($A610,'Quarterly Pipeline vs Target Pi'!$A:$AP,41,false)," $","")," €",""), "")
)</f>
        <v>0</v>
      </c>
      <c r="AX610" s="1">
        <f>value(IFERROR(SUBSTITUTE(SUBSTITUTE(VLOOKUP($A610,'Quarterly Pipeline vs Target Pi'!$A:$AP,42,false)," $","")," €",""), "")
)</f>
        <v>0</v>
      </c>
      <c r="AY610" s="17" t="str">
        <f t="shared" si="18"/>
        <v/>
      </c>
      <c r="AZ610" s="1">
        <f t="shared" ref="AZ610:BA610" si="1234">sum(AN610,AQ610,AT610,AW610)</f>
        <v>0</v>
      </c>
      <c r="BA610" s="1">
        <f t="shared" si="1234"/>
        <v>0</v>
      </c>
      <c r="BB610" s="17" t="str">
        <f t="shared" si="20"/>
        <v/>
      </c>
    </row>
    <row r="611">
      <c r="G611" s="1" t="str">
        <f>iferror(VLOOKUP(A611,'Business Plan Setup and Accepta'!A:G,6,false),"")</f>
        <v/>
      </c>
      <c r="H611" s="1" t="str">
        <f>iferror(VLOOKUP(A611,'Business Plan Setup and Accepta'!A:G,7,false),"")</f>
        <v/>
      </c>
      <c r="I611" s="17"/>
      <c r="J611" s="1" t="str">
        <f>IFERROR(VALUE(SUBSTITUTE(VLOOKUP(A611,'Sales IN Revenues vs Sales targ'!A:G,6,false)," $","")), "")
</f>
        <v/>
      </c>
      <c r="K611" s="1" t="str">
        <f>IFERROR(VALUE(SUBSTITUTE(VLOOKUP(A611,'Sales IN Revenues vs Sales targ'!A:G,7,false)," $","")), "")
</f>
        <v/>
      </c>
      <c r="L611" s="17"/>
      <c r="M611" s="1">
        <f>value(SUBSTITUTE(IFERROR(VLOOKUP(A611,'Certifications achievements vs '!A:G,6,false),""),"#","")
)</f>
        <v>0</v>
      </c>
      <c r="N611" s="1">
        <f>value(SUBSTITUTE(IFERROR(VLOOKUP(A611,'Certifications achievements vs '!A:G,7,false),""),"#","")
)</f>
        <v>0</v>
      </c>
      <c r="O611" s="17"/>
      <c r="P611" s="1">
        <f>value(SUBSTITUTE(IFERROR(VLOOKUP(A611,'Communications - Solution Speci'!A:G,6,false),""),"#","")
)</f>
        <v>0</v>
      </c>
      <c r="Q611" s="1">
        <f>value(SUBSTITUTE(IFERROR(VLOOKUP(A611,'Communications - Solution Speci'!A:G,7,false),""),"#","")
)</f>
        <v>0</v>
      </c>
      <c r="R611" s="17" t="str">
        <f t="shared" si="6"/>
        <v/>
      </c>
      <c r="S611" s="1">
        <f>value(SUBSTITUTE(IFERROR(VLOOKUP(A611,'Networking - Solution Specializ'!A:G,6,false),""),"#","")
)</f>
        <v>0</v>
      </c>
      <c r="T611" s="1">
        <f>value(SUBSTITUTE(IFERROR(VLOOKUP(A611,'Networking - Solution Specializ'!A:G,7,false),""),"#","")
)</f>
        <v>0</v>
      </c>
      <c r="U611" s="17" t="str">
        <f t="shared" si="7"/>
        <v/>
      </c>
      <c r="V611" s="1" t="str">
        <f>iferror(vlookup(A611,'Marketing Plan (extract summary'!A:G,6,false),"")</f>
        <v/>
      </c>
      <c r="W611" s="1" t="str">
        <f>iferror(vlookup(A611,'Marketing Plan (extract summary'!A:G,7,false),"")</f>
        <v/>
      </c>
      <c r="X611" s="17"/>
      <c r="Y611" s="1">
        <f>value(IFERROR(SUBSTITUTE(SUBSTITUTE(VLOOKUP(A611,'Quarterly Pipeline vs Target Pi'!A:G,6,false)," $","")," €",""), "")
)</f>
        <v>0</v>
      </c>
      <c r="Z611" s="1">
        <f>value(IFERROR(SUBSTITUTE(SUBSTITUTE(VLOOKUP(A611,'Quarterly Pipeline vs Target Pi'!A:G,7,false)," $","")," €",""), "")
)</f>
        <v>0</v>
      </c>
      <c r="AA611" s="17" t="str">
        <f t="shared" si="9"/>
        <v/>
      </c>
      <c r="AB611" s="1">
        <f>value(IFERROR(SUBSTITUTE(SUBSTITUTE(VLOOKUP($A611,'Quarterly Pipeline vs Target Pi'!$A:$V,11,false)," $","")," €",""), "")
)</f>
        <v>0</v>
      </c>
      <c r="AC611" s="1">
        <f>value(IFERROR(SUBSTITUTE(SUBSTITUTE(VLOOKUP($A611,'Quarterly Pipeline vs Target Pi'!$A:$V,12,false)," $","")," €",""), "")
)</f>
        <v>0</v>
      </c>
      <c r="AD611" s="17" t="str">
        <f t="shared" si="10"/>
        <v/>
      </c>
      <c r="AE611" s="1">
        <f>value(IFERROR(SUBSTITUTE(SUBSTITUTE(VLOOKUP($A611,'Quarterly Pipeline vs Target Pi'!$A:$V,16,false)," $","")," €",""), "")
)</f>
        <v>0</v>
      </c>
      <c r="AF611" s="1">
        <f>value(IFERROR(SUBSTITUTE(SUBSTITUTE(VLOOKUP($A611,'Quarterly Pipeline vs Target Pi'!$A:$V,17,false)," $","")," €",""), "")
)</f>
        <v>0</v>
      </c>
      <c r="AG611" s="17" t="str">
        <f t="shared" si="11"/>
        <v/>
      </c>
      <c r="AH611" s="1">
        <f>value(IFERROR(SUBSTITUTE(SUBSTITUTE(VLOOKUP($A611,'Quarterly Pipeline vs Target Pi'!$A:$V,21,false)," $","")," €",""), "")
)</f>
        <v>0</v>
      </c>
      <c r="AI611" s="1">
        <f>value(IFERROR(SUBSTITUTE(SUBSTITUTE(VLOOKUP($A611,'Quarterly Pipeline vs Target Pi'!$A:$V,22,false)," $","")," €",""), "")
)</f>
        <v>0</v>
      </c>
      <c r="AJ611" s="17" t="str">
        <f t="shared" si="12"/>
        <v/>
      </c>
      <c r="AK611" s="1">
        <f t="shared" ref="AK611:AL611" si="1235">sum(Y611,AB611,AE611,AH611)</f>
        <v>0</v>
      </c>
      <c r="AL611" s="1">
        <f t="shared" si="1235"/>
        <v>0</v>
      </c>
      <c r="AM611" s="17" t="str">
        <f t="shared" si="14"/>
        <v/>
      </c>
      <c r="AN611" s="1">
        <f>value(IFERROR(SUBSTITUTE(SUBSTITUTE(VLOOKUP($A611,'Quarterly Pipeline vs Target Pi'!$A:$AP,26,false)," $","")," €",""), "")
)</f>
        <v>0</v>
      </c>
      <c r="AO611" s="1">
        <f>value(IFERROR(SUBSTITUTE(SUBSTITUTE(VLOOKUP($A611,'Quarterly Pipeline vs Target Pi'!$A:$AP,27,false)," $","")," €",""), "")
)</f>
        <v>0</v>
      </c>
      <c r="AP611" s="17" t="str">
        <f t="shared" si="15"/>
        <v/>
      </c>
      <c r="AQ611" s="1">
        <f>value(IFERROR(SUBSTITUTE(SUBSTITUTE(VLOOKUP($A611,'Quarterly Pipeline vs Target Pi'!$A:$AP,31,false)," $","")," €",""), "")
)</f>
        <v>0</v>
      </c>
      <c r="AR611" s="1">
        <f>value(IFERROR(SUBSTITUTE(SUBSTITUTE(VLOOKUP($A611,'Quarterly Pipeline vs Target Pi'!$A:$AP,32,false)," $","")," €",""), "")
)</f>
        <v>0</v>
      </c>
      <c r="AS611" s="17" t="str">
        <f t="shared" si="16"/>
        <v/>
      </c>
      <c r="AT611" s="1">
        <f>value(IFERROR(SUBSTITUTE(SUBSTITUTE(VLOOKUP($A611,'Quarterly Pipeline vs Target Pi'!$A:$AP,36,false)," $","")," €",""), "")
)</f>
        <v>0</v>
      </c>
      <c r="AU611" s="1">
        <f>value(IFERROR(SUBSTITUTE(SUBSTITUTE(VLOOKUP($A611,'Quarterly Pipeline vs Target Pi'!$A:$AP,37,false)," $","")," €",""), "")
)</f>
        <v>0</v>
      </c>
      <c r="AV611" s="17" t="str">
        <f t="shared" si="17"/>
        <v/>
      </c>
      <c r="AW611" s="1">
        <f>value(IFERROR(SUBSTITUTE(SUBSTITUTE(VLOOKUP($A611,'Quarterly Pipeline vs Target Pi'!$A:$AP,41,false)," $","")," €",""), "")
)</f>
        <v>0</v>
      </c>
      <c r="AX611" s="1">
        <f>value(IFERROR(SUBSTITUTE(SUBSTITUTE(VLOOKUP($A611,'Quarterly Pipeline vs Target Pi'!$A:$AP,42,false)," $","")," €",""), "")
)</f>
        <v>0</v>
      </c>
      <c r="AY611" s="17" t="str">
        <f t="shared" si="18"/>
        <v/>
      </c>
      <c r="AZ611" s="1">
        <f t="shared" ref="AZ611:BA611" si="1236">sum(AN611,AQ611,AT611,AW611)</f>
        <v>0</v>
      </c>
      <c r="BA611" s="1">
        <f t="shared" si="1236"/>
        <v>0</v>
      </c>
      <c r="BB611" s="17" t="str">
        <f t="shared" si="20"/>
        <v/>
      </c>
    </row>
    <row r="612">
      <c r="G612" s="1" t="str">
        <f>iferror(VLOOKUP(A612,'Business Plan Setup and Accepta'!A:G,6,false),"")</f>
        <v/>
      </c>
      <c r="H612" s="1" t="str">
        <f>iferror(VLOOKUP(A612,'Business Plan Setup and Accepta'!A:G,7,false),"")</f>
        <v/>
      </c>
      <c r="I612" s="17"/>
      <c r="J612" s="1" t="str">
        <f>IFERROR(VALUE(SUBSTITUTE(VLOOKUP(A612,'Sales IN Revenues vs Sales targ'!A:G,6,false)," $","")), "")
</f>
        <v/>
      </c>
      <c r="K612" s="1" t="str">
        <f>IFERROR(VALUE(SUBSTITUTE(VLOOKUP(A612,'Sales IN Revenues vs Sales targ'!A:G,7,false)," $","")), "")
</f>
        <v/>
      </c>
      <c r="L612" s="17"/>
      <c r="M612" s="1">
        <f>value(SUBSTITUTE(IFERROR(VLOOKUP(A612,'Certifications achievements vs '!A:G,6,false),""),"#","")
)</f>
        <v>0</v>
      </c>
      <c r="N612" s="1">
        <f>value(SUBSTITUTE(IFERROR(VLOOKUP(A612,'Certifications achievements vs '!A:G,7,false),""),"#","")
)</f>
        <v>0</v>
      </c>
      <c r="O612" s="17"/>
      <c r="P612" s="1">
        <f>value(SUBSTITUTE(IFERROR(VLOOKUP(A612,'Communications - Solution Speci'!A:G,6,false),""),"#","")
)</f>
        <v>0</v>
      </c>
      <c r="Q612" s="1">
        <f>value(SUBSTITUTE(IFERROR(VLOOKUP(A612,'Communications - Solution Speci'!A:G,7,false),""),"#","")
)</f>
        <v>0</v>
      </c>
      <c r="R612" s="17" t="str">
        <f t="shared" si="6"/>
        <v/>
      </c>
      <c r="S612" s="1">
        <f>value(SUBSTITUTE(IFERROR(VLOOKUP(A612,'Networking - Solution Specializ'!A:G,6,false),""),"#","")
)</f>
        <v>0</v>
      </c>
      <c r="T612" s="1">
        <f>value(SUBSTITUTE(IFERROR(VLOOKUP(A612,'Networking - Solution Specializ'!A:G,7,false),""),"#","")
)</f>
        <v>0</v>
      </c>
      <c r="U612" s="17" t="str">
        <f t="shared" si="7"/>
        <v/>
      </c>
      <c r="V612" s="1" t="str">
        <f>iferror(vlookup(A612,'Marketing Plan (extract summary'!A:G,6,false),"")</f>
        <v/>
      </c>
      <c r="W612" s="1" t="str">
        <f>iferror(vlookup(A612,'Marketing Plan (extract summary'!A:G,7,false),"")</f>
        <v/>
      </c>
      <c r="X612" s="17"/>
      <c r="Y612" s="1">
        <f>value(IFERROR(SUBSTITUTE(SUBSTITUTE(VLOOKUP(A612,'Quarterly Pipeline vs Target Pi'!A:G,6,false)," $","")," €",""), "")
)</f>
        <v>0</v>
      </c>
      <c r="Z612" s="1">
        <f>value(IFERROR(SUBSTITUTE(SUBSTITUTE(VLOOKUP(A612,'Quarterly Pipeline vs Target Pi'!A:G,7,false)," $","")," €",""), "")
)</f>
        <v>0</v>
      </c>
      <c r="AA612" s="17" t="str">
        <f t="shared" si="9"/>
        <v/>
      </c>
      <c r="AB612" s="1">
        <f>value(IFERROR(SUBSTITUTE(SUBSTITUTE(VLOOKUP($A612,'Quarterly Pipeline vs Target Pi'!$A:$V,11,false)," $","")," €",""), "")
)</f>
        <v>0</v>
      </c>
      <c r="AC612" s="1">
        <f>value(IFERROR(SUBSTITUTE(SUBSTITUTE(VLOOKUP($A612,'Quarterly Pipeline vs Target Pi'!$A:$V,12,false)," $","")," €",""), "")
)</f>
        <v>0</v>
      </c>
      <c r="AD612" s="17" t="str">
        <f t="shared" si="10"/>
        <v/>
      </c>
      <c r="AE612" s="1">
        <f>value(IFERROR(SUBSTITUTE(SUBSTITUTE(VLOOKUP($A612,'Quarterly Pipeline vs Target Pi'!$A:$V,16,false)," $","")," €",""), "")
)</f>
        <v>0</v>
      </c>
      <c r="AF612" s="1">
        <f>value(IFERROR(SUBSTITUTE(SUBSTITUTE(VLOOKUP($A612,'Quarterly Pipeline vs Target Pi'!$A:$V,17,false)," $","")," €",""), "")
)</f>
        <v>0</v>
      </c>
      <c r="AG612" s="17" t="str">
        <f t="shared" si="11"/>
        <v/>
      </c>
      <c r="AH612" s="1">
        <f>value(IFERROR(SUBSTITUTE(SUBSTITUTE(VLOOKUP($A612,'Quarterly Pipeline vs Target Pi'!$A:$V,21,false)," $","")," €",""), "")
)</f>
        <v>0</v>
      </c>
      <c r="AI612" s="1">
        <f>value(IFERROR(SUBSTITUTE(SUBSTITUTE(VLOOKUP($A612,'Quarterly Pipeline vs Target Pi'!$A:$V,22,false)," $","")," €",""), "")
)</f>
        <v>0</v>
      </c>
      <c r="AJ612" s="17" t="str">
        <f t="shared" si="12"/>
        <v/>
      </c>
      <c r="AK612" s="1">
        <f t="shared" ref="AK612:AL612" si="1237">sum(Y612,AB612,AE612,AH612)</f>
        <v>0</v>
      </c>
      <c r="AL612" s="1">
        <f t="shared" si="1237"/>
        <v>0</v>
      </c>
      <c r="AM612" s="17" t="str">
        <f t="shared" si="14"/>
        <v/>
      </c>
      <c r="AN612" s="1">
        <f>value(IFERROR(SUBSTITUTE(SUBSTITUTE(VLOOKUP($A612,'Quarterly Pipeline vs Target Pi'!$A:$AP,26,false)," $","")," €",""), "")
)</f>
        <v>0</v>
      </c>
      <c r="AO612" s="1">
        <f>value(IFERROR(SUBSTITUTE(SUBSTITUTE(VLOOKUP($A612,'Quarterly Pipeline vs Target Pi'!$A:$AP,27,false)," $","")," €",""), "")
)</f>
        <v>0</v>
      </c>
      <c r="AP612" s="17" t="str">
        <f t="shared" si="15"/>
        <v/>
      </c>
      <c r="AQ612" s="1">
        <f>value(IFERROR(SUBSTITUTE(SUBSTITUTE(VLOOKUP($A612,'Quarterly Pipeline vs Target Pi'!$A:$AP,31,false)," $","")," €",""), "")
)</f>
        <v>0</v>
      </c>
      <c r="AR612" s="1">
        <f>value(IFERROR(SUBSTITUTE(SUBSTITUTE(VLOOKUP($A612,'Quarterly Pipeline vs Target Pi'!$A:$AP,32,false)," $","")," €",""), "")
)</f>
        <v>0</v>
      </c>
      <c r="AS612" s="17" t="str">
        <f t="shared" si="16"/>
        <v/>
      </c>
      <c r="AT612" s="1">
        <f>value(IFERROR(SUBSTITUTE(SUBSTITUTE(VLOOKUP($A612,'Quarterly Pipeline vs Target Pi'!$A:$AP,36,false)," $","")," €",""), "")
)</f>
        <v>0</v>
      </c>
      <c r="AU612" s="1">
        <f>value(IFERROR(SUBSTITUTE(SUBSTITUTE(VLOOKUP($A612,'Quarterly Pipeline vs Target Pi'!$A:$AP,37,false)," $","")," €",""), "")
)</f>
        <v>0</v>
      </c>
      <c r="AV612" s="17" t="str">
        <f t="shared" si="17"/>
        <v/>
      </c>
      <c r="AW612" s="1">
        <f>value(IFERROR(SUBSTITUTE(SUBSTITUTE(VLOOKUP($A612,'Quarterly Pipeline vs Target Pi'!$A:$AP,41,false)," $","")," €",""), "")
)</f>
        <v>0</v>
      </c>
      <c r="AX612" s="1">
        <f>value(IFERROR(SUBSTITUTE(SUBSTITUTE(VLOOKUP($A612,'Quarterly Pipeline vs Target Pi'!$A:$AP,42,false)," $","")," €",""), "")
)</f>
        <v>0</v>
      </c>
      <c r="AY612" s="17" t="str">
        <f t="shared" si="18"/>
        <v/>
      </c>
      <c r="AZ612" s="1">
        <f t="shared" ref="AZ612:BA612" si="1238">sum(AN612,AQ612,AT612,AW612)</f>
        <v>0</v>
      </c>
      <c r="BA612" s="1">
        <f t="shared" si="1238"/>
        <v>0</v>
      </c>
      <c r="BB612" s="17" t="str">
        <f t="shared" si="20"/>
        <v/>
      </c>
    </row>
    <row r="613">
      <c r="G613" s="1" t="str">
        <f>iferror(VLOOKUP(A613,'Business Plan Setup and Accepta'!A:G,6,false),"")</f>
        <v/>
      </c>
      <c r="H613" s="1" t="str">
        <f>iferror(VLOOKUP(A613,'Business Plan Setup and Accepta'!A:G,7,false),"")</f>
        <v/>
      </c>
      <c r="I613" s="17"/>
      <c r="J613" s="1" t="str">
        <f>IFERROR(VALUE(SUBSTITUTE(VLOOKUP(A613,'Sales IN Revenues vs Sales targ'!A:G,6,false)," $","")), "")
</f>
        <v/>
      </c>
      <c r="K613" s="1" t="str">
        <f>IFERROR(VALUE(SUBSTITUTE(VLOOKUP(A613,'Sales IN Revenues vs Sales targ'!A:G,7,false)," $","")), "")
</f>
        <v/>
      </c>
      <c r="L613" s="17"/>
      <c r="M613" s="1">
        <f>value(SUBSTITUTE(IFERROR(VLOOKUP(A613,'Certifications achievements vs '!A:G,6,false),""),"#","")
)</f>
        <v>0</v>
      </c>
      <c r="N613" s="1">
        <f>value(SUBSTITUTE(IFERROR(VLOOKUP(A613,'Certifications achievements vs '!A:G,7,false),""),"#","")
)</f>
        <v>0</v>
      </c>
      <c r="O613" s="17"/>
      <c r="P613" s="1">
        <f>value(SUBSTITUTE(IFERROR(VLOOKUP(A613,'Communications - Solution Speci'!A:G,6,false),""),"#","")
)</f>
        <v>0</v>
      </c>
      <c r="Q613" s="1">
        <f>value(SUBSTITUTE(IFERROR(VLOOKUP(A613,'Communications - Solution Speci'!A:G,7,false),""),"#","")
)</f>
        <v>0</v>
      </c>
      <c r="R613" s="17" t="str">
        <f t="shared" si="6"/>
        <v/>
      </c>
      <c r="S613" s="1">
        <f>value(SUBSTITUTE(IFERROR(VLOOKUP(A613,'Networking - Solution Specializ'!A:G,6,false),""),"#","")
)</f>
        <v>0</v>
      </c>
      <c r="T613" s="1">
        <f>value(SUBSTITUTE(IFERROR(VLOOKUP(A613,'Networking - Solution Specializ'!A:G,7,false),""),"#","")
)</f>
        <v>0</v>
      </c>
      <c r="U613" s="17" t="str">
        <f t="shared" si="7"/>
        <v/>
      </c>
      <c r="V613" s="1" t="str">
        <f>iferror(vlookup(A613,'Marketing Plan (extract summary'!A:G,6,false),"")</f>
        <v/>
      </c>
      <c r="W613" s="1" t="str">
        <f>iferror(vlookup(A613,'Marketing Plan (extract summary'!A:G,7,false),"")</f>
        <v/>
      </c>
      <c r="X613" s="17"/>
      <c r="Y613" s="1">
        <f>value(IFERROR(SUBSTITUTE(SUBSTITUTE(VLOOKUP(A613,'Quarterly Pipeline vs Target Pi'!A:G,6,false)," $","")," €",""), "")
)</f>
        <v>0</v>
      </c>
      <c r="Z613" s="1">
        <f>value(IFERROR(SUBSTITUTE(SUBSTITUTE(VLOOKUP(A613,'Quarterly Pipeline vs Target Pi'!A:G,7,false)," $","")," €",""), "")
)</f>
        <v>0</v>
      </c>
      <c r="AA613" s="17" t="str">
        <f t="shared" si="9"/>
        <v/>
      </c>
      <c r="AB613" s="1">
        <f>value(IFERROR(SUBSTITUTE(SUBSTITUTE(VLOOKUP($A613,'Quarterly Pipeline vs Target Pi'!$A:$V,11,false)," $","")," €",""), "")
)</f>
        <v>0</v>
      </c>
      <c r="AC613" s="1">
        <f>value(IFERROR(SUBSTITUTE(SUBSTITUTE(VLOOKUP($A613,'Quarterly Pipeline vs Target Pi'!$A:$V,12,false)," $","")," €",""), "")
)</f>
        <v>0</v>
      </c>
      <c r="AD613" s="17" t="str">
        <f t="shared" si="10"/>
        <v/>
      </c>
      <c r="AE613" s="1">
        <f>value(IFERROR(SUBSTITUTE(SUBSTITUTE(VLOOKUP($A613,'Quarterly Pipeline vs Target Pi'!$A:$V,16,false)," $","")," €",""), "")
)</f>
        <v>0</v>
      </c>
      <c r="AF613" s="1">
        <f>value(IFERROR(SUBSTITUTE(SUBSTITUTE(VLOOKUP($A613,'Quarterly Pipeline vs Target Pi'!$A:$V,17,false)," $","")," €",""), "")
)</f>
        <v>0</v>
      </c>
      <c r="AG613" s="17" t="str">
        <f t="shared" si="11"/>
        <v/>
      </c>
      <c r="AH613" s="1">
        <f>value(IFERROR(SUBSTITUTE(SUBSTITUTE(VLOOKUP($A613,'Quarterly Pipeline vs Target Pi'!$A:$V,21,false)," $","")," €",""), "")
)</f>
        <v>0</v>
      </c>
      <c r="AI613" s="1">
        <f>value(IFERROR(SUBSTITUTE(SUBSTITUTE(VLOOKUP($A613,'Quarterly Pipeline vs Target Pi'!$A:$V,22,false)," $","")," €",""), "")
)</f>
        <v>0</v>
      </c>
      <c r="AJ613" s="17" t="str">
        <f t="shared" si="12"/>
        <v/>
      </c>
      <c r="AK613" s="1">
        <f t="shared" ref="AK613:AL613" si="1239">sum(Y613,AB613,AE613,AH613)</f>
        <v>0</v>
      </c>
      <c r="AL613" s="1">
        <f t="shared" si="1239"/>
        <v>0</v>
      </c>
      <c r="AM613" s="17" t="str">
        <f t="shared" si="14"/>
        <v/>
      </c>
      <c r="AN613" s="1">
        <f>value(IFERROR(SUBSTITUTE(SUBSTITUTE(VLOOKUP($A613,'Quarterly Pipeline vs Target Pi'!$A:$AP,26,false)," $","")," €",""), "")
)</f>
        <v>0</v>
      </c>
      <c r="AO613" s="1">
        <f>value(IFERROR(SUBSTITUTE(SUBSTITUTE(VLOOKUP($A613,'Quarterly Pipeline vs Target Pi'!$A:$AP,27,false)," $","")," €",""), "")
)</f>
        <v>0</v>
      </c>
      <c r="AP613" s="17" t="str">
        <f t="shared" si="15"/>
        <v/>
      </c>
      <c r="AQ613" s="1">
        <f>value(IFERROR(SUBSTITUTE(SUBSTITUTE(VLOOKUP($A613,'Quarterly Pipeline vs Target Pi'!$A:$AP,31,false)," $","")," €",""), "")
)</f>
        <v>0</v>
      </c>
      <c r="AR613" s="1">
        <f>value(IFERROR(SUBSTITUTE(SUBSTITUTE(VLOOKUP($A613,'Quarterly Pipeline vs Target Pi'!$A:$AP,32,false)," $","")," €",""), "")
)</f>
        <v>0</v>
      </c>
      <c r="AS613" s="17" t="str">
        <f t="shared" si="16"/>
        <v/>
      </c>
      <c r="AT613" s="1">
        <f>value(IFERROR(SUBSTITUTE(SUBSTITUTE(VLOOKUP($A613,'Quarterly Pipeline vs Target Pi'!$A:$AP,36,false)," $","")," €",""), "")
)</f>
        <v>0</v>
      </c>
      <c r="AU613" s="1">
        <f>value(IFERROR(SUBSTITUTE(SUBSTITUTE(VLOOKUP($A613,'Quarterly Pipeline vs Target Pi'!$A:$AP,37,false)," $","")," €",""), "")
)</f>
        <v>0</v>
      </c>
      <c r="AV613" s="17" t="str">
        <f t="shared" si="17"/>
        <v/>
      </c>
      <c r="AW613" s="1">
        <f>value(IFERROR(SUBSTITUTE(SUBSTITUTE(VLOOKUP($A613,'Quarterly Pipeline vs Target Pi'!$A:$AP,41,false)," $","")," €",""), "")
)</f>
        <v>0</v>
      </c>
      <c r="AX613" s="1">
        <f>value(IFERROR(SUBSTITUTE(SUBSTITUTE(VLOOKUP($A613,'Quarterly Pipeline vs Target Pi'!$A:$AP,42,false)," $","")," €",""), "")
)</f>
        <v>0</v>
      </c>
      <c r="AY613" s="17" t="str">
        <f t="shared" si="18"/>
        <v/>
      </c>
      <c r="AZ613" s="1">
        <f t="shared" ref="AZ613:BA613" si="1240">sum(AN613,AQ613,AT613,AW613)</f>
        <v>0</v>
      </c>
      <c r="BA613" s="1">
        <f t="shared" si="1240"/>
        <v>0</v>
      </c>
      <c r="BB613" s="17" t="str">
        <f t="shared" si="20"/>
        <v/>
      </c>
    </row>
    <row r="614">
      <c r="G614" s="1" t="str">
        <f>iferror(VLOOKUP(A614,'Business Plan Setup and Accepta'!A:G,6,false),"")</f>
        <v/>
      </c>
      <c r="H614" s="1" t="str">
        <f>iferror(VLOOKUP(A614,'Business Plan Setup and Accepta'!A:G,7,false),"")</f>
        <v/>
      </c>
      <c r="I614" s="17"/>
      <c r="J614" s="1" t="str">
        <f>IFERROR(VALUE(SUBSTITUTE(VLOOKUP(A614,'Sales IN Revenues vs Sales targ'!A:G,6,false)," $","")), "")
</f>
        <v/>
      </c>
      <c r="K614" s="1" t="str">
        <f>IFERROR(VALUE(SUBSTITUTE(VLOOKUP(A614,'Sales IN Revenues vs Sales targ'!A:G,7,false)," $","")), "")
</f>
        <v/>
      </c>
      <c r="L614" s="17"/>
      <c r="M614" s="1">
        <f>value(SUBSTITUTE(IFERROR(VLOOKUP(A614,'Certifications achievements vs '!A:G,6,false),""),"#","")
)</f>
        <v>0</v>
      </c>
      <c r="N614" s="1">
        <f>value(SUBSTITUTE(IFERROR(VLOOKUP(A614,'Certifications achievements vs '!A:G,7,false),""),"#","")
)</f>
        <v>0</v>
      </c>
      <c r="O614" s="17"/>
      <c r="P614" s="1">
        <f>value(SUBSTITUTE(IFERROR(VLOOKUP(A614,'Communications - Solution Speci'!A:G,6,false),""),"#","")
)</f>
        <v>0</v>
      </c>
      <c r="Q614" s="1">
        <f>value(SUBSTITUTE(IFERROR(VLOOKUP(A614,'Communications - Solution Speci'!A:G,7,false),""),"#","")
)</f>
        <v>0</v>
      </c>
      <c r="R614" s="17" t="str">
        <f t="shared" si="6"/>
        <v/>
      </c>
      <c r="S614" s="1">
        <f>value(SUBSTITUTE(IFERROR(VLOOKUP(A614,'Networking - Solution Specializ'!A:G,6,false),""),"#","")
)</f>
        <v>0</v>
      </c>
      <c r="T614" s="1">
        <f>value(SUBSTITUTE(IFERROR(VLOOKUP(A614,'Networking - Solution Specializ'!A:G,7,false),""),"#","")
)</f>
        <v>0</v>
      </c>
      <c r="U614" s="17" t="str">
        <f t="shared" si="7"/>
        <v/>
      </c>
      <c r="V614" s="1" t="str">
        <f>iferror(vlookup(A614,'Marketing Plan (extract summary'!A:G,6,false),"")</f>
        <v/>
      </c>
      <c r="W614" s="1" t="str">
        <f>iferror(vlookup(A614,'Marketing Plan (extract summary'!A:G,7,false),"")</f>
        <v/>
      </c>
      <c r="X614" s="17"/>
      <c r="Y614" s="1">
        <f>value(IFERROR(SUBSTITUTE(SUBSTITUTE(VLOOKUP(A614,'Quarterly Pipeline vs Target Pi'!A:G,6,false)," $","")," €",""), "")
)</f>
        <v>0</v>
      </c>
      <c r="Z614" s="1">
        <f>value(IFERROR(SUBSTITUTE(SUBSTITUTE(VLOOKUP(A614,'Quarterly Pipeline vs Target Pi'!A:G,7,false)," $","")," €",""), "")
)</f>
        <v>0</v>
      </c>
      <c r="AA614" s="17" t="str">
        <f t="shared" si="9"/>
        <v/>
      </c>
      <c r="AB614" s="1">
        <f>value(IFERROR(SUBSTITUTE(SUBSTITUTE(VLOOKUP($A614,'Quarterly Pipeline vs Target Pi'!$A:$V,11,false)," $","")," €",""), "")
)</f>
        <v>0</v>
      </c>
      <c r="AC614" s="1">
        <f>value(IFERROR(SUBSTITUTE(SUBSTITUTE(VLOOKUP($A614,'Quarterly Pipeline vs Target Pi'!$A:$V,12,false)," $","")," €",""), "")
)</f>
        <v>0</v>
      </c>
      <c r="AD614" s="17" t="str">
        <f t="shared" si="10"/>
        <v/>
      </c>
      <c r="AE614" s="1">
        <f>value(IFERROR(SUBSTITUTE(SUBSTITUTE(VLOOKUP($A614,'Quarterly Pipeline vs Target Pi'!$A:$V,16,false)," $","")," €",""), "")
)</f>
        <v>0</v>
      </c>
      <c r="AF614" s="1">
        <f>value(IFERROR(SUBSTITUTE(SUBSTITUTE(VLOOKUP($A614,'Quarterly Pipeline vs Target Pi'!$A:$V,17,false)," $","")," €",""), "")
)</f>
        <v>0</v>
      </c>
      <c r="AG614" s="17" t="str">
        <f t="shared" si="11"/>
        <v/>
      </c>
      <c r="AH614" s="1">
        <f>value(IFERROR(SUBSTITUTE(SUBSTITUTE(VLOOKUP($A614,'Quarterly Pipeline vs Target Pi'!$A:$V,21,false)," $","")," €",""), "")
)</f>
        <v>0</v>
      </c>
      <c r="AI614" s="1">
        <f>value(IFERROR(SUBSTITUTE(SUBSTITUTE(VLOOKUP($A614,'Quarterly Pipeline vs Target Pi'!$A:$V,22,false)," $","")," €",""), "")
)</f>
        <v>0</v>
      </c>
      <c r="AJ614" s="17" t="str">
        <f t="shared" si="12"/>
        <v/>
      </c>
      <c r="AK614" s="1">
        <f t="shared" ref="AK614:AL614" si="1241">sum(Y614,AB614,AE614,AH614)</f>
        <v>0</v>
      </c>
      <c r="AL614" s="1">
        <f t="shared" si="1241"/>
        <v>0</v>
      </c>
      <c r="AM614" s="17" t="str">
        <f t="shared" si="14"/>
        <v/>
      </c>
      <c r="AN614" s="1">
        <f>value(IFERROR(SUBSTITUTE(SUBSTITUTE(VLOOKUP($A614,'Quarterly Pipeline vs Target Pi'!$A:$AP,26,false)," $","")," €",""), "")
)</f>
        <v>0</v>
      </c>
      <c r="AO614" s="1">
        <f>value(IFERROR(SUBSTITUTE(SUBSTITUTE(VLOOKUP($A614,'Quarterly Pipeline vs Target Pi'!$A:$AP,27,false)," $","")," €",""), "")
)</f>
        <v>0</v>
      </c>
      <c r="AP614" s="17" t="str">
        <f t="shared" si="15"/>
        <v/>
      </c>
      <c r="AQ614" s="1">
        <f>value(IFERROR(SUBSTITUTE(SUBSTITUTE(VLOOKUP($A614,'Quarterly Pipeline vs Target Pi'!$A:$AP,31,false)," $","")," €",""), "")
)</f>
        <v>0</v>
      </c>
      <c r="AR614" s="1">
        <f>value(IFERROR(SUBSTITUTE(SUBSTITUTE(VLOOKUP($A614,'Quarterly Pipeline vs Target Pi'!$A:$AP,32,false)," $","")," €",""), "")
)</f>
        <v>0</v>
      </c>
      <c r="AS614" s="17" t="str">
        <f t="shared" si="16"/>
        <v/>
      </c>
      <c r="AT614" s="1">
        <f>value(IFERROR(SUBSTITUTE(SUBSTITUTE(VLOOKUP($A614,'Quarterly Pipeline vs Target Pi'!$A:$AP,36,false)," $","")," €",""), "")
)</f>
        <v>0</v>
      </c>
      <c r="AU614" s="1">
        <f>value(IFERROR(SUBSTITUTE(SUBSTITUTE(VLOOKUP($A614,'Quarterly Pipeline vs Target Pi'!$A:$AP,37,false)," $","")," €",""), "")
)</f>
        <v>0</v>
      </c>
      <c r="AV614" s="17" t="str">
        <f t="shared" si="17"/>
        <v/>
      </c>
      <c r="AW614" s="1">
        <f>value(IFERROR(SUBSTITUTE(SUBSTITUTE(VLOOKUP($A614,'Quarterly Pipeline vs Target Pi'!$A:$AP,41,false)," $","")," €",""), "")
)</f>
        <v>0</v>
      </c>
      <c r="AX614" s="1">
        <f>value(IFERROR(SUBSTITUTE(SUBSTITUTE(VLOOKUP($A614,'Quarterly Pipeline vs Target Pi'!$A:$AP,42,false)," $","")," €",""), "")
)</f>
        <v>0</v>
      </c>
      <c r="AY614" s="17" t="str">
        <f t="shared" si="18"/>
        <v/>
      </c>
      <c r="AZ614" s="1">
        <f t="shared" ref="AZ614:BA614" si="1242">sum(AN614,AQ614,AT614,AW614)</f>
        <v>0</v>
      </c>
      <c r="BA614" s="1">
        <f t="shared" si="1242"/>
        <v>0</v>
      </c>
      <c r="BB614" s="17" t="str">
        <f t="shared" si="20"/>
        <v/>
      </c>
    </row>
    <row r="615">
      <c r="G615" s="1" t="str">
        <f>iferror(VLOOKUP(A615,'Business Plan Setup and Accepta'!A:G,6,false),"")</f>
        <v/>
      </c>
      <c r="H615" s="1" t="str">
        <f>iferror(VLOOKUP(A615,'Business Plan Setup and Accepta'!A:G,7,false),"")</f>
        <v/>
      </c>
      <c r="I615" s="17"/>
      <c r="J615" s="1" t="str">
        <f>IFERROR(VALUE(SUBSTITUTE(VLOOKUP(A615,'Sales IN Revenues vs Sales targ'!A:G,6,false)," $","")), "")
</f>
        <v/>
      </c>
      <c r="K615" s="1" t="str">
        <f>IFERROR(VALUE(SUBSTITUTE(VLOOKUP(A615,'Sales IN Revenues vs Sales targ'!A:G,7,false)," $","")), "")
</f>
        <v/>
      </c>
      <c r="L615" s="17"/>
      <c r="M615" s="1">
        <f>value(SUBSTITUTE(IFERROR(VLOOKUP(A615,'Certifications achievements vs '!A:G,6,false),""),"#","")
)</f>
        <v>0</v>
      </c>
      <c r="N615" s="1">
        <f>value(SUBSTITUTE(IFERROR(VLOOKUP(A615,'Certifications achievements vs '!A:G,7,false),""),"#","")
)</f>
        <v>0</v>
      </c>
      <c r="O615" s="17"/>
      <c r="P615" s="1">
        <f>value(SUBSTITUTE(IFERROR(VLOOKUP(A615,'Communications - Solution Speci'!A:G,6,false),""),"#","")
)</f>
        <v>0</v>
      </c>
      <c r="Q615" s="1">
        <f>value(SUBSTITUTE(IFERROR(VLOOKUP(A615,'Communications - Solution Speci'!A:G,7,false),""),"#","")
)</f>
        <v>0</v>
      </c>
      <c r="R615" s="17" t="str">
        <f t="shared" si="6"/>
        <v/>
      </c>
      <c r="S615" s="1">
        <f>value(SUBSTITUTE(IFERROR(VLOOKUP(A615,'Networking - Solution Specializ'!A:G,6,false),""),"#","")
)</f>
        <v>0</v>
      </c>
      <c r="T615" s="1">
        <f>value(SUBSTITUTE(IFERROR(VLOOKUP(A615,'Networking - Solution Specializ'!A:G,7,false),""),"#","")
)</f>
        <v>0</v>
      </c>
      <c r="U615" s="17" t="str">
        <f t="shared" si="7"/>
        <v/>
      </c>
      <c r="V615" s="1" t="str">
        <f>iferror(vlookup(A615,'Marketing Plan (extract summary'!A:G,6,false),"")</f>
        <v/>
      </c>
      <c r="W615" s="1" t="str">
        <f>iferror(vlookup(A615,'Marketing Plan (extract summary'!A:G,7,false),"")</f>
        <v/>
      </c>
      <c r="X615" s="17"/>
      <c r="Y615" s="1">
        <f>value(IFERROR(SUBSTITUTE(SUBSTITUTE(VLOOKUP(A615,'Quarterly Pipeline vs Target Pi'!A:G,6,false)," $","")," €",""), "")
)</f>
        <v>0</v>
      </c>
      <c r="Z615" s="1">
        <f>value(IFERROR(SUBSTITUTE(SUBSTITUTE(VLOOKUP(A615,'Quarterly Pipeline vs Target Pi'!A:G,7,false)," $","")," €",""), "")
)</f>
        <v>0</v>
      </c>
      <c r="AA615" s="17" t="str">
        <f t="shared" si="9"/>
        <v/>
      </c>
      <c r="AB615" s="1">
        <f>value(IFERROR(SUBSTITUTE(SUBSTITUTE(VLOOKUP($A615,'Quarterly Pipeline vs Target Pi'!$A:$V,11,false)," $","")," €",""), "")
)</f>
        <v>0</v>
      </c>
      <c r="AC615" s="1">
        <f>value(IFERROR(SUBSTITUTE(SUBSTITUTE(VLOOKUP($A615,'Quarterly Pipeline vs Target Pi'!$A:$V,12,false)," $","")," €",""), "")
)</f>
        <v>0</v>
      </c>
      <c r="AD615" s="17" t="str">
        <f t="shared" si="10"/>
        <v/>
      </c>
      <c r="AE615" s="1">
        <f>value(IFERROR(SUBSTITUTE(SUBSTITUTE(VLOOKUP($A615,'Quarterly Pipeline vs Target Pi'!$A:$V,16,false)," $","")," €",""), "")
)</f>
        <v>0</v>
      </c>
      <c r="AF615" s="1">
        <f>value(IFERROR(SUBSTITUTE(SUBSTITUTE(VLOOKUP($A615,'Quarterly Pipeline vs Target Pi'!$A:$V,17,false)," $","")," €",""), "")
)</f>
        <v>0</v>
      </c>
      <c r="AG615" s="17" t="str">
        <f t="shared" si="11"/>
        <v/>
      </c>
      <c r="AH615" s="1">
        <f>value(IFERROR(SUBSTITUTE(SUBSTITUTE(VLOOKUP($A615,'Quarterly Pipeline vs Target Pi'!$A:$V,21,false)," $","")," €",""), "")
)</f>
        <v>0</v>
      </c>
      <c r="AI615" s="1">
        <f>value(IFERROR(SUBSTITUTE(SUBSTITUTE(VLOOKUP($A615,'Quarterly Pipeline vs Target Pi'!$A:$V,22,false)," $","")," €",""), "")
)</f>
        <v>0</v>
      </c>
      <c r="AJ615" s="17" t="str">
        <f t="shared" si="12"/>
        <v/>
      </c>
      <c r="AK615" s="1">
        <f t="shared" ref="AK615:AL615" si="1243">sum(Y615,AB615,AE615,AH615)</f>
        <v>0</v>
      </c>
      <c r="AL615" s="1">
        <f t="shared" si="1243"/>
        <v>0</v>
      </c>
      <c r="AM615" s="17" t="str">
        <f t="shared" si="14"/>
        <v/>
      </c>
      <c r="AN615" s="1">
        <f>value(IFERROR(SUBSTITUTE(SUBSTITUTE(VLOOKUP($A615,'Quarterly Pipeline vs Target Pi'!$A:$AP,26,false)," $","")," €",""), "")
)</f>
        <v>0</v>
      </c>
      <c r="AO615" s="1">
        <f>value(IFERROR(SUBSTITUTE(SUBSTITUTE(VLOOKUP($A615,'Quarterly Pipeline vs Target Pi'!$A:$AP,27,false)," $","")," €",""), "")
)</f>
        <v>0</v>
      </c>
      <c r="AP615" s="17" t="str">
        <f t="shared" si="15"/>
        <v/>
      </c>
      <c r="AQ615" s="1">
        <f>value(IFERROR(SUBSTITUTE(SUBSTITUTE(VLOOKUP($A615,'Quarterly Pipeline vs Target Pi'!$A:$AP,31,false)," $","")," €",""), "")
)</f>
        <v>0</v>
      </c>
      <c r="AR615" s="1">
        <f>value(IFERROR(SUBSTITUTE(SUBSTITUTE(VLOOKUP($A615,'Quarterly Pipeline vs Target Pi'!$A:$AP,32,false)," $","")," €",""), "")
)</f>
        <v>0</v>
      </c>
      <c r="AS615" s="17" t="str">
        <f t="shared" si="16"/>
        <v/>
      </c>
      <c r="AT615" s="1">
        <f>value(IFERROR(SUBSTITUTE(SUBSTITUTE(VLOOKUP($A615,'Quarterly Pipeline vs Target Pi'!$A:$AP,36,false)," $","")," €",""), "")
)</f>
        <v>0</v>
      </c>
      <c r="AU615" s="1">
        <f>value(IFERROR(SUBSTITUTE(SUBSTITUTE(VLOOKUP($A615,'Quarterly Pipeline vs Target Pi'!$A:$AP,37,false)," $","")," €",""), "")
)</f>
        <v>0</v>
      </c>
      <c r="AV615" s="17" t="str">
        <f t="shared" si="17"/>
        <v/>
      </c>
      <c r="AW615" s="1">
        <f>value(IFERROR(SUBSTITUTE(SUBSTITUTE(VLOOKUP($A615,'Quarterly Pipeline vs Target Pi'!$A:$AP,41,false)," $","")," €",""), "")
)</f>
        <v>0</v>
      </c>
      <c r="AX615" s="1">
        <f>value(IFERROR(SUBSTITUTE(SUBSTITUTE(VLOOKUP($A615,'Quarterly Pipeline vs Target Pi'!$A:$AP,42,false)," $","")," €",""), "")
)</f>
        <v>0</v>
      </c>
      <c r="AY615" s="17" t="str">
        <f t="shared" si="18"/>
        <v/>
      </c>
      <c r="AZ615" s="1">
        <f t="shared" ref="AZ615:BA615" si="1244">sum(AN615,AQ615,AT615,AW615)</f>
        <v>0</v>
      </c>
      <c r="BA615" s="1">
        <f t="shared" si="1244"/>
        <v>0</v>
      </c>
      <c r="BB615" s="17" t="str">
        <f t="shared" si="20"/>
        <v/>
      </c>
    </row>
    <row r="616">
      <c r="G616" s="1" t="str">
        <f>iferror(VLOOKUP(A616,'Business Plan Setup and Accepta'!A:G,6,false),"")</f>
        <v/>
      </c>
      <c r="H616" s="1" t="str">
        <f>iferror(VLOOKUP(A616,'Business Plan Setup and Accepta'!A:G,7,false),"")</f>
        <v/>
      </c>
      <c r="I616" s="17"/>
      <c r="J616" s="1" t="str">
        <f>IFERROR(VALUE(SUBSTITUTE(VLOOKUP(A616,'Sales IN Revenues vs Sales targ'!A:G,6,false)," $","")), "")
</f>
        <v/>
      </c>
      <c r="K616" s="1" t="str">
        <f>IFERROR(VALUE(SUBSTITUTE(VLOOKUP(A616,'Sales IN Revenues vs Sales targ'!A:G,7,false)," $","")), "")
</f>
        <v/>
      </c>
      <c r="L616" s="17"/>
      <c r="M616" s="1">
        <f>value(SUBSTITUTE(IFERROR(VLOOKUP(A616,'Certifications achievements vs '!A:G,6,false),""),"#","")
)</f>
        <v>0</v>
      </c>
      <c r="N616" s="1">
        <f>value(SUBSTITUTE(IFERROR(VLOOKUP(A616,'Certifications achievements vs '!A:G,7,false),""),"#","")
)</f>
        <v>0</v>
      </c>
      <c r="O616" s="17"/>
      <c r="P616" s="1">
        <f>value(SUBSTITUTE(IFERROR(VLOOKUP(A616,'Communications - Solution Speci'!A:G,6,false),""),"#","")
)</f>
        <v>0</v>
      </c>
      <c r="Q616" s="1">
        <f>value(SUBSTITUTE(IFERROR(VLOOKUP(A616,'Communications - Solution Speci'!A:G,7,false),""),"#","")
)</f>
        <v>0</v>
      </c>
      <c r="R616" s="17" t="str">
        <f t="shared" si="6"/>
        <v/>
      </c>
      <c r="S616" s="1">
        <f>value(SUBSTITUTE(IFERROR(VLOOKUP(A616,'Networking - Solution Specializ'!A:G,6,false),""),"#","")
)</f>
        <v>0</v>
      </c>
      <c r="T616" s="1">
        <f>value(SUBSTITUTE(IFERROR(VLOOKUP(A616,'Networking - Solution Specializ'!A:G,7,false),""),"#","")
)</f>
        <v>0</v>
      </c>
      <c r="U616" s="17" t="str">
        <f t="shared" si="7"/>
        <v/>
      </c>
      <c r="V616" s="1" t="str">
        <f>iferror(vlookup(A616,'Marketing Plan (extract summary'!A:G,6,false),"")</f>
        <v/>
      </c>
      <c r="W616" s="1" t="str">
        <f>iferror(vlookup(A616,'Marketing Plan (extract summary'!A:G,7,false),"")</f>
        <v/>
      </c>
      <c r="X616" s="17"/>
      <c r="Y616" s="1">
        <f>value(IFERROR(SUBSTITUTE(SUBSTITUTE(VLOOKUP(A616,'Quarterly Pipeline vs Target Pi'!A:G,6,false)," $","")," €",""), "")
)</f>
        <v>0</v>
      </c>
      <c r="Z616" s="1">
        <f>value(IFERROR(SUBSTITUTE(SUBSTITUTE(VLOOKUP(A616,'Quarterly Pipeline vs Target Pi'!A:G,7,false)," $","")," €",""), "")
)</f>
        <v>0</v>
      </c>
      <c r="AA616" s="17" t="str">
        <f t="shared" si="9"/>
        <v/>
      </c>
      <c r="AB616" s="1">
        <f>value(IFERROR(SUBSTITUTE(SUBSTITUTE(VLOOKUP($A616,'Quarterly Pipeline vs Target Pi'!$A:$V,11,false)," $","")," €",""), "")
)</f>
        <v>0</v>
      </c>
      <c r="AC616" s="1">
        <f>value(IFERROR(SUBSTITUTE(SUBSTITUTE(VLOOKUP($A616,'Quarterly Pipeline vs Target Pi'!$A:$V,12,false)," $","")," €",""), "")
)</f>
        <v>0</v>
      </c>
      <c r="AD616" s="17" t="str">
        <f t="shared" si="10"/>
        <v/>
      </c>
      <c r="AE616" s="1">
        <f>value(IFERROR(SUBSTITUTE(SUBSTITUTE(VLOOKUP($A616,'Quarterly Pipeline vs Target Pi'!$A:$V,16,false)," $","")," €",""), "")
)</f>
        <v>0</v>
      </c>
      <c r="AF616" s="1">
        <f>value(IFERROR(SUBSTITUTE(SUBSTITUTE(VLOOKUP($A616,'Quarterly Pipeline vs Target Pi'!$A:$V,17,false)," $","")," €",""), "")
)</f>
        <v>0</v>
      </c>
      <c r="AG616" s="17" t="str">
        <f t="shared" si="11"/>
        <v/>
      </c>
      <c r="AH616" s="1">
        <f>value(IFERROR(SUBSTITUTE(SUBSTITUTE(VLOOKUP($A616,'Quarterly Pipeline vs Target Pi'!$A:$V,21,false)," $","")," €",""), "")
)</f>
        <v>0</v>
      </c>
      <c r="AI616" s="1">
        <f>value(IFERROR(SUBSTITUTE(SUBSTITUTE(VLOOKUP($A616,'Quarterly Pipeline vs Target Pi'!$A:$V,22,false)," $","")," €",""), "")
)</f>
        <v>0</v>
      </c>
      <c r="AJ616" s="17" t="str">
        <f t="shared" si="12"/>
        <v/>
      </c>
      <c r="AK616" s="1">
        <f t="shared" ref="AK616:AL616" si="1245">sum(Y616,AB616,AE616,AH616)</f>
        <v>0</v>
      </c>
      <c r="AL616" s="1">
        <f t="shared" si="1245"/>
        <v>0</v>
      </c>
      <c r="AM616" s="17" t="str">
        <f t="shared" si="14"/>
        <v/>
      </c>
      <c r="AN616" s="1">
        <f>value(IFERROR(SUBSTITUTE(SUBSTITUTE(VLOOKUP($A616,'Quarterly Pipeline vs Target Pi'!$A:$AP,26,false)," $","")," €",""), "")
)</f>
        <v>0</v>
      </c>
      <c r="AO616" s="1">
        <f>value(IFERROR(SUBSTITUTE(SUBSTITUTE(VLOOKUP($A616,'Quarterly Pipeline vs Target Pi'!$A:$AP,27,false)," $","")," €",""), "")
)</f>
        <v>0</v>
      </c>
      <c r="AP616" s="17" t="str">
        <f t="shared" si="15"/>
        <v/>
      </c>
      <c r="AQ616" s="1">
        <f>value(IFERROR(SUBSTITUTE(SUBSTITUTE(VLOOKUP($A616,'Quarterly Pipeline vs Target Pi'!$A:$AP,31,false)," $","")," €",""), "")
)</f>
        <v>0</v>
      </c>
      <c r="AR616" s="1">
        <f>value(IFERROR(SUBSTITUTE(SUBSTITUTE(VLOOKUP($A616,'Quarterly Pipeline vs Target Pi'!$A:$AP,32,false)," $","")," €",""), "")
)</f>
        <v>0</v>
      </c>
      <c r="AS616" s="17" t="str">
        <f t="shared" si="16"/>
        <v/>
      </c>
      <c r="AT616" s="1">
        <f>value(IFERROR(SUBSTITUTE(SUBSTITUTE(VLOOKUP($A616,'Quarterly Pipeline vs Target Pi'!$A:$AP,36,false)," $","")," €",""), "")
)</f>
        <v>0</v>
      </c>
      <c r="AU616" s="1">
        <f>value(IFERROR(SUBSTITUTE(SUBSTITUTE(VLOOKUP($A616,'Quarterly Pipeline vs Target Pi'!$A:$AP,37,false)," $","")," €",""), "")
)</f>
        <v>0</v>
      </c>
      <c r="AV616" s="17" t="str">
        <f t="shared" si="17"/>
        <v/>
      </c>
      <c r="AW616" s="1">
        <f>value(IFERROR(SUBSTITUTE(SUBSTITUTE(VLOOKUP($A616,'Quarterly Pipeline vs Target Pi'!$A:$AP,41,false)," $","")," €",""), "")
)</f>
        <v>0</v>
      </c>
      <c r="AX616" s="1">
        <f>value(IFERROR(SUBSTITUTE(SUBSTITUTE(VLOOKUP($A616,'Quarterly Pipeline vs Target Pi'!$A:$AP,42,false)," $","")," €",""), "")
)</f>
        <v>0</v>
      </c>
      <c r="AY616" s="17" t="str">
        <f t="shared" si="18"/>
        <v/>
      </c>
      <c r="AZ616" s="1">
        <f t="shared" ref="AZ616:BA616" si="1246">sum(AN616,AQ616,AT616,AW616)</f>
        <v>0</v>
      </c>
      <c r="BA616" s="1">
        <f t="shared" si="1246"/>
        <v>0</v>
      </c>
      <c r="BB616" s="17" t="str">
        <f t="shared" si="20"/>
        <v/>
      </c>
    </row>
    <row r="617">
      <c r="G617" s="1" t="str">
        <f>iferror(VLOOKUP(A617,'Business Plan Setup and Accepta'!A:G,6,false),"")</f>
        <v/>
      </c>
      <c r="H617" s="1" t="str">
        <f>iferror(VLOOKUP(A617,'Business Plan Setup and Accepta'!A:G,7,false),"")</f>
        <v/>
      </c>
      <c r="I617" s="17"/>
      <c r="J617" s="1" t="str">
        <f>IFERROR(VALUE(SUBSTITUTE(VLOOKUP(A617,'Sales IN Revenues vs Sales targ'!A:G,6,false)," $","")), "")
</f>
        <v/>
      </c>
      <c r="K617" s="1" t="str">
        <f>IFERROR(VALUE(SUBSTITUTE(VLOOKUP(A617,'Sales IN Revenues vs Sales targ'!A:G,7,false)," $","")), "")
</f>
        <v/>
      </c>
      <c r="L617" s="17"/>
      <c r="M617" s="1">
        <f>value(SUBSTITUTE(IFERROR(VLOOKUP(A617,'Certifications achievements vs '!A:G,6,false),""),"#","")
)</f>
        <v>0</v>
      </c>
      <c r="N617" s="1">
        <f>value(SUBSTITUTE(IFERROR(VLOOKUP(A617,'Certifications achievements vs '!A:G,7,false),""),"#","")
)</f>
        <v>0</v>
      </c>
      <c r="O617" s="17"/>
      <c r="P617" s="1">
        <f>value(SUBSTITUTE(IFERROR(VLOOKUP(A617,'Communications - Solution Speci'!A:G,6,false),""),"#","")
)</f>
        <v>0</v>
      </c>
      <c r="Q617" s="1">
        <f>value(SUBSTITUTE(IFERROR(VLOOKUP(A617,'Communications - Solution Speci'!A:G,7,false),""),"#","")
)</f>
        <v>0</v>
      </c>
      <c r="R617" s="17" t="str">
        <f t="shared" si="6"/>
        <v/>
      </c>
      <c r="S617" s="1">
        <f>value(SUBSTITUTE(IFERROR(VLOOKUP(A617,'Networking - Solution Specializ'!A:G,6,false),""),"#","")
)</f>
        <v>0</v>
      </c>
      <c r="T617" s="1">
        <f>value(SUBSTITUTE(IFERROR(VLOOKUP(A617,'Networking - Solution Specializ'!A:G,7,false),""),"#","")
)</f>
        <v>0</v>
      </c>
      <c r="U617" s="17" t="str">
        <f t="shared" si="7"/>
        <v/>
      </c>
      <c r="V617" s="1" t="str">
        <f>iferror(vlookup(A617,'Marketing Plan (extract summary'!A:G,6,false),"")</f>
        <v/>
      </c>
      <c r="W617" s="1" t="str">
        <f>iferror(vlookup(A617,'Marketing Plan (extract summary'!A:G,7,false),"")</f>
        <v/>
      </c>
      <c r="X617" s="17"/>
      <c r="Y617" s="1">
        <f>value(IFERROR(SUBSTITUTE(SUBSTITUTE(VLOOKUP(A617,'Quarterly Pipeline vs Target Pi'!A:G,6,false)," $","")," €",""), "")
)</f>
        <v>0</v>
      </c>
      <c r="Z617" s="1">
        <f>value(IFERROR(SUBSTITUTE(SUBSTITUTE(VLOOKUP(A617,'Quarterly Pipeline vs Target Pi'!A:G,7,false)," $","")," €",""), "")
)</f>
        <v>0</v>
      </c>
      <c r="AA617" s="17" t="str">
        <f t="shared" si="9"/>
        <v/>
      </c>
      <c r="AB617" s="1">
        <f>value(IFERROR(SUBSTITUTE(SUBSTITUTE(VLOOKUP($A617,'Quarterly Pipeline vs Target Pi'!$A:$V,11,false)," $","")," €",""), "")
)</f>
        <v>0</v>
      </c>
      <c r="AC617" s="1">
        <f>value(IFERROR(SUBSTITUTE(SUBSTITUTE(VLOOKUP($A617,'Quarterly Pipeline vs Target Pi'!$A:$V,12,false)," $","")," €",""), "")
)</f>
        <v>0</v>
      </c>
      <c r="AD617" s="17" t="str">
        <f t="shared" si="10"/>
        <v/>
      </c>
      <c r="AE617" s="1">
        <f>value(IFERROR(SUBSTITUTE(SUBSTITUTE(VLOOKUP($A617,'Quarterly Pipeline vs Target Pi'!$A:$V,16,false)," $","")," €",""), "")
)</f>
        <v>0</v>
      </c>
      <c r="AF617" s="1">
        <f>value(IFERROR(SUBSTITUTE(SUBSTITUTE(VLOOKUP($A617,'Quarterly Pipeline vs Target Pi'!$A:$V,17,false)," $","")," €",""), "")
)</f>
        <v>0</v>
      </c>
      <c r="AG617" s="17" t="str">
        <f t="shared" si="11"/>
        <v/>
      </c>
      <c r="AH617" s="1">
        <f>value(IFERROR(SUBSTITUTE(SUBSTITUTE(VLOOKUP($A617,'Quarterly Pipeline vs Target Pi'!$A:$V,21,false)," $","")," €",""), "")
)</f>
        <v>0</v>
      </c>
      <c r="AI617" s="1">
        <f>value(IFERROR(SUBSTITUTE(SUBSTITUTE(VLOOKUP($A617,'Quarterly Pipeline vs Target Pi'!$A:$V,22,false)," $","")," €",""), "")
)</f>
        <v>0</v>
      </c>
      <c r="AJ617" s="17" t="str">
        <f t="shared" si="12"/>
        <v/>
      </c>
      <c r="AK617" s="1">
        <f t="shared" ref="AK617:AL617" si="1247">sum(Y617,AB617,AE617,AH617)</f>
        <v>0</v>
      </c>
      <c r="AL617" s="1">
        <f t="shared" si="1247"/>
        <v>0</v>
      </c>
      <c r="AM617" s="17" t="str">
        <f t="shared" si="14"/>
        <v/>
      </c>
      <c r="AN617" s="1">
        <f>value(IFERROR(SUBSTITUTE(SUBSTITUTE(VLOOKUP($A617,'Quarterly Pipeline vs Target Pi'!$A:$AP,26,false)," $","")," €",""), "")
)</f>
        <v>0</v>
      </c>
      <c r="AO617" s="1">
        <f>value(IFERROR(SUBSTITUTE(SUBSTITUTE(VLOOKUP($A617,'Quarterly Pipeline vs Target Pi'!$A:$AP,27,false)," $","")," €",""), "")
)</f>
        <v>0</v>
      </c>
      <c r="AP617" s="17" t="str">
        <f t="shared" si="15"/>
        <v/>
      </c>
      <c r="AQ617" s="1">
        <f>value(IFERROR(SUBSTITUTE(SUBSTITUTE(VLOOKUP($A617,'Quarterly Pipeline vs Target Pi'!$A:$AP,31,false)," $","")," €",""), "")
)</f>
        <v>0</v>
      </c>
      <c r="AR617" s="1">
        <f>value(IFERROR(SUBSTITUTE(SUBSTITUTE(VLOOKUP($A617,'Quarterly Pipeline vs Target Pi'!$A:$AP,32,false)," $","")," €",""), "")
)</f>
        <v>0</v>
      </c>
      <c r="AS617" s="17" t="str">
        <f t="shared" si="16"/>
        <v/>
      </c>
      <c r="AT617" s="1">
        <f>value(IFERROR(SUBSTITUTE(SUBSTITUTE(VLOOKUP($A617,'Quarterly Pipeline vs Target Pi'!$A:$AP,36,false)," $","")," €",""), "")
)</f>
        <v>0</v>
      </c>
      <c r="AU617" s="1">
        <f>value(IFERROR(SUBSTITUTE(SUBSTITUTE(VLOOKUP($A617,'Quarterly Pipeline vs Target Pi'!$A:$AP,37,false)," $","")," €",""), "")
)</f>
        <v>0</v>
      </c>
      <c r="AV617" s="17" t="str">
        <f t="shared" si="17"/>
        <v/>
      </c>
      <c r="AW617" s="1">
        <f>value(IFERROR(SUBSTITUTE(SUBSTITUTE(VLOOKUP($A617,'Quarterly Pipeline vs Target Pi'!$A:$AP,41,false)," $","")," €",""), "")
)</f>
        <v>0</v>
      </c>
      <c r="AX617" s="1">
        <f>value(IFERROR(SUBSTITUTE(SUBSTITUTE(VLOOKUP($A617,'Quarterly Pipeline vs Target Pi'!$A:$AP,42,false)," $","")," €",""), "")
)</f>
        <v>0</v>
      </c>
      <c r="AY617" s="17" t="str">
        <f t="shared" si="18"/>
        <v/>
      </c>
      <c r="AZ617" s="1">
        <f t="shared" ref="AZ617:BA617" si="1248">sum(AN617,AQ617,AT617,AW617)</f>
        <v>0</v>
      </c>
      <c r="BA617" s="1">
        <f t="shared" si="1248"/>
        <v>0</v>
      </c>
      <c r="BB617" s="17" t="str">
        <f t="shared" si="20"/>
        <v/>
      </c>
    </row>
    <row r="618">
      <c r="G618" s="1" t="str">
        <f>iferror(VLOOKUP(A618,'Business Plan Setup and Accepta'!A:G,6,false),"")</f>
        <v/>
      </c>
      <c r="H618" s="1" t="str">
        <f>iferror(VLOOKUP(A618,'Business Plan Setup and Accepta'!A:G,7,false),"")</f>
        <v/>
      </c>
      <c r="I618" s="17"/>
      <c r="J618" s="1" t="str">
        <f>IFERROR(VALUE(SUBSTITUTE(VLOOKUP(A618,'Sales IN Revenues vs Sales targ'!A:G,6,false)," $","")), "")
</f>
        <v/>
      </c>
      <c r="K618" s="1" t="str">
        <f>IFERROR(VALUE(SUBSTITUTE(VLOOKUP(A618,'Sales IN Revenues vs Sales targ'!A:G,7,false)," $","")), "")
</f>
        <v/>
      </c>
      <c r="L618" s="17"/>
      <c r="M618" s="1">
        <f>value(SUBSTITUTE(IFERROR(VLOOKUP(A618,'Certifications achievements vs '!A:G,6,false),""),"#","")
)</f>
        <v>0</v>
      </c>
      <c r="N618" s="1">
        <f>value(SUBSTITUTE(IFERROR(VLOOKUP(A618,'Certifications achievements vs '!A:G,7,false),""),"#","")
)</f>
        <v>0</v>
      </c>
      <c r="O618" s="17"/>
      <c r="P618" s="1">
        <f>value(SUBSTITUTE(IFERROR(VLOOKUP(A618,'Communications - Solution Speci'!A:G,6,false),""),"#","")
)</f>
        <v>0</v>
      </c>
      <c r="Q618" s="1">
        <f>value(SUBSTITUTE(IFERROR(VLOOKUP(A618,'Communications - Solution Speci'!A:G,7,false),""),"#","")
)</f>
        <v>0</v>
      </c>
      <c r="R618" s="17" t="str">
        <f t="shared" si="6"/>
        <v/>
      </c>
      <c r="S618" s="1">
        <f>value(SUBSTITUTE(IFERROR(VLOOKUP(A618,'Networking - Solution Specializ'!A:G,6,false),""),"#","")
)</f>
        <v>0</v>
      </c>
      <c r="T618" s="1">
        <f>value(SUBSTITUTE(IFERROR(VLOOKUP(A618,'Networking - Solution Specializ'!A:G,7,false),""),"#","")
)</f>
        <v>0</v>
      </c>
      <c r="U618" s="17" t="str">
        <f t="shared" si="7"/>
        <v/>
      </c>
      <c r="V618" s="1" t="str">
        <f>iferror(vlookup(A618,'Marketing Plan (extract summary'!A:G,6,false),"")</f>
        <v/>
      </c>
      <c r="W618" s="1" t="str">
        <f>iferror(vlookup(A618,'Marketing Plan (extract summary'!A:G,7,false),"")</f>
        <v/>
      </c>
      <c r="X618" s="17"/>
      <c r="Y618" s="1">
        <f>value(IFERROR(SUBSTITUTE(SUBSTITUTE(VLOOKUP(A618,'Quarterly Pipeline vs Target Pi'!A:G,6,false)," $","")," €",""), "")
)</f>
        <v>0</v>
      </c>
      <c r="Z618" s="1">
        <f>value(IFERROR(SUBSTITUTE(SUBSTITUTE(VLOOKUP(A618,'Quarterly Pipeline vs Target Pi'!A:G,7,false)," $","")," €",""), "")
)</f>
        <v>0</v>
      </c>
      <c r="AA618" s="17" t="str">
        <f t="shared" si="9"/>
        <v/>
      </c>
      <c r="AB618" s="1">
        <f>value(IFERROR(SUBSTITUTE(SUBSTITUTE(VLOOKUP($A618,'Quarterly Pipeline vs Target Pi'!$A:$V,11,false)," $","")," €",""), "")
)</f>
        <v>0</v>
      </c>
      <c r="AC618" s="1">
        <f>value(IFERROR(SUBSTITUTE(SUBSTITUTE(VLOOKUP($A618,'Quarterly Pipeline vs Target Pi'!$A:$V,12,false)," $","")," €",""), "")
)</f>
        <v>0</v>
      </c>
      <c r="AD618" s="17" t="str">
        <f t="shared" si="10"/>
        <v/>
      </c>
      <c r="AE618" s="1">
        <f>value(IFERROR(SUBSTITUTE(SUBSTITUTE(VLOOKUP($A618,'Quarterly Pipeline vs Target Pi'!$A:$V,16,false)," $","")," €",""), "")
)</f>
        <v>0</v>
      </c>
      <c r="AF618" s="1">
        <f>value(IFERROR(SUBSTITUTE(SUBSTITUTE(VLOOKUP($A618,'Quarterly Pipeline vs Target Pi'!$A:$V,17,false)," $","")," €",""), "")
)</f>
        <v>0</v>
      </c>
      <c r="AG618" s="17" t="str">
        <f t="shared" si="11"/>
        <v/>
      </c>
      <c r="AH618" s="1">
        <f>value(IFERROR(SUBSTITUTE(SUBSTITUTE(VLOOKUP($A618,'Quarterly Pipeline vs Target Pi'!$A:$V,21,false)," $","")," €",""), "")
)</f>
        <v>0</v>
      </c>
      <c r="AI618" s="1">
        <f>value(IFERROR(SUBSTITUTE(SUBSTITUTE(VLOOKUP($A618,'Quarterly Pipeline vs Target Pi'!$A:$V,22,false)," $","")," €",""), "")
)</f>
        <v>0</v>
      </c>
      <c r="AJ618" s="17" t="str">
        <f t="shared" si="12"/>
        <v/>
      </c>
      <c r="AK618" s="1">
        <f t="shared" ref="AK618:AL618" si="1249">sum(Y618,AB618,AE618,AH618)</f>
        <v>0</v>
      </c>
      <c r="AL618" s="1">
        <f t="shared" si="1249"/>
        <v>0</v>
      </c>
      <c r="AM618" s="17" t="str">
        <f t="shared" si="14"/>
        <v/>
      </c>
      <c r="AN618" s="1">
        <f>value(IFERROR(SUBSTITUTE(SUBSTITUTE(VLOOKUP($A618,'Quarterly Pipeline vs Target Pi'!$A:$AP,26,false)," $","")," €",""), "")
)</f>
        <v>0</v>
      </c>
      <c r="AO618" s="1">
        <f>value(IFERROR(SUBSTITUTE(SUBSTITUTE(VLOOKUP($A618,'Quarterly Pipeline vs Target Pi'!$A:$AP,27,false)," $","")," €",""), "")
)</f>
        <v>0</v>
      </c>
      <c r="AP618" s="17" t="str">
        <f t="shared" si="15"/>
        <v/>
      </c>
      <c r="AQ618" s="1">
        <f>value(IFERROR(SUBSTITUTE(SUBSTITUTE(VLOOKUP($A618,'Quarterly Pipeline vs Target Pi'!$A:$AP,31,false)," $","")," €",""), "")
)</f>
        <v>0</v>
      </c>
      <c r="AR618" s="1">
        <f>value(IFERROR(SUBSTITUTE(SUBSTITUTE(VLOOKUP($A618,'Quarterly Pipeline vs Target Pi'!$A:$AP,32,false)," $","")," €",""), "")
)</f>
        <v>0</v>
      </c>
      <c r="AS618" s="17" t="str">
        <f t="shared" si="16"/>
        <v/>
      </c>
      <c r="AT618" s="1">
        <f>value(IFERROR(SUBSTITUTE(SUBSTITUTE(VLOOKUP($A618,'Quarterly Pipeline vs Target Pi'!$A:$AP,36,false)," $","")," €",""), "")
)</f>
        <v>0</v>
      </c>
      <c r="AU618" s="1">
        <f>value(IFERROR(SUBSTITUTE(SUBSTITUTE(VLOOKUP($A618,'Quarterly Pipeline vs Target Pi'!$A:$AP,37,false)," $","")," €",""), "")
)</f>
        <v>0</v>
      </c>
      <c r="AV618" s="17" t="str">
        <f t="shared" si="17"/>
        <v/>
      </c>
      <c r="AW618" s="1">
        <f>value(IFERROR(SUBSTITUTE(SUBSTITUTE(VLOOKUP($A618,'Quarterly Pipeline vs Target Pi'!$A:$AP,41,false)," $","")," €",""), "")
)</f>
        <v>0</v>
      </c>
      <c r="AX618" s="1">
        <f>value(IFERROR(SUBSTITUTE(SUBSTITUTE(VLOOKUP($A618,'Quarterly Pipeline vs Target Pi'!$A:$AP,42,false)," $","")," €",""), "")
)</f>
        <v>0</v>
      </c>
      <c r="AY618" s="17" t="str">
        <f t="shared" si="18"/>
        <v/>
      </c>
      <c r="AZ618" s="1">
        <f t="shared" ref="AZ618:BA618" si="1250">sum(AN618,AQ618,AT618,AW618)</f>
        <v>0</v>
      </c>
      <c r="BA618" s="1">
        <f t="shared" si="1250"/>
        <v>0</v>
      </c>
      <c r="BB618" s="17" t="str">
        <f t="shared" si="20"/>
        <v/>
      </c>
    </row>
    <row r="619">
      <c r="G619" s="1" t="str">
        <f>iferror(VLOOKUP(A619,'Business Plan Setup and Accepta'!A:G,6,false),"")</f>
        <v/>
      </c>
      <c r="H619" s="1" t="str">
        <f>iferror(VLOOKUP(A619,'Business Plan Setup and Accepta'!A:G,7,false),"")</f>
        <v/>
      </c>
      <c r="I619" s="17"/>
      <c r="J619" s="1" t="str">
        <f>IFERROR(VALUE(SUBSTITUTE(VLOOKUP(A619,'Sales IN Revenues vs Sales targ'!A:G,6,false)," $","")), "")
</f>
        <v/>
      </c>
      <c r="K619" s="1" t="str">
        <f>IFERROR(VALUE(SUBSTITUTE(VLOOKUP(A619,'Sales IN Revenues vs Sales targ'!A:G,7,false)," $","")), "")
</f>
        <v/>
      </c>
      <c r="L619" s="17"/>
      <c r="M619" s="1">
        <f>value(SUBSTITUTE(IFERROR(VLOOKUP(A619,'Certifications achievements vs '!A:G,6,false),""),"#","")
)</f>
        <v>0</v>
      </c>
      <c r="N619" s="1">
        <f>value(SUBSTITUTE(IFERROR(VLOOKUP(A619,'Certifications achievements vs '!A:G,7,false),""),"#","")
)</f>
        <v>0</v>
      </c>
      <c r="O619" s="17"/>
      <c r="P619" s="1">
        <f>value(SUBSTITUTE(IFERROR(VLOOKUP(A619,'Communications - Solution Speci'!A:G,6,false),""),"#","")
)</f>
        <v>0</v>
      </c>
      <c r="Q619" s="1">
        <f>value(SUBSTITUTE(IFERROR(VLOOKUP(A619,'Communications - Solution Speci'!A:G,7,false),""),"#","")
)</f>
        <v>0</v>
      </c>
      <c r="R619" s="17" t="str">
        <f t="shared" si="6"/>
        <v/>
      </c>
      <c r="S619" s="1">
        <f>value(SUBSTITUTE(IFERROR(VLOOKUP(A619,'Networking - Solution Specializ'!A:G,6,false),""),"#","")
)</f>
        <v>0</v>
      </c>
      <c r="T619" s="1">
        <f>value(SUBSTITUTE(IFERROR(VLOOKUP(A619,'Networking - Solution Specializ'!A:G,7,false),""),"#","")
)</f>
        <v>0</v>
      </c>
      <c r="U619" s="17" t="str">
        <f t="shared" si="7"/>
        <v/>
      </c>
      <c r="V619" s="1" t="str">
        <f>iferror(vlookup(A619,'Marketing Plan (extract summary'!A:G,6,false),"")</f>
        <v/>
      </c>
      <c r="W619" s="1" t="str">
        <f>iferror(vlookup(A619,'Marketing Plan (extract summary'!A:G,7,false),"")</f>
        <v/>
      </c>
      <c r="X619" s="17"/>
      <c r="Y619" s="1">
        <f>value(IFERROR(SUBSTITUTE(SUBSTITUTE(VLOOKUP(A619,'Quarterly Pipeline vs Target Pi'!A:G,6,false)," $","")," €",""), "")
)</f>
        <v>0</v>
      </c>
      <c r="Z619" s="1">
        <f>value(IFERROR(SUBSTITUTE(SUBSTITUTE(VLOOKUP(A619,'Quarterly Pipeline vs Target Pi'!A:G,7,false)," $","")," €",""), "")
)</f>
        <v>0</v>
      </c>
      <c r="AA619" s="17" t="str">
        <f t="shared" si="9"/>
        <v/>
      </c>
      <c r="AB619" s="1">
        <f>value(IFERROR(SUBSTITUTE(SUBSTITUTE(VLOOKUP($A619,'Quarterly Pipeline vs Target Pi'!$A:$V,11,false)," $","")," €",""), "")
)</f>
        <v>0</v>
      </c>
      <c r="AC619" s="1">
        <f>value(IFERROR(SUBSTITUTE(SUBSTITUTE(VLOOKUP($A619,'Quarterly Pipeline vs Target Pi'!$A:$V,12,false)," $","")," €",""), "")
)</f>
        <v>0</v>
      </c>
      <c r="AD619" s="17" t="str">
        <f t="shared" si="10"/>
        <v/>
      </c>
      <c r="AE619" s="1">
        <f>value(IFERROR(SUBSTITUTE(SUBSTITUTE(VLOOKUP($A619,'Quarterly Pipeline vs Target Pi'!$A:$V,16,false)," $","")," €",""), "")
)</f>
        <v>0</v>
      </c>
      <c r="AF619" s="1">
        <f>value(IFERROR(SUBSTITUTE(SUBSTITUTE(VLOOKUP($A619,'Quarterly Pipeline vs Target Pi'!$A:$V,17,false)," $","")," €",""), "")
)</f>
        <v>0</v>
      </c>
      <c r="AG619" s="17" t="str">
        <f t="shared" si="11"/>
        <v/>
      </c>
      <c r="AH619" s="1">
        <f>value(IFERROR(SUBSTITUTE(SUBSTITUTE(VLOOKUP($A619,'Quarterly Pipeline vs Target Pi'!$A:$V,21,false)," $","")," €",""), "")
)</f>
        <v>0</v>
      </c>
      <c r="AI619" s="1">
        <f>value(IFERROR(SUBSTITUTE(SUBSTITUTE(VLOOKUP($A619,'Quarterly Pipeline vs Target Pi'!$A:$V,22,false)," $","")," €",""), "")
)</f>
        <v>0</v>
      </c>
      <c r="AJ619" s="17" t="str">
        <f t="shared" si="12"/>
        <v/>
      </c>
      <c r="AK619" s="1">
        <f t="shared" ref="AK619:AL619" si="1251">sum(Y619,AB619,AE619,AH619)</f>
        <v>0</v>
      </c>
      <c r="AL619" s="1">
        <f t="shared" si="1251"/>
        <v>0</v>
      </c>
      <c r="AM619" s="17" t="str">
        <f t="shared" si="14"/>
        <v/>
      </c>
      <c r="AN619" s="1">
        <f>value(IFERROR(SUBSTITUTE(SUBSTITUTE(VLOOKUP($A619,'Quarterly Pipeline vs Target Pi'!$A:$AP,26,false)," $","")," €",""), "")
)</f>
        <v>0</v>
      </c>
      <c r="AO619" s="1">
        <f>value(IFERROR(SUBSTITUTE(SUBSTITUTE(VLOOKUP($A619,'Quarterly Pipeline vs Target Pi'!$A:$AP,27,false)," $","")," €",""), "")
)</f>
        <v>0</v>
      </c>
      <c r="AP619" s="17" t="str">
        <f t="shared" si="15"/>
        <v/>
      </c>
      <c r="AQ619" s="1">
        <f>value(IFERROR(SUBSTITUTE(SUBSTITUTE(VLOOKUP($A619,'Quarterly Pipeline vs Target Pi'!$A:$AP,31,false)," $","")," €",""), "")
)</f>
        <v>0</v>
      </c>
      <c r="AR619" s="1">
        <f>value(IFERROR(SUBSTITUTE(SUBSTITUTE(VLOOKUP($A619,'Quarterly Pipeline vs Target Pi'!$A:$AP,32,false)," $","")," €",""), "")
)</f>
        <v>0</v>
      </c>
      <c r="AS619" s="17" t="str">
        <f t="shared" si="16"/>
        <v/>
      </c>
      <c r="AT619" s="1">
        <f>value(IFERROR(SUBSTITUTE(SUBSTITUTE(VLOOKUP($A619,'Quarterly Pipeline vs Target Pi'!$A:$AP,36,false)," $","")," €",""), "")
)</f>
        <v>0</v>
      </c>
      <c r="AU619" s="1">
        <f>value(IFERROR(SUBSTITUTE(SUBSTITUTE(VLOOKUP($A619,'Quarterly Pipeline vs Target Pi'!$A:$AP,37,false)," $","")," €",""), "")
)</f>
        <v>0</v>
      </c>
      <c r="AV619" s="17" t="str">
        <f t="shared" si="17"/>
        <v/>
      </c>
      <c r="AW619" s="1">
        <f>value(IFERROR(SUBSTITUTE(SUBSTITUTE(VLOOKUP($A619,'Quarterly Pipeline vs Target Pi'!$A:$AP,41,false)," $","")," €",""), "")
)</f>
        <v>0</v>
      </c>
      <c r="AX619" s="1">
        <f>value(IFERROR(SUBSTITUTE(SUBSTITUTE(VLOOKUP($A619,'Quarterly Pipeline vs Target Pi'!$A:$AP,42,false)," $","")," €",""), "")
)</f>
        <v>0</v>
      </c>
      <c r="AY619" s="17" t="str">
        <f t="shared" si="18"/>
        <v/>
      </c>
      <c r="AZ619" s="1">
        <f t="shared" ref="AZ619:BA619" si="1252">sum(AN619,AQ619,AT619,AW619)</f>
        <v>0</v>
      </c>
      <c r="BA619" s="1">
        <f t="shared" si="1252"/>
        <v>0</v>
      </c>
      <c r="BB619" s="17" t="str">
        <f t="shared" si="20"/>
        <v/>
      </c>
    </row>
    <row r="620">
      <c r="G620" s="1" t="str">
        <f>iferror(VLOOKUP(A620,'Business Plan Setup and Accepta'!A:G,6,false),"")</f>
        <v/>
      </c>
      <c r="H620" s="1" t="str">
        <f>iferror(VLOOKUP(A620,'Business Plan Setup and Accepta'!A:G,7,false),"")</f>
        <v/>
      </c>
      <c r="I620" s="17"/>
      <c r="J620" s="1" t="str">
        <f>IFERROR(VALUE(SUBSTITUTE(VLOOKUP(A620,'Sales IN Revenues vs Sales targ'!A:G,6,false)," $","")), "")
</f>
        <v/>
      </c>
      <c r="K620" s="1" t="str">
        <f>IFERROR(VALUE(SUBSTITUTE(VLOOKUP(A620,'Sales IN Revenues vs Sales targ'!A:G,7,false)," $","")), "")
</f>
        <v/>
      </c>
      <c r="L620" s="17"/>
      <c r="M620" s="1">
        <f>value(SUBSTITUTE(IFERROR(VLOOKUP(A620,'Certifications achievements vs '!A:G,6,false),""),"#","")
)</f>
        <v>0</v>
      </c>
      <c r="N620" s="1">
        <f>value(SUBSTITUTE(IFERROR(VLOOKUP(A620,'Certifications achievements vs '!A:G,7,false),""),"#","")
)</f>
        <v>0</v>
      </c>
      <c r="O620" s="17"/>
      <c r="P620" s="1">
        <f>value(SUBSTITUTE(IFERROR(VLOOKUP(A620,'Communications - Solution Speci'!A:G,6,false),""),"#","")
)</f>
        <v>0</v>
      </c>
      <c r="Q620" s="1">
        <f>value(SUBSTITUTE(IFERROR(VLOOKUP(A620,'Communications - Solution Speci'!A:G,7,false),""),"#","")
)</f>
        <v>0</v>
      </c>
      <c r="R620" s="17" t="str">
        <f t="shared" si="6"/>
        <v/>
      </c>
      <c r="S620" s="1">
        <f>value(SUBSTITUTE(IFERROR(VLOOKUP(A620,'Networking - Solution Specializ'!A:G,6,false),""),"#","")
)</f>
        <v>0</v>
      </c>
      <c r="T620" s="1">
        <f>value(SUBSTITUTE(IFERROR(VLOOKUP(A620,'Networking - Solution Specializ'!A:G,7,false),""),"#","")
)</f>
        <v>0</v>
      </c>
      <c r="U620" s="17" t="str">
        <f t="shared" si="7"/>
        <v/>
      </c>
      <c r="V620" s="1" t="str">
        <f>iferror(vlookup(A620,'Marketing Plan (extract summary'!A:G,6,false),"")</f>
        <v/>
      </c>
      <c r="W620" s="1" t="str">
        <f>iferror(vlookup(A620,'Marketing Plan (extract summary'!A:G,7,false),"")</f>
        <v/>
      </c>
      <c r="X620" s="17"/>
      <c r="Y620" s="1">
        <f>value(IFERROR(SUBSTITUTE(SUBSTITUTE(VLOOKUP(A620,'Quarterly Pipeline vs Target Pi'!A:G,6,false)," $","")," €",""), "")
)</f>
        <v>0</v>
      </c>
      <c r="Z620" s="1">
        <f>value(IFERROR(SUBSTITUTE(SUBSTITUTE(VLOOKUP(A620,'Quarterly Pipeline vs Target Pi'!A:G,7,false)," $","")," €",""), "")
)</f>
        <v>0</v>
      </c>
      <c r="AA620" s="17" t="str">
        <f t="shared" si="9"/>
        <v/>
      </c>
      <c r="AB620" s="1">
        <f>value(IFERROR(SUBSTITUTE(SUBSTITUTE(VLOOKUP($A620,'Quarterly Pipeline vs Target Pi'!$A:$V,11,false)," $","")," €",""), "")
)</f>
        <v>0</v>
      </c>
      <c r="AC620" s="1">
        <f>value(IFERROR(SUBSTITUTE(SUBSTITUTE(VLOOKUP($A620,'Quarterly Pipeline vs Target Pi'!$A:$V,12,false)," $","")," €",""), "")
)</f>
        <v>0</v>
      </c>
      <c r="AD620" s="17" t="str">
        <f t="shared" si="10"/>
        <v/>
      </c>
      <c r="AE620" s="1">
        <f>value(IFERROR(SUBSTITUTE(SUBSTITUTE(VLOOKUP($A620,'Quarterly Pipeline vs Target Pi'!$A:$V,16,false)," $","")," €",""), "")
)</f>
        <v>0</v>
      </c>
      <c r="AF620" s="1">
        <f>value(IFERROR(SUBSTITUTE(SUBSTITUTE(VLOOKUP($A620,'Quarterly Pipeline vs Target Pi'!$A:$V,17,false)," $","")," €",""), "")
)</f>
        <v>0</v>
      </c>
      <c r="AG620" s="17" t="str">
        <f t="shared" si="11"/>
        <v/>
      </c>
      <c r="AH620" s="1">
        <f>value(IFERROR(SUBSTITUTE(SUBSTITUTE(VLOOKUP($A620,'Quarterly Pipeline vs Target Pi'!$A:$V,21,false)," $","")," €",""), "")
)</f>
        <v>0</v>
      </c>
      <c r="AI620" s="1">
        <f>value(IFERROR(SUBSTITUTE(SUBSTITUTE(VLOOKUP($A620,'Quarterly Pipeline vs Target Pi'!$A:$V,22,false)," $","")," €",""), "")
)</f>
        <v>0</v>
      </c>
      <c r="AJ620" s="17" t="str">
        <f t="shared" si="12"/>
        <v/>
      </c>
      <c r="AK620" s="1">
        <f t="shared" ref="AK620:AL620" si="1253">sum(Y620,AB620,AE620,AH620)</f>
        <v>0</v>
      </c>
      <c r="AL620" s="1">
        <f t="shared" si="1253"/>
        <v>0</v>
      </c>
      <c r="AM620" s="17" t="str">
        <f t="shared" si="14"/>
        <v/>
      </c>
      <c r="AN620" s="1">
        <f>value(IFERROR(SUBSTITUTE(SUBSTITUTE(VLOOKUP($A620,'Quarterly Pipeline vs Target Pi'!$A:$AP,26,false)," $","")," €",""), "")
)</f>
        <v>0</v>
      </c>
      <c r="AO620" s="1">
        <f>value(IFERROR(SUBSTITUTE(SUBSTITUTE(VLOOKUP($A620,'Quarterly Pipeline vs Target Pi'!$A:$AP,27,false)," $","")," €",""), "")
)</f>
        <v>0</v>
      </c>
      <c r="AP620" s="17" t="str">
        <f t="shared" si="15"/>
        <v/>
      </c>
      <c r="AQ620" s="1">
        <f>value(IFERROR(SUBSTITUTE(SUBSTITUTE(VLOOKUP($A620,'Quarterly Pipeline vs Target Pi'!$A:$AP,31,false)," $","")," €",""), "")
)</f>
        <v>0</v>
      </c>
      <c r="AR620" s="1">
        <f>value(IFERROR(SUBSTITUTE(SUBSTITUTE(VLOOKUP($A620,'Quarterly Pipeline vs Target Pi'!$A:$AP,32,false)," $","")," €",""), "")
)</f>
        <v>0</v>
      </c>
      <c r="AS620" s="17" t="str">
        <f t="shared" si="16"/>
        <v/>
      </c>
      <c r="AT620" s="1">
        <f>value(IFERROR(SUBSTITUTE(SUBSTITUTE(VLOOKUP($A620,'Quarterly Pipeline vs Target Pi'!$A:$AP,36,false)," $","")," €",""), "")
)</f>
        <v>0</v>
      </c>
      <c r="AU620" s="1">
        <f>value(IFERROR(SUBSTITUTE(SUBSTITUTE(VLOOKUP($A620,'Quarterly Pipeline vs Target Pi'!$A:$AP,37,false)," $","")," €",""), "")
)</f>
        <v>0</v>
      </c>
      <c r="AV620" s="17" t="str">
        <f t="shared" si="17"/>
        <v/>
      </c>
      <c r="AW620" s="1">
        <f>value(IFERROR(SUBSTITUTE(SUBSTITUTE(VLOOKUP($A620,'Quarterly Pipeline vs Target Pi'!$A:$AP,41,false)," $","")," €",""), "")
)</f>
        <v>0</v>
      </c>
      <c r="AX620" s="1">
        <f>value(IFERROR(SUBSTITUTE(SUBSTITUTE(VLOOKUP($A620,'Quarterly Pipeline vs Target Pi'!$A:$AP,42,false)," $","")," €",""), "")
)</f>
        <v>0</v>
      </c>
      <c r="AY620" s="17" t="str">
        <f t="shared" si="18"/>
        <v/>
      </c>
      <c r="AZ620" s="1">
        <f t="shared" ref="AZ620:BA620" si="1254">sum(AN620,AQ620,AT620,AW620)</f>
        <v>0</v>
      </c>
      <c r="BA620" s="1">
        <f t="shared" si="1254"/>
        <v>0</v>
      </c>
      <c r="BB620" s="17" t="str">
        <f t="shared" si="20"/>
        <v/>
      </c>
    </row>
    <row r="621">
      <c r="G621" s="1" t="str">
        <f>iferror(VLOOKUP(A621,'Business Plan Setup and Accepta'!A:G,6,false),"")</f>
        <v/>
      </c>
      <c r="H621" s="1" t="str">
        <f>iferror(VLOOKUP(A621,'Business Plan Setup and Accepta'!A:G,7,false),"")</f>
        <v/>
      </c>
      <c r="I621" s="17"/>
      <c r="J621" s="1" t="str">
        <f>IFERROR(VALUE(SUBSTITUTE(VLOOKUP(A621,'Sales IN Revenues vs Sales targ'!A:G,6,false)," $","")), "")
</f>
        <v/>
      </c>
      <c r="K621" s="1" t="str">
        <f>IFERROR(VALUE(SUBSTITUTE(VLOOKUP(A621,'Sales IN Revenues vs Sales targ'!A:G,7,false)," $","")), "")
</f>
        <v/>
      </c>
      <c r="L621" s="17"/>
      <c r="M621" s="1">
        <f>value(SUBSTITUTE(IFERROR(VLOOKUP(A621,'Certifications achievements vs '!A:G,6,false),""),"#","")
)</f>
        <v>0</v>
      </c>
      <c r="N621" s="1">
        <f>value(SUBSTITUTE(IFERROR(VLOOKUP(A621,'Certifications achievements vs '!A:G,7,false),""),"#","")
)</f>
        <v>0</v>
      </c>
      <c r="O621" s="17"/>
      <c r="P621" s="1">
        <f>value(SUBSTITUTE(IFERROR(VLOOKUP(A621,'Communications - Solution Speci'!A:G,6,false),""),"#","")
)</f>
        <v>0</v>
      </c>
      <c r="Q621" s="1">
        <f>value(SUBSTITUTE(IFERROR(VLOOKUP(A621,'Communications - Solution Speci'!A:G,7,false),""),"#","")
)</f>
        <v>0</v>
      </c>
      <c r="R621" s="17" t="str">
        <f t="shared" si="6"/>
        <v/>
      </c>
      <c r="S621" s="1">
        <f>value(SUBSTITUTE(IFERROR(VLOOKUP(A621,'Networking - Solution Specializ'!A:G,6,false),""),"#","")
)</f>
        <v>0</v>
      </c>
      <c r="T621" s="1">
        <f>value(SUBSTITUTE(IFERROR(VLOOKUP(A621,'Networking - Solution Specializ'!A:G,7,false),""),"#","")
)</f>
        <v>0</v>
      </c>
      <c r="U621" s="17" t="str">
        <f t="shared" si="7"/>
        <v/>
      </c>
      <c r="V621" s="1" t="str">
        <f>iferror(vlookup(A621,'Marketing Plan (extract summary'!A:G,6,false),"")</f>
        <v/>
      </c>
      <c r="W621" s="1" t="str">
        <f>iferror(vlookup(A621,'Marketing Plan (extract summary'!A:G,7,false),"")</f>
        <v/>
      </c>
      <c r="X621" s="17"/>
      <c r="Y621" s="1">
        <f>value(IFERROR(SUBSTITUTE(SUBSTITUTE(VLOOKUP(A621,'Quarterly Pipeline vs Target Pi'!A:G,6,false)," $","")," €",""), "")
)</f>
        <v>0</v>
      </c>
      <c r="Z621" s="1">
        <f>value(IFERROR(SUBSTITUTE(SUBSTITUTE(VLOOKUP(A621,'Quarterly Pipeline vs Target Pi'!A:G,7,false)," $","")," €",""), "")
)</f>
        <v>0</v>
      </c>
      <c r="AA621" s="17" t="str">
        <f t="shared" si="9"/>
        <v/>
      </c>
      <c r="AB621" s="1">
        <f>value(IFERROR(SUBSTITUTE(SUBSTITUTE(VLOOKUP($A621,'Quarterly Pipeline vs Target Pi'!$A:$V,11,false)," $","")," €",""), "")
)</f>
        <v>0</v>
      </c>
      <c r="AC621" s="1">
        <f>value(IFERROR(SUBSTITUTE(SUBSTITUTE(VLOOKUP($A621,'Quarterly Pipeline vs Target Pi'!$A:$V,12,false)," $","")," €",""), "")
)</f>
        <v>0</v>
      </c>
      <c r="AD621" s="17" t="str">
        <f t="shared" si="10"/>
        <v/>
      </c>
      <c r="AE621" s="1">
        <f>value(IFERROR(SUBSTITUTE(SUBSTITUTE(VLOOKUP($A621,'Quarterly Pipeline vs Target Pi'!$A:$V,16,false)," $","")," €",""), "")
)</f>
        <v>0</v>
      </c>
      <c r="AF621" s="1">
        <f>value(IFERROR(SUBSTITUTE(SUBSTITUTE(VLOOKUP($A621,'Quarterly Pipeline vs Target Pi'!$A:$V,17,false)," $","")," €",""), "")
)</f>
        <v>0</v>
      </c>
      <c r="AG621" s="17" t="str">
        <f t="shared" si="11"/>
        <v/>
      </c>
      <c r="AH621" s="1">
        <f>value(IFERROR(SUBSTITUTE(SUBSTITUTE(VLOOKUP($A621,'Quarterly Pipeline vs Target Pi'!$A:$V,21,false)," $","")," €",""), "")
)</f>
        <v>0</v>
      </c>
      <c r="AI621" s="1">
        <f>value(IFERROR(SUBSTITUTE(SUBSTITUTE(VLOOKUP($A621,'Quarterly Pipeline vs Target Pi'!$A:$V,22,false)," $","")," €",""), "")
)</f>
        <v>0</v>
      </c>
      <c r="AJ621" s="17" t="str">
        <f t="shared" si="12"/>
        <v/>
      </c>
      <c r="AK621" s="1">
        <f t="shared" ref="AK621:AL621" si="1255">sum(Y621,AB621,AE621,AH621)</f>
        <v>0</v>
      </c>
      <c r="AL621" s="1">
        <f t="shared" si="1255"/>
        <v>0</v>
      </c>
      <c r="AM621" s="17" t="str">
        <f t="shared" si="14"/>
        <v/>
      </c>
      <c r="AN621" s="1">
        <f>value(IFERROR(SUBSTITUTE(SUBSTITUTE(VLOOKUP($A621,'Quarterly Pipeline vs Target Pi'!$A:$AP,26,false)," $","")," €",""), "")
)</f>
        <v>0</v>
      </c>
      <c r="AO621" s="1">
        <f>value(IFERROR(SUBSTITUTE(SUBSTITUTE(VLOOKUP($A621,'Quarterly Pipeline vs Target Pi'!$A:$AP,27,false)," $","")," €",""), "")
)</f>
        <v>0</v>
      </c>
      <c r="AP621" s="17" t="str">
        <f t="shared" si="15"/>
        <v/>
      </c>
      <c r="AQ621" s="1">
        <f>value(IFERROR(SUBSTITUTE(SUBSTITUTE(VLOOKUP($A621,'Quarterly Pipeline vs Target Pi'!$A:$AP,31,false)," $","")," €",""), "")
)</f>
        <v>0</v>
      </c>
      <c r="AR621" s="1">
        <f>value(IFERROR(SUBSTITUTE(SUBSTITUTE(VLOOKUP($A621,'Quarterly Pipeline vs Target Pi'!$A:$AP,32,false)," $","")," €",""), "")
)</f>
        <v>0</v>
      </c>
      <c r="AS621" s="17" t="str">
        <f t="shared" si="16"/>
        <v/>
      </c>
      <c r="AT621" s="1">
        <f>value(IFERROR(SUBSTITUTE(SUBSTITUTE(VLOOKUP($A621,'Quarterly Pipeline vs Target Pi'!$A:$AP,36,false)," $","")," €",""), "")
)</f>
        <v>0</v>
      </c>
      <c r="AU621" s="1">
        <f>value(IFERROR(SUBSTITUTE(SUBSTITUTE(VLOOKUP($A621,'Quarterly Pipeline vs Target Pi'!$A:$AP,37,false)," $","")," €",""), "")
)</f>
        <v>0</v>
      </c>
      <c r="AV621" s="17" t="str">
        <f t="shared" si="17"/>
        <v/>
      </c>
      <c r="AW621" s="1">
        <f>value(IFERROR(SUBSTITUTE(SUBSTITUTE(VLOOKUP($A621,'Quarterly Pipeline vs Target Pi'!$A:$AP,41,false)," $","")," €",""), "")
)</f>
        <v>0</v>
      </c>
      <c r="AX621" s="1">
        <f>value(IFERROR(SUBSTITUTE(SUBSTITUTE(VLOOKUP($A621,'Quarterly Pipeline vs Target Pi'!$A:$AP,42,false)," $","")," €",""), "")
)</f>
        <v>0</v>
      </c>
      <c r="AY621" s="17" t="str">
        <f t="shared" si="18"/>
        <v/>
      </c>
      <c r="AZ621" s="1">
        <f t="shared" ref="AZ621:BA621" si="1256">sum(AN621,AQ621,AT621,AW621)</f>
        <v>0</v>
      </c>
      <c r="BA621" s="1">
        <f t="shared" si="1256"/>
        <v>0</v>
      </c>
      <c r="BB621" s="17" t="str">
        <f t="shared" si="20"/>
        <v/>
      </c>
    </row>
    <row r="622">
      <c r="G622" s="1" t="str">
        <f>iferror(VLOOKUP(A622,'Business Plan Setup and Accepta'!A:G,6,false),"")</f>
        <v/>
      </c>
      <c r="H622" s="1" t="str">
        <f>iferror(VLOOKUP(A622,'Business Plan Setup and Accepta'!A:G,7,false),"")</f>
        <v/>
      </c>
      <c r="I622" s="17"/>
      <c r="J622" s="1" t="str">
        <f>IFERROR(VALUE(SUBSTITUTE(VLOOKUP(A622,'Sales IN Revenues vs Sales targ'!A:G,6,false)," $","")), "")
</f>
        <v/>
      </c>
      <c r="K622" s="1" t="str">
        <f>IFERROR(VALUE(SUBSTITUTE(VLOOKUP(A622,'Sales IN Revenues vs Sales targ'!A:G,7,false)," $","")), "")
</f>
        <v/>
      </c>
      <c r="L622" s="17"/>
      <c r="M622" s="1">
        <f>value(SUBSTITUTE(IFERROR(VLOOKUP(A622,'Certifications achievements vs '!A:G,6,false),""),"#","")
)</f>
        <v>0</v>
      </c>
      <c r="N622" s="1">
        <f>value(SUBSTITUTE(IFERROR(VLOOKUP(A622,'Certifications achievements vs '!A:G,7,false),""),"#","")
)</f>
        <v>0</v>
      </c>
      <c r="O622" s="17"/>
      <c r="P622" s="1">
        <f>value(SUBSTITUTE(IFERROR(VLOOKUP(A622,'Communications - Solution Speci'!A:G,6,false),""),"#","")
)</f>
        <v>0</v>
      </c>
      <c r="Q622" s="1">
        <f>value(SUBSTITUTE(IFERROR(VLOOKUP(A622,'Communications - Solution Speci'!A:G,7,false),""),"#","")
)</f>
        <v>0</v>
      </c>
      <c r="R622" s="17" t="str">
        <f t="shared" si="6"/>
        <v/>
      </c>
      <c r="S622" s="1">
        <f>value(SUBSTITUTE(IFERROR(VLOOKUP(A622,'Networking - Solution Specializ'!A:G,6,false),""),"#","")
)</f>
        <v>0</v>
      </c>
      <c r="T622" s="1">
        <f>value(SUBSTITUTE(IFERROR(VLOOKUP(A622,'Networking - Solution Specializ'!A:G,7,false),""),"#","")
)</f>
        <v>0</v>
      </c>
      <c r="U622" s="17" t="str">
        <f t="shared" si="7"/>
        <v/>
      </c>
      <c r="V622" s="1" t="str">
        <f>iferror(vlookup(A622,'Marketing Plan (extract summary'!A:G,6,false),"")</f>
        <v/>
      </c>
      <c r="W622" s="1" t="str">
        <f>iferror(vlookup(A622,'Marketing Plan (extract summary'!A:G,7,false),"")</f>
        <v/>
      </c>
      <c r="X622" s="17"/>
      <c r="Y622" s="1">
        <f>value(IFERROR(SUBSTITUTE(SUBSTITUTE(VLOOKUP(A622,'Quarterly Pipeline vs Target Pi'!A:G,6,false)," $","")," €",""), "")
)</f>
        <v>0</v>
      </c>
      <c r="Z622" s="1">
        <f>value(IFERROR(SUBSTITUTE(SUBSTITUTE(VLOOKUP(A622,'Quarterly Pipeline vs Target Pi'!A:G,7,false)," $","")," €",""), "")
)</f>
        <v>0</v>
      </c>
      <c r="AA622" s="17" t="str">
        <f t="shared" si="9"/>
        <v/>
      </c>
      <c r="AB622" s="1">
        <f>value(IFERROR(SUBSTITUTE(SUBSTITUTE(VLOOKUP($A622,'Quarterly Pipeline vs Target Pi'!$A:$V,11,false)," $","")," €",""), "")
)</f>
        <v>0</v>
      </c>
      <c r="AC622" s="1">
        <f>value(IFERROR(SUBSTITUTE(SUBSTITUTE(VLOOKUP($A622,'Quarterly Pipeline vs Target Pi'!$A:$V,12,false)," $","")," €",""), "")
)</f>
        <v>0</v>
      </c>
      <c r="AD622" s="17" t="str">
        <f t="shared" si="10"/>
        <v/>
      </c>
      <c r="AE622" s="1">
        <f>value(IFERROR(SUBSTITUTE(SUBSTITUTE(VLOOKUP($A622,'Quarterly Pipeline vs Target Pi'!$A:$V,16,false)," $","")," €",""), "")
)</f>
        <v>0</v>
      </c>
      <c r="AF622" s="1">
        <f>value(IFERROR(SUBSTITUTE(SUBSTITUTE(VLOOKUP($A622,'Quarterly Pipeline vs Target Pi'!$A:$V,17,false)," $","")," €",""), "")
)</f>
        <v>0</v>
      </c>
      <c r="AG622" s="17" t="str">
        <f t="shared" si="11"/>
        <v/>
      </c>
      <c r="AH622" s="1">
        <f>value(IFERROR(SUBSTITUTE(SUBSTITUTE(VLOOKUP($A622,'Quarterly Pipeline vs Target Pi'!$A:$V,21,false)," $","")," €",""), "")
)</f>
        <v>0</v>
      </c>
      <c r="AI622" s="1">
        <f>value(IFERROR(SUBSTITUTE(SUBSTITUTE(VLOOKUP($A622,'Quarterly Pipeline vs Target Pi'!$A:$V,22,false)," $","")," €",""), "")
)</f>
        <v>0</v>
      </c>
      <c r="AJ622" s="17" t="str">
        <f t="shared" si="12"/>
        <v/>
      </c>
      <c r="AK622" s="1">
        <f t="shared" ref="AK622:AL622" si="1257">sum(Y622,AB622,AE622,AH622)</f>
        <v>0</v>
      </c>
      <c r="AL622" s="1">
        <f t="shared" si="1257"/>
        <v>0</v>
      </c>
      <c r="AM622" s="17" t="str">
        <f t="shared" si="14"/>
        <v/>
      </c>
      <c r="AN622" s="1">
        <f>value(IFERROR(SUBSTITUTE(SUBSTITUTE(VLOOKUP($A622,'Quarterly Pipeline vs Target Pi'!$A:$AP,26,false)," $","")," €",""), "")
)</f>
        <v>0</v>
      </c>
      <c r="AO622" s="1">
        <f>value(IFERROR(SUBSTITUTE(SUBSTITUTE(VLOOKUP($A622,'Quarterly Pipeline vs Target Pi'!$A:$AP,27,false)," $","")," €",""), "")
)</f>
        <v>0</v>
      </c>
      <c r="AP622" s="17" t="str">
        <f t="shared" si="15"/>
        <v/>
      </c>
      <c r="AQ622" s="1">
        <f>value(IFERROR(SUBSTITUTE(SUBSTITUTE(VLOOKUP($A622,'Quarterly Pipeline vs Target Pi'!$A:$AP,31,false)," $","")," €",""), "")
)</f>
        <v>0</v>
      </c>
      <c r="AR622" s="1">
        <f>value(IFERROR(SUBSTITUTE(SUBSTITUTE(VLOOKUP($A622,'Quarterly Pipeline vs Target Pi'!$A:$AP,32,false)," $","")," €",""), "")
)</f>
        <v>0</v>
      </c>
      <c r="AS622" s="17" t="str">
        <f t="shared" si="16"/>
        <v/>
      </c>
      <c r="AT622" s="1">
        <f>value(IFERROR(SUBSTITUTE(SUBSTITUTE(VLOOKUP($A622,'Quarterly Pipeline vs Target Pi'!$A:$AP,36,false)," $","")," €",""), "")
)</f>
        <v>0</v>
      </c>
      <c r="AU622" s="1">
        <f>value(IFERROR(SUBSTITUTE(SUBSTITUTE(VLOOKUP($A622,'Quarterly Pipeline vs Target Pi'!$A:$AP,37,false)," $","")," €",""), "")
)</f>
        <v>0</v>
      </c>
      <c r="AV622" s="17" t="str">
        <f t="shared" si="17"/>
        <v/>
      </c>
      <c r="AW622" s="1">
        <f>value(IFERROR(SUBSTITUTE(SUBSTITUTE(VLOOKUP($A622,'Quarterly Pipeline vs Target Pi'!$A:$AP,41,false)," $","")," €",""), "")
)</f>
        <v>0</v>
      </c>
      <c r="AX622" s="1">
        <f>value(IFERROR(SUBSTITUTE(SUBSTITUTE(VLOOKUP($A622,'Quarterly Pipeline vs Target Pi'!$A:$AP,42,false)," $","")," €",""), "")
)</f>
        <v>0</v>
      </c>
      <c r="AY622" s="17" t="str">
        <f t="shared" si="18"/>
        <v/>
      </c>
      <c r="AZ622" s="1">
        <f t="shared" ref="AZ622:BA622" si="1258">sum(AN622,AQ622,AT622,AW622)</f>
        <v>0</v>
      </c>
      <c r="BA622" s="1">
        <f t="shared" si="1258"/>
        <v>0</v>
      </c>
      <c r="BB622" s="17" t="str">
        <f t="shared" si="20"/>
        <v/>
      </c>
    </row>
    <row r="623">
      <c r="G623" s="1" t="str">
        <f>iferror(VLOOKUP(A623,'Business Plan Setup and Accepta'!A:G,6,false),"")</f>
        <v/>
      </c>
      <c r="H623" s="1" t="str">
        <f>iferror(VLOOKUP(A623,'Business Plan Setup and Accepta'!A:G,7,false),"")</f>
        <v/>
      </c>
      <c r="I623" s="17"/>
      <c r="J623" s="1" t="str">
        <f>IFERROR(VALUE(SUBSTITUTE(VLOOKUP(A623,'Sales IN Revenues vs Sales targ'!A:G,6,false)," $","")), "")
</f>
        <v/>
      </c>
      <c r="K623" s="1" t="str">
        <f>IFERROR(VALUE(SUBSTITUTE(VLOOKUP(A623,'Sales IN Revenues vs Sales targ'!A:G,7,false)," $","")), "")
</f>
        <v/>
      </c>
      <c r="L623" s="17"/>
      <c r="M623" s="1">
        <f>value(SUBSTITUTE(IFERROR(VLOOKUP(A623,'Certifications achievements vs '!A:G,6,false),""),"#","")
)</f>
        <v>0</v>
      </c>
      <c r="N623" s="1">
        <f>value(SUBSTITUTE(IFERROR(VLOOKUP(A623,'Certifications achievements vs '!A:G,7,false),""),"#","")
)</f>
        <v>0</v>
      </c>
      <c r="O623" s="17"/>
      <c r="P623" s="1">
        <f>value(SUBSTITUTE(IFERROR(VLOOKUP(A623,'Communications - Solution Speci'!A:G,6,false),""),"#","")
)</f>
        <v>0</v>
      </c>
      <c r="Q623" s="1">
        <f>value(SUBSTITUTE(IFERROR(VLOOKUP(A623,'Communications - Solution Speci'!A:G,7,false),""),"#","")
)</f>
        <v>0</v>
      </c>
      <c r="R623" s="17" t="str">
        <f t="shared" si="6"/>
        <v/>
      </c>
      <c r="S623" s="1">
        <f>value(SUBSTITUTE(IFERROR(VLOOKUP(A623,'Networking - Solution Specializ'!A:G,6,false),""),"#","")
)</f>
        <v>0</v>
      </c>
      <c r="T623" s="1">
        <f>value(SUBSTITUTE(IFERROR(VLOOKUP(A623,'Networking - Solution Specializ'!A:G,7,false),""),"#","")
)</f>
        <v>0</v>
      </c>
      <c r="U623" s="17" t="str">
        <f t="shared" si="7"/>
        <v/>
      </c>
      <c r="V623" s="1" t="str">
        <f>iferror(vlookup(A623,'Marketing Plan (extract summary'!A:G,6,false),"")</f>
        <v/>
      </c>
      <c r="W623" s="1" t="str">
        <f>iferror(vlookup(A623,'Marketing Plan (extract summary'!A:G,7,false),"")</f>
        <v/>
      </c>
      <c r="X623" s="17"/>
      <c r="Y623" s="1">
        <f>value(IFERROR(SUBSTITUTE(SUBSTITUTE(VLOOKUP(A623,'Quarterly Pipeline vs Target Pi'!A:G,6,false)," $","")," €",""), "")
)</f>
        <v>0</v>
      </c>
      <c r="Z623" s="1">
        <f>value(IFERROR(SUBSTITUTE(SUBSTITUTE(VLOOKUP(A623,'Quarterly Pipeline vs Target Pi'!A:G,7,false)," $","")," €",""), "")
)</f>
        <v>0</v>
      </c>
      <c r="AA623" s="17" t="str">
        <f t="shared" si="9"/>
        <v/>
      </c>
      <c r="AB623" s="1">
        <f>value(IFERROR(SUBSTITUTE(SUBSTITUTE(VLOOKUP($A623,'Quarterly Pipeline vs Target Pi'!$A:$V,11,false)," $","")," €",""), "")
)</f>
        <v>0</v>
      </c>
      <c r="AC623" s="1">
        <f>value(IFERROR(SUBSTITUTE(SUBSTITUTE(VLOOKUP($A623,'Quarterly Pipeline vs Target Pi'!$A:$V,12,false)," $","")," €",""), "")
)</f>
        <v>0</v>
      </c>
      <c r="AD623" s="17" t="str">
        <f t="shared" si="10"/>
        <v/>
      </c>
      <c r="AE623" s="1">
        <f>value(IFERROR(SUBSTITUTE(SUBSTITUTE(VLOOKUP($A623,'Quarterly Pipeline vs Target Pi'!$A:$V,16,false)," $","")," €",""), "")
)</f>
        <v>0</v>
      </c>
      <c r="AF623" s="1">
        <f>value(IFERROR(SUBSTITUTE(SUBSTITUTE(VLOOKUP($A623,'Quarterly Pipeline vs Target Pi'!$A:$V,17,false)," $","")," €",""), "")
)</f>
        <v>0</v>
      </c>
      <c r="AG623" s="17" t="str">
        <f t="shared" si="11"/>
        <v/>
      </c>
      <c r="AH623" s="1">
        <f>value(IFERROR(SUBSTITUTE(SUBSTITUTE(VLOOKUP($A623,'Quarterly Pipeline vs Target Pi'!$A:$V,21,false)," $","")," €",""), "")
)</f>
        <v>0</v>
      </c>
      <c r="AI623" s="1">
        <f>value(IFERROR(SUBSTITUTE(SUBSTITUTE(VLOOKUP($A623,'Quarterly Pipeline vs Target Pi'!$A:$V,22,false)," $","")," €",""), "")
)</f>
        <v>0</v>
      </c>
      <c r="AJ623" s="17" t="str">
        <f t="shared" si="12"/>
        <v/>
      </c>
      <c r="AK623" s="1">
        <f t="shared" ref="AK623:AL623" si="1259">sum(Y623,AB623,AE623,AH623)</f>
        <v>0</v>
      </c>
      <c r="AL623" s="1">
        <f t="shared" si="1259"/>
        <v>0</v>
      </c>
      <c r="AM623" s="17" t="str">
        <f t="shared" si="14"/>
        <v/>
      </c>
      <c r="AN623" s="1">
        <f>value(IFERROR(SUBSTITUTE(SUBSTITUTE(VLOOKUP($A623,'Quarterly Pipeline vs Target Pi'!$A:$AP,26,false)," $","")," €",""), "")
)</f>
        <v>0</v>
      </c>
      <c r="AO623" s="1">
        <f>value(IFERROR(SUBSTITUTE(SUBSTITUTE(VLOOKUP($A623,'Quarterly Pipeline vs Target Pi'!$A:$AP,27,false)," $","")," €",""), "")
)</f>
        <v>0</v>
      </c>
      <c r="AP623" s="17" t="str">
        <f t="shared" si="15"/>
        <v/>
      </c>
      <c r="AQ623" s="1">
        <f>value(IFERROR(SUBSTITUTE(SUBSTITUTE(VLOOKUP($A623,'Quarterly Pipeline vs Target Pi'!$A:$AP,31,false)," $","")," €",""), "")
)</f>
        <v>0</v>
      </c>
      <c r="AR623" s="1">
        <f>value(IFERROR(SUBSTITUTE(SUBSTITUTE(VLOOKUP($A623,'Quarterly Pipeline vs Target Pi'!$A:$AP,32,false)," $","")," €",""), "")
)</f>
        <v>0</v>
      </c>
      <c r="AS623" s="17" t="str">
        <f t="shared" si="16"/>
        <v/>
      </c>
      <c r="AT623" s="1">
        <f>value(IFERROR(SUBSTITUTE(SUBSTITUTE(VLOOKUP($A623,'Quarterly Pipeline vs Target Pi'!$A:$AP,36,false)," $","")," €",""), "")
)</f>
        <v>0</v>
      </c>
      <c r="AU623" s="1">
        <f>value(IFERROR(SUBSTITUTE(SUBSTITUTE(VLOOKUP($A623,'Quarterly Pipeline vs Target Pi'!$A:$AP,37,false)," $","")," €",""), "")
)</f>
        <v>0</v>
      </c>
      <c r="AV623" s="17" t="str">
        <f t="shared" si="17"/>
        <v/>
      </c>
      <c r="AW623" s="1">
        <f>value(IFERROR(SUBSTITUTE(SUBSTITUTE(VLOOKUP($A623,'Quarterly Pipeline vs Target Pi'!$A:$AP,41,false)," $","")," €",""), "")
)</f>
        <v>0</v>
      </c>
      <c r="AX623" s="1">
        <f>value(IFERROR(SUBSTITUTE(SUBSTITUTE(VLOOKUP($A623,'Quarterly Pipeline vs Target Pi'!$A:$AP,42,false)," $","")," €",""), "")
)</f>
        <v>0</v>
      </c>
      <c r="AY623" s="17" t="str">
        <f t="shared" si="18"/>
        <v/>
      </c>
      <c r="AZ623" s="1">
        <f t="shared" ref="AZ623:BA623" si="1260">sum(AN623,AQ623,AT623,AW623)</f>
        <v>0</v>
      </c>
      <c r="BA623" s="1">
        <f t="shared" si="1260"/>
        <v>0</v>
      </c>
      <c r="BB623" s="17" t="str">
        <f t="shared" si="20"/>
        <v/>
      </c>
    </row>
    <row r="624">
      <c r="G624" s="1" t="str">
        <f>iferror(VLOOKUP(A624,'Business Plan Setup and Accepta'!A:G,6,false),"")</f>
        <v/>
      </c>
      <c r="H624" s="1" t="str">
        <f>iferror(VLOOKUP(A624,'Business Plan Setup and Accepta'!A:G,7,false),"")</f>
        <v/>
      </c>
      <c r="I624" s="17"/>
      <c r="J624" s="1" t="str">
        <f>IFERROR(VALUE(SUBSTITUTE(VLOOKUP(A624,'Sales IN Revenues vs Sales targ'!A:G,6,false)," $","")), "")
</f>
        <v/>
      </c>
      <c r="K624" s="1" t="str">
        <f>IFERROR(VALUE(SUBSTITUTE(VLOOKUP(A624,'Sales IN Revenues vs Sales targ'!A:G,7,false)," $","")), "")
</f>
        <v/>
      </c>
      <c r="L624" s="17"/>
      <c r="M624" s="1">
        <f>value(SUBSTITUTE(IFERROR(VLOOKUP(A624,'Certifications achievements vs '!A:G,6,false),""),"#","")
)</f>
        <v>0</v>
      </c>
      <c r="N624" s="1">
        <f>value(SUBSTITUTE(IFERROR(VLOOKUP(A624,'Certifications achievements vs '!A:G,7,false),""),"#","")
)</f>
        <v>0</v>
      </c>
      <c r="O624" s="17"/>
      <c r="P624" s="1">
        <f>value(SUBSTITUTE(IFERROR(VLOOKUP(A624,'Communications - Solution Speci'!A:G,6,false),""),"#","")
)</f>
        <v>0</v>
      </c>
      <c r="Q624" s="1">
        <f>value(SUBSTITUTE(IFERROR(VLOOKUP(A624,'Communications - Solution Speci'!A:G,7,false),""),"#","")
)</f>
        <v>0</v>
      </c>
      <c r="R624" s="17" t="str">
        <f t="shared" si="6"/>
        <v/>
      </c>
      <c r="S624" s="1">
        <f>value(SUBSTITUTE(IFERROR(VLOOKUP(A624,'Networking - Solution Specializ'!A:G,6,false),""),"#","")
)</f>
        <v>0</v>
      </c>
      <c r="T624" s="1">
        <f>value(SUBSTITUTE(IFERROR(VLOOKUP(A624,'Networking - Solution Specializ'!A:G,7,false),""),"#","")
)</f>
        <v>0</v>
      </c>
      <c r="U624" s="17" t="str">
        <f t="shared" si="7"/>
        <v/>
      </c>
      <c r="V624" s="1" t="str">
        <f>iferror(vlookup(A624,'Marketing Plan (extract summary'!A:G,6,false),"")</f>
        <v/>
      </c>
      <c r="W624" s="1" t="str">
        <f>iferror(vlookup(A624,'Marketing Plan (extract summary'!A:G,7,false),"")</f>
        <v/>
      </c>
      <c r="X624" s="17"/>
      <c r="Y624" s="1">
        <f>value(IFERROR(SUBSTITUTE(SUBSTITUTE(VLOOKUP(A624,'Quarterly Pipeline vs Target Pi'!A:G,6,false)," $","")," €",""), "")
)</f>
        <v>0</v>
      </c>
      <c r="Z624" s="1">
        <f>value(IFERROR(SUBSTITUTE(SUBSTITUTE(VLOOKUP(A624,'Quarterly Pipeline vs Target Pi'!A:G,7,false)," $","")," €",""), "")
)</f>
        <v>0</v>
      </c>
      <c r="AA624" s="17" t="str">
        <f t="shared" si="9"/>
        <v/>
      </c>
      <c r="AB624" s="1">
        <f>value(IFERROR(SUBSTITUTE(SUBSTITUTE(VLOOKUP($A624,'Quarterly Pipeline vs Target Pi'!$A:$V,11,false)," $","")," €",""), "")
)</f>
        <v>0</v>
      </c>
      <c r="AC624" s="1">
        <f>value(IFERROR(SUBSTITUTE(SUBSTITUTE(VLOOKUP($A624,'Quarterly Pipeline vs Target Pi'!$A:$V,12,false)," $","")," €",""), "")
)</f>
        <v>0</v>
      </c>
      <c r="AD624" s="17" t="str">
        <f t="shared" si="10"/>
        <v/>
      </c>
      <c r="AE624" s="1">
        <f>value(IFERROR(SUBSTITUTE(SUBSTITUTE(VLOOKUP($A624,'Quarterly Pipeline vs Target Pi'!$A:$V,16,false)," $","")," €",""), "")
)</f>
        <v>0</v>
      </c>
      <c r="AF624" s="1">
        <f>value(IFERROR(SUBSTITUTE(SUBSTITUTE(VLOOKUP($A624,'Quarterly Pipeline vs Target Pi'!$A:$V,17,false)," $","")," €",""), "")
)</f>
        <v>0</v>
      </c>
      <c r="AG624" s="17" t="str">
        <f t="shared" si="11"/>
        <v/>
      </c>
      <c r="AH624" s="1">
        <f>value(IFERROR(SUBSTITUTE(SUBSTITUTE(VLOOKUP($A624,'Quarterly Pipeline vs Target Pi'!$A:$V,21,false)," $","")," €",""), "")
)</f>
        <v>0</v>
      </c>
      <c r="AI624" s="1">
        <f>value(IFERROR(SUBSTITUTE(SUBSTITUTE(VLOOKUP($A624,'Quarterly Pipeline vs Target Pi'!$A:$V,22,false)," $","")," €",""), "")
)</f>
        <v>0</v>
      </c>
      <c r="AJ624" s="17" t="str">
        <f t="shared" si="12"/>
        <v/>
      </c>
      <c r="AK624" s="1">
        <f t="shared" ref="AK624:AL624" si="1261">sum(Y624,AB624,AE624,AH624)</f>
        <v>0</v>
      </c>
      <c r="AL624" s="1">
        <f t="shared" si="1261"/>
        <v>0</v>
      </c>
      <c r="AM624" s="17" t="str">
        <f t="shared" si="14"/>
        <v/>
      </c>
      <c r="AN624" s="1">
        <f>value(IFERROR(SUBSTITUTE(SUBSTITUTE(VLOOKUP($A624,'Quarterly Pipeline vs Target Pi'!$A:$AP,26,false)," $","")," €",""), "")
)</f>
        <v>0</v>
      </c>
      <c r="AO624" s="1">
        <f>value(IFERROR(SUBSTITUTE(SUBSTITUTE(VLOOKUP($A624,'Quarterly Pipeline vs Target Pi'!$A:$AP,27,false)," $","")," €",""), "")
)</f>
        <v>0</v>
      </c>
      <c r="AP624" s="17" t="str">
        <f t="shared" si="15"/>
        <v/>
      </c>
      <c r="AQ624" s="1">
        <f>value(IFERROR(SUBSTITUTE(SUBSTITUTE(VLOOKUP($A624,'Quarterly Pipeline vs Target Pi'!$A:$AP,31,false)," $","")," €",""), "")
)</f>
        <v>0</v>
      </c>
      <c r="AR624" s="1">
        <f>value(IFERROR(SUBSTITUTE(SUBSTITUTE(VLOOKUP($A624,'Quarterly Pipeline vs Target Pi'!$A:$AP,32,false)," $","")," €",""), "")
)</f>
        <v>0</v>
      </c>
      <c r="AS624" s="17" t="str">
        <f t="shared" si="16"/>
        <v/>
      </c>
      <c r="AT624" s="1">
        <f>value(IFERROR(SUBSTITUTE(SUBSTITUTE(VLOOKUP($A624,'Quarterly Pipeline vs Target Pi'!$A:$AP,36,false)," $","")," €",""), "")
)</f>
        <v>0</v>
      </c>
      <c r="AU624" s="1">
        <f>value(IFERROR(SUBSTITUTE(SUBSTITUTE(VLOOKUP($A624,'Quarterly Pipeline vs Target Pi'!$A:$AP,37,false)," $","")," €",""), "")
)</f>
        <v>0</v>
      </c>
      <c r="AV624" s="17" t="str">
        <f t="shared" si="17"/>
        <v/>
      </c>
      <c r="AW624" s="1">
        <f>value(IFERROR(SUBSTITUTE(SUBSTITUTE(VLOOKUP($A624,'Quarterly Pipeline vs Target Pi'!$A:$AP,41,false)," $","")," €",""), "")
)</f>
        <v>0</v>
      </c>
      <c r="AX624" s="1">
        <f>value(IFERROR(SUBSTITUTE(SUBSTITUTE(VLOOKUP($A624,'Quarterly Pipeline vs Target Pi'!$A:$AP,42,false)," $","")," €",""), "")
)</f>
        <v>0</v>
      </c>
      <c r="AY624" s="17" t="str">
        <f t="shared" si="18"/>
        <v/>
      </c>
      <c r="AZ624" s="1">
        <f t="shared" ref="AZ624:BA624" si="1262">sum(AN624,AQ624,AT624,AW624)</f>
        <v>0</v>
      </c>
      <c r="BA624" s="1">
        <f t="shared" si="1262"/>
        <v>0</v>
      </c>
      <c r="BB624" s="17" t="str">
        <f t="shared" si="20"/>
        <v/>
      </c>
    </row>
    <row r="625">
      <c r="G625" s="1" t="str">
        <f>iferror(VLOOKUP(A625,'Business Plan Setup and Accepta'!A:G,6,false),"")</f>
        <v/>
      </c>
      <c r="H625" s="1" t="str">
        <f>iferror(VLOOKUP(A625,'Business Plan Setup and Accepta'!A:G,7,false),"")</f>
        <v/>
      </c>
      <c r="I625" s="17"/>
      <c r="J625" s="1" t="str">
        <f>IFERROR(VALUE(SUBSTITUTE(VLOOKUP(A625,'Sales IN Revenues vs Sales targ'!A:G,6,false)," $","")), "")
</f>
        <v/>
      </c>
      <c r="K625" s="1" t="str">
        <f>IFERROR(VALUE(SUBSTITUTE(VLOOKUP(A625,'Sales IN Revenues vs Sales targ'!A:G,7,false)," $","")), "")
</f>
        <v/>
      </c>
      <c r="L625" s="17"/>
      <c r="M625" s="1">
        <f>value(SUBSTITUTE(IFERROR(VLOOKUP(A625,'Certifications achievements vs '!A:G,6,false),""),"#","")
)</f>
        <v>0</v>
      </c>
      <c r="N625" s="1">
        <f>value(SUBSTITUTE(IFERROR(VLOOKUP(A625,'Certifications achievements vs '!A:G,7,false),""),"#","")
)</f>
        <v>0</v>
      </c>
      <c r="O625" s="17"/>
      <c r="P625" s="1">
        <f>value(SUBSTITUTE(IFERROR(VLOOKUP(A625,'Communications - Solution Speci'!A:G,6,false),""),"#","")
)</f>
        <v>0</v>
      </c>
      <c r="Q625" s="1">
        <f>value(SUBSTITUTE(IFERROR(VLOOKUP(A625,'Communications - Solution Speci'!A:G,7,false),""),"#","")
)</f>
        <v>0</v>
      </c>
      <c r="R625" s="17" t="str">
        <f t="shared" si="6"/>
        <v/>
      </c>
      <c r="S625" s="1">
        <f>value(SUBSTITUTE(IFERROR(VLOOKUP(A625,'Networking - Solution Specializ'!A:G,6,false),""),"#","")
)</f>
        <v>0</v>
      </c>
      <c r="T625" s="1">
        <f>value(SUBSTITUTE(IFERROR(VLOOKUP(A625,'Networking - Solution Specializ'!A:G,7,false),""),"#","")
)</f>
        <v>0</v>
      </c>
      <c r="U625" s="17" t="str">
        <f t="shared" si="7"/>
        <v/>
      </c>
      <c r="V625" s="1" t="str">
        <f>iferror(vlookup(A625,'Marketing Plan (extract summary'!A:G,6,false),"")</f>
        <v/>
      </c>
      <c r="W625" s="1" t="str">
        <f>iferror(vlookup(A625,'Marketing Plan (extract summary'!A:G,7,false),"")</f>
        <v/>
      </c>
      <c r="X625" s="17"/>
      <c r="Y625" s="1">
        <f>value(IFERROR(SUBSTITUTE(SUBSTITUTE(VLOOKUP(A625,'Quarterly Pipeline vs Target Pi'!A:G,6,false)," $","")," €",""), "")
)</f>
        <v>0</v>
      </c>
      <c r="Z625" s="1">
        <f>value(IFERROR(SUBSTITUTE(SUBSTITUTE(VLOOKUP(A625,'Quarterly Pipeline vs Target Pi'!A:G,7,false)," $","")," €",""), "")
)</f>
        <v>0</v>
      </c>
      <c r="AA625" s="17" t="str">
        <f t="shared" si="9"/>
        <v/>
      </c>
      <c r="AB625" s="1">
        <f>value(IFERROR(SUBSTITUTE(SUBSTITUTE(VLOOKUP($A625,'Quarterly Pipeline vs Target Pi'!$A:$V,11,false)," $","")," €",""), "")
)</f>
        <v>0</v>
      </c>
      <c r="AC625" s="1">
        <f>value(IFERROR(SUBSTITUTE(SUBSTITUTE(VLOOKUP($A625,'Quarterly Pipeline vs Target Pi'!$A:$V,12,false)," $","")," €",""), "")
)</f>
        <v>0</v>
      </c>
      <c r="AD625" s="17" t="str">
        <f t="shared" si="10"/>
        <v/>
      </c>
      <c r="AE625" s="1">
        <f>value(IFERROR(SUBSTITUTE(SUBSTITUTE(VLOOKUP($A625,'Quarterly Pipeline vs Target Pi'!$A:$V,16,false)," $","")," €",""), "")
)</f>
        <v>0</v>
      </c>
      <c r="AF625" s="1">
        <f>value(IFERROR(SUBSTITUTE(SUBSTITUTE(VLOOKUP($A625,'Quarterly Pipeline vs Target Pi'!$A:$V,17,false)," $","")," €",""), "")
)</f>
        <v>0</v>
      </c>
      <c r="AG625" s="17" t="str">
        <f t="shared" si="11"/>
        <v/>
      </c>
      <c r="AH625" s="1">
        <f>value(IFERROR(SUBSTITUTE(SUBSTITUTE(VLOOKUP($A625,'Quarterly Pipeline vs Target Pi'!$A:$V,21,false)," $","")," €",""), "")
)</f>
        <v>0</v>
      </c>
      <c r="AI625" s="1">
        <f>value(IFERROR(SUBSTITUTE(SUBSTITUTE(VLOOKUP($A625,'Quarterly Pipeline vs Target Pi'!$A:$V,22,false)," $","")," €",""), "")
)</f>
        <v>0</v>
      </c>
      <c r="AJ625" s="17" t="str">
        <f t="shared" si="12"/>
        <v/>
      </c>
      <c r="AK625" s="1">
        <f t="shared" ref="AK625:AL625" si="1263">sum(Y625,AB625,AE625,AH625)</f>
        <v>0</v>
      </c>
      <c r="AL625" s="1">
        <f t="shared" si="1263"/>
        <v>0</v>
      </c>
      <c r="AM625" s="17" t="str">
        <f t="shared" si="14"/>
        <v/>
      </c>
      <c r="AN625" s="1">
        <f>value(IFERROR(SUBSTITUTE(SUBSTITUTE(VLOOKUP($A625,'Quarterly Pipeline vs Target Pi'!$A:$AP,26,false)," $","")," €",""), "")
)</f>
        <v>0</v>
      </c>
      <c r="AO625" s="1">
        <f>value(IFERROR(SUBSTITUTE(SUBSTITUTE(VLOOKUP($A625,'Quarterly Pipeline vs Target Pi'!$A:$AP,27,false)," $","")," €",""), "")
)</f>
        <v>0</v>
      </c>
      <c r="AP625" s="17" t="str">
        <f t="shared" si="15"/>
        <v/>
      </c>
      <c r="AQ625" s="1">
        <f>value(IFERROR(SUBSTITUTE(SUBSTITUTE(VLOOKUP($A625,'Quarterly Pipeline vs Target Pi'!$A:$AP,31,false)," $","")," €",""), "")
)</f>
        <v>0</v>
      </c>
      <c r="AR625" s="1">
        <f>value(IFERROR(SUBSTITUTE(SUBSTITUTE(VLOOKUP($A625,'Quarterly Pipeline vs Target Pi'!$A:$AP,32,false)," $","")," €",""), "")
)</f>
        <v>0</v>
      </c>
      <c r="AS625" s="17" t="str">
        <f t="shared" si="16"/>
        <v/>
      </c>
      <c r="AT625" s="1">
        <f>value(IFERROR(SUBSTITUTE(SUBSTITUTE(VLOOKUP($A625,'Quarterly Pipeline vs Target Pi'!$A:$AP,36,false)," $","")," €",""), "")
)</f>
        <v>0</v>
      </c>
      <c r="AU625" s="1">
        <f>value(IFERROR(SUBSTITUTE(SUBSTITUTE(VLOOKUP($A625,'Quarterly Pipeline vs Target Pi'!$A:$AP,37,false)," $","")," €",""), "")
)</f>
        <v>0</v>
      </c>
      <c r="AV625" s="17" t="str">
        <f t="shared" si="17"/>
        <v/>
      </c>
      <c r="AW625" s="1">
        <f>value(IFERROR(SUBSTITUTE(SUBSTITUTE(VLOOKUP($A625,'Quarterly Pipeline vs Target Pi'!$A:$AP,41,false)," $","")," €",""), "")
)</f>
        <v>0</v>
      </c>
      <c r="AX625" s="1">
        <f>value(IFERROR(SUBSTITUTE(SUBSTITUTE(VLOOKUP($A625,'Quarterly Pipeline vs Target Pi'!$A:$AP,42,false)," $","")," €",""), "")
)</f>
        <v>0</v>
      </c>
      <c r="AY625" s="17" t="str">
        <f t="shared" si="18"/>
        <v/>
      </c>
      <c r="AZ625" s="1">
        <f t="shared" ref="AZ625:BA625" si="1264">sum(AN625,AQ625,AT625,AW625)</f>
        <v>0</v>
      </c>
      <c r="BA625" s="1">
        <f t="shared" si="1264"/>
        <v>0</v>
      </c>
      <c r="BB625" s="17" t="str">
        <f t="shared" si="20"/>
        <v/>
      </c>
    </row>
    <row r="626">
      <c r="G626" s="1" t="str">
        <f>iferror(VLOOKUP(A626,'Business Plan Setup and Accepta'!A:G,6,false),"")</f>
        <v/>
      </c>
      <c r="H626" s="1" t="str">
        <f>iferror(VLOOKUP(A626,'Business Plan Setup and Accepta'!A:G,7,false),"")</f>
        <v/>
      </c>
      <c r="I626" s="17"/>
      <c r="J626" s="1" t="str">
        <f>IFERROR(VALUE(SUBSTITUTE(VLOOKUP(A626,'Sales IN Revenues vs Sales targ'!A:G,6,false)," $","")), "")
</f>
        <v/>
      </c>
      <c r="K626" s="1" t="str">
        <f>IFERROR(VALUE(SUBSTITUTE(VLOOKUP(A626,'Sales IN Revenues vs Sales targ'!A:G,7,false)," $","")), "")
</f>
        <v/>
      </c>
      <c r="L626" s="17"/>
      <c r="M626" s="1">
        <f>value(SUBSTITUTE(IFERROR(VLOOKUP(A626,'Certifications achievements vs '!A:G,6,false),""),"#","")
)</f>
        <v>0</v>
      </c>
      <c r="N626" s="1">
        <f>value(SUBSTITUTE(IFERROR(VLOOKUP(A626,'Certifications achievements vs '!A:G,7,false),""),"#","")
)</f>
        <v>0</v>
      </c>
      <c r="O626" s="17"/>
      <c r="P626" s="1">
        <f>value(SUBSTITUTE(IFERROR(VLOOKUP(A626,'Communications - Solution Speci'!A:G,6,false),""),"#","")
)</f>
        <v>0</v>
      </c>
      <c r="Q626" s="1">
        <f>value(SUBSTITUTE(IFERROR(VLOOKUP(A626,'Communications - Solution Speci'!A:G,7,false),""),"#","")
)</f>
        <v>0</v>
      </c>
      <c r="R626" s="17" t="str">
        <f t="shared" si="6"/>
        <v/>
      </c>
      <c r="S626" s="1">
        <f>value(SUBSTITUTE(IFERROR(VLOOKUP(A626,'Networking - Solution Specializ'!A:G,6,false),""),"#","")
)</f>
        <v>0</v>
      </c>
      <c r="T626" s="1">
        <f>value(SUBSTITUTE(IFERROR(VLOOKUP(A626,'Networking - Solution Specializ'!A:G,7,false),""),"#","")
)</f>
        <v>0</v>
      </c>
      <c r="U626" s="17" t="str">
        <f t="shared" si="7"/>
        <v/>
      </c>
      <c r="V626" s="1" t="str">
        <f>iferror(vlookup(A626,'Marketing Plan (extract summary'!A:G,6,false),"")</f>
        <v/>
      </c>
      <c r="W626" s="1" t="str">
        <f>iferror(vlookup(A626,'Marketing Plan (extract summary'!A:G,7,false),"")</f>
        <v/>
      </c>
      <c r="X626" s="17"/>
      <c r="Y626" s="1">
        <f>value(IFERROR(SUBSTITUTE(SUBSTITUTE(VLOOKUP(A626,'Quarterly Pipeline vs Target Pi'!A:G,6,false)," $","")," €",""), "")
)</f>
        <v>0</v>
      </c>
      <c r="Z626" s="1">
        <f>value(IFERROR(SUBSTITUTE(SUBSTITUTE(VLOOKUP(A626,'Quarterly Pipeline vs Target Pi'!A:G,7,false)," $","")," €",""), "")
)</f>
        <v>0</v>
      </c>
      <c r="AA626" s="17" t="str">
        <f t="shared" si="9"/>
        <v/>
      </c>
      <c r="AB626" s="1">
        <f>value(IFERROR(SUBSTITUTE(SUBSTITUTE(VLOOKUP($A626,'Quarterly Pipeline vs Target Pi'!$A:$V,11,false)," $","")," €",""), "")
)</f>
        <v>0</v>
      </c>
      <c r="AC626" s="1">
        <f>value(IFERROR(SUBSTITUTE(SUBSTITUTE(VLOOKUP($A626,'Quarterly Pipeline vs Target Pi'!$A:$V,12,false)," $","")," €",""), "")
)</f>
        <v>0</v>
      </c>
      <c r="AD626" s="17" t="str">
        <f t="shared" si="10"/>
        <v/>
      </c>
      <c r="AE626" s="1">
        <f>value(IFERROR(SUBSTITUTE(SUBSTITUTE(VLOOKUP($A626,'Quarterly Pipeline vs Target Pi'!$A:$V,16,false)," $","")," €",""), "")
)</f>
        <v>0</v>
      </c>
      <c r="AF626" s="1">
        <f>value(IFERROR(SUBSTITUTE(SUBSTITUTE(VLOOKUP($A626,'Quarterly Pipeline vs Target Pi'!$A:$V,17,false)," $","")," €",""), "")
)</f>
        <v>0</v>
      </c>
      <c r="AG626" s="17" t="str">
        <f t="shared" si="11"/>
        <v/>
      </c>
      <c r="AH626" s="1">
        <f>value(IFERROR(SUBSTITUTE(SUBSTITUTE(VLOOKUP($A626,'Quarterly Pipeline vs Target Pi'!$A:$V,21,false)," $","")," €",""), "")
)</f>
        <v>0</v>
      </c>
      <c r="AI626" s="1">
        <f>value(IFERROR(SUBSTITUTE(SUBSTITUTE(VLOOKUP($A626,'Quarterly Pipeline vs Target Pi'!$A:$V,22,false)," $","")," €",""), "")
)</f>
        <v>0</v>
      </c>
      <c r="AJ626" s="17" t="str">
        <f t="shared" si="12"/>
        <v/>
      </c>
      <c r="AK626" s="1">
        <f t="shared" ref="AK626:AL626" si="1265">sum(Y626,AB626,AE626,AH626)</f>
        <v>0</v>
      </c>
      <c r="AL626" s="1">
        <f t="shared" si="1265"/>
        <v>0</v>
      </c>
      <c r="AM626" s="17" t="str">
        <f t="shared" si="14"/>
        <v/>
      </c>
      <c r="AN626" s="1">
        <f>value(IFERROR(SUBSTITUTE(SUBSTITUTE(VLOOKUP($A626,'Quarterly Pipeline vs Target Pi'!$A:$AP,26,false)," $","")," €",""), "")
)</f>
        <v>0</v>
      </c>
      <c r="AO626" s="1">
        <f>value(IFERROR(SUBSTITUTE(SUBSTITUTE(VLOOKUP($A626,'Quarterly Pipeline vs Target Pi'!$A:$AP,27,false)," $","")," €",""), "")
)</f>
        <v>0</v>
      </c>
      <c r="AP626" s="17" t="str">
        <f t="shared" si="15"/>
        <v/>
      </c>
      <c r="AQ626" s="1">
        <f>value(IFERROR(SUBSTITUTE(SUBSTITUTE(VLOOKUP($A626,'Quarterly Pipeline vs Target Pi'!$A:$AP,31,false)," $","")," €",""), "")
)</f>
        <v>0</v>
      </c>
      <c r="AR626" s="1">
        <f>value(IFERROR(SUBSTITUTE(SUBSTITUTE(VLOOKUP($A626,'Quarterly Pipeline vs Target Pi'!$A:$AP,32,false)," $","")," €",""), "")
)</f>
        <v>0</v>
      </c>
      <c r="AS626" s="17" t="str">
        <f t="shared" si="16"/>
        <v/>
      </c>
      <c r="AT626" s="1">
        <f>value(IFERROR(SUBSTITUTE(SUBSTITUTE(VLOOKUP($A626,'Quarterly Pipeline vs Target Pi'!$A:$AP,36,false)," $","")," €",""), "")
)</f>
        <v>0</v>
      </c>
      <c r="AU626" s="1">
        <f>value(IFERROR(SUBSTITUTE(SUBSTITUTE(VLOOKUP($A626,'Quarterly Pipeline vs Target Pi'!$A:$AP,37,false)," $","")," €",""), "")
)</f>
        <v>0</v>
      </c>
      <c r="AV626" s="17" t="str">
        <f t="shared" si="17"/>
        <v/>
      </c>
      <c r="AW626" s="1">
        <f>value(IFERROR(SUBSTITUTE(SUBSTITUTE(VLOOKUP($A626,'Quarterly Pipeline vs Target Pi'!$A:$AP,41,false)," $","")," €",""), "")
)</f>
        <v>0</v>
      </c>
      <c r="AX626" s="1">
        <f>value(IFERROR(SUBSTITUTE(SUBSTITUTE(VLOOKUP($A626,'Quarterly Pipeline vs Target Pi'!$A:$AP,42,false)," $","")," €",""), "")
)</f>
        <v>0</v>
      </c>
      <c r="AY626" s="17" t="str">
        <f t="shared" si="18"/>
        <v/>
      </c>
      <c r="AZ626" s="1">
        <f t="shared" ref="AZ626:BA626" si="1266">sum(AN626,AQ626,AT626,AW626)</f>
        <v>0</v>
      </c>
      <c r="BA626" s="1">
        <f t="shared" si="1266"/>
        <v>0</v>
      </c>
      <c r="BB626" s="17" t="str">
        <f t="shared" si="20"/>
        <v/>
      </c>
    </row>
    <row r="627">
      <c r="G627" s="1" t="str">
        <f>iferror(VLOOKUP(A627,'Business Plan Setup and Accepta'!A:G,6,false),"")</f>
        <v/>
      </c>
      <c r="H627" s="1" t="str">
        <f>iferror(VLOOKUP(A627,'Business Plan Setup and Accepta'!A:G,7,false),"")</f>
        <v/>
      </c>
      <c r="I627" s="17"/>
      <c r="J627" s="1" t="str">
        <f>IFERROR(VALUE(SUBSTITUTE(VLOOKUP(A627,'Sales IN Revenues vs Sales targ'!A:G,6,false)," $","")), "")
</f>
        <v/>
      </c>
      <c r="K627" s="1" t="str">
        <f>IFERROR(VALUE(SUBSTITUTE(VLOOKUP(A627,'Sales IN Revenues vs Sales targ'!A:G,7,false)," $","")), "")
</f>
        <v/>
      </c>
      <c r="L627" s="17"/>
      <c r="M627" s="1">
        <f>value(SUBSTITUTE(IFERROR(VLOOKUP(A627,'Certifications achievements vs '!A:G,6,false),""),"#","")
)</f>
        <v>0</v>
      </c>
      <c r="N627" s="1">
        <f>value(SUBSTITUTE(IFERROR(VLOOKUP(A627,'Certifications achievements vs '!A:G,7,false),""),"#","")
)</f>
        <v>0</v>
      </c>
      <c r="O627" s="17"/>
      <c r="P627" s="1">
        <f>value(SUBSTITUTE(IFERROR(VLOOKUP(A627,'Communications - Solution Speci'!A:G,6,false),""),"#","")
)</f>
        <v>0</v>
      </c>
      <c r="Q627" s="1">
        <f>value(SUBSTITUTE(IFERROR(VLOOKUP(A627,'Communications - Solution Speci'!A:G,7,false),""),"#","")
)</f>
        <v>0</v>
      </c>
      <c r="R627" s="17" t="str">
        <f t="shared" si="6"/>
        <v/>
      </c>
      <c r="S627" s="1">
        <f>value(SUBSTITUTE(IFERROR(VLOOKUP(A627,'Networking - Solution Specializ'!A:G,6,false),""),"#","")
)</f>
        <v>0</v>
      </c>
      <c r="T627" s="1">
        <f>value(SUBSTITUTE(IFERROR(VLOOKUP(A627,'Networking - Solution Specializ'!A:G,7,false),""),"#","")
)</f>
        <v>0</v>
      </c>
      <c r="U627" s="17" t="str">
        <f t="shared" si="7"/>
        <v/>
      </c>
      <c r="V627" s="1" t="str">
        <f>iferror(vlookup(A627,'Marketing Plan (extract summary'!A:G,6,false),"")</f>
        <v/>
      </c>
      <c r="W627" s="1" t="str">
        <f>iferror(vlookup(A627,'Marketing Plan (extract summary'!A:G,7,false),"")</f>
        <v/>
      </c>
      <c r="X627" s="17"/>
      <c r="Y627" s="1">
        <f>value(IFERROR(SUBSTITUTE(SUBSTITUTE(VLOOKUP(A627,'Quarterly Pipeline vs Target Pi'!A:G,6,false)," $","")," €",""), "")
)</f>
        <v>0</v>
      </c>
      <c r="Z627" s="1">
        <f>value(IFERROR(SUBSTITUTE(SUBSTITUTE(VLOOKUP(A627,'Quarterly Pipeline vs Target Pi'!A:G,7,false)," $","")," €",""), "")
)</f>
        <v>0</v>
      </c>
      <c r="AA627" s="17" t="str">
        <f t="shared" si="9"/>
        <v/>
      </c>
      <c r="AB627" s="1">
        <f>value(IFERROR(SUBSTITUTE(SUBSTITUTE(VLOOKUP($A627,'Quarterly Pipeline vs Target Pi'!$A:$V,11,false)," $","")," €",""), "")
)</f>
        <v>0</v>
      </c>
      <c r="AC627" s="1">
        <f>value(IFERROR(SUBSTITUTE(SUBSTITUTE(VLOOKUP($A627,'Quarterly Pipeline vs Target Pi'!$A:$V,12,false)," $","")," €",""), "")
)</f>
        <v>0</v>
      </c>
      <c r="AD627" s="17" t="str">
        <f t="shared" si="10"/>
        <v/>
      </c>
      <c r="AE627" s="1">
        <f>value(IFERROR(SUBSTITUTE(SUBSTITUTE(VLOOKUP($A627,'Quarterly Pipeline vs Target Pi'!$A:$V,16,false)," $","")," €",""), "")
)</f>
        <v>0</v>
      </c>
      <c r="AF627" s="1">
        <f>value(IFERROR(SUBSTITUTE(SUBSTITUTE(VLOOKUP($A627,'Quarterly Pipeline vs Target Pi'!$A:$V,17,false)," $","")," €",""), "")
)</f>
        <v>0</v>
      </c>
      <c r="AG627" s="17" t="str">
        <f t="shared" si="11"/>
        <v/>
      </c>
      <c r="AH627" s="1">
        <f>value(IFERROR(SUBSTITUTE(SUBSTITUTE(VLOOKUP($A627,'Quarterly Pipeline vs Target Pi'!$A:$V,21,false)," $","")," €",""), "")
)</f>
        <v>0</v>
      </c>
      <c r="AI627" s="1">
        <f>value(IFERROR(SUBSTITUTE(SUBSTITUTE(VLOOKUP($A627,'Quarterly Pipeline vs Target Pi'!$A:$V,22,false)," $","")," €",""), "")
)</f>
        <v>0</v>
      </c>
      <c r="AJ627" s="17" t="str">
        <f t="shared" si="12"/>
        <v/>
      </c>
      <c r="AK627" s="1">
        <f t="shared" ref="AK627:AL627" si="1267">sum(Y627,AB627,AE627,AH627)</f>
        <v>0</v>
      </c>
      <c r="AL627" s="1">
        <f t="shared" si="1267"/>
        <v>0</v>
      </c>
      <c r="AM627" s="17" t="str">
        <f t="shared" si="14"/>
        <v/>
      </c>
      <c r="AN627" s="1">
        <f>value(IFERROR(SUBSTITUTE(SUBSTITUTE(VLOOKUP($A627,'Quarterly Pipeline vs Target Pi'!$A:$AP,26,false)," $","")," €",""), "")
)</f>
        <v>0</v>
      </c>
      <c r="AO627" s="1">
        <f>value(IFERROR(SUBSTITUTE(SUBSTITUTE(VLOOKUP($A627,'Quarterly Pipeline vs Target Pi'!$A:$AP,27,false)," $","")," €",""), "")
)</f>
        <v>0</v>
      </c>
      <c r="AP627" s="17" t="str">
        <f t="shared" si="15"/>
        <v/>
      </c>
      <c r="AQ627" s="1">
        <f>value(IFERROR(SUBSTITUTE(SUBSTITUTE(VLOOKUP($A627,'Quarterly Pipeline vs Target Pi'!$A:$AP,31,false)," $","")," €",""), "")
)</f>
        <v>0</v>
      </c>
      <c r="AR627" s="1">
        <f>value(IFERROR(SUBSTITUTE(SUBSTITUTE(VLOOKUP($A627,'Quarterly Pipeline vs Target Pi'!$A:$AP,32,false)," $","")," €",""), "")
)</f>
        <v>0</v>
      </c>
      <c r="AS627" s="17" t="str">
        <f t="shared" si="16"/>
        <v/>
      </c>
      <c r="AT627" s="1">
        <f>value(IFERROR(SUBSTITUTE(SUBSTITUTE(VLOOKUP($A627,'Quarterly Pipeline vs Target Pi'!$A:$AP,36,false)," $","")," €",""), "")
)</f>
        <v>0</v>
      </c>
      <c r="AU627" s="1">
        <f>value(IFERROR(SUBSTITUTE(SUBSTITUTE(VLOOKUP($A627,'Quarterly Pipeline vs Target Pi'!$A:$AP,37,false)," $","")," €",""), "")
)</f>
        <v>0</v>
      </c>
      <c r="AV627" s="17" t="str">
        <f t="shared" si="17"/>
        <v/>
      </c>
      <c r="AW627" s="1">
        <f>value(IFERROR(SUBSTITUTE(SUBSTITUTE(VLOOKUP($A627,'Quarterly Pipeline vs Target Pi'!$A:$AP,41,false)," $","")," €",""), "")
)</f>
        <v>0</v>
      </c>
      <c r="AX627" s="1">
        <f>value(IFERROR(SUBSTITUTE(SUBSTITUTE(VLOOKUP($A627,'Quarterly Pipeline vs Target Pi'!$A:$AP,42,false)," $","")," €",""), "")
)</f>
        <v>0</v>
      </c>
      <c r="AY627" s="17" t="str">
        <f t="shared" si="18"/>
        <v/>
      </c>
      <c r="AZ627" s="1">
        <f t="shared" ref="AZ627:BA627" si="1268">sum(AN627,AQ627,AT627,AW627)</f>
        <v>0</v>
      </c>
      <c r="BA627" s="1">
        <f t="shared" si="1268"/>
        <v>0</v>
      </c>
      <c r="BB627" s="17" t="str">
        <f t="shared" si="20"/>
        <v/>
      </c>
    </row>
    <row r="628">
      <c r="G628" s="1" t="str">
        <f>iferror(VLOOKUP(A628,'Business Plan Setup and Accepta'!A:G,6,false),"")</f>
        <v/>
      </c>
      <c r="H628" s="1" t="str">
        <f>iferror(VLOOKUP(A628,'Business Plan Setup and Accepta'!A:G,7,false),"")</f>
        <v/>
      </c>
      <c r="I628" s="17"/>
      <c r="J628" s="1" t="str">
        <f>IFERROR(VALUE(SUBSTITUTE(VLOOKUP(A628,'Sales IN Revenues vs Sales targ'!A:G,6,false)," $","")), "")
</f>
        <v/>
      </c>
      <c r="K628" s="1" t="str">
        <f>IFERROR(VALUE(SUBSTITUTE(VLOOKUP(A628,'Sales IN Revenues vs Sales targ'!A:G,7,false)," $","")), "")
</f>
        <v/>
      </c>
      <c r="L628" s="17"/>
      <c r="M628" s="1">
        <f>value(SUBSTITUTE(IFERROR(VLOOKUP(A628,'Certifications achievements vs '!A:G,6,false),""),"#","")
)</f>
        <v>0</v>
      </c>
      <c r="N628" s="1">
        <f>value(SUBSTITUTE(IFERROR(VLOOKUP(A628,'Certifications achievements vs '!A:G,7,false),""),"#","")
)</f>
        <v>0</v>
      </c>
      <c r="O628" s="17"/>
      <c r="P628" s="1">
        <f>value(SUBSTITUTE(IFERROR(VLOOKUP(A628,'Communications - Solution Speci'!A:G,6,false),""),"#","")
)</f>
        <v>0</v>
      </c>
      <c r="Q628" s="1">
        <f>value(SUBSTITUTE(IFERROR(VLOOKUP(A628,'Communications - Solution Speci'!A:G,7,false),""),"#","")
)</f>
        <v>0</v>
      </c>
      <c r="R628" s="17" t="str">
        <f t="shared" si="6"/>
        <v/>
      </c>
      <c r="S628" s="1">
        <f>value(SUBSTITUTE(IFERROR(VLOOKUP(A628,'Networking - Solution Specializ'!A:G,6,false),""),"#","")
)</f>
        <v>0</v>
      </c>
      <c r="T628" s="1">
        <f>value(SUBSTITUTE(IFERROR(VLOOKUP(A628,'Networking - Solution Specializ'!A:G,7,false),""),"#","")
)</f>
        <v>0</v>
      </c>
      <c r="U628" s="17" t="str">
        <f t="shared" si="7"/>
        <v/>
      </c>
      <c r="V628" s="1" t="str">
        <f>iferror(vlookup(A628,'Marketing Plan (extract summary'!A:G,6,false),"")</f>
        <v/>
      </c>
      <c r="W628" s="1" t="str">
        <f>iferror(vlookup(A628,'Marketing Plan (extract summary'!A:G,7,false),"")</f>
        <v/>
      </c>
      <c r="X628" s="17"/>
      <c r="Y628" s="1">
        <f>value(IFERROR(SUBSTITUTE(SUBSTITUTE(VLOOKUP(A628,'Quarterly Pipeline vs Target Pi'!A:G,6,false)," $","")," €",""), "")
)</f>
        <v>0</v>
      </c>
      <c r="Z628" s="1">
        <f>value(IFERROR(SUBSTITUTE(SUBSTITUTE(VLOOKUP(A628,'Quarterly Pipeline vs Target Pi'!A:G,7,false)," $","")," €",""), "")
)</f>
        <v>0</v>
      </c>
      <c r="AA628" s="17" t="str">
        <f t="shared" si="9"/>
        <v/>
      </c>
      <c r="AB628" s="1">
        <f>value(IFERROR(SUBSTITUTE(SUBSTITUTE(VLOOKUP($A628,'Quarterly Pipeline vs Target Pi'!$A:$V,11,false)," $","")," €",""), "")
)</f>
        <v>0</v>
      </c>
      <c r="AC628" s="1">
        <f>value(IFERROR(SUBSTITUTE(SUBSTITUTE(VLOOKUP($A628,'Quarterly Pipeline vs Target Pi'!$A:$V,12,false)," $","")," €",""), "")
)</f>
        <v>0</v>
      </c>
      <c r="AD628" s="17" t="str">
        <f t="shared" si="10"/>
        <v/>
      </c>
      <c r="AE628" s="1">
        <f>value(IFERROR(SUBSTITUTE(SUBSTITUTE(VLOOKUP($A628,'Quarterly Pipeline vs Target Pi'!$A:$V,16,false)," $","")," €",""), "")
)</f>
        <v>0</v>
      </c>
      <c r="AF628" s="1">
        <f>value(IFERROR(SUBSTITUTE(SUBSTITUTE(VLOOKUP($A628,'Quarterly Pipeline vs Target Pi'!$A:$V,17,false)," $","")," €",""), "")
)</f>
        <v>0</v>
      </c>
      <c r="AG628" s="17" t="str">
        <f t="shared" si="11"/>
        <v/>
      </c>
      <c r="AH628" s="1">
        <f>value(IFERROR(SUBSTITUTE(SUBSTITUTE(VLOOKUP($A628,'Quarterly Pipeline vs Target Pi'!$A:$V,21,false)," $","")," €",""), "")
)</f>
        <v>0</v>
      </c>
      <c r="AI628" s="1">
        <f>value(IFERROR(SUBSTITUTE(SUBSTITUTE(VLOOKUP($A628,'Quarterly Pipeline vs Target Pi'!$A:$V,22,false)," $","")," €",""), "")
)</f>
        <v>0</v>
      </c>
      <c r="AJ628" s="17" t="str">
        <f t="shared" si="12"/>
        <v/>
      </c>
      <c r="AK628" s="1">
        <f t="shared" ref="AK628:AL628" si="1269">sum(Y628,AB628,AE628,AH628)</f>
        <v>0</v>
      </c>
      <c r="AL628" s="1">
        <f t="shared" si="1269"/>
        <v>0</v>
      </c>
      <c r="AM628" s="17" t="str">
        <f t="shared" si="14"/>
        <v/>
      </c>
      <c r="AN628" s="1">
        <f>value(IFERROR(SUBSTITUTE(SUBSTITUTE(VLOOKUP($A628,'Quarterly Pipeline vs Target Pi'!$A:$AP,26,false)," $","")," €",""), "")
)</f>
        <v>0</v>
      </c>
      <c r="AO628" s="1">
        <f>value(IFERROR(SUBSTITUTE(SUBSTITUTE(VLOOKUP($A628,'Quarterly Pipeline vs Target Pi'!$A:$AP,27,false)," $","")," €",""), "")
)</f>
        <v>0</v>
      </c>
      <c r="AP628" s="17" t="str">
        <f t="shared" si="15"/>
        <v/>
      </c>
      <c r="AQ628" s="1">
        <f>value(IFERROR(SUBSTITUTE(SUBSTITUTE(VLOOKUP($A628,'Quarterly Pipeline vs Target Pi'!$A:$AP,31,false)," $","")," €",""), "")
)</f>
        <v>0</v>
      </c>
      <c r="AR628" s="1">
        <f>value(IFERROR(SUBSTITUTE(SUBSTITUTE(VLOOKUP($A628,'Quarterly Pipeline vs Target Pi'!$A:$AP,32,false)," $","")," €",""), "")
)</f>
        <v>0</v>
      </c>
      <c r="AS628" s="17" t="str">
        <f t="shared" si="16"/>
        <v/>
      </c>
      <c r="AT628" s="1">
        <f>value(IFERROR(SUBSTITUTE(SUBSTITUTE(VLOOKUP($A628,'Quarterly Pipeline vs Target Pi'!$A:$AP,36,false)," $","")," €",""), "")
)</f>
        <v>0</v>
      </c>
      <c r="AU628" s="1">
        <f>value(IFERROR(SUBSTITUTE(SUBSTITUTE(VLOOKUP($A628,'Quarterly Pipeline vs Target Pi'!$A:$AP,37,false)," $","")," €",""), "")
)</f>
        <v>0</v>
      </c>
      <c r="AV628" s="17" t="str">
        <f t="shared" si="17"/>
        <v/>
      </c>
      <c r="AW628" s="1">
        <f>value(IFERROR(SUBSTITUTE(SUBSTITUTE(VLOOKUP($A628,'Quarterly Pipeline vs Target Pi'!$A:$AP,41,false)," $","")," €",""), "")
)</f>
        <v>0</v>
      </c>
      <c r="AX628" s="1">
        <f>value(IFERROR(SUBSTITUTE(SUBSTITUTE(VLOOKUP($A628,'Quarterly Pipeline vs Target Pi'!$A:$AP,42,false)," $","")," €",""), "")
)</f>
        <v>0</v>
      </c>
      <c r="AY628" s="17" t="str">
        <f t="shared" si="18"/>
        <v/>
      </c>
      <c r="AZ628" s="1">
        <f t="shared" ref="AZ628:BA628" si="1270">sum(AN628,AQ628,AT628,AW628)</f>
        <v>0</v>
      </c>
      <c r="BA628" s="1">
        <f t="shared" si="1270"/>
        <v>0</v>
      </c>
      <c r="BB628" s="17" t="str">
        <f t="shared" si="20"/>
        <v/>
      </c>
    </row>
    <row r="629">
      <c r="G629" s="1" t="str">
        <f>iferror(VLOOKUP(A629,'Business Plan Setup and Accepta'!A:G,6,false),"")</f>
        <v/>
      </c>
      <c r="H629" s="1" t="str">
        <f>iferror(VLOOKUP(A629,'Business Plan Setup and Accepta'!A:G,7,false),"")</f>
        <v/>
      </c>
      <c r="I629" s="17"/>
      <c r="J629" s="1" t="str">
        <f>IFERROR(VALUE(SUBSTITUTE(VLOOKUP(A629,'Sales IN Revenues vs Sales targ'!A:G,6,false)," $","")), "")
</f>
        <v/>
      </c>
      <c r="K629" s="1" t="str">
        <f>IFERROR(VALUE(SUBSTITUTE(VLOOKUP(A629,'Sales IN Revenues vs Sales targ'!A:G,7,false)," $","")), "")
</f>
        <v/>
      </c>
      <c r="L629" s="17"/>
      <c r="M629" s="1">
        <f>value(SUBSTITUTE(IFERROR(VLOOKUP(A629,'Certifications achievements vs '!A:G,6,false),""),"#","")
)</f>
        <v>0</v>
      </c>
      <c r="N629" s="1">
        <f>value(SUBSTITUTE(IFERROR(VLOOKUP(A629,'Certifications achievements vs '!A:G,7,false),""),"#","")
)</f>
        <v>0</v>
      </c>
      <c r="O629" s="17"/>
      <c r="P629" s="1">
        <f>value(SUBSTITUTE(IFERROR(VLOOKUP(A629,'Communications - Solution Speci'!A:G,6,false),""),"#","")
)</f>
        <v>0</v>
      </c>
      <c r="Q629" s="1">
        <f>value(SUBSTITUTE(IFERROR(VLOOKUP(A629,'Communications - Solution Speci'!A:G,7,false),""),"#","")
)</f>
        <v>0</v>
      </c>
      <c r="R629" s="17" t="str">
        <f t="shared" si="6"/>
        <v/>
      </c>
      <c r="S629" s="1">
        <f>value(SUBSTITUTE(IFERROR(VLOOKUP(A629,'Networking - Solution Specializ'!A:G,6,false),""),"#","")
)</f>
        <v>0</v>
      </c>
      <c r="T629" s="1">
        <f>value(SUBSTITUTE(IFERROR(VLOOKUP(A629,'Networking - Solution Specializ'!A:G,7,false),""),"#","")
)</f>
        <v>0</v>
      </c>
      <c r="U629" s="17" t="str">
        <f t="shared" si="7"/>
        <v/>
      </c>
      <c r="V629" s="1" t="str">
        <f>iferror(vlookup(A629,'Marketing Plan (extract summary'!A:G,6,false),"")</f>
        <v/>
      </c>
      <c r="W629" s="1" t="str">
        <f>iferror(vlookup(A629,'Marketing Plan (extract summary'!A:G,7,false),"")</f>
        <v/>
      </c>
      <c r="X629" s="17"/>
      <c r="Y629" s="1">
        <f>value(IFERROR(SUBSTITUTE(SUBSTITUTE(VLOOKUP(A629,'Quarterly Pipeline vs Target Pi'!A:G,6,false)," $","")," €",""), "")
)</f>
        <v>0</v>
      </c>
      <c r="Z629" s="1">
        <f>value(IFERROR(SUBSTITUTE(SUBSTITUTE(VLOOKUP(A629,'Quarterly Pipeline vs Target Pi'!A:G,7,false)," $","")," €",""), "")
)</f>
        <v>0</v>
      </c>
      <c r="AA629" s="17" t="str">
        <f t="shared" si="9"/>
        <v/>
      </c>
      <c r="AB629" s="1">
        <f>value(IFERROR(SUBSTITUTE(SUBSTITUTE(VLOOKUP($A629,'Quarterly Pipeline vs Target Pi'!$A:$V,11,false)," $","")," €",""), "")
)</f>
        <v>0</v>
      </c>
      <c r="AC629" s="1">
        <f>value(IFERROR(SUBSTITUTE(SUBSTITUTE(VLOOKUP($A629,'Quarterly Pipeline vs Target Pi'!$A:$V,12,false)," $","")," €",""), "")
)</f>
        <v>0</v>
      </c>
      <c r="AD629" s="17" t="str">
        <f t="shared" si="10"/>
        <v/>
      </c>
      <c r="AE629" s="1">
        <f>value(IFERROR(SUBSTITUTE(SUBSTITUTE(VLOOKUP($A629,'Quarterly Pipeline vs Target Pi'!$A:$V,16,false)," $","")," €",""), "")
)</f>
        <v>0</v>
      </c>
      <c r="AF629" s="1">
        <f>value(IFERROR(SUBSTITUTE(SUBSTITUTE(VLOOKUP($A629,'Quarterly Pipeline vs Target Pi'!$A:$V,17,false)," $","")," €",""), "")
)</f>
        <v>0</v>
      </c>
      <c r="AG629" s="17" t="str">
        <f t="shared" si="11"/>
        <v/>
      </c>
      <c r="AH629" s="1">
        <f>value(IFERROR(SUBSTITUTE(SUBSTITUTE(VLOOKUP($A629,'Quarterly Pipeline vs Target Pi'!$A:$V,21,false)," $","")," €",""), "")
)</f>
        <v>0</v>
      </c>
      <c r="AI629" s="1">
        <f>value(IFERROR(SUBSTITUTE(SUBSTITUTE(VLOOKUP($A629,'Quarterly Pipeline vs Target Pi'!$A:$V,22,false)," $","")," €",""), "")
)</f>
        <v>0</v>
      </c>
      <c r="AJ629" s="17" t="str">
        <f t="shared" si="12"/>
        <v/>
      </c>
      <c r="AK629" s="1">
        <f t="shared" ref="AK629:AL629" si="1271">sum(Y629,AB629,AE629,AH629)</f>
        <v>0</v>
      </c>
      <c r="AL629" s="1">
        <f t="shared" si="1271"/>
        <v>0</v>
      </c>
      <c r="AM629" s="17" t="str">
        <f t="shared" si="14"/>
        <v/>
      </c>
      <c r="AN629" s="1">
        <f>value(IFERROR(SUBSTITUTE(SUBSTITUTE(VLOOKUP($A629,'Quarterly Pipeline vs Target Pi'!$A:$AP,26,false)," $","")," €",""), "")
)</f>
        <v>0</v>
      </c>
      <c r="AO629" s="1">
        <f>value(IFERROR(SUBSTITUTE(SUBSTITUTE(VLOOKUP($A629,'Quarterly Pipeline vs Target Pi'!$A:$AP,27,false)," $","")," €",""), "")
)</f>
        <v>0</v>
      </c>
      <c r="AP629" s="17" t="str">
        <f t="shared" si="15"/>
        <v/>
      </c>
      <c r="AQ629" s="1">
        <f>value(IFERROR(SUBSTITUTE(SUBSTITUTE(VLOOKUP($A629,'Quarterly Pipeline vs Target Pi'!$A:$AP,31,false)," $","")," €",""), "")
)</f>
        <v>0</v>
      </c>
      <c r="AR629" s="1">
        <f>value(IFERROR(SUBSTITUTE(SUBSTITUTE(VLOOKUP($A629,'Quarterly Pipeline vs Target Pi'!$A:$AP,32,false)," $","")," €",""), "")
)</f>
        <v>0</v>
      </c>
      <c r="AS629" s="17" t="str">
        <f t="shared" si="16"/>
        <v/>
      </c>
      <c r="AT629" s="1">
        <f>value(IFERROR(SUBSTITUTE(SUBSTITUTE(VLOOKUP($A629,'Quarterly Pipeline vs Target Pi'!$A:$AP,36,false)," $","")," €",""), "")
)</f>
        <v>0</v>
      </c>
      <c r="AU629" s="1">
        <f>value(IFERROR(SUBSTITUTE(SUBSTITUTE(VLOOKUP($A629,'Quarterly Pipeline vs Target Pi'!$A:$AP,37,false)," $","")," €",""), "")
)</f>
        <v>0</v>
      </c>
      <c r="AV629" s="17" t="str">
        <f t="shared" si="17"/>
        <v/>
      </c>
      <c r="AW629" s="1">
        <f>value(IFERROR(SUBSTITUTE(SUBSTITUTE(VLOOKUP($A629,'Quarterly Pipeline vs Target Pi'!$A:$AP,41,false)," $","")," €",""), "")
)</f>
        <v>0</v>
      </c>
      <c r="AX629" s="1">
        <f>value(IFERROR(SUBSTITUTE(SUBSTITUTE(VLOOKUP($A629,'Quarterly Pipeline vs Target Pi'!$A:$AP,42,false)," $","")," €",""), "")
)</f>
        <v>0</v>
      </c>
      <c r="AY629" s="17" t="str">
        <f t="shared" si="18"/>
        <v/>
      </c>
      <c r="AZ629" s="1">
        <f t="shared" ref="AZ629:BA629" si="1272">sum(AN629,AQ629,AT629,AW629)</f>
        <v>0</v>
      </c>
      <c r="BA629" s="1">
        <f t="shared" si="1272"/>
        <v>0</v>
      </c>
      <c r="BB629" s="17" t="str">
        <f t="shared" si="20"/>
        <v/>
      </c>
    </row>
    <row r="630">
      <c r="G630" s="1" t="str">
        <f>iferror(VLOOKUP(A630,'Business Plan Setup and Accepta'!A:G,6,false),"")</f>
        <v/>
      </c>
      <c r="H630" s="1" t="str">
        <f>iferror(VLOOKUP(A630,'Business Plan Setup and Accepta'!A:G,7,false),"")</f>
        <v/>
      </c>
      <c r="I630" s="17"/>
      <c r="J630" s="1" t="str">
        <f>IFERROR(VALUE(SUBSTITUTE(VLOOKUP(A630,'Sales IN Revenues vs Sales targ'!A:G,6,false)," $","")), "")
</f>
        <v/>
      </c>
      <c r="K630" s="1" t="str">
        <f>IFERROR(VALUE(SUBSTITUTE(VLOOKUP(A630,'Sales IN Revenues vs Sales targ'!A:G,7,false)," $","")), "")
</f>
        <v/>
      </c>
      <c r="L630" s="17"/>
      <c r="M630" s="1">
        <f>value(SUBSTITUTE(IFERROR(VLOOKUP(A630,'Certifications achievements vs '!A:G,6,false),""),"#","")
)</f>
        <v>0</v>
      </c>
      <c r="N630" s="1">
        <f>value(SUBSTITUTE(IFERROR(VLOOKUP(A630,'Certifications achievements vs '!A:G,7,false),""),"#","")
)</f>
        <v>0</v>
      </c>
      <c r="O630" s="17"/>
      <c r="P630" s="1">
        <f>value(SUBSTITUTE(IFERROR(VLOOKUP(A630,'Communications - Solution Speci'!A:G,6,false),""),"#","")
)</f>
        <v>0</v>
      </c>
      <c r="Q630" s="1">
        <f>value(SUBSTITUTE(IFERROR(VLOOKUP(A630,'Communications - Solution Speci'!A:G,7,false),""),"#","")
)</f>
        <v>0</v>
      </c>
      <c r="R630" s="17" t="str">
        <f t="shared" si="6"/>
        <v/>
      </c>
      <c r="S630" s="1">
        <f>value(SUBSTITUTE(IFERROR(VLOOKUP(A630,'Networking - Solution Specializ'!A:G,6,false),""),"#","")
)</f>
        <v>0</v>
      </c>
      <c r="T630" s="1">
        <f>value(SUBSTITUTE(IFERROR(VLOOKUP(A630,'Networking - Solution Specializ'!A:G,7,false),""),"#","")
)</f>
        <v>0</v>
      </c>
      <c r="U630" s="17" t="str">
        <f t="shared" si="7"/>
        <v/>
      </c>
      <c r="V630" s="1" t="str">
        <f>iferror(vlookup(A630,'Marketing Plan (extract summary'!A:G,6,false),"")</f>
        <v/>
      </c>
      <c r="W630" s="1" t="str">
        <f>iferror(vlookup(A630,'Marketing Plan (extract summary'!A:G,7,false),"")</f>
        <v/>
      </c>
      <c r="X630" s="17"/>
      <c r="Y630" s="1">
        <f>value(IFERROR(SUBSTITUTE(SUBSTITUTE(VLOOKUP(A630,'Quarterly Pipeline vs Target Pi'!A:G,6,false)," $","")," €",""), "")
)</f>
        <v>0</v>
      </c>
      <c r="Z630" s="1">
        <f>value(IFERROR(SUBSTITUTE(SUBSTITUTE(VLOOKUP(A630,'Quarterly Pipeline vs Target Pi'!A:G,7,false)," $","")," €",""), "")
)</f>
        <v>0</v>
      </c>
      <c r="AA630" s="17" t="str">
        <f t="shared" si="9"/>
        <v/>
      </c>
      <c r="AB630" s="1">
        <f>value(IFERROR(SUBSTITUTE(SUBSTITUTE(VLOOKUP($A630,'Quarterly Pipeline vs Target Pi'!$A:$V,11,false)," $","")," €",""), "")
)</f>
        <v>0</v>
      </c>
      <c r="AC630" s="1">
        <f>value(IFERROR(SUBSTITUTE(SUBSTITUTE(VLOOKUP($A630,'Quarterly Pipeline vs Target Pi'!$A:$V,12,false)," $","")," €",""), "")
)</f>
        <v>0</v>
      </c>
      <c r="AD630" s="17" t="str">
        <f t="shared" si="10"/>
        <v/>
      </c>
      <c r="AE630" s="1">
        <f>value(IFERROR(SUBSTITUTE(SUBSTITUTE(VLOOKUP($A630,'Quarterly Pipeline vs Target Pi'!$A:$V,16,false)," $","")," €",""), "")
)</f>
        <v>0</v>
      </c>
      <c r="AF630" s="1">
        <f>value(IFERROR(SUBSTITUTE(SUBSTITUTE(VLOOKUP($A630,'Quarterly Pipeline vs Target Pi'!$A:$V,17,false)," $","")," €",""), "")
)</f>
        <v>0</v>
      </c>
      <c r="AG630" s="17" t="str">
        <f t="shared" si="11"/>
        <v/>
      </c>
      <c r="AH630" s="1">
        <f>value(IFERROR(SUBSTITUTE(SUBSTITUTE(VLOOKUP($A630,'Quarterly Pipeline vs Target Pi'!$A:$V,21,false)," $","")," €",""), "")
)</f>
        <v>0</v>
      </c>
      <c r="AI630" s="1">
        <f>value(IFERROR(SUBSTITUTE(SUBSTITUTE(VLOOKUP($A630,'Quarterly Pipeline vs Target Pi'!$A:$V,22,false)," $","")," €",""), "")
)</f>
        <v>0</v>
      </c>
      <c r="AJ630" s="17" t="str">
        <f t="shared" si="12"/>
        <v/>
      </c>
      <c r="AK630" s="1">
        <f t="shared" ref="AK630:AL630" si="1273">sum(Y630,AB630,AE630,AH630)</f>
        <v>0</v>
      </c>
      <c r="AL630" s="1">
        <f t="shared" si="1273"/>
        <v>0</v>
      </c>
      <c r="AM630" s="17" t="str">
        <f t="shared" si="14"/>
        <v/>
      </c>
      <c r="AN630" s="1">
        <f>value(IFERROR(SUBSTITUTE(SUBSTITUTE(VLOOKUP($A630,'Quarterly Pipeline vs Target Pi'!$A:$AP,26,false)," $","")," €",""), "")
)</f>
        <v>0</v>
      </c>
      <c r="AO630" s="1">
        <f>value(IFERROR(SUBSTITUTE(SUBSTITUTE(VLOOKUP($A630,'Quarterly Pipeline vs Target Pi'!$A:$AP,27,false)," $","")," €",""), "")
)</f>
        <v>0</v>
      </c>
      <c r="AP630" s="17" t="str">
        <f t="shared" si="15"/>
        <v/>
      </c>
      <c r="AQ630" s="1">
        <f>value(IFERROR(SUBSTITUTE(SUBSTITUTE(VLOOKUP($A630,'Quarterly Pipeline vs Target Pi'!$A:$AP,31,false)," $","")," €",""), "")
)</f>
        <v>0</v>
      </c>
      <c r="AR630" s="1">
        <f>value(IFERROR(SUBSTITUTE(SUBSTITUTE(VLOOKUP($A630,'Quarterly Pipeline vs Target Pi'!$A:$AP,32,false)," $","")," €",""), "")
)</f>
        <v>0</v>
      </c>
      <c r="AS630" s="17" t="str">
        <f t="shared" si="16"/>
        <v/>
      </c>
      <c r="AT630" s="1">
        <f>value(IFERROR(SUBSTITUTE(SUBSTITUTE(VLOOKUP($A630,'Quarterly Pipeline vs Target Pi'!$A:$AP,36,false)," $","")," €",""), "")
)</f>
        <v>0</v>
      </c>
      <c r="AU630" s="1">
        <f>value(IFERROR(SUBSTITUTE(SUBSTITUTE(VLOOKUP($A630,'Quarterly Pipeline vs Target Pi'!$A:$AP,37,false)," $","")," €",""), "")
)</f>
        <v>0</v>
      </c>
      <c r="AV630" s="17" t="str">
        <f t="shared" si="17"/>
        <v/>
      </c>
      <c r="AW630" s="1">
        <f>value(IFERROR(SUBSTITUTE(SUBSTITUTE(VLOOKUP($A630,'Quarterly Pipeline vs Target Pi'!$A:$AP,41,false)," $","")," €",""), "")
)</f>
        <v>0</v>
      </c>
      <c r="AX630" s="1">
        <f>value(IFERROR(SUBSTITUTE(SUBSTITUTE(VLOOKUP($A630,'Quarterly Pipeline vs Target Pi'!$A:$AP,42,false)," $","")," €",""), "")
)</f>
        <v>0</v>
      </c>
      <c r="AY630" s="17" t="str">
        <f t="shared" si="18"/>
        <v/>
      </c>
      <c r="AZ630" s="1">
        <f t="shared" ref="AZ630:BA630" si="1274">sum(AN630,AQ630,AT630,AW630)</f>
        <v>0</v>
      </c>
      <c r="BA630" s="1">
        <f t="shared" si="1274"/>
        <v>0</v>
      </c>
      <c r="BB630" s="17" t="str">
        <f t="shared" si="20"/>
        <v/>
      </c>
    </row>
    <row r="631">
      <c r="G631" s="1" t="str">
        <f>iferror(VLOOKUP(A631,'Business Plan Setup and Accepta'!A:G,6,false),"")</f>
        <v/>
      </c>
      <c r="H631" s="1" t="str">
        <f>iferror(VLOOKUP(A631,'Business Plan Setup and Accepta'!A:G,7,false),"")</f>
        <v/>
      </c>
      <c r="I631" s="17"/>
      <c r="J631" s="1" t="str">
        <f>IFERROR(VALUE(SUBSTITUTE(VLOOKUP(A631,'Sales IN Revenues vs Sales targ'!A:G,6,false)," $","")), "")
</f>
        <v/>
      </c>
      <c r="K631" s="1" t="str">
        <f>IFERROR(VALUE(SUBSTITUTE(VLOOKUP(A631,'Sales IN Revenues vs Sales targ'!A:G,7,false)," $","")), "")
</f>
        <v/>
      </c>
      <c r="L631" s="17"/>
      <c r="M631" s="1">
        <f>value(SUBSTITUTE(IFERROR(VLOOKUP(A631,'Certifications achievements vs '!A:G,6,false),""),"#","")
)</f>
        <v>0</v>
      </c>
      <c r="N631" s="1">
        <f>value(SUBSTITUTE(IFERROR(VLOOKUP(A631,'Certifications achievements vs '!A:G,7,false),""),"#","")
)</f>
        <v>0</v>
      </c>
      <c r="O631" s="17"/>
      <c r="P631" s="1">
        <f>value(SUBSTITUTE(IFERROR(VLOOKUP(A631,'Communications - Solution Speci'!A:G,6,false),""),"#","")
)</f>
        <v>0</v>
      </c>
      <c r="Q631" s="1">
        <f>value(SUBSTITUTE(IFERROR(VLOOKUP(A631,'Communications - Solution Speci'!A:G,7,false),""),"#","")
)</f>
        <v>0</v>
      </c>
      <c r="R631" s="17" t="str">
        <f t="shared" si="6"/>
        <v/>
      </c>
      <c r="S631" s="1">
        <f>value(SUBSTITUTE(IFERROR(VLOOKUP(A631,'Networking - Solution Specializ'!A:G,6,false),""),"#","")
)</f>
        <v>0</v>
      </c>
      <c r="T631" s="1">
        <f>value(SUBSTITUTE(IFERROR(VLOOKUP(A631,'Networking - Solution Specializ'!A:G,7,false),""),"#","")
)</f>
        <v>0</v>
      </c>
      <c r="U631" s="17" t="str">
        <f t="shared" si="7"/>
        <v/>
      </c>
      <c r="V631" s="1" t="str">
        <f>iferror(vlookup(A631,'Marketing Plan (extract summary'!A:G,6,false),"")</f>
        <v/>
      </c>
      <c r="W631" s="1" t="str">
        <f>iferror(vlookup(A631,'Marketing Plan (extract summary'!A:G,7,false),"")</f>
        <v/>
      </c>
      <c r="X631" s="17"/>
      <c r="Y631" s="1">
        <f>value(IFERROR(SUBSTITUTE(SUBSTITUTE(VLOOKUP(A631,'Quarterly Pipeline vs Target Pi'!A:G,6,false)," $","")," €",""), "")
)</f>
        <v>0</v>
      </c>
      <c r="Z631" s="1">
        <f>value(IFERROR(SUBSTITUTE(SUBSTITUTE(VLOOKUP(A631,'Quarterly Pipeline vs Target Pi'!A:G,7,false)," $","")," €",""), "")
)</f>
        <v>0</v>
      </c>
      <c r="AA631" s="17" t="str">
        <f t="shared" si="9"/>
        <v/>
      </c>
      <c r="AB631" s="1">
        <f>value(IFERROR(SUBSTITUTE(SUBSTITUTE(VLOOKUP($A631,'Quarterly Pipeline vs Target Pi'!$A:$V,11,false)," $","")," €",""), "")
)</f>
        <v>0</v>
      </c>
      <c r="AC631" s="1">
        <f>value(IFERROR(SUBSTITUTE(SUBSTITUTE(VLOOKUP($A631,'Quarterly Pipeline vs Target Pi'!$A:$V,12,false)," $","")," €",""), "")
)</f>
        <v>0</v>
      </c>
      <c r="AD631" s="17" t="str">
        <f t="shared" si="10"/>
        <v/>
      </c>
      <c r="AE631" s="1">
        <f>value(IFERROR(SUBSTITUTE(SUBSTITUTE(VLOOKUP($A631,'Quarterly Pipeline vs Target Pi'!$A:$V,16,false)," $","")," €",""), "")
)</f>
        <v>0</v>
      </c>
      <c r="AF631" s="1">
        <f>value(IFERROR(SUBSTITUTE(SUBSTITUTE(VLOOKUP($A631,'Quarterly Pipeline vs Target Pi'!$A:$V,17,false)," $","")," €",""), "")
)</f>
        <v>0</v>
      </c>
      <c r="AG631" s="17" t="str">
        <f t="shared" si="11"/>
        <v/>
      </c>
      <c r="AH631" s="1">
        <f>value(IFERROR(SUBSTITUTE(SUBSTITUTE(VLOOKUP($A631,'Quarterly Pipeline vs Target Pi'!$A:$V,21,false)," $","")," €",""), "")
)</f>
        <v>0</v>
      </c>
      <c r="AI631" s="1">
        <f>value(IFERROR(SUBSTITUTE(SUBSTITUTE(VLOOKUP($A631,'Quarterly Pipeline vs Target Pi'!$A:$V,22,false)," $","")," €",""), "")
)</f>
        <v>0</v>
      </c>
      <c r="AJ631" s="17" t="str">
        <f t="shared" si="12"/>
        <v/>
      </c>
      <c r="AK631" s="1">
        <f t="shared" ref="AK631:AL631" si="1275">sum(Y631,AB631,AE631,AH631)</f>
        <v>0</v>
      </c>
      <c r="AL631" s="1">
        <f t="shared" si="1275"/>
        <v>0</v>
      </c>
      <c r="AM631" s="17" t="str">
        <f t="shared" si="14"/>
        <v/>
      </c>
      <c r="AN631" s="1">
        <f>value(IFERROR(SUBSTITUTE(SUBSTITUTE(VLOOKUP($A631,'Quarterly Pipeline vs Target Pi'!$A:$AP,26,false)," $","")," €",""), "")
)</f>
        <v>0</v>
      </c>
      <c r="AO631" s="1">
        <f>value(IFERROR(SUBSTITUTE(SUBSTITUTE(VLOOKUP($A631,'Quarterly Pipeline vs Target Pi'!$A:$AP,27,false)," $","")," €",""), "")
)</f>
        <v>0</v>
      </c>
      <c r="AP631" s="17" t="str">
        <f t="shared" si="15"/>
        <v/>
      </c>
      <c r="AQ631" s="1">
        <f>value(IFERROR(SUBSTITUTE(SUBSTITUTE(VLOOKUP($A631,'Quarterly Pipeline vs Target Pi'!$A:$AP,31,false)," $","")," €",""), "")
)</f>
        <v>0</v>
      </c>
      <c r="AR631" s="1">
        <f>value(IFERROR(SUBSTITUTE(SUBSTITUTE(VLOOKUP($A631,'Quarterly Pipeline vs Target Pi'!$A:$AP,32,false)," $","")," €",""), "")
)</f>
        <v>0</v>
      </c>
      <c r="AS631" s="17" t="str">
        <f t="shared" si="16"/>
        <v/>
      </c>
      <c r="AT631" s="1">
        <f>value(IFERROR(SUBSTITUTE(SUBSTITUTE(VLOOKUP($A631,'Quarterly Pipeline vs Target Pi'!$A:$AP,36,false)," $","")," €",""), "")
)</f>
        <v>0</v>
      </c>
      <c r="AU631" s="1">
        <f>value(IFERROR(SUBSTITUTE(SUBSTITUTE(VLOOKUP($A631,'Quarterly Pipeline vs Target Pi'!$A:$AP,37,false)," $","")," €",""), "")
)</f>
        <v>0</v>
      </c>
      <c r="AV631" s="17" t="str">
        <f t="shared" si="17"/>
        <v/>
      </c>
      <c r="AW631" s="1">
        <f>value(IFERROR(SUBSTITUTE(SUBSTITUTE(VLOOKUP($A631,'Quarterly Pipeline vs Target Pi'!$A:$AP,41,false)," $","")," €",""), "")
)</f>
        <v>0</v>
      </c>
      <c r="AX631" s="1">
        <f>value(IFERROR(SUBSTITUTE(SUBSTITUTE(VLOOKUP($A631,'Quarterly Pipeline vs Target Pi'!$A:$AP,42,false)," $","")," €",""), "")
)</f>
        <v>0</v>
      </c>
      <c r="AY631" s="17" t="str">
        <f t="shared" si="18"/>
        <v/>
      </c>
      <c r="AZ631" s="1">
        <f t="shared" ref="AZ631:BA631" si="1276">sum(AN631,AQ631,AT631,AW631)</f>
        <v>0</v>
      </c>
      <c r="BA631" s="1">
        <f t="shared" si="1276"/>
        <v>0</v>
      </c>
      <c r="BB631" s="17" t="str">
        <f t="shared" si="20"/>
        <v/>
      </c>
    </row>
    <row r="632">
      <c r="G632" s="1" t="str">
        <f>iferror(VLOOKUP(A632,'Business Plan Setup and Accepta'!A:G,6,false),"")</f>
        <v/>
      </c>
      <c r="H632" s="1" t="str">
        <f>iferror(VLOOKUP(A632,'Business Plan Setup and Accepta'!A:G,7,false),"")</f>
        <v/>
      </c>
      <c r="I632" s="17"/>
      <c r="J632" s="1" t="str">
        <f>IFERROR(VALUE(SUBSTITUTE(VLOOKUP(A632,'Sales IN Revenues vs Sales targ'!A:G,6,false)," $","")), "")
</f>
        <v/>
      </c>
      <c r="K632" s="1" t="str">
        <f>IFERROR(VALUE(SUBSTITUTE(VLOOKUP(A632,'Sales IN Revenues vs Sales targ'!A:G,7,false)," $","")), "")
</f>
        <v/>
      </c>
      <c r="L632" s="17"/>
      <c r="M632" s="1">
        <f>value(SUBSTITUTE(IFERROR(VLOOKUP(A632,'Certifications achievements vs '!A:G,6,false),""),"#","")
)</f>
        <v>0</v>
      </c>
      <c r="N632" s="1">
        <f>value(SUBSTITUTE(IFERROR(VLOOKUP(A632,'Certifications achievements vs '!A:G,7,false),""),"#","")
)</f>
        <v>0</v>
      </c>
      <c r="O632" s="17"/>
      <c r="P632" s="1">
        <f>value(SUBSTITUTE(IFERROR(VLOOKUP(A632,'Communications - Solution Speci'!A:G,6,false),""),"#","")
)</f>
        <v>0</v>
      </c>
      <c r="Q632" s="1">
        <f>value(SUBSTITUTE(IFERROR(VLOOKUP(A632,'Communications - Solution Speci'!A:G,7,false),""),"#","")
)</f>
        <v>0</v>
      </c>
      <c r="R632" s="17" t="str">
        <f t="shared" si="6"/>
        <v/>
      </c>
      <c r="S632" s="1">
        <f>value(SUBSTITUTE(IFERROR(VLOOKUP(A632,'Networking - Solution Specializ'!A:G,6,false),""),"#","")
)</f>
        <v>0</v>
      </c>
      <c r="T632" s="1">
        <f>value(SUBSTITUTE(IFERROR(VLOOKUP(A632,'Networking - Solution Specializ'!A:G,7,false),""),"#","")
)</f>
        <v>0</v>
      </c>
      <c r="U632" s="17" t="str">
        <f t="shared" si="7"/>
        <v/>
      </c>
      <c r="V632" s="1" t="str">
        <f>iferror(vlookup(A632,'Marketing Plan (extract summary'!A:G,6,false),"")</f>
        <v/>
      </c>
      <c r="W632" s="1" t="str">
        <f>iferror(vlookup(A632,'Marketing Plan (extract summary'!A:G,7,false),"")</f>
        <v/>
      </c>
      <c r="X632" s="17"/>
      <c r="Y632" s="1">
        <f>value(IFERROR(SUBSTITUTE(SUBSTITUTE(VLOOKUP(A632,'Quarterly Pipeline vs Target Pi'!A:G,6,false)," $","")," €",""), "")
)</f>
        <v>0</v>
      </c>
      <c r="Z632" s="1">
        <f>value(IFERROR(SUBSTITUTE(SUBSTITUTE(VLOOKUP(A632,'Quarterly Pipeline vs Target Pi'!A:G,7,false)," $","")," €",""), "")
)</f>
        <v>0</v>
      </c>
      <c r="AA632" s="17" t="str">
        <f t="shared" si="9"/>
        <v/>
      </c>
      <c r="AB632" s="1">
        <f>value(IFERROR(SUBSTITUTE(SUBSTITUTE(VLOOKUP($A632,'Quarterly Pipeline vs Target Pi'!$A:$V,11,false)," $","")," €",""), "")
)</f>
        <v>0</v>
      </c>
      <c r="AC632" s="1">
        <f>value(IFERROR(SUBSTITUTE(SUBSTITUTE(VLOOKUP($A632,'Quarterly Pipeline vs Target Pi'!$A:$V,12,false)," $","")," €",""), "")
)</f>
        <v>0</v>
      </c>
      <c r="AD632" s="17" t="str">
        <f t="shared" si="10"/>
        <v/>
      </c>
      <c r="AE632" s="1">
        <f>value(IFERROR(SUBSTITUTE(SUBSTITUTE(VLOOKUP($A632,'Quarterly Pipeline vs Target Pi'!$A:$V,16,false)," $","")," €",""), "")
)</f>
        <v>0</v>
      </c>
      <c r="AF632" s="1">
        <f>value(IFERROR(SUBSTITUTE(SUBSTITUTE(VLOOKUP($A632,'Quarterly Pipeline vs Target Pi'!$A:$V,17,false)," $","")," €",""), "")
)</f>
        <v>0</v>
      </c>
      <c r="AG632" s="17" t="str">
        <f t="shared" si="11"/>
        <v/>
      </c>
      <c r="AH632" s="1">
        <f>value(IFERROR(SUBSTITUTE(SUBSTITUTE(VLOOKUP($A632,'Quarterly Pipeline vs Target Pi'!$A:$V,21,false)," $","")," €",""), "")
)</f>
        <v>0</v>
      </c>
      <c r="AI632" s="1">
        <f>value(IFERROR(SUBSTITUTE(SUBSTITUTE(VLOOKUP($A632,'Quarterly Pipeline vs Target Pi'!$A:$V,22,false)," $","")," €",""), "")
)</f>
        <v>0</v>
      </c>
      <c r="AJ632" s="17" t="str">
        <f t="shared" si="12"/>
        <v/>
      </c>
      <c r="AK632" s="1">
        <f t="shared" ref="AK632:AL632" si="1277">sum(Y632,AB632,AE632,AH632)</f>
        <v>0</v>
      </c>
      <c r="AL632" s="1">
        <f t="shared" si="1277"/>
        <v>0</v>
      </c>
      <c r="AM632" s="17" t="str">
        <f t="shared" si="14"/>
        <v/>
      </c>
      <c r="AN632" s="1">
        <f>value(IFERROR(SUBSTITUTE(SUBSTITUTE(VLOOKUP($A632,'Quarterly Pipeline vs Target Pi'!$A:$AP,26,false)," $","")," €",""), "")
)</f>
        <v>0</v>
      </c>
      <c r="AO632" s="1">
        <f>value(IFERROR(SUBSTITUTE(SUBSTITUTE(VLOOKUP($A632,'Quarterly Pipeline vs Target Pi'!$A:$AP,27,false)," $","")," €",""), "")
)</f>
        <v>0</v>
      </c>
      <c r="AP632" s="17" t="str">
        <f t="shared" si="15"/>
        <v/>
      </c>
      <c r="AQ632" s="1">
        <f>value(IFERROR(SUBSTITUTE(SUBSTITUTE(VLOOKUP($A632,'Quarterly Pipeline vs Target Pi'!$A:$AP,31,false)," $","")," €",""), "")
)</f>
        <v>0</v>
      </c>
      <c r="AR632" s="1">
        <f>value(IFERROR(SUBSTITUTE(SUBSTITUTE(VLOOKUP($A632,'Quarterly Pipeline vs Target Pi'!$A:$AP,32,false)," $","")," €",""), "")
)</f>
        <v>0</v>
      </c>
      <c r="AS632" s="17" t="str">
        <f t="shared" si="16"/>
        <v/>
      </c>
      <c r="AT632" s="1">
        <f>value(IFERROR(SUBSTITUTE(SUBSTITUTE(VLOOKUP($A632,'Quarterly Pipeline vs Target Pi'!$A:$AP,36,false)," $","")," €",""), "")
)</f>
        <v>0</v>
      </c>
      <c r="AU632" s="1">
        <f>value(IFERROR(SUBSTITUTE(SUBSTITUTE(VLOOKUP($A632,'Quarterly Pipeline vs Target Pi'!$A:$AP,37,false)," $","")," €",""), "")
)</f>
        <v>0</v>
      </c>
      <c r="AV632" s="17" t="str">
        <f t="shared" si="17"/>
        <v/>
      </c>
      <c r="AW632" s="1">
        <f>value(IFERROR(SUBSTITUTE(SUBSTITUTE(VLOOKUP($A632,'Quarterly Pipeline vs Target Pi'!$A:$AP,41,false)," $","")," €",""), "")
)</f>
        <v>0</v>
      </c>
      <c r="AX632" s="1">
        <f>value(IFERROR(SUBSTITUTE(SUBSTITUTE(VLOOKUP($A632,'Quarterly Pipeline vs Target Pi'!$A:$AP,42,false)," $","")," €",""), "")
)</f>
        <v>0</v>
      </c>
      <c r="AY632" s="17" t="str">
        <f t="shared" si="18"/>
        <v/>
      </c>
      <c r="AZ632" s="1">
        <f t="shared" ref="AZ632:BA632" si="1278">sum(AN632,AQ632,AT632,AW632)</f>
        <v>0</v>
      </c>
      <c r="BA632" s="1">
        <f t="shared" si="1278"/>
        <v>0</v>
      </c>
      <c r="BB632" s="17" t="str">
        <f t="shared" si="20"/>
        <v/>
      </c>
    </row>
    <row r="633">
      <c r="G633" s="1" t="str">
        <f>iferror(VLOOKUP(A633,'Business Plan Setup and Accepta'!A:G,6,false),"")</f>
        <v/>
      </c>
      <c r="H633" s="1" t="str">
        <f>iferror(VLOOKUP(A633,'Business Plan Setup and Accepta'!A:G,7,false),"")</f>
        <v/>
      </c>
      <c r="I633" s="17"/>
      <c r="J633" s="1" t="str">
        <f>IFERROR(VALUE(SUBSTITUTE(VLOOKUP(A633,'Sales IN Revenues vs Sales targ'!A:G,6,false)," $","")), "")
</f>
        <v/>
      </c>
      <c r="K633" s="1" t="str">
        <f>IFERROR(VALUE(SUBSTITUTE(VLOOKUP(A633,'Sales IN Revenues vs Sales targ'!A:G,7,false)," $","")), "")
</f>
        <v/>
      </c>
      <c r="L633" s="17"/>
      <c r="M633" s="1">
        <f>value(SUBSTITUTE(IFERROR(VLOOKUP(A633,'Certifications achievements vs '!A:G,6,false),""),"#","")
)</f>
        <v>0</v>
      </c>
      <c r="N633" s="1">
        <f>value(SUBSTITUTE(IFERROR(VLOOKUP(A633,'Certifications achievements vs '!A:G,7,false),""),"#","")
)</f>
        <v>0</v>
      </c>
      <c r="O633" s="17"/>
      <c r="P633" s="1">
        <f>value(SUBSTITUTE(IFERROR(VLOOKUP(A633,'Communications - Solution Speci'!A:G,6,false),""),"#","")
)</f>
        <v>0</v>
      </c>
      <c r="Q633" s="1">
        <f>value(SUBSTITUTE(IFERROR(VLOOKUP(A633,'Communications - Solution Speci'!A:G,7,false),""),"#","")
)</f>
        <v>0</v>
      </c>
      <c r="R633" s="17" t="str">
        <f t="shared" si="6"/>
        <v/>
      </c>
      <c r="S633" s="1">
        <f>value(SUBSTITUTE(IFERROR(VLOOKUP(A633,'Networking - Solution Specializ'!A:G,6,false),""),"#","")
)</f>
        <v>0</v>
      </c>
      <c r="T633" s="1">
        <f>value(SUBSTITUTE(IFERROR(VLOOKUP(A633,'Networking - Solution Specializ'!A:G,7,false),""),"#","")
)</f>
        <v>0</v>
      </c>
      <c r="U633" s="17" t="str">
        <f t="shared" si="7"/>
        <v/>
      </c>
      <c r="V633" s="1" t="str">
        <f>iferror(vlookup(A633,'Marketing Plan (extract summary'!A:G,6,false),"")</f>
        <v/>
      </c>
      <c r="W633" s="1" t="str">
        <f>iferror(vlookup(A633,'Marketing Plan (extract summary'!A:G,7,false),"")</f>
        <v/>
      </c>
      <c r="X633" s="17"/>
      <c r="Y633" s="1">
        <f>value(IFERROR(SUBSTITUTE(SUBSTITUTE(VLOOKUP(A633,'Quarterly Pipeline vs Target Pi'!A:G,6,false)," $","")," €",""), "")
)</f>
        <v>0</v>
      </c>
      <c r="Z633" s="1">
        <f>value(IFERROR(SUBSTITUTE(SUBSTITUTE(VLOOKUP(A633,'Quarterly Pipeline vs Target Pi'!A:G,7,false)," $","")," €",""), "")
)</f>
        <v>0</v>
      </c>
      <c r="AA633" s="17" t="str">
        <f t="shared" si="9"/>
        <v/>
      </c>
      <c r="AB633" s="1">
        <f>value(IFERROR(SUBSTITUTE(SUBSTITUTE(VLOOKUP($A633,'Quarterly Pipeline vs Target Pi'!$A:$V,11,false)," $","")," €",""), "")
)</f>
        <v>0</v>
      </c>
      <c r="AC633" s="1">
        <f>value(IFERROR(SUBSTITUTE(SUBSTITUTE(VLOOKUP($A633,'Quarterly Pipeline vs Target Pi'!$A:$V,12,false)," $","")," €",""), "")
)</f>
        <v>0</v>
      </c>
      <c r="AD633" s="17" t="str">
        <f t="shared" si="10"/>
        <v/>
      </c>
      <c r="AE633" s="1">
        <f>value(IFERROR(SUBSTITUTE(SUBSTITUTE(VLOOKUP($A633,'Quarterly Pipeline vs Target Pi'!$A:$V,16,false)," $","")," €",""), "")
)</f>
        <v>0</v>
      </c>
      <c r="AF633" s="1">
        <f>value(IFERROR(SUBSTITUTE(SUBSTITUTE(VLOOKUP($A633,'Quarterly Pipeline vs Target Pi'!$A:$V,17,false)," $","")," €",""), "")
)</f>
        <v>0</v>
      </c>
      <c r="AG633" s="17" t="str">
        <f t="shared" si="11"/>
        <v/>
      </c>
      <c r="AH633" s="1">
        <f>value(IFERROR(SUBSTITUTE(SUBSTITUTE(VLOOKUP($A633,'Quarterly Pipeline vs Target Pi'!$A:$V,21,false)," $","")," €",""), "")
)</f>
        <v>0</v>
      </c>
      <c r="AI633" s="1">
        <f>value(IFERROR(SUBSTITUTE(SUBSTITUTE(VLOOKUP($A633,'Quarterly Pipeline vs Target Pi'!$A:$V,22,false)," $","")," €",""), "")
)</f>
        <v>0</v>
      </c>
      <c r="AJ633" s="17" t="str">
        <f t="shared" si="12"/>
        <v/>
      </c>
      <c r="AK633" s="1">
        <f t="shared" ref="AK633:AL633" si="1279">sum(Y633,AB633,AE633,AH633)</f>
        <v>0</v>
      </c>
      <c r="AL633" s="1">
        <f t="shared" si="1279"/>
        <v>0</v>
      </c>
      <c r="AM633" s="17" t="str">
        <f t="shared" si="14"/>
        <v/>
      </c>
      <c r="AN633" s="1">
        <f>value(IFERROR(SUBSTITUTE(SUBSTITUTE(VLOOKUP($A633,'Quarterly Pipeline vs Target Pi'!$A:$AP,26,false)," $","")," €",""), "")
)</f>
        <v>0</v>
      </c>
      <c r="AO633" s="1">
        <f>value(IFERROR(SUBSTITUTE(SUBSTITUTE(VLOOKUP($A633,'Quarterly Pipeline vs Target Pi'!$A:$AP,27,false)," $","")," €",""), "")
)</f>
        <v>0</v>
      </c>
      <c r="AP633" s="17" t="str">
        <f t="shared" si="15"/>
        <v/>
      </c>
      <c r="AQ633" s="1">
        <f>value(IFERROR(SUBSTITUTE(SUBSTITUTE(VLOOKUP($A633,'Quarterly Pipeline vs Target Pi'!$A:$AP,31,false)," $","")," €",""), "")
)</f>
        <v>0</v>
      </c>
      <c r="AR633" s="1">
        <f>value(IFERROR(SUBSTITUTE(SUBSTITUTE(VLOOKUP($A633,'Quarterly Pipeline vs Target Pi'!$A:$AP,32,false)," $","")," €",""), "")
)</f>
        <v>0</v>
      </c>
      <c r="AS633" s="17" t="str">
        <f t="shared" si="16"/>
        <v/>
      </c>
      <c r="AT633" s="1">
        <f>value(IFERROR(SUBSTITUTE(SUBSTITUTE(VLOOKUP($A633,'Quarterly Pipeline vs Target Pi'!$A:$AP,36,false)," $","")," €",""), "")
)</f>
        <v>0</v>
      </c>
      <c r="AU633" s="1">
        <f>value(IFERROR(SUBSTITUTE(SUBSTITUTE(VLOOKUP($A633,'Quarterly Pipeline vs Target Pi'!$A:$AP,37,false)," $","")," €",""), "")
)</f>
        <v>0</v>
      </c>
      <c r="AV633" s="17" t="str">
        <f t="shared" si="17"/>
        <v/>
      </c>
      <c r="AW633" s="1">
        <f>value(IFERROR(SUBSTITUTE(SUBSTITUTE(VLOOKUP($A633,'Quarterly Pipeline vs Target Pi'!$A:$AP,41,false)," $","")," €",""), "")
)</f>
        <v>0</v>
      </c>
      <c r="AX633" s="1">
        <f>value(IFERROR(SUBSTITUTE(SUBSTITUTE(VLOOKUP($A633,'Quarterly Pipeline vs Target Pi'!$A:$AP,42,false)," $","")," €",""), "")
)</f>
        <v>0</v>
      </c>
      <c r="AY633" s="17" t="str">
        <f t="shared" si="18"/>
        <v/>
      </c>
      <c r="AZ633" s="1">
        <f t="shared" ref="AZ633:BA633" si="1280">sum(AN633,AQ633,AT633,AW633)</f>
        <v>0</v>
      </c>
      <c r="BA633" s="1">
        <f t="shared" si="1280"/>
        <v>0</v>
      </c>
      <c r="BB633" s="17" t="str">
        <f t="shared" si="20"/>
        <v/>
      </c>
    </row>
    <row r="634">
      <c r="G634" s="1" t="str">
        <f>iferror(VLOOKUP(A634,'Business Plan Setup and Accepta'!A:G,6,false),"")</f>
        <v/>
      </c>
      <c r="H634" s="1" t="str">
        <f>iferror(VLOOKUP(A634,'Business Plan Setup and Accepta'!A:G,7,false),"")</f>
        <v/>
      </c>
      <c r="I634" s="17"/>
      <c r="J634" s="1" t="str">
        <f>IFERROR(VALUE(SUBSTITUTE(VLOOKUP(A634,'Sales IN Revenues vs Sales targ'!A:G,6,false)," $","")), "")
</f>
        <v/>
      </c>
      <c r="K634" s="1" t="str">
        <f>IFERROR(VALUE(SUBSTITUTE(VLOOKUP(A634,'Sales IN Revenues vs Sales targ'!A:G,7,false)," $","")), "")
</f>
        <v/>
      </c>
      <c r="L634" s="17"/>
      <c r="M634" s="1">
        <f>value(SUBSTITUTE(IFERROR(VLOOKUP(A634,'Certifications achievements vs '!A:G,6,false),""),"#","")
)</f>
        <v>0</v>
      </c>
      <c r="N634" s="1">
        <f>value(SUBSTITUTE(IFERROR(VLOOKUP(A634,'Certifications achievements vs '!A:G,7,false),""),"#","")
)</f>
        <v>0</v>
      </c>
      <c r="O634" s="17"/>
      <c r="P634" s="1">
        <f>value(SUBSTITUTE(IFERROR(VLOOKUP(A634,'Communications - Solution Speci'!A:G,6,false),""),"#","")
)</f>
        <v>0</v>
      </c>
      <c r="Q634" s="1">
        <f>value(SUBSTITUTE(IFERROR(VLOOKUP(A634,'Communications - Solution Speci'!A:G,7,false),""),"#","")
)</f>
        <v>0</v>
      </c>
      <c r="R634" s="17" t="str">
        <f t="shared" si="6"/>
        <v/>
      </c>
      <c r="S634" s="1">
        <f>value(SUBSTITUTE(IFERROR(VLOOKUP(A634,'Networking - Solution Specializ'!A:G,6,false),""),"#","")
)</f>
        <v>0</v>
      </c>
      <c r="T634" s="1">
        <f>value(SUBSTITUTE(IFERROR(VLOOKUP(A634,'Networking - Solution Specializ'!A:G,7,false),""),"#","")
)</f>
        <v>0</v>
      </c>
      <c r="U634" s="17" t="str">
        <f t="shared" si="7"/>
        <v/>
      </c>
      <c r="V634" s="1" t="str">
        <f>iferror(vlookup(A634,'Marketing Plan (extract summary'!A:G,6,false),"")</f>
        <v/>
      </c>
      <c r="W634" s="1" t="str">
        <f>iferror(vlookup(A634,'Marketing Plan (extract summary'!A:G,7,false),"")</f>
        <v/>
      </c>
      <c r="X634" s="17"/>
      <c r="Y634" s="1">
        <f>value(IFERROR(SUBSTITUTE(SUBSTITUTE(VLOOKUP(A634,'Quarterly Pipeline vs Target Pi'!A:G,6,false)," $","")," €",""), "")
)</f>
        <v>0</v>
      </c>
      <c r="Z634" s="1">
        <f>value(IFERROR(SUBSTITUTE(SUBSTITUTE(VLOOKUP(A634,'Quarterly Pipeline vs Target Pi'!A:G,7,false)," $","")," €",""), "")
)</f>
        <v>0</v>
      </c>
      <c r="AA634" s="17" t="str">
        <f t="shared" si="9"/>
        <v/>
      </c>
      <c r="AB634" s="1">
        <f>value(IFERROR(SUBSTITUTE(SUBSTITUTE(VLOOKUP($A634,'Quarterly Pipeline vs Target Pi'!$A:$V,11,false)," $","")," €",""), "")
)</f>
        <v>0</v>
      </c>
      <c r="AC634" s="1">
        <f>value(IFERROR(SUBSTITUTE(SUBSTITUTE(VLOOKUP($A634,'Quarterly Pipeline vs Target Pi'!$A:$V,12,false)," $","")," €",""), "")
)</f>
        <v>0</v>
      </c>
      <c r="AD634" s="17" t="str">
        <f t="shared" si="10"/>
        <v/>
      </c>
      <c r="AE634" s="1">
        <f>value(IFERROR(SUBSTITUTE(SUBSTITUTE(VLOOKUP($A634,'Quarterly Pipeline vs Target Pi'!$A:$V,16,false)," $","")," €",""), "")
)</f>
        <v>0</v>
      </c>
      <c r="AF634" s="1">
        <f>value(IFERROR(SUBSTITUTE(SUBSTITUTE(VLOOKUP($A634,'Quarterly Pipeline vs Target Pi'!$A:$V,17,false)," $","")," €",""), "")
)</f>
        <v>0</v>
      </c>
      <c r="AG634" s="17" t="str">
        <f t="shared" si="11"/>
        <v/>
      </c>
      <c r="AH634" s="1">
        <f>value(IFERROR(SUBSTITUTE(SUBSTITUTE(VLOOKUP($A634,'Quarterly Pipeline vs Target Pi'!$A:$V,21,false)," $","")," €",""), "")
)</f>
        <v>0</v>
      </c>
      <c r="AI634" s="1">
        <f>value(IFERROR(SUBSTITUTE(SUBSTITUTE(VLOOKUP($A634,'Quarterly Pipeline vs Target Pi'!$A:$V,22,false)," $","")," €",""), "")
)</f>
        <v>0</v>
      </c>
      <c r="AJ634" s="17" t="str">
        <f t="shared" si="12"/>
        <v/>
      </c>
      <c r="AK634" s="1">
        <f t="shared" ref="AK634:AL634" si="1281">sum(Y634,AB634,AE634,AH634)</f>
        <v>0</v>
      </c>
      <c r="AL634" s="1">
        <f t="shared" si="1281"/>
        <v>0</v>
      </c>
      <c r="AM634" s="17" t="str">
        <f t="shared" si="14"/>
        <v/>
      </c>
      <c r="AN634" s="1">
        <f>value(IFERROR(SUBSTITUTE(SUBSTITUTE(VLOOKUP($A634,'Quarterly Pipeline vs Target Pi'!$A:$AP,26,false)," $","")," €",""), "")
)</f>
        <v>0</v>
      </c>
      <c r="AO634" s="1">
        <f>value(IFERROR(SUBSTITUTE(SUBSTITUTE(VLOOKUP($A634,'Quarterly Pipeline vs Target Pi'!$A:$AP,27,false)," $","")," €",""), "")
)</f>
        <v>0</v>
      </c>
      <c r="AP634" s="17" t="str">
        <f t="shared" si="15"/>
        <v/>
      </c>
      <c r="AQ634" s="1">
        <f>value(IFERROR(SUBSTITUTE(SUBSTITUTE(VLOOKUP($A634,'Quarterly Pipeline vs Target Pi'!$A:$AP,31,false)," $","")," €",""), "")
)</f>
        <v>0</v>
      </c>
      <c r="AR634" s="1">
        <f>value(IFERROR(SUBSTITUTE(SUBSTITUTE(VLOOKUP($A634,'Quarterly Pipeline vs Target Pi'!$A:$AP,32,false)," $","")," €",""), "")
)</f>
        <v>0</v>
      </c>
      <c r="AS634" s="17" t="str">
        <f t="shared" si="16"/>
        <v/>
      </c>
      <c r="AT634" s="1">
        <f>value(IFERROR(SUBSTITUTE(SUBSTITUTE(VLOOKUP($A634,'Quarterly Pipeline vs Target Pi'!$A:$AP,36,false)," $","")," €",""), "")
)</f>
        <v>0</v>
      </c>
      <c r="AU634" s="1">
        <f>value(IFERROR(SUBSTITUTE(SUBSTITUTE(VLOOKUP($A634,'Quarterly Pipeline vs Target Pi'!$A:$AP,37,false)," $","")," €",""), "")
)</f>
        <v>0</v>
      </c>
      <c r="AV634" s="17" t="str">
        <f t="shared" si="17"/>
        <v/>
      </c>
      <c r="AW634" s="1">
        <f>value(IFERROR(SUBSTITUTE(SUBSTITUTE(VLOOKUP($A634,'Quarterly Pipeline vs Target Pi'!$A:$AP,41,false)," $","")," €",""), "")
)</f>
        <v>0</v>
      </c>
      <c r="AX634" s="1">
        <f>value(IFERROR(SUBSTITUTE(SUBSTITUTE(VLOOKUP($A634,'Quarterly Pipeline vs Target Pi'!$A:$AP,42,false)," $","")," €",""), "")
)</f>
        <v>0</v>
      </c>
      <c r="AY634" s="17" t="str">
        <f t="shared" si="18"/>
        <v/>
      </c>
      <c r="AZ634" s="1">
        <f t="shared" ref="AZ634:BA634" si="1282">sum(AN634,AQ634,AT634,AW634)</f>
        <v>0</v>
      </c>
      <c r="BA634" s="1">
        <f t="shared" si="1282"/>
        <v>0</v>
      </c>
      <c r="BB634" s="17" t="str">
        <f t="shared" si="20"/>
        <v/>
      </c>
    </row>
    <row r="635">
      <c r="G635" s="1" t="str">
        <f>iferror(VLOOKUP(A635,'Business Plan Setup and Accepta'!A:G,6,false),"")</f>
        <v/>
      </c>
      <c r="H635" s="1" t="str">
        <f>iferror(VLOOKUP(A635,'Business Plan Setup and Accepta'!A:G,7,false),"")</f>
        <v/>
      </c>
      <c r="I635" s="17"/>
      <c r="J635" s="1" t="str">
        <f>IFERROR(VALUE(SUBSTITUTE(VLOOKUP(A635,'Sales IN Revenues vs Sales targ'!A:G,6,false)," $","")), "")
</f>
        <v/>
      </c>
      <c r="K635" s="1" t="str">
        <f>IFERROR(VALUE(SUBSTITUTE(VLOOKUP(A635,'Sales IN Revenues vs Sales targ'!A:G,7,false)," $","")), "")
</f>
        <v/>
      </c>
      <c r="L635" s="17"/>
      <c r="M635" s="1">
        <f>value(SUBSTITUTE(IFERROR(VLOOKUP(A635,'Certifications achievements vs '!A:G,6,false),""),"#","")
)</f>
        <v>0</v>
      </c>
      <c r="N635" s="1">
        <f>value(SUBSTITUTE(IFERROR(VLOOKUP(A635,'Certifications achievements vs '!A:G,7,false),""),"#","")
)</f>
        <v>0</v>
      </c>
      <c r="O635" s="17"/>
      <c r="P635" s="1">
        <f>value(SUBSTITUTE(IFERROR(VLOOKUP(A635,'Communications - Solution Speci'!A:G,6,false),""),"#","")
)</f>
        <v>0</v>
      </c>
      <c r="Q635" s="1">
        <f>value(SUBSTITUTE(IFERROR(VLOOKUP(A635,'Communications - Solution Speci'!A:G,7,false),""),"#","")
)</f>
        <v>0</v>
      </c>
      <c r="R635" s="17" t="str">
        <f t="shared" si="6"/>
        <v/>
      </c>
      <c r="S635" s="1">
        <f>value(SUBSTITUTE(IFERROR(VLOOKUP(A635,'Networking - Solution Specializ'!A:G,6,false),""),"#","")
)</f>
        <v>0</v>
      </c>
      <c r="T635" s="1">
        <f>value(SUBSTITUTE(IFERROR(VLOOKUP(A635,'Networking - Solution Specializ'!A:G,7,false),""),"#","")
)</f>
        <v>0</v>
      </c>
      <c r="U635" s="17" t="str">
        <f t="shared" si="7"/>
        <v/>
      </c>
      <c r="V635" s="1" t="str">
        <f>iferror(vlookup(A635,'Marketing Plan (extract summary'!A:G,6,false),"")</f>
        <v/>
      </c>
      <c r="W635" s="1" t="str">
        <f>iferror(vlookup(A635,'Marketing Plan (extract summary'!A:G,7,false),"")</f>
        <v/>
      </c>
      <c r="X635" s="17"/>
      <c r="Y635" s="1">
        <f>value(IFERROR(SUBSTITUTE(SUBSTITUTE(VLOOKUP(A635,'Quarterly Pipeline vs Target Pi'!A:G,6,false)," $","")," €",""), "")
)</f>
        <v>0</v>
      </c>
      <c r="Z635" s="1">
        <f>value(IFERROR(SUBSTITUTE(SUBSTITUTE(VLOOKUP(A635,'Quarterly Pipeline vs Target Pi'!A:G,7,false)," $","")," €",""), "")
)</f>
        <v>0</v>
      </c>
      <c r="AA635" s="17" t="str">
        <f t="shared" si="9"/>
        <v/>
      </c>
      <c r="AB635" s="1">
        <f>value(IFERROR(SUBSTITUTE(SUBSTITUTE(VLOOKUP($A635,'Quarterly Pipeline vs Target Pi'!$A:$V,11,false)," $","")," €",""), "")
)</f>
        <v>0</v>
      </c>
      <c r="AC635" s="1">
        <f>value(IFERROR(SUBSTITUTE(SUBSTITUTE(VLOOKUP($A635,'Quarterly Pipeline vs Target Pi'!$A:$V,12,false)," $","")," €",""), "")
)</f>
        <v>0</v>
      </c>
      <c r="AD635" s="17" t="str">
        <f t="shared" si="10"/>
        <v/>
      </c>
      <c r="AE635" s="1">
        <f>value(IFERROR(SUBSTITUTE(SUBSTITUTE(VLOOKUP($A635,'Quarterly Pipeline vs Target Pi'!$A:$V,16,false)," $","")," €",""), "")
)</f>
        <v>0</v>
      </c>
      <c r="AF635" s="1">
        <f>value(IFERROR(SUBSTITUTE(SUBSTITUTE(VLOOKUP($A635,'Quarterly Pipeline vs Target Pi'!$A:$V,17,false)," $","")," €",""), "")
)</f>
        <v>0</v>
      </c>
      <c r="AG635" s="17" t="str">
        <f t="shared" si="11"/>
        <v/>
      </c>
      <c r="AH635" s="1">
        <f>value(IFERROR(SUBSTITUTE(SUBSTITUTE(VLOOKUP($A635,'Quarterly Pipeline vs Target Pi'!$A:$V,21,false)," $","")," €",""), "")
)</f>
        <v>0</v>
      </c>
      <c r="AI635" s="1">
        <f>value(IFERROR(SUBSTITUTE(SUBSTITUTE(VLOOKUP($A635,'Quarterly Pipeline vs Target Pi'!$A:$V,22,false)," $","")," €",""), "")
)</f>
        <v>0</v>
      </c>
      <c r="AJ635" s="17" t="str">
        <f t="shared" si="12"/>
        <v/>
      </c>
      <c r="AK635" s="1">
        <f t="shared" ref="AK635:AL635" si="1283">sum(Y635,AB635,AE635,AH635)</f>
        <v>0</v>
      </c>
      <c r="AL635" s="1">
        <f t="shared" si="1283"/>
        <v>0</v>
      </c>
      <c r="AM635" s="17" t="str">
        <f t="shared" si="14"/>
        <v/>
      </c>
      <c r="AN635" s="1">
        <f>value(IFERROR(SUBSTITUTE(SUBSTITUTE(VLOOKUP($A635,'Quarterly Pipeline vs Target Pi'!$A:$AP,26,false)," $","")," €",""), "")
)</f>
        <v>0</v>
      </c>
      <c r="AO635" s="1">
        <f>value(IFERROR(SUBSTITUTE(SUBSTITUTE(VLOOKUP($A635,'Quarterly Pipeline vs Target Pi'!$A:$AP,27,false)," $","")," €",""), "")
)</f>
        <v>0</v>
      </c>
      <c r="AP635" s="17" t="str">
        <f t="shared" si="15"/>
        <v/>
      </c>
      <c r="AQ635" s="1">
        <f>value(IFERROR(SUBSTITUTE(SUBSTITUTE(VLOOKUP($A635,'Quarterly Pipeline vs Target Pi'!$A:$AP,31,false)," $","")," €",""), "")
)</f>
        <v>0</v>
      </c>
      <c r="AR635" s="1">
        <f>value(IFERROR(SUBSTITUTE(SUBSTITUTE(VLOOKUP($A635,'Quarterly Pipeline vs Target Pi'!$A:$AP,32,false)," $","")," €",""), "")
)</f>
        <v>0</v>
      </c>
      <c r="AS635" s="17" t="str">
        <f t="shared" si="16"/>
        <v/>
      </c>
      <c r="AT635" s="1">
        <f>value(IFERROR(SUBSTITUTE(SUBSTITUTE(VLOOKUP($A635,'Quarterly Pipeline vs Target Pi'!$A:$AP,36,false)," $","")," €",""), "")
)</f>
        <v>0</v>
      </c>
      <c r="AU635" s="1">
        <f>value(IFERROR(SUBSTITUTE(SUBSTITUTE(VLOOKUP($A635,'Quarterly Pipeline vs Target Pi'!$A:$AP,37,false)," $","")," €",""), "")
)</f>
        <v>0</v>
      </c>
      <c r="AV635" s="17" t="str">
        <f t="shared" si="17"/>
        <v/>
      </c>
      <c r="AW635" s="1">
        <f>value(IFERROR(SUBSTITUTE(SUBSTITUTE(VLOOKUP($A635,'Quarterly Pipeline vs Target Pi'!$A:$AP,41,false)," $","")," €",""), "")
)</f>
        <v>0</v>
      </c>
      <c r="AX635" s="1">
        <f>value(IFERROR(SUBSTITUTE(SUBSTITUTE(VLOOKUP($A635,'Quarterly Pipeline vs Target Pi'!$A:$AP,42,false)," $","")," €",""), "")
)</f>
        <v>0</v>
      </c>
      <c r="AY635" s="17" t="str">
        <f t="shared" si="18"/>
        <v/>
      </c>
      <c r="AZ635" s="1">
        <f t="shared" ref="AZ635:BA635" si="1284">sum(AN635,AQ635,AT635,AW635)</f>
        <v>0</v>
      </c>
      <c r="BA635" s="1">
        <f t="shared" si="1284"/>
        <v>0</v>
      </c>
      <c r="BB635" s="17" t="str">
        <f t="shared" si="20"/>
        <v/>
      </c>
    </row>
    <row r="636">
      <c r="G636" s="1" t="str">
        <f>iferror(VLOOKUP(A636,'Business Plan Setup and Accepta'!A:G,6,false),"")</f>
        <v/>
      </c>
      <c r="H636" s="1" t="str">
        <f>iferror(VLOOKUP(A636,'Business Plan Setup and Accepta'!A:G,7,false),"")</f>
        <v/>
      </c>
      <c r="I636" s="17"/>
      <c r="J636" s="1" t="str">
        <f>IFERROR(VALUE(SUBSTITUTE(VLOOKUP(A636,'Sales IN Revenues vs Sales targ'!A:G,6,false)," $","")), "")
</f>
        <v/>
      </c>
      <c r="K636" s="1" t="str">
        <f>IFERROR(VALUE(SUBSTITUTE(VLOOKUP(A636,'Sales IN Revenues vs Sales targ'!A:G,7,false)," $","")), "")
</f>
        <v/>
      </c>
      <c r="L636" s="17"/>
      <c r="M636" s="1">
        <f>value(SUBSTITUTE(IFERROR(VLOOKUP(A636,'Certifications achievements vs '!A:G,6,false),""),"#","")
)</f>
        <v>0</v>
      </c>
      <c r="N636" s="1">
        <f>value(SUBSTITUTE(IFERROR(VLOOKUP(A636,'Certifications achievements vs '!A:G,7,false),""),"#","")
)</f>
        <v>0</v>
      </c>
      <c r="O636" s="17"/>
      <c r="P636" s="1">
        <f>value(SUBSTITUTE(IFERROR(VLOOKUP(A636,'Communications - Solution Speci'!A:G,6,false),""),"#","")
)</f>
        <v>0</v>
      </c>
      <c r="Q636" s="1">
        <f>value(SUBSTITUTE(IFERROR(VLOOKUP(A636,'Communications - Solution Speci'!A:G,7,false),""),"#","")
)</f>
        <v>0</v>
      </c>
      <c r="R636" s="17" t="str">
        <f t="shared" si="6"/>
        <v/>
      </c>
      <c r="S636" s="1">
        <f>value(SUBSTITUTE(IFERROR(VLOOKUP(A636,'Networking - Solution Specializ'!A:G,6,false),""),"#","")
)</f>
        <v>0</v>
      </c>
      <c r="T636" s="1">
        <f>value(SUBSTITUTE(IFERROR(VLOOKUP(A636,'Networking - Solution Specializ'!A:G,7,false),""),"#","")
)</f>
        <v>0</v>
      </c>
      <c r="U636" s="17" t="str">
        <f t="shared" si="7"/>
        <v/>
      </c>
      <c r="V636" s="1" t="str">
        <f>iferror(vlookup(A636,'Marketing Plan (extract summary'!A:G,6,false),"")</f>
        <v/>
      </c>
      <c r="W636" s="1" t="str">
        <f>iferror(vlookup(A636,'Marketing Plan (extract summary'!A:G,7,false),"")</f>
        <v/>
      </c>
      <c r="X636" s="17"/>
      <c r="Y636" s="1">
        <f>value(IFERROR(SUBSTITUTE(SUBSTITUTE(VLOOKUP(A636,'Quarterly Pipeline vs Target Pi'!A:G,6,false)," $","")," €",""), "")
)</f>
        <v>0</v>
      </c>
      <c r="Z636" s="1">
        <f>value(IFERROR(SUBSTITUTE(SUBSTITUTE(VLOOKUP(A636,'Quarterly Pipeline vs Target Pi'!A:G,7,false)," $","")," €",""), "")
)</f>
        <v>0</v>
      </c>
      <c r="AA636" s="17" t="str">
        <f t="shared" si="9"/>
        <v/>
      </c>
      <c r="AB636" s="1">
        <f>value(IFERROR(SUBSTITUTE(SUBSTITUTE(VLOOKUP($A636,'Quarterly Pipeline vs Target Pi'!$A:$V,11,false)," $","")," €",""), "")
)</f>
        <v>0</v>
      </c>
      <c r="AC636" s="1">
        <f>value(IFERROR(SUBSTITUTE(SUBSTITUTE(VLOOKUP($A636,'Quarterly Pipeline vs Target Pi'!$A:$V,12,false)," $","")," €",""), "")
)</f>
        <v>0</v>
      </c>
      <c r="AD636" s="17" t="str">
        <f t="shared" si="10"/>
        <v/>
      </c>
      <c r="AE636" s="1">
        <f>value(IFERROR(SUBSTITUTE(SUBSTITUTE(VLOOKUP($A636,'Quarterly Pipeline vs Target Pi'!$A:$V,16,false)," $","")," €",""), "")
)</f>
        <v>0</v>
      </c>
      <c r="AF636" s="1">
        <f>value(IFERROR(SUBSTITUTE(SUBSTITUTE(VLOOKUP($A636,'Quarterly Pipeline vs Target Pi'!$A:$V,17,false)," $","")," €",""), "")
)</f>
        <v>0</v>
      </c>
      <c r="AG636" s="17" t="str">
        <f t="shared" si="11"/>
        <v/>
      </c>
      <c r="AH636" s="1">
        <f>value(IFERROR(SUBSTITUTE(SUBSTITUTE(VLOOKUP($A636,'Quarterly Pipeline vs Target Pi'!$A:$V,21,false)," $","")," €",""), "")
)</f>
        <v>0</v>
      </c>
      <c r="AI636" s="1">
        <f>value(IFERROR(SUBSTITUTE(SUBSTITUTE(VLOOKUP($A636,'Quarterly Pipeline vs Target Pi'!$A:$V,22,false)," $","")," €",""), "")
)</f>
        <v>0</v>
      </c>
      <c r="AJ636" s="17" t="str">
        <f t="shared" si="12"/>
        <v/>
      </c>
      <c r="AK636" s="1">
        <f t="shared" ref="AK636:AL636" si="1285">sum(Y636,AB636,AE636,AH636)</f>
        <v>0</v>
      </c>
      <c r="AL636" s="1">
        <f t="shared" si="1285"/>
        <v>0</v>
      </c>
      <c r="AM636" s="17" t="str">
        <f t="shared" si="14"/>
        <v/>
      </c>
      <c r="AN636" s="1">
        <f>value(IFERROR(SUBSTITUTE(SUBSTITUTE(VLOOKUP($A636,'Quarterly Pipeline vs Target Pi'!$A:$AP,26,false)," $","")," €",""), "")
)</f>
        <v>0</v>
      </c>
      <c r="AO636" s="1">
        <f>value(IFERROR(SUBSTITUTE(SUBSTITUTE(VLOOKUP($A636,'Quarterly Pipeline vs Target Pi'!$A:$AP,27,false)," $","")," €",""), "")
)</f>
        <v>0</v>
      </c>
      <c r="AP636" s="17" t="str">
        <f t="shared" si="15"/>
        <v/>
      </c>
      <c r="AQ636" s="1">
        <f>value(IFERROR(SUBSTITUTE(SUBSTITUTE(VLOOKUP($A636,'Quarterly Pipeline vs Target Pi'!$A:$AP,31,false)," $","")," €",""), "")
)</f>
        <v>0</v>
      </c>
      <c r="AR636" s="1">
        <f>value(IFERROR(SUBSTITUTE(SUBSTITUTE(VLOOKUP($A636,'Quarterly Pipeline vs Target Pi'!$A:$AP,32,false)," $","")," €",""), "")
)</f>
        <v>0</v>
      </c>
      <c r="AS636" s="17" t="str">
        <f t="shared" si="16"/>
        <v/>
      </c>
      <c r="AT636" s="1">
        <f>value(IFERROR(SUBSTITUTE(SUBSTITUTE(VLOOKUP($A636,'Quarterly Pipeline vs Target Pi'!$A:$AP,36,false)," $","")," €",""), "")
)</f>
        <v>0</v>
      </c>
      <c r="AU636" s="1">
        <f>value(IFERROR(SUBSTITUTE(SUBSTITUTE(VLOOKUP($A636,'Quarterly Pipeline vs Target Pi'!$A:$AP,37,false)," $","")," €",""), "")
)</f>
        <v>0</v>
      </c>
      <c r="AV636" s="17" t="str">
        <f t="shared" si="17"/>
        <v/>
      </c>
      <c r="AW636" s="1">
        <f>value(IFERROR(SUBSTITUTE(SUBSTITUTE(VLOOKUP($A636,'Quarterly Pipeline vs Target Pi'!$A:$AP,41,false)," $","")," €",""), "")
)</f>
        <v>0</v>
      </c>
      <c r="AX636" s="1">
        <f>value(IFERROR(SUBSTITUTE(SUBSTITUTE(VLOOKUP($A636,'Quarterly Pipeline vs Target Pi'!$A:$AP,42,false)," $","")," €",""), "")
)</f>
        <v>0</v>
      </c>
      <c r="AY636" s="17" t="str">
        <f t="shared" si="18"/>
        <v/>
      </c>
      <c r="AZ636" s="1">
        <f t="shared" ref="AZ636:BA636" si="1286">sum(AN636,AQ636,AT636,AW636)</f>
        <v>0</v>
      </c>
      <c r="BA636" s="1">
        <f t="shared" si="1286"/>
        <v>0</v>
      </c>
      <c r="BB636" s="17" t="str">
        <f t="shared" si="20"/>
        <v/>
      </c>
    </row>
    <row r="637">
      <c r="G637" s="1" t="str">
        <f>iferror(VLOOKUP(A637,'Business Plan Setup and Accepta'!A:G,6,false),"")</f>
        <v/>
      </c>
      <c r="H637" s="1" t="str">
        <f>iferror(VLOOKUP(A637,'Business Plan Setup and Accepta'!A:G,7,false),"")</f>
        <v/>
      </c>
      <c r="I637" s="17"/>
      <c r="J637" s="1" t="str">
        <f>IFERROR(VALUE(SUBSTITUTE(VLOOKUP(A637,'Sales IN Revenues vs Sales targ'!A:G,6,false)," $","")), "")
</f>
        <v/>
      </c>
      <c r="K637" s="1" t="str">
        <f>IFERROR(VALUE(SUBSTITUTE(VLOOKUP(A637,'Sales IN Revenues vs Sales targ'!A:G,7,false)," $","")), "")
</f>
        <v/>
      </c>
      <c r="L637" s="17"/>
      <c r="M637" s="1">
        <f>value(SUBSTITUTE(IFERROR(VLOOKUP(A637,'Certifications achievements vs '!A:G,6,false),""),"#","")
)</f>
        <v>0</v>
      </c>
      <c r="N637" s="1">
        <f>value(SUBSTITUTE(IFERROR(VLOOKUP(A637,'Certifications achievements vs '!A:G,7,false),""),"#","")
)</f>
        <v>0</v>
      </c>
      <c r="O637" s="17"/>
      <c r="P637" s="1">
        <f>value(SUBSTITUTE(IFERROR(VLOOKUP(A637,'Communications - Solution Speci'!A:G,6,false),""),"#","")
)</f>
        <v>0</v>
      </c>
      <c r="Q637" s="1">
        <f>value(SUBSTITUTE(IFERROR(VLOOKUP(A637,'Communications - Solution Speci'!A:G,7,false),""),"#","")
)</f>
        <v>0</v>
      </c>
      <c r="R637" s="17" t="str">
        <f t="shared" si="6"/>
        <v/>
      </c>
      <c r="S637" s="1">
        <f>value(SUBSTITUTE(IFERROR(VLOOKUP(A637,'Networking - Solution Specializ'!A:G,6,false),""),"#","")
)</f>
        <v>0</v>
      </c>
      <c r="T637" s="1">
        <f>value(SUBSTITUTE(IFERROR(VLOOKUP(A637,'Networking - Solution Specializ'!A:G,7,false),""),"#","")
)</f>
        <v>0</v>
      </c>
      <c r="U637" s="17" t="str">
        <f t="shared" si="7"/>
        <v/>
      </c>
      <c r="V637" s="1" t="str">
        <f>iferror(vlookup(A637,'Marketing Plan (extract summary'!A:G,6,false),"")</f>
        <v/>
      </c>
      <c r="W637" s="1" t="str">
        <f>iferror(vlookup(A637,'Marketing Plan (extract summary'!A:G,7,false),"")</f>
        <v/>
      </c>
      <c r="X637" s="17"/>
      <c r="Y637" s="1">
        <f>value(IFERROR(SUBSTITUTE(SUBSTITUTE(VLOOKUP(A637,'Quarterly Pipeline vs Target Pi'!A:G,6,false)," $","")," €",""), "")
)</f>
        <v>0</v>
      </c>
      <c r="Z637" s="1">
        <f>value(IFERROR(SUBSTITUTE(SUBSTITUTE(VLOOKUP(A637,'Quarterly Pipeline vs Target Pi'!A:G,7,false)," $","")," €",""), "")
)</f>
        <v>0</v>
      </c>
      <c r="AA637" s="17" t="str">
        <f t="shared" si="9"/>
        <v/>
      </c>
      <c r="AB637" s="1">
        <f>value(IFERROR(SUBSTITUTE(SUBSTITUTE(VLOOKUP($A637,'Quarterly Pipeline vs Target Pi'!$A:$V,11,false)," $","")," €",""), "")
)</f>
        <v>0</v>
      </c>
      <c r="AC637" s="1">
        <f>value(IFERROR(SUBSTITUTE(SUBSTITUTE(VLOOKUP($A637,'Quarterly Pipeline vs Target Pi'!$A:$V,12,false)," $","")," €",""), "")
)</f>
        <v>0</v>
      </c>
      <c r="AD637" s="17" t="str">
        <f t="shared" si="10"/>
        <v/>
      </c>
      <c r="AE637" s="1">
        <f>value(IFERROR(SUBSTITUTE(SUBSTITUTE(VLOOKUP($A637,'Quarterly Pipeline vs Target Pi'!$A:$V,16,false)," $","")," €",""), "")
)</f>
        <v>0</v>
      </c>
      <c r="AF637" s="1">
        <f>value(IFERROR(SUBSTITUTE(SUBSTITUTE(VLOOKUP($A637,'Quarterly Pipeline vs Target Pi'!$A:$V,17,false)," $","")," €",""), "")
)</f>
        <v>0</v>
      </c>
      <c r="AG637" s="17" t="str">
        <f t="shared" si="11"/>
        <v/>
      </c>
      <c r="AH637" s="1">
        <f>value(IFERROR(SUBSTITUTE(SUBSTITUTE(VLOOKUP($A637,'Quarterly Pipeline vs Target Pi'!$A:$V,21,false)," $","")," €",""), "")
)</f>
        <v>0</v>
      </c>
      <c r="AI637" s="1">
        <f>value(IFERROR(SUBSTITUTE(SUBSTITUTE(VLOOKUP($A637,'Quarterly Pipeline vs Target Pi'!$A:$V,22,false)," $","")," €",""), "")
)</f>
        <v>0</v>
      </c>
      <c r="AJ637" s="17" t="str">
        <f t="shared" si="12"/>
        <v/>
      </c>
      <c r="AK637" s="1">
        <f t="shared" ref="AK637:AL637" si="1287">sum(Y637,AB637,AE637,AH637)</f>
        <v>0</v>
      </c>
      <c r="AL637" s="1">
        <f t="shared" si="1287"/>
        <v>0</v>
      </c>
      <c r="AM637" s="17" t="str">
        <f t="shared" si="14"/>
        <v/>
      </c>
      <c r="AN637" s="1">
        <f>value(IFERROR(SUBSTITUTE(SUBSTITUTE(VLOOKUP($A637,'Quarterly Pipeline vs Target Pi'!$A:$AP,26,false)," $","")," €",""), "")
)</f>
        <v>0</v>
      </c>
      <c r="AO637" s="1">
        <f>value(IFERROR(SUBSTITUTE(SUBSTITUTE(VLOOKUP($A637,'Quarterly Pipeline vs Target Pi'!$A:$AP,27,false)," $","")," €",""), "")
)</f>
        <v>0</v>
      </c>
      <c r="AP637" s="17" t="str">
        <f t="shared" si="15"/>
        <v/>
      </c>
      <c r="AQ637" s="1">
        <f>value(IFERROR(SUBSTITUTE(SUBSTITUTE(VLOOKUP($A637,'Quarterly Pipeline vs Target Pi'!$A:$AP,31,false)," $","")," €",""), "")
)</f>
        <v>0</v>
      </c>
      <c r="AR637" s="1">
        <f>value(IFERROR(SUBSTITUTE(SUBSTITUTE(VLOOKUP($A637,'Quarterly Pipeline vs Target Pi'!$A:$AP,32,false)," $","")," €",""), "")
)</f>
        <v>0</v>
      </c>
      <c r="AS637" s="17" t="str">
        <f t="shared" si="16"/>
        <v/>
      </c>
      <c r="AT637" s="1">
        <f>value(IFERROR(SUBSTITUTE(SUBSTITUTE(VLOOKUP($A637,'Quarterly Pipeline vs Target Pi'!$A:$AP,36,false)," $","")," €",""), "")
)</f>
        <v>0</v>
      </c>
      <c r="AU637" s="1">
        <f>value(IFERROR(SUBSTITUTE(SUBSTITUTE(VLOOKUP($A637,'Quarterly Pipeline vs Target Pi'!$A:$AP,37,false)," $","")," €",""), "")
)</f>
        <v>0</v>
      </c>
      <c r="AV637" s="17" t="str">
        <f t="shared" si="17"/>
        <v/>
      </c>
      <c r="AW637" s="1">
        <f>value(IFERROR(SUBSTITUTE(SUBSTITUTE(VLOOKUP($A637,'Quarterly Pipeline vs Target Pi'!$A:$AP,41,false)," $","")," €",""), "")
)</f>
        <v>0</v>
      </c>
      <c r="AX637" s="1">
        <f>value(IFERROR(SUBSTITUTE(SUBSTITUTE(VLOOKUP($A637,'Quarterly Pipeline vs Target Pi'!$A:$AP,42,false)," $","")," €",""), "")
)</f>
        <v>0</v>
      </c>
      <c r="AY637" s="17" t="str">
        <f t="shared" si="18"/>
        <v/>
      </c>
      <c r="AZ637" s="1">
        <f t="shared" ref="AZ637:BA637" si="1288">sum(AN637,AQ637,AT637,AW637)</f>
        <v>0</v>
      </c>
      <c r="BA637" s="1">
        <f t="shared" si="1288"/>
        <v>0</v>
      </c>
      <c r="BB637" s="17" t="str">
        <f t="shared" si="20"/>
        <v/>
      </c>
    </row>
    <row r="638">
      <c r="G638" s="1" t="str">
        <f>iferror(VLOOKUP(A638,'Business Plan Setup and Accepta'!A:G,6,false),"")</f>
        <v/>
      </c>
      <c r="H638" s="1" t="str">
        <f>iferror(VLOOKUP(A638,'Business Plan Setup and Accepta'!A:G,7,false),"")</f>
        <v/>
      </c>
      <c r="I638" s="17"/>
      <c r="J638" s="1" t="str">
        <f>IFERROR(VALUE(SUBSTITUTE(VLOOKUP(A638,'Sales IN Revenues vs Sales targ'!A:G,6,false)," $","")), "")
</f>
        <v/>
      </c>
      <c r="K638" s="1" t="str">
        <f>IFERROR(VALUE(SUBSTITUTE(VLOOKUP(A638,'Sales IN Revenues vs Sales targ'!A:G,7,false)," $","")), "")
</f>
        <v/>
      </c>
      <c r="L638" s="17"/>
      <c r="M638" s="1">
        <f>value(SUBSTITUTE(IFERROR(VLOOKUP(A638,'Certifications achievements vs '!A:G,6,false),""),"#","")
)</f>
        <v>0</v>
      </c>
      <c r="N638" s="1">
        <f>value(SUBSTITUTE(IFERROR(VLOOKUP(A638,'Certifications achievements vs '!A:G,7,false),""),"#","")
)</f>
        <v>0</v>
      </c>
      <c r="O638" s="17"/>
      <c r="P638" s="1">
        <f>value(SUBSTITUTE(IFERROR(VLOOKUP(A638,'Communications - Solution Speci'!A:G,6,false),""),"#","")
)</f>
        <v>0</v>
      </c>
      <c r="Q638" s="1">
        <f>value(SUBSTITUTE(IFERROR(VLOOKUP(A638,'Communications - Solution Speci'!A:G,7,false),""),"#","")
)</f>
        <v>0</v>
      </c>
      <c r="R638" s="17" t="str">
        <f t="shared" si="6"/>
        <v/>
      </c>
      <c r="S638" s="1">
        <f>value(SUBSTITUTE(IFERROR(VLOOKUP(A638,'Networking - Solution Specializ'!A:G,6,false),""),"#","")
)</f>
        <v>0</v>
      </c>
      <c r="T638" s="1">
        <f>value(SUBSTITUTE(IFERROR(VLOOKUP(A638,'Networking - Solution Specializ'!A:G,7,false),""),"#","")
)</f>
        <v>0</v>
      </c>
      <c r="U638" s="17" t="str">
        <f t="shared" si="7"/>
        <v/>
      </c>
      <c r="V638" s="1" t="str">
        <f>iferror(vlookup(A638,'Marketing Plan (extract summary'!A:G,6,false),"")</f>
        <v/>
      </c>
      <c r="W638" s="1" t="str">
        <f>iferror(vlookup(A638,'Marketing Plan (extract summary'!A:G,7,false),"")</f>
        <v/>
      </c>
      <c r="X638" s="17"/>
      <c r="Y638" s="1">
        <f>value(IFERROR(SUBSTITUTE(SUBSTITUTE(VLOOKUP(A638,'Quarterly Pipeline vs Target Pi'!A:G,6,false)," $","")," €",""), "")
)</f>
        <v>0</v>
      </c>
      <c r="Z638" s="1">
        <f>value(IFERROR(SUBSTITUTE(SUBSTITUTE(VLOOKUP(A638,'Quarterly Pipeline vs Target Pi'!A:G,7,false)," $","")," €",""), "")
)</f>
        <v>0</v>
      </c>
      <c r="AA638" s="17" t="str">
        <f t="shared" si="9"/>
        <v/>
      </c>
      <c r="AB638" s="1">
        <f>value(IFERROR(SUBSTITUTE(SUBSTITUTE(VLOOKUP($A638,'Quarterly Pipeline vs Target Pi'!$A:$V,11,false)," $","")," €",""), "")
)</f>
        <v>0</v>
      </c>
      <c r="AC638" s="1">
        <f>value(IFERROR(SUBSTITUTE(SUBSTITUTE(VLOOKUP($A638,'Quarterly Pipeline vs Target Pi'!$A:$V,12,false)," $","")," €",""), "")
)</f>
        <v>0</v>
      </c>
      <c r="AD638" s="17" t="str">
        <f t="shared" si="10"/>
        <v/>
      </c>
      <c r="AE638" s="1">
        <f>value(IFERROR(SUBSTITUTE(SUBSTITUTE(VLOOKUP($A638,'Quarterly Pipeline vs Target Pi'!$A:$V,16,false)," $","")," €",""), "")
)</f>
        <v>0</v>
      </c>
      <c r="AF638" s="1">
        <f>value(IFERROR(SUBSTITUTE(SUBSTITUTE(VLOOKUP($A638,'Quarterly Pipeline vs Target Pi'!$A:$V,17,false)," $","")," €",""), "")
)</f>
        <v>0</v>
      </c>
      <c r="AG638" s="17" t="str">
        <f t="shared" si="11"/>
        <v/>
      </c>
      <c r="AH638" s="1">
        <f>value(IFERROR(SUBSTITUTE(SUBSTITUTE(VLOOKUP($A638,'Quarterly Pipeline vs Target Pi'!$A:$V,21,false)," $","")," €",""), "")
)</f>
        <v>0</v>
      </c>
      <c r="AI638" s="1">
        <f>value(IFERROR(SUBSTITUTE(SUBSTITUTE(VLOOKUP($A638,'Quarterly Pipeline vs Target Pi'!$A:$V,22,false)," $","")," €",""), "")
)</f>
        <v>0</v>
      </c>
      <c r="AJ638" s="17" t="str">
        <f t="shared" si="12"/>
        <v/>
      </c>
      <c r="AK638" s="1">
        <f t="shared" ref="AK638:AL638" si="1289">sum(Y638,AB638,AE638,AH638)</f>
        <v>0</v>
      </c>
      <c r="AL638" s="1">
        <f t="shared" si="1289"/>
        <v>0</v>
      </c>
      <c r="AM638" s="17" t="str">
        <f t="shared" si="14"/>
        <v/>
      </c>
      <c r="AN638" s="1">
        <f>value(IFERROR(SUBSTITUTE(SUBSTITUTE(VLOOKUP($A638,'Quarterly Pipeline vs Target Pi'!$A:$AP,26,false)," $","")," €",""), "")
)</f>
        <v>0</v>
      </c>
      <c r="AO638" s="1">
        <f>value(IFERROR(SUBSTITUTE(SUBSTITUTE(VLOOKUP($A638,'Quarterly Pipeline vs Target Pi'!$A:$AP,27,false)," $","")," €",""), "")
)</f>
        <v>0</v>
      </c>
      <c r="AP638" s="17" t="str">
        <f t="shared" si="15"/>
        <v/>
      </c>
      <c r="AQ638" s="1">
        <f>value(IFERROR(SUBSTITUTE(SUBSTITUTE(VLOOKUP($A638,'Quarterly Pipeline vs Target Pi'!$A:$AP,31,false)," $","")," €",""), "")
)</f>
        <v>0</v>
      </c>
      <c r="AR638" s="1">
        <f>value(IFERROR(SUBSTITUTE(SUBSTITUTE(VLOOKUP($A638,'Quarterly Pipeline vs Target Pi'!$A:$AP,32,false)," $","")," €",""), "")
)</f>
        <v>0</v>
      </c>
      <c r="AS638" s="17" t="str">
        <f t="shared" si="16"/>
        <v/>
      </c>
      <c r="AT638" s="1">
        <f>value(IFERROR(SUBSTITUTE(SUBSTITUTE(VLOOKUP($A638,'Quarterly Pipeline vs Target Pi'!$A:$AP,36,false)," $","")," €",""), "")
)</f>
        <v>0</v>
      </c>
      <c r="AU638" s="1">
        <f>value(IFERROR(SUBSTITUTE(SUBSTITUTE(VLOOKUP($A638,'Quarterly Pipeline vs Target Pi'!$A:$AP,37,false)," $","")," €",""), "")
)</f>
        <v>0</v>
      </c>
      <c r="AV638" s="17" t="str">
        <f t="shared" si="17"/>
        <v/>
      </c>
      <c r="AW638" s="1">
        <f>value(IFERROR(SUBSTITUTE(SUBSTITUTE(VLOOKUP($A638,'Quarterly Pipeline vs Target Pi'!$A:$AP,41,false)," $","")," €",""), "")
)</f>
        <v>0</v>
      </c>
      <c r="AX638" s="1">
        <f>value(IFERROR(SUBSTITUTE(SUBSTITUTE(VLOOKUP($A638,'Quarterly Pipeline vs Target Pi'!$A:$AP,42,false)," $","")," €",""), "")
)</f>
        <v>0</v>
      </c>
      <c r="AY638" s="17" t="str">
        <f t="shared" si="18"/>
        <v/>
      </c>
      <c r="AZ638" s="1">
        <f t="shared" ref="AZ638:BA638" si="1290">sum(AN638,AQ638,AT638,AW638)</f>
        <v>0</v>
      </c>
      <c r="BA638" s="1">
        <f t="shared" si="1290"/>
        <v>0</v>
      </c>
      <c r="BB638" s="17" t="str">
        <f t="shared" si="20"/>
        <v/>
      </c>
    </row>
    <row r="639">
      <c r="G639" s="1" t="str">
        <f>iferror(VLOOKUP(A639,'Business Plan Setup and Accepta'!A:G,6,false),"")</f>
        <v/>
      </c>
      <c r="H639" s="1" t="str">
        <f>iferror(VLOOKUP(A639,'Business Plan Setup and Accepta'!A:G,7,false),"")</f>
        <v/>
      </c>
      <c r="I639" s="17"/>
      <c r="J639" s="1" t="str">
        <f>IFERROR(VALUE(SUBSTITUTE(VLOOKUP(A639,'Sales IN Revenues vs Sales targ'!A:G,6,false)," $","")), "")
</f>
        <v/>
      </c>
      <c r="K639" s="1" t="str">
        <f>IFERROR(VALUE(SUBSTITUTE(VLOOKUP(A639,'Sales IN Revenues vs Sales targ'!A:G,7,false)," $","")), "")
</f>
        <v/>
      </c>
      <c r="L639" s="17"/>
      <c r="M639" s="1">
        <f>value(SUBSTITUTE(IFERROR(VLOOKUP(A639,'Certifications achievements vs '!A:G,6,false),""),"#","")
)</f>
        <v>0</v>
      </c>
      <c r="N639" s="1">
        <f>value(SUBSTITUTE(IFERROR(VLOOKUP(A639,'Certifications achievements vs '!A:G,7,false),""),"#","")
)</f>
        <v>0</v>
      </c>
      <c r="O639" s="17"/>
      <c r="P639" s="1">
        <f>value(SUBSTITUTE(IFERROR(VLOOKUP(A639,'Communications - Solution Speci'!A:G,6,false),""),"#","")
)</f>
        <v>0</v>
      </c>
      <c r="Q639" s="1">
        <f>value(SUBSTITUTE(IFERROR(VLOOKUP(A639,'Communications - Solution Speci'!A:G,7,false),""),"#","")
)</f>
        <v>0</v>
      </c>
      <c r="R639" s="17" t="str">
        <f t="shared" si="6"/>
        <v/>
      </c>
      <c r="S639" s="1">
        <f>value(SUBSTITUTE(IFERROR(VLOOKUP(A639,'Networking - Solution Specializ'!A:G,6,false),""),"#","")
)</f>
        <v>0</v>
      </c>
      <c r="T639" s="1">
        <f>value(SUBSTITUTE(IFERROR(VLOOKUP(A639,'Networking - Solution Specializ'!A:G,7,false),""),"#","")
)</f>
        <v>0</v>
      </c>
      <c r="U639" s="17" t="str">
        <f t="shared" si="7"/>
        <v/>
      </c>
      <c r="V639" s="1" t="str">
        <f>iferror(vlookup(A639,'Marketing Plan (extract summary'!A:G,6,false),"")</f>
        <v/>
      </c>
      <c r="W639" s="1" t="str">
        <f>iferror(vlookup(A639,'Marketing Plan (extract summary'!A:G,7,false),"")</f>
        <v/>
      </c>
      <c r="X639" s="17"/>
      <c r="Y639" s="1">
        <f>value(IFERROR(SUBSTITUTE(SUBSTITUTE(VLOOKUP(A639,'Quarterly Pipeline vs Target Pi'!A:G,6,false)," $","")," €",""), "")
)</f>
        <v>0</v>
      </c>
      <c r="Z639" s="1">
        <f>value(IFERROR(SUBSTITUTE(SUBSTITUTE(VLOOKUP(A639,'Quarterly Pipeline vs Target Pi'!A:G,7,false)," $","")," €",""), "")
)</f>
        <v>0</v>
      </c>
      <c r="AA639" s="17" t="str">
        <f t="shared" si="9"/>
        <v/>
      </c>
      <c r="AB639" s="1">
        <f>value(IFERROR(SUBSTITUTE(SUBSTITUTE(VLOOKUP($A639,'Quarterly Pipeline vs Target Pi'!$A:$V,11,false)," $","")," €",""), "")
)</f>
        <v>0</v>
      </c>
      <c r="AC639" s="1">
        <f>value(IFERROR(SUBSTITUTE(SUBSTITUTE(VLOOKUP($A639,'Quarterly Pipeline vs Target Pi'!$A:$V,12,false)," $","")," €",""), "")
)</f>
        <v>0</v>
      </c>
      <c r="AD639" s="17" t="str">
        <f t="shared" si="10"/>
        <v/>
      </c>
      <c r="AE639" s="1">
        <f>value(IFERROR(SUBSTITUTE(SUBSTITUTE(VLOOKUP($A639,'Quarterly Pipeline vs Target Pi'!$A:$V,16,false)," $","")," €",""), "")
)</f>
        <v>0</v>
      </c>
      <c r="AF639" s="1">
        <f>value(IFERROR(SUBSTITUTE(SUBSTITUTE(VLOOKUP($A639,'Quarterly Pipeline vs Target Pi'!$A:$V,17,false)," $","")," €",""), "")
)</f>
        <v>0</v>
      </c>
      <c r="AG639" s="17" t="str">
        <f t="shared" si="11"/>
        <v/>
      </c>
      <c r="AH639" s="1">
        <f>value(IFERROR(SUBSTITUTE(SUBSTITUTE(VLOOKUP($A639,'Quarterly Pipeline vs Target Pi'!$A:$V,21,false)," $","")," €",""), "")
)</f>
        <v>0</v>
      </c>
      <c r="AI639" s="1">
        <f>value(IFERROR(SUBSTITUTE(SUBSTITUTE(VLOOKUP($A639,'Quarterly Pipeline vs Target Pi'!$A:$V,22,false)," $","")," €",""), "")
)</f>
        <v>0</v>
      </c>
      <c r="AJ639" s="17" t="str">
        <f t="shared" si="12"/>
        <v/>
      </c>
      <c r="AK639" s="1">
        <f t="shared" ref="AK639:AL639" si="1291">sum(Y639,AB639,AE639,AH639)</f>
        <v>0</v>
      </c>
      <c r="AL639" s="1">
        <f t="shared" si="1291"/>
        <v>0</v>
      </c>
      <c r="AM639" s="17" t="str">
        <f t="shared" si="14"/>
        <v/>
      </c>
      <c r="AN639" s="1">
        <f>value(IFERROR(SUBSTITUTE(SUBSTITUTE(VLOOKUP($A639,'Quarterly Pipeline vs Target Pi'!$A:$AP,26,false)," $","")," €",""), "")
)</f>
        <v>0</v>
      </c>
      <c r="AO639" s="1">
        <f>value(IFERROR(SUBSTITUTE(SUBSTITUTE(VLOOKUP($A639,'Quarterly Pipeline vs Target Pi'!$A:$AP,27,false)," $","")," €",""), "")
)</f>
        <v>0</v>
      </c>
      <c r="AP639" s="17" t="str">
        <f t="shared" si="15"/>
        <v/>
      </c>
      <c r="AQ639" s="1">
        <f>value(IFERROR(SUBSTITUTE(SUBSTITUTE(VLOOKUP($A639,'Quarterly Pipeline vs Target Pi'!$A:$AP,31,false)," $","")," €",""), "")
)</f>
        <v>0</v>
      </c>
      <c r="AR639" s="1">
        <f>value(IFERROR(SUBSTITUTE(SUBSTITUTE(VLOOKUP($A639,'Quarterly Pipeline vs Target Pi'!$A:$AP,32,false)," $","")," €",""), "")
)</f>
        <v>0</v>
      </c>
      <c r="AS639" s="17" t="str">
        <f t="shared" si="16"/>
        <v/>
      </c>
      <c r="AT639" s="1">
        <f>value(IFERROR(SUBSTITUTE(SUBSTITUTE(VLOOKUP($A639,'Quarterly Pipeline vs Target Pi'!$A:$AP,36,false)," $","")," €",""), "")
)</f>
        <v>0</v>
      </c>
      <c r="AU639" s="1">
        <f>value(IFERROR(SUBSTITUTE(SUBSTITUTE(VLOOKUP($A639,'Quarterly Pipeline vs Target Pi'!$A:$AP,37,false)," $","")," €",""), "")
)</f>
        <v>0</v>
      </c>
      <c r="AV639" s="17" t="str">
        <f t="shared" si="17"/>
        <v/>
      </c>
      <c r="AW639" s="1">
        <f>value(IFERROR(SUBSTITUTE(SUBSTITUTE(VLOOKUP($A639,'Quarterly Pipeline vs Target Pi'!$A:$AP,41,false)," $","")," €",""), "")
)</f>
        <v>0</v>
      </c>
      <c r="AX639" s="1">
        <f>value(IFERROR(SUBSTITUTE(SUBSTITUTE(VLOOKUP($A639,'Quarterly Pipeline vs Target Pi'!$A:$AP,42,false)," $","")," €",""), "")
)</f>
        <v>0</v>
      </c>
      <c r="AY639" s="17" t="str">
        <f t="shared" si="18"/>
        <v/>
      </c>
      <c r="AZ639" s="1">
        <f t="shared" ref="AZ639:BA639" si="1292">sum(AN639,AQ639,AT639,AW639)</f>
        <v>0</v>
      </c>
      <c r="BA639" s="1">
        <f t="shared" si="1292"/>
        <v>0</v>
      </c>
      <c r="BB639" s="17" t="str">
        <f t="shared" si="20"/>
        <v/>
      </c>
    </row>
    <row r="640">
      <c r="G640" s="1" t="str">
        <f>iferror(VLOOKUP(A640,'Business Plan Setup and Accepta'!A:G,6,false),"")</f>
        <v/>
      </c>
      <c r="H640" s="1" t="str">
        <f>iferror(VLOOKUP(A640,'Business Plan Setup and Accepta'!A:G,7,false),"")</f>
        <v/>
      </c>
      <c r="I640" s="17"/>
      <c r="J640" s="1" t="str">
        <f>IFERROR(VALUE(SUBSTITUTE(VLOOKUP(A640,'Sales IN Revenues vs Sales targ'!A:G,6,false)," $","")), "")
</f>
        <v/>
      </c>
      <c r="K640" s="1" t="str">
        <f>IFERROR(VALUE(SUBSTITUTE(VLOOKUP(A640,'Sales IN Revenues vs Sales targ'!A:G,7,false)," $","")), "")
</f>
        <v/>
      </c>
      <c r="L640" s="17"/>
      <c r="M640" s="1">
        <f>value(SUBSTITUTE(IFERROR(VLOOKUP(A640,'Certifications achievements vs '!A:G,6,false),""),"#","")
)</f>
        <v>0</v>
      </c>
      <c r="N640" s="1">
        <f>value(SUBSTITUTE(IFERROR(VLOOKUP(A640,'Certifications achievements vs '!A:G,7,false),""),"#","")
)</f>
        <v>0</v>
      </c>
      <c r="O640" s="17"/>
      <c r="P640" s="1">
        <f>value(SUBSTITUTE(IFERROR(VLOOKUP(A640,'Communications - Solution Speci'!A:G,6,false),""),"#","")
)</f>
        <v>0</v>
      </c>
      <c r="Q640" s="1">
        <f>value(SUBSTITUTE(IFERROR(VLOOKUP(A640,'Communications - Solution Speci'!A:G,7,false),""),"#","")
)</f>
        <v>0</v>
      </c>
      <c r="R640" s="17" t="str">
        <f t="shared" si="6"/>
        <v/>
      </c>
      <c r="S640" s="1">
        <f>value(SUBSTITUTE(IFERROR(VLOOKUP(A640,'Networking - Solution Specializ'!A:G,6,false),""),"#","")
)</f>
        <v>0</v>
      </c>
      <c r="T640" s="1">
        <f>value(SUBSTITUTE(IFERROR(VLOOKUP(A640,'Networking - Solution Specializ'!A:G,7,false),""),"#","")
)</f>
        <v>0</v>
      </c>
      <c r="U640" s="17" t="str">
        <f t="shared" si="7"/>
        <v/>
      </c>
      <c r="V640" s="1" t="str">
        <f>iferror(vlookup(A640,'Marketing Plan (extract summary'!A:G,6,false),"")</f>
        <v/>
      </c>
      <c r="W640" s="1" t="str">
        <f>iferror(vlookup(A640,'Marketing Plan (extract summary'!A:G,7,false),"")</f>
        <v/>
      </c>
      <c r="X640" s="17"/>
      <c r="Y640" s="1">
        <f>value(IFERROR(SUBSTITUTE(SUBSTITUTE(VLOOKUP(A640,'Quarterly Pipeline vs Target Pi'!A:G,6,false)," $","")," €",""), "")
)</f>
        <v>0</v>
      </c>
      <c r="Z640" s="1">
        <f>value(IFERROR(SUBSTITUTE(SUBSTITUTE(VLOOKUP(A640,'Quarterly Pipeline vs Target Pi'!A:G,7,false)," $","")," €",""), "")
)</f>
        <v>0</v>
      </c>
      <c r="AA640" s="17" t="str">
        <f t="shared" si="9"/>
        <v/>
      </c>
      <c r="AB640" s="1">
        <f>value(IFERROR(SUBSTITUTE(SUBSTITUTE(VLOOKUP($A640,'Quarterly Pipeline vs Target Pi'!$A:$V,11,false)," $","")," €",""), "")
)</f>
        <v>0</v>
      </c>
      <c r="AC640" s="1">
        <f>value(IFERROR(SUBSTITUTE(SUBSTITUTE(VLOOKUP($A640,'Quarterly Pipeline vs Target Pi'!$A:$V,12,false)," $","")," €",""), "")
)</f>
        <v>0</v>
      </c>
      <c r="AD640" s="17" t="str">
        <f t="shared" si="10"/>
        <v/>
      </c>
      <c r="AE640" s="1">
        <f>value(IFERROR(SUBSTITUTE(SUBSTITUTE(VLOOKUP($A640,'Quarterly Pipeline vs Target Pi'!$A:$V,16,false)," $","")," €",""), "")
)</f>
        <v>0</v>
      </c>
      <c r="AF640" s="1">
        <f>value(IFERROR(SUBSTITUTE(SUBSTITUTE(VLOOKUP($A640,'Quarterly Pipeline vs Target Pi'!$A:$V,17,false)," $","")," €",""), "")
)</f>
        <v>0</v>
      </c>
      <c r="AG640" s="17" t="str">
        <f t="shared" si="11"/>
        <v/>
      </c>
      <c r="AH640" s="1">
        <f>value(IFERROR(SUBSTITUTE(SUBSTITUTE(VLOOKUP($A640,'Quarterly Pipeline vs Target Pi'!$A:$V,21,false)," $","")," €",""), "")
)</f>
        <v>0</v>
      </c>
      <c r="AI640" s="1">
        <f>value(IFERROR(SUBSTITUTE(SUBSTITUTE(VLOOKUP($A640,'Quarterly Pipeline vs Target Pi'!$A:$V,22,false)," $","")," €",""), "")
)</f>
        <v>0</v>
      </c>
      <c r="AJ640" s="17" t="str">
        <f t="shared" si="12"/>
        <v/>
      </c>
      <c r="AK640" s="1">
        <f t="shared" ref="AK640:AL640" si="1293">sum(Y640,AB640,AE640,AH640)</f>
        <v>0</v>
      </c>
      <c r="AL640" s="1">
        <f t="shared" si="1293"/>
        <v>0</v>
      </c>
      <c r="AM640" s="17" t="str">
        <f t="shared" si="14"/>
        <v/>
      </c>
      <c r="AN640" s="1">
        <f>value(IFERROR(SUBSTITUTE(SUBSTITUTE(VLOOKUP($A640,'Quarterly Pipeline vs Target Pi'!$A:$AP,26,false)," $","")," €",""), "")
)</f>
        <v>0</v>
      </c>
      <c r="AO640" s="1">
        <f>value(IFERROR(SUBSTITUTE(SUBSTITUTE(VLOOKUP($A640,'Quarterly Pipeline vs Target Pi'!$A:$AP,27,false)," $","")," €",""), "")
)</f>
        <v>0</v>
      </c>
      <c r="AP640" s="17" t="str">
        <f t="shared" si="15"/>
        <v/>
      </c>
      <c r="AQ640" s="1">
        <f>value(IFERROR(SUBSTITUTE(SUBSTITUTE(VLOOKUP($A640,'Quarterly Pipeline vs Target Pi'!$A:$AP,31,false)," $","")," €",""), "")
)</f>
        <v>0</v>
      </c>
      <c r="AR640" s="1">
        <f>value(IFERROR(SUBSTITUTE(SUBSTITUTE(VLOOKUP($A640,'Quarterly Pipeline vs Target Pi'!$A:$AP,32,false)," $","")," €",""), "")
)</f>
        <v>0</v>
      </c>
      <c r="AS640" s="17" t="str">
        <f t="shared" si="16"/>
        <v/>
      </c>
      <c r="AT640" s="1">
        <f>value(IFERROR(SUBSTITUTE(SUBSTITUTE(VLOOKUP($A640,'Quarterly Pipeline vs Target Pi'!$A:$AP,36,false)," $","")," €",""), "")
)</f>
        <v>0</v>
      </c>
      <c r="AU640" s="1">
        <f>value(IFERROR(SUBSTITUTE(SUBSTITUTE(VLOOKUP($A640,'Quarterly Pipeline vs Target Pi'!$A:$AP,37,false)," $","")," €",""), "")
)</f>
        <v>0</v>
      </c>
      <c r="AV640" s="17" t="str">
        <f t="shared" si="17"/>
        <v/>
      </c>
      <c r="AW640" s="1">
        <f>value(IFERROR(SUBSTITUTE(SUBSTITUTE(VLOOKUP($A640,'Quarterly Pipeline vs Target Pi'!$A:$AP,41,false)," $","")," €",""), "")
)</f>
        <v>0</v>
      </c>
      <c r="AX640" s="1">
        <f>value(IFERROR(SUBSTITUTE(SUBSTITUTE(VLOOKUP($A640,'Quarterly Pipeline vs Target Pi'!$A:$AP,42,false)," $","")," €",""), "")
)</f>
        <v>0</v>
      </c>
      <c r="AY640" s="17" t="str">
        <f t="shared" si="18"/>
        <v/>
      </c>
      <c r="AZ640" s="1">
        <f t="shared" ref="AZ640:BA640" si="1294">sum(AN640,AQ640,AT640,AW640)</f>
        <v>0</v>
      </c>
      <c r="BA640" s="1">
        <f t="shared" si="1294"/>
        <v>0</v>
      </c>
      <c r="BB640" s="17" t="str">
        <f t="shared" si="20"/>
        <v/>
      </c>
    </row>
    <row r="641">
      <c r="G641" s="1" t="str">
        <f>iferror(VLOOKUP(A641,'Business Plan Setup and Accepta'!A:G,6,false),"")</f>
        <v/>
      </c>
      <c r="H641" s="1" t="str">
        <f>iferror(VLOOKUP(A641,'Business Plan Setup and Accepta'!A:G,7,false),"")</f>
        <v/>
      </c>
      <c r="I641" s="17"/>
      <c r="J641" s="1" t="str">
        <f>IFERROR(VALUE(SUBSTITUTE(VLOOKUP(A641,'Sales IN Revenues vs Sales targ'!A:G,6,false)," $","")), "")
</f>
        <v/>
      </c>
      <c r="K641" s="1" t="str">
        <f>IFERROR(VALUE(SUBSTITUTE(VLOOKUP(A641,'Sales IN Revenues vs Sales targ'!A:G,7,false)," $","")), "")
</f>
        <v/>
      </c>
      <c r="L641" s="17"/>
      <c r="M641" s="1">
        <f>value(SUBSTITUTE(IFERROR(VLOOKUP(A641,'Certifications achievements vs '!A:G,6,false),""),"#","")
)</f>
        <v>0</v>
      </c>
      <c r="N641" s="1">
        <f>value(SUBSTITUTE(IFERROR(VLOOKUP(A641,'Certifications achievements vs '!A:G,7,false),""),"#","")
)</f>
        <v>0</v>
      </c>
      <c r="O641" s="17"/>
      <c r="P641" s="1">
        <f>value(SUBSTITUTE(IFERROR(VLOOKUP(A641,'Communications - Solution Speci'!A:G,6,false),""),"#","")
)</f>
        <v>0</v>
      </c>
      <c r="Q641" s="1">
        <f>value(SUBSTITUTE(IFERROR(VLOOKUP(A641,'Communications - Solution Speci'!A:G,7,false),""),"#","")
)</f>
        <v>0</v>
      </c>
      <c r="R641" s="17" t="str">
        <f t="shared" si="6"/>
        <v/>
      </c>
      <c r="S641" s="1">
        <f>value(SUBSTITUTE(IFERROR(VLOOKUP(A641,'Networking - Solution Specializ'!A:G,6,false),""),"#","")
)</f>
        <v>0</v>
      </c>
      <c r="T641" s="1">
        <f>value(SUBSTITUTE(IFERROR(VLOOKUP(A641,'Networking - Solution Specializ'!A:G,7,false),""),"#","")
)</f>
        <v>0</v>
      </c>
      <c r="U641" s="17" t="str">
        <f t="shared" si="7"/>
        <v/>
      </c>
      <c r="V641" s="1" t="str">
        <f>iferror(vlookup(A641,'Marketing Plan (extract summary'!A:G,6,false),"")</f>
        <v/>
      </c>
      <c r="W641" s="1" t="str">
        <f>iferror(vlookup(A641,'Marketing Plan (extract summary'!A:G,7,false),"")</f>
        <v/>
      </c>
      <c r="X641" s="17"/>
      <c r="Y641" s="1">
        <f>value(IFERROR(SUBSTITUTE(SUBSTITUTE(VLOOKUP(A641,'Quarterly Pipeline vs Target Pi'!A:G,6,false)," $","")," €",""), "")
)</f>
        <v>0</v>
      </c>
      <c r="Z641" s="1">
        <f>value(IFERROR(SUBSTITUTE(SUBSTITUTE(VLOOKUP(A641,'Quarterly Pipeline vs Target Pi'!A:G,7,false)," $","")," €",""), "")
)</f>
        <v>0</v>
      </c>
      <c r="AA641" s="17" t="str">
        <f t="shared" si="9"/>
        <v/>
      </c>
      <c r="AB641" s="1">
        <f>value(IFERROR(SUBSTITUTE(SUBSTITUTE(VLOOKUP($A641,'Quarterly Pipeline vs Target Pi'!$A:$V,11,false)," $","")," €",""), "")
)</f>
        <v>0</v>
      </c>
      <c r="AC641" s="1">
        <f>value(IFERROR(SUBSTITUTE(SUBSTITUTE(VLOOKUP($A641,'Quarterly Pipeline vs Target Pi'!$A:$V,12,false)," $","")," €",""), "")
)</f>
        <v>0</v>
      </c>
      <c r="AD641" s="17" t="str">
        <f t="shared" si="10"/>
        <v/>
      </c>
      <c r="AE641" s="1">
        <f>value(IFERROR(SUBSTITUTE(SUBSTITUTE(VLOOKUP($A641,'Quarterly Pipeline vs Target Pi'!$A:$V,16,false)," $","")," €",""), "")
)</f>
        <v>0</v>
      </c>
      <c r="AF641" s="1">
        <f>value(IFERROR(SUBSTITUTE(SUBSTITUTE(VLOOKUP($A641,'Quarterly Pipeline vs Target Pi'!$A:$V,17,false)," $","")," €",""), "")
)</f>
        <v>0</v>
      </c>
      <c r="AG641" s="17" t="str">
        <f t="shared" si="11"/>
        <v/>
      </c>
      <c r="AH641" s="1">
        <f>value(IFERROR(SUBSTITUTE(SUBSTITUTE(VLOOKUP($A641,'Quarterly Pipeline vs Target Pi'!$A:$V,21,false)," $","")," €",""), "")
)</f>
        <v>0</v>
      </c>
      <c r="AI641" s="1">
        <f>value(IFERROR(SUBSTITUTE(SUBSTITUTE(VLOOKUP($A641,'Quarterly Pipeline vs Target Pi'!$A:$V,22,false)," $","")," €",""), "")
)</f>
        <v>0</v>
      </c>
      <c r="AJ641" s="17" t="str">
        <f t="shared" si="12"/>
        <v/>
      </c>
      <c r="AK641" s="1">
        <f t="shared" ref="AK641:AL641" si="1295">sum(Y641,AB641,AE641,AH641)</f>
        <v>0</v>
      </c>
      <c r="AL641" s="1">
        <f t="shared" si="1295"/>
        <v>0</v>
      </c>
      <c r="AM641" s="17" t="str">
        <f t="shared" si="14"/>
        <v/>
      </c>
      <c r="AN641" s="1">
        <f>value(IFERROR(SUBSTITUTE(SUBSTITUTE(VLOOKUP($A641,'Quarterly Pipeline vs Target Pi'!$A:$AP,26,false)," $","")," €",""), "")
)</f>
        <v>0</v>
      </c>
      <c r="AO641" s="1">
        <f>value(IFERROR(SUBSTITUTE(SUBSTITUTE(VLOOKUP($A641,'Quarterly Pipeline vs Target Pi'!$A:$AP,27,false)," $","")," €",""), "")
)</f>
        <v>0</v>
      </c>
      <c r="AP641" s="17" t="str">
        <f t="shared" si="15"/>
        <v/>
      </c>
      <c r="AQ641" s="1">
        <f>value(IFERROR(SUBSTITUTE(SUBSTITUTE(VLOOKUP($A641,'Quarterly Pipeline vs Target Pi'!$A:$AP,31,false)," $","")," €",""), "")
)</f>
        <v>0</v>
      </c>
      <c r="AR641" s="1">
        <f>value(IFERROR(SUBSTITUTE(SUBSTITUTE(VLOOKUP($A641,'Quarterly Pipeline vs Target Pi'!$A:$AP,32,false)," $","")," €",""), "")
)</f>
        <v>0</v>
      </c>
      <c r="AS641" s="17" t="str">
        <f t="shared" si="16"/>
        <v/>
      </c>
      <c r="AT641" s="1">
        <f>value(IFERROR(SUBSTITUTE(SUBSTITUTE(VLOOKUP($A641,'Quarterly Pipeline vs Target Pi'!$A:$AP,36,false)," $","")," €",""), "")
)</f>
        <v>0</v>
      </c>
      <c r="AU641" s="1">
        <f>value(IFERROR(SUBSTITUTE(SUBSTITUTE(VLOOKUP($A641,'Quarterly Pipeline vs Target Pi'!$A:$AP,37,false)," $","")," €",""), "")
)</f>
        <v>0</v>
      </c>
      <c r="AV641" s="17" t="str">
        <f t="shared" si="17"/>
        <v/>
      </c>
      <c r="AW641" s="1">
        <f>value(IFERROR(SUBSTITUTE(SUBSTITUTE(VLOOKUP($A641,'Quarterly Pipeline vs Target Pi'!$A:$AP,41,false)," $","")," €",""), "")
)</f>
        <v>0</v>
      </c>
      <c r="AX641" s="1">
        <f>value(IFERROR(SUBSTITUTE(SUBSTITUTE(VLOOKUP($A641,'Quarterly Pipeline vs Target Pi'!$A:$AP,42,false)," $","")," €",""), "")
)</f>
        <v>0</v>
      </c>
      <c r="AY641" s="17" t="str">
        <f t="shared" si="18"/>
        <v/>
      </c>
      <c r="AZ641" s="1">
        <f t="shared" ref="AZ641:BA641" si="1296">sum(AN641,AQ641,AT641,AW641)</f>
        <v>0</v>
      </c>
      <c r="BA641" s="1">
        <f t="shared" si="1296"/>
        <v>0</v>
      </c>
      <c r="BB641" s="17" t="str">
        <f t="shared" si="20"/>
        <v/>
      </c>
    </row>
    <row r="642">
      <c r="G642" s="1" t="str">
        <f>iferror(VLOOKUP(A642,'Business Plan Setup and Accepta'!A:G,6,false),"")</f>
        <v/>
      </c>
      <c r="H642" s="1" t="str">
        <f>iferror(VLOOKUP(A642,'Business Plan Setup and Accepta'!A:G,7,false),"")</f>
        <v/>
      </c>
      <c r="I642" s="17"/>
      <c r="J642" s="1" t="str">
        <f>IFERROR(VALUE(SUBSTITUTE(VLOOKUP(A642,'Sales IN Revenues vs Sales targ'!A:G,6,false)," $","")), "")
</f>
        <v/>
      </c>
      <c r="K642" s="1" t="str">
        <f>IFERROR(VALUE(SUBSTITUTE(VLOOKUP(A642,'Sales IN Revenues vs Sales targ'!A:G,7,false)," $","")), "")
</f>
        <v/>
      </c>
      <c r="L642" s="17"/>
      <c r="M642" s="1">
        <f>value(SUBSTITUTE(IFERROR(VLOOKUP(A642,'Certifications achievements vs '!A:G,6,false),""),"#","")
)</f>
        <v>0</v>
      </c>
      <c r="N642" s="1">
        <f>value(SUBSTITUTE(IFERROR(VLOOKUP(A642,'Certifications achievements vs '!A:G,7,false),""),"#","")
)</f>
        <v>0</v>
      </c>
      <c r="O642" s="17"/>
      <c r="P642" s="1">
        <f>value(SUBSTITUTE(IFERROR(VLOOKUP(A642,'Communications - Solution Speci'!A:G,6,false),""),"#","")
)</f>
        <v>0</v>
      </c>
      <c r="Q642" s="1">
        <f>value(SUBSTITUTE(IFERROR(VLOOKUP(A642,'Communications - Solution Speci'!A:G,7,false),""),"#","")
)</f>
        <v>0</v>
      </c>
      <c r="R642" s="17" t="str">
        <f t="shared" si="6"/>
        <v/>
      </c>
      <c r="S642" s="1">
        <f>value(SUBSTITUTE(IFERROR(VLOOKUP(A642,'Networking - Solution Specializ'!A:G,6,false),""),"#","")
)</f>
        <v>0</v>
      </c>
      <c r="T642" s="1">
        <f>value(SUBSTITUTE(IFERROR(VLOOKUP(A642,'Networking - Solution Specializ'!A:G,7,false),""),"#","")
)</f>
        <v>0</v>
      </c>
      <c r="U642" s="17" t="str">
        <f t="shared" si="7"/>
        <v/>
      </c>
      <c r="V642" s="1" t="str">
        <f>iferror(vlookup(A642,'Marketing Plan (extract summary'!A:G,6,false),"")</f>
        <v/>
      </c>
      <c r="W642" s="1" t="str">
        <f>iferror(vlookup(A642,'Marketing Plan (extract summary'!A:G,7,false),"")</f>
        <v/>
      </c>
      <c r="X642" s="17"/>
      <c r="Y642" s="1">
        <f>value(IFERROR(SUBSTITUTE(SUBSTITUTE(VLOOKUP(A642,'Quarterly Pipeline vs Target Pi'!A:G,6,false)," $","")," €",""), "")
)</f>
        <v>0</v>
      </c>
      <c r="Z642" s="1">
        <f>value(IFERROR(SUBSTITUTE(SUBSTITUTE(VLOOKUP(A642,'Quarterly Pipeline vs Target Pi'!A:G,7,false)," $","")," €",""), "")
)</f>
        <v>0</v>
      </c>
      <c r="AA642" s="17" t="str">
        <f t="shared" si="9"/>
        <v/>
      </c>
      <c r="AB642" s="1">
        <f>value(IFERROR(SUBSTITUTE(SUBSTITUTE(VLOOKUP($A642,'Quarterly Pipeline vs Target Pi'!$A:$V,11,false)," $","")," €",""), "")
)</f>
        <v>0</v>
      </c>
      <c r="AC642" s="1">
        <f>value(IFERROR(SUBSTITUTE(SUBSTITUTE(VLOOKUP($A642,'Quarterly Pipeline vs Target Pi'!$A:$V,12,false)," $","")," €",""), "")
)</f>
        <v>0</v>
      </c>
      <c r="AD642" s="17" t="str">
        <f t="shared" si="10"/>
        <v/>
      </c>
      <c r="AE642" s="1">
        <f>value(IFERROR(SUBSTITUTE(SUBSTITUTE(VLOOKUP($A642,'Quarterly Pipeline vs Target Pi'!$A:$V,16,false)," $","")," €",""), "")
)</f>
        <v>0</v>
      </c>
      <c r="AF642" s="1">
        <f>value(IFERROR(SUBSTITUTE(SUBSTITUTE(VLOOKUP($A642,'Quarterly Pipeline vs Target Pi'!$A:$V,17,false)," $","")," €",""), "")
)</f>
        <v>0</v>
      </c>
      <c r="AG642" s="17" t="str">
        <f t="shared" si="11"/>
        <v/>
      </c>
      <c r="AH642" s="1">
        <f>value(IFERROR(SUBSTITUTE(SUBSTITUTE(VLOOKUP($A642,'Quarterly Pipeline vs Target Pi'!$A:$V,21,false)," $","")," €",""), "")
)</f>
        <v>0</v>
      </c>
      <c r="AI642" s="1">
        <f>value(IFERROR(SUBSTITUTE(SUBSTITUTE(VLOOKUP($A642,'Quarterly Pipeline vs Target Pi'!$A:$V,22,false)," $","")," €",""), "")
)</f>
        <v>0</v>
      </c>
      <c r="AJ642" s="17" t="str">
        <f t="shared" si="12"/>
        <v/>
      </c>
      <c r="AK642" s="1">
        <f t="shared" ref="AK642:AL642" si="1297">sum(Y642,AB642,AE642,AH642)</f>
        <v>0</v>
      </c>
      <c r="AL642" s="1">
        <f t="shared" si="1297"/>
        <v>0</v>
      </c>
      <c r="AM642" s="17" t="str">
        <f t="shared" si="14"/>
        <v/>
      </c>
      <c r="AN642" s="1">
        <f>value(IFERROR(SUBSTITUTE(SUBSTITUTE(VLOOKUP($A642,'Quarterly Pipeline vs Target Pi'!$A:$AP,26,false)," $","")," €",""), "")
)</f>
        <v>0</v>
      </c>
      <c r="AO642" s="1">
        <f>value(IFERROR(SUBSTITUTE(SUBSTITUTE(VLOOKUP($A642,'Quarterly Pipeline vs Target Pi'!$A:$AP,27,false)," $","")," €",""), "")
)</f>
        <v>0</v>
      </c>
      <c r="AP642" s="17" t="str">
        <f t="shared" si="15"/>
        <v/>
      </c>
      <c r="AQ642" s="1">
        <f>value(IFERROR(SUBSTITUTE(SUBSTITUTE(VLOOKUP($A642,'Quarterly Pipeline vs Target Pi'!$A:$AP,31,false)," $","")," €",""), "")
)</f>
        <v>0</v>
      </c>
      <c r="AR642" s="1">
        <f>value(IFERROR(SUBSTITUTE(SUBSTITUTE(VLOOKUP($A642,'Quarterly Pipeline vs Target Pi'!$A:$AP,32,false)," $","")," €",""), "")
)</f>
        <v>0</v>
      </c>
      <c r="AS642" s="17" t="str">
        <f t="shared" si="16"/>
        <v/>
      </c>
      <c r="AT642" s="1">
        <f>value(IFERROR(SUBSTITUTE(SUBSTITUTE(VLOOKUP($A642,'Quarterly Pipeline vs Target Pi'!$A:$AP,36,false)," $","")," €",""), "")
)</f>
        <v>0</v>
      </c>
      <c r="AU642" s="1">
        <f>value(IFERROR(SUBSTITUTE(SUBSTITUTE(VLOOKUP($A642,'Quarterly Pipeline vs Target Pi'!$A:$AP,37,false)," $","")," €",""), "")
)</f>
        <v>0</v>
      </c>
      <c r="AV642" s="17" t="str">
        <f t="shared" si="17"/>
        <v/>
      </c>
      <c r="AW642" s="1">
        <f>value(IFERROR(SUBSTITUTE(SUBSTITUTE(VLOOKUP($A642,'Quarterly Pipeline vs Target Pi'!$A:$AP,41,false)," $","")," €",""), "")
)</f>
        <v>0</v>
      </c>
      <c r="AX642" s="1">
        <f>value(IFERROR(SUBSTITUTE(SUBSTITUTE(VLOOKUP($A642,'Quarterly Pipeline vs Target Pi'!$A:$AP,42,false)," $","")," €",""), "")
)</f>
        <v>0</v>
      </c>
      <c r="AY642" s="17" t="str">
        <f t="shared" si="18"/>
        <v/>
      </c>
      <c r="AZ642" s="1">
        <f t="shared" ref="AZ642:BA642" si="1298">sum(AN642,AQ642,AT642,AW642)</f>
        <v>0</v>
      </c>
      <c r="BA642" s="1">
        <f t="shared" si="1298"/>
        <v>0</v>
      </c>
      <c r="BB642" s="17" t="str">
        <f t="shared" si="20"/>
        <v/>
      </c>
    </row>
    <row r="643">
      <c r="G643" s="1" t="str">
        <f>iferror(VLOOKUP(A643,'Business Plan Setup and Accepta'!A:G,6,false),"")</f>
        <v/>
      </c>
      <c r="H643" s="1" t="str">
        <f>iferror(VLOOKUP(A643,'Business Plan Setup and Accepta'!A:G,7,false),"")</f>
        <v/>
      </c>
      <c r="I643" s="17"/>
      <c r="J643" s="1" t="str">
        <f>IFERROR(VALUE(SUBSTITUTE(VLOOKUP(A643,'Sales IN Revenues vs Sales targ'!A:G,6,false)," $","")), "")
</f>
        <v/>
      </c>
      <c r="K643" s="1" t="str">
        <f>IFERROR(VALUE(SUBSTITUTE(VLOOKUP(A643,'Sales IN Revenues vs Sales targ'!A:G,7,false)," $","")), "")
</f>
        <v/>
      </c>
      <c r="L643" s="17"/>
      <c r="M643" s="1">
        <f>value(SUBSTITUTE(IFERROR(VLOOKUP(A643,'Certifications achievements vs '!A:G,6,false),""),"#","")
)</f>
        <v>0</v>
      </c>
      <c r="N643" s="1">
        <f>value(SUBSTITUTE(IFERROR(VLOOKUP(A643,'Certifications achievements vs '!A:G,7,false),""),"#","")
)</f>
        <v>0</v>
      </c>
      <c r="O643" s="17"/>
      <c r="P643" s="1">
        <f>value(SUBSTITUTE(IFERROR(VLOOKUP(A643,'Communications - Solution Speci'!A:G,6,false),""),"#","")
)</f>
        <v>0</v>
      </c>
      <c r="Q643" s="1">
        <f>value(SUBSTITUTE(IFERROR(VLOOKUP(A643,'Communications - Solution Speci'!A:G,7,false),""),"#","")
)</f>
        <v>0</v>
      </c>
      <c r="R643" s="17" t="str">
        <f t="shared" si="6"/>
        <v/>
      </c>
      <c r="S643" s="1">
        <f>value(SUBSTITUTE(IFERROR(VLOOKUP(A643,'Networking - Solution Specializ'!A:G,6,false),""),"#","")
)</f>
        <v>0</v>
      </c>
      <c r="T643" s="1">
        <f>value(SUBSTITUTE(IFERROR(VLOOKUP(A643,'Networking - Solution Specializ'!A:G,7,false),""),"#","")
)</f>
        <v>0</v>
      </c>
      <c r="U643" s="17" t="str">
        <f t="shared" si="7"/>
        <v/>
      </c>
      <c r="V643" s="1" t="str">
        <f>iferror(vlookup(A643,'Marketing Plan (extract summary'!A:G,6,false),"")</f>
        <v/>
      </c>
      <c r="W643" s="1" t="str">
        <f>iferror(vlookup(A643,'Marketing Plan (extract summary'!A:G,7,false),"")</f>
        <v/>
      </c>
      <c r="X643" s="17"/>
      <c r="Y643" s="1">
        <f>value(IFERROR(SUBSTITUTE(SUBSTITUTE(VLOOKUP(A643,'Quarterly Pipeline vs Target Pi'!A:G,6,false)," $","")," €",""), "")
)</f>
        <v>0</v>
      </c>
      <c r="Z643" s="1">
        <f>value(IFERROR(SUBSTITUTE(SUBSTITUTE(VLOOKUP(A643,'Quarterly Pipeline vs Target Pi'!A:G,7,false)," $","")," €",""), "")
)</f>
        <v>0</v>
      </c>
      <c r="AA643" s="17" t="str">
        <f t="shared" si="9"/>
        <v/>
      </c>
      <c r="AB643" s="1">
        <f>value(IFERROR(SUBSTITUTE(SUBSTITUTE(VLOOKUP($A643,'Quarterly Pipeline vs Target Pi'!$A:$V,11,false)," $","")," €",""), "")
)</f>
        <v>0</v>
      </c>
      <c r="AC643" s="1">
        <f>value(IFERROR(SUBSTITUTE(SUBSTITUTE(VLOOKUP($A643,'Quarterly Pipeline vs Target Pi'!$A:$V,12,false)," $","")," €",""), "")
)</f>
        <v>0</v>
      </c>
      <c r="AD643" s="17" t="str">
        <f t="shared" si="10"/>
        <v/>
      </c>
      <c r="AE643" s="1">
        <f>value(IFERROR(SUBSTITUTE(SUBSTITUTE(VLOOKUP($A643,'Quarterly Pipeline vs Target Pi'!$A:$V,16,false)," $","")," €",""), "")
)</f>
        <v>0</v>
      </c>
      <c r="AF643" s="1">
        <f>value(IFERROR(SUBSTITUTE(SUBSTITUTE(VLOOKUP($A643,'Quarterly Pipeline vs Target Pi'!$A:$V,17,false)," $","")," €",""), "")
)</f>
        <v>0</v>
      </c>
      <c r="AG643" s="17" t="str">
        <f t="shared" si="11"/>
        <v/>
      </c>
      <c r="AH643" s="1">
        <f>value(IFERROR(SUBSTITUTE(SUBSTITUTE(VLOOKUP($A643,'Quarterly Pipeline vs Target Pi'!$A:$V,21,false)," $","")," €",""), "")
)</f>
        <v>0</v>
      </c>
      <c r="AI643" s="1">
        <f>value(IFERROR(SUBSTITUTE(SUBSTITUTE(VLOOKUP($A643,'Quarterly Pipeline vs Target Pi'!$A:$V,22,false)," $","")," €",""), "")
)</f>
        <v>0</v>
      </c>
      <c r="AJ643" s="17" t="str">
        <f t="shared" si="12"/>
        <v/>
      </c>
      <c r="AK643" s="1">
        <f t="shared" ref="AK643:AL643" si="1299">sum(Y643,AB643,AE643,AH643)</f>
        <v>0</v>
      </c>
      <c r="AL643" s="1">
        <f t="shared" si="1299"/>
        <v>0</v>
      </c>
      <c r="AM643" s="17" t="str">
        <f t="shared" si="14"/>
        <v/>
      </c>
      <c r="AN643" s="1">
        <f>value(IFERROR(SUBSTITUTE(SUBSTITUTE(VLOOKUP($A643,'Quarterly Pipeline vs Target Pi'!$A:$AP,26,false)," $","")," €",""), "")
)</f>
        <v>0</v>
      </c>
      <c r="AO643" s="1">
        <f>value(IFERROR(SUBSTITUTE(SUBSTITUTE(VLOOKUP($A643,'Quarterly Pipeline vs Target Pi'!$A:$AP,27,false)," $","")," €",""), "")
)</f>
        <v>0</v>
      </c>
      <c r="AP643" s="17" t="str">
        <f t="shared" si="15"/>
        <v/>
      </c>
      <c r="AQ643" s="1">
        <f>value(IFERROR(SUBSTITUTE(SUBSTITUTE(VLOOKUP($A643,'Quarterly Pipeline vs Target Pi'!$A:$AP,31,false)," $","")," €",""), "")
)</f>
        <v>0</v>
      </c>
      <c r="AR643" s="1">
        <f>value(IFERROR(SUBSTITUTE(SUBSTITUTE(VLOOKUP($A643,'Quarterly Pipeline vs Target Pi'!$A:$AP,32,false)," $","")," €",""), "")
)</f>
        <v>0</v>
      </c>
      <c r="AS643" s="17" t="str">
        <f t="shared" si="16"/>
        <v/>
      </c>
      <c r="AT643" s="1">
        <f>value(IFERROR(SUBSTITUTE(SUBSTITUTE(VLOOKUP($A643,'Quarterly Pipeline vs Target Pi'!$A:$AP,36,false)," $","")," €",""), "")
)</f>
        <v>0</v>
      </c>
      <c r="AU643" s="1">
        <f>value(IFERROR(SUBSTITUTE(SUBSTITUTE(VLOOKUP($A643,'Quarterly Pipeline vs Target Pi'!$A:$AP,37,false)," $","")," €",""), "")
)</f>
        <v>0</v>
      </c>
      <c r="AV643" s="17" t="str">
        <f t="shared" si="17"/>
        <v/>
      </c>
      <c r="AW643" s="1">
        <f>value(IFERROR(SUBSTITUTE(SUBSTITUTE(VLOOKUP($A643,'Quarterly Pipeline vs Target Pi'!$A:$AP,41,false)," $","")," €",""), "")
)</f>
        <v>0</v>
      </c>
      <c r="AX643" s="1">
        <f>value(IFERROR(SUBSTITUTE(SUBSTITUTE(VLOOKUP($A643,'Quarterly Pipeline vs Target Pi'!$A:$AP,42,false)," $","")," €",""), "")
)</f>
        <v>0</v>
      </c>
      <c r="AY643" s="17" t="str">
        <f t="shared" si="18"/>
        <v/>
      </c>
      <c r="AZ643" s="1">
        <f t="shared" ref="AZ643:BA643" si="1300">sum(AN643,AQ643,AT643,AW643)</f>
        <v>0</v>
      </c>
      <c r="BA643" s="1">
        <f t="shared" si="1300"/>
        <v>0</v>
      </c>
      <c r="BB643" s="17" t="str">
        <f t="shared" si="20"/>
        <v/>
      </c>
    </row>
    <row r="644">
      <c r="G644" s="1" t="str">
        <f>iferror(VLOOKUP(A644,'Business Plan Setup and Accepta'!A:G,6,false),"")</f>
        <v/>
      </c>
      <c r="H644" s="1" t="str">
        <f>iferror(VLOOKUP(A644,'Business Plan Setup and Accepta'!A:G,7,false),"")</f>
        <v/>
      </c>
      <c r="I644" s="17"/>
      <c r="J644" s="1" t="str">
        <f>IFERROR(VALUE(SUBSTITUTE(VLOOKUP(A644,'Sales IN Revenues vs Sales targ'!A:G,6,false)," $","")), "")
</f>
        <v/>
      </c>
      <c r="K644" s="1" t="str">
        <f>IFERROR(VALUE(SUBSTITUTE(VLOOKUP(A644,'Sales IN Revenues vs Sales targ'!A:G,7,false)," $","")), "")
</f>
        <v/>
      </c>
      <c r="L644" s="17"/>
      <c r="M644" s="1">
        <f>value(SUBSTITUTE(IFERROR(VLOOKUP(A644,'Certifications achievements vs '!A:G,6,false),""),"#","")
)</f>
        <v>0</v>
      </c>
      <c r="N644" s="1">
        <f>value(SUBSTITUTE(IFERROR(VLOOKUP(A644,'Certifications achievements vs '!A:G,7,false),""),"#","")
)</f>
        <v>0</v>
      </c>
      <c r="O644" s="17"/>
      <c r="P644" s="1">
        <f>value(SUBSTITUTE(IFERROR(VLOOKUP(A644,'Communications - Solution Speci'!A:G,6,false),""),"#","")
)</f>
        <v>0</v>
      </c>
      <c r="Q644" s="1">
        <f>value(SUBSTITUTE(IFERROR(VLOOKUP(A644,'Communications - Solution Speci'!A:G,7,false),""),"#","")
)</f>
        <v>0</v>
      </c>
      <c r="R644" s="17" t="str">
        <f t="shared" si="6"/>
        <v/>
      </c>
      <c r="S644" s="1">
        <f>value(SUBSTITUTE(IFERROR(VLOOKUP(A644,'Networking - Solution Specializ'!A:G,6,false),""),"#","")
)</f>
        <v>0</v>
      </c>
      <c r="T644" s="1">
        <f>value(SUBSTITUTE(IFERROR(VLOOKUP(A644,'Networking - Solution Specializ'!A:G,7,false),""),"#","")
)</f>
        <v>0</v>
      </c>
      <c r="U644" s="17" t="str">
        <f t="shared" si="7"/>
        <v/>
      </c>
      <c r="V644" s="1" t="str">
        <f>iferror(vlookup(A644,'Marketing Plan (extract summary'!A:G,6,false),"")</f>
        <v/>
      </c>
      <c r="W644" s="1" t="str">
        <f>iferror(vlookup(A644,'Marketing Plan (extract summary'!A:G,7,false),"")</f>
        <v/>
      </c>
      <c r="X644" s="17"/>
      <c r="Y644" s="1">
        <f>value(IFERROR(SUBSTITUTE(SUBSTITUTE(VLOOKUP(A644,'Quarterly Pipeline vs Target Pi'!A:G,6,false)," $","")," €",""), "")
)</f>
        <v>0</v>
      </c>
      <c r="Z644" s="1">
        <f>value(IFERROR(SUBSTITUTE(SUBSTITUTE(VLOOKUP(A644,'Quarterly Pipeline vs Target Pi'!A:G,7,false)," $","")," €",""), "")
)</f>
        <v>0</v>
      </c>
      <c r="AA644" s="17" t="str">
        <f t="shared" si="9"/>
        <v/>
      </c>
      <c r="AB644" s="1">
        <f>value(IFERROR(SUBSTITUTE(SUBSTITUTE(VLOOKUP($A644,'Quarterly Pipeline vs Target Pi'!$A:$V,11,false)," $","")," €",""), "")
)</f>
        <v>0</v>
      </c>
      <c r="AC644" s="1">
        <f>value(IFERROR(SUBSTITUTE(SUBSTITUTE(VLOOKUP($A644,'Quarterly Pipeline vs Target Pi'!$A:$V,12,false)," $","")," €",""), "")
)</f>
        <v>0</v>
      </c>
      <c r="AD644" s="17" t="str">
        <f t="shared" si="10"/>
        <v/>
      </c>
      <c r="AE644" s="1">
        <f>value(IFERROR(SUBSTITUTE(SUBSTITUTE(VLOOKUP($A644,'Quarterly Pipeline vs Target Pi'!$A:$V,16,false)," $","")," €",""), "")
)</f>
        <v>0</v>
      </c>
      <c r="AF644" s="1">
        <f>value(IFERROR(SUBSTITUTE(SUBSTITUTE(VLOOKUP($A644,'Quarterly Pipeline vs Target Pi'!$A:$V,17,false)," $","")," €",""), "")
)</f>
        <v>0</v>
      </c>
      <c r="AG644" s="17" t="str">
        <f t="shared" si="11"/>
        <v/>
      </c>
      <c r="AH644" s="1">
        <f>value(IFERROR(SUBSTITUTE(SUBSTITUTE(VLOOKUP($A644,'Quarterly Pipeline vs Target Pi'!$A:$V,21,false)," $","")," €",""), "")
)</f>
        <v>0</v>
      </c>
      <c r="AI644" s="1">
        <f>value(IFERROR(SUBSTITUTE(SUBSTITUTE(VLOOKUP($A644,'Quarterly Pipeline vs Target Pi'!$A:$V,22,false)," $","")," €",""), "")
)</f>
        <v>0</v>
      </c>
      <c r="AJ644" s="17" t="str">
        <f t="shared" si="12"/>
        <v/>
      </c>
      <c r="AK644" s="1">
        <f t="shared" ref="AK644:AL644" si="1301">sum(Y644,AB644,AE644,AH644)</f>
        <v>0</v>
      </c>
      <c r="AL644" s="1">
        <f t="shared" si="1301"/>
        <v>0</v>
      </c>
      <c r="AM644" s="17" t="str">
        <f t="shared" si="14"/>
        <v/>
      </c>
      <c r="AN644" s="1">
        <f>value(IFERROR(SUBSTITUTE(SUBSTITUTE(VLOOKUP($A644,'Quarterly Pipeline vs Target Pi'!$A:$AP,26,false)," $","")," €",""), "")
)</f>
        <v>0</v>
      </c>
      <c r="AO644" s="1">
        <f>value(IFERROR(SUBSTITUTE(SUBSTITUTE(VLOOKUP($A644,'Quarterly Pipeline vs Target Pi'!$A:$AP,27,false)," $","")," €",""), "")
)</f>
        <v>0</v>
      </c>
      <c r="AP644" s="17" t="str">
        <f t="shared" si="15"/>
        <v/>
      </c>
      <c r="AQ644" s="1">
        <f>value(IFERROR(SUBSTITUTE(SUBSTITUTE(VLOOKUP($A644,'Quarterly Pipeline vs Target Pi'!$A:$AP,31,false)," $","")," €",""), "")
)</f>
        <v>0</v>
      </c>
      <c r="AR644" s="1">
        <f>value(IFERROR(SUBSTITUTE(SUBSTITUTE(VLOOKUP($A644,'Quarterly Pipeline vs Target Pi'!$A:$AP,32,false)," $","")," €",""), "")
)</f>
        <v>0</v>
      </c>
      <c r="AS644" s="17" t="str">
        <f t="shared" si="16"/>
        <v/>
      </c>
      <c r="AT644" s="1">
        <f>value(IFERROR(SUBSTITUTE(SUBSTITUTE(VLOOKUP($A644,'Quarterly Pipeline vs Target Pi'!$A:$AP,36,false)," $","")," €",""), "")
)</f>
        <v>0</v>
      </c>
      <c r="AU644" s="1">
        <f>value(IFERROR(SUBSTITUTE(SUBSTITUTE(VLOOKUP($A644,'Quarterly Pipeline vs Target Pi'!$A:$AP,37,false)," $","")," €",""), "")
)</f>
        <v>0</v>
      </c>
      <c r="AV644" s="17" t="str">
        <f t="shared" si="17"/>
        <v/>
      </c>
      <c r="AW644" s="1">
        <f>value(IFERROR(SUBSTITUTE(SUBSTITUTE(VLOOKUP($A644,'Quarterly Pipeline vs Target Pi'!$A:$AP,41,false)," $","")," €",""), "")
)</f>
        <v>0</v>
      </c>
      <c r="AX644" s="1">
        <f>value(IFERROR(SUBSTITUTE(SUBSTITUTE(VLOOKUP($A644,'Quarterly Pipeline vs Target Pi'!$A:$AP,42,false)," $","")," €",""), "")
)</f>
        <v>0</v>
      </c>
      <c r="AY644" s="17" t="str">
        <f t="shared" si="18"/>
        <v/>
      </c>
      <c r="AZ644" s="1">
        <f t="shared" ref="AZ644:BA644" si="1302">sum(AN644,AQ644,AT644,AW644)</f>
        <v>0</v>
      </c>
      <c r="BA644" s="1">
        <f t="shared" si="1302"/>
        <v>0</v>
      </c>
      <c r="BB644" s="17" t="str">
        <f t="shared" si="20"/>
        <v/>
      </c>
    </row>
    <row r="645">
      <c r="G645" s="1" t="str">
        <f>iferror(VLOOKUP(A645,'Business Plan Setup and Accepta'!A:G,6,false),"")</f>
        <v/>
      </c>
      <c r="H645" s="1" t="str">
        <f>iferror(VLOOKUP(A645,'Business Plan Setup and Accepta'!A:G,7,false),"")</f>
        <v/>
      </c>
      <c r="I645" s="17"/>
      <c r="J645" s="1" t="str">
        <f>IFERROR(VALUE(SUBSTITUTE(VLOOKUP(A645,'Sales IN Revenues vs Sales targ'!A:G,6,false)," $","")), "")
</f>
        <v/>
      </c>
      <c r="K645" s="1" t="str">
        <f>IFERROR(VALUE(SUBSTITUTE(VLOOKUP(A645,'Sales IN Revenues vs Sales targ'!A:G,7,false)," $","")), "")
</f>
        <v/>
      </c>
      <c r="L645" s="17"/>
      <c r="M645" s="1">
        <f>value(SUBSTITUTE(IFERROR(VLOOKUP(A645,'Certifications achievements vs '!A:G,6,false),""),"#","")
)</f>
        <v>0</v>
      </c>
      <c r="N645" s="1">
        <f>value(SUBSTITUTE(IFERROR(VLOOKUP(A645,'Certifications achievements vs '!A:G,7,false),""),"#","")
)</f>
        <v>0</v>
      </c>
      <c r="O645" s="17"/>
      <c r="P645" s="1">
        <f>value(SUBSTITUTE(IFERROR(VLOOKUP(A645,'Communications - Solution Speci'!A:G,6,false),""),"#","")
)</f>
        <v>0</v>
      </c>
      <c r="Q645" s="1">
        <f>value(SUBSTITUTE(IFERROR(VLOOKUP(A645,'Communications - Solution Speci'!A:G,7,false),""),"#","")
)</f>
        <v>0</v>
      </c>
      <c r="R645" s="17" t="str">
        <f t="shared" si="6"/>
        <v/>
      </c>
      <c r="S645" s="1">
        <f>value(SUBSTITUTE(IFERROR(VLOOKUP(A645,'Networking - Solution Specializ'!A:G,6,false),""),"#","")
)</f>
        <v>0</v>
      </c>
      <c r="T645" s="1">
        <f>value(SUBSTITUTE(IFERROR(VLOOKUP(A645,'Networking - Solution Specializ'!A:G,7,false),""),"#","")
)</f>
        <v>0</v>
      </c>
      <c r="U645" s="17" t="str">
        <f t="shared" si="7"/>
        <v/>
      </c>
      <c r="V645" s="1" t="str">
        <f>iferror(vlookup(A645,'Marketing Plan (extract summary'!A:G,6,false),"")</f>
        <v/>
      </c>
      <c r="W645" s="1" t="str">
        <f>iferror(vlookup(A645,'Marketing Plan (extract summary'!A:G,7,false),"")</f>
        <v/>
      </c>
      <c r="X645" s="17"/>
      <c r="Y645" s="1">
        <f>value(IFERROR(SUBSTITUTE(SUBSTITUTE(VLOOKUP(A645,'Quarterly Pipeline vs Target Pi'!A:G,6,false)," $","")," €",""), "")
)</f>
        <v>0</v>
      </c>
      <c r="Z645" s="1">
        <f>value(IFERROR(SUBSTITUTE(SUBSTITUTE(VLOOKUP(A645,'Quarterly Pipeline vs Target Pi'!A:G,7,false)," $","")," €",""), "")
)</f>
        <v>0</v>
      </c>
      <c r="AA645" s="17" t="str">
        <f t="shared" si="9"/>
        <v/>
      </c>
      <c r="AB645" s="1">
        <f>value(IFERROR(SUBSTITUTE(SUBSTITUTE(VLOOKUP($A645,'Quarterly Pipeline vs Target Pi'!$A:$V,11,false)," $","")," €",""), "")
)</f>
        <v>0</v>
      </c>
      <c r="AC645" s="1">
        <f>value(IFERROR(SUBSTITUTE(SUBSTITUTE(VLOOKUP($A645,'Quarterly Pipeline vs Target Pi'!$A:$V,12,false)," $","")," €",""), "")
)</f>
        <v>0</v>
      </c>
      <c r="AD645" s="17" t="str">
        <f t="shared" si="10"/>
        <v/>
      </c>
      <c r="AE645" s="1">
        <f>value(IFERROR(SUBSTITUTE(SUBSTITUTE(VLOOKUP($A645,'Quarterly Pipeline vs Target Pi'!$A:$V,16,false)," $","")," €",""), "")
)</f>
        <v>0</v>
      </c>
      <c r="AF645" s="1">
        <f>value(IFERROR(SUBSTITUTE(SUBSTITUTE(VLOOKUP($A645,'Quarterly Pipeline vs Target Pi'!$A:$V,17,false)," $","")," €",""), "")
)</f>
        <v>0</v>
      </c>
      <c r="AG645" s="17" t="str">
        <f t="shared" si="11"/>
        <v/>
      </c>
      <c r="AH645" s="1">
        <f>value(IFERROR(SUBSTITUTE(SUBSTITUTE(VLOOKUP($A645,'Quarterly Pipeline vs Target Pi'!$A:$V,21,false)," $","")," €",""), "")
)</f>
        <v>0</v>
      </c>
      <c r="AI645" s="1">
        <f>value(IFERROR(SUBSTITUTE(SUBSTITUTE(VLOOKUP($A645,'Quarterly Pipeline vs Target Pi'!$A:$V,22,false)," $","")," €",""), "")
)</f>
        <v>0</v>
      </c>
      <c r="AJ645" s="17" t="str">
        <f t="shared" si="12"/>
        <v/>
      </c>
      <c r="AK645" s="1">
        <f t="shared" ref="AK645:AL645" si="1303">sum(Y645,AB645,AE645,AH645)</f>
        <v>0</v>
      </c>
      <c r="AL645" s="1">
        <f t="shared" si="1303"/>
        <v>0</v>
      </c>
      <c r="AM645" s="17" t="str">
        <f t="shared" si="14"/>
        <v/>
      </c>
      <c r="AN645" s="1">
        <f>value(IFERROR(SUBSTITUTE(SUBSTITUTE(VLOOKUP($A645,'Quarterly Pipeline vs Target Pi'!$A:$AP,26,false)," $","")," €",""), "")
)</f>
        <v>0</v>
      </c>
      <c r="AO645" s="1">
        <f>value(IFERROR(SUBSTITUTE(SUBSTITUTE(VLOOKUP($A645,'Quarterly Pipeline vs Target Pi'!$A:$AP,27,false)," $","")," €",""), "")
)</f>
        <v>0</v>
      </c>
      <c r="AP645" s="17" t="str">
        <f t="shared" si="15"/>
        <v/>
      </c>
      <c r="AQ645" s="1">
        <f>value(IFERROR(SUBSTITUTE(SUBSTITUTE(VLOOKUP($A645,'Quarterly Pipeline vs Target Pi'!$A:$AP,31,false)," $","")," €",""), "")
)</f>
        <v>0</v>
      </c>
      <c r="AR645" s="1">
        <f>value(IFERROR(SUBSTITUTE(SUBSTITUTE(VLOOKUP($A645,'Quarterly Pipeline vs Target Pi'!$A:$AP,32,false)," $","")," €",""), "")
)</f>
        <v>0</v>
      </c>
      <c r="AS645" s="17" t="str">
        <f t="shared" si="16"/>
        <v/>
      </c>
      <c r="AT645" s="1">
        <f>value(IFERROR(SUBSTITUTE(SUBSTITUTE(VLOOKUP($A645,'Quarterly Pipeline vs Target Pi'!$A:$AP,36,false)," $","")," €",""), "")
)</f>
        <v>0</v>
      </c>
      <c r="AU645" s="1">
        <f>value(IFERROR(SUBSTITUTE(SUBSTITUTE(VLOOKUP($A645,'Quarterly Pipeline vs Target Pi'!$A:$AP,37,false)," $","")," €",""), "")
)</f>
        <v>0</v>
      </c>
      <c r="AV645" s="17" t="str">
        <f t="shared" si="17"/>
        <v/>
      </c>
      <c r="AW645" s="1">
        <f>value(IFERROR(SUBSTITUTE(SUBSTITUTE(VLOOKUP($A645,'Quarterly Pipeline vs Target Pi'!$A:$AP,41,false)," $","")," €",""), "")
)</f>
        <v>0</v>
      </c>
      <c r="AX645" s="1">
        <f>value(IFERROR(SUBSTITUTE(SUBSTITUTE(VLOOKUP($A645,'Quarterly Pipeline vs Target Pi'!$A:$AP,42,false)," $","")," €",""), "")
)</f>
        <v>0</v>
      </c>
      <c r="AY645" s="17" t="str">
        <f t="shared" si="18"/>
        <v/>
      </c>
      <c r="AZ645" s="1">
        <f t="shared" ref="AZ645:BA645" si="1304">sum(AN645,AQ645,AT645,AW645)</f>
        <v>0</v>
      </c>
      <c r="BA645" s="1">
        <f t="shared" si="1304"/>
        <v>0</v>
      </c>
      <c r="BB645" s="17" t="str">
        <f t="shared" si="20"/>
        <v/>
      </c>
    </row>
    <row r="646">
      <c r="G646" s="1" t="str">
        <f>iferror(VLOOKUP(A646,'Business Plan Setup and Accepta'!A:G,6,false),"")</f>
        <v/>
      </c>
      <c r="H646" s="1" t="str">
        <f>iferror(VLOOKUP(A646,'Business Plan Setup and Accepta'!A:G,7,false),"")</f>
        <v/>
      </c>
      <c r="I646" s="17"/>
      <c r="J646" s="1" t="str">
        <f>IFERROR(VALUE(SUBSTITUTE(VLOOKUP(A646,'Sales IN Revenues vs Sales targ'!A:G,6,false)," $","")), "")
</f>
        <v/>
      </c>
      <c r="K646" s="1" t="str">
        <f>IFERROR(VALUE(SUBSTITUTE(VLOOKUP(A646,'Sales IN Revenues vs Sales targ'!A:G,7,false)," $","")), "")
</f>
        <v/>
      </c>
      <c r="L646" s="17"/>
      <c r="M646" s="1">
        <f>value(SUBSTITUTE(IFERROR(VLOOKUP(A646,'Certifications achievements vs '!A:G,6,false),""),"#","")
)</f>
        <v>0</v>
      </c>
      <c r="N646" s="1">
        <f>value(SUBSTITUTE(IFERROR(VLOOKUP(A646,'Certifications achievements vs '!A:G,7,false),""),"#","")
)</f>
        <v>0</v>
      </c>
      <c r="O646" s="17"/>
      <c r="P646" s="1">
        <f>value(SUBSTITUTE(IFERROR(VLOOKUP(A646,'Communications - Solution Speci'!A:G,6,false),""),"#","")
)</f>
        <v>0</v>
      </c>
      <c r="Q646" s="1">
        <f>value(SUBSTITUTE(IFERROR(VLOOKUP(A646,'Communications - Solution Speci'!A:G,7,false),""),"#","")
)</f>
        <v>0</v>
      </c>
      <c r="R646" s="17" t="str">
        <f t="shared" si="6"/>
        <v/>
      </c>
      <c r="S646" s="1">
        <f>value(SUBSTITUTE(IFERROR(VLOOKUP(A646,'Networking - Solution Specializ'!A:G,6,false),""),"#","")
)</f>
        <v>0</v>
      </c>
      <c r="T646" s="1">
        <f>value(SUBSTITUTE(IFERROR(VLOOKUP(A646,'Networking - Solution Specializ'!A:G,7,false),""),"#","")
)</f>
        <v>0</v>
      </c>
      <c r="U646" s="17" t="str">
        <f t="shared" si="7"/>
        <v/>
      </c>
      <c r="V646" s="1" t="str">
        <f>iferror(vlookup(A646,'Marketing Plan (extract summary'!A:G,6,false),"")</f>
        <v/>
      </c>
      <c r="W646" s="1" t="str">
        <f>iferror(vlookup(A646,'Marketing Plan (extract summary'!A:G,7,false),"")</f>
        <v/>
      </c>
      <c r="X646" s="17"/>
      <c r="Y646" s="1">
        <f>value(IFERROR(SUBSTITUTE(SUBSTITUTE(VLOOKUP(A646,'Quarterly Pipeline vs Target Pi'!A:G,6,false)," $","")," €",""), "")
)</f>
        <v>0</v>
      </c>
      <c r="Z646" s="1">
        <f>value(IFERROR(SUBSTITUTE(SUBSTITUTE(VLOOKUP(A646,'Quarterly Pipeline vs Target Pi'!A:G,7,false)," $","")," €",""), "")
)</f>
        <v>0</v>
      </c>
      <c r="AA646" s="17" t="str">
        <f t="shared" si="9"/>
        <v/>
      </c>
      <c r="AB646" s="1">
        <f>value(IFERROR(SUBSTITUTE(SUBSTITUTE(VLOOKUP($A646,'Quarterly Pipeline vs Target Pi'!$A:$V,11,false)," $","")," €",""), "")
)</f>
        <v>0</v>
      </c>
      <c r="AC646" s="1">
        <f>value(IFERROR(SUBSTITUTE(SUBSTITUTE(VLOOKUP($A646,'Quarterly Pipeline vs Target Pi'!$A:$V,12,false)," $","")," €",""), "")
)</f>
        <v>0</v>
      </c>
      <c r="AD646" s="17" t="str">
        <f t="shared" si="10"/>
        <v/>
      </c>
      <c r="AE646" s="1">
        <f>value(IFERROR(SUBSTITUTE(SUBSTITUTE(VLOOKUP($A646,'Quarterly Pipeline vs Target Pi'!$A:$V,16,false)," $","")," €",""), "")
)</f>
        <v>0</v>
      </c>
      <c r="AF646" s="1">
        <f>value(IFERROR(SUBSTITUTE(SUBSTITUTE(VLOOKUP($A646,'Quarterly Pipeline vs Target Pi'!$A:$V,17,false)," $","")," €",""), "")
)</f>
        <v>0</v>
      </c>
      <c r="AG646" s="17" t="str">
        <f t="shared" si="11"/>
        <v/>
      </c>
      <c r="AH646" s="1">
        <f>value(IFERROR(SUBSTITUTE(SUBSTITUTE(VLOOKUP($A646,'Quarterly Pipeline vs Target Pi'!$A:$V,21,false)," $","")," €",""), "")
)</f>
        <v>0</v>
      </c>
      <c r="AI646" s="1">
        <f>value(IFERROR(SUBSTITUTE(SUBSTITUTE(VLOOKUP($A646,'Quarterly Pipeline vs Target Pi'!$A:$V,22,false)," $","")," €",""), "")
)</f>
        <v>0</v>
      </c>
      <c r="AJ646" s="17" t="str">
        <f t="shared" si="12"/>
        <v/>
      </c>
      <c r="AK646" s="1">
        <f t="shared" ref="AK646:AL646" si="1305">sum(Y646,AB646,AE646,AH646)</f>
        <v>0</v>
      </c>
      <c r="AL646" s="1">
        <f t="shared" si="1305"/>
        <v>0</v>
      </c>
      <c r="AM646" s="17" t="str">
        <f t="shared" si="14"/>
        <v/>
      </c>
      <c r="AN646" s="1">
        <f>value(IFERROR(SUBSTITUTE(SUBSTITUTE(VLOOKUP($A646,'Quarterly Pipeline vs Target Pi'!$A:$AP,26,false)," $","")," €",""), "")
)</f>
        <v>0</v>
      </c>
      <c r="AO646" s="1">
        <f>value(IFERROR(SUBSTITUTE(SUBSTITUTE(VLOOKUP($A646,'Quarterly Pipeline vs Target Pi'!$A:$AP,27,false)," $","")," €",""), "")
)</f>
        <v>0</v>
      </c>
      <c r="AP646" s="17" t="str">
        <f t="shared" si="15"/>
        <v/>
      </c>
      <c r="AQ646" s="1">
        <f>value(IFERROR(SUBSTITUTE(SUBSTITUTE(VLOOKUP($A646,'Quarterly Pipeline vs Target Pi'!$A:$AP,31,false)," $","")," €",""), "")
)</f>
        <v>0</v>
      </c>
      <c r="AR646" s="1">
        <f>value(IFERROR(SUBSTITUTE(SUBSTITUTE(VLOOKUP($A646,'Quarterly Pipeline vs Target Pi'!$A:$AP,32,false)," $","")," €",""), "")
)</f>
        <v>0</v>
      </c>
      <c r="AS646" s="17" t="str">
        <f t="shared" si="16"/>
        <v/>
      </c>
      <c r="AT646" s="1">
        <f>value(IFERROR(SUBSTITUTE(SUBSTITUTE(VLOOKUP($A646,'Quarterly Pipeline vs Target Pi'!$A:$AP,36,false)," $","")," €",""), "")
)</f>
        <v>0</v>
      </c>
      <c r="AU646" s="1">
        <f>value(IFERROR(SUBSTITUTE(SUBSTITUTE(VLOOKUP($A646,'Quarterly Pipeline vs Target Pi'!$A:$AP,37,false)," $","")," €",""), "")
)</f>
        <v>0</v>
      </c>
      <c r="AV646" s="17" t="str">
        <f t="shared" si="17"/>
        <v/>
      </c>
      <c r="AW646" s="1">
        <f>value(IFERROR(SUBSTITUTE(SUBSTITUTE(VLOOKUP($A646,'Quarterly Pipeline vs Target Pi'!$A:$AP,41,false)," $","")," €",""), "")
)</f>
        <v>0</v>
      </c>
      <c r="AX646" s="1">
        <f>value(IFERROR(SUBSTITUTE(SUBSTITUTE(VLOOKUP($A646,'Quarterly Pipeline vs Target Pi'!$A:$AP,42,false)," $","")," €",""), "")
)</f>
        <v>0</v>
      </c>
      <c r="AY646" s="17" t="str">
        <f t="shared" si="18"/>
        <v/>
      </c>
      <c r="AZ646" s="1">
        <f t="shared" ref="AZ646:BA646" si="1306">sum(AN646,AQ646,AT646,AW646)</f>
        <v>0</v>
      </c>
      <c r="BA646" s="1">
        <f t="shared" si="1306"/>
        <v>0</v>
      </c>
      <c r="BB646" s="17" t="str">
        <f t="shared" si="20"/>
        <v/>
      </c>
    </row>
    <row r="647">
      <c r="G647" s="1" t="str">
        <f>iferror(VLOOKUP(A647,'Business Plan Setup and Accepta'!A:G,6,false),"")</f>
        <v/>
      </c>
      <c r="H647" s="1" t="str">
        <f>iferror(VLOOKUP(A647,'Business Plan Setup and Accepta'!A:G,7,false),"")</f>
        <v/>
      </c>
      <c r="I647" s="17"/>
      <c r="J647" s="1" t="str">
        <f>IFERROR(VALUE(SUBSTITUTE(VLOOKUP(A647,'Sales IN Revenues vs Sales targ'!A:G,6,false)," $","")), "")
</f>
        <v/>
      </c>
      <c r="K647" s="1" t="str">
        <f>IFERROR(VALUE(SUBSTITUTE(VLOOKUP(A647,'Sales IN Revenues vs Sales targ'!A:G,7,false)," $","")), "")
</f>
        <v/>
      </c>
      <c r="L647" s="17"/>
      <c r="M647" s="1">
        <f>value(SUBSTITUTE(IFERROR(VLOOKUP(A647,'Certifications achievements vs '!A:G,6,false),""),"#","")
)</f>
        <v>0</v>
      </c>
      <c r="N647" s="1">
        <f>value(SUBSTITUTE(IFERROR(VLOOKUP(A647,'Certifications achievements vs '!A:G,7,false),""),"#","")
)</f>
        <v>0</v>
      </c>
      <c r="O647" s="17"/>
      <c r="P647" s="1">
        <f>value(SUBSTITUTE(IFERROR(VLOOKUP(A647,'Communications - Solution Speci'!A:G,6,false),""),"#","")
)</f>
        <v>0</v>
      </c>
      <c r="Q647" s="1">
        <f>value(SUBSTITUTE(IFERROR(VLOOKUP(A647,'Communications - Solution Speci'!A:G,7,false),""),"#","")
)</f>
        <v>0</v>
      </c>
      <c r="R647" s="17" t="str">
        <f t="shared" si="6"/>
        <v/>
      </c>
      <c r="S647" s="1">
        <f>value(SUBSTITUTE(IFERROR(VLOOKUP(A647,'Networking - Solution Specializ'!A:G,6,false),""),"#","")
)</f>
        <v>0</v>
      </c>
      <c r="T647" s="1">
        <f>value(SUBSTITUTE(IFERROR(VLOOKUP(A647,'Networking - Solution Specializ'!A:G,7,false),""),"#","")
)</f>
        <v>0</v>
      </c>
      <c r="U647" s="17" t="str">
        <f t="shared" si="7"/>
        <v/>
      </c>
      <c r="V647" s="1" t="str">
        <f>iferror(vlookup(A647,'Marketing Plan (extract summary'!A:G,6,false),"")</f>
        <v/>
      </c>
      <c r="W647" s="1" t="str">
        <f>iferror(vlookup(A647,'Marketing Plan (extract summary'!A:G,7,false),"")</f>
        <v/>
      </c>
      <c r="X647" s="17"/>
      <c r="Y647" s="1">
        <f>value(IFERROR(SUBSTITUTE(SUBSTITUTE(VLOOKUP(A647,'Quarterly Pipeline vs Target Pi'!A:G,6,false)," $","")," €",""), "")
)</f>
        <v>0</v>
      </c>
      <c r="Z647" s="1">
        <f>value(IFERROR(SUBSTITUTE(SUBSTITUTE(VLOOKUP(A647,'Quarterly Pipeline vs Target Pi'!A:G,7,false)," $","")," €",""), "")
)</f>
        <v>0</v>
      </c>
      <c r="AA647" s="17" t="str">
        <f t="shared" si="9"/>
        <v/>
      </c>
      <c r="AB647" s="1">
        <f>value(IFERROR(SUBSTITUTE(SUBSTITUTE(VLOOKUP($A647,'Quarterly Pipeline vs Target Pi'!$A:$V,11,false)," $","")," €",""), "")
)</f>
        <v>0</v>
      </c>
      <c r="AC647" s="1">
        <f>value(IFERROR(SUBSTITUTE(SUBSTITUTE(VLOOKUP($A647,'Quarterly Pipeline vs Target Pi'!$A:$V,12,false)," $","")," €",""), "")
)</f>
        <v>0</v>
      </c>
      <c r="AD647" s="17" t="str">
        <f t="shared" si="10"/>
        <v/>
      </c>
      <c r="AE647" s="1">
        <f>value(IFERROR(SUBSTITUTE(SUBSTITUTE(VLOOKUP($A647,'Quarterly Pipeline vs Target Pi'!$A:$V,16,false)," $","")," €",""), "")
)</f>
        <v>0</v>
      </c>
      <c r="AF647" s="1">
        <f>value(IFERROR(SUBSTITUTE(SUBSTITUTE(VLOOKUP($A647,'Quarterly Pipeline vs Target Pi'!$A:$V,17,false)," $","")," €",""), "")
)</f>
        <v>0</v>
      </c>
      <c r="AG647" s="17" t="str">
        <f t="shared" si="11"/>
        <v/>
      </c>
      <c r="AH647" s="1">
        <f>value(IFERROR(SUBSTITUTE(SUBSTITUTE(VLOOKUP($A647,'Quarterly Pipeline vs Target Pi'!$A:$V,21,false)," $","")," €",""), "")
)</f>
        <v>0</v>
      </c>
      <c r="AI647" s="1">
        <f>value(IFERROR(SUBSTITUTE(SUBSTITUTE(VLOOKUP($A647,'Quarterly Pipeline vs Target Pi'!$A:$V,22,false)," $","")," €",""), "")
)</f>
        <v>0</v>
      </c>
      <c r="AJ647" s="17" t="str">
        <f t="shared" si="12"/>
        <v/>
      </c>
      <c r="AK647" s="1">
        <f t="shared" ref="AK647:AL647" si="1307">sum(Y647,AB647,AE647,AH647)</f>
        <v>0</v>
      </c>
      <c r="AL647" s="1">
        <f t="shared" si="1307"/>
        <v>0</v>
      </c>
      <c r="AM647" s="17" t="str">
        <f t="shared" si="14"/>
        <v/>
      </c>
      <c r="AN647" s="1">
        <f>value(IFERROR(SUBSTITUTE(SUBSTITUTE(VLOOKUP($A647,'Quarterly Pipeline vs Target Pi'!$A:$AP,26,false)," $","")," €",""), "")
)</f>
        <v>0</v>
      </c>
      <c r="AO647" s="1">
        <f>value(IFERROR(SUBSTITUTE(SUBSTITUTE(VLOOKUP($A647,'Quarterly Pipeline vs Target Pi'!$A:$AP,27,false)," $","")," €",""), "")
)</f>
        <v>0</v>
      </c>
      <c r="AP647" s="17" t="str">
        <f t="shared" si="15"/>
        <v/>
      </c>
      <c r="AQ647" s="1">
        <f>value(IFERROR(SUBSTITUTE(SUBSTITUTE(VLOOKUP($A647,'Quarterly Pipeline vs Target Pi'!$A:$AP,31,false)," $","")," €",""), "")
)</f>
        <v>0</v>
      </c>
      <c r="AR647" s="1">
        <f>value(IFERROR(SUBSTITUTE(SUBSTITUTE(VLOOKUP($A647,'Quarterly Pipeline vs Target Pi'!$A:$AP,32,false)," $","")," €",""), "")
)</f>
        <v>0</v>
      </c>
      <c r="AS647" s="17" t="str">
        <f t="shared" si="16"/>
        <v/>
      </c>
      <c r="AT647" s="1">
        <f>value(IFERROR(SUBSTITUTE(SUBSTITUTE(VLOOKUP($A647,'Quarterly Pipeline vs Target Pi'!$A:$AP,36,false)," $","")," €",""), "")
)</f>
        <v>0</v>
      </c>
      <c r="AU647" s="1">
        <f>value(IFERROR(SUBSTITUTE(SUBSTITUTE(VLOOKUP($A647,'Quarterly Pipeline vs Target Pi'!$A:$AP,37,false)," $","")," €",""), "")
)</f>
        <v>0</v>
      </c>
      <c r="AV647" s="17" t="str">
        <f t="shared" si="17"/>
        <v/>
      </c>
      <c r="AW647" s="1">
        <f>value(IFERROR(SUBSTITUTE(SUBSTITUTE(VLOOKUP($A647,'Quarterly Pipeline vs Target Pi'!$A:$AP,41,false)," $","")," €",""), "")
)</f>
        <v>0</v>
      </c>
      <c r="AX647" s="1">
        <f>value(IFERROR(SUBSTITUTE(SUBSTITUTE(VLOOKUP($A647,'Quarterly Pipeline vs Target Pi'!$A:$AP,42,false)," $","")," €",""), "")
)</f>
        <v>0</v>
      </c>
      <c r="AY647" s="17" t="str">
        <f t="shared" si="18"/>
        <v/>
      </c>
      <c r="AZ647" s="1">
        <f t="shared" ref="AZ647:BA647" si="1308">sum(AN647,AQ647,AT647,AW647)</f>
        <v>0</v>
      </c>
      <c r="BA647" s="1">
        <f t="shared" si="1308"/>
        <v>0</v>
      </c>
      <c r="BB647" s="17" t="str">
        <f t="shared" si="20"/>
        <v/>
      </c>
    </row>
    <row r="648">
      <c r="G648" s="1" t="str">
        <f>iferror(VLOOKUP(A648,'Business Plan Setup and Accepta'!A:G,6,false),"")</f>
        <v/>
      </c>
      <c r="H648" s="1" t="str">
        <f>iferror(VLOOKUP(A648,'Business Plan Setup and Accepta'!A:G,7,false),"")</f>
        <v/>
      </c>
      <c r="I648" s="17"/>
      <c r="J648" s="1" t="str">
        <f>IFERROR(VALUE(SUBSTITUTE(VLOOKUP(A648,'Sales IN Revenues vs Sales targ'!A:G,6,false)," $","")), "")
</f>
        <v/>
      </c>
      <c r="K648" s="1" t="str">
        <f>IFERROR(VALUE(SUBSTITUTE(VLOOKUP(A648,'Sales IN Revenues vs Sales targ'!A:G,7,false)," $","")), "")
</f>
        <v/>
      </c>
      <c r="L648" s="17"/>
      <c r="M648" s="1">
        <f>value(SUBSTITUTE(IFERROR(VLOOKUP(A648,'Certifications achievements vs '!A:G,6,false),""),"#","")
)</f>
        <v>0</v>
      </c>
      <c r="N648" s="1">
        <f>value(SUBSTITUTE(IFERROR(VLOOKUP(A648,'Certifications achievements vs '!A:G,7,false),""),"#","")
)</f>
        <v>0</v>
      </c>
      <c r="O648" s="17"/>
      <c r="P648" s="1">
        <f>value(SUBSTITUTE(IFERROR(VLOOKUP(A648,'Communications - Solution Speci'!A:G,6,false),""),"#","")
)</f>
        <v>0</v>
      </c>
      <c r="Q648" s="1">
        <f>value(SUBSTITUTE(IFERROR(VLOOKUP(A648,'Communications - Solution Speci'!A:G,7,false),""),"#","")
)</f>
        <v>0</v>
      </c>
      <c r="R648" s="17" t="str">
        <f t="shared" si="6"/>
        <v/>
      </c>
      <c r="S648" s="1">
        <f>value(SUBSTITUTE(IFERROR(VLOOKUP(A648,'Networking - Solution Specializ'!A:G,6,false),""),"#","")
)</f>
        <v>0</v>
      </c>
      <c r="T648" s="1">
        <f>value(SUBSTITUTE(IFERROR(VLOOKUP(A648,'Networking - Solution Specializ'!A:G,7,false),""),"#","")
)</f>
        <v>0</v>
      </c>
      <c r="U648" s="17" t="str">
        <f t="shared" si="7"/>
        <v/>
      </c>
      <c r="V648" s="1" t="str">
        <f>iferror(vlookup(A648,'Marketing Plan (extract summary'!A:G,6,false),"")</f>
        <v/>
      </c>
      <c r="W648" s="1" t="str">
        <f>iferror(vlookup(A648,'Marketing Plan (extract summary'!A:G,7,false),"")</f>
        <v/>
      </c>
      <c r="X648" s="17"/>
      <c r="Y648" s="1">
        <f>value(IFERROR(SUBSTITUTE(SUBSTITUTE(VLOOKUP(A648,'Quarterly Pipeline vs Target Pi'!A:G,6,false)," $","")," €",""), "")
)</f>
        <v>0</v>
      </c>
      <c r="Z648" s="1">
        <f>value(IFERROR(SUBSTITUTE(SUBSTITUTE(VLOOKUP(A648,'Quarterly Pipeline vs Target Pi'!A:G,7,false)," $","")," €",""), "")
)</f>
        <v>0</v>
      </c>
      <c r="AA648" s="17" t="str">
        <f t="shared" si="9"/>
        <v/>
      </c>
      <c r="AB648" s="1">
        <f>value(IFERROR(SUBSTITUTE(SUBSTITUTE(VLOOKUP($A648,'Quarterly Pipeline vs Target Pi'!$A:$V,11,false)," $","")," €",""), "")
)</f>
        <v>0</v>
      </c>
      <c r="AC648" s="1">
        <f>value(IFERROR(SUBSTITUTE(SUBSTITUTE(VLOOKUP($A648,'Quarterly Pipeline vs Target Pi'!$A:$V,12,false)," $","")," €",""), "")
)</f>
        <v>0</v>
      </c>
      <c r="AD648" s="17" t="str">
        <f t="shared" si="10"/>
        <v/>
      </c>
      <c r="AE648" s="1">
        <f>value(IFERROR(SUBSTITUTE(SUBSTITUTE(VLOOKUP($A648,'Quarterly Pipeline vs Target Pi'!$A:$V,16,false)," $","")," €",""), "")
)</f>
        <v>0</v>
      </c>
      <c r="AF648" s="1">
        <f>value(IFERROR(SUBSTITUTE(SUBSTITUTE(VLOOKUP($A648,'Quarterly Pipeline vs Target Pi'!$A:$V,17,false)," $","")," €",""), "")
)</f>
        <v>0</v>
      </c>
      <c r="AG648" s="17" t="str">
        <f t="shared" si="11"/>
        <v/>
      </c>
      <c r="AH648" s="1">
        <f>value(IFERROR(SUBSTITUTE(SUBSTITUTE(VLOOKUP($A648,'Quarterly Pipeline vs Target Pi'!$A:$V,21,false)," $","")," €",""), "")
)</f>
        <v>0</v>
      </c>
      <c r="AI648" s="1">
        <f>value(IFERROR(SUBSTITUTE(SUBSTITUTE(VLOOKUP($A648,'Quarterly Pipeline vs Target Pi'!$A:$V,22,false)," $","")," €",""), "")
)</f>
        <v>0</v>
      </c>
      <c r="AJ648" s="17" t="str">
        <f t="shared" si="12"/>
        <v/>
      </c>
      <c r="AK648" s="1">
        <f t="shared" ref="AK648:AL648" si="1309">sum(Y648,AB648,AE648,AH648)</f>
        <v>0</v>
      </c>
      <c r="AL648" s="1">
        <f t="shared" si="1309"/>
        <v>0</v>
      </c>
      <c r="AM648" s="17" t="str">
        <f t="shared" si="14"/>
        <v/>
      </c>
      <c r="AN648" s="1">
        <f>value(IFERROR(SUBSTITUTE(SUBSTITUTE(VLOOKUP($A648,'Quarterly Pipeline vs Target Pi'!$A:$AP,26,false)," $","")," €",""), "")
)</f>
        <v>0</v>
      </c>
      <c r="AO648" s="1">
        <f>value(IFERROR(SUBSTITUTE(SUBSTITUTE(VLOOKUP($A648,'Quarterly Pipeline vs Target Pi'!$A:$AP,27,false)," $","")," €",""), "")
)</f>
        <v>0</v>
      </c>
      <c r="AP648" s="17" t="str">
        <f t="shared" si="15"/>
        <v/>
      </c>
      <c r="AQ648" s="1">
        <f>value(IFERROR(SUBSTITUTE(SUBSTITUTE(VLOOKUP($A648,'Quarterly Pipeline vs Target Pi'!$A:$AP,31,false)," $","")," €",""), "")
)</f>
        <v>0</v>
      </c>
      <c r="AR648" s="1">
        <f>value(IFERROR(SUBSTITUTE(SUBSTITUTE(VLOOKUP($A648,'Quarterly Pipeline vs Target Pi'!$A:$AP,32,false)," $","")," €",""), "")
)</f>
        <v>0</v>
      </c>
      <c r="AS648" s="17" t="str">
        <f t="shared" si="16"/>
        <v/>
      </c>
      <c r="AT648" s="1">
        <f>value(IFERROR(SUBSTITUTE(SUBSTITUTE(VLOOKUP($A648,'Quarterly Pipeline vs Target Pi'!$A:$AP,36,false)," $","")," €",""), "")
)</f>
        <v>0</v>
      </c>
      <c r="AU648" s="1">
        <f>value(IFERROR(SUBSTITUTE(SUBSTITUTE(VLOOKUP($A648,'Quarterly Pipeline vs Target Pi'!$A:$AP,37,false)," $","")," €",""), "")
)</f>
        <v>0</v>
      </c>
      <c r="AV648" s="17" t="str">
        <f t="shared" si="17"/>
        <v/>
      </c>
      <c r="AW648" s="1">
        <f>value(IFERROR(SUBSTITUTE(SUBSTITUTE(VLOOKUP($A648,'Quarterly Pipeline vs Target Pi'!$A:$AP,41,false)," $","")," €",""), "")
)</f>
        <v>0</v>
      </c>
      <c r="AX648" s="1">
        <f>value(IFERROR(SUBSTITUTE(SUBSTITUTE(VLOOKUP($A648,'Quarterly Pipeline vs Target Pi'!$A:$AP,42,false)," $","")," €",""), "")
)</f>
        <v>0</v>
      </c>
      <c r="AY648" s="17" t="str">
        <f t="shared" si="18"/>
        <v/>
      </c>
      <c r="AZ648" s="1">
        <f t="shared" ref="AZ648:BA648" si="1310">sum(AN648,AQ648,AT648,AW648)</f>
        <v>0</v>
      </c>
      <c r="BA648" s="1">
        <f t="shared" si="1310"/>
        <v>0</v>
      </c>
      <c r="BB648" s="17" t="str">
        <f t="shared" si="20"/>
        <v/>
      </c>
    </row>
    <row r="649">
      <c r="G649" s="1" t="str">
        <f>iferror(VLOOKUP(A649,'Business Plan Setup and Accepta'!A:G,6,false),"")</f>
        <v/>
      </c>
      <c r="H649" s="1" t="str">
        <f>iferror(VLOOKUP(A649,'Business Plan Setup and Accepta'!A:G,7,false),"")</f>
        <v/>
      </c>
      <c r="I649" s="17"/>
      <c r="J649" s="1" t="str">
        <f>IFERROR(VALUE(SUBSTITUTE(VLOOKUP(A649,'Sales IN Revenues vs Sales targ'!A:G,6,false)," $","")), "")
</f>
        <v/>
      </c>
      <c r="K649" s="1" t="str">
        <f>IFERROR(VALUE(SUBSTITUTE(VLOOKUP(A649,'Sales IN Revenues vs Sales targ'!A:G,7,false)," $","")), "")
</f>
        <v/>
      </c>
      <c r="L649" s="17"/>
      <c r="M649" s="1">
        <f>value(SUBSTITUTE(IFERROR(VLOOKUP(A649,'Certifications achievements vs '!A:G,6,false),""),"#","")
)</f>
        <v>0</v>
      </c>
      <c r="N649" s="1">
        <f>value(SUBSTITUTE(IFERROR(VLOOKUP(A649,'Certifications achievements vs '!A:G,7,false),""),"#","")
)</f>
        <v>0</v>
      </c>
      <c r="O649" s="17"/>
      <c r="P649" s="1">
        <f>value(SUBSTITUTE(IFERROR(VLOOKUP(A649,'Communications - Solution Speci'!A:G,6,false),""),"#","")
)</f>
        <v>0</v>
      </c>
      <c r="Q649" s="1">
        <f>value(SUBSTITUTE(IFERROR(VLOOKUP(A649,'Communications - Solution Speci'!A:G,7,false),""),"#","")
)</f>
        <v>0</v>
      </c>
      <c r="R649" s="17" t="str">
        <f t="shared" si="6"/>
        <v/>
      </c>
      <c r="S649" s="1">
        <f>value(SUBSTITUTE(IFERROR(VLOOKUP(A649,'Networking - Solution Specializ'!A:G,6,false),""),"#","")
)</f>
        <v>0</v>
      </c>
      <c r="T649" s="1">
        <f>value(SUBSTITUTE(IFERROR(VLOOKUP(A649,'Networking - Solution Specializ'!A:G,7,false),""),"#","")
)</f>
        <v>0</v>
      </c>
      <c r="U649" s="17" t="str">
        <f t="shared" si="7"/>
        <v/>
      </c>
      <c r="V649" s="1" t="str">
        <f>iferror(vlookup(A649,'Marketing Plan (extract summary'!A:G,6,false),"")</f>
        <v/>
      </c>
      <c r="W649" s="1" t="str">
        <f>iferror(vlookup(A649,'Marketing Plan (extract summary'!A:G,7,false),"")</f>
        <v/>
      </c>
      <c r="X649" s="17"/>
      <c r="Y649" s="1">
        <f>value(IFERROR(SUBSTITUTE(SUBSTITUTE(VLOOKUP(A649,'Quarterly Pipeline vs Target Pi'!A:G,6,false)," $","")," €",""), "")
)</f>
        <v>0</v>
      </c>
      <c r="Z649" s="1">
        <f>value(IFERROR(SUBSTITUTE(SUBSTITUTE(VLOOKUP(A649,'Quarterly Pipeline vs Target Pi'!A:G,7,false)," $","")," €",""), "")
)</f>
        <v>0</v>
      </c>
      <c r="AA649" s="17" t="str">
        <f t="shared" si="9"/>
        <v/>
      </c>
      <c r="AB649" s="1">
        <f>value(IFERROR(SUBSTITUTE(SUBSTITUTE(VLOOKUP($A649,'Quarterly Pipeline vs Target Pi'!$A:$V,11,false)," $","")," €",""), "")
)</f>
        <v>0</v>
      </c>
      <c r="AC649" s="1">
        <f>value(IFERROR(SUBSTITUTE(SUBSTITUTE(VLOOKUP($A649,'Quarterly Pipeline vs Target Pi'!$A:$V,12,false)," $","")," €",""), "")
)</f>
        <v>0</v>
      </c>
      <c r="AD649" s="17" t="str">
        <f t="shared" si="10"/>
        <v/>
      </c>
      <c r="AE649" s="1">
        <f>value(IFERROR(SUBSTITUTE(SUBSTITUTE(VLOOKUP($A649,'Quarterly Pipeline vs Target Pi'!$A:$V,16,false)," $","")," €",""), "")
)</f>
        <v>0</v>
      </c>
      <c r="AF649" s="1">
        <f>value(IFERROR(SUBSTITUTE(SUBSTITUTE(VLOOKUP($A649,'Quarterly Pipeline vs Target Pi'!$A:$V,17,false)," $","")," €",""), "")
)</f>
        <v>0</v>
      </c>
      <c r="AG649" s="17" t="str">
        <f t="shared" si="11"/>
        <v/>
      </c>
      <c r="AH649" s="1">
        <f>value(IFERROR(SUBSTITUTE(SUBSTITUTE(VLOOKUP($A649,'Quarterly Pipeline vs Target Pi'!$A:$V,21,false)," $","")," €",""), "")
)</f>
        <v>0</v>
      </c>
      <c r="AI649" s="1">
        <f>value(IFERROR(SUBSTITUTE(SUBSTITUTE(VLOOKUP($A649,'Quarterly Pipeline vs Target Pi'!$A:$V,22,false)," $","")," €",""), "")
)</f>
        <v>0</v>
      </c>
      <c r="AJ649" s="17" t="str">
        <f t="shared" si="12"/>
        <v/>
      </c>
      <c r="AK649" s="1">
        <f t="shared" ref="AK649:AL649" si="1311">sum(Y649,AB649,AE649,AH649)</f>
        <v>0</v>
      </c>
      <c r="AL649" s="1">
        <f t="shared" si="1311"/>
        <v>0</v>
      </c>
      <c r="AM649" s="17" t="str">
        <f t="shared" si="14"/>
        <v/>
      </c>
      <c r="AN649" s="1">
        <f>value(IFERROR(SUBSTITUTE(SUBSTITUTE(VLOOKUP($A649,'Quarterly Pipeline vs Target Pi'!$A:$AP,26,false)," $","")," €",""), "")
)</f>
        <v>0</v>
      </c>
      <c r="AO649" s="1">
        <f>value(IFERROR(SUBSTITUTE(SUBSTITUTE(VLOOKUP($A649,'Quarterly Pipeline vs Target Pi'!$A:$AP,27,false)," $","")," €",""), "")
)</f>
        <v>0</v>
      </c>
      <c r="AP649" s="17" t="str">
        <f t="shared" si="15"/>
        <v/>
      </c>
      <c r="AQ649" s="1">
        <f>value(IFERROR(SUBSTITUTE(SUBSTITUTE(VLOOKUP($A649,'Quarterly Pipeline vs Target Pi'!$A:$AP,31,false)," $","")," €",""), "")
)</f>
        <v>0</v>
      </c>
      <c r="AR649" s="1">
        <f>value(IFERROR(SUBSTITUTE(SUBSTITUTE(VLOOKUP($A649,'Quarterly Pipeline vs Target Pi'!$A:$AP,32,false)," $","")," €",""), "")
)</f>
        <v>0</v>
      </c>
      <c r="AS649" s="17" t="str">
        <f t="shared" si="16"/>
        <v/>
      </c>
      <c r="AT649" s="1">
        <f>value(IFERROR(SUBSTITUTE(SUBSTITUTE(VLOOKUP($A649,'Quarterly Pipeline vs Target Pi'!$A:$AP,36,false)," $","")," €",""), "")
)</f>
        <v>0</v>
      </c>
      <c r="AU649" s="1">
        <f>value(IFERROR(SUBSTITUTE(SUBSTITUTE(VLOOKUP($A649,'Quarterly Pipeline vs Target Pi'!$A:$AP,37,false)," $","")," €",""), "")
)</f>
        <v>0</v>
      </c>
      <c r="AV649" s="17" t="str">
        <f t="shared" si="17"/>
        <v/>
      </c>
      <c r="AW649" s="1">
        <f>value(IFERROR(SUBSTITUTE(SUBSTITUTE(VLOOKUP($A649,'Quarterly Pipeline vs Target Pi'!$A:$AP,41,false)," $","")," €",""), "")
)</f>
        <v>0</v>
      </c>
      <c r="AX649" s="1">
        <f>value(IFERROR(SUBSTITUTE(SUBSTITUTE(VLOOKUP($A649,'Quarterly Pipeline vs Target Pi'!$A:$AP,42,false)," $","")," €",""), "")
)</f>
        <v>0</v>
      </c>
      <c r="AY649" s="17" t="str">
        <f t="shared" si="18"/>
        <v/>
      </c>
      <c r="AZ649" s="1">
        <f t="shared" ref="AZ649:BA649" si="1312">sum(AN649,AQ649,AT649,AW649)</f>
        <v>0</v>
      </c>
      <c r="BA649" s="1">
        <f t="shared" si="1312"/>
        <v>0</v>
      </c>
      <c r="BB649" s="17" t="str">
        <f t="shared" si="20"/>
        <v/>
      </c>
    </row>
    <row r="650">
      <c r="I650" s="17"/>
      <c r="L650" s="17"/>
      <c r="O650" s="17"/>
      <c r="P650" s="1">
        <f>value(SUBSTITUTE(IFERROR(VLOOKUP(A650,'Communications - Solution Speci'!A:G,6,false),""),"#","")
)</f>
        <v>0</v>
      </c>
      <c r="Q650" s="1">
        <f>value(SUBSTITUTE(IFERROR(VLOOKUP(A650,'Communications - Solution Speci'!A:G,7,false),""),"#","")
)</f>
        <v>0</v>
      </c>
      <c r="R650" s="17" t="str">
        <f t="shared" si="6"/>
        <v/>
      </c>
      <c r="S650" s="1">
        <f>value(SUBSTITUTE(IFERROR(VLOOKUP(A650,'Networking - Solution Specializ'!A:G,6,false),""),"#","")
)</f>
        <v>0</v>
      </c>
      <c r="T650" s="1">
        <f>value(SUBSTITUTE(IFERROR(VLOOKUP(A650,'Networking - Solution Specializ'!A:G,7,false),""),"#","")
)</f>
        <v>0</v>
      </c>
      <c r="U650" s="17" t="str">
        <f t="shared" si="7"/>
        <v/>
      </c>
      <c r="X650" s="17"/>
      <c r="Y650" s="1">
        <f>value(IFERROR(SUBSTITUTE(SUBSTITUTE(VLOOKUP(A650,'Quarterly Pipeline vs Target Pi'!A:G,6,false)," $","")," €",""), "")
)</f>
        <v>0</v>
      </c>
      <c r="Z650" s="1">
        <f>value(IFERROR(SUBSTITUTE(SUBSTITUTE(VLOOKUP(A650,'Quarterly Pipeline vs Target Pi'!A:G,7,false)," $","")," €",""), "")
)</f>
        <v>0</v>
      </c>
      <c r="AA650" s="17" t="str">
        <f t="shared" si="9"/>
        <v/>
      </c>
      <c r="AB650" s="1">
        <f>value(IFERROR(SUBSTITUTE(SUBSTITUTE(VLOOKUP($A650,'Quarterly Pipeline vs Target Pi'!$A:$V,11,false)," $","")," €",""), "")
)</f>
        <v>0</v>
      </c>
      <c r="AC650" s="1">
        <f>value(IFERROR(SUBSTITUTE(SUBSTITUTE(VLOOKUP($A650,'Quarterly Pipeline vs Target Pi'!$A:$V,12,false)," $","")," €",""), "")
)</f>
        <v>0</v>
      </c>
      <c r="AD650" s="17" t="str">
        <f t="shared" si="10"/>
        <v/>
      </c>
      <c r="AE650" s="1">
        <f>value(IFERROR(SUBSTITUTE(SUBSTITUTE(VLOOKUP($A650,'Quarterly Pipeline vs Target Pi'!$A:$V,16,false)," $","")," €",""), "")
)</f>
        <v>0</v>
      </c>
      <c r="AF650" s="1">
        <f>value(IFERROR(SUBSTITUTE(SUBSTITUTE(VLOOKUP($A650,'Quarterly Pipeline vs Target Pi'!$A:$V,17,false)," $","")," €",""), "")
)</f>
        <v>0</v>
      </c>
      <c r="AG650" s="17" t="str">
        <f t="shared" si="11"/>
        <v/>
      </c>
      <c r="AH650" s="1">
        <f>value(IFERROR(SUBSTITUTE(SUBSTITUTE(VLOOKUP($A650,'Quarterly Pipeline vs Target Pi'!$A:$V,21,false)," $","")," €",""), "")
)</f>
        <v>0</v>
      </c>
      <c r="AI650" s="1">
        <f>value(IFERROR(SUBSTITUTE(SUBSTITUTE(VLOOKUP($A650,'Quarterly Pipeline vs Target Pi'!$A:$V,22,false)," $","")," €",""), "")
)</f>
        <v>0</v>
      </c>
      <c r="AJ650" s="17" t="str">
        <f t="shared" si="12"/>
        <v/>
      </c>
      <c r="AK650" s="1">
        <f t="shared" ref="AK650:AL650" si="1313">sum(Y650,AB650,AE650,AH650)</f>
        <v>0</v>
      </c>
      <c r="AL650" s="1">
        <f t="shared" si="1313"/>
        <v>0</v>
      </c>
      <c r="AM650" s="17" t="str">
        <f t="shared" si="14"/>
        <v/>
      </c>
      <c r="AN650" s="1">
        <f>value(IFERROR(SUBSTITUTE(SUBSTITUTE(VLOOKUP($A650,'Quarterly Pipeline vs Target Pi'!$A:$AP,26,false)," $","")," €",""), "")
)</f>
        <v>0</v>
      </c>
      <c r="AO650" s="1">
        <f>value(IFERROR(SUBSTITUTE(SUBSTITUTE(VLOOKUP($A650,'Quarterly Pipeline vs Target Pi'!$A:$AP,27,false)," $","")," €",""), "")
)</f>
        <v>0</v>
      </c>
      <c r="AP650" s="17" t="str">
        <f t="shared" si="15"/>
        <v/>
      </c>
      <c r="AQ650" s="1">
        <f>value(IFERROR(SUBSTITUTE(SUBSTITUTE(VLOOKUP($A650,'Quarterly Pipeline vs Target Pi'!$A:$AP,31,false)," $","")," €",""), "")
)</f>
        <v>0</v>
      </c>
      <c r="AR650" s="1">
        <f>value(IFERROR(SUBSTITUTE(SUBSTITUTE(VLOOKUP($A650,'Quarterly Pipeline vs Target Pi'!$A:$AP,32,false)," $","")," €",""), "")
)</f>
        <v>0</v>
      </c>
      <c r="AS650" s="17" t="str">
        <f t="shared" si="16"/>
        <v/>
      </c>
      <c r="AT650" s="1">
        <f>value(IFERROR(SUBSTITUTE(SUBSTITUTE(VLOOKUP($A650,'Quarterly Pipeline vs Target Pi'!$A:$AP,36,false)," $","")," €",""), "")
)</f>
        <v>0</v>
      </c>
      <c r="AU650" s="1">
        <f>value(IFERROR(SUBSTITUTE(SUBSTITUTE(VLOOKUP($A650,'Quarterly Pipeline vs Target Pi'!$A:$AP,37,false)," $","")," €",""), "")
)</f>
        <v>0</v>
      </c>
      <c r="AV650" s="17" t="str">
        <f t="shared" si="17"/>
        <v/>
      </c>
      <c r="AW650" s="1">
        <f>value(IFERROR(SUBSTITUTE(SUBSTITUTE(VLOOKUP($A650,'Quarterly Pipeline vs Target Pi'!$A:$AP,41,false)," $","")," €",""), "")
)</f>
        <v>0</v>
      </c>
      <c r="AX650" s="1">
        <f>value(IFERROR(SUBSTITUTE(SUBSTITUTE(VLOOKUP($A650,'Quarterly Pipeline vs Target Pi'!$A:$AP,42,false)," $","")," €",""), "")
)</f>
        <v>0</v>
      </c>
      <c r="AY650" s="17" t="str">
        <f t="shared" si="18"/>
        <v/>
      </c>
      <c r="AZ650" s="1">
        <f t="shared" ref="AZ650:BA650" si="1314">sum(AN650,AQ650,AT650,AW650)</f>
        <v>0</v>
      </c>
      <c r="BA650" s="1">
        <f t="shared" si="1314"/>
        <v>0</v>
      </c>
      <c r="BB650" s="17" t="str">
        <f t="shared" si="20"/>
        <v/>
      </c>
    </row>
    <row r="651">
      <c r="I651" s="17"/>
      <c r="L651" s="17"/>
      <c r="O651" s="17"/>
      <c r="P651" s="1">
        <f>value(SUBSTITUTE(IFERROR(VLOOKUP(A651,'Communications - Solution Speci'!A:G,6,false),""),"#","")
)</f>
        <v>0</v>
      </c>
      <c r="Q651" s="1">
        <f>value(SUBSTITUTE(IFERROR(VLOOKUP(A651,'Communications - Solution Speci'!A:G,7,false),""),"#","")
)</f>
        <v>0</v>
      </c>
      <c r="R651" s="17" t="str">
        <f t="shared" si="6"/>
        <v/>
      </c>
      <c r="S651" s="1">
        <f>value(SUBSTITUTE(IFERROR(VLOOKUP(A651,'Networking - Solution Specializ'!A:G,6,false),""),"#","")
)</f>
        <v>0</v>
      </c>
      <c r="T651" s="1">
        <f>value(SUBSTITUTE(IFERROR(VLOOKUP(A651,'Networking - Solution Specializ'!A:G,7,false),""),"#","")
)</f>
        <v>0</v>
      </c>
      <c r="U651" s="17" t="str">
        <f t="shared" si="7"/>
        <v/>
      </c>
      <c r="X651" s="17"/>
      <c r="Y651" s="1">
        <f>value(IFERROR(SUBSTITUTE(SUBSTITUTE(VLOOKUP(A651,'Quarterly Pipeline vs Target Pi'!A:G,6,false)," $","")," €",""), "")
)</f>
        <v>0</v>
      </c>
      <c r="Z651" s="1">
        <f>value(IFERROR(SUBSTITUTE(SUBSTITUTE(VLOOKUP(A651,'Quarterly Pipeline vs Target Pi'!A:G,7,false)," $","")," €",""), "")
)</f>
        <v>0</v>
      </c>
      <c r="AA651" s="17" t="str">
        <f t="shared" si="9"/>
        <v/>
      </c>
      <c r="AB651" s="1">
        <f>value(IFERROR(SUBSTITUTE(SUBSTITUTE(VLOOKUP($A651,'Quarterly Pipeline vs Target Pi'!$A:$V,11,false)," $","")," €",""), "")
)</f>
        <v>0</v>
      </c>
      <c r="AC651" s="1">
        <f>value(IFERROR(SUBSTITUTE(SUBSTITUTE(VLOOKUP($A651,'Quarterly Pipeline vs Target Pi'!$A:$V,12,false)," $","")," €",""), "")
)</f>
        <v>0</v>
      </c>
      <c r="AD651" s="17" t="str">
        <f t="shared" si="10"/>
        <v/>
      </c>
      <c r="AE651" s="1">
        <f>value(IFERROR(SUBSTITUTE(SUBSTITUTE(VLOOKUP($A651,'Quarterly Pipeline vs Target Pi'!$A:$V,16,false)," $","")," €",""), "")
)</f>
        <v>0</v>
      </c>
      <c r="AF651" s="1">
        <f>value(IFERROR(SUBSTITUTE(SUBSTITUTE(VLOOKUP($A651,'Quarterly Pipeline vs Target Pi'!$A:$V,17,false)," $","")," €",""), "")
)</f>
        <v>0</v>
      </c>
      <c r="AG651" s="17" t="str">
        <f t="shared" si="11"/>
        <v/>
      </c>
      <c r="AH651" s="1">
        <f>value(IFERROR(SUBSTITUTE(SUBSTITUTE(VLOOKUP($A651,'Quarterly Pipeline vs Target Pi'!$A:$V,21,false)," $","")," €",""), "")
)</f>
        <v>0</v>
      </c>
      <c r="AI651" s="1">
        <f>value(IFERROR(SUBSTITUTE(SUBSTITUTE(VLOOKUP($A651,'Quarterly Pipeline vs Target Pi'!$A:$V,22,false)," $","")," €",""), "")
)</f>
        <v>0</v>
      </c>
      <c r="AJ651" s="17" t="str">
        <f t="shared" si="12"/>
        <v/>
      </c>
      <c r="AK651" s="1">
        <f t="shared" ref="AK651:AL651" si="1315">sum(Y651,AB651,AE651,AH651)</f>
        <v>0</v>
      </c>
      <c r="AL651" s="1">
        <f t="shared" si="1315"/>
        <v>0</v>
      </c>
      <c r="AM651" s="17" t="str">
        <f t="shared" si="14"/>
        <v/>
      </c>
      <c r="AN651" s="1">
        <f>value(IFERROR(SUBSTITUTE(SUBSTITUTE(VLOOKUP($A651,'Quarterly Pipeline vs Target Pi'!$A:$AP,26,false)," $","")," €",""), "")
)</f>
        <v>0</v>
      </c>
      <c r="AO651" s="1">
        <f>value(IFERROR(SUBSTITUTE(SUBSTITUTE(VLOOKUP($A651,'Quarterly Pipeline vs Target Pi'!$A:$AP,27,false)," $","")," €",""), "")
)</f>
        <v>0</v>
      </c>
      <c r="AP651" s="17" t="str">
        <f t="shared" si="15"/>
        <v/>
      </c>
      <c r="AQ651" s="1">
        <f>value(IFERROR(SUBSTITUTE(SUBSTITUTE(VLOOKUP($A651,'Quarterly Pipeline vs Target Pi'!$A:$AP,31,false)," $","")," €",""), "")
)</f>
        <v>0</v>
      </c>
      <c r="AR651" s="1">
        <f>value(IFERROR(SUBSTITUTE(SUBSTITUTE(VLOOKUP($A651,'Quarterly Pipeline vs Target Pi'!$A:$AP,32,false)," $","")," €",""), "")
)</f>
        <v>0</v>
      </c>
      <c r="AS651" s="17" t="str">
        <f t="shared" si="16"/>
        <v/>
      </c>
      <c r="AT651" s="1">
        <f>value(IFERROR(SUBSTITUTE(SUBSTITUTE(VLOOKUP($A651,'Quarterly Pipeline vs Target Pi'!$A:$AP,36,false)," $","")," €",""), "")
)</f>
        <v>0</v>
      </c>
      <c r="AU651" s="1">
        <f>value(IFERROR(SUBSTITUTE(SUBSTITUTE(VLOOKUP($A651,'Quarterly Pipeline vs Target Pi'!$A:$AP,37,false)," $","")," €",""), "")
)</f>
        <v>0</v>
      </c>
      <c r="AV651" s="17" t="str">
        <f t="shared" si="17"/>
        <v/>
      </c>
      <c r="AW651" s="1">
        <f>value(IFERROR(SUBSTITUTE(SUBSTITUTE(VLOOKUP($A651,'Quarterly Pipeline vs Target Pi'!$A:$AP,41,false)," $","")," €",""), "")
)</f>
        <v>0</v>
      </c>
      <c r="AX651" s="1">
        <f>value(IFERROR(SUBSTITUTE(SUBSTITUTE(VLOOKUP($A651,'Quarterly Pipeline vs Target Pi'!$A:$AP,42,false)," $","")," €",""), "")
)</f>
        <v>0</v>
      </c>
      <c r="AY651" s="17" t="str">
        <f t="shared" si="18"/>
        <v/>
      </c>
      <c r="AZ651" s="1">
        <f t="shared" ref="AZ651:BA651" si="1316">sum(AN651,AQ651,AT651,AW651)</f>
        <v>0</v>
      </c>
      <c r="BA651" s="1">
        <f t="shared" si="1316"/>
        <v>0</v>
      </c>
      <c r="BB651" s="17" t="str">
        <f t="shared" si="20"/>
        <v/>
      </c>
    </row>
    <row r="652">
      <c r="I652" s="17"/>
      <c r="L652" s="17"/>
      <c r="O652" s="17"/>
      <c r="P652" s="1">
        <f>value(SUBSTITUTE(IFERROR(VLOOKUP(A652,'Communications - Solution Speci'!A:G,6,false),""),"#","")
)</f>
        <v>0</v>
      </c>
      <c r="Q652" s="1">
        <f>value(SUBSTITUTE(IFERROR(VLOOKUP(A652,'Communications - Solution Speci'!A:G,7,false),""),"#","")
)</f>
        <v>0</v>
      </c>
      <c r="R652" s="17" t="str">
        <f t="shared" si="6"/>
        <v/>
      </c>
      <c r="S652" s="1">
        <f>value(SUBSTITUTE(IFERROR(VLOOKUP(A652,'Networking - Solution Specializ'!A:G,6,false),""),"#","")
)</f>
        <v>0</v>
      </c>
      <c r="T652" s="1">
        <f>value(SUBSTITUTE(IFERROR(VLOOKUP(A652,'Networking - Solution Specializ'!A:G,7,false),""),"#","")
)</f>
        <v>0</v>
      </c>
      <c r="U652" s="17" t="str">
        <f t="shared" si="7"/>
        <v/>
      </c>
      <c r="X652" s="17"/>
      <c r="Y652" s="1">
        <f>value(IFERROR(SUBSTITUTE(SUBSTITUTE(VLOOKUP(A652,'Quarterly Pipeline vs Target Pi'!A:G,6,false)," $","")," €",""), "")
)</f>
        <v>0</v>
      </c>
      <c r="Z652" s="1">
        <f>value(IFERROR(SUBSTITUTE(SUBSTITUTE(VLOOKUP(A652,'Quarterly Pipeline vs Target Pi'!A:G,7,false)," $","")," €",""), "")
)</f>
        <v>0</v>
      </c>
      <c r="AA652" s="17" t="str">
        <f t="shared" si="9"/>
        <v/>
      </c>
      <c r="AB652" s="1">
        <f>value(IFERROR(SUBSTITUTE(SUBSTITUTE(VLOOKUP($A652,'Quarterly Pipeline vs Target Pi'!$A:$V,11,false)," $","")," €",""), "")
)</f>
        <v>0</v>
      </c>
      <c r="AC652" s="1">
        <f>value(IFERROR(SUBSTITUTE(SUBSTITUTE(VLOOKUP($A652,'Quarterly Pipeline vs Target Pi'!$A:$V,12,false)," $","")," €",""), "")
)</f>
        <v>0</v>
      </c>
      <c r="AD652" s="17" t="str">
        <f t="shared" si="10"/>
        <v/>
      </c>
      <c r="AE652" s="1">
        <f>value(IFERROR(SUBSTITUTE(SUBSTITUTE(VLOOKUP($A652,'Quarterly Pipeline vs Target Pi'!$A:$V,16,false)," $","")," €",""), "")
)</f>
        <v>0</v>
      </c>
      <c r="AF652" s="1">
        <f>value(IFERROR(SUBSTITUTE(SUBSTITUTE(VLOOKUP($A652,'Quarterly Pipeline vs Target Pi'!$A:$V,17,false)," $","")," €",""), "")
)</f>
        <v>0</v>
      </c>
      <c r="AG652" s="17" t="str">
        <f t="shared" si="11"/>
        <v/>
      </c>
      <c r="AH652" s="1">
        <f>value(IFERROR(SUBSTITUTE(SUBSTITUTE(VLOOKUP($A652,'Quarterly Pipeline vs Target Pi'!$A:$V,21,false)," $","")," €",""), "")
)</f>
        <v>0</v>
      </c>
      <c r="AI652" s="1">
        <f>value(IFERROR(SUBSTITUTE(SUBSTITUTE(VLOOKUP($A652,'Quarterly Pipeline vs Target Pi'!$A:$V,22,false)," $","")," €",""), "")
)</f>
        <v>0</v>
      </c>
      <c r="AJ652" s="17" t="str">
        <f t="shared" si="12"/>
        <v/>
      </c>
      <c r="AK652" s="1">
        <f t="shared" ref="AK652:AL652" si="1317">sum(Y652,AB652,AE652,AH652)</f>
        <v>0</v>
      </c>
      <c r="AL652" s="1">
        <f t="shared" si="1317"/>
        <v>0</v>
      </c>
      <c r="AM652" s="17" t="str">
        <f t="shared" si="14"/>
        <v/>
      </c>
      <c r="AN652" s="1">
        <f>value(IFERROR(SUBSTITUTE(SUBSTITUTE(VLOOKUP($A652,'Quarterly Pipeline vs Target Pi'!$A:$AP,26,false)," $","")," €",""), "")
)</f>
        <v>0</v>
      </c>
      <c r="AO652" s="1">
        <f>value(IFERROR(SUBSTITUTE(SUBSTITUTE(VLOOKUP($A652,'Quarterly Pipeline vs Target Pi'!$A:$AP,27,false)," $","")," €",""), "")
)</f>
        <v>0</v>
      </c>
      <c r="AP652" s="17" t="str">
        <f t="shared" si="15"/>
        <v/>
      </c>
      <c r="AQ652" s="1">
        <f>value(IFERROR(SUBSTITUTE(SUBSTITUTE(VLOOKUP($A652,'Quarterly Pipeline vs Target Pi'!$A:$AP,31,false)," $","")," €",""), "")
)</f>
        <v>0</v>
      </c>
      <c r="AR652" s="1">
        <f>value(IFERROR(SUBSTITUTE(SUBSTITUTE(VLOOKUP($A652,'Quarterly Pipeline vs Target Pi'!$A:$AP,32,false)," $","")," €",""), "")
)</f>
        <v>0</v>
      </c>
      <c r="AS652" s="17" t="str">
        <f t="shared" si="16"/>
        <v/>
      </c>
      <c r="AT652" s="1">
        <f>value(IFERROR(SUBSTITUTE(SUBSTITUTE(VLOOKUP($A652,'Quarterly Pipeline vs Target Pi'!$A:$AP,36,false)," $","")," €",""), "")
)</f>
        <v>0</v>
      </c>
      <c r="AU652" s="1">
        <f>value(IFERROR(SUBSTITUTE(SUBSTITUTE(VLOOKUP($A652,'Quarterly Pipeline vs Target Pi'!$A:$AP,37,false)," $","")," €",""), "")
)</f>
        <v>0</v>
      </c>
      <c r="AV652" s="17" t="str">
        <f t="shared" si="17"/>
        <v/>
      </c>
      <c r="AW652" s="1">
        <f>value(IFERROR(SUBSTITUTE(SUBSTITUTE(VLOOKUP($A652,'Quarterly Pipeline vs Target Pi'!$A:$AP,41,false)," $","")," €",""), "")
)</f>
        <v>0</v>
      </c>
      <c r="AX652" s="1">
        <f>value(IFERROR(SUBSTITUTE(SUBSTITUTE(VLOOKUP($A652,'Quarterly Pipeline vs Target Pi'!$A:$AP,42,false)," $","")," €",""), "")
)</f>
        <v>0</v>
      </c>
      <c r="AY652" s="17" t="str">
        <f t="shared" si="18"/>
        <v/>
      </c>
      <c r="AZ652" s="1">
        <f t="shared" ref="AZ652:BA652" si="1318">sum(AN652,AQ652,AT652,AW652)</f>
        <v>0</v>
      </c>
      <c r="BA652" s="1">
        <f t="shared" si="1318"/>
        <v>0</v>
      </c>
      <c r="BB652" s="17" t="str">
        <f t="shared" si="20"/>
        <v/>
      </c>
    </row>
    <row r="653">
      <c r="I653" s="17"/>
      <c r="L653" s="17"/>
      <c r="O653" s="17"/>
      <c r="P653" s="1">
        <f>value(SUBSTITUTE(IFERROR(VLOOKUP(A653,'Communications - Solution Speci'!A:G,6,false),""),"#","")
)</f>
        <v>0</v>
      </c>
      <c r="Q653" s="1">
        <f>value(SUBSTITUTE(IFERROR(VLOOKUP(A653,'Communications - Solution Speci'!A:G,7,false),""),"#","")
)</f>
        <v>0</v>
      </c>
      <c r="R653" s="17" t="str">
        <f t="shared" si="6"/>
        <v/>
      </c>
      <c r="S653" s="1">
        <f>value(SUBSTITUTE(IFERROR(VLOOKUP(A653,'Networking - Solution Specializ'!A:G,6,false),""),"#","")
)</f>
        <v>0</v>
      </c>
      <c r="T653" s="1">
        <f>value(SUBSTITUTE(IFERROR(VLOOKUP(A653,'Networking - Solution Specializ'!A:G,7,false),""),"#","")
)</f>
        <v>0</v>
      </c>
      <c r="U653" s="17" t="str">
        <f t="shared" si="7"/>
        <v/>
      </c>
      <c r="X653" s="17"/>
      <c r="Y653" s="1">
        <f>value(IFERROR(SUBSTITUTE(SUBSTITUTE(VLOOKUP(A653,'Quarterly Pipeline vs Target Pi'!A:G,6,false)," $","")," €",""), "")
)</f>
        <v>0</v>
      </c>
      <c r="Z653" s="1">
        <f>value(IFERROR(SUBSTITUTE(SUBSTITUTE(VLOOKUP(A653,'Quarterly Pipeline vs Target Pi'!A:G,7,false)," $","")," €",""), "")
)</f>
        <v>0</v>
      </c>
      <c r="AA653" s="17" t="str">
        <f t="shared" si="9"/>
        <v/>
      </c>
      <c r="AB653" s="1">
        <f>value(IFERROR(SUBSTITUTE(SUBSTITUTE(VLOOKUP($A653,'Quarterly Pipeline vs Target Pi'!$A:$V,11,false)," $","")," €",""), "")
)</f>
        <v>0</v>
      </c>
      <c r="AC653" s="1">
        <f>value(IFERROR(SUBSTITUTE(SUBSTITUTE(VLOOKUP($A653,'Quarterly Pipeline vs Target Pi'!$A:$V,12,false)," $","")," €",""), "")
)</f>
        <v>0</v>
      </c>
      <c r="AD653" s="17" t="str">
        <f t="shared" si="10"/>
        <v/>
      </c>
      <c r="AE653" s="1">
        <f>value(IFERROR(SUBSTITUTE(SUBSTITUTE(VLOOKUP($A653,'Quarterly Pipeline vs Target Pi'!$A:$V,16,false)," $","")," €",""), "")
)</f>
        <v>0</v>
      </c>
      <c r="AF653" s="1">
        <f>value(IFERROR(SUBSTITUTE(SUBSTITUTE(VLOOKUP($A653,'Quarterly Pipeline vs Target Pi'!$A:$V,17,false)," $","")," €",""), "")
)</f>
        <v>0</v>
      </c>
      <c r="AG653" s="17" t="str">
        <f t="shared" si="11"/>
        <v/>
      </c>
      <c r="AH653" s="1">
        <f>value(IFERROR(SUBSTITUTE(SUBSTITUTE(VLOOKUP($A653,'Quarterly Pipeline vs Target Pi'!$A:$V,21,false)," $","")," €",""), "")
)</f>
        <v>0</v>
      </c>
      <c r="AI653" s="1">
        <f>value(IFERROR(SUBSTITUTE(SUBSTITUTE(VLOOKUP($A653,'Quarterly Pipeline vs Target Pi'!$A:$V,22,false)," $","")," €",""), "")
)</f>
        <v>0</v>
      </c>
      <c r="AJ653" s="17" t="str">
        <f t="shared" si="12"/>
        <v/>
      </c>
      <c r="AK653" s="1">
        <f t="shared" ref="AK653:AL653" si="1319">sum(Y653,AB653,AE653,AH653)</f>
        <v>0</v>
      </c>
      <c r="AL653" s="1">
        <f t="shared" si="1319"/>
        <v>0</v>
      </c>
      <c r="AM653" s="17" t="str">
        <f t="shared" si="14"/>
        <v/>
      </c>
      <c r="AN653" s="1">
        <f>value(IFERROR(SUBSTITUTE(SUBSTITUTE(VLOOKUP($A653,'Quarterly Pipeline vs Target Pi'!$A:$AP,26,false)," $","")," €",""), "")
)</f>
        <v>0</v>
      </c>
      <c r="AO653" s="1">
        <f>value(IFERROR(SUBSTITUTE(SUBSTITUTE(VLOOKUP($A653,'Quarterly Pipeline vs Target Pi'!$A:$AP,27,false)," $","")," €",""), "")
)</f>
        <v>0</v>
      </c>
      <c r="AP653" s="17" t="str">
        <f t="shared" si="15"/>
        <v/>
      </c>
      <c r="AQ653" s="1">
        <f>value(IFERROR(SUBSTITUTE(SUBSTITUTE(VLOOKUP($A653,'Quarterly Pipeline vs Target Pi'!$A:$AP,31,false)," $","")," €",""), "")
)</f>
        <v>0</v>
      </c>
      <c r="AR653" s="1">
        <f>value(IFERROR(SUBSTITUTE(SUBSTITUTE(VLOOKUP($A653,'Quarterly Pipeline vs Target Pi'!$A:$AP,32,false)," $","")," €",""), "")
)</f>
        <v>0</v>
      </c>
      <c r="AS653" s="17" t="str">
        <f t="shared" si="16"/>
        <v/>
      </c>
      <c r="AT653" s="1">
        <f>value(IFERROR(SUBSTITUTE(SUBSTITUTE(VLOOKUP($A653,'Quarterly Pipeline vs Target Pi'!$A:$AP,36,false)," $","")," €",""), "")
)</f>
        <v>0</v>
      </c>
      <c r="AU653" s="1">
        <f>value(IFERROR(SUBSTITUTE(SUBSTITUTE(VLOOKUP($A653,'Quarterly Pipeline vs Target Pi'!$A:$AP,37,false)," $","")," €",""), "")
)</f>
        <v>0</v>
      </c>
      <c r="AV653" s="17" t="str">
        <f t="shared" si="17"/>
        <v/>
      </c>
      <c r="AW653" s="1">
        <f>value(IFERROR(SUBSTITUTE(SUBSTITUTE(VLOOKUP($A653,'Quarterly Pipeline vs Target Pi'!$A:$AP,41,false)," $","")," €",""), "")
)</f>
        <v>0</v>
      </c>
      <c r="AX653" s="1">
        <f>value(IFERROR(SUBSTITUTE(SUBSTITUTE(VLOOKUP($A653,'Quarterly Pipeline vs Target Pi'!$A:$AP,42,false)," $","")," €",""), "")
)</f>
        <v>0</v>
      </c>
      <c r="AY653" s="17" t="str">
        <f t="shared" si="18"/>
        <v/>
      </c>
      <c r="AZ653" s="1">
        <f t="shared" ref="AZ653:BA653" si="1320">sum(AN653,AQ653,AT653,AW653)</f>
        <v>0</v>
      </c>
      <c r="BA653" s="1">
        <f t="shared" si="1320"/>
        <v>0</v>
      </c>
      <c r="BB653" s="17" t="str">
        <f t="shared" si="20"/>
        <v/>
      </c>
    </row>
    <row r="654">
      <c r="I654" s="17"/>
      <c r="L654" s="17"/>
      <c r="O654" s="17"/>
      <c r="P654" s="1">
        <f>value(SUBSTITUTE(IFERROR(VLOOKUP(A654,'Communications - Solution Speci'!A:G,6,false),""),"#","")
)</f>
        <v>0</v>
      </c>
      <c r="Q654" s="1">
        <f>value(SUBSTITUTE(IFERROR(VLOOKUP(A654,'Communications - Solution Speci'!A:G,7,false),""),"#","")
)</f>
        <v>0</v>
      </c>
      <c r="R654" s="17" t="str">
        <f t="shared" si="6"/>
        <v/>
      </c>
      <c r="S654" s="1">
        <f>value(SUBSTITUTE(IFERROR(VLOOKUP(A654,'Networking - Solution Specializ'!A:G,6,false),""),"#","")
)</f>
        <v>0</v>
      </c>
      <c r="T654" s="1">
        <f>value(SUBSTITUTE(IFERROR(VLOOKUP(A654,'Networking - Solution Specializ'!A:G,7,false),""),"#","")
)</f>
        <v>0</v>
      </c>
      <c r="U654" s="17" t="str">
        <f t="shared" si="7"/>
        <v/>
      </c>
      <c r="X654" s="17"/>
      <c r="Y654" s="1">
        <f>value(IFERROR(SUBSTITUTE(SUBSTITUTE(VLOOKUP(A654,'Quarterly Pipeline vs Target Pi'!A:G,6,false)," $","")," €",""), "")
)</f>
        <v>0</v>
      </c>
      <c r="Z654" s="1">
        <f>value(IFERROR(SUBSTITUTE(SUBSTITUTE(VLOOKUP(A654,'Quarterly Pipeline vs Target Pi'!A:G,7,false)," $","")," €",""), "")
)</f>
        <v>0</v>
      </c>
      <c r="AA654" s="17" t="str">
        <f t="shared" si="9"/>
        <v/>
      </c>
      <c r="AB654" s="1">
        <f>value(IFERROR(SUBSTITUTE(SUBSTITUTE(VLOOKUP($A654,'Quarterly Pipeline vs Target Pi'!$A:$V,11,false)," $","")," €",""), "")
)</f>
        <v>0</v>
      </c>
      <c r="AC654" s="1">
        <f>value(IFERROR(SUBSTITUTE(SUBSTITUTE(VLOOKUP($A654,'Quarterly Pipeline vs Target Pi'!$A:$V,12,false)," $","")," €",""), "")
)</f>
        <v>0</v>
      </c>
      <c r="AD654" s="17" t="str">
        <f t="shared" si="10"/>
        <v/>
      </c>
      <c r="AE654" s="1">
        <f>value(IFERROR(SUBSTITUTE(SUBSTITUTE(VLOOKUP($A654,'Quarterly Pipeline vs Target Pi'!$A:$V,16,false)," $","")," €",""), "")
)</f>
        <v>0</v>
      </c>
      <c r="AF654" s="1">
        <f>value(IFERROR(SUBSTITUTE(SUBSTITUTE(VLOOKUP($A654,'Quarterly Pipeline vs Target Pi'!$A:$V,17,false)," $","")," €",""), "")
)</f>
        <v>0</v>
      </c>
      <c r="AG654" s="17" t="str">
        <f t="shared" si="11"/>
        <v/>
      </c>
      <c r="AH654" s="1">
        <f>value(IFERROR(SUBSTITUTE(SUBSTITUTE(VLOOKUP($A654,'Quarterly Pipeline vs Target Pi'!$A:$V,21,false)," $","")," €",""), "")
)</f>
        <v>0</v>
      </c>
      <c r="AI654" s="1">
        <f>value(IFERROR(SUBSTITUTE(SUBSTITUTE(VLOOKUP($A654,'Quarterly Pipeline vs Target Pi'!$A:$V,22,false)," $","")," €",""), "")
)</f>
        <v>0</v>
      </c>
      <c r="AJ654" s="17" t="str">
        <f t="shared" si="12"/>
        <v/>
      </c>
      <c r="AK654" s="1">
        <f t="shared" ref="AK654:AL654" si="1321">sum(Y654,AB654,AE654,AH654)</f>
        <v>0</v>
      </c>
      <c r="AL654" s="1">
        <f t="shared" si="1321"/>
        <v>0</v>
      </c>
      <c r="AM654" s="17" t="str">
        <f t="shared" si="14"/>
        <v/>
      </c>
      <c r="AN654" s="1">
        <f>value(IFERROR(SUBSTITUTE(SUBSTITUTE(VLOOKUP($A654,'Quarterly Pipeline vs Target Pi'!$A:$AP,26,false)," $","")," €",""), "")
)</f>
        <v>0</v>
      </c>
      <c r="AO654" s="1">
        <f>value(IFERROR(SUBSTITUTE(SUBSTITUTE(VLOOKUP($A654,'Quarterly Pipeline vs Target Pi'!$A:$AP,27,false)," $","")," €",""), "")
)</f>
        <v>0</v>
      </c>
      <c r="AP654" s="17" t="str">
        <f t="shared" si="15"/>
        <v/>
      </c>
      <c r="AQ654" s="1">
        <f>value(IFERROR(SUBSTITUTE(SUBSTITUTE(VLOOKUP($A654,'Quarterly Pipeline vs Target Pi'!$A:$AP,31,false)," $","")," €",""), "")
)</f>
        <v>0</v>
      </c>
      <c r="AR654" s="1">
        <f>value(IFERROR(SUBSTITUTE(SUBSTITUTE(VLOOKUP($A654,'Quarterly Pipeline vs Target Pi'!$A:$AP,32,false)," $","")," €",""), "")
)</f>
        <v>0</v>
      </c>
      <c r="AS654" s="17" t="str">
        <f t="shared" si="16"/>
        <v/>
      </c>
      <c r="AT654" s="1">
        <f>value(IFERROR(SUBSTITUTE(SUBSTITUTE(VLOOKUP($A654,'Quarterly Pipeline vs Target Pi'!$A:$AP,36,false)," $","")," €",""), "")
)</f>
        <v>0</v>
      </c>
      <c r="AU654" s="1">
        <f>value(IFERROR(SUBSTITUTE(SUBSTITUTE(VLOOKUP($A654,'Quarterly Pipeline vs Target Pi'!$A:$AP,37,false)," $","")," €",""), "")
)</f>
        <v>0</v>
      </c>
      <c r="AV654" s="17" t="str">
        <f t="shared" si="17"/>
        <v/>
      </c>
      <c r="AW654" s="1">
        <f>value(IFERROR(SUBSTITUTE(SUBSTITUTE(VLOOKUP($A654,'Quarterly Pipeline vs Target Pi'!$A:$AP,41,false)," $","")," €",""), "")
)</f>
        <v>0</v>
      </c>
      <c r="AX654" s="1">
        <f>value(IFERROR(SUBSTITUTE(SUBSTITUTE(VLOOKUP($A654,'Quarterly Pipeline vs Target Pi'!$A:$AP,42,false)," $","")," €",""), "")
)</f>
        <v>0</v>
      </c>
      <c r="AY654" s="17" t="str">
        <f t="shared" si="18"/>
        <v/>
      </c>
      <c r="AZ654" s="1">
        <f t="shared" ref="AZ654:BA654" si="1322">sum(AN654,AQ654,AT654,AW654)</f>
        <v>0</v>
      </c>
      <c r="BA654" s="1">
        <f t="shared" si="1322"/>
        <v>0</v>
      </c>
      <c r="BB654" s="17" t="str">
        <f t="shared" si="20"/>
        <v/>
      </c>
    </row>
    <row r="655">
      <c r="I655" s="17"/>
      <c r="L655" s="17"/>
      <c r="O655" s="17"/>
      <c r="P655" s="1">
        <f>value(SUBSTITUTE(IFERROR(VLOOKUP(A655,'Communications - Solution Speci'!A:G,6,false),""),"#","")
)</f>
        <v>0</v>
      </c>
      <c r="Q655" s="1">
        <f>value(SUBSTITUTE(IFERROR(VLOOKUP(A655,'Communications - Solution Speci'!A:G,7,false),""),"#","")
)</f>
        <v>0</v>
      </c>
      <c r="R655" s="17" t="str">
        <f t="shared" si="6"/>
        <v/>
      </c>
      <c r="S655" s="1">
        <f>value(SUBSTITUTE(IFERROR(VLOOKUP(A655,'Networking - Solution Specializ'!A:G,6,false),""),"#","")
)</f>
        <v>0</v>
      </c>
      <c r="T655" s="1">
        <f>value(SUBSTITUTE(IFERROR(VLOOKUP(A655,'Networking - Solution Specializ'!A:G,7,false),""),"#","")
)</f>
        <v>0</v>
      </c>
      <c r="U655" s="17" t="str">
        <f t="shared" si="7"/>
        <v/>
      </c>
      <c r="X655" s="17"/>
      <c r="Y655" s="1">
        <f>value(IFERROR(SUBSTITUTE(SUBSTITUTE(VLOOKUP(A655,'Quarterly Pipeline vs Target Pi'!A:G,6,false)," $","")," €",""), "")
)</f>
        <v>0</v>
      </c>
      <c r="Z655" s="1">
        <f>value(IFERROR(SUBSTITUTE(SUBSTITUTE(VLOOKUP(A655,'Quarterly Pipeline vs Target Pi'!A:G,7,false)," $","")," €",""), "")
)</f>
        <v>0</v>
      </c>
      <c r="AA655" s="17" t="str">
        <f t="shared" si="9"/>
        <v/>
      </c>
      <c r="AB655" s="1">
        <f>value(IFERROR(SUBSTITUTE(SUBSTITUTE(VLOOKUP($A655,'Quarterly Pipeline vs Target Pi'!$A:$V,11,false)," $","")," €",""), "")
)</f>
        <v>0</v>
      </c>
      <c r="AC655" s="1">
        <f>value(IFERROR(SUBSTITUTE(SUBSTITUTE(VLOOKUP($A655,'Quarterly Pipeline vs Target Pi'!$A:$V,12,false)," $","")," €",""), "")
)</f>
        <v>0</v>
      </c>
      <c r="AD655" s="17" t="str">
        <f t="shared" si="10"/>
        <v/>
      </c>
      <c r="AE655" s="1">
        <f>value(IFERROR(SUBSTITUTE(SUBSTITUTE(VLOOKUP($A655,'Quarterly Pipeline vs Target Pi'!$A:$V,16,false)," $","")," €",""), "")
)</f>
        <v>0</v>
      </c>
      <c r="AF655" s="1">
        <f>value(IFERROR(SUBSTITUTE(SUBSTITUTE(VLOOKUP($A655,'Quarterly Pipeline vs Target Pi'!$A:$V,17,false)," $","")," €",""), "")
)</f>
        <v>0</v>
      </c>
      <c r="AG655" s="17" t="str">
        <f t="shared" si="11"/>
        <v/>
      </c>
      <c r="AH655" s="1">
        <f>value(IFERROR(SUBSTITUTE(SUBSTITUTE(VLOOKUP($A655,'Quarterly Pipeline vs Target Pi'!$A:$V,21,false)," $","")," €",""), "")
)</f>
        <v>0</v>
      </c>
      <c r="AI655" s="1">
        <f>value(IFERROR(SUBSTITUTE(SUBSTITUTE(VLOOKUP($A655,'Quarterly Pipeline vs Target Pi'!$A:$V,22,false)," $","")," €",""), "")
)</f>
        <v>0</v>
      </c>
      <c r="AJ655" s="17" t="str">
        <f t="shared" si="12"/>
        <v/>
      </c>
      <c r="AK655" s="1">
        <f t="shared" ref="AK655:AL655" si="1323">sum(Y655,AB655,AE655,AH655)</f>
        <v>0</v>
      </c>
      <c r="AL655" s="1">
        <f t="shared" si="1323"/>
        <v>0</v>
      </c>
      <c r="AM655" s="17" t="str">
        <f t="shared" si="14"/>
        <v/>
      </c>
      <c r="AN655" s="1">
        <f>value(IFERROR(SUBSTITUTE(SUBSTITUTE(VLOOKUP($A655,'Quarterly Pipeline vs Target Pi'!$A:$AP,26,false)," $","")," €",""), "")
)</f>
        <v>0</v>
      </c>
      <c r="AO655" s="1">
        <f>value(IFERROR(SUBSTITUTE(SUBSTITUTE(VLOOKUP($A655,'Quarterly Pipeline vs Target Pi'!$A:$AP,27,false)," $","")," €",""), "")
)</f>
        <v>0</v>
      </c>
      <c r="AP655" s="17" t="str">
        <f t="shared" si="15"/>
        <v/>
      </c>
      <c r="AQ655" s="1">
        <f>value(IFERROR(SUBSTITUTE(SUBSTITUTE(VLOOKUP($A655,'Quarterly Pipeline vs Target Pi'!$A:$AP,31,false)," $","")," €",""), "")
)</f>
        <v>0</v>
      </c>
      <c r="AR655" s="1">
        <f>value(IFERROR(SUBSTITUTE(SUBSTITUTE(VLOOKUP($A655,'Quarterly Pipeline vs Target Pi'!$A:$AP,32,false)," $","")," €",""), "")
)</f>
        <v>0</v>
      </c>
      <c r="AS655" s="17" t="str">
        <f t="shared" si="16"/>
        <v/>
      </c>
      <c r="AT655" s="1">
        <f>value(IFERROR(SUBSTITUTE(SUBSTITUTE(VLOOKUP($A655,'Quarterly Pipeline vs Target Pi'!$A:$AP,36,false)," $","")," €",""), "")
)</f>
        <v>0</v>
      </c>
      <c r="AU655" s="1">
        <f>value(IFERROR(SUBSTITUTE(SUBSTITUTE(VLOOKUP($A655,'Quarterly Pipeline vs Target Pi'!$A:$AP,37,false)," $","")," €",""), "")
)</f>
        <v>0</v>
      </c>
      <c r="AV655" s="17" t="str">
        <f t="shared" si="17"/>
        <v/>
      </c>
      <c r="AW655" s="1">
        <f>value(IFERROR(SUBSTITUTE(SUBSTITUTE(VLOOKUP($A655,'Quarterly Pipeline vs Target Pi'!$A:$AP,41,false)," $","")," €",""), "")
)</f>
        <v>0</v>
      </c>
      <c r="AX655" s="1">
        <f>value(IFERROR(SUBSTITUTE(SUBSTITUTE(VLOOKUP($A655,'Quarterly Pipeline vs Target Pi'!$A:$AP,42,false)," $","")," €",""), "")
)</f>
        <v>0</v>
      </c>
      <c r="AY655" s="17" t="str">
        <f t="shared" si="18"/>
        <v/>
      </c>
      <c r="AZ655" s="1">
        <f t="shared" ref="AZ655:BA655" si="1324">sum(AN655,AQ655,AT655,AW655)</f>
        <v>0</v>
      </c>
      <c r="BA655" s="1">
        <f t="shared" si="1324"/>
        <v>0</v>
      </c>
      <c r="BB655" s="17" t="str">
        <f t="shared" si="20"/>
        <v/>
      </c>
    </row>
    <row r="656">
      <c r="I656" s="17"/>
      <c r="L656" s="17"/>
      <c r="O656" s="17"/>
      <c r="P656" s="1">
        <f>value(SUBSTITUTE(IFERROR(VLOOKUP(A656,'Communications - Solution Speci'!A:G,6,false),""),"#","")
)</f>
        <v>0</v>
      </c>
      <c r="Q656" s="1">
        <f>value(SUBSTITUTE(IFERROR(VLOOKUP(A656,'Communications - Solution Speci'!A:G,7,false),""),"#","")
)</f>
        <v>0</v>
      </c>
      <c r="R656" s="17" t="str">
        <f t="shared" si="6"/>
        <v/>
      </c>
      <c r="S656" s="1">
        <f>value(SUBSTITUTE(IFERROR(VLOOKUP(A656,'Networking - Solution Specializ'!A:G,6,false),""),"#","")
)</f>
        <v>0</v>
      </c>
      <c r="T656" s="1">
        <f>value(SUBSTITUTE(IFERROR(VLOOKUP(A656,'Networking - Solution Specializ'!A:G,7,false),""),"#","")
)</f>
        <v>0</v>
      </c>
      <c r="U656" s="17" t="str">
        <f t="shared" si="7"/>
        <v/>
      </c>
      <c r="X656" s="17"/>
      <c r="Y656" s="1">
        <f>value(IFERROR(SUBSTITUTE(SUBSTITUTE(VLOOKUP(A656,'Quarterly Pipeline vs Target Pi'!A:G,6,false)," $","")," €",""), "")
)</f>
        <v>0</v>
      </c>
      <c r="Z656" s="1">
        <f>value(IFERROR(SUBSTITUTE(SUBSTITUTE(VLOOKUP(A656,'Quarterly Pipeline vs Target Pi'!A:G,7,false)," $","")," €",""), "")
)</f>
        <v>0</v>
      </c>
      <c r="AA656" s="17" t="str">
        <f t="shared" si="9"/>
        <v/>
      </c>
      <c r="AB656" s="1">
        <f>value(IFERROR(SUBSTITUTE(SUBSTITUTE(VLOOKUP($A656,'Quarterly Pipeline vs Target Pi'!$A:$V,11,false)," $","")," €",""), "")
)</f>
        <v>0</v>
      </c>
      <c r="AC656" s="1">
        <f>value(IFERROR(SUBSTITUTE(SUBSTITUTE(VLOOKUP($A656,'Quarterly Pipeline vs Target Pi'!$A:$V,12,false)," $","")," €",""), "")
)</f>
        <v>0</v>
      </c>
      <c r="AD656" s="17" t="str">
        <f t="shared" si="10"/>
        <v/>
      </c>
      <c r="AE656" s="1">
        <f>value(IFERROR(SUBSTITUTE(SUBSTITUTE(VLOOKUP($A656,'Quarterly Pipeline vs Target Pi'!$A:$V,16,false)," $","")," €",""), "")
)</f>
        <v>0</v>
      </c>
      <c r="AF656" s="1">
        <f>value(IFERROR(SUBSTITUTE(SUBSTITUTE(VLOOKUP($A656,'Quarterly Pipeline vs Target Pi'!$A:$V,17,false)," $","")," €",""), "")
)</f>
        <v>0</v>
      </c>
      <c r="AG656" s="17" t="str">
        <f t="shared" si="11"/>
        <v/>
      </c>
      <c r="AH656" s="1">
        <f>value(IFERROR(SUBSTITUTE(SUBSTITUTE(VLOOKUP($A656,'Quarterly Pipeline vs Target Pi'!$A:$V,21,false)," $","")," €",""), "")
)</f>
        <v>0</v>
      </c>
      <c r="AI656" s="1">
        <f>value(IFERROR(SUBSTITUTE(SUBSTITUTE(VLOOKUP($A656,'Quarterly Pipeline vs Target Pi'!$A:$V,22,false)," $","")," €",""), "")
)</f>
        <v>0</v>
      </c>
      <c r="AJ656" s="17" t="str">
        <f t="shared" si="12"/>
        <v/>
      </c>
      <c r="AK656" s="1">
        <f t="shared" ref="AK656:AL656" si="1325">sum(Y656,AB656,AE656,AH656)</f>
        <v>0</v>
      </c>
      <c r="AL656" s="1">
        <f t="shared" si="1325"/>
        <v>0</v>
      </c>
      <c r="AM656" s="17" t="str">
        <f t="shared" si="14"/>
        <v/>
      </c>
      <c r="AN656" s="1">
        <f>value(IFERROR(SUBSTITUTE(SUBSTITUTE(VLOOKUP($A656,'Quarterly Pipeline vs Target Pi'!$A:$AP,26,false)," $","")," €",""), "")
)</f>
        <v>0</v>
      </c>
      <c r="AO656" s="1">
        <f>value(IFERROR(SUBSTITUTE(SUBSTITUTE(VLOOKUP($A656,'Quarterly Pipeline vs Target Pi'!$A:$AP,27,false)," $","")," €",""), "")
)</f>
        <v>0</v>
      </c>
      <c r="AP656" s="17" t="str">
        <f t="shared" si="15"/>
        <v/>
      </c>
      <c r="AQ656" s="1">
        <f>value(IFERROR(SUBSTITUTE(SUBSTITUTE(VLOOKUP($A656,'Quarterly Pipeline vs Target Pi'!$A:$AP,31,false)," $","")," €",""), "")
)</f>
        <v>0</v>
      </c>
      <c r="AR656" s="1">
        <f>value(IFERROR(SUBSTITUTE(SUBSTITUTE(VLOOKUP($A656,'Quarterly Pipeline vs Target Pi'!$A:$AP,32,false)," $","")," €",""), "")
)</f>
        <v>0</v>
      </c>
      <c r="AS656" s="17" t="str">
        <f t="shared" si="16"/>
        <v/>
      </c>
      <c r="AT656" s="1">
        <f>value(IFERROR(SUBSTITUTE(SUBSTITUTE(VLOOKUP($A656,'Quarterly Pipeline vs Target Pi'!$A:$AP,36,false)," $","")," €",""), "")
)</f>
        <v>0</v>
      </c>
      <c r="AU656" s="1">
        <f>value(IFERROR(SUBSTITUTE(SUBSTITUTE(VLOOKUP($A656,'Quarterly Pipeline vs Target Pi'!$A:$AP,37,false)," $","")," €",""), "")
)</f>
        <v>0</v>
      </c>
      <c r="AV656" s="17" t="str">
        <f t="shared" si="17"/>
        <v/>
      </c>
      <c r="AW656" s="1">
        <f>value(IFERROR(SUBSTITUTE(SUBSTITUTE(VLOOKUP($A656,'Quarterly Pipeline vs Target Pi'!$A:$AP,41,false)," $","")," €",""), "")
)</f>
        <v>0</v>
      </c>
      <c r="AX656" s="1">
        <f>value(IFERROR(SUBSTITUTE(SUBSTITUTE(VLOOKUP($A656,'Quarterly Pipeline vs Target Pi'!$A:$AP,42,false)," $","")," €",""), "")
)</f>
        <v>0</v>
      </c>
      <c r="AY656" s="17" t="str">
        <f t="shared" si="18"/>
        <v/>
      </c>
      <c r="AZ656" s="1">
        <f t="shared" ref="AZ656:BA656" si="1326">sum(AN656,AQ656,AT656,AW656)</f>
        <v>0</v>
      </c>
      <c r="BA656" s="1">
        <f t="shared" si="1326"/>
        <v>0</v>
      </c>
      <c r="BB656" s="17" t="str">
        <f t="shared" si="20"/>
        <v/>
      </c>
    </row>
    <row r="657">
      <c r="I657" s="17"/>
      <c r="L657" s="17"/>
      <c r="O657" s="17"/>
      <c r="P657" s="1">
        <f>value(SUBSTITUTE(IFERROR(VLOOKUP(A657,'Communications - Solution Speci'!A:G,6,false),""),"#","")
)</f>
        <v>0</v>
      </c>
      <c r="Q657" s="1">
        <f>value(SUBSTITUTE(IFERROR(VLOOKUP(A657,'Communications - Solution Speci'!A:G,7,false),""),"#","")
)</f>
        <v>0</v>
      </c>
      <c r="R657" s="17" t="str">
        <f t="shared" si="6"/>
        <v/>
      </c>
      <c r="S657" s="1">
        <f>value(SUBSTITUTE(IFERROR(VLOOKUP(A657,'Networking - Solution Specializ'!A:G,6,false),""),"#","")
)</f>
        <v>0</v>
      </c>
      <c r="T657" s="1">
        <f>value(SUBSTITUTE(IFERROR(VLOOKUP(A657,'Networking - Solution Specializ'!A:G,7,false),""),"#","")
)</f>
        <v>0</v>
      </c>
      <c r="U657" s="17" t="str">
        <f t="shared" si="7"/>
        <v/>
      </c>
      <c r="X657" s="17"/>
      <c r="Y657" s="1">
        <f>value(IFERROR(SUBSTITUTE(SUBSTITUTE(VLOOKUP(A657,'Quarterly Pipeline vs Target Pi'!A:G,6,false)," $","")," €",""), "")
)</f>
        <v>0</v>
      </c>
      <c r="Z657" s="1">
        <f>value(IFERROR(SUBSTITUTE(SUBSTITUTE(VLOOKUP(A657,'Quarterly Pipeline vs Target Pi'!A:G,7,false)," $","")," €",""), "")
)</f>
        <v>0</v>
      </c>
      <c r="AA657" s="17" t="str">
        <f t="shared" si="9"/>
        <v/>
      </c>
      <c r="AB657" s="1">
        <f>value(IFERROR(SUBSTITUTE(SUBSTITUTE(VLOOKUP($A657,'Quarterly Pipeline vs Target Pi'!$A:$V,11,false)," $","")," €",""), "")
)</f>
        <v>0</v>
      </c>
      <c r="AC657" s="1">
        <f>value(IFERROR(SUBSTITUTE(SUBSTITUTE(VLOOKUP($A657,'Quarterly Pipeline vs Target Pi'!$A:$V,12,false)," $","")," €",""), "")
)</f>
        <v>0</v>
      </c>
      <c r="AD657" s="17" t="str">
        <f t="shared" si="10"/>
        <v/>
      </c>
      <c r="AE657" s="1">
        <f>value(IFERROR(SUBSTITUTE(SUBSTITUTE(VLOOKUP($A657,'Quarterly Pipeline vs Target Pi'!$A:$V,16,false)," $","")," €",""), "")
)</f>
        <v>0</v>
      </c>
      <c r="AF657" s="1">
        <f>value(IFERROR(SUBSTITUTE(SUBSTITUTE(VLOOKUP($A657,'Quarterly Pipeline vs Target Pi'!$A:$V,17,false)," $","")," €",""), "")
)</f>
        <v>0</v>
      </c>
      <c r="AG657" s="17" t="str">
        <f t="shared" si="11"/>
        <v/>
      </c>
      <c r="AH657" s="1">
        <f>value(IFERROR(SUBSTITUTE(SUBSTITUTE(VLOOKUP($A657,'Quarterly Pipeline vs Target Pi'!$A:$V,21,false)," $","")," €",""), "")
)</f>
        <v>0</v>
      </c>
      <c r="AI657" s="1">
        <f>value(IFERROR(SUBSTITUTE(SUBSTITUTE(VLOOKUP($A657,'Quarterly Pipeline vs Target Pi'!$A:$V,22,false)," $","")," €",""), "")
)</f>
        <v>0</v>
      </c>
      <c r="AJ657" s="17" t="str">
        <f t="shared" si="12"/>
        <v/>
      </c>
      <c r="AK657" s="1">
        <f t="shared" ref="AK657:AL657" si="1327">sum(Y657,AB657,AE657,AH657)</f>
        <v>0</v>
      </c>
      <c r="AL657" s="1">
        <f t="shared" si="1327"/>
        <v>0</v>
      </c>
      <c r="AM657" s="17" t="str">
        <f t="shared" si="14"/>
        <v/>
      </c>
      <c r="AN657" s="1">
        <f>value(IFERROR(SUBSTITUTE(SUBSTITUTE(VLOOKUP($A657,'Quarterly Pipeline vs Target Pi'!$A:$AP,26,false)," $","")," €",""), "")
)</f>
        <v>0</v>
      </c>
      <c r="AO657" s="1">
        <f>value(IFERROR(SUBSTITUTE(SUBSTITUTE(VLOOKUP($A657,'Quarterly Pipeline vs Target Pi'!$A:$AP,27,false)," $","")," €",""), "")
)</f>
        <v>0</v>
      </c>
      <c r="AP657" s="17" t="str">
        <f t="shared" si="15"/>
        <v/>
      </c>
      <c r="AQ657" s="1">
        <f>value(IFERROR(SUBSTITUTE(SUBSTITUTE(VLOOKUP($A657,'Quarterly Pipeline vs Target Pi'!$A:$AP,31,false)," $","")," €",""), "")
)</f>
        <v>0</v>
      </c>
      <c r="AR657" s="1">
        <f>value(IFERROR(SUBSTITUTE(SUBSTITUTE(VLOOKUP($A657,'Quarterly Pipeline vs Target Pi'!$A:$AP,32,false)," $","")," €",""), "")
)</f>
        <v>0</v>
      </c>
      <c r="AS657" s="17" t="str">
        <f t="shared" si="16"/>
        <v/>
      </c>
      <c r="AT657" s="1">
        <f>value(IFERROR(SUBSTITUTE(SUBSTITUTE(VLOOKUP($A657,'Quarterly Pipeline vs Target Pi'!$A:$AP,36,false)," $","")," €",""), "")
)</f>
        <v>0</v>
      </c>
      <c r="AU657" s="1">
        <f>value(IFERROR(SUBSTITUTE(SUBSTITUTE(VLOOKUP($A657,'Quarterly Pipeline vs Target Pi'!$A:$AP,37,false)," $","")," €",""), "")
)</f>
        <v>0</v>
      </c>
      <c r="AV657" s="17" t="str">
        <f t="shared" si="17"/>
        <v/>
      </c>
      <c r="AW657" s="1">
        <f>value(IFERROR(SUBSTITUTE(SUBSTITUTE(VLOOKUP($A657,'Quarterly Pipeline vs Target Pi'!$A:$AP,41,false)," $","")," €",""), "")
)</f>
        <v>0</v>
      </c>
      <c r="AX657" s="1">
        <f>value(IFERROR(SUBSTITUTE(SUBSTITUTE(VLOOKUP($A657,'Quarterly Pipeline vs Target Pi'!$A:$AP,42,false)," $","")," €",""), "")
)</f>
        <v>0</v>
      </c>
      <c r="AY657" s="17" t="str">
        <f t="shared" si="18"/>
        <v/>
      </c>
      <c r="AZ657" s="1">
        <f t="shared" ref="AZ657:BA657" si="1328">sum(AN657,AQ657,AT657,AW657)</f>
        <v>0</v>
      </c>
      <c r="BA657" s="1">
        <f t="shared" si="1328"/>
        <v>0</v>
      </c>
      <c r="BB657" s="17" t="str">
        <f t="shared" si="20"/>
        <v/>
      </c>
    </row>
    <row r="658">
      <c r="I658" s="17"/>
      <c r="L658" s="17"/>
      <c r="O658" s="17"/>
      <c r="P658" s="1">
        <f>value(SUBSTITUTE(IFERROR(VLOOKUP(A658,'Communications - Solution Speci'!A:G,6,false),""),"#","")
)</f>
        <v>0</v>
      </c>
      <c r="Q658" s="1">
        <f>value(SUBSTITUTE(IFERROR(VLOOKUP(A658,'Communications - Solution Speci'!A:G,7,false),""),"#","")
)</f>
        <v>0</v>
      </c>
      <c r="R658" s="17" t="str">
        <f t="shared" si="6"/>
        <v/>
      </c>
      <c r="S658" s="1">
        <f>value(SUBSTITUTE(IFERROR(VLOOKUP(A658,'Networking - Solution Specializ'!A:G,6,false),""),"#","")
)</f>
        <v>0</v>
      </c>
      <c r="T658" s="1">
        <f>value(SUBSTITUTE(IFERROR(VLOOKUP(A658,'Networking - Solution Specializ'!A:G,7,false),""),"#","")
)</f>
        <v>0</v>
      </c>
      <c r="U658" s="17" t="str">
        <f t="shared" si="7"/>
        <v/>
      </c>
      <c r="X658" s="17"/>
      <c r="Y658" s="1">
        <f>value(IFERROR(SUBSTITUTE(SUBSTITUTE(VLOOKUP(A658,'Quarterly Pipeline vs Target Pi'!A:G,6,false)," $","")," €",""), "")
)</f>
        <v>0</v>
      </c>
      <c r="Z658" s="1">
        <f>value(IFERROR(SUBSTITUTE(SUBSTITUTE(VLOOKUP(A658,'Quarterly Pipeline vs Target Pi'!A:G,7,false)," $","")," €",""), "")
)</f>
        <v>0</v>
      </c>
      <c r="AA658" s="17" t="str">
        <f t="shared" si="9"/>
        <v/>
      </c>
      <c r="AB658" s="1">
        <f>value(IFERROR(SUBSTITUTE(SUBSTITUTE(VLOOKUP($A658,'Quarterly Pipeline vs Target Pi'!$A:$V,11,false)," $","")," €",""), "")
)</f>
        <v>0</v>
      </c>
      <c r="AC658" s="1">
        <f>value(IFERROR(SUBSTITUTE(SUBSTITUTE(VLOOKUP($A658,'Quarterly Pipeline vs Target Pi'!$A:$V,12,false)," $","")," €",""), "")
)</f>
        <v>0</v>
      </c>
      <c r="AD658" s="17" t="str">
        <f t="shared" si="10"/>
        <v/>
      </c>
      <c r="AE658" s="1">
        <f>value(IFERROR(SUBSTITUTE(SUBSTITUTE(VLOOKUP($A658,'Quarterly Pipeline vs Target Pi'!$A:$V,16,false)," $","")," €",""), "")
)</f>
        <v>0</v>
      </c>
      <c r="AF658" s="1">
        <f>value(IFERROR(SUBSTITUTE(SUBSTITUTE(VLOOKUP($A658,'Quarterly Pipeline vs Target Pi'!$A:$V,17,false)," $","")," €",""), "")
)</f>
        <v>0</v>
      </c>
      <c r="AG658" s="17" t="str">
        <f t="shared" si="11"/>
        <v/>
      </c>
      <c r="AH658" s="1">
        <f>value(IFERROR(SUBSTITUTE(SUBSTITUTE(VLOOKUP($A658,'Quarterly Pipeline vs Target Pi'!$A:$V,21,false)," $","")," €",""), "")
)</f>
        <v>0</v>
      </c>
      <c r="AI658" s="1">
        <f>value(IFERROR(SUBSTITUTE(SUBSTITUTE(VLOOKUP($A658,'Quarterly Pipeline vs Target Pi'!$A:$V,22,false)," $","")," €",""), "")
)</f>
        <v>0</v>
      </c>
      <c r="AJ658" s="17" t="str">
        <f t="shared" si="12"/>
        <v/>
      </c>
      <c r="AK658" s="1">
        <f t="shared" ref="AK658:AL658" si="1329">sum(Y658,AB658,AE658,AH658)</f>
        <v>0</v>
      </c>
      <c r="AL658" s="1">
        <f t="shared" si="1329"/>
        <v>0</v>
      </c>
      <c r="AM658" s="17" t="str">
        <f t="shared" si="14"/>
        <v/>
      </c>
      <c r="AN658" s="1">
        <f>value(IFERROR(SUBSTITUTE(SUBSTITUTE(VLOOKUP($A658,'Quarterly Pipeline vs Target Pi'!$A:$AP,26,false)," $","")," €",""), "")
)</f>
        <v>0</v>
      </c>
      <c r="AO658" s="1">
        <f>value(IFERROR(SUBSTITUTE(SUBSTITUTE(VLOOKUP($A658,'Quarterly Pipeline vs Target Pi'!$A:$AP,27,false)," $","")," €",""), "")
)</f>
        <v>0</v>
      </c>
      <c r="AP658" s="17" t="str">
        <f t="shared" si="15"/>
        <v/>
      </c>
      <c r="AQ658" s="1">
        <f>value(IFERROR(SUBSTITUTE(SUBSTITUTE(VLOOKUP($A658,'Quarterly Pipeline vs Target Pi'!$A:$AP,31,false)," $","")," €",""), "")
)</f>
        <v>0</v>
      </c>
      <c r="AR658" s="1">
        <f>value(IFERROR(SUBSTITUTE(SUBSTITUTE(VLOOKUP($A658,'Quarterly Pipeline vs Target Pi'!$A:$AP,32,false)," $","")," €",""), "")
)</f>
        <v>0</v>
      </c>
      <c r="AS658" s="17" t="str">
        <f t="shared" si="16"/>
        <v/>
      </c>
      <c r="AT658" s="1">
        <f>value(IFERROR(SUBSTITUTE(SUBSTITUTE(VLOOKUP($A658,'Quarterly Pipeline vs Target Pi'!$A:$AP,36,false)," $","")," €",""), "")
)</f>
        <v>0</v>
      </c>
      <c r="AU658" s="1">
        <f>value(IFERROR(SUBSTITUTE(SUBSTITUTE(VLOOKUP($A658,'Quarterly Pipeline vs Target Pi'!$A:$AP,37,false)," $","")," €",""), "")
)</f>
        <v>0</v>
      </c>
      <c r="AV658" s="17" t="str">
        <f t="shared" si="17"/>
        <v/>
      </c>
      <c r="AW658" s="1">
        <f>value(IFERROR(SUBSTITUTE(SUBSTITUTE(VLOOKUP($A658,'Quarterly Pipeline vs Target Pi'!$A:$AP,41,false)," $","")," €",""), "")
)</f>
        <v>0</v>
      </c>
      <c r="AX658" s="1">
        <f>value(IFERROR(SUBSTITUTE(SUBSTITUTE(VLOOKUP($A658,'Quarterly Pipeline vs Target Pi'!$A:$AP,42,false)," $","")," €",""), "")
)</f>
        <v>0</v>
      </c>
      <c r="AY658" s="17" t="str">
        <f t="shared" si="18"/>
        <v/>
      </c>
      <c r="AZ658" s="1">
        <f t="shared" ref="AZ658:BA658" si="1330">sum(AN658,AQ658,AT658,AW658)</f>
        <v>0</v>
      </c>
      <c r="BA658" s="1">
        <f t="shared" si="1330"/>
        <v>0</v>
      </c>
      <c r="BB658" s="17" t="str">
        <f t="shared" si="20"/>
        <v/>
      </c>
    </row>
    <row r="659">
      <c r="I659" s="17"/>
      <c r="L659" s="17"/>
      <c r="O659" s="17"/>
      <c r="P659" s="1">
        <f>value(SUBSTITUTE(IFERROR(VLOOKUP(A659,'Communications - Solution Speci'!A:G,6,false),""),"#","")
)</f>
        <v>0</v>
      </c>
      <c r="Q659" s="1">
        <f>value(SUBSTITUTE(IFERROR(VLOOKUP(A659,'Communications - Solution Speci'!A:G,7,false),""),"#","")
)</f>
        <v>0</v>
      </c>
      <c r="R659" s="17" t="str">
        <f t="shared" si="6"/>
        <v/>
      </c>
      <c r="S659" s="1">
        <f>value(SUBSTITUTE(IFERROR(VLOOKUP(A659,'Networking - Solution Specializ'!A:G,6,false),""),"#","")
)</f>
        <v>0</v>
      </c>
      <c r="T659" s="1">
        <f>value(SUBSTITUTE(IFERROR(VLOOKUP(A659,'Networking - Solution Specializ'!A:G,7,false),""),"#","")
)</f>
        <v>0</v>
      </c>
      <c r="U659" s="17" t="str">
        <f t="shared" si="7"/>
        <v/>
      </c>
      <c r="X659" s="17"/>
      <c r="Y659" s="1">
        <f>value(IFERROR(SUBSTITUTE(SUBSTITUTE(VLOOKUP(A659,'Quarterly Pipeline vs Target Pi'!A:G,6,false)," $","")," €",""), "")
)</f>
        <v>0</v>
      </c>
      <c r="Z659" s="1">
        <f>value(IFERROR(SUBSTITUTE(SUBSTITUTE(VLOOKUP(A659,'Quarterly Pipeline vs Target Pi'!A:G,7,false)," $","")," €",""), "")
)</f>
        <v>0</v>
      </c>
      <c r="AA659" s="17" t="str">
        <f t="shared" si="9"/>
        <v/>
      </c>
      <c r="AB659" s="1">
        <f>value(IFERROR(SUBSTITUTE(SUBSTITUTE(VLOOKUP($A659,'Quarterly Pipeline vs Target Pi'!$A:$V,11,false)," $","")," €",""), "")
)</f>
        <v>0</v>
      </c>
      <c r="AC659" s="1">
        <f>value(IFERROR(SUBSTITUTE(SUBSTITUTE(VLOOKUP($A659,'Quarterly Pipeline vs Target Pi'!$A:$V,12,false)," $","")," €",""), "")
)</f>
        <v>0</v>
      </c>
      <c r="AD659" s="17" t="str">
        <f t="shared" si="10"/>
        <v/>
      </c>
      <c r="AE659" s="1">
        <f>value(IFERROR(SUBSTITUTE(SUBSTITUTE(VLOOKUP($A659,'Quarterly Pipeline vs Target Pi'!$A:$V,16,false)," $","")," €",""), "")
)</f>
        <v>0</v>
      </c>
      <c r="AF659" s="1">
        <f>value(IFERROR(SUBSTITUTE(SUBSTITUTE(VLOOKUP($A659,'Quarterly Pipeline vs Target Pi'!$A:$V,17,false)," $","")," €",""), "")
)</f>
        <v>0</v>
      </c>
      <c r="AG659" s="17" t="str">
        <f t="shared" si="11"/>
        <v/>
      </c>
      <c r="AH659" s="1">
        <f>value(IFERROR(SUBSTITUTE(SUBSTITUTE(VLOOKUP($A659,'Quarterly Pipeline vs Target Pi'!$A:$V,21,false)," $","")," €",""), "")
)</f>
        <v>0</v>
      </c>
      <c r="AI659" s="1">
        <f>value(IFERROR(SUBSTITUTE(SUBSTITUTE(VLOOKUP($A659,'Quarterly Pipeline vs Target Pi'!$A:$V,22,false)," $","")," €",""), "")
)</f>
        <v>0</v>
      </c>
      <c r="AJ659" s="17" t="str">
        <f t="shared" si="12"/>
        <v/>
      </c>
      <c r="AK659" s="1">
        <f t="shared" ref="AK659:AL659" si="1331">sum(Y659,AB659,AE659,AH659)</f>
        <v>0</v>
      </c>
      <c r="AL659" s="1">
        <f t="shared" si="1331"/>
        <v>0</v>
      </c>
      <c r="AM659" s="17" t="str">
        <f t="shared" si="14"/>
        <v/>
      </c>
      <c r="AN659" s="1">
        <f>value(IFERROR(SUBSTITUTE(SUBSTITUTE(VLOOKUP($A659,'Quarterly Pipeline vs Target Pi'!$A:$AP,26,false)," $","")," €",""), "")
)</f>
        <v>0</v>
      </c>
      <c r="AO659" s="1">
        <f>value(IFERROR(SUBSTITUTE(SUBSTITUTE(VLOOKUP($A659,'Quarterly Pipeline vs Target Pi'!$A:$AP,27,false)," $","")," €",""), "")
)</f>
        <v>0</v>
      </c>
      <c r="AP659" s="17" t="str">
        <f t="shared" si="15"/>
        <v/>
      </c>
      <c r="AQ659" s="1">
        <f>value(IFERROR(SUBSTITUTE(SUBSTITUTE(VLOOKUP($A659,'Quarterly Pipeline vs Target Pi'!$A:$AP,31,false)," $","")," €",""), "")
)</f>
        <v>0</v>
      </c>
      <c r="AR659" s="1">
        <f>value(IFERROR(SUBSTITUTE(SUBSTITUTE(VLOOKUP($A659,'Quarterly Pipeline vs Target Pi'!$A:$AP,32,false)," $","")," €",""), "")
)</f>
        <v>0</v>
      </c>
      <c r="AS659" s="17" t="str">
        <f t="shared" si="16"/>
        <v/>
      </c>
      <c r="AT659" s="1">
        <f>value(IFERROR(SUBSTITUTE(SUBSTITUTE(VLOOKUP($A659,'Quarterly Pipeline vs Target Pi'!$A:$AP,36,false)," $","")," €",""), "")
)</f>
        <v>0</v>
      </c>
      <c r="AU659" s="1">
        <f>value(IFERROR(SUBSTITUTE(SUBSTITUTE(VLOOKUP($A659,'Quarterly Pipeline vs Target Pi'!$A:$AP,37,false)," $","")," €",""), "")
)</f>
        <v>0</v>
      </c>
      <c r="AV659" s="17" t="str">
        <f t="shared" si="17"/>
        <v/>
      </c>
      <c r="AW659" s="1">
        <f>value(IFERROR(SUBSTITUTE(SUBSTITUTE(VLOOKUP($A659,'Quarterly Pipeline vs Target Pi'!$A:$AP,41,false)," $","")," €",""), "")
)</f>
        <v>0</v>
      </c>
      <c r="AX659" s="1">
        <f>value(IFERROR(SUBSTITUTE(SUBSTITUTE(VLOOKUP($A659,'Quarterly Pipeline vs Target Pi'!$A:$AP,42,false)," $","")," €",""), "")
)</f>
        <v>0</v>
      </c>
      <c r="AY659" s="17" t="str">
        <f t="shared" si="18"/>
        <v/>
      </c>
      <c r="AZ659" s="1">
        <f t="shared" ref="AZ659:BA659" si="1332">sum(AN659,AQ659,AT659,AW659)</f>
        <v>0</v>
      </c>
      <c r="BA659" s="1">
        <f t="shared" si="1332"/>
        <v>0</v>
      </c>
      <c r="BB659" s="17" t="str">
        <f t="shared" si="20"/>
        <v/>
      </c>
    </row>
    <row r="660">
      <c r="I660" s="17"/>
      <c r="L660" s="17"/>
      <c r="O660" s="17"/>
      <c r="P660" s="1">
        <f>value(SUBSTITUTE(IFERROR(VLOOKUP(A660,'Communications - Solution Speci'!A:G,6,false),""),"#","")
)</f>
        <v>0</v>
      </c>
      <c r="Q660" s="1">
        <f>value(SUBSTITUTE(IFERROR(VLOOKUP(A660,'Communications - Solution Speci'!A:G,7,false),""),"#","")
)</f>
        <v>0</v>
      </c>
      <c r="R660" s="17" t="str">
        <f t="shared" si="6"/>
        <v/>
      </c>
      <c r="S660" s="1">
        <f>value(SUBSTITUTE(IFERROR(VLOOKUP(A660,'Networking - Solution Specializ'!A:G,6,false),""),"#","")
)</f>
        <v>0</v>
      </c>
      <c r="T660" s="1">
        <f>value(SUBSTITUTE(IFERROR(VLOOKUP(A660,'Networking - Solution Specializ'!A:G,7,false),""),"#","")
)</f>
        <v>0</v>
      </c>
      <c r="U660" s="17" t="str">
        <f t="shared" si="7"/>
        <v/>
      </c>
      <c r="X660" s="17"/>
      <c r="Y660" s="1">
        <f>value(IFERROR(SUBSTITUTE(SUBSTITUTE(VLOOKUP(A660,'Quarterly Pipeline vs Target Pi'!A:G,6,false)," $","")," €",""), "")
)</f>
        <v>0</v>
      </c>
      <c r="Z660" s="1">
        <f>value(IFERROR(SUBSTITUTE(SUBSTITUTE(VLOOKUP(A660,'Quarterly Pipeline vs Target Pi'!A:G,7,false)," $","")," €",""), "")
)</f>
        <v>0</v>
      </c>
      <c r="AA660" s="17" t="str">
        <f t="shared" si="9"/>
        <v/>
      </c>
      <c r="AB660" s="1">
        <f>value(IFERROR(SUBSTITUTE(SUBSTITUTE(VLOOKUP($A660,'Quarterly Pipeline vs Target Pi'!$A:$V,11,false)," $","")," €",""), "")
)</f>
        <v>0</v>
      </c>
      <c r="AC660" s="1">
        <f>value(IFERROR(SUBSTITUTE(SUBSTITUTE(VLOOKUP($A660,'Quarterly Pipeline vs Target Pi'!$A:$V,12,false)," $","")," €",""), "")
)</f>
        <v>0</v>
      </c>
      <c r="AD660" s="17" t="str">
        <f t="shared" si="10"/>
        <v/>
      </c>
      <c r="AE660" s="1">
        <f>value(IFERROR(SUBSTITUTE(SUBSTITUTE(VLOOKUP($A660,'Quarterly Pipeline vs Target Pi'!$A:$V,16,false)," $","")," €",""), "")
)</f>
        <v>0</v>
      </c>
      <c r="AF660" s="1">
        <f>value(IFERROR(SUBSTITUTE(SUBSTITUTE(VLOOKUP($A660,'Quarterly Pipeline vs Target Pi'!$A:$V,17,false)," $","")," €",""), "")
)</f>
        <v>0</v>
      </c>
      <c r="AG660" s="17" t="str">
        <f t="shared" si="11"/>
        <v/>
      </c>
      <c r="AH660" s="1">
        <f>value(IFERROR(SUBSTITUTE(SUBSTITUTE(VLOOKUP($A660,'Quarterly Pipeline vs Target Pi'!$A:$V,21,false)," $","")," €",""), "")
)</f>
        <v>0</v>
      </c>
      <c r="AI660" s="1">
        <f>value(IFERROR(SUBSTITUTE(SUBSTITUTE(VLOOKUP($A660,'Quarterly Pipeline vs Target Pi'!$A:$V,22,false)," $","")," €",""), "")
)</f>
        <v>0</v>
      </c>
      <c r="AJ660" s="17" t="str">
        <f t="shared" si="12"/>
        <v/>
      </c>
      <c r="AK660" s="1">
        <f t="shared" ref="AK660:AL660" si="1333">sum(Y660,AB660,AE660,AH660)</f>
        <v>0</v>
      </c>
      <c r="AL660" s="1">
        <f t="shared" si="1333"/>
        <v>0</v>
      </c>
      <c r="AM660" s="17" t="str">
        <f t="shared" si="14"/>
        <v/>
      </c>
      <c r="AN660" s="1">
        <f>value(IFERROR(SUBSTITUTE(SUBSTITUTE(VLOOKUP($A660,'Quarterly Pipeline vs Target Pi'!$A:$AP,26,false)," $","")," €",""), "")
)</f>
        <v>0</v>
      </c>
      <c r="AO660" s="1">
        <f>value(IFERROR(SUBSTITUTE(SUBSTITUTE(VLOOKUP($A660,'Quarterly Pipeline vs Target Pi'!$A:$AP,27,false)," $","")," €",""), "")
)</f>
        <v>0</v>
      </c>
      <c r="AP660" s="17" t="str">
        <f t="shared" si="15"/>
        <v/>
      </c>
      <c r="AQ660" s="1">
        <f>value(IFERROR(SUBSTITUTE(SUBSTITUTE(VLOOKUP($A660,'Quarterly Pipeline vs Target Pi'!$A:$AP,31,false)," $","")," €",""), "")
)</f>
        <v>0</v>
      </c>
      <c r="AR660" s="1">
        <f>value(IFERROR(SUBSTITUTE(SUBSTITUTE(VLOOKUP($A660,'Quarterly Pipeline vs Target Pi'!$A:$AP,32,false)," $","")," €",""), "")
)</f>
        <v>0</v>
      </c>
      <c r="AS660" s="17" t="str">
        <f t="shared" si="16"/>
        <v/>
      </c>
      <c r="AT660" s="1">
        <f>value(IFERROR(SUBSTITUTE(SUBSTITUTE(VLOOKUP($A660,'Quarterly Pipeline vs Target Pi'!$A:$AP,36,false)," $","")," €",""), "")
)</f>
        <v>0</v>
      </c>
      <c r="AU660" s="1">
        <f>value(IFERROR(SUBSTITUTE(SUBSTITUTE(VLOOKUP($A660,'Quarterly Pipeline vs Target Pi'!$A:$AP,37,false)," $","")," €",""), "")
)</f>
        <v>0</v>
      </c>
      <c r="AV660" s="17" t="str">
        <f t="shared" si="17"/>
        <v/>
      </c>
      <c r="AW660" s="1">
        <f>value(IFERROR(SUBSTITUTE(SUBSTITUTE(VLOOKUP($A660,'Quarterly Pipeline vs Target Pi'!$A:$AP,41,false)," $","")," €",""), "")
)</f>
        <v>0</v>
      </c>
      <c r="AX660" s="1">
        <f>value(IFERROR(SUBSTITUTE(SUBSTITUTE(VLOOKUP($A660,'Quarterly Pipeline vs Target Pi'!$A:$AP,42,false)," $","")," €",""), "")
)</f>
        <v>0</v>
      </c>
      <c r="AY660" s="17" t="str">
        <f t="shared" si="18"/>
        <v/>
      </c>
      <c r="AZ660" s="1">
        <f t="shared" ref="AZ660:BA660" si="1334">sum(AN660,AQ660,AT660,AW660)</f>
        <v>0</v>
      </c>
      <c r="BA660" s="1">
        <f t="shared" si="1334"/>
        <v>0</v>
      </c>
      <c r="BB660" s="17" t="str">
        <f t="shared" si="20"/>
        <v/>
      </c>
    </row>
    <row r="661">
      <c r="I661" s="17"/>
      <c r="L661" s="17"/>
      <c r="O661" s="17"/>
      <c r="P661" s="1">
        <f>value(SUBSTITUTE(IFERROR(VLOOKUP(A661,'Communications - Solution Speci'!A:G,6,false),""),"#","")
)</f>
        <v>0</v>
      </c>
      <c r="Q661" s="1">
        <f>value(SUBSTITUTE(IFERROR(VLOOKUP(A661,'Communications - Solution Speci'!A:G,7,false),""),"#","")
)</f>
        <v>0</v>
      </c>
      <c r="R661" s="17" t="str">
        <f t="shared" si="6"/>
        <v/>
      </c>
      <c r="S661" s="1">
        <f>value(SUBSTITUTE(IFERROR(VLOOKUP(A661,'Networking - Solution Specializ'!A:G,6,false),""),"#","")
)</f>
        <v>0</v>
      </c>
      <c r="T661" s="1">
        <f>value(SUBSTITUTE(IFERROR(VLOOKUP(A661,'Networking - Solution Specializ'!A:G,7,false),""),"#","")
)</f>
        <v>0</v>
      </c>
      <c r="U661" s="17" t="str">
        <f t="shared" si="7"/>
        <v/>
      </c>
      <c r="X661" s="17"/>
      <c r="Y661" s="1">
        <f>value(IFERROR(SUBSTITUTE(SUBSTITUTE(VLOOKUP(A661,'Quarterly Pipeline vs Target Pi'!A:G,6,false)," $","")," €",""), "")
)</f>
        <v>0</v>
      </c>
      <c r="Z661" s="1">
        <f>value(IFERROR(SUBSTITUTE(SUBSTITUTE(VLOOKUP(A661,'Quarterly Pipeline vs Target Pi'!A:G,7,false)," $","")," €",""), "")
)</f>
        <v>0</v>
      </c>
      <c r="AA661" s="17" t="str">
        <f t="shared" si="9"/>
        <v/>
      </c>
      <c r="AB661" s="1">
        <f>value(IFERROR(SUBSTITUTE(SUBSTITUTE(VLOOKUP($A661,'Quarterly Pipeline vs Target Pi'!$A:$V,11,false)," $","")," €",""), "")
)</f>
        <v>0</v>
      </c>
      <c r="AC661" s="1">
        <f>value(IFERROR(SUBSTITUTE(SUBSTITUTE(VLOOKUP($A661,'Quarterly Pipeline vs Target Pi'!$A:$V,12,false)," $","")," €",""), "")
)</f>
        <v>0</v>
      </c>
      <c r="AD661" s="17" t="str">
        <f t="shared" si="10"/>
        <v/>
      </c>
      <c r="AE661" s="1">
        <f>value(IFERROR(SUBSTITUTE(SUBSTITUTE(VLOOKUP($A661,'Quarterly Pipeline vs Target Pi'!$A:$V,16,false)," $","")," €",""), "")
)</f>
        <v>0</v>
      </c>
      <c r="AF661" s="1">
        <f>value(IFERROR(SUBSTITUTE(SUBSTITUTE(VLOOKUP($A661,'Quarterly Pipeline vs Target Pi'!$A:$V,17,false)," $","")," €",""), "")
)</f>
        <v>0</v>
      </c>
      <c r="AG661" s="17" t="str">
        <f t="shared" si="11"/>
        <v/>
      </c>
      <c r="AH661" s="1">
        <f>value(IFERROR(SUBSTITUTE(SUBSTITUTE(VLOOKUP($A661,'Quarterly Pipeline vs Target Pi'!$A:$V,21,false)," $","")," €",""), "")
)</f>
        <v>0</v>
      </c>
      <c r="AI661" s="1">
        <f>value(IFERROR(SUBSTITUTE(SUBSTITUTE(VLOOKUP($A661,'Quarterly Pipeline vs Target Pi'!$A:$V,22,false)," $","")," €",""), "")
)</f>
        <v>0</v>
      </c>
      <c r="AJ661" s="17" t="str">
        <f t="shared" si="12"/>
        <v/>
      </c>
      <c r="AK661" s="1">
        <f t="shared" ref="AK661:AL661" si="1335">sum(Y661,AB661,AE661,AH661)</f>
        <v>0</v>
      </c>
      <c r="AL661" s="1">
        <f t="shared" si="1335"/>
        <v>0</v>
      </c>
      <c r="AM661" s="17" t="str">
        <f t="shared" si="14"/>
        <v/>
      </c>
      <c r="AN661" s="1">
        <f>value(IFERROR(SUBSTITUTE(SUBSTITUTE(VLOOKUP($A661,'Quarterly Pipeline vs Target Pi'!$A:$AP,26,false)," $","")," €",""), "")
)</f>
        <v>0</v>
      </c>
      <c r="AO661" s="1">
        <f>value(IFERROR(SUBSTITUTE(SUBSTITUTE(VLOOKUP($A661,'Quarterly Pipeline vs Target Pi'!$A:$AP,27,false)," $","")," €",""), "")
)</f>
        <v>0</v>
      </c>
      <c r="AP661" s="17" t="str">
        <f t="shared" si="15"/>
        <v/>
      </c>
      <c r="AQ661" s="1">
        <f>value(IFERROR(SUBSTITUTE(SUBSTITUTE(VLOOKUP($A661,'Quarterly Pipeline vs Target Pi'!$A:$AP,31,false)," $","")," €",""), "")
)</f>
        <v>0</v>
      </c>
      <c r="AR661" s="1">
        <f>value(IFERROR(SUBSTITUTE(SUBSTITUTE(VLOOKUP($A661,'Quarterly Pipeline vs Target Pi'!$A:$AP,32,false)," $","")," €",""), "")
)</f>
        <v>0</v>
      </c>
      <c r="AS661" s="17" t="str">
        <f t="shared" si="16"/>
        <v/>
      </c>
      <c r="AT661" s="1">
        <f>value(IFERROR(SUBSTITUTE(SUBSTITUTE(VLOOKUP($A661,'Quarterly Pipeline vs Target Pi'!$A:$AP,36,false)," $","")," €",""), "")
)</f>
        <v>0</v>
      </c>
      <c r="AU661" s="1">
        <f>value(IFERROR(SUBSTITUTE(SUBSTITUTE(VLOOKUP($A661,'Quarterly Pipeline vs Target Pi'!$A:$AP,37,false)," $","")," €",""), "")
)</f>
        <v>0</v>
      </c>
      <c r="AV661" s="17" t="str">
        <f t="shared" si="17"/>
        <v/>
      </c>
      <c r="AW661" s="1">
        <f>value(IFERROR(SUBSTITUTE(SUBSTITUTE(VLOOKUP($A661,'Quarterly Pipeline vs Target Pi'!$A:$AP,41,false)," $","")," €",""), "")
)</f>
        <v>0</v>
      </c>
      <c r="AX661" s="1">
        <f>value(IFERROR(SUBSTITUTE(SUBSTITUTE(VLOOKUP($A661,'Quarterly Pipeline vs Target Pi'!$A:$AP,42,false)," $","")," €",""), "")
)</f>
        <v>0</v>
      </c>
      <c r="AY661" s="17" t="str">
        <f t="shared" si="18"/>
        <v/>
      </c>
      <c r="AZ661" s="1">
        <f t="shared" ref="AZ661:BA661" si="1336">sum(AN661,AQ661,AT661,AW661)</f>
        <v>0</v>
      </c>
      <c r="BA661" s="1">
        <f t="shared" si="1336"/>
        <v>0</v>
      </c>
      <c r="BB661" s="17" t="str">
        <f t="shared" si="20"/>
        <v/>
      </c>
    </row>
    <row r="662">
      <c r="I662" s="17"/>
      <c r="L662" s="17"/>
      <c r="O662" s="17"/>
      <c r="P662" s="1">
        <f>value(SUBSTITUTE(IFERROR(VLOOKUP(A662,'Communications - Solution Speci'!A:G,6,false),""),"#","")
)</f>
        <v>0</v>
      </c>
      <c r="Q662" s="1">
        <f>value(SUBSTITUTE(IFERROR(VLOOKUP(A662,'Communications - Solution Speci'!A:G,7,false),""),"#","")
)</f>
        <v>0</v>
      </c>
      <c r="R662" s="17" t="str">
        <f t="shared" si="6"/>
        <v/>
      </c>
      <c r="S662" s="1">
        <f>value(SUBSTITUTE(IFERROR(VLOOKUP(A662,'Networking - Solution Specializ'!A:G,6,false),""),"#","")
)</f>
        <v>0</v>
      </c>
      <c r="T662" s="1">
        <f>value(SUBSTITUTE(IFERROR(VLOOKUP(A662,'Networking - Solution Specializ'!A:G,7,false),""),"#","")
)</f>
        <v>0</v>
      </c>
      <c r="U662" s="17" t="str">
        <f t="shared" si="7"/>
        <v/>
      </c>
      <c r="X662" s="17"/>
      <c r="Y662" s="1">
        <f>value(IFERROR(SUBSTITUTE(SUBSTITUTE(VLOOKUP(A662,'Quarterly Pipeline vs Target Pi'!A:G,6,false)," $","")," €",""), "")
)</f>
        <v>0</v>
      </c>
      <c r="Z662" s="1">
        <f>value(IFERROR(SUBSTITUTE(SUBSTITUTE(VLOOKUP(A662,'Quarterly Pipeline vs Target Pi'!A:G,7,false)," $","")," €",""), "")
)</f>
        <v>0</v>
      </c>
      <c r="AA662" s="17" t="str">
        <f t="shared" si="9"/>
        <v/>
      </c>
      <c r="AB662" s="1">
        <f>value(IFERROR(SUBSTITUTE(SUBSTITUTE(VLOOKUP($A662,'Quarterly Pipeline vs Target Pi'!$A:$V,11,false)," $","")," €",""), "")
)</f>
        <v>0</v>
      </c>
      <c r="AC662" s="1">
        <f>value(IFERROR(SUBSTITUTE(SUBSTITUTE(VLOOKUP($A662,'Quarterly Pipeline vs Target Pi'!$A:$V,12,false)," $","")," €",""), "")
)</f>
        <v>0</v>
      </c>
      <c r="AD662" s="17" t="str">
        <f t="shared" si="10"/>
        <v/>
      </c>
      <c r="AE662" s="1">
        <f>value(IFERROR(SUBSTITUTE(SUBSTITUTE(VLOOKUP($A662,'Quarterly Pipeline vs Target Pi'!$A:$V,16,false)," $","")," €",""), "")
)</f>
        <v>0</v>
      </c>
      <c r="AF662" s="1">
        <f>value(IFERROR(SUBSTITUTE(SUBSTITUTE(VLOOKUP($A662,'Quarterly Pipeline vs Target Pi'!$A:$V,17,false)," $","")," €",""), "")
)</f>
        <v>0</v>
      </c>
      <c r="AG662" s="17" t="str">
        <f t="shared" si="11"/>
        <v/>
      </c>
      <c r="AH662" s="1">
        <f>value(IFERROR(SUBSTITUTE(SUBSTITUTE(VLOOKUP($A662,'Quarterly Pipeline vs Target Pi'!$A:$V,21,false)," $","")," €",""), "")
)</f>
        <v>0</v>
      </c>
      <c r="AI662" s="1">
        <f>value(IFERROR(SUBSTITUTE(SUBSTITUTE(VLOOKUP($A662,'Quarterly Pipeline vs Target Pi'!$A:$V,22,false)," $","")," €",""), "")
)</f>
        <v>0</v>
      </c>
      <c r="AJ662" s="17" t="str">
        <f t="shared" si="12"/>
        <v/>
      </c>
      <c r="AK662" s="1">
        <f t="shared" ref="AK662:AL662" si="1337">sum(Y662,AB662,AE662,AH662)</f>
        <v>0</v>
      </c>
      <c r="AL662" s="1">
        <f t="shared" si="1337"/>
        <v>0</v>
      </c>
      <c r="AM662" s="17" t="str">
        <f t="shared" si="14"/>
        <v/>
      </c>
      <c r="AN662" s="1">
        <f>value(IFERROR(SUBSTITUTE(SUBSTITUTE(VLOOKUP($A662,'Quarterly Pipeline vs Target Pi'!$A:$AP,26,false)," $","")," €",""), "")
)</f>
        <v>0</v>
      </c>
      <c r="AO662" s="1">
        <f>value(IFERROR(SUBSTITUTE(SUBSTITUTE(VLOOKUP($A662,'Quarterly Pipeline vs Target Pi'!$A:$AP,27,false)," $","")," €",""), "")
)</f>
        <v>0</v>
      </c>
      <c r="AP662" s="17" t="str">
        <f t="shared" si="15"/>
        <v/>
      </c>
      <c r="AQ662" s="1">
        <f>value(IFERROR(SUBSTITUTE(SUBSTITUTE(VLOOKUP($A662,'Quarterly Pipeline vs Target Pi'!$A:$AP,31,false)," $","")," €",""), "")
)</f>
        <v>0</v>
      </c>
      <c r="AR662" s="1">
        <f>value(IFERROR(SUBSTITUTE(SUBSTITUTE(VLOOKUP($A662,'Quarterly Pipeline vs Target Pi'!$A:$AP,32,false)," $","")," €",""), "")
)</f>
        <v>0</v>
      </c>
      <c r="AS662" s="17" t="str">
        <f t="shared" si="16"/>
        <v/>
      </c>
      <c r="AT662" s="1">
        <f>value(IFERROR(SUBSTITUTE(SUBSTITUTE(VLOOKUP($A662,'Quarterly Pipeline vs Target Pi'!$A:$AP,36,false)," $","")," €",""), "")
)</f>
        <v>0</v>
      </c>
      <c r="AU662" s="1">
        <f>value(IFERROR(SUBSTITUTE(SUBSTITUTE(VLOOKUP($A662,'Quarterly Pipeline vs Target Pi'!$A:$AP,37,false)," $","")," €",""), "")
)</f>
        <v>0</v>
      </c>
      <c r="AV662" s="17" t="str">
        <f t="shared" si="17"/>
        <v/>
      </c>
      <c r="AW662" s="1">
        <f>value(IFERROR(SUBSTITUTE(SUBSTITUTE(VLOOKUP($A662,'Quarterly Pipeline vs Target Pi'!$A:$AP,41,false)," $","")," €",""), "")
)</f>
        <v>0</v>
      </c>
      <c r="AX662" s="1">
        <f>value(IFERROR(SUBSTITUTE(SUBSTITUTE(VLOOKUP($A662,'Quarterly Pipeline vs Target Pi'!$A:$AP,42,false)," $","")," €",""), "")
)</f>
        <v>0</v>
      </c>
      <c r="AY662" s="17" t="str">
        <f t="shared" si="18"/>
        <v/>
      </c>
      <c r="AZ662" s="1">
        <f t="shared" ref="AZ662:BA662" si="1338">sum(AN662,AQ662,AT662,AW662)</f>
        <v>0</v>
      </c>
      <c r="BA662" s="1">
        <f t="shared" si="1338"/>
        <v>0</v>
      </c>
      <c r="BB662" s="17" t="str">
        <f t="shared" si="20"/>
        <v/>
      </c>
    </row>
    <row r="663">
      <c r="I663" s="17"/>
      <c r="L663" s="17"/>
      <c r="O663" s="17"/>
      <c r="P663" s="1">
        <f>value(SUBSTITUTE(IFERROR(VLOOKUP(A663,'Communications - Solution Speci'!A:G,6,false),""),"#","")
)</f>
        <v>0</v>
      </c>
      <c r="Q663" s="1">
        <f>value(SUBSTITUTE(IFERROR(VLOOKUP(A663,'Communications - Solution Speci'!A:G,7,false),""),"#","")
)</f>
        <v>0</v>
      </c>
      <c r="R663" s="17" t="str">
        <f t="shared" si="6"/>
        <v/>
      </c>
      <c r="S663" s="1">
        <f>value(SUBSTITUTE(IFERROR(VLOOKUP(A663,'Networking - Solution Specializ'!A:G,6,false),""),"#","")
)</f>
        <v>0</v>
      </c>
      <c r="T663" s="1">
        <f>value(SUBSTITUTE(IFERROR(VLOOKUP(A663,'Networking - Solution Specializ'!A:G,7,false),""),"#","")
)</f>
        <v>0</v>
      </c>
      <c r="U663" s="17" t="str">
        <f t="shared" si="7"/>
        <v/>
      </c>
      <c r="X663" s="17"/>
      <c r="Y663" s="1">
        <f>value(IFERROR(SUBSTITUTE(SUBSTITUTE(VLOOKUP(A663,'Quarterly Pipeline vs Target Pi'!A:G,6,false)," $","")," €",""), "")
)</f>
        <v>0</v>
      </c>
      <c r="Z663" s="1">
        <f>value(IFERROR(SUBSTITUTE(SUBSTITUTE(VLOOKUP(A663,'Quarterly Pipeline vs Target Pi'!A:G,7,false)," $","")," €",""), "")
)</f>
        <v>0</v>
      </c>
      <c r="AA663" s="17" t="str">
        <f t="shared" si="9"/>
        <v/>
      </c>
      <c r="AB663" s="1">
        <f>value(IFERROR(SUBSTITUTE(SUBSTITUTE(VLOOKUP($A663,'Quarterly Pipeline vs Target Pi'!$A:$V,11,false)," $","")," €",""), "")
)</f>
        <v>0</v>
      </c>
      <c r="AC663" s="1">
        <f>value(IFERROR(SUBSTITUTE(SUBSTITUTE(VLOOKUP($A663,'Quarterly Pipeline vs Target Pi'!$A:$V,12,false)," $","")," €",""), "")
)</f>
        <v>0</v>
      </c>
      <c r="AD663" s="17" t="str">
        <f t="shared" si="10"/>
        <v/>
      </c>
      <c r="AE663" s="1">
        <f>value(IFERROR(SUBSTITUTE(SUBSTITUTE(VLOOKUP($A663,'Quarterly Pipeline vs Target Pi'!$A:$V,16,false)," $","")," €",""), "")
)</f>
        <v>0</v>
      </c>
      <c r="AF663" s="1">
        <f>value(IFERROR(SUBSTITUTE(SUBSTITUTE(VLOOKUP($A663,'Quarterly Pipeline vs Target Pi'!$A:$V,17,false)," $","")," €",""), "")
)</f>
        <v>0</v>
      </c>
      <c r="AG663" s="17" t="str">
        <f t="shared" si="11"/>
        <v/>
      </c>
      <c r="AH663" s="1">
        <f>value(IFERROR(SUBSTITUTE(SUBSTITUTE(VLOOKUP($A663,'Quarterly Pipeline vs Target Pi'!$A:$V,21,false)," $","")," €",""), "")
)</f>
        <v>0</v>
      </c>
      <c r="AI663" s="1">
        <f>value(IFERROR(SUBSTITUTE(SUBSTITUTE(VLOOKUP($A663,'Quarterly Pipeline vs Target Pi'!$A:$V,22,false)," $","")," €",""), "")
)</f>
        <v>0</v>
      </c>
      <c r="AJ663" s="17" t="str">
        <f t="shared" si="12"/>
        <v/>
      </c>
      <c r="AK663" s="1">
        <f t="shared" ref="AK663:AL663" si="1339">sum(Y663,AB663,AE663,AH663)</f>
        <v>0</v>
      </c>
      <c r="AL663" s="1">
        <f t="shared" si="1339"/>
        <v>0</v>
      </c>
      <c r="AM663" s="17" t="str">
        <f t="shared" si="14"/>
        <v/>
      </c>
      <c r="AN663" s="1">
        <f>value(IFERROR(SUBSTITUTE(SUBSTITUTE(VLOOKUP($A663,'Quarterly Pipeline vs Target Pi'!$A:$AP,26,false)," $","")," €",""), "")
)</f>
        <v>0</v>
      </c>
      <c r="AO663" s="1">
        <f>value(IFERROR(SUBSTITUTE(SUBSTITUTE(VLOOKUP($A663,'Quarterly Pipeline vs Target Pi'!$A:$AP,27,false)," $","")," €",""), "")
)</f>
        <v>0</v>
      </c>
      <c r="AP663" s="17" t="str">
        <f t="shared" si="15"/>
        <v/>
      </c>
      <c r="AQ663" s="1">
        <f>value(IFERROR(SUBSTITUTE(SUBSTITUTE(VLOOKUP($A663,'Quarterly Pipeline vs Target Pi'!$A:$AP,31,false)," $","")," €",""), "")
)</f>
        <v>0</v>
      </c>
      <c r="AR663" s="1">
        <f>value(IFERROR(SUBSTITUTE(SUBSTITUTE(VLOOKUP($A663,'Quarterly Pipeline vs Target Pi'!$A:$AP,32,false)," $","")," €",""), "")
)</f>
        <v>0</v>
      </c>
      <c r="AS663" s="17" t="str">
        <f t="shared" si="16"/>
        <v/>
      </c>
      <c r="AT663" s="1">
        <f>value(IFERROR(SUBSTITUTE(SUBSTITUTE(VLOOKUP($A663,'Quarterly Pipeline vs Target Pi'!$A:$AP,36,false)," $","")," €",""), "")
)</f>
        <v>0</v>
      </c>
      <c r="AU663" s="1">
        <f>value(IFERROR(SUBSTITUTE(SUBSTITUTE(VLOOKUP($A663,'Quarterly Pipeline vs Target Pi'!$A:$AP,37,false)," $","")," €",""), "")
)</f>
        <v>0</v>
      </c>
      <c r="AV663" s="17" t="str">
        <f t="shared" si="17"/>
        <v/>
      </c>
      <c r="AW663" s="1">
        <f>value(IFERROR(SUBSTITUTE(SUBSTITUTE(VLOOKUP($A663,'Quarterly Pipeline vs Target Pi'!$A:$AP,41,false)," $","")," €",""), "")
)</f>
        <v>0</v>
      </c>
      <c r="AX663" s="1">
        <f>value(IFERROR(SUBSTITUTE(SUBSTITUTE(VLOOKUP($A663,'Quarterly Pipeline vs Target Pi'!$A:$AP,42,false)," $","")," €",""), "")
)</f>
        <v>0</v>
      </c>
      <c r="AY663" s="17" t="str">
        <f t="shared" si="18"/>
        <v/>
      </c>
      <c r="AZ663" s="1">
        <f t="shared" ref="AZ663:BA663" si="1340">sum(AN663,AQ663,AT663,AW663)</f>
        <v>0</v>
      </c>
      <c r="BA663" s="1">
        <f t="shared" si="1340"/>
        <v>0</v>
      </c>
      <c r="BB663" s="17" t="str">
        <f t="shared" si="20"/>
        <v/>
      </c>
    </row>
    <row r="664">
      <c r="I664" s="17"/>
      <c r="L664" s="17"/>
      <c r="O664" s="17"/>
      <c r="P664" s="1">
        <f>value(SUBSTITUTE(IFERROR(VLOOKUP(A664,'Communications - Solution Speci'!A:G,6,false),""),"#","")
)</f>
        <v>0</v>
      </c>
      <c r="Q664" s="1">
        <f>value(SUBSTITUTE(IFERROR(VLOOKUP(A664,'Communications - Solution Speci'!A:G,7,false),""),"#","")
)</f>
        <v>0</v>
      </c>
      <c r="R664" s="17" t="str">
        <f t="shared" si="6"/>
        <v/>
      </c>
      <c r="S664" s="1">
        <f>value(SUBSTITUTE(IFERROR(VLOOKUP(A664,'Networking - Solution Specializ'!A:G,6,false),""),"#","")
)</f>
        <v>0</v>
      </c>
      <c r="T664" s="1">
        <f>value(SUBSTITUTE(IFERROR(VLOOKUP(A664,'Networking - Solution Specializ'!A:G,7,false),""),"#","")
)</f>
        <v>0</v>
      </c>
      <c r="U664" s="17" t="str">
        <f t="shared" si="7"/>
        <v/>
      </c>
      <c r="X664" s="17"/>
      <c r="Y664" s="1">
        <f>value(IFERROR(SUBSTITUTE(SUBSTITUTE(VLOOKUP(A664,'Quarterly Pipeline vs Target Pi'!A:G,6,false)," $","")," €",""), "")
)</f>
        <v>0</v>
      </c>
      <c r="Z664" s="1">
        <f>value(IFERROR(SUBSTITUTE(SUBSTITUTE(VLOOKUP(A664,'Quarterly Pipeline vs Target Pi'!A:G,7,false)," $","")," €",""), "")
)</f>
        <v>0</v>
      </c>
      <c r="AA664" s="17" t="str">
        <f t="shared" si="9"/>
        <v/>
      </c>
      <c r="AB664" s="1">
        <f>value(IFERROR(SUBSTITUTE(SUBSTITUTE(VLOOKUP($A664,'Quarterly Pipeline vs Target Pi'!$A:$V,11,false)," $","")," €",""), "")
)</f>
        <v>0</v>
      </c>
      <c r="AC664" s="1">
        <f>value(IFERROR(SUBSTITUTE(SUBSTITUTE(VLOOKUP($A664,'Quarterly Pipeline vs Target Pi'!$A:$V,12,false)," $","")," €",""), "")
)</f>
        <v>0</v>
      </c>
      <c r="AD664" s="17" t="str">
        <f t="shared" si="10"/>
        <v/>
      </c>
      <c r="AE664" s="1">
        <f>value(IFERROR(SUBSTITUTE(SUBSTITUTE(VLOOKUP($A664,'Quarterly Pipeline vs Target Pi'!$A:$V,16,false)," $","")," €",""), "")
)</f>
        <v>0</v>
      </c>
      <c r="AF664" s="1">
        <f>value(IFERROR(SUBSTITUTE(SUBSTITUTE(VLOOKUP($A664,'Quarterly Pipeline vs Target Pi'!$A:$V,17,false)," $","")," €",""), "")
)</f>
        <v>0</v>
      </c>
      <c r="AG664" s="17" t="str">
        <f t="shared" si="11"/>
        <v/>
      </c>
      <c r="AH664" s="1">
        <f>value(IFERROR(SUBSTITUTE(SUBSTITUTE(VLOOKUP($A664,'Quarterly Pipeline vs Target Pi'!$A:$V,21,false)," $","")," €",""), "")
)</f>
        <v>0</v>
      </c>
      <c r="AI664" s="1">
        <f>value(IFERROR(SUBSTITUTE(SUBSTITUTE(VLOOKUP($A664,'Quarterly Pipeline vs Target Pi'!$A:$V,22,false)," $","")," €",""), "")
)</f>
        <v>0</v>
      </c>
      <c r="AJ664" s="17" t="str">
        <f t="shared" si="12"/>
        <v/>
      </c>
      <c r="AK664" s="1">
        <f t="shared" ref="AK664:AL664" si="1341">sum(Y664,AB664,AE664,AH664)</f>
        <v>0</v>
      </c>
      <c r="AL664" s="1">
        <f t="shared" si="1341"/>
        <v>0</v>
      </c>
      <c r="AM664" s="17" t="str">
        <f t="shared" si="14"/>
        <v/>
      </c>
      <c r="AN664" s="1">
        <f>value(IFERROR(SUBSTITUTE(SUBSTITUTE(VLOOKUP($A664,'Quarterly Pipeline vs Target Pi'!$A:$AP,26,false)," $","")," €",""), "")
)</f>
        <v>0</v>
      </c>
      <c r="AO664" s="1">
        <f>value(IFERROR(SUBSTITUTE(SUBSTITUTE(VLOOKUP($A664,'Quarterly Pipeline vs Target Pi'!$A:$AP,27,false)," $","")," €",""), "")
)</f>
        <v>0</v>
      </c>
      <c r="AP664" s="17" t="str">
        <f t="shared" si="15"/>
        <v/>
      </c>
      <c r="AQ664" s="1">
        <f>value(IFERROR(SUBSTITUTE(SUBSTITUTE(VLOOKUP($A664,'Quarterly Pipeline vs Target Pi'!$A:$AP,31,false)," $","")," €",""), "")
)</f>
        <v>0</v>
      </c>
      <c r="AR664" s="1">
        <f>value(IFERROR(SUBSTITUTE(SUBSTITUTE(VLOOKUP($A664,'Quarterly Pipeline vs Target Pi'!$A:$AP,32,false)," $","")," €",""), "")
)</f>
        <v>0</v>
      </c>
      <c r="AS664" s="17" t="str">
        <f t="shared" si="16"/>
        <v/>
      </c>
      <c r="AT664" s="1">
        <f>value(IFERROR(SUBSTITUTE(SUBSTITUTE(VLOOKUP($A664,'Quarterly Pipeline vs Target Pi'!$A:$AP,36,false)," $","")," €",""), "")
)</f>
        <v>0</v>
      </c>
      <c r="AU664" s="1">
        <f>value(IFERROR(SUBSTITUTE(SUBSTITUTE(VLOOKUP($A664,'Quarterly Pipeline vs Target Pi'!$A:$AP,37,false)," $","")," €",""), "")
)</f>
        <v>0</v>
      </c>
      <c r="AV664" s="17" t="str">
        <f t="shared" si="17"/>
        <v/>
      </c>
      <c r="AW664" s="1">
        <f>value(IFERROR(SUBSTITUTE(SUBSTITUTE(VLOOKUP($A664,'Quarterly Pipeline vs Target Pi'!$A:$AP,41,false)," $","")," €",""), "")
)</f>
        <v>0</v>
      </c>
      <c r="AX664" s="1">
        <f>value(IFERROR(SUBSTITUTE(SUBSTITUTE(VLOOKUP($A664,'Quarterly Pipeline vs Target Pi'!$A:$AP,42,false)," $","")," €",""), "")
)</f>
        <v>0</v>
      </c>
      <c r="AY664" s="17" t="str">
        <f t="shared" si="18"/>
        <v/>
      </c>
      <c r="AZ664" s="1">
        <f t="shared" ref="AZ664:BA664" si="1342">sum(AN664,AQ664,AT664,AW664)</f>
        <v>0</v>
      </c>
      <c r="BA664" s="1">
        <f t="shared" si="1342"/>
        <v>0</v>
      </c>
      <c r="BB664" s="17" t="str">
        <f t="shared" si="20"/>
        <v/>
      </c>
    </row>
    <row r="665">
      <c r="I665" s="17"/>
      <c r="L665" s="17"/>
      <c r="O665" s="17"/>
      <c r="P665" s="1">
        <f>value(SUBSTITUTE(IFERROR(VLOOKUP(A665,'Communications - Solution Speci'!A:G,6,false),""),"#","")
)</f>
        <v>0</v>
      </c>
      <c r="Q665" s="1">
        <f>value(SUBSTITUTE(IFERROR(VLOOKUP(A665,'Communications - Solution Speci'!A:G,7,false),""),"#","")
)</f>
        <v>0</v>
      </c>
      <c r="R665" s="17" t="str">
        <f t="shared" si="6"/>
        <v/>
      </c>
      <c r="S665" s="1">
        <f>value(SUBSTITUTE(IFERROR(VLOOKUP(A665,'Networking - Solution Specializ'!A:G,6,false),""),"#","")
)</f>
        <v>0</v>
      </c>
      <c r="T665" s="1">
        <f>value(SUBSTITUTE(IFERROR(VLOOKUP(A665,'Networking - Solution Specializ'!A:G,7,false),""),"#","")
)</f>
        <v>0</v>
      </c>
      <c r="U665" s="17" t="str">
        <f t="shared" si="7"/>
        <v/>
      </c>
      <c r="X665" s="17"/>
      <c r="Y665" s="1">
        <f>value(IFERROR(SUBSTITUTE(SUBSTITUTE(VLOOKUP(A665,'Quarterly Pipeline vs Target Pi'!A:G,6,false)," $","")," €",""), "")
)</f>
        <v>0</v>
      </c>
      <c r="Z665" s="1">
        <f>value(IFERROR(SUBSTITUTE(SUBSTITUTE(VLOOKUP(A665,'Quarterly Pipeline vs Target Pi'!A:G,7,false)," $","")," €",""), "")
)</f>
        <v>0</v>
      </c>
      <c r="AA665" s="17" t="str">
        <f t="shared" si="9"/>
        <v/>
      </c>
      <c r="AB665" s="1">
        <f>value(IFERROR(SUBSTITUTE(SUBSTITUTE(VLOOKUP($A665,'Quarterly Pipeline vs Target Pi'!$A:$V,11,false)," $","")," €",""), "")
)</f>
        <v>0</v>
      </c>
      <c r="AC665" s="1">
        <f>value(IFERROR(SUBSTITUTE(SUBSTITUTE(VLOOKUP($A665,'Quarterly Pipeline vs Target Pi'!$A:$V,12,false)," $","")," €",""), "")
)</f>
        <v>0</v>
      </c>
      <c r="AD665" s="17" t="str">
        <f t="shared" si="10"/>
        <v/>
      </c>
      <c r="AE665" s="1">
        <f>value(IFERROR(SUBSTITUTE(SUBSTITUTE(VLOOKUP($A665,'Quarterly Pipeline vs Target Pi'!$A:$V,16,false)," $","")," €",""), "")
)</f>
        <v>0</v>
      </c>
      <c r="AF665" s="1">
        <f>value(IFERROR(SUBSTITUTE(SUBSTITUTE(VLOOKUP($A665,'Quarterly Pipeline vs Target Pi'!$A:$V,17,false)," $","")," €",""), "")
)</f>
        <v>0</v>
      </c>
      <c r="AG665" s="17" t="str">
        <f t="shared" si="11"/>
        <v/>
      </c>
      <c r="AH665" s="1">
        <f>value(IFERROR(SUBSTITUTE(SUBSTITUTE(VLOOKUP($A665,'Quarterly Pipeline vs Target Pi'!$A:$V,21,false)," $","")," €",""), "")
)</f>
        <v>0</v>
      </c>
      <c r="AI665" s="1">
        <f>value(IFERROR(SUBSTITUTE(SUBSTITUTE(VLOOKUP($A665,'Quarterly Pipeline vs Target Pi'!$A:$V,22,false)," $","")," €",""), "")
)</f>
        <v>0</v>
      </c>
      <c r="AJ665" s="17" t="str">
        <f t="shared" si="12"/>
        <v/>
      </c>
      <c r="AK665" s="1">
        <f t="shared" ref="AK665:AL665" si="1343">sum(Y665,AB665,AE665,AH665)</f>
        <v>0</v>
      </c>
      <c r="AL665" s="1">
        <f t="shared" si="1343"/>
        <v>0</v>
      </c>
      <c r="AM665" s="17" t="str">
        <f t="shared" si="14"/>
        <v/>
      </c>
      <c r="AN665" s="1">
        <f>value(IFERROR(SUBSTITUTE(SUBSTITUTE(VLOOKUP($A665,'Quarterly Pipeline vs Target Pi'!$A:$AP,26,false)," $","")," €",""), "")
)</f>
        <v>0</v>
      </c>
      <c r="AO665" s="1">
        <f>value(IFERROR(SUBSTITUTE(SUBSTITUTE(VLOOKUP($A665,'Quarterly Pipeline vs Target Pi'!$A:$AP,27,false)," $","")," €",""), "")
)</f>
        <v>0</v>
      </c>
      <c r="AP665" s="17" t="str">
        <f t="shared" si="15"/>
        <v/>
      </c>
      <c r="AQ665" s="1">
        <f>value(IFERROR(SUBSTITUTE(SUBSTITUTE(VLOOKUP($A665,'Quarterly Pipeline vs Target Pi'!$A:$AP,31,false)," $","")," €",""), "")
)</f>
        <v>0</v>
      </c>
      <c r="AR665" s="1">
        <f>value(IFERROR(SUBSTITUTE(SUBSTITUTE(VLOOKUP($A665,'Quarterly Pipeline vs Target Pi'!$A:$AP,32,false)," $","")," €",""), "")
)</f>
        <v>0</v>
      </c>
      <c r="AS665" s="17" t="str">
        <f t="shared" si="16"/>
        <v/>
      </c>
      <c r="AT665" s="1">
        <f>value(IFERROR(SUBSTITUTE(SUBSTITUTE(VLOOKUP($A665,'Quarterly Pipeline vs Target Pi'!$A:$AP,36,false)," $","")," €",""), "")
)</f>
        <v>0</v>
      </c>
      <c r="AU665" s="1">
        <f>value(IFERROR(SUBSTITUTE(SUBSTITUTE(VLOOKUP($A665,'Quarterly Pipeline vs Target Pi'!$A:$AP,37,false)," $","")," €",""), "")
)</f>
        <v>0</v>
      </c>
      <c r="AV665" s="17" t="str">
        <f t="shared" si="17"/>
        <v/>
      </c>
      <c r="AW665" s="1">
        <f>value(IFERROR(SUBSTITUTE(SUBSTITUTE(VLOOKUP($A665,'Quarterly Pipeline vs Target Pi'!$A:$AP,41,false)," $","")," €",""), "")
)</f>
        <v>0</v>
      </c>
      <c r="AX665" s="1">
        <f>value(IFERROR(SUBSTITUTE(SUBSTITUTE(VLOOKUP($A665,'Quarterly Pipeline vs Target Pi'!$A:$AP,42,false)," $","")," €",""), "")
)</f>
        <v>0</v>
      </c>
      <c r="AY665" s="17" t="str">
        <f t="shared" si="18"/>
        <v/>
      </c>
      <c r="AZ665" s="1">
        <f t="shared" ref="AZ665:BA665" si="1344">sum(AN665,AQ665,AT665,AW665)</f>
        <v>0</v>
      </c>
      <c r="BA665" s="1">
        <f t="shared" si="1344"/>
        <v>0</v>
      </c>
      <c r="BB665" s="17" t="str">
        <f t="shared" si="20"/>
        <v/>
      </c>
    </row>
    <row r="666">
      <c r="I666" s="17"/>
      <c r="L666" s="17"/>
      <c r="O666" s="17"/>
      <c r="P666" s="1">
        <f>value(SUBSTITUTE(IFERROR(VLOOKUP(A666,'Communications - Solution Speci'!A:G,6,false),""),"#","")
)</f>
        <v>0</v>
      </c>
      <c r="Q666" s="1">
        <f>value(SUBSTITUTE(IFERROR(VLOOKUP(A666,'Communications - Solution Speci'!A:G,7,false),""),"#","")
)</f>
        <v>0</v>
      </c>
      <c r="R666" s="17" t="str">
        <f t="shared" si="6"/>
        <v/>
      </c>
      <c r="S666" s="1">
        <f>value(SUBSTITUTE(IFERROR(VLOOKUP(A666,'Networking - Solution Specializ'!A:G,6,false),""),"#","")
)</f>
        <v>0</v>
      </c>
      <c r="T666" s="1">
        <f>value(SUBSTITUTE(IFERROR(VLOOKUP(A666,'Networking - Solution Specializ'!A:G,7,false),""),"#","")
)</f>
        <v>0</v>
      </c>
      <c r="U666" s="17" t="str">
        <f t="shared" si="7"/>
        <v/>
      </c>
      <c r="X666" s="17"/>
      <c r="Y666" s="1">
        <f>value(IFERROR(SUBSTITUTE(SUBSTITUTE(VLOOKUP(A666,'Quarterly Pipeline vs Target Pi'!A:G,6,false)," $","")," €",""), "")
)</f>
        <v>0</v>
      </c>
      <c r="Z666" s="1">
        <f>value(IFERROR(SUBSTITUTE(SUBSTITUTE(VLOOKUP(A666,'Quarterly Pipeline vs Target Pi'!A:G,7,false)," $","")," €",""), "")
)</f>
        <v>0</v>
      </c>
      <c r="AA666" s="17" t="str">
        <f t="shared" si="9"/>
        <v/>
      </c>
      <c r="AB666" s="1">
        <f>value(IFERROR(SUBSTITUTE(SUBSTITUTE(VLOOKUP($A666,'Quarterly Pipeline vs Target Pi'!$A:$V,11,false)," $","")," €",""), "")
)</f>
        <v>0</v>
      </c>
      <c r="AC666" s="1">
        <f>value(IFERROR(SUBSTITUTE(SUBSTITUTE(VLOOKUP($A666,'Quarterly Pipeline vs Target Pi'!$A:$V,12,false)," $","")," €",""), "")
)</f>
        <v>0</v>
      </c>
      <c r="AD666" s="17" t="str">
        <f t="shared" si="10"/>
        <v/>
      </c>
      <c r="AE666" s="1">
        <f>value(IFERROR(SUBSTITUTE(SUBSTITUTE(VLOOKUP($A666,'Quarterly Pipeline vs Target Pi'!$A:$V,16,false)," $","")," €",""), "")
)</f>
        <v>0</v>
      </c>
      <c r="AF666" s="1">
        <f>value(IFERROR(SUBSTITUTE(SUBSTITUTE(VLOOKUP($A666,'Quarterly Pipeline vs Target Pi'!$A:$V,17,false)," $","")," €",""), "")
)</f>
        <v>0</v>
      </c>
      <c r="AG666" s="17" t="str">
        <f t="shared" si="11"/>
        <v/>
      </c>
      <c r="AH666" s="1">
        <f>value(IFERROR(SUBSTITUTE(SUBSTITUTE(VLOOKUP($A666,'Quarterly Pipeline vs Target Pi'!$A:$V,21,false)," $","")," €",""), "")
)</f>
        <v>0</v>
      </c>
      <c r="AI666" s="1">
        <f>value(IFERROR(SUBSTITUTE(SUBSTITUTE(VLOOKUP($A666,'Quarterly Pipeline vs Target Pi'!$A:$V,22,false)," $","")," €",""), "")
)</f>
        <v>0</v>
      </c>
      <c r="AJ666" s="17" t="str">
        <f t="shared" si="12"/>
        <v/>
      </c>
      <c r="AK666" s="1">
        <f t="shared" ref="AK666:AL666" si="1345">sum(Y666,AB666,AE666,AH666)</f>
        <v>0</v>
      </c>
      <c r="AL666" s="1">
        <f t="shared" si="1345"/>
        <v>0</v>
      </c>
      <c r="AM666" s="17" t="str">
        <f t="shared" si="14"/>
        <v/>
      </c>
      <c r="AN666" s="1">
        <f>value(IFERROR(SUBSTITUTE(SUBSTITUTE(VLOOKUP($A666,'Quarterly Pipeline vs Target Pi'!$A:$AP,26,false)," $","")," €",""), "")
)</f>
        <v>0</v>
      </c>
      <c r="AO666" s="1">
        <f>value(IFERROR(SUBSTITUTE(SUBSTITUTE(VLOOKUP($A666,'Quarterly Pipeline vs Target Pi'!$A:$AP,27,false)," $","")," €",""), "")
)</f>
        <v>0</v>
      </c>
      <c r="AP666" s="17" t="str">
        <f t="shared" si="15"/>
        <v/>
      </c>
      <c r="AQ666" s="1">
        <f>value(IFERROR(SUBSTITUTE(SUBSTITUTE(VLOOKUP($A666,'Quarterly Pipeline vs Target Pi'!$A:$AP,31,false)," $","")," €",""), "")
)</f>
        <v>0</v>
      </c>
      <c r="AR666" s="1">
        <f>value(IFERROR(SUBSTITUTE(SUBSTITUTE(VLOOKUP($A666,'Quarterly Pipeline vs Target Pi'!$A:$AP,32,false)," $","")," €",""), "")
)</f>
        <v>0</v>
      </c>
      <c r="AS666" s="17" t="str">
        <f t="shared" si="16"/>
        <v/>
      </c>
      <c r="AT666" s="1">
        <f>value(IFERROR(SUBSTITUTE(SUBSTITUTE(VLOOKUP($A666,'Quarterly Pipeline vs Target Pi'!$A:$AP,36,false)," $","")," €",""), "")
)</f>
        <v>0</v>
      </c>
      <c r="AU666" s="1">
        <f>value(IFERROR(SUBSTITUTE(SUBSTITUTE(VLOOKUP($A666,'Quarterly Pipeline vs Target Pi'!$A:$AP,37,false)," $","")," €",""), "")
)</f>
        <v>0</v>
      </c>
      <c r="AV666" s="17" t="str">
        <f t="shared" si="17"/>
        <v/>
      </c>
      <c r="AW666" s="1">
        <f>value(IFERROR(SUBSTITUTE(SUBSTITUTE(VLOOKUP($A666,'Quarterly Pipeline vs Target Pi'!$A:$AP,41,false)," $","")," €",""), "")
)</f>
        <v>0</v>
      </c>
      <c r="AX666" s="1">
        <f>value(IFERROR(SUBSTITUTE(SUBSTITUTE(VLOOKUP($A666,'Quarterly Pipeline vs Target Pi'!$A:$AP,42,false)," $","")," €",""), "")
)</f>
        <v>0</v>
      </c>
      <c r="AY666" s="17" t="str">
        <f t="shared" si="18"/>
        <v/>
      </c>
      <c r="AZ666" s="1">
        <f t="shared" ref="AZ666:BA666" si="1346">sum(AN666,AQ666,AT666,AW666)</f>
        <v>0</v>
      </c>
      <c r="BA666" s="1">
        <f t="shared" si="1346"/>
        <v>0</v>
      </c>
      <c r="BB666" s="17" t="str">
        <f t="shared" si="20"/>
        <v/>
      </c>
    </row>
    <row r="667">
      <c r="I667" s="17"/>
      <c r="L667" s="17"/>
      <c r="O667" s="17"/>
      <c r="P667" s="1">
        <f>value(SUBSTITUTE(IFERROR(VLOOKUP(A667,'Communications - Solution Speci'!A:G,6,false),""),"#","")
)</f>
        <v>0</v>
      </c>
      <c r="Q667" s="1">
        <f>value(SUBSTITUTE(IFERROR(VLOOKUP(A667,'Communications - Solution Speci'!A:G,7,false),""),"#","")
)</f>
        <v>0</v>
      </c>
      <c r="R667" s="17" t="str">
        <f t="shared" si="6"/>
        <v/>
      </c>
      <c r="S667" s="1">
        <f>value(SUBSTITUTE(IFERROR(VLOOKUP(A667,'Networking - Solution Specializ'!A:G,6,false),""),"#","")
)</f>
        <v>0</v>
      </c>
      <c r="T667" s="1">
        <f>value(SUBSTITUTE(IFERROR(VLOOKUP(A667,'Networking - Solution Specializ'!A:G,7,false),""),"#","")
)</f>
        <v>0</v>
      </c>
      <c r="U667" s="17" t="str">
        <f t="shared" si="7"/>
        <v/>
      </c>
      <c r="X667" s="17"/>
      <c r="Y667" s="1">
        <f>value(IFERROR(SUBSTITUTE(SUBSTITUTE(VLOOKUP(A667,'Quarterly Pipeline vs Target Pi'!A:G,6,false)," $","")," €",""), "")
)</f>
        <v>0</v>
      </c>
      <c r="Z667" s="1">
        <f>value(IFERROR(SUBSTITUTE(SUBSTITUTE(VLOOKUP(A667,'Quarterly Pipeline vs Target Pi'!A:G,7,false)," $","")," €",""), "")
)</f>
        <v>0</v>
      </c>
      <c r="AA667" s="17" t="str">
        <f t="shared" si="9"/>
        <v/>
      </c>
      <c r="AB667" s="1">
        <f>value(IFERROR(SUBSTITUTE(SUBSTITUTE(VLOOKUP($A667,'Quarterly Pipeline vs Target Pi'!$A:$V,11,false)," $","")," €",""), "")
)</f>
        <v>0</v>
      </c>
      <c r="AC667" s="1">
        <f>value(IFERROR(SUBSTITUTE(SUBSTITUTE(VLOOKUP($A667,'Quarterly Pipeline vs Target Pi'!$A:$V,12,false)," $","")," €",""), "")
)</f>
        <v>0</v>
      </c>
      <c r="AD667" s="17" t="str">
        <f t="shared" si="10"/>
        <v/>
      </c>
      <c r="AE667" s="1">
        <f>value(IFERROR(SUBSTITUTE(SUBSTITUTE(VLOOKUP($A667,'Quarterly Pipeline vs Target Pi'!$A:$V,16,false)," $","")," €",""), "")
)</f>
        <v>0</v>
      </c>
      <c r="AF667" s="1">
        <f>value(IFERROR(SUBSTITUTE(SUBSTITUTE(VLOOKUP($A667,'Quarterly Pipeline vs Target Pi'!$A:$V,17,false)," $","")," €",""), "")
)</f>
        <v>0</v>
      </c>
      <c r="AG667" s="17" t="str">
        <f t="shared" si="11"/>
        <v/>
      </c>
      <c r="AH667" s="1">
        <f>value(IFERROR(SUBSTITUTE(SUBSTITUTE(VLOOKUP($A667,'Quarterly Pipeline vs Target Pi'!$A:$V,21,false)," $","")," €",""), "")
)</f>
        <v>0</v>
      </c>
      <c r="AI667" s="1">
        <f>value(IFERROR(SUBSTITUTE(SUBSTITUTE(VLOOKUP($A667,'Quarterly Pipeline vs Target Pi'!$A:$V,22,false)," $","")," €",""), "")
)</f>
        <v>0</v>
      </c>
      <c r="AJ667" s="17" t="str">
        <f t="shared" si="12"/>
        <v/>
      </c>
      <c r="AK667" s="1">
        <f t="shared" ref="AK667:AL667" si="1347">sum(Y667,AB667,AE667,AH667)</f>
        <v>0</v>
      </c>
      <c r="AL667" s="1">
        <f t="shared" si="1347"/>
        <v>0</v>
      </c>
      <c r="AM667" s="17" t="str">
        <f t="shared" si="14"/>
        <v/>
      </c>
      <c r="AN667" s="1">
        <f>value(IFERROR(SUBSTITUTE(SUBSTITUTE(VLOOKUP($A667,'Quarterly Pipeline vs Target Pi'!$A:$AP,26,false)," $","")," €",""), "")
)</f>
        <v>0</v>
      </c>
      <c r="AO667" s="1">
        <f>value(IFERROR(SUBSTITUTE(SUBSTITUTE(VLOOKUP($A667,'Quarterly Pipeline vs Target Pi'!$A:$AP,27,false)," $","")," €",""), "")
)</f>
        <v>0</v>
      </c>
      <c r="AP667" s="17" t="str">
        <f t="shared" si="15"/>
        <v/>
      </c>
      <c r="AQ667" s="1">
        <f>value(IFERROR(SUBSTITUTE(SUBSTITUTE(VLOOKUP($A667,'Quarterly Pipeline vs Target Pi'!$A:$AP,31,false)," $","")," €",""), "")
)</f>
        <v>0</v>
      </c>
      <c r="AR667" s="1">
        <f>value(IFERROR(SUBSTITUTE(SUBSTITUTE(VLOOKUP($A667,'Quarterly Pipeline vs Target Pi'!$A:$AP,32,false)," $","")," €",""), "")
)</f>
        <v>0</v>
      </c>
      <c r="AS667" s="17" t="str">
        <f t="shared" si="16"/>
        <v/>
      </c>
      <c r="AT667" s="1">
        <f>value(IFERROR(SUBSTITUTE(SUBSTITUTE(VLOOKUP($A667,'Quarterly Pipeline vs Target Pi'!$A:$AP,36,false)," $","")," €",""), "")
)</f>
        <v>0</v>
      </c>
      <c r="AU667" s="1">
        <f>value(IFERROR(SUBSTITUTE(SUBSTITUTE(VLOOKUP($A667,'Quarterly Pipeline vs Target Pi'!$A:$AP,37,false)," $","")," €",""), "")
)</f>
        <v>0</v>
      </c>
      <c r="AV667" s="17" t="str">
        <f t="shared" si="17"/>
        <v/>
      </c>
      <c r="AW667" s="1">
        <f>value(IFERROR(SUBSTITUTE(SUBSTITUTE(VLOOKUP($A667,'Quarterly Pipeline vs Target Pi'!$A:$AP,41,false)," $","")," €",""), "")
)</f>
        <v>0</v>
      </c>
      <c r="AX667" s="1">
        <f>value(IFERROR(SUBSTITUTE(SUBSTITUTE(VLOOKUP($A667,'Quarterly Pipeline vs Target Pi'!$A:$AP,42,false)," $","")," €",""), "")
)</f>
        <v>0</v>
      </c>
      <c r="AY667" s="17" t="str">
        <f t="shared" si="18"/>
        <v/>
      </c>
      <c r="AZ667" s="1">
        <f t="shared" ref="AZ667:BA667" si="1348">sum(AN667,AQ667,AT667,AW667)</f>
        <v>0</v>
      </c>
      <c r="BA667" s="1">
        <f t="shared" si="1348"/>
        <v>0</v>
      </c>
      <c r="BB667" s="17" t="str">
        <f t="shared" si="20"/>
        <v/>
      </c>
    </row>
    <row r="668">
      <c r="I668" s="17"/>
      <c r="L668" s="17"/>
      <c r="O668" s="17"/>
      <c r="P668" s="1">
        <f>value(SUBSTITUTE(IFERROR(VLOOKUP(A668,'Communications - Solution Speci'!A:G,6,false),""),"#","")
)</f>
        <v>0</v>
      </c>
      <c r="Q668" s="1">
        <f>value(SUBSTITUTE(IFERROR(VLOOKUP(A668,'Communications - Solution Speci'!A:G,7,false),""),"#","")
)</f>
        <v>0</v>
      </c>
      <c r="R668" s="17" t="str">
        <f t="shared" si="6"/>
        <v/>
      </c>
      <c r="S668" s="1">
        <f>value(SUBSTITUTE(IFERROR(VLOOKUP(A668,'Networking - Solution Specializ'!A:G,6,false),""),"#","")
)</f>
        <v>0</v>
      </c>
      <c r="T668" s="1">
        <f>value(SUBSTITUTE(IFERROR(VLOOKUP(A668,'Networking - Solution Specializ'!A:G,7,false),""),"#","")
)</f>
        <v>0</v>
      </c>
      <c r="U668" s="17" t="str">
        <f t="shared" si="7"/>
        <v/>
      </c>
      <c r="X668" s="17"/>
      <c r="Y668" s="1">
        <f>value(IFERROR(SUBSTITUTE(SUBSTITUTE(VLOOKUP(A668,'Quarterly Pipeline vs Target Pi'!A:G,6,false)," $","")," €",""), "")
)</f>
        <v>0</v>
      </c>
      <c r="Z668" s="1">
        <f>value(IFERROR(SUBSTITUTE(SUBSTITUTE(VLOOKUP(A668,'Quarterly Pipeline vs Target Pi'!A:G,7,false)," $","")," €",""), "")
)</f>
        <v>0</v>
      </c>
      <c r="AA668" s="17" t="str">
        <f t="shared" si="9"/>
        <v/>
      </c>
      <c r="AB668" s="1">
        <f>value(IFERROR(SUBSTITUTE(SUBSTITUTE(VLOOKUP($A668,'Quarterly Pipeline vs Target Pi'!$A:$V,11,false)," $","")," €",""), "")
)</f>
        <v>0</v>
      </c>
      <c r="AC668" s="1">
        <f>value(IFERROR(SUBSTITUTE(SUBSTITUTE(VLOOKUP($A668,'Quarterly Pipeline vs Target Pi'!$A:$V,12,false)," $","")," €",""), "")
)</f>
        <v>0</v>
      </c>
      <c r="AD668" s="17" t="str">
        <f t="shared" si="10"/>
        <v/>
      </c>
      <c r="AE668" s="1">
        <f>value(IFERROR(SUBSTITUTE(SUBSTITUTE(VLOOKUP($A668,'Quarterly Pipeline vs Target Pi'!$A:$V,16,false)," $","")," €",""), "")
)</f>
        <v>0</v>
      </c>
      <c r="AF668" s="1">
        <f>value(IFERROR(SUBSTITUTE(SUBSTITUTE(VLOOKUP($A668,'Quarterly Pipeline vs Target Pi'!$A:$V,17,false)," $","")," €",""), "")
)</f>
        <v>0</v>
      </c>
      <c r="AG668" s="17" t="str">
        <f t="shared" si="11"/>
        <v/>
      </c>
      <c r="AH668" s="1">
        <f>value(IFERROR(SUBSTITUTE(SUBSTITUTE(VLOOKUP($A668,'Quarterly Pipeline vs Target Pi'!$A:$V,21,false)," $","")," €",""), "")
)</f>
        <v>0</v>
      </c>
      <c r="AI668" s="1">
        <f>value(IFERROR(SUBSTITUTE(SUBSTITUTE(VLOOKUP($A668,'Quarterly Pipeline vs Target Pi'!$A:$V,22,false)," $","")," €",""), "")
)</f>
        <v>0</v>
      </c>
      <c r="AJ668" s="17" t="str">
        <f t="shared" si="12"/>
        <v/>
      </c>
      <c r="AK668" s="1">
        <f t="shared" ref="AK668:AL668" si="1349">sum(Y668,AB668,AE668,AH668)</f>
        <v>0</v>
      </c>
      <c r="AL668" s="1">
        <f t="shared" si="1349"/>
        <v>0</v>
      </c>
      <c r="AM668" s="17" t="str">
        <f t="shared" si="14"/>
        <v/>
      </c>
      <c r="AN668" s="1">
        <f>value(IFERROR(SUBSTITUTE(SUBSTITUTE(VLOOKUP($A668,'Quarterly Pipeline vs Target Pi'!$A:$AP,26,false)," $","")," €",""), "")
)</f>
        <v>0</v>
      </c>
      <c r="AO668" s="1">
        <f>value(IFERROR(SUBSTITUTE(SUBSTITUTE(VLOOKUP($A668,'Quarterly Pipeline vs Target Pi'!$A:$AP,27,false)," $","")," €",""), "")
)</f>
        <v>0</v>
      </c>
      <c r="AP668" s="17" t="str">
        <f t="shared" si="15"/>
        <v/>
      </c>
      <c r="AQ668" s="1">
        <f>value(IFERROR(SUBSTITUTE(SUBSTITUTE(VLOOKUP($A668,'Quarterly Pipeline vs Target Pi'!$A:$AP,31,false)," $","")," €",""), "")
)</f>
        <v>0</v>
      </c>
      <c r="AR668" s="1">
        <f>value(IFERROR(SUBSTITUTE(SUBSTITUTE(VLOOKUP($A668,'Quarterly Pipeline vs Target Pi'!$A:$AP,32,false)," $","")," €",""), "")
)</f>
        <v>0</v>
      </c>
      <c r="AS668" s="17" t="str">
        <f t="shared" si="16"/>
        <v/>
      </c>
      <c r="AT668" s="1">
        <f>value(IFERROR(SUBSTITUTE(SUBSTITUTE(VLOOKUP($A668,'Quarterly Pipeline vs Target Pi'!$A:$AP,36,false)," $","")," €",""), "")
)</f>
        <v>0</v>
      </c>
      <c r="AU668" s="1">
        <f>value(IFERROR(SUBSTITUTE(SUBSTITUTE(VLOOKUP($A668,'Quarterly Pipeline vs Target Pi'!$A:$AP,37,false)," $","")," €",""), "")
)</f>
        <v>0</v>
      </c>
      <c r="AV668" s="17" t="str">
        <f t="shared" si="17"/>
        <v/>
      </c>
      <c r="AW668" s="1">
        <f>value(IFERROR(SUBSTITUTE(SUBSTITUTE(VLOOKUP($A668,'Quarterly Pipeline vs Target Pi'!$A:$AP,41,false)," $","")," €",""), "")
)</f>
        <v>0</v>
      </c>
      <c r="AX668" s="1">
        <f>value(IFERROR(SUBSTITUTE(SUBSTITUTE(VLOOKUP($A668,'Quarterly Pipeline vs Target Pi'!$A:$AP,42,false)," $","")," €",""), "")
)</f>
        <v>0</v>
      </c>
      <c r="AY668" s="17" t="str">
        <f t="shared" si="18"/>
        <v/>
      </c>
      <c r="AZ668" s="1">
        <f t="shared" ref="AZ668:BA668" si="1350">sum(AN668,AQ668,AT668,AW668)</f>
        <v>0</v>
      </c>
      <c r="BA668" s="1">
        <f t="shared" si="1350"/>
        <v>0</v>
      </c>
      <c r="BB668" s="17" t="str">
        <f t="shared" si="20"/>
        <v/>
      </c>
    </row>
    <row r="669">
      <c r="I669" s="17"/>
      <c r="L669" s="17"/>
      <c r="O669" s="17"/>
      <c r="P669" s="1">
        <f>value(SUBSTITUTE(IFERROR(VLOOKUP(A669,'Communications - Solution Speci'!A:G,6,false),""),"#","")
)</f>
        <v>0</v>
      </c>
      <c r="Q669" s="1">
        <f>value(SUBSTITUTE(IFERROR(VLOOKUP(A669,'Communications - Solution Speci'!A:G,7,false),""),"#","")
)</f>
        <v>0</v>
      </c>
      <c r="R669" s="17" t="str">
        <f t="shared" si="6"/>
        <v/>
      </c>
      <c r="S669" s="1">
        <f>value(SUBSTITUTE(IFERROR(VLOOKUP(A669,'Networking - Solution Specializ'!A:G,6,false),""),"#","")
)</f>
        <v>0</v>
      </c>
      <c r="T669" s="1">
        <f>value(SUBSTITUTE(IFERROR(VLOOKUP(A669,'Networking - Solution Specializ'!A:G,7,false),""),"#","")
)</f>
        <v>0</v>
      </c>
      <c r="U669" s="17" t="str">
        <f t="shared" si="7"/>
        <v/>
      </c>
      <c r="X669" s="17"/>
      <c r="Y669" s="1">
        <f>value(IFERROR(SUBSTITUTE(SUBSTITUTE(VLOOKUP(A669,'Quarterly Pipeline vs Target Pi'!A:G,6,false)," $","")," €",""), "")
)</f>
        <v>0</v>
      </c>
      <c r="Z669" s="1">
        <f>value(IFERROR(SUBSTITUTE(SUBSTITUTE(VLOOKUP(A669,'Quarterly Pipeline vs Target Pi'!A:G,7,false)," $","")," €",""), "")
)</f>
        <v>0</v>
      </c>
      <c r="AA669" s="17" t="str">
        <f t="shared" si="9"/>
        <v/>
      </c>
      <c r="AB669" s="1">
        <f>value(IFERROR(SUBSTITUTE(SUBSTITUTE(VLOOKUP($A669,'Quarterly Pipeline vs Target Pi'!$A:$V,11,false)," $","")," €",""), "")
)</f>
        <v>0</v>
      </c>
      <c r="AC669" s="1">
        <f>value(IFERROR(SUBSTITUTE(SUBSTITUTE(VLOOKUP($A669,'Quarterly Pipeline vs Target Pi'!$A:$V,12,false)," $","")," €",""), "")
)</f>
        <v>0</v>
      </c>
      <c r="AD669" s="17" t="str">
        <f t="shared" si="10"/>
        <v/>
      </c>
      <c r="AE669" s="1">
        <f>value(IFERROR(SUBSTITUTE(SUBSTITUTE(VLOOKUP($A669,'Quarterly Pipeline vs Target Pi'!$A:$V,16,false)," $","")," €",""), "")
)</f>
        <v>0</v>
      </c>
      <c r="AF669" s="1">
        <f>value(IFERROR(SUBSTITUTE(SUBSTITUTE(VLOOKUP($A669,'Quarterly Pipeline vs Target Pi'!$A:$V,17,false)," $","")," €",""), "")
)</f>
        <v>0</v>
      </c>
      <c r="AG669" s="17" t="str">
        <f t="shared" si="11"/>
        <v/>
      </c>
      <c r="AH669" s="1">
        <f>value(IFERROR(SUBSTITUTE(SUBSTITUTE(VLOOKUP($A669,'Quarterly Pipeline vs Target Pi'!$A:$V,21,false)," $","")," €",""), "")
)</f>
        <v>0</v>
      </c>
      <c r="AI669" s="1">
        <f>value(IFERROR(SUBSTITUTE(SUBSTITUTE(VLOOKUP($A669,'Quarterly Pipeline vs Target Pi'!$A:$V,22,false)," $","")," €",""), "")
)</f>
        <v>0</v>
      </c>
      <c r="AJ669" s="17" t="str">
        <f t="shared" si="12"/>
        <v/>
      </c>
      <c r="AK669" s="1">
        <f t="shared" ref="AK669:AL669" si="1351">sum(Y669,AB669,AE669,AH669)</f>
        <v>0</v>
      </c>
      <c r="AL669" s="1">
        <f t="shared" si="1351"/>
        <v>0</v>
      </c>
      <c r="AM669" s="17" t="str">
        <f t="shared" si="14"/>
        <v/>
      </c>
      <c r="AN669" s="1">
        <f>value(IFERROR(SUBSTITUTE(SUBSTITUTE(VLOOKUP($A669,'Quarterly Pipeline vs Target Pi'!$A:$AP,26,false)," $","")," €",""), "")
)</f>
        <v>0</v>
      </c>
      <c r="AO669" s="1">
        <f>value(IFERROR(SUBSTITUTE(SUBSTITUTE(VLOOKUP($A669,'Quarterly Pipeline vs Target Pi'!$A:$AP,27,false)," $","")," €",""), "")
)</f>
        <v>0</v>
      </c>
      <c r="AP669" s="17" t="str">
        <f t="shared" si="15"/>
        <v/>
      </c>
      <c r="AQ669" s="1">
        <f>value(IFERROR(SUBSTITUTE(SUBSTITUTE(VLOOKUP($A669,'Quarterly Pipeline vs Target Pi'!$A:$AP,31,false)," $","")," €",""), "")
)</f>
        <v>0</v>
      </c>
      <c r="AR669" s="1">
        <f>value(IFERROR(SUBSTITUTE(SUBSTITUTE(VLOOKUP($A669,'Quarterly Pipeline vs Target Pi'!$A:$AP,32,false)," $","")," €",""), "")
)</f>
        <v>0</v>
      </c>
      <c r="AS669" s="17" t="str">
        <f t="shared" si="16"/>
        <v/>
      </c>
      <c r="AT669" s="1">
        <f>value(IFERROR(SUBSTITUTE(SUBSTITUTE(VLOOKUP($A669,'Quarterly Pipeline vs Target Pi'!$A:$AP,36,false)," $","")," €",""), "")
)</f>
        <v>0</v>
      </c>
      <c r="AU669" s="1">
        <f>value(IFERROR(SUBSTITUTE(SUBSTITUTE(VLOOKUP($A669,'Quarterly Pipeline vs Target Pi'!$A:$AP,37,false)," $","")," €",""), "")
)</f>
        <v>0</v>
      </c>
      <c r="AV669" s="17" t="str">
        <f t="shared" si="17"/>
        <v/>
      </c>
      <c r="AW669" s="1">
        <f>value(IFERROR(SUBSTITUTE(SUBSTITUTE(VLOOKUP($A669,'Quarterly Pipeline vs Target Pi'!$A:$AP,41,false)," $","")," €",""), "")
)</f>
        <v>0</v>
      </c>
      <c r="AX669" s="1">
        <f>value(IFERROR(SUBSTITUTE(SUBSTITUTE(VLOOKUP($A669,'Quarterly Pipeline vs Target Pi'!$A:$AP,42,false)," $","")," €",""), "")
)</f>
        <v>0</v>
      </c>
      <c r="AY669" s="17" t="str">
        <f t="shared" si="18"/>
        <v/>
      </c>
      <c r="AZ669" s="1">
        <f t="shared" ref="AZ669:BA669" si="1352">sum(AN669,AQ669,AT669,AW669)</f>
        <v>0</v>
      </c>
      <c r="BA669" s="1">
        <f t="shared" si="1352"/>
        <v>0</v>
      </c>
      <c r="BB669" s="17" t="str">
        <f t="shared" si="20"/>
        <v/>
      </c>
    </row>
    <row r="670">
      <c r="I670" s="17"/>
      <c r="L670" s="17"/>
      <c r="O670" s="17"/>
      <c r="P670" s="1">
        <f>value(SUBSTITUTE(IFERROR(VLOOKUP(A670,'Communications - Solution Speci'!A:G,6,false),""),"#","")
)</f>
        <v>0</v>
      </c>
      <c r="Q670" s="1">
        <f>value(SUBSTITUTE(IFERROR(VLOOKUP(A670,'Communications - Solution Speci'!A:G,7,false),""),"#","")
)</f>
        <v>0</v>
      </c>
      <c r="R670" s="17" t="str">
        <f t="shared" si="6"/>
        <v/>
      </c>
      <c r="S670" s="1">
        <f>value(SUBSTITUTE(IFERROR(VLOOKUP(A670,'Networking - Solution Specializ'!A:G,6,false),""),"#","")
)</f>
        <v>0</v>
      </c>
      <c r="T670" s="1">
        <f>value(SUBSTITUTE(IFERROR(VLOOKUP(A670,'Networking - Solution Specializ'!A:G,7,false),""),"#","")
)</f>
        <v>0</v>
      </c>
      <c r="U670" s="17" t="str">
        <f t="shared" si="7"/>
        <v/>
      </c>
      <c r="X670" s="17"/>
      <c r="Y670" s="1">
        <f>value(IFERROR(SUBSTITUTE(SUBSTITUTE(VLOOKUP(A670,'Quarterly Pipeline vs Target Pi'!A:G,6,false)," $","")," €",""), "")
)</f>
        <v>0</v>
      </c>
      <c r="Z670" s="1">
        <f>value(IFERROR(SUBSTITUTE(SUBSTITUTE(VLOOKUP(A670,'Quarterly Pipeline vs Target Pi'!A:G,7,false)," $","")," €",""), "")
)</f>
        <v>0</v>
      </c>
      <c r="AA670" s="17" t="str">
        <f t="shared" si="9"/>
        <v/>
      </c>
      <c r="AB670" s="1">
        <f>value(IFERROR(SUBSTITUTE(SUBSTITUTE(VLOOKUP($A670,'Quarterly Pipeline vs Target Pi'!$A:$V,11,false)," $","")," €",""), "")
)</f>
        <v>0</v>
      </c>
      <c r="AC670" s="1">
        <f>value(IFERROR(SUBSTITUTE(SUBSTITUTE(VLOOKUP($A670,'Quarterly Pipeline vs Target Pi'!$A:$V,12,false)," $","")," €",""), "")
)</f>
        <v>0</v>
      </c>
      <c r="AD670" s="17" t="str">
        <f t="shared" si="10"/>
        <v/>
      </c>
      <c r="AE670" s="1">
        <f>value(IFERROR(SUBSTITUTE(SUBSTITUTE(VLOOKUP($A670,'Quarterly Pipeline vs Target Pi'!$A:$V,16,false)," $","")," €",""), "")
)</f>
        <v>0</v>
      </c>
      <c r="AF670" s="1">
        <f>value(IFERROR(SUBSTITUTE(SUBSTITUTE(VLOOKUP($A670,'Quarterly Pipeline vs Target Pi'!$A:$V,17,false)," $","")," €",""), "")
)</f>
        <v>0</v>
      </c>
      <c r="AG670" s="17" t="str">
        <f t="shared" si="11"/>
        <v/>
      </c>
      <c r="AH670" s="1">
        <f>value(IFERROR(SUBSTITUTE(SUBSTITUTE(VLOOKUP($A670,'Quarterly Pipeline vs Target Pi'!$A:$V,21,false)," $","")," €",""), "")
)</f>
        <v>0</v>
      </c>
      <c r="AI670" s="1">
        <f>value(IFERROR(SUBSTITUTE(SUBSTITUTE(VLOOKUP($A670,'Quarterly Pipeline vs Target Pi'!$A:$V,22,false)," $","")," €",""), "")
)</f>
        <v>0</v>
      </c>
      <c r="AJ670" s="17" t="str">
        <f t="shared" si="12"/>
        <v/>
      </c>
      <c r="AK670" s="1">
        <f t="shared" ref="AK670:AL670" si="1353">sum(Y670,AB670,AE670,AH670)</f>
        <v>0</v>
      </c>
      <c r="AL670" s="1">
        <f t="shared" si="1353"/>
        <v>0</v>
      </c>
      <c r="AM670" s="17" t="str">
        <f t="shared" si="14"/>
        <v/>
      </c>
      <c r="AN670" s="1">
        <f>value(IFERROR(SUBSTITUTE(SUBSTITUTE(VLOOKUP($A670,'Quarterly Pipeline vs Target Pi'!$A:$AP,26,false)," $","")," €",""), "")
)</f>
        <v>0</v>
      </c>
      <c r="AO670" s="1">
        <f>value(IFERROR(SUBSTITUTE(SUBSTITUTE(VLOOKUP($A670,'Quarterly Pipeline vs Target Pi'!$A:$AP,27,false)," $","")," €",""), "")
)</f>
        <v>0</v>
      </c>
      <c r="AP670" s="17" t="str">
        <f t="shared" si="15"/>
        <v/>
      </c>
      <c r="AQ670" s="1">
        <f>value(IFERROR(SUBSTITUTE(SUBSTITUTE(VLOOKUP($A670,'Quarterly Pipeline vs Target Pi'!$A:$AP,31,false)," $","")," €",""), "")
)</f>
        <v>0</v>
      </c>
      <c r="AR670" s="1">
        <f>value(IFERROR(SUBSTITUTE(SUBSTITUTE(VLOOKUP($A670,'Quarterly Pipeline vs Target Pi'!$A:$AP,32,false)," $","")," €",""), "")
)</f>
        <v>0</v>
      </c>
      <c r="AS670" s="17" t="str">
        <f t="shared" si="16"/>
        <v/>
      </c>
      <c r="AT670" s="1">
        <f>value(IFERROR(SUBSTITUTE(SUBSTITUTE(VLOOKUP($A670,'Quarterly Pipeline vs Target Pi'!$A:$AP,36,false)," $","")," €",""), "")
)</f>
        <v>0</v>
      </c>
      <c r="AU670" s="1">
        <f>value(IFERROR(SUBSTITUTE(SUBSTITUTE(VLOOKUP($A670,'Quarterly Pipeline vs Target Pi'!$A:$AP,37,false)," $","")," €",""), "")
)</f>
        <v>0</v>
      </c>
      <c r="AV670" s="17" t="str">
        <f t="shared" si="17"/>
        <v/>
      </c>
      <c r="AW670" s="1">
        <f>value(IFERROR(SUBSTITUTE(SUBSTITUTE(VLOOKUP($A670,'Quarterly Pipeline vs Target Pi'!$A:$AP,41,false)," $","")," €",""), "")
)</f>
        <v>0</v>
      </c>
      <c r="AX670" s="1">
        <f>value(IFERROR(SUBSTITUTE(SUBSTITUTE(VLOOKUP($A670,'Quarterly Pipeline vs Target Pi'!$A:$AP,42,false)," $","")," €",""), "")
)</f>
        <v>0</v>
      </c>
      <c r="AY670" s="17" t="str">
        <f t="shared" si="18"/>
        <v/>
      </c>
      <c r="AZ670" s="1">
        <f t="shared" ref="AZ670:BA670" si="1354">sum(AN670,AQ670,AT670,AW670)</f>
        <v>0</v>
      </c>
      <c r="BA670" s="1">
        <f t="shared" si="1354"/>
        <v>0</v>
      </c>
      <c r="BB670" s="17" t="str">
        <f t="shared" si="20"/>
        <v/>
      </c>
    </row>
    <row r="671">
      <c r="I671" s="17"/>
      <c r="L671" s="17"/>
      <c r="O671" s="17"/>
      <c r="P671" s="1">
        <f>value(SUBSTITUTE(IFERROR(VLOOKUP(A671,'Communications - Solution Speci'!A:G,6,false),""),"#","")
)</f>
        <v>0</v>
      </c>
      <c r="Q671" s="1">
        <f>value(SUBSTITUTE(IFERROR(VLOOKUP(A671,'Communications - Solution Speci'!A:G,7,false),""),"#","")
)</f>
        <v>0</v>
      </c>
      <c r="R671" s="17" t="str">
        <f t="shared" si="6"/>
        <v/>
      </c>
      <c r="S671" s="1">
        <f>value(SUBSTITUTE(IFERROR(VLOOKUP(A671,'Networking - Solution Specializ'!A:G,6,false),""),"#","")
)</f>
        <v>0</v>
      </c>
      <c r="T671" s="1">
        <f>value(SUBSTITUTE(IFERROR(VLOOKUP(A671,'Networking - Solution Specializ'!A:G,7,false),""),"#","")
)</f>
        <v>0</v>
      </c>
      <c r="U671" s="17" t="str">
        <f t="shared" si="7"/>
        <v/>
      </c>
      <c r="X671" s="17"/>
      <c r="Y671" s="1">
        <f>value(IFERROR(SUBSTITUTE(SUBSTITUTE(VLOOKUP(A671,'Quarterly Pipeline vs Target Pi'!A:G,6,false)," $","")," €",""), "")
)</f>
        <v>0</v>
      </c>
      <c r="Z671" s="1">
        <f>value(IFERROR(SUBSTITUTE(SUBSTITUTE(VLOOKUP(A671,'Quarterly Pipeline vs Target Pi'!A:G,7,false)," $","")," €",""), "")
)</f>
        <v>0</v>
      </c>
      <c r="AA671" s="17" t="str">
        <f t="shared" si="9"/>
        <v/>
      </c>
      <c r="AB671" s="1">
        <f>value(IFERROR(SUBSTITUTE(SUBSTITUTE(VLOOKUP($A671,'Quarterly Pipeline vs Target Pi'!$A:$V,11,false)," $","")," €",""), "")
)</f>
        <v>0</v>
      </c>
      <c r="AC671" s="1">
        <f>value(IFERROR(SUBSTITUTE(SUBSTITUTE(VLOOKUP($A671,'Quarterly Pipeline vs Target Pi'!$A:$V,12,false)," $","")," €",""), "")
)</f>
        <v>0</v>
      </c>
      <c r="AD671" s="17" t="str">
        <f t="shared" si="10"/>
        <v/>
      </c>
      <c r="AE671" s="1">
        <f>value(IFERROR(SUBSTITUTE(SUBSTITUTE(VLOOKUP($A671,'Quarterly Pipeline vs Target Pi'!$A:$V,16,false)," $","")," €",""), "")
)</f>
        <v>0</v>
      </c>
      <c r="AF671" s="1">
        <f>value(IFERROR(SUBSTITUTE(SUBSTITUTE(VLOOKUP($A671,'Quarterly Pipeline vs Target Pi'!$A:$V,17,false)," $","")," €",""), "")
)</f>
        <v>0</v>
      </c>
      <c r="AG671" s="17" t="str">
        <f t="shared" si="11"/>
        <v/>
      </c>
      <c r="AH671" s="1">
        <f>value(IFERROR(SUBSTITUTE(SUBSTITUTE(VLOOKUP($A671,'Quarterly Pipeline vs Target Pi'!$A:$V,21,false)," $","")," €",""), "")
)</f>
        <v>0</v>
      </c>
      <c r="AI671" s="1">
        <f>value(IFERROR(SUBSTITUTE(SUBSTITUTE(VLOOKUP($A671,'Quarterly Pipeline vs Target Pi'!$A:$V,22,false)," $","")," €",""), "")
)</f>
        <v>0</v>
      </c>
      <c r="AJ671" s="17" t="str">
        <f t="shared" si="12"/>
        <v/>
      </c>
      <c r="AK671" s="1">
        <f t="shared" ref="AK671:AL671" si="1355">sum(Y671,AB671,AE671,AH671)</f>
        <v>0</v>
      </c>
      <c r="AL671" s="1">
        <f t="shared" si="1355"/>
        <v>0</v>
      </c>
      <c r="AM671" s="17" t="str">
        <f t="shared" si="14"/>
        <v/>
      </c>
      <c r="AN671" s="1">
        <f>value(IFERROR(SUBSTITUTE(SUBSTITUTE(VLOOKUP($A671,'Quarterly Pipeline vs Target Pi'!$A:$AP,26,false)," $","")," €",""), "")
)</f>
        <v>0</v>
      </c>
      <c r="AO671" s="1">
        <f>value(IFERROR(SUBSTITUTE(SUBSTITUTE(VLOOKUP($A671,'Quarterly Pipeline vs Target Pi'!$A:$AP,27,false)," $","")," €",""), "")
)</f>
        <v>0</v>
      </c>
      <c r="AP671" s="17" t="str">
        <f t="shared" si="15"/>
        <v/>
      </c>
      <c r="AQ671" s="1">
        <f>value(IFERROR(SUBSTITUTE(SUBSTITUTE(VLOOKUP($A671,'Quarterly Pipeline vs Target Pi'!$A:$AP,31,false)," $","")," €",""), "")
)</f>
        <v>0</v>
      </c>
      <c r="AR671" s="1">
        <f>value(IFERROR(SUBSTITUTE(SUBSTITUTE(VLOOKUP($A671,'Quarterly Pipeline vs Target Pi'!$A:$AP,32,false)," $","")," €",""), "")
)</f>
        <v>0</v>
      </c>
      <c r="AS671" s="17" t="str">
        <f t="shared" si="16"/>
        <v/>
      </c>
      <c r="AT671" s="1">
        <f>value(IFERROR(SUBSTITUTE(SUBSTITUTE(VLOOKUP($A671,'Quarterly Pipeline vs Target Pi'!$A:$AP,36,false)," $","")," €",""), "")
)</f>
        <v>0</v>
      </c>
      <c r="AU671" s="1">
        <f>value(IFERROR(SUBSTITUTE(SUBSTITUTE(VLOOKUP($A671,'Quarterly Pipeline vs Target Pi'!$A:$AP,37,false)," $","")," €",""), "")
)</f>
        <v>0</v>
      </c>
      <c r="AV671" s="17" t="str">
        <f t="shared" si="17"/>
        <v/>
      </c>
      <c r="AW671" s="1">
        <f>value(IFERROR(SUBSTITUTE(SUBSTITUTE(VLOOKUP($A671,'Quarterly Pipeline vs Target Pi'!$A:$AP,41,false)," $","")," €",""), "")
)</f>
        <v>0</v>
      </c>
      <c r="AX671" s="1">
        <f>value(IFERROR(SUBSTITUTE(SUBSTITUTE(VLOOKUP($A671,'Quarterly Pipeline vs Target Pi'!$A:$AP,42,false)," $","")," €",""), "")
)</f>
        <v>0</v>
      </c>
      <c r="AY671" s="17" t="str">
        <f t="shared" si="18"/>
        <v/>
      </c>
      <c r="AZ671" s="1">
        <f t="shared" ref="AZ671:BA671" si="1356">sum(AN671,AQ671,AT671,AW671)</f>
        <v>0</v>
      </c>
      <c r="BA671" s="1">
        <f t="shared" si="1356"/>
        <v>0</v>
      </c>
      <c r="BB671" s="17" t="str">
        <f t="shared" si="20"/>
        <v/>
      </c>
    </row>
    <row r="672">
      <c r="I672" s="17"/>
      <c r="L672" s="17"/>
      <c r="O672" s="17"/>
      <c r="P672" s="1">
        <f>value(SUBSTITUTE(IFERROR(VLOOKUP(A672,'Communications - Solution Speci'!A:G,6,false),""),"#","")
)</f>
        <v>0</v>
      </c>
      <c r="Q672" s="1">
        <f>value(SUBSTITUTE(IFERROR(VLOOKUP(A672,'Communications - Solution Speci'!A:G,7,false),""),"#","")
)</f>
        <v>0</v>
      </c>
      <c r="R672" s="17" t="str">
        <f t="shared" si="6"/>
        <v/>
      </c>
      <c r="S672" s="1">
        <f>value(SUBSTITUTE(IFERROR(VLOOKUP(A672,'Networking - Solution Specializ'!A:G,6,false),""),"#","")
)</f>
        <v>0</v>
      </c>
      <c r="T672" s="1">
        <f>value(SUBSTITUTE(IFERROR(VLOOKUP(A672,'Networking - Solution Specializ'!A:G,7,false),""),"#","")
)</f>
        <v>0</v>
      </c>
      <c r="U672" s="17" t="str">
        <f t="shared" si="7"/>
        <v/>
      </c>
      <c r="X672" s="17"/>
      <c r="Y672" s="1">
        <f>value(IFERROR(SUBSTITUTE(SUBSTITUTE(VLOOKUP(A672,'Quarterly Pipeline vs Target Pi'!A:G,6,false)," $","")," €",""), "")
)</f>
        <v>0</v>
      </c>
      <c r="Z672" s="1">
        <f>value(IFERROR(SUBSTITUTE(SUBSTITUTE(VLOOKUP(A672,'Quarterly Pipeline vs Target Pi'!A:G,7,false)," $","")," €",""), "")
)</f>
        <v>0</v>
      </c>
      <c r="AA672" s="17" t="str">
        <f t="shared" si="9"/>
        <v/>
      </c>
      <c r="AB672" s="1">
        <f>value(IFERROR(SUBSTITUTE(SUBSTITUTE(VLOOKUP($A672,'Quarterly Pipeline vs Target Pi'!$A:$V,11,false)," $","")," €",""), "")
)</f>
        <v>0</v>
      </c>
      <c r="AC672" s="1">
        <f>value(IFERROR(SUBSTITUTE(SUBSTITUTE(VLOOKUP($A672,'Quarterly Pipeline vs Target Pi'!$A:$V,12,false)," $","")," €",""), "")
)</f>
        <v>0</v>
      </c>
      <c r="AD672" s="17" t="str">
        <f t="shared" si="10"/>
        <v/>
      </c>
      <c r="AE672" s="1">
        <f>value(IFERROR(SUBSTITUTE(SUBSTITUTE(VLOOKUP($A672,'Quarterly Pipeline vs Target Pi'!$A:$V,16,false)," $","")," €",""), "")
)</f>
        <v>0</v>
      </c>
      <c r="AF672" s="1">
        <f>value(IFERROR(SUBSTITUTE(SUBSTITUTE(VLOOKUP($A672,'Quarterly Pipeline vs Target Pi'!$A:$V,17,false)," $","")," €",""), "")
)</f>
        <v>0</v>
      </c>
      <c r="AG672" s="17" t="str">
        <f t="shared" si="11"/>
        <v/>
      </c>
      <c r="AH672" s="1">
        <f>value(IFERROR(SUBSTITUTE(SUBSTITUTE(VLOOKUP($A672,'Quarterly Pipeline vs Target Pi'!$A:$V,21,false)," $","")," €",""), "")
)</f>
        <v>0</v>
      </c>
      <c r="AI672" s="1">
        <f>value(IFERROR(SUBSTITUTE(SUBSTITUTE(VLOOKUP($A672,'Quarterly Pipeline vs Target Pi'!$A:$V,22,false)," $","")," €",""), "")
)</f>
        <v>0</v>
      </c>
      <c r="AJ672" s="17" t="str">
        <f t="shared" si="12"/>
        <v/>
      </c>
      <c r="AK672" s="1">
        <f t="shared" ref="AK672:AL672" si="1357">sum(Y672,AB672,AE672,AH672)</f>
        <v>0</v>
      </c>
      <c r="AL672" s="1">
        <f t="shared" si="1357"/>
        <v>0</v>
      </c>
      <c r="AM672" s="17" t="str">
        <f t="shared" si="14"/>
        <v/>
      </c>
      <c r="AN672" s="1">
        <f>value(IFERROR(SUBSTITUTE(SUBSTITUTE(VLOOKUP($A672,'Quarterly Pipeline vs Target Pi'!$A:$AP,26,false)," $","")," €",""), "")
)</f>
        <v>0</v>
      </c>
      <c r="AO672" s="1">
        <f>value(IFERROR(SUBSTITUTE(SUBSTITUTE(VLOOKUP($A672,'Quarterly Pipeline vs Target Pi'!$A:$AP,27,false)," $","")," €",""), "")
)</f>
        <v>0</v>
      </c>
      <c r="AP672" s="17" t="str">
        <f t="shared" si="15"/>
        <v/>
      </c>
      <c r="AQ672" s="1">
        <f>value(IFERROR(SUBSTITUTE(SUBSTITUTE(VLOOKUP($A672,'Quarterly Pipeline vs Target Pi'!$A:$AP,31,false)," $","")," €",""), "")
)</f>
        <v>0</v>
      </c>
      <c r="AR672" s="1">
        <f>value(IFERROR(SUBSTITUTE(SUBSTITUTE(VLOOKUP($A672,'Quarterly Pipeline vs Target Pi'!$A:$AP,32,false)," $","")," €",""), "")
)</f>
        <v>0</v>
      </c>
      <c r="AS672" s="17" t="str">
        <f t="shared" si="16"/>
        <v/>
      </c>
      <c r="AT672" s="1">
        <f>value(IFERROR(SUBSTITUTE(SUBSTITUTE(VLOOKUP($A672,'Quarterly Pipeline vs Target Pi'!$A:$AP,36,false)," $","")," €",""), "")
)</f>
        <v>0</v>
      </c>
      <c r="AU672" s="1">
        <f>value(IFERROR(SUBSTITUTE(SUBSTITUTE(VLOOKUP($A672,'Quarterly Pipeline vs Target Pi'!$A:$AP,37,false)," $","")," €",""), "")
)</f>
        <v>0</v>
      </c>
      <c r="AV672" s="17" t="str">
        <f t="shared" si="17"/>
        <v/>
      </c>
      <c r="AW672" s="1">
        <f>value(IFERROR(SUBSTITUTE(SUBSTITUTE(VLOOKUP($A672,'Quarterly Pipeline vs Target Pi'!$A:$AP,41,false)," $","")," €",""), "")
)</f>
        <v>0</v>
      </c>
      <c r="AX672" s="1">
        <f>value(IFERROR(SUBSTITUTE(SUBSTITUTE(VLOOKUP($A672,'Quarterly Pipeline vs Target Pi'!$A:$AP,42,false)," $","")," €",""), "")
)</f>
        <v>0</v>
      </c>
      <c r="AY672" s="17" t="str">
        <f t="shared" si="18"/>
        <v/>
      </c>
      <c r="AZ672" s="1">
        <f t="shared" ref="AZ672:BA672" si="1358">sum(AN672,AQ672,AT672,AW672)</f>
        <v>0</v>
      </c>
      <c r="BA672" s="1">
        <f t="shared" si="1358"/>
        <v>0</v>
      </c>
      <c r="BB672" s="17" t="str">
        <f t="shared" si="20"/>
        <v/>
      </c>
    </row>
    <row r="673">
      <c r="I673" s="17"/>
      <c r="L673" s="17"/>
      <c r="O673" s="17"/>
      <c r="P673" s="1">
        <f>value(SUBSTITUTE(IFERROR(VLOOKUP(A673,'Communications - Solution Speci'!A:G,6,false),""),"#","")
)</f>
        <v>0</v>
      </c>
      <c r="Q673" s="1">
        <f>value(SUBSTITUTE(IFERROR(VLOOKUP(A673,'Communications - Solution Speci'!A:G,7,false),""),"#","")
)</f>
        <v>0</v>
      </c>
      <c r="R673" s="17" t="str">
        <f t="shared" si="6"/>
        <v/>
      </c>
      <c r="S673" s="1">
        <f>value(SUBSTITUTE(IFERROR(VLOOKUP(A673,'Networking - Solution Specializ'!A:G,6,false),""),"#","")
)</f>
        <v>0</v>
      </c>
      <c r="T673" s="1">
        <f>value(SUBSTITUTE(IFERROR(VLOOKUP(A673,'Networking - Solution Specializ'!A:G,7,false),""),"#","")
)</f>
        <v>0</v>
      </c>
      <c r="U673" s="17" t="str">
        <f t="shared" si="7"/>
        <v/>
      </c>
      <c r="X673" s="17"/>
      <c r="Y673" s="1">
        <f>value(IFERROR(SUBSTITUTE(SUBSTITUTE(VLOOKUP(A673,'Quarterly Pipeline vs Target Pi'!A:G,6,false)," $","")," €",""), "")
)</f>
        <v>0</v>
      </c>
      <c r="Z673" s="1">
        <f>value(IFERROR(SUBSTITUTE(SUBSTITUTE(VLOOKUP(A673,'Quarterly Pipeline vs Target Pi'!A:G,7,false)," $","")," €",""), "")
)</f>
        <v>0</v>
      </c>
      <c r="AA673" s="17" t="str">
        <f t="shared" si="9"/>
        <v/>
      </c>
      <c r="AB673" s="1">
        <f>value(IFERROR(SUBSTITUTE(SUBSTITUTE(VLOOKUP($A673,'Quarterly Pipeline vs Target Pi'!$A:$V,11,false)," $","")," €",""), "")
)</f>
        <v>0</v>
      </c>
      <c r="AC673" s="1">
        <f>value(IFERROR(SUBSTITUTE(SUBSTITUTE(VLOOKUP($A673,'Quarterly Pipeline vs Target Pi'!$A:$V,12,false)," $","")," €",""), "")
)</f>
        <v>0</v>
      </c>
      <c r="AD673" s="17" t="str">
        <f t="shared" si="10"/>
        <v/>
      </c>
      <c r="AE673" s="1">
        <f>value(IFERROR(SUBSTITUTE(SUBSTITUTE(VLOOKUP($A673,'Quarterly Pipeline vs Target Pi'!$A:$V,16,false)," $","")," €",""), "")
)</f>
        <v>0</v>
      </c>
      <c r="AF673" s="1">
        <f>value(IFERROR(SUBSTITUTE(SUBSTITUTE(VLOOKUP($A673,'Quarterly Pipeline vs Target Pi'!$A:$V,17,false)," $","")," €",""), "")
)</f>
        <v>0</v>
      </c>
      <c r="AG673" s="17" t="str">
        <f t="shared" si="11"/>
        <v/>
      </c>
      <c r="AH673" s="1">
        <f>value(IFERROR(SUBSTITUTE(SUBSTITUTE(VLOOKUP($A673,'Quarterly Pipeline vs Target Pi'!$A:$V,21,false)," $","")," €",""), "")
)</f>
        <v>0</v>
      </c>
      <c r="AI673" s="1">
        <f>value(IFERROR(SUBSTITUTE(SUBSTITUTE(VLOOKUP($A673,'Quarterly Pipeline vs Target Pi'!$A:$V,22,false)," $","")," €",""), "")
)</f>
        <v>0</v>
      </c>
      <c r="AJ673" s="17" t="str">
        <f t="shared" si="12"/>
        <v/>
      </c>
      <c r="AK673" s="1">
        <f t="shared" ref="AK673:AL673" si="1359">sum(Y673,AB673,AE673,AH673)</f>
        <v>0</v>
      </c>
      <c r="AL673" s="1">
        <f t="shared" si="1359"/>
        <v>0</v>
      </c>
      <c r="AM673" s="17" t="str">
        <f t="shared" si="14"/>
        <v/>
      </c>
      <c r="AN673" s="1">
        <f>value(IFERROR(SUBSTITUTE(SUBSTITUTE(VLOOKUP($A673,'Quarterly Pipeline vs Target Pi'!$A:$AP,26,false)," $","")," €",""), "")
)</f>
        <v>0</v>
      </c>
      <c r="AO673" s="1">
        <f>value(IFERROR(SUBSTITUTE(SUBSTITUTE(VLOOKUP($A673,'Quarterly Pipeline vs Target Pi'!$A:$AP,27,false)," $","")," €",""), "")
)</f>
        <v>0</v>
      </c>
      <c r="AP673" s="17" t="str">
        <f t="shared" si="15"/>
        <v/>
      </c>
      <c r="AQ673" s="1">
        <f>value(IFERROR(SUBSTITUTE(SUBSTITUTE(VLOOKUP($A673,'Quarterly Pipeline vs Target Pi'!$A:$AP,31,false)," $","")," €",""), "")
)</f>
        <v>0</v>
      </c>
      <c r="AR673" s="1">
        <f>value(IFERROR(SUBSTITUTE(SUBSTITUTE(VLOOKUP($A673,'Quarterly Pipeline vs Target Pi'!$A:$AP,32,false)," $","")," €",""), "")
)</f>
        <v>0</v>
      </c>
      <c r="AS673" s="17" t="str">
        <f t="shared" si="16"/>
        <v/>
      </c>
      <c r="AT673" s="1">
        <f>value(IFERROR(SUBSTITUTE(SUBSTITUTE(VLOOKUP($A673,'Quarterly Pipeline vs Target Pi'!$A:$AP,36,false)," $","")," €",""), "")
)</f>
        <v>0</v>
      </c>
      <c r="AU673" s="1">
        <f>value(IFERROR(SUBSTITUTE(SUBSTITUTE(VLOOKUP($A673,'Quarterly Pipeline vs Target Pi'!$A:$AP,37,false)," $","")," €",""), "")
)</f>
        <v>0</v>
      </c>
      <c r="AV673" s="17" t="str">
        <f t="shared" si="17"/>
        <v/>
      </c>
      <c r="AW673" s="1">
        <f>value(IFERROR(SUBSTITUTE(SUBSTITUTE(VLOOKUP($A673,'Quarterly Pipeline vs Target Pi'!$A:$AP,41,false)," $","")," €",""), "")
)</f>
        <v>0</v>
      </c>
      <c r="AX673" s="1">
        <f>value(IFERROR(SUBSTITUTE(SUBSTITUTE(VLOOKUP($A673,'Quarterly Pipeline vs Target Pi'!$A:$AP,42,false)," $","")," €",""), "")
)</f>
        <v>0</v>
      </c>
      <c r="AY673" s="17" t="str">
        <f t="shared" si="18"/>
        <v/>
      </c>
      <c r="AZ673" s="1">
        <f t="shared" ref="AZ673:BA673" si="1360">sum(AN673,AQ673,AT673,AW673)</f>
        <v>0</v>
      </c>
      <c r="BA673" s="1">
        <f t="shared" si="1360"/>
        <v>0</v>
      </c>
      <c r="BB673" s="17" t="str">
        <f t="shared" si="20"/>
        <v/>
      </c>
    </row>
    <row r="674">
      <c r="I674" s="17"/>
      <c r="L674" s="17"/>
      <c r="O674" s="17"/>
      <c r="P674" s="1">
        <f>value(SUBSTITUTE(IFERROR(VLOOKUP(A674,'Communications - Solution Speci'!A:G,6,false),""),"#","")
)</f>
        <v>0</v>
      </c>
      <c r="Q674" s="1">
        <f>value(SUBSTITUTE(IFERROR(VLOOKUP(A674,'Communications - Solution Speci'!A:G,7,false),""),"#","")
)</f>
        <v>0</v>
      </c>
      <c r="R674" s="17" t="str">
        <f t="shared" si="6"/>
        <v/>
      </c>
      <c r="S674" s="1">
        <f>value(SUBSTITUTE(IFERROR(VLOOKUP(A674,'Networking - Solution Specializ'!A:G,6,false),""),"#","")
)</f>
        <v>0</v>
      </c>
      <c r="T674" s="1">
        <f>value(SUBSTITUTE(IFERROR(VLOOKUP(A674,'Networking - Solution Specializ'!A:G,7,false),""),"#","")
)</f>
        <v>0</v>
      </c>
      <c r="U674" s="17" t="str">
        <f t="shared" si="7"/>
        <v/>
      </c>
      <c r="X674" s="17"/>
      <c r="Y674" s="1">
        <f>value(IFERROR(SUBSTITUTE(SUBSTITUTE(VLOOKUP(A674,'Quarterly Pipeline vs Target Pi'!A:G,6,false)," $","")," €",""), "")
)</f>
        <v>0</v>
      </c>
      <c r="Z674" s="1">
        <f>value(IFERROR(SUBSTITUTE(SUBSTITUTE(VLOOKUP(A674,'Quarterly Pipeline vs Target Pi'!A:G,7,false)," $","")," €",""), "")
)</f>
        <v>0</v>
      </c>
      <c r="AA674" s="17" t="str">
        <f t="shared" si="9"/>
        <v/>
      </c>
      <c r="AB674" s="1">
        <f>value(IFERROR(SUBSTITUTE(SUBSTITUTE(VLOOKUP($A674,'Quarterly Pipeline vs Target Pi'!$A:$V,11,false)," $","")," €",""), "")
)</f>
        <v>0</v>
      </c>
      <c r="AC674" s="1">
        <f>value(IFERROR(SUBSTITUTE(SUBSTITUTE(VLOOKUP($A674,'Quarterly Pipeline vs Target Pi'!$A:$V,12,false)," $","")," €",""), "")
)</f>
        <v>0</v>
      </c>
      <c r="AD674" s="17" t="str">
        <f t="shared" si="10"/>
        <v/>
      </c>
      <c r="AE674" s="1">
        <f>value(IFERROR(SUBSTITUTE(SUBSTITUTE(VLOOKUP($A674,'Quarterly Pipeline vs Target Pi'!$A:$V,16,false)," $","")," €",""), "")
)</f>
        <v>0</v>
      </c>
      <c r="AF674" s="1">
        <f>value(IFERROR(SUBSTITUTE(SUBSTITUTE(VLOOKUP($A674,'Quarterly Pipeline vs Target Pi'!$A:$V,17,false)," $","")," €",""), "")
)</f>
        <v>0</v>
      </c>
      <c r="AG674" s="17" t="str">
        <f t="shared" si="11"/>
        <v/>
      </c>
      <c r="AH674" s="1">
        <f>value(IFERROR(SUBSTITUTE(SUBSTITUTE(VLOOKUP($A674,'Quarterly Pipeline vs Target Pi'!$A:$V,21,false)," $","")," €",""), "")
)</f>
        <v>0</v>
      </c>
      <c r="AI674" s="1">
        <f>value(IFERROR(SUBSTITUTE(SUBSTITUTE(VLOOKUP($A674,'Quarterly Pipeline vs Target Pi'!$A:$V,22,false)," $","")," €",""), "")
)</f>
        <v>0</v>
      </c>
      <c r="AJ674" s="17" t="str">
        <f t="shared" si="12"/>
        <v/>
      </c>
      <c r="AK674" s="1">
        <f t="shared" ref="AK674:AL674" si="1361">sum(Y674,AB674,AE674,AH674)</f>
        <v>0</v>
      </c>
      <c r="AL674" s="1">
        <f t="shared" si="1361"/>
        <v>0</v>
      </c>
      <c r="AM674" s="17" t="str">
        <f t="shared" si="14"/>
        <v/>
      </c>
      <c r="AN674" s="1">
        <f>value(IFERROR(SUBSTITUTE(SUBSTITUTE(VLOOKUP($A674,'Quarterly Pipeline vs Target Pi'!$A:$AP,26,false)," $","")," €",""), "")
)</f>
        <v>0</v>
      </c>
      <c r="AO674" s="1">
        <f>value(IFERROR(SUBSTITUTE(SUBSTITUTE(VLOOKUP($A674,'Quarterly Pipeline vs Target Pi'!$A:$AP,27,false)," $","")," €",""), "")
)</f>
        <v>0</v>
      </c>
      <c r="AP674" s="17" t="str">
        <f t="shared" si="15"/>
        <v/>
      </c>
      <c r="AQ674" s="1">
        <f>value(IFERROR(SUBSTITUTE(SUBSTITUTE(VLOOKUP($A674,'Quarterly Pipeline vs Target Pi'!$A:$AP,31,false)," $","")," €",""), "")
)</f>
        <v>0</v>
      </c>
      <c r="AR674" s="1">
        <f>value(IFERROR(SUBSTITUTE(SUBSTITUTE(VLOOKUP($A674,'Quarterly Pipeline vs Target Pi'!$A:$AP,32,false)," $","")," €",""), "")
)</f>
        <v>0</v>
      </c>
      <c r="AS674" s="17" t="str">
        <f t="shared" si="16"/>
        <v/>
      </c>
      <c r="AT674" s="1">
        <f>value(IFERROR(SUBSTITUTE(SUBSTITUTE(VLOOKUP($A674,'Quarterly Pipeline vs Target Pi'!$A:$AP,36,false)," $","")," €",""), "")
)</f>
        <v>0</v>
      </c>
      <c r="AU674" s="1">
        <f>value(IFERROR(SUBSTITUTE(SUBSTITUTE(VLOOKUP($A674,'Quarterly Pipeline vs Target Pi'!$A:$AP,37,false)," $","")," €",""), "")
)</f>
        <v>0</v>
      </c>
      <c r="AV674" s="17" t="str">
        <f t="shared" si="17"/>
        <v/>
      </c>
      <c r="AW674" s="1">
        <f>value(IFERROR(SUBSTITUTE(SUBSTITUTE(VLOOKUP($A674,'Quarterly Pipeline vs Target Pi'!$A:$AP,41,false)," $","")," €",""), "")
)</f>
        <v>0</v>
      </c>
      <c r="AX674" s="1">
        <f>value(IFERROR(SUBSTITUTE(SUBSTITUTE(VLOOKUP($A674,'Quarterly Pipeline vs Target Pi'!$A:$AP,42,false)," $","")," €",""), "")
)</f>
        <v>0</v>
      </c>
      <c r="AY674" s="17" t="str">
        <f t="shared" si="18"/>
        <v/>
      </c>
      <c r="AZ674" s="1">
        <f t="shared" ref="AZ674:BA674" si="1362">sum(AN674,AQ674,AT674,AW674)</f>
        <v>0</v>
      </c>
      <c r="BA674" s="1">
        <f t="shared" si="1362"/>
        <v>0</v>
      </c>
      <c r="BB674" s="17" t="str">
        <f t="shared" si="20"/>
        <v/>
      </c>
    </row>
    <row r="675">
      <c r="I675" s="17"/>
      <c r="L675" s="17"/>
      <c r="O675" s="17"/>
      <c r="P675" s="1">
        <f>value(SUBSTITUTE(IFERROR(VLOOKUP(A675,'Communications - Solution Speci'!A:G,6,false),""),"#","")
)</f>
        <v>0</v>
      </c>
      <c r="Q675" s="1">
        <f>value(SUBSTITUTE(IFERROR(VLOOKUP(A675,'Communications - Solution Speci'!A:G,7,false),""),"#","")
)</f>
        <v>0</v>
      </c>
      <c r="R675" s="17" t="str">
        <f t="shared" si="6"/>
        <v/>
      </c>
      <c r="S675" s="1">
        <f>value(SUBSTITUTE(IFERROR(VLOOKUP(A675,'Networking - Solution Specializ'!A:G,6,false),""),"#","")
)</f>
        <v>0</v>
      </c>
      <c r="T675" s="1">
        <f>value(SUBSTITUTE(IFERROR(VLOOKUP(A675,'Networking - Solution Specializ'!A:G,7,false),""),"#","")
)</f>
        <v>0</v>
      </c>
      <c r="U675" s="17" t="str">
        <f t="shared" si="7"/>
        <v/>
      </c>
      <c r="X675" s="17"/>
      <c r="Y675" s="1">
        <f>value(IFERROR(SUBSTITUTE(SUBSTITUTE(VLOOKUP(A675,'Quarterly Pipeline vs Target Pi'!A:G,6,false)," $","")," €",""), "")
)</f>
        <v>0</v>
      </c>
      <c r="Z675" s="1">
        <f>value(IFERROR(SUBSTITUTE(SUBSTITUTE(VLOOKUP(A675,'Quarterly Pipeline vs Target Pi'!A:G,7,false)," $","")," €",""), "")
)</f>
        <v>0</v>
      </c>
      <c r="AA675" s="17" t="str">
        <f t="shared" si="9"/>
        <v/>
      </c>
      <c r="AB675" s="1">
        <f>value(IFERROR(SUBSTITUTE(SUBSTITUTE(VLOOKUP($A675,'Quarterly Pipeline vs Target Pi'!$A:$V,11,false)," $","")," €",""), "")
)</f>
        <v>0</v>
      </c>
      <c r="AC675" s="1">
        <f>value(IFERROR(SUBSTITUTE(SUBSTITUTE(VLOOKUP($A675,'Quarterly Pipeline vs Target Pi'!$A:$V,12,false)," $","")," €",""), "")
)</f>
        <v>0</v>
      </c>
      <c r="AD675" s="17" t="str">
        <f t="shared" si="10"/>
        <v/>
      </c>
      <c r="AE675" s="1">
        <f>value(IFERROR(SUBSTITUTE(SUBSTITUTE(VLOOKUP($A675,'Quarterly Pipeline vs Target Pi'!$A:$V,16,false)," $","")," €",""), "")
)</f>
        <v>0</v>
      </c>
      <c r="AF675" s="1">
        <f>value(IFERROR(SUBSTITUTE(SUBSTITUTE(VLOOKUP($A675,'Quarterly Pipeline vs Target Pi'!$A:$V,17,false)," $","")," €",""), "")
)</f>
        <v>0</v>
      </c>
      <c r="AG675" s="17" t="str">
        <f t="shared" si="11"/>
        <v/>
      </c>
      <c r="AH675" s="1">
        <f>value(IFERROR(SUBSTITUTE(SUBSTITUTE(VLOOKUP($A675,'Quarterly Pipeline vs Target Pi'!$A:$V,21,false)," $","")," €",""), "")
)</f>
        <v>0</v>
      </c>
      <c r="AI675" s="1">
        <f>value(IFERROR(SUBSTITUTE(SUBSTITUTE(VLOOKUP($A675,'Quarterly Pipeline vs Target Pi'!$A:$V,22,false)," $","")," €",""), "")
)</f>
        <v>0</v>
      </c>
      <c r="AJ675" s="17" t="str">
        <f t="shared" si="12"/>
        <v/>
      </c>
      <c r="AK675" s="1">
        <f t="shared" ref="AK675:AL675" si="1363">sum(Y675,AB675,AE675,AH675)</f>
        <v>0</v>
      </c>
      <c r="AL675" s="1">
        <f t="shared" si="1363"/>
        <v>0</v>
      </c>
      <c r="AM675" s="17" t="str">
        <f t="shared" si="14"/>
        <v/>
      </c>
      <c r="AN675" s="1">
        <f>value(IFERROR(SUBSTITUTE(SUBSTITUTE(VLOOKUP($A675,'Quarterly Pipeline vs Target Pi'!$A:$AP,26,false)," $","")," €",""), "")
)</f>
        <v>0</v>
      </c>
      <c r="AO675" s="1">
        <f>value(IFERROR(SUBSTITUTE(SUBSTITUTE(VLOOKUP($A675,'Quarterly Pipeline vs Target Pi'!$A:$AP,27,false)," $","")," €",""), "")
)</f>
        <v>0</v>
      </c>
      <c r="AP675" s="17" t="str">
        <f t="shared" si="15"/>
        <v/>
      </c>
      <c r="AQ675" s="1">
        <f>value(IFERROR(SUBSTITUTE(SUBSTITUTE(VLOOKUP($A675,'Quarterly Pipeline vs Target Pi'!$A:$AP,31,false)," $","")," €",""), "")
)</f>
        <v>0</v>
      </c>
      <c r="AR675" s="1">
        <f>value(IFERROR(SUBSTITUTE(SUBSTITUTE(VLOOKUP($A675,'Quarterly Pipeline vs Target Pi'!$A:$AP,32,false)," $","")," €",""), "")
)</f>
        <v>0</v>
      </c>
      <c r="AS675" s="17" t="str">
        <f t="shared" si="16"/>
        <v/>
      </c>
      <c r="AT675" s="1">
        <f>value(IFERROR(SUBSTITUTE(SUBSTITUTE(VLOOKUP($A675,'Quarterly Pipeline vs Target Pi'!$A:$AP,36,false)," $","")," €",""), "")
)</f>
        <v>0</v>
      </c>
      <c r="AU675" s="1">
        <f>value(IFERROR(SUBSTITUTE(SUBSTITUTE(VLOOKUP($A675,'Quarterly Pipeline vs Target Pi'!$A:$AP,37,false)," $","")," €",""), "")
)</f>
        <v>0</v>
      </c>
      <c r="AV675" s="17" t="str">
        <f t="shared" si="17"/>
        <v/>
      </c>
      <c r="AW675" s="1">
        <f>value(IFERROR(SUBSTITUTE(SUBSTITUTE(VLOOKUP($A675,'Quarterly Pipeline vs Target Pi'!$A:$AP,41,false)," $","")," €",""), "")
)</f>
        <v>0</v>
      </c>
      <c r="AX675" s="1">
        <f>value(IFERROR(SUBSTITUTE(SUBSTITUTE(VLOOKUP($A675,'Quarterly Pipeline vs Target Pi'!$A:$AP,42,false)," $","")," €",""), "")
)</f>
        <v>0</v>
      </c>
      <c r="AY675" s="17" t="str">
        <f t="shared" si="18"/>
        <v/>
      </c>
      <c r="AZ675" s="1">
        <f t="shared" ref="AZ675:BA675" si="1364">sum(AN675,AQ675,AT675,AW675)</f>
        <v>0</v>
      </c>
      <c r="BA675" s="1">
        <f t="shared" si="1364"/>
        <v>0</v>
      </c>
      <c r="BB675" s="17" t="str">
        <f t="shared" si="20"/>
        <v/>
      </c>
    </row>
    <row r="676">
      <c r="I676" s="17"/>
      <c r="L676" s="17"/>
      <c r="O676" s="17"/>
      <c r="P676" s="1">
        <f>value(SUBSTITUTE(IFERROR(VLOOKUP(A676,'Communications - Solution Speci'!A:G,6,false),""),"#","")
)</f>
        <v>0</v>
      </c>
      <c r="Q676" s="1">
        <f>value(SUBSTITUTE(IFERROR(VLOOKUP(A676,'Communications - Solution Speci'!A:G,7,false),""),"#","")
)</f>
        <v>0</v>
      </c>
      <c r="R676" s="17" t="str">
        <f t="shared" si="6"/>
        <v/>
      </c>
      <c r="S676" s="1">
        <f>value(SUBSTITUTE(IFERROR(VLOOKUP(A676,'Networking - Solution Specializ'!A:G,6,false),""),"#","")
)</f>
        <v>0</v>
      </c>
      <c r="T676" s="1">
        <f>value(SUBSTITUTE(IFERROR(VLOOKUP(A676,'Networking - Solution Specializ'!A:G,7,false),""),"#","")
)</f>
        <v>0</v>
      </c>
      <c r="U676" s="17" t="str">
        <f t="shared" si="7"/>
        <v/>
      </c>
      <c r="X676" s="17"/>
      <c r="Y676" s="1">
        <f>value(IFERROR(SUBSTITUTE(SUBSTITUTE(VLOOKUP(A676,'Quarterly Pipeline vs Target Pi'!A:G,6,false)," $","")," €",""), "")
)</f>
        <v>0</v>
      </c>
      <c r="Z676" s="1">
        <f>value(IFERROR(SUBSTITUTE(SUBSTITUTE(VLOOKUP(A676,'Quarterly Pipeline vs Target Pi'!A:G,7,false)," $","")," €",""), "")
)</f>
        <v>0</v>
      </c>
      <c r="AA676" s="17" t="str">
        <f t="shared" si="9"/>
        <v/>
      </c>
      <c r="AB676" s="1">
        <f>value(IFERROR(SUBSTITUTE(SUBSTITUTE(VLOOKUP($A676,'Quarterly Pipeline vs Target Pi'!$A:$V,11,false)," $","")," €",""), "")
)</f>
        <v>0</v>
      </c>
      <c r="AC676" s="1">
        <f>value(IFERROR(SUBSTITUTE(SUBSTITUTE(VLOOKUP($A676,'Quarterly Pipeline vs Target Pi'!$A:$V,12,false)," $","")," €",""), "")
)</f>
        <v>0</v>
      </c>
      <c r="AD676" s="17" t="str">
        <f t="shared" si="10"/>
        <v/>
      </c>
      <c r="AE676" s="1">
        <f>value(IFERROR(SUBSTITUTE(SUBSTITUTE(VLOOKUP($A676,'Quarterly Pipeline vs Target Pi'!$A:$V,16,false)," $","")," €",""), "")
)</f>
        <v>0</v>
      </c>
      <c r="AF676" s="1">
        <f>value(IFERROR(SUBSTITUTE(SUBSTITUTE(VLOOKUP($A676,'Quarterly Pipeline vs Target Pi'!$A:$V,17,false)," $","")," €",""), "")
)</f>
        <v>0</v>
      </c>
      <c r="AG676" s="17" t="str">
        <f t="shared" si="11"/>
        <v/>
      </c>
      <c r="AH676" s="1">
        <f>value(IFERROR(SUBSTITUTE(SUBSTITUTE(VLOOKUP($A676,'Quarterly Pipeline vs Target Pi'!$A:$V,21,false)," $","")," €",""), "")
)</f>
        <v>0</v>
      </c>
      <c r="AI676" s="1">
        <f>value(IFERROR(SUBSTITUTE(SUBSTITUTE(VLOOKUP($A676,'Quarterly Pipeline vs Target Pi'!$A:$V,22,false)," $","")," €",""), "")
)</f>
        <v>0</v>
      </c>
      <c r="AJ676" s="17" t="str">
        <f t="shared" si="12"/>
        <v/>
      </c>
      <c r="AK676" s="1">
        <f t="shared" ref="AK676:AL676" si="1365">sum(Y676,AB676,AE676,AH676)</f>
        <v>0</v>
      </c>
      <c r="AL676" s="1">
        <f t="shared" si="1365"/>
        <v>0</v>
      </c>
      <c r="AM676" s="17" t="str">
        <f t="shared" si="14"/>
        <v/>
      </c>
      <c r="AN676" s="1">
        <f>value(IFERROR(SUBSTITUTE(SUBSTITUTE(VLOOKUP($A676,'Quarterly Pipeline vs Target Pi'!$A:$AP,26,false)," $","")," €",""), "")
)</f>
        <v>0</v>
      </c>
      <c r="AO676" s="1">
        <f>value(IFERROR(SUBSTITUTE(SUBSTITUTE(VLOOKUP($A676,'Quarterly Pipeline vs Target Pi'!$A:$AP,27,false)," $","")," €",""), "")
)</f>
        <v>0</v>
      </c>
      <c r="AP676" s="17" t="str">
        <f t="shared" si="15"/>
        <v/>
      </c>
      <c r="AQ676" s="1">
        <f>value(IFERROR(SUBSTITUTE(SUBSTITUTE(VLOOKUP($A676,'Quarterly Pipeline vs Target Pi'!$A:$AP,31,false)," $","")," €",""), "")
)</f>
        <v>0</v>
      </c>
      <c r="AR676" s="1">
        <f>value(IFERROR(SUBSTITUTE(SUBSTITUTE(VLOOKUP($A676,'Quarterly Pipeline vs Target Pi'!$A:$AP,32,false)," $","")," €",""), "")
)</f>
        <v>0</v>
      </c>
      <c r="AS676" s="17" t="str">
        <f t="shared" si="16"/>
        <v/>
      </c>
      <c r="AT676" s="1">
        <f>value(IFERROR(SUBSTITUTE(SUBSTITUTE(VLOOKUP($A676,'Quarterly Pipeline vs Target Pi'!$A:$AP,36,false)," $","")," €",""), "")
)</f>
        <v>0</v>
      </c>
      <c r="AU676" s="1">
        <f>value(IFERROR(SUBSTITUTE(SUBSTITUTE(VLOOKUP($A676,'Quarterly Pipeline vs Target Pi'!$A:$AP,37,false)," $","")," €",""), "")
)</f>
        <v>0</v>
      </c>
      <c r="AV676" s="17" t="str">
        <f t="shared" si="17"/>
        <v/>
      </c>
      <c r="AW676" s="1">
        <f>value(IFERROR(SUBSTITUTE(SUBSTITUTE(VLOOKUP($A676,'Quarterly Pipeline vs Target Pi'!$A:$AP,41,false)," $","")," €",""), "")
)</f>
        <v>0</v>
      </c>
      <c r="AX676" s="1">
        <f>value(IFERROR(SUBSTITUTE(SUBSTITUTE(VLOOKUP($A676,'Quarterly Pipeline vs Target Pi'!$A:$AP,42,false)," $","")," €",""), "")
)</f>
        <v>0</v>
      </c>
      <c r="AY676" s="17" t="str">
        <f t="shared" si="18"/>
        <v/>
      </c>
      <c r="AZ676" s="1">
        <f t="shared" ref="AZ676:BA676" si="1366">sum(AN676,AQ676,AT676,AW676)</f>
        <v>0</v>
      </c>
      <c r="BA676" s="1">
        <f t="shared" si="1366"/>
        <v>0</v>
      </c>
      <c r="BB676" s="17" t="str">
        <f t="shared" si="20"/>
        <v/>
      </c>
    </row>
    <row r="677">
      <c r="I677" s="17"/>
      <c r="L677" s="17"/>
      <c r="O677" s="17"/>
      <c r="X677" s="17"/>
      <c r="Y677" s="1">
        <f>value(IFERROR(SUBSTITUTE(SUBSTITUTE(VLOOKUP(A677,'Quarterly Pipeline vs Target Pi'!A:G,6,false)," $","")," €",""), "")
)</f>
        <v>0</v>
      </c>
      <c r="Z677" s="1">
        <f>value(IFERROR(SUBSTITUTE(SUBSTITUTE(VLOOKUP(A677,'Quarterly Pipeline vs Target Pi'!A:G,7,false)," $","")," €",""), "")
)</f>
        <v>0</v>
      </c>
      <c r="AA677" s="17" t="str">
        <f t="shared" si="9"/>
        <v/>
      </c>
      <c r="AB677" s="1">
        <f>value(IFERROR(SUBSTITUTE(SUBSTITUTE(VLOOKUP($A677,'Quarterly Pipeline vs Target Pi'!$A:$V,11,false)," $","")," €",""), "")
)</f>
        <v>0</v>
      </c>
      <c r="AC677" s="1">
        <f>value(IFERROR(SUBSTITUTE(SUBSTITUTE(VLOOKUP($A677,'Quarterly Pipeline vs Target Pi'!$A:$V,12,false)," $","")," €",""), "")
)</f>
        <v>0</v>
      </c>
      <c r="AD677" s="17" t="str">
        <f t="shared" si="10"/>
        <v/>
      </c>
      <c r="AE677" s="1">
        <f>value(IFERROR(SUBSTITUTE(SUBSTITUTE(VLOOKUP($A677,'Quarterly Pipeline vs Target Pi'!$A:$V,16,false)," $","")," €",""), "")
)</f>
        <v>0</v>
      </c>
      <c r="AF677" s="1">
        <f>value(IFERROR(SUBSTITUTE(SUBSTITUTE(VLOOKUP($A677,'Quarterly Pipeline vs Target Pi'!$A:$V,17,false)," $","")," €",""), "")
)</f>
        <v>0</v>
      </c>
      <c r="AG677" s="17" t="str">
        <f t="shared" si="11"/>
        <v/>
      </c>
      <c r="AH677" s="1">
        <f>value(IFERROR(SUBSTITUTE(SUBSTITUTE(VLOOKUP($A677,'Quarterly Pipeline vs Target Pi'!$A:$V,21,false)," $","")," €",""), "")
)</f>
        <v>0</v>
      </c>
      <c r="AI677" s="1">
        <f>value(IFERROR(SUBSTITUTE(SUBSTITUTE(VLOOKUP($A677,'Quarterly Pipeline vs Target Pi'!$A:$V,22,false)," $","")," €",""), "")
)</f>
        <v>0</v>
      </c>
      <c r="AJ677" s="17" t="str">
        <f t="shared" si="12"/>
        <v/>
      </c>
      <c r="AK677" s="1">
        <f t="shared" ref="AK677:AL677" si="1367">sum(Y677,AB677,AE677,AH677)</f>
        <v>0</v>
      </c>
      <c r="AL677" s="1">
        <f t="shared" si="1367"/>
        <v>0</v>
      </c>
      <c r="AM677" s="17" t="str">
        <f t="shared" si="14"/>
        <v/>
      </c>
      <c r="AN677" s="1">
        <f>value(IFERROR(SUBSTITUTE(SUBSTITUTE(VLOOKUP($A677,'Quarterly Pipeline vs Target Pi'!$A:$AP,26,false)," $","")," €",""), "")
)</f>
        <v>0</v>
      </c>
      <c r="AO677" s="1">
        <f>value(IFERROR(SUBSTITUTE(SUBSTITUTE(VLOOKUP($A677,'Quarterly Pipeline vs Target Pi'!$A:$AP,27,false)," $","")," €",""), "")
)</f>
        <v>0</v>
      </c>
      <c r="AP677" s="17" t="str">
        <f t="shared" si="15"/>
        <v/>
      </c>
      <c r="AQ677" s="1">
        <f>value(IFERROR(SUBSTITUTE(SUBSTITUTE(VLOOKUP($A677,'Quarterly Pipeline vs Target Pi'!$A:$AP,31,false)," $","")," €",""), "")
)</f>
        <v>0</v>
      </c>
      <c r="AR677" s="1">
        <f>value(IFERROR(SUBSTITUTE(SUBSTITUTE(VLOOKUP($A677,'Quarterly Pipeline vs Target Pi'!$A:$AP,32,false)," $","")," €",""), "")
)</f>
        <v>0</v>
      </c>
      <c r="AS677" s="17" t="str">
        <f t="shared" si="16"/>
        <v/>
      </c>
      <c r="AT677" s="1">
        <f>value(IFERROR(SUBSTITUTE(SUBSTITUTE(VLOOKUP($A677,'Quarterly Pipeline vs Target Pi'!$A:$AP,36,false)," $","")," €",""), "")
)</f>
        <v>0</v>
      </c>
      <c r="AU677" s="1">
        <f>value(IFERROR(SUBSTITUTE(SUBSTITUTE(VLOOKUP($A677,'Quarterly Pipeline vs Target Pi'!$A:$AP,37,false)," $","")," €",""), "")
)</f>
        <v>0</v>
      </c>
      <c r="AV677" s="17" t="str">
        <f t="shared" si="17"/>
        <v/>
      </c>
      <c r="AW677" s="1">
        <f>value(IFERROR(SUBSTITUTE(SUBSTITUTE(VLOOKUP($A677,'Quarterly Pipeline vs Target Pi'!$A:$AP,41,false)," $","")," €",""), "")
)</f>
        <v>0</v>
      </c>
      <c r="AX677" s="1">
        <f>value(IFERROR(SUBSTITUTE(SUBSTITUTE(VLOOKUP($A677,'Quarterly Pipeline vs Target Pi'!$A:$AP,42,false)," $","")," €",""), "")
)</f>
        <v>0</v>
      </c>
      <c r="AY677" s="17" t="str">
        <f t="shared" si="18"/>
        <v/>
      </c>
      <c r="AZ677" s="1">
        <f t="shared" ref="AZ677:BA677" si="1368">sum(AN677,AQ677,AT677,AW677)</f>
        <v>0</v>
      </c>
      <c r="BA677" s="1">
        <f t="shared" si="1368"/>
        <v>0</v>
      </c>
      <c r="BB677" s="17" t="str">
        <f t="shared" si="20"/>
        <v/>
      </c>
    </row>
    <row r="678">
      <c r="I678" s="17"/>
      <c r="L678" s="17"/>
      <c r="O678" s="17"/>
      <c r="X678" s="17"/>
      <c r="Y678" s="1">
        <f>value(IFERROR(SUBSTITUTE(SUBSTITUTE(VLOOKUP(A678,'Quarterly Pipeline vs Target Pi'!A:G,6,false)," $","")," €",""), "")
)</f>
        <v>0</v>
      </c>
      <c r="Z678" s="1">
        <f>value(IFERROR(SUBSTITUTE(SUBSTITUTE(VLOOKUP(A678,'Quarterly Pipeline vs Target Pi'!A:G,7,false)," $","")," €",""), "")
)</f>
        <v>0</v>
      </c>
      <c r="AA678" s="17" t="str">
        <f t="shared" si="9"/>
        <v/>
      </c>
      <c r="AB678" s="1">
        <f>value(IFERROR(SUBSTITUTE(SUBSTITUTE(VLOOKUP($A678,'Quarterly Pipeline vs Target Pi'!$A:$V,11,false)," $","")," €",""), "")
)</f>
        <v>0</v>
      </c>
      <c r="AC678" s="1">
        <f>value(IFERROR(SUBSTITUTE(SUBSTITUTE(VLOOKUP($A678,'Quarterly Pipeline vs Target Pi'!$A:$V,12,false)," $","")," €",""), "")
)</f>
        <v>0</v>
      </c>
      <c r="AD678" s="17" t="str">
        <f t="shared" si="10"/>
        <v/>
      </c>
      <c r="AE678" s="1">
        <f>value(IFERROR(SUBSTITUTE(SUBSTITUTE(VLOOKUP($A678,'Quarterly Pipeline vs Target Pi'!$A:$V,16,false)," $","")," €",""), "")
)</f>
        <v>0</v>
      </c>
      <c r="AF678" s="1">
        <f>value(IFERROR(SUBSTITUTE(SUBSTITUTE(VLOOKUP($A678,'Quarterly Pipeline vs Target Pi'!$A:$V,17,false)," $","")," €",""), "")
)</f>
        <v>0</v>
      </c>
      <c r="AG678" s="17" t="str">
        <f t="shared" si="11"/>
        <v/>
      </c>
      <c r="AH678" s="1">
        <f>value(IFERROR(SUBSTITUTE(SUBSTITUTE(VLOOKUP($A678,'Quarterly Pipeline vs Target Pi'!$A:$V,21,false)," $","")," €",""), "")
)</f>
        <v>0</v>
      </c>
      <c r="AI678" s="1">
        <f>value(IFERROR(SUBSTITUTE(SUBSTITUTE(VLOOKUP($A678,'Quarterly Pipeline vs Target Pi'!$A:$V,22,false)," $","")," €",""), "")
)</f>
        <v>0</v>
      </c>
      <c r="AJ678" s="17" t="str">
        <f t="shared" si="12"/>
        <v/>
      </c>
      <c r="AK678" s="1">
        <f t="shared" ref="AK678:AL678" si="1369">sum(Y678,AB678,AE678,AH678)</f>
        <v>0</v>
      </c>
      <c r="AL678" s="1">
        <f t="shared" si="1369"/>
        <v>0</v>
      </c>
      <c r="AM678" s="17" t="str">
        <f t="shared" si="14"/>
        <v/>
      </c>
      <c r="AN678" s="1">
        <f>value(IFERROR(SUBSTITUTE(SUBSTITUTE(VLOOKUP($A678,'Quarterly Pipeline vs Target Pi'!$A:$AP,26,false)," $","")," €",""), "")
)</f>
        <v>0</v>
      </c>
      <c r="AO678" s="1">
        <f>value(IFERROR(SUBSTITUTE(SUBSTITUTE(VLOOKUP($A678,'Quarterly Pipeline vs Target Pi'!$A:$AP,27,false)," $","")," €",""), "")
)</f>
        <v>0</v>
      </c>
      <c r="AP678" s="17" t="str">
        <f t="shared" si="15"/>
        <v/>
      </c>
      <c r="AQ678" s="1">
        <f>value(IFERROR(SUBSTITUTE(SUBSTITUTE(VLOOKUP($A678,'Quarterly Pipeline vs Target Pi'!$A:$AP,31,false)," $","")," €",""), "")
)</f>
        <v>0</v>
      </c>
      <c r="AR678" s="1">
        <f>value(IFERROR(SUBSTITUTE(SUBSTITUTE(VLOOKUP($A678,'Quarterly Pipeline vs Target Pi'!$A:$AP,32,false)," $","")," €",""), "")
)</f>
        <v>0</v>
      </c>
      <c r="AS678" s="17" t="str">
        <f t="shared" si="16"/>
        <v/>
      </c>
      <c r="AT678" s="1">
        <f>value(IFERROR(SUBSTITUTE(SUBSTITUTE(VLOOKUP($A678,'Quarterly Pipeline vs Target Pi'!$A:$AP,36,false)," $","")," €",""), "")
)</f>
        <v>0</v>
      </c>
      <c r="AU678" s="1">
        <f>value(IFERROR(SUBSTITUTE(SUBSTITUTE(VLOOKUP($A678,'Quarterly Pipeline vs Target Pi'!$A:$AP,37,false)," $","")," €",""), "")
)</f>
        <v>0</v>
      </c>
      <c r="AV678" s="17" t="str">
        <f t="shared" si="17"/>
        <v/>
      </c>
      <c r="AW678" s="1">
        <f>value(IFERROR(SUBSTITUTE(SUBSTITUTE(VLOOKUP($A678,'Quarterly Pipeline vs Target Pi'!$A:$AP,41,false)," $","")," €",""), "")
)</f>
        <v>0</v>
      </c>
      <c r="AX678" s="1">
        <f>value(IFERROR(SUBSTITUTE(SUBSTITUTE(VLOOKUP($A678,'Quarterly Pipeline vs Target Pi'!$A:$AP,42,false)," $","")," €",""), "")
)</f>
        <v>0</v>
      </c>
      <c r="AY678" s="17" t="str">
        <f t="shared" si="18"/>
        <v/>
      </c>
      <c r="AZ678" s="1">
        <f t="shared" ref="AZ678:BA678" si="1370">sum(AN678,AQ678,AT678,AW678)</f>
        <v>0</v>
      </c>
      <c r="BA678" s="1">
        <f t="shared" si="1370"/>
        <v>0</v>
      </c>
      <c r="BB678" s="17" t="str">
        <f t="shared" si="20"/>
        <v/>
      </c>
    </row>
    <row r="679">
      <c r="I679" s="17"/>
      <c r="L679" s="17"/>
      <c r="O679" s="17"/>
      <c r="X679" s="17"/>
      <c r="Y679" s="1">
        <f>value(IFERROR(SUBSTITUTE(SUBSTITUTE(VLOOKUP(A679,'Quarterly Pipeline vs Target Pi'!A:G,6,false)," $","")," €",""), "")
)</f>
        <v>0</v>
      </c>
      <c r="Z679" s="1">
        <f>value(IFERROR(SUBSTITUTE(SUBSTITUTE(VLOOKUP(A679,'Quarterly Pipeline vs Target Pi'!A:G,7,false)," $","")," €",""), "")
)</f>
        <v>0</v>
      </c>
      <c r="AA679" s="17" t="str">
        <f t="shared" si="9"/>
        <v/>
      </c>
      <c r="AB679" s="1">
        <f>value(IFERROR(SUBSTITUTE(SUBSTITUTE(VLOOKUP($A679,'Quarterly Pipeline vs Target Pi'!$A:$V,11,false)," $","")," €",""), "")
)</f>
        <v>0</v>
      </c>
      <c r="AC679" s="1">
        <f>value(IFERROR(SUBSTITUTE(SUBSTITUTE(VLOOKUP($A679,'Quarterly Pipeline vs Target Pi'!$A:$V,12,false)," $","")," €",""), "")
)</f>
        <v>0</v>
      </c>
      <c r="AD679" s="17" t="str">
        <f t="shared" si="10"/>
        <v/>
      </c>
      <c r="AE679" s="1">
        <f>value(IFERROR(SUBSTITUTE(SUBSTITUTE(VLOOKUP($A679,'Quarterly Pipeline vs Target Pi'!$A:$V,16,false)," $","")," €",""), "")
)</f>
        <v>0</v>
      </c>
      <c r="AF679" s="1">
        <f>value(IFERROR(SUBSTITUTE(SUBSTITUTE(VLOOKUP($A679,'Quarterly Pipeline vs Target Pi'!$A:$V,17,false)," $","")," €",""), "")
)</f>
        <v>0</v>
      </c>
      <c r="AG679" s="17" t="str">
        <f t="shared" si="11"/>
        <v/>
      </c>
      <c r="AH679" s="1">
        <f>value(IFERROR(SUBSTITUTE(SUBSTITUTE(VLOOKUP($A679,'Quarterly Pipeline vs Target Pi'!$A:$V,21,false)," $","")," €",""), "")
)</f>
        <v>0</v>
      </c>
      <c r="AI679" s="1">
        <f>value(IFERROR(SUBSTITUTE(SUBSTITUTE(VLOOKUP($A679,'Quarterly Pipeline vs Target Pi'!$A:$V,22,false)," $","")," €",""), "")
)</f>
        <v>0</v>
      </c>
      <c r="AJ679" s="17" t="str">
        <f t="shared" si="12"/>
        <v/>
      </c>
      <c r="AK679" s="1">
        <f t="shared" ref="AK679:AL679" si="1371">sum(Y679,AB679,AE679,AH679)</f>
        <v>0</v>
      </c>
      <c r="AL679" s="1">
        <f t="shared" si="1371"/>
        <v>0</v>
      </c>
      <c r="AM679" s="17" t="str">
        <f t="shared" si="14"/>
        <v/>
      </c>
      <c r="AN679" s="1">
        <f>value(IFERROR(SUBSTITUTE(SUBSTITUTE(VLOOKUP($A679,'Quarterly Pipeline vs Target Pi'!$A:$AP,26,false)," $","")," €",""), "")
)</f>
        <v>0</v>
      </c>
      <c r="AO679" s="1">
        <f>value(IFERROR(SUBSTITUTE(SUBSTITUTE(VLOOKUP($A679,'Quarterly Pipeline vs Target Pi'!$A:$AP,27,false)," $","")," €",""), "")
)</f>
        <v>0</v>
      </c>
      <c r="AP679" s="17" t="str">
        <f t="shared" si="15"/>
        <v/>
      </c>
      <c r="AQ679" s="1">
        <f>value(IFERROR(SUBSTITUTE(SUBSTITUTE(VLOOKUP($A679,'Quarterly Pipeline vs Target Pi'!$A:$AP,31,false)," $","")," €",""), "")
)</f>
        <v>0</v>
      </c>
      <c r="AR679" s="1">
        <f>value(IFERROR(SUBSTITUTE(SUBSTITUTE(VLOOKUP($A679,'Quarterly Pipeline vs Target Pi'!$A:$AP,32,false)," $","")," €",""), "")
)</f>
        <v>0</v>
      </c>
      <c r="AS679" s="17" t="str">
        <f t="shared" si="16"/>
        <v/>
      </c>
      <c r="AT679" s="1">
        <f>value(IFERROR(SUBSTITUTE(SUBSTITUTE(VLOOKUP($A679,'Quarterly Pipeline vs Target Pi'!$A:$AP,36,false)," $","")," €",""), "")
)</f>
        <v>0</v>
      </c>
      <c r="AU679" s="1">
        <f>value(IFERROR(SUBSTITUTE(SUBSTITUTE(VLOOKUP($A679,'Quarterly Pipeline vs Target Pi'!$A:$AP,37,false)," $","")," €",""), "")
)</f>
        <v>0</v>
      </c>
      <c r="AV679" s="17" t="str">
        <f t="shared" si="17"/>
        <v/>
      </c>
      <c r="AW679" s="1">
        <f>value(IFERROR(SUBSTITUTE(SUBSTITUTE(VLOOKUP($A679,'Quarterly Pipeline vs Target Pi'!$A:$AP,41,false)," $","")," €",""), "")
)</f>
        <v>0</v>
      </c>
      <c r="AX679" s="1">
        <f>value(IFERROR(SUBSTITUTE(SUBSTITUTE(VLOOKUP($A679,'Quarterly Pipeline vs Target Pi'!$A:$AP,42,false)," $","")," €",""), "")
)</f>
        <v>0</v>
      </c>
      <c r="AY679" s="17" t="str">
        <f t="shared" si="18"/>
        <v/>
      </c>
      <c r="AZ679" s="1">
        <f t="shared" ref="AZ679:BA679" si="1372">sum(AN679,AQ679,AT679,AW679)</f>
        <v>0</v>
      </c>
      <c r="BA679" s="1">
        <f t="shared" si="1372"/>
        <v>0</v>
      </c>
      <c r="BB679" s="17" t="str">
        <f t="shared" si="20"/>
        <v/>
      </c>
    </row>
    <row r="680">
      <c r="I680" s="17"/>
      <c r="L680" s="17"/>
      <c r="O680" s="17"/>
      <c r="X680" s="17"/>
      <c r="Y680" s="1">
        <f>value(IFERROR(SUBSTITUTE(SUBSTITUTE(VLOOKUP(A680,'Quarterly Pipeline vs Target Pi'!A:G,6,false)," $","")," €",""), "")
)</f>
        <v>0</v>
      </c>
      <c r="Z680" s="1">
        <f>value(IFERROR(SUBSTITUTE(SUBSTITUTE(VLOOKUP(A680,'Quarterly Pipeline vs Target Pi'!A:G,7,false)," $","")," €",""), "")
)</f>
        <v>0</v>
      </c>
      <c r="AA680" s="17" t="str">
        <f t="shared" si="9"/>
        <v/>
      </c>
      <c r="AB680" s="1">
        <f>value(IFERROR(SUBSTITUTE(SUBSTITUTE(VLOOKUP($A680,'Quarterly Pipeline vs Target Pi'!$A:$V,11,false)," $","")," €",""), "")
)</f>
        <v>0</v>
      </c>
      <c r="AC680" s="1">
        <f>value(IFERROR(SUBSTITUTE(SUBSTITUTE(VLOOKUP($A680,'Quarterly Pipeline vs Target Pi'!$A:$V,12,false)," $","")," €",""), "")
)</f>
        <v>0</v>
      </c>
      <c r="AD680" s="17" t="str">
        <f t="shared" si="10"/>
        <v/>
      </c>
      <c r="AE680" s="1">
        <f>value(IFERROR(SUBSTITUTE(SUBSTITUTE(VLOOKUP($A680,'Quarterly Pipeline vs Target Pi'!$A:$V,16,false)," $","")," €",""), "")
)</f>
        <v>0</v>
      </c>
      <c r="AF680" s="1">
        <f>value(IFERROR(SUBSTITUTE(SUBSTITUTE(VLOOKUP($A680,'Quarterly Pipeline vs Target Pi'!$A:$V,17,false)," $","")," €",""), "")
)</f>
        <v>0</v>
      </c>
      <c r="AG680" s="17" t="str">
        <f t="shared" si="11"/>
        <v/>
      </c>
      <c r="AH680" s="1">
        <f>value(IFERROR(SUBSTITUTE(SUBSTITUTE(VLOOKUP($A680,'Quarterly Pipeline vs Target Pi'!$A:$V,21,false)," $","")," €",""), "")
)</f>
        <v>0</v>
      </c>
      <c r="AI680" s="1">
        <f>value(IFERROR(SUBSTITUTE(SUBSTITUTE(VLOOKUP($A680,'Quarterly Pipeline vs Target Pi'!$A:$V,22,false)," $","")," €",""), "")
)</f>
        <v>0</v>
      </c>
      <c r="AJ680" s="17" t="str">
        <f t="shared" si="12"/>
        <v/>
      </c>
      <c r="AK680" s="1">
        <f t="shared" ref="AK680:AL680" si="1373">sum(Y680,AB680,AE680,AH680)</f>
        <v>0</v>
      </c>
      <c r="AL680" s="1">
        <f t="shared" si="1373"/>
        <v>0</v>
      </c>
      <c r="AM680" s="17" t="str">
        <f t="shared" si="14"/>
        <v/>
      </c>
      <c r="AN680" s="1">
        <f>value(IFERROR(SUBSTITUTE(SUBSTITUTE(VLOOKUP($A680,'Quarterly Pipeline vs Target Pi'!$A:$AP,26,false)," $","")," €",""), "")
)</f>
        <v>0</v>
      </c>
      <c r="AO680" s="1">
        <f>value(IFERROR(SUBSTITUTE(SUBSTITUTE(VLOOKUP($A680,'Quarterly Pipeline vs Target Pi'!$A:$AP,27,false)," $","")," €",""), "")
)</f>
        <v>0</v>
      </c>
      <c r="AP680" s="17" t="str">
        <f t="shared" si="15"/>
        <v/>
      </c>
      <c r="AQ680" s="1">
        <f>value(IFERROR(SUBSTITUTE(SUBSTITUTE(VLOOKUP($A680,'Quarterly Pipeline vs Target Pi'!$A:$AP,31,false)," $","")," €",""), "")
)</f>
        <v>0</v>
      </c>
      <c r="AR680" s="1">
        <f>value(IFERROR(SUBSTITUTE(SUBSTITUTE(VLOOKUP($A680,'Quarterly Pipeline vs Target Pi'!$A:$AP,32,false)," $","")," €",""), "")
)</f>
        <v>0</v>
      </c>
      <c r="AS680" s="17" t="str">
        <f t="shared" si="16"/>
        <v/>
      </c>
      <c r="AT680" s="1">
        <f>value(IFERROR(SUBSTITUTE(SUBSTITUTE(VLOOKUP($A680,'Quarterly Pipeline vs Target Pi'!$A:$AP,36,false)," $","")," €",""), "")
)</f>
        <v>0</v>
      </c>
      <c r="AU680" s="1">
        <f>value(IFERROR(SUBSTITUTE(SUBSTITUTE(VLOOKUP($A680,'Quarterly Pipeline vs Target Pi'!$A:$AP,37,false)," $","")," €",""), "")
)</f>
        <v>0</v>
      </c>
      <c r="AV680" s="17" t="str">
        <f t="shared" si="17"/>
        <v/>
      </c>
      <c r="AW680" s="1">
        <f>value(IFERROR(SUBSTITUTE(SUBSTITUTE(VLOOKUP($A680,'Quarterly Pipeline vs Target Pi'!$A:$AP,41,false)," $","")," €",""), "")
)</f>
        <v>0</v>
      </c>
      <c r="AX680" s="1">
        <f>value(IFERROR(SUBSTITUTE(SUBSTITUTE(VLOOKUP($A680,'Quarterly Pipeline vs Target Pi'!$A:$AP,42,false)," $","")," €",""), "")
)</f>
        <v>0</v>
      </c>
      <c r="AY680" s="17" t="str">
        <f t="shared" si="18"/>
        <v/>
      </c>
      <c r="AZ680" s="1">
        <f t="shared" ref="AZ680:BA680" si="1374">sum(AN680,AQ680,AT680,AW680)</f>
        <v>0</v>
      </c>
      <c r="BA680" s="1">
        <f t="shared" si="1374"/>
        <v>0</v>
      </c>
      <c r="BB680" s="17" t="str">
        <f t="shared" si="20"/>
        <v/>
      </c>
    </row>
    <row r="681">
      <c r="I681" s="17"/>
      <c r="L681" s="17"/>
      <c r="O681" s="17"/>
      <c r="X681" s="17"/>
      <c r="Y681" s="1">
        <f>value(IFERROR(SUBSTITUTE(SUBSTITUTE(VLOOKUP(A681,'Quarterly Pipeline vs Target Pi'!A:G,6,false)," $","")," €",""), "")
)</f>
        <v>0</v>
      </c>
      <c r="Z681" s="1">
        <f>value(IFERROR(SUBSTITUTE(SUBSTITUTE(VLOOKUP(A681,'Quarterly Pipeline vs Target Pi'!A:G,7,false)," $","")," €",""), "")
)</f>
        <v>0</v>
      </c>
      <c r="AA681" s="17" t="str">
        <f t="shared" si="9"/>
        <v/>
      </c>
      <c r="AB681" s="1">
        <f>value(IFERROR(SUBSTITUTE(SUBSTITUTE(VLOOKUP($A681,'Quarterly Pipeline vs Target Pi'!$A:$V,11,false)," $","")," €",""), "")
)</f>
        <v>0</v>
      </c>
      <c r="AC681" s="1">
        <f>value(IFERROR(SUBSTITUTE(SUBSTITUTE(VLOOKUP($A681,'Quarterly Pipeline vs Target Pi'!$A:$V,12,false)," $","")," €",""), "")
)</f>
        <v>0</v>
      </c>
      <c r="AD681" s="17" t="str">
        <f t="shared" si="10"/>
        <v/>
      </c>
      <c r="AE681" s="1">
        <f>value(IFERROR(SUBSTITUTE(SUBSTITUTE(VLOOKUP($A681,'Quarterly Pipeline vs Target Pi'!$A:$V,16,false)," $","")," €",""), "")
)</f>
        <v>0</v>
      </c>
      <c r="AF681" s="1">
        <f>value(IFERROR(SUBSTITUTE(SUBSTITUTE(VLOOKUP($A681,'Quarterly Pipeline vs Target Pi'!$A:$V,17,false)," $","")," €",""), "")
)</f>
        <v>0</v>
      </c>
      <c r="AG681" s="17" t="str">
        <f t="shared" si="11"/>
        <v/>
      </c>
      <c r="AH681" s="1">
        <f>value(IFERROR(SUBSTITUTE(SUBSTITUTE(VLOOKUP($A681,'Quarterly Pipeline vs Target Pi'!$A:$V,21,false)," $","")," €",""), "")
)</f>
        <v>0</v>
      </c>
      <c r="AI681" s="1">
        <f>value(IFERROR(SUBSTITUTE(SUBSTITUTE(VLOOKUP($A681,'Quarterly Pipeline vs Target Pi'!$A:$V,22,false)," $","")," €",""), "")
)</f>
        <v>0</v>
      </c>
      <c r="AJ681" s="17" t="str">
        <f t="shared" si="12"/>
        <v/>
      </c>
      <c r="AK681" s="1">
        <f t="shared" ref="AK681:AL681" si="1375">sum(Y681,AB681,AE681,AH681)</f>
        <v>0</v>
      </c>
      <c r="AL681" s="1">
        <f t="shared" si="1375"/>
        <v>0</v>
      </c>
      <c r="AM681" s="17" t="str">
        <f t="shared" si="14"/>
        <v/>
      </c>
      <c r="AN681" s="1">
        <f>value(IFERROR(SUBSTITUTE(SUBSTITUTE(VLOOKUP($A681,'Quarterly Pipeline vs Target Pi'!$A:$AP,26,false)," $","")," €",""), "")
)</f>
        <v>0</v>
      </c>
      <c r="AO681" s="1">
        <f>value(IFERROR(SUBSTITUTE(SUBSTITUTE(VLOOKUP($A681,'Quarterly Pipeline vs Target Pi'!$A:$AP,27,false)," $","")," €",""), "")
)</f>
        <v>0</v>
      </c>
      <c r="AP681" s="17" t="str">
        <f t="shared" si="15"/>
        <v/>
      </c>
      <c r="AQ681" s="1">
        <f>value(IFERROR(SUBSTITUTE(SUBSTITUTE(VLOOKUP($A681,'Quarterly Pipeline vs Target Pi'!$A:$AP,31,false)," $","")," €",""), "")
)</f>
        <v>0</v>
      </c>
      <c r="AR681" s="1">
        <f>value(IFERROR(SUBSTITUTE(SUBSTITUTE(VLOOKUP($A681,'Quarterly Pipeline vs Target Pi'!$A:$AP,32,false)," $","")," €",""), "")
)</f>
        <v>0</v>
      </c>
      <c r="AS681" s="17" t="str">
        <f t="shared" si="16"/>
        <v/>
      </c>
      <c r="AT681" s="1">
        <f>value(IFERROR(SUBSTITUTE(SUBSTITUTE(VLOOKUP($A681,'Quarterly Pipeline vs Target Pi'!$A:$AP,36,false)," $","")," €",""), "")
)</f>
        <v>0</v>
      </c>
      <c r="AU681" s="1">
        <f>value(IFERROR(SUBSTITUTE(SUBSTITUTE(VLOOKUP($A681,'Quarterly Pipeline vs Target Pi'!$A:$AP,37,false)," $","")," €",""), "")
)</f>
        <v>0</v>
      </c>
      <c r="AV681" s="17" t="str">
        <f t="shared" si="17"/>
        <v/>
      </c>
      <c r="AW681" s="1">
        <f>value(IFERROR(SUBSTITUTE(SUBSTITUTE(VLOOKUP($A681,'Quarterly Pipeline vs Target Pi'!$A:$AP,41,false)," $","")," €",""), "")
)</f>
        <v>0</v>
      </c>
      <c r="AX681" s="1">
        <f>value(IFERROR(SUBSTITUTE(SUBSTITUTE(VLOOKUP($A681,'Quarterly Pipeline vs Target Pi'!$A:$AP,42,false)," $","")," €",""), "")
)</f>
        <v>0</v>
      </c>
      <c r="AY681" s="17" t="str">
        <f t="shared" si="18"/>
        <v/>
      </c>
      <c r="AZ681" s="1">
        <f t="shared" ref="AZ681:BA681" si="1376">sum(AN681,AQ681,AT681,AW681)</f>
        <v>0</v>
      </c>
      <c r="BA681" s="1">
        <f t="shared" si="1376"/>
        <v>0</v>
      </c>
      <c r="BB681" s="17" t="str">
        <f t="shared" si="20"/>
        <v/>
      </c>
    </row>
    <row r="682">
      <c r="I682" s="17"/>
      <c r="L682" s="17"/>
      <c r="O682" s="17"/>
      <c r="X682" s="17"/>
      <c r="Y682" s="1">
        <f>value(IFERROR(SUBSTITUTE(SUBSTITUTE(VLOOKUP(A682,'Quarterly Pipeline vs Target Pi'!A:G,6,false)," $","")," €",""), "")
)</f>
        <v>0</v>
      </c>
      <c r="Z682" s="1">
        <f>value(IFERROR(SUBSTITUTE(SUBSTITUTE(VLOOKUP(A682,'Quarterly Pipeline vs Target Pi'!A:G,7,false)," $","")," €",""), "")
)</f>
        <v>0</v>
      </c>
      <c r="AA682" s="17" t="str">
        <f t="shared" si="9"/>
        <v/>
      </c>
      <c r="AB682" s="1">
        <f>value(IFERROR(SUBSTITUTE(SUBSTITUTE(VLOOKUP($A682,'Quarterly Pipeline vs Target Pi'!$A:$V,11,false)," $","")," €",""), "")
)</f>
        <v>0</v>
      </c>
      <c r="AC682" s="1">
        <f>value(IFERROR(SUBSTITUTE(SUBSTITUTE(VLOOKUP($A682,'Quarterly Pipeline vs Target Pi'!$A:$V,12,false)," $","")," €",""), "")
)</f>
        <v>0</v>
      </c>
      <c r="AD682" s="17" t="str">
        <f t="shared" si="10"/>
        <v/>
      </c>
      <c r="AE682" s="1">
        <f>value(IFERROR(SUBSTITUTE(SUBSTITUTE(VLOOKUP($A682,'Quarterly Pipeline vs Target Pi'!$A:$V,16,false)," $","")," €",""), "")
)</f>
        <v>0</v>
      </c>
      <c r="AF682" s="1">
        <f>value(IFERROR(SUBSTITUTE(SUBSTITUTE(VLOOKUP($A682,'Quarterly Pipeline vs Target Pi'!$A:$V,17,false)," $","")," €",""), "")
)</f>
        <v>0</v>
      </c>
      <c r="AG682" s="17" t="str">
        <f t="shared" si="11"/>
        <v/>
      </c>
      <c r="AH682" s="1">
        <f>value(IFERROR(SUBSTITUTE(SUBSTITUTE(VLOOKUP($A682,'Quarterly Pipeline vs Target Pi'!$A:$V,21,false)," $","")," €",""), "")
)</f>
        <v>0</v>
      </c>
      <c r="AI682" s="1">
        <f>value(IFERROR(SUBSTITUTE(SUBSTITUTE(VLOOKUP($A682,'Quarterly Pipeline vs Target Pi'!$A:$V,22,false)," $","")," €",""), "")
)</f>
        <v>0</v>
      </c>
      <c r="AJ682" s="17" t="str">
        <f t="shared" si="12"/>
        <v/>
      </c>
      <c r="AK682" s="1">
        <f t="shared" ref="AK682:AL682" si="1377">sum(Y682,AB682,AE682,AH682)</f>
        <v>0</v>
      </c>
      <c r="AL682" s="1">
        <f t="shared" si="1377"/>
        <v>0</v>
      </c>
      <c r="AM682" s="17" t="str">
        <f t="shared" si="14"/>
        <v/>
      </c>
      <c r="AN682" s="1">
        <f>value(IFERROR(SUBSTITUTE(SUBSTITUTE(VLOOKUP($A682,'Quarterly Pipeline vs Target Pi'!$A:$AP,26,false)," $","")," €",""), "")
)</f>
        <v>0</v>
      </c>
      <c r="AO682" s="1">
        <f>value(IFERROR(SUBSTITUTE(SUBSTITUTE(VLOOKUP($A682,'Quarterly Pipeline vs Target Pi'!$A:$AP,27,false)," $","")," €",""), "")
)</f>
        <v>0</v>
      </c>
      <c r="AP682" s="17" t="str">
        <f t="shared" si="15"/>
        <v/>
      </c>
      <c r="AQ682" s="1">
        <f>value(IFERROR(SUBSTITUTE(SUBSTITUTE(VLOOKUP($A682,'Quarterly Pipeline vs Target Pi'!$A:$AP,31,false)," $","")," €",""), "")
)</f>
        <v>0</v>
      </c>
      <c r="AR682" s="1">
        <f>value(IFERROR(SUBSTITUTE(SUBSTITUTE(VLOOKUP($A682,'Quarterly Pipeline vs Target Pi'!$A:$AP,32,false)," $","")," €",""), "")
)</f>
        <v>0</v>
      </c>
      <c r="AS682" s="17" t="str">
        <f t="shared" si="16"/>
        <v/>
      </c>
      <c r="AT682" s="1">
        <f>value(IFERROR(SUBSTITUTE(SUBSTITUTE(VLOOKUP($A682,'Quarterly Pipeline vs Target Pi'!$A:$AP,36,false)," $","")," €",""), "")
)</f>
        <v>0</v>
      </c>
      <c r="AU682" s="1">
        <f>value(IFERROR(SUBSTITUTE(SUBSTITUTE(VLOOKUP($A682,'Quarterly Pipeline vs Target Pi'!$A:$AP,37,false)," $","")," €",""), "")
)</f>
        <v>0</v>
      </c>
      <c r="AV682" s="17" t="str">
        <f t="shared" si="17"/>
        <v/>
      </c>
      <c r="AW682" s="1">
        <f>value(IFERROR(SUBSTITUTE(SUBSTITUTE(VLOOKUP($A682,'Quarterly Pipeline vs Target Pi'!$A:$AP,41,false)," $","")," €",""), "")
)</f>
        <v>0</v>
      </c>
      <c r="AX682" s="1">
        <f>value(IFERROR(SUBSTITUTE(SUBSTITUTE(VLOOKUP($A682,'Quarterly Pipeline vs Target Pi'!$A:$AP,42,false)," $","")," €",""), "")
)</f>
        <v>0</v>
      </c>
      <c r="AY682" s="17" t="str">
        <f t="shared" si="18"/>
        <v/>
      </c>
      <c r="AZ682" s="1">
        <f t="shared" ref="AZ682:BA682" si="1378">sum(AN682,AQ682,AT682,AW682)</f>
        <v>0</v>
      </c>
      <c r="BA682" s="1">
        <f t="shared" si="1378"/>
        <v>0</v>
      </c>
      <c r="BB682" s="17" t="str">
        <f t="shared" si="20"/>
        <v/>
      </c>
    </row>
    <row r="683">
      <c r="I683" s="17"/>
      <c r="L683" s="17"/>
      <c r="O683" s="17"/>
      <c r="X683" s="17"/>
      <c r="Y683" s="1">
        <f>value(IFERROR(SUBSTITUTE(SUBSTITUTE(VLOOKUP(A683,'Quarterly Pipeline vs Target Pi'!A:G,6,false)," $","")," €",""), "")
)</f>
        <v>0</v>
      </c>
      <c r="Z683" s="1">
        <f>value(IFERROR(SUBSTITUTE(SUBSTITUTE(VLOOKUP(A683,'Quarterly Pipeline vs Target Pi'!A:G,7,false)," $","")," €",""), "")
)</f>
        <v>0</v>
      </c>
      <c r="AA683" s="17" t="str">
        <f t="shared" si="9"/>
        <v/>
      </c>
      <c r="AB683" s="1">
        <f>value(IFERROR(SUBSTITUTE(SUBSTITUTE(VLOOKUP($A683,'Quarterly Pipeline vs Target Pi'!$A:$V,11,false)," $","")," €",""), "")
)</f>
        <v>0</v>
      </c>
      <c r="AC683" s="1">
        <f>value(IFERROR(SUBSTITUTE(SUBSTITUTE(VLOOKUP($A683,'Quarterly Pipeline vs Target Pi'!$A:$V,12,false)," $","")," €",""), "")
)</f>
        <v>0</v>
      </c>
      <c r="AD683" s="17" t="str">
        <f t="shared" si="10"/>
        <v/>
      </c>
      <c r="AE683" s="1">
        <f>value(IFERROR(SUBSTITUTE(SUBSTITUTE(VLOOKUP($A683,'Quarterly Pipeline vs Target Pi'!$A:$V,16,false)," $","")," €",""), "")
)</f>
        <v>0</v>
      </c>
      <c r="AF683" s="1">
        <f>value(IFERROR(SUBSTITUTE(SUBSTITUTE(VLOOKUP($A683,'Quarterly Pipeline vs Target Pi'!$A:$V,17,false)," $","")," €",""), "")
)</f>
        <v>0</v>
      </c>
      <c r="AG683" s="17" t="str">
        <f t="shared" si="11"/>
        <v/>
      </c>
      <c r="AH683" s="1">
        <f>value(IFERROR(SUBSTITUTE(SUBSTITUTE(VLOOKUP($A683,'Quarterly Pipeline vs Target Pi'!$A:$V,21,false)," $","")," €",""), "")
)</f>
        <v>0</v>
      </c>
      <c r="AI683" s="1">
        <f>value(IFERROR(SUBSTITUTE(SUBSTITUTE(VLOOKUP($A683,'Quarterly Pipeline vs Target Pi'!$A:$V,22,false)," $","")," €",""), "")
)</f>
        <v>0</v>
      </c>
      <c r="AJ683" s="17" t="str">
        <f t="shared" si="12"/>
        <v/>
      </c>
      <c r="AK683" s="1">
        <f t="shared" ref="AK683:AL683" si="1379">sum(Y683,AB683,AE683,AH683)</f>
        <v>0</v>
      </c>
      <c r="AL683" s="1">
        <f t="shared" si="1379"/>
        <v>0</v>
      </c>
      <c r="AM683" s="17" t="str">
        <f t="shared" si="14"/>
        <v/>
      </c>
      <c r="AN683" s="1">
        <f>value(IFERROR(SUBSTITUTE(SUBSTITUTE(VLOOKUP($A683,'Quarterly Pipeline vs Target Pi'!$A:$AP,26,false)," $","")," €",""), "")
)</f>
        <v>0</v>
      </c>
      <c r="AO683" s="1">
        <f>value(IFERROR(SUBSTITUTE(SUBSTITUTE(VLOOKUP($A683,'Quarterly Pipeline vs Target Pi'!$A:$AP,27,false)," $","")," €",""), "")
)</f>
        <v>0</v>
      </c>
      <c r="AP683" s="17" t="str">
        <f t="shared" si="15"/>
        <v/>
      </c>
      <c r="AQ683" s="1">
        <f>value(IFERROR(SUBSTITUTE(SUBSTITUTE(VLOOKUP($A683,'Quarterly Pipeline vs Target Pi'!$A:$AP,31,false)," $","")," €",""), "")
)</f>
        <v>0</v>
      </c>
      <c r="AR683" s="1">
        <f>value(IFERROR(SUBSTITUTE(SUBSTITUTE(VLOOKUP($A683,'Quarterly Pipeline vs Target Pi'!$A:$AP,32,false)," $","")," €",""), "")
)</f>
        <v>0</v>
      </c>
      <c r="AS683" s="17" t="str">
        <f t="shared" si="16"/>
        <v/>
      </c>
      <c r="AT683" s="1">
        <f>value(IFERROR(SUBSTITUTE(SUBSTITUTE(VLOOKUP($A683,'Quarterly Pipeline vs Target Pi'!$A:$AP,36,false)," $","")," €",""), "")
)</f>
        <v>0</v>
      </c>
      <c r="AU683" s="1">
        <f>value(IFERROR(SUBSTITUTE(SUBSTITUTE(VLOOKUP($A683,'Quarterly Pipeline vs Target Pi'!$A:$AP,37,false)," $","")," €",""), "")
)</f>
        <v>0</v>
      </c>
      <c r="AV683" s="17" t="str">
        <f t="shared" si="17"/>
        <v/>
      </c>
      <c r="AW683" s="1">
        <f>value(IFERROR(SUBSTITUTE(SUBSTITUTE(VLOOKUP($A683,'Quarterly Pipeline vs Target Pi'!$A:$AP,41,false)," $","")," €",""), "")
)</f>
        <v>0</v>
      </c>
      <c r="AX683" s="1">
        <f>value(IFERROR(SUBSTITUTE(SUBSTITUTE(VLOOKUP($A683,'Quarterly Pipeline vs Target Pi'!$A:$AP,42,false)," $","")," €",""), "")
)</f>
        <v>0</v>
      </c>
      <c r="AY683" s="17" t="str">
        <f t="shared" si="18"/>
        <v/>
      </c>
      <c r="AZ683" s="1">
        <f t="shared" ref="AZ683:BA683" si="1380">sum(AN683,AQ683,AT683,AW683)</f>
        <v>0</v>
      </c>
      <c r="BA683" s="1">
        <f t="shared" si="1380"/>
        <v>0</v>
      </c>
      <c r="BB683" s="17" t="str">
        <f t="shared" si="20"/>
        <v/>
      </c>
    </row>
    <row r="684">
      <c r="I684" s="17"/>
      <c r="L684" s="17"/>
      <c r="O684" s="17"/>
      <c r="X684" s="17"/>
      <c r="Y684" s="1">
        <f>value(IFERROR(SUBSTITUTE(SUBSTITUTE(VLOOKUP(A684,'Quarterly Pipeline vs Target Pi'!A:G,6,false)," $","")," €",""), "")
)</f>
        <v>0</v>
      </c>
      <c r="Z684" s="1">
        <f>value(IFERROR(SUBSTITUTE(SUBSTITUTE(VLOOKUP(A684,'Quarterly Pipeline vs Target Pi'!A:G,7,false)," $","")," €",""), "")
)</f>
        <v>0</v>
      </c>
      <c r="AA684" s="17" t="str">
        <f t="shared" si="9"/>
        <v/>
      </c>
      <c r="AB684" s="1">
        <f>value(IFERROR(SUBSTITUTE(SUBSTITUTE(VLOOKUP($A684,'Quarterly Pipeline vs Target Pi'!$A:$V,11,false)," $","")," €",""), "")
)</f>
        <v>0</v>
      </c>
      <c r="AC684" s="1">
        <f>value(IFERROR(SUBSTITUTE(SUBSTITUTE(VLOOKUP($A684,'Quarterly Pipeline vs Target Pi'!$A:$V,12,false)," $","")," €",""), "")
)</f>
        <v>0</v>
      </c>
      <c r="AD684" s="17" t="str">
        <f t="shared" si="10"/>
        <v/>
      </c>
      <c r="AE684" s="1">
        <f>value(IFERROR(SUBSTITUTE(SUBSTITUTE(VLOOKUP($A684,'Quarterly Pipeline vs Target Pi'!$A:$V,16,false)," $","")," €",""), "")
)</f>
        <v>0</v>
      </c>
      <c r="AF684" s="1">
        <f>value(IFERROR(SUBSTITUTE(SUBSTITUTE(VLOOKUP($A684,'Quarterly Pipeline vs Target Pi'!$A:$V,17,false)," $","")," €",""), "")
)</f>
        <v>0</v>
      </c>
      <c r="AG684" s="17" t="str">
        <f t="shared" si="11"/>
        <v/>
      </c>
      <c r="AH684" s="1">
        <f>value(IFERROR(SUBSTITUTE(SUBSTITUTE(VLOOKUP($A684,'Quarterly Pipeline vs Target Pi'!$A:$V,21,false)," $","")," €",""), "")
)</f>
        <v>0</v>
      </c>
      <c r="AI684" s="1">
        <f>value(IFERROR(SUBSTITUTE(SUBSTITUTE(VLOOKUP($A684,'Quarterly Pipeline vs Target Pi'!$A:$V,22,false)," $","")," €",""), "")
)</f>
        <v>0</v>
      </c>
      <c r="AJ684" s="17" t="str">
        <f t="shared" si="12"/>
        <v/>
      </c>
      <c r="AK684" s="1">
        <f t="shared" ref="AK684:AL684" si="1381">sum(Y684,AB684,AE684,AH684)</f>
        <v>0</v>
      </c>
      <c r="AL684" s="1">
        <f t="shared" si="1381"/>
        <v>0</v>
      </c>
      <c r="AM684" s="17" t="str">
        <f t="shared" si="14"/>
        <v/>
      </c>
      <c r="AN684" s="1">
        <f>value(IFERROR(SUBSTITUTE(SUBSTITUTE(VLOOKUP($A684,'Quarterly Pipeline vs Target Pi'!$A:$AP,26,false)," $","")," €",""), "")
)</f>
        <v>0</v>
      </c>
      <c r="AO684" s="1">
        <f>value(IFERROR(SUBSTITUTE(SUBSTITUTE(VLOOKUP($A684,'Quarterly Pipeline vs Target Pi'!$A:$AP,27,false)," $","")," €",""), "")
)</f>
        <v>0</v>
      </c>
      <c r="AP684" s="17" t="str">
        <f t="shared" si="15"/>
        <v/>
      </c>
      <c r="AQ684" s="1">
        <f>value(IFERROR(SUBSTITUTE(SUBSTITUTE(VLOOKUP($A684,'Quarterly Pipeline vs Target Pi'!$A:$AP,31,false)," $","")," €",""), "")
)</f>
        <v>0</v>
      </c>
      <c r="AR684" s="1">
        <f>value(IFERROR(SUBSTITUTE(SUBSTITUTE(VLOOKUP($A684,'Quarterly Pipeline vs Target Pi'!$A:$AP,32,false)," $","")," €",""), "")
)</f>
        <v>0</v>
      </c>
      <c r="AS684" s="17" t="str">
        <f t="shared" si="16"/>
        <v/>
      </c>
      <c r="AT684" s="1">
        <f>value(IFERROR(SUBSTITUTE(SUBSTITUTE(VLOOKUP($A684,'Quarterly Pipeline vs Target Pi'!$A:$AP,36,false)," $","")," €",""), "")
)</f>
        <v>0</v>
      </c>
      <c r="AU684" s="1">
        <f>value(IFERROR(SUBSTITUTE(SUBSTITUTE(VLOOKUP($A684,'Quarterly Pipeline vs Target Pi'!$A:$AP,37,false)," $","")," €",""), "")
)</f>
        <v>0</v>
      </c>
      <c r="AV684" s="17" t="str">
        <f t="shared" si="17"/>
        <v/>
      </c>
      <c r="AW684" s="1">
        <f>value(IFERROR(SUBSTITUTE(SUBSTITUTE(VLOOKUP($A684,'Quarterly Pipeline vs Target Pi'!$A:$AP,41,false)," $","")," €",""), "")
)</f>
        <v>0</v>
      </c>
      <c r="AX684" s="1">
        <f>value(IFERROR(SUBSTITUTE(SUBSTITUTE(VLOOKUP($A684,'Quarterly Pipeline vs Target Pi'!$A:$AP,42,false)," $","")," €",""), "")
)</f>
        <v>0</v>
      </c>
      <c r="AY684" s="17" t="str">
        <f t="shared" si="18"/>
        <v/>
      </c>
      <c r="AZ684" s="1">
        <f t="shared" ref="AZ684:BA684" si="1382">sum(AN684,AQ684,AT684,AW684)</f>
        <v>0</v>
      </c>
      <c r="BA684" s="1">
        <f t="shared" si="1382"/>
        <v>0</v>
      </c>
      <c r="BB684" s="17" t="str">
        <f t="shared" si="20"/>
        <v/>
      </c>
    </row>
    <row r="685">
      <c r="I685" s="17"/>
      <c r="L685" s="17"/>
      <c r="O685" s="17"/>
      <c r="X685" s="17"/>
      <c r="Y685" s="1">
        <f>value(IFERROR(SUBSTITUTE(SUBSTITUTE(VLOOKUP(A685,'Quarterly Pipeline vs Target Pi'!A:G,6,false)," $","")," €",""), "")
)</f>
        <v>0</v>
      </c>
      <c r="Z685" s="1">
        <f>value(IFERROR(SUBSTITUTE(SUBSTITUTE(VLOOKUP(A685,'Quarterly Pipeline vs Target Pi'!A:G,7,false)," $","")," €",""), "")
)</f>
        <v>0</v>
      </c>
      <c r="AA685" s="17" t="str">
        <f t="shared" si="9"/>
        <v/>
      </c>
      <c r="AB685" s="1">
        <f>value(IFERROR(SUBSTITUTE(SUBSTITUTE(VLOOKUP($A685,'Quarterly Pipeline vs Target Pi'!$A:$V,11,false)," $","")," €",""), "")
)</f>
        <v>0</v>
      </c>
      <c r="AC685" s="1">
        <f>value(IFERROR(SUBSTITUTE(SUBSTITUTE(VLOOKUP($A685,'Quarterly Pipeline vs Target Pi'!$A:$V,12,false)," $","")," €",""), "")
)</f>
        <v>0</v>
      </c>
      <c r="AD685" s="17" t="str">
        <f t="shared" si="10"/>
        <v/>
      </c>
      <c r="AE685" s="1">
        <f>value(IFERROR(SUBSTITUTE(SUBSTITUTE(VLOOKUP($A685,'Quarterly Pipeline vs Target Pi'!$A:$V,16,false)," $","")," €",""), "")
)</f>
        <v>0</v>
      </c>
      <c r="AF685" s="1">
        <f>value(IFERROR(SUBSTITUTE(SUBSTITUTE(VLOOKUP($A685,'Quarterly Pipeline vs Target Pi'!$A:$V,17,false)," $","")," €",""), "")
)</f>
        <v>0</v>
      </c>
      <c r="AG685" s="17" t="str">
        <f t="shared" si="11"/>
        <v/>
      </c>
      <c r="AH685" s="1">
        <f>value(IFERROR(SUBSTITUTE(SUBSTITUTE(VLOOKUP($A685,'Quarterly Pipeline vs Target Pi'!$A:$V,21,false)," $","")," €",""), "")
)</f>
        <v>0</v>
      </c>
      <c r="AI685" s="1">
        <f>value(IFERROR(SUBSTITUTE(SUBSTITUTE(VLOOKUP($A685,'Quarterly Pipeline vs Target Pi'!$A:$V,22,false)," $","")," €",""), "")
)</f>
        <v>0</v>
      </c>
      <c r="AJ685" s="17" t="str">
        <f t="shared" si="12"/>
        <v/>
      </c>
      <c r="AK685" s="1">
        <f t="shared" ref="AK685:AL685" si="1383">sum(Y685,AB685,AE685,AH685)</f>
        <v>0</v>
      </c>
      <c r="AL685" s="1">
        <f t="shared" si="1383"/>
        <v>0</v>
      </c>
      <c r="AM685" s="17" t="str">
        <f t="shared" si="14"/>
        <v/>
      </c>
      <c r="AN685" s="1">
        <f>value(IFERROR(SUBSTITUTE(SUBSTITUTE(VLOOKUP($A685,'Quarterly Pipeline vs Target Pi'!$A:$AP,26,false)," $","")," €",""), "")
)</f>
        <v>0</v>
      </c>
      <c r="AO685" s="1">
        <f>value(IFERROR(SUBSTITUTE(SUBSTITUTE(VLOOKUP($A685,'Quarterly Pipeline vs Target Pi'!$A:$AP,27,false)," $","")," €",""), "")
)</f>
        <v>0</v>
      </c>
      <c r="AP685" s="17" t="str">
        <f t="shared" si="15"/>
        <v/>
      </c>
      <c r="AQ685" s="1">
        <f>value(IFERROR(SUBSTITUTE(SUBSTITUTE(VLOOKUP($A685,'Quarterly Pipeline vs Target Pi'!$A:$AP,31,false)," $","")," €",""), "")
)</f>
        <v>0</v>
      </c>
      <c r="AR685" s="1">
        <f>value(IFERROR(SUBSTITUTE(SUBSTITUTE(VLOOKUP($A685,'Quarterly Pipeline vs Target Pi'!$A:$AP,32,false)," $","")," €",""), "")
)</f>
        <v>0</v>
      </c>
      <c r="AS685" s="17" t="str">
        <f t="shared" si="16"/>
        <v/>
      </c>
      <c r="AT685" s="1">
        <f>value(IFERROR(SUBSTITUTE(SUBSTITUTE(VLOOKUP($A685,'Quarterly Pipeline vs Target Pi'!$A:$AP,36,false)," $","")," €",""), "")
)</f>
        <v>0</v>
      </c>
      <c r="AU685" s="1">
        <f>value(IFERROR(SUBSTITUTE(SUBSTITUTE(VLOOKUP($A685,'Quarterly Pipeline vs Target Pi'!$A:$AP,37,false)," $","")," €",""), "")
)</f>
        <v>0</v>
      </c>
      <c r="AV685" s="17" t="str">
        <f t="shared" si="17"/>
        <v/>
      </c>
      <c r="AW685" s="1">
        <f>value(IFERROR(SUBSTITUTE(SUBSTITUTE(VLOOKUP($A685,'Quarterly Pipeline vs Target Pi'!$A:$AP,41,false)," $","")," €",""), "")
)</f>
        <v>0</v>
      </c>
      <c r="AX685" s="1">
        <f>value(IFERROR(SUBSTITUTE(SUBSTITUTE(VLOOKUP($A685,'Quarterly Pipeline vs Target Pi'!$A:$AP,42,false)," $","")," €",""), "")
)</f>
        <v>0</v>
      </c>
      <c r="AY685" s="17" t="str">
        <f t="shared" si="18"/>
        <v/>
      </c>
      <c r="AZ685" s="1">
        <f t="shared" ref="AZ685:BA685" si="1384">sum(AN685,AQ685,AT685,AW685)</f>
        <v>0</v>
      </c>
      <c r="BA685" s="1">
        <f t="shared" si="1384"/>
        <v>0</v>
      </c>
      <c r="BB685" s="17" t="str">
        <f t="shared" si="20"/>
        <v/>
      </c>
    </row>
    <row r="686">
      <c r="I686" s="17"/>
      <c r="L686" s="17"/>
      <c r="O686" s="17"/>
      <c r="X686" s="17"/>
      <c r="Y686" s="1">
        <f>value(IFERROR(SUBSTITUTE(SUBSTITUTE(VLOOKUP(A686,'Quarterly Pipeline vs Target Pi'!A:G,6,false)," $","")," €",""), "")
)</f>
        <v>0</v>
      </c>
      <c r="Z686" s="1">
        <f>value(IFERROR(SUBSTITUTE(SUBSTITUTE(VLOOKUP(A686,'Quarterly Pipeline vs Target Pi'!A:G,7,false)," $","")," €",""), "")
)</f>
        <v>0</v>
      </c>
      <c r="AA686" s="17" t="str">
        <f t="shared" si="9"/>
        <v/>
      </c>
      <c r="AB686" s="1">
        <f>value(IFERROR(SUBSTITUTE(SUBSTITUTE(VLOOKUP($A686,'Quarterly Pipeline vs Target Pi'!$A:$V,11,false)," $","")," €",""), "")
)</f>
        <v>0</v>
      </c>
      <c r="AC686" s="1">
        <f>value(IFERROR(SUBSTITUTE(SUBSTITUTE(VLOOKUP($A686,'Quarterly Pipeline vs Target Pi'!$A:$V,12,false)," $","")," €",""), "")
)</f>
        <v>0</v>
      </c>
      <c r="AD686" s="17" t="str">
        <f t="shared" si="10"/>
        <v/>
      </c>
      <c r="AE686" s="1">
        <f>value(IFERROR(SUBSTITUTE(SUBSTITUTE(VLOOKUP($A686,'Quarterly Pipeline vs Target Pi'!$A:$V,16,false)," $","")," €",""), "")
)</f>
        <v>0</v>
      </c>
      <c r="AF686" s="1">
        <f>value(IFERROR(SUBSTITUTE(SUBSTITUTE(VLOOKUP($A686,'Quarterly Pipeline vs Target Pi'!$A:$V,17,false)," $","")," €",""), "")
)</f>
        <v>0</v>
      </c>
      <c r="AG686" s="17" t="str">
        <f t="shared" si="11"/>
        <v/>
      </c>
      <c r="AH686" s="1">
        <f>value(IFERROR(SUBSTITUTE(SUBSTITUTE(VLOOKUP($A686,'Quarterly Pipeline vs Target Pi'!$A:$V,21,false)," $","")," €",""), "")
)</f>
        <v>0</v>
      </c>
      <c r="AI686" s="1">
        <f>value(IFERROR(SUBSTITUTE(SUBSTITUTE(VLOOKUP($A686,'Quarterly Pipeline vs Target Pi'!$A:$V,22,false)," $","")," €",""), "")
)</f>
        <v>0</v>
      </c>
      <c r="AJ686" s="17" t="str">
        <f t="shared" si="12"/>
        <v/>
      </c>
      <c r="AK686" s="1">
        <f t="shared" ref="AK686:AL686" si="1385">sum(Y686,AB686,AE686,AH686)</f>
        <v>0</v>
      </c>
      <c r="AL686" s="1">
        <f t="shared" si="1385"/>
        <v>0</v>
      </c>
      <c r="AM686" s="17" t="str">
        <f t="shared" si="14"/>
        <v/>
      </c>
      <c r="AN686" s="1">
        <f>value(IFERROR(SUBSTITUTE(SUBSTITUTE(VLOOKUP($A686,'Quarterly Pipeline vs Target Pi'!$A:$AP,26,false)," $","")," €",""), "")
)</f>
        <v>0</v>
      </c>
      <c r="AO686" s="1">
        <f>value(IFERROR(SUBSTITUTE(SUBSTITUTE(VLOOKUP($A686,'Quarterly Pipeline vs Target Pi'!$A:$AP,27,false)," $","")," €",""), "")
)</f>
        <v>0</v>
      </c>
      <c r="AP686" s="17" t="str">
        <f t="shared" si="15"/>
        <v/>
      </c>
      <c r="AQ686" s="1">
        <f>value(IFERROR(SUBSTITUTE(SUBSTITUTE(VLOOKUP($A686,'Quarterly Pipeline vs Target Pi'!$A:$AP,31,false)," $","")," €",""), "")
)</f>
        <v>0</v>
      </c>
      <c r="AR686" s="1">
        <f>value(IFERROR(SUBSTITUTE(SUBSTITUTE(VLOOKUP($A686,'Quarterly Pipeline vs Target Pi'!$A:$AP,32,false)," $","")," €",""), "")
)</f>
        <v>0</v>
      </c>
      <c r="AS686" s="17" t="str">
        <f t="shared" si="16"/>
        <v/>
      </c>
      <c r="AT686" s="1">
        <f>value(IFERROR(SUBSTITUTE(SUBSTITUTE(VLOOKUP($A686,'Quarterly Pipeline vs Target Pi'!$A:$AP,36,false)," $","")," €",""), "")
)</f>
        <v>0</v>
      </c>
      <c r="AU686" s="1">
        <f>value(IFERROR(SUBSTITUTE(SUBSTITUTE(VLOOKUP($A686,'Quarterly Pipeline vs Target Pi'!$A:$AP,37,false)," $","")," €",""), "")
)</f>
        <v>0</v>
      </c>
      <c r="AV686" s="17" t="str">
        <f t="shared" si="17"/>
        <v/>
      </c>
      <c r="AW686" s="1">
        <f>value(IFERROR(SUBSTITUTE(SUBSTITUTE(VLOOKUP($A686,'Quarterly Pipeline vs Target Pi'!$A:$AP,41,false)," $","")," €",""), "")
)</f>
        <v>0</v>
      </c>
      <c r="AX686" s="1">
        <f>value(IFERROR(SUBSTITUTE(SUBSTITUTE(VLOOKUP($A686,'Quarterly Pipeline vs Target Pi'!$A:$AP,42,false)," $","")," €",""), "")
)</f>
        <v>0</v>
      </c>
      <c r="AY686" s="17" t="str">
        <f t="shared" si="18"/>
        <v/>
      </c>
      <c r="AZ686" s="1">
        <f t="shared" ref="AZ686:BA686" si="1386">sum(AN686,AQ686,AT686,AW686)</f>
        <v>0</v>
      </c>
      <c r="BA686" s="1">
        <f t="shared" si="1386"/>
        <v>0</v>
      </c>
      <c r="BB686" s="17" t="str">
        <f t="shared" si="20"/>
        <v/>
      </c>
    </row>
    <row r="687">
      <c r="I687" s="17"/>
      <c r="L687" s="17"/>
      <c r="O687" s="17"/>
      <c r="X687" s="17"/>
      <c r="Y687" s="1">
        <f>value(IFERROR(SUBSTITUTE(SUBSTITUTE(VLOOKUP(A687,'Quarterly Pipeline vs Target Pi'!A:G,6,false)," $","")," €",""), "")
)</f>
        <v>0</v>
      </c>
      <c r="Z687" s="1">
        <f>value(IFERROR(SUBSTITUTE(SUBSTITUTE(VLOOKUP(A687,'Quarterly Pipeline vs Target Pi'!A:G,7,false)," $","")," €",""), "")
)</f>
        <v>0</v>
      </c>
      <c r="AA687" s="17" t="str">
        <f t="shared" si="9"/>
        <v/>
      </c>
      <c r="AB687" s="1">
        <f>value(IFERROR(SUBSTITUTE(SUBSTITUTE(VLOOKUP($A687,'Quarterly Pipeline vs Target Pi'!$A:$V,11,false)," $","")," €",""), "")
)</f>
        <v>0</v>
      </c>
      <c r="AC687" s="1">
        <f>value(IFERROR(SUBSTITUTE(SUBSTITUTE(VLOOKUP($A687,'Quarterly Pipeline vs Target Pi'!$A:$V,12,false)," $","")," €",""), "")
)</f>
        <v>0</v>
      </c>
      <c r="AD687" s="17" t="str">
        <f t="shared" si="10"/>
        <v/>
      </c>
      <c r="AE687" s="1">
        <f>value(IFERROR(SUBSTITUTE(SUBSTITUTE(VLOOKUP($A687,'Quarterly Pipeline vs Target Pi'!$A:$V,16,false)," $","")," €",""), "")
)</f>
        <v>0</v>
      </c>
      <c r="AF687" s="1">
        <f>value(IFERROR(SUBSTITUTE(SUBSTITUTE(VLOOKUP($A687,'Quarterly Pipeline vs Target Pi'!$A:$V,17,false)," $","")," €",""), "")
)</f>
        <v>0</v>
      </c>
      <c r="AG687" s="17" t="str">
        <f t="shared" si="11"/>
        <v/>
      </c>
      <c r="AH687" s="1">
        <f>value(IFERROR(SUBSTITUTE(SUBSTITUTE(VLOOKUP($A687,'Quarterly Pipeline vs Target Pi'!$A:$V,21,false)," $","")," €",""), "")
)</f>
        <v>0</v>
      </c>
      <c r="AI687" s="1">
        <f>value(IFERROR(SUBSTITUTE(SUBSTITUTE(VLOOKUP($A687,'Quarterly Pipeline vs Target Pi'!$A:$V,22,false)," $","")," €",""), "")
)</f>
        <v>0</v>
      </c>
      <c r="AJ687" s="17" t="str">
        <f t="shared" si="12"/>
        <v/>
      </c>
      <c r="AK687" s="1">
        <f t="shared" ref="AK687:AL687" si="1387">sum(Y687,AB687,AE687,AH687)</f>
        <v>0</v>
      </c>
      <c r="AL687" s="1">
        <f t="shared" si="1387"/>
        <v>0</v>
      </c>
      <c r="AM687" s="17" t="str">
        <f t="shared" si="14"/>
        <v/>
      </c>
      <c r="AN687" s="1">
        <f>value(IFERROR(SUBSTITUTE(SUBSTITUTE(VLOOKUP($A687,'Quarterly Pipeline vs Target Pi'!$A:$AP,26,false)," $","")," €",""), "")
)</f>
        <v>0</v>
      </c>
      <c r="AO687" s="1">
        <f>value(IFERROR(SUBSTITUTE(SUBSTITUTE(VLOOKUP($A687,'Quarterly Pipeline vs Target Pi'!$A:$AP,27,false)," $","")," €",""), "")
)</f>
        <v>0</v>
      </c>
      <c r="AP687" s="17" t="str">
        <f t="shared" si="15"/>
        <v/>
      </c>
      <c r="AQ687" s="1">
        <f>value(IFERROR(SUBSTITUTE(SUBSTITUTE(VLOOKUP($A687,'Quarterly Pipeline vs Target Pi'!$A:$AP,31,false)," $","")," €",""), "")
)</f>
        <v>0</v>
      </c>
      <c r="AR687" s="1">
        <f>value(IFERROR(SUBSTITUTE(SUBSTITUTE(VLOOKUP($A687,'Quarterly Pipeline vs Target Pi'!$A:$AP,32,false)," $","")," €",""), "")
)</f>
        <v>0</v>
      </c>
      <c r="AS687" s="17" t="str">
        <f t="shared" si="16"/>
        <v/>
      </c>
      <c r="AT687" s="1">
        <f>value(IFERROR(SUBSTITUTE(SUBSTITUTE(VLOOKUP($A687,'Quarterly Pipeline vs Target Pi'!$A:$AP,36,false)," $","")," €",""), "")
)</f>
        <v>0</v>
      </c>
      <c r="AU687" s="1">
        <f>value(IFERROR(SUBSTITUTE(SUBSTITUTE(VLOOKUP($A687,'Quarterly Pipeline vs Target Pi'!$A:$AP,37,false)," $","")," €",""), "")
)</f>
        <v>0</v>
      </c>
      <c r="AV687" s="17" t="str">
        <f t="shared" si="17"/>
        <v/>
      </c>
      <c r="AW687" s="1">
        <f>value(IFERROR(SUBSTITUTE(SUBSTITUTE(VLOOKUP($A687,'Quarterly Pipeline vs Target Pi'!$A:$AP,41,false)," $","")," €",""), "")
)</f>
        <v>0</v>
      </c>
      <c r="AX687" s="1">
        <f>value(IFERROR(SUBSTITUTE(SUBSTITUTE(VLOOKUP($A687,'Quarterly Pipeline vs Target Pi'!$A:$AP,42,false)," $","")," €",""), "")
)</f>
        <v>0</v>
      </c>
      <c r="AY687" s="17" t="str">
        <f t="shared" si="18"/>
        <v/>
      </c>
      <c r="AZ687" s="1">
        <f t="shared" ref="AZ687:BA687" si="1388">sum(AN687,AQ687,AT687,AW687)</f>
        <v>0</v>
      </c>
      <c r="BA687" s="1">
        <f t="shared" si="1388"/>
        <v>0</v>
      </c>
      <c r="BB687" s="17" t="str">
        <f t="shared" si="20"/>
        <v/>
      </c>
    </row>
    <row r="688">
      <c r="I688" s="17"/>
      <c r="L688" s="17"/>
      <c r="O688" s="17"/>
      <c r="X688" s="17"/>
      <c r="Y688" s="1">
        <f>value(IFERROR(SUBSTITUTE(SUBSTITUTE(VLOOKUP(A688,'Quarterly Pipeline vs Target Pi'!A:G,6,false)," $","")," €",""), "")
)</f>
        <v>0</v>
      </c>
      <c r="Z688" s="1">
        <f>value(IFERROR(SUBSTITUTE(SUBSTITUTE(VLOOKUP(A688,'Quarterly Pipeline vs Target Pi'!A:G,7,false)," $","")," €",""), "")
)</f>
        <v>0</v>
      </c>
      <c r="AA688" s="17" t="str">
        <f t="shared" si="9"/>
        <v/>
      </c>
      <c r="AB688" s="1">
        <f>value(IFERROR(SUBSTITUTE(SUBSTITUTE(VLOOKUP($A688,'Quarterly Pipeline vs Target Pi'!$A:$V,11,false)," $","")," €",""), "")
)</f>
        <v>0</v>
      </c>
      <c r="AC688" s="1">
        <f>value(IFERROR(SUBSTITUTE(SUBSTITUTE(VLOOKUP($A688,'Quarterly Pipeline vs Target Pi'!$A:$V,12,false)," $","")," €",""), "")
)</f>
        <v>0</v>
      </c>
      <c r="AD688" s="17" t="str">
        <f t="shared" si="10"/>
        <v/>
      </c>
      <c r="AE688" s="1">
        <f>value(IFERROR(SUBSTITUTE(SUBSTITUTE(VLOOKUP($A688,'Quarterly Pipeline vs Target Pi'!$A:$V,16,false)," $","")," €",""), "")
)</f>
        <v>0</v>
      </c>
      <c r="AF688" s="1">
        <f>value(IFERROR(SUBSTITUTE(SUBSTITUTE(VLOOKUP($A688,'Quarterly Pipeline vs Target Pi'!$A:$V,17,false)," $","")," €",""), "")
)</f>
        <v>0</v>
      </c>
      <c r="AG688" s="17" t="str">
        <f t="shared" si="11"/>
        <v/>
      </c>
      <c r="AH688" s="1">
        <f>value(IFERROR(SUBSTITUTE(SUBSTITUTE(VLOOKUP($A688,'Quarterly Pipeline vs Target Pi'!$A:$V,21,false)," $","")," €",""), "")
)</f>
        <v>0</v>
      </c>
      <c r="AI688" s="1">
        <f>value(IFERROR(SUBSTITUTE(SUBSTITUTE(VLOOKUP($A688,'Quarterly Pipeline vs Target Pi'!$A:$V,22,false)," $","")," €",""), "")
)</f>
        <v>0</v>
      </c>
      <c r="AJ688" s="17" t="str">
        <f t="shared" si="12"/>
        <v/>
      </c>
      <c r="AK688" s="1">
        <f t="shared" ref="AK688:AL688" si="1389">sum(Y688,AB688,AE688,AH688)</f>
        <v>0</v>
      </c>
      <c r="AL688" s="1">
        <f t="shared" si="1389"/>
        <v>0</v>
      </c>
      <c r="AM688" s="17" t="str">
        <f t="shared" si="14"/>
        <v/>
      </c>
      <c r="AN688" s="1">
        <f>value(IFERROR(SUBSTITUTE(SUBSTITUTE(VLOOKUP($A688,'Quarterly Pipeline vs Target Pi'!$A:$AP,26,false)," $","")," €",""), "")
)</f>
        <v>0</v>
      </c>
      <c r="AO688" s="1">
        <f>value(IFERROR(SUBSTITUTE(SUBSTITUTE(VLOOKUP($A688,'Quarterly Pipeline vs Target Pi'!$A:$AP,27,false)," $","")," €",""), "")
)</f>
        <v>0</v>
      </c>
      <c r="AP688" s="17" t="str">
        <f t="shared" si="15"/>
        <v/>
      </c>
      <c r="AQ688" s="1">
        <f>value(IFERROR(SUBSTITUTE(SUBSTITUTE(VLOOKUP($A688,'Quarterly Pipeline vs Target Pi'!$A:$AP,31,false)," $","")," €",""), "")
)</f>
        <v>0</v>
      </c>
      <c r="AR688" s="1">
        <f>value(IFERROR(SUBSTITUTE(SUBSTITUTE(VLOOKUP($A688,'Quarterly Pipeline vs Target Pi'!$A:$AP,32,false)," $","")," €",""), "")
)</f>
        <v>0</v>
      </c>
      <c r="AS688" s="17" t="str">
        <f t="shared" si="16"/>
        <v/>
      </c>
      <c r="AT688" s="1">
        <f>value(IFERROR(SUBSTITUTE(SUBSTITUTE(VLOOKUP($A688,'Quarterly Pipeline vs Target Pi'!$A:$AP,36,false)," $","")," €",""), "")
)</f>
        <v>0</v>
      </c>
      <c r="AU688" s="1">
        <f>value(IFERROR(SUBSTITUTE(SUBSTITUTE(VLOOKUP($A688,'Quarterly Pipeline vs Target Pi'!$A:$AP,37,false)," $","")," €",""), "")
)</f>
        <v>0</v>
      </c>
      <c r="AV688" s="17" t="str">
        <f t="shared" si="17"/>
        <v/>
      </c>
      <c r="AW688" s="1">
        <f>value(IFERROR(SUBSTITUTE(SUBSTITUTE(VLOOKUP($A688,'Quarterly Pipeline vs Target Pi'!$A:$AP,41,false)," $","")," €",""), "")
)</f>
        <v>0</v>
      </c>
      <c r="AX688" s="1">
        <f>value(IFERROR(SUBSTITUTE(SUBSTITUTE(VLOOKUP($A688,'Quarterly Pipeline vs Target Pi'!$A:$AP,42,false)," $","")," €",""), "")
)</f>
        <v>0</v>
      </c>
      <c r="AY688" s="17" t="str">
        <f t="shared" si="18"/>
        <v/>
      </c>
      <c r="AZ688" s="1">
        <f t="shared" ref="AZ688:BA688" si="1390">sum(AN688,AQ688,AT688,AW688)</f>
        <v>0</v>
      </c>
      <c r="BA688" s="1">
        <f t="shared" si="1390"/>
        <v>0</v>
      </c>
      <c r="BB688" s="17" t="str">
        <f t="shared" si="20"/>
        <v/>
      </c>
    </row>
    <row r="689">
      <c r="I689" s="17"/>
      <c r="L689" s="17"/>
      <c r="O689" s="17"/>
      <c r="X689" s="17"/>
      <c r="Y689" s="1">
        <f>value(IFERROR(SUBSTITUTE(SUBSTITUTE(VLOOKUP(A689,'Quarterly Pipeline vs Target Pi'!A:G,6,false)," $","")," €",""), "")
)</f>
        <v>0</v>
      </c>
      <c r="Z689" s="1">
        <f>value(IFERROR(SUBSTITUTE(SUBSTITUTE(VLOOKUP(A689,'Quarterly Pipeline vs Target Pi'!A:G,7,false)," $","")," €",""), "")
)</f>
        <v>0</v>
      </c>
      <c r="AA689" s="17" t="str">
        <f t="shared" si="9"/>
        <v/>
      </c>
      <c r="AB689" s="1">
        <f>value(IFERROR(SUBSTITUTE(SUBSTITUTE(VLOOKUP($A689,'Quarterly Pipeline vs Target Pi'!$A:$V,11,false)," $","")," €",""), "")
)</f>
        <v>0</v>
      </c>
      <c r="AC689" s="1">
        <f>value(IFERROR(SUBSTITUTE(SUBSTITUTE(VLOOKUP($A689,'Quarterly Pipeline vs Target Pi'!$A:$V,12,false)," $","")," €",""), "")
)</f>
        <v>0</v>
      </c>
      <c r="AD689" s="17" t="str">
        <f t="shared" si="10"/>
        <v/>
      </c>
      <c r="AE689" s="1">
        <f>value(IFERROR(SUBSTITUTE(SUBSTITUTE(VLOOKUP($A689,'Quarterly Pipeline vs Target Pi'!$A:$V,16,false)," $","")," €",""), "")
)</f>
        <v>0</v>
      </c>
      <c r="AF689" s="1">
        <f>value(IFERROR(SUBSTITUTE(SUBSTITUTE(VLOOKUP($A689,'Quarterly Pipeline vs Target Pi'!$A:$V,17,false)," $","")," €",""), "")
)</f>
        <v>0</v>
      </c>
      <c r="AG689" s="17" t="str">
        <f t="shared" si="11"/>
        <v/>
      </c>
      <c r="AH689" s="1">
        <f>value(IFERROR(SUBSTITUTE(SUBSTITUTE(VLOOKUP($A689,'Quarterly Pipeline vs Target Pi'!$A:$V,21,false)," $","")," €",""), "")
)</f>
        <v>0</v>
      </c>
      <c r="AI689" s="1">
        <f>value(IFERROR(SUBSTITUTE(SUBSTITUTE(VLOOKUP($A689,'Quarterly Pipeline vs Target Pi'!$A:$V,22,false)," $","")," €",""), "")
)</f>
        <v>0</v>
      </c>
      <c r="AJ689" s="17" t="str">
        <f t="shared" si="12"/>
        <v/>
      </c>
      <c r="AK689" s="1">
        <f t="shared" ref="AK689:AL689" si="1391">sum(Y689,AB689,AE689,AH689)</f>
        <v>0</v>
      </c>
      <c r="AL689" s="1">
        <f t="shared" si="1391"/>
        <v>0</v>
      </c>
      <c r="AM689" s="17" t="str">
        <f t="shared" si="14"/>
        <v/>
      </c>
      <c r="AN689" s="1">
        <f>value(IFERROR(SUBSTITUTE(SUBSTITUTE(VLOOKUP($A689,'Quarterly Pipeline vs Target Pi'!$A:$AP,26,false)," $","")," €",""), "")
)</f>
        <v>0</v>
      </c>
      <c r="AO689" s="1">
        <f>value(IFERROR(SUBSTITUTE(SUBSTITUTE(VLOOKUP($A689,'Quarterly Pipeline vs Target Pi'!$A:$AP,27,false)," $","")," €",""), "")
)</f>
        <v>0</v>
      </c>
      <c r="AP689" s="17" t="str">
        <f t="shared" si="15"/>
        <v/>
      </c>
      <c r="AQ689" s="1">
        <f>value(IFERROR(SUBSTITUTE(SUBSTITUTE(VLOOKUP($A689,'Quarterly Pipeline vs Target Pi'!$A:$AP,31,false)," $","")," €",""), "")
)</f>
        <v>0</v>
      </c>
      <c r="AR689" s="1">
        <f>value(IFERROR(SUBSTITUTE(SUBSTITUTE(VLOOKUP($A689,'Quarterly Pipeline vs Target Pi'!$A:$AP,32,false)," $","")," €",""), "")
)</f>
        <v>0</v>
      </c>
      <c r="AS689" s="17" t="str">
        <f t="shared" si="16"/>
        <v/>
      </c>
      <c r="AT689" s="1">
        <f>value(IFERROR(SUBSTITUTE(SUBSTITUTE(VLOOKUP($A689,'Quarterly Pipeline vs Target Pi'!$A:$AP,36,false)," $","")," €",""), "")
)</f>
        <v>0</v>
      </c>
      <c r="AU689" s="1">
        <f>value(IFERROR(SUBSTITUTE(SUBSTITUTE(VLOOKUP($A689,'Quarterly Pipeline vs Target Pi'!$A:$AP,37,false)," $","")," €",""), "")
)</f>
        <v>0</v>
      </c>
      <c r="AV689" s="17" t="str">
        <f t="shared" si="17"/>
        <v/>
      </c>
      <c r="AW689" s="1">
        <f>value(IFERROR(SUBSTITUTE(SUBSTITUTE(VLOOKUP($A689,'Quarterly Pipeline vs Target Pi'!$A:$AP,41,false)," $","")," €",""), "")
)</f>
        <v>0</v>
      </c>
      <c r="AX689" s="1">
        <f>value(IFERROR(SUBSTITUTE(SUBSTITUTE(VLOOKUP($A689,'Quarterly Pipeline vs Target Pi'!$A:$AP,42,false)," $","")," €",""), "")
)</f>
        <v>0</v>
      </c>
      <c r="AY689" s="17" t="str">
        <f t="shared" si="18"/>
        <v/>
      </c>
      <c r="AZ689" s="1">
        <f t="shared" ref="AZ689:BA689" si="1392">sum(AN689,AQ689,AT689,AW689)</f>
        <v>0</v>
      </c>
      <c r="BA689" s="1">
        <f t="shared" si="1392"/>
        <v>0</v>
      </c>
      <c r="BB689" s="17" t="str">
        <f t="shared" si="20"/>
        <v/>
      </c>
    </row>
    <row r="690">
      <c r="I690" s="17"/>
      <c r="L690" s="17"/>
      <c r="O690" s="17"/>
      <c r="X690" s="17"/>
      <c r="Y690" s="1">
        <f>value(IFERROR(SUBSTITUTE(SUBSTITUTE(VLOOKUP(A690,'Quarterly Pipeline vs Target Pi'!A:G,6,false)," $","")," €",""), "")
)</f>
        <v>0</v>
      </c>
      <c r="Z690" s="1">
        <f>value(IFERROR(SUBSTITUTE(SUBSTITUTE(VLOOKUP(A690,'Quarterly Pipeline vs Target Pi'!A:G,7,false)," $","")," €",""), "")
)</f>
        <v>0</v>
      </c>
      <c r="AA690" s="17" t="str">
        <f t="shared" si="9"/>
        <v/>
      </c>
      <c r="AB690" s="1">
        <f>value(IFERROR(SUBSTITUTE(SUBSTITUTE(VLOOKUP($A690,'Quarterly Pipeline vs Target Pi'!$A:$V,11,false)," $","")," €",""), "")
)</f>
        <v>0</v>
      </c>
      <c r="AC690" s="1">
        <f>value(IFERROR(SUBSTITUTE(SUBSTITUTE(VLOOKUP($A690,'Quarterly Pipeline vs Target Pi'!$A:$V,12,false)," $","")," €",""), "")
)</f>
        <v>0</v>
      </c>
      <c r="AD690" s="17" t="str">
        <f t="shared" si="10"/>
        <v/>
      </c>
      <c r="AE690" s="1">
        <f>value(IFERROR(SUBSTITUTE(SUBSTITUTE(VLOOKUP($A690,'Quarterly Pipeline vs Target Pi'!$A:$V,16,false)," $","")," €",""), "")
)</f>
        <v>0</v>
      </c>
      <c r="AF690" s="1">
        <f>value(IFERROR(SUBSTITUTE(SUBSTITUTE(VLOOKUP($A690,'Quarterly Pipeline vs Target Pi'!$A:$V,17,false)," $","")," €",""), "")
)</f>
        <v>0</v>
      </c>
      <c r="AG690" s="17" t="str">
        <f t="shared" si="11"/>
        <v/>
      </c>
      <c r="AH690" s="1">
        <f>value(IFERROR(SUBSTITUTE(SUBSTITUTE(VLOOKUP($A690,'Quarterly Pipeline vs Target Pi'!$A:$V,21,false)," $","")," €",""), "")
)</f>
        <v>0</v>
      </c>
      <c r="AI690" s="1">
        <f>value(IFERROR(SUBSTITUTE(SUBSTITUTE(VLOOKUP($A690,'Quarterly Pipeline vs Target Pi'!$A:$V,22,false)," $","")," €",""), "")
)</f>
        <v>0</v>
      </c>
      <c r="AJ690" s="17" t="str">
        <f t="shared" si="12"/>
        <v/>
      </c>
      <c r="AK690" s="1">
        <f t="shared" ref="AK690:AL690" si="1393">sum(Y690,AB690,AE690,AH690)</f>
        <v>0</v>
      </c>
      <c r="AL690" s="1">
        <f t="shared" si="1393"/>
        <v>0</v>
      </c>
      <c r="AM690" s="17" t="str">
        <f t="shared" si="14"/>
        <v/>
      </c>
      <c r="AN690" s="1">
        <f>value(IFERROR(SUBSTITUTE(SUBSTITUTE(VLOOKUP($A690,'Quarterly Pipeline vs Target Pi'!$A:$AP,26,false)," $","")," €",""), "")
)</f>
        <v>0</v>
      </c>
      <c r="AO690" s="1">
        <f>value(IFERROR(SUBSTITUTE(SUBSTITUTE(VLOOKUP($A690,'Quarterly Pipeline vs Target Pi'!$A:$AP,27,false)," $","")," €",""), "")
)</f>
        <v>0</v>
      </c>
      <c r="AP690" s="17" t="str">
        <f t="shared" si="15"/>
        <v/>
      </c>
      <c r="AQ690" s="1">
        <f>value(IFERROR(SUBSTITUTE(SUBSTITUTE(VLOOKUP($A690,'Quarterly Pipeline vs Target Pi'!$A:$AP,31,false)," $","")," €",""), "")
)</f>
        <v>0</v>
      </c>
      <c r="AR690" s="1">
        <f>value(IFERROR(SUBSTITUTE(SUBSTITUTE(VLOOKUP($A690,'Quarterly Pipeline vs Target Pi'!$A:$AP,32,false)," $","")," €",""), "")
)</f>
        <v>0</v>
      </c>
      <c r="AS690" s="17" t="str">
        <f t="shared" si="16"/>
        <v/>
      </c>
      <c r="AT690" s="1">
        <f>value(IFERROR(SUBSTITUTE(SUBSTITUTE(VLOOKUP($A690,'Quarterly Pipeline vs Target Pi'!$A:$AP,36,false)," $","")," €",""), "")
)</f>
        <v>0</v>
      </c>
      <c r="AU690" s="1">
        <f>value(IFERROR(SUBSTITUTE(SUBSTITUTE(VLOOKUP($A690,'Quarterly Pipeline vs Target Pi'!$A:$AP,37,false)," $","")," €",""), "")
)</f>
        <v>0</v>
      </c>
      <c r="AV690" s="17" t="str">
        <f t="shared" si="17"/>
        <v/>
      </c>
      <c r="AW690" s="1">
        <f>value(IFERROR(SUBSTITUTE(SUBSTITUTE(VLOOKUP($A690,'Quarterly Pipeline vs Target Pi'!$A:$AP,41,false)," $","")," €",""), "")
)</f>
        <v>0</v>
      </c>
      <c r="AX690" s="1">
        <f>value(IFERROR(SUBSTITUTE(SUBSTITUTE(VLOOKUP($A690,'Quarterly Pipeline vs Target Pi'!$A:$AP,42,false)," $","")," €",""), "")
)</f>
        <v>0</v>
      </c>
      <c r="AY690" s="17" t="str">
        <f t="shared" si="18"/>
        <v/>
      </c>
      <c r="AZ690" s="1">
        <f t="shared" ref="AZ690:BA690" si="1394">sum(AN690,AQ690,AT690,AW690)</f>
        <v>0</v>
      </c>
      <c r="BA690" s="1">
        <f t="shared" si="1394"/>
        <v>0</v>
      </c>
      <c r="BB690" s="17" t="str">
        <f t="shared" si="20"/>
        <v/>
      </c>
    </row>
    <row r="691">
      <c r="I691" s="17"/>
      <c r="L691" s="17"/>
      <c r="O691" s="17"/>
      <c r="X691" s="17"/>
      <c r="Y691" s="1">
        <f>value(IFERROR(SUBSTITUTE(SUBSTITUTE(VLOOKUP(A691,'Quarterly Pipeline vs Target Pi'!A:G,6,false)," $","")," €",""), "")
)</f>
        <v>0</v>
      </c>
      <c r="Z691" s="1">
        <f>value(IFERROR(SUBSTITUTE(SUBSTITUTE(VLOOKUP(A691,'Quarterly Pipeline vs Target Pi'!A:G,7,false)," $","")," €",""), "")
)</f>
        <v>0</v>
      </c>
      <c r="AA691" s="17" t="str">
        <f t="shared" si="9"/>
        <v/>
      </c>
      <c r="AB691" s="1">
        <f>value(IFERROR(SUBSTITUTE(SUBSTITUTE(VLOOKUP($A691,'Quarterly Pipeline vs Target Pi'!$A:$V,11,false)," $","")," €",""), "")
)</f>
        <v>0</v>
      </c>
      <c r="AC691" s="1">
        <f>value(IFERROR(SUBSTITUTE(SUBSTITUTE(VLOOKUP($A691,'Quarterly Pipeline vs Target Pi'!$A:$V,12,false)," $","")," €",""), "")
)</f>
        <v>0</v>
      </c>
      <c r="AD691" s="17" t="str">
        <f t="shared" si="10"/>
        <v/>
      </c>
      <c r="AE691" s="1">
        <f>value(IFERROR(SUBSTITUTE(SUBSTITUTE(VLOOKUP($A691,'Quarterly Pipeline vs Target Pi'!$A:$V,16,false)," $","")," €",""), "")
)</f>
        <v>0</v>
      </c>
      <c r="AF691" s="1">
        <f>value(IFERROR(SUBSTITUTE(SUBSTITUTE(VLOOKUP($A691,'Quarterly Pipeline vs Target Pi'!$A:$V,17,false)," $","")," €",""), "")
)</f>
        <v>0</v>
      </c>
      <c r="AG691" s="17" t="str">
        <f t="shared" si="11"/>
        <v/>
      </c>
      <c r="AH691" s="1">
        <f>value(IFERROR(SUBSTITUTE(SUBSTITUTE(VLOOKUP($A691,'Quarterly Pipeline vs Target Pi'!$A:$V,21,false)," $","")," €",""), "")
)</f>
        <v>0</v>
      </c>
      <c r="AI691" s="1">
        <f>value(IFERROR(SUBSTITUTE(SUBSTITUTE(VLOOKUP($A691,'Quarterly Pipeline vs Target Pi'!$A:$V,22,false)," $","")," €",""), "")
)</f>
        <v>0</v>
      </c>
      <c r="AJ691" s="17" t="str">
        <f t="shared" si="12"/>
        <v/>
      </c>
      <c r="AK691" s="1">
        <f t="shared" ref="AK691:AL691" si="1395">sum(Y691,AB691,AE691,AH691)</f>
        <v>0</v>
      </c>
      <c r="AL691" s="1">
        <f t="shared" si="1395"/>
        <v>0</v>
      </c>
      <c r="AM691" s="17" t="str">
        <f t="shared" si="14"/>
        <v/>
      </c>
      <c r="AN691" s="1">
        <f>value(IFERROR(SUBSTITUTE(SUBSTITUTE(VLOOKUP($A691,'Quarterly Pipeline vs Target Pi'!$A:$AP,26,false)," $","")," €",""), "")
)</f>
        <v>0</v>
      </c>
      <c r="AO691" s="1">
        <f>value(IFERROR(SUBSTITUTE(SUBSTITUTE(VLOOKUP($A691,'Quarterly Pipeline vs Target Pi'!$A:$AP,27,false)," $","")," €",""), "")
)</f>
        <v>0</v>
      </c>
      <c r="AP691" s="17" t="str">
        <f t="shared" si="15"/>
        <v/>
      </c>
      <c r="AQ691" s="1">
        <f>value(IFERROR(SUBSTITUTE(SUBSTITUTE(VLOOKUP($A691,'Quarterly Pipeline vs Target Pi'!$A:$AP,31,false)," $","")," €",""), "")
)</f>
        <v>0</v>
      </c>
      <c r="AR691" s="1">
        <f>value(IFERROR(SUBSTITUTE(SUBSTITUTE(VLOOKUP($A691,'Quarterly Pipeline vs Target Pi'!$A:$AP,32,false)," $","")," €",""), "")
)</f>
        <v>0</v>
      </c>
      <c r="AS691" s="17" t="str">
        <f t="shared" si="16"/>
        <v/>
      </c>
      <c r="AT691" s="1">
        <f>value(IFERROR(SUBSTITUTE(SUBSTITUTE(VLOOKUP($A691,'Quarterly Pipeline vs Target Pi'!$A:$AP,36,false)," $","")," €",""), "")
)</f>
        <v>0</v>
      </c>
      <c r="AU691" s="1">
        <f>value(IFERROR(SUBSTITUTE(SUBSTITUTE(VLOOKUP($A691,'Quarterly Pipeline vs Target Pi'!$A:$AP,37,false)," $","")," €",""), "")
)</f>
        <v>0</v>
      </c>
      <c r="AV691" s="17" t="str">
        <f t="shared" si="17"/>
        <v/>
      </c>
      <c r="AW691" s="1">
        <f>value(IFERROR(SUBSTITUTE(SUBSTITUTE(VLOOKUP($A691,'Quarterly Pipeline vs Target Pi'!$A:$AP,41,false)," $","")," €",""), "")
)</f>
        <v>0</v>
      </c>
      <c r="AX691" s="1">
        <f>value(IFERROR(SUBSTITUTE(SUBSTITUTE(VLOOKUP($A691,'Quarterly Pipeline vs Target Pi'!$A:$AP,42,false)," $","")," €",""), "")
)</f>
        <v>0</v>
      </c>
      <c r="AY691" s="17" t="str">
        <f t="shared" si="18"/>
        <v/>
      </c>
      <c r="AZ691" s="1">
        <f t="shared" ref="AZ691:BA691" si="1396">sum(AN691,AQ691,AT691,AW691)</f>
        <v>0</v>
      </c>
      <c r="BA691" s="1">
        <f t="shared" si="1396"/>
        <v>0</v>
      </c>
      <c r="BB691" s="17" t="str">
        <f t="shared" si="20"/>
        <v/>
      </c>
    </row>
    <row r="692">
      <c r="I692" s="17"/>
      <c r="L692" s="17"/>
      <c r="O692" s="17"/>
      <c r="X692" s="17"/>
      <c r="Y692" s="1">
        <f>value(IFERROR(SUBSTITUTE(SUBSTITUTE(VLOOKUP(A692,'Quarterly Pipeline vs Target Pi'!A:G,6,false)," $","")," €",""), "")
)</f>
        <v>0</v>
      </c>
      <c r="Z692" s="1">
        <f>value(IFERROR(SUBSTITUTE(SUBSTITUTE(VLOOKUP(A692,'Quarterly Pipeline vs Target Pi'!A:G,7,false)," $","")," €",""), "")
)</f>
        <v>0</v>
      </c>
      <c r="AA692" s="17" t="str">
        <f t="shared" si="9"/>
        <v/>
      </c>
      <c r="AB692" s="1">
        <f>value(IFERROR(SUBSTITUTE(SUBSTITUTE(VLOOKUP($A692,'Quarterly Pipeline vs Target Pi'!$A:$V,11,false)," $","")," €",""), "")
)</f>
        <v>0</v>
      </c>
      <c r="AC692" s="1">
        <f>value(IFERROR(SUBSTITUTE(SUBSTITUTE(VLOOKUP($A692,'Quarterly Pipeline vs Target Pi'!$A:$V,12,false)," $","")," €",""), "")
)</f>
        <v>0</v>
      </c>
      <c r="AD692" s="17" t="str">
        <f t="shared" si="10"/>
        <v/>
      </c>
      <c r="AE692" s="1">
        <f>value(IFERROR(SUBSTITUTE(SUBSTITUTE(VLOOKUP($A692,'Quarterly Pipeline vs Target Pi'!$A:$V,16,false)," $","")," €",""), "")
)</f>
        <v>0</v>
      </c>
      <c r="AF692" s="1">
        <f>value(IFERROR(SUBSTITUTE(SUBSTITUTE(VLOOKUP($A692,'Quarterly Pipeline vs Target Pi'!$A:$V,17,false)," $","")," €",""), "")
)</f>
        <v>0</v>
      </c>
      <c r="AG692" s="17" t="str">
        <f t="shared" si="11"/>
        <v/>
      </c>
      <c r="AH692" s="1">
        <f>value(IFERROR(SUBSTITUTE(SUBSTITUTE(VLOOKUP($A692,'Quarterly Pipeline vs Target Pi'!$A:$V,21,false)," $","")," €",""), "")
)</f>
        <v>0</v>
      </c>
      <c r="AI692" s="1">
        <f>value(IFERROR(SUBSTITUTE(SUBSTITUTE(VLOOKUP($A692,'Quarterly Pipeline vs Target Pi'!$A:$V,22,false)," $","")," €",""), "")
)</f>
        <v>0</v>
      </c>
      <c r="AJ692" s="17" t="str">
        <f t="shared" si="12"/>
        <v/>
      </c>
      <c r="AK692" s="1">
        <f t="shared" ref="AK692:AL692" si="1397">sum(Y692,AB692,AE692,AH692)</f>
        <v>0</v>
      </c>
      <c r="AL692" s="1">
        <f t="shared" si="1397"/>
        <v>0</v>
      </c>
      <c r="AM692" s="17" t="str">
        <f t="shared" si="14"/>
        <v/>
      </c>
      <c r="AN692" s="1">
        <f>value(IFERROR(SUBSTITUTE(SUBSTITUTE(VLOOKUP($A692,'Quarterly Pipeline vs Target Pi'!$A:$AP,26,false)," $","")," €",""), "")
)</f>
        <v>0</v>
      </c>
      <c r="AO692" s="1">
        <f>value(IFERROR(SUBSTITUTE(SUBSTITUTE(VLOOKUP($A692,'Quarterly Pipeline vs Target Pi'!$A:$AP,27,false)," $","")," €",""), "")
)</f>
        <v>0</v>
      </c>
      <c r="AP692" s="17" t="str">
        <f t="shared" si="15"/>
        <v/>
      </c>
      <c r="AQ692" s="1">
        <f>value(IFERROR(SUBSTITUTE(SUBSTITUTE(VLOOKUP($A692,'Quarterly Pipeline vs Target Pi'!$A:$AP,31,false)," $","")," €",""), "")
)</f>
        <v>0</v>
      </c>
      <c r="AR692" s="1">
        <f>value(IFERROR(SUBSTITUTE(SUBSTITUTE(VLOOKUP($A692,'Quarterly Pipeline vs Target Pi'!$A:$AP,32,false)," $","")," €",""), "")
)</f>
        <v>0</v>
      </c>
      <c r="AS692" s="17" t="str">
        <f t="shared" si="16"/>
        <v/>
      </c>
      <c r="AT692" s="1">
        <f>value(IFERROR(SUBSTITUTE(SUBSTITUTE(VLOOKUP($A692,'Quarterly Pipeline vs Target Pi'!$A:$AP,36,false)," $","")," €",""), "")
)</f>
        <v>0</v>
      </c>
      <c r="AU692" s="1">
        <f>value(IFERROR(SUBSTITUTE(SUBSTITUTE(VLOOKUP($A692,'Quarterly Pipeline vs Target Pi'!$A:$AP,37,false)," $","")," €",""), "")
)</f>
        <v>0</v>
      </c>
      <c r="AV692" s="17" t="str">
        <f t="shared" si="17"/>
        <v/>
      </c>
      <c r="AW692" s="1">
        <f>value(IFERROR(SUBSTITUTE(SUBSTITUTE(VLOOKUP($A692,'Quarterly Pipeline vs Target Pi'!$A:$AP,41,false)," $","")," €",""), "")
)</f>
        <v>0</v>
      </c>
      <c r="AX692" s="1">
        <f>value(IFERROR(SUBSTITUTE(SUBSTITUTE(VLOOKUP($A692,'Quarterly Pipeline vs Target Pi'!$A:$AP,42,false)," $","")," €",""), "")
)</f>
        <v>0</v>
      </c>
      <c r="AY692" s="17" t="str">
        <f t="shared" si="18"/>
        <v/>
      </c>
      <c r="AZ692" s="1">
        <f t="shared" ref="AZ692:BA692" si="1398">sum(AN692,AQ692,AT692,AW692)</f>
        <v>0</v>
      </c>
      <c r="BA692" s="1">
        <f t="shared" si="1398"/>
        <v>0</v>
      </c>
      <c r="BB692" s="17" t="str">
        <f t="shared" si="20"/>
        <v/>
      </c>
    </row>
    <row r="693">
      <c r="I693" s="17"/>
      <c r="L693" s="17"/>
      <c r="O693" s="17"/>
      <c r="X693" s="17"/>
      <c r="Y693" s="1">
        <f>value(IFERROR(SUBSTITUTE(SUBSTITUTE(VLOOKUP(A693,'Quarterly Pipeline vs Target Pi'!A:G,6,false)," $","")," €",""), "")
)</f>
        <v>0</v>
      </c>
      <c r="Z693" s="1">
        <f>value(IFERROR(SUBSTITUTE(SUBSTITUTE(VLOOKUP(A693,'Quarterly Pipeline vs Target Pi'!A:G,7,false)," $","")," €",""), "")
)</f>
        <v>0</v>
      </c>
      <c r="AA693" s="17" t="str">
        <f t="shared" si="9"/>
        <v/>
      </c>
      <c r="AB693" s="1">
        <f>value(IFERROR(SUBSTITUTE(SUBSTITUTE(VLOOKUP($A693,'Quarterly Pipeline vs Target Pi'!$A:$V,11,false)," $","")," €",""), "")
)</f>
        <v>0</v>
      </c>
      <c r="AC693" s="1">
        <f>value(IFERROR(SUBSTITUTE(SUBSTITUTE(VLOOKUP($A693,'Quarterly Pipeline vs Target Pi'!$A:$V,12,false)," $","")," €",""), "")
)</f>
        <v>0</v>
      </c>
      <c r="AD693" s="17" t="str">
        <f t="shared" si="10"/>
        <v/>
      </c>
      <c r="AE693" s="1">
        <f>value(IFERROR(SUBSTITUTE(SUBSTITUTE(VLOOKUP($A693,'Quarterly Pipeline vs Target Pi'!$A:$V,16,false)," $","")," €",""), "")
)</f>
        <v>0</v>
      </c>
      <c r="AF693" s="1">
        <f>value(IFERROR(SUBSTITUTE(SUBSTITUTE(VLOOKUP($A693,'Quarterly Pipeline vs Target Pi'!$A:$V,17,false)," $","")," €",""), "")
)</f>
        <v>0</v>
      </c>
      <c r="AG693" s="17" t="str">
        <f t="shared" si="11"/>
        <v/>
      </c>
      <c r="AH693" s="1">
        <f>value(IFERROR(SUBSTITUTE(SUBSTITUTE(VLOOKUP($A693,'Quarterly Pipeline vs Target Pi'!$A:$V,21,false)," $","")," €",""), "")
)</f>
        <v>0</v>
      </c>
      <c r="AI693" s="1">
        <f>value(IFERROR(SUBSTITUTE(SUBSTITUTE(VLOOKUP($A693,'Quarterly Pipeline vs Target Pi'!$A:$V,22,false)," $","")," €",""), "")
)</f>
        <v>0</v>
      </c>
      <c r="AJ693" s="17" t="str">
        <f t="shared" si="12"/>
        <v/>
      </c>
      <c r="AK693" s="1">
        <f t="shared" ref="AK693:AL693" si="1399">sum(Y693,AB693,AE693,AH693)</f>
        <v>0</v>
      </c>
      <c r="AL693" s="1">
        <f t="shared" si="1399"/>
        <v>0</v>
      </c>
      <c r="AM693" s="17" t="str">
        <f t="shared" si="14"/>
        <v/>
      </c>
      <c r="AN693" s="1">
        <f>value(IFERROR(SUBSTITUTE(SUBSTITUTE(VLOOKUP($A693,'Quarterly Pipeline vs Target Pi'!$A:$AP,26,false)," $","")," €",""), "")
)</f>
        <v>0</v>
      </c>
      <c r="AO693" s="1">
        <f>value(IFERROR(SUBSTITUTE(SUBSTITUTE(VLOOKUP($A693,'Quarterly Pipeline vs Target Pi'!$A:$AP,27,false)," $","")," €",""), "")
)</f>
        <v>0</v>
      </c>
      <c r="AP693" s="17" t="str">
        <f t="shared" si="15"/>
        <v/>
      </c>
      <c r="AQ693" s="1">
        <f>value(IFERROR(SUBSTITUTE(SUBSTITUTE(VLOOKUP($A693,'Quarterly Pipeline vs Target Pi'!$A:$AP,31,false)," $","")," €",""), "")
)</f>
        <v>0</v>
      </c>
      <c r="AR693" s="1">
        <f>value(IFERROR(SUBSTITUTE(SUBSTITUTE(VLOOKUP($A693,'Quarterly Pipeline vs Target Pi'!$A:$AP,32,false)," $","")," €",""), "")
)</f>
        <v>0</v>
      </c>
      <c r="AS693" s="17" t="str">
        <f t="shared" si="16"/>
        <v/>
      </c>
      <c r="AT693" s="1">
        <f>value(IFERROR(SUBSTITUTE(SUBSTITUTE(VLOOKUP($A693,'Quarterly Pipeline vs Target Pi'!$A:$AP,36,false)," $","")," €",""), "")
)</f>
        <v>0</v>
      </c>
      <c r="AU693" s="1">
        <f>value(IFERROR(SUBSTITUTE(SUBSTITUTE(VLOOKUP($A693,'Quarterly Pipeline vs Target Pi'!$A:$AP,37,false)," $","")," €",""), "")
)</f>
        <v>0</v>
      </c>
      <c r="AV693" s="17" t="str">
        <f t="shared" si="17"/>
        <v/>
      </c>
      <c r="AW693" s="1">
        <f>value(IFERROR(SUBSTITUTE(SUBSTITUTE(VLOOKUP($A693,'Quarterly Pipeline vs Target Pi'!$A:$AP,41,false)," $","")," €",""), "")
)</f>
        <v>0</v>
      </c>
      <c r="AX693" s="1">
        <f>value(IFERROR(SUBSTITUTE(SUBSTITUTE(VLOOKUP($A693,'Quarterly Pipeline vs Target Pi'!$A:$AP,42,false)," $","")," €",""), "")
)</f>
        <v>0</v>
      </c>
      <c r="AY693" s="17" t="str">
        <f t="shared" si="18"/>
        <v/>
      </c>
      <c r="AZ693" s="1">
        <f t="shared" ref="AZ693:BA693" si="1400">sum(AN693,AQ693,AT693,AW693)</f>
        <v>0</v>
      </c>
      <c r="BA693" s="1">
        <f t="shared" si="1400"/>
        <v>0</v>
      </c>
      <c r="BB693" s="17" t="str">
        <f t="shared" si="20"/>
        <v/>
      </c>
    </row>
    <row r="694">
      <c r="I694" s="17"/>
      <c r="L694" s="17"/>
      <c r="O694" s="17"/>
      <c r="X694" s="17"/>
      <c r="Y694" s="1">
        <f>value(IFERROR(SUBSTITUTE(SUBSTITUTE(VLOOKUP(A694,'Quarterly Pipeline vs Target Pi'!A:G,6,false)," $","")," €",""), "")
)</f>
        <v>0</v>
      </c>
      <c r="Z694" s="1">
        <f>value(IFERROR(SUBSTITUTE(SUBSTITUTE(VLOOKUP(A694,'Quarterly Pipeline vs Target Pi'!A:G,7,false)," $","")," €",""), "")
)</f>
        <v>0</v>
      </c>
      <c r="AA694" s="17" t="str">
        <f t="shared" si="9"/>
        <v/>
      </c>
      <c r="AB694" s="1">
        <f>value(IFERROR(SUBSTITUTE(SUBSTITUTE(VLOOKUP($A694,'Quarterly Pipeline vs Target Pi'!$A:$V,11,false)," $","")," €",""), "")
)</f>
        <v>0</v>
      </c>
      <c r="AC694" s="1">
        <f>value(IFERROR(SUBSTITUTE(SUBSTITUTE(VLOOKUP($A694,'Quarterly Pipeline vs Target Pi'!$A:$V,12,false)," $","")," €",""), "")
)</f>
        <v>0</v>
      </c>
      <c r="AD694" s="17" t="str">
        <f t="shared" si="10"/>
        <v/>
      </c>
      <c r="AE694" s="1">
        <f>value(IFERROR(SUBSTITUTE(SUBSTITUTE(VLOOKUP($A694,'Quarterly Pipeline vs Target Pi'!$A:$V,16,false)," $","")," €",""), "")
)</f>
        <v>0</v>
      </c>
      <c r="AF694" s="1">
        <f>value(IFERROR(SUBSTITUTE(SUBSTITUTE(VLOOKUP($A694,'Quarterly Pipeline vs Target Pi'!$A:$V,17,false)," $","")," €",""), "")
)</f>
        <v>0</v>
      </c>
      <c r="AG694" s="17" t="str">
        <f t="shared" si="11"/>
        <v/>
      </c>
      <c r="AH694" s="1">
        <f>value(IFERROR(SUBSTITUTE(SUBSTITUTE(VLOOKUP($A694,'Quarterly Pipeline vs Target Pi'!$A:$V,21,false)," $","")," €",""), "")
)</f>
        <v>0</v>
      </c>
      <c r="AI694" s="1">
        <f>value(IFERROR(SUBSTITUTE(SUBSTITUTE(VLOOKUP($A694,'Quarterly Pipeline vs Target Pi'!$A:$V,22,false)," $","")," €",""), "")
)</f>
        <v>0</v>
      </c>
      <c r="AJ694" s="17" t="str">
        <f t="shared" si="12"/>
        <v/>
      </c>
      <c r="AK694" s="1">
        <f t="shared" ref="AK694:AL694" si="1401">sum(Y694,AB694,AE694,AH694)</f>
        <v>0</v>
      </c>
      <c r="AL694" s="1">
        <f t="shared" si="1401"/>
        <v>0</v>
      </c>
      <c r="AM694" s="17" t="str">
        <f t="shared" si="14"/>
        <v/>
      </c>
      <c r="AN694" s="1">
        <f>value(IFERROR(SUBSTITUTE(SUBSTITUTE(VLOOKUP($A694,'Quarterly Pipeline vs Target Pi'!$A:$AP,26,false)," $","")," €",""), "")
)</f>
        <v>0</v>
      </c>
      <c r="AO694" s="1">
        <f>value(IFERROR(SUBSTITUTE(SUBSTITUTE(VLOOKUP($A694,'Quarterly Pipeline vs Target Pi'!$A:$AP,27,false)," $","")," €",""), "")
)</f>
        <v>0</v>
      </c>
      <c r="AP694" s="17" t="str">
        <f t="shared" si="15"/>
        <v/>
      </c>
      <c r="AQ694" s="1">
        <f>value(IFERROR(SUBSTITUTE(SUBSTITUTE(VLOOKUP($A694,'Quarterly Pipeline vs Target Pi'!$A:$AP,31,false)," $","")," €",""), "")
)</f>
        <v>0</v>
      </c>
      <c r="AR694" s="1">
        <f>value(IFERROR(SUBSTITUTE(SUBSTITUTE(VLOOKUP($A694,'Quarterly Pipeline vs Target Pi'!$A:$AP,32,false)," $","")," €",""), "")
)</f>
        <v>0</v>
      </c>
      <c r="AS694" s="17" t="str">
        <f t="shared" si="16"/>
        <v/>
      </c>
      <c r="AT694" s="1">
        <f>value(IFERROR(SUBSTITUTE(SUBSTITUTE(VLOOKUP($A694,'Quarterly Pipeline vs Target Pi'!$A:$AP,36,false)," $","")," €",""), "")
)</f>
        <v>0</v>
      </c>
      <c r="AU694" s="1">
        <f>value(IFERROR(SUBSTITUTE(SUBSTITUTE(VLOOKUP($A694,'Quarterly Pipeline vs Target Pi'!$A:$AP,37,false)," $","")," €",""), "")
)</f>
        <v>0</v>
      </c>
      <c r="AV694" s="17" t="str">
        <f t="shared" si="17"/>
        <v/>
      </c>
      <c r="AW694" s="1">
        <f>value(IFERROR(SUBSTITUTE(SUBSTITUTE(VLOOKUP($A694,'Quarterly Pipeline vs Target Pi'!$A:$AP,41,false)," $","")," €",""), "")
)</f>
        <v>0</v>
      </c>
      <c r="AX694" s="1">
        <f>value(IFERROR(SUBSTITUTE(SUBSTITUTE(VLOOKUP($A694,'Quarterly Pipeline vs Target Pi'!$A:$AP,42,false)," $","")," €",""), "")
)</f>
        <v>0</v>
      </c>
      <c r="AY694" s="17" t="str">
        <f t="shared" si="18"/>
        <v/>
      </c>
      <c r="AZ694" s="1">
        <f t="shared" ref="AZ694:BA694" si="1402">sum(AN694,AQ694,AT694,AW694)</f>
        <v>0</v>
      </c>
      <c r="BA694" s="1">
        <f t="shared" si="1402"/>
        <v>0</v>
      </c>
      <c r="BB694" s="17" t="str">
        <f t="shared" si="20"/>
        <v/>
      </c>
    </row>
    <row r="695">
      <c r="I695" s="17"/>
      <c r="L695" s="17"/>
      <c r="O695" s="17"/>
      <c r="X695" s="17"/>
      <c r="Y695" s="1">
        <f>value(IFERROR(SUBSTITUTE(SUBSTITUTE(VLOOKUP(A695,'Quarterly Pipeline vs Target Pi'!A:G,6,false)," $","")," €",""), "")
)</f>
        <v>0</v>
      </c>
      <c r="Z695" s="1">
        <f>value(IFERROR(SUBSTITUTE(SUBSTITUTE(VLOOKUP(A695,'Quarterly Pipeline vs Target Pi'!A:G,7,false)," $","")," €",""), "")
)</f>
        <v>0</v>
      </c>
      <c r="AA695" s="17" t="str">
        <f t="shared" si="9"/>
        <v/>
      </c>
      <c r="AB695" s="1">
        <f>value(IFERROR(SUBSTITUTE(SUBSTITUTE(VLOOKUP($A695,'Quarterly Pipeline vs Target Pi'!$A:$V,11,false)," $","")," €",""), "")
)</f>
        <v>0</v>
      </c>
      <c r="AC695" s="1">
        <f>value(IFERROR(SUBSTITUTE(SUBSTITUTE(VLOOKUP($A695,'Quarterly Pipeline vs Target Pi'!$A:$V,12,false)," $","")," €",""), "")
)</f>
        <v>0</v>
      </c>
      <c r="AD695" s="17" t="str">
        <f t="shared" si="10"/>
        <v/>
      </c>
      <c r="AE695" s="1">
        <f>value(IFERROR(SUBSTITUTE(SUBSTITUTE(VLOOKUP($A695,'Quarterly Pipeline vs Target Pi'!$A:$V,16,false)," $","")," €",""), "")
)</f>
        <v>0</v>
      </c>
      <c r="AF695" s="1">
        <f>value(IFERROR(SUBSTITUTE(SUBSTITUTE(VLOOKUP($A695,'Quarterly Pipeline vs Target Pi'!$A:$V,17,false)," $","")," €",""), "")
)</f>
        <v>0</v>
      </c>
      <c r="AG695" s="17" t="str">
        <f t="shared" si="11"/>
        <v/>
      </c>
      <c r="AH695" s="1">
        <f>value(IFERROR(SUBSTITUTE(SUBSTITUTE(VLOOKUP($A695,'Quarterly Pipeline vs Target Pi'!$A:$V,21,false)," $","")," €",""), "")
)</f>
        <v>0</v>
      </c>
      <c r="AI695" s="1">
        <f>value(IFERROR(SUBSTITUTE(SUBSTITUTE(VLOOKUP($A695,'Quarterly Pipeline vs Target Pi'!$A:$V,22,false)," $","")," €",""), "")
)</f>
        <v>0</v>
      </c>
      <c r="AJ695" s="17" t="str">
        <f t="shared" si="12"/>
        <v/>
      </c>
      <c r="AK695" s="1">
        <f t="shared" ref="AK695:AL695" si="1403">sum(Y695,AB695,AE695,AH695)</f>
        <v>0</v>
      </c>
      <c r="AL695" s="1">
        <f t="shared" si="1403"/>
        <v>0</v>
      </c>
      <c r="AM695" s="17" t="str">
        <f t="shared" si="14"/>
        <v/>
      </c>
      <c r="AN695" s="1">
        <f>value(IFERROR(SUBSTITUTE(SUBSTITUTE(VLOOKUP($A695,'Quarterly Pipeline vs Target Pi'!$A:$AP,26,false)," $","")," €",""), "")
)</f>
        <v>0</v>
      </c>
      <c r="AO695" s="1">
        <f>value(IFERROR(SUBSTITUTE(SUBSTITUTE(VLOOKUP($A695,'Quarterly Pipeline vs Target Pi'!$A:$AP,27,false)," $","")," €",""), "")
)</f>
        <v>0</v>
      </c>
      <c r="AP695" s="17" t="str">
        <f t="shared" si="15"/>
        <v/>
      </c>
      <c r="AQ695" s="1">
        <f>value(IFERROR(SUBSTITUTE(SUBSTITUTE(VLOOKUP($A695,'Quarterly Pipeline vs Target Pi'!$A:$AP,31,false)," $","")," €",""), "")
)</f>
        <v>0</v>
      </c>
      <c r="AR695" s="1">
        <f>value(IFERROR(SUBSTITUTE(SUBSTITUTE(VLOOKUP($A695,'Quarterly Pipeline vs Target Pi'!$A:$AP,32,false)," $","")," €",""), "")
)</f>
        <v>0</v>
      </c>
      <c r="AS695" s="17" t="str">
        <f t="shared" si="16"/>
        <v/>
      </c>
      <c r="AT695" s="1">
        <f>value(IFERROR(SUBSTITUTE(SUBSTITUTE(VLOOKUP($A695,'Quarterly Pipeline vs Target Pi'!$A:$AP,36,false)," $","")," €",""), "")
)</f>
        <v>0</v>
      </c>
      <c r="AU695" s="1">
        <f>value(IFERROR(SUBSTITUTE(SUBSTITUTE(VLOOKUP($A695,'Quarterly Pipeline vs Target Pi'!$A:$AP,37,false)," $","")," €",""), "")
)</f>
        <v>0</v>
      </c>
      <c r="AV695" s="17" t="str">
        <f t="shared" si="17"/>
        <v/>
      </c>
      <c r="AW695" s="1">
        <f>value(IFERROR(SUBSTITUTE(SUBSTITUTE(VLOOKUP($A695,'Quarterly Pipeline vs Target Pi'!$A:$AP,41,false)," $","")," €",""), "")
)</f>
        <v>0</v>
      </c>
      <c r="AX695" s="1">
        <f>value(IFERROR(SUBSTITUTE(SUBSTITUTE(VLOOKUP($A695,'Quarterly Pipeline vs Target Pi'!$A:$AP,42,false)," $","")," €",""), "")
)</f>
        <v>0</v>
      </c>
      <c r="AY695" s="17" t="str">
        <f t="shared" si="18"/>
        <v/>
      </c>
      <c r="AZ695" s="1">
        <f t="shared" ref="AZ695:BA695" si="1404">sum(AN695,AQ695,AT695,AW695)</f>
        <v>0</v>
      </c>
      <c r="BA695" s="1">
        <f t="shared" si="1404"/>
        <v>0</v>
      </c>
      <c r="BB695" s="17" t="str">
        <f t="shared" si="20"/>
        <v/>
      </c>
    </row>
    <row r="696">
      <c r="I696" s="17"/>
      <c r="L696" s="17"/>
      <c r="O696" s="17"/>
      <c r="X696" s="17"/>
      <c r="Y696" s="1">
        <f>value(IFERROR(SUBSTITUTE(SUBSTITUTE(VLOOKUP(A696,'Quarterly Pipeline vs Target Pi'!A:G,6,false)," $","")," €",""), "")
)</f>
        <v>0</v>
      </c>
      <c r="Z696" s="1">
        <f>value(IFERROR(SUBSTITUTE(SUBSTITUTE(VLOOKUP(A696,'Quarterly Pipeline vs Target Pi'!A:G,7,false)," $","")," €",""), "")
)</f>
        <v>0</v>
      </c>
      <c r="AA696" s="17" t="str">
        <f t="shared" si="9"/>
        <v/>
      </c>
      <c r="AB696" s="1">
        <f>value(IFERROR(SUBSTITUTE(SUBSTITUTE(VLOOKUP($A696,'Quarterly Pipeline vs Target Pi'!$A:$V,11,false)," $","")," €",""), "")
)</f>
        <v>0</v>
      </c>
      <c r="AC696" s="1">
        <f>value(IFERROR(SUBSTITUTE(SUBSTITUTE(VLOOKUP($A696,'Quarterly Pipeline vs Target Pi'!$A:$V,12,false)," $","")," €",""), "")
)</f>
        <v>0</v>
      </c>
      <c r="AD696" s="17" t="str">
        <f t="shared" si="10"/>
        <v/>
      </c>
      <c r="AE696" s="1">
        <f>value(IFERROR(SUBSTITUTE(SUBSTITUTE(VLOOKUP($A696,'Quarterly Pipeline vs Target Pi'!$A:$V,16,false)," $","")," €",""), "")
)</f>
        <v>0</v>
      </c>
      <c r="AF696" s="1">
        <f>value(IFERROR(SUBSTITUTE(SUBSTITUTE(VLOOKUP($A696,'Quarterly Pipeline vs Target Pi'!$A:$V,17,false)," $","")," €",""), "")
)</f>
        <v>0</v>
      </c>
      <c r="AG696" s="17" t="str">
        <f t="shared" si="11"/>
        <v/>
      </c>
      <c r="AH696" s="1">
        <f>value(IFERROR(SUBSTITUTE(SUBSTITUTE(VLOOKUP($A696,'Quarterly Pipeline vs Target Pi'!$A:$V,21,false)," $","")," €",""), "")
)</f>
        <v>0</v>
      </c>
      <c r="AI696" s="1">
        <f>value(IFERROR(SUBSTITUTE(SUBSTITUTE(VLOOKUP($A696,'Quarterly Pipeline vs Target Pi'!$A:$V,22,false)," $","")," €",""), "")
)</f>
        <v>0</v>
      </c>
      <c r="AJ696" s="17" t="str">
        <f t="shared" si="12"/>
        <v/>
      </c>
      <c r="AK696" s="1">
        <f t="shared" ref="AK696:AL696" si="1405">sum(Y696,AB696,AE696,AH696)</f>
        <v>0</v>
      </c>
      <c r="AL696" s="1">
        <f t="shared" si="1405"/>
        <v>0</v>
      </c>
      <c r="AM696" s="17" t="str">
        <f t="shared" si="14"/>
        <v/>
      </c>
      <c r="AN696" s="1">
        <f>value(IFERROR(SUBSTITUTE(SUBSTITUTE(VLOOKUP($A696,'Quarterly Pipeline vs Target Pi'!$A:$AP,26,false)," $","")," €",""), "")
)</f>
        <v>0</v>
      </c>
      <c r="AO696" s="1">
        <f>value(IFERROR(SUBSTITUTE(SUBSTITUTE(VLOOKUP($A696,'Quarterly Pipeline vs Target Pi'!$A:$AP,27,false)," $","")," €",""), "")
)</f>
        <v>0</v>
      </c>
      <c r="AP696" s="17" t="str">
        <f t="shared" si="15"/>
        <v/>
      </c>
      <c r="AQ696" s="1">
        <f>value(IFERROR(SUBSTITUTE(SUBSTITUTE(VLOOKUP($A696,'Quarterly Pipeline vs Target Pi'!$A:$AP,31,false)," $","")," €",""), "")
)</f>
        <v>0</v>
      </c>
      <c r="AR696" s="1">
        <f>value(IFERROR(SUBSTITUTE(SUBSTITUTE(VLOOKUP($A696,'Quarterly Pipeline vs Target Pi'!$A:$AP,32,false)," $","")," €",""), "")
)</f>
        <v>0</v>
      </c>
      <c r="AS696" s="17" t="str">
        <f t="shared" si="16"/>
        <v/>
      </c>
      <c r="AT696" s="1">
        <f>value(IFERROR(SUBSTITUTE(SUBSTITUTE(VLOOKUP($A696,'Quarterly Pipeline vs Target Pi'!$A:$AP,36,false)," $","")," €",""), "")
)</f>
        <v>0</v>
      </c>
      <c r="AU696" s="1">
        <f>value(IFERROR(SUBSTITUTE(SUBSTITUTE(VLOOKUP($A696,'Quarterly Pipeline vs Target Pi'!$A:$AP,37,false)," $","")," €",""), "")
)</f>
        <v>0</v>
      </c>
      <c r="AV696" s="17" t="str">
        <f t="shared" si="17"/>
        <v/>
      </c>
      <c r="AW696" s="1">
        <f>value(IFERROR(SUBSTITUTE(SUBSTITUTE(VLOOKUP($A696,'Quarterly Pipeline vs Target Pi'!$A:$AP,41,false)," $","")," €",""), "")
)</f>
        <v>0</v>
      </c>
      <c r="AX696" s="1">
        <f>value(IFERROR(SUBSTITUTE(SUBSTITUTE(VLOOKUP($A696,'Quarterly Pipeline vs Target Pi'!$A:$AP,42,false)," $","")," €",""), "")
)</f>
        <v>0</v>
      </c>
      <c r="AY696" s="17" t="str">
        <f t="shared" si="18"/>
        <v/>
      </c>
      <c r="AZ696" s="1">
        <f t="shared" ref="AZ696:BA696" si="1406">sum(AN696,AQ696,AT696,AW696)</f>
        <v>0</v>
      </c>
      <c r="BA696" s="1">
        <f t="shared" si="1406"/>
        <v>0</v>
      </c>
      <c r="BB696" s="17" t="str">
        <f t="shared" si="20"/>
        <v/>
      </c>
    </row>
    <row r="697">
      <c r="I697" s="17"/>
      <c r="L697" s="17"/>
      <c r="O697" s="17"/>
      <c r="X697" s="17"/>
      <c r="Y697" s="1">
        <f>value(IFERROR(SUBSTITUTE(SUBSTITUTE(VLOOKUP(A697,'Quarterly Pipeline vs Target Pi'!A:G,6,false)," $","")," €",""), "")
)</f>
        <v>0</v>
      </c>
      <c r="Z697" s="1">
        <f>value(IFERROR(SUBSTITUTE(SUBSTITUTE(VLOOKUP(A697,'Quarterly Pipeline vs Target Pi'!A:G,7,false)," $","")," €",""), "")
)</f>
        <v>0</v>
      </c>
      <c r="AA697" s="17" t="str">
        <f t="shared" si="9"/>
        <v/>
      </c>
      <c r="AB697" s="1">
        <f>value(IFERROR(SUBSTITUTE(SUBSTITUTE(VLOOKUP($A697,'Quarterly Pipeline vs Target Pi'!$A:$V,11,false)," $","")," €",""), "")
)</f>
        <v>0</v>
      </c>
      <c r="AC697" s="1">
        <f>value(IFERROR(SUBSTITUTE(SUBSTITUTE(VLOOKUP($A697,'Quarterly Pipeline vs Target Pi'!$A:$V,12,false)," $","")," €",""), "")
)</f>
        <v>0</v>
      </c>
      <c r="AD697" s="17" t="str">
        <f t="shared" si="10"/>
        <v/>
      </c>
      <c r="AE697" s="1">
        <f>value(IFERROR(SUBSTITUTE(SUBSTITUTE(VLOOKUP($A697,'Quarterly Pipeline vs Target Pi'!$A:$V,16,false)," $","")," €",""), "")
)</f>
        <v>0</v>
      </c>
      <c r="AF697" s="1">
        <f>value(IFERROR(SUBSTITUTE(SUBSTITUTE(VLOOKUP($A697,'Quarterly Pipeline vs Target Pi'!$A:$V,17,false)," $","")," €",""), "")
)</f>
        <v>0</v>
      </c>
      <c r="AG697" s="17" t="str">
        <f t="shared" si="11"/>
        <v/>
      </c>
      <c r="AH697" s="1">
        <f>value(IFERROR(SUBSTITUTE(SUBSTITUTE(VLOOKUP($A697,'Quarterly Pipeline vs Target Pi'!$A:$V,21,false)," $","")," €",""), "")
)</f>
        <v>0</v>
      </c>
      <c r="AI697" s="1">
        <f>value(IFERROR(SUBSTITUTE(SUBSTITUTE(VLOOKUP($A697,'Quarterly Pipeline vs Target Pi'!$A:$V,22,false)," $","")," €",""), "")
)</f>
        <v>0</v>
      </c>
      <c r="AJ697" s="17" t="str">
        <f t="shared" si="12"/>
        <v/>
      </c>
      <c r="AK697" s="1">
        <f t="shared" ref="AK697:AL697" si="1407">sum(Y697,AB697,AE697,AH697)</f>
        <v>0</v>
      </c>
      <c r="AL697" s="1">
        <f t="shared" si="1407"/>
        <v>0</v>
      </c>
      <c r="AM697" s="17" t="str">
        <f t="shared" si="14"/>
        <v/>
      </c>
      <c r="AN697" s="1">
        <f>value(IFERROR(SUBSTITUTE(SUBSTITUTE(VLOOKUP($A697,'Quarterly Pipeline vs Target Pi'!$A:$AP,26,false)," $","")," €",""), "")
)</f>
        <v>0</v>
      </c>
      <c r="AO697" s="1">
        <f>value(IFERROR(SUBSTITUTE(SUBSTITUTE(VLOOKUP($A697,'Quarterly Pipeline vs Target Pi'!$A:$AP,27,false)," $","")," €",""), "")
)</f>
        <v>0</v>
      </c>
      <c r="AP697" s="17" t="str">
        <f t="shared" si="15"/>
        <v/>
      </c>
      <c r="AQ697" s="1">
        <f>value(IFERROR(SUBSTITUTE(SUBSTITUTE(VLOOKUP($A697,'Quarterly Pipeline vs Target Pi'!$A:$AP,31,false)," $","")," €",""), "")
)</f>
        <v>0</v>
      </c>
      <c r="AR697" s="1">
        <f>value(IFERROR(SUBSTITUTE(SUBSTITUTE(VLOOKUP($A697,'Quarterly Pipeline vs Target Pi'!$A:$AP,32,false)," $","")," €",""), "")
)</f>
        <v>0</v>
      </c>
      <c r="AS697" s="17" t="str">
        <f t="shared" si="16"/>
        <v/>
      </c>
      <c r="AT697" s="1">
        <f>value(IFERROR(SUBSTITUTE(SUBSTITUTE(VLOOKUP($A697,'Quarterly Pipeline vs Target Pi'!$A:$AP,36,false)," $","")," €",""), "")
)</f>
        <v>0</v>
      </c>
      <c r="AU697" s="1">
        <f>value(IFERROR(SUBSTITUTE(SUBSTITUTE(VLOOKUP($A697,'Quarterly Pipeline vs Target Pi'!$A:$AP,37,false)," $","")," €",""), "")
)</f>
        <v>0</v>
      </c>
      <c r="AV697" s="17" t="str">
        <f t="shared" si="17"/>
        <v/>
      </c>
      <c r="AW697" s="1">
        <f>value(IFERROR(SUBSTITUTE(SUBSTITUTE(VLOOKUP($A697,'Quarterly Pipeline vs Target Pi'!$A:$AP,41,false)," $","")," €",""), "")
)</f>
        <v>0</v>
      </c>
      <c r="AX697" s="1">
        <f>value(IFERROR(SUBSTITUTE(SUBSTITUTE(VLOOKUP($A697,'Quarterly Pipeline vs Target Pi'!$A:$AP,42,false)," $","")," €",""), "")
)</f>
        <v>0</v>
      </c>
      <c r="AY697" s="17" t="str">
        <f t="shared" si="18"/>
        <v/>
      </c>
      <c r="AZ697" s="1">
        <f t="shared" ref="AZ697:BA697" si="1408">sum(AN697,AQ697,AT697,AW697)</f>
        <v>0</v>
      </c>
      <c r="BA697" s="1">
        <f t="shared" si="1408"/>
        <v>0</v>
      </c>
      <c r="BB697" s="17" t="str">
        <f t="shared" si="20"/>
        <v/>
      </c>
    </row>
    <row r="698">
      <c r="I698" s="17"/>
      <c r="L698" s="17"/>
      <c r="O698" s="17"/>
      <c r="X698" s="17"/>
      <c r="Y698" s="1">
        <f>value(IFERROR(SUBSTITUTE(SUBSTITUTE(VLOOKUP(A698,'Quarterly Pipeline vs Target Pi'!A:G,6,false)," $","")," €",""), "")
)</f>
        <v>0</v>
      </c>
      <c r="Z698" s="1">
        <f>value(IFERROR(SUBSTITUTE(SUBSTITUTE(VLOOKUP(A698,'Quarterly Pipeline vs Target Pi'!A:G,7,false)," $","")," €",""), "")
)</f>
        <v>0</v>
      </c>
      <c r="AA698" s="17" t="str">
        <f t="shared" si="9"/>
        <v/>
      </c>
      <c r="AB698" s="1">
        <f>value(IFERROR(SUBSTITUTE(SUBSTITUTE(VLOOKUP($A698,'Quarterly Pipeline vs Target Pi'!$A:$V,11,false)," $","")," €",""), "")
)</f>
        <v>0</v>
      </c>
      <c r="AC698" s="1">
        <f>value(IFERROR(SUBSTITUTE(SUBSTITUTE(VLOOKUP($A698,'Quarterly Pipeline vs Target Pi'!$A:$V,12,false)," $","")," €",""), "")
)</f>
        <v>0</v>
      </c>
      <c r="AD698" s="17" t="str">
        <f t="shared" si="10"/>
        <v/>
      </c>
      <c r="AE698" s="1">
        <f>value(IFERROR(SUBSTITUTE(SUBSTITUTE(VLOOKUP($A698,'Quarterly Pipeline vs Target Pi'!$A:$V,16,false)," $","")," €",""), "")
)</f>
        <v>0</v>
      </c>
      <c r="AF698" s="1">
        <f>value(IFERROR(SUBSTITUTE(SUBSTITUTE(VLOOKUP($A698,'Quarterly Pipeline vs Target Pi'!$A:$V,17,false)," $","")," €",""), "")
)</f>
        <v>0</v>
      </c>
      <c r="AG698" s="17" t="str">
        <f t="shared" si="11"/>
        <v/>
      </c>
      <c r="AH698" s="1">
        <f>value(IFERROR(SUBSTITUTE(SUBSTITUTE(VLOOKUP($A698,'Quarterly Pipeline vs Target Pi'!$A:$V,21,false)," $","")," €",""), "")
)</f>
        <v>0</v>
      </c>
      <c r="AI698" s="1">
        <f>value(IFERROR(SUBSTITUTE(SUBSTITUTE(VLOOKUP($A698,'Quarterly Pipeline vs Target Pi'!$A:$V,22,false)," $","")," €",""), "")
)</f>
        <v>0</v>
      </c>
      <c r="AJ698" s="17" t="str">
        <f t="shared" si="12"/>
        <v/>
      </c>
      <c r="AK698" s="1">
        <f t="shared" ref="AK698:AL698" si="1409">sum(Y698,AB698,AE698,AH698)</f>
        <v>0</v>
      </c>
      <c r="AL698" s="1">
        <f t="shared" si="1409"/>
        <v>0</v>
      </c>
      <c r="AM698" s="17" t="str">
        <f t="shared" si="14"/>
        <v/>
      </c>
      <c r="AN698" s="1">
        <f>value(IFERROR(SUBSTITUTE(SUBSTITUTE(VLOOKUP($A698,'Quarterly Pipeline vs Target Pi'!$A:$AP,26,false)," $","")," €",""), "")
)</f>
        <v>0</v>
      </c>
      <c r="AO698" s="1">
        <f>value(IFERROR(SUBSTITUTE(SUBSTITUTE(VLOOKUP($A698,'Quarterly Pipeline vs Target Pi'!$A:$AP,27,false)," $","")," €",""), "")
)</f>
        <v>0</v>
      </c>
      <c r="AP698" s="17" t="str">
        <f t="shared" si="15"/>
        <v/>
      </c>
      <c r="AQ698" s="1">
        <f>value(IFERROR(SUBSTITUTE(SUBSTITUTE(VLOOKUP($A698,'Quarterly Pipeline vs Target Pi'!$A:$AP,31,false)," $","")," €",""), "")
)</f>
        <v>0</v>
      </c>
      <c r="AR698" s="1">
        <f>value(IFERROR(SUBSTITUTE(SUBSTITUTE(VLOOKUP($A698,'Quarterly Pipeline vs Target Pi'!$A:$AP,32,false)," $","")," €",""), "")
)</f>
        <v>0</v>
      </c>
      <c r="AS698" s="17" t="str">
        <f t="shared" si="16"/>
        <v/>
      </c>
      <c r="AT698" s="1">
        <f>value(IFERROR(SUBSTITUTE(SUBSTITUTE(VLOOKUP($A698,'Quarterly Pipeline vs Target Pi'!$A:$AP,36,false)," $","")," €",""), "")
)</f>
        <v>0</v>
      </c>
      <c r="AU698" s="1">
        <f>value(IFERROR(SUBSTITUTE(SUBSTITUTE(VLOOKUP($A698,'Quarterly Pipeline vs Target Pi'!$A:$AP,37,false)," $","")," €",""), "")
)</f>
        <v>0</v>
      </c>
      <c r="AV698" s="17" t="str">
        <f t="shared" si="17"/>
        <v/>
      </c>
      <c r="AW698" s="1">
        <f>value(IFERROR(SUBSTITUTE(SUBSTITUTE(VLOOKUP($A698,'Quarterly Pipeline vs Target Pi'!$A:$AP,41,false)," $","")," €",""), "")
)</f>
        <v>0</v>
      </c>
      <c r="AX698" s="1">
        <f>value(IFERROR(SUBSTITUTE(SUBSTITUTE(VLOOKUP($A698,'Quarterly Pipeline vs Target Pi'!$A:$AP,42,false)," $","")," €",""), "")
)</f>
        <v>0</v>
      </c>
      <c r="AY698" s="17" t="str">
        <f t="shared" si="18"/>
        <v/>
      </c>
      <c r="AZ698" s="1">
        <f t="shared" ref="AZ698:BA698" si="1410">sum(AN698,AQ698,AT698,AW698)</f>
        <v>0</v>
      </c>
      <c r="BA698" s="1">
        <f t="shared" si="1410"/>
        <v>0</v>
      </c>
      <c r="BB698" s="17" t="str">
        <f t="shared" si="20"/>
        <v/>
      </c>
    </row>
    <row r="699">
      <c r="I699" s="17"/>
      <c r="L699" s="17"/>
      <c r="O699" s="17"/>
      <c r="X699" s="17"/>
      <c r="Y699" s="1">
        <f>value(IFERROR(SUBSTITUTE(SUBSTITUTE(VLOOKUP(A699,'Quarterly Pipeline vs Target Pi'!A:G,6,false)," $","")," €",""), "")
)</f>
        <v>0</v>
      </c>
      <c r="Z699" s="1">
        <f>value(IFERROR(SUBSTITUTE(SUBSTITUTE(VLOOKUP(A699,'Quarterly Pipeline vs Target Pi'!A:G,7,false)," $","")," €",""), "")
)</f>
        <v>0</v>
      </c>
      <c r="AA699" s="17" t="str">
        <f t="shared" si="9"/>
        <v/>
      </c>
      <c r="AB699" s="1">
        <f>value(IFERROR(SUBSTITUTE(SUBSTITUTE(VLOOKUP($A699,'Quarterly Pipeline vs Target Pi'!$A:$V,11,false)," $","")," €",""), "")
)</f>
        <v>0</v>
      </c>
      <c r="AC699" s="1">
        <f>value(IFERROR(SUBSTITUTE(SUBSTITUTE(VLOOKUP($A699,'Quarterly Pipeline vs Target Pi'!$A:$V,12,false)," $","")," €",""), "")
)</f>
        <v>0</v>
      </c>
      <c r="AD699" s="17" t="str">
        <f t="shared" si="10"/>
        <v/>
      </c>
      <c r="AE699" s="1">
        <f>value(IFERROR(SUBSTITUTE(SUBSTITUTE(VLOOKUP($A699,'Quarterly Pipeline vs Target Pi'!$A:$V,16,false)," $","")," €",""), "")
)</f>
        <v>0</v>
      </c>
      <c r="AF699" s="1">
        <f>value(IFERROR(SUBSTITUTE(SUBSTITUTE(VLOOKUP($A699,'Quarterly Pipeline vs Target Pi'!$A:$V,17,false)," $","")," €",""), "")
)</f>
        <v>0</v>
      </c>
      <c r="AG699" s="17" t="str">
        <f t="shared" si="11"/>
        <v/>
      </c>
      <c r="AH699" s="1">
        <f>value(IFERROR(SUBSTITUTE(SUBSTITUTE(VLOOKUP($A699,'Quarterly Pipeline vs Target Pi'!$A:$V,21,false)," $","")," €",""), "")
)</f>
        <v>0</v>
      </c>
      <c r="AI699" s="1">
        <f>value(IFERROR(SUBSTITUTE(SUBSTITUTE(VLOOKUP($A699,'Quarterly Pipeline vs Target Pi'!$A:$V,22,false)," $","")," €",""), "")
)</f>
        <v>0</v>
      </c>
      <c r="AJ699" s="17" t="str">
        <f t="shared" si="12"/>
        <v/>
      </c>
      <c r="AK699" s="1">
        <f t="shared" ref="AK699:AL699" si="1411">sum(Y699,AB699,AE699,AH699)</f>
        <v>0</v>
      </c>
      <c r="AL699" s="1">
        <f t="shared" si="1411"/>
        <v>0</v>
      </c>
      <c r="AM699" s="17" t="str">
        <f t="shared" si="14"/>
        <v/>
      </c>
      <c r="AN699" s="1">
        <f>value(IFERROR(SUBSTITUTE(SUBSTITUTE(VLOOKUP($A699,'Quarterly Pipeline vs Target Pi'!$A:$AP,26,false)," $","")," €",""), "")
)</f>
        <v>0</v>
      </c>
      <c r="AO699" s="1">
        <f>value(IFERROR(SUBSTITUTE(SUBSTITUTE(VLOOKUP($A699,'Quarterly Pipeline vs Target Pi'!$A:$AP,27,false)," $","")," €",""), "")
)</f>
        <v>0</v>
      </c>
      <c r="AP699" s="17" t="str">
        <f t="shared" si="15"/>
        <v/>
      </c>
      <c r="AQ699" s="1">
        <f>value(IFERROR(SUBSTITUTE(SUBSTITUTE(VLOOKUP($A699,'Quarterly Pipeline vs Target Pi'!$A:$AP,31,false)," $","")," €",""), "")
)</f>
        <v>0</v>
      </c>
      <c r="AR699" s="1">
        <f>value(IFERROR(SUBSTITUTE(SUBSTITUTE(VLOOKUP($A699,'Quarterly Pipeline vs Target Pi'!$A:$AP,32,false)," $","")," €",""), "")
)</f>
        <v>0</v>
      </c>
      <c r="AS699" s="17" t="str">
        <f t="shared" si="16"/>
        <v/>
      </c>
      <c r="AT699" s="1">
        <f>value(IFERROR(SUBSTITUTE(SUBSTITUTE(VLOOKUP($A699,'Quarterly Pipeline vs Target Pi'!$A:$AP,36,false)," $","")," €",""), "")
)</f>
        <v>0</v>
      </c>
      <c r="AU699" s="1">
        <f>value(IFERROR(SUBSTITUTE(SUBSTITUTE(VLOOKUP($A699,'Quarterly Pipeline vs Target Pi'!$A:$AP,37,false)," $","")," €",""), "")
)</f>
        <v>0</v>
      </c>
      <c r="AV699" s="17" t="str">
        <f t="shared" si="17"/>
        <v/>
      </c>
      <c r="AW699" s="1">
        <f>value(IFERROR(SUBSTITUTE(SUBSTITUTE(VLOOKUP($A699,'Quarterly Pipeline vs Target Pi'!$A:$AP,41,false)," $","")," €",""), "")
)</f>
        <v>0</v>
      </c>
      <c r="AX699" s="1">
        <f>value(IFERROR(SUBSTITUTE(SUBSTITUTE(VLOOKUP($A699,'Quarterly Pipeline vs Target Pi'!$A:$AP,42,false)," $","")," €",""), "")
)</f>
        <v>0</v>
      </c>
      <c r="AY699" s="17" t="str">
        <f t="shared" si="18"/>
        <v/>
      </c>
      <c r="AZ699" s="1">
        <f t="shared" ref="AZ699:BA699" si="1412">sum(AN699,AQ699,AT699,AW699)</f>
        <v>0</v>
      </c>
      <c r="BA699" s="1">
        <f t="shared" si="1412"/>
        <v>0</v>
      </c>
      <c r="BB699" s="17" t="str">
        <f t="shared" si="20"/>
        <v/>
      </c>
    </row>
    <row r="700">
      <c r="I700" s="17"/>
      <c r="L700" s="17"/>
      <c r="O700" s="17"/>
      <c r="X700" s="17"/>
      <c r="Y700" s="1">
        <f>value(IFERROR(SUBSTITUTE(SUBSTITUTE(VLOOKUP(A700,'Quarterly Pipeline vs Target Pi'!A:G,6,false)," $","")," €",""), "")
)</f>
        <v>0</v>
      </c>
      <c r="Z700" s="1">
        <f>value(IFERROR(SUBSTITUTE(SUBSTITUTE(VLOOKUP(A700,'Quarterly Pipeline vs Target Pi'!A:G,7,false)," $","")," €",""), "")
)</f>
        <v>0</v>
      </c>
      <c r="AA700" s="17" t="str">
        <f t="shared" si="9"/>
        <v/>
      </c>
      <c r="AB700" s="1">
        <f>value(IFERROR(SUBSTITUTE(SUBSTITUTE(VLOOKUP($A700,'Quarterly Pipeline vs Target Pi'!$A:$V,11,false)," $","")," €",""), "")
)</f>
        <v>0</v>
      </c>
      <c r="AC700" s="1">
        <f>value(IFERROR(SUBSTITUTE(SUBSTITUTE(VLOOKUP($A700,'Quarterly Pipeline vs Target Pi'!$A:$V,12,false)," $","")," €",""), "")
)</f>
        <v>0</v>
      </c>
      <c r="AD700" s="17" t="str">
        <f t="shared" si="10"/>
        <v/>
      </c>
      <c r="AE700" s="1">
        <f>value(IFERROR(SUBSTITUTE(SUBSTITUTE(VLOOKUP($A700,'Quarterly Pipeline vs Target Pi'!$A:$V,16,false)," $","")," €",""), "")
)</f>
        <v>0</v>
      </c>
      <c r="AF700" s="1">
        <f>value(IFERROR(SUBSTITUTE(SUBSTITUTE(VLOOKUP($A700,'Quarterly Pipeline vs Target Pi'!$A:$V,17,false)," $","")," €",""), "")
)</f>
        <v>0</v>
      </c>
      <c r="AG700" s="17" t="str">
        <f t="shared" si="11"/>
        <v/>
      </c>
      <c r="AH700" s="1">
        <f>value(IFERROR(SUBSTITUTE(SUBSTITUTE(VLOOKUP($A700,'Quarterly Pipeline vs Target Pi'!$A:$V,21,false)," $","")," €",""), "")
)</f>
        <v>0</v>
      </c>
      <c r="AI700" s="1">
        <f>value(IFERROR(SUBSTITUTE(SUBSTITUTE(VLOOKUP($A700,'Quarterly Pipeline vs Target Pi'!$A:$V,22,false)," $","")," €",""), "")
)</f>
        <v>0</v>
      </c>
      <c r="AJ700" s="17" t="str">
        <f t="shared" si="12"/>
        <v/>
      </c>
      <c r="AK700" s="1">
        <f t="shared" ref="AK700:AL700" si="1413">sum(Y700,AB700,AE700,AH700)</f>
        <v>0</v>
      </c>
      <c r="AL700" s="1">
        <f t="shared" si="1413"/>
        <v>0</v>
      </c>
      <c r="AM700" s="17" t="str">
        <f t="shared" si="14"/>
        <v/>
      </c>
      <c r="AN700" s="1">
        <f>value(IFERROR(SUBSTITUTE(SUBSTITUTE(VLOOKUP($A700,'Quarterly Pipeline vs Target Pi'!$A:$AP,26,false)," $","")," €",""), "")
)</f>
        <v>0</v>
      </c>
      <c r="AO700" s="1">
        <f>value(IFERROR(SUBSTITUTE(SUBSTITUTE(VLOOKUP($A700,'Quarterly Pipeline vs Target Pi'!$A:$AP,27,false)," $","")," €",""), "")
)</f>
        <v>0</v>
      </c>
      <c r="AP700" s="17" t="str">
        <f t="shared" si="15"/>
        <v/>
      </c>
      <c r="AQ700" s="1">
        <f>value(IFERROR(SUBSTITUTE(SUBSTITUTE(VLOOKUP($A700,'Quarterly Pipeline vs Target Pi'!$A:$AP,31,false)," $","")," €",""), "")
)</f>
        <v>0</v>
      </c>
      <c r="AR700" s="1">
        <f>value(IFERROR(SUBSTITUTE(SUBSTITUTE(VLOOKUP($A700,'Quarterly Pipeline vs Target Pi'!$A:$AP,32,false)," $","")," €",""), "")
)</f>
        <v>0</v>
      </c>
      <c r="AS700" s="17" t="str">
        <f t="shared" si="16"/>
        <v/>
      </c>
      <c r="AT700" s="1">
        <f>value(IFERROR(SUBSTITUTE(SUBSTITUTE(VLOOKUP($A700,'Quarterly Pipeline vs Target Pi'!$A:$AP,36,false)," $","")," €",""), "")
)</f>
        <v>0</v>
      </c>
      <c r="AU700" s="1">
        <f>value(IFERROR(SUBSTITUTE(SUBSTITUTE(VLOOKUP($A700,'Quarterly Pipeline vs Target Pi'!$A:$AP,37,false)," $","")," €",""), "")
)</f>
        <v>0</v>
      </c>
      <c r="AV700" s="17" t="str">
        <f t="shared" si="17"/>
        <v/>
      </c>
      <c r="AW700" s="1">
        <f>value(IFERROR(SUBSTITUTE(SUBSTITUTE(VLOOKUP($A700,'Quarterly Pipeline vs Target Pi'!$A:$AP,41,false)," $","")," €",""), "")
)</f>
        <v>0</v>
      </c>
      <c r="AX700" s="1">
        <f>value(IFERROR(SUBSTITUTE(SUBSTITUTE(VLOOKUP($A700,'Quarterly Pipeline vs Target Pi'!$A:$AP,42,false)," $","")," €",""), "")
)</f>
        <v>0</v>
      </c>
      <c r="AY700" s="17" t="str">
        <f t="shared" si="18"/>
        <v/>
      </c>
      <c r="AZ700" s="1">
        <f t="shared" ref="AZ700:BA700" si="1414">sum(AN700,AQ700,AT700,AW700)</f>
        <v>0</v>
      </c>
      <c r="BA700" s="1">
        <f t="shared" si="1414"/>
        <v>0</v>
      </c>
      <c r="BB700" s="17" t="str">
        <f t="shared" si="20"/>
        <v/>
      </c>
    </row>
    <row r="701">
      <c r="I701" s="17"/>
      <c r="L701" s="17"/>
      <c r="O701" s="17"/>
      <c r="X701" s="17"/>
      <c r="Y701" s="1">
        <f>value(IFERROR(SUBSTITUTE(SUBSTITUTE(VLOOKUP(A701,'Quarterly Pipeline vs Target Pi'!A:G,6,false)," $","")," €",""), "")
)</f>
        <v>0</v>
      </c>
      <c r="Z701" s="1">
        <f>value(IFERROR(SUBSTITUTE(SUBSTITUTE(VLOOKUP(A701,'Quarterly Pipeline vs Target Pi'!A:G,7,false)," $","")," €",""), "")
)</f>
        <v>0</v>
      </c>
      <c r="AA701" s="17" t="str">
        <f t="shared" si="9"/>
        <v/>
      </c>
      <c r="AB701" s="1">
        <f>value(IFERROR(SUBSTITUTE(SUBSTITUTE(VLOOKUP($A701,'Quarterly Pipeline vs Target Pi'!$A:$V,11,false)," $","")," €",""), "")
)</f>
        <v>0</v>
      </c>
      <c r="AC701" s="1">
        <f>value(IFERROR(SUBSTITUTE(SUBSTITUTE(VLOOKUP($A701,'Quarterly Pipeline vs Target Pi'!$A:$V,12,false)," $","")," €",""), "")
)</f>
        <v>0</v>
      </c>
      <c r="AD701" s="17" t="str">
        <f t="shared" si="10"/>
        <v/>
      </c>
      <c r="AE701" s="1">
        <f>value(IFERROR(SUBSTITUTE(SUBSTITUTE(VLOOKUP($A701,'Quarterly Pipeline vs Target Pi'!$A:$V,16,false)," $","")," €",""), "")
)</f>
        <v>0</v>
      </c>
      <c r="AF701" s="1">
        <f>value(IFERROR(SUBSTITUTE(SUBSTITUTE(VLOOKUP($A701,'Quarterly Pipeline vs Target Pi'!$A:$V,17,false)," $","")," €",""), "")
)</f>
        <v>0</v>
      </c>
      <c r="AG701" s="17" t="str">
        <f t="shared" si="11"/>
        <v/>
      </c>
      <c r="AH701" s="1">
        <f>value(IFERROR(SUBSTITUTE(SUBSTITUTE(VLOOKUP($A701,'Quarterly Pipeline vs Target Pi'!$A:$V,21,false)," $","")," €",""), "")
)</f>
        <v>0</v>
      </c>
      <c r="AI701" s="1">
        <f>value(IFERROR(SUBSTITUTE(SUBSTITUTE(VLOOKUP($A701,'Quarterly Pipeline vs Target Pi'!$A:$V,22,false)," $","")," €",""), "")
)</f>
        <v>0</v>
      </c>
      <c r="AJ701" s="17" t="str">
        <f t="shared" si="12"/>
        <v/>
      </c>
      <c r="AK701" s="1">
        <f t="shared" ref="AK701:AL701" si="1415">sum(Y701,AB701,AE701,AH701)</f>
        <v>0</v>
      </c>
      <c r="AL701" s="1">
        <f t="shared" si="1415"/>
        <v>0</v>
      </c>
      <c r="AM701" s="17" t="str">
        <f t="shared" si="14"/>
        <v/>
      </c>
      <c r="AN701" s="1">
        <f>value(IFERROR(SUBSTITUTE(SUBSTITUTE(VLOOKUP($A701,'Quarterly Pipeline vs Target Pi'!$A:$AP,26,false)," $","")," €",""), "")
)</f>
        <v>0</v>
      </c>
      <c r="AO701" s="1">
        <f>value(IFERROR(SUBSTITUTE(SUBSTITUTE(VLOOKUP($A701,'Quarterly Pipeline vs Target Pi'!$A:$AP,27,false)," $","")," €",""), "")
)</f>
        <v>0</v>
      </c>
      <c r="AP701" s="17" t="str">
        <f t="shared" si="15"/>
        <v/>
      </c>
      <c r="AQ701" s="1">
        <f>value(IFERROR(SUBSTITUTE(SUBSTITUTE(VLOOKUP($A701,'Quarterly Pipeline vs Target Pi'!$A:$AP,31,false)," $","")," €",""), "")
)</f>
        <v>0</v>
      </c>
      <c r="AR701" s="1">
        <f>value(IFERROR(SUBSTITUTE(SUBSTITUTE(VLOOKUP($A701,'Quarterly Pipeline vs Target Pi'!$A:$AP,32,false)," $","")," €",""), "")
)</f>
        <v>0</v>
      </c>
      <c r="AS701" s="17" t="str">
        <f t="shared" si="16"/>
        <v/>
      </c>
      <c r="AT701" s="1">
        <f>value(IFERROR(SUBSTITUTE(SUBSTITUTE(VLOOKUP($A701,'Quarterly Pipeline vs Target Pi'!$A:$AP,36,false)," $","")," €",""), "")
)</f>
        <v>0</v>
      </c>
      <c r="AU701" s="1">
        <f>value(IFERROR(SUBSTITUTE(SUBSTITUTE(VLOOKUP($A701,'Quarterly Pipeline vs Target Pi'!$A:$AP,37,false)," $","")," €",""), "")
)</f>
        <v>0</v>
      </c>
      <c r="AV701" s="17" t="str">
        <f t="shared" si="17"/>
        <v/>
      </c>
      <c r="AW701" s="1">
        <f>value(IFERROR(SUBSTITUTE(SUBSTITUTE(VLOOKUP($A701,'Quarterly Pipeline vs Target Pi'!$A:$AP,41,false)," $","")," €",""), "")
)</f>
        <v>0</v>
      </c>
      <c r="AX701" s="1">
        <f>value(IFERROR(SUBSTITUTE(SUBSTITUTE(VLOOKUP($A701,'Quarterly Pipeline vs Target Pi'!$A:$AP,42,false)," $","")," €",""), "")
)</f>
        <v>0</v>
      </c>
      <c r="AY701" s="17" t="str">
        <f t="shared" si="18"/>
        <v/>
      </c>
      <c r="AZ701" s="1">
        <f t="shared" ref="AZ701:BA701" si="1416">sum(AN701,AQ701,AT701,AW701)</f>
        <v>0</v>
      </c>
      <c r="BA701" s="1">
        <f t="shared" si="1416"/>
        <v>0</v>
      </c>
      <c r="BB701" s="17" t="str">
        <f t="shared" si="20"/>
        <v/>
      </c>
    </row>
    <row r="702">
      <c r="I702" s="17"/>
      <c r="L702" s="17"/>
      <c r="O702" s="17"/>
      <c r="X702" s="17"/>
      <c r="Y702" s="1">
        <f>value(IFERROR(SUBSTITUTE(SUBSTITUTE(VLOOKUP(A702,'Quarterly Pipeline vs Target Pi'!A:G,6,false)," $","")," €",""), "")
)</f>
        <v>0</v>
      </c>
      <c r="Z702" s="1">
        <f>value(IFERROR(SUBSTITUTE(SUBSTITUTE(VLOOKUP(A702,'Quarterly Pipeline vs Target Pi'!A:G,7,false)," $","")," €",""), "")
)</f>
        <v>0</v>
      </c>
      <c r="AA702" s="17" t="str">
        <f t="shared" si="9"/>
        <v/>
      </c>
      <c r="AB702" s="1">
        <f>value(IFERROR(SUBSTITUTE(SUBSTITUTE(VLOOKUP($A702,'Quarterly Pipeline vs Target Pi'!$A:$V,11,false)," $","")," €",""), "")
)</f>
        <v>0</v>
      </c>
      <c r="AC702" s="1">
        <f>value(IFERROR(SUBSTITUTE(SUBSTITUTE(VLOOKUP($A702,'Quarterly Pipeline vs Target Pi'!$A:$V,12,false)," $","")," €",""), "")
)</f>
        <v>0</v>
      </c>
      <c r="AD702" s="17" t="str">
        <f t="shared" si="10"/>
        <v/>
      </c>
      <c r="AE702" s="1">
        <f>value(IFERROR(SUBSTITUTE(SUBSTITUTE(VLOOKUP($A702,'Quarterly Pipeline vs Target Pi'!$A:$V,16,false)," $","")," €",""), "")
)</f>
        <v>0</v>
      </c>
      <c r="AF702" s="1">
        <f>value(IFERROR(SUBSTITUTE(SUBSTITUTE(VLOOKUP($A702,'Quarterly Pipeline vs Target Pi'!$A:$V,17,false)," $","")," €",""), "")
)</f>
        <v>0</v>
      </c>
      <c r="AG702" s="17" t="str">
        <f t="shared" si="11"/>
        <v/>
      </c>
      <c r="AH702" s="1">
        <f>value(IFERROR(SUBSTITUTE(SUBSTITUTE(VLOOKUP($A702,'Quarterly Pipeline vs Target Pi'!$A:$V,21,false)," $","")," €",""), "")
)</f>
        <v>0</v>
      </c>
      <c r="AI702" s="1">
        <f>value(IFERROR(SUBSTITUTE(SUBSTITUTE(VLOOKUP($A702,'Quarterly Pipeline vs Target Pi'!$A:$V,22,false)," $","")," €",""), "")
)</f>
        <v>0</v>
      </c>
      <c r="AJ702" s="17" t="str">
        <f t="shared" si="12"/>
        <v/>
      </c>
      <c r="AK702" s="1">
        <f t="shared" ref="AK702:AL702" si="1417">sum(Y702,AB702,AE702,AH702)</f>
        <v>0</v>
      </c>
      <c r="AL702" s="1">
        <f t="shared" si="1417"/>
        <v>0</v>
      </c>
      <c r="AM702" s="17" t="str">
        <f t="shared" si="14"/>
        <v/>
      </c>
      <c r="AN702" s="1">
        <f>value(IFERROR(SUBSTITUTE(SUBSTITUTE(VLOOKUP($A702,'Quarterly Pipeline vs Target Pi'!$A:$AP,26,false)," $","")," €",""), "")
)</f>
        <v>0</v>
      </c>
      <c r="AO702" s="1">
        <f>value(IFERROR(SUBSTITUTE(SUBSTITUTE(VLOOKUP($A702,'Quarterly Pipeline vs Target Pi'!$A:$AP,27,false)," $","")," €",""), "")
)</f>
        <v>0</v>
      </c>
      <c r="AP702" s="17" t="str">
        <f t="shared" si="15"/>
        <v/>
      </c>
      <c r="AQ702" s="1">
        <f>value(IFERROR(SUBSTITUTE(SUBSTITUTE(VLOOKUP($A702,'Quarterly Pipeline vs Target Pi'!$A:$AP,31,false)," $","")," €",""), "")
)</f>
        <v>0</v>
      </c>
      <c r="AR702" s="1">
        <f>value(IFERROR(SUBSTITUTE(SUBSTITUTE(VLOOKUP($A702,'Quarterly Pipeline vs Target Pi'!$A:$AP,32,false)," $","")," €",""), "")
)</f>
        <v>0</v>
      </c>
      <c r="AS702" s="17" t="str">
        <f t="shared" si="16"/>
        <v/>
      </c>
      <c r="AT702" s="1">
        <f>value(IFERROR(SUBSTITUTE(SUBSTITUTE(VLOOKUP($A702,'Quarterly Pipeline vs Target Pi'!$A:$AP,36,false)," $","")," €",""), "")
)</f>
        <v>0</v>
      </c>
      <c r="AU702" s="1">
        <f>value(IFERROR(SUBSTITUTE(SUBSTITUTE(VLOOKUP($A702,'Quarterly Pipeline vs Target Pi'!$A:$AP,37,false)," $","")," €",""), "")
)</f>
        <v>0</v>
      </c>
      <c r="AV702" s="17" t="str">
        <f t="shared" si="17"/>
        <v/>
      </c>
      <c r="AW702" s="1">
        <f>value(IFERROR(SUBSTITUTE(SUBSTITUTE(VLOOKUP($A702,'Quarterly Pipeline vs Target Pi'!$A:$AP,41,false)," $","")," €",""), "")
)</f>
        <v>0</v>
      </c>
      <c r="AX702" s="1">
        <f>value(IFERROR(SUBSTITUTE(SUBSTITUTE(VLOOKUP($A702,'Quarterly Pipeline vs Target Pi'!$A:$AP,42,false)," $","")," €",""), "")
)</f>
        <v>0</v>
      </c>
      <c r="AY702" s="17" t="str">
        <f t="shared" si="18"/>
        <v/>
      </c>
      <c r="AZ702" s="1">
        <f t="shared" ref="AZ702:BA702" si="1418">sum(AN702,AQ702,AT702,AW702)</f>
        <v>0</v>
      </c>
      <c r="BA702" s="1">
        <f t="shared" si="1418"/>
        <v>0</v>
      </c>
      <c r="BB702" s="17" t="str">
        <f t="shared" si="20"/>
        <v/>
      </c>
    </row>
    <row r="703">
      <c r="I703" s="17"/>
      <c r="L703" s="17"/>
      <c r="O703" s="17"/>
      <c r="X703" s="17"/>
      <c r="Y703" s="1">
        <f>value(IFERROR(SUBSTITUTE(SUBSTITUTE(VLOOKUP(A703,'Quarterly Pipeline vs Target Pi'!A:G,6,false)," $","")," €",""), "")
)</f>
        <v>0</v>
      </c>
      <c r="Z703" s="1">
        <f>value(IFERROR(SUBSTITUTE(SUBSTITUTE(VLOOKUP(A703,'Quarterly Pipeline vs Target Pi'!A:G,7,false)," $","")," €",""), "")
)</f>
        <v>0</v>
      </c>
      <c r="AA703" s="17" t="str">
        <f t="shared" si="9"/>
        <v/>
      </c>
      <c r="AB703" s="1">
        <f>value(IFERROR(SUBSTITUTE(SUBSTITUTE(VLOOKUP($A703,'Quarterly Pipeline vs Target Pi'!$A:$V,11,false)," $","")," €",""), "")
)</f>
        <v>0</v>
      </c>
      <c r="AC703" s="1">
        <f>value(IFERROR(SUBSTITUTE(SUBSTITUTE(VLOOKUP($A703,'Quarterly Pipeline vs Target Pi'!$A:$V,12,false)," $","")," €",""), "")
)</f>
        <v>0</v>
      </c>
      <c r="AD703" s="17" t="str">
        <f t="shared" si="10"/>
        <v/>
      </c>
      <c r="AE703" s="1">
        <f>value(IFERROR(SUBSTITUTE(SUBSTITUTE(VLOOKUP($A703,'Quarterly Pipeline vs Target Pi'!$A:$V,16,false)," $","")," €",""), "")
)</f>
        <v>0</v>
      </c>
      <c r="AF703" s="1">
        <f>value(IFERROR(SUBSTITUTE(SUBSTITUTE(VLOOKUP($A703,'Quarterly Pipeline vs Target Pi'!$A:$V,17,false)," $","")," €",""), "")
)</f>
        <v>0</v>
      </c>
      <c r="AG703" s="17" t="str">
        <f t="shared" si="11"/>
        <v/>
      </c>
      <c r="AH703" s="1">
        <f>value(IFERROR(SUBSTITUTE(SUBSTITUTE(VLOOKUP($A703,'Quarterly Pipeline vs Target Pi'!$A:$V,21,false)," $","")," €",""), "")
)</f>
        <v>0</v>
      </c>
      <c r="AI703" s="1">
        <f>value(IFERROR(SUBSTITUTE(SUBSTITUTE(VLOOKUP($A703,'Quarterly Pipeline vs Target Pi'!$A:$V,22,false)," $","")," €",""), "")
)</f>
        <v>0</v>
      </c>
      <c r="AJ703" s="17" t="str">
        <f t="shared" si="12"/>
        <v/>
      </c>
      <c r="AK703" s="1">
        <f t="shared" ref="AK703:AL703" si="1419">sum(Y703,AB703,AE703,AH703)</f>
        <v>0</v>
      </c>
      <c r="AL703" s="1">
        <f t="shared" si="1419"/>
        <v>0</v>
      </c>
      <c r="AM703" s="17" t="str">
        <f t="shared" si="14"/>
        <v/>
      </c>
      <c r="AN703" s="1">
        <f>value(IFERROR(SUBSTITUTE(SUBSTITUTE(VLOOKUP($A703,'Quarterly Pipeline vs Target Pi'!$A:$AP,26,false)," $","")," €",""), "")
)</f>
        <v>0</v>
      </c>
      <c r="AO703" s="1">
        <f>value(IFERROR(SUBSTITUTE(SUBSTITUTE(VLOOKUP($A703,'Quarterly Pipeline vs Target Pi'!$A:$AP,27,false)," $","")," €",""), "")
)</f>
        <v>0</v>
      </c>
      <c r="AP703" s="17" t="str">
        <f t="shared" si="15"/>
        <v/>
      </c>
      <c r="AQ703" s="1">
        <f>value(IFERROR(SUBSTITUTE(SUBSTITUTE(VLOOKUP($A703,'Quarterly Pipeline vs Target Pi'!$A:$AP,31,false)," $","")," €",""), "")
)</f>
        <v>0</v>
      </c>
      <c r="AR703" s="1">
        <f>value(IFERROR(SUBSTITUTE(SUBSTITUTE(VLOOKUP($A703,'Quarterly Pipeline vs Target Pi'!$A:$AP,32,false)," $","")," €",""), "")
)</f>
        <v>0</v>
      </c>
      <c r="AS703" s="17" t="str">
        <f t="shared" si="16"/>
        <v/>
      </c>
      <c r="AT703" s="1">
        <f>value(IFERROR(SUBSTITUTE(SUBSTITUTE(VLOOKUP($A703,'Quarterly Pipeline vs Target Pi'!$A:$AP,36,false)," $","")," €",""), "")
)</f>
        <v>0</v>
      </c>
      <c r="AU703" s="1">
        <f>value(IFERROR(SUBSTITUTE(SUBSTITUTE(VLOOKUP($A703,'Quarterly Pipeline vs Target Pi'!$A:$AP,37,false)," $","")," €",""), "")
)</f>
        <v>0</v>
      </c>
      <c r="AV703" s="17" t="str">
        <f t="shared" si="17"/>
        <v/>
      </c>
      <c r="AW703" s="1">
        <f>value(IFERROR(SUBSTITUTE(SUBSTITUTE(VLOOKUP($A703,'Quarterly Pipeline vs Target Pi'!$A:$AP,41,false)," $","")," €",""), "")
)</f>
        <v>0</v>
      </c>
      <c r="AX703" s="1">
        <f>value(IFERROR(SUBSTITUTE(SUBSTITUTE(VLOOKUP($A703,'Quarterly Pipeline vs Target Pi'!$A:$AP,42,false)," $","")," €",""), "")
)</f>
        <v>0</v>
      </c>
      <c r="AY703" s="17" t="str">
        <f t="shared" si="18"/>
        <v/>
      </c>
      <c r="AZ703" s="1">
        <f t="shared" ref="AZ703:BA703" si="1420">sum(AN703,AQ703,AT703,AW703)</f>
        <v>0</v>
      </c>
      <c r="BA703" s="1">
        <f t="shared" si="1420"/>
        <v>0</v>
      </c>
      <c r="BB703" s="17" t="str">
        <f t="shared" si="20"/>
        <v/>
      </c>
    </row>
    <row r="704">
      <c r="I704" s="17"/>
      <c r="L704" s="17"/>
      <c r="O704" s="17"/>
      <c r="X704" s="17"/>
      <c r="Y704" s="1">
        <f>value(IFERROR(SUBSTITUTE(SUBSTITUTE(VLOOKUP(A704,'Quarterly Pipeline vs Target Pi'!A:G,6,false)," $","")," €",""), "")
)</f>
        <v>0</v>
      </c>
      <c r="Z704" s="1">
        <f>value(IFERROR(SUBSTITUTE(SUBSTITUTE(VLOOKUP(A704,'Quarterly Pipeline vs Target Pi'!A:G,7,false)," $","")," €",""), "")
)</f>
        <v>0</v>
      </c>
      <c r="AA704" s="17" t="str">
        <f t="shared" si="9"/>
        <v/>
      </c>
      <c r="AB704" s="1">
        <f>value(IFERROR(SUBSTITUTE(SUBSTITUTE(VLOOKUP($A704,'Quarterly Pipeline vs Target Pi'!$A:$V,11,false)," $","")," €",""), "")
)</f>
        <v>0</v>
      </c>
      <c r="AC704" s="1">
        <f>value(IFERROR(SUBSTITUTE(SUBSTITUTE(VLOOKUP($A704,'Quarterly Pipeline vs Target Pi'!$A:$V,12,false)," $","")," €",""), "")
)</f>
        <v>0</v>
      </c>
      <c r="AD704" s="17" t="str">
        <f t="shared" si="10"/>
        <v/>
      </c>
      <c r="AE704" s="1">
        <f>value(IFERROR(SUBSTITUTE(SUBSTITUTE(VLOOKUP($A704,'Quarterly Pipeline vs Target Pi'!$A:$V,16,false)," $","")," €",""), "")
)</f>
        <v>0</v>
      </c>
      <c r="AF704" s="1">
        <f>value(IFERROR(SUBSTITUTE(SUBSTITUTE(VLOOKUP($A704,'Quarterly Pipeline vs Target Pi'!$A:$V,17,false)," $","")," €",""), "")
)</f>
        <v>0</v>
      </c>
      <c r="AG704" s="17" t="str">
        <f t="shared" si="11"/>
        <v/>
      </c>
      <c r="AH704" s="1">
        <f>value(IFERROR(SUBSTITUTE(SUBSTITUTE(VLOOKUP($A704,'Quarterly Pipeline vs Target Pi'!$A:$V,21,false)," $","")," €",""), "")
)</f>
        <v>0</v>
      </c>
      <c r="AI704" s="1">
        <f>value(IFERROR(SUBSTITUTE(SUBSTITUTE(VLOOKUP($A704,'Quarterly Pipeline vs Target Pi'!$A:$V,22,false)," $","")," €",""), "")
)</f>
        <v>0</v>
      </c>
      <c r="AJ704" s="17" t="str">
        <f t="shared" si="12"/>
        <v/>
      </c>
      <c r="AK704" s="1">
        <f t="shared" ref="AK704:AL704" si="1421">sum(Y704,AB704,AE704,AH704)</f>
        <v>0</v>
      </c>
      <c r="AL704" s="1">
        <f t="shared" si="1421"/>
        <v>0</v>
      </c>
      <c r="AM704" s="17" t="str">
        <f t="shared" si="14"/>
        <v/>
      </c>
      <c r="AN704" s="1">
        <f>value(IFERROR(SUBSTITUTE(SUBSTITUTE(VLOOKUP($A704,'Quarterly Pipeline vs Target Pi'!$A:$AP,26,false)," $","")," €",""), "")
)</f>
        <v>0</v>
      </c>
      <c r="AO704" s="1">
        <f>value(IFERROR(SUBSTITUTE(SUBSTITUTE(VLOOKUP($A704,'Quarterly Pipeline vs Target Pi'!$A:$AP,27,false)," $","")," €",""), "")
)</f>
        <v>0</v>
      </c>
      <c r="AP704" s="17" t="str">
        <f t="shared" si="15"/>
        <v/>
      </c>
      <c r="AQ704" s="1">
        <f>value(IFERROR(SUBSTITUTE(SUBSTITUTE(VLOOKUP($A704,'Quarterly Pipeline vs Target Pi'!$A:$AP,31,false)," $","")," €",""), "")
)</f>
        <v>0</v>
      </c>
      <c r="AR704" s="1">
        <f>value(IFERROR(SUBSTITUTE(SUBSTITUTE(VLOOKUP($A704,'Quarterly Pipeline vs Target Pi'!$A:$AP,32,false)," $","")," €",""), "")
)</f>
        <v>0</v>
      </c>
      <c r="AS704" s="17" t="str">
        <f t="shared" si="16"/>
        <v/>
      </c>
      <c r="AT704" s="1">
        <f>value(IFERROR(SUBSTITUTE(SUBSTITUTE(VLOOKUP($A704,'Quarterly Pipeline vs Target Pi'!$A:$AP,36,false)," $","")," €",""), "")
)</f>
        <v>0</v>
      </c>
      <c r="AU704" s="1">
        <f>value(IFERROR(SUBSTITUTE(SUBSTITUTE(VLOOKUP($A704,'Quarterly Pipeline vs Target Pi'!$A:$AP,37,false)," $","")," €",""), "")
)</f>
        <v>0</v>
      </c>
      <c r="AV704" s="17" t="str">
        <f t="shared" si="17"/>
        <v/>
      </c>
      <c r="AW704" s="1">
        <f>value(IFERROR(SUBSTITUTE(SUBSTITUTE(VLOOKUP($A704,'Quarterly Pipeline vs Target Pi'!$A:$AP,41,false)," $","")," €",""), "")
)</f>
        <v>0</v>
      </c>
      <c r="AX704" s="1">
        <f>value(IFERROR(SUBSTITUTE(SUBSTITUTE(VLOOKUP($A704,'Quarterly Pipeline vs Target Pi'!$A:$AP,42,false)," $","")," €",""), "")
)</f>
        <v>0</v>
      </c>
      <c r="AY704" s="17" t="str">
        <f t="shared" si="18"/>
        <v/>
      </c>
      <c r="AZ704" s="1">
        <f t="shared" ref="AZ704:BA704" si="1422">sum(AN704,AQ704,AT704,AW704)</f>
        <v>0</v>
      </c>
      <c r="BA704" s="1">
        <f t="shared" si="1422"/>
        <v>0</v>
      </c>
      <c r="BB704" s="17" t="str">
        <f t="shared" si="20"/>
        <v/>
      </c>
    </row>
    <row r="705">
      <c r="I705" s="17"/>
      <c r="L705" s="17"/>
      <c r="O705" s="17"/>
      <c r="X705" s="17"/>
      <c r="Y705" s="1">
        <f>value(IFERROR(SUBSTITUTE(SUBSTITUTE(VLOOKUP(A705,'Quarterly Pipeline vs Target Pi'!A:G,6,false)," $","")," €",""), "")
)</f>
        <v>0</v>
      </c>
      <c r="Z705" s="1">
        <f>value(IFERROR(SUBSTITUTE(SUBSTITUTE(VLOOKUP(A705,'Quarterly Pipeline vs Target Pi'!A:G,7,false)," $","")," €",""), "")
)</f>
        <v>0</v>
      </c>
      <c r="AA705" s="17" t="str">
        <f t="shared" si="9"/>
        <v/>
      </c>
      <c r="AB705" s="1">
        <f>value(IFERROR(SUBSTITUTE(SUBSTITUTE(VLOOKUP($A705,'Quarterly Pipeline vs Target Pi'!$A:$V,11,false)," $","")," €",""), "")
)</f>
        <v>0</v>
      </c>
      <c r="AC705" s="1">
        <f>value(IFERROR(SUBSTITUTE(SUBSTITUTE(VLOOKUP($A705,'Quarterly Pipeline vs Target Pi'!$A:$V,12,false)," $","")," €",""), "")
)</f>
        <v>0</v>
      </c>
      <c r="AD705" s="17" t="str">
        <f t="shared" si="10"/>
        <v/>
      </c>
      <c r="AE705" s="1">
        <f>value(IFERROR(SUBSTITUTE(SUBSTITUTE(VLOOKUP($A705,'Quarterly Pipeline vs Target Pi'!$A:$V,16,false)," $","")," €",""), "")
)</f>
        <v>0</v>
      </c>
      <c r="AF705" s="1">
        <f>value(IFERROR(SUBSTITUTE(SUBSTITUTE(VLOOKUP($A705,'Quarterly Pipeline vs Target Pi'!$A:$V,17,false)," $","")," €",""), "")
)</f>
        <v>0</v>
      </c>
      <c r="AG705" s="17" t="str">
        <f t="shared" si="11"/>
        <v/>
      </c>
      <c r="AH705" s="1">
        <f>value(IFERROR(SUBSTITUTE(SUBSTITUTE(VLOOKUP($A705,'Quarterly Pipeline vs Target Pi'!$A:$V,21,false)," $","")," €",""), "")
)</f>
        <v>0</v>
      </c>
      <c r="AI705" s="1">
        <f>value(IFERROR(SUBSTITUTE(SUBSTITUTE(VLOOKUP($A705,'Quarterly Pipeline vs Target Pi'!$A:$V,22,false)," $","")," €",""), "")
)</f>
        <v>0</v>
      </c>
      <c r="AJ705" s="17" t="str">
        <f t="shared" si="12"/>
        <v/>
      </c>
      <c r="AK705" s="1">
        <f t="shared" ref="AK705:AL705" si="1423">sum(Y705,AB705,AE705,AH705)</f>
        <v>0</v>
      </c>
      <c r="AL705" s="1">
        <f t="shared" si="1423"/>
        <v>0</v>
      </c>
      <c r="AM705" s="17" t="str">
        <f t="shared" si="14"/>
        <v/>
      </c>
      <c r="AN705" s="1">
        <f>value(IFERROR(SUBSTITUTE(SUBSTITUTE(VLOOKUP($A705,'Quarterly Pipeline vs Target Pi'!$A:$AP,26,false)," $","")," €",""), "")
)</f>
        <v>0</v>
      </c>
      <c r="AO705" s="1">
        <f>value(IFERROR(SUBSTITUTE(SUBSTITUTE(VLOOKUP($A705,'Quarterly Pipeline vs Target Pi'!$A:$AP,27,false)," $","")," €",""), "")
)</f>
        <v>0</v>
      </c>
      <c r="AP705" s="17" t="str">
        <f t="shared" si="15"/>
        <v/>
      </c>
      <c r="AQ705" s="1">
        <f>value(IFERROR(SUBSTITUTE(SUBSTITUTE(VLOOKUP($A705,'Quarterly Pipeline vs Target Pi'!$A:$AP,31,false)," $","")," €",""), "")
)</f>
        <v>0</v>
      </c>
      <c r="AR705" s="1">
        <f>value(IFERROR(SUBSTITUTE(SUBSTITUTE(VLOOKUP($A705,'Quarterly Pipeline vs Target Pi'!$A:$AP,32,false)," $","")," €",""), "")
)</f>
        <v>0</v>
      </c>
      <c r="AS705" s="17" t="str">
        <f t="shared" si="16"/>
        <v/>
      </c>
      <c r="AT705" s="1">
        <f>value(IFERROR(SUBSTITUTE(SUBSTITUTE(VLOOKUP($A705,'Quarterly Pipeline vs Target Pi'!$A:$AP,36,false)," $","")," €",""), "")
)</f>
        <v>0</v>
      </c>
      <c r="AU705" s="1">
        <f>value(IFERROR(SUBSTITUTE(SUBSTITUTE(VLOOKUP($A705,'Quarterly Pipeline vs Target Pi'!$A:$AP,37,false)," $","")," €",""), "")
)</f>
        <v>0</v>
      </c>
      <c r="AV705" s="17" t="str">
        <f t="shared" si="17"/>
        <v/>
      </c>
      <c r="AW705" s="1">
        <f>value(IFERROR(SUBSTITUTE(SUBSTITUTE(VLOOKUP($A705,'Quarterly Pipeline vs Target Pi'!$A:$AP,41,false)," $","")," €",""), "")
)</f>
        <v>0</v>
      </c>
      <c r="AX705" s="1">
        <f>value(IFERROR(SUBSTITUTE(SUBSTITUTE(VLOOKUP($A705,'Quarterly Pipeline vs Target Pi'!$A:$AP,42,false)," $","")," €",""), "")
)</f>
        <v>0</v>
      </c>
      <c r="AY705" s="17" t="str">
        <f t="shared" si="18"/>
        <v/>
      </c>
      <c r="AZ705" s="1">
        <f t="shared" ref="AZ705:BA705" si="1424">sum(AN705,AQ705,AT705,AW705)</f>
        <v>0</v>
      </c>
      <c r="BA705" s="1">
        <f t="shared" si="1424"/>
        <v>0</v>
      </c>
      <c r="BB705" s="17" t="str">
        <f t="shared" si="20"/>
        <v/>
      </c>
    </row>
    <row r="706">
      <c r="I706" s="17"/>
      <c r="L706" s="17"/>
      <c r="O706" s="17"/>
      <c r="X706" s="17"/>
      <c r="Y706" s="1">
        <f>value(IFERROR(SUBSTITUTE(SUBSTITUTE(VLOOKUP(A706,'Quarterly Pipeline vs Target Pi'!A:G,6,false)," $","")," €",""), "")
)</f>
        <v>0</v>
      </c>
      <c r="Z706" s="1">
        <f>value(IFERROR(SUBSTITUTE(SUBSTITUTE(VLOOKUP(A706,'Quarterly Pipeline vs Target Pi'!A:G,7,false)," $","")," €",""), "")
)</f>
        <v>0</v>
      </c>
      <c r="AA706" s="17" t="str">
        <f t="shared" si="9"/>
        <v/>
      </c>
      <c r="AB706" s="1">
        <f>value(IFERROR(SUBSTITUTE(SUBSTITUTE(VLOOKUP($A706,'Quarterly Pipeline vs Target Pi'!$A:$V,11,false)," $","")," €",""), "")
)</f>
        <v>0</v>
      </c>
      <c r="AC706" s="1">
        <f>value(IFERROR(SUBSTITUTE(SUBSTITUTE(VLOOKUP($A706,'Quarterly Pipeline vs Target Pi'!$A:$V,12,false)," $","")," €",""), "")
)</f>
        <v>0</v>
      </c>
      <c r="AD706" s="17" t="str">
        <f t="shared" si="10"/>
        <v/>
      </c>
      <c r="AE706" s="1">
        <f>value(IFERROR(SUBSTITUTE(SUBSTITUTE(VLOOKUP($A706,'Quarterly Pipeline vs Target Pi'!$A:$V,16,false)," $","")," €",""), "")
)</f>
        <v>0</v>
      </c>
      <c r="AF706" s="1">
        <f>value(IFERROR(SUBSTITUTE(SUBSTITUTE(VLOOKUP($A706,'Quarterly Pipeline vs Target Pi'!$A:$V,17,false)," $","")," €",""), "")
)</f>
        <v>0</v>
      </c>
      <c r="AG706" s="17" t="str">
        <f t="shared" si="11"/>
        <v/>
      </c>
      <c r="AH706" s="1">
        <f>value(IFERROR(SUBSTITUTE(SUBSTITUTE(VLOOKUP($A706,'Quarterly Pipeline vs Target Pi'!$A:$V,21,false)," $","")," €",""), "")
)</f>
        <v>0</v>
      </c>
      <c r="AI706" s="1">
        <f>value(IFERROR(SUBSTITUTE(SUBSTITUTE(VLOOKUP($A706,'Quarterly Pipeline vs Target Pi'!$A:$V,22,false)," $","")," €",""), "")
)</f>
        <v>0</v>
      </c>
      <c r="AJ706" s="17" t="str">
        <f t="shared" si="12"/>
        <v/>
      </c>
      <c r="AK706" s="1">
        <f t="shared" ref="AK706:AL706" si="1425">sum(Y706,AB706,AE706,AH706)</f>
        <v>0</v>
      </c>
      <c r="AL706" s="1">
        <f t="shared" si="1425"/>
        <v>0</v>
      </c>
      <c r="AM706" s="17" t="str">
        <f t="shared" si="14"/>
        <v/>
      </c>
      <c r="AN706" s="1">
        <f>value(IFERROR(SUBSTITUTE(SUBSTITUTE(VLOOKUP($A706,'Quarterly Pipeline vs Target Pi'!$A:$AP,26,false)," $","")," €",""), "")
)</f>
        <v>0</v>
      </c>
      <c r="AO706" s="1">
        <f>value(IFERROR(SUBSTITUTE(SUBSTITUTE(VLOOKUP($A706,'Quarterly Pipeline vs Target Pi'!$A:$AP,27,false)," $","")," €",""), "")
)</f>
        <v>0</v>
      </c>
      <c r="AP706" s="17" t="str">
        <f t="shared" si="15"/>
        <v/>
      </c>
      <c r="AQ706" s="1">
        <f>value(IFERROR(SUBSTITUTE(SUBSTITUTE(VLOOKUP($A706,'Quarterly Pipeline vs Target Pi'!$A:$AP,31,false)," $","")," €",""), "")
)</f>
        <v>0</v>
      </c>
      <c r="AR706" s="1">
        <f>value(IFERROR(SUBSTITUTE(SUBSTITUTE(VLOOKUP($A706,'Quarterly Pipeline vs Target Pi'!$A:$AP,32,false)," $","")," €",""), "")
)</f>
        <v>0</v>
      </c>
      <c r="AS706" s="17" t="str">
        <f t="shared" si="16"/>
        <v/>
      </c>
      <c r="AT706" s="1">
        <f>value(IFERROR(SUBSTITUTE(SUBSTITUTE(VLOOKUP($A706,'Quarterly Pipeline vs Target Pi'!$A:$AP,36,false)," $","")," €",""), "")
)</f>
        <v>0</v>
      </c>
      <c r="AU706" s="1">
        <f>value(IFERROR(SUBSTITUTE(SUBSTITUTE(VLOOKUP($A706,'Quarterly Pipeline vs Target Pi'!$A:$AP,37,false)," $","")," €",""), "")
)</f>
        <v>0</v>
      </c>
      <c r="AV706" s="17" t="str">
        <f t="shared" si="17"/>
        <v/>
      </c>
      <c r="AW706" s="1">
        <f>value(IFERROR(SUBSTITUTE(SUBSTITUTE(VLOOKUP($A706,'Quarterly Pipeline vs Target Pi'!$A:$AP,41,false)," $","")," €",""), "")
)</f>
        <v>0</v>
      </c>
      <c r="AX706" s="1">
        <f>value(IFERROR(SUBSTITUTE(SUBSTITUTE(VLOOKUP($A706,'Quarterly Pipeline vs Target Pi'!$A:$AP,42,false)," $","")," €",""), "")
)</f>
        <v>0</v>
      </c>
      <c r="AY706" s="17" t="str">
        <f t="shared" si="18"/>
        <v/>
      </c>
      <c r="AZ706" s="1">
        <f t="shared" ref="AZ706:BA706" si="1426">sum(AN706,AQ706,AT706,AW706)</f>
        <v>0</v>
      </c>
      <c r="BA706" s="1">
        <f t="shared" si="1426"/>
        <v>0</v>
      </c>
      <c r="BB706" s="17" t="str">
        <f t="shared" si="20"/>
        <v/>
      </c>
    </row>
    <row r="707">
      <c r="I707" s="17"/>
      <c r="L707" s="17"/>
      <c r="O707" s="17"/>
      <c r="X707" s="17"/>
      <c r="Y707" s="1">
        <f>value(IFERROR(SUBSTITUTE(SUBSTITUTE(VLOOKUP(A707,'Quarterly Pipeline vs Target Pi'!A:G,6,false)," $","")," €",""), "")
)</f>
        <v>0</v>
      </c>
      <c r="Z707" s="1">
        <f>value(IFERROR(SUBSTITUTE(SUBSTITUTE(VLOOKUP(A707,'Quarterly Pipeline vs Target Pi'!A:G,7,false)," $","")," €",""), "")
)</f>
        <v>0</v>
      </c>
      <c r="AA707" s="17" t="str">
        <f t="shared" si="9"/>
        <v/>
      </c>
      <c r="AB707" s="1">
        <f>value(IFERROR(SUBSTITUTE(SUBSTITUTE(VLOOKUP($A707,'Quarterly Pipeline vs Target Pi'!$A:$V,11,false)," $","")," €",""), "")
)</f>
        <v>0</v>
      </c>
      <c r="AC707" s="1">
        <f>value(IFERROR(SUBSTITUTE(SUBSTITUTE(VLOOKUP($A707,'Quarterly Pipeline vs Target Pi'!$A:$V,12,false)," $","")," €",""), "")
)</f>
        <v>0</v>
      </c>
      <c r="AD707" s="17" t="str">
        <f t="shared" si="10"/>
        <v/>
      </c>
      <c r="AE707" s="1">
        <f>value(IFERROR(SUBSTITUTE(SUBSTITUTE(VLOOKUP($A707,'Quarterly Pipeline vs Target Pi'!$A:$V,16,false)," $","")," €",""), "")
)</f>
        <v>0</v>
      </c>
      <c r="AF707" s="1">
        <f>value(IFERROR(SUBSTITUTE(SUBSTITUTE(VLOOKUP($A707,'Quarterly Pipeline vs Target Pi'!$A:$V,17,false)," $","")," €",""), "")
)</f>
        <v>0</v>
      </c>
      <c r="AG707" s="17" t="str">
        <f t="shared" si="11"/>
        <v/>
      </c>
      <c r="AH707" s="1">
        <f>value(IFERROR(SUBSTITUTE(SUBSTITUTE(VLOOKUP($A707,'Quarterly Pipeline vs Target Pi'!$A:$V,21,false)," $","")," €",""), "")
)</f>
        <v>0</v>
      </c>
      <c r="AI707" s="1">
        <f>value(IFERROR(SUBSTITUTE(SUBSTITUTE(VLOOKUP($A707,'Quarterly Pipeline vs Target Pi'!$A:$V,22,false)," $","")," €",""), "")
)</f>
        <v>0</v>
      </c>
      <c r="AJ707" s="17" t="str">
        <f t="shared" si="12"/>
        <v/>
      </c>
      <c r="AK707" s="1">
        <f t="shared" ref="AK707:AL707" si="1427">sum(Y707,AB707,AE707,AH707)</f>
        <v>0</v>
      </c>
      <c r="AL707" s="1">
        <f t="shared" si="1427"/>
        <v>0</v>
      </c>
      <c r="AM707" s="17" t="str">
        <f t="shared" si="14"/>
        <v/>
      </c>
      <c r="AN707" s="1">
        <f>value(IFERROR(SUBSTITUTE(SUBSTITUTE(VLOOKUP($A707,'Quarterly Pipeline vs Target Pi'!$A:$AP,26,false)," $","")," €",""), "")
)</f>
        <v>0</v>
      </c>
      <c r="AO707" s="1">
        <f>value(IFERROR(SUBSTITUTE(SUBSTITUTE(VLOOKUP($A707,'Quarterly Pipeline vs Target Pi'!$A:$AP,27,false)," $","")," €",""), "")
)</f>
        <v>0</v>
      </c>
      <c r="AP707" s="17" t="str">
        <f t="shared" si="15"/>
        <v/>
      </c>
      <c r="AQ707" s="1">
        <f>value(IFERROR(SUBSTITUTE(SUBSTITUTE(VLOOKUP($A707,'Quarterly Pipeline vs Target Pi'!$A:$AP,31,false)," $","")," €",""), "")
)</f>
        <v>0</v>
      </c>
      <c r="AR707" s="1">
        <f>value(IFERROR(SUBSTITUTE(SUBSTITUTE(VLOOKUP($A707,'Quarterly Pipeline vs Target Pi'!$A:$AP,32,false)," $","")," €",""), "")
)</f>
        <v>0</v>
      </c>
      <c r="AS707" s="17" t="str">
        <f t="shared" si="16"/>
        <v/>
      </c>
      <c r="AT707" s="1">
        <f>value(IFERROR(SUBSTITUTE(SUBSTITUTE(VLOOKUP($A707,'Quarterly Pipeline vs Target Pi'!$A:$AP,36,false)," $","")," €",""), "")
)</f>
        <v>0</v>
      </c>
      <c r="AU707" s="1">
        <f>value(IFERROR(SUBSTITUTE(SUBSTITUTE(VLOOKUP($A707,'Quarterly Pipeline vs Target Pi'!$A:$AP,37,false)," $","")," €",""), "")
)</f>
        <v>0</v>
      </c>
      <c r="AV707" s="17" t="str">
        <f t="shared" si="17"/>
        <v/>
      </c>
      <c r="AW707" s="1">
        <f>value(IFERROR(SUBSTITUTE(SUBSTITUTE(VLOOKUP($A707,'Quarterly Pipeline vs Target Pi'!$A:$AP,41,false)," $","")," €",""), "")
)</f>
        <v>0</v>
      </c>
      <c r="AX707" s="1">
        <f>value(IFERROR(SUBSTITUTE(SUBSTITUTE(VLOOKUP($A707,'Quarterly Pipeline vs Target Pi'!$A:$AP,42,false)," $","")," €",""), "")
)</f>
        <v>0</v>
      </c>
      <c r="AY707" s="17" t="str">
        <f t="shared" si="18"/>
        <v/>
      </c>
      <c r="AZ707" s="1">
        <f t="shared" ref="AZ707:BA707" si="1428">sum(AN707,AQ707,AT707,AW707)</f>
        <v>0</v>
      </c>
      <c r="BA707" s="1">
        <f t="shared" si="1428"/>
        <v>0</v>
      </c>
      <c r="BB707" s="17" t="str">
        <f t="shared" si="20"/>
        <v/>
      </c>
    </row>
    <row r="708">
      <c r="I708" s="17"/>
      <c r="L708" s="17"/>
      <c r="O708" s="17"/>
      <c r="X708" s="17"/>
      <c r="Y708" s="1">
        <f>value(IFERROR(SUBSTITUTE(SUBSTITUTE(VLOOKUP(A708,'Quarterly Pipeline vs Target Pi'!A:G,6,false)," $","")," €",""), "")
)</f>
        <v>0</v>
      </c>
      <c r="Z708" s="1">
        <f>value(IFERROR(SUBSTITUTE(SUBSTITUTE(VLOOKUP(A708,'Quarterly Pipeline vs Target Pi'!A:G,7,false)," $","")," €",""), "")
)</f>
        <v>0</v>
      </c>
      <c r="AA708" s="17" t="str">
        <f t="shared" si="9"/>
        <v/>
      </c>
      <c r="AB708" s="1">
        <f>value(IFERROR(SUBSTITUTE(SUBSTITUTE(VLOOKUP($A708,'Quarterly Pipeline vs Target Pi'!$A:$V,11,false)," $","")," €",""), "")
)</f>
        <v>0</v>
      </c>
      <c r="AC708" s="1">
        <f>value(IFERROR(SUBSTITUTE(SUBSTITUTE(VLOOKUP($A708,'Quarterly Pipeline vs Target Pi'!$A:$V,12,false)," $","")," €",""), "")
)</f>
        <v>0</v>
      </c>
      <c r="AD708" s="17" t="str">
        <f t="shared" si="10"/>
        <v/>
      </c>
      <c r="AE708" s="1">
        <f>value(IFERROR(SUBSTITUTE(SUBSTITUTE(VLOOKUP($A708,'Quarterly Pipeline vs Target Pi'!$A:$V,16,false)," $","")," €",""), "")
)</f>
        <v>0</v>
      </c>
      <c r="AF708" s="1">
        <f>value(IFERROR(SUBSTITUTE(SUBSTITUTE(VLOOKUP($A708,'Quarterly Pipeline vs Target Pi'!$A:$V,17,false)," $","")," €",""), "")
)</f>
        <v>0</v>
      </c>
      <c r="AG708" s="17" t="str">
        <f t="shared" si="11"/>
        <v/>
      </c>
      <c r="AH708" s="1">
        <f>value(IFERROR(SUBSTITUTE(SUBSTITUTE(VLOOKUP($A708,'Quarterly Pipeline vs Target Pi'!$A:$V,21,false)," $","")," €",""), "")
)</f>
        <v>0</v>
      </c>
      <c r="AI708" s="1">
        <f>value(IFERROR(SUBSTITUTE(SUBSTITUTE(VLOOKUP($A708,'Quarterly Pipeline vs Target Pi'!$A:$V,22,false)," $","")," €",""), "")
)</f>
        <v>0</v>
      </c>
      <c r="AJ708" s="17" t="str">
        <f t="shared" si="12"/>
        <v/>
      </c>
      <c r="AK708" s="1">
        <f t="shared" ref="AK708:AL708" si="1429">sum(Y708,AB708,AE708,AH708)</f>
        <v>0</v>
      </c>
      <c r="AL708" s="1">
        <f t="shared" si="1429"/>
        <v>0</v>
      </c>
      <c r="AM708" s="17" t="str">
        <f t="shared" si="14"/>
        <v/>
      </c>
      <c r="AN708" s="1">
        <f>value(IFERROR(SUBSTITUTE(SUBSTITUTE(VLOOKUP($A708,'Quarterly Pipeline vs Target Pi'!$A:$AP,26,false)," $","")," €",""), "")
)</f>
        <v>0</v>
      </c>
      <c r="AO708" s="1">
        <f>value(IFERROR(SUBSTITUTE(SUBSTITUTE(VLOOKUP($A708,'Quarterly Pipeline vs Target Pi'!$A:$AP,27,false)," $","")," €",""), "")
)</f>
        <v>0</v>
      </c>
      <c r="AP708" s="17" t="str">
        <f t="shared" si="15"/>
        <v/>
      </c>
      <c r="AQ708" s="1">
        <f>value(IFERROR(SUBSTITUTE(SUBSTITUTE(VLOOKUP($A708,'Quarterly Pipeline vs Target Pi'!$A:$AP,31,false)," $","")," €",""), "")
)</f>
        <v>0</v>
      </c>
      <c r="AR708" s="1">
        <f>value(IFERROR(SUBSTITUTE(SUBSTITUTE(VLOOKUP($A708,'Quarterly Pipeline vs Target Pi'!$A:$AP,32,false)," $","")," €",""), "")
)</f>
        <v>0</v>
      </c>
      <c r="AS708" s="17" t="str">
        <f t="shared" si="16"/>
        <v/>
      </c>
      <c r="AT708" s="1">
        <f>value(IFERROR(SUBSTITUTE(SUBSTITUTE(VLOOKUP($A708,'Quarterly Pipeline vs Target Pi'!$A:$AP,36,false)," $","")," €",""), "")
)</f>
        <v>0</v>
      </c>
      <c r="AU708" s="1">
        <f>value(IFERROR(SUBSTITUTE(SUBSTITUTE(VLOOKUP($A708,'Quarterly Pipeline vs Target Pi'!$A:$AP,37,false)," $","")," €",""), "")
)</f>
        <v>0</v>
      </c>
      <c r="AV708" s="17" t="str">
        <f t="shared" si="17"/>
        <v/>
      </c>
      <c r="AW708" s="1">
        <f>value(IFERROR(SUBSTITUTE(SUBSTITUTE(VLOOKUP($A708,'Quarterly Pipeline vs Target Pi'!$A:$AP,41,false)," $","")," €",""), "")
)</f>
        <v>0</v>
      </c>
      <c r="AX708" s="1">
        <f>value(IFERROR(SUBSTITUTE(SUBSTITUTE(VLOOKUP($A708,'Quarterly Pipeline vs Target Pi'!$A:$AP,42,false)," $","")," €",""), "")
)</f>
        <v>0</v>
      </c>
      <c r="AY708" s="17" t="str">
        <f t="shared" si="18"/>
        <v/>
      </c>
      <c r="AZ708" s="1">
        <f t="shared" ref="AZ708:BA708" si="1430">sum(AN708,AQ708,AT708,AW708)</f>
        <v>0</v>
      </c>
      <c r="BA708" s="1">
        <f t="shared" si="1430"/>
        <v>0</v>
      </c>
      <c r="BB708" s="17" t="str">
        <f t="shared" si="20"/>
        <v/>
      </c>
    </row>
    <row r="709">
      <c r="I709" s="17"/>
      <c r="L709" s="17"/>
      <c r="O709" s="17"/>
      <c r="X709" s="17"/>
      <c r="AA709" s="17"/>
      <c r="AD709" s="19"/>
      <c r="AG709" s="19"/>
      <c r="AJ709" s="19"/>
      <c r="AM709" s="19"/>
      <c r="AN709" s="1">
        <f>value(IFERROR(SUBSTITUTE(SUBSTITUTE(VLOOKUP($A709,'Quarterly Pipeline vs Target Pi'!$A:$AP,26,false)," $","")," €",""), "")
)</f>
        <v>0</v>
      </c>
      <c r="AO709" s="1">
        <f>value(IFERROR(SUBSTITUTE(SUBSTITUTE(VLOOKUP($A709,'Quarterly Pipeline vs Target Pi'!$A:$AP,27,false)," $","")," €",""), "")
)</f>
        <v>0</v>
      </c>
      <c r="AP709" s="17" t="str">
        <f t="shared" si="15"/>
        <v/>
      </c>
      <c r="AQ709" s="1">
        <f>value(IFERROR(SUBSTITUTE(SUBSTITUTE(VLOOKUP($A709,'Quarterly Pipeline vs Target Pi'!$A:$AP,31,false)," $","")," €",""), "")
)</f>
        <v>0</v>
      </c>
      <c r="AR709" s="1">
        <f>value(IFERROR(SUBSTITUTE(SUBSTITUTE(VLOOKUP($A709,'Quarterly Pipeline vs Target Pi'!$A:$AP,32,false)," $","")," €",""), "")
)</f>
        <v>0</v>
      </c>
      <c r="AS709" s="17" t="str">
        <f t="shared" si="16"/>
        <v/>
      </c>
      <c r="AT709" s="1">
        <f>value(IFERROR(SUBSTITUTE(SUBSTITUTE(VLOOKUP($A709,'Quarterly Pipeline vs Target Pi'!$A:$AP,36,false)," $","")," €",""), "")
)</f>
        <v>0</v>
      </c>
      <c r="AU709" s="1">
        <f>value(IFERROR(SUBSTITUTE(SUBSTITUTE(VLOOKUP($A709,'Quarterly Pipeline vs Target Pi'!$A:$AP,37,false)," $","")," €",""), "")
)</f>
        <v>0</v>
      </c>
      <c r="AV709" s="17" t="str">
        <f t="shared" si="17"/>
        <v/>
      </c>
      <c r="AW709" s="1">
        <f>value(IFERROR(SUBSTITUTE(SUBSTITUTE(VLOOKUP($A709,'Quarterly Pipeline vs Target Pi'!$A:$AP,41,false)," $","")," €",""), "")
)</f>
        <v>0</v>
      </c>
      <c r="AX709" s="1">
        <f>value(IFERROR(SUBSTITUTE(SUBSTITUTE(VLOOKUP($A709,'Quarterly Pipeline vs Target Pi'!$A:$AP,42,false)," $","")," €",""), "")
)</f>
        <v>0</v>
      </c>
      <c r="AY709" s="17" t="str">
        <f t="shared" si="18"/>
        <v/>
      </c>
      <c r="AZ709" s="1">
        <f t="shared" ref="AZ709:BA709" si="1431">sum(AN709,AQ709,AT709,AW709)</f>
        <v>0</v>
      </c>
      <c r="BA709" s="1">
        <f t="shared" si="1431"/>
        <v>0</v>
      </c>
      <c r="BB709" s="17" t="str">
        <f t="shared" si="20"/>
        <v/>
      </c>
    </row>
    <row r="710">
      <c r="I710" s="17"/>
      <c r="L710" s="17"/>
      <c r="O710" s="17"/>
      <c r="X710" s="17"/>
      <c r="AA710" s="17"/>
      <c r="AD710" s="19"/>
      <c r="AG710" s="19"/>
      <c r="AJ710" s="19"/>
      <c r="AM710" s="19"/>
      <c r="AN710" s="1">
        <f>value(IFERROR(SUBSTITUTE(SUBSTITUTE(VLOOKUP($A710,'Quarterly Pipeline vs Target Pi'!$A:$AP,26,false)," $","")," €",""), "")
)</f>
        <v>0</v>
      </c>
      <c r="AO710" s="1">
        <f>value(IFERROR(SUBSTITUTE(SUBSTITUTE(VLOOKUP($A710,'Quarterly Pipeline vs Target Pi'!$A:$AP,27,false)," $","")," €",""), "")
)</f>
        <v>0</v>
      </c>
      <c r="AP710" s="17" t="str">
        <f t="shared" si="15"/>
        <v/>
      </c>
      <c r="AQ710" s="1">
        <f>value(IFERROR(SUBSTITUTE(SUBSTITUTE(VLOOKUP($A710,'Quarterly Pipeline vs Target Pi'!$A:$AP,31,false)," $","")," €",""), "")
)</f>
        <v>0</v>
      </c>
      <c r="AR710" s="1">
        <f>value(IFERROR(SUBSTITUTE(SUBSTITUTE(VLOOKUP($A710,'Quarterly Pipeline vs Target Pi'!$A:$AP,32,false)," $","")," €",""), "")
)</f>
        <v>0</v>
      </c>
      <c r="AS710" s="17" t="str">
        <f t="shared" si="16"/>
        <v/>
      </c>
      <c r="AT710" s="1">
        <f>value(IFERROR(SUBSTITUTE(SUBSTITUTE(VLOOKUP($A710,'Quarterly Pipeline vs Target Pi'!$A:$AP,36,false)," $","")," €",""), "")
)</f>
        <v>0</v>
      </c>
      <c r="AU710" s="1">
        <f>value(IFERROR(SUBSTITUTE(SUBSTITUTE(VLOOKUP($A710,'Quarterly Pipeline vs Target Pi'!$A:$AP,37,false)," $","")," €",""), "")
)</f>
        <v>0</v>
      </c>
      <c r="AV710" s="17" t="str">
        <f t="shared" si="17"/>
        <v/>
      </c>
      <c r="AW710" s="1">
        <f>value(IFERROR(SUBSTITUTE(SUBSTITUTE(VLOOKUP($A710,'Quarterly Pipeline vs Target Pi'!$A:$AP,41,false)," $","")," €",""), "")
)</f>
        <v>0</v>
      </c>
      <c r="AX710" s="1">
        <f>value(IFERROR(SUBSTITUTE(SUBSTITUTE(VLOOKUP($A710,'Quarterly Pipeline vs Target Pi'!$A:$AP,42,false)," $","")," €",""), "")
)</f>
        <v>0</v>
      </c>
      <c r="AY710" s="17" t="str">
        <f t="shared" si="18"/>
        <v/>
      </c>
      <c r="AZ710" s="1">
        <f t="shared" ref="AZ710:BA710" si="1432">sum(AN710,AQ710,AT710,AW710)</f>
        <v>0</v>
      </c>
      <c r="BA710" s="1">
        <f t="shared" si="1432"/>
        <v>0</v>
      </c>
      <c r="BB710" s="17" t="str">
        <f t="shared" si="20"/>
        <v/>
      </c>
    </row>
    <row r="711">
      <c r="I711" s="17"/>
      <c r="L711" s="17"/>
      <c r="O711" s="17"/>
      <c r="X711" s="17"/>
      <c r="AA711" s="17"/>
      <c r="AD711" s="19"/>
      <c r="AG711" s="19"/>
      <c r="AJ711" s="19"/>
      <c r="AM711" s="19"/>
      <c r="AN711" s="1">
        <f>value(IFERROR(SUBSTITUTE(SUBSTITUTE(VLOOKUP($A711,'Quarterly Pipeline vs Target Pi'!$A:$AP,26,false)," $","")," €",""), "")
)</f>
        <v>0</v>
      </c>
      <c r="AO711" s="1">
        <f>value(IFERROR(SUBSTITUTE(SUBSTITUTE(VLOOKUP($A711,'Quarterly Pipeline vs Target Pi'!$A:$AP,27,false)," $","")," €",""), "")
)</f>
        <v>0</v>
      </c>
      <c r="AP711" s="17" t="str">
        <f t="shared" si="15"/>
        <v/>
      </c>
      <c r="AQ711" s="1">
        <f>value(IFERROR(SUBSTITUTE(SUBSTITUTE(VLOOKUP($A711,'Quarterly Pipeline vs Target Pi'!$A:$AP,31,false)," $","")," €",""), "")
)</f>
        <v>0</v>
      </c>
      <c r="AR711" s="1">
        <f>value(IFERROR(SUBSTITUTE(SUBSTITUTE(VLOOKUP($A711,'Quarterly Pipeline vs Target Pi'!$A:$AP,32,false)," $","")," €",""), "")
)</f>
        <v>0</v>
      </c>
      <c r="AS711" s="17" t="str">
        <f t="shared" si="16"/>
        <v/>
      </c>
      <c r="AT711" s="1">
        <f>value(IFERROR(SUBSTITUTE(SUBSTITUTE(VLOOKUP($A711,'Quarterly Pipeline vs Target Pi'!$A:$AP,36,false)," $","")," €",""), "")
)</f>
        <v>0</v>
      </c>
      <c r="AU711" s="1">
        <f>value(IFERROR(SUBSTITUTE(SUBSTITUTE(VLOOKUP($A711,'Quarterly Pipeline vs Target Pi'!$A:$AP,37,false)," $","")," €",""), "")
)</f>
        <v>0</v>
      </c>
      <c r="AV711" s="17" t="str">
        <f t="shared" si="17"/>
        <v/>
      </c>
      <c r="AW711" s="1">
        <f>value(IFERROR(SUBSTITUTE(SUBSTITUTE(VLOOKUP($A711,'Quarterly Pipeline vs Target Pi'!$A:$AP,41,false)," $","")," €",""), "")
)</f>
        <v>0</v>
      </c>
      <c r="AX711" s="1">
        <f>value(IFERROR(SUBSTITUTE(SUBSTITUTE(VLOOKUP($A711,'Quarterly Pipeline vs Target Pi'!$A:$AP,42,false)," $","")," €",""), "")
)</f>
        <v>0</v>
      </c>
      <c r="AY711" s="17" t="str">
        <f t="shared" si="18"/>
        <v/>
      </c>
      <c r="AZ711" s="1">
        <f t="shared" ref="AZ711:BA711" si="1433">sum(AN711,AQ711,AT711,AW711)</f>
        <v>0</v>
      </c>
      <c r="BA711" s="1">
        <f t="shared" si="1433"/>
        <v>0</v>
      </c>
      <c r="BB711" s="17" t="str">
        <f t="shared" si="20"/>
        <v/>
      </c>
    </row>
    <row r="712">
      <c r="I712" s="17"/>
      <c r="L712" s="17"/>
      <c r="O712" s="17"/>
      <c r="X712" s="17"/>
      <c r="AA712" s="17"/>
      <c r="AD712" s="19"/>
      <c r="AG712" s="19"/>
      <c r="AJ712" s="19"/>
      <c r="AM712" s="19"/>
      <c r="AN712" s="1">
        <f>value(IFERROR(SUBSTITUTE(SUBSTITUTE(VLOOKUP($A712,'Quarterly Pipeline vs Target Pi'!$A:$AP,26,false)," $","")," €",""), "")
)</f>
        <v>0</v>
      </c>
      <c r="AO712" s="1">
        <f>value(IFERROR(SUBSTITUTE(SUBSTITUTE(VLOOKUP($A712,'Quarterly Pipeline vs Target Pi'!$A:$AP,27,false)," $","")," €",""), "")
)</f>
        <v>0</v>
      </c>
      <c r="AP712" s="17" t="str">
        <f t="shared" si="15"/>
        <v/>
      </c>
      <c r="AQ712" s="1">
        <f>value(IFERROR(SUBSTITUTE(SUBSTITUTE(VLOOKUP($A712,'Quarterly Pipeline vs Target Pi'!$A:$AP,31,false)," $","")," €",""), "")
)</f>
        <v>0</v>
      </c>
      <c r="AR712" s="1">
        <f>value(IFERROR(SUBSTITUTE(SUBSTITUTE(VLOOKUP($A712,'Quarterly Pipeline vs Target Pi'!$A:$AP,32,false)," $","")," €",""), "")
)</f>
        <v>0</v>
      </c>
      <c r="AS712" s="17" t="str">
        <f t="shared" si="16"/>
        <v/>
      </c>
      <c r="AT712" s="1">
        <f>value(IFERROR(SUBSTITUTE(SUBSTITUTE(VLOOKUP($A712,'Quarterly Pipeline vs Target Pi'!$A:$AP,36,false)," $","")," €",""), "")
)</f>
        <v>0</v>
      </c>
      <c r="AU712" s="1">
        <f>value(IFERROR(SUBSTITUTE(SUBSTITUTE(VLOOKUP($A712,'Quarterly Pipeline vs Target Pi'!$A:$AP,37,false)," $","")," €",""), "")
)</f>
        <v>0</v>
      </c>
      <c r="AV712" s="17" t="str">
        <f t="shared" si="17"/>
        <v/>
      </c>
      <c r="AW712" s="1">
        <f>value(IFERROR(SUBSTITUTE(SUBSTITUTE(VLOOKUP($A712,'Quarterly Pipeline vs Target Pi'!$A:$AP,41,false)," $","")," €",""), "")
)</f>
        <v>0</v>
      </c>
      <c r="AX712" s="1">
        <f>value(IFERROR(SUBSTITUTE(SUBSTITUTE(VLOOKUP($A712,'Quarterly Pipeline vs Target Pi'!$A:$AP,42,false)," $","")," €",""), "")
)</f>
        <v>0</v>
      </c>
      <c r="AY712" s="17" t="str">
        <f t="shared" si="18"/>
        <v/>
      </c>
      <c r="AZ712" s="1">
        <f t="shared" ref="AZ712:BA712" si="1434">sum(AN712,AQ712,AT712,AW712)</f>
        <v>0</v>
      </c>
      <c r="BA712" s="1">
        <f t="shared" si="1434"/>
        <v>0</v>
      </c>
      <c r="BB712" s="17" t="str">
        <f t="shared" si="20"/>
        <v/>
      </c>
    </row>
    <row r="713">
      <c r="I713" s="17"/>
      <c r="L713" s="17"/>
      <c r="O713" s="17"/>
      <c r="X713" s="17"/>
      <c r="AA713" s="17"/>
      <c r="AD713" s="19"/>
      <c r="AG713" s="19"/>
      <c r="AJ713" s="19"/>
      <c r="AM713" s="19"/>
      <c r="AN713" s="1">
        <f>value(IFERROR(SUBSTITUTE(SUBSTITUTE(VLOOKUP($A713,'Quarterly Pipeline vs Target Pi'!$A:$AP,26,false)," $","")," €",""), "")
)</f>
        <v>0</v>
      </c>
      <c r="AO713" s="1">
        <f>value(IFERROR(SUBSTITUTE(SUBSTITUTE(VLOOKUP($A713,'Quarterly Pipeline vs Target Pi'!$A:$AP,27,false)," $","")," €",""), "")
)</f>
        <v>0</v>
      </c>
      <c r="AP713" s="17" t="str">
        <f t="shared" si="15"/>
        <v/>
      </c>
      <c r="AQ713" s="1">
        <f>value(IFERROR(SUBSTITUTE(SUBSTITUTE(VLOOKUP($A713,'Quarterly Pipeline vs Target Pi'!$A:$AP,31,false)," $","")," €",""), "")
)</f>
        <v>0</v>
      </c>
      <c r="AR713" s="1">
        <f>value(IFERROR(SUBSTITUTE(SUBSTITUTE(VLOOKUP($A713,'Quarterly Pipeline vs Target Pi'!$A:$AP,32,false)," $","")," €",""), "")
)</f>
        <v>0</v>
      </c>
      <c r="AS713" s="17" t="str">
        <f t="shared" si="16"/>
        <v/>
      </c>
      <c r="AT713" s="1">
        <f>value(IFERROR(SUBSTITUTE(SUBSTITUTE(VLOOKUP($A713,'Quarterly Pipeline vs Target Pi'!$A:$AP,36,false)," $","")," €",""), "")
)</f>
        <v>0</v>
      </c>
      <c r="AU713" s="1">
        <f>value(IFERROR(SUBSTITUTE(SUBSTITUTE(VLOOKUP($A713,'Quarterly Pipeline vs Target Pi'!$A:$AP,37,false)," $","")," €",""), "")
)</f>
        <v>0</v>
      </c>
      <c r="AV713" s="17" t="str">
        <f t="shared" si="17"/>
        <v/>
      </c>
      <c r="AW713" s="1">
        <f>value(IFERROR(SUBSTITUTE(SUBSTITUTE(VLOOKUP($A713,'Quarterly Pipeline vs Target Pi'!$A:$AP,41,false)," $","")," €",""), "")
)</f>
        <v>0</v>
      </c>
      <c r="AX713" s="1">
        <f>value(IFERROR(SUBSTITUTE(SUBSTITUTE(VLOOKUP($A713,'Quarterly Pipeline vs Target Pi'!$A:$AP,42,false)," $","")," €",""), "")
)</f>
        <v>0</v>
      </c>
      <c r="AY713" s="17" t="str">
        <f t="shared" si="18"/>
        <v/>
      </c>
      <c r="AZ713" s="1">
        <f t="shared" ref="AZ713:BA713" si="1435">sum(AN713,AQ713,AT713,AW713)</f>
        <v>0</v>
      </c>
      <c r="BA713" s="1">
        <f t="shared" si="1435"/>
        <v>0</v>
      </c>
      <c r="BB713" s="17" t="str">
        <f t="shared" si="20"/>
        <v/>
      </c>
    </row>
    <row r="714">
      <c r="I714" s="17"/>
      <c r="L714" s="17"/>
      <c r="O714" s="17"/>
      <c r="X714" s="17"/>
      <c r="AA714" s="17"/>
      <c r="AD714" s="19"/>
      <c r="AG714" s="19"/>
      <c r="AJ714" s="19"/>
      <c r="AM714" s="19"/>
      <c r="AN714" s="1">
        <f>value(IFERROR(SUBSTITUTE(SUBSTITUTE(VLOOKUP($A714,'Quarterly Pipeline vs Target Pi'!$A:$AP,26,false)," $","")," €",""), "")
)</f>
        <v>0</v>
      </c>
      <c r="AO714" s="1">
        <f>value(IFERROR(SUBSTITUTE(SUBSTITUTE(VLOOKUP($A714,'Quarterly Pipeline vs Target Pi'!$A:$AP,27,false)," $","")," €",""), "")
)</f>
        <v>0</v>
      </c>
      <c r="AP714" s="17" t="str">
        <f t="shared" si="15"/>
        <v/>
      </c>
      <c r="AQ714" s="1">
        <f>value(IFERROR(SUBSTITUTE(SUBSTITUTE(VLOOKUP($A714,'Quarterly Pipeline vs Target Pi'!$A:$AP,31,false)," $","")," €",""), "")
)</f>
        <v>0</v>
      </c>
      <c r="AR714" s="1">
        <f>value(IFERROR(SUBSTITUTE(SUBSTITUTE(VLOOKUP($A714,'Quarterly Pipeline vs Target Pi'!$A:$AP,32,false)," $","")," €",""), "")
)</f>
        <v>0</v>
      </c>
      <c r="AS714" s="17" t="str">
        <f t="shared" si="16"/>
        <v/>
      </c>
      <c r="AT714" s="1">
        <f>value(IFERROR(SUBSTITUTE(SUBSTITUTE(VLOOKUP($A714,'Quarterly Pipeline vs Target Pi'!$A:$AP,36,false)," $","")," €",""), "")
)</f>
        <v>0</v>
      </c>
      <c r="AU714" s="1">
        <f>value(IFERROR(SUBSTITUTE(SUBSTITUTE(VLOOKUP($A714,'Quarterly Pipeline vs Target Pi'!$A:$AP,37,false)," $","")," €",""), "")
)</f>
        <v>0</v>
      </c>
      <c r="AV714" s="17" t="str">
        <f t="shared" si="17"/>
        <v/>
      </c>
      <c r="AW714" s="1">
        <f>value(IFERROR(SUBSTITUTE(SUBSTITUTE(VLOOKUP($A714,'Quarterly Pipeline vs Target Pi'!$A:$AP,41,false)," $","")," €",""), "")
)</f>
        <v>0</v>
      </c>
      <c r="AX714" s="1">
        <f>value(IFERROR(SUBSTITUTE(SUBSTITUTE(VLOOKUP($A714,'Quarterly Pipeline vs Target Pi'!$A:$AP,42,false)," $","")," €",""), "")
)</f>
        <v>0</v>
      </c>
      <c r="AY714" s="17" t="str">
        <f t="shared" si="18"/>
        <v/>
      </c>
      <c r="AZ714" s="1">
        <f t="shared" ref="AZ714:BA714" si="1436">sum(AN714,AQ714,AT714,AW714)</f>
        <v>0</v>
      </c>
      <c r="BA714" s="1">
        <f t="shared" si="1436"/>
        <v>0</v>
      </c>
      <c r="BB714" s="17" t="str">
        <f t="shared" si="20"/>
        <v/>
      </c>
    </row>
    <row r="715">
      <c r="I715" s="17"/>
      <c r="L715" s="17"/>
      <c r="O715" s="17"/>
      <c r="X715" s="17"/>
      <c r="AA715" s="17"/>
      <c r="AD715" s="19"/>
      <c r="AG715" s="19"/>
      <c r="AJ715" s="19"/>
      <c r="AM715" s="19"/>
      <c r="AN715" s="1">
        <f>value(IFERROR(SUBSTITUTE(SUBSTITUTE(VLOOKUP($A715,'Quarterly Pipeline vs Target Pi'!$A:$AP,26,false)," $","")," €",""), "")
)</f>
        <v>0</v>
      </c>
      <c r="AO715" s="1">
        <f>value(IFERROR(SUBSTITUTE(SUBSTITUTE(VLOOKUP($A715,'Quarterly Pipeline vs Target Pi'!$A:$AP,27,false)," $","")," €",""), "")
)</f>
        <v>0</v>
      </c>
      <c r="AP715" s="17" t="str">
        <f t="shared" si="15"/>
        <v/>
      </c>
      <c r="AQ715" s="1">
        <f>value(IFERROR(SUBSTITUTE(SUBSTITUTE(VLOOKUP($A715,'Quarterly Pipeline vs Target Pi'!$A:$AP,31,false)," $","")," €",""), "")
)</f>
        <v>0</v>
      </c>
      <c r="AR715" s="1">
        <f>value(IFERROR(SUBSTITUTE(SUBSTITUTE(VLOOKUP($A715,'Quarterly Pipeline vs Target Pi'!$A:$AP,32,false)," $","")," €",""), "")
)</f>
        <v>0</v>
      </c>
      <c r="AS715" s="17" t="str">
        <f t="shared" si="16"/>
        <v/>
      </c>
      <c r="AT715" s="1">
        <f>value(IFERROR(SUBSTITUTE(SUBSTITUTE(VLOOKUP($A715,'Quarterly Pipeline vs Target Pi'!$A:$AP,36,false)," $","")," €",""), "")
)</f>
        <v>0</v>
      </c>
      <c r="AU715" s="1">
        <f>value(IFERROR(SUBSTITUTE(SUBSTITUTE(VLOOKUP($A715,'Quarterly Pipeline vs Target Pi'!$A:$AP,37,false)," $","")," €",""), "")
)</f>
        <v>0</v>
      </c>
      <c r="AV715" s="17" t="str">
        <f t="shared" si="17"/>
        <v/>
      </c>
      <c r="AW715" s="1">
        <f>value(IFERROR(SUBSTITUTE(SUBSTITUTE(VLOOKUP($A715,'Quarterly Pipeline vs Target Pi'!$A:$AP,41,false)," $","")," €",""), "")
)</f>
        <v>0</v>
      </c>
      <c r="AX715" s="1">
        <f>value(IFERROR(SUBSTITUTE(SUBSTITUTE(VLOOKUP($A715,'Quarterly Pipeline vs Target Pi'!$A:$AP,42,false)," $","")," €",""), "")
)</f>
        <v>0</v>
      </c>
      <c r="AY715" s="17" t="str">
        <f t="shared" si="18"/>
        <v/>
      </c>
      <c r="AZ715" s="1">
        <f t="shared" ref="AZ715:BA715" si="1437">sum(AN715,AQ715,AT715,AW715)</f>
        <v>0</v>
      </c>
      <c r="BA715" s="1">
        <f t="shared" si="1437"/>
        <v>0</v>
      </c>
      <c r="BB715" s="17" t="str">
        <f t="shared" si="20"/>
        <v/>
      </c>
    </row>
    <row r="716">
      <c r="I716" s="17"/>
      <c r="L716" s="17"/>
      <c r="O716" s="17"/>
      <c r="X716" s="17"/>
      <c r="AA716" s="17"/>
      <c r="AD716" s="19"/>
      <c r="AG716" s="19"/>
      <c r="AJ716" s="19"/>
      <c r="AM716" s="19"/>
      <c r="AN716" s="1">
        <f>value(IFERROR(SUBSTITUTE(SUBSTITUTE(VLOOKUP($A716,'Quarterly Pipeline vs Target Pi'!$A:$AP,26,false)," $","")," €",""), "")
)</f>
        <v>0</v>
      </c>
      <c r="AO716" s="1">
        <f>value(IFERROR(SUBSTITUTE(SUBSTITUTE(VLOOKUP($A716,'Quarterly Pipeline vs Target Pi'!$A:$AP,27,false)," $","")," €",""), "")
)</f>
        <v>0</v>
      </c>
      <c r="AP716" s="17" t="str">
        <f t="shared" si="15"/>
        <v/>
      </c>
      <c r="AQ716" s="1">
        <f>value(IFERROR(SUBSTITUTE(SUBSTITUTE(VLOOKUP($A716,'Quarterly Pipeline vs Target Pi'!$A:$AP,31,false)," $","")," €",""), "")
)</f>
        <v>0</v>
      </c>
      <c r="AR716" s="1">
        <f>value(IFERROR(SUBSTITUTE(SUBSTITUTE(VLOOKUP($A716,'Quarterly Pipeline vs Target Pi'!$A:$AP,32,false)," $","")," €",""), "")
)</f>
        <v>0</v>
      </c>
      <c r="AS716" s="17" t="str">
        <f t="shared" si="16"/>
        <v/>
      </c>
      <c r="AT716" s="1">
        <f>value(IFERROR(SUBSTITUTE(SUBSTITUTE(VLOOKUP($A716,'Quarterly Pipeline vs Target Pi'!$A:$AP,36,false)," $","")," €",""), "")
)</f>
        <v>0</v>
      </c>
      <c r="AU716" s="1">
        <f>value(IFERROR(SUBSTITUTE(SUBSTITUTE(VLOOKUP($A716,'Quarterly Pipeline vs Target Pi'!$A:$AP,37,false)," $","")," €",""), "")
)</f>
        <v>0</v>
      </c>
      <c r="AV716" s="17" t="str">
        <f t="shared" si="17"/>
        <v/>
      </c>
      <c r="AW716" s="1">
        <f>value(IFERROR(SUBSTITUTE(SUBSTITUTE(VLOOKUP($A716,'Quarterly Pipeline vs Target Pi'!$A:$AP,41,false)," $","")," €",""), "")
)</f>
        <v>0</v>
      </c>
      <c r="AX716" s="1">
        <f>value(IFERROR(SUBSTITUTE(SUBSTITUTE(VLOOKUP($A716,'Quarterly Pipeline vs Target Pi'!$A:$AP,42,false)," $","")," €",""), "")
)</f>
        <v>0</v>
      </c>
      <c r="AY716" s="17" t="str">
        <f t="shared" si="18"/>
        <v/>
      </c>
      <c r="AZ716" s="1">
        <f t="shared" ref="AZ716:BA716" si="1438">sum(AN716,AQ716,AT716,AW716)</f>
        <v>0</v>
      </c>
      <c r="BA716" s="1">
        <f t="shared" si="1438"/>
        <v>0</v>
      </c>
      <c r="BB716" s="17" t="str">
        <f t="shared" si="20"/>
        <v/>
      </c>
    </row>
    <row r="717">
      <c r="I717" s="17"/>
      <c r="L717" s="17"/>
      <c r="O717" s="17"/>
      <c r="X717" s="17"/>
      <c r="AA717" s="17"/>
      <c r="AD717" s="19"/>
      <c r="AG717" s="19"/>
      <c r="AJ717" s="19"/>
      <c r="AM717" s="19"/>
      <c r="AN717" s="1">
        <f>value(IFERROR(SUBSTITUTE(SUBSTITUTE(VLOOKUP($A717,'Quarterly Pipeline vs Target Pi'!$A:$AP,26,false)," $","")," €",""), "")
)</f>
        <v>0</v>
      </c>
      <c r="AO717" s="1">
        <f>value(IFERROR(SUBSTITUTE(SUBSTITUTE(VLOOKUP($A717,'Quarterly Pipeline vs Target Pi'!$A:$AP,27,false)," $","")," €",""), "")
)</f>
        <v>0</v>
      </c>
      <c r="AP717" s="17" t="str">
        <f t="shared" si="15"/>
        <v/>
      </c>
      <c r="AQ717" s="1">
        <f>value(IFERROR(SUBSTITUTE(SUBSTITUTE(VLOOKUP($A717,'Quarterly Pipeline vs Target Pi'!$A:$AP,31,false)," $","")," €",""), "")
)</f>
        <v>0</v>
      </c>
      <c r="AR717" s="1">
        <f>value(IFERROR(SUBSTITUTE(SUBSTITUTE(VLOOKUP($A717,'Quarterly Pipeline vs Target Pi'!$A:$AP,32,false)," $","")," €",""), "")
)</f>
        <v>0</v>
      </c>
      <c r="AS717" s="17" t="str">
        <f t="shared" si="16"/>
        <v/>
      </c>
      <c r="AT717" s="1">
        <f>value(IFERROR(SUBSTITUTE(SUBSTITUTE(VLOOKUP($A717,'Quarterly Pipeline vs Target Pi'!$A:$AP,36,false)," $","")," €",""), "")
)</f>
        <v>0</v>
      </c>
      <c r="AU717" s="1">
        <f>value(IFERROR(SUBSTITUTE(SUBSTITUTE(VLOOKUP($A717,'Quarterly Pipeline vs Target Pi'!$A:$AP,37,false)," $","")," €",""), "")
)</f>
        <v>0</v>
      </c>
      <c r="AV717" s="17" t="str">
        <f t="shared" si="17"/>
        <v/>
      </c>
      <c r="AW717" s="1">
        <f>value(IFERROR(SUBSTITUTE(SUBSTITUTE(VLOOKUP($A717,'Quarterly Pipeline vs Target Pi'!$A:$AP,41,false)," $","")," €",""), "")
)</f>
        <v>0</v>
      </c>
      <c r="AX717" s="1">
        <f>value(IFERROR(SUBSTITUTE(SUBSTITUTE(VLOOKUP($A717,'Quarterly Pipeline vs Target Pi'!$A:$AP,42,false)," $","")," €",""), "")
)</f>
        <v>0</v>
      </c>
      <c r="AY717" s="17" t="str">
        <f t="shared" si="18"/>
        <v/>
      </c>
      <c r="AZ717" s="1">
        <f t="shared" ref="AZ717:BA717" si="1439">sum(AN717,AQ717,AT717,AW717)</f>
        <v>0</v>
      </c>
      <c r="BA717" s="1">
        <f t="shared" si="1439"/>
        <v>0</v>
      </c>
      <c r="BB717" s="17" t="str">
        <f t="shared" si="20"/>
        <v/>
      </c>
    </row>
    <row r="718">
      <c r="I718" s="17"/>
      <c r="L718" s="17"/>
      <c r="O718" s="17"/>
      <c r="X718" s="17"/>
      <c r="AA718" s="17"/>
      <c r="AD718" s="19"/>
      <c r="AG718" s="19"/>
      <c r="AJ718" s="19"/>
      <c r="AM718" s="19"/>
      <c r="AN718" s="1">
        <f>value(IFERROR(SUBSTITUTE(SUBSTITUTE(VLOOKUP($A718,'Quarterly Pipeline vs Target Pi'!$A:$AP,26,false)," $","")," €",""), "")
)</f>
        <v>0</v>
      </c>
      <c r="AO718" s="1">
        <f>value(IFERROR(SUBSTITUTE(SUBSTITUTE(VLOOKUP($A718,'Quarterly Pipeline vs Target Pi'!$A:$AP,27,false)," $","")," €",""), "")
)</f>
        <v>0</v>
      </c>
      <c r="AP718" s="17" t="str">
        <f t="shared" si="15"/>
        <v/>
      </c>
      <c r="AQ718" s="1">
        <f>value(IFERROR(SUBSTITUTE(SUBSTITUTE(VLOOKUP($A718,'Quarterly Pipeline vs Target Pi'!$A:$AP,31,false)," $","")," €",""), "")
)</f>
        <v>0</v>
      </c>
      <c r="AR718" s="1">
        <f>value(IFERROR(SUBSTITUTE(SUBSTITUTE(VLOOKUP($A718,'Quarterly Pipeline vs Target Pi'!$A:$AP,32,false)," $","")," €",""), "")
)</f>
        <v>0</v>
      </c>
      <c r="AS718" s="17" t="str">
        <f t="shared" si="16"/>
        <v/>
      </c>
      <c r="AT718" s="1">
        <f>value(IFERROR(SUBSTITUTE(SUBSTITUTE(VLOOKUP($A718,'Quarterly Pipeline vs Target Pi'!$A:$AP,36,false)," $","")," €",""), "")
)</f>
        <v>0</v>
      </c>
      <c r="AU718" s="1">
        <f>value(IFERROR(SUBSTITUTE(SUBSTITUTE(VLOOKUP($A718,'Quarterly Pipeline vs Target Pi'!$A:$AP,37,false)," $","")," €",""), "")
)</f>
        <v>0</v>
      </c>
      <c r="AV718" s="17" t="str">
        <f t="shared" si="17"/>
        <v/>
      </c>
      <c r="AW718" s="1">
        <f>value(IFERROR(SUBSTITUTE(SUBSTITUTE(VLOOKUP($A718,'Quarterly Pipeline vs Target Pi'!$A:$AP,41,false)," $","")," €",""), "")
)</f>
        <v>0</v>
      </c>
      <c r="AX718" s="1">
        <f>value(IFERROR(SUBSTITUTE(SUBSTITUTE(VLOOKUP($A718,'Quarterly Pipeline vs Target Pi'!$A:$AP,42,false)," $","")," €",""), "")
)</f>
        <v>0</v>
      </c>
      <c r="AY718" s="17" t="str">
        <f t="shared" si="18"/>
        <v/>
      </c>
      <c r="AZ718" s="1">
        <f t="shared" ref="AZ718:BA718" si="1440">sum(AN718,AQ718,AT718,AW718)</f>
        <v>0</v>
      </c>
      <c r="BA718" s="1">
        <f t="shared" si="1440"/>
        <v>0</v>
      </c>
      <c r="BB718" s="17" t="str">
        <f t="shared" si="20"/>
        <v/>
      </c>
    </row>
    <row r="719">
      <c r="I719" s="17"/>
      <c r="L719" s="17"/>
      <c r="O719" s="17"/>
      <c r="X719" s="17"/>
      <c r="AA719" s="17"/>
      <c r="AD719" s="19"/>
      <c r="AG719" s="19"/>
      <c r="AJ719" s="19"/>
      <c r="AM719" s="19"/>
      <c r="AN719" s="1">
        <f>value(IFERROR(SUBSTITUTE(SUBSTITUTE(VLOOKUP($A719,'Quarterly Pipeline vs Target Pi'!$A:$AP,26,false)," $","")," €",""), "")
)</f>
        <v>0</v>
      </c>
      <c r="AO719" s="1">
        <f>value(IFERROR(SUBSTITUTE(SUBSTITUTE(VLOOKUP($A719,'Quarterly Pipeline vs Target Pi'!$A:$AP,27,false)," $","")," €",""), "")
)</f>
        <v>0</v>
      </c>
      <c r="AP719" s="17" t="str">
        <f t="shared" si="15"/>
        <v/>
      </c>
      <c r="AQ719" s="1">
        <f>value(IFERROR(SUBSTITUTE(SUBSTITUTE(VLOOKUP($A719,'Quarterly Pipeline vs Target Pi'!$A:$AP,31,false)," $","")," €",""), "")
)</f>
        <v>0</v>
      </c>
      <c r="AR719" s="1">
        <f>value(IFERROR(SUBSTITUTE(SUBSTITUTE(VLOOKUP($A719,'Quarterly Pipeline vs Target Pi'!$A:$AP,32,false)," $","")," €",""), "")
)</f>
        <v>0</v>
      </c>
      <c r="AS719" s="17" t="str">
        <f t="shared" si="16"/>
        <v/>
      </c>
      <c r="AT719" s="1">
        <f>value(IFERROR(SUBSTITUTE(SUBSTITUTE(VLOOKUP($A719,'Quarterly Pipeline vs Target Pi'!$A:$AP,36,false)," $","")," €",""), "")
)</f>
        <v>0</v>
      </c>
      <c r="AU719" s="1">
        <f>value(IFERROR(SUBSTITUTE(SUBSTITUTE(VLOOKUP($A719,'Quarterly Pipeline vs Target Pi'!$A:$AP,37,false)," $","")," €",""), "")
)</f>
        <v>0</v>
      </c>
      <c r="AV719" s="17" t="str">
        <f t="shared" si="17"/>
        <v/>
      </c>
      <c r="AW719" s="1">
        <f>value(IFERROR(SUBSTITUTE(SUBSTITUTE(VLOOKUP($A719,'Quarterly Pipeline vs Target Pi'!$A:$AP,41,false)," $","")," €",""), "")
)</f>
        <v>0</v>
      </c>
      <c r="AX719" s="1">
        <f>value(IFERROR(SUBSTITUTE(SUBSTITUTE(VLOOKUP($A719,'Quarterly Pipeline vs Target Pi'!$A:$AP,42,false)," $","")," €",""), "")
)</f>
        <v>0</v>
      </c>
      <c r="AY719" s="17" t="str">
        <f t="shared" si="18"/>
        <v/>
      </c>
      <c r="AZ719" s="1">
        <f t="shared" ref="AZ719:BA719" si="1441">sum(AN719,AQ719,AT719,AW719)</f>
        <v>0</v>
      </c>
      <c r="BA719" s="1">
        <f t="shared" si="1441"/>
        <v>0</v>
      </c>
      <c r="BB719" s="17" t="str">
        <f t="shared" si="20"/>
        <v/>
      </c>
    </row>
    <row r="720">
      <c r="I720" s="17"/>
      <c r="L720" s="17"/>
      <c r="O720" s="17"/>
      <c r="X720" s="17"/>
      <c r="AA720" s="17"/>
      <c r="AD720" s="19"/>
      <c r="AG720" s="19"/>
      <c r="AJ720" s="19"/>
      <c r="AM720" s="19"/>
      <c r="AN720" s="1">
        <f>value(IFERROR(SUBSTITUTE(SUBSTITUTE(VLOOKUP($A720,'Quarterly Pipeline vs Target Pi'!$A:$AP,26,false)," $","")," €",""), "")
)</f>
        <v>0</v>
      </c>
      <c r="AO720" s="1">
        <f>value(IFERROR(SUBSTITUTE(SUBSTITUTE(VLOOKUP($A720,'Quarterly Pipeline vs Target Pi'!$A:$AP,27,false)," $","")," €",""), "")
)</f>
        <v>0</v>
      </c>
      <c r="AP720" s="17" t="str">
        <f t="shared" si="15"/>
        <v/>
      </c>
      <c r="AQ720" s="1">
        <f>value(IFERROR(SUBSTITUTE(SUBSTITUTE(VLOOKUP($A720,'Quarterly Pipeline vs Target Pi'!$A:$AP,31,false)," $","")," €",""), "")
)</f>
        <v>0</v>
      </c>
      <c r="AR720" s="1">
        <f>value(IFERROR(SUBSTITUTE(SUBSTITUTE(VLOOKUP($A720,'Quarterly Pipeline vs Target Pi'!$A:$AP,32,false)," $","")," €",""), "")
)</f>
        <v>0</v>
      </c>
      <c r="AS720" s="17" t="str">
        <f t="shared" si="16"/>
        <v/>
      </c>
      <c r="AT720" s="1">
        <f>value(IFERROR(SUBSTITUTE(SUBSTITUTE(VLOOKUP($A720,'Quarterly Pipeline vs Target Pi'!$A:$AP,36,false)," $","")," €",""), "")
)</f>
        <v>0</v>
      </c>
      <c r="AU720" s="1">
        <f>value(IFERROR(SUBSTITUTE(SUBSTITUTE(VLOOKUP($A720,'Quarterly Pipeline vs Target Pi'!$A:$AP,37,false)," $","")," €",""), "")
)</f>
        <v>0</v>
      </c>
      <c r="AV720" s="17" t="str">
        <f t="shared" si="17"/>
        <v/>
      </c>
      <c r="AW720" s="1">
        <f>value(IFERROR(SUBSTITUTE(SUBSTITUTE(VLOOKUP($A720,'Quarterly Pipeline vs Target Pi'!$A:$AP,41,false)," $","")," €",""), "")
)</f>
        <v>0</v>
      </c>
      <c r="AX720" s="1">
        <f>value(IFERROR(SUBSTITUTE(SUBSTITUTE(VLOOKUP($A720,'Quarterly Pipeline vs Target Pi'!$A:$AP,42,false)," $","")," €",""), "")
)</f>
        <v>0</v>
      </c>
      <c r="AY720" s="17" t="str">
        <f t="shared" si="18"/>
        <v/>
      </c>
      <c r="AZ720" s="1">
        <f t="shared" ref="AZ720:BA720" si="1442">sum(AN720,AQ720,AT720,AW720)</f>
        <v>0</v>
      </c>
      <c r="BA720" s="1">
        <f t="shared" si="1442"/>
        <v>0</v>
      </c>
      <c r="BB720" s="17" t="str">
        <f t="shared" si="20"/>
        <v/>
      </c>
    </row>
    <row r="721">
      <c r="I721" s="17"/>
      <c r="L721" s="17"/>
      <c r="O721" s="17"/>
      <c r="X721" s="17"/>
      <c r="AA721" s="17"/>
      <c r="AD721" s="19"/>
      <c r="AG721" s="19"/>
      <c r="AJ721" s="19"/>
      <c r="AM721" s="19"/>
      <c r="AN721" s="1">
        <f>value(IFERROR(SUBSTITUTE(SUBSTITUTE(VLOOKUP($A721,'Quarterly Pipeline vs Target Pi'!$A:$AP,26,false)," $","")," €",""), "")
)</f>
        <v>0</v>
      </c>
      <c r="AO721" s="1">
        <f>value(IFERROR(SUBSTITUTE(SUBSTITUTE(VLOOKUP($A721,'Quarterly Pipeline vs Target Pi'!$A:$AP,27,false)," $","")," €",""), "")
)</f>
        <v>0</v>
      </c>
      <c r="AP721" s="17" t="str">
        <f t="shared" si="15"/>
        <v/>
      </c>
      <c r="AQ721" s="1">
        <f>value(IFERROR(SUBSTITUTE(SUBSTITUTE(VLOOKUP($A721,'Quarterly Pipeline vs Target Pi'!$A:$AP,31,false)," $","")," €",""), "")
)</f>
        <v>0</v>
      </c>
      <c r="AR721" s="1">
        <f>value(IFERROR(SUBSTITUTE(SUBSTITUTE(VLOOKUP($A721,'Quarterly Pipeline vs Target Pi'!$A:$AP,32,false)," $","")," €",""), "")
)</f>
        <v>0</v>
      </c>
      <c r="AS721" s="17" t="str">
        <f t="shared" si="16"/>
        <v/>
      </c>
      <c r="AT721" s="1">
        <f>value(IFERROR(SUBSTITUTE(SUBSTITUTE(VLOOKUP($A721,'Quarterly Pipeline vs Target Pi'!$A:$AP,36,false)," $","")," €",""), "")
)</f>
        <v>0</v>
      </c>
      <c r="AU721" s="1">
        <f>value(IFERROR(SUBSTITUTE(SUBSTITUTE(VLOOKUP($A721,'Quarterly Pipeline vs Target Pi'!$A:$AP,37,false)," $","")," €",""), "")
)</f>
        <v>0</v>
      </c>
      <c r="AV721" s="17" t="str">
        <f t="shared" si="17"/>
        <v/>
      </c>
      <c r="AW721" s="1">
        <f>value(IFERROR(SUBSTITUTE(SUBSTITUTE(VLOOKUP($A721,'Quarterly Pipeline vs Target Pi'!$A:$AP,41,false)," $","")," €",""), "")
)</f>
        <v>0</v>
      </c>
      <c r="AX721" s="1">
        <f>value(IFERROR(SUBSTITUTE(SUBSTITUTE(VLOOKUP($A721,'Quarterly Pipeline vs Target Pi'!$A:$AP,42,false)," $","")," €",""), "")
)</f>
        <v>0</v>
      </c>
      <c r="AY721" s="17" t="str">
        <f t="shared" si="18"/>
        <v/>
      </c>
      <c r="AZ721" s="1">
        <f t="shared" ref="AZ721:BA721" si="1443">sum(AN721,AQ721,AT721,AW721)</f>
        <v>0</v>
      </c>
      <c r="BA721" s="1">
        <f t="shared" si="1443"/>
        <v>0</v>
      </c>
      <c r="BB721" s="17" t="str">
        <f t="shared" si="20"/>
        <v/>
      </c>
    </row>
    <row r="722">
      <c r="I722" s="17"/>
      <c r="L722" s="17"/>
      <c r="O722" s="17"/>
      <c r="X722" s="17"/>
      <c r="AA722" s="17"/>
      <c r="AD722" s="19"/>
      <c r="AG722" s="19"/>
      <c r="AJ722" s="19"/>
      <c r="AM722" s="19"/>
      <c r="AN722" s="1">
        <f>value(IFERROR(SUBSTITUTE(SUBSTITUTE(VLOOKUP($A722,'Quarterly Pipeline vs Target Pi'!$A:$AP,26,false)," $","")," €",""), "")
)</f>
        <v>0</v>
      </c>
      <c r="AO722" s="1">
        <f>value(IFERROR(SUBSTITUTE(SUBSTITUTE(VLOOKUP($A722,'Quarterly Pipeline vs Target Pi'!$A:$AP,27,false)," $","")," €",""), "")
)</f>
        <v>0</v>
      </c>
      <c r="AP722" s="17" t="str">
        <f t="shared" si="15"/>
        <v/>
      </c>
      <c r="AQ722" s="1">
        <f>value(IFERROR(SUBSTITUTE(SUBSTITUTE(VLOOKUP($A722,'Quarterly Pipeline vs Target Pi'!$A:$AP,31,false)," $","")," €",""), "")
)</f>
        <v>0</v>
      </c>
      <c r="AR722" s="1">
        <f>value(IFERROR(SUBSTITUTE(SUBSTITUTE(VLOOKUP($A722,'Quarterly Pipeline vs Target Pi'!$A:$AP,32,false)," $","")," €",""), "")
)</f>
        <v>0</v>
      </c>
      <c r="AS722" s="17" t="str">
        <f t="shared" si="16"/>
        <v/>
      </c>
      <c r="AT722" s="1">
        <f>value(IFERROR(SUBSTITUTE(SUBSTITUTE(VLOOKUP($A722,'Quarterly Pipeline vs Target Pi'!$A:$AP,36,false)," $","")," €",""), "")
)</f>
        <v>0</v>
      </c>
      <c r="AU722" s="1">
        <f>value(IFERROR(SUBSTITUTE(SUBSTITUTE(VLOOKUP($A722,'Quarterly Pipeline vs Target Pi'!$A:$AP,37,false)," $","")," €",""), "")
)</f>
        <v>0</v>
      </c>
      <c r="AV722" s="17" t="str">
        <f t="shared" si="17"/>
        <v/>
      </c>
      <c r="AW722" s="1">
        <f>value(IFERROR(SUBSTITUTE(SUBSTITUTE(VLOOKUP($A722,'Quarterly Pipeline vs Target Pi'!$A:$AP,41,false)," $","")," €",""), "")
)</f>
        <v>0</v>
      </c>
      <c r="AX722" s="1">
        <f>value(IFERROR(SUBSTITUTE(SUBSTITUTE(VLOOKUP($A722,'Quarterly Pipeline vs Target Pi'!$A:$AP,42,false)," $","")," €",""), "")
)</f>
        <v>0</v>
      </c>
      <c r="AY722" s="17" t="str">
        <f t="shared" si="18"/>
        <v/>
      </c>
      <c r="AZ722" s="1">
        <f t="shared" ref="AZ722:BA722" si="1444">sum(AN722,AQ722,AT722,AW722)</f>
        <v>0</v>
      </c>
      <c r="BA722" s="1">
        <f t="shared" si="1444"/>
        <v>0</v>
      </c>
      <c r="BB722" s="17" t="str">
        <f t="shared" si="20"/>
        <v/>
      </c>
    </row>
    <row r="723">
      <c r="I723" s="17"/>
      <c r="L723" s="17"/>
      <c r="O723" s="17"/>
      <c r="X723" s="17"/>
      <c r="AA723" s="17"/>
      <c r="AD723" s="19"/>
      <c r="AG723" s="19"/>
      <c r="AJ723" s="19"/>
      <c r="AM723" s="19"/>
      <c r="AN723" s="1">
        <f>value(IFERROR(SUBSTITUTE(SUBSTITUTE(VLOOKUP($A723,'Quarterly Pipeline vs Target Pi'!$A:$AP,26,false)," $","")," €",""), "")
)</f>
        <v>0</v>
      </c>
      <c r="AO723" s="1">
        <f>value(IFERROR(SUBSTITUTE(SUBSTITUTE(VLOOKUP($A723,'Quarterly Pipeline vs Target Pi'!$A:$AP,27,false)," $","")," €",""), "")
)</f>
        <v>0</v>
      </c>
      <c r="AP723" s="17" t="str">
        <f t="shared" si="15"/>
        <v/>
      </c>
      <c r="AQ723" s="1">
        <f>value(IFERROR(SUBSTITUTE(SUBSTITUTE(VLOOKUP($A723,'Quarterly Pipeline vs Target Pi'!$A:$AP,31,false)," $","")," €",""), "")
)</f>
        <v>0</v>
      </c>
      <c r="AR723" s="1">
        <f>value(IFERROR(SUBSTITUTE(SUBSTITUTE(VLOOKUP($A723,'Quarterly Pipeline vs Target Pi'!$A:$AP,32,false)," $","")," €",""), "")
)</f>
        <v>0</v>
      </c>
      <c r="AS723" s="17" t="str">
        <f t="shared" si="16"/>
        <v/>
      </c>
      <c r="AT723" s="1">
        <f>value(IFERROR(SUBSTITUTE(SUBSTITUTE(VLOOKUP($A723,'Quarterly Pipeline vs Target Pi'!$A:$AP,36,false)," $","")," €",""), "")
)</f>
        <v>0</v>
      </c>
      <c r="AU723" s="1">
        <f>value(IFERROR(SUBSTITUTE(SUBSTITUTE(VLOOKUP($A723,'Quarterly Pipeline vs Target Pi'!$A:$AP,37,false)," $","")," €",""), "")
)</f>
        <v>0</v>
      </c>
      <c r="AV723" s="17" t="str">
        <f t="shared" si="17"/>
        <v/>
      </c>
      <c r="AW723" s="1">
        <f>value(IFERROR(SUBSTITUTE(SUBSTITUTE(VLOOKUP($A723,'Quarterly Pipeline vs Target Pi'!$A:$AP,41,false)," $","")," €",""), "")
)</f>
        <v>0</v>
      </c>
      <c r="AX723" s="1">
        <f>value(IFERROR(SUBSTITUTE(SUBSTITUTE(VLOOKUP($A723,'Quarterly Pipeline vs Target Pi'!$A:$AP,42,false)," $","")," €",""), "")
)</f>
        <v>0</v>
      </c>
      <c r="AY723" s="17" t="str">
        <f t="shared" si="18"/>
        <v/>
      </c>
      <c r="AZ723" s="1">
        <f t="shared" ref="AZ723:BA723" si="1445">sum(AN723,AQ723,AT723,AW723)</f>
        <v>0</v>
      </c>
      <c r="BA723" s="1">
        <f t="shared" si="1445"/>
        <v>0</v>
      </c>
      <c r="BB723" s="17" t="str">
        <f t="shared" si="20"/>
        <v/>
      </c>
    </row>
    <row r="724">
      <c r="I724" s="17"/>
      <c r="L724" s="17"/>
      <c r="O724" s="17"/>
      <c r="X724" s="17"/>
      <c r="AA724" s="17"/>
      <c r="AD724" s="19"/>
      <c r="AG724" s="19"/>
      <c r="AJ724" s="19"/>
      <c r="AM724" s="19"/>
      <c r="AN724" s="1">
        <f>value(IFERROR(SUBSTITUTE(SUBSTITUTE(VLOOKUP($A724,'Quarterly Pipeline vs Target Pi'!$A:$AP,26,false)," $","")," €",""), "")
)</f>
        <v>0</v>
      </c>
      <c r="AO724" s="1">
        <f>value(IFERROR(SUBSTITUTE(SUBSTITUTE(VLOOKUP($A724,'Quarterly Pipeline vs Target Pi'!$A:$AP,27,false)," $","")," €",""), "")
)</f>
        <v>0</v>
      </c>
      <c r="AP724" s="17" t="str">
        <f t="shared" si="15"/>
        <v/>
      </c>
      <c r="AQ724" s="1">
        <f>value(IFERROR(SUBSTITUTE(SUBSTITUTE(VLOOKUP($A724,'Quarterly Pipeline vs Target Pi'!$A:$AP,31,false)," $","")," €",""), "")
)</f>
        <v>0</v>
      </c>
      <c r="AR724" s="1">
        <f>value(IFERROR(SUBSTITUTE(SUBSTITUTE(VLOOKUP($A724,'Quarterly Pipeline vs Target Pi'!$A:$AP,32,false)," $","")," €",""), "")
)</f>
        <v>0</v>
      </c>
      <c r="AS724" s="17" t="str">
        <f t="shared" si="16"/>
        <v/>
      </c>
      <c r="AT724" s="1">
        <f>value(IFERROR(SUBSTITUTE(SUBSTITUTE(VLOOKUP($A724,'Quarterly Pipeline vs Target Pi'!$A:$AP,36,false)," $","")," €",""), "")
)</f>
        <v>0</v>
      </c>
      <c r="AU724" s="1">
        <f>value(IFERROR(SUBSTITUTE(SUBSTITUTE(VLOOKUP($A724,'Quarterly Pipeline vs Target Pi'!$A:$AP,37,false)," $","")," €",""), "")
)</f>
        <v>0</v>
      </c>
      <c r="AV724" s="17" t="str">
        <f t="shared" si="17"/>
        <v/>
      </c>
      <c r="AW724" s="1">
        <f>value(IFERROR(SUBSTITUTE(SUBSTITUTE(VLOOKUP($A724,'Quarterly Pipeline vs Target Pi'!$A:$AP,41,false)," $","")," €",""), "")
)</f>
        <v>0</v>
      </c>
      <c r="AX724" s="1">
        <f>value(IFERROR(SUBSTITUTE(SUBSTITUTE(VLOOKUP($A724,'Quarterly Pipeline vs Target Pi'!$A:$AP,42,false)," $","")," €",""), "")
)</f>
        <v>0</v>
      </c>
      <c r="AY724" s="17" t="str">
        <f t="shared" si="18"/>
        <v/>
      </c>
      <c r="AZ724" s="1">
        <f t="shared" ref="AZ724:BA724" si="1446">sum(AN724,AQ724,AT724,AW724)</f>
        <v>0</v>
      </c>
      <c r="BA724" s="1">
        <f t="shared" si="1446"/>
        <v>0</v>
      </c>
      <c r="BB724" s="17" t="str">
        <f t="shared" si="20"/>
        <v/>
      </c>
    </row>
    <row r="725">
      <c r="I725" s="17"/>
      <c r="L725" s="17"/>
      <c r="O725" s="17"/>
      <c r="X725" s="17"/>
      <c r="AA725" s="17"/>
      <c r="AD725" s="19"/>
      <c r="AG725" s="19"/>
      <c r="AJ725" s="19"/>
      <c r="AM725" s="19"/>
      <c r="AN725" s="1">
        <f>value(IFERROR(SUBSTITUTE(SUBSTITUTE(VLOOKUP($A725,'Quarterly Pipeline vs Target Pi'!$A:$AP,26,false)," $","")," €",""), "")
)</f>
        <v>0</v>
      </c>
      <c r="AO725" s="1">
        <f>value(IFERROR(SUBSTITUTE(SUBSTITUTE(VLOOKUP($A725,'Quarterly Pipeline vs Target Pi'!$A:$AP,27,false)," $","")," €",""), "")
)</f>
        <v>0</v>
      </c>
      <c r="AP725" s="17" t="str">
        <f t="shared" si="15"/>
        <v/>
      </c>
      <c r="AQ725" s="1">
        <f>value(IFERROR(SUBSTITUTE(SUBSTITUTE(VLOOKUP($A725,'Quarterly Pipeline vs Target Pi'!$A:$AP,31,false)," $","")," €",""), "")
)</f>
        <v>0</v>
      </c>
      <c r="AR725" s="1">
        <f>value(IFERROR(SUBSTITUTE(SUBSTITUTE(VLOOKUP($A725,'Quarterly Pipeline vs Target Pi'!$A:$AP,32,false)," $","")," €",""), "")
)</f>
        <v>0</v>
      </c>
      <c r="AS725" s="17" t="str">
        <f t="shared" si="16"/>
        <v/>
      </c>
      <c r="AT725" s="1">
        <f>value(IFERROR(SUBSTITUTE(SUBSTITUTE(VLOOKUP($A725,'Quarterly Pipeline vs Target Pi'!$A:$AP,36,false)," $","")," €",""), "")
)</f>
        <v>0</v>
      </c>
      <c r="AU725" s="1">
        <f>value(IFERROR(SUBSTITUTE(SUBSTITUTE(VLOOKUP($A725,'Quarterly Pipeline vs Target Pi'!$A:$AP,37,false)," $","")," €",""), "")
)</f>
        <v>0</v>
      </c>
      <c r="AV725" s="17" t="str">
        <f t="shared" si="17"/>
        <v/>
      </c>
      <c r="AW725" s="1">
        <f>value(IFERROR(SUBSTITUTE(SUBSTITUTE(VLOOKUP($A725,'Quarterly Pipeline vs Target Pi'!$A:$AP,41,false)," $","")," €",""), "")
)</f>
        <v>0</v>
      </c>
      <c r="AX725" s="1">
        <f>value(IFERROR(SUBSTITUTE(SUBSTITUTE(VLOOKUP($A725,'Quarterly Pipeline vs Target Pi'!$A:$AP,42,false)," $","")," €",""), "")
)</f>
        <v>0</v>
      </c>
      <c r="AY725" s="17" t="str">
        <f t="shared" si="18"/>
        <v/>
      </c>
      <c r="AZ725" s="1">
        <f t="shared" ref="AZ725:BA725" si="1447">sum(AN725,AQ725,AT725,AW725)</f>
        <v>0</v>
      </c>
      <c r="BA725" s="1">
        <f t="shared" si="1447"/>
        <v>0</v>
      </c>
      <c r="BB725" s="17" t="str">
        <f t="shared" si="20"/>
        <v/>
      </c>
    </row>
    <row r="726">
      <c r="I726" s="17"/>
      <c r="L726" s="17"/>
      <c r="O726" s="17"/>
      <c r="X726" s="17"/>
      <c r="AA726" s="17"/>
      <c r="AD726" s="19"/>
      <c r="AG726" s="19"/>
      <c r="AJ726" s="19"/>
      <c r="AM726" s="19"/>
      <c r="AN726" s="1">
        <f>value(IFERROR(SUBSTITUTE(SUBSTITUTE(VLOOKUP($A726,'Quarterly Pipeline vs Target Pi'!$A:$AP,26,false)," $","")," €",""), "")
)</f>
        <v>0</v>
      </c>
      <c r="AO726" s="1">
        <f>value(IFERROR(SUBSTITUTE(SUBSTITUTE(VLOOKUP($A726,'Quarterly Pipeline vs Target Pi'!$A:$AP,27,false)," $","")," €",""), "")
)</f>
        <v>0</v>
      </c>
      <c r="AP726" s="17" t="str">
        <f t="shared" si="15"/>
        <v/>
      </c>
      <c r="AQ726" s="1">
        <f>value(IFERROR(SUBSTITUTE(SUBSTITUTE(VLOOKUP($A726,'Quarterly Pipeline vs Target Pi'!$A:$AP,31,false)," $","")," €",""), "")
)</f>
        <v>0</v>
      </c>
      <c r="AR726" s="1">
        <f>value(IFERROR(SUBSTITUTE(SUBSTITUTE(VLOOKUP($A726,'Quarterly Pipeline vs Target Pi'!$A:$AP,32,false)," $","")," €",""), "")
)</f>
        <v>0</v>
      </c>
      <c r="AS726" s="17" t="str">
        <f t="shared" si="16"/>
        <v/>
      </c>
      <c r="AT726" s="1">
        <f>value(IFERROR(SUBSTITUTE(SUBSTITUTE(VLOOKUP($A726,'Quarterly Pipeline vs Target Pi'!$A:$AP,36,false)," $","")," €",""), "")
)</f>
        <v>0</v>
      </c>
      <c r="AU726" s="1">
        <f>value(IFERROR(SUBSTITUTE(SUBSTITUTE(VLOOKUP($A726,'Quarterly Pipeline vs Target Pi'!$A:$AP,37,false)," $","")," €",""), "")
)</f>
        <v>0</v>
      </c>
      <c r="AV726" s="17" t="str">
        <f t="shared" si="17"/>
        <v/>
      </c>
      <c r="AW726" s="1">
        <f>value(IFERROR(SUBSTITUTE(SUBSTITUTE(VLOOKUP($A726,'Quarterly Pipeline vs Target Pi'!$A:$AP,41,false)," $","")," €",""), "")
)</f>
        <v>0</v>
      </c>
      <c r="AX726" s="1">
        <f>value(IFERROR(SUBSTITUTE(SUBSTITUTE(VLOOKUP($A726,'Quarterly Pipeline vs Target Pi'!$A:$AP,42,false)," $","")," €",""), "")
)</f>
        <v>0</v>
      </c>
      <c r="AY726" s="17" t="str">
        <f t="shared" si="18"/>
        <v/>
      </c>
      <c r="AZ726" s="1">
        <f t="shared" ref="AZ726:BA726" si="1448">sum(AN726,AQ726,AT726,AW726)</f>
        <v>0</v>
      </c>
      <c r="BA726" s="1">
        <f t="shared" si="1448"/>
        <v>0</v>
      </c>
      <c r="BB726" s="17" t="str">
        <f t="shared" si="20"/>
        <v/>
      </c>
    </row>
    <row r="727">
      <c r="I727" s="17"/>
      <c r="L727" s="17"/>
      <c r="O727" s="17"/>
      <c r="X727" s="17"/>
      <c r="AA727" s="17"/>
      <c r="AD727" s="19"/>
      <c r="AG727" s="19"/>
      <c r="AJ727" s="19"/>
      <c r="AM727" s="19"/>
      <c r="AN727" s="1">
        <f>value(IFERROR(SUBSTITUTE(SUBSTITUTE(VLOOKUP($A727,'Quarterly Pipeline vs Target Pi'!$A:$AP,26,false)," $","")," €",""), "")
)</f>
        <v>0</v>
      </c>
      <c r="AO727" s="1">
        <f>value(IFERROR(SUBSTITUTE(SUBSTITUTE(VLOOKUP($A727,'Quarterly Pipeline vs Target Pi'!$A:$AP,27,false)," $","")," €",""), "")
)</f>
        <v>0</v>
      </c>
      <c r="AP727" s="17" t="str">
        <f t="shared" si="15"/>
        <v/>
      </c>
      <c r="AQ727" s="1">
        <f>value(IFERROR(SUBSTITUTE(SUBSTITUTE(VLOOKUP($A727,'Quarterly Pipeline vs Target Pi'!$A:$AP,31,false)," $","")," €",""), "")
)</f>
        <v>0</v>
      </c>
      <c r="AR727" s="1">
        <f>value(IFERROR(SUBSTITUTE(SUBSTITUTE(VLOOKUP($A727,'Quarterly Pipeline vs Target Pi'!$A:$AP,32,false)," $","")," €",""), "")
)</f>
        <v>0</v>
      </c>
      <c r="AS727" s="17" t="str">
        <f t="shared" si="16"/>
        <v/>
      </c>
      <c r="AT727" s="1">
        <f>value(IFERROR(SUBSTITUTE(SUBSTITUTE(VLOOKUP($A727,'Quarterly Pipeline vs Target Pi'!$A:$AP,36,false)," $","")," €",""), "")
)</f>
        <v>0</v>
      </c>
      <c r="AU727" s="1">
        <f>value(IFERROR(SUBSTITUTE(SUBSTITUTE(VLOOKUP($A727,'Quarterly Pipeline vs Target Pi'!$A:$AP,37,false)," $","")," €",""), "")
)</f>
        <v>0</v>
      </c>
      <c r="AV727" s="17" t="str">
        <f t="shared" si="17"/>
        <v/>
      </c>
      <c r="AW727" s="1">
        <f>value(IFERROR(SUBSTITUTE(SUBSTITUTE(VLOOKUP($A727,'Quarterly Pipeline vs Target Pi'!$A:$AP,41,false)," $","")," €",""), "")
)</f>
        <v>0</v>
      </c>
      <c r="AX727" s="1">
        <f>value(IFERROR(SUBSTITUTE(SUBSTITUTE(VLOOKUP($A727,'Quarterly Pipeline vs Target Pi'!$A:$AP,42,false)," $","")," €",""), "")
)</f>
        <v>0</v>
      </c>
      <c r="AY727" s="17" t="str">
        <f t="shared" si="18"/>
        <v/>
      </c>
      <c r="AZ727" s="1">
        <f t="shared" ref="AZ727:BA727" si="1449">sum(AN727,AQ727,AT727,AW727)</f>
        <v>0</v>
      </c>
      <c r="BA727" s="1">
        <f t="shared" si="1449"/>
        <v>0</v>
      </c>
      <c r="BB727" s="17" t="str">
        <f t="shared" si="20"/>
        <v/>
      </c>
    </row>
    <row r="728">
      <c r="I728" s="17"/>
      <c r="L728" s="17"/>
      <c r="O728" s="17"/>
      <c r="X728" s="17"/>
      <c r="AA728" s="17"/>
      <c r="AD728" s="19"/>
      <c r="AG728" s="19"/>
      <c r="AJ728" s="19"/>
      <c r="AM728" s="19"/>
      <c r="AN728" s="1">
        <f>value(IFERROR(SUBSTITUTE(SUBSTITUTE(VLOOKUP($A728,'Quarterly Pipeline vs Target Pi'!$A:$AP,26,false)," $","")," €",""), "")
)</f>
        <v>0</v>
      </c>
      <c r="AO728" s="1">
        <f>value(IFERROR(SUBSTITUTE(SUBSTITUTE(VLOOKUP($A728,'Quarterly Pipeline vs Target Pi'!$A:$AP,27,false)," $","")," €",""), "")
)</f>
        <v>0</v>
      </c>
      <c r="AP728" s="17" t="str">
        <f t="shared" si="15"/>
        <v/>
      </c>
      <c r="AQ728" s="1">
        <f>value(IFERROR(SUBSTITUTE(SUBSTITUTE(VLOOKUP($A728,'Quarterly Pipeline vs Target Pi'!$A:$AP,31,false)," $","")," €",""), "")
)</f>
        <v>0</v>
      </c>
      <c r="AR728" s="1">
        <f>value(IFERROR(SUBSTITUTE(SUBSTITUTE(VLOOKUP($A728,'Quarterly Pipeline vs Target Pi'!$A:$AP,32,false)," $","")," €",""), "")
)</f>
        <v>0</v>
      </c>
      <c r="AS728" s="17" t="str">
        <f t="shared" si="16"/>
        <v/>
      </c>
      <c r="AT728" s="1">
        <f>value(IFERROR(SUBSTITUTE(SUBSTITUTE(VLOOKUP($A728,'Quarterly Pipeline vs Target Pi'!$A:$AP,36,false)," $","")," €",""), "")
)</f>
        <v>0</v>
      </c>
      <c r="AU728" s="1">
        <f>value(IFERROR(SUBSTITUTE(SUBSTITUTE(VLOOKUP($A728,'Quarterly Pipeline vs Target Pi'!$A:$AP,37,false)," $","")," €",""), "")
)</f>
        <v>0</v>
      </c>
      <c r="AV728" s="17" t="str">
        <f t="shared" si="17"/>
        <v/>
      </c>
      <c r="AW728" s="1">
        <f>value(IFERROR(SUBSTITUTE(SUBSTITUTE(VLOOKUP($A728,'Quarterly Pipeline vs Target Pi'!$A:$AP,41,false)," $","")," €",""), "")
)</f>
        <v>0</v>
      </c>
      <c r="AX728" s="1">
        <f>value(IFERROR(SUBSTITUTE(SUBSTITUTE(VLOOKUP($A728,'Quarterly Pipeline vs Target Pi'!$A:$AP,42,false)," $","")," €",""), "")
)</f>
        <v>0</v>
      </c>
      <c r="AY728" s="17" t="str">
        <f t="shared" si="18"/>
        <v/>
      </c>
      <c r="AZ728" s="1">
        <f t="shared" ref="AZ728:BA728" si="1450">sum(AN728,AQ728,AT728,AW728)</f>
        <v>0</v>
      </c>
      <c r="BA728" s="1">
        <f t="shared" si="1450"/>
        <v>0</v>
      </c>
      <c r="BB728" s="17" t="str">
        <f t="shared" si="20"/>
        <v/>
      </c>
    </row>
    <row r="729">
      <c r="I729" s="17"/>
      <c r="L729" s="17"/>
      <c r="O729" s="17"/>
      <c r="X729" s="17"/>
      <c r="AA729" s="17"/>
      <c r="AD729" s="19"/>
      <c r="AG729" s="19"/>
      <c r="AJ729" s="19"/>
      <c r="AM729" s="19"/>
      <c r="AN729" s="1">
        <f>value(IFERROR(SUBSTITUTE(SUBSTITUTE(VLOOKUP($A729,'Quarterly Pipeline vs Target Pi'!$A:$AP,26,false)," $","")," €",""), "")
)</f>
        <v>0</v>
      </c>
      <c r="AO729" s="1">
        <f>value(IFERROR(SUBSTITUTE(SUBSTITUTE(VLOOKUP($A729,'Quarterly Pipeline vs Target Pi'!$A:$AP,27,false)," $","")," €",""), "")
)</f>
        <v>0</v>
      </c>
      <c r="AP729" s="17" t="str">
        <f t="shared" si="15"/>
        <v/>
      </c>
      <c r="AQ729" s="1">
        <f>value(IFERROR(SUBSTITUTE(SUBSTITUTE(VLOOKUP($A729,'Quarterly Pipeline vs Target Pi'!$A:$AP,31,false)," $","")," €",""), "")
)</f>
        <v>0</v>
      </c>
      <c r="AR729" s="1">
        <f>value(IFERROR(SUBSTITUTE(SUBSTITUTE(VLOOKUP($A729,'Quarterly Pipeline vs Target Pi'!$A:$AP,32,false)," $","")," €",""), "")
)</f>
        <v>0</v>
      </c>
      <c r="AS729" s="17" t="str">
        <f t="shared" si="16"/>
        <v/>
      </c>
      <c r="AT729" s="1">
        <f>value(IFERROR(SUBSTITUTE(SUBSTITUTE(VLOOKUP($A729,'Quarterly Pipeline vs Target Pi'!$A:$AP,36,false)," $","")," €",""), "")
)</f>
        <v>0</v>
      </c>
      <c r="AU729" s="1">
        <f>value(IFERROR(SUBSTITUTE(SUBSTITUTE(VLOOKUP($A729,'Quarterly Pipeline vs Target Pi'!$A:$AP,37,false)," $","")," €",""), "")
)</f>
        <v>0</v>
      </c>
      <c r="AV729" s="17" t="str">
        <f t="shared" si="17"/>
        <v/>
      </c>
      <c r="AW729" s="1">
        <f>value(IFERROR(SUBSTITUTE(SUBSTITUTE(VLOOKUP($A729,'Quarterly Pipeline vs Target Pi'!$A:$AP,41,false)," $","")," €",""), "")
)</f>
        <v>0</v>
      </c>
      <c r="AX729" s="1">
        <f>value(IFERROR(SUBSTITUTE(SUBSTITUTE(VLOOKUP($A729,'Quarterly Pipeline vs Target Pi'!$A:$AP,42,false)," $","")," €",""), "")
)</f>
        <v>0</v>
      </c>
      <c r="AY729" s="17" t="str">
        <f t="shared" si="18"/>
        <v/>
      </c>
      <c r="AZ729" s="1">
        <f t="shared" ref="AZ729:BA729" si="1451">sum(AN729,AQ729,AT729,AW729)</f>
        <v>0</v>
      </c>
      <c r="BA729" s="1">
        <f t="shared" si="1451"/>
        <v>0</v>
      </c>
      <c r="BB729" s="17" t="str">
        <f t="shared" si="20"/>
        <v/>
      </c>
    </row>
    <row r="730">
      <c r="I730" s="17"/>
      <c r="L730" s="17"/>
      <c r="O730" s="17"/>
      <c r="X730" s="17"/>
      <c r="AA730" s="17"/>
      <c r="AD730" s="19"/>
      <c r="AG730" s="19"/>
      <c r="AJ730" s="19"/>
      <c r="AM730" s="19"/>
      <c r="AN730" s="1">
        <f>value(IFERROR(SUBSTITUTE(SUBSTITUTE(VLOOKUP($A730,'Quarterly Pipeline vs Target Pi'!$A:$AP,26,false)," $","")," €",""), "")
)</f>
        <v>0</v>
      </c>
      <c r="AO730" s="1">
        <f>value(IFERROR(SUBSTITUTE(SUBSTITUTE(VLOOKUP($A730,'Quarterly Pipeline vs Target Pi'!$A:$AP,27,false)," $","")," €",""), "")
)</f>
        <v>0</v>
      </c>
      <c r="AP730" s="17" t="str">
        <f t="shared" si="15"/>
        <v/>
      </c>
      <c r="AQ730" s="1">
        <f>value(IFERROR(SUBSTITUTE(SUBSTITUTE(VLOOKUP($A730,'Quarterly Pipeline vs Target Pi'!$A:$AP,31,false)," $","")," €",""), "")
)</f>
        <v>0</v>
      </c>
      <c r="AR730" s="1">
        <f>value(IFERROR(SUBSTITUTE(SUBSTITUTE(VLOOKUP($A730,'Quarterly Pipeline vs Target Pi'!$A:$AP,32,false)," $","")," €",""), "")
)</f>
        <v>0</v>
      </c>
      <c r="AS730" s="17" t="str">
        <f t="shared" si="16"/>
        <v/>
      </c>
      <c r="AT730" s="1">
        <f>value(IFERROR(SUBSTITUTE(SUBSTITUTE(VLOOKUP($A730,'Quarterly Pipeline vs Target Pi'!$A:$AP,36,false)," $","")," €",""), "")
)</f>
        <v>0</v>
      </c>
      <c r="AU730" s="1">
        <f>value(IFERROR(SUBSTITUTE(SUBSTITUTE(VLOOKUP($A730,'Quarterly Pipeline vs Target Pi'!$A:$AP,37,false)," $","")," €",""), "")
)</f>
        <v>0</v>
      </c>
      <c r="AV730" s="17" t="str">
        <f t="shared" si="17"/>
        <v/>
      </c>
      <c r="AW730" s="1">
        <f>value(IFERROR(SUBSTITUTE(SUBSTITUTE(VLOOKUP($A730,'Quarterly Pipeline vs Target Pi'!$A:$AP,41,false)," $","")," €",""), "")
)</f>
        <v>0</v>
      </c>
      <c r="AX730" s="1">
        <f>value(IFERROR(SUBSTITUTE(SUBSTITUTE(VLOOKUP($A730,'Quarterly Pipeline vs Target Pi'!$A:$AP,42,false)," $","")," €",""), "")
)</f>
        <v>0</v>
      </c>
      <c r="AY730" s="17" t="str">
        <f t="shared" si="18"/>
        <v/>
      </c>
      <c r="AZ730" s="1">
        <f t="shared" ref="AZ730:BA730" si="1452">sum(AN730,AQ730,AT730,AW730)</f>
        <v>0</v>
      </c>
      <c r="BA730" s="1">
        <f t="shared" si="1452"/>
        <v>0</v>
      </c>
      <c r="BB730" s="17" t="str">
        <f t="shared" si="20"/>
        <v/>
      </c>
    </row>
    <row r="731">
      <c r="I731" s="17"/>
      <c r="L731" s="17"/>
      <c r="O731" s="17"/>
      <c r="X731" s="17"/>
      <c r="AA731" s="17"/>
      <c r="AD731" s="19"/>
      <c r="AG731" s="19"/>
      <c r="AJ731" s="19"/>
      <c r="AM731" s="19"/>
      <c r="AN731" s="1">
        <f>value(IFERROR(SUBSTITUTE(SUBSTITUTE(VLOOKUP($A731,'Quarterly Pipeline vs Target Pi'!$A:$AP,26,false)," $","")," €",""), "")
)</f>
        <v>0</v>
      </c>
      <c r="AO731" s="1">
        <f>value(IFERROR(SUBSTITUTE(SUBSTITUTE(VLOOKUP($A731,'Quarterly Pipeline vs Target Pi'!$A:$AP,27,false)," $","")," €",""), "")
)</f>
        <v>0</v>
      </c>
      <c r="AP731" s="17" t="str">
        <f t="shared" si="15"/>
        <v/>
      </c>
      <c r="AQ731" s="1">
        <f>value(IFERROR(SUBSTITUTE(SUBSTITUTE(VLOOKUP($A731,'Quarterly Pipeline vs Target Pi'!$A:$AP,31,false)," $","")," €",""), "")
)</f>
        <v>0</v>
      </c>
      <c r="AR731" s="1">
        <f>value(IFERROR(SUBSTITUTE(SUBSTITUTE(VLOOKUP($A731,'Quarterly Pipeline vs Target Pi'!$A:$AP,32,false)," $","")," €",""), "")
)</f>
        <v>0</v>
      </c>
      <c r="AS731" s="17" t="str">
        <f t="shared" si="16"/>
        <v/>
      </c>
      <c r="AT731" s="1">
        <f>value(IFERROR(SUBSTITUTE(SUBSTITUTE(VLOOKUP($A731,'Quarterly Pipeline vs Target Pi'!$A:$AP,36,false)," $","")," €",""), "")
)</f>
        <v>0</v>
      </c>
      <c r="AU731" s="1">
        <f>value(IFERROR(SUBSTITUTE(SUBSTITUTE(VLOOKUP($A731,'Quarterly Pipeline vs Target Pi'!$A:$AP,37,false)," $","")," €",""), "")
)</f>
        <v>0</v>
      </c>
      <c r="AV731" s="17" t="str">
        <f t="shared" si="17"/>
        <v/>
      </c>
      <c r="AW731" s="1">
        <f>value(IFERROR(SUBSTITUTE(SUBSTITUTE(VLOOKUP($A731,'Quarterly Pipeline vs Target Pi'!$A:$AP,41,false)," $","")," €",""), "")
)</f>
        <v>0</v>
      </c>
      <c r="AX731" s="1">
        <f>value(IFERROR(SUBSTITUTE(SUBSTITUTE(VLOOKUP($A731,'Quarterly Pipeline vs Target Pi'!$A:$AP,42,false)," $","")," €",""), "")
)</f>
        <v>0</v>
      </c>
      <c r="AY731" s="17" t="str">
        <f t="shared" si="18"/>
        <v/>
      </c>
      <c r="AZ731" s="1">
        <f t="shared" ref="AZ731:BA731" si="1453">sum(AN731,AQ731,AT731,AW731)</f>
        <v>0</v>
      </c>
      <c r="BA731" s="1">
        <f t="shared" si="1453"/>
        <v>0</v>
      </c>
      <c r="BB731" s="17" t="str">
        <f t="shared" si="20"/>
        <v/>
      </c>
    </row>
    <row r="732">
      <c r="I732" s="17"/>
      <c r="L732" s="17"/>
      <c r="O732" s="17"/>
      <c r="X732" s="17"/>
      <c r="AA732" s="17"/>
      <c r="AD732" s="19"/>
      <c r="AG732" s="19"/>
      <c r="AJ732" s="19"/>
      <c r="AM732" s="19"/>
      <c r="AN732" s="1">
        <f>value(IFERROR(SUBSTITUTE(SUBSTITUTE(VLOOKUP($A732,'Quarterly Pipeline vs Target Pi'!$A:$AP,26,false)," $","")," €",""), "")
)</f>
        <v>0</v>
      </c>
      <c r="AO732" s="1">
        <f>value(IFERROR(SUBSTITUTE(SUBSTITUTE(VLOOKUP($A732,'Quarterly Pipeline vs Target Pi'!$A:$AP,27,false)," $","")," €",""), "")
)</f>
        <v>0</v>
      </c>
      <c r="AP732" s="17" t="str">
        <f t="shared" si="15"/>
        <v/>
      </c>
      <c r="AQ732" s="1">
        <f>value(IFERROR(SUBSTITUTE(SUBSTITUTE(VLOOKUP($A732,'Quarterly Pipeline vs Target Pi'!$A:$AP,31,false)," $","")," €",""), "")
)</f>
        <v>0</v>
      </c>
      <c r="AR732" s="1">
        <f>value(IFERROR(SUBSTITUTE(SUBSTITUTE(VLOOKUP($A732,'Quarterly Pipeline vs Target Pi'!$A:$AP,32,false)," $","")," €",""), "")
)</f>
        <v>0</v>
      </c>
      <c r="AS732" s="17" t="str">
        <f t="shared" si="16"/>
        <v/>
      </c>
      <c r="AT732" s="1">
        <f>value(IFERROR(SUBSTITUTE(SUBSTITUTE(VLOOKUP($A732,'Quarterly Pipeline vs Target Pi'!$A:$AP,36,false)," $","")," €",""), "")
)</f>
        <v>0</v>
      </c>
      <c r="AU732" s="1">
        <f>value(IFERROR(SUBSTITUTE(SUBSTITUTE(VLOOKUP($A732,'Quarterly Pipeline vs Target Pi'!$A:$AP,37,false)," $","")," €",""), "")
)</f>
        <v>0</v>
      </c>
      <c r="AV732" s="17" t="str">
        <f t="shared" si="17"/>
        <v/>
      </c>
      <c r="AW732" s="1">
        <f>value(IFERROR(SUBSTITUTE(SUBSTITUTE(VLOOKUP($A732,'Quarterly Pipeline vs Target Pi'!$A:$AP,41,false)," $","")," €",""), "")
)</f>
        <v>0</v>
      </c>
      <c r="AX732" s="1">
        <f>value(IFERROR(SUBSTITUTE(SUBSTITUTE(VLOOKUP($A732,'Quarterly Pipeline vs Target Pi'!$A:$AP,42,false)," $","")," €",""), "")
)</f>
        <v>0</v>
      </c>
      <c r="AY732" s="17" t="str">
        <f t="shared" si="18"/>
        <v/>
      </c>
      <c r="AZ732" s="1">
        <f t="shared" ref="AZ732:BA732" si="1454">sum(AN732,AQ732,AT732,AW732)</f>
        <v>0</v>
      </c>
      <c r="BA732" s="1">
        <f t="shared" si="1454"/>
        <v>0</v>
      </c>
      <c r="BB732" s="17" t="str">
        <f t="shared" si="20"/>
        <v/>
      </c>
    </row>
    <row r="733">
      <c r="I733" s="17"/>
      <c r="L733" s="17"/>
      <c r="O733" s="17"/>
      <c r="X733" s="17"/>
      <c r="AA733" s="17"/>
      <c r="AD733" s="19"/>
      <c r="AG733" s="19"/>
      <c r="AJ733" s="19"/>
      <c r="AM733" s="19"/>
      <c r="AN733" s="1">
        <f>value(IFERROR(SUBSTITUTE(SUBSTITUTE(VLOOKUP($A733,'Quarterly Pipeline vs Target Pi'!$A:$AP,26,false)," $","")," €",""), "")
)</f>
        <v>0</v>
      </c>
      <c r="AO733" s="1">
        <f>value(IFERROR(SUBSTITUTE(SUBSTITUTE(VLOOKUP($A733,'Quarterly Pipeline vs Target Pi'!$A:$AP,27,false)," $","")," €",""), "")
)</f>
        <v>0</v>
      </c>
      <c r="AP733" s="17" t="str">
        <f t="shared" si="15"/>
        <v/>
      </c>
      <c r="AQ733" s="1">
        <f>value(IFERROR(SUBSTITUTE(SUBSTITUTE(VLOOKUP($A733,'Quarterly Pipeline vs Target Pi'!$A:$AP,31,false)," $","")," €",""), "")
)</f>
        <v>0</v>
      </c>
      <c r="AR733" s="1">
        <f>value(IFERROR(SUBSTITUTE(SUBSTITUTE(VLOOKUP($A733,'Quarterly Pipeline vs Target Pi'!$A:$AP,32,false)," $","")," €",""), "")
)</f>
        <v>0</v>
      </c>
      <c r="AS733" s="17" t="str">
        <f t="shared" si="16"/>
        <v/>
      </c>
      <c r="AT733" s="1">
        <f>value(IFERROR(SUBSTITUTE(SUBSTITUTE(VLOOKUP($A733,'Quarterly Pipeline vs Target Pi'!$A:$AP,36,false)," $","")," €",""), "")
)</f>
        <v>0</v>
      </c>
      <c r="AU733" s="1">
        <f>value(IFERROR(SUBSTITUTE(SUBSTITUTE(VLOOKUP($A733,'Quarterly Pipeline vs Target Pi'!$A:$AP,37,false)," $","")," €",""), "")
)</f>
        <v>0</v>
      </c>
      <c r="AV733" s="17" t="str">
        <f t="shared" si="17"/>
        <v/>
      </c>
      <c r="AW733" s="1">
        <f>value(IFERROR(SUBSTITUTE(SUBSTITUTE(VLOOKUP($A733,'Quarterly Pipeline vs Target Pi'!$A:$AP,41,false)," $","")," €",""), "")
)</f>
        <v>0</v>
      </c>
      <c r="AX733" s="1">
        <f>value(IFERROR(SUBSTITUTE(SUBSTITUTE(VLOOKUP($A733,'Quarterly Pipeline vs Target Pi'!$A:$AP,42,false)," $","")," €",""), "")
)</f>
        <v>0</v>
      </c>
      <c r="AY733" s="17" t="str">
        <f t="shared" si="18"/>
        <v/>
      </c>
      <c r="AZ733" s="1">
        <f t="shared" ref="AZ733:BA733" si="1455">sum(AN733,AQ733,AT733,AW733)</f>
        <v>0</v>
      </c>
      <c r="BA733" s="1">
        <f t="shared" si="1455"/>
        <v>0</v>
      </c>
      <c r="BB733" s="17" t="str">
        <f t="shared" si="20"/>
        <v/>
      </c>
    </row>
    <row r="734">
      <c r="I734" s="17"/>
      <c r="L734" s="17"/>
      <c r="O734" s="17"/>
      <c r="X734" s="17"/>
      <c r="AA734" s="17"/>
      <c r="AD734" s="19"/>
      <c r="AG734" s="19"/>
      <c r="AJ734" s="19"/>
      <c r="AM734" s="19"/>
      <c r="AN734" s="1">
        <f>value(IFERROR(SUBSTITUTE(SUBSTITUTE(VLOOKUP($A734,'Quarterly Pipeline vs Target Pi'!$A:$AP,26,false)," $","")," €",""), "")
)</f>
        <v>0</v>
      </c>
      <c r="AO734" s="1">
        <f>value(IFERROR(SUBSTITUTE(SUBSTITUTE(VLOOKUP($A734,'Quarterly Pipeline vs Target Pi'!$A:$AP,27,false)," $","")," €",""), "")
)</f>
        <v>0</v>
      </c>
      <c r="AP734" s="17" t="str">
        <f t="shared" si="15"/>
        <v/>
      </c>
      <c r="AQ734" s="1">
        <f>value(IFERROR(SUBSTITUTE(SUBSTITUTE(VLOOKUP($A734,'Quarterly Pipeline vs Target Pi'!$A:$AP,31,false)," $","")," €",""), "")
)</f>
        <v>0</v>
      </c>
      <c r="AR734" s="1">
        <f>value(IFERROR(SUBSTITUTE(SUBSTITUTE(VLOOKUP($A734,'Quarterly Pipeline vs Target Pi'!$A:$AP,32,false)," $","")," €",""), "")
)</f>
        <v>0</v>
      </c>
      <c r="AS734" s="17" t="str">
        <f t="shared" si="16"/>
        <v/>
      </c>
      <c r="AT734" s="1">
        <f>value(IFERROR(SUBSTITUTE(SUBSTITUTE(VLOOKUP($A734,'Quarterly Pipeline vs Target Pi'!$A:$AP,36,false)," $","")," €",""), "")
)</f>
        <v>0</v>
      </c>
      <c r="AU734" s="1">
        <f>value(IFERROR(SUBSTITUTE(SUBSTITUTE(VLOOKUP($A734,'Quarterly Pipeline vs Target Pi'!$A:$AP,37,false)," $","")," €",""), "")
)</f>
        <v>0</v>
      </c>
      <c r="AV734" s="17" t="str">
        <f t="shared" si="17"/>
        <v/>
      </c>
      <c r="AW734" s="1">
        <f>value(IFERROR(SUBSTITUTE(SUBSTITUTE(VLOOKUP($A734,'Quarterly Pipeline vs Target Pi'!$A:$AP,41,false)," $","")," €",""), "")
)</f>
        <v>0</v>
      </c>
      <c r="AX734" s="1">
        <f>value(IFERROR(SUBSTITUTE(SUBSTITUTE(VLOOKUP($A734,'Quarterly Pipeline vs Target Pi'!$A:$AP,42,false)," $","")," €",""), "")
)</f>
        <v>0</v>
      </c>
      <c r="AY734" s="17" t="str">
        <f t="shared" si="18"/>
        <v/>
      </c>
      <c r="AZ734" s="1">
        <f t="shared" ref="AZ734:BA734" si="1456">sum(AN734,AQ734,AT734,AW734)</f>
        <v>0</v>
      </c>
      <c r="BA734" s="1">
        <f t="shared" si="1456"/>
        <v>0</v>
      </c>
      <c r="BB734" s="17" t="str">
        <f t="shared" si="20"/>
        <v/>
      </c>
    </row>
    <row r="735">
      <c r="I735" s="17"/>
      <c r="L735" s="17"/>
      <c r="O735" s="17"/>
      <c r="X735" s="17"/>
      <c r="AA735" s="17"/>
      <c r="AD735" s="19"/>
      <c r="AG735" s="19"/>
      <c r="AJ735" s="19"/>
      <c r="AM735" s="19"/>
      <c r="AN735" s="1">
        <f>value(IFERROR(SUBSTITUTE(SUBSTITUTE(VLOOKUP($A735,'Quarterly Pipeline vs Target Pi'!$A:$AP,26,false)," $","")," €",""), "")
)</f>
        <v>0</v>
      </c>
      <c r="AO735" s="1">
        <f>value(IFERROR(SUBSTITUTE(SUBSTITUTE(VLOOKUP($A735,'Quarterly Pipeline vs Target Pi'!$A:$AP,27,false)," $","")," €",""), "")
)</f>
        <v>0</v>
      </c>
      <c r="AP735" s="17" t="str">
        <f t="shared" si="15"/>
        <v/>
      </c>
      <c r="AQ735" s="1">
        <f>value(IFERROR(SUBSTITUTE(SUBSTITUTE(VLOOKUP($A735,'Quarterly Pipeline vs Target Pi'!$A:$AP,31,false)," $","")," €",""), "")
)</f>
        <v>0</v>
      </c>
      <c r="AR735" s="1">
        <f>value(IFERROR(SUBSTITUTE(SUBSTITUTE(VLOOKUP($A735,'Quarterly Pipeline vs Target Pi'!$A:$AP,32,false)," $","")," €",""), "")
)</f>
        <v>0</v>
      </c>
      <c r="AS735" s="17" t="str">
        <f t="shared" si="16"/>
        <v/>
      </c>
      <c r="AT735" s="1">
        <f>value(IFERROR(SUBSTITUTE(SUBSTITUTE(VLOOKUP($A735,'Quarterly Pipeline vs Target Pi'!$A:$AP,36,false)," $","")," €",""), "")
)</f>
        <v>0</v>
      </c>
      <c r="AU735" s="1">
        <f>value(IFERROR(SUBSTITUTE(SUBSTITUTE(VLOOKUP($A735,'Quarterly Pipeline vs Target Pi'!$A:$AP,37,false)," $","")," €",""), "")
)</f>
        <v>0</v>
      </c>
      <c r="AV735" s="17" t="str">
        <f t="shared" si="17"/>
        <v/>
      </c>
      <c r="AW735" s="1">
        <f>value(IFERROR(SUBSTITUTE(SUBSTITUTE(VLOOKUP($A735,'Quarterly Pipeline vs Target Pi'!$A:$AP,41,false)," $","")," €",""), "")
)</f>
        <v>0</v>
      </c>
      <c r="AX735" s="1">
        <f>value(IFERROR(SUBSTITUTE(SUBSTITUTE(VLOOKUP($A735,'Quarterly Pipeline vs Target Pi'!$A:$AP,42,false)," $","")," €",""), "")
)</f>
        <v>0</v>
      </c>
      <c r="AY735" s="17" t="str">
        <f t="shared" si="18"/>
        <v/>
      </c>
      <c r="AZ735" s="1">
        <f t="shared" ref="AZ735:BA735" si="1457">sum(AN735,AQ735,AT735,AW735)</f>
        <v>0</v>
      </c>
      <c r="BA735" s="1">
        <f t="shared" si="1457"/>
        <v>0</v>
      </c>
      <c r="BB735" s="17" t="str">
        <f t="shared" si="20"/>
        <v/>
      </c>
    </row>
    <row r="736">
      <c r="I736" s="17"/>
      <c r="L736" s="17"/>
      <c r="O736" s="17"/>
      <c r="X736" s="17"/>
      <c r="AA736" s="17"/>
      <c r="AD736" s="19"/>
      <c r="AG736" s="19"/>
      <c r="AJ736" s="19"/>
      <c r="AM736" s="19"/>
      <c r="AN736" s="1">
        <f>value(IFERROR(SUBSTITUTE(SUBSTITUTE(VLOOKUP($A736,'Quarterly Pipeline vs Target Pi'!$A:$AP,26,false)," $","")," €",""), "")
)</f>
        <v>0</v>
      </c>
      <c r="AO736" s="1">
        <f>value(IFERROR(SUBSTITUTE(SUBSTITUTE(VLOOKUP($A736,'Quarterly Pipeline vs Target Pi'!$A:$AP,27,false)," $","")," €",""), "")
)</f>
        <v>0</v>
      </c>
      <c r="AP736" s="17" t="str">
        <f t="shared" si="15"/>
        <v/>
      </c>
      <c r="AQ736" s="1">
        <f>value(IFERROR(SUBSTITUTE(SUBSTITUTE(VLOOKUP($A736,'Quarterly Pipeline vs Target Pi'!$A:$AP,31,false)," $","")," €",""), "")
)</f>
        <v>0</v>
      </c>
      <c r="AR736" s="1">
        <f>value(IFERROR(SUBSTITUTE(SUBSTITUTE(VLOOKUP($A736,'Quarterly Pipeline vs Target Pi'!$A:$AP,32,false)," $","")," €",""), "")
)</f>
        <v>0</v>
      </c>
      <c r="AS736" s="17" t="str">
        <f t="shared" si="16"/>
        <v/>
      </c>
      <c r="AT736" s="1">
        <f>value(IFERROR(SUBSTITUTE(SUBSTITUTE(VLOOKUP($A736,'Quarterly Pipeline vs Target Pi'!$A:$AP,36,false)," $","")," €",""), "")
)</f>
        <v>0</v>
      </c>
      <c r="AU736" s="1">
        <f>value(IFERROR(SUBSTITUTE(SUBSTITUTE(VLOOKUP($A736,'Quarterly Pipeline vs Target Pi'!$A:$AP,37,false)," $","")," €",""), "")
)</f>
        <v>0</v>
      </c>
      <c r="AV736" s="17" t="str">
        <f t="shared" si="17"/>
        <v/>
      </c>
      <c r="AW736" s="1">
        <f>value(IFERROR(SUBSTITUTE(SUBSTITUTE(VLOOKUP($A736,'Quarterly Pipeline vs Target Pi'!$A:$AP,41,false)," $","")," €",""), "")
)</f>
        <v>0</v>
      </c>
      <c r="AX736" s="1">
        <f>value(IFERROR(SUBSTITUTE(SUBSTITUTE(VLOOKUP($A736,'Quarterly Pipeline vs Target Pi'!$A:$AP,42,false)," $","")," €",""), "")
)</f>
        <v>0</v>
      </c>
      <c r="AY736" s="17" t="str">
        <f t="shared" si="18"/>
        <v/>
      </c>
      <c r="AZ736" s="1">
        <f t="shared" ref="AZ736:BA736" si="1458">sum(AN736,AQ736,AT736,AW736)</f>
        <v>0</v>
      </c>
      <c r="BA736" s="1">
        <f t="shared" si="1458"/>
        <v>0</v>
      </c>
      <c r="BB736" s="17" t="str">
        <f t="shared" si="20"/>
        <v/>
      </c>
    </row>
    <row r="737">
      <c r="I737" s="17"/>
      <c r="L737" s="17"/>
      <c r="O737" s="17"/>
      <c r="X737" s="17"/>
      <c r="AA737" s="17"/>
      <c r="AD737" s="19"/>
      <c r="AG737" s="19"/>
      <c r="AJ737" s="19"/>
      <c r="AM737" s="19"/>
      <c r="AN737" s="1">
        <f>value(IFERROR(SUBSTITUTE(SUBSTITUTE(VLOOKUP($A737,'Quarterly Pipeline vs Target Pi'!$A:$AP,26,false)," $","")," €",""), "")
)</f>
        <v>0</v>
      </c>
      <c r="AO737" s="1">
        <f>value(IFERROR(SUBSTITUTE(SUBSTITUTE(VLOOKUP($A737,'Quarterly Pipeline vs Target Pi'!$A:$AP,27,false)," $","")," €",""), "")
)</f>
        <v>0</v>
      </c>
      <c r="AP737" s="17" t="str">
        <f t="shared" si="15"/>
        <v/>
      </c>
      <c r="AQ737" s="1">
        <f>value(IFERROR(SUBSTITUTE(SUBSTITUTE(VLOOKUP($A737,'Quarterly Pipeline vs Target Pi'!$A:$AP,31,false)," $","")," €",""), "")
)</f>
        <v>0</v>
      </c>
      <c r="AR737" s="1">
        <f>value(IFERROR(SUBSTITUTE(SUBSTITUTE(VLOOKUP($A737,'Quarterly Pipeline vs Target Pi'!$A:$AP,32,false)," $","")," €",""), "")
)</f>
        <v>0</v>
      </c>
      <c r="AS737" s="17" t="str">
        <f t="shared" si="16"/>
        <v/>
      </c>
      <c r="AT737" s="1">
        <f>value(IFERROR(SUBSTITUTE(SUBSTITUTE(VLOOKUP($A737,'Quarterly Pipeline vs Target Pi'!$A:$AP,36,false)," $","")," €",""), "")
)</f>
        <v>0</v>
      </c>
      <c r="AU737" s="1">
        <f>value(IFERROR(SUBSTITUTE(SUBSTITUTE(VLOOKUP($A737,'Quarterly Pipeline vs Target Pi'!$A:$AP,37,false)," $","")," €",""), "")
)</f>
        <v>0</v>
      </c>
      <c r="AV737" s="17" t="str">
        <f t="shared" si="17"/>
        <v/>
      </c>
      <c r="AW737" s="1">
        <f>value(IFERROR(SUBSTITUTE(SUBSTITUTE(VLOOKUP($A737,'Quarterly Pipeline vs Target Pi'!$A:$AP,41,false)," $","")," €",""), "")
)</f>
        <v>0</v>
      </c>
      <c r="AX737" s="1">
        <f>value(IFERROR(SUBSTITUTE(SUBSTITUTE(VLOOKUP($A737,'Quarterly Pipeline vs Target Pi'!$A:$AP,42,false)," $","")," €",""), "")
)</f>
        <v>0</v>
      </c>
      <c r="AY737" s="17" t="str">
        <f t="shared" si="18"/>
        <v/>
      </c>
      <c r="AZ737" s="1">
        <f t="shared" ref="AZ737:BA737" si="1459">sum(AN737,AQ737,AT737,AW737)</f>
        <v>0</v>
      </c>
      <c r="BA737" s="1">
        <f t="shared" si="1459"/>
        <v>0</v>
      </c>
      <c r="BB737" s="17" t="str">
        <f t="shared" si="20"/>
        <v/>
      </c>
    </row>
    <row r="738">
      <c r="I738" s="17"/>
      <c r="L738" s="17"/>
      <c r="O738" s="17"/>
      <c r="X738" s="17"/>
      <c r="AA738" s="17"/>
      <c r="AD738" s="19"/>
      <c r="AG738" s="19"/>
      <c r="AJ738" s="19"/>
      <c r="AM738" s="19"/>
      <c r="AN738" s="1">
        <f>value(IFERROR(SUBSTITUTE(SUBSTITUTE(VLOOKUP($A738,'Quarterly Pipeline vs Target Pi'!$A:$AP,26,false)," $","")," €",""), "")
)</f>
        <v>0</v>
      </c>
      <c r="AO738" s="1">
        <f>value(IFERROR(SUBSTITUTE(SUBSTITUTE(VLOOKUP($A738,'Quarterly Pipeline vs Target Pi'!$A:$AP,27,false)," $","")," €",""), "")
)</f>
        <v>0</v>
      </c>
      <c r="AP738" s="17" t="str">
        <f t="shared" si="15"/>
        <v/>
      </c>
      <c r="AQ738" s="1">
        <f>value(IFERROR(SUBSTITUTE(SUBSTITUTE(VLOOKUP($A738,'Quarterly Pipeline vs Target Pi'!$A:$AP,31,false)," $","")," €",""), "")
)</f>
        <v>0</v>
      </c>
      <c r="AR738" s="1">
        <f>value(IFERROR(SUBSTITUTE(SUBSTITUTE(VLOOKUP($A738,'Quarterly Pipeline vs Target Pi'!$A:$AP,32,false)," $","")," €",""), "")
)</f>
        <v>0</v>
      </c>
      <c r="AS738" s="17" t="str">
        <f t="shared" si="16"/>
        <v/>
      </c>
      <c r="AT738" s="1">
        <f>value(IFERROR(SUBSTITUTE(SUBSTITUTE(VLOOKUP($A738,'Quarterly Pipeline vs Target Pi'!$A:$AP,36,false)," $","")," €",""), "")
)</f>
        <v>0</v>
      </c>
      <c r="AU738" s="1">
        <f>value(IFERROR(SUBSTITUTE(SUBSTITUTE(VLOOKUP($A738,'Quarterly Pipeline vs Target Pi'!$A:$AP,37,false)," $","")," €",""), "")
)</f>
        <v>0</v>
      </c>
      <c r="AV738" s="17" t="str">
        <f t="shared" si="17"/>
        <v/>
      </c>
      <c r="AW738" s="1">
        <f>value(IFERROR(SUBSTITUTE(SUBSTITUTE(VLOOKUP($A738,'Quarterly Pipeline vs Target Pi'!$A:$AP,41,false)," $","")," €",""), "")
)</f>
        <v>0</v>
      </c>
      <c r="AX738" s="1">
        <f>value(IFERROR(SUBSTITUTE(SUBSTITUTE(VLOOKUP($A738,'Quarterly Pipeline vs Target Pi'!$A:$AP,42,false)," $","")," €",""), "")
)</f>
        <v>0</v>
      </c>
      <c r="AY738" s="17" t="str">
        <f t="shared" si="18"/>
        <v/>
      </c>
      <c r="AZ738" s="1">
        <f t="shared" ref="AZ738:BA738" si="1460">sum(AN738,AQ738,AT738,AW738)</f>
        <v>0</v>
      </c>
      <c r="BA738" s="1">
        <f t="shared" si="1460"/>
        <v>0</v>
      </c>
      <c r="BB738" s="17" t="str">
        <f t="shared" si="20"/>
        <v/>
      </c>
    </row>
    <row r="739">
      <c r="I739" s="17"/>
      <c r="L739" s="17"/>
      <c r="O739" s="17"/>
      <c r="X739" s="17"/>
      <c r="AA739" s="17"/>
      <c r="AD739" s="19"/>
      <c r="AG739" s="19"/>
      <c r="AJ739" s="19"/>
      <c r="AM739" s="19"/>
      <c r="AN739" s="1">
        <f>value(IFERROR(SUBSTITUTE(SUBSTITUTE(VLOOKUP($A739,'Quarterly Pipeline vs Target Pi'!$A:$AP,26,false)," $","")," €",""), "")
)</f>
        <v>0</v>
      </c>
      <c r="AO739" s="1">
        <f>value(IFERROR(SUBSTITUTE(SUBSTITUTE(VLOOKUP($A739,'Quarterly Pipeline vs Target Pi'!$A:$AP,27,false)," $","")," €",""), "")
)</f>
        <v>0</v>
      </c>
      <c r="AP739" s="17" t="str">
        <f t="shared" si="15"/>
        <v/>
      </c>
      <c r="AQ739" s="1">
        <f>value(IFERROR(SUBSTITUTE(SUBSTITUTE(VLOOKUP($A739,'Quarterly Pipeline vs Target Pi'!$A:$AP,31,false)," $","")," €",""), "")
)</f>
        <v>0</v>
      </c>
      <c r="AR739" s="1">
        <f>value(IFERROR(SUBSTITUTE(SUBSTITUTE(VLOOKUP($A739,'Quarterly Pipeline vs Target Pi'!$A:$AP,32,false)," $","")," €",""), "")
)</f>
        <v>0</v>
      </c>
      <c r="AS739" s="17" t="str">
        <f t="shared" si="16"/>
        <v/>
      </c>
      <c r="AT739" s="1">
        <f>value(IFERROR(SUBSTITUTE(SUBSTITUTE(VLOOKUP($A739,'Quarterly Pipeline vs Target Pi'!$A:$AP,36,false)," $","")," €",""), "")
)</f>
        <v>0</v>
      </c>
      <c r="AU739" s="1">
        <f>value(IFERROR(SUBSTITUTE(SUBSTITUTE(VLOOKUP($A739,'Quarterly Pipeline vs Target Pi'!$A:$AP,37,false)," $","")," €",""), "")
)</f>
        <v>0</v>
      </c>
      <c r="AV739" s="17" t="str">
        <f t="shared" si="17"/>
        <v/>
      </c>
      <c r="AW739" s="1">
        <f>value(IFERROR(SUBSTITUTE(SUBSTITUTE(VLOOKUP($A739,'Quarterly Pipeline vs Target Pi'!$A:$AP,41,false)," $","")," €",""), "")
)</f>
        <v>0</v>
      </c>
      <c r="AX739" s="1">
        <f>value(IFERROR(SUBSTITUTE(SUBSTITUTE(VLOOKUP($A739,'Quarterly Pipeline vs Target Pi'!$A:$AP,42,false)," $","")," €",""), "")
)</f>
        <v>0</v>
      </c>
      <c r="AY739" s="17" t="str">
        <f t="shared" si="18"/>
        <v/>
      </c>
      <c r="AZ739" s="1">
        <f t="shared" ref="AZ739:BA739" si="1461">sum(AN739,AQ739,AT739,AW739)</f>
        <v>0</v>
      </c>
      <c r="BA739" s="1">
        <f t="shared" si="1461"/>
        <v>0</v>
      </c>
      <c r="BB739" s="17" t="str">
        <f t="shared" si="20"/>
        <v/>
      </c>
    </row>
    <row r="740">
      <c r="I740" s="17"/>
      <c r="L740" s="17"/>
      <c r="O740" s="17"/>
      <c r="X740" s="17"/>
      <c r="AA740" s="17"/>
      <c r="AD740" s="19"/>
      <c r="AG740" s="19"/>
      <c r="AJ740" s="19"/>
      <c r="AM740" s="19"/>
      <c r="AN740" s="1">
        <f>value(IFERROR(SUBSTITUTE(SUBSTITUTE(VLOOKUP($A740,'Quarterly Pipeline vs Target Pi'!$A:$AP,26,false)," $","")," €",""), "")
)</f>
        <v>0</v>
      </c>
      <c r="AO740" s="1">
        <f>value(IFERROR(SUBSTITUTE(SUBSTITUTE(VLOOKUP($A740,'Quarterly Pipeline vs Target Pi'!$A:$AP,27,false)," $","")," €",""), "")
)</f>
        <v>0</v>
      </c>
      <c r="AP740" s="17" t="str">
        <f t="shared" si="15"/>
        <v/>
      </c>
      <c r="AQ740" s="1">
        <f>value(IFERROR(SUBSTITUTE(SUBSTITUTE(VLOOKUP($A740,'Quarterly Pipeline vs Target Pi'!$A:$AP,31,false)," $","")," €",""), "")
)</f>
        <v>0</v>
      </c>
      <c r="AR740" s="1">
        <f>value(IFERROR(SUBSTITUTE(SUBSTITUTE(VLOOKUP($A740,'Quarterly Pipeline vs Target Pi'!$A:$AP,32,false)," $","")," €",""), "")
)</f>
        <v>0</v>
      </c>
      <c r="AS740" s="17" t="str">
        <f t="shared" si="16"/>
        <v/>
      </c>
      <c r="AT740" s="1">
        <f>value(IFERROR(SUBSTITUTE(SUBSTITUTE(VLOOKUP($A740,'Quarterly Pipeline vs Target Pi'!$A:$AP,36,false)," $","")," €",""), "")
)</f>
        <v>0</v>
      </c>
      <c r="AU740" s="1">
        <f>value(IFERROR(SUBSTITUTE(SUBSTITUTE(VLOOKUP($A740,'Quarterly Pipeline vs Target Pi'!$A:$AP,37,false)," $","")," €",""), "")
)</f>
        <v>0</v>
      </c>
      <c r="AV740" s="17" t="str">
        <f t="shared" si="17"/>
        <v/>
      </c>
      <c r="AW740" s="1">
        <f>value(IFERROR(SUBSTITUTE(SUBSTITUTE(VLOOKUP($A740,'Quarterly Pipeline vs Target Pi'!$A:$AP,41,false)," $","")," €",""), "")
)</f>
        <v>0</v>
      </c>
      <c r="AX740" s="1">
        <f>value(IFERROR(SUBSTITUTE(SUBSTITUTE(VLOOKUP($A740,'Quarterly Pipeline vs Target Pi'!$A:$AP,42,false)," $","")," €",""), "")
)</f>
        <v>0</v>
      </c>
      <c r="AY740" s="17" t="str">
        <f t="shared" si="18"/>
        <v/>
      </c>
      <c r="AZ740" s="1">
        <f t="shared" ref="AZ740:BA740" si="1462">sum(AN740,AQ740,AT740,AW740)</f>
        <v>0</v>
      </c>
      <c r="BA740" s="1">
        <f t="shared" si="1462"/>
        <v>0</v>
      </c>
      <c r="BB740" s="17" t="str">
        <f t="shared" si="20"/>
        <v/>
      </c>
    </row>
    <row r="741">
      <c r="I741" s="17"/>
      <c r="L741" s="17"/>
      <c r="O741" s="17"/>
      <c r="X741" s="17"/>
      <c r="AA741" s="17"/>
      <c r="AD741" s="19"/>
      <c r="AG741" s="19"/>
      <c r="AJ741" s="19"/>
      <c r="AM741" s="19"/>
      <c r="AN741" s="1">
        <f>value(IFERROR(SUBSTITUTE(SUBSTITUTE(VLOOKUP($A741,'Quarterly Pipeline vs Target Pi'!$A:$AP,26,false)," $","")," €",""), "")
)</f>
        <v>0</v>
      </c>
      <c r="AO741" s="1">
        <f>value(IFERROR(SUBSTITUTE(SUBSTITUTE(VLOOKUP($A741,'Quarterly Pipeline vs Target Pi'!$A:$AP,27,false)," $","")," €",""), "")
)</f>
        <v>0</v>
      </c>
      <c r="AP741" s="17" t="str">
        <f t="shared" si="15"/>
        <v/>
      </c>
      <c r="AQ741" s="1">
        <f>value(IFERROR(SUBSTITUTE(SUBSTITUTE(VLOOKUP($A741,'Quarterly Pipeline vs Target Pi'!$A:$AP,31,false)," $","")," €",""), "")
)</f>
        <v>0</v>
      </c>
      <c r="AR741" s="1">
        <f>value(IFERROR(SUBSTITUTE(SUBSTITUTE(VLOOKUP($A741,'Quarterly Pipeline vs Target Pi'!$A:$AP,32,false)," $","")," €",""), "")
)</f>
        <v>0</v>
      </c>
      <c r="AS741" s="17" t="str">
        <f t="shared" si="16"/>
        <v/>
      </c>
      <c r="AT741" s="1">
        <f>value(IFERROR(SUBSTITUTE(SUBSTITUTE(VLOOKUP($A741,'Quarterly Pipeline vs Target Pi'!$A:$AP,36,false)," $","")," €",""), "")
)</f>
        <v>0</v>
      </c>
      <c r="AU741" s="1">
        <f>value(IFERROR(SUBSTITUTE(SUBSTITUTE(VLOOKUP($A741,'Quarterly Pipeline vs Target Pi'!$A:$AP,37,false)," $","")," €",""), "")
)</f>
        <v>0</v>
      </c>
      <c r="AV741" s="17" t="str">
        <f t="shared" si="17"/>
        <v/>
      </c>
      <c r="AW741" s="1">
        <f>value(IFERROR(SUBSTITUTE(SUBSTITUTE(VLOOKUP($A741,'Quarterly Pipeline vs Target Pi'!$A:$AP,41,false)," $","")," €",""), "")
)</f>
        <v>0</v>
      </c>
      <c r="AX741" s="1">
        <f>value(IFERROR(SUBSTITUTE(SUBSTITUTE(VLOOKUP($A741,'Quarterly Pipeline vs Target Pi'!$A:$AP,42,false)," $","")," €",""), "")
)</f>
        <v>0</v>
      </c>
      <c r="AY741" s="17" t="str">
        <f t="shared" si="18"/>
        <v/>
      </c>
      <c r="AZ741" s="1">
        <f t="shared" ref="AZ741:BA741" si="1463">sum(AN741,AQ741,AT741,AW741)</f>
        <v>0</v>
      </c>
      <c r="BA741" s="1">
        <f t="shared" si="1463"/>
        <v>0</v>
      </c>
      <c r="BB741" s="17" t="str">
        <f t="shared" si="20"/>
        <v/>
      </c>
    </row>
    <row r="742">
      <c r="I742" s="17"/>
      <c r="L742" s="17"/>
      <c r="O742" s="17"/>
      <c r="X742" s="17"/>
      <c r="AA742" s="17"/>
      <c r="AD742" s="19"/>
      <c r="AG742" s="19"/>
      <c r="AJ742" s="19"/>
      <c r="AM742" s="19"/>
      <c r="AN742" s="1">
        <f>value(IFERROR(SUBSTITUTE(SUBSTITUTE(VLOOKUP($A742,'Quarterly Pipeline vs Target Pi'!$A:$AP,26,false)," $","")," €",""), "")
)</f>
        <v>0</v>
      </c>
      <c r="AO742" s="1">
        <f>value(IFERROR(SUBSTITUTE(SUBSTITUTE(VLOOKUP($A742,'Quarterly Pipeline vs Target Pi'!$A:$AP,27,false)," $","")," €",""), "")
)</f>
        <v>0</v>
      </c>
      <c r="AP742" s="17" t="str">
        <f t="shared" si="15"/>
        <v/>
      </c>
      <c r="AQ742" s="1">
        <f>value(IFERROR(SUBSTITUTE(SUBSTITUTE(VLOOKUP($A742,'Quarterly Pipeline vs Target Pi'!$A:$AP,31,false)," $","")," €",""), "")
)</f>
        <v>0</v>
      </c>
      <c r="AR742" s="1">
        <f>value(IFERROR(SUBSTITUTE(SUBSTITUTE(VLOOKUP($A742,'Quarterly Pipeline vs Target Pi'!$A:$AP,32,false)," $","")," €",""), "")
)</f>
        <v>0</v>
      </c>
      <c r="AS742" s="17" t="str">
        <f t="shared" si="16"/>
        <v/>
      </c>
      <c r="AT742" s="1">
        <f>value(IFERROR(SUBSTITUTE(SUBSTITUTE(VLOOKUP($A742,'Quarterly Pipeline vs Target Pi'!$A:$AP,36,false)," $","")," €",""), "")
)</f>
        <v>0</v>
      </c>
      <c r="AU742" s="1">
        <f>value(IFERROR(SUBSTITUTE(SUBSTITUTE(VLOOKUP($A742,'Quarterly Pipeline vs Target Pi'!$A:$AP,37,false)," $","")," €",""), "")
)</f>
        <v>0</v>
      </c>
      <c r="AV742" s="17" t="str">
        <f t="shared" si="17"/>
        <v/>
      </c>
      <c r="AW742" s="1">
        <f>value(IFERROR(SUBSTITUTE(SUBSTITUTE(VLOOKUP($A742,'Quarterly Pipeline vs Target Pi'!$A:$AP,41,false)," $","")," €",""), "")
)</f>
        <v>0</v>
      </c>
      <c r="AX742" s="1">
        <f>value(IFERROR(SUBSTITUTE(SUBSTITUTE(VLOOKUP($A742,'Quarterly Pipeline vs Target Pi'!$A:$AP,42,false)," $","")," €",""), "")
)</f>
        <v>0</v>
      </c>
      <c r="AY742" s="17" t="str">
        <f t="shared" si="18"/>
        <v/>
      </c>
      <c r="AZ742" s="1">
        <f t="shared" ref="AZ742:BA742" si="1464">sum(AN742,AQ742,AT742,AW742)</f>
        <v>0</v>
      </c>
      <c r="BA742" s="1">
        <f t="shared" si="1464"/>
        <v>0</v>
      </c>
      <c r="BB742" s="17" t="str">
        <f t="shared" si="20"/>
        <v/>
      </c>
    </row>
    <row r="743">
      <c r="I743" s="17"/>
      <c r="L743" s="17"/>
      <c r="O743" s="17"/>
      <c r="X743" s="17"/>
      <c r="AA743" s="17"/>
      <c r="AD743" s="19"/>
      <c r="AG743" s="19"/>
      <c r="AJ743" s="19"/>
      <c r="AM743" s="19"/>
      <c r="AN743" s="1">
        <f>value(IFERROR(SUBSTITUTE(SUBSTITUTE(VLOOKUP($A743,'Quarterly Pipeline vs Target Pi'!$A:$AP,26,false)," $","")," €",""), "")
)</f>
        <v>0</v>
      </c>
      <c r="AO743" s="1">
        <f>value(IFERROR(SUBSTITUTE(SUBSTITUTE(VLOOKUP($A743,'Quarterly Pipeline vs Target Pi'!$A:$AP,27,false)," $","")," €",""), "")
)</f>
        <v>0</v>
      </c>
      <c r="AP743" s="17" t="str">
        <f t="shared" si="15"/>
        <v/>
      </c>
      <c r="AQ743" s="1">
        <f>value(IFERROR(SUBSTITUTE(SUBSTITUTE(VLOOKUP($A743,'Quarterly Pipeline vs Target Pi'!$A:$AP,31,false)," $","")," €",""), "")
)</f>
        <v>0</v>
      </c>
      <c r="AR743" s="1">
        <f>value(IFERROR(SUBSTITUTE(SUBSTITUTE(VLOOKUP($A743,'Quarterly Pipeline vs Target Pi'!$A:$AP,32,false)," $","")," €",""), "")
)</f>
        <v>0</v>
      </c>
      <c r="AS743" s="17" t="str">
        <f t="shared" si="16"/>
        <v/>
      </c>
      <c r="AT743" s="1">
        <f>value(IFERROR(SUBSTITUTE(SUBSTITUTE(VLOOKUP($A743,'Quarterly Pipeline vs Target Pi'!$A:$AP,36,false)," $","")," €",""), "")
)</f>
        <v>0</v>
      </c>
      <c r="AU743" s="1">
        <f>value(IFERROR(SUBSTITUTE(SUBSTITUTE(VLOOKUP($A743,'Quarterly Pipeline vs Target Pi'!$A:$AP,37,false)," $","")," €",""), "")
)</f>
        <v>0</v>
      </c>
      <c r="AV743" s="17" t="str">
        <f t="shared" si="17"/>
        <v/>
      </c>
      <c r="AW743" s="1">
        <f>value(IFERROR(SUBSTITUTE(SUBSTITUTE(VLOOKUP($A743,'Quarterly Pipeline vs Target Pi'!$A:$AP,41,false)," $","")," €",""), "")
)</f>
        <v>0</v>
      </c>
      <c r="AX743" s="1">
        <f>value(IFERROR(SUBSTITUTE(SUBSTITUTE(VLOOKUP($A743,'Quarterly Pipeline vs Target Pi'!$A:$AP,42,false)," $","")," €",""), "")
)</f>
        <v>0</v>
      </c>
      <c r="AY743" s="17" t="str">
        <f t="shared" si="18"/>
        <v/>
      </c>
      <c r="AZ743" s="1">
        <f t="shared" ref="AZ743:BA743" si="1465">sum(AN743,AQ743,AT743,AW743)</f>
        <v>0</v>
      </c>
      <c r="BA743" s="1">
        <f t="shared" si="1465"/>
        <v>0</v>
      </c>
      <c r="BB743" s="17" t="str">
        <f t="shared" si="20"/>
        <v/>
      </c>
    </row>
    <row r="744">
      <c r="I744" s="17"/>
      <c r="L744" s="17"/>
      <c r="O744" s="17"/>
      <c r="X744" s="17"/>
      <c r="AA744" s="17"/>
      <c r="AD744" s="19"/>
      <c r="AG744" s="19"/>
      <c r="AJ744" s="19"/>
      <c r="AM744" s="19"/>
      <c r="AN744" s="1">
        <f>value(IFERROR(SUBSTITUTE(SUBSTITUTE(VLOOKUP($A744,'Quarterly Pipeline vs Target Pi'!$A:$AP,26,false)," $","")," €",""), "")
)</f>
        <v>0</v>
      </c>
      <c r="AO744" s="1">
        <f>value(IFERROR(SUBSTITUTE(SUBSTITUTE(VLOOKUP($A744,'Quarterly Pipeline vs Target Pi'!$A:$AP,27,false)," $","")," €",""), "")
)</f>
        <v>0</v>
      </c>
      <c r="AP744" s="17" t="str">
        <f t="shared" si="15"/>
        <v/>
      </c>
      <c r="AQ744" s="1">
        <f>value(IFERROR(SUBSTITUTE(SUBSTITUTE(VLOOKUP($A744,'Quarterly Pipeline vs Target Pi'!$A:$AP,31,false)," $","")," €",""), "")
)</f>
        <v>0</v>
      </c>
      <c r="AR744" s="1">
        <f>value(IFERROR(SUBSTITUTE(SUBSTITUTE(VLOOKUP($A744,'Quarterly Pipeline vs Target Pi'!$A:$AP,32,false)," $","")," €",""), "")
)</f>
        <v>0</v>
      </c>
      <c r="AS744" s="17" t="str">
        <f t="shared" si="16"/>
        <v/>
      </c>
      <c r="AT744" s="1">
        <f>value(IFERROR(SUBSTITUTE(SUBSTITUTE(VLOOKUP($A744,'Quarterly Pipeline vs Target Pi'!$A:$AP,36,false)," $","")," €",""), "")
)</f>
        <v>0</v>
      </c>
      <c r="AU744" s="1">
        <f>value(IFERROR(SUBSTITUTE(SUBSTITUTE(VLOOKUP($A744,'Quarterly Pipeline vs Target Pi'!$A:$AP,37,false)," $","")," €",""), "")
)</f>
        <v>0</v>
      </c>
      <c r="AV744" s="17" t="str">
        <f t="shared" si="17"/>
        <v/>
      </c>
      <c r="AW744" s="1">
        <f>value(IFERROR(SUBSTITUTE(SUBSTITUTE(VLOOKUP($A744,'Quarterly Pipeline vs Target Pi'!$A:$AP,41,false)," $","")," €",""), "")
)</f>
        <v>0</v>
      </c>
      <c r="AX744" s="1">
        <f>value(IFERROR(SUBSTITUTE(SUBSTITUTE(VLOOKUP($A744,'Quarterly Pipeline vs Target Pi'!$A:$AP,42,false)," $","")," €",""), "")
)</f>
        <v>0</v>
      </c>
      <c r="AY744" s="17" t="str">
        <f t="shared" si="18"/>
        <v/>
      </c>
      <c r="AZ744" s="1">
        <f t="shared" ref="AZ744:BA744" si="1466">sum(AN744,AQ744,AT744,AW744)</f>
        <v>0</v>
      </c>
      <c r="BA744" s="1">
        <f t="shared" si="1466"/>
        <v>0</v>
      </c>
      <c r="BB744" s="17" t="str">
        <f t="shared" si="20"/>
        <v/>
      </c>
    </row>
    <row r="745">
      <c r="I745" s="17"/>
      <c r="L745" s="17"/>
      <c r="O745" s="17"/>
      <c r="X745" s="17"/>
      <c r="AA745" s="17"/>
      <c r="AD745" s="19"/>
      <c r="AG745" s="19"/>
      <c r="AJ745" s="19"/>
      <c r="AM745" s="19"/>
      <c r="AN745" s="1">
        <f>value(IFERROR(SUBSTITUTE(SUBSTITUTE(VLOOKUP($A745,'Quarterly Pipeline vs Target Pi'!$A:$AP,26,false)," $","")," €",""), "")
)</f>
        <v>0</v>
      </c>
      <c r="AO745" s="1">
        <f>value(IFERROR(SUBSTITUTE(SUBSTITUTE(VLOOKUP($A745,'Quarterly Pipeline vs Target Pi'!$A:$AP,27,false)," $","")," €",""), "")
)</f>
        <v>0</v>
      </c>
      <c r="AP745" s="17" t="str">
        <f t="shared" si="15"/>
        <v/>
      </c>
      <c r="AQ745" s="1">
        <f>value(IFERROR(SUBSTITUTE(SUBSTITUTE(VLOOKUP($A745,'Quarterly Pipeline vs Target Pi'!$A:$AP,31,false)," $","")," €",""), "")
)</f>
        <v>0</v>
      </c>
      <c r="AR745" s="1">
        <f>value(IFERROR(SUBSTITUTE(SUBSTITUTE(VLOOKUP($A745,'Quarterly Pipeline vs Target Pi'!$A:$AP,32,false)," $","")," €",""), "")
)</f>
        <v>0</v>
      </c>
      <c r="AS745" s="17" t="str">
        <f t="shared" si="16"/>
        <v/>
      </c>
      <c r="AT745" s="1">
        <f>value(IFERROR(SUBSTITUTE(SUBSTITUTE(VLOOKUP($A745,'Quarterly Pipeline vs Target Pi'!$A:$AP,36,false)," $","")," €",""), "")
)</f>
        <v>0</v>
      </c>
      <c r="AU745" s="1">
        <f>value(IFERROR(SUBSTITUTE(SUBSTITUTE(VLOOKUP($A745,'Quarterly Pipeline vs Target Pi'!$A:$AP,37,false)," $","")," €",""), "")
)</f>
        <v>0</v>
      </c>
      <c r="AV745" s="17" t="str">
        <f t="shared" si="17"/>
        <v/>
      </c>
      <c r="AW745" s="1">
        <f>value(IFERROR(SUBSTITUTE(SUBSTITUTE(VLOOKUP($A745,'Quarterly Pipeline vs Target Pi'!$A:$AP,41,false)," $","")," €",""), "")
)</f>
        <v>0</v>
      </c>
      <c r="AX745" s="1">
        <f>value(IFERROR(SUBSTITUTE(SUBSTITUTE(VLOOKUP($A745,'Quarterly Pipeline vs Target Pi'!$A:$AP,42,false)," $","")," €",""), "")
)</f>
        <v>0</v>
      </c>
      <c r="AY745" s="17" t="str">
        <f t="shared" si="18"/>
        <v/>
      </c>
      <c r="AZ745" s="1">
        <f t="shared" ref="AZ745:BA745" si="1467">sum(AN745,AQ745,AT745,AW745)</f>
        <v>0</v>
      </c>
      <c r="BA745" s="1">
        <f t="shared" si="1467"/>
        <v>0</v>
      </c>
      <c r="BB745" s="17" t="str">
        <f t="shared" si="20"/>
        <v/>
      </c>
    </row>
    <row r="746">
      <c r="I746" s="17"/>
      <c r="L746" s="17"/>
      <c r="O746" s="17"/>
      <c r="X746" s="17"/>
      <c r="AA746" s="17"/>
      <c r="AD746" s="19"/>
      <c r="AG746" s="19"/>
      <c r="AJ746" s="19"/>
      <c r="AM746" s="19"/>
      <c r="AN746" s="1">
        <f>value(IFERROR(SUBSTITUTE(SUBSTITUTE(VLOOKUP($A746,'Quarterly Pipeline vs Target Pi'!$A:$AP,26,false)," $","")," €",""), "")
)</f>
        <v>0</v>
      </c>
      <c r="AO746" s="1">
        <f>value(IFERROR(SUBSTITUTE(SUBSTITUTE(VLOOKUP($A746,'Quarterly Pipeline vs Target Pi'!$A:$AP,27,false)," $","")," €",""), "")
)</f>
        <v>0</v>
      </c>
      <c r="AP746" s="17" t="str">
        <f t="shared" si="15"/>
        <v/>
      </c>
      <c r="AQ746" s="1">
        <f>value(IFERROR(SUBSTITUTE(SUBSTITUTE(VLOOKUP($A746,'Quarterly Pipeline vs Target Pi'!$A:$AP,31,false)," $","")," €",""), "")
)</f>
        <v>0</v>
      </c>
      <c r="AR746" s="1">
        <f>value(IFERROR(SUBSTITUTE(SUBSTITUTE(VLOOKUP($A746,'Quarterly Pipeline vs Target Pi'!$A:$AP,32,false)," $","")," €",""), "")
)</f>
        <v>0</v>
      </c>
      <c r="AS746" s="17" t="str">
        <f t="shared" si="16"/>
        <v/>
      </c>
      <c r="AT746" s="1">
        <f>value(IFERROR(SUBSTITUTE(SUBSTITUTE(VLOOKUP($A746,'Quarterly Pipeline vs Target Pi'!$A:$AP,36,false)," $","")," €",""), "")
)</f>
        <v>0</v>
      </c>
      <c r="AU746" s="1">
        <f>value(IFERROR(SUBSTITUTE(SUBSTITUTE(VLOOKUP($A746,'Quarterly Pipeline vs Target Pi'!$A:$AP,37,false)," $","")," €",""), "")
)</f>
        <v>0</v>
      </c>
      <c r="AV746" s="17" t="str">
        <f t="shared" si="17"/>
        <v/>
      </c>
      <c r="AW746" s="1">
        <f>value(IFERROR(SUBSTITUTE(SUBSTITUTE(VLOOKUP($A746,'Quarterly Pipeline vs Target Pi'!$A:$AP,41,false)," $","")," €",""), "")
)</f>
        <v>0</v>
      </c>
      <c r="AX746" s="1">
        <f>value(IFERROR(SUBSTITUTE(SUBSTITUTE(VLOOKUP($A746,'Quarterly Pipeline vs Target Pi'!$A:$AP,42,false)," $","")," €",""), "")
)</f>
        <v>0</v>
      </c>
      <c r="AY746" s="17" t="str">
        <f t="shared" si="18"/>
        <v/>
      </c>
      <c r="AZ746" s="1">
        <f t="shared" ref="AZ746:BA746" si="1468">sum(AN746,AQ746,AT746,AW746)</f>
        <v>0</v>
      </c>
      <c r="BA746" s="1">
        <f t="shared" si="1468"/>
        <v>0</v>
      </c>
      <c r="BB746" s="17" t="str">
        <f t="shared" si="20"/>
        <v/>
      </c>
    </row>
    <row r="747">
      <c r="I747" s="17"/>
      <c r="L747" s="17"/>
      <c r="O747" s="17"/>
      <c r="X747" s="17"/>
      <c r="AA747" s="17"/>
      <c r="AD747" s="19"/>
      <c r="AG747" s="19"/>
      <c r="AJ747" s="19"/>
      <c r="AM747" s="19"/>
      <c r="AN747" s="1">
        <f>value(IFERROR(SUBSTITUTE(SUBSTITUTE(VLOOKUP($A747,'Quarterly Pipeline vs Target Pi'!$A:$AP,26,false)," $","")," €",""), "")
)</f>
        <v>0</v>
      </c>
      <c r="AO747" s="1">
        <f>value(IFERROR(SUBSTITUTE(SUBSTITUTE(VLOOKUP($A747,'Quarterly Pipeline vs Target Pi'!$A:$AP,27,false)," $","")," €",""), "")
)</f>
        <v>0</v>
      </c>
      <c r="AP747" s="17" t="str">
        <f t="shared" si="15"/>
        <v/>
      </c>
      <c r="AQ747" s="1">
        <f>value(IFERROR(SUBSTITUTE(SUBSTITUTE(VLOOKUP($A747,'Quarterly Pipeline vs Target Pi'!$A:$AP,31,false)," $","")," €",""), "")
)</f>
        <v>0</v>
      </c>
      <c r="AR747" s="1">
        <f>value(IFERROR(SUBSTITUTE(SUBSTITUTE(VLOOKUP($A747,'Quarterly Pipeline vs Target Pi'!$A:$AP,32,false)," $","")," €",""), "")
)</f>
        <v>0</v>
      </c>
      <c r="AS747" s="17" t="str">
        <f t="shared" si="16"/>
        <v/>
      </c>
      <c r="AT747" s="1">
        <f>value(IFERROR(SUBSTITUTE(SUBSTITUTE(VLOOKUP($A747,'Quarterly Pipeline vs Target Pi'!$A:$AP,36,false)," $","")," €",""), "")
)</f>
        <v>0</v>
      </c>
      <c r="AU747" s="1">
        <f>value(IFERROR(SUBSTITUTE(SUBSTITUTE(VLOOKUP($A747,'Quarterly Pipeline vs Target Pi'!$A:$AP,37,false)," $","")," €",""), "")
)</f>
        <v>0</v>
      </c>
      <c r="AV747" s="17" t="str">
        <f t="shared" si="17"/>
        <v/>
      </c>
      <c r="AW747" s="1">
        <f>value(IFERROR(SUBSTITUTE(SUBSTITUTE(VLOOKUP($A747,'Quarterly Pipeline vs Target Pi'!$A:$AP,41,false)," $","")," €",""), "")
)</f>
        <v>0</v>
      </c>
      <c r="AX747" s="1">
        <f>value(IFERROR(SUBSTITUTE(SUBSTITUTE(VLOOKUP($A747,'Quarterly Pipeline vs Target Pi'!$A:$AP,42,false)," $","")," €",""), "")
)</f>
        <v>0</v>
      </c>
      <c r="AY747" s="17" t="str">
        <f t="shared" si="18"/>
        <v/>
      </c>
      <c r="AZ747" s="1">
        <f t="shared" ref="AZ747:BA747" si="1469">sum(AN747,AQ747,AT747,AW747)</f>
        <v>0</v>
      </c>
      <c r="BA747" s="1">
        <f t="shared" si="1469"/>
        <v>0</v>
      </c>
      <c r="BB747" s="17" t="str">
        <f t="shared" si="20"/>
        <v/>
      </c>
    </row>
    <row r="748">
      <c r="I748" s="17"/>
      <c r="L748" s="17"/>
      <c r="O748" s="17"/>
      <c r="X748" s="17"/>
      <c r="AA748" s="17"/>
      <c r="AD748" s="19"/>
      <c r="AG748" s="19"/>
      <c r="AJ748" s="19"/>
      <c r="AM748" s="19"/>
      <c r="AN748" s="1">
        <f>value(IFERROR(SUBSTITUTE(SUBSTITUTE(VLOOKUP($A748,'Quarterly Pipeline vs Target Pi'!$A:$AP,26,false)," $","")," €",""), "")
)</f>
        <v>0</v>
      </c>
      <c r="AO748" s="1">
        <f>value(IFERROR(SUBSTITUTE(SUBSTITUTE(VLOOKUP($A748,'Quarterly Pipeline vs Target Pi'!$A:$AP,27,false)," $","")," €",""), "")
)</f>
        <v>0</v>
      </c>
      <c r="AP748" s="17" t="str">
        <f t="shared" si="15"/>
        <v/>
      </c>
      <c r="AQ748" s="1">
        <f>value(IFERROR(SUBSTITUTE(SUBSTITUTE(VLOOKUP($A748,'Quarterly Pipeline vs Target Pi'!$A:$AP,31,false)," $","")," €",""), "")
)</f>
        <v>0</v>
      </c>
      <c r="AR748" s="1">
        <f>value(IFERROR(SUBSTITUTE(SUBSTITUTE(VLOOKUP($A748,'Quarterly Pipeline vs Target Pi'!$A:$AP,32,false)," $","")," €",""), "")
)</f>
        <v>0</v>
      </c>
      <c r="AS748" s="17" t="str">
        <f t="shared" si="16"/>
        <v/>
      </c>
      <c r="AT748" s="1">
        <f>value(IFERROR(SUBSTITUTE(SUBSTITUTE(VLOOKUP($A748,'Quarterly Pipeline vs Target Pi'!$A:$AP,36,false)," $","")," €",""), "")
)</f>
        <v>0</v>
      </c>
      <c r="AU748" s="1">
        <f>value(IFERROR(SUBSTITUTE(SUBSTITUTE(VLOOKUP($A748,'Quarterly Pipeline vs Target Pi'!$A:$AP,37,false)," $","")," €",""), "")
)</f>
        <v>0</v>
      </c>
      <c r="AV748" s="17" t="str">
        <f t="shared" si="17"/>
        <v/>
      </c>
      <c r="AW748" s="1">
        <f>value(IFERROR(SUBSTITUTE(SUBSTITUTE(VLOOKUP($A748,'Quarterly Pipeline vs Target Pi'!$A:$AP,41,false)," $","")," €",""), "")
)</f>
        <v>0</v>
      </c>
      <c r="AX748" s="1">
        <f>value(IFERROR(SUBSTITUTE(SUBSTITUTE(VLOOKUP($A748,'Quarterly Pipeline vs Target Pi'!$A:$AP,42,false)," $","")," €",""), "")
)</f>
        <v>0</v>
      </c>
      <c r="AY748" s="17" t="str">
        <f t="shared" si="18"/>
        <v/>
      </c>
      <c r="AZ748" s="1">
        <f t="shared" ref="AZ748:BA748" si="1470">sum(AN748,AQ748,AT748,AW748)</f>
        <v>0</v>
      </c>
      <c r="BA748" s="1">
        <f t="shared" si="1470"/>
        <v>0</v>
      </c>
      <c r="BB748" s="17" t="str">
        <f t="shared" si="20"/>
        <v/>
      </c>
    </row>
    <row r="749">
      <c r="I749" s="17"/>
      <c r="L749" s="17"/>
      <c r="O749" s="17"/>
      <c r="X749" s="17"/>
      <c r="AA749" s="17"/>
      <c r="AD749" s="19"/>
      <c r="AG749" s="19"/>
      <c r="AJ749" s="19"/>
      <c r="AM749" s="19"/>
      <c r="AN749" s="1">
        <f>value(IFERROR(SUBSTITUTE(SUBSTITUTE(VLOOKUP($A749,'Quarterly Pipeline vs Target Pi'!$A:$AP,26,false)," $","")," €",""), "")
)</f>
        <v>0</v>
      </c>
      <c r="AO749" s="1">
        <f>value(IFERROR(SUBSTITUTE(SUBSTITUTE(VLOOKUP($A749,'Quarterly Pipeline vs Target Pi'!$A:$AP,27,false)," $","")," €",""), "")
)</f>
        <v>0</v>
      </c>
      <c r="AP749" s="17" t="str">
        <f t="shared" si="15"/>
        <v/>
      </c>
      <c r="AQ749" s="1">
        <f>value(IFERROR(SUBSTITUTE(SUBSTITUTE(VLOOKUP($A749,'Quarterly Pipeline vs Target Pi'!$A:$AP,31,false)," $","")," €",""), "")
)</f>
        <v>0</v>
      </c>
      <c r="AR749" s="1">
        <f>value(IFERROR(SUBSTITUTE(SUBSTITUTE(VLOOKUP($A749,'Quarterly Pipeline vs Target Pi'!$A:$AP,32,false)," $","")," €",""), "")
)</f>
        <v>0</v>
      </c>
      <c r="AS749" s="17" t="str">
        <f t="shared" si="16"/>
        <v/>
      </c>
      <c r="AT749" s="1">
        <f>value(IFERROR(SUBSTITUTE(SUBSTITUTE(VLOOKUP($A749,'Quarterly Pipeline vs Target Pi'!$A:$AP,36,false)," $","")," €",""), "")
)</f>
        <v>0</v>
      </c>
      <c r="AU749" s="1">
        <f>value(IFERROR(SUBSTITUTE(SUBSTITUTE(VLOOKUP($A749,'Quarterly Pipeline vs Target Pi'!$A:$AP,37,false)," $","")," €",""), "")
)</f>
        <v>0</v>
      </c>
      <c r="AV749" s="17" t="str">
        <f t="shared" si="17"/>
        <v/>
      </c>
      <c r="AW749" s="1">
        <f>value(IFERROR(SUBSTITUTE(SUBSTITUTE(VLOOKUP($A749,'Quarterly Pipeline vs Target Pi'!$A:$AP,41,false)," $","")," €",""), "")
)</f>
        <v>0</v>
      </c>
      <c r="AX749" s="1">
        <f>value(IFERROR(SUBSTITUTE(SUBSTITUTE(VLOOKUP($A749,'Quarterly Pipeline vs Target Pi'!$A:$AP,42,false)," $","")," €",""), "")
)</f>
        <v>0</v>
      </c>
      <c r="AY749" s="17" t="str">
        <f t="shared" si="18"/>
        <v/>
      </c>
      <c r="AZ749" s="1">
        <f t="shared" ref="AZ749:BA749" si="1471">sum(AN749,AQ749,AT749,AW749)</f>
        <v>0</v>
      </c>
      <c r="BA749" s="1">
        <f t="shared" si="1471"/>
        <v>0</v>
      </c>
      <c r="BB749" s="17" t="str">
        <f t="shared" si="20"/>
        <v/>
      </c>
    </row>
    <row r="750">
      <c r="I750" s="17"/>
      <c r="L750" s="17"/>
      <c r="O750" s="17"/>
      <c r="X750" s="17"/>
      <c r="AA750" s="17"/>
      <c r="AD750" s="19"/>
      <c r="AG750" s="19"/>
      <c r="AJ750" s="19"/>
      <c r="AM750" s="19"/>
      <c r="AN750" s="1">
        <f>value(IFERROR(SUBSTITUTE(SUBSTITUTE(VLOOKUP($A750,'Quarterly Pipeline vs Target Pi'!$A:$AP,26,false)," $","")," €",""), "")
)</f>
        <v>0</v>
      </c>
      <c r="AO750" s="1">
        <f>value(IFERROR(SUBSTITUTE(SUBSTITUTE(VLOOKUP($A750,'Quarterly Pipeline vs Target Pi'!$A:$AP,27,false)," $","")," €",""), "")
)</f>
        <v>0</v>
      </c>
      <c r="AP750" s="17" t="str">
        <f t="shared" si="15"/>
        <v/>
      </c>
      <c r="AQ750" s="1">
        <f>value(IFERROR(SUBSTITUTE(SUBSTITUTE(VLOOKUP($A750,'Quarterly Pipeline vs Target Pi'!$A:$AP,31,false)," $","")," €",""), "")
)</f>
        <v>0</v>
      </c>
      <c r="AR750" s="1">
        <f>value(IFERROR(SUBSTITUTE(SUBSTITUTE(VLOOKUP($A750,'Quarterly Pipeline vs Target Pi'!$A:$AP,32,false)," $","")," €",""), "")
)</f>
        <v>0</v>
      </c>
      <c r="AS750" s="17" t="str">
        <f t="shared" si="16"/>
        <v/>
      </c>
      <c r="AT750" s="1">
        <f>value(IFERROR(SUBSTITUTE(SUBSTITUTE(VLOOKUP($A750,'Quarterly Pipeline vs Target Pi'!$A:$AP,36,false)," $","")," €",""), "")
)</f>
        <v>0</v>
      </c>
      <c r="AU750" s="1">
        <f>value(IFERROR(SUBSTITUTE(SUBSTITUTE(VLOOKUP($A750,'Quarterly Pipeline vs Target Pi'!$A:$AP,37,false)," $","")," €",""), "")
)</f>
        <v>0</v>
      </c>
      <c r="AV750" s="17" t="str">
        <f t="shared" si="17"/>
        <v/>
      </c>
      <c r="AW750" s="1">
        <f>value(IFERROR(SUBSTITUTE(SUBSTITUTE(VLOOKUP($A750,'Quarterly Pipeline vs Target Pi'!$A:$AP,41,false)," $","")," €",""), "")
)</f>
        <v>0</v>
      </c>
      <c r="AX750" s="1">
        <f>value(IFERROR(SUBSTITUTE(SUBSTITUTE(VLOOKUP($A750,'Quarterly Pipeline vs Target Pi'!$A:$AP,42,false)," $","")," €",""), "")
)</f>
        <v>0</v>
      </c>
      <c r="AY750" s="17" t="str">
        <f t="shared" si="18"/>
        <v/>
      </c>
      <c r="AZ750" s="1">
        <f t="shared" ref="AZ750:BA750" si="1472">sum(AN750,AQ750,AT750,AW750)</f>
        <v>0</v>
      </c>
      <c r="BA750" s="1">
        <f t="shared" si="1472"/>
        <v>0</v>
      </c>
      <c r="BB750" s="17" t="str">
        <f t="shared" si="20"/>
        <v/>
      </c>
    </row>
    <row r="751">
      <c r="I751" s="17"/>
      <c r="L751" s="17"/>
      <c r="O751" s="17"/>
      <c r="X751" s="17"/>
      <c r="AA751" s="17"/>
      <c r="AD751" s="19"/>
      <c r="AG751" s="19"/>
      <c r="AJ751" s="19"/>
      <c r="AM751" s="19"/>
      <c r="AN751" s="1">
        <f>value(IFERROR(SUBSTITUTE(SUBSTITUTE(VLOOKUP($A751,'Quarterly Pipeline vs Target Pi'!$A:$AP,26,false)," $","")," €",""), "")
)</f>
        <v>0</v>
      </c>
      <c r="AO751" s="1">
        <f>value(IFERROR(SUBSTITUTE(SUBSTITUTE(VLOOKUP($A751,'Quarterly Pipeline vs Target Pi'!$A:$AP,27,false)," $","")," €",""), "")
)</f>
        <v>0</v>
      </c>
      <c r="AP751" s="17" t="str">
        <f t="shared" si="15"/>
        <v/>
      </c>
      <c r="AQ751" s="1">
        <f>value(IFERROR(SUBSTITUTE(SUBSTITUTE(VLOOKUP($A751,'Quarterly Pipeline vs Target Pi'!$A:$AP,31,false)," $","")," €",""), "")
)</f>
        <v>0</v>
      </c>
      <c r="AR751" s="1">
        <f>value(IFERROR(SUBSTITUTE(SUBSTITUTE(VLOOKUP($A751,'Quarterly Pipeline vs Target Pi'!$A:$AP,32,false)," $","")," €",""), "")
)</f>
        <v>0</v>
      </c>
      <c r="AS751" s="17" t="str">
        <f t="shared" si="16"/>
        <v/>
      </c>
      <c r="AT751" s="1">
        <f>value(IFERROR(SUBSTITUTE(SUBSTITUTE(VLOOKUP($A751,'Quarterly Pipeline vs Target Pi'!$A:$AP,36,false)," $","")," €",""), "")
)</f>
        <v>0</v>
      </c>
      <c r="AU751" s="1">
        <f>value(IFERROR(SUBSTITUTE(SUBSTITUTE(VLOOKUP($A751,'Quarterly Pipeline vs Target Pi'!$A:$AP,37,false)," $","")," €",""), "")
)</f>
        <v>0</v>
      </c>
      <c r="AV751" s="17" t="str">
        <f t="shared" si="17"/>
        <v/>
      </c>
      <c r="AW751" s="1">
        <f>value(IFERROR(SUBSTITUTE(SUBSTITUTE(VLOOKUP($A751,'Quarterly Pipeline vs Target Pi'!$A:$AP,41,false)," $","")," €",""), "")
)</f>
        <v>0</v>
      </c>
      <c r="AX751" s="1">
        <f>value(IFERROR(SUBSTITUTE(SUBSTITUTE(VLOOKUP($A751,'Quarterly Pipeline vs Target Pi'!$A:$AP,42,false)," $","")," €",""), "")
)</f>
        <v>0</v>
      </c>
      <c r="AY751" s="17" t="str">
        <f t="shared" si="18"/>
        <v/>
      </c>
      <c r="AZ751" s="1">
        <f t="shared" ref="AZ751:BA751" si="1473">sum(AN751,AQ751,AT751,AW751)</f>
        <v>0</v>
      </c>
      <c r="BA751" s="1">
        <f t="shared" si="1473"/>
        <v>0</v>
      </c>
      <c r="BB751" s="17" t="str">
        <f t="shared" si="20"/>
        <v/>
      </c>
    </row>
    <row r="752">
      <c r="I752" s="17"/>
      <c r="L752" s="17"/>
      <c r="O752" s="17"/>
      <c r="X752" s="17"/>
      <c r="AA752" s="17"/>
      <c r="AD752" s="19"/>
      <c r="AG752" s="19"/>
      <c r="AJ752" s="19"/>
      <c r="AM752" s="19"/>
      <c r="AN752" s="1">
        <f>value(IFERROR(SUBSTITUTE(SUBSTITUTE(VLOOKUP($A752,'Quarterly Pipeline vs Target Pi'!$A:$AP,26,false)," $","")," €",""), "")
)</f>
        <v>0</v>
      </c>
      <c r="AO752" s="1">
        <f>value(IFERROR(SUBSTITUTE(SUBSTITUTE(VLOOKUP($A752,'Quarterly Pipeline vs Target Pi'!$A:$AP,27,false)," $","")," €",""), "")
)</f>
        <v>0</v>
      </c>
      <c r="AP752" s="17" t="str">
        <f t="shared" si="15"/>
        <v/>
      </c>
      <c r="AQ752" s="1">
        <f>value(IFERROR(SUBSTITUTE(SUBSTITUTE(VLOOKUP($A752,'Quarterly Pipeline vs Target Pi'!$A:$AP,31,false)," $","")," €",""), "")
)</f>
        <v>0</v>
      </c>
      <c r="AR752" s="1">
        <f>value(IFERROR(SUBSTITUTE(SUBSTITUTE(VLOOKUP($A752,'Quarterly Pipeline vs Target Pi'!$A:$AP,32,false)," $","")," €",""), "")
)</f>
        <v>0</v>
      </c>
      <c r="AS752" s="17" t="str">
        <f t="shared" si="16"/>
        <v/>
      </c>
      <c r="AT752" s="1">
        <f>value(IFERROR(SUBSTITUTE(SUBSTITUTE(VLOOKUP($A752,'Quarterly Pipeline vs Target Pi'!$A:$AP,36,false)," $","")," €",""), "")
)</f>
        <v>0</v>
      </c>
      <c r="AU752" s="1">
        <f>value(IFERROR(SUBSTITUTE(SUBSTITUTE(VLOOKUP($A752,'Quarterly Pipeline vs Target Pi'!$A:$AP,37,false)," $","")," €",""), "")
)</f>
        <v>0</v>
      </c>
      <c r="AV752" s="17" t="str">
        <f t="shared" si="17"/>
        <v/>
      </c>
      <c r="AW752" s="1">
        <f>value(IFERROR(SUBSTITUTE(SUBSTITUTE(VLOOKUP($A752,'Quarterly Pipeline vs Target Pi'!$A:$AP,41,false)," $","")," €",""), "")
)</f>
        <v>0</v>
      </c>
      <c r="AX752" s="1">
        <f>value(IFERROR(SUBSTITUTE(SUBSTITUTE(VLOOKUP($A752,'Quarterly Pipeline vs Target Pi'!$A:$AP,42,false)," $","")," €",""), "")
)</f>
        <v>0</v>
      </c>
      <c r="AY752" s="17" t="str">
        <f t="shared" si="18"/>
        <v/>
      </c>
      <c r="AZ752" s="1">
        <f t="shared" ref="AZ752:BA752" si="1474">sum(AN752,AQ752,AT752,AW752)</f>
        <v>0</v>
      </c>
      <c r="BA752" s="1">
        <f t="shared" si="1474"/>
        <v>0</v>
      </c>
      <c r="BB752" s="17" t="str">
        <f t="shared" si="20"/>
        <v/>
      </c>
    </row>
    <row r="753">
      <c r="I753" s="17"/>
      <c r="L753" s="17"/>
      <c r="O753" s="17"/>
      <c r="X753" s="17"/>
      <c r="AA753" s="17"/>
      <c r="AD753" s="19"/>
      <c r="AG753" s="19"/>
      <c r="AJ753" s="19"/>
      <c r="AM753" s="19"/>
      <c r="AN753" s="1">
        <f>value(IFERROR(SUBSTITUTE(SUBSTITUTE(VLOOKUP($A753,'Quarterly Pipeline vs Target Pi'!$A:$AP,26,false)," $","")," €",""), "")
)</f>
        <v>0</v>
      </c>
      <c r="AO753" s="1">
        <f>value(IFERROR(SUBSTITUTE(SUBSTITUTE(VLOOKUP($A753,'Quarterly Pipeline vs Target Pi'!$A:$AP,27,false)," $","")," €",""), "")
)</f>
        <v>0</v>
      </c>
      <c r="AP753" s="17" t="str">
        <f t="shared" si="15"/>
        <v/>
      </c>
      <c r="AQ753" s="1">
        <f>value(IFERROR(SUBSTITUTE(SUBSTITUTE(VLOOKUP($A753,'Quarterly Pipeline vs Target Pi'!$A:$AP,31,false)," $","")," €",""), "")
)</f>
        <v>0</v>
      </c>
      <c r="AR753" s="1">
        <f>value(IFERROR(SUBSTITUTE(SUBSTITUTE(VLOOKUP($A753,'Quarterly Pipeline vs Target Pi'!$A:$AP,32,false)," $","")," €",""), "")
)</f>
        <v>0</v>
      </c>
      <c r="AS753" s="17" t="str">
        <f t="shared" si="16"/>
        <v/>
      </c>
      <c r="AT753" s="1">
        <f>value(IFERROR(SUBSTITUTE(SUBSTITUTE(VLOOKUP($A753,'Quarterly Pipeline vs Target Pi'!$A:$AP,36,false)," $","")," €",""), "")
)</f>
        <v>0</v>
      </c>
      <c r="AU753" s="1">
        <f>value(IFERROR(SUBSTITUTE(SUBSTITUTE(VLOOKUP($A753,'Quarterly Pipeline vs Target Pi'!$A:$AP,37,false)," $","")," €",""), "")
)</f>
        <v>0</v>
      </c>
      <c r="AV753" s="17" t="str">
        <f t="shared" si="17"/>
        <v/>
      </c>
      <c r="AW753" s="1">
        <f>value(IFERROR(SUBSTITUTE(SUBSTITUTE(VLOOKUP($A753,'Quarterly Pipeline vs Target Pi'!$A:$AP,41,false)," $","")," €",""), "")
)</f>
        <v>0</v>
      </c>
      <c r="AX753" s="1">
        <f>value(IFERROR(SUBSTITUTE(SUBSTITUTE(VLOOKUP($A753,'Quarterly Pipeline vs Target Pi'!$A:$AP,42,false)," $","")," €",""), "")
)</f>
        <v>0</v>
      </c>
      <c r="AY753" s="17" t="str">
        <f t="shared" si="18"/>
        <v/>
      </c>
      <c r="AZ753" s="1">
        <f t="shared" ref="AZ753:BA753" si="1475">sum(AN753,AQ753,AT753,AW753)</f>
        <v>0</v>
      </c>
      <c r="BA753" s="1">
        <f t="shared" si="1475"/>
        <v>0</v>
      </c>
      <c r="BB753" s="17" t="str">
        <f t="shared" si="20"/>
        <v/>
      </c>
    </row>
    <row r="754">
      <c r="I754" s="17"/>
      <c r="L754" s="17"/>
      <c r="O754" s="17"/>
      <c r="X754" s="17"/>
      <c r="AA754" s="17"/>
      <c r="AD754" s="19"/>
      <c r="AG754" s="19"/>
      <c r="AJ754" s="19"/>
      <c r="AM754" s="19"/>
      <c r="AN754" s="1">
        <f>value(IFERROR(SUBSTITUTE(SUBSTITUTE(VLOOKUP($A754,'Quarterly Pipeline vs Target Pi'!$A:$AP,26,false)," $","")," €",""), "")
)</f>
        <v>0</v>
      </c>
      <c r="AO754" s="1">
        <f>value(IFERROR(SUBSTITUTE(SUBSTITUTE(VLOOKUP($A754,'Quarterly Pipeline vs Target Pi'!$A:$AP,27,false)," $","")," €",""), "")
)</f>
        <v>0</v>
      </c>
      <c r="AP754" s="17" t="str">
        <f t="shared" si="15"/>
        <v/>
      </c>
      <c r="AQ754" s="1">
        <f>value(IFERROR(SUBSTITUTE(SUBSTITUTE(VLOOKUP($A754,'Quarterly Pipeline vs Target Pi'!$A:$AP,31,false)," $","")," €",""), "")
)</f>
        <v>0</v>
      </c>
      <c r="AR754" s="1">
        <f>value(IFERROR(SUBSTITUTE(SUBSTITUTE(VLOOKUP($A754,'Quarterly Pipeline vs Target Pi'!$A:$AP,32,false)," $","")," €",""), "")
)</f>
        <v>0</v>
      </c>
      <c r="AS754" s="17" t="str">
        <f t="shared" si="16"/>
        <v/>
      </c>
      <c r="AT754" s="1">
        <f>value(IFERROR(SUBSTITUTE(SUBSTITUTE(VLOOKUP($A754,'Quarterly Pipeline vs Target Pi'!$A:$AP,36,false)," $","")," €",""), "")
)</f>
        <v>0</v>
      </c>
      <c r="AU754" s="1">
        <f>value(IFERROR(SUBSTITUTE(SUBSTITUTE(VLOOKUP($A754,'Quarterly Pipeline vs Target Pi'!$A:$AP,37,false)," $","")," €",""), "")
)</f>
        <v>0</v>
      </c>
      <c r="AV754" s="17" t="str">
        <f t="shared" si="17"/>
        <v/>
      </c>
      <c r="AW754" s="1">
        <f>value(IFERROR(SUBSTITUTE(SUBSTITUTE(VLOOKUP($A754,'Quarterly Pipeline vs Target Pi'!$A:$AP,41,false)," $","")," €",""), "")
)</f>
        <v>0</v>
      </c>
      <c r="AX754" s="1">
        <f>value(IFERROR(SUBSTITUTE(SUBSTITUTE(VLOOKUP($A754,'Quarterly Pipeline vs Target Pi'!$A:$AP,42,false)," $","")," €",""), "")
)</f>
        <v>0</v>
      </c>
      <c r="AY754" s="17" t="str">
        <f t="shared" si="18"/>
        <v/>
      </c>
      <c r="AZ754" s="1">
        <f t="shared" ref="AZ754:BA754" si="1476">sum(AN754,AQ754,AT754,AW754)</f>
        <v>0</v>
      </c>
      <c r="BA754" s="1">
        <f t="shared" si="1476"/>
        <v>0</v>
      </c>
      <c r="BB754" s="17" t="str">
        <f t="shared" si="20"/>
        <v/>
      </c>
    </row>
    <row r="755">
      <c r="I755" s="17"/>
      <c r="L755" s="17"/>
      <c r="O755" s="17"/>
      <c r="X755" s="17"/>
      <c r="AA755" s="17"/>
      <c r="AD755" s="19"/>
      <c r="AG755" s="19"/>
      <c r="AJ755" s="19"/>
      <c r="AM755" s="19"/>
      <c r="AN755" s="1">
        <f>value(IFERROR(SUBSTITUTE(SUBSTITUTE(VLOOKUP($A755,'Quarterly Pipeline vs Target Pi'!$A:$AP,26,false)," $","")," €",""), "")
)</f>
        <v>0</v>
      </c>
      <c r="AO755" s="1">
        <f>value(IFERROR(SUBSTITUTE(SUBSTITUTE(VLOOKUP($A755,'Quarterly Pipeline vs Target Pi'!$A:$AP,27,false)," $","")," €",""), "")
)</f>
        <v>0</v>
      </c>
      <c r="AP755" s="17" t="str">
        <f t="shared" si="15"/>
        <v/>
      </c>
      <c r="AQ755" s="1">
        <f>value(IFERROR(SUBSTITUTE(SUBSTITUTE(VLOOKUP($A755,'Quarterly Pipeline vs Target Pi'!$A:$AP,31,false)," $","")," €",""), "")
)</f>
        <v>0</v>
      </c>
      <c r="AR755" s="1">
        <f>value(IFERROR(SUBSTITUTE(SUBSTITUTE(VLOOKUP($A755,'Quarterly Pipeline vs Target Pi'!$A:$AP,32,false)," $","")," €",""), "")
)</f>
        <v>0</v>
      </c>
      <c r="AS755" s="17" t="str">
        <f t="shared" si="16"/>
        <v/>
      </c>
      <c r="AT755" s="1">
        <f>value(IFERROR(SUBSTITUTE(SUBSTITUTE(VLOOKUP($A755,'Quarterly Pipeline vs Target Pi'!$A:$AP,36,false)," $","")," €",""), "")
)</f>
        <v>0</v>
      </c>
      <c r="AU755" s="1">
        <f>value(IFERROR(SUBSTITUTE(SUBSTITUTE(VLOOKUP($A755,'Quarterly Pipeline vs Target Pi'!$A:$AP,37,false)," $","")," €",""), "")
)</f>
        <v>0</v>
      </c>
      <c r="AV755" s="17" t="str">
        <f t="shared" si="17"/>
        <v/>
      </c>
      <c r="AW755" s="1">
        <f>value(IFERROR(SUBSTITUTE(SUBSTITUTE(VLOOKUP($A755,'Quarterly Pipeline vs Target Pi'!$A:$AP,41,false)," $","")," €",""), "")
)</f>
        <v>0</v>
      </c>
      <c r="AX755" s="1">
        <f>value(IFERROR(SUBSTITUTE(SUBSTITUTE(VLOOKUP($A755,'Quarterly Pipeline vs Target Pi'!$A:$AP,42,false)," $","")," €",""), "")
)</f>
        <v>0</v>
      </c>
      <c r="AY755" s="17" t="str">
        <f t="shared" si="18"/>
        <v/>
      </c>
      <c r="AZ755" s="1">
        <f t="shared" ref="AZ755:BA755" si="1477">sum(AN755,AQ755,AT755,AW755)</f>
        <v>0</v>
      </c>
      <c r="BA755" s="1">
        <f t="shared" si="1477"/>
        <v>0</v>
      </c>
      <c r="BB755" s="17" t="str">
        <f t="shared" si="20"/>
        <v/>
      </c>
    </row>
    <row r="756">
      <c r="I756" s="17"/>
      <c r="L756" s="17"/>
      <c r="O756" s="17"/>
      <c r="X756" s="17"/>
      <c r="AA756" s="17"/>
      <c r="AD756" s="19"/>
      <c r="AG756" s="19"/>
      <c r="AJ756" s="19"/>
      <c r="AM756" s="19"/>
      <c r="AN756" s="1">
        <f>value(IFERROR(SUBSTITUTE(SUBSTITUTE(VLOOKUP($A756,'Quarterly Pipeline vs Target Pi'!$A:$AP,26,false)," $","")," €",""), "")
)</f>
        <v>0</v>
      </c>
      <c r="AO756" s="1">
        <f>value(IFERROR(SUBSTITUTE(SUBSTITUTE(VLOOKUP($A756,'Quarterly Pipeline vs Target Pi'!$A:$AP,27,false)," $","")," €",""), "")
)</f>
        <v>0</v>
      </c>
      <c r="AP756" s="17" t="str">
        <f t="shared" si="15"/>
        <v/>
      </c>
      <c r="AQ756" s="1">
        <f>value(IFERROR(SUBSTITUTE(SUBSTITUTE(VLOOKUP($A756,'Quarterly Pipeline vs Target Pi'!$A:$AP,31,false)," $","")," €",""), "")
)</f>
        <v>0</v>
      </c>
      <c r="AR756" s="1">
        <f>value(IFERROR(SUBSTITUTE(SUBSTITUTE(VLOOKUP($A756,'Quarterly Pipeline vs Target Pi'!$A:$AP,32,false)," $","")," €",""), "")
)</f>
        <v>0</v>
      </c>
      <c r="AS756" s="17" t="str">
        <f t="shared" si="16"/>
        <v/>
      </c>
      <c r="AT756" s="1">
        <f>value(IFERROR(SUBSTITUTE(SUBSTITUTE(VLOOKUP($A756,'Quarterly Pipeline vs Target Pi'!$A:$AP,36,false)," $","")," €",""), "")
)</f>
        <v>0</v>
      </c>
      <c r="AU756" s="1">
        <f>value(IFERROR(SUBSTITUTE(SUBSTITUTE(VLOOKUP($A756,'Quarterly Pipeline vs Target Pi'!$A:$AP,37,false)," $","")," €",""), "")
)</f>
        <v>0</v>
      </c>
      <c r="AV756" s="17" t="str">
        <f t="shared" si="17"/>
        <v/>
      </c>
      <c r="AW756" s="1">
        <f>value(IFERROR(SUBSTITUTE(SUBSTITUTE(VLOOKUP($A756,'Quarterly Pipeline vs Target Pi'!$A:$AP,41,false)," $","")," €",""), "")
)</f>
        <v>0</v>
      </c>
      <c r="AX756" s="1">
        <f>value(IFERROR(SUBSTITUTE(SUBSTITUTE(VLOOKUP($A756,'Quarterly Pipeline vs Target Pi'!$A:$AP,42,false)," $","")," €",""), "")
)</f>
        <v>0</v>
      </c>
      <c r="AY756" s="17" t="str">
        <f t="shared" si="18"/>
        <v/>
      </c>
      <c r="AZ756" s="1">
        <f t="shared" ref="AZ756:BA756" si="1478">sum(AN756,AQ756,AT756,AW756)</f>
        <v>0</v>
      </c>
      <c r="BA756" s="1">
        <f t="shared" si="1478"/>
        <v>0</v>
      </c>
      <c r="BB756" s="17" t="str">
        <f t="shared" si="20"/>
        <v/>
      </c>
    </row>
    <row r="757">
      <c r="I757" s="17"/>
      <c r="L757" s="17"/>
      <c r="O757" s="17"/>
      <c r="X757" s="17"/>
      <c r="AA757" s="17"/>
      <c r="AD757" s="19"/>
      <c r="AG757" s="19"/>
      <c r="AJ757" s="19"/>
      <c r="AM757" s="19"/>
      <c r="AN757" s="1">
        <f>value(IFERROR(SUBSTITUTE(SUBSTITUTE(VLOOKUP($A757,'Quarterly Pipeline vs Target Pi'!$A:$AP,26,false)," $","")," €",""), "")
)</f>
        <v>0</v>
      </c>
      <c r="AO757" s="1">
        <f>value(IFERROR(SUBSTITUTE(SUBSTITUTE(VLOOKUP($A757,'Quarterly Pipeline vs Target Pi'!$A:$AP,27,false)," $","")," €",""), "")
)</f>
        <v>0</v>
      </c>
      <c r="AP757" s="17" t="str">
        <f t="shared" si="15"/>
        <v/>
      </c>
      <c r="AQ757" s="1">
        <f>value(IFERROR(SUBSTITUTE(SUBSTITUTE(VLOOKUP($A757,'Quarterly Pipeline vs Target Pi'!$A:$AP,31,false)," $","")," €",""), "")
)</f>
        <v>0</v>
      </c>
      <c r="AR757" s="1">
        <f>value(IFERROR(SUBSTITUTE(SUBSTITUTE(VLOOKUP($A757,'Quarterly Pipeline vs Target Pi'!$A:$AP,32,false)," $","")," €",""), "")
)</f>
        <v>0</v>
      </c>
      <c r="AS757" s="17" t="str">
        <f t="shared" si="16"/>
        <v/>
      </c>
      <c r="AT757" s="1">
        <f>value(IFERROR(SUBSTITUTE(SUBSTITUTE(VLOOKUP($A757,'Quarterly Pipeline vs Target Pi'!$A:$AP,36,false)," $","")," €",""), "")
)</f>
        <v>0</v>
      </c>
      <c r="AU757" s="1">
        <f>value(IFERROR(SUBSTITUTE(SUBSTITUTE(VLOOKUP($A757,'Quarterly Pipeline vs Target Pi'!$A:$AP,37,false)," $","")," €",""), "")
)</f>
        <v>0</v>
      </c>
      <c r="AV757" s="17" t="str">
        <f t="shared" si="17"/>
        <v/>
      </c>
      <c r="AW757" s="1">
        <f>value(IFERROR(SUBSTITUTE(SUBSTITUTE(VLOOKUP($A757,'Quarterly Pipeline vs Target Pi'!$A:$AP,41,false)," $","")," €",""), "")
)</f>
        <v>0</v>
      </c>
      <c r="AX757" s="1">
        <f>value(IFERROR(SUBSTITUTE(SUBSTITUTE(VLOOKUP($A757,'Quarterly Pipeline vs Target Pi'!$A:$AP,42,false)," $","")," €",""), "")
)</f>
        <v>0</v>
      </c>
      <c r="AY757" s="17" t="str">
        <f t="shared" si="18"/>
        <v/>
      </c>
      <c r="AZ757" s="1">
        <f t="shared" ref="AZ757:BA757" si="1479">sum(AN757,AQ757,AT757,AW757)</f>
        <v>0</v>
      </c>
      <c r="BA757" s="1">
        <f t="shared" si="1479"/>
        <v>0</v>
      </c>
      <c r="BB757" s="17" t="str">
        <f t="shared" si="20"/>
        <v/>
      </c>
    </row>
    <row r="758">
      <c r="I758" s="17"/>
      <c r="L758" s="17"/>
      <c r="O758" s="17"/>
      <c r="X758" s="17"/>
      <c r="AA758" s="17"/>
      <c r="AD758" s="19"/>
      <c r="AG758" s="19"/>
      <c r="AJ758" s="19"/>
      <c r="AM758" s="19"/>
      <c r="AN758" s="1">
        <f>value(IFERROR(SUBSTITUTE(SUBSTITUTE(VLOOKUP($A758,'Quarterly Pipeline vs Target Pi'!$A:$AP,26,false)," $","")," €",""), "")
)</f>
        <v>0</v>
      </c>
      <c r="AO758" s="1">
        <f>value(IFERROR(SUBSTITUTE(SUBSTITUTE(VLOOKUP($A758,'Quarterly Pipeline vs Target Pi'!$A:$AP,27,false)," $","")," €",""), "")
)</f>
        <v>0</v>
      </c>
      <c r="AP758" s="17" t="str">
        <f t="shared" si="15"/>
        <v/>
      </c>
      <c r="AQ758" s="1">
        <f>value(IFERROR(SUBSTITUTE(SUBSTITUTE(VLOOKUP($A758,'Quarterly Pipeline vs Target Pi'!$A:$AP,31,false)," $","")," €",""), "")
)</f>
        <v>0</v>
      </c>
      <c r="AR758" s="1">
        <f>value(IFERROR(SUBSTITUTE(SUBSTITUTE(VLOOKUP($A758,'Quarterly Pipeline vs Target Pi'!$A:$AP,32,false)," $","")," €",""), "")
)</f>
        <v>0</v>
      </c>
      <c r="AS758" s="17" t="str">
        <f t="shared" si="16"/>
        <v/>
      </c>
      <c r="AT758" s="1">
        <f>value(IFERROR(SUBSTITUTE(SUBSTITUTE(VLOOKUP($A758,'Quarterly Pipeline vs Target Pi'!$A:$AP,36,false)," $","")," €",""), "")
)</f>
        <v>0</v>
      </c>
      <c r="AU758" s="1">
        <f>value(IFERROR(SUBSTITUTE(SUBSTITUTE(VLOOKUP($A758,'Quarterly Pipeline vs Target Pi'!$A:$AP,37,false)," $","")," €",""), "")
)</f>
        <v>0</v>
      </c>
      <c r="AV758" s="17" t="str">
        <f t="shared" si="17"/>
        <v/>
      </c>
      <c r="AW758" s="1">
        <f>value(IFERROR(SUBSTITUTE(SUBSTITUTE(VLOOKUP($A758,'Quarterly Pipeline vs Target Pi'!$A:$AP,41,false)," $","")," €",""), "")
)</f>
        <v>0</v>
      </c>
      <c r="AX758" s="1">
        <f>value(IFERROR(SUBSTITUTE(SUBSTITUTE(VLOOKUP($A758,'Quarterly Pipeline vs Target Pi'!$A:$AP,42,false)," $","")," €",""), "")
)</f>
        <v>0</v>
      </c>
      <c r="AY758" s="17" t="str">
        <f t="shared" si="18"/>
        <v/>
      </c>
      <c r="AZ758" s="1">
        <f t="shared" ref="AZ758:BA758" si="1480">sum(AN758,AQ758,AT758,AW758)</f>
        <v>0</v>
      </c>
      <c r="BA758" s="1">
        <f t="shared" si="1480"/>
        <v>0</v>
      </c>
      <c r="BB758" s="17" t="str">
        <f t="shared" si="20"/>
        <v/>
      </c>
    </row>
    <row r="759">
      <c r="I759" s="17"/>
      <c r="L759" s="17"/>
      <c r="O759" s="17"/>
      <c r="X759" s="17"/>
      <c r="AA759" s="17"/>
      <c r="AD759" s="19"/>
      <c r="AG759" s="19"/>
      <c r="AJ759" s="19"/>
      <c r="AM759" s="19"/>
      <c r="AN759" s="1">
        <f>value(IFERROR(SUBSTITUTE(SUBSTITUTE(VLOOKUP($A759,'Quarterly Pipeline vs Target Pi'!$A:$AP,26,false)," $","")," €",""), "")
)</f>
        <v>0</v>
      </c>
      <c r="AO759" s="1">
        <f>value(IFERROR(SUBSTITUTE(SUBSTITUTE(VLOOKUP($A759,'Quarterly Pipeline vs Target Pi'!$A:$AP,27,false)," $","")," €",""), "")
)</f>
        <v>0</v>
      </c>
      <c r="AP759" s="17" t="str">
        <f t="shared" si="15"/>
        <v/>
      </c>
      <c r="AQ759" s="1">
        <f>value(IFERROR(SUBSTITUTE(SUBSTITUTE(VLOOKUP($A759,'Quarterly Pipeline vs Target Pi'!$A:$AP,31,false)," $","")," €",""), "")
)</f>
        <v>0</v>
      </c>
      <c r="AR759" s="1">
        <f>value(IFERROR(SUBSTITUTE(SUBSTITUTE(VLOOKUP($A759,'Quarterly Pipeline vs Target Pi'!$A:$AP,32,false)," $","")," €",""), "")
)</f>
        <v>0</v>
      </c>
      <c r="AS759" s="17" t="str">
        <f t="shared" si="16"/>
        <v/>
      </c>
      <c r="AT759" s="1">
        <f>value(IFERROR(SUBSTITUTE(SUBSTITUTE(VLOOKUP($A759,'Quarterly Pipeline vs Target Pi'!$A:$AP,36,false)," $","")," €",""), "")
)</f>
        <v>0</v>
      </c>
      <c r="AU759" s="1">
        <f>value(IFERROR(SUBSTITUTE(SUBSTITUTE(VLOOKUP($A759,'Quarterly Pipeline vs Target Pi'!$A:$AP,37,false)," $","")," €",""), "")
)</f>
        <v>0</v>
      </c>
      <c r="AV759" s="17" t="str">
        <f t="shared" si="17"/>
        <v/>
      </c>
      <c r="AW759" s="1">
        <f>value(IFERROR(SUBSTITUTE(SUBSTITUTE(VLOOKUP($A759,'Quarterly Pipeline vs Target Pi'!$A:$AP,41,false)," $","")," €",""), "")
)</f>
        <v>0</v>
      </c>
      <c r="AX759" s="1">
        <f>value(IFERROR(SUBSTITUTE(SUBSTITUTE(VLOOKUP($A759,'Quarterly Pipeline vs Target Pi'!$A:$AP,42,false)," $","")," €",""), "")
)</f>
        <v>0</v>
      </c>
      <c r="AY759" s="17" t="str">
        <f t="shared" si="18"/>
        <v/>
      </c>
      <c r="AZ759" s="1">
        <f t="shared" ref="AZ759:BA759" si="1481">sum(AN759,AQ759,AT759,AW759)</f>
        <v>0</v>
      </c>
      <c r="BA759" s="1">
        <f t="shared" si="1481"/>
        <v>0</v>
      </c>
      <c r="BB759" s="17" t="str">
        <f t="shared" si="20"/>
        <v/>
      </c>
    </row>
    <row r="760">
      <c r="I760" s="17"/>
      <c r="L760" s="17"/>
      <c r="O760" s="17"/>
      <c r="X760" s="17"/>
      <c r="AA760" s="17"/>
      <c r="AD760" s="19"/>
      <c r="AG760" s="19"/>
      <c r="AJ760" s="19"/>
      <c r="AM760" s="19"/>
      <c r="AN760" s="1">
        <f>value(IFERROR(SUBSTITUTE(SUBSTITUTE(VLOOKUP($A760,'Quarterly Pipeline vs Target Pi'!$A:$AP,26,false)," $","")," €",""), "")
)</f>
        <v>0</v>
      </c>
      <c r="AO760" s="1">
        <f>value(IFERROR(SUBSTITUTE(SUBSTITUTE(VLOOKUP($A760,'Quarterly Pipeline vs Target Pi'!$A:$AP,27,false)," $","")," €",""), "")
)</f>
        <v>0</v>
      </c>
      <c r="AP760" s="17" t="str">
        <f t="shared" si="15"/>
        <v/>
      </c>
      <c r="AQ760" s="1">
        <f>value(IFERROR(SUBSTITUTE(SUBSTITUTE(VLOOKUP($A760,'Quarterly Pipeline vs Target Pi'!$A:$AP,31,false)," $","")," €",""), "")
)</f>
        <v>0</v>
      </c>
      <c r="AR760" s="1">
        <f>value(IFERROR(SUBSTITUTE(SUBSTITUTE(VLOOKUP($A760,'Quarterly Pipeline vs Target Pi'!$A:$AP,32,false)," $","")," €",""), "")
)</f>
        <v>0</v>
      </c>
      <c r="AS760" s="17" t="str">
        <f t="shared" si="16"/>
        <v/>
      </c>
      <c r="AT760" s="1">
        <f>value(IFERROR(SUBSTITUTE(SUBSTITUTE(VLOOKUP($A760,'Quarterly Pipeline vs Target Pi'!$A:$AP,36,false)," $","")," €",""), "")
)</f>
        <v>0</v>
      </c>
      <c r="AU760" s="1">
        <f>value(IFERROR(SUBSTITUTE(SUBSTITUTE(VLOOKUP($A760,'Quarterly Pipeline vs Target Pi'!$A:$AP,37,false)," $","")," €",""), "")
)</f>
        <v>0</v>
      </c>
      <c r="AV760" s="17" t="str">
        <f t="shared" si="17"/>
        <v/>
      </c>
      <c r="AW760" s="1">
        <f>value(IFERROR(SUBSTITUTE(SUBSTITUTE(VLOOKUP($A760,'Quarterly Pipeline vs Target Pi'!$A:$AP,41,false)," $","")," €",""), "")
)</f>
        <v>0</v>
      </c>
      <c r="AX760" s="1">
        <f>value(IFERROR(SUBSTITUTE(SUBSTITUTE(VLOOKUP($A760,'Quarterly Pipeline vs Target Pi'!$A:$AP,42,false)," $","")," €",""), "")
)</f>
        <v>0</v>
      </c>
      <c r="AY760" s="17" t="str">
        <f t="shared" si="18"/>
        <v/>
      </c>
      <c r="AZ760" s="1">
        <f t="shared" ref="AZ760:BA760" si="1482">sum(AN760,AQ760,AT760,AW760)</f>
        <v>0</v>
      </c>
      <c r="BA760" s="1">
        <f t="shared" si="1482"/>
        <v>0</v>
      </c>
      <c r="BB760" s="17" t="str">
        <f t="shared" si="20"/>
        <v/>
      </c>
    </row>
    <row r="761">
      <c r="I761" s="17"/>
      <c r="L761" s="17"/>
      <c r="O761" s="17"/>
      <c r="X761" s="17"/>
      <c r="AA761" s="17"/>
      <c r="AD761" s="19"/>
      <c r="AG761" s="19"/>
      <c r="AJ761" s="19"/>
      <c r="AM761" s="19"/>
      <c r="AN761" s="1">
        <f>value(IFERROR(SUBSTITUTE(SUBSTITUTE(VLOOKUP($A761,'Quarterly Pipeline vs Target Pi'!$A:$AP,26,false)," $","")," €",""), "")
)</f>
        <v>0</v>
      </c>
      <c r="AO761" s="1">
        <f>value(IFERROR(SUBSTITUTE(SUBSTITUTE(VLOOKUP($A761,'Quarterly Pipeline vs Target Pi'!$A:$AP,27,false)," $","")," €",""), "")
)</f>
        <v>0</v>
      </c>
      <c r="AP761" s="17" t="str">
        <f t="shared" si="15"/>
        <v/>
      </c>
      <c r="AQ761" s="1">
        <f>value(IFERROR(SUBSTITUTE(SUBSTITUTE(VLOOKUP($A761,'Quarterly Pipeline vs Target Pi'!$A:$AP,31,false)," $","")," €",""), "")
)</f>
        <v>0</v>
      </c>
      <c r="AR761" s="1">
        <f>value(IFERROR(SUBSTITUTE(SUBSTITUTE(VLOOKUP($A761,'Quarterly Pipeline vs Target Pi'!$A:$AP,32,false)," $","")," €",""), "")
)</f>
        <v>0</v>
      </c>
      <c r="AS761" s="17" t="str">
        <f t="shared" si="16"/>
        <v/>
      </c>
      <c r="AT761" s="1">
        <f>value(IFERROR(SUBSTITUTE(SUBSTITUTE(VLOOKUP($A761,'Quarterly Pipeline vs Target Pi'!$A:$AP,36,false)," $","")," €",""), "")
)</f>
        <v>0</v>
      </c>
      <c r="AU761" s="1">
        <f>value(IFERROR(SUBSTITUTE(SUBSTITUTE(VLOOKUP($A761,'Quarterly Pipeline vs Target Pi'!$A:$AP,37,false)," $","")," €",""), "")
)</f>
        <v>0</v>
      </c>
      <c r="AV761" s="17" t="str">
        <f t="shared" si="17"/>
        <v/>
      </c>
      <c r="AW761" s="1">
        <f>value(IFERROR(SUBSTITUTE(SUBSTITUTE(VLOOKUP($A761,'Quarterly Pipeline vs Target Pi'!$A:$AP,41,false)," $","")," €",""), "")
)</f>
        <v>0</v>
      </c>
      <c r="AX761" s="1">
        <f>value(IFERROR(SUBSTITUTE(SUBSTITUTE(VLOOKUP($A761,'Quarterly Pipeline vs Target Pi'!$A:$AP,42,false)," $","")," €",""), "")
)</f>
        <v>0</v>
      </c>
      <c r="AY761" s="17" t="str">
        <f t="shared" si="18"/>
        <v/>
      </c>
      <c r="AZ761" s="1">
        <f t="shared" ref="AZ761:BA761" si="1483">sum(AN761,AQ761,AT761,AW761)</f>
        <v>0</v>
      </c>
      <c r="BA761" s="1">
        <f t="shared" si="1483"/>
        <v>0</v>
      </c>
      <c r="BB761" s="17" t="str">
        <f t="shared" si="20"/>
        <v/>
      </c>
    </row>
    <row r="762">
      <c r="I762" s="17"/>
      <c r="L762" s="17"/>
      <c r="O762" s="17"/>
      <c r="X762" s="17"/>
      <c r="AA762" s="17"/>
      <c r="AD762" s="19"/>
      <c r="AG762" s="19"/>
      <c r="AJ762" s="19"/>
      <c r="AM762" s="19"/>
      <c r="AN762" s="1">
        <f>value(IFERROR(SUBSTITUTE(SUBSTITUTE(VLOOKUP($A762,'Quarterly Pipeline vs Target Pi'!$A:$AP,26,false)," $","")," €",""), "")
)</f>
        <v>0</v>
      </c>
      <c r="AO762" s="1">
        <f>value(IFERROR(SUBSTITUTE(SUBSTITUTE(VLOOKUP($A762,'Quarterly Pipeline vs Target Pi'!$A:$AP,27,false)," $","")," €",""), "")
)</f>
        <v>0</v>
      </c>
      <c r="AP762" s="17" t="str">
        <f t="shared" si="15"/>
        <v/>
      </c>
      <c r="AQ762" s="1">
        <f>value(IFERROR(SUBSTITUTE(SUBSTITUTE(VLOOKUP($A762,'Quarterly Pipeline vs Target Pi'!$A:$AP,31,false)," $","")," €",""), "")
)</f>
        <v>0</v>
      </c>
      <c r="AR762" s="1">
        <f>value(IFERROR(SUBSTITUTE(SUBSTITUTE(VLOOKUP($A762,'Quarterly Pipeline vs Target Pi'!$A:$AP,32,false)," $","")," €",""), "")
)</f>
        <v>0</v>
      </c>
      <c r="AS762" s="17" t="str">
        <f t="shared" si="16"/>
        <v/>
      </c>
      <c r="AT762" s="1">
        <f>value(IFERROR(SUBSTITUTE(SUBSTITUTE(VLOOKUP($A762,'Quarterly Pipeline vs Target Pi'!$A:$AP,36,false)," $","")," €",""), "")
)</f>
        <v>0</v>
      </c>
      <c r="AU762" s="1">
        <f>value(IFERROR(SUBSTITUTE(SUBSTITUTE(VLOOKUP($A762,'Quarterly Pipeline vs Target Pi'!$A:$AP,37,false)," $","")," €",""), "")
)</f>
        <v>0</v>
      </c>
      <c r="AV762" s="17" t="str">
        <f t="shared" si="17"/>
        <v/>
      </c>
      <c r="AW762" s="1">
        <f>value(IFERROR(SUBSTITUTE(SUBSTITUTE(VLOOKUP($A762,'Quarterly Pipeline vs Target Pi'!$A:$AP,41,false)," $","")," €",""), "")
)</f>
        <v>0</v>
      </c>
      <c r="AX762" s="1">
        <f>value(IFERROR(SUBSTITUTE(SUBSTITUTE(VLOOKUP($A762,'Quarterly Pipeline vs Target Pi'!$A:$AP,42,false)," $","")," €",""), "")
)</f>
        <v>0</v>
      </c>
      <c r="AY762" s="17" t="str">
        <f t="shared" si="18"/>
        <v/>
      </c>
      <c r="AZ762" s="1">
        <f t="shared" ref="AZ762:BA762" si="1484">sum(AN762,AQ762,AT762,AW762)</f>
        <v>0</v>
      </c>
      <c r="BA762" s="1">
        <f t="shared" si="1484"/>
        <v>0</v>
      </c>
      <c r="BB762" s="17" t="str">
        <f t="shared" si="20"/>
        <v/>
      </c>
    </row>
    <row r="763">
      <c r="I763" s="17"/>
      <c r="L763" s="17"/>
      <c r="O763" s="17"/>
      <c r="X763" s="17"/>
      <c r="AA763" s="17"/>
      <c r="AD763" s="19"/>
      <c r="AG763" s="19"/>
      <c r="AJ763" s="19"/>
      <c r="AM763" s="19"/>
      <c r="AN763" s="1">
        <f>value(IFERROR(SUBSTITUTE(SUBSTITUTE(VLOOKUP($A763,'Quarterly Pipeline vs Target Pi'!$A:$AP,26,false)," $","")," €",""), "")
)</f>
        <v>0</v>
      </c>
      <c r="AO763" s="1">
        <f>value(IFERROR(SUBSTITUTE(SUBSTITUTE(VLOOKUP($A763,'Quarterly Pipeline vs Target Pi'!$A:$AP,27,false)," $","")," €",""), "")
)</f>
        <v>0</v>
      </c>
      <c r="AP763" s="17" t="str">
        <f t="shared" si="15"/>
        <v/>
      </c>
      <c r="AQ763" s="1">
        <f>value(IFERROR(SUBSTITUTE(SUBSTITUTE(VLOOKUP($A763,'Quarterly Pipeline vs Target Pi'!$A:$AP,31,false)," $","")," €",""), "")
)</f>
        <v>0</v>
      </c>
      <c r="AR763" s="1">
        <f>value(IFERROR(SUBSTITUTE(SUBSTITUTE(VLOOKUP($A763,'Quarterly Pipeline vs Target Pi'!$A:$AP,32,false)," $","")," €",""), "")
)</f>
        <v>0</v>
      </c>
      <c r="AS763" s="17" t="str">
        <f t="shared" si="16"/>
        <v/>
      </c>
      <c r="AT763" s="1">
        <f>value(IFERROR(SUBSTITUTE(SUBSTITUTE(VLOOKUP($A763,'Quarterly Pipeline vs Target Pi'!$A:$AP,36,false)," $","")," €",""), "")
)</f>
        <v>0</v>
      </c>
      <c r="AU763" s="1">
        <f>value(IFERROR(SUBSTITUTE(SUBSTITUTE(VLOOKUP($A763,'Quarterly Pipeline vs Target Pi'!$A:$AP,37,false)," $","")," €",""), "")
)</f>
        <v>0</v>
      </c>
      <c r="AV763" s="17" t="str">
        <f t="shared" si="17"/>
        <v/>
      </c>
      <c r="AW763" s="1">
        <f>value(IFERROR(SUBSTITUTE(SUBSTITUTE(VLOOKUP($A763,'Quarterly Pipeline vs Target Pi'!$A:$AP,41,false)," $","")," €",""), "")
)</f>
        <v>0</v>
      </c>
      <c r="AX763" s="1">
        <f>value(IFERROR(SUBSTITUTE(SUBSTITUTE(VLOOKUP($A763,'Quarterly Pipeline vs Target Pi'!$A:$AP,42,false)," $","")," €",""), "")
)</f>
        <v>0</v>
      </c>
      <c r="AY763" s="17" t="str">
        <f t="shared" si="18"/>
        <v/>
      </c>
      <c r="AZ763" s="1">
        <f t="shared" ref="AZ763:BA763" si="1485">sum(AN763,AQ763,AT763,AW763)</f>
        <v>0</v>
      </c>
      <c r="BA763" s="1">
        <f t="shared" si="1485"/>
        <v>0</v>
      </c>
      <c r="BB763" s="17" t="str">
        <f t="shared" si="20"/>
        <v/>
      </c>
    </row>
    <row r="764">
      <c r="I764" s="17"/>
      <c r="L764" s="17"/>
      <c r="O764" s="17"/>
      <c r="X764" s="17"/>
      <c r="AA764" s="17"/>
      <c r="AD764" s="19"/>
      <c r="AG764" s="19"/>
      <c r="AJ764" s="19"/>
      <c r="AM764" s="19"/>
      <c r="AN764" s="1">
        <f>value(IFERROR(SUBSTITUTE(SUBSTITUTE(VLOOKUP($A764,'Quarterly Pipeline vs Target Pi'!$A:$AP,26,false)," $","")," €",""), "")
)</f>
        <v>0</v>
      </c>
      <c r="AO764" s="1">
        <f>value(IFERROR(SUBSTITUTE(SUBSTITUTE(VLOOKUP($A764,'Quarterly Pipeline vs Target Pi'!$A:$AP,27,false)," $","")," €",""), "")
)</f>
        <v>0</v>
      </c>
      <c r="AP764" s="17" t="str">
        <f t="shared" si="15"/>
        <v/>
      </c>
      <c r="AQ764" s="1">
        <f>value(IFERROR(SUBSTITUTE(SUBSTITUTE(VLOOKUP($A764,'Quarterly Pipeline vs Target Pi'!$A:$AP,31,false)," $","")," €",""), "")
)</f>
        <v>0</v>
      </c>
      <c r="AR764" s="1">
        <f>value(IFERROR(SUBSTITUTE(SUBSTITUTE(VLOOKUP($A764,'Quarterly Pipeline vs Target Pi'!$A:$AP,32,false)," $","")," €",""), "")
)</f>
        <v>0</v>
      </c>
      <c r="AS764" s="17" t="str">
        <f t="shared" si="16"/>
        <v/>
      </c>
      <c r="AT764" s="1">
        <f>value(IFERROR(SUBSTITUTE(SUBSTITUTE(VLOOKUP($A764,'Quarterly Pipeline vs Target Pi'!$A:$AP,36,false)," $","")," €",""), "")
)</f>
        <v>0</v>
      </c>
      <c r="AU764" s="1">
        <f>value(IFERROR(SUBSTITUTE(SUBSTITUTE(VLOOKUP($A764,'Quarterly Pipeline vs Target Pi'!$A:$AP,37,false)," $","")," €",""), "")
)</f>
        <v>0</v>
      </c>
      <c r="AV764" s="17" t="str">
        <f t="shared" si="17"/>
        <v/>
      </c>
      <c r="AW764" s="1">
        <f>value(IFERROR(SUBSTITUTE(SUBSTITUTE(VLOOKUP($A764,'Quarterly Pipeline vs Target Pi'!$A:$AP,41,false)," $","")," €",""), "")
)</f>
        <v>0</v>
      </c>
      <c r="AX764" s="1">
        <f>value(IFERROR(SUBSTITUTE(SUBSTITUTE(VLOOKUP($A764,'Quarterly Pipeline vs Target Pi'!$A:$AP,42,false)," $","")," €",""), "")
)</f>
        <v>0</v>
      </c>
      <c r="AY764" s="17" t="str">
        <f t="shared" si="18"/>
        <v/>
      </c>
      <c r="AZ764" s="1">
        <f t="shared" ref="AZ764:BA764" si="1486">sum(AN764,AQ764,AT764,AW764)</f>
        <v>0</v>
      </c>
      <c r="BA764" s="1">
        <f t="shared" si="1486"/>
        <v>0</v>
      </c>
      <c r="BB764" s="17" t="str">
        <f t="shared" si="20"/>
        <v/>
      </c>
    </row>
    <row r="765">
      <c r="I765" s="17"/>
      <c r="L765" s="17"/>
      <c r="O765" s="17"/>
      <c r="X765" s="17"/>
      <c r="AA765" s="17"/>
      <c r="AD765" s="19"/>
      <c r="AG765" s="19"/>
      <c r="AJ765" s="19"/>
      <c r="AM765" s="19"/>
      <c r="AN765" s="1">
        <f>value(IFERROR(SUBSTITUTE(SUBSTITUTE(VLOOKUP($A765,'Quarterly Pipeline vs Target Pi'!$A:$AP,26,false)," $","")," €",""), "")
)</f>
        <v>0</v>
      </c>
      <c r="AO765" s="1">
        <f>value(IFERROR(SUBSTITUTE(SUBSTITUTE(VLOOKUP($A765,'Quarterly Pipeline vs Target Pi'!$A:$AP,27,false)," $","")," €",""), "")
)</f>
        <v>0</v>
      </c>
      <c r="AP765" s="17" t="str">
        <f t="shared" si="15"/>
        <v/>
      </c>
      <c r="AQ765" s="1">
        <f>value(IFERROR(SUBSTITUTE(SUBSTITUTE(VLOOKUP($A765,'Quarterly Pipeline vs Target Pi'!$A:$AP,31,false)," $","")," €",""), "")
)</f>
        <v>0</v>
      </c>
      <c r="AR765" s="1">
        <f>value(IFERROR(SUBSTITUTE(SUBSTITUTE(VLOOKUP($A765,'Quarterly Pipeline vs Target Pi'!$A:$AP,32,false)," $","")," €",""), "")
)</f>
        <v>0</v>
      </c>
      <c r="AS765" s="17" t="str">
        <f t="shared" si="16"/>
        <v/>
      </c>
      <c r="AT765" s="1">
        <f>value(IFERROR(SUBSTITUTE(SUBSTITUTE(VLOOKUP($A765,'Quarterly Pipeline vs Target Pi'!$A:$AP,36,false)," $","")," €",""), "")
)</f>
        <v>0</v>
      </c>
      <c r="AU765" s="1">
        <f>value(IFERROR(SUBSTITUTE(SUBSTITUTE(VLOOKUP($A765,'Quarterly Pipeline vs Target Pi'!$A:$AP,37,false)," $","")," €",""), "")
)</f>
        <v>0</v>
      </c>
      <c r="AV765" s="17" t="str">
        <f t="shared" si="17"/>
        <v/>
      </c>
      <c r="AW765" s="1">
        <f>value(IFERROR(SUBSTITUTE(SUBSTITUTE(VLOOKUP($A765,'Quarterly Pipeline vs Target Pi'!$A:$AP,41,false)," $","")," €",""), "")
)</f>
        <v>0</v>
      </c>
      <c r="AX765" s="1">
        <f>value(IFERROR(SUBSTITUTE(SUBSTITUTE(VLOOKUP($A765,'Quarterly Pipeline vs Target Pi'!$A:$AP,42,false)," $","")," €",""), "")
)</f>
        <v>0</v>
      </c>
      <c r="AY765" s="17" t="str">
        <f t="shared" si="18"/>
        <v/>
      </c>
      <c r="AZ765" s="1">
        <f t="shared" ref="AZ765:BA765" si="1487">sum(AN765,AQ765,AT765,AW765)</f>
        <v>0</v>
      </c>
      <c r="BA765" s="1">
        <f t="shared" si="1487"/>
        <v>0</v>
      </c>
      <c r="BB765" s="17" t="str">
        <f t="shared" si="20"/>
        <v/>
      </c>
    </row>
    <row r="766">
      <c r="I766" s="17"/>
      <c r="L766" s="17"/>
      <c r="O766" s="17"/>
      <c r="X766" s="17"/>
      <c r="AA766" s="17"/>
      <c r="AD766" s="19"/>
      <c r="AG766" s="19"/>
      <c r="AJ766" s="19"/>
      <c r="AM766" s="19"/>
      <c r="AN766" s="1">
        <f>value(IFERROR(SUBSTITUTE(SUBSTITUTE(VLOOKUP($A766,'Quarterly Pipeline vs Target Pi'!$A:$AP,26,false)," $","")," €",""), "")
)</f>
        <v>0</v>
      </c>
      <c r="AO766" s="1">
        <f>value(IFERROR(SUBSTITUTE(SUBSTITUTE(VLOOKUP($A766,'Quarterly Pipeline vs Target Pi'!$A:$AP,27,false)," $","")," €",""), "")
)</f>
        <v>0</v>
      </c>
      <c r="AP766" s="17" t="str">
        <f t="shared" si="15"/>
        <v/>
      </c>
      <c r="AQ766" s="1">
        <f>value(IFERROR(SUBSTITUTE(SUBSTITUTE(VLOOKUP($A766,'Quarterly Pipeline vs Target Pi'!$A:$AP,31,false)," $","")," €",""), "")
)</f>
        <v>0</v>
      </c>
      <c r="AR766" s="1">
        <f>value(IFERROR(SUBSTITUTE(SUBSTITUTE(VLOOKUP($A766,'Quarterly Pipeline vs Target Pi'!$A:$AP,32,false)," $","")," €",""), "")
)</f>
        <v>0</v>
      </c>
      <c r="AS766" s="17" t="str">
        <f t="shared" si="16"/>
        <v/>
      </c>
      <c r="AT766" s="1">
        <f>value(IFERROR(SUBSTITUTE(SUBSTITUTE(VLOOKUP($A766,'Quarterly Pipeline vs Target Pi'!$A:$AP,36,false)," $","")," €",""), "")
)</f>
        <v>0</v>
      </c>
      <c r="AU766" s="1">
        <f>value(IFERROR(SUBSTITUTE(SUBSTITUTE(VLOOKUP($A766,'Quarterly Pipeline vs Target Pi'!$A:$AP,37,false)," $","")," €",""), "")
)</f>
        <v>0</v>
      </c>
      <c r="AV766" s="17" t="str">
        <f t="shared" si="17"/>
        <v/>
      </c>
      <c r="AW766" s="1">
        <f>value(IFERROR(SUBSTITUTE(SUBSTITUTE(VLOOKUP($A766,'Quarterly Pipeline vs Target Pi'!$A:$AP,41,false)," $","")," €",""), "")
)</f>
        <v>0</v>
      </c>
      <c r="AX766" s="1">
        <f>value(IFERROR(SUBSTITUTE(SUBSTITUTE(VLOOKUP($A766,'Quarterly Pipeline vs Target Pi'!$A:$AP,42,false)," $","")," €",""), "")
)</f>
        <v>0</v>
      </c>
      <c r="AY766" s="17" t="str">
        <f t="shared" si="18"/>
        <v/>
      </c>
      <c r="AZ766" s="1">
        <f t="shared" ref="AZ766:BA766" si="1488">sum(AN766,AQ766,AT766,AW766)</f>
        <v>0</v>
      </c>
      <c r="BA766" s="1">
        <f t="shared" si="1488"/>
        <v>0</v>
      </c>
      <c r="BB766" s="17" t="str">
        <f t="shared" si="20"/>
        <v/>
      </c>
    </row>
    <row r="767">
      <c r="I767" s="17"/>
      <c r="L767" s="17"/>
      <c r="O767" s="17"/>
      <c r="X767" s="17"/>
      <c r="AA767" s="17"/>
      <c r="AD767" s="19"/>
      <c r="AG767" s="19"/>
      <c r="AJ767" s="19"/>
      <c r="AM767" s="19"/>
      <c r="AN767" s="1">
        <f>value(IFERROR(SUBSTITUTE(SUBSTITUTE(VLOOKUP($A767,'Quarterly Pipeline vs Target Pi'!$A:$AP,26,false)," $","")," €",""), "")
)</f>
        <v>0</v>
      </c>
      <c r="AO767" s="1">
        <f>value(IFERROR(SUBSTITUTE(SUBSTITUTE(VLOOKUP($A767,'Quarterly Pipeline vs Target Pi'!$A:$AP,27,false)," $","")," €",""), "")
)</f>
        <v>0</v>
      </c>
      <c r="AP767" s="17" t="str">
        <f t="shared" si="15"/>
        <v/>
      </c>
      <c r="AQ767" s="1">
        <f>value(IFERROR(SUBSTITUTE(SUBSTITUTE(VLOOKUP($A767,'Quarterly Pipeline vs Target Pi'!$A:$AP,31,false)," $","")," €",""), "")
)</f>
        <v>0</v>
      </c>
      <c r="AR767" s="1">
        <f>value(IFERROR(SUBSTITUTE(SUBSTITUTE(VLOOKUP($A767,'Quarterly Pipeline vs Target Pi'!$A:$AP,32,false)," $","")," €",""), "")
)</f>
        <v>0</v>
      </c>
      <c r="AS767" s="17" t="str">
        <f t="shared" si="16"/>
        <v/>
      </c>
      <c r="AT767" s="1">
        <f>value(IFERROR(SUBSTITUTE(SUBSTITUTE(VLOOKUP($A767,'Quarterly Pipeline vs Target Pi'!$A:$AP,36,false)," $","")," €",""), "")
)</f>
        <v>0</v>
      </c>
      <c r="AU767" s="1">
        <f>value(IFERROR(SUBSTITUTE(SUBSTITUTE(VLOOKUP($A767,'Quarterly Pipeline vs Target Pi'!$A:$AP,37,false)," $","")," €",""), "")
)</f>
        <v>0</v>
      </c>
      <c r="AV767" s="17" t="str">
        <f t="shared" si="17"/>
        <v/>
      </c>
      <c r="AW767" s="1">
        <f>value(IFERROR(SUBSTITUTE(SUBSTITUTE(VLOOKUP($A767,'Quarterly Pipeline vs Target Pi'!$A:$AP,41,false)," $","")," €",""), "")
)</f>
        <v>0</v>
      </c>
      <c r="AX767" s="1">
        <f>value(IFERROR(SUBSTITUTE(SUBSTITUTE(VLOOKUP($A767,'Quarterly Pipeline vs Target Pi'!$A:$AP,42,false)," $","")," €",""), "")
)</f>
        <v>0</v>
      </c>
      <c r="AY767" s="17" t="str">
        <f t="shared" si="18"/>
        <v/>
      </c>
      <c r="AZ767" s="1">
        <f t="shared" ref="AZ767:BA767" si="1489">sum(AN767,AQ767,AT767,AW767)</f>
        <v>0</v>
      </c>
      <c r="BA767" s="1">
        <f t="shared" si="1489"/>
        <v>0</v>
      </c>
      <c r="BB767" s="17" t="str">
        <f t="shared" si="20"/>
        <v/>
      </c>
    </row>
    <row r="768">
      <c r="I768" s="17"/>
      <c r="L768" s="17"/>
      <c r="O768" s="17"/>
      <c r="X768" s="17"/>
      <c r="AA768" s="17"/>
      <c r="AD768" s="19"/>
      <c r="AG768" s="19"/>
      <c r="AJ768" s="19"/>
      <c r="AM768" s="19"/>
      <c r="AN768" s="1">
        <f>value(IFERROR(SUBSTITUTE(SUBSTITUTE(VLOOKUP($A768,'Quarterly Pipeline vs Target Pi'!$A:$AP,26,false)," $","")," €",""), "")
)</f>
        <v>0</v>
      </c>
      <c r="AO768" s="1">
        <f>value(IFERROR(SUBSTITUTE(SUBSTITUTE(VLOOKUP($A768,'Quarterly Pipeline vs Target Pi'!$A:$AP,27,false)," $","")," €",""), "")
)</f>
        <v>0</v>
      </c>
      <c r="AP768" s="17" t="str">
        <f t="shared" si="15"/>
        <v/>
      </c>
      <c r="AQ768" s="1">
        <f>value(IFERROR(SUBSTITUTE(SUBSTITUTE(VLOOKUP($A768,'Quarterly Pipeline vs Target Pi'!$A:$AP,31,false)," $","")," €",""), "")
)</f>
        <v>0</v>
      </c>
      <c r="AR768" s="1">
        <f>value(IFERROR(SUBSTITUTE(SUBSTITUTE(VLOOKUP($A768,'Quarterly Pipeline vs Target Pi'!$A:$AP,32,false)," $","")," €",""), "")
)</f>
        <v>0</v>
      </c>
      <c r="AS768" s="17" t="str">
        <f t="shared" si="16"/>
        <v/>
      </c>
      <c r="AT768" s="1">
        <f>value(IFERROR(SUBSTITUTE(SUBSTITUTE(VLOOKUP($A768,'Quarterly Pipeline vs Target Pi'!$A:$AP,36,false)," $","")," €",""), "")
)</f>
        <v>0</v>
      </c>
      <c r="AU768" s="1">
        <f>value(IFERROR(SUBSTITUTE(SUBSTITUTE(VLOOKUP($A768,'Quarterly Pipeline vs Target Pi'!$A:$AP,37,false)," $","")," €",""), "")
)</f>
        <v>0</v>
      </c>
      <c r="AV768" s="17" t="str">
        <f t="shared" si="17"/>
        <v/>
      </c>
      <c r="AW768" s="1">
        <f>value(IFERROR(SUBSTITUTE(SUBSTITUTE(VLOOKUP($A768,'Quarterly Pipeline vs Target Pi'!$A:$AP,41,false)," $","")," €",""), "")
)</f>
        <v>0</v>
      </c>
      <c r="AX768" s="1">
        <f>value(IFERROR(SUBSTITUTE(SUBSTITUTE(VLOOKUP($A768,'Quarterly Pipeline vs Target Pi'!$A:$AP,42,false)," $","")," €",""), "")
)</f>
        <v>0</v>
      </c>
      <c r="AY768" s="17" t="str">
        <f t="shared" si="18"/>
        <v/>
      </c>
      <c r="AZ768" s="1">
        <f t="shared" ref="AZ768:BA768" si="1490">sum(AN768,AQ768,AT768,AW768)</f>
        <v>0</v>
      </c>
      <c r="BA768" s="1">
        <f t="shared" si="1490"/>
        <v>0</v>
      </c>
      <c r="BB768" s="17" t="str">
        <f t="shared" si="20"/>
        <v/>
      </c>
    </row>
    <row r="769">
      <c r="I769" s="17"/>
      <c r="L769" s="17"/>
      <c r="O769" s="17"/>
      <c r="X769" s="17"/>
      <c r="AA769" s="17"/>
      <c r="AD769" s="19"/>
      <c r="AG769" s="19"/>
      <c r="AJ769" s="19"/>
      <c r="AM769" s="19"/>
      <c r="AN769" s="1">
        <f>value(IFERROR(SUBSTITUTE(SUBSTITUTE(VLOOKUP($A769,'Quarterly Pipeline vs Target Pi'!$A:$AP,26,false)," $","")," €",""), "")
)</f>
        <v>0</v>
      </c>
      <c r="AO769" s="1">
        <f>value(IFERROR(SUBSTITUTE(SUBSTITUTE(VLOOKUP($A769,'Quarterly Pipeline vs Target Pi'!$A:$AP,27,false)," $","")," €",""), "")
)</f>
        <v>0</v>
      </c>
      <c r="AP769" s="17" t="str">
        <f t="shared" si="15"/>
        <v/>
      </c>
      <c r="AQ769" s="1">
        <f>value(IFERROR(SUBSTITUTE(SUBSTITUTE(VLOOKUP($A769,'Quarterly Pipeline vs Target Pi'!$A:$AP,31,false)," $","")," €",""), "")
)</f>
        <v>0</v>
      </c>
      <c r="AR769" s="1">
        <f>value(IFERROR(SUBSTITUTE(SUBSTITUTE(VLOOKUP($A769,'Quarterly Pipeline vs Target Pi'!$A:$AP,32,false)," $","")," €",""), "")
)</f>
        <v>0</v>
      </c>
      <c r="AS769" s="17" t="str">
        <f t="shared" si="16"/>
        <v/>
      </c>
      <c r="AT769" s="1">
        <f>value(IFERROR(SUBSTITUTE(SUBSTITUTE(VLOOKUP($A769,'Quarterly Pipeline vs Target Pi'!$A:$AP,36,false)," $","")," €",""), "")
)</f>
        <v>0</v>
      </c>
      <c r="AU769" s="1">
        <f>value(IFERROR(SUBSTITUTE(SUBSTITUTE(VLOOKUP($A769,'Quarterly Pipeline vs Target Pi'!$A:$AP,37,false)," $","")," €",""), "")
)</f>
        <v>0</v>
      </c>
      <c r="AV769" s="17" t="str">
        <f t="shared" si="17"/>
        <v/>
      </c>
      <c r="AW769" s="1">
        <f>value(IFERROR(SUBSTITUTE(SUBSTITUTE(VLOOKUP($A769,'Quarterly Pipeline vs Target Pi'!$A:$AP,41,false)," $","")," €",""), "")
)</f>
        <v>0</v>
      </c>
      <c r="AX769" s="1">
        <f>value(IFERROR(SUBSTITUTE(SUBSTITUTE(VLOOKUP($A769,'Quarterly Pipeline vs Target Pi'!$A:$AP,42,false)," $","")," €",""), "")
)</f>
        <v>0</v>
      </c>
      <c r="AY769" s="17" t="str">
        <f t="shared" si="18"/>
        <v/>
      </c>
      <c r="AZ769" s="1">
        <f t="shared" ref="AZ769:BA769" si="1491">sum(AN769,AQ769,AT769,AW769)</f>
        <v>0</v>
      </c>
      <c r="BA769" s="1">
        <f t="shared" si="1491"/>
        <v>0</v>
      </c>
      <c r="BB769" s="17" t="str">
        <f t="shared" si="20"/>
        <v/>
      </c>
    </row>
    <row r="770">
      <c r="I770" s="17"/>
      <c r="L770" s="17"/>
      <c r="O770" s="17"/>
      <c r="X770" s="17"/>
      <c r="AA770" s="17"/>
      <c r="AD770" s="19"/>
      <c r="AG770" s="19"/>
      <c r="AJ770" s="19"/>
      <c r="AM770" s="19"/>
      <c r="AN770" s="1">
        <f>value(IFERROR(SUBSTITUTE(SUBSTITUTE(VLOOKUP($A770,'Quarterly Pipeline vs Target Pi'!$A:$AP,26,false)," $","")," €",""), "")
)</f>
        <v>0</v>
      </c>
      <c r="AO770" s="1">
        <f>value(IFERROR(SUBSTITUTE(SUBSTITUTE(VLOOKUP($A770,'Quarterly Pipeline vs Target Pi'!$A:$AP,27,false)," $","")," €",""), "")
)</f>
        <v>0</v>
      </c>
      <c r="AP770" s="17" t="str">
        <f t="shared" si="15"/>
        <v/>
      </c>
      <c r="AQ770" s="1">
        <f>value(IFERROR(SUBSTITUTE(SUBSTITUTE(VLOOKUP($A770,'Quarterly Pipeline vs Target Pi'!$A:$AP,31,false)," $","")," €",""), "")
)</f>
        <v>0</v>
      </c>
      <c r="AR770" s="1">
        <f>value(IFERROR(SUBSTITUTE(SUBSTITUTE(VLOOKUP($A770,'Quarterly Pipeline vs Target Pi'!$A:$AP,32,false)," $","")," €",""), "")
)</f>
        <v>0</v>
      </c>
      <c r="AS770" s="17" t="str">
        <f t="shared" si="16"/>
        <v/>
      </c>
      <c r="AT770" s="1">
        <f>value(IFERROR(SUBSTITUTE(SUBSTITUTE(VLOOKUP($A770,'Quarterly Pipeline vs Target Pi'!$A:$AP,36,false)," $","")," €",""), "")
)</f>
        <v>0</v>
      </c>
      <c r="AU770" s="1">
        <f>value(IFERROR(SUBSTITUTE(SUBSTITUTE(VLOOKUP($A770,'Quarterly Pipeline vs Target Pi'!$A:$AP,37,false)," $","")," €",""), "")
)</f>
        <v>0</v>
      </c>
      <c r="AV770" s="17" t="str">
        <f t="shared" si="17"/>
        <v/>
      </c>
      <c r="AW770" s="1">
        <f>value(IFERROR(SUBSTITUTE(SUBSTITUTE(VLOOKUP($A770,'Quarterly Pipeline vs Target Pi'!$A:$AP,41,false)," $","")," €",""), "")
)</f>
        <v>0</v>
      </c>
      <c r="AX770" s="1">
        <f>value(IFERROR(SUBSTITUTE(SUBSTITUTE(VLOOKUP($A770,'Quarterly Pipeline vs Target Pi'!$A:$AP,42,false)," $","")," €",""), "")
)</f>
        <v>0</v>
      </c>
      <c r="AY770" s="17" t="str">
        <f t="shared" si="18"/>
        <v/>
      </c>
      <c r="AZ770" s="1">
        <f t="shared" ref="AZ770:BA770" si="1492">sum(AN770,AQ770,AT770,AW770)</f>
        <v>0</v>
      </c>
      <c r="BA770" s="1">
        <f t="shared" si="1492"/>
        <v>0</v>
      </c>
      <c r="BB770" s="17" t="str">
        <f t="shared" si="20"/>
        <v/>
      </c>
    </row>
    <row r="771">
      <c r="I771" s="17"/>
      <c r="L771" s="17"/>
      <c r="O771" s="17"/>
      <c r="X771" s="17"/>
      <c r="AA771" s="17"/>
      <c r="AD771" s="19"/>
      <c r="AG771" s="19"/>
      <c r="AJ771" s="19"/>
      <c r="AM771" s="19"/>
      <c r="AN771" s="1">
        <f>value(IFERROR(SUBSTITUTE(SUBSTITUTE(VLOOKUP($A771,'Quarterly Pipeline vs Target Pi'!$A:$AP,26,false)," $","")," €",""), "")
)</f>
        <v>0</v>
      </c>
      <c r="AO771" s="1">
        <f>value(IFERROR(SUBSTITUTE(SUBSTITUTE(VLOOKUP($A771,'Quarterly Pipeline vs Target Pi'!$A:$AP,27,false)," $","")," €",""), "")
)</f>
        <v>0</v>
      </c>
      <c r="AP771" s="17" t="str">
        <f t="shared" si="15"/>
        <v/>
      </c>
      <c r="AQ771" s="1">
        <f>value(IFERROR(SUBSTITUTE(SUBSTITUTE(VLOOKUP($A771,'Quarterly Pipeline vs Target Pi'!$A:$AP,31,false)," $","")," €",""), "")
)</f>
        <v>0</v>
      </c>
      <c r="AR771" s="1">
        <f>value(IFERROR(SUBSTITUTE(SUBSTITUTE(VLOOKUP($A771,'Quarterly Pipeline vs Target Pi'!$A:$AP,32,false)," $","")," €",""), "")
)</f>
        <v>0</v>
      </c>
      <c r="AS771" s="17" t="str">
        <f t="shared" si="16"/>
        <v/>
      </c>
      <c r="AT771" s="1">
        <f>value(IFERROR(SUBSTITUTE(SUBSTITUTE(VLOOKUP($A771,'Quarterly Pipeline vs Target Pi'!$A:$AP,36,false)," $","")," €",""), "")
)</f>
        <v>0</v>
      </c>
      <c r="AU771" s="1">
        <f>value(IFERROR(SUBSTITUTE(SUBSTITUTE(VLOOKUP($A771,'Quarterly Pipeline vs Target Pi'!$A:$AP,37,false)," $","")," €",""), "")
)</f>
        <v>0</v>
      </c>
      <c r="AV771" s="17" t="str">
        <f t="shared" si="17"/>
        <v/>
      </c>
      <c r="AW771" s="1">
        <f>value(IFERROR(SUBSTITUTE(SUBSTITUTE(VLOOKUP($A771,'Quarterly Pipeline vs Target Pi'!$A:$AP,41,false)," $","")," €",""), "")
)</f>
        <v>0</v>
      </c>
      <c r="AX771" s="1">
        <f>value(IFERROR(SUBSTITUTE(SUBSTITUTE(VLOOKUP($A771,'Quarterly Pipeline vs Target Pi'!$A:$AP,42,false)," $","")," €",""), "")
)</f>
        <v>0</v>
      </c>
      <c r="AY771" s="17" t="str">
        <f t="shared" si="18"/>
        <v/>
      </c>
      <c r="AZ771" s="1">
        <f t="shared" ref="AZ771:BA771" si="1493">sum(AN771,AQ771,AT771,AW771)</f>
        <v>0</v>
      </c>
      <c r="BA771" s="1">
        <f t="shared" si="1493"/>
        <v>0</v>
      </c>
      <c r="BB771" s="17" t="str">
        <f t="shared" si="20"/>
        <v/>
      </c>
    </row>
    <row r="772">
      <c r="I772" s="17"/>
      <c r="L772" s="17"/>
      <c r="O772" s="17"/>
      <c r="X772" s="17"/>
      <c r="AA772" s="17"/>
      <c r="AD772" s="19"/>
      <c r="AG772" s="19"/>
      <c r="AJ772" s="19"/>
      <c r="AM772" s="19"/>
      <c r="AN772" s="1">
        <f>value(IFERROR(SUBSTITUTE(SUBSTITUTE(VLOOKUP($A772,'Quarterly Pipeline vs Target Pi'!$A:$AP,26,false)," $","")," €",""), "")
)</f>
        <v>0</v>
      </c>
      <c r="AO772" s="1">
        <f>value(IFERROR(SUBSTITUTE(SUBSTITUTE(VLOOKUP($A772,'Quarterly Pipeline vs Target Pi'!$A:$AP,27,false)," $","")," €",""), "")
)</f>
        <v>0</v>
      </c>
      <c r="AP772" s="17" t="str">
        <f t="shared" si="15"/>
        <v/>
      </c>
      <c r="AQ772" s="1">
        <f>value(IFERROR(SUBSTITUTE(SUBSTITUTE(VLOOKUP($A772,'Quarterly Pipeline vs Target Pi'!$A:$AP,31,false)," $","")," €",""), "")
)</f>
        <v>0</v>
      </c>
      <c r="AR772" s="1">
        <f>value(IFERROR(SUBSTITUTE(SUBSTITUTE(VLOOKUP($A772,'Quarterly Pipeline vs Target Pi'!$A:$AP,32,false)," $","")," €",""), "")
)</f>
        <v>0</v>
      </c>
      <c r="AS772" s="17" t="str">
        <f t="shared" si="16"/>
        <v/>
      </c>
      <c r="AT772" s="1">
        <f>value(IFERROR(SUBSTITUTE(SUBSTITUTE(VLOOKUP($A772,'Quarterly Pipeline vs Target Pi'!$A:$AP,36,false)," $","")," €",""), "")
)</f>
        <v>0</v>
      </c>
      <c r="AU772" s="1">
        <f>value(IFERROR(SUBSTITUTE(SUBSTITUTE(VLOOKUP($A772,'Quarterly Pipeline vs Target Pi'!$A:$AP,37,false)," $","")," €",""), "")
)</f>
        <v>0</v>
      </c>
      <c r="AV772" s="17" t="str">
        <f t="shared" si="17"/>
        <v/>
      </c>
      <c r="AW772" s="1">
        <f>value(IFERROR(SUBSTITUTE(SUBSTITUTE(VLOOKUP($A772,'Quarterly Pipeline vs Target Pi'!$A:$AP,41,false)," $","")," €",""), "")
)</f>
        <v>0</v>
      </c>
      <c r="AX772" s="1">
        <f>value(IFERROR(SUBSTITUTE(SUBSTITUTE(VLOOKUP($A772,'Quarterly Pipeline vs Target Pi'!$A:$AP,42,false)," $","")," €",""), "")
)</f>
        <v>0</v>
      </c>
      <c r="AY772" s="17" t="str">
        <f t="shared" si="18"/>
        <v/>
      </c>
      <c r="AZ772" s="1">
        <f t="shared" ref="AZ772:BA772" si="1494">sum(AN772,AQ772,AT772,AW772)</f>
        <v>0</v>
      </c>
      <c r="BA772" s="1">
        <f t="shared" si="1494"/>
        <v>0</v>
      </c>
      <c r="BB772" s="17" t="str">
        <f t="shared" si="20"/>
        <v/>
      </c>
    </row>
    <row r="773">
      <c r="I773" s="17"/>
      <c r="L773" s="17"/>
      <c r="O773" s="17"/>
      <c r="X773" s="17"/>
      <c r="AA773" s="17"/>
      <c r="AD773" s="19"/>
      <c r="AG773" s="19"/>
      <c r="AJ773" s="19"/>
      <c r="AM773" s="19"/>
      <c r="AN773" s="1">
        <f>value(IFERROR(SUBSTITUTE(SUBSTITUTE(VLOOKUP($A773,'Quarterly Pipeline vs Target Pi'!$A:$AP,26,false)," $","")," €",""), "")
)</f>
        <v>0</v>
      </c>
      <c r="AO773" s="1">
        <f>value(IFERROR(SUBSTITUTE(SUBSTITUTE(VLOOKUP($A773,'Quarterly Pipeline vs Target Pi'!$A:$AP,27,false)," $","")," €",""), "")
)</f>
        <v>0</v>
      </c>
      <c r="AP773" s="17" t="str">
        <f t="shared" si="15"/>
        <v/>
      </c>
      <c r="AQ773" s="1">
        <f>value(IFERROR(SUBSTITUTE(SUBSTITUTE(VLOOKUP($A773,'Quarterly Pipeline vs Target Pi'!$A:$AP,31,false)," $","")," €",""), "")
)</f>
        <v>0</v>
      </c>
      <c r="AR773" s="1">
        <f>value(IFERROR(SUBSTITUTE(SUBSTITUTE(VLOOKUP($A773,'Quarterly Pipeline vs Target Pi'!$A:$AP,32,false)," $","")," €",""), "")
)</f>
        <v>0</v>
      </c>
      <c r="AS773" s="17" t="str">
        <f t="shared" si="16"/>
        <v/>
      </c>
      <c r="AT773" s="1">
        <f>value(IFERROR(SUBSTITUTE(SUBSTITUTE(VLOOKUP($A773,'Quarterly Pipeline vs Target Pi'!$A:$AP,36,false)," $","")," €",""), "")
)</f>
        <v>0</v>
      </c>
      <c r="AU773" s="1">
        <f>value(IFERROR(SUBSTITUTE(SUBSTITUTE(VLOOKUP($A773,'Quarterly Pipeline vs Target Pi'!$A:$AP,37,false)," $","")," €",""), "")
)</f>
        <v>0</v>
      </c>
      <c r="AV773" s="17" t="str">
        <f t="shared" si="17"/>
        <v/>
      </c>
      <c r="AW773" s="1">
        <f>value(IFERROR(SUBSTITUTE(SUBSTITUTE(VLOOKUP($A773,'Quarterly Pipeline vs Target Pi'!$A:$AP,41,false)," $","")," €",""), "")
)</f>
        <v>0</v>
      </c>
      <c r="AX773" s="1">
        <f>value(IFERROR(SUBSTITUTE(SUBSTITUTE(VLOOKUP($A773,'Quarterly Pipeline vs Target Pi'!$A:$AP,42,false)," $","")," €",""), "")
)</f>
        <v>0</v>
      </c>
      <c r="AY773" s="17" t="str">
        <f t="shared" si="18"/>
        <v/>
      </c>
      <c r="AZ773" s="1">
        <f t="shared" ref="AZ773:BA773" si="1495">sum(AN773,AQ773,AT773,AW773)</f>
        <v>0</v>
      </c>
      <c r="BA773" s="1">
        <f t="shared" si="1495"/>
        <v>0</v>
      </c>
      <c r="BB773" s="17" t="str">
        <f t="shared" si="20"/>
        <v/>
      </c>
    </row>
    <row r="774">
      <c r="I774" s="17"/>
      <c r="L774" s="17"/>
      <c r="O774" s="17"/>
      <c r="X774" s="17"/>
      <c r="AA774" s="17"/>
      <c r="AD774" s="19"/>
      <c r="AG774" s="19"/>
      <c r="AJ774" s="19"/>
      <c r="AM774" s="19"/>
      <c r="AN774" s="1">
        <f>value(IFERROR(SUBSTITUTE(SUBSTITUTE(VLOOKUP($A774,'Quarterly Pipeline vs Target Pi'!$A:$AP,26,false)," $","")," €",""), "")
)</f>
        <v>0</v>
      </c>
      <c r="AO774" s="1">
        <f>value(IFERROR(SUBSTITUTE(SUBSTITUTE(VLOOKUP($A774,'Quarterly Pipeline vs Target Pi'!$A:$AP,27,false)," $","")," €",""), "")
)</f>
        <v>0</v>
      </c>
      <c r="AP774" s="17" t="str">
        <f t="shared" si="15"/>
        <v/>
      </c>
      <c r="AQ774" s="1">
        <f>value(IFERROR(SUBSTITUTE(SUBSTITUTE(VLOOKUP($A774,'Quarterly Pipeline vs Target Pi'!$A:$AP,31,false)," $","")," €",""), "")
)</f>
        <v>0</v>
      </c>
      <c r="AR774" s="1">
        <f>value(IFERROR(SUBSTITUTE(SUBSTITUTE(VLOOKUP($A774,'Quarterly Pipeline vs Target Pi'!$A:$AP,32,false)," $","")," €",""), "")
)</f>
        <v>0</v>
      </c>
      <c r="AS774" s="17" t="str">
        <f t="shared" si="16"/>
        <v/>
      </c>
      <c r="AT774" s="1">
        <f>value(IFERROR(SUBSTITUTE(SUBSTITUTE(VLOOKUP($A774,'Quarterly Pipeline vs Target Pi'!$A:$AP,36,false)," $","")," €",""), "")
)</f>
        <v>0</v>
      </c>
      <c r="AU774" s="1">
        <f>value(IFERROR(SUBSTITUTE(SUBSTITUTE(VLOOKUP($A774,'Quarterly Pipeline vs Target Pi'!$A:$AP,37,false)," $","")," €",""), "")
)</f>
        <v>0</v>
      </c>
      <c r="AV774" s="17" t="str">
        <f t="shared" si="17"/>
        <v/>
      </c>
      <c r="AW774" s="1">
        <f>value(IFERROR(SUBSTITUTE(SUBSTITUTE(VLOOKUP($A774,'Quarterly Pipeline vs Target Pi'!$A:$AP,41,false)," $","")," €",""), "")
)</f>
        <v>0</v>
      </c>
      <c r="AX774" s="1">
        <f>value(IFERROR(SUBSTITUTE(SUBSTITUTE(VLOOKUP($A774,'Quarterly Pipeline vs Target Pi'!$A:$AP,42,false)," $","")," €",""), "")
)</f>
        <v>0</v>
      </c>
      <c r="AY774" s="17" t="str">
        <f t="shared" si="18"/>
        <v/>
      </c>
      <c r="AZ774" s="1">
        <f t="shared" ref="AZ774:BA774" si="1496">sum(AN774,AQ774,AT774,AW774)</f>
        <v>0</v>
      </c>
      <c r="BA774" s="1">
        <f t="shared" si="1496"/>
        <v>0</v>
      </c>
      <c r="BB774" s="17" t="str">
        <f t="shared" si="20"/>
        <v/>
      </c>
    </row>
    <row r="775">
      <c r="I775" s="17"/>
      <c r="L775" s="17"/>
      <c r="O775" s="17"/>
      <c r="X775" s="17"/>
      <c r="AA775" s="17"/>
      <c r="AD775" s="19"/>
      <c r="AG775" s="19"/>
      <c r="AJ775" s="19"/>
      <c r="AM775" s="19"/>
      <c r="AN775" s="1">
        <f>value(IFERROR(SUBSTITUTE(SUBSTITUTE(VLOOKUP($A775,'Quarterly Pipeline vs Target Pi'!$A:$AP,26,false)," $","")," €",""), "")
)</f>
        <v>0</v>
      </c>
      <c r="AO775" s="1">
        <f>value(IFERROR(SUBSTITUTE(SUBSTITUTE(VLOOKUP($A775,'Quarterly Pipeline vs Target Pi'!$A:$AP,27,false)," $","")," €",""), "")
)</f>
        <v>0</v>
      </c>
      <c r="AP775" s="17" t="str">
        <f t="shared" si="15"/>
        <v/>
      </c>
      <c r="AQ775" s="1">
        <f>value(IFERROR(SUBSTITUTE(SUBSTITUTE(VLOOKUP($A775,'Quarterly Pipeline vs Target Pi'!$A:$AP,31,false)," $","")," €",""), "")
)</f>
        <v>0</v>
      </c>
      <c r="AR775" s="1">
        <f>value(IFERROR(SUBSTITUTE(SUBSTITUTE(VLOOKUP($A775,'Quarterly Pipeline vs Target Pi'!$A:$AP,32,false)," $","")," €",""), "")
)</f>
        <v>0</v>
      </c>
      <c r="AS775" s="17" t="str">
        <f t="shared" si="16"/>
        <v/>
      </c>
      <c r="AT775" s="1">
        <f>value(IFERROR(SUBSTITUTE(SUBSTITUTE(VLOOKUP($A775,'Quarterly Pipeline vs Target Pi'!$A:$AP,36,false)," $","")," €",""), "")
)</f>
        <v>0</v>
      </c>
      <c r="AU775" s="1">
        <f>value(IFERROR(SUBSTITUTE(SUBSTITUTE(VLOOKUP($A775,'Quarterly Pipeline vs Target Pi'!$A:$AP,37,false)," $","")," €",""), "")
)</f>
        <v>0</v>
      </c>
      <c r="AV775" s="17" t="str">
        <f t="shared" si="17"/>
        <v/>
      </c>
      <c r="AW775" s="1">
        <f>value(IFERROR(SUBSTITUTE(SUBSTITUTE(VLOOKUP($A775,'Quarterly Pipeline vs Target Pi'!$A:$AP,41,false)," $","")," €",""), "")
)</f>
        <v>0</v>
      </c>
      <c r="AX775" s="1">
        <f>value(IFERROR(SUBSTITUTE(SUBSTITUTE(VLOOKUP($A775,'Quarterly Pipeline vs Target Pi'!$A:$AP,42,false)," $","")," €",""), "")
)</f>
        <v>0</v>
      </c>
      <c r="AY775" s="17" t="str">
        <f t="shared" si="18"/>
        <v/>
      </c>
      <c r="AZ775" s="1">
        <f t="shared" ref="AZ775:BA775" si="1497">sum(AN775,AQ775,AT775,AW775)</f>
        <v>0</v>
      </c>
      <c r="BA775" s="1">
        <f t="shared" si="1497"/>
        <v>0</v>
      </c>
      <c r="BB775" s="17" t="str">
        <f t="shared" si="20"/>
        <v/>
      </c>
    </row>
    <row r="776">
      <c r="I776" s="17"/>
      <c r="L776" s="17"/>
      <c r="O776" s="17"/>
      <c r="X776" s="17"/>
      <c r="AA776" s="17"/>
      <c r="AD776" s="19"/>
      <c r="AG776" s="19"/>
      <c r="AJ776" s="19"/>
      <c r="AM776" s="19"/>
      <c r="AN776" s="1">
        <f>value(IFERROR(SUBSTITUTE(SUBSTITUTE(VLOOKUP($A776,'Quarterly Pipeline vs Target Pi'!$A:$AP,26,false)," $","")," €",""), "")
)</f>
        <v>0</v>
      </c>
      <c r="AO776" s="1">
        <f>value(IFERROR(SUBSTITUTE(SUBSTITUTE(VLOOKUP($A776,'Quarterly Pipeline vs Target Pi'!$A:$AP,27,false)," $","")," €",""), "")
)</f>
        <v>0</v>
      </c>
      <c r="AP776" s="17" t="str">
        <f t="shared" si="15"/>
        <v/>
      </c>
      <c r="AQ776" s="1">
        <f>value(IFERROR(SUBSTITUTE(SUBSTITUTE(VLOOKUP($A776,'Quarterly Pipeline vs Target Pi'!$A:$AP,31,false)," $","")," €",""), "")
)</f>
        <v>0</v>
      </c>
      <c r="AR776" s="1">
        <f>value(IFERROR(SUBSTITUTE(SUBSTITUTE(VLOOKUP($A776,'Quarterly Pipeline vs Target Pi'!$A:$AP,32,false)," $","")," €",""), "")
)</f>
        <v>0</v>
      </c>
      <c r="AS776" s="17" t="str">
        <f t="shared" si="16"/>
        <v/>
      </c>
      <c r="AT776" s="1">
        <f>value(IFERROR(SUBSTITUTE(SUBSTITUTE(VLOOKUP($A776,'Quarterly Pipeline vs Target Pi'!$A:$AP,36,false)," $","")," €",""), "")
)</f>
        <v>0</v>
      </c>
      <c r="AU776" s="1">
        <f>value(IFERROR(SUBSTITUTE(SUBSTITUTE(VLOOKUP($A776,'Quarterly Pipeline vs Target Pi'!$A:$AP,37,false)," $","")," €",""), "")
)</f>
        <v>0</v>
      </c>
      <c r="AV776" s="17" t="str">
        <f t="shared" si="17"/>
        <v/>
      </c>
      <c r="AW776" s="1">
        <f>value(IFERROR(SUBSTITUTE(SUBSTITUTE(VLOOKUP($A776,'Quarterly Pipeline vs Target Pi'!$A:$AP,41,false)," $","")," €",""), "")
)</f>
        <v>0</v>
      </c>
      <c r="AX776" s="1">
        <f>value(IFERROR(SUBSTITUTE(SUBSTITUTE(VLOOKUP($A776,'Quarterly Pipeline vs Target Pi'!$A:$AP,42,false)," $","")," €",""), "")
)</f>
        <v>0</v>
      </c>
      <c r="AY776" s="17" t="str">
        <f t="shared" si="18"/>
        <v/>
      </c>
      <c r="AZ776" s="1">
        <f t="shared" ref="AZ776:BA776" si="1498">sum(AN776,AQ776,AT776,AW776)</f>
        <v>0</v>
      </c>
      <c r="BA776" s="1">
        <f t="shared" si="1498"/>
        <v>0</v>
      </c>
      <c r="BB776" s="17" t="str">
        <f t="shared" si="20"/>
        <v/>
      </c>
    </row>
    <row r="777">
      <c r="I777" s="17"/>
      <c r="L777" s="17"/>
      <c r="O777" s="17"/>
      <c r="X777" s="17"/>
      <c r="AA777" s="17"/>
      <c r="AD777" s="19"/>
      <c r="AG777" s="19"/>
      <c r="AJ777" s="19"/>
      <c r="AM777" s="19"/>
      <c r="AN777" s="1">
        <f>value(IFERROR(SUBSTITUTE(SUBSTITUTE(VLOOKUP($A777,'Quarterly Pipeline vs Target Pi'!$A:$AP,26,false)," $","")," €",""), "")
)</f>
        <v>0</v>
      </c>
      <c r="AO777" s="1">
        <f>value(IFERROR(SUBSTITUTE(SUBSTITUTE(VLOOKUP($A777,'Quarterly Pipeline vs Target Pi'!$A:$AP,27,false)," $","")," €",""), "")
)</f>
        <v>0</v>
      </c>
      <c r="AP777" s="17" t="str">
        <f t="shared" si="15"/>
        <v/>
      </c>
      <c r="AQ777" s="1">
        <f>value(IFERROR(SUBSTITUTE(SUBSTITUTE(VLOOKUP($A777,'Quarterly Pipeline vs Target Pi'!$A:$AP,31,false)," $","")," €",""), "")
)</f>
        <v>0</v>
      </c>
      <c r="AR777" s="1">
        <f>value(IFERROR(SUBSTITUTE(SUBSTITUTE(VLOOKUP($A777,'Quarterly Pipeline vs Target Pi'!$A:$AP,32,false)," $","")," €",""), "")
)</f>
        <v>0</v>
      </c>
      <c r="AS777" s="17" t="str">
        <f t="shared" si="16"/>
        <v/>
      </c>
      <c r="AT777" s="1">
        <f>value(IFERROR(SUBSTITUTE(SUBSTITUTE(VLOOKUP($A777,'Quarterly Pipeline vs Target Pi'!$A:$AP,36,false)," $","")," €",""), "")
)</f>
        <v>0</v>
      </c>
      <c r="AU777" s="1">
        <f>value(IFERROR(SUBSTITUTE(SUBSTITUTE(VLOOKUP($A777,'Quarterly Pipeline vs Target Pi'!$A:$AP,37,false)," $","")," €",""), "")
)</f>
        <v>0</v>
      </c>
      <c r="AV777" s="17" t="str">
        <f t="shared" si="17"/>
        <v/>
      </c>
      <c r="AW777" s="1">
        <f>value(IFERROR(SUBSTITUTE(SUBSTITUTE(VLOOKUP($A777,'Quarterly Pipeline vs Target Pi'!$A:$AP,41,false)," $","")," €",""), "")
)</f>
        <v>0</v>
      </c>
      <c r="AX777" s="1">
        <f>value(IFERROR(SUBSTITUTE(SUBSTITUTE(VLOOKUP($A777,'Quarterly Pipeline vs Target Pi'!$A:$AP,42,false)," $","")," €",""), "")
)</f>
        <v>0</v>
      </c>
      <c r="AY777" s="17" t="str">
        <f t="shared" si="18"/>
        <v/>
      </c>
      <c r="AZ777" s="1">
        <f t="shared" ref="AZ777:BA777" si="1499">sum(AN777,AQ777,AT777,AW777)</f>
        <v>0</v>
      </c>
      <c r="BA777" s="1">
        <f t="shared" si="1499"/>
        <v>0</v>
      </c>
      <c r="BB777" s="17" t="str">
        <f t="shared" si="20"/>
        <v/>
      </c>
    </row>
    <row r="778">
      <c r="I778" s="17"/>
      <c r="L778" s="17"/>
      <c r="O778" s="17"/>
      <c r="X778" s="17"/>
      <c r="AA778" s="17"/>
      <c r="AD778" s="19"/>
      <c r="AG778" s="19"/>
      <c r="AJ778" s="19"/>
      <c r="AM778" s="19"/>
      <c r="AN778" s="1">
        <f>value(IFERROR(SUBSTITUTE(SUBSTITUTE(VLOOKUP($A778,'Quarterly Pipeline vs Target Pi'!$A:$AP,26,false)," $","")," €",""), "")
)</f>
        <v>0</v>
      </c>
      <c r="AO778" s="1">
        <f>value(IFERROR(SUBSTITUTE(SUBSTITUTE(VLOOKUP($A778,'Quarterly Pipeline vs Target Pi'!$A:$AP,27,false)," $","")," €",""), "")
)</f>
        <v>0</v>
      </c>
      <c r="AP778" s="17" t="str">
        <f t="shared" si="15"/>
        <v/>
      </c>
      <c r="AQ778" s="1">
        <f>value(IFERROR(SUBSTITUTE(SUBSTITUTE(VLOOKUP($A778,'Quarterly Pipeline vs Target Pi'!$A:$AP,31,false)," $","")," €",""), "")
)</f>
        <v>0</v>
      </c>
      <c r="AR778" s="1">
        <f>value(IFERROR(SUBSTITUTE(SUBSTITUTE(VLOOKUP($A778,'Quarterly Pipeline vs Target Pi'!$A:$AP,32,false)," $","")," €",""), "")
)</f>
        <v>0</v>
      </c>
      <c r="AS778" s="17" t="str">
        <f t="shared" si="16"/>
        <v/>
      </c>
      <c r="AT778" s="1">
        <f>value(IFERROR(SUBSTITUTE(SUBSTITUTE(VLOOKUP($A778,'Quarterly Pipeline vs Target Pi'!$A:$AP,36,false)," $","")," €",""), "")
)</f>
        <v>0</v>
      </c>
      <c r="AU778" s="1">
        <f>value(IFERROR(SUBSTITUTE(SUBSTITUTE(VLOOKUP($A778,'Quarterly Pipeline vs Target Pi'!$A:$AP,37,false)," $","")," €",""), "")
)</f>
        <v>0</v>
      </c>
      <c r="AV778" s="17" t="str">
        <f t="shared" si="17"/>
        <v/>
      </c>
      <c r="AW778" s="1">
        <f>value(IFERROR(SUBSTITUTE(SUBSTITUTE(VLOOKUP($A778,'Quarterly Pipeline vs Target Pi'!$A:$AP,41,false)," $","")," €",""), "")
)</f>
        <v>0</v>
      </c>
      <c r="AX778" s="1">
        <f>value(IFERROR(SUBSTITUTE(SUBSTITUTE(VLOOKUP($A778,'Quarterly Pipeline vs Target Pi'!$A:$AP,42,false)," $","")," €",""), "")
)</f>
        <v>0</v>
      </c>
      <c r="AY778" s="17" t="str">
        <f t="shared" si="18"/>
        <v/>
      </c>
      <c r="AZ778" s="1">
        <f t="shared" ref="AZ778:BA778" si="1500">sum(AN778,AQ778,AT778,AW778)</f>
        <v>0</v>
      </c>
      <c r="BA778" s="1">
        <f t="shared" si="1500"/>
        <v>0</v>
      </c>
      <c r="BB778" s="17" t="str">
        <f t="shared" si="20"/>
        <v/>
      </c>
    </row>
    <row r="779">
      <c r="I779" s="17"/>
      <c r="L779" s="17"/>
      <c r="O779" s="17"/>
      <c r="X779" s="17"/>
      <c r="AA779" s="17"/>
      <c r="AD779" s="19"/>
      <c r="AG779" s="19"/>
      <c r="AJ779" s="19"/>
      <c r="AM779" s="19"/>
      <c r="AN779" s="1">
        <f>value(IFERROR(SUBSTITUTE(SUBSTITUTE(VLOOKUP($A779,'Quarterly Pipeline vs Target Pi'!$A:$AP,26,false)," $","")," €",""), "")
)</f>
        <v>0</v>
      </c>
      <c r="AO779" s="1">
        <f>value(IFERROR(SUBSTITUTE(SUBSTITUTE(VLOOKUP($A779,'Quarterly Pipeline vs Target Pi'!$A:$AP,27,false)," $","")," €",""), "")
)</f>
        <v>0</v>
      </c>
      <c r="AP779" s="17" t="str">
        <f t="shared" si="15"/>
        <v/>
      </c>
      <c r="AQ779" s="1">
        <f>value(IFERROR(SUBSTITUTE(SUBSTITUTE(VLOOKUP($A779,'Quarterly Pipeline vs Target Pi'!$A:$AP,31,false)," $","")," €",""), "")
)</f>
        <v>0</v>
      </c>
      <c r="AR779" s="1">
        <f>value(IFERROR(SUBSTITUTE(SUBSTITUTE(VLOOKUP($A779,'Quarterly Pipeline vs Target Pi'!$A:$AP,32,false)," $","")," €",""), "")
)</f>
        <v>0</v>
      </c>
      <c r="AS779" s="17" t="str">
        <f t="shared" si="16"/>
        <v/>
      </c>
      <c r="AT779" s="1">
        <f>value(IFERROR(SUBSTITUTE(SUBSTITUTE(VLOOKUP($A779,'Quarterly Pipeline vs Target Pi'!$A:$AP,36,false)," $","")," €",""), "")
)</f>
        <v>0</v>
      </c>
      <c r="AU779" s="1">
        <f>value(IFERROR(SUBSTITUTE(SUBSTITUTE(VLOOKUP($A779,'Quarterly Pipeline vs Target Pi'!$A:$AP,37,false)," $","")," €",""), "")
)</f>
        <v>0</v>
      </c>
      <c r="AV779" s="17" t="str">
        <f t="shared" si="17"/>
        <v/>
      </c>
      <c r="AW779" s="1">
        <f>value(IFERROR(SUBSTITUTE(SUBSTITUTE(VLOOKUP($A779,'Quarterly Pipeline vs Target Pi'!$A:$AP,41,false)," $","")," €",""), "")
)</f>
        <v>0</v>
      </c>
      <c r="AX779" s="1">
        <f>value(IFERROR(SUBSTITUTE(SUBSTITUTE(VLOOKUP($A779,'Quarterly Pipeline vs Target Pi'!$A:$AP,42,false)," $","")," €",""), "")
)</f>
        <v>0</v>
      </c>
      <c r="AY779" s="17" t="str">
        <f t="shared" si="18"/>
        <v/>
      </c>
      <c r="AZ779" s="1">
        <f t="shared" ref="AZ779:BA779" si="1501">sum(AN779,AQ779,AT779,AW779)</f>
        <v>0</v>
      </c>
      <c r="BA779" s="1">
        <f t="shared" si="1501"/>
        <v>0</v>
      </c>
      <c r="BB779" s="17" t="str">
        <f t="shared" si="20"/>
        <v/>
      </c>
    </row>
    <row r="780">
      <c r="I780" s="17"/>
      <c r="L780" s="17"/>
      <c r="O780" s="17"/>
      <c r="X780" s="17"/>
      <c r="AA780" s="17"/>
      <c r="AD780" s="19"/>
      <c r="AG780" s="19"/>
      <c r="AJ780" s="19"/>
      <c r="AM780" s="19"/>
      <c r="AN780" s="1">
        <f>value(IFERROR(SUBSTITUTE(SUBSTITUTE(VLOOKUP($A780,'Quarterly Pipeline vs Target Pi'!$A:$AP,26,false)," $","")," €",""), "")
)</f>
        <v>0</v>
      </c>
      <c r="AO780" s="1">
        <f>value(IFERROR(SUBSTITUTE(SUBSTITUTE(VLOOKUP($A780,'Quarterly Pipeline vs Target Pi'!$A:$AP,27,false)," $","")," €",""), "")
)</f>
        <v>0</v>
      </c>
      <c r="AP780" s="17" t="str">
        <f t="shared" si="15"/>
        <v/>
      </c>
      <c r="AQ780" s="1">
        <f>value(IFERROR(SUBSTITUTE(SUBSTITUTE(VLOOKUP($A780,'Quarterly Pipeline vs Target Pi'!$A:$AP,31,false)," $","")," €",""), "")
)</f>
        <v>0</v>
      </c>
      <c r="AR780" s="1">
        <f>value(IFERROR(SUBSTITUTE(SUBSTITUTE(VLOOKUP($A780,'Quarterly Pipeline vs Target Pi'!$A:$AP,32,false)," $","")," €",""), "")
)</f>
        <v>0</v>
      </c>
      <c r="AS780" s="17" t="str">
        <f t="shared" si="16"/>
        <v/>
      </c>
      <c r="AT780" s="1">
        <f>value(IFERROR(SUBSTITUTE(SUBSTITUTE(VLOOKUP($A780,'Quarterly Pipeline vs Target Pi'!$A:$AP,36,false)," $","")," €",""), "")
)</f>
        <v>0</v>
      </c>
      <c r="AU780" s="1">
        <f>value(IFERROR(SUBSTITUTE(SUBSTITUTE(VLOOKUP($A780,'Quarterly Pipeline vs Target Pi'!$A:$AP,37,false)," $","")," €",""), "")
)</f>
        <v>0</v>
      </c>
      <c r="AV780" s="17" t="str">
        <f t="shared" si="17"/>
        <v/>
      </c>
      <c r="AW780" s="1">
        <f>value(IFERROR(SUBSTITUTE(SUBSTITUTE(VLOOKUP($A780,'Quarterly Pipeline vs Target Pi'!$A:$AP,41,false)," $","")," €",""), "")
)</f>
        <v>0</v>
      </c>
      <c r="AX780" s="1">
        <f>value(IFERROR(SUBSTITUTE(SUBSTITUTE(VLOOKUP($A780,'Quarterly Pipeline vs Target Pi'!$A:$AP,42,false)," $","")," €",""), "")
)</f>
        <v>0</v>
      </c>
      <c r="AY780" s="17" t="str">
        <f t="shared" si="18"/>
        <v/>
      </c>
      <c r="AZ780" s="1">
        <f t="shared" ref="AZ780:BA780" si="1502">sum(AN780,AQ780,AT780,AW780)</f>
        <v>0</v>
      </c>
      <c r="BA780" s="1">
        <f t="shared" si="1502"/>
        <v>0</v>
      </c>
      <c r="BB780" s="17" t="str">
        <f t="shared" si="20"/>
        <v/>
      </c>
    </row>
    <row r="781">
      <c r="I781" s="17"/>
      <c r="L781" s="17"/>
      <c r="O781" s="17"/>
      <c r="X781" s="17"/>
      <c r="AA781" s="17"/>
      <c r="AD781" s="19"/>
      <c r="AG781" s="19"/>
      <c r="AJ781" s="19"/>
      <c r="AM781" s="19"/>
      <c r="AN781" s="1">
        <f>value(IFERROR(SUBSTITUTE(SUBSTITUTE(VLOOKUP($A781,'Quarterly Pipeline vs Target Pi'!$A:$AP,26,false)," $","")," €",""), "")
)</f>
        <v>0</v>
      </c>
      <c r="AO781" s="1">
        <f>value(IFERROR(SUBSTITUTE(SUBSTITUTE(VLOOKUP($A781,'Quarterly Pipeline vs Target Pi'!$A:$AP,27,false)," $","")," €",""), "")
)</f>
        <v>0</v>
      </c>
      <c r="AP781" s="17" t="str">
        <f t="shared" si="15"/>
        <v/>
      </c>
      <c r="AQ781" s="1">
        <f>value(IFERROR(SUBSTITUTE(SUBSTITUTE(VLOOKUP($A781,'Quarterly Pipeline vs Target Pi'!$A:$AP,31,false)," $","")," €",""), "")
)</f>
        <v>0</v>
      </c>
      <c r="AR781" s="1">
        <f>value(IFERROR(SUBSTITUTE(SUBSTITUTE(VLOOKUP($A781,'Quarterly Pipeline vs Target Pi'!$A:$AP,32,false)," $","")," €",""), "")
)</f>
        <v>0</v>
      </c>
      <c r="AS781" s="17" t="str">
        <f t="shared" si="16"/>
        <v/>
      </c>
      <c r="AT781" s="1">
        <f>value(IFERROR(SUBSTITUTE(SUBSTITUTE(VLOOKUP($A781,'Quarterly Pipeline vs Target Pi'!$A:$AP,36,false)," $","")," €",""), "")
)</f>
        <v>0</v>
      </c>
      <c r="AU781" s="1">
        <f>value(IFERROR(SUBSTITUTE(SUBSTITUTE(VLOOKUP($A781,'Quarterly Pipeline vs Target Pi'!$A:$AP,37,false)," $","")," €",""), "")
)</f>
        <v>0</v>
      </c>
      <c r="AV781" s="17" t="str">
        <f t="shared" si="17"/>
        <v/>
      </c>
      <c r="AW781" s="1">
        <f>value(IFERROR(SUBSTITUTE(SUBSTITUTE(VLOOKUP($A781,'Quarterly Pipeline vs Target Pi'!$A:$AP,41,false)," $","")," €",""), "")
)</f>
        <v>0</v>
      </c>
      <c r="AX781" s="1">
        <f>value(IFERROR(SUBSTITUTE(SUBSTITUTE(VLOOKUP($A781,'Quarterly Pipeline vs Target Pi'!$A:$AP,42,false)," $","")," €",""), "")
)</f>
        <v>0</v>
      </c>
      <c r="AY781" s="17" t="str">
        <f t="shared" si="18"/>
        <v/>
      </c>
      <c r="AZ781" s="1">
        <f t="shared" ref="AZ781:BA781" si="1503">sum(AN781,AQ781,AT781,AW781)</f>
        <v>0</v>
      </c>
      <c r="BA781" s="1">
        <f t="shared" si="1503"/>
        <v>0</v>
      </c>
      <c r="BB781" s="17" t="str">
        <f t="shared" si="20"/>
        <v/>
      </c>
    </row>
    <row r="782">
      <c r="I782" s="17"/>
      <c r="L782" s="17"/>
      <c r="O782" s="17"/>
      <c r="X782" s="17"/>
      <c r="AA782" s="17"/>
      <c r="AD782" s="19"/>
      <c r="AG782" s="19"/>
      <c r="AJ782" s="19"/>
      <c r="AM782" s="19"/>
      <c r="AN782" s="1">
        <f>value(IFERROR(SUBSTITUTE(SUBSTITUTE(VLOOKUP($A782,'Quarterly Pipeline vs Target Pi'!$A:$AP,26,false)," $","")," €",""), "")
)</f>
        <v>0</v>
      </c>
      <c r="AO782" s="1">
        <f>value(IFERROR(SUBSTITUTE(SUBSTITUTE(VLOOKUP($A782,'Quarterly Pipeline vs Target Pi'!$A:$AP,27,false)," $","")," €",""), "")
)</f>
        <v>0</v>
      </c>
      <c r="AP782" s="17" t="str">
        <f t="shared" si="15"/>
        <v/>
      </c>
      <c r="AQ782" s="1">
        <f>value(IFERROR(SUBSTITUTE(SUBSTITUTE(VLOOKUP($A782,'Quarterly Pipeline vs Target Pi'!$A:$AP,31,false)," $","")," €",""), "")
)</f>
        <v>0</v>
      </c>
      <c r="AR782" s="1">
        <f>value(IFERROR(SUBSTITUTE(SUBSTITUTE(VLOOKUP($A782,'Quarterly Pipeline vs Target Pi'!$A:$AP,32,false)," $","")," €",""), "")
)</f>
        <v>0</v>
      </c>
      <c r="AS782" s="17" t="str">
        <f t="shared" si="16"/>
        <v/>
      </c>
      <c r="AT782" s="1">
        <f>value(IFERROR(SUBSTITUTE(SUBSTITUTE(VLOOKUP($A782,'Quarterly Pipeline vs Target Pi'!$A:$AP,36,false)," $","")," €",""), "")
)</f>
        <v>0</v>
      </c>
      <c r="AU782" s="1">
        <f>value(IFERROR(SUBSTITUTE(SUBSTITUTE(VLOOKUP($A782,'Quarterly Pipeline vs Target Pi'!$A:$AP,37,false)," $","")," €",""), "")
)</f>
        <v>0</v>
      </c>
      <c r="AV782" s="17" t="str">
        <f t="shared" si="17"/>
        <v/>
      </c>
      <c r="AW782" s="1">
        <f>value(IFERROR(SUBSTITUTE(SUBSTITUTE(VLOOKUP($A782,'Quarterly Pipeline vs Target Pi'!$A:$AP,41,false)," $","")," €",""), "")
)</f>
        <v>0</v>
      </c>
      <c r="AX782" s="1">
        <f>value(IFERROR(SUBSTITUTE(SUBSTITUTE(VLOOKUP($A782,'Quarterly Pipeline vs Target Pi'!$A:$AP,42,false)," $","")," €",""), "")
)</f>
        <v>0</v>
      </c>
      <c r="AY782" s="17" t="str">
        <f t="shared" si="18"/>
        <v/>
      </c>
      <c r="AZ782" s="1">
        <f t="shared" ref="AZ782:BA782" si="1504">sum(AN782,AQ782,AT782,AW782)</f>
        <v>0</v>
      </c>
      <c r="BA782" s="1">
        <f t="shared" si="1504"/>
        <v>0</v>
      </c>
      <c r="BB782" s="17" t="str">
        <f t="shared" si="20"/>
        <v/>
      </c>
    </row>
    <row r="783">
      <c r="I783" s="17"/>
      <c r="L783" s="17"/>
      <c r="O783" s="17"/>
      <c r="X783" s="17"/>
      <c r="AA783" s="17"/>
      <c r="AD783" s="19"/>
      <c r="AG783" s="19"/>
      <c r="AJ783" s="19"/>
      <c r="AM783" s="19"/>
      <c r="AN783" s="1">
        <f>value(IFERROR(SUBSTITUTE(SUBSTITUTE(VLOOKUP($A783,'Quarterly Pipeline vs Target Pi'!$A:$AP,26,false)," $","")," €",""), "")
)</f>
        <v>0</v>
      </c>
      <c r="AO783" s="1">
        <f>value(IFERROR(SUBSTITUTE(SUBSTITUTE(VLOOKUP($A783,'Quarterly Pipeline vs Target Pi'!$A:$AP,27,false)," $","")," €",""), "")
)</f>
        <v>0</v>
      </c>
      <c r="AP783" s="17" t="str">
        <f t="shared" si="15"/>
        <v/>
      </c>
      <c r="AQ783" s="1">
        <f>value(IFERROR(SUBSTITUTE(SUBSTITUTE(VLOOKUP($A783,'Quarterly Pipeline vs Target Pi'!$A:$AP,31,false)," $","")," €",""), "")
)</f>
        <v>0</v>
      </c>
      <c r="AR783" s="1">
        <f>value(IFERROR(SUBSTITUTE(SUBSTITUTE(VLOOKUP($A783,'Quarterly Pipeline vs Target Pi'!$A:$AP,32,false)," $","")," €",""), "")
)</f>
        <v>0</v>
      </c>
      <c r="AS783" s="17" t="str">
        <f t="shared" si="16"/>
        <v/>
      </c>
      <c r="AT783" s="1">
        <f>value(IFERROR(SUBSTITUTE(SUBSTITUTE(VLOOKUP($A783,'Quarterly Pipeline vs Target Pi'!$A:$AP,36,false)," $","")," €",""), "")
)</f>
        <v>0</v>
      </c>
      <c r="AU783" s="1">
        <f>value(IFERROR(SUBSTITUTE(SUBSTITUTE(VLOOKUP($A783,'Quarterly Pipeline vs Target Pi'!$A:$AP,37,false)," $","")," €",""), "")
)</f>
        <v>0</v>
      </c>
      <c r="AV783" s="17" t="str">
        <f t="shared" si="17"/>
        <v/>
      </c>
      <c r="AW783" s="1">
        <f>value(IFERROR(SUBSTITUTE(SUBSTITUTE(VLOOKUP($A783,'Quarterly Pipeline vs Target Pi'!$A:$AP,41,false)," $","")," €",""), "")
)</f>
        <v>0</v>
      </c>
      <c r="AX783" s="1">
        <f>value(IFERROR(SUBSTITUTE(SUBSTITUTE(VLOOKUP($A783,'Quarterly Pipeline vs Target Pi'!$A:$AP,42,false)," $","")," €",""), "")
)</f>
        <v>0</v>
      </c>
      <c r="AY783" s="17" t="str">
        <f t="shared" si="18"/>
        <v/>
      </c>
      <c r="AZ783" s="1">
        <f t="shared" ref="AZ783:BA783" si="1505">sum(AN783,AQ783,AT783,AW783)</f>
        <v>0</v>
      </c>
      <c r="BA783" s="1">
        <f t="shared" si="1505"/>
        <v>0</v>
      </c>
      <c r="BB783" s="17" t="str">
        <f t="shared" si="20"/>
        <v/>
      </c>
    </row>
    <row r="784">
      <c r="I784" s="17"/>
      <c r="L784" s="17"/>
      <c r="O784" s="17"/>
      <c r="X784" s="17"/>
      <c r="AA784" s="17"/>
      <c r="AD784" s="19"/>
      <c r="AG784" s="19"/>
      <c r="AJ784" s="19"/>
      <c r="AM784" s="19"/>
      <c r="AN784" s="1">
        <f>value(IFERROR(SUBSTITUTE(SUBSTITUTE(VLOOKUP($A784,'Quarterly Pipeline vs Target Pi'!$A:$AP,26,false)," $","")," €",""), "")
)</f>
        <v>0</v>
      </c>
      <c r="AO784" s="1">
        <f>value(IFERROR(SUBSTITUTE(SUBSTITUTE(VLOOKUP($A784,'Quarterly Pipeline vs Target Pi'!$A:$AP,27,false)," $","")," €",""), "")
)</f>
        <v>0</v>
      </c>
      <c r="AP784" s="17" t="str">
        <f t="shared" si="15"/>
        <v/>
      </c>
      <c r="AQ784" s="1">
        <f>value(IFERROR(SUBSTITUTE(SUBSTITUTE(VLOOKUP($A784,'Quarterly Pipeline vs Target Pi'!$A:$AP,31,false)," $","")," €",""), "")
)</f>
        <v>0</v>
      </c>
      <c r="AR784" s="1">
        <f>value(IFERROR(SUBSTITUTE(SUBSTITUTE(VLOOKUP($A784,'Quarterly Pipeline vs Target Pi'!$A:$AP,32,false)," $","")," €",""), "")
)</f>
        <v>0</v>
      </c>
      <c r="AS784" s="17" t="str">
        <f t="shared" si="16"/>
        <v/>
      </c>
      <c r="AT784" s="1">
        <f>value(IFERROR(SUBSTITUTE(SUBSTITUTE(VLOOKUP($A784,'Quarterly Pipeline vs Target Pi'!$A:$AP,36,false)," $","")," €",""), "")
)</f>
        <v>0</v>
      </c>
      <c r="AU784" s="1">
        <f>value(IFERROR(SUBSTITUTE(SUBSTITUTE(VLOOKUP($A784,'Quarterly Pipeline vs Target Pi'!$A:$AP,37,false)," $","")," €",""), "")
)</f>
        <v>0</v>
      </c>
      <c r="AV784" s="17" t="str">
        <f t="shared" si="17"/>
        <v/>
      </c>
      <c r="AW784" s="1">
        <f>value(IFERROR(SUBSTITUTE(SUBSTITUTE(VLOOKUP($A784,'Quarterly Pipeline vs Target Pi'!$A:$AP,41,false)," $","")," €",""), "")
)</f>
        <v>0</v>
      </c>
      <c r="AX784" s="1">
        <f>value(IFERROR(SUBSTITUTE(SUBSTITUTE(VLOOKUP($A784,'Quarterly Pipeline vs Target Pi'!$A:$AP,42,false)," $","")," €",""), "")
)</f>
        <v>0</v>
      </c>
      <c r="AY784" s="17" t="str">
        <f t="shared" si="18"/>
        <v/>
      </c>
      <c r="AZ784" s="1">
        <f t="shared" ref="AZ784:BA784" si="1506">sum(AN784,AQ784,AT784,AW784)</f>
        <v>0</v>
      </c>
      <c r="BA784" s="1">
        <f t="shared" si="1506"/>
        <v>0</v>
      </c>
      <c r="BB784" s="17" t="str">
        <f t="shared" si="20"/>
        <v/>
      </c>
    </row>
    <row r="785">
      <c r="I785" s="17"/>
      <c r="L785" s="17"/>
      <c r="O785" s="17"/>
      <c r="X785" s="17"/>
      <c r="AA785" s="17"/>
      <c r="AD785" s="19"/>
      <c r="AG785" s="19"/>
      <c r="AJ785" s="19"/>
      <c r="AM785" s="19"/>
      <c r="AN785" s="1">
        <f>value(IFERROR(SUBSTITUTE(SUBSTITUTE(VLOOKUP($A785,'Quarterly Pipeline vs Target Pi'!$A:$AP,26,false)," $","")," €",""), "")
)</f>
        <v>0</v>
      </c>
      <c r="AO785" s="1">
        <f>value(IFERROR(SUBSTITUTE(SUBSTITUTE(VLOOKUP($A785,'Quarterly Pipeline vs Target Pi'!$A:$AP,27,false)," $","")," €",""), "")
)</f>
        <v>0</v>
      </c>
      <c r="AP785" s="17" t="str">
        <f t="shared" si="15"/>
        <v/>
      </c>
      <c r="AQ785" s="1">
        <f>value(IFERROR(SUBSTITUTE(SUBSTITUTE(VLOOKUP($A785,'Quarterly Pipeline vs Target Pi'!$A:$AP,31,false)," $","")," €",""), "")
)</f>
        <v>0</v>
      </c>
      <c r="AR785" s="1">
        <f>value(IFERROR(SUBSTITUTE(SUBSTITUTE(VLOOKUP($A785,'Quarterly Pipeline vs Target Pi'!$A:$AP,32,false)," $","")," €",""), "")
)</f>
        <v>0</v>
      </c>
      <c r="AS785" s="17" t="str">
        <f t="shared" si="16"/>
        <v/>
      </c>
      <c r="AT785" s="1">
        <f>value(IFERROR(SUBSTITUTE(SUBSTITUTE(VLOOKUP($A785,'Quarterly Pipeline vs Target Pi'!$A:$AP,36,false)," $","")," €",""), "")
)</f>
        <v>0</v>
      </c>
      <c r="AU785" s="1">
        <f>value(IFERROR(SUBSTITUTE(SUBSTITUTE(VLOOKUP($A785,'Quarterly Pipeline vs Target Pi'!$A:$AP,37,false)," $","")," €",""), "")
)</f>
        <v>0</v>
      </c>
      <c r="AV785" s="17" t="str">
        <f t="shared" si="17"/>
        <v/>
      </c>
      <c r="AW785" s="1">
        <f>value(IFERROR(SUBSTITUTE(SUBSTITUTE(VLOOKUP($A785,'Quarterly Pipeline vs Target Pi'!$A:$AP,41,false)," $","")," €",""), "")
)</f>
        <v>0</v>
      </c>
      <c r="AX785" s="1">
        <f>value(IFERROR(SUBSTITUTE(SUBSTITUTE(VLOOKUP($A785,'Quarterly Pipeline vs Target Pi'!$A:$AP,42,false)," $","")," €",""), "")
)</f>
        <v>0</v>
      </c>
      <c r="AY785" s="17" t="str">
        <f t="shared" si="18"/>
        <v/>
      </c>
      <c r="AZ785" s="1">
        <f t="shared" ref="AZ785:BA785" si="1507">sum(AN785,AQ785,AT785,AW785)</f>
        <v>0</v>
      </c>
      <c r="BA785" s="1">
        <f t="shared" si="1507"/>
        <v>0</v>
      </c>
      <c r="BB785" s="17" t="str">
        <f t="shared" si="20"/>
        <v/>
      </c>
    </row>
    <row r="786">
      <c r="I786" s="17"/>
      <c r="L786" s="17"/>
      <c r="O786" s="17"/>
      <c r="X786" s="17"/>
      <c r="AA786" s="17"/>
      <c r="AD786" s="19"/>
      <c r="AG786" s="19"/>
      <c r="AJ786" s="19"/>
      <c r="AM786" s="19"/>
      <c r="AN786" s="1">
        <f>value(IFERROR(SUBSTITUTE(SUBSTITUTE(VLOOKUP($A786,'Quarterly Pipeline vs Target Pi'!$A:$AP,26,false)," $","")," €",""), "")
)</f>
        <v>0</v>
      </c>
      <c r="AO786" s="1">
        <f>value(IFERROR(SUBSTITUTE(SUBSTITUTE(VLOOKUP($A786,'Quarterly Pipeline vs Target Pi'!$A:$AP,27,false)," $","")," €",""), "")
)</f>
        <v>0</v>
      </c>
      <c r="AP786" s="17" t="str">
        <f t="shared" si="15"/>
        <v/>
      </c>
      <c r="AQ786" s="1">
        <f>value(IFERROR(SUBSTITUTE(SUBSTITUTE(VLOOKUP($A786,'Quarterly Pipeline vs Target Pi'!$A:$AP,31,false)," $","")," €",""), "")
)</f>
        <v>0</v>
      </c>
      <c r="AR786" s="1">
        <f>value(IFERROR(SUBSTITUTE(SUBSTITUTE(VLOOKUP($A786,'Quarterly Pipeline vs Target Pi'!$A:$AP,32,false)," $","")," €",""), "")
)</f>
        <v>0</v>
      </c>
      <c r="AS786" s="17" t="str">
        <f t="shared" si="16"/>
        <v/>
      </c>
      <c r="AT786" s="1">
        <f>value(IFERROR(SUBSTITUTE(SUBSTITUTE(VLOOKUP($A786,'Quarterly Pipeline vs Target Pi'!$A:$AP,36,false)," $","")," €",""), "")
)</f>
        <v>0</v>
      </c>
      <c r="AU786" s="1">
        <f>value(IFERROR(SUBSTITUTE(SUBSTITUTE(VLOOKUP($A786,'Quarterly Pipeline vs Target Pi'!$A:$AP,37,false)," $","")," €",""), "")
)</f>
        <v>0</v>
      </c>
      <c r="AV786" s="17" t="str">
        <f t="shared" si="17"/>
        <v/>
      </c>
      <c r="AW786" s="1">
        <f>value(IFERROR(SUBSTITUTE(SUBSTITUTE(VLOOKUP($A786,'Quarterly Pipeline vs Target Pi'!$A:$AP,41,false)," $","")," €",""), "")
)</f>
        <v>0</v>
      </c>
      <c r="AX786" s="1">
        <f>value(IFERROR(SUBSTITUTE(SUBSTITUTE(VLOOKUP($A786,'Quarterly Pipeline vs Target Pi'!$A:$AP,42,false)," $","")," €",""), "")
)</f>
        <v>0</v>
      </c>
      <c r="AY786" s="17" t="str">
        <f t="shared" si="18"/>
        <v/>
      </c>
      <c r="AZ786" s="1">
        <f t="shared" ref="AZ786:BA786" si="1508">sum(AN786,AQ786,AT786,AW786)</f>
        <v>0</v>
      </c>
      <c r="BA786" s="1">
        <f t="shared" si="1508"/>
        <v>0</v>
      </c>
      <c r="BB786" s="17" t="str">
        <f t="shared" si="20"/>
        <v/>
      </c>
    </row>
    <row r="787">
      <c r="I787" s="17"/>
      <c r="L787" s="17"/>
      <c r="O787" s="17"/>
      <c r="X787" s="17"/>
      <c r="AA787" s="17"/>
      <c r="AD787" s="19"/>
      <c r="AG787" s="19"/>
      <c r="AJ787" s="19"/>
      <c r="AM787" s="19"/>
      <c r="AN787" s="1">
        <f>value(IFERROR(SUBSTITUTE(SUBSTITUTE(VLOOKUP($A787,'Quarterly Pipeline vs Target Pi'!$A:$AP,26,false)," $","")," €",""), "")
)</f>
        <v>0</v>
      </c>
      <c r="AO787" s="1">
        <f>value(IFERROR(SUBSTITUTE(SUBSTITUTE(VLOOKUP($A787,'Quarterly Pipeline vs Target Pi'!$A:$AP,27,false)," $","")," €",""), "")
)</f>
        <v>0</v>
      </c>
      <c r="AP787" s="17" t="str">
        <f t="shared" si="15"/>
        <v/>
      </c>
      <c r="AQ787" s="1">
        <f>value(IFERROR(SUBSTITUTE(SUBSTITUTE(VLOOKUP($A787,'Quarterly Pipeline vs Target Pi'!$A:$AP,31,false)," $","")," €",""), "")
)</f>
        <v>0</v>
      </c>
      <c r="AR787" s="1">
        <f>value(IFERROR(SUBSTITUTE(SUBSTITUTE(VLOOKUP($A787,'Quarterly Pipeline vs Target Pi'!$A:$AP,32,false)," $","")," €",""), "")
)</f>
        <v>0</v>
      </c>
      <c r="AS787" s="17" t="str">
        <f t="shared" si="16"/>
        <v/>
      </c>
      <c r="AT787" s="1">
        <f>value(IFERROR(SUBSTITUTE(SUBSTITUTE(VLOOKUP($A787,'Quarterly Pipeline vs Target Pi'!$A:$AP,36,false)," $","")," €",""), "")
)</f>
        <v>0</v>
      </c>
      <c r="AU787" s="1">
        <f>value(IFERROR(SUBSTITUTE(SUBSTITUTE(VLOOKUP($A787,'Quarterly Pipeline vs Target Pi'!$A:$AP,37,false)," $","")," €",""), "")
)</f>
        <v>0</v>
      </c>
      <c r="AV787" s="17" t="str">
        <f t="shared" si="17"/>
        <v/>
      </c>
      <c r="AW787" s="1">
        <f>value(IFERROR(SUBSTITUTE(SUBSTITUTE(VLOOKUP($A787,'Quarterly Pipeline vs Target Pi'!$A:$AP,41,false)," $","")," €",""), "")
)</f>
        <v>0</v>
      </c>
      <c r="AX787" s="1">
        <f>value(IFERROR(SUBSTITUTE(SUBSTITUTE(VLOOKUP($A787,'Quarterly Pipeline vs Target Pi'!$A:$AP,42,false)," $","")," €",""), "")
)</f>
        <v>0</v>
      </c>
      <c r="AY787" s="17" t="str">
        <f t="shared" si="18"/>
        <v/>
      </c>
      <c r="AZ787" s="1">
        <f t="shared" ref="AZ787:BA787" si="1509">sum(AN787,AQ787,AT787,AW787)</f>
        <v>0</v>
      </c>
      <c r="BA787" s="1">
        <f t="shared" si="1509"/>
        <v>0</v>
      </c>
      <c r="BB787" s="17" t="str">
        <f t="shared" si="20"/>
        <v/>
      </c>
    </row>
    <row r="788">
      <c r="I788" s="17"/>
      <c r="L788" s="17"/>
      <c r="O788" s="17"/>
      <c r="X788" s="17"/>
      <c r="AA788" s="17"/>
      <c r="AD788" s="19"/>
      <c r="AG788" s="19"/>
      <c r="AJ788" s="19"/>
      <c r="AM788" s="19"/>
      <c r="AN788" s="1">
        <f>value(IFERROR(SUBSTITUTE(SUBSTITUTE(VLOOKUP($A788,'Quarterly Pipeline vs Target Pi'!$A:$AP,26,false)," $","")," €",""), "")
)</f>
        <v>0</v>
      </c>
      <c r="AO788" s="1">
        <f>value(IFERROR(SUBSTITUTE(SUBSTITUTE(VLOOKUP($A788,'Quarterly Pipeline vs Target Pi'!$A:$AP,27,false)," $","")," €",""), "")
)</f>
        <v>0</v>
      </c>
      <c r="AP788" s="17" t="str">
        <f t="shared" si="15"/>
        <v/>
      </c>
      <c r="AQ788" s="1">
        <f>value(IFERROR(SUBSTITUTE(SUBSTITUTE(VLOOKUP($A788,'Quarterly Pipeline vs Target Pi'!$A:$AP,31,false)," $","")," €",""), "")
)</f>
        <v>0</v>
      </c>
      <c r="AR788" s="1">
        <f>value(IFERROR(SUBSTITUTE(SUBSTITUTE(VLOOKUP($A788,'Quarterly Pipeline vs Target Pi'!$A:$AP,32,false)," $","")," €",""), "")
)</f>
        <v>0</v>
      </c>
      <c r="AS788" s="17" t="str">
        <f t="shared" si="16"/>
        <v/>
      </c>
      <c r="AT788" s="1">
        <f>value(IFERROR(SUBSTITUTE(SUBSTITUTE(VLOOKUP($A788,'Quarterly Pipeline vs Target Pi'!$A:$AP,36,false)," $","")," €",""), "")
)</f>
        <v>0</v>
      </c>
      <c r="AU788" s="1">
        <f>value(IFERROR(SUBSTITUTE(SUBSTITUTE(VLOOKUP($A788,'Quarterly Pipeline vs Target Pi'!$A:$AP,37,false)," $","")," €",""), "")
)</f>
        <v>0</v>
      </c>
      <c r="AV788" s="17" t="str">
        <f t="shared" si="17"/>
        <v/>
      </c>
      <c r="AW788" s="1">
        <f>value(IFERROR(SUBSTITUTE(SUBSTITUTE(VLOOKUP($A788,'Quarterly Pipeline vs Target Pi'!$A:$AP,41,false)," $","")," €",""), "")
)</f>
        <v>0</v>
      </c>
      <c r="AX788" s="1">
        <f>value(IFERROR(SUBSTITUTE(SUBSTITUTE(VLOOKUP($A788,'Quarterly Pipeline vs Target Pi'!$A:$AP,42,false)," $","")," €",""), "")
)</f>
        <v>0</v>
      </c>
      <c r="AY788" s="17" t="str">
        <f t="shared" si="18"/>
        <v/>
      </c>
      <c r="AZ788" s="1">
        <f t="shared" ref="AZ788:BA788" si="1510">sum(AN788,AQ788,AT788,AW788)</f>
        <v>0</v>
      </c>
      <c r="BA788" s="1">
        <f t="shared" si="1510"/>
        <v>0</v>
      </c>
      <c r="BB788" s="17" t="str">
        <f t="shared" si="20"/>
        <v/>
      </c>
    </row>
    <row r="789">
      <c r="I789" s="17"/>
      <c r="L789" s="17"/>
      <c r="O789" s="17"/>
      <c r="X789" s="17"/>
      <c r="AA789" s="17"/>
      <c r="AD789" s="19"/>
      <c r="AG789" s="19"/>
      <c r="AJ789" s="19"/>
      <c r="AM789" s="19"/>
      <c r="AN789" s="1">
        <f>value(IFERROR(SUBSTITUTE(SUBSTITUTE(VLOOKUP($A789,'Quarterly Pipeline vs Target Pi'!$A:$AP,26,false)," $","")," €",""), "")
)</f>
        <v>0</v>
      </c>
      <c r="AO789" s="1">
        <f>value(IFERROR(SUBSTITUTE(SUBSTITUTE(VLOOKUP($A789,'Quarterly Pipeline vs Target Pi'!$A:$AP,27,false)," $","")," €",""), "")
)</f>
        <v>0</v>
      </c>
      <c r="AP789" s="17" t="str">
        <f t="shared" si="15"/>
        <v/>
      </c>
      <c r="AQ789" s="1">
        <f>value(IFERROR(SUBSTITUTE(SUBSTITUTE(VLOOKUP($A789,'Quarterly Pipeline vs Target Pi'!$A:$AP,31,false)," $","")," €",""), "")
)</f>
        <v>0</v>
      </c>
      <c r="AR789" s="1">
        <f>value(IFERROR(SUBSTITUTE(SUBSTITUTE(VLOOKUP($A789,'Quarterly Pipeline vs Target Pi'!$A:$AP,32,false)," $","")," €",""), "")
)</f>
        <v>0</v>
      </c>
      <c r="AS789" s="17" t="str">
        <f t="shared" si="16"/>
        <v/>
      </c>
      <c r="AT789" s="1">
        <f>value(IFERROR(SUBSTITUTE(SUBSTITUTE(VLOOKUP($A789,'Quarterly Pipeline vs Target Pi'!$A:$AP,36,false)," $","")," €",""), "")
)</f>
        <v>0</v>
      </c>
      <c r="AU789" s="1">
        <f>value(IFERROR(SUBSTITUTE(SUBSTITUTE(VLOOKUP($A789,'Quarterly Pipeline vs Target Pi'!$A:$AP,37,false)," $","")," €",""), "")
)</f>
        <v>0</v>
      </c>
      <c r="AV789" s="17" t="str">
        <f t="shared" si="17"/>
        <v/>
      </c>
      <c r="AW789" s="1">
        <f>value(IFERROR(SUBSTITUTE(SUBSTITUTE(VLOOKUP($A789,'Quarterly Pipeline vs Target Pi'!$A:$AP,41,false)," $","")," €",""), "")
)</f>
        <v>0</v>
      </c>
      <c r="AX789" s="1">
        <f>value(IFERROR(SUBSTITUTE(SUBSTITUTE(VLOOKUP($A789,'Quarterly Pipeline vs Target Pi'!$A:$AP,42,false)," $","")," €",""), "")
)</f>
        <v>0</v>
      </c>
      <c r="AY789" s="17" t="str">
        <f t="shared" si="18"/>
        <v/>
      </c>
      <c r="AZ789" s="1">
        <f t="shared" ref="AZ789:BA789" si="1511">sum(AN789,AQ789,AT789,AW789)</f>
        <v>0</v>
      </c>
      <c r="BA789" s="1">
        <f t="shared" si="1511"/>
        <v>0</v>
      </c>
      <c r="BB789" s="17" t="str">
        <f t="shared" si="20"/>
        <v/>
      </c>
    </row>
    <row r="790">
      <c r="I790" s="17"/>
      <c r="L790" s="17"/>
      <c r="O790" s="17"/>
      <c r="X790" s="17"/>
      <c r="AA790" s="17"/>
      <c r="AD790" s="19"/>
      <c r="AG790" s="19"/>
      <c r="AJ790" s="19"/>
      <c r="AM790" s="19"/>
      <c r="AN790" s="1">
        <f>value(IFERROR(SUBSTITUTE(SUBSTITUTE(VLOOKUP($A790,'Quarterly Pipeline vs Target Pi'!$A:$AP,26,false)," $","")," €",""), "")
)</f>
        <v>0</v>
      </c>
      <c r="AO790" s="1">
        <f>value(IFERROR(SUBSTITUTE(SUBSTITUTE(VLOOKUP($A790,'Quarterly Pipeline vs Target Pi'!$A:$AP,27,false)," $","")," €",""), "")
)</f>
        <v>0</v>
      </c>
      <c r="AP790" s="17" t="str">
        <f t="shared" si="15"/>
        <v/>
      </c>
      <c r="AQ790" s="1">
        <f>value(IFERROR(SUBSTITUTE(SUBSTITUTE(VLOOKUP($A790,'Quarterly Pipeline vs Target Pi'!$A:$AP,31,false)," $","")," €",""), "")
)</f>
        <v>0</v>
      </c>
      <c r="AR790" s="1">
        <f>value(IFERROR(SUBSTITUTE(SUBSTITUTE(VLOOKUP($A790,'Quarterly Pipeline vs Target Pi'!$A:$AP,32,false)," $","")," €",""), "")
)</f>
        <v>0</v>
      </c>
      <c r="AS790" s="17" t="str">
        <f t="shared" si="16"/>
        <v/>
      </c>
      <c r="AT790" s="1">
        <f>value(IFERROR(SUBSTITUTE(SUBSTITUTE(VLOOKUP($A790,'Quarterly Pipeline vs Target Pi'!$A:$AP,36,false)," $","")," €",""), "")
)</f>
        <v>0</v>
      </c>
      <c r="AU790" s="1">
        <f>value(IFERROR(SUBSTITUTE(SUBSTITUTE(VLOOKUP($A790,'Quarterly Pipeline vs Target Pi'!$A:$AP,37,false)," $","")," €",""), "")
)</f>
        <v>0</v>
      </c>
      <c r="AV790" s="17" t="str">
        <f t="shared" si="17"/>
        <v/>
      </c>
      <c r="AW790" s="1">
        <f>value(IFERROR(SUBSTITUTE(SUBSTITUTE(VLOOKUP($A790,'Quarterly Pipeline vs Target Pi'!$A:$AP,41,false)," $","")," €",""), "")
)</f>
        <v>0</v>
      </c>
      <c r="AX790" s="1">
        <f>value(IFERROR(SUBSTITUTE(SUBSTITUTE(VLOOKUP($A790,'Quarterly Pipeline vs Target Pi'!$A:$AP,42,false)," $","")," €",""), "")
)</f>
        <v>0</v>
      </c>
      <c r="AY790" s="17" t="str">
        <f t="shared" si="18"/>
        <v/>
      </c>
      <c r="AZ790" s="1">
        <f t="shared" ref="AZ790:BA790" si="1512">sum(AN790,AQ790,AT790,AW790)</f>
        <v>0</v>
      </c>
      <c r="BA790" s="1">
        <f t="shared" si="1512"/>
        <v>0</v>
      </c>
      <c r="BB790" s="17" t="str">
        <f t="shared" si="20"/>
        <v/>
      </c>
    </row>
    <row r="791">
      <c r="I791" s="17"/>
      <c r="L791" s="17"/>
      <c r="O791" s="17"/>
      <c r="X791" s="17"/>
      <c r="AA791" s="17"/>
      <c r="AD791" s="19"/>
      <c r="AG791" s="19"/>
      <c r="AJ791" s="19"/>
      <c r="AM791" s="19"/>
      <c r="AN791" s="1">
        <f>value(IFERROR(SUBSTITUTE(SUBSTITUTE(VLOOKUP($A791,'Quarterly Pipeline vs Target Pi'!$A:$AP,26,false)," $","")," €",""), "")
)</f>
        <v>0</v>
      </c>
      <c r="AO791" s="1">
        <f>value(IFERROR(SUBSTITUTE(SUBSTITUTE(VLOOKUP($A791,'Quarterly Pipeline vs Target Pi'!$A:$AP,27,false)," $","")," €",""), "")
)</f>
        <v>0</v>
      </c>
      <c r="AP791" s="17" t="str">
        <f t="shared" si="15"/>
        <v/>
      </c>
      <c r="AQ791" s="1">
        <f>value(IFERROR(SUBSTITUTE(SUBSTITUTE(VLOOKUP($A791,'Quarterly Pipeline vs Target Pi'!$A:$AP,31,false)," $","")," €",""), "")
)</f>
        <v>0</v>
      </c>
      <c r="AR791" s="1">
        <f>value(IFERROR(SUBSTITUTE(SUBSTITUTE(VLOOKUP($A791,'Quarterly Pipeline vs Target Pi'!$A:$AP,32,false)," $","")," €",""), "")
)</f>
        <v>0</v>
      </c>
      <c r="AS791" s="17" t="str">
        <f t="shared" si="16"/>
        <v/>
      </c>
      <c r="AT791" s="1">
        <f>value(IFERROR(SUBSTITUTE(SUBSTITUTE(VLOOKUP($A791,'Quarterly Pipeline vs Target Pi'!$A:$AP,36,false)," $","")," €",""), "")
)</f>
        <v>0</v>
      </c>
      <c r="AU791" s="1">
        <f>value(IFERROR(SUBSTITUTE(SUBSTITUTE(VLOOKUP($A791,'Quarterly Pipeline vs Target Pi'!$A:$AP,37,false)," $","")," €",""), "")
)</f>
        <v>0</v>
      </c>
      <c r="AV791" s="17" t="str">
        <f t="shared" si="17"/>
        <v/>
      </c>
      <c r="AW791" s="1">
        <f>value(IFERROR(SUBSTITUTE(SUBSTITUTE(VLOOKUP($A791,'Quarterly Pipeline vs Target Pi'!$A:$AP,41,false)," $","")," €",""), "")
)</f>
        <v>0</v>
      </c>
      <c r="AX791" s="1">
        <f>value(IFERROR(SUBSTITUTE(SUBSTITUTE(VLOOKUP($A791,'Quarterly Pipeline vs Target Pi'!$A:$AP,42,false)," $","")," €",""), "")
)</f>
        <v>0</v>
      </c>
      <c r="AY791" s="17" t="str">
        <f t="shared" si="18"/>
        <v/>
      </c>
      <c r="AZ791" s="1">
        <f t="shared" ref="AZ791:BA791" si="1513">sum(AN791,AQ791,AT791,AW791)</f>
        <v>0</v>
      </c>
      <c r="BA791" s="1">
        <f t="shared" si="1513"/>
        <v>0</v>
      </c>
      <c r="BB791" s="17" t="str">
        <f t="shared" si="20"/>
        <v/>
      </c>
    </row>
    <row r="792">
      <c r="I792" s="17"/>
      <c r="L792" s="17"/>
      <c r="O792" s="17"/>
      <c r="X792" s="17"/>
      <c r="AA792" s="17"/>
      <c r="AD792" s="19"/>
      <c r="AG792" s="19"/>
      <c r="AJ792" s="19"/>
      <c r="AM792" s="19"/>
      <c r="AN792" s="1">
        <f>value(IFERROR(SUBSTITUTE(SUBSTITUTE(VLOOKUP($A792,'Quarterly Pipeline vs Target Pi'!$A:$AP,26,false)," $","")," €",""), "")
)</f>
        <v>0</v>
      </c>
      <c r="AO792" s="1">
        <f>value(IFERROR(SUBSTITUTE(SUBSTITUTE(VLOOKUP($A792,'Quarterly Pipeline vs Target Pi'!$A:$AP,27,false)," $","")," €",""), "")
)</f>
        <v>0</v>
      </c>
      <c r="AP792" s="17" t="str">
        <f t="shared" si="15"/>
        <v/>
      </c>
      <c r="AQ792" s="1">
        <f>value(IFERROR(SUBSTITUTE(SUBSTITUTE(VLOOKUP($A792,'Quarterly Pipeline vs Target Pi'!$A:$AP,31,false)," $","")," €",""), "")
)</f>
        <v>0</v>
      </c>
      <c r="AR792" s="1">
        <f>value(IFERROR(SUBSTITUTE(SUBSTITUTE(VLOOKUP($A792,'Quarterly Pipeline vs Target Pi'!$A:$AP,32,false)," $","")," €",""), "")
)</f>
        <v>0</v>
      </c>
      <c r="AS792" s="17" t="str">
        <f t="shared" si="16"/>
        <v/>
      </c>
      <c r="AT792" s="1">
        <f>value(IFERROR(SUBSTITUTE(SUBSTITUTE(VLOOKUP($A792,'Quarterly Pipeline vs Target Pi'!$A:$AP,36,false)," $","")," €",""), "")
)</f>
        <v>0</v>
      </c>
      <c r="AU792" s="1">
        <f>value(IFERROR(SUBSTITUTE(SUBSTITUTE(VLOOKUP($A792,'Quarterly Pipeline vs Target Pi'!$A:$AP,37,false)," $","")," €",""), "")
)</f>
        <v>0</v>
      </c>
      <c r="AV792" s="17" t="str">
        <f t="shared" si="17"/>
        <v/>
      </c>
      <c r="AW792" s="1">
        <f>value(IFERROR(SUBSTITUTE(SUBSTITUTE(VLOOKUP($A792,'Quarterly Pipeline vs Target Pi'!$A:$AP,41,false)," $","")," €",""), "")
)</f>
        <v>0</v>
      </c>
      <c r="AX792" s="1">
        <f>value(IFERROR(SUBSTITUTE(SUBSTITUTE(VLOOKUP($A792,'Quarterly Pipeline vs Target Pi'!$A:$AP,42,false)," $","")," €",""), "")
)</f>
        <v>0</v>
      </c>
      <c r="AY792" s="17" t="str">
        <f t="shared" si="18"/>
        <v/>
      </c>
      <c r="AZ792" s="1">
        <f t="shared" ref="AZ792:BA792" si="1514">sum(AN792,AQ792,AT792,AW792)</f>
        <v>0</v>
      </c>
      <c r="BA792" s="1">
        <f t="shared" si="1514"/>
        <v>0</v>
      </c>
      <c r="BB792" s="17" t="str">
        <f t="shared" si="20"/>
        <v/>
      </c>
    </row>
    <row r="793">
      <c r="I793" s="17"/>
      <c r="L793" s="17"/>
      <c r="O793" s="17"/>
      <c r="X793" s="17"/>
      <c r="AA793" s="17"/>
      <c r="AD793" s="19"/>
      <c r="AG793" s="19"/>
      <c r="AJ793" s="19"/>
      <c r="AM793" s="19"/>
      <c r="AN793" s="1">
        <f>value(IFERROR(SUBSTITUTE(SUBSTITUTE(VLOOKUP($A793,'Quarterly Pipeline vs Target Pi'!$A:$AP,26,false)," $","")," €",""), "")
)</f>
        <v>0</v>
      </c>
      <c r="AO793" s="1">
        <f>value(IFERROR(SUBSTITUTE(SUBSTITUTE(VLOOKUP($A793,'Quarterly Pipeline vs Target Pi'!$A:$AP,27,false)," $","")," €",""), "")
)</f>
        <v>0</v>
      </c>
      <c r="AP793" s="17" t="str">
        <f t="shared" si="15"/>
        <v/>
      </c>
      <c r="AQ793" s="1">
        <f>value(IFERROR(SUBSTITUTE(SUBSTITUTE(VLOOKUP($A793,'Quarterly Pipeline vs Target Pi'!$A:$AP,31,false)," $","")," €",""), "")
)</f>
        <v>0</v>
      </c>
      <c r="AR793" s="1">
        <f>value(IFERROR(SUBSTITUTE(SUBSTITUTE(VLOOKUP($A793,'Quarterly Pipeline vs Target Pi'!$A:$AP,32,false)," $","")," €",""), "")
)</f>
        <v>0</v>
      </c>
      <c r="AS793" s="17" t="str">
        <f t="shared" si="16"/>
        <v/>
      </c>
      <c r="AT793" s="1">
        <f>value(IFERROR(SUBSTITUTE(SUBSTITUTE(VLOOKUP($A793,'Quarterly Pipeline vs Target Pi'!$A:$AP,36,false)," $","")," €",""), "")
)</f>
        <v>0</v>
      </c>
      <c r="AU793" s="1">
        <f>value(IFERROR(SUBSTITUTE(SUBSTITUTE(VLOOKUP($A793,'Quarterly Pipeline vs Target Pi'!$A:$AP,37,false)," $","")," €",""), "")
)</f>
        <v>0</v>
      </c>
      <c r="AV793" s="17" t="str">
        <f t="shared" si="17"/>
        <v/>
      </c>
      <c r="AW793" s="1">
        <f>value(IFERROR(SUBSTITUTE(SUBSTITUTE(VLOOKUP($A793,'Quarterly Pipeline vs Target Pi'!$A:$AP,41,false)," $","")," €",""), "")
)</f>
        <v>0</v>
      </c>
      <c r="AX793" s="1">
        <f>value(IFERROR(SUBSTITUTE(SUBSTITUTE(VLOOKUP($A793,'Quarterly Pipeline vs Target Pi'!$A:$AP,42,false)," $","")," €",""), "")
)</f>
        <v>0</v>
      </c>
      <c r="AY793" s="17" t="str">
        <f t="shared" si="18"/>
        <v/>
      </c>
      <c r="AZ793" s="1">
        <f t="shared" ref="AZ793:BA793" si="1515">sum(AN793,AQ793,AT793,AW793)</f>
        <v>0</v>
      </c>
      <c r="BA793" s="1">
        <f t="shared" si="1515"/>
        <v>0</v>
      </c>
      <c r="BB793" s="17" t="str">
        <f t="shared" si="20"/>
        <v/>
      </c>
    </row>
    <row r="794">
      <c r="I794" s="17"/>
      <c r="L794" s="17"/>
      <c r="O794" s="17"/>
      <c r="X794" s="17"/>
      <c r="AA794" s="17"/>
      <c r="AD794" s="19"/>
      <c r="AG794" s="19"/>
      <c r="AJ794" s="19"/>
      <c r="AM794" s="19"/>
      <c r="AN794" s="1">
        <f>value(IFERROR(SUBSTITUTE(SUBSTITUTE(VLOOKUP($A794,'Quarterly Pipeline vs Target Pi'!$A:$AP,26,false)," $","")," €",""), "")
)</f>
        <v>0</v>
      </c>
      <c r="AO794" s="1">
        <f>value(IFERROR(SUBSTITUTE(SUBSTITUTE(VLOOKUP($A794,'Quarterly Pipeline vs Target Pi'!$A:$AP,27,false)," $","")," €",""), "")
)</f>
        <v>0</v>
      </c>
      <c r="AP794" s="17" t="str">
        <f t="shared" si="15"/>
        <v/>
      </c>
      <c r="AQ794" s="1">
        <f>value(IFERROR(SUBSTITUTE(SUBSTITUTE(VLOOKUP($A794,'Quarterly Pipeline vs Target Pi'!$A:$AP,31,false)," $","")," €",""), "")
)</f>
        <v>0</v>
      </c>
      <c r="AR794" s="1">
        <f>value(IFERROR(SUBSTITUTE(SUBSTITUTE(VLOOKUP($A794,'Quarterly Pipeline vs Target Pi'!$A:$AP,32,false)," $","")," €",""), "")
)</f>
        <v>0</v>
      </c>
      <c r="AS794" s="17" t="str">
        <f t="shared" si="16"/>
        <v/>
      </c>
      <c r="AT794" s="1">
        <f>value(IFERROR(SUBSTITUTE(SUBSTITUTE(VLOOKUP($A794,'Quarterly Pipeline vs Target Pi'!$A:$AP,36,false)," $","")," €",""), "")
)</f>
        <v>0</v>
      </c>
      <c r="AU794" s="1">
        <f>value(IFERROR(SUBSTITUTE(SUBSTITUTE(VLOOKUP($A794,'Quarterly Pipeline vs Target Pi'!$A:$AP,37,false)," $","")," €",""), "")
)</f>
        <v>0</v>
      </c>
      <c r="AV794" s="17" t="str">
        <f t="shared" si="17"/>
        <v/>
      </c>
      <c r="AW794" s="1">
        <f>value(IFERROR(SUBSTITUTE(SUBSTITUTE(VLOOKUP($A794,'Quarterly Pipeline vs Target Pi'!$A:$AP,41,false)," $","")," €",""), "")
)</f>
        <v>0</v>
      </c>
      <c r="AX794" s="1">
        <f>value(IFERROR(SUBSTITUTE(SUBSTITUTE(VLOOKUP($A794,'Quarterly Pipeline vs Target Pi'!$A:$AP,42,false)," $","")," €",""), "")
)</f>
        <v>0</v>
      </c>
      <c r="AY794" s="17" t="str">
        <f t="shared" si="18"/>
        <v/>
      </c>
      <c r="AZ794" s="1">
        <f t="shared" ref="AZ794:BA794" si="1516">sum(AN794,AQ794,AT794,AW794)</f>
        <v>0</v>
      </c>
      <c r="BA794" s="1">
        <f t="shared" si="1516"/>
        <v>0</v>
      </c>
      <c r="BB794" s="17" t="str">
        <f t="shared" si="20"/>
        <v/>
      </c>
    </row>
    <row r="795">
      <c r="I795" s="17"/>
      <c r="L795" s="17"/>
      <c r="O795" s="17"/>
      <c r="X795" s="17"/>
      <c r="AA795" s="17"/>
      <c r="AD795" s="19"/>
      <c r="AG795" s="19"/>
      <c r="AJ795" s="19"/>
      <c r="AM795" s="19"/>
      <c r="AN795" s="1">
        <f>value(IFERROR(SUBSTITUTE(SUBSTITUTE(VLOOKUP($A795,'Quarterly Pipeline vs Target Pi'!$A:$AP,26,false)," $","")," €",""), "")
)</f>
        <v>0</v>
      </c>
      <c r="AO795" s="1">
        <f>value(IFERROR(SUBSTITUTE(SUBSTITUTE(VLOOKUP($A795,'Quarterly Pipeline vs Target Pi'!$A:$AP,27,false)," $","")," €",""), "")
)</f>
        <v>0</v>
      </c>
      <c r="AP795" s="17" t="str">
        <f t="shared" si="15"/>
        <v/>
      </c>
      <c r="AQ795" s="1">
        <f>value(IFERROR(SUBSTITUTE(SUBSTITUTE(VLOOKUP($A795,'Quarterly Pipeline vs Target Pi'!$A:$AP,31,false)," $","")," €",""), "")
)</f>
        <v>0</v>
      </c>
      <c r="AR795" s="1">
        <f>value(IFERROR(SUBSTITUTE(SUBSTITUTE(VLOOKUP($A795,'Quarterly Pipeline vs Target Pi'!$A:$AP,32,false)," $","")," €",""), "")
)</f>
        <v>0</v>
      </c>
      <c r="AS795" s="17" t="str">
        <f t="shared" si="16"/>
        <v/>
      </c>
      <c r="AT795" s="1">
        <f>value(IFERROR(SUBSTITUTE(SUBSTITUTE(VLOOKUP($A795,'Quarterly Pipeline vs Target Pi'!$A:$AP,36,false)," $","")," €",""), "")
)</f>
        <v>0</v>
      </c>
      <c r="AU795" s="1">
        <f>value(IFERROR(SUBSTITUTE(SUBSTITUTE(VLOOKUP($A795,'Quarterly Pipeline vs Target Pi'!$A:$AP,37,false)," $","")," €",""), "")
)</f>
        <v>0</v>
      </c>
      <c r="AV795" s="17" t="str">
        <f t="shared" si="17"/>
        <v/>
      </c>
      <c r="AW795" s="1">
        <f>value(IFERROR(SUBSTITUTE(SUBSTITUTE(VLOOKUP($A795,'Quarterly Pipeline vs Target Pi'!$A:$AP,41,false)," $","")," €",""), "")
)</f>
        <v>0</v>
      </c>
      <c r="AX795" s="1">
        <f>value(IFERROR(SUBSTITUTE(SUBSTITUTE(VLOOKUP($A795,'Quarterly Pipeline vs Target Pi'!$A:$AP,42,false)," $","")," €",""), "")
)</f>
        <v>0</v>
      </c>
      <c r="AY795" s="17" t="str">
        <f t="shared" si="18"/>
        <v/>
      </c>
      <c r="AZ795" s="1">
        <f t="shared" ref="AZ795:BA795" si="1517">sum(AN795,AQ795,AT795,AW795)</f>
        <v>0</v>
      </c>
      <c r="BA795" s="1">
        <f t="shared" si="1517"/>
        <v>0</v>
      </c>
      <c r="BB795" s="17" t="str">
        <f t="shared" si="20"/>
        <v/>
      </c>
    </row>
    <row r="796">
      <c r="I796" s="17"/>
      <c r="L796" s="17"/>
      <c r="O796" s="17"/>
      <c r="X796" s="17"/>
      <c r="AA796" s="17"/>
      <c r="AD796" s="19"/>
      <c r="AG796" s="19"/>
      <c r="AJ796" s="19"/>
      <c r="AM796" s="19"/>
      <c r="AN796" s="1">
        <f>value(IFERROR(SUBSTITUTE(SUBSTITUTE(VLOOKUP($A796,'Quarterly Pipeline vs Target Pi'!$A:$AP,26,false)," $","")," €",""), "")
)</f>
        <v>0</v>
      </c>
      <c r="AO796" s="1">
        <f>value(IFERROR(SUBSTITUTE(SUBSTITUTE(VLOOKUP($A796,'Quarterly Pipeline vs Target Pi'!$A:$AP,27,false)," $","")," €",""), "")
)</f>
        <v>0</v>
      </c>
      <c r="AP796" s="17" t="str">
        <f t="shared" si="15"/>
        <v/>
      </c>
      <c r="AQ796" s="1">
        <f>value(IFERROR(SUBSTITUTE(SUBSTITUTE(VLOOKUP($A796,'Quarterly Pipeline vs Target Pi'!$A:$AP,31,false)," $","")," €",""), "")
)</f>
        <v>0</v>
      </c>
      <c r="AR796" s="1">
        <f>value(IFERROR(SUBSTITUTE(SUBSTITUTE(VLOOKUP($A796,'Quarterly Pipeline vs Target Pi'!$A:$AP,32,false)," $","")," €",""), "")
)</f>
        <v>0</v>
      </c>
      <c r="AS796" s="17" t="str">
        <f t="shared" si="16"/>
        <v/>
      </c>
      <c r="AT796" s="1">
        <f>value(IFERROR(SUBSTITUTE(SUBSTITUTE(VLOOKUP($A796,'Quarterly Pipeline vs Target Pi'!$A:$AP,36,false)," $","")," €",""), "")
)</f>
        <v>0</v>
      </c>
      <c r="AU796" s="1">
        <f>value(IFERROR(SUBSTITUTE(SUBSTITUTE(VLOOKUP($A796,'Quarterly Pipeline vs Target Pi'!$A:$AP,37,false)," $","")," €",""), "")
)</f>
        <v>0</v>
      </c>
      <c r="AV796" s="17" t="str">
        <f t="shared" si="17"/>
        <v/>
      </c>
      <c r="AW796" s="1">
        <f>value(IFERROR(SUBSTITUTE(SUBSTITUTE(VLOOKUP($A796,'Quarterly Pipeline vs Target Pi'!$A:$AP,41,false)," $","")," €",""), "")
)</f>
        <v>0</v>
      </c>
      <c r="AX796" s="1">
        <f>value(IFERROR(SUBSTITUTE(SUBSTITUTE(VLOOKUP($A796,'Quarterly Pipeline vs Target Pi'!$A:$AP,42,false)," $","")," €",""), "")
)</f>
        <v>0</v>
      </c>
      <c r="AY796" s="17" t="str">
        <f t="shared" si="18"/>
        <v/>
      </c>
      <c r="AZ796" s="1">
        <f t="shared" ref="AZ796:BA796" si="1518">sum(AN796,AQ796,AT796,AW796)</f>
        <v>0</v>
      </c>
      <c r="BA796" s="1">
        <f t="shared" si="1518"/>
        <v>0</v>
      </c>
      <c r="BB796" s="17" t="str">
        <f t="shared" si="20"/>
        <v/>
      </c>
    </row>
    <row r="797">
      <c r="I797" s="17"/>
      <c r="L797" s="17"/>
      <c r="O797" s="17"/>
      <c r="X797" s="17"/>
      <c r="AA797" s="17"/>
      <c r="AD797" s="19"/>
      <c r="AG797" s="19"/>
      <c r="AJ797" s="19"/>
      <c r="AM797" s="19"/>
      <c r="AN797" s="1">
        <f>value(IFERROR(SUBSTITUTE(SUBSTITUTE(VLOOKUP($A797,'Quarterly Pipeline vs Target Pi'!$A:$AP,26,false)," $","")," €",""), "")
)</f>
        <v>0</v>
      </c>
      <c r="AO797" s="1">
        <f>value(IFERROR(SUBSTITUTE(SUBSTITUTE(VLOOKUP($A797,'Quarterly Pipeline vs Target Pi'!$A:$AP,27,false)," $","")," €",""), "")
)</f>
        <v>0</v>
      </c>
      <c r="AP797" s="17" t="str">
        <f t="shared" si="15"/>
        <v/>
      </c>
      <c r="AQ797" s="1">
        <f>value(IFERROR(SUBSTITUTE(SUBSTITUTE(VLOOKUP($A797,'Quarterly Pipeline vs Target Pi'!$A:$AP,31,false)," $","")," €",""), "")
)</f>
        <v>0</v>
      </c>
      <c r="AR797" s="1">
        <f>value(IFERROR(SUBSTITUTE(SUBSTITUTE(VLOOKUP($A797,'Quarterly Pipeline vs Target Pi'!$A:$AP,32,false)," $","")," €",""), "")
)</f>
        <v>0</v>
      </c>
      <c r="AS797" s="17" t="str">
        <f t="shared" si="16"/>
        <v/>
      </c>
      <c r="AT797" s="1">
        <f>value(IFERROR(SUBSTITUTE(SUBSTITUTE(VLOOKUP($A797,'Quarterly Pipeline vs Target Pi'!$A:$AP,36,false)," $","")," €",""), "")
)</f>
        <v>0</v>
      </c>
      <c r="AU797" s="1">
        <f>value(IFERROR(SUBSTITUTE(SUBSTITUTE(VLOOKUP($A797,'Quarterly Pipeline vs Target Pi'!$A:$AP,37,false)," $","")," €",""), "")
)</f>
        <v>0</v>
      </c>
      <c r="AV797" s="17" t="str">
        <f t="shared" si="17"/>
        <v/>
      </c>
      <c r="AW797" s="1">
        <f>value(IFERROR(SUBSTITUTE(SUBSTITUTE(VLOOKUP($A797,'Quarterly Pipeline vs Target Pi'!$A:$AP,41,false)," $","")," €",""), "")
)</f>
        <v>0</v>
      </c>
      <c r="AX797" s="1">
        <f>value(IFERROR(SUBSTITUTE(SUBSTITUTE(VLOOKUP($A797,'Quarterly Pipeline vs Target Pi'!$A:$AP,42,false)," $","")," €",""), "")
)</f>
        <v>0</v>
      </c>
      <c r="AY797" s="17" t="str">
        <f t="shared" si="18"/>
        <v/>
      </c>
      <c r="AZ797" s="1">
        <f t="shared" ref="AZ797:BA797" si="1519">sum(AN797,AQ797,AT797,AW797)</f>
        <v>0</v>
      </c>
      <c r="BA797" s="1">
        <f t="shared" si="1519"/>
        <v>0</v>
      </c>
      <c r="BB797" s="17" t="str">
        <f t="shared" si="20"/>
        <v/>
      </c>
    </row>
    <row r="798">
      <c r="I798" s="17"/>
      <c r="L798" s="17"/>
      <c r="O798" s="17"/>
      <c r="X798" s="17"/>
      <c r="AA798" s="17"/>
      <c r="AD798" s="19"/>
      <c r="AG798" s="19"/>
      <c r="AJ798" s="19"/>
      <c r="AM798" s="19"/>
      <c r="AN798" s="1">
        <f>value(IFERROR(SUBSTITUTE(SUBSTITUTE(VLOOKUP($A798,'Quarterly Pipeline vs Target Pi'!$A:$AP,26,false)," $","")," €",""), "")
)</f>
        <v>0</v>
      </c>
      <c r="AO798" s="1">
        <f>value(IFERROR(SUBSTITUTE(SUBSTITUTE(VLOOKUP($A798,'Quarterly Pipeline vs Target Pi'!$A:$AP,27,false)," $","")," €",""), "")
)</f>
        <v>0</v>
      </c>
      <c r="AP798" s="17" t="str">
        <f t="shared" si="15"/>
        <v/>
      </c>
      <c r="AQ798" s="1">
        <f>value(IFERROR(SUBSTITUTE(SUBSTITUTE(VLOOKUP($A798,'Quarterly Pipeline vs Target Pi'!$A:$AP,31,false)," $","")," €",""), "")
)</f>
        <v>0</v>
      </c>
      <c r="AR798" s="1">
        <f>value(IFERROR(SUBSTITUTE(SUBSTITUTE(VLOOKUP($A798,'Quarterly Pipeline vs Target Pi'!$A:$AP,32,false)," $","")," €",""), "")
)</f>
        <v>0</v>
      </c>
      <c r="AS798" s="17" t="str">
        <f t="shared" si="16"/>
        <v/>
      </c>
      <c r="AT798" s="1">
        <f>value(IFERROR(SUBSTITUTE(SUBSTITUTE(VLOOKUP($A798,'Quarterly Pipeline vs Target Pi'!$A:$AP,36,false)," $","")," €",""), "")
)</f>
        <v>0</v>
      </c>
      <c r="AU798" s="1">
        <f>value(IFERROR(SUBSTITUTE(SUBSTITUTE(VLOOKUP($A798,'Quarterly Pipeline vs Target Pi'!$A:$AP,37,false)," $","")," €",""), "")
)</f>
        <v>0</v>
      </c>
      <c r="AV798" s="17" t="str">
        <f t="shared" si="17"/>
        <v/>
      </c>
      <c r="AW798" s="1">
        <f>value(IFERROR(SUBSTITUTE(SUBSTITUTE(VLOOKUP($A798,'Quarterly Pipeline vs Target Pi'!$A:$AP,41,false)," $","")," €",""), "")
)</f>
        <v>0</v>
      </c>
      <c r="AX798" s="1">
        <f>value(IFERROR(SUBSTITUTE(SUBSTITUTE(VLOOKUP($A798,'Quarterly Pipeline vs Target Pi'!$A:$AP,42,false)," $","")," €",""), "")
)</f>
        <v>0</v>
      </c>
      <c r="AY798" s="17" t="str">
        <f t="shared" si="18"/>
        <v/>
      </c>
      <c r="AZ798" s="1">
        <f t="shared" ref="AZ798:BA798" si="1520">sum(AN798,AQ798,AT798,AW798)</f>
        <v>0</v>
      </c>
      <c r="BA798" s="1">
        <f t="shared" si="1520"/>
        <v>0</v>
      </c>
      <c r="BB798" s="17" t="str">
        <f t="shared" si="20"/>
        <v/>
      </c>
    </row>
    <row r="799">
      <c r="I799" s="17"/>
      <c r="L799" s="17"/>
      <c r="O799" s="17"/>
      <c r="X799" s="17"/>
      <c r="AA799" s="17"/>
      <c r="AD799" s="19"/>
      <c r="AG799" s="19"/>
      <c r="AJ799" s="19"/>
      <c r="AM799" s="19"/>
      <c r="AN799" s="1">
        <f>value(IFERROR(SUBSTITUTE(SUBSTITUTE(VLOOKUP($A799,'Quarterly Pipeline vs Target Pi'!$A:$AP,26,false)," $","")," €",""), "")
)</f>
        <v>0</v>
      </c>
      <c r="AO799" s="1">
        <f>value(IFERROR(SUBSTITUTE(SUBSTITUTE(VLOOKUP($A799,'Quarterly Pipeline vs Target Pi'!$A:$AP,27,false)," $","")," €",""), "")
)</f>
        <v>0</v>
      </c>
      <c r="AP799" s="17" t="str">
        <f t="shared" si="15"/>
        <v/>
      </c>
      <c r="AQ799" s="1">
        <f>value(IFERROR(SUBSTITUTE(SUBSTITUTE(VLOOKUP($A799,'Quarterly Pipeline vs Target Pi'!$A:$AP,31,false)," $","")," €",""), "")
)</f>
        <v>0</v>
      </c>
      <c r="AR799" s="1">
        <f>value(IFERROR(SUBSTITUTE(SUBSTITUTE(VLOOKUP($A799,'Quarterly Pipeline vs Target Pi'!$A:$AP,32,false)," $","")," €",""), "")
)</f>
        <v>0</v>
      </c>
      <c r="AS799" s="17" t="str">
        <f t="shared" si="16"/>
        <v/>
      </c>
      <c r="AT799" s="1">
        <f>value(IFERROR(SUBSTITUTE(SUBSTITUTE(VLOOKUP($A799,'Quarterly Pipeline vs Target Pi'!$A:$AP,36,false)," $","")," €",""), "")
)</f>
        <v>0</v>
      </c>
      <c r="AU799" s="1">
        <f>value(IFERROR(SUBSTITUTE(SUBSTITUTE(VLOOKUP($A799,'Quarterly Pipeline vs Target Pi'!$A:$AP,37,false)," $","")," €",""), "")
)</f>
        <v>0</v>
      </c>
      <c r="AV799" s="17" t="str">
        <f t="shared" si="17"/>
        <v/>
      </c>
      <c r="AW799" s="1">
        <f>value(IFERROR(SUBSTITUTE(SUBSTITUTE(VLOOKUP($A799,'Quarterly Pipeline vs Target Pi'!$A:$AP,41,false)," $","")," €",""), "")
)</f>
        <v>0</v>
      </c>
      <c r="AX799" s="1">
        <f>value(IFERROR(SUBSTITUTE(SUBSTITUTE(VLOOKUP($A799,'Quarterly Pipeline vs Target Pi'!$A:$AP,42,false)," $","")," €",""), "")
)</f>
        <v>0</v>
      </c>
      <c r="AY799" s="17" t="str">
        <f t="shared" si="18"/>
        <v/>
      </c>
      <c r="AZ799" s="1">
        <f t="shared" ref="AZ799:BA799" si="1521">sum(AN799,AQ799,AT799,AW799)</f>
        <v>0</v>
      </c>
      <c r="BA799" s="1">
        <f t="shared" si="1521"/>
        <v>0</v>
      </c>
      <c r="BB799" s="17" t="str">
        <f t="shared" si="20"/>
        <v/>
      </c>
    </row>
    <row r="800">
      <c r="I800" s="17"/>
      <c r="L800" s="17"/>
      <c r="O800" s="17"/>
      <c r="X800" s="17"/>
      <c r="AA800" s="17"/>
      <c r="AD800" s="19"/>
      <c r="AG800" s="19"/>
      <c r="AJ800" s="19"/>
      <c r="AM800" s="19"/>
      <c r="AN800" s="1">
        <f>value(IFERROR(SUBSTITUTE(SUBSTITUTE(VLOOKUP($A800,'Quarterly Pipeline vs Target Pi'!$A:$AP,26,false)," $","")," €",""), "")
)</f>
        <v>0</v>
      </c>
      <c r="AO800" s="1">
        <f>value(IFERROR(SUBSTITUTE(SUBSTITUTE(VLOOKUP($A800,'Quarterly Pipeline vs Target Pi'!$A:$AP,27,false)," $","")," €",""), "")
)</f>
        <v>0</v>
      </c>
      <c r="AP800" s="17" t="str">
        <f t="shared" si="15"/>
        <v/>
      </c>
      <c r="AQ800" s="1">
        <f>value(IFERROR(SUBSTITUTE(SUBSTITUTE(VLOOKUP($A800,'Quarterly Pipeline vs Target Pi'!$A:$AP,31,false)," $","")," €",""), "")
)</f>
        <v>0</v>
      </c>
      <c r="AR800" s="1">
        <f>value(IFERROR(SUBSTITUTE(SUBSTITUTE(VLOOKUP($A800,'Quarterly Pipeline vs Target Pi'!$A:$AP,32,false)," $","")," €",""), "")
)</f>
        <v>0</v>
      </c>
      <c r="AS800" s="17" t="str">
        <f t="shared" si="16"/>
        <v/>
      </c>
      <c r="AT800" s="1">
        <f>value(IFERROR(SUBSTITUTE(SUBSTITUTE(VLOOKUP($A800,'Quarterly Pipeline vs Target Pi'!$A:$AP,36,false)," $","")," €",""), "")
)</f>
        <v>0</v>
      </c>
      <c r="AU800" s="1">
        <f>value(IFERROR(SUBSTITUTE(SUBSTITUTE(VLOOKUP($A800,'Quarterly Pipeline vs Target Pi'!$A:$AP,37,false)," $","")," €",""), "")
)</f>
        <v>0</v>
      </c>
      <c r="AV800" s="17" t="str">
        <f t="shared" si="17"/>
        <v/>
      </c>
      <c r="AW800" s="1">
        <f>value(IFERROR(SUBSTITUTE(SUBSTITUTE(VLOOKUP($A800,'Quarterly Pipeline vs Target Pi'!$A:$AP,41,false)," $","")," €",""), "")
)</f>
        <v>0</v>
      </c>
      <c r="AX800" s="1">
        <f>value(IFERROR(SUBSTITUTE(SUBSTITUTE(VLOOKUP($A800,'Quarterly Pipeline vs Target Pi'!$A:$AP,42,false)," $","")," €",""), "")
)</f>
        <v>0</v>
      </c>
      <c r="AY800" s="17" t="str">
        <f t="shared" si="18"/>
        <v/>
      </c>
      <c r="AZ800" s="1">
        <f t="shared" ref="AZ800:BA800" si="1522">sum(AN800,AQ800,AT800,AW800)</f>
        <v>0</v>
      </c>
      <c r="BA800" s="1">
        <f t="shared" si="1522"/>
        <v>0</v>
      </c>
      <c r="BB800" s="17" t="str">
        <f t="shared" si="20"/>
        <v/>
      </c>
    </row>
    <row r="801">
      <c r="I801" s="17"/>
      <c r="L801" s="17"/>
      <c r="O801" s="17"/>
      <c r="X801" s="17"/>
      <c r="AA801" s="17"/>
      <c r="AD801" s="19"/>
      <c r="AG801" s="19"/>
      <c r="AJ801" s="19"/>
      <c r="AM801" s="19"/>
      <c r="AN801" s="1">
        <f>value(IFERROR(SUBSTITUTE(SUBSTITUTE(VLOOKUP($A801,'Quarterly Pipeline vs Target Pi'!$A:$AP,26,false)," $","")," €",""), "")
)</f>
        <v>0</v>
      </c>
      <c r="AO801" s="1">
        <f>value(IFERROR(SUBSTITUTE(SUBSTITUTE(VLOOKUP($A801,'Quarterly Pipeline vs Target Pi'!$A:$AP,27,false)," $","")," €",""), "")
)</f>
        <v>0</v>
      </c>
      <c r="AP801" s="17" t="str">
        <f t="shared" si="15"/>
        <v/>
      </c>
      <c r="AQ801" s="1">
        <f>value(IFERROR(SUBSTITUTE(SUBSTITUTE(VLOOKUP($A801,'Quarterly Pipeline vs Target Pi'!$A:$AP,31,false)," $","")," €",""), "")
)</f>
        <v>0</v>
      </c>
      <c r="AR801" s="1">
        <f>value(IFERROR(SUBSTITUTE(SUBSTITUTE(VLOOKUP($A801,'Quarterly Pipeline vs Target Pi'!$A:$AP,32,false)," $","")," €",""), "")
)</f>
        <v>0</v>
      </c>
      <c r="AS801" s="17" t="str">
        <f t="shared" si="16"/>
        <v/>
      </c>
      <c r="AT801" s="1">
        <f>value(IFERROR(SUBSTITUTE(SUBSTITUTE(VLOOKUP($A801,'Quarterly Pipeline vs Target Pi'!$A:$AP,36,false)," $","")," €",""), "")
)</f>
        <v>0</v>
      </c>
      <c r="AU801" s="1">
        <f>value(IFERROR(SUBSTITUTE(SUBSTITUTE(VLOOKUP($A801,'Quarterly Pipeline vs Target Pi'!$A:$AP,37,false)," $","")," €",""), "")
)</f>
        <v>0</v>
      </c>
      <c r="AV801" s="17" t="str">
        <f t="shared" si="17"/>
        <v/>
      </c>
      <c r="AW801" s="1">
        <f>value(IFERROR(SUBSTITUTE(SUBSTITUTE(VLOOKUP($A801,'Quarterly Pipeline vs Target Pi'!$A:$AP,41,false)," $","")," €",""), "")
)</f>
        <v>0</v>
      </c>
      <c r="AX801" s="1">
        <f>value(IFERROR(SUBSTITUTE(SUBSTITUTE(VLOOKUP($A801,'Quarterly Pipeline vs Target Pi'!$A:$AP,42,false)," $","")," €",""), "")
)</f>
        <v>0</v>
      </c>
      <c r="AY801" s="17" t="str">
        <f t="shared" si="18"/>
        <v/>
      </c>
      <c r="AZ801" s="1">
        <f t="shared" ref="AZ801:BA801" si="1523">sum(AN801,AQ801,AT801,AW801)</f>
        <v>0</v>
      </c>
      <c r="BA801" s="1">
        <f t="shared" si="1523"/>
        <v>0</v>
      </c>
      <c r="BB801" s="17" t="str">
        <f t="shared" si="20"/>
        <v/>
      </c>
    </row>
    <row r="802">
      <c r="I802" s="17"/>
      <c r="L802" s="17"/>
      <c r="O802" s="17"/>
      <c r="X802" s="17"/>
      <c r="AA802" s="17"/>
      <c r="AD802" s="19"/>
      <c r="AG802" s="19"/>
      <c r="AJ802" s="19"/>
      <c r="AM802" s="19"/>
      <c r="AN802" s="1">
        <f>value(IFERROR(SUBSTITUTE(SUBSTITUTE(VLOOKUP($A802,'Quarterly Pipeline vs Target Pi'!$A:$AP,26,false)," $","")," €",""), "")
)</f>
        <v>0</v>
      </c>
      <c r="AO802" s="1">
        <f>value(IFERROR(SUBSTITUTE(SUBSTITUTE(VLOOKUP($A802,'Quarterly Pipeline vs Target Pi'!$A:$AP,27,false)," $","")," €",""), "")
)</f>
        <v>0</v>
      </c>
      <c r="AP802" s="17" t="str">
        <f t="shared" si="15"/>
        <v/>
      </c>
      <c r="AQ802" s="1">
        <f>value(IFERROR(SUBSTITUTE(SUBSTITUTE(VLOOKUP($A802,'Quarterly Pipeline vs Target Pi'!$A:$AP,31,false)," $","")," €",""), "")
)</f>
        <v>0</v>
      </c>
      <c r="AR802" s="1">
        <f>value(IFERROR(SUBSTITUTE(SUBSTITUTE(VLOOKUP($A802,'Quarterly Pipeline vs Target Pi'!$A:$AP,32,false)," $","")," €",""), "")
)</f>
        <v>0</v>
      </c>
      <c r="AS802" s="17" t="str">
        <f t="shared" si="16"/>
        <v/>
      </c>
      <c r="AT802" s="1">
        <f>value(IFERROR(SUBSTITUTE(SUBSTITUTE(VLOOKUP($A802,'Quarterly Pipeline vs Target Pi'!$A:$AP,36,false)," $","")," €",""), "")
)</f>
        <v>0</v>
      </c>
      <c r="AU802" s="1">
        <f>value(IFERROR(SUBSTITUTE(SUBSTITUTE(VLOOKUP($A802,'Quarterly Pipeline vs Target Pi'!$A:$AP,37,false)," $","")," €",""), "")
)</f>
        <v>0</v>
      </c>
      <c r="AV802" s="17" t="str">
        <f t="shared" si="17"/>
        <v/>
      </c>
      <c r="AW802" s="1">
        <f>value(IFERROR(SUBSTITUTE(SUBSTITUTE(VLOOKUP($A802,'Quarterly Pipeline vs Target Pi'!$A:$AP,41,false)," $","")," €",""), "")
)</f>
        <v>0</v>
      </c>
      <c r="AX802" s="1">
        <f>value(IFERROR(SUBSTITUTE(SUBSTITUTE(VLOOKUP($A802,'Quarterly Pipeline vs Target Pi'!$A:$AP,42,false)," $","")," €",""), "")
)</f>
        <v>0</v>
      </c>
      <c r="AY802" s="17" t="str">
        <f t="shared" si="18"/>
        <v/>
      </c>
      <c r="AZ802" s="1">
        <f t="shared" ref="AZ802:BA802" si="1524">sum(AN802,AQ802,AT802,AW802)</f>
        <v>0</v>
      </c>
      <c r="BA802" s="1">
        <f t="shared" si="1524"/>
        <v>0</v>
      </c>
      <c r="BB802" s="17" t="str">
        <f t="shared" si="20"/>
        <v/>
      </c>
    </row>
    <row r="803">
      <c r="I803" s="17"/>
      <c r="L803" s="17"/>
      <c r="O803" s="17"/>
      <c r="X803" s="17"/>
      <c r="AA803" s="17"/>
      <c r="AD803" s="19"/>
      <c r="AG803" s="19"/>
      <c r="AJ803" s="19"/>
      <c r="AM803" s="19"/>
      <c r="AN803" s="1">
        <f>value(IFERROR(SUBSTITUTE(SUBSTITUTE(VLOOKUP($A803,'Quarterly Pipeline vs Target Pi'!$A:$AP,26,false)," $","")," €",""), "")
)</f>
        <v>0</v>
      </c>
      <c r="AO803" s="1">
        <f>value(IFERROR(SUBSTITUTE(SUBSTITUTE(VLOOKUP($A803,'Quarterly Pipeline vs Target Pi'!$A:$AP,27,false)," $","")," €",""), "")
)</f>
        <v>0</v>
      </c>
      <c r="AP803" s="17" t="str">
        <f t="shared" si="15"/>
        <v/>
      </c>
      <c r="AQ803" s="1">
        <f>value(IFERROR(SUBSTITUTE(SUBSTITUTE(VLOOKUP($A803,'Quarterly Pipeline vs Target Pi'!$A:$AP,31,false)," $","")," €",""), "")
)</f>
        <v>0</v>
      </c>
      <c r="AR803" s="1">
        <f>value(IFERROR(SUBSTITUTE(SUBSTITUTE(VLOOKUP($A803,'Quarterly Pipeline vs Target Pi'!$A:$AP,32,false)," $","")," €",""), "")
)</f>
        <v>0</v>
      </c>
      <c r="AS803" s="17" t="str">
        <f t="shared" si="16"/>
        <v/>
      </c>
      <c r="AT803" s="1">
        <f>value(IFERROR(SUBSTITUTE(SUBSTITUTE(VLOOKUP($A803,'Quarterly Pipeline vs Target Pi'!$A:$AP,36,false)," $","")," €",""), "")
)</f>
        <v>0</v>
      </c>
      <c r="AU803" s="1">
        <f>value(IFERROR(SUBSTITUTE(SUBSTITUTE(VLOOKUP($A803,'Quarterly Pipeline vs Target Pi'!$A:$AP,37,false)," $","")," €",""), "")
)</f>
        <v>0</v>
      </c>
      <c r="AV803" s="17" t="str">
        <f t="shared" si="17"/>
        <v/>
      </c>
      <c r="AW803" s="1">
        <f>value(IFERROR(SUBSTITUTE(SUBSTITUTE(VLOOKUP($A803,'Quarterly Pipeline vs Target Pi'!$A:$AP,41,false)," $","")," €",""), "")
)</f>
        <v>0</v>
      </c>
      <c r="AX803" s="1">
        <f>value(IFERROR(SUBSTITUTE(SUBSTITUTE(VLOOKUP($A803,'Quarterly Pipeline vs Target Pi'!$A:$AP,42,false)," $","")," €",""), "")
)</f>
        <v>0</v>
      </c>
      <c r="AY803" s="17" t="str">
        <f t="shared" si="18"/>
        <v/>
      </c>
      <c r="AZ803" s="1">
        <f t="shared" ref="AZ803:BA803" si="1525">sum(AN803,AQ803,AT803,AW803)</f>
        <v>0</v>
      </c>
      <c r="BA803" s="1">
        <f t="shared" si="1525"/>
        <v>0</v>
      </c>
      <c r="BB803" s="17" t="str">
        <f t="shared" si="20"/>
        <v/>
      </c>
    </row>
    <row r="804">
      <c r="I804" s="17"/>
      <c r="L804" s="17"/>
      <c r="O804" s="17"/>
      <c r="X804" s="17"/>
      <c r="AA804" s="17"/>
      <c r="AD804" s="19"/>
      <c r="AG804" s="19"/>
      <c r="AJ804" s="19"/>
      <c r="AM804" s="19"/>
      <c r="AN804" s="1">
        <f>value(IFERROR(SUBSTITUTE(SUBSTITUTE(VLOOKUP($A804,'Quarterly Pipeline vs Target Pi'!$A:$AP,26,false)," $","")," €",""), "")
)</f>
        <v>0</v>
      </c>
      <c r="AO804" s="1">
        <f>value(IFERROR(SUBSTITUTE(SUBSTITUTE(VLOOKUP($A804,'Quarterly Pipeline vs Target Pi'!$A:$AP,27,false)," $","")," €",""), "")
)</f>
        <v>0</v>
      </c>
      <c r="AP804" s="17" t="str">
        <f t="shared" si="15"/>
        <v/>
      </c>
      <c r="AQ804" s="1">
        <f>value(IFERROR(SUBSTITUTE(SUBSTITUTE(VLOOKUP($A804,'Quarterly Pipeline vs Target Pi'!$A:$AP,31,false)," $","")," €",""), "")
)</f>
        <v>0</v>
      </c>
      <c r="AR804" s="1">
        <f>value(IFERROR(SUBSTITUTE(SUBSTITUTE(VLOOKUP($A804,'Quarterly Pipeline vs Target Pi'!$A:$AP,32,false)," $","")," €",""), "")
)</f>
        <v>0</v>
      </c>
      <c r="AS804" s="17" t="str">
        <f t="shared" si="16"/>
        <v/>
      </c>
      <c r="AT804" s="1">
        <f>value(IFERROR(SUBSTITUTE(SUBSTITUTE(VLOOKUP($A804,'Quarterly Pipeline vs Target Pi'!$A:$AP,36,false)," $","")," €",""), "")
)</f>
        <v>0</v>
      </c>
      <c r="AU804" s="1">
        <f>value(IFERROR(SUBSTITUTE(SUBSTITUTE(VLOOKUP($A804,'Quarterly Pipeline vs Target Pi'!$A:$AP,37,false)," $","")," €",""), "")
)</f>
        <v>0</v>
      </c>
      <c r="AV804" s="17" t="str">
        <f t="shared" si="17"/>
        <v/>
      </c>
      <c r="AW804" s="1">
        <f>value(IFERROR(SUBSTITUTE(SUBSTITUTE(VLOOKUP($A804,'Quarterly Pipeline vs Target Pi'!$A:$AP,41,false)," $","")," €",""), "")
)</f>
        <v>0</v>
      </c>
      <c r="AX804" s="1">
        <f>value(IFERROR(SUBSTITUTE(SUBSTITUTE(VLOOKUP($A804,'Quarterly Pipeline vs Target Pi'!$A:$AP,42,false)," $","")," €",""), "")
)</f>
        <v>0</v>
      </c>
      <c r="AY804" s="17" t="str">
        <f t="shared" si="18"/>
        <v/>
      </c>
      <c r="AZ804" s="1">
        <f t="shared" ref="AZ804:BA804" si="1526">sum(AN804,AQ804,AT804,AW804)</f>
        <v>0</v>
      </c>
      <c r="BA804" s="1">
        <f t="shared" si="1526"/>
        <v>0</v>
      </c>
      <c r="BB804" s="17" t="str">
        <f t="shared" si="20"/>
        <v/>
      </c>
    </row>
    <row r="805">
      <c r="I805" s="17"/>
      <c r="L805" s="17"/>
      <c r="O805" s="17"/>
      <c r="X805" s="17"/>
      <c r="AA805" s="17"/>
      <c r="AD805" s="19"/>
      <c r="AG805" s="19"/>
      <c r="AJ805" s="19"/>
      <c r="AM805" s="19"/>
      <c r="AN805" s="1">
        <f>value(IFERROR(SUBSTITUTE(SUBSTITUTE(VLOOKUP($A805,'Quarterly Pipeline vs Target Pi'!$A:$AP,26,false)," $","")," €",""), "")
)</f>
        <v>0</v>
      </c>
      <c r="AO805" s="1">
        <f>value(IFERROR(SUBSTITUTE(SUBSTITUTE(VLOOKUP($A805,'Quarterly Pipeline vs Target Pi'!$A:$AP,27,false)," $","")," €",""), "")
)</f>
        <v>0</v>
      </c>
      <c r="AP805" s="17" t="str">
        <f t="shared" si="15"/>
        <v/>
      </c>
      <c r="AQ805" s="1">
        <f>value(IFERROR(SUBSTITUTE(SUBSTITUTE(VLOOKUP($A805,'Quarterly Pipeline vs Target Pi'!$A:$AP,31,false)," $","")," €",""), "")
)</f>
        <v>0</v>
      </c>
      <c r="AR805" s="1">
        <f>value(IFERROR(SUBSTITUTE(SUBSTITUTE(VLOOKUP($A805,'Quarterly Pipeline vs Target Pi'!$A:$AP,32,false)," $","")," €",""), "")
)</f>
        <v>0</v>
      </c>
      <c r="AS805" s="17" t="str">
        <f t="shared" si="16"/>
        <v/>
      </c>
      <c r="AT805" s="1">
        <f>value(IFERROR(SUBSTITUTE(SUBSTITUTE(VLOOKUP($A805,'Quarterly Pipeline vs Target Pi'!$A:$AP,36,false)," $","")," €",""), "")
)</f>
        <v>0</v>
      </c>
      <c r="AU805" s="1">
        <f>value(IFERROR(SUBSTITUTE(SUBSTITUTE(VLOOKUP($A805,'Quarterly Pipeline vs Target Pi'!$A:$AP,37,false)," $","")," €",""), "")
)</f>
        <v>0</v>
      </c>
      <c r="AV805" s="17" t="str">
        <f t="shared" si="17"/>
        <v/>
      </c>
      <c r="AW805" s="1">
        <f>value(IFERROR(SUBSTITUTE(SUBSTITUTE(VLOOKUP($A805,'Quarterly Pipeline vs Target Pi'!$A:$AP,41,false)," $","")," €",""), "")
)</f>
        <v>0</v>
      </c>
      <c r="AX805" s="1">
        <f>value(IFERROR(SUBSTITUTE(SUBSTITUTE(VLOOKUP($A805,'Quarterly Pipeline vs Target Pi'!$A:$AP,42,false)," $","")," €",""), "")
)</f>
        <v>0</v>
      </c>
      <c r="AY805" s="17" t="str">
        <f t="shared" si="18"/>
        <v/>
      </c>
      <c r="AZ805" s="1">
        <f t="shared" ref="AZ805:BA805" si="1527">sum(AN805,AQ805,AT805,AW805)</f>
        <v>0</v>
      </c>
      <c r="BA805" s="1">
        <f t="shared" si="1527"/>
        <v>0</v>
      </c>
      <c r="BB805" s="17" t="str">
        <f t="shared" si="20"/>
        <v/>
      </c>
    </row>
    <row r="806">
      <c r="I806" s="17"/>
      <c r="L806" s="17"/>
      <c r="O806" s="17"/>
      <c r="X806" s="17"/>
      <c r="AA806" s="17"/>
      <c r="AD806" s="19"/>
      <c r="AG806" s="19"/>
      <c r="AJ806" s="19"/>
      <c r="AM806" s="19"/>
      <c r="AN806" s="1">
        <f>value(IFERROR(SUBSTITUTE(SUBSTITUTE(VLOOKUP($A806,'Quarterly Pipeline vs Target Pi'!$A:$AP,26,false)," $","")," €",""), "")
)</f>
        <v>0</v>
      </c>
      <c r="AO806" s="1">
        <f>value(IFERROR(SUBSTITUTE(SUBSTITUTE(VLOOKUP($A806,'Quarterly Pipeline vs Target Pi'!$A:$AP,27,false)," $","")," €",""), "")
)</f>
        <v>0</v>
      </c>
      <c r="AP806" s="17" t="str">
        <f t="shared" si="15"/>
        <v/>
      </c>
      <c r="AQ806" s="1">
        <f>value(IFERROR(SUBSTITUTE(SUBSTITUTE(VLOOKUP($A806,'Quarterly Pipeline vs Target Pi'!$A:$AP,31,false)," $","")," €",""), "")
)</f>
        <v>0</v>
      </c>
      <c r="AR806" s="1">
        <f>value(IFERROR(SUBSTITUTE(SUBSTITUTE(VLOOKUP($A806,'Quarterly Pipeline vs Target Pi'!$A:$AP,32,false)," $","")," €",""), "")
)</f>
        <v>0</v>
      </c>
      <c r="AS806" s="17" t="str">
        <f t="shared" si="16"/>
        <v/>
      </c>
      <c r="AT806" s="1">
        <f>value(IFERROR(SUBSTITUTE(SUBSTITUTE(VLOOKUP($A806,'Quarterly Pipeline vs Target Pi'!$A:$AP,36,false)," $","")," €",""), "")
)</f>
        <v>0</v>
      </c>
      <c r="AU806" s="1">
        <f>value(IFERROR(SUBSTITUTE(SUBSTITUTE(VLOOKUP($A806,'Quarterly Pipeline vs Target Pi'!$A:$AP,37,false)," $","")," €",""), "")
)</f>
        <v>0</v>
      </c>
      <c r="AV806" s="17" t="str">
        <f t="shared" si="17"/>
        <v/>
      </c>
      <c r="AW806" s="1">
        <f>value(IFERROR(SUBSTITUTE(SUBSTITUTE(VLOOKUP($A806,'Quarterly Pipeline vs Target Pi'!$A:$AP,41,false)," $","")," €",""), "")
)</f>
        <v>0</v>
      </c>
      <c r="AX806" s="1">
        <f>value(IFERROR(SUBSTITUTE(SUBSTITUTE(VLOOKUP($A806,'Quarterly Pipeline vs Target Pi'!$A:$AP,42,false)," $","")," €",""), "")
)</f>
        <v>0</v>
      </c>
      <c r="AY806" s="17" t="str">
        <f t="shared" si="18"/>
        <v/>
      </c>
      <c r="AZ806" s="1">
        <f t="shared" ref="AZ806:BA806" si="1528">sum(AN806,AQ806,AT806,AW806)</f>
        <v>0</v>
      </c>
      <c r="BA806" s="1">
        <f t="shared" si="1528"/>
        <v>0</v>
      </c>
      <c r="BB806" s="17" t="str">
        <f t="shared" si="20"/>
        <v/>
      </c>
    </row>
    <row r="807">
      <c r="I807" s="17"/>
      <c r="L807" s="17"/>
      <c r="O807" s="17"/>
      <c r="X807" s="17"/>
      <c r="AA807" s="17"/>
      <c r="AD807" s="19"/>
      <c r="AG807" s="19"/>
      <c r="AJ807" s="19"/>
      <c r="AM807" s="19"/>
      <c r="AN807" s="1">
        <f>value(IFERROR(SUBSTITUTE(SUBSTITUTE(VLOOKUP($A807,'Quarterly Pipeline vs Target Pi'!$A:$AP,26,false)," $","")," €",""), "")
)</f>
        <v>0</v>
      </c>
      <c r="AO807" s="1">
        <f>value(IFERROR(SUBSTITUTE(SUBSTITUTE(VLOOKUP($A807,'Quarterly Pipeline vs Target Pi'!$A:$AP,27,false)," $","")," €",""), "")
)</f>
        <v>0</v>
      </c>
      <c r="AP807" s="17" t="str">
        <f t="shared" si="15"/>
        <v/>
      </c>
      <c r="AQ807" s="1">
        <f>value(IFERROR(SUBSTITUTE(SUBSTITUTE(VLOOKUP($A807,'Quarterly Pipeline vs Target Pi'!$A:$AP,31,false)," $","")," €",""), "")
)</f>
        <v>0</v>
      </c>
      <c r="AR807" s="1">
        <f>value(IFERROR(SUBSTITUTE(SUBSTITUTE(VLOOKUP($A807,'Quarterly Pipeline vs Target Pi'!$A:$AP,32,false)," $","")," €",""), "")
)</f>
        <v>0</v>
      </c>
      <c r="AS807" s="17" t="str">
        <f t="shared" si="16"/>
        <v/>
      </c>
      <c r="AT807" s="1">
        <f>value(IFERROR(SUBSTITUTE(SUBSTITUTE(VLOOKUP($A807,'Quarterly Pipeline vs Target Pi'!$A:$AP,36,false)," $","")," €",""), "")
)</f>
        <v>0</v>
      </c>
      <c r="AU807" s="1">
        <f>value(IFERROR(SUBSTITUTE(SUBSTITUTE(VLOOKUP($A807,'Quarterly Pipeline vs Target Pi'!$A:$AP,37,false)," $","")," €",""), "")
)</f>
        <v>0</v>
      </c>
      <c r="AV807" s="17" t="str">
        <f t="shared" si="17"/>
        <v/>
      </c>
      <c r="AW807" s="1">
        <f>value(IFERROR(SUBSTITUTE(SUBSTITUTE(VLOOKUP($A807,'Quarterly Pipeline vs Target Pi'!$A:$AP,41,false)," $","")," €",""), "")
)</f>
        <v>0</v>
      </c>
      <c r="AX807" s="1">
        <f>value(IFERROR(SUBSTITUTE(SUBSTITUTE(VLOOKUP($A807,'Quarterly Pipeline vs Target Pi'!$A:$AP,42,false)," $","")," €",""), "")
)</f>
        <v>0</v>
      </c>
      <c r="AY807" s="17" t="str">
        <f t="shared" si="18"/>
        <v/>
      </c>
      <c r="AZ807" s="1">
        <f t="shared" ref="AZ807:BA807" si="1529">sum(AN807,AQ807,AT807,AW807)</f>
        <v>0</v>
      </c>
      <c r="BA807" s="1">
        <f t="shared" si="1529"/>
        <v>0</v>
      </c>
      <c r="BB807" s="17" t="str">
        <f t="shared" si="20"/>
        <v/>
      </c>
    </row>
    <row r="808">
      <c r="I808" s="17"/>
      <c r="L808" s="17"/>
      <c r="O808" s="17"/>
      <c r="X808" s="17"/>
      <c r="AA808" s="17"/>
      <c r="AD808" s="19"/>
      <c r="AG808" s="19"/>
      <c r="AJ808" s="19"/>
      <c r="AM808" s="19"/>
      <c r="AN808" s="1">
        <f>value(IFERROR(SUBSTITUTE(SUBSTITUTE(VLOOKUP($A808,'Quarterly Pipeline vs Target Pi'!$A:$AP,26,false)," $","")," €",""), "")
)</f>
        <v>0</v>
      </c>
      <c r="AO808" s="1">
        <f>value(IFERROR(SUBSTITUTE(SUBSTITUTE(VLOOKUP($A808,'Quarterly Pipeline vs Target Pi'!$A:$AP,27,false)," $","")," €",""), "")
)</f>
        <v>0</v>
      </c>
      <c r="AP808" s="17" t="str">
        <f t="shared" si="15"/>
        <v/>
      </c>
      <c r="AQ808" s="1">
        <f>value(IFERROR(SUBSTITUTE(SUBSTITUTE(VLOOKUP($A808,'Quarterly Pipeline vs Target Pi'!$A:$AP,31,false)," $","")," €",""), "")
)</f>
        <v>0</v>
      </c>
      <c r="AR808" s="1">
        <f>value(IFERROR(SUBSTITUTE(SUBSTITUTE(VLOOKUP($A808,'Quarterly Pipeline vs Target Pi'!$A:$AP,32,false)," $","")," €",""), "")
)</f>
        <v>0</v>
      </c>
      <c r="AS808" s="17" t="str">
        <f t="shared" si="16"/>
        <v/>
      </c>
      <c r="AT808" s="1">
        <f>value(IFERROR(SUBSTITUTE(SUBSTITUTE(VLOOKUP($A808,'Quarterly Pipeline vs Target Pi'!$A:$AP,36,false)," $","")," €",""), "")
)</f>
        <v>0</v>
      </c>
      <c r="AU808" s="1">
        <f>value(IFERROR(SUBSTITUTE(SUBSTITUTE(VLOOKUP($A808,'Quarterly Pipeline vs Target Pi'!$A:$AP,37,false)," $","")," €",""), "")
)</f>
        <v>0</v>
      </c>
      <c r="AV808" s="17" t="str">
        <f t="shared" si="17"/>
        <v/>
      </c>
      <c r="AW808" s="1">
        <f>value(IFERROR(SUBSTITUTE(SUBSTITUTE(VLOOKUP($A808,'Quarterly Pipeline vs Target Pi'!$A:$AP,41,false)," $","")," €",""), "")
)</f>
        <v>0</v>
      </c>
      <c r="AX808" s="1">
        <f>value(IFERROR(SUBSTITUTE(SUBSTITUTE(VLOOKUP($A808,'Quarterly Pipeline vs Target Pi'!$A:$AP,42,false)," $","")," €",""), "")
)</f>
        <v>0</v>
      </c>
      <c r="AY808" s="17" t="str">
        <f t="shared" si="18"/>
        <v/>
      </c>
      <c r="AZ808" s="1">
        <f t="shared" ref="AZ808:BA808" si="1530">sum(AN808,AQ808,AT808,AW808)</f>
        <v>0</v>
      </c>
      <c r="BA808" s="1">
        <f t="shared" si="1530"/>
        <v>0</v>
      </c>
      <c r="BB808" s="17" t="str">
        <f t="shared" si="20"/>
        <v/>
      </c>
    </row>
    <row r="809">
      <c r="I809" s="17"/>
      <c r="L809" s="17"/>
      <c r="O809" s="17"/>
      <c r="X809" s="17"/>
      <c r="AA809" s="17"/>
      <c r="AD809" s="19"/>
      <c r="AG809" s="19"/>
      <c r="AJ809" s="19"/>
      <c r="AM809" s="19"/>
      <c r="AN809" s="1">
        <f>value(IFERROR(SUBSTITUTE(SUBSTITUTE(VLOOKUP($A809,'Quarterly Pipeline vs Target Pi'!$A:$AP,26,false)," $","")," €",""), "")
)</f>
        <v>0</v>
      </c>
      <c r="AO809" s="1">
        <f>value(IFERROR(SUBSTITUTE(SUBSTITUTE(VLOOKUP($A809,'Quarterly Pipeline vs Target Pi'!$A:$AP,27,false)," $","")," €",""), "")
)</f>
        <v>0</v>
      </c>
      <c r="AP809" s="17" t="str">
        <f t="shared" si="15"/>
        <v/>
      </c>
      <c r="AQ809" s="1">
        <f>value(IFERROR(SUBSTITUTE(SUBSTITUTE(VLOOKUP($A809,'Quarterly Pipeline vs Target Pi'!$A:$AP,31,false)," $","")," €",""), "")
)</f>
        <v>0</v>
      </c>
      <c r="AR809" s="1">
        <f>value(IFERROR(SUBSTITUTE(SUBSTITUTE(VLOOKUP($A809,'Quarterly Pipeline vs Target Pi'!$A:$AP,32,false)," $","")," €",""), "")
)</f>
        <v>0</v>
      </c>
      <c r="AS809" s="17" t="str">
        <f t="shared" si="16"/>
        <v/>
      </c>
      <c r="AT809" s="1">
        <f>value(IFERROR(SUBSTITUTE(SUBSTITUTE(VLOOKUP($A809,'Quarterly Pipeline vs Target Pi'!$A:$AP,36,false)," $","")," €",""), "")
)</f>
        <v>0</v>
      </c>
      <c r="AU809" s="1">
        <f>value(IFERROR(SUBSTITUTE(SUBSTITUTE(VLOOKUP($A809,'Quarterly Pipeline vs Target Pi'!$A:$AP,37,false)," $","")," €",""), "")
)</f>
        <v>0</v>
      </c>
      <c r="AV809" s="17" t="str">
        <f t="shared" si="17"/>
        <v/>
      </c>
      <c r="AW809" s="1">
        <f>value(IFERROR(SUBSTITUTE(SUBSTITUTE(VLOOKUP($A809,'Quarterly Pipeline vs Target Pi'!$A:$AP,41,false)," $","")," €",""), "")
)</f>
        <v>0</v>
      </c>
      <c r="AX809" s="1">
        <f>value(IFERROR(SUBSTITUTE(SUBSTITUTE(VLOOKUP($A809,'Quarterly Pipeline vs Target Pi'!$A:$AP,42,false)," $","")," €",""), "")
)</f>
        <v>0</v>
      </c>
      <c r="AY809" s="17" t="str">
        <f t="shared" si="18"/>
        <v/>
      </c>
      <c r="AZ809" s="1">
        <f t="shared" ref="AZ809:BA809" si="1531">sum(AN809,AQ809,AT809,AW809)</f>
        <v>0</v>
      </c>
      <c r="BA809" s="1">
        <f t="shared" si="1531"/>
        <v>0</v>
      </c>
      <c r="BB809" s="17" t="str">
        <f t="shared" si="20"/>
        <v/>
      </c>
    </row>
    <row r="810">
      <c r="I810" s="17"/>
      <c r="L810" s="17"/>
      <c r="O810" s="17"/>
      <c r="X810" s="17"/>
      <c r="AA810" s="17"/>
      <c r="AD810" s="19"/>
      <c r="AG810" s="19"/>
      <c r="AJ810" s="19"/>
      <c r="AM810" s="19"/>
      <c r="AN810" s="1">
        <f>value(IFERROR(SUBSTITUTE(SUBSTITUTE(VLOOKUP($A810,'Quarterly Pipeline vs Target Pi'!$A:$AP,26,false)," $","")," €",""), "")
)</f>
        <v>0</v>
      </c>
      <c r="AO810" s="1">
        <f>value(IFERROR(SUBSTITUTE(SUBSTITUTE(VLOOKUP($A810,'Quarterly Pipeline vs Target Pi'!$A:$AP,27,false)," $","")," €",""), "")
)</f>
        <v>0</v>
      </c>
      <c r="AP810" s="17" t="str">
        <f t="shared" si="15"/>
        <v/>
      </c>
      <c r="AQ810" s="1">
        <f>value(IFERROR(SUBSTITUTE(SUBSTITUTE(VLOOKUP($A810,'Quarterly Pipeline vs Target Pi'!$A:$AP,31,false)," $","")," €",""), "")
)</f>
        <v>0</v>
      </c>
      <c r="AR810" s="1">
        <f>value(IFERROR(SUBSTITUTE(SUBSTITUTE(VLOOKUP($A810,'Quarterly Pipeline vs Target Pi'!$A:$AP,32,false)," $","")," €",""), "")
)</f>
        <v>0</v>
      </c>
      <c r="AS810" s="17" t="str">
        <f t="shared" si="16"/>
        <v/>
      </c>
      <c r="AT810" s="1">
        <f>value(IFERROR(SUBSTITUTE(SUBSTITUTE(VLOOKUP($A810,'Quarterly Pipeline vs Target Pi'!$A:$AP,36,false)," $","")," €",""), "")
)</f>
        <v>0</v>
      </c>
      <c r="AU810" s="1">
        <f>value(IFERROR(SUBSTITUTE(SUBSTITUTE(VLOOKUP($A810,'Quarterly Pipeline vs Target Pi'!$A:$AP,37,false)," $","")," €",""), "")
)</f>
        <v>0</v>
      </c>
      <c r="AV810" s="17" t="str">
        <f t="shared" si="17"/>
        <v/>
      </c>
      <c r="AW810" s="1">
        <f>value(IFERROR(SUBSTITUTE(SUBSTITUTE(VLOOKUP($A810,'Quarterly Pipeline vs Target Pi'!$A:$AP,41,false)," $","")," €",""), "")
)</f>
        <v>0</v>
      </c>
      <c r="AX810" s="1">
        <f>value(IFERROR(SUBSTITUTE(SUBSTITUTE(VLOOKUP($A810,'Quarterly Pipeline vs Target Pi'!$A:$AP,42,false)," $","")," €",""), "")
)</f>
        <v>0</v>
      </c>
      <c r="AY810" s="17" t="str">
        <f t="shared" si="18"/>
        <v/>
      </c>
      <c r="AZ810" s="1">
        <f t="shared" ref="AZ810:BA810" si="1532">sum(AN810,AQ810,AT810,AW810)</f>
        <v>0</v>
      </c>
      <c r="BA810" s="1">
        <f t="shared" si="1532"/>
        <v>0</v>
      </c>
      <c r="BB810" s="17" t="str">
        <f t="shared" si="20"/>
        <v/>
      </c>
    </row>
    <row r="811">
      <c r="I811" s="17"/>
      <c r="L811" s="17"/>
      <c r="O811" s="17"/>
      <c r="X811" s="17"/>
      <c r="AA811" s="17"/>
      <c r="AD811" s="19"/>
      <c r="AG811" s="19"/>
      <c r="AJ811" s="19"/>
      <c r="AM811" s="19"/>
      <c r="AN811" s="1">
        <f>value(IFERROR(SUBSTITUTE(SUBSTITUTE(VLOOKUP($A811,'Quarterly Pipeline vs Target Pi'!$A:$AP,26,false)," $","")," €",""), "")
)</f>
        <v>0</v>
      </c>
      <c r="AO811" s="1">
        <f>value(IFERROR(SUBSTITUTE(SUBSTITUTE(VLOOKUP($A811,'Quarterly Pipeline vs Target Pi'!$A:$AP,27,false)," $","")," €",""), "")
)</f>
        <v>0</v>
      </c>
      <c r="AP811" s="17" t="str">
        <f t="shared" si="15"/>
        <v/>
      </c>
      <c r="AQ811" s="1">
        <f>value(IFERROR(SUBSTITUTE(SUBSTITUTE(VLOOKUP($A811,'Quarterly Pipeline vs Target Pi'!$A:$AP,31,false)," $","")," €",""), "")
)</f>
        <v>0</v>
      </c>
      <c r="AR811" s="1">
        <f>value(IFERROR(SUBSTITUTE(SUBSTITUTE(VLOOKUP($A811,'Quarterly Pipeline vs Target Pi'!$A:$AP,32,false)," $","")," €",""), "")
)</f>
        <v>0</v>
      </c>
      <c r="AS811" s="17" t="str">
        <f t="shared" si="16"/>
        <v/>
      </c>
      <c r="AT811" s="1">
        <f>value(IFERROR(SUBSTITUTE(SUBSTITUTE(VLOOKUP($A811,'Quarterly Pipeline vs Target Pi'!$A:$AP,36,false)," $","")," €",""), "")
)</f>
        <v>0</v>
      </c>
      <c r="AU811" s="1">
        <f>value(IFERROR(SUBSTITUTE(SUBSTITUTE(VLOOKUP($A811,'Quarterly Pipeline vs Target Pi'!$A:$AP,37,false)," $","")," €",""), "")
)</f>
        <v>0</v>
      </c>
      <c r="AV811" s="17" t="str">
        <f t="shared" si="17"/>
        <v/>
      </c>
      <c r="AW811" s="1">
        <f>value(IFERROR(SUBSTITUTE(SUBSTITUTE(VLOOKUP($A811,'Quarterly Pipeline vs Target Pi'!$A:$AP,41,false)," $","")," €",""), "")
)</f>
        <v>0</v>
      </c>
      <c r="AX811" s="1">
        <f>value(IFERROR(SUBSTITUTE(SUBSTITUTE(VLOOKUP($A811,'Quarterly Pipeline vs Target Pi'!$A:$AP,42,false)," $","")," €",""), "")
)</f>
        <v>0</v>
      </c>
      <c r="AY811" s="17" t="str">
        <f t="shared" si="18"/>
        <v/>
      </c>
      <c r="AZ811" s="1">
        <f t="shared" ref="AZ811:BA811" si="1533">sum(AN811,AQ811,AT811,AW811)</f>
        <v>0</v>
      </c>
      <c r="BA811" s="1">
        <f t="shared" si="1533"/>
        <v>0</v>
      </c>
      <c r="BB811" s="17" t="str">
        <f t="shared" si="20"/>
        <v/>
      </c>
    </row>
    <row r="812">
      <c r="I812" s="17"/>
      <c r="L812" s="17"/>
      <c r="O812" s="17"/>
      <c r="X812" s="17"/>
      <c r="AA812" s="17"/>
      <c r="AD812" s="19"/>
      <c r="AG812" s="19"/>
      <c r="AJ812" s="19"/>
      <c r="AM812" s="19"/>
      <c r="AN812" s="1">
        <f>value(IFERROR(SUBSTITUTE(SUBSTITUTE(VLOOKUP($A812,'Quarterly Pipeline vs Target Pi'!$A:$AP,26,false)," $","")," €",""), "")
)</f>
        <v>0</v>
      </c>
      <c r="AO812" s="1">
        <f>value(IFERROR(SUBSTITUTE(SUBSTITUTE(VLOOKUP($A812,'Quarterly Pipeline vs Target Pi'!$A:$AP,27,false)," $","")," €",""), "")
)</f>
        <v>0</v>
      </c>
      <c r="AP812" s="17" t="str">
        <f t="shared" si="15"/>
        <v/>
      </c>
      <c r="AQ812" s="1">
        <f>value(IFERROR(SUBSTITUTE(SUBSTITUTE(VLOOKUP($A812,'Quarterly Pipeline vs Target Pi'!$A:$AP,31,false)," $","")," €",""), "")
)</f>
        <v>0</v>
      </c>
      <c r="AR812" s="1">
        <f>value(IFERROR(SUBSTITUTE(SUBSTITUTE(VLOOKUP($A812,'Quarterly Pipeline vs Target Pi'!$A:$AP,32,false)," $","")," €",""), "")
)</f>
        <v>0</v>
      </c>
      <c r="AS812" s="17" t="str">
        <f t="shared" si="16"/>
        <v/>
      </c>
      <c r="AT812" s="1">
        <f>value(IFERROR(SUBSTITUTE(SUBSTITUTE(VLOOKUP($A812,'Quarterly Pipeline vs Target Pi'!$A:$AP,36,false)," $","")," €",""), "")
)</f>
        <v>0</v>
      </c>
      <c r="AU812" s="1">
        <f>value(IFERROR(SUBSTITUTE(SUBSTITUTE(VLOOKUP($A812,'Quarterly Pipeline vs Target Pi'!$A:$AP,37,false)," $","")," €",""), "")
)</f>
        <v>0</v>
      </c>
      <c r="AV812" s="17" t="str">
        <f t="shared" si="17"/>
        <v/>
      </c>
      <c r="AW812" s="1">
        <f>value(IFERROR(SUBSTITUTE(SUBSTITUTE(VLOOKUP($A812,'Quarterly Pipeline vs Target Pi'!$A:$AP,41,false)," $","")," €",""), "")
)</f>
        <v>0</v>
      </c>
      <c r="AX812" s="1">
        <f>value(IFERROR(SUBSTITUTE(SUBSTITUTE(VLOOKUP($A812,'Quarterly Pipeline vs Target Pi'!$A:$AP,42,false)," $","")," €",""), "")
)</f>
        <v>0</v>
      </c>
      <c r="AY812" s="17" t="str">
        <f t="shared" si="18"/>
        <v/>
      </c>
      <c r="AZ812" s="1">
        <f t="shared" ref="AZ812:BA812" si="1534">sum(AN812,AQ812,AT812,AW812)</f>
        <v>0</v>
      </c>
      <c r="BA812" s="1">
        <f t="shared" si="1534"/>
        <v>0</v>
      </c>
      <c r="BB812" s="17" t="str">
        <f t="shared" si="20"/>
        <v/>
      </c>
    </row>
    <row r="813">
      <c r="I813" s="17"/>
      <c r="L813" s="17"/>
      <c r="O813" s="17"/>
      <c r="X813" s="17"/>
      <c r="AA813" s="17"/>
      <c r="AD813" s="19"/>
      <c r="AG813" s="19"/>
      <c r="AJ813" s="19"/>
      <c r="AM813" s="19"/>
      <c r="AN813" s="1">
        <f>value(IFERROR(SUBSTITUTE(SUBSTITUTE(VLOOKUP($A813,'Quarterly Pipeline vs Target Pi'!$A:$AP,26,false)," $","")," €",""), "")
)</f>
        <v>0</v>
      </c>
      <c r="AO813" s="1">
        <f>value(IFERROR(SUBSTITUTE(SUBSTITUTE(VLOOKUP($A813,'Quarterly Pipeline vs Target Pi'!$A:$AP,27,false)," $","")," €",""), "")
)</f>
        <v>0</v>
      </c>
      <c r="AP813" s="17" t="str">
        <f t="shared" si="15"/>
        <v/>
      </c>
      <c r="AQ813" s="1">
        <f>value(IFERROR(SUBSTITUTE(SUBSTITUTE(VLOOKUP($A813,'Quarterly Pipeline vs Target Pi'!$A:$AP,31,false)," $","")," €",""), "")
)</f>
        <v>0</v>
      </c>
      <c r="AR813" s="1">
        <f>value(IFERROR(SUBSTITUTE(SUBSTITUTE(VLOOKUP($A813,'Quarterly Pipeline vs Target Pi'!$A:$AP,32,false)," $","")," €",""), "")
)</f>
        <v>0</v>
      </c>
      <c r="AS813" s="17" t="str">
        <f t="shared" si="16"/>
        <v/>
      </c>
      <c r="AT813" s="1">
        <f>value(IFERROR(SUBSTITUTE(SUBSTITUTE(VLOOKUP($A813,'Quarterly Pipeline vs Target Pi'!$A:$AP,36,false)," $","")," €",""), "")
)</f>
        <v>0</v>
      </c>
      <c r="AU813" s="1">
        <f>value(IFERROR(SUBSTITUTE(SUBSTITUTE(VLOOKUP($A813,'Quarterly Pipeline vs Target Pi'!$A:$AP,37,false)," $","")," €",""), "")
)</f>
        <v>0</v>
      </c>
      <c r="AV813" s="17" t="str">
        <f t="shared" si="17"/>
        <v/>
      </c>
      <c r="AW813" s="1">
        <f>value(IFERROR(SUBSTITUTE(SUBSTITUTE(VLOOKUP($A813,'Quarterly Pipeline vs Target Pi'!$A:$AP,41,false)," $","")," €",""), "")
)</f>
        <v>0</v>
      </c>
      <c r="AX813" s="1">
        <f>value(IFERROR(SUBSTITUTE(SUBSTITUTE(VLOOKUP($A813,'Quarterly Pipeline vs Target Pi'!$A:$AP,42,false)," $","")," €",""), "")
)</f>
        <v>0</v>
      </c>
      <c r="AY813" s="17" t="str">
        <f t="shared" si="18"/>
        <v/>
      </c>
      <c r="AZ813" s="1">
        <f t="shared" ref="AZ813:BA813" si="1535">sum(AN813,AQ813,AT813,AW813)</f>
        <v>0</v>
      </c>
      <c r="BA813" s="1">
        <f t="shared" si="1535"/>
        <v>0</v>
      </c>
      <c r="BB813" s="17" t="str">
        <f t="shared" si="20"/>
        <v/>
      </c>
    </row>
    <row r="814">
      <c r="I814" s="17"/>
      <c r="L814" s="17"/>
      <c r="O814" s="17"/>
      <c r="X814" s="17"/>
      <c r="AA814" s="17"/>
      <c r="AD814" s="19"/>
      <c r="AG814" s="19"/>
      <c r="AJ814" s="19"/>
      <c r="AM814" s="19"/>
      <c r="AN814" s="1">
        <f>value(IFERROR(SUBSTITUTE(SUBSTITUTE(VLOOKUP($A814,'Quarterly Pipeline vs Target Pi'!$A:$AP,26,false)," $","")," €",""), "")
)</f>
        <v>0</v>
      </c>
      <c r="AO814" s="1">
        <f>value(IFERROR(SUBSTITUTE(SUBSTITUTE(VLOOKUP($A814,'Quarterly Pipeline vs Target Pi'!$A:$AP,27,false)," $","")," €",""), "")
)</f>
        <v>0</v>
      </c>
      <c r="AP814" s="17" t="str">
        <f t="shared" si="15"/>
        <v/>
      </c>
      <c r="AQ814" s="1">
        <f>value(IFERROR(SUBSTITUTE(SUBSTITUTE(VLOOKUP($A814,'Quarterly Pipeline vs Target Pi'!$A:$AP,31,false)," $","")," €",""), "")
)</f>
        <v>0</v>
      </c>
      <c r="AR814" s="1">
        <f>value(IFERROR(SUBSTITUTE(SUBSTITUTE(VLOOKUP($A814,'Quarterly Pipeline vs Target Pi'!$A:$AP,32,false)," $","")," €",""), "")
)</f>
        <v>0</v>
      </c>
      <c r="AS814" s="17" t="str">
        <f t="shared" si="16"/>
        <v/>
      </c>
      <c r="AT814" s="1">
        <f>value(IFERROR(SUBSTITUTE(SUBSTITUTE(VLOOKUP($A814,'Quarterly Pipeline vs Target Pi'!$A:$AP,36,false)," $","")," €",""), "")
)</f>
        <v>0</v>
      </c>
      <c r="AU814" s="1">
        <f>value(IFERROR(SUBSTITUTE(SUBSTITUTE(VLOOKUP($A814,'Quarterly Pipeline vs Target Pi'!$A:$AP,37,false)," $","")," €",""), "")
)</f>
        <v>0</v>
      </c>
      <c r="AV814" s="17" t="str">
        <f t="shared" si="17"/>
        <v/>
      </c>
      <c r="AW814" s="1">
        <f>value(IFERROR(SUBSTITUTE(SUBSTITUTE(VLOOKUP($A814,'Quarterly Pipeline vs Target Pi'!$A:$AP,41,false)," $","")," €",""), "")
)</f>
        <v>0</v>
      </c>
      <c r="AX814" s="1">
        <f>value(IFERROR(SUBSTITUTE(SUBSTITUTE(VLOOKUP($A814,'Quarterly Pipeline vs Target Pi'!$A:$AP,42,false)," $","")," €",""), "")
)</f>
        <v>0</v>
      </c>
      <c r="AY814" s="17" t="str">
        <f t="shared" si="18"/>
        <v/>
      </c>
      <c r="AZ814" s="1">
        <f t="shared" ref="AZ814:BA814" si="1536">sum(AN814,AQ814,AT814,AW814)</f>
        <v>0</v>
      </c>
      <c r="BA814" s="1">
        <f t="shared" si="1536"/>
        <v>0</v>
      </c>
      <c r="BB814" s="17" t="str">
        <f t="shared" si="20"/>
        <v/>
      </c>
    </row>
    <row r="815">
      <c r="I815" s="17"/>
      <c r="L815" s="17"/>
      <c r="O815" s="17"/>
      <c r="X815" s="17"/>
      <c r="AA815" s="17"/>
      <c r="AD815" s="19"/>
      <c r="AG815" s="19"/>
      <c r="AJ815" s="19"/>
      <c r="AM815" s="19"/>
      <c r="AN815" s="1">
        <f>value(IFERROR(SUBSTITUTE(SUBSTITUTE(VLOOKUP($A815,'Quarterly Pipeline vs Target Pi'!$A:$AP,26,false)," $","")," €",""), "")
)</f>
        <v>0</v>
      </c>
      <c r="AO815" s="1">
        <f>value(IFERROR(SUBSTITUTE(SUBSTITUTE(VLOOKUP($A815,'Quarterly Pipeline vs Target Pi'!$A:$AP,27,false)," $","")," €",""), "")
)</f>
        <v>0</v>
      </c>
      <c r="AP815" s="17" t="str">
        <f t="shared" si="15"/>
        <v/>
      </c>
      <c r="AQ815" s="1">
        <f>value(IFERROR(SUBSTITUTE(SUBSTITUTE(VLOOKUP($A815,'Quarterly Pipeline vs Target Pi'!$A:$AP,31,false)," $","")," €",""), "")
)</f>
        <v>0</v>
      </c>
      <c r="AR815" s="1">
        <f>value(IFERROR(SUBSTITUTE(SUBSTITUTE(VLOOKUP($A815,'Quarterly Pipeline vs Target Pi'!$A:$AP,32,false)," $","")," €",""), "")
)</f>
        <v>0</v>
      </c>
      <c r="AS815" s="17" t="str">
        <f t="shared" si="16"/>
        <v/>
      </c>
      <c r="AT815" s="1">
        <f>value(IFERROR(SUBSTITUTE(SUBSTITUTE(VLOOKUP($A815,'Quarterly Pipeline vs Target Pi'!$A:$AP,36,false)," $","")," €",""), "")
)</f>
        <v>0</v>
      </c>
      <c r="AU815" s="1">
        <f>value(IFERROR(SUBSTITUTE(SUBSTITUTE(VLOOKUP($A815,'Quarterly Pipeline vs Target Pi'!$A:$AP,37,false)," $","")," €",""), "")
)</f>
        <v>0</v>
      </c>
      <c r="AV815" s="17" t="str">
        <f t="shared" si="17"/>
        <v/>
      </c>
      <c r="AW815" s="1">
        <f>value(IFERROR(SUBSTITUTE(SUBSTITUTE(VLOOKUP($A815,'Quarterly Pipeline vs Target Pi'!$A:$AP,41,false)," $","")," €",""), "")
)</f>
        <v>0</v>
      </c>
      <c r="AX815" s="1">
        <f>value(IFERROR(SUBSTITUTE(SUBSTITUTE(VLOOKUP($A815,'Quarterly Pipeline vs Target Pi'!$A:$AP,42,false)," $","")," €",""), "")
)</f>
        <v>0</v>
      </c>
      <c r="AY815" s="17" t="str">
        <f t="shared" si="18"/>
        <v/>
      </c>
      <c r="AZ815" s="1">
        <f t="shared" ref="AZ815:BA815" si="1537">sum(AN815,AQ815,AT815,AW815)</f>
        <v>0</v>
      </c>
      <c r="BA815" s="1">
        <f t="shared" si="1537"/>
        <v>0</v>
      </c>
      <c r="BB815" s="17" t="str">
        <f t="shared" si="20"/>
        <v/>
      </c>
    </row>
    <row r="816">
      <c r="I816" s="17"/>
      <c r="L816" s="17"/>
      <c r="O816" s="17"/>
      <c r="X816" s="17"/>
      <c r="AA816" s="17"/>
      <c r="AD816" s="19"/>
      <c r="AG816" s="19"/>
      <c r="AJ816" s="19"/>
      <c r="AM816" s="19"/>
      <c r="AN816" s="1">
        <f>value(IFERROR(SUBSTITUTE(SUBSTITUTE(VLOOKUP($A816,'Quarterly Pipeline vs Target Pi'!$A:$AP,26,false)," $","")," €",""), "")
)</f>
        <v>0</v>
      </c>
      <c r="AO816" s="1">
        <f>value(IFERROR(SUBSTITUTE(SUBSTITUTE(VLOOKUP($A816,'Quarterly Pipeline vs Target Pi'!$A:$AP,27,false)," $","")," €",""), "")
)</f>
        <v>0</v>
      </c>
      <c r="AP816" s="17" t="str">
        <f t="shared" si="15"/>
        <v/>
      </c>
      <c r="AQ816" s="1">
        <f>value(IFERROR(SUBSTITUTE(SUBSTITUTE(VLOOKUP($A816,'Quarterly Pipeline vs Target Pi'!$A:$AP,31,false)," $","")," €",""), "")
)</f>
        <v>0</v>
      </c>
      <c r="AR816" s="1">
        <f>value(IFERROR(SUBSTITUTE(SUBSTITUTE(VLOOKUP($A816,'Quarterly Pipeline vs Target Pi'!$A:$AP,32,false)," $","")," €",""), "")
)</f>
        <v>0</v>
      </c>
      <c r="AS816" s="17" t="str">
        <f t="shared" si="16"/>
        <v/>
      </c>
      <c r="AT816" s="1">
        <f>value(IFERROR(SUBSTITUTE(SUBSTITUTE(VLOOKUP($A816,'Quarterly Pipeline vs Target Pi'!$A:$AP,36,false)," $","")," €",""), "")
)</f>
        <v>0</v>
      </c>
      <c r="AU816" s="1">
        <f>value(IFERROR(SUBSTITUTE(SUBSTITUTE(VLOOKUP($A816,'Quarterly Pipeline vs Target Pi'!$A:$AP,37,false)," $","")," €",""), "")
)</f>
        <v>0</v>
      </c>
      <c r="AV816" s="17" t="str">
        <f t="shared" si="17"/>
        <v/>
      </c>
      <c r="AW816" s="1">
        <f>value(IFERROR(SUBSTITUTE(SUBSTITUTE(VLOOKUP($A816,'Quarterly Pipeline vs Target Pi'!$A:$AP,41,false)," $","")," €",""), "")
)</f>
        <v>0</v>
      </c>
      <c r="AX816" s="1">
        <f>value(IFERROR(SUBSTITUTE(SUBSTITUTE(VLOOKUP($A816,'Quarterly Pipeline vs Target Pi'!$A:$AP,42,false)," $","")," €",""), "")
)</f>
        <v>0</v>
      </c>
      <c r="AY816" s="17" t="str">
        <f t="shared" si="18"/>
        <v/>
      </c>
      <c r="AZ816" s="1">
        <f t="shared" ref="AZ816:BA816" si="1538">sum(AN816,AQ816,AT816,AW816)</f>
        <v>0</v>
      </c>
      <c r="BA816" s="1">
        <f t="shared" si="1538"/>
        <v>0</v>
      </c>
      <c r="BB816" s="17" t="str">
        <f t="shared" si="20"/>
        <v/>
      </c>
    </row>
    <row r="817">
      <c r="I817" s="17"/>
      <c r="L817" s="17"/>
      <c r="O817" s="17"/>
      <c r="X817" s="17"/>
      <c r="AA817" s="17"/>
      <c r="AD817" s="19"/>
      <c r="AG817" s="19"/>
      <c r="AJ817" s="19"/>
      <c r="AM817" s="19"/>
      <c r="AN817" s="1">
        <f>value(IFERROR(SUBSTITUTE(SUBSTITUTE(VLOOKUP($A817,'Quarterly Pipeline vs Target Pi'!$A:$AP,26,false)," $","")," €",""), "")
)</f>
        <v>0</v>
      </c>
      <c r="AO817" s="1">
        <f>value(IFERROR(SUBSTITUTE(SUBSTITUTE(VLOOKUP($A817,'Quarterly Pipeline vs Target Pi'!$A:$AP,27,false)," $","")," €",""), "")
)</f>
        <v>0</v>
      </c>
      <c r="AP817" s="17" t="str">
        <f t="shared" si="15"/>
        <v/>
      </c>
      <c r="AQ817" s="1">
        <f>value(IFERROR(SUBSTITUTE(SUBSTITUTE(VLOOKUP($A817,'Quarterly Pipeline vs Target Pi'!$A:$AP,31,false)," $","")," €",""), "")
)</f>
        <v>0</v>
      </c>
      <c r="AR817" s="1">
        <f>value(IFERROR(SUBSTITUTE(SUBSTITUTE(VLOOKUP($A817,'Quarterly Pipeline vs Target Pi'!$A:$AP,32,false)," $","")," €",""), "")
)</f>
        <v>0</v>
      </c>
      <c r="AS817" s="17" t="str">
        <f t="shared" si="16"/>
        <v/>
      </c>
      <c r="AT817" s="1">
        <f>value(IFERROR(SUBSTITUTE(SUBSTITUTE(VLOOKUP($A817,'Quarterly Pipeline vs Target Pi'!$A:$AP,36,false)," $","")," €",""), "")
)</f>
        <v>0</v>
      </c>
      <c r="AU817" s="1">
        <f>value(IFERROR(SUBSTITUTE(SUBSTITUTE(VLOOKUP($A817,'Quarterly Pipeline vs Target Pi'!$A:$AP,37,false)," $","")," €",""), "")
)</f>
        <v>0</v>
      </c>
      <c r="AV817" s="17" t="str">
        <f t="shared" si="17"/>
        <v/>
      </c>
      <c r="AW817" s="1">
        <f>value(IFERROR(SUBSTITUTE(SUBSTITUTE(VLOOKUP($A817,'Quarterly Pipeline vs Target Pi'!$A:$AP,41,false)," $","")," €",""), "")
)</f>
        <v>0</v>
      </c>
      <c r="AX817" s="1">
        <f>value(IFERROR(SUBSTITUTE(SUBSTITUTE(VLOOKUP($A817,'Quarterly Pipeline vs Target Pi'!$A:$AP,42,false)," $","")," €",""), "")
)</f>
        <v>0</v>
      </c>
      <c r="AY817" s="17" t="str">
        <f t="shared" si="18"/>
        <v/>
      </c>
      <c r="AZ817" s="1">
        <f t="shared" ref="AZ817:BA817" si="1539">sum(AN817,AQ817,AT817,AW817)</f>
        <v>0</v>
      </c>
      <c r="BA817" s="1">
        <f t="shared" si="1539"/>
        <v>0</v>
      </c>
      <c r="BB817" s="17" t="str">
        <f t="shared" si="20"/>
        <v/>
      </c>
    </row>
    <row r="818">
      <c r="I818" s="17"/>
      <c r="L818" s="17"/>
      <c r="O818" s="17"/>
      <c r="X818" s="17"/>
      <c r="AA818" s="17"/>
      <c r="AD818" s="19"/>
      <c r="AG818" s="19"/>
      <c r="AJ818" s="19"/>
      <c r="AM818" s="19"/>
      <c r="AN818" s="1">
        <f>value(IFERROR(SUBSTITUTE(SUBSTITUTE(VLOOKUP($A818,'Quarterly Pipeline vs Target Pi'!$A:$AP,26,false)," $","")," €",""), "")
)</f>
        <v>0</v>
      </c>
      <c r="AO818" s="1">
        <f>value(IFERROR(SUBSTITUTE(SUBSTITUTE(VLOOKUP($A818,'Quarterly Pipeline vs Target Pi'!$A:$AP,27,false)," $","")," €",""), "")
)</f>
        <v>0</v>
      </c>
      <c r="AP818" s="17" t="str">
        <f t="shared" si="15"/>
        <v/>
      </c>
      <c r="AQ818" s="1">
        <f>value(IFERROR(SUBSTITUTE(SUBSTITUTE(VLOOKUP($A818,'Quarterly Pipeline vs Target Pi'!$A:$AP,31,false)," $","")," €",""), "")
)</f>
        <v>0</v>
      </c>
      <c r="AR818" s="1">
        <f>value(IFERROR(SUBSTITUTE(SUBSTITUTE(VLOOKUP($A818,'Quarterly Pipeline vs Target Pi'!$A:$AP,32,false)," $","")," €",""), "")
)</f>
        <v>0</v>
      </c>
      <c r="AS818" s="17" t="str">
        <f t="shared" si="16"/>
        <v/>
      </c>
      <c r="AT818" s="1">
        <f>value(IFERROR(SUBSTITUTE(SUBSTITUTE(VLOOKUP($A818,'Quarterly Pipeline vs Target Pi'!$A:$AP,36,false)," $","")," €",""), "")
)</f>
        <v>0</v>
      </c>
      <c r="AU818" s="1">
        <f>value(IFERROR(SUBSTITUTE(SUBSTITUTE(VLOOKUP($A818,'Quarterly Pipeline vs Target Pi'!$A:$AP,37,false)," $","")," €",""), "")
)</f>
        <v>0</v>
      </c>
      <c r="AV818" s="17" t="str">
        <f t="shared" si="17"/>
        <v/>
      </c>
      <c r="AW818" s="1">
        <f>value(IFERROR(SUBSTITUTE(SUBSTITUTE(VLOOKUP($A818,'Quarterly Pipeline vs Target Pi'!$A:$AP,41,false)," $","")," €",""), "")
)</f>
        <v>0</v>
      </c>
      <c r="AX818" s="1">
        <f>value(IFERROR(SUBSTITUTE(SUBSTITUTE(VLOOKUP($A818,'Quarterly Pipeline vs Target Pi'!$A:$AP,42,false)," $","")," €",""), "")
)</f>
        <v>0</v>
      </c>
      <c r="AY818" s="17" t="str">
        <f t="shared" si="18"/>
        <v/>
      </c>
      <c r="AZ818" s="1">
        <f t="shared" ref="AZ818:BA818" si="1540">sum(AN818,AQ818,AT818,AW818)</f>
        <v>0</v>
      </c>
      <c r="BA818" s="1">
        <f t="shared" si="1540"/>
        <v>0</v>
      </c>
      <c r="BB818" s="17" t="str">
        <f t="shared" si="20"/>
        <v/>
      </c>
    </row>
    <row r="819">
      <c r="I819" s="17"/>
      <c r="L819" s="17"/>
      <c r="O819" s="17"/>
      <c r="X819" s="17"/>
      <c r="AA819" s="17"/>
      <c r="AD819" s="19"/>
      <c r="AG819" s="19"/>
      <c r="AJ819" s="19"/>
      <c r="AM819" s="19"/>
      <c r="AN819" s="1">
        <f>value(IFERROR(SUBSTITUTE(SUBSTITUTE(VLOOKUP($A819,'Quarterly Pipeline vs Target Pi'!$A:$AP,26,false)," $","")," €",""), "")
)</f>
        <v>0</v>
      </c>
      <c r="AO819" s="1">
        <f>value(IFERROR(SUBSTITUTE(SUBSTITUTE(VLOOKUP($A819,'Quarterly Pipeline vs Target Pi'!$A:$AP,27,false)," $","")," €",""), "")
)</f>
        <v>0</v>
      </c>
      <c r="AP819" s="17" t="str">
        <f t="shared" si="15"/>
        <v/>
      </c>
      <c r="AQ819" s="1">
        <f>value(IFERROR(SUBSTITUTE(SUBSTITUTE(VLOOKUP($A819,'Quarterly Pipeline vs Target Pi'!$A:$AP,31,false)," $","")," €",""), "")
)</f>
        <v>0</v>
      </c>
      <c r="AR819" s="1">
        <f>value(IFERROR(SUBSTITUTE(SUBSTITUTE(VLOOKUP($A819,'Quarterly Pipeline vs Target Pi'!$A:$AP,32,false)," $","")," €",""), "")
)</f>
        <v>0</v>
      </c>
      <c r="AS819" s="17" t="str">
        <f t="shared" si="16"/>
        <v/>
      </c>
      <c r="AT819" s="1">
        <f>value(IFERROR(SUBSTITUTE(SUBSTITUTE(VLOOKUP($A819,'Quarterly Pipeline vs Target Pi'!$A:$AP,36,false)," $","")," €",""), "")
)</f>
        <v>0</v>
      </c>
      <c r="AU819" s="1">
        <f>value(IFERROR(SUBSTITUTE(SUBSTITUTE(VLOOKUP($A819,'Quarterly Pipeline vs Target Pi'!$A:$AP,37,false)," $","")," €",""), "")
)</f>
        <v>0</v>
      </c>
      <c r="AV819" s="17" t="str">
        <f t="shared" si="17"/>
        <v/>
      </c>
      <c r="AW819" s="1">
        <f>value(IFERROR(SUBSTITUTE(SUBSTITUTE(VLOOKUP($A819,'Quarterly Pipeline vs Target Pi'!$A:$AP,41,false)," $","")," €",""), "")
)</f>
        <v>0</v>
      </c>
      <c r="AX819" s="1">
        <f>value(IFERROR(SUBSTITUTE(SUBSTITUTE(VLOOKUP($A819,'Quarterly Pipeline vs Target Pi'!$A:$AP,42,false)," $","")," €",""), "")
)</f>
        <v>0</v>
      </c>
      <c r="AY819" s="17" t="str">
        <f t="shared" si="18"/>
        <v/>
      </c>
      <c r="AZ819" s="1">
        <f t="shared" ref="AZ819:BA819" si="1541">sum(AN819,AQ819,AT819,AW819)</f>
        <v>0</v>
      </c>
      <c r="BA819" s="1">
        <f t="shared" si="1541"/>
        <v>0</v>
      </c>
      <c r="BB819" s="17" t="str">
        <f t="shared" si="20"/>
        <v/>
      </c>
    </row>
    <row r="820">
      <c r="I820" s="17"/>
      <c r="L820" s="17"/>
      <c r="O820" s="17"/>
      <c r="X820" s="17"/>
      <c r="AA820" s="17"/>
      <c r="AD820" s="19"/>
      <c r="AG820" s="19"/>
      <c r="AJ820" s="19"/>
      <c r="AM820" s="19"/>
      <c r="AN820" s="1">
        <f>value(IFERROR(SUBSTITUTE(SUBSTITUTE(VLOOKUP($A820,'Quarterly Pipeline vs Target Pi'!$A:$AP,26,false)," $","")," €",""), "")
)</f>
        <v>0</v>
      </c>
      <c r="AO820" s="1">
        <f>value(IFERROR(SUBSTITUTE(SUBSTITUTE(VLOOKUP($A820,'Quarterly Pipeline vs Target Pi'!$A:$AP,27,false)," $","")," €",""), "")
)</f>
        <v>0</v>
      </c>
      <c r="AP820" s="17" t="str">
        <f t="shared" si="15"/>
        <v/>
      </c>
      <c r="AQ820" s="1">
        <f>value(IFERROR(SUBSTITUTE(SUBSTITUTE(VLOOKUP($A820,'Quarterly Pipeline vs Target Pi'!$A:$AP,31,false)," $","")," €",""), "")
)</f>
        <v>0</v>
      </c>
      <c r="AR820" s="1">
        <f>value(IFERROR(SUBSTITUTE(SUBSTITUTE(VLOOKUP($A820,'Quarterly Pipeline vs Target Pi'!$A:$AP,32,false)," $","")," €",""), "")
)</f>
        <v>0</v>
      </c>
      <c r="AS820" s="17" t="str">
        <f t="shared" si="16"/>
        <v/>
      </c>
      <c r="AT820" s="1">
        <f>value(IFERROR(SUBSTITUTE(SUBSTITUTE(VLOOKUP($A820,'Quarterly Pipeline vs Target Pi'!$A:$AP,36,false)," $","")," €",""), "")
)</f>
        <v>0</v>
      </c>
      <c r="AU820" s="1">
        <f>value(IFERROR(SUBSTITUTE(SUBSTITUTE(VLOOKUP($A820,'Quarterly Pipeline vs Target Pi'!$A:$AP,37,false)," $","")," €",""), "")
)</f>
        <v>0</v>
      </c>
      <c r="AV820" s="17" t="str">
        <f t="shared" si="17"/>
        <v/>
      </c>
      <c r="AW820" s="1">
        <f>value(IFERROR(SUBSTITUTE(SUBSTITUTE(VLOOKUP($A820,'Quarterly Pipeline vs Target Pi'!$A:$AP,41,false)," $","")," €",""), "")
)</f>
        <v>0</v>
      </c>
      <c r="AX820" s="1">
        <f>value(IFERROR(SUBSTITUTE(SUBSTITUTE(VLOOKUP($A820,'Quarterly Pipeline vs Target Pi'!$A:$AP,42,false)," $","")," €",""), "")
)</f>
        <v>0</v>
      </c>
      <c r="AY820" s="17" t="str">
        <f t="shared" si="18"/>
        <v/>
      </c>
      <c r="AZ820" s="1">
        <f t="shared" ref="AZ820:BA820" si="1542">sum(AN820,AQ820,AT820,AW820)</f>
        <v>0</v>
      </c>
      <c r="BA820" s="1">
        <f t="shared" si="1542"/>
        <v>0</v>
      </c>
      <c r="BB820" s="17" t="str">
        <f t="shared" si="20"/>
        <v/>
      </c>
    </row>
    <row r="821">
      <c r="I821" s="17"/>
      <c r="L821" s="17"/>
      <c r="O821" s="17"/>
      <c r="X821" s="17"/>
      <c r="AA821" s="17"/>
      <c r="AD821" s="19"/>
      <c r="AG821" s="19"/>
      <c r="AJ821" s="19"/>
      <c r="AM821" s="19"/>
      <c r="AN821" s="1">
        <f>value(IFERROR(SUBSTITUTE(SUBSTITUTE(VLOOKUP($A821,'Quarterly Pipeline vs Target Pi'!$A:$AP,26,false)," $","")," €",""), "")
)</f>
        <v>0</v>
      </c>
      <c r="AO821" s="1">
        <f>value(IFERROR(SUBSTITUTE(SUBSTITUTE(VLOOKUP($A821,'Quarterly Pipeline vs Target Pi'!$A:$AP,27,false)," $","")," €",""), "")
)</f>
        <v>0</v>
      </c>
      <c r="AP821" s="17" t="str">
        <f t="shared" si="15"/>
        <v/>
      </c>
      <c r="AQ821" s="1">
        <f>value(IFERROR(SUBSTITUTE(SUBSTITUTE(VLOOKUP($A821,'Quarterly Pipeline vs Target Pi'!$A:$AP,31,false)," $","")," €",""), "")
)</f>
        <v>0</v>
      </c>
      <c r="AR821" s="1">
        <f>value(IFERROR(SUBSTITUTE(SUBSTITUTE(VLOOKUP($A821,'Quarterly Pipeline vs Target Pi'!$A:$AP,32,false)," $","")," €",""), "")
)</f>
        <v>0</v>
      </c>
      <c r="AS821" s="17" t="str">
        <f t="shared" si="16"/>
        <v/>
      </c>
      <c r="AT821" s="1">
        <f>value(IFERROR(SUBSTITUTE(SUBSTITUTE(VLOOKUP($A821,'Quarterly Pipeline vs Target Pi'!$A:$AP,36,false)," $","")," €",""), "")
)</f>
        <v>0</v>
      </c>
      <c r="AU821" s="1">
        <f>value(IFERROR(SUBSTITUTE(SUBSTITUTE(VLOOKUP($A821,'Quarterly Pipeline vs Target Pi'!$A:$AP,37,false)," $","")," €",""), "")
)</f>
        <v>0</v>
      </c>
      <c r="AV821" s="17" t="str">
        <f t="shared" si="17"/>
        <v/>
      </c>
      <c r="AW821" s="1">
        <f>value(IFERROR(SUBSTITUTE(SUBSTITUTE(VLOOKUP($A821,'Quarterly Pipeline vs Target Pi'!$A:$AP,41,false)," $","")," €",""), "")
)</f>
        <v>0</v>
      </c>
      <c r="AX821" s="1">
        <f>value(IFERROR(SUBSTITUTE(SUBSTITUTE(VLOOKUP($A821,'Quarterly Pipeline vs Target Pi'!$A:$AP,42,false)," $","")," €",""), "")
)</f>
        <v>0</v>
      </c>
      <c r="AY821" s="17" t="str">
        <f t="shared" si="18"/>
        <v/>
      </c>
      <c r="AZ821" s="1">
        <f t="shared" ref="AZ821:BA821" si="1543">sum(AN821,AQ821,AT821,AW821)</f>
        <v>0</v>
      </c>
      <c r="BA821" s="1">
        <f t="shared" si="1543"/>
        <v>0</v>
      </c>
      <c r="BB821" s="17" t="str">
        <f t="shared" si="20"/>
        <v/>
      </c>
    </row>
    <row r="822">
      <c r="I822" s="17"/>
      <c r="L822" s="17"/>
      <c r="O822" s="17"/>
      <c r="X822" s="17"/>
      <c r="AA822" s="17"/>
      <c r="AD822" s="19"/>
      <c r="AG822" s="19"/>
      <c r="AJ822" s="19"/>
      <c r="AM822" s="19"/>
      <c r="AN822" s="1">
        <f>value(IFERROR(SUBSTITUTE(SUBSTITUTE(VLOOKUP($A822,'Quarterly Pipeline vs Target Pi'!$A:$AP,26,false)," $","")," €",""), "")
)</f>
        <v>0</v>
      </c>
      <c r="AO822" s="1">
        <f>value(IFERROR(SUBSTITUTE(SUBSTITUTE(VLOOKUP($A822,'Quarterly Pipeline vs Target Pi'!$A:$AP,27,false)," $","")," €",""), "")
)</f>
        <v>0</v>
      </c>
      <c r="AP822" s="17" t="str">
        <f t="shared" si="15"/>
        <v/>
      </c>
      <c r="AQ822" s="1">
        <f>value(IFERROR(SUBSTITUTE(SUBSTITUTE(VLOOKUP($A822,'Quarterly Pipeline vs Target Pi'!$A:$AP,31,false)," $","")," €",""), "")
)</f>
        <v>0</v>
      </c>
      <c r="AR822" s="1">
        <f>value(IFERROR(SUBSTITUTE(SUBSTITUTE(VLOOKUP($A822,'Quarterly Pipeline vs Target Pi'!$A:$AP,32,false)," $","")," €",""), "")
)</f>
        <v>0</v>
      </c>
      <c r="AS822" s="17" t="str">
        <f t="shared" si="16"/>
        <v/>
      </c>
      <c r="AT822" s="1">
        <f>value(IFERROR(SUBSTITUTE(SUBSTITUTE(VLOOKUP($A822,'Quarterly Pipeline vs Target Pi'!$A:$AP,36,false)," $","")," €",""), "")
)</f>
        <v>0</v>
      </c>
      <c r="AU822" s="1">
        <f>value(IFERROR(SUBSTITUTE(SUBSTITUTE(VLOOKUP($A822,'Quarterly Pipeline vs Target Pi'!$A:$AP,37,false)," $","")," €",""), "")
)</f>
        <v>0</v>
      </c>
      <c r="AV822" s="17" t="str">
        <f t="shared" si="17"/>
        <v/>
      </c>
      <c r="AW822" s="1">
        <f>value(IFERROR(SUBSTITUTE(SUBSTITUTE(VLOOKUP($A822,'Quarterly Pipeline vs Target Pi'!$A:$AP,41,false)," $","")," €",""), "")
)</f>
        <v>0</v>
      </c>
      <c r="AX822" s="1">
        <f>value(IFERROR(SUBSTITUTE(SUBSTITUTE(VLOOKUP($A822,'Quarterly Pipeline vs Target Pi'!$A:$AP,42,false)," $","")," €",""), "")
)</f>
        <v>0</v>
      </c>
      <c r="AY822" s="17" t="str">
        <f t="shared" si="18"/>
        <v/>
      </c>
      <c r="AZ822" s="1">
        <f t="shared" ref="AZ822:BA822" si="1544">sum(AN822,AQ822,AT822,AW822)</f>
        <v>0</v>
      </c>
      <c r="BA822" s="1">
        <f t="shared" si="1544"/>
        <v>0</v>
      </c>
      <c r="BB822" s="17" t="str">
        <f t="shared" si="20"/>
        <v/>
      </c>
    </row>
    <row r="823">
      <c r="I823" s="17"/>
      <c r="L823" s="17"/>
      <c r="O823" s="17"/>
      <c r="X823" s="17"/>
      <c r="AA823" s="17"/>
      <c r="AD823" s="19"/>
      <c r="AG823" s="19"/>
      <c r="AJ823" s="19"/>
      <c r="AM823" s="19"/>
      <c r="AN823" s="1">
        <f>value(IFERROR(SUBSTITUTE(SUBSTITUTE(VLOOKUP($A823,'Quarterly Pipeline vs Target Pi'!$A:$AP,26,false)," $","")," €",""), "")
)</f>
        <v>0</v>
      </c>
      <c r="AO823" s="1">
        <f>value(IFERROR(SUBSTITUTE(SUBSTITUTE(VLOOKUP($A823,'Quarterly Pipeline vs Target Pi'!$A:$AP,27,false)," $","")," €",""), "")
)</f>
        <v>0</v>
      </c>
      <c r="AP823" s="17" t="str">
        <f t="shared" si="15"/>
        <v/>
      </c>
      <c r="AQ823" s="1">
        <f>value(IFERROR(SUBSTITUTE(SUBSTITUTE(VLOOKUP($A823,'Quarterly Pipeline vs Target Pi'!$A:$AP,31,false)," $","")," €",""), "")
)</f>
        <v>0</v>
      </c>
      <c r="AR823" s="1">
        <f>value(IFERROR(SUBSTITUTE(SUBSTITUTE(VLOOKUP($A823,'Quarterly Pipeline vs Target Pi'!$A:$AP,32,false)," $","")," €",""), "")
)</f>
        <v>0</v>
      </c>
      <c r="AS823" s="17" t="str">
        <f t="shared" si="16"/>
        <v/>
      </c>
      <c r="AT823" s="1">
        <f>value(IFERROR(SUBSTITUTE(SUBSTITUTE(VLOOKUP($A823,'Quarterly Pipeline vs Target Pi'!$A:$AP,36,false)," $","")," €",""), "")
)</f>
        <v>0</v>
      </c>
      <c r="AU823" s="1">
        <f>value(IFERROR(SUBSTITUTE(SUBSTITUTE(VLOOKUP($A823,'Quarterly Pipeline vs Target Pi'!$A:$AP,37,false)," $","")," €",""), "")
)</f>
        <v>0</v>
      </c>
      <c r="AV823" s="17" t="str">
        <f t="shared" si="17"/>
        <v/>
      </c>
      <c r="AW823" s="1">
        <f>value(IFERROR(SUBSTITUTE(SUBSTITUTE(VLOOKUP($A823,'Quarterly Pipeline vs Target Pi'!$A:$AP,41,false)," $","")," €",""), "")
)</f>
        <v>0</v>
      </c>
      <c r="AX823" s="1">
        <f>value(IFERROR(SUBSTITUTE(SUBSTITUTE(VLOOKUP($A823,'Quarterly Pipeline vs Target Pi'!$A:$AP,42,false)," $","")," €",""), "")
)</f>
        <v>0</v>
      </c>
      <c r="AY823" s="17" t="str">
        <f t="shared" si="18"/>
        <v/>
      </c>
      <c r="AZ823" s="1">
        <f t="shared" ref="AZ823:BA823" si="1545">sum(AN823,AQ823,AT823,AW823)</f>
        <v>0</v>
      </c>
      <c r="BA823" s="1">
        <f t="shared" si="1545"/>
        <v>0</v>
      </c>
      <c r="BB823" s="17" t="str">
        <f t="shared" si="20"/>
        <v/>
      </c>
    </row>
    <row r="824">
      <c r="I824" s="17"/>
      <c r="L824" s="17"/>
      <c r="O824" s="17"/>
      <c r="X824" s="17"/>
      <c r="AA824" s="17"/>
      <c r="AD824" s="19"/>
      <c r="AG824" s="19"/>
      <c r="AJ824" s="19"/>
      <c r="AM824" s="19"/>
      <c r="AN824" s="1">
        <f>value(IFERROR(SUBSTITUTE(SUBSTITUTE(VLOOKUP($A824,'Quarterly Pipeline vs Target Pi'!$A:$AP,26,false)," $","")," €",""), "")
)</f>
        <v>0</v>
      </c>
      <c r="AO824" s="1">
        <f>value(IFERROR(SUBSTITUTE(SUBSTITUTE(VLOOKUP($A824,'Quarterly Pipeline vs Target Pi'!$A:$AP,27,false)," $","")," €",""), "")
)</f>
        <v>0</v>
      </c>
      <c r="AP824" s="17" t="str">
        <f t="shared" si="15"/>
        <v/>
      </c>
      <c r="AQ824" s="1">
        <f>value(IFERROR(SUBSTITUTE(SUBSTITUTE(VLOOKUP($A824,'Quarterly Pipeline vs Target Pi'!$A:$AP,31,false)," $","")," €",""), "")
)</f>
        <v>0</v>
      </c>
      <c r="AR824" s="1">
        <f>value(IFERROR(SUBSTITUTE(SUBSTITUTE(VLOOKUP($A824,'Quarterly Pipeline vs Target Pi'!$A:$AP,32,false)," $","")," €",""), "")
)</f>
        <v>0</v>
      </c>
      <c r="AS824" s="17" t="str">
        <f t="shared" si="16"/>
        <v/>
      </c>
      <c r="AT824" s="1">
        <f>value(IFERROR(SUBSTITUTE(SUBSTITUTE(VLOOKUP($A824,'Quarterly Pipeline vs Target Pi'!$A:$AP,36,false)," $","")," €",""), "")
)</f>
        <v>0</v>
      </c>
      <c r="AU824" s="1">
        <f>value(IFERROR(SUBSTITUTE(SUBSTITUTE(VLOOKUP($A824,'Quarterly Pipeline vs Target Pi'!$A:$AP,37,false)," $","")," €",""), "")
)</f>
        <v>0</v>
      </c>
      <c r="AV824" s="17" t="str">
        <f t="shared" si="17"/>
        <v/>
      </c>
      <c r="AW824" s="1">
        <f>value(IFERROR(SUBSTITUTE(SUBSTITUTE(VLOOKUP($A824,'Quarterly Pipeline vs Target Pi'!$A:$AP,41,false)," $","")," €",""), "")
)</f>
        <v>0</v>
      </c>
      <c r="AX824" s="1">
        <f>value(IFERROR(SUBSTITUTE(SUBSTITUTE(VLOOKUP($A824,'Quarterly Pipeline vs Target Pi'!$A:$AP,42,false)," $","")," €",""), "")
)</f>
        <v>0</v>
      </c>
      <c r="AY824" s="17" t="str">
        <f t="shared" si="18"/>
        <v/>
      </c>
      <c r="AZ824" s="1">
        <f t="shared" ref="AZ824:BA824" si="1546">sum(AN824,AQ824,AT824,AW824)</f>
        <v>0</v>
      </c>
      <c r="BA824" s="1">
        <f t="shared" si="1546"/>
        <v>0</v>
      </c>
      <c r="BB824" s="17" t="str">
        <f t="shared" si="20"/>
        <v/>
      </c>
    </row>
    <row r="825">
      <c r="I825" s="17"/>
      <c r="L825" s="17"/>
      <c r="O825" s="17"/>
      <c r="X825" s="17"/>
      <c r="AA825" s="17"/>
      <c r="AD825" s="19"/>
      <c r="AG825" s="19"/>
      <c r="AJ825" s="19"/>
      <c r="AM825" s="19"/>
      <c r="AN825" s="1">
        <f>value(IFERROR(SUBSTITUTE(SUBSTITUTE(VLOOKUP($A825,'Quarterly Pipeline vs Target Pi'!$A:$AP,26,false)," $","")," €",""), "")
)</f>
        <v>0</v>
      </c>
      <c r="AO825" s="1">
        <f>value(IFERROR(SUBSTITUTE(SUBSTITUTE(VLOOKUP($A825,'Quarterly Pipeline vs Target Pi'!$A:$AP,27,false)," $","")," €",""), "")
)</f>
        <v>0</v>
      </c>
      <c r="AP825" s="17" t="str">
        <f t="shared" si="15"/>
        <v/>
      </c>
      <c r="AQ825" s="1">
        <f>value(IFERROR(SUBSTITUTE(SUBSTITUTE(VLOOKUP($A825,'Quarterly Pipeline vs Target Pi'!$A:$AP,31,false)," $","")," €",""), "")
)</f>
        <v>0</v>
      </c>
      <c r="AR825" s="1">
        <f>value(IFERROR(SUBSTITUTE(SUBSTITUTE(VLOOKUP($A825,'Quarterly Pipeline vs Target Pi'!$A:$AP,32,false)," $","")," €",""), "")
)</f>
        <v>0</v>
      </c>
      <c r="AS825" s="17" t="str">
        <f t="shared" si="16"/>
        <v/>
      </c>
      <c r="AT825" s="1">
        <f>value(IFERROR(SUBSTITUTE(SUBSTITUTE(VLOOKUP($A825,'Quarterly Pipeline vs Target Pi'!$A:$AP,36,false)," $","")," €",""), "")
)</f>
        <v>0</v>
      </c>
      <c r="AU825" s="1">
        <f>value(IFERROR(SUBSTITUTE(SUBSTITUTE(VLOOKUP($A825,'Quarterly Pipeline vs Target Pi'!$A:$AP,37,false)," $","")," €",""), "")
)</f>
        <v>0</v>
      </c>
      <c r="AV825" s="17" t="str">
        <f t="shared" si="17"/>
        <v/>
      </c>
      <c r="AW825" s="1">
        <f>value(IFERROR(SUBSTITUTE(SUBSTITUTE(VLOOKUP($A825,'Quarterly Pipeline vs Target Pi'!$A:$AP,41,false)," $","")," €",""), "")
)</f>
        <v>0</v>
      </c>
      <c r="AX825" s="1">
        <f>value(IFERROR(SUBSTITUTE(SUBSTITUTE(VLOOKUP($A825,'Quarterly Pipeline vs Target Pi'!$A:$AP,42,false)," $","")," €",""), "")
)</f>
        <v>0</v>
      </c>
      <c r="AY825" s="17" t="str">
        <f t="shared" si="18"/>
        <v/>
      </c>
      <c r="AZ825" s="1">
        <f t="shared" ref="AZ825:BA825" si="1547">sum(AN825,AQ825,AT825,AW825)</f>
        <v>0</v>
      </c>
      <c r="BA825" s="1">
        <f t="shared" si="1547"/>
        <v>0</v>
      </c>
      <c r="BB825" s="17" t="str">
        <f t="shared" si="20"/>
        <v/>
      </c>
    </row>
    <row r="826">
      <c r="I826" s="17"/>
      <c r="L826" s="17"/>
      <c r="O826" s="17"/>
      <c r="X826" s="17"/>
      <c r="AA826" s="17"/>
      <c r="AD826" s="19"/>
      <c r="AG826" s="19"/>
      <c r="AJ826" s="19"/>
      <c r="AM826" s="19"/>
      <c r="AN826" s="1">
        <f>value(IFERROR(SUBSTITUTE(SUBSTITUTE(VLOOKUP($A826,'Quarterly Pipeline vs Target Pi'!$A:$AP,26,false)," $","")," €",""), "")
)</f>
        <v>0</v>
      </c>
      <c r="AO826" s="1">
        <f>value(IFERROR(SUBSTITUTE(SUBSTITUTE(VLOOKUP($A826,'Quarterly Pipeline vs Target Pi'!$A:$AP,27,false)," $","")," €",""), "")
)</f>
        <v>0</v>
      </c>
      <c r="AP826" s="17" t="str">
        <f t="shared" si="15"/>
        <v/>
      </c>
      <c r="AQ826" s="1">
        <f>value(IFERROR(SUBSTITUTE(SUBSTITUTE(VLOOKUP($A826,'Quarterly Pipeline vs Target Pi'!$A:$AP,31,false)," $","")," €",""), "")
)</f>
        <v>0</v>
      </c>
      <c r="AR826" s="1">
        <f>value(IFERROR(SUBSTITUTE(SUBSTITUTE(VLOOKUP($A826,'Quarterly Pipeline vs Target Pi'!$A:$AP,32,false)," $","")," €",""), "")
)</f>
        <v>0</v>
      </c>
      <c r="AS826" s="17" t="str">
        <f t="shared" si="16"/>
        <v/>
      </c>
      <c r="AT826" s="1">
        <f>value(IFERROR(SUBSTITUTE(SUBSTITUTE(VLOOKUP($A826,'Quarterly Pipeline vs Target Pi'!$A:$AP,36,false)," $","")," €",""), "")
)</f>
        <v>0</v>
      </c>
      <c r="AU826" s="1">
        <f>value(IFERROR(SUBSTITUTE(SUBSTITUTE(VLOOKUP($A826,'Quarterly Pipeline vs Target Pi'!$A:$AP,37,false)," $","")," €",""), "")
)</f>
        <v>0</v>
      </c>
      <c r="AV826" s="17" t="str">
        <f t="shared" si="17"/>
        <v/>
      </c>
      <c r="AW826" s="1">
        <f>value(IFERROR(SUBSTITUTE(SUBSTITUTE(VLOOKUP($A826,'Quarterly Pipeline vs Target Pi'!$A:$AP,41,false)," $","")," €",""), "")
)</f>
        <v>0</v>
      </c>
      <c r="AX826" s="1">
        <f>value(IFERROR(SUBSTITUTE(SUBSTITUTE(VLOOKUP($A826,'Quarterly Pipeline vs Target Pi'!$A:$AP,42,false)," $","")," €",""), "")
)</f>
        <v>0</v>
      </c>
      <c r="AY826" s="17" t="str">
        <f t="shared" si="18"/>
        <v/>
      </c>
      <c r="AZ826" s="1">
        <f t="shared" ref="AZ826:BA826" si="1548">sum(AN826,AQ826,AT826,AW826)</f>
        <v>0</v>
      </c>
      <c r="BA826" s="1">
        <f t="shared" si="1548"/>
        <v>0</v>
      </c>
      <c r="BB826" s="17" t="str">
        <f t="shared" si="20"/>
        <v/>
      </c>
    </row>
    <row r="827">
      <c r="I827" s="17"/>
      <c r="L827" s="17"/>
      <c r="O827" s="17"/>
      <c r="X827" s="17"/>
      <c r="AA827" s="17"/>
      <c r="AD827" s="19"/>
      <c r="AG827" s="19"/>
      <c r="AJ827" s="19"/>
      <c r="AM827" s="19"/>
      <c r="AN827" s="1">
        <f>value(IFERROR(SUBSTITUTE(SUBSTITUTE(VLOOKUP($A827,'Quarterly Pipeline vs Target Pi'!$A:$AP,26,false)," $","")," €",""), "")
)</f>
        <v>0</v>
      </c>
      <c r="AO827" s="1">
        <f>value(IFERROR(SUBSTITUTE(SUBSTITUTE(VLOOKUP($A827,'Quarterly Pipeline vs Target Pi'!$A:$AP,27,false)," $","")," €",""), "")
)</f>
        <v>0</v>
      </c>
      <c r="AP827" s="17" t="str">
        <f t="shared" si="15"/>
        <v/>
      </c>
      <c r="AQ827" s="1">
        <f>value(IFERROR(SUBSTITUTE(SUBSTITUTE(VLOOKUP($A827,'Quarterly Pipeline vs Target Pi'!$A:$AP,31,false)," $","")," €",""), "")
)</f>
        <v>0</v>
      </c>
      <c r="AR827" s="1">
        <f>value(IFERROR(SUBSTITUTE(SUBSTITUTE(VLOOKUP($A827,'Quarterly Pipeline vs Target Pi'!$A:$AP,32,false)," $","")," €",""), "")
)</f>
        <v>0</v>
      </c>
      <c r="AS827" s="17" t="str">
        <f t="shared" si="16"/>
        <v/>
      </c>
      <c r="AT827" s="1">
        <f>value(IFERROR(SUBSTITUTE(SUBSTITUTE(VLOOKUP($A827,'Quarterly Pipeline vs Target Pi'!$A:$AP,36,false)," $","")," €",""), "")
)</f>
        <v>0</v>
      </c>
      <c r="AU827" s="1">
        <f>value(IFERROR(SUBSTITUTE(SUBSTITUTE(VLOOKUP($A827,'Quarterly Pipeline vs Target Pi'!$A:$AP,37,false)," $","")," €",""), "")
)</f>
        <v>0</v>
      </c>
      <c r="AV827" s="17" t="str">
        <f t="shared" si="17"/>
        <v/>
      </c>
      <c r="AW827" s="1">
        <f>value(IFERROR(SUBSTITUTE(SUBSTITUTE(VLOOKUP($A827,'Quarterly Pipeline vs Target Pi'!$A:$AP,41,false)," $","")," €",""), "")
)</f>
        <v>0</v>
      </c>
      <c r="AX827" s="1">
        <f>value(IFERROR(SUBSTITUTE(SUBSTITUTE(VLOOKUP($A827,'Quarterly Pipeline vs Target Pi'!$A:$AP,42,false)," $","")," €",""), "")
)</f>
        <v>0</v>
      </c>
      <c r="AY827" s="17" t="str">
        <f t="shared" si="18"/>
        <v/>
      </c>
      <c r="AZ827" s="1">
        <f t="shared" ref="AZ827:BA827" si="1549">sum(AN827,AQ827,AT827,AW827)</f>
        <v>0</v>
      </c>
      <c r="BA827" s="1">
        <f t="shared" si="1549"/>
        <v>0</v>
      </c>
      <c r="BB827" s="17" t="str">
        <f t="shared" si="20"/>
        <v/>
      </c>
    </row>
    <row r="828">
      <c r="I828" s="17"/>
      <c r="L828" s="17"/>
      <c r="O828" s="17"/>
      <c r="X828" s="17"/>
      <c r="AA828" s="17"/>
      <c r="AD828" s="19"/>
      <c r="AG828" s="19"/>
      <c r="AJ828" s="19"/>
      <c r="AM828" s="19"/>
      <c r="AN828" s="1">
        <f>value(IFERROR(SUBSTITUTE(SUBSTITUTE(VLOOKUP($A828,'Quarterly Pipeline vs Target Pi'!$A:$AP,26,false)," $","")," €",""), "")
)</f>
        <v>0</v>
      </c>
      <c r="AO828" s="1">
        <f>value(IFERROR(SUBSTITUTE(SUBSTITUTE(VLOOKUP($A828,'Quarterly Pipeline vs Target Pi'!$A:$AP,27,false)," $","")," €",""), "")
)</f>
        <v>0</v>
      </c>
      <c r="AP828" s="17" t="str">
        <f t="shared" si="15"/>
        <v/>
      </c>
      <c r="AQ828" s="1">
        <f>value(IFERROR(SUBSTITUTE(SUBSTITUTE(VLOOKUP($A828,'Quarterly Pipeline vs Target Pi'!$A:$AP,31,false)," $","")," €",""), "")
)</f>
        <v>0</v>
      </c>
      <c r="AR828" s="1">
        <f>value(IFERROR(SUBSTITUTE(SUBSTITUTE(VLOOKUP($A828,'Quarterly Pipeline vs Target Pi'!$A:$AP,32,false)," $","")," €",""), "")
)</f>
        <v>0</v>
      </c>
      <c r="AS828" s="17" t="str">
        <f t="shared" si="16"/>
        <v/>
      </c>
      <c r="AT828" s="1">
        <f>value(IFERROR(SUBSTITUTE(SUBSTITUTE(VLOOKUP($A828,'Quarterly Pipeline vs Target Pi'!$A:$AP,36,false)," $","")," €",""), "")
)</f>
        <v>0</v>
      </c>
      <c r="AU828" s="1">
        <f>value(IFERROR(SUBSTITUTE(SUBSTITUTE(VLOOKUP($A828,'Quarterly Pipeline vs Target Pi'!$A:$AP,37,false)," $","")," €",""), "")
)</f>
        <v>0</v>
      </c>
      <c r="AV828" s="17" t="str">
        <f t="shared" si="17"/>
        <v/>
      </c>
      <c r="AW828" s="1">
        <f>value(IFERROR(SUBSTITUTE(SUBSTITUTE(VLOOKUP($A828,'Quarterly Pipeline vs Target Pi'!$A:$AP,41,false)," $","")," €",""), "")
)</f>
        <v>0</v>
      </c>
      <c r="AX828" s="1">
        <f>value(IFERROR(SUBSTITUTE(SUBSTITUTE(VLOOKUP($A828,'Quarterly Pipeline vs Target Pi'!$A:$AP,42,false)," $","")," €",""), "")
)</f>
        <v>0</v>
      </c>
      <c r="AY828" s="17" t="str">
        <f t="shared" si="18"/>
        <v/>
      </c>
      <c r="AZ828" s="1">
        <f t="shared" ref="AZ828:BA828" si="1550">sum(AN828,AQ828,AT828,AW828)</f>
        <v>0</v>
      </c>
      <c r="BA828" s="1">
        <f t="shared" si="1550"/>
        <v>0</v>
      </c>
      <c r="BB828" s="17" t="str">
        <f t="shared" si="20"/>
        <v/>
      </c>
    </row>
    <row r="829">
      <c r="I829" s="17"/>
      <c r="L829" s="17"/>
      <c r="O829" s="17"/>
      <c r="X829" s="17"/>
      <c r="AA829" s="17"/>
      <c r="AD829" s="19"/>
      <c r="AG829" s="19"/>
      <c r="AJ829" s="19"/>
      <c r="AM829" s="19"/>
      <c r="AN829" s="1">
        <f>value(IFERROR(SUBSTITUTE(SUBSTITUTE(VLOOKUP($A829,'Quarterly Pipeline vs Target Pi'!$A:$AP,26,false)," $","")," €",""), "")
)</f>
        <v>0</v>
      </c>
      <c r="AO829" s="1">
        <f>value(IFERROR(SUBSTITUTE(SUBSTITUTE(VLOOKUP($A829,'Quarterly Pipeline vs Target Pi'!$A:$AP,27,false)," $","")," €",""), "")
)</f>
        <v>0</v>
      </c>
      <c r="AP829" s="17" t="str">
        <f t="shared" si="15"/>
        <v/>
      </c>
      <c r="AQ829" s="1">
        <f>value(IFERROR(SUBSTITUTE(SUBSTITUTE(VLOOKUP($A829,'Quarterly Pipeline vs Target Pi'!$A:$AP,31,false)," $","")," €",""), "")
)</f>
        <v>0</v>
      </c>
      <c r="AR829" s="1">
        <f>value(IFERROR(SUBSTITUTE(SUBSTITUTE(VLOOKUP($A829,'Quarterly Pipeline vs Target Pi'!$A:$AP,32,false)," $","")," €",""), "")
)</f>
        <v>0</v>
      </c>
      <c r="AS829" s="17" t="str">
        <f t="shared" si="16"/>
        <v/>
      </c>
      <c r="AT829" s="1">
        <f>value(IFERROR(SUBSTITUTE(SUBSTITUTE(VLOOKUP($A829,'Quarterly Pipeline vs Target Pi'!$A:$AP,36,false)," $","")," €",""), "")
)</f>
        <v>0</v>
      </c>
      <c r="AU829" s="1">
        <f>value(IFERROR(SUBSTITUTE(SUBSTITUTE(VLOOKUP($A829,'Quarterly Pipeline vs Target Pi'!$A:$AP,37,false)," $","")," €",""), "")
)</f>
        <v>0</v>
      </c>
      <c r="AV829" s="17" t="str">
        <f t="shared" si="17"/>
        <v/>
      </c>
      <c r="AW829" s="1">
        <f>value(IFERROR(SUBSTITUTE(SUBSTITUTE(VLOOKUP($A829,'Quarterly Pipeline vs Target Pi'!$A:$AP,41,false)," $","")," €",""), "")
)</f>
        <v>0</v>
      </c>
      <c r="AX829" s="1">
        <f>value(IFERROR(SUBSTITUTE(SUBSTITUTE(VLOOKUP($A829,'Quarterly Pipeline vs Target Pi'!$A:$AP,42,false)," $","")," €",""), "")
)</f>
        <v>0</v>
      </c>
      <c r="AY829" s="17" t="str">
        <f t="shared" si="18"/>
        <v/>
      </c>
      <c r="AZ829" s="1">
        <f t="shared" ref="AZ829:BA829" si="1551">sum(AN829,AQ829,AT829,AW829)</f>
        <v>0</v>
      </c>
      <c r="BA829" s="1">
        <f t="shared" si="1551"/>
        <v>0</v>
      </c>
      <c r="BB829" s="17" t="str">
        <f t="shared" si="20"/>
        <v/>
      </c>
    </row>
    <row r="830">
      <c r="I830" s="17"/>
      <c r="L830" s="17"/>
      <c r="O830" s="17"/>
      <c r="X830" s="17"/>
      <c r="AA830" s="17"/>
      <c r="AD830" s="19"/>
      <c r="AG830" s="19"/>
      <c r="AJ830" s="19"/>
      <c r="AM830" s="19"/>
      <c r="AN830" s="1">
        <f>value(IFERROR(SUBSTITUTE(SUBSTITUTE(VLOOKUP($A830,'Quarterly Pipeline vs Target Pi'!$A:$AP,26,false)," $","")," €",""), "")
)</f>
        <v>0</v>
      </c>
      <c r="AO830" s="1">
        <f>value(IFERROR(SUBSTITUTE(SUBSTITUTE(VLOOKUP($A830,'Quarterly Pipeline vs Target Pi'!$A:$AP,27,false)," $","")," €",""), "")
)</f>
        <v>0</v>
      </c>
      <c r="AP830" s="17" t="str">
        <f t="shared" si="15"/>
        <v/>
      </c>
      <c r="AQ830" s="1">
        <f>value(IFERROR(SUBSTITUTE(SUBSTITUTE(VLOOKUP($A830,'Quarterly Pipeline vs Target Pi'!$A:$AP,31,false)," $","")," €",""), "")
)</f>
        <v>0</v>
      </c>
      <c r="AR830" s="1">
        <f>value(IFERROR(SUBSTITUTE(SUBSTITUTE(VLOOKUP($A830,'Quarterly Pipeline vs Target Pi'!$A:$AP,32,false)," $","")," €",""), "")
)</f>
        <v>0</v>
      </c>
      <c r="AS830" s="17" t="str">
        <f t="shared" si="16"/>
        <v/>
      </c>
      <c r="AT830" s="1">
        <f>value(IFERROR(SUBSTITUTE(SUBSTITUTE(VLOOKUP($A830,'Quarterly Pipeline vs Target Pi'!$A:$AP,36,false)," $","")," €",""), "")
)</f>
        <v>0</v>
      </c>
      <c r="AU830" s="1">
        <f>value(IFERROR(SUBSTITUTE(SUBSTITUTE(VLOOKUP($A830,'Quarterly Pipeline vs Target Pi'!$A:$AP,37,false)," $","")," €",""), "")
)</f>
        <v>0</v>
      </c>
      <c r="AV830" s="17" t="str">
        <f t="shared" si="17"/>
        <v/>
      </c>
      <c r="AW830" s="1">
        <f>value(IFERROR(SUBSTITUTE(SUBSTITUTE(VLOOKUP($A830,'Quarterly Pipeline vs Target Pi'!$A:$AP,41,false)," $","")," €",""), "")
)</f>
        <v>0</v>
      </c>
      <c r="AX830" s="1">
        <f>value(IFERROR(SUBSTITUTE(SUBSTITUTE(VLOOKUP($A830,'Quarterly Pipeline vs Target Pi'!$A:$AP,42,false)," $","")," €",""), "")
)</f>
        <v>0</v>
      </c>
      <c r="AY830" s="17" t="str">
        <f t="shared" si="18"/>
        <v/>
      </c>
      <c r="AZ830" s="1">
        <f t="shared" ref="AZ830:BA830" si="1552">sum(AN830,AQ830,AT830,AW830)</f>
        <v>0</v>
      </c>
      <c r="BA830" s="1">
        <f t="shared" si="1552"/>
        <v>0</v>
      </c>
      <c r="BB830" s="17" t="str">
        <f t="shared" si="20"/>
        <v/>
      </c>
    </row>
    <row r="831">
      <c r="I831" s="17"/>
      <c r="L831" s="17"/>
      <c r="O831" s="17"/>
      <c r="X831" s="17"/>
      <c r="AA831" s="17"/>
      <c r="AD831" s="19"/>
      <c r="AG831" s="19"/>
      <c r="AJ831" s="19"/>
      <c r="AM831" s="19"/>
      <c r="AN831" s="1">
        <f>value(IFERROR(SUBSTITUTE(SUBSTITUTE(VLOOKUP($A831,'Quarterly Pipeline vs Target Pi'!$A:$AP,26,false)," $","")," €",""), "")
)</f>
        <v>0</v>
      </c>
      <c r="AO831" s="1">
        <f>value(IFERROR(SUBSTITUTE(SUBSTITUTE(VLOOKUP($A831,'Quarterly Pipeline vs Target Pi'!$A:$AP,27,false)," $","")," €",""), "")
)</f>
        <v>0</v>
      </c>
      <c r="AP831" s="17" t="str">
        <f t="shared" si="15"/>
        <v/>
      </c>
      <c r="AQ831" s="1">
        <f>value(IFERROR(SUBSTITUTE(SUBSTITUTE(VLOOKUP($A831,'Quarterly Pipeline vs Target Pi'!$A:$AP,31,false)," $","")," €",""), "")
)</f>
        <v>0</v>
      </c>
      <c r="AR831" s="1">
        <f>value(IFERROR(SUBSTITUTE(SUBSTITUTE(VLOOKUP($A831,'Quarterly Pipeline vs Target Pi'!$A:$AP,32,false)," $","")," €",""), "")
)</f>
        <v>0</v>
      </c>
      <c r="AS831" s="17" t="str">
        <f t="shared" si="16"/>
        <v/>
      </c>
      <c r="AT831" s="1">
        <f>value(IFERROR(SUBSTITUTE(SUBSTITUTE(VLOOKUP($A831,'Quarterly Pipeline vs Target Pi'!$A:$AP,36,false)," $","")," €",""), "")
)</f>
        <v>0</v>
      </c>
      <c r="AU831" s="1">
        <f>value(IFERROR(SUBSTITUTE(SUBSTITUTE(VLOOKUP($A831,'Quarterly Pipeline vs Target Pi'!$A:$AP,37,false)," $","")," €",""), "")
)</f>
        <v>0</v>
      </c>
      <c r="AV831" s="17" t="str">
        <f t="shared" si="17"/>
        <v/>
      </c>
      <c r="AW831" s="1">
        <f>value(IFERROR(SUBSTITUTE(SUBSTITUTE(VLOOKUP($A831,'Quarterly Pipeline vs Target Pi'!$A:$AP,41,false)," $","")," €",""), "")
)</f>
        <v>0</v>
      </c>
      <c r="AX831" s="1">
        <f>value(IFERROR(SUBSTITUTE(SUBSTITUTE(VLOOKUP($A831,'Quarterly Pipeline vs Target Pi'!$A:$AP,42,false)," $","")," €",""), "")
)</f>
        <v>0</v>
      </c>
      <c r="AY831" s="17" t="str">
        <f t="shared" si="18"/>
        <v/>
      </c>
      <c r="AZ831" s="1">
        <f t="shared" ref="AZ831:BA831" si="1553">sum(AN831,AQ831,AT831,AW831)</f>
        <v>0</v>
      </c>
      <c r="BA831" s="1">
        <f t="shared" si="1553"/>
        <v>0</v>
      </c>
      <c r="BB831" s="17" t="str">
        <f t="shared" si="20"/>
        <v/>
      </c>
    </row>
    <row r="832">
      <c r="I832" s="17"/>
      <c r="L832" s="17"/>
      <c r="O832" s="17"/>
      <c r="X832" s="17"/>
      <c r="AA832" s="17"/>
      <c r="AD832" s="19"/>
      <c r="AG832" s="19"/>
      <c r="AJ832" s="19"/>
      <c r="AM832" s="19"/>
      <c r="AN832" s="1">
        <f>value(IFERROR(SUBSTITUTE(SUBSTITUTE(VLOOKUP($A832,'Quarterly Pipeline vs Target Pi'!$A:$AP,26,false)," $","")," €",""), "")
)</f>
        <v>0</v>
      </c>
      <c r="AO832" s="1">
        <f>value(IFERROR(SUBSTITUTE(SUBSTITUTE(VLOOKUP($A832,'Quarterly Pipeline vs Target Pi'!$A:$AP,27,false)," $","")," €",""), "")
)</f>
        <v>0</v>
      </c>
      <c r="AP832" s="17" t="str">
        <f t="shared" si="15"/>
        <v/>
      </c>
      <c r="AQ832" s="1">
        <f>value(IFERROR(SUBSTITUTE(SUBSTITUTE(VLOOKUP($A832,'Quarterly Pipeline vs Target Pi'!$A:$AP,31,false)," $","")," €",""), "")
)</f>
        <v>0</v>
      </c>
      <c r="AR832" s="1">
        <f>value(IFERROR(SUBSTITUTE(SUBSTITUTE(VLOOKUP($A832,'Quarterly Pipeline vs Target Pi'!$A:$AP,32,false)," $","")," €",""), "")
)</f>
        <v>0</v>
      </c>
      <c r="AS832" s="17" t="str">
        <f t="shared" si="16"/>
        <v/>
      </c>
      <c r="AT832" s="1">
        <f>value(IFERROR(SUBSTITUTE(SUBSTITUTE(VLOOKUP($A832,'Quarterly Pipeline vs Target Pi'!$A:$AP,36,false)," $","")," €",""), "")
)</f>
        <v>0</v>
      </c>
      <c r="AU832" s="1">
        <f>value(IFERROR(SUBSTITUTE(SUBSTITUTE(VLOOKUP($A832,'Quarterly Pipeline vs Target Pi'!$A:$AP,37,false)," $","")," €",""), "")
)</f>
        <v>0</v>
      </c>
      <c r="AV832" s="17" t="str">
        <f t="shared" si="17"/>
        <v/>
      </c>
      <c r="AW832" s="1">
        <f>value(IFERROR(SUBSTITUTE(SUBSTITUTE(VLOOKUP($A832,'Quarterly Pipeline vs Target Pi'!$A:$AP,41,false)," $","")," €",""), "")
)</f>
        <v>0</v>
      </c>
      <c r="AX832" s="1">
        <f>value(IFERROR(SUBSTITUTE(SUBSTITUTE(VLOOKUP($A832,'Quarterly Pipeline vs Target Pi'!$A:$AP,42,false)," $","")," €",""), "")
)</f>
        <v>0</v>
      </c>
      <c r="AY832" s="17" t="str">
        <f t="shared" si="18"/>
        <v/>
      </c>
      <c r="AZ832" s="1">
        <f t="shared" ref="AZ832:BA832" si="1554">sum(AN832,AQ832,AT832,AW832)</f>
        <v>0</v>
      </c>
      <c r="BA832" s="1">
        <f t="shared" si="1554"/>
        <v>0</v>
      </c>
      <c r="BB832" s="17" t="str">
        <f t="shared" si="20"/>
        <v/>
      </c>
    </row>
    <row r="833">
      <c r="I833" s="17"/>
      <c r="L833" s="17"/>
      <c r="O833" s="17"/>
      <c r="X833" s="17"/>
      <c r="AA833" s="17"/>
      <c r="AD833" s="19"/>
      <c r="AG833" s="19"/>
      <c r="AJ833" s="19"/>
      <c r="AM833" s="19"/>
      <c r="AN833" s="1">
        <f>value(IFERROR(SUBSTITUTE(SUBSTITUTE(VLOOKUP($A833,'Quarterly Pipeline vs Target Pi'!$A:$AP,26,false)," $","")," €",""), "")
)</f>
        <v>0</v>
      </c>
      <c r="AO833" s="1">
        <f>value(IFERROR(SUBSTITUTE(SUBSTITUTE(VLOOKUP($A833,'Quarterly Pipeline vs Target Pi'!$A:$AP,27,false)," $","")," €",""), "")
)</f>
        <v>0</v>
      </c>
      <c r="AP833" s="17" t="str">
        <f t="shared" si="15"/>
        <v/>
      </c>
      <c r="AQ833" s="1">
        <f>value(IFERROR(SUBSTITUTE(SUBSTITUTE(VLOOKUP($A833,'Quarterly Pipeline vs Target Pi'!$A:$AP,31,false)," $","")," €",""), "")
)</f>
        <v>0</v>
      </c>
      <c r="AR833" s="1">
        <f>value(IFERROR(SUBSTITUTE(SUBSTITUTE(VLOOKUP($A833,'Quarterly Pipeline vs Target Pi'!$A:$AP,32,false)," $","")," €",""), "")
)</f>
        <v>0</v>
      </c>
      <c r="AS833" s="17" t="str">
        <f t="shared" si="16"/>
        <v/>
      </c>
      <c r="AT833" s="1">
        <f>value(IFERROR(SUBSTITUTE(SUBSTITUTE(VLOOKUP($A833,'Quarterly Pipeline vs Target Pi'!$A:$AP,36,false)," $","")," €",""), "")
)</f>
        <v>0</v>
      </c>
      <c r="AU833" s="1">
        <f>value(IFERROR(SUBSTITUTE(SUBSTITUTE(VLOOKUP($A833,'Quarterly Pipeline vs Target Pi'!$A:$AP,37,false)," $","")," €",""), "")
)</f>
        <v>0</v>
      </c>
      <c r="AV833" s="17" t="str">
        <f t="shared" si="17"/>
        <v/>
      </c>
      <c r="AW833" s="1">
        <f>value(IFERROR(SUBSTITUTE(SUBSTITUTE(VLOOKUP($A833,'Quarterly Pipeline vs Target Pi'!$A:$AP,41,false)," $","")," €",""), "")
)</f>
        <v>0</v>
      </c>
      <c r="AX833" s="1">
        <f>value(IFERROR(SUBSTITUTE(SUBSTITUTE(VLOOKUP($A833,'Quarterly Pipeline vs Target Pi'!$A:$AP,42,false)," $","")," €",""), "")
)</f>
        <v>0</v>
      </c>
      <c r="AY833" s="17" t="str">
        <f t="shared" si="18"/>
        <v/>
      </c>
      <c r="AZ833" s="1">
        <f t="shared" ref="AZ833:BA833" si="1555">sum(AN833,AQ833,AT833,AW833)</f>
        <v>0</v>
      </c>
      <c r="BA833" s="1">
        <f t="shared" si="1555"/>
        <v>0</v>
      </c>
      <c r="BB833" s="17" t="str">
        <f t="shared" si="20"/>
        <v/>
      </c>
    </row>
    <row r="834">
      <c r="I834" s="17"/>
      <c r="L834" s="17"/>
      <c r="O834" s="17"/>
      <c r="X834" s="17"/>
      <c r="AA834" s="17"/>
      <c r="AD834" s="19"/>
      <c r="AG834" s="19"/>
      <c r="AJ834" s="19"/>
      <c r="AM834" s="19"/>
      <c r="AN834" s="1">
        <f>value(IFERROR(SUBSTITUTE(SUBSTITUTE(VLOOKUP($A834,'Quarterly Pipeline vs Target Pi'!$A:$AP,26,false)," $","")," €",""), "")
)</f>
        <v>0</v>
      </c>
      <c r="AO834" s="1">
        <f>value(IFERROR(SUBSTITUTE(SUBSTITUTE(VLOOKUP($A834,'Quarterly Pipeline vs Target Pi'!$A:$AP,27,false)," $","")," €",""), "")
)</f>
        <v>0</v>
      </c>
      <c r="AP834" s="17" t="str">
        <f t="shared" si="15"/>
        <v/>
      </c>
      <c r="AQ834" s="1">
        <f>value(IFERROR(SUBSTITUTE(SUBSTITUTE(VLOOKUP($A834,'Quarterly Pipeline vs Target Pi'!$A:$AP,31,false)," $","")," €",""), "")
)</f>
        <v>0</v>
      </c>
      <c r="AR834" s="1">
        <f>value(IFERROR(SUBSTITUTE(SUBSTITUTE(VLOOKUP($A834,'Quarterly Pipeline vs Target Pi'!$A:$AP,32,false)," $","")," €",""), "")
)</f>
        <v>0</v>
      </c>
      <c r="AS834" s="17" t="str">
        <f t="shared" si="16"/>
        <v/>
      </c>
      <c r="AT834" s="1">
        <f>value(IFERROR(SUBSTITUTE(SUBSTITUTE(VLOOKUP($A834,'Quarterly Pipeline vs Target Pi'!$A:$AP,36,false)," $","")," €",""), "")
)</f>
        <v>0</v>
      </c>
      <c r="AU834" s="1">
        <f>value(IFERROR(SUBSTITUTE(SUBSTITUTE(VLOOKUP($A834,'Quarterly Pipeline vs Target Pi'!$A:$AP,37,false)," $","")," €",""), "")
)</f>
        <v>0</v>
      </c>
      <c r="AV834" s="17" t="str">
        <f t="shared" si="17"/>
        <v/>
      </c>
      <c r="AW834" s="1">
        <f>value(IFERROR(SUBSTITUTE(SUBSTITUTE(VLOOKUP($A834,'Quarterly Pipeline vs Target Pi'!$A:$AP,41,false)," $","")," €",""), "")
)</f>
        <v>0</v>
      </c>
      <c r="AX834" s="1">
        <f>value(IFERROR(SUBSTITUTE(SUBSTITUTE(VLOOKUP($A834,'Quarterly Pipeline vs Target Pi'!$A:$AP,42,false)," $","")," €",""), "")
)</f>
        <v>0</v>
      </c>
      <c r="AY834" s="17" t="str">
        <f t="shared" si="18"/>
        <v/>
      </c>
      <c r="AZ834" s="1">
        <f t="shared" ref="AZ834:BA834" si="1556">sum(AN834,AQ834,AT834,AW834)</f>
        <v>0</v>
      </c>
      <c r="BA834" s="1">
        <f t="shared" si="1556"/>
        <v>0</v>
      </c>
      <c r="BB834" s="17" t="str">
        <f t="shared" si="20"/>
        <v/>
      </c>
    </row>
    <row r="835">
      <c r="I835" s="17"/>
      <c r="L835" s="17"/>
      <c r="O835" s="17"/>
      <c r="X835" s="17"/>
      <c r="AA835" s="17"/>
      <c r="AD835" s="19"/>
      <c r="AG835" s="19"/>
      <c r="AJ835" s="19"/>
      <c r="AM835" s="19"/>
      <c r="AN835" s="1">
        <f>value(IFERROR(SUBSTITUTE(SUBSTITUTE(VLOOKUP($A835,'Quarterly Pipeline vs Target Pi'!$A:$AP,26,false)," $","")," €",""), "")
)</f>
        <v>0</v>
      </c>
      <c r="AO835" s="1">
        <f>value(IFERROR(SUBSTITUTE(SUBSTITUTE(VLOOKUP($A835,'Quarterly Pipeline vs Target Pi'!$A:$AP,27,false)," $","")," €",""), "")
)</f>
        <v>0</v>
      </c>
      <c r="AP835" s="17" t="str">
        <f t="shared" si="15"/>
        <v/>
      </c>
      <c r="AQ835" s="1">
        <f>value(IFERROR(SUBSTITUTE(SUBSTITUTE(VLOOKUP($A835,'Quarterly Pipeline vs Target Pi'!$A:$AP,31,false)," $","")," €",""), "")
)</f>
        <v>0</v>
      </c>
      <c r="AR835" s="1">
        <f>value(IFERROR(SUBSTITUTE(SUBSTITUTE(VLOOKUP($A835,'Quarterly Pipeline vs Target Pi'!$A:$AP,32,false)," $","")," €",""), "")
)</f>
        <v>0</v>
      </c>
      <c r="AS835" s="17" t="str">
        <f t="shared" si="16"/>
        <v/>
      </c>
      <c r="AT835" s="1">
        <f>value(IFERROR(SUBSTITUTE(SUBSTITUTE(VLOOKUP($A835,'Quarterly Pipeline vs Target Pi'!$A:$AP,36,false)," $","")," €",""), "")
)</f>
        <v>0</v>
      </c>
      <c r="AU835" s="1">
        <f>value(IFERROR(SUBSTITUTE(SUBSTITUTE(VLOOKUP($A835,'Quarterly Pipeline vs Target Pi'!$A:$AP,37,false)," $","")," €",""), "")
)</f>
        <v>0</v>
      </c>
      <c r="AV835" s="17" t="str">
        <f t="shared" si="17"/>
        <v/>
      </c>
      <c r="AW835" s="1">
        <f>value(IFERROR(SUBSTITUTE(SUBSTITUTE(VLOOKUP($A835,'Quarterly Pipeline vs Target Pi'!$A:$AP,41,false)," $","")," €",""), "")
)</f>
        <v>0</v>
      </c>
      <c r="AX835" s="1">
        <f>value(IFERROR(SUBSTITUTE(SUBSTITUTE(VLOOKUP($A835,'Quarterly Pipeline vs Target Pi'!$A:$AP,42,false)," $","")," €",""), "")
)</f>
        <v>0</v>
      </c>
      <c r="AY835" s="17" t="str">
        <f t="shared" si="18"/>
        <v/>
      </c>
      <c r="AZ835" s="1">
        <f t="shared" ref="AZ835:BA835" si="1557">sum(AN835,AQ835,AT835,AW835)</f>
        <v>0</v>
      </c>
      <c r="BA835" s="1">
        <f t="shared" si="1557"/>
        <v>0</v>
      </c>
      <c r="BB835" s="17" t="str">
        <f t="shared" si="20"/>
        <v/>
      </c>
    </row>
    <row r="836">
      <c r="I836" s="17"/>
      <c r="L836" s="17"/>
      <c r="O836" s="17"/>
      <c r="X836" s="17"/>
      <c r="AA836" s="17"/>
      <c r="AD836" s="19"/>
      <c r="AG836" s="19"/>
      <c r="AJ836" s="19"/>
      <c r="AM836" s="19"/>
      <c r="AN836" s="1">
        <f>value(IFERROR(SUBSTITUTE(SUBSTITUTE(VLOOKUP($A836,'Quarterly Pipeline vs Target Pi'!$A:$AP,26,false)," $","")," €",""), "")
)</f>
        <v>0</v>
      </c>
      <c r="AO836" s="1">
        <f>value(IFERROR(SUBSTITUTE(SUBSTITUTE(VLOOKUP($A836,'Quarterly Pipeline vs Target Pi'!$A:$AP,27,false)," $","")," €",""), "")
)</f>
        <v>0</v>
      </c>
      <c r="AP836" s="17" t="str">
        <f t="shared" si="15"/>
        <v/>
      </c>
      <c r="AQ836" s="1">
        <f>value(IFERROR(SUBSTITUTE(SUBSTITUTE(VLOOKUP($A836,'Quarterly Pipeline vs Target Pi'!$A:$AP,31,false)," $","")," €",""), "")
)</f>
        <v>0</v>
      </c>
      <c r="AR836" s="1">
        <f>value(IFERROR(SUBSTITUTE(SUBSTITUTE(VLOOKUP($A836,'Quarterly Pipeline vs Target Pi'!$A:$AP,32,false)," $","")," €",""), "")
)</f>
        <v>0</v>
      </c>
      <c r="AS836" s="17" t="str">
        <f t="shared" si="16"/>
        <v/>
      </c>
      <c r="AT836" s="1">
        <f>value(IFERROR(SUBSTITUTE(SUBSTITUTE(VLOOKUP($A836,'Quarterly Pipeline vs Target Pi'!$A:$AP,36,false)," $","")," €",""), "")
)</f>
        <v>0</v>
      </c>
      <c r="AU836" s="1">
        <f>value(IFERROR(SUBSTITUTE(SUBSTITUTE(VLOOKUP($A836,'Quarterly Pipeline vs Target Pi'!$A:$AP,37,false)," $","")," €",""), "")
)</f>
        <v>0</v>
      </c>
      <c r="AV836" s="17" t="str">
        <f t="shared" si="17"/>
        <v/>
      </c>
      <c r="AW836" s="1">
        <f>value(IFERROR(SUBSTITUTE(SUBSTITUTE(VLOOKUP($A836,'Quarterly Pipeline vs Target Pi'!$A:$AP,41,false)," $","")," €",""), "")
)</f>
        <v>0</v>
      </c>
      <c r="AX836" s="1">
        <f>value(IFERROR(SUBSTITUTE(SUBSTITUTE(VLOOKUP($A836,'Quarterly Pipeline vs Target Pi'!$A:$AP,42,false)," $","")," €",""), "")
)</f>
        <v>0</v>
      </c>
      <c r="AY836" s="17" t="str">
        <f t="shared" si="18"/>
        <v/>
      </c>
      <c r="AZ836" s="1">
        <f t="shared" ref="AZ836:BA836" si="1558">sum(AN836,AQ836,AT836,AW836)</f>
        <v>0</v>
      </c>
      <c r="BA836" s="1">
        <f t="shared" si="1558"/>
        <v>0</v>
      </c>
      <c r="BB836" s="17" t="str">
        <f t="shared" si="20"/>
        <v/>
      </c>
    </row>
    <row r="837">
      <c r="I837" s="17"/>
      <c r="L837" s="17"/>
      <c r="O837" s="17"/>
      <c r="X837" s="17"/>
      <c r="AA837" s="17"/>
      <c r="AD837" s="19"/>
      <c r="AG837" s="19"/>
      <c r="AJ837" s="19"/>
      <c r="AM837" s="19"/>
      <c r="AN837" s="1">
        <f>value(IFERROR(SUBSTITUTE(SUBSTITUTE(VLOOKUP($A837,'Quarterly Pipeline vs Target Pi'!$A:$AP,26,false)," $","")," €",""), "")
)</f>
        <v>0</v>
      </c>
      <c r="AO837" s="1">
        <f>value(IFERROR(SUBSTITUTE(SUBSTITUTE(VLOOKUP($A837,'Quarterly Pipeline vs Target Pi'!$A:$AP,27,false)," $","")," €",""), "")
)</f>
        <v>0</v>
      </c>
      <c r="AP837" s="17" t="str">
        <f t="shared" si="15"/>
        <v/>
      </c>
      <c r="AQ837" s="1">
        <f>value(IFERROR(SUBSTITUTE(SUBSTITUTE(VLOOKUP($A837,'Quarterly Pipeline vs Target Pi'!$A:$AP,31,false)," $","")," €",""), "")
)</f>
        <v>0</v>
      </c>
      <c r="AR837" s="1">
        <f>value(IFERROR(SUBSTITUTE(SUBSTITUTE(VLOOKUP($A837,'Quarterly Pipeline vs Target Pi'!$A:$AP,32,false)," $","")," €",""), "")
)</f>
        <v>0</v>
      </c>
      <c r="AS837" s="17" t="str">
        <f t="shared" si="16"/>
        <v/>
      </c>
      <c r="AT837" s="1">
        <f>value(IFERROR(SUBSTITUTE(SUBSTITUTE(VLOOKUP($A837,'Quarterly Pipeline vs Target Pi'!$A:$AP,36,false)," $","")," €",""), "")
)</f>
        <v>0</v>
      </c>
      <c r="AU837" s="1">
        <f>value(IFERROR(SUBSTITUTE(SUBSTITUTE(VLOOKUP($A837,'Quarterly Pipeline vs Target Pi'!$A:$AP,37,false)," $","")," €",""), "")
)</f>
        <v>0</v>
      </c>
      <c r="AV837" s="17" t="str">
        <f t="shared" si="17"/>
        <v/>
      </c>
      <c r="AW837" s="1">
        <f>value(IFERROR(SUBSTITUTE(SUBSTITUTE(VLOOKUP($A837,'Quarterly Pipeline vs Target Pi'!$A:$AP,41,false)," $","")," €",""), "")
)</f>
        <v>0</v>
      </c>
      <c r="AX837" s="1">
        <f>value(IFERROR(SUBSTITUTE(SUBSTITUTE(VLOOKUP($A837,'Quarterly Pipeline vs Target Pi'!$A:$AP,42,false)," $","")," €",""), "")
)</f>
        <v>0</v>
      </c>
      <c r="AY837" s="17" t="str">
        <f t="shared" si="18"/>
        <v/>
      </c>
      <c r="AZ837" s="1">
        <f t="shared" ref="AZ837:BA837" si="1559">sum(AN837,AQ837,AT837,AW837)</f>
        <v>0</v>
      </c>
      <c r="BA837" s="1">
        <f t="shared" si="1559"/>
        <v>0</v>
      </c>
      <c r="BB837" s="17" t="str">
        <f t="shared" si="20"/>
        <v/>
      </c>
    </row>
    <row r="838">
      <c r="I838" s="17"/>
      <c r="L838" s="17"/>
      <c r="O838" s="17"/>
      <c r="X838" s="17"/>
      <c r="AA838" s="17"/>
      <c r="AD838" s="19"/>
      <c r="AG838" s="19"/>
      <c r="AJ838" s="19"/>
      <c r="AM838" s="19"/>
      <c r="AN838" s="1">
        <f>value(IFERROR(SUBSTITUTE(SUBSTITUTE(VLOOKUP($A838,'Quarterly Pipeline vs Target Pi'!$A:$AP,26,false)," $","")," €",""), "")
)</f>
        <v>0</v>
      </c>
      <c r="AO838" s="1">
        <f>value(IFERROR(SUBSTITUTE(SUBSTITUTE(VLOOKUP($A838,'Quarterly Pipeline vs Target Pi'!$A:$AP,27,false)," $","")," €",""), "")
)</f>
        <v>0</v>
      </c>
      <c r="AP838" s="17" t="str">
        <f t="shared" si="15"/>
        <v/>
      </c>
      <c r="AQ838" s="1">
        <f>value(IFERROR(SUBSTITUTE(SUBSTITUTE(VLOOKUP($A838,'Quarterly Pipeline vs Target Pi'!$A:$AP,31,false)," $","")," €",""), "")
)</f>
        <v>0</v>
      </c>
      <c r="AR838" s="1">
        <f>value(IFERROR(SUBSTITUTE(SUBSTITUTE(VLOOKUP($A838,'Quarterly Pipeline vs Target Pi'!$A:$AP,32,false)," $","")," €",""), "")
)</f>
        <v>0</v>
      </c>
      <c r="AS838" s="17" t="str">
        <f t="shared" si="16"/>
        <v/>
      </c>
      <c r="AT838" s="1">
        <f>value(IFERROR(SUBSTITUTE(SUBSTITUTE(VLOOKUP($A838,'Quarterly Pipeline vs Target Pi'!$A:$AP,36,false)," $","")," €",""), "")
)</f>
        <v>0</v>
      </c>
      <c r="AU838" s="1">
        <f>value(IFERROR(SUBSTITUTE(SUBSTITUTE(VLOOKUP($A838,'Quarterly Pipeline vs Target Pi'!$A:$AP,37,false)," $","")," €",""), "")
)</f>
        <v>0</v>
      </c>
      <c r="AV838" s="17" t="str">
        <f t="shared" si="17"/>
        <v/>
      </c>
      <c r="AW838" s="1">
        <f>value(IFERROR(SUBSTITUTE(SUBSTITUTE(VLOOKUP($A838,'Quarterly Pipeline vs Target Pi'!$A:$AP,41,false)," $","")," €",""), "")
)</f>
        <v>0</v>
      </c>
      <c r="AX838" s="1">
        <f>value(IFERROR(SUBSTITUTE(SUBSTITUTE(VLOOKUP($A838,'Quarterly Pipeline vs Target Pi'!$A:$AP,42,false)," $","")," €",""), "")
)</f>
        <v>0</v>
      </c>
      <c r="AY838" s="17" t="str">
        <f t="shared" si="18"/>
        <v/>
      </c>
      <c r="AZ838" s="1">
        <f t="shared" ref="AZ838:BA838" si="1560">sum(AN838,AQ838,AT838,AW838)</f>
        <v>0</v>
      </c>
      <c r="BA838" s="1">
        <f t="shared" si="1560"/>
        <v>0</v>
      </c>
      <c r="BB838" s="17" t="str">
        <f t="shared" si="20"/>
        <v/>
      </c>
    </row>
    <row r="839">
      <c r="I839" s="17"/>
      <c r="L839" s="17"/>
      <c r="O839" s="17"/>
      <c r="X839" s="17"/>
      <c r="AA839" s="17"/>
      <c r="AD839" s="19"/>
      <c r="AG839" s="19"/>
      <c r="AJ839" s="19"/>
      <c r="AM839" s="19"/>
      <c r="AN839" s="1">
        <f>value(IFERROR(SUBSTITUTE(SUBSTITUTE(VLOOKUP($A839,'Quarterly Pipeline vs Target Pi'!$A:$AP,26,false)," $","")," €",""), "")
)</f>
        <v>0</v>
      </c>
      <c r="AO839" s="1">
        <f>value(IFERROR(SUBSTITUTE(SUBSTITUTE(VLOOKUP($A839,'Quarterly Pipeline vs Target Pi'!$A:$AP,27,false)," $","")," €",""), "")
)</f>
        <v>0</v>
      </c>
      <c r="AP839" s="17" t="str">
        <f t="shared" si="15"/>
        <v/>
      </c>
      <c r="AQ839" s="1">
        <f>value(IFERROR(SUBSTITUTE(SUBSTITUTE(VLOOKUP($A839,'Quarterly Pipeline vs Target Pi'!$A:$AP,31,false)," $","")," €",""), "")
)</f>
        <v>0</v>
      </c>
      <c r="AR839" s="1">
        <f>value(IFERROR(SUBSTITUTE(SUBSTITUTE(VLOOKUP($A839,'Quarterly Pipeline vs Target Pi'!$A:$AP,32,false)," $","")," €",""), "")
)</f>
        <v>0</v>
      </c>
      <c r="AS839" s="17" t="str">
        <f t="shared" si="16"/>
        <v/>
      </c>
      <c r="AT839" s="1">
        <f>value(IFERROR(SUBSTITUTE(SUBSTITUTE(VLOOKUP($A839,'Quarterly Pipeline vs Target Pi'!$A:$AP,36,false)," $","")," €",""), "")
)</f>
        <v>0</v>
      </c>
      <c r="AU839" s="1">
        <f>value(IFERROR(SUBSTITUTE(SUBSTITUTE(VLOOKUP($A839,'Quarterly Pipeline vs Target Pi'!$A:$AP,37,false)," $","")," €",""), "")
)</f>
        <v>0</v>
      </c>
      <c r="AV839" s="17" t="str">
        <f t="shared" si="17"/>
        <v/>
      </c>
      <c r="AW839" s="1">
        <f>value(IFERROR(SUBSTITUTE(SUBSTITUTE(VLOOKUP($A839,'Quarterly Pipeline vs Target Pi'!$A:$AP,41,false)," $","")," €",""), "")
)</f>
        <v>0</v>
      </c>
      <c r="AX839" s="1">
        <f>value(IFERROR(SUBSTITUTE(SUBSTITUTE(VLOOKUP($A839,'Quarterly Pipeline vs Target Pi'!$A:$AP,42,false)," $","")," €",""), "")
)</f>
        <v>0</v>
      </c>
      <c r="AY839" s="17" t="str">
        <f t="shared" si="18"/>
        <v/>
      </c>
      <c r="AZ839" s="1">
        <f t="shared" ref="AZ839:BA839" si="1561">sum(AN839,AQ839,AT839,AW839)</f>
        <v>0</v>
      </c>
      <c r="BA839" s="1">
        <f t="shared" si="1561"/>
        <v>0</v>
      </c>
      <c r="BB839" s="17" t="str">
        <f t="shared" si="20"/>
        <v/>
      </c>
    </row>
    <row r="840">
      <c r="I840" s="17"/>
      <c r="L840" s="17"/>
      <c r="O840" s="17"/>
      <c r="X840" s="17"/>
      <c r="AA840" s="17"/>
      <c r="AD840" s="19"/>
      <c r="AG840" s="19"/>
      <c r="AJ840" s="19"/>
      <c r="AM840" s="19"/>
      <c r="AN840" s="1">
        <f>value(IFERROR(SUBSTITUTE(SUBSTITUTE(VLOOKUP($A840,'Quarterly Pipeline vs Target Pi'!$A:$AP,26,false)," $","")," €",""), "")
)</f>
        <v>0</v>
      </c>
      <c r="AO840" s="1">
        <f>value(IFERROR(SUBSTITUTE(SUBSTITUTE(VLOOKUP($A840,'Quarterly Pipeline vs Target Pi'!$A:$AP,27,false)," $","")," €",""), "")
)</f>
        <v>0</v>
      </c>
      <c r="AP840" s="17" t="str">
        <f t="shared" si="15"/>
        <v/>
      </c>
      <c r="AQ840" s="1">
        <f>value(IFERROR(SUBSTITUTE(SUBSTITUTE(VLOOKUP($A840,'Quarterly Pipeline vs Target Pi'!$A:$AP,31,false)," $","")," €",""), "")
)</f>
        <v>0</v>
      </c>
      <c r="AR840" s="1">
        <f>value(IFERROR(SUBSTITUTE(SUBSTITUTE(VLOOKUP($A840,'Quarterly Pipeline vs Target Pi'!$A:$AP,32,false)," $","")," €",""), "")
)</f>
        <v>0</v>
      </c>
      <c r="AS840" s="17" t="str">
        <f t="shared" si="16"/>
        <v/>
      </c>
      <c r="AT840" s="1">
        <f>value(IFERROR(SUBSTITUTE(SUBSTITUTE(VLOOKUP($A840,'Quarterly Pipeline vs Target Pi'!$A:$AP,36,false)," $","")," €",""), "")
)</f>
        <v>0</v>
      </c>
      <c r="AU840" s="1">
        <f>value(IFERROR(SUBSTITUTE(SUBSTITUTE(VLOOKUP($A840,'Quarterly Pipeline vs Target Pi'!$A:$AP,37,false)," $","")," €",""), "")
)</f>
        <v>0</v>
      </c>
      <c r="AV840" s="17" t="str">
        <f t="shared" si="17"/>
        <v/>
      </c>
      <c r="AW840" s="1">
        <f>value(IFERROR(SUBSTITUTE(SUBSTITUTE(VLOOKUP($A840,'Quarterly Pipeline vs Target Pi'!$A:$AP,41,false)," $","")," €",""), "")
)</f>
        <v>0</v>
      </c>
      <c r="AX840" s="1">
        <f>value(IFERROR(SUBSTITUTE(SUBSTITUTE(VLOOKUP($A840,'Quarterly Pipeline vs Target Pi'!$A:$AP,42,false)," $","")," €",""), "")
)</f>
        <v>0</v>
      </c>
      <c r="AY840" s="17" t="str">
        <f t="shared" si="18"/>
        <v/>
      </c>
      <c r="AZ840" s="1">
        <f t="shared" ref="AZ840:BA840" si="1562">sum(AN840,AQ840,AT840,AW840)</f>
        <v>0</v>
      </c>
      <c r="BA840" s="1">
        <f t="shared" si="1562"/>
        <v>0</v>
      </c>
      <c r="BB840" s="17" t="str">
        <f t="shared" si="20"/>
        <v/>
      </c>
    </row>
    <row r="841">
      <c r="I841" s="17"/>
      <c r="L841" s="17"/>
      <c r="O841" s="17"/>
      <c r="X841" s="17"/>
      <c r="AA841" s="17"/>
      <c r="AD841" s="19"/>
      <c r="AG841" s="19"/>
      <c r="AJ841" s="19"/>
      <c r="AM841" s="19"/>
      <c r="AN841" s="1">
        <f>value(IFERROR(SUBSTITUTE(SUBSTITUTE(VLOOKUP($A841,'Quarterly Pipeline vs Target Pi'!$A:$AP,26,false)," $","")," €",""), "")
)</f>
        <v>0</v>
      </c>
      <c r="AO841" s="1">
        <f>value(IFERROR(SUBSTITUTE(SUBSTITUTE(VLOOKUP($A841,'Quarterly Pipeline vs Target Pi'!$A:$AP,27,false)," $","")," €",""), "")
)</f>
        <v>0</v>
      </c>
      <c r="AP841" s="17" t="str">
        <f t="shared" si="15"/>
        <v/>
      </c>
      <c r="AQ841" s="1">
        <f>value(IFERROR(SUBSTITUTE(SUBSTITUTE(VLOOKUP($A841,'Quarterly Pipeline vs Target Pi'!$A:$AP,31,false)," $","")," €",""), "")
)</f>
        <v>0</v>
      </c>
      <c r="AR841" s="1">
        <f>value(IFERROR(SUBSTITUTE(SUBSTITUTE(VLOOKUP($A841,'Quarterly Pipeline vs Target Pi'!$A:$AP,32,false)," $","")," €",""), "")
)</f>
        <v>0</v>
      </c>
      <c r="AS841" s="17" t="str">
        <f t="shared" si="16"/>
        <v/>
      </c>
      <c r="AT841" s="1">
        <f>value(IFERROR(SUBSTITUTE(SUBSTITUTE(VLOOKUP($A841,'Quarterly Pipeline vs Target Pi'!$A:$AP,36,false)," $","")," €",""), "")
)</f>
        <v>0</v>
      </c>
      <c r="AU841" s="1">
        <f>value(IFERROR(SUBSTITUTE(SUBSTITUTE(VLOOKUP($A841,'Quarterly Pipeline vs Target Pi'!$A:$AP,37,false)," $","")," €",""), "")
)</f>
        <v>0</v>
      </c>
      <c r="AV841" s="17" t="str">
        <f t="shared" si="17"/>
        <v/>
      </c>
      <c r="AW841" s="1">
        <f>value(IFERROR(SUBSTITUTE(SUBSTITUTE(VLOOKUP($A841,'Quarterly Pipeline vs Target Pi'!$A:$AP,41,false)," $","")," €",""), "")
)</f>
        <v>0</v>
      </c>
      <c r="AX841" s="1">
        <f>value(IFERROR(SUBSTITUTE(SUBSTITUTE(VLOOKUP($A841,'Quarterly Pipeline vs Target Pi'!$A:$AP,42,false)," $","")," €",""), "")
)</f>
        <v>0</v>
      </c>
      <c r="AY841" s="17" t="str">
        <f t="shared" si="18"/>
        <v/>
      </c>
      <c r="AZ841" s="1">
        <f t="shared" ref="AZ841:BA841" si="1563">sum(AN841,AQ841,AT841,AW841)</f>
        <v>0</v>
      </c>
      <c r="BA841" s="1">
        <f t="shared" si="1563"/>
        <v>0</v>
      </c>
      <c r="BB841" s="17" t="str">
        <f t="shared" si="20"/>
        <v/>
      </c>
    </row>
    <row r="842">
      <c r="I842" s="17"/>
      <c r="L842" s="17"/>
      <c r="O842" s="17"/>
      <c r="X842" s="17"/>
      <c r="AA842" s="17"/>
      <c r="AD842" s="19"/>
      <c r="AG842" s="19"/>
      <c r="AJ842" s="19"/>
      <c r="AM842" s="19"/>
      <c r="AN842" s="1">
        <f>value(IFERROR(SUBSTITUTE(SUBSTITUTE(VLOOKUP($A842,'Quarterly Pipeline vs Target Pi'!$A:$AP,26,false)," $","")," €",""), "")
)</f>
        <v>0</v>
      </c>
      <c r="AO842" s="1">
        <f>value(IFERROR(SUBSTITUTE(SUBSTITUTE(VLOOKUP($A842,'Quarterly Pipeline vs Target Pi'!$A:$AP,27,false)," $","")," €",""), "")
)</f>
        <v>0</v>
      </c>
      <c r="AP842" s="17" t="str">
        <f t="shared" si="15"/>
        <v/>
      </c>
      <c r="AQ842" s="1">
        <f>value(IFERROR(SUBSTITUTE(SUBSTITUTE(VLOOKUP($A842,'Quarterly Pipeline vs Target Pi'!$A:$AP,31,false)," $","")," €",""), "")
)</f>
        <v>0</v>
      </c>
      <c r="AR842" s="1">
        <f>value(IFERROR(SUBSTITUTE(SUBSTITUTE(VLOOKUP($A842,'Quarterly Pipeline vs Target Pi'!$A:$AP,32,false)," $","")," €",""), "")
)</f>
        <v>0</v>
      </c>
      <c r="AS842" s="17" t="str">
        <f t="shared" si="16"/>
        <v/>
      </c>
      <c r="AT842" s="1">
        <f>value(IFERROR(SUBSTITUTE(SUBSTITUTE(VLOOKUP($A842,'Quarterly Pipeline vs Target Pi'!$A:$AP,36,false)," $","")," €",""), "")
)</f>
        <v>0</v>
      </c>
      <c r="AU842" s="1">
        <f>value(IFERROR(SUBSTITUTE(SUBSTITUTE(VLOOKUP($A842,'Quarterly Pipeline vs Target Pi'!$A:$AP,37,false)," $","")," €",""), "")
)</f>
        <v>0</v>
      </c>
      <c r="AV842" s="17" t="str">
        <f t="shared" si="17"/>
        <v/>
      </c>
      <c r="AW842" s="1">
        <f>value(IFERROR(SUBSTITUTE(SUBSTITUTE(VLOOKUP($A842,'Quarterly Pipeline vs Target Pi'!$A:$AP,41,false)," $","")," €",""), "")
)</f>
        <v>0</v>
      </c>
      <c r="AX842" s="1">
        <f>value(IFERROR(SUBSTITUTE(SUBSTITUTE(VLOOKUP($A842,'Quarterly Pipeline vs Target Pi'!$A:$AP,42,false)," $","")," €",""), "")
)</f>
        <v>0</v>
      </c>
      <c r="AY842" s="17" t="str">
        <f t="shared" si="18"/>
        <v/>
      </c>
      <c r="AZ842" s="1">
        <f t="shared" ref="AZ842:BA842" si="1564">sum(AN842,AQ842,AT842,AW842)</f>
        <v>0</v>
      </c>
      <c r="BA842" s="1">
        <f t="shared" si="1564"/>
        <v>0</v>
      </c>
      <c r="BB842" s="17" t="str">
        <f t="shared" si="20"/>
        <v/>
      </c>
    </row>
    <row r="843">
      <c r="I843" s="17"/>
      <c r="L843" s="17"/>
      <c r="O843" s="17"/>
      <c r="X843" s="17"/>
      <c r="AA843" s="17"/>
      <c r="AD843" s="19"/>
      <c r="AG843" s="19"/>
      <c r="AJ843" s="19"/>
      <c r="AM843" s="19"/>
      <c r="AN843" s="1">
        <f>value(IFERROR(SUBSTITUTE(SUBSTITUTE(VLOOKUP($A843,'Quarterly Pipeline vs Target Pi'!$A:$AP,26,false)," $","")," €",""), "")
)</f>
        <v>0</v>
      </c>
      <c r="AO843" s="1">
        <f>value(IFERROR(SUBSTITUTE(SUBSTITUTE(VLOOKUP($A843,'Quarterly Pipeline vs Target Pi'!$A:$AP,27,false)," $","")," €",""), "")
)</f>
        <v>0</v>
      </c>
      <c r="AP843" s="17" t="str">
        <f t="shared" si="15"/>
        <v/>
      </c>
      <c r="AQ843" s="1">
        <f>value(IFERROR(SUBSTITUTE(SUBSTITUTE(VLOOKUP($A843,'Quarterly Pipeline vs Target Pi'!$A:$AP,31,false)," $","")," €",""), "")
)</f>
        <v>0</v>
      </c>
      <c r="AR843" s="1">
        <f>value(IFERROR(SUBSTITUTE(SUBSTITUTE(VLOOKUP($A843,'Quarterly Pipeline vs Target Pi'!$A:$AP,32,false)," $","")," €",""), "")
)</f>
        <v>0</v>
      </c>
      <c r="AS843" s="17" t="str">
        <f t="shared" si="16"/>
        <v/>
      </c>
      <c r="AT843" s="1">
        <f>value(IFERROR(SUBSTITUTE(SUBSTITUTE(VLOOKUP($A843,'Quarterly Pipeline vs Target Pi'!$A:$AP,36,false)," $","")," €",""), "")
)</f>
        <v>0</v>
      </c>
      <c r="AU843" s="1">
        <f>value(IFERROR(SUBSTITUTE(SUBSTITUTE(VLOOKUP($A843,'Quarterly Pipeline vs Target Pi'!$A:$AP,37,false)," $","")," €",""), "")
)</f>
        <v>0</v>
      </c>
      <c r="AV843" s="17" t="str">
        <f t="shared" si="17"/>
        <v/>
      </c>
      <c r="AW843" s="1">
        <f>value(IFERROR(SUBSTITUTE(SUBSTITUTE(VLOOKUP($A843,'Quarterly Pipeline vs Target Pi'!$A:$AP,41,false)," $","")," €",""), "")
)</f>
        <v>0</v>
      </c>
      <c r="AX843" s="1">
        <f>value(IFERROR(SUBSTITUTE(SUBSTITUTE(VLOOKUP($A843,'Quarterly Pipeline vs Target Pi'!$A:$AP,42,false)," $","")," €",""), "")
)</f>
        <v>0</v>
      </c>
      <c r="AY843" s="17" t="str">
        <f t="shared" si="18"/>
        <v/>
      </c>
      <c r="AZ843" s="1">
        <f t="shared" ref="AZ843:BA843" si="1565">sum(AN843,AQ843,AT843,AW843)</f>
        <v>0</v>
      </c>
      <c r="BA843" s="1">
        <f t="shared" si="1565"/>
        <v>0</v>
      </c>
      <c r="BB843" s="17" t="str">
        <f t="shared" si="20"/>
        <v/>
      </c>
    </row>
    <row r="844">
      <c r="I844" s="17"/>
      <c r="L844" s="17"/>
      <c r="O844" s="17"/>
      <c r="X844" s="17"/>
      <c r="AA844" s="17"/>
      <c r="AD844" s="19"/>
      <c r="AG844" s="19"/>
      <c r="AJ844" s="19"/>
      <c r="AM844" s="19"/>
      <c r="AN844" s="1">
        <f>value(IFERROR(SUBSTITUTE(SUBSTITUTE(VLOOKUP($A844,'Quarterly Pipeline vs Target Pi'!$A:$AP,26,false)," $","")," €",""), "")
)</f>
        <v>0</v>
      </c>
      <c r="AO844" s="1">
        <f>value(IFERROR(SUBSTITUTE(SUBSTITUTE(VLOOKUP($A844,'Quarterly Pipeline vs Target Pi'!$A:$AP,27,false)," $","")," €",""), "")
)</f>
        <v>0</v>
      </c>
      <c r="AP844" s="17" t="str">
        <f t="shared" si="15"/>
        <v/>
      </c>
      <c r="AQ844" s="1">
        <f>value(IFERROR(SUBSTITUTE(SUBSTITUTE(VLOOKUP($A844,'Quarterly Pipeline vs Target Pi'!$A:$AP,31,false)," $","")," €",""), "")
)</f>
        <v>0</v>
      </c>
      <c r="AR844" s="1">
        <f>value(IFERROR(SUBSTITUTE(SUBSTITUTE(VLOOKUP($A844,'Quarterly Pipeline vs Target Pi'!$A:$AP,32,false)," $","")," €",""), "")
)</f>
        <v>0</v>
      </c>
      <c r="AS844" s="17" t="str">
        <f t="shared" si="16"/>
        <v/>
      </c>
      <c r="AT844" s="1">
        <f>value(IFERROR(SUBSTITUTE(SUBSTITUTE(VLOOKUP($A844,'Quarterly Pipeline vs Target Pi'!$A:$AP,36,false)," $","")," €",""), "")
)</f>
        <v>0</v>
      </c>
      <c r="AU844" s="1">
        <f>value(IFERROR(SUBSTITUTE(SUBSTITUTE(VLOOKUP($A844,'Quarterly Pipeline vs Target Pi'!$A:$AP,37,false)," $","")," €",""), "")
)</f>
        <v>0</v>
      </c>
      <c r="AV844" s="17" t="str">
        <f t="shared" si="17"/>
        <v/>
      </c>
      <c r="AW844" s="1">
        <f>value(IFERROR(SUBSTITUTE(SUBSTITUTE(VLOOKUP($A844,'Quarterly Pipeline vs Target Pi'!$A:$AP,41,false)," $","")," €",""), "")
)</f>
        <v>0</v>
      </c>
      <c r="AX844" s="1">
        <f>value(IFERROR(SUBSTITUTE(SUBSTITUTE(VLOOKUP($A844,'Quarterly Pipeline vs Target Pi'!$A:$AP,42,false)," $","")," €",""), "")
)</f>
        <v>0</v>
      </c>
      <c r="AY844" s="17" t="str">
        <f t="shared" si="18"/>
        <v/>
      </c>
      <c r="AZ844" s="1">
        <f t="shared" ref="AZ844:BA844" si="1566">sum(AN844,AQ844,AT844,AW844)</f>
        <v>0</v>
      </c>
      <c r="BA844" s="1">
        <f t="shared" si="1566"/>
        <v>0</v>
      </c>
      <c r="BB844" s="17" t="str">
        <f t="shared" si="20"/>
        <v/>
      </c>
    </row>
    <row r="845">
      <c r="I845" s="17"/>
      <c r="L845" s="17"/>
      <c r="O845" s="17"/>
      <c r="X845" s="17"/>
      <c r="AA845" s="17"/>
      <c r="AD845" s="19"/>
      <c r="AG845" s="19"/>
      <c r="AJ845" s="19"/>
      <c r="AM845" s="19"/>
      <c r="AN845" s="1">
        <f>value(IFERROR(SUBSTITUTE(SUBSTITUTE(VLOOKUP($A845,'Quarterly Pipeline vs Target Pi'!$A:$AP,26,false)," $","")," €",""), "")
)</f>
        <v>0</v>
      </c>
      <c r="AO845" s="1">
        <f>value(IFERROR(SUBSTITUTE(SUBSTITUTE(VLOOKUP($A845,'Quarterly Pipeline vs Target Pi'!$A:$AP,27,false)," $","")," €",""), "")
)</f>
        <v>0</v>
      </c>
      <c r="AP845" s="17" t="str">
        <f t="shared" si="15"/>
        <v/>
      </c>
      <c r="AQ845" s="1">
        <f>value(IFERROR(SUBSTITUTE(SUBSTITUTE(VLOOKUP($A845,'Quarterly Pipeline vs Target Pi'!$A:$AP,31,false)," $","")," €",""), "")
)</f>
        <v>0</v>
      </c>
      <c r="AR845" s="1">
        <f>value(IFERROR(SUBSTITUTE(SUBSTITUTE(VLOOKUP($A845,'Quarterly Pipeline vs Target Pi'!$A:$AP,32,false)," $","")," €",""), "")
)</f>
        <v>0</v>
      </c>
      <c r="AS845" s="17" t="str">
        <f t="shared" si="16"/>
        <v/>
      </c>
      <c r="AT845" s="1">
        <f>value(IFERROR(SUBSTITUTE(SUBSTITUTE(VLOOKUP($A845,'Quarterly Pipeline vs Target Pi'!$A:$AP,36,false)," $","")," €",""), "")
)</f>
        <v>0</v>
      </c>
      <c r="AU845" s="1">
        <f>value(IFERROR(SUBSTITUTE(SUBSTITUTE(VLOOKUP($A845,'Quarterly Pipeline vs Target Pi'!$A:$AP,37,false)," $","")," €",""), "")
)</f>
        <v>0</v>
      </c>
      <c r="AV845" s="17" t="str">
        <f t="shared" si="17"/>
        <v/>
      </c>
      <c r="AW845" s="1">
        <f>value(IFERROR(SUBSTITUTE(SUBSTITUTE(VLOOKUP($A845,'Quarterly Pipeline vs Target Pi'!$A:$AP,41,false)," $","")," €",""), "")
)</f>
        <v>0</v>
      </c>
      <c r="AX845" s="1">
        <f>value(IFERROR(SUBSTITUTE(SUBSTITUTE(VLOOKUP($A845,'Quarterly Pipeline vs Target Pi'!$A:$AP,42,false)," $","")," €",""), "")
)</f>
        <v>0</v>
      </c>
      <c r="AY845" s="17" t="str">
        <f t="shared" si="18"/>
        <v/>
      </c>
      <c r="AZ845" s="1">
        <f t="shared" ref="AZ845:BA845" si="1567">sum(AN845,AQ845,AT845,AW845)</f>
        <v>0</v>
      </c>
      <c r="BA845" s="1">
        <f t="shared" si="1567"/>
        <v>0</v>
      </c>
      <c r="BB845" s="17" t="str">
        <f t="shared" si="20"/>
        <v/>
      </c>
    </row>
    <row r="846">
      <c r="I846" s="17"/>
      <c r="L846" s="17"/>
      <c r="O846" s="17"/>
      <c r="X846" s="17"/>
      <c r="AA846" s="17"/>
      <c r="AD846" s="19"/>
      <c r="AG846" s="19"/>
      <c r="AJ846" s="19"/>
      <c r="AM846" s="19"/>
      <c r="AN846" s="1">
        <f>value(IFERROR(SUBSTITUTE(SUBSTITUTE(VLOOKUP($A846,'Quarterly Pipeline vs Target Pi'!$A:$AP,26,false)," $","")," €",""), "")
)</f>
        <v>0</v>
      </c>
      <c r="AO846" s="1">
        <f>value(IFERROR(SUBSTITUTE(SUBSTITUTE(VLOOKUP($A846,'Quarterly Pipeline vs Target Pi'!$A:$AP,27,false)," $","")," €",""), "")
)</f>
        <v>0</v>
      </c>
      <c r="AP846" s="17" t="str">
        <f t="shared" si="15"/>
        <v/>
      </c>
      <c r="AQ846" s="1">
        <f>value(IFERROR(SUBSTITUTE(SUBSTITUTE(VLOOKUP($A846,'Quarterly Pipeline vs Target Pi'!$A:$AP,31,false)," $","")," €",""), "")
)</f>
        <v>0</v>
      </c>
      <c r="AR846" s="1">
        <f>value(IFERROR(SUBSTITUTE(SUBSTITUTE(VLOOKUP($A846,'Quarterly Pipeline vs Target Pi'!$A:$AP,32,false)," $","")," €",""), "")
)</f>
        <v>0</v>
      </c>
      <c r="AS846" s="17" t="str">
        <f t="shared" si="16"/>
        <v/>
      </c>
      <c r="AT846" s="1">
        <f>value(IFERROR(SUBSTITUTE(SUBSTITUTE(VLOOKUP($A846,'Quarterly Pipeline vs Target Pi'!$A:$AP,36,false)," $","")," €",""), "")
)</f>
        <v>0</v>
      </c>
      <c r="AU846" s="1">
        <f>value(IFERROR(SUBSTITUTE(SUBSTITUTE(VLOOKUP($A846,'Quarterly Pipeline vs Target Pi'!$A:$AP,37,false)," $","")," €",""), "")
)</f>
        <v>0</v>
      </c>
      <c r="AV846" s="17" t="str">
        <f t="shared" si="17"/>
        <v/>
      </c>
      <c r="AW846" s="1">
        <f>value(IFERROR(SUBSTITUTE(SUBSTITUTE(VLOOKUP($A846,'Quarterly Pipeline vs Target Pi'!$A:$AP,41,false)," $","")," €",""), "")
)</f>
        <v>0</v>
      </c>
      <c r="AX846" s="1">
        <f>value(IFERROR(SUBSTITUTE(SUBSTITUTE(VLOOKUP($A846,'Quarterly Pipeline vs Target Pi'!$A:$AP,42,false)," $","")," €",""), "")
)</f>
        <v>0</v>
      </c>
      <c r="AY846" s="17" t="str">
        <f t="shared" si="18"/>
        <v/>
      </c>
      <c r="AZ846" s="1">
        <f t="shared" ref="AZ846:BA846" si="1568">sum(AN846,AQ846,AT846,AW846)</f>
        <v>0</v>
      </c>
      <c r="BA846" s="1">
        <f t="shared" si="1568"/>
        <v>0</v>
      </c>
      <c r="BB846" s="17" t="str">
        <f t="shared" si="20"/>
        <v/>
      </c>
    </row>
    <row r="847">
      <c r="I847" s="17"/>
      <c r="L847" s="17"/>
      <c r="O847" s="17"/>
      <c r="X847" s="17"/>
      <c r="AA847" s="17"/>
      <c r="AD847" s="19"/>
      <c r="AG847" s="19"/>
      <c r="AJ847" s="19"/>
      <c r="AM847" s="19"/>
      <c r="AN847" s="1">
        <f>value(IFERROR(SUBSTITUTE(SUBSTITUTE(VLOOKUP($A847,'Quarterly Pipeline vs Target Pi'!$A:$AP,26,false)," $","")," €",""), "")
)</f>
        <v>0</v>
      </c>
      <c r="AO847" s="1">
        <f>value(IFERROR(SUBSTITUTE(SUBSTITUTE(VLOOKUP($A847,'Quarterly Pipeline vs Target Pi'!$A:$AP,27,false)," $","")," €",""), "")
)</f>
        <v>0</v>
      </c>
      <c r="AP847" s="17" t="str">
        <f t="shared" si="15"/>
        <v/>
      </c>
      <c r="AQ847" s="1">
        <f>value(IFERROR(SUBSTITUTE(SUBSTITUTE(VLOOKUP($A847,'Quarterly Pipeline vs Target Pi'!$A:$AP,31,false)," $","")," €",""), "")
)</f>
        <v>0</v>
      </c>
      <c r="AR847" s="1">
        <f>value(IFERROR(SUBSTITUTE(SUBSTITUTE(VLOOKUP($A847,'Quarterly Pipeline vs Target Pi'!$A:$AP,32,false)," $","")," €",""), "")
)</f>
        <v>0</v>
      </c>
      <c r="AS847" s="17" t="str">
        <f t="shared" si="16"/>
        <v/>
      </c>
      <c r="AT847" s="1">
        <f>value(IFERROR(SUBSTITUTE(SUBSTITUTE(VLOOKUP($A847,'Quarterly Pipeline vs Target Pi'!$A:$AP,36,false)," $","")," €",""), "")
)</f>
        <v>0</v>
      </c>
      <c r="AU847" s="1">
        <f>value(IFERROR(SUBSTITUTE(SUBSTITUTE(VLOOKUP($A847,'Quarterly Pipeline vs Target Pi'!$A:$AP,37,false)," $","")," €",""), "")
)</f>
        <v>0</v>
      </c>
      <c r="AV847" s="17" t="str">
        <f t="shared" si="17"/>
        <v/>
      </c>
      <c r="AW847" s="1">
        <f>value(IFERROR(SUBSTITUTE(SUBSTITUTE(VLOOKUP($A847,'Quarterly Pipeline vs Target Pi'!$A:$AP,41,false)," $","")," €",""), "")
)</f>
        <v>0</v>
      </c>
      <c r="AX847" s="1">
        <f>value(IFERROR(SUBSTITUTE(SUBSTITUTE(VLOOKUP($A847,'Quarterly Pipeline vs Target Pi'!$A:$AP,42,false)," $","")," €",""), "")
)</f>
        <v>0</v>
      </c>
      <c r="AY847" s="17" t="str">
        <f t="shared" si="18"/>
        <v/>
      </c>
      <c r="AZ847" s="1">
        <f t="shared" ref="AZ847:BA847" si="1569">sum(AN847,AQ847,AT847,AW847)</f>
        <v>0</v>
      </c>
      <c r="BA847" s="1">
        <f t="shared" si="1569"/>
        <v>0</v>
      </c>
      <c r="BB847" s="17" t="str">
        <f t="shared" si="20"/>
        <v/>
      </c>
    </row>
    <row r="848">
      <c r="I848" s="17"/>
      <c r="L848" s="17"/>
      <c r="O848" s="17"/>
      <c r="X848" s="17"/>
      <c r="AA848" s="17"/>
      <c r="AD848" s="19"/>
      <c r="AG848" s="19"/>
      <c r="AJ848" s="19"/>
      <c r="AM848" s="19"/>
      <c r="AN848" s="1">
        <f>value(IFERROR(SUBSTITUTE(SUBSTITUTE(VLOOKUP($A848,'Quarterly Pipeline vs Target Pi'!$A:$AP,26,false)," $","")," €",""), "")
)</f>
        <v>0</v>
      </c>
      <c r="AO848" s="1">
        <f>value(IFERROR(SUBSTITUTE(SUBSTITUTE(VLOOKUP($A848,'Quarterly Pipeline vs Target Pi'!$A:$AP,27,false)," $","")," €",""), "")
)</f>
        <v>0</v>
      </c>
      <c r="AP848" s="17" t="str">
        <f t="shared" si="15"/>
        <v/>
      </c>
      <c r="AQ848" s="1">
        <f>value(IFERROR(SUBSTITUTE(SUBSTITUTE(VLOOKUP($A848,'Quarterly Pipeline vs Target Pi'!$A:$AP,31,false)," $","")," €",""), "")
)</f>
        <v>0</v>
      </c>
      <c r="AR848" s="1">
        <f>value(IFERROR(SUBSTITUTE(SUBSTITUTE(VLOOKUP($A848,'Quarterly Pipeline vs Target Pi'!$A:$AP,32,false)," $","")," €",""), "")
)</f>
        <v>0</v>
      </c>
      <c r="AS848" s="17" t="str">
        <f t="shared" si="16"/>
        <v/>
      </c>
      <c r="AT848" s="1">
        <f>value(IFERROR(SUBSTITUTE(SUBSTITUTE(VLOOKUP($A848,'Quarterly Pipeline vs Target Pi'!$A:$AP,36,false)," $","")," €",""), "")
)</f>
        <v>0</v>
      </c>
      <c r="AU848" s="1">
        <f>value(IFERROR(SUBSTITUTE(SUBSTITUTE(VLOOKUP($A848,'Quarterly Pipeline vs Target Pi'!$A:$AP,37,false)," $","")," €",""), "")
)</f>
        <v>0</v>
      </c>
      <c r="AV848" s="17" t="str">
        <f t="shared" si="17"/>
        <v/>
      </c>
      <c r="AW848" s="1">
        <f>value(IFERROR(SUBSTITUTE(SUBSTITUTE(VLOOKUP($A848,'Quarterly Pipeline vs Target Pi'!$A:$AP,41,false)," $","")," €",""), "")
)</f>
        <v>0</v>
      </c>
      <c r="AX848" s="1">
        <f>value(IFERROR(SUBSTITUTE(SUBSTITUTE(VLOOKUP($A848,'Quarterly Pipeline vs Target Pi'!$A:$AP,42,false)," $","")," €",""), "")
)</f>
        <v>0</v>
      </c>
      <c r="AY848" s="17" t="str">
        <f t="shared" si="18"/>
        <v/>
      </c>
      <c r="AZ848" s="1">
        <f t="shared" ref="AZ848:BA848" si="1570">sum(AN848,AQ848,AT848,AW848)</f>
        <v>0</v>
      </c>
      <c r="BA848" s="1">
        <f t="shared" si="1570"/>
        <v>0</v>
      </c>
      <c r="BB848" s="17" t="str">
        <f t="shared" si="20"/>
        <v/>
      </c>
    </row>
    <row r="849">
      <c r="I849" s="17"/>
      <c r="L849" s="17"/>
      <c r="O849" s="17"/>
      <c r="X849" s="17"/>
      <c r="AA849" s="17"/>
      <c r="AD849" s="19"/>
      <c r="AG849" s="19"/>
      <c r="AJ849" s="19"/>
      <c r="AM849" s="19"/>
      <c r="AN849" s="1">
        <f>value(IFERROR(SUBSTITUTE(SUBSTITUTE(VLOOKUP($A849,'Quarterly Pipeline vs Target Pi'!$A:$AP,26,false)," $","")," €",""), "")
)</f>
        <v>0</v>
      </c>
      <c r="AO849" s="1">
        <f>value(IFERROR(SUBSTITUTE(SUBSTITUTE(VLOOKUP($A849,'Quarterly Pipeline vs Target Pi'!$A:$AP,27,false)," $","")," €",""), "")
)</f>
        <v>0</v>
      </c>
      <c r="AP849" s="17" t="str">
        <f t="shared" si="15"/>
        <v/>
      </c>
      <c r="AQ849" s="1">
        <f>value(IFERROR(SUBSTITUTE(SUBSTITUTE(VLOOKUP($A849,'Quarterly Pipeline vs Target Pi'!$A:$AP,31,false)," $","")," €",""), "")
)</f>
        <v>0</v>
      </c>
      <c r="AR849" s="1">
        <f>value(IFERROR(SUBSTITUTE(SUBSTITUTE(VLOOKUP($A849,'Quarterly Pipeline vs Target Pi'!$A:$AP,32,false)," $","")," €",""), "")
)</f>
        <v>0</v>
      </c>
      <c r="AS849" s="17" t="str">
        <f t="shared" si="16"/>
        <v/>
      </c>
      <c r="AT849" s="1">
        <f>value(IFERROR(SUBSTITUTE(SUBSTITUTE(VLOOKUP($A849,'Quarterly Pipeline vs Target Pi'!$A:$AP,36,false)," $","")," €",""), "")
)</f>
        <v>0</v>
      </c>
      <c r="AU849" s="1">
        <f>value(IFERROR(SUBSTITUTE(SUBSTITUTE(VLOOKUP($A849,'Quarterly Pipeline vs Target Pi'!$A:$AP,37,false)," $","")," €",""), "")
)</f>
        <v>0</v>
      </c>
      <c r="AV849" s="17" t="str">
        <f t="shared" si="17"/>
        <v/>
      </c>
      <c r="AW849" s="1">
        <f>value(IFERROR(SUBSTITUTE(SUBSTITUTE(VLOOKUP($A849,'Quarterly Pipeline vs Target Pi'!$A:$AP,41,false)," $","")," €",""), "")
)</f>
        <v>0</v>
      </c>
      <c r="AX849" s="1">
        <f>value(IFERROR(SUBSTITUTE(SUBSTITUTE(VLOOKUP($A849,'Quarterly Pipeline vs Target Pi'!$A:$AP,42,false)," $","")," €",""), "")
)</f>
        <v>0</v>
      </c>
      <c r="AY849" s="17" t="str">
        <f t="shared" si="18"/>
        <v/>
      </c>
      <c r="AZ849" s="1">
        <f t="shared" ref="AZ849:BA849" si="1571">sum(AN849,AQ849,AT849,AW849)</f>
        <v>0</v>
      </c>
      <c r="BA849" s="1">
        <f t="shared" si="1571"/>
        <v>0</v>
      </c>
      <c r="BB849" s="17" t="str">
        <f t="shared" si="20"/>
        <v/>
      </c>
    </row>
    <row r="850">
      <c r="I850" s="17"/>
      <c r="L850" s="17"/>
      <c r="O850" s="17"/>
      <c r="X850" s="17"/>
      <c r="AA850" s="17"/>
      <c r="AD850" s="19"/>
      <c r="AG850" s="19"/>
      <c r="AJ850" s="19"/>
      <c r="AM850" s="19"/>
      <c r="AN850" s="1">
        <f>value(IFERROR(SUBSTITUTE(SUBSTITUTE(VLOOKUP($A850,'Quarterly Pipeline vs Target Pi'!$A:$AP,26,false)," $","")," €",""), "")
)</f>
        <v>0</v>
      </c>
      <c r="AO850" s="1">
        <f>value(IFERROR(SUBSTITUTE(SUBSTITUTE(VLOOKUP($A850,'Quarterly Pipeline vs Target Pi'!$A:$AP,27,false)," $","")," €",""), "")
)</f>
        <v>0</v>
      </c>
      <c r="AP850" s="17" t="str">
        <f t="shared" si="15"/>
        <v/>
      </c>
      <c r="AQ850" s="1">
        <f>value(IFERROR(SUBSTITUTE(SUBSTITUTE(VLOOKUP($A850,'Quarterly Pipeline vs Target Pi'!$A:$AP,31,false)," $","")," €",""), "")
)</f>
        <v>0</v>
      </c>
      <c r="AR850" s="1">
        <f>value(IFERROR(SUBSTITUTE(SUBSTITUTE(VLOOKUP($A850,'Quarterly Pipeline vs Target Pi'!$A:$AP,32,false)," $","")," €",""), "")
)</f>
        <v>0</v>
      </c>
      <c r="AS850" s="17" t="str">
        <f t="shared" si="16"/>
        <v/>
      </c>
      <c r="AT850" s="1">
        <f>value(IFERROR(SUBSTITUTE(SUBSTITUTE(VLOOKUP($A850,'Quarterly Pipeline vs Target Pi'!$A:$AP,36,false)," $","")," €",""), "")
)</f>
        <v>0</v>
      </c>
      <c r="AU850" s="1">
        <f>value(IFERROR(SUBSTITUTE(SUBSTITUTE(VLOOKUP($A850,'Quarterly Pipeline vs Target Pi'!$A:$AP,37,false)," $","")," €",""), "")
)</f>
        <v>0</v>
      </c>
      <c r="AV850" s="17" t="str">
        <f t="shared" si="17"/>
        <v/>
      </c>
      <c r="AW850" s="1">
        <f>value(IFERROR(SUBSTITUTE(SUBSTITUTE(VLOOKUP($A850,'Quarterly Pipeline vs Target Pi'!$A:$AP,41,false)," $","")," €",""), "")
)</f>
        <v>0</v>
      </c>
      <c r="AX850" s="1">
        <f>value(IFERROR(SUBSTITUTE(SUBSTITUTE(VLOOKUP($A850,'Quarterly Pipeline vs Target Pi'!$A:$AP,42,false)," $","")," €",""), "")
)</f>
        <v>0</v>
      </c>
      <c r="AY850" s="17" t="str">
        <f t="shared" si="18"/>
        <v/>
      </c>
      <c r="AZ850" s="1">
        <f t="shared" ref="AZ850:BA850" si="1572">sum(AN850,AQ850,AT850,AW850)</f>
        <v>0</v>
      </c>
      <c r="BA850" s="1">
        <f t="shared" si="1572"/>
        <v>0</v>
      </c>
      <c r="BB850" s="17" t="str">
        <f t="shared" si="20"/>
        <v/>
      </c>
    </row>
    <row r="851">
      <c r="I851" s="17"/>
      <c r="L851" s="17"/>
      <c r="O851" s="17"/>
      <c r="X851" s="17"/>
      <c r="AA851" s="17"/>
      <c r="AD851" s="19"/>
      <c r="AG851" s="19"/>
      <c r="AJ851" s="19"/>
      <c r="AM851" s="19"/>
      <c r="AN851" s="1">
        <f>value(IFERROR(SUBSTITUTE(SUBSTITUTE(VLOOKUP($A851,'Quarterly Pipeline vs Target Pi'!$A:$AP,26,false)," $","")," €",""), "")
)</f>
        <v>0</v>
      </c>
      <c r="AO851" s="1">
        <f>value(IFERROR(SUBSTITUTE(SUBSTITUTE(VLOOKUP($A851,'Quarterly Pipeline vs Target Pi'!$A:$AP,27,false)," $","")," €",""), "")
)</f>
        <v>0</v>
      </c>
      <c r="AP851" s="17" t="str">
        <f t="shared" si="15"/>
        <v/>
      </c>
      <c r="AQ851" s="1">
        <f>value(IFERROR(SUBSTITUTE(SUBSTITUTE(VLOOKUP($A851,'Quarterly Pipeline vs Target Pi'!$A:$AP,31,false)," $","")," €",""), "")
)</f>
        <v>0</v>
      </c>
      <c r="AR851" s="1">
        <f>value(IFERROR(SUBSTITUTE(SUBSTITUTE(VLOOKUP($A851,'Quarterly Pipeline vs Target Pi'!$A:$AP,32,false)," $","")," €",""), "")
)</f>
        <v>0</v>
      </c>
      <c r="AS851" s="17" t="str">
        <f t="shared" si="16"/>
        <v/>
      </c>
      <c r="AT851" s="1">
        <f>value(IFERROR(SUBSTITUTE(SUBSTITUTE(VLOOKUP($A851,'Quarterly Pipeline vs Target Pi'!$A:$AP,36,false)," $","")," €",""), "")
)</f>
        <v>0</v>
      </c>
      <c r="AU851" s="1">
        <f>value(IFERROR(SUBSTITUTE(SUBSTITUTE(VLOOKUP($A851,'Quarterly Pipeline vs Target Pi'!$A:$AP,37,false)," $","")," €",""), "")
)</f>
        <v>0</v>
      </c>
      <c r="AV851" s="17" t="str">
        <f t="shared" si="17"/>
        <v/>
      </c>
      <c r="AW851" s="1">
        <f>value(IFERROR(SUBSTITUTE(SUBSTITUTE(VLOOKUP($A851,'Quarterly Pipeline vs Target Pi'!$A:$AP,41,false)," $","")," €",""), "")
)</f>
        <v>0</v>
      </c>
      <c r="AX851" s="1">
        <f>value(IFERROR(SUBSTITUTE(SUBSTITUTE(VLOOKUP($A851,'Quarterly Pipeline vs Target Pi'!$A:$AP,42,false)," $","")," €",""), "")
)</f>
        <v>0</v>
      </c>
      <c r="AY851" s="17" t="str">
        <f t="shared" si="18"/>
        <v/>
      </c>
      <c r="AZ851" s="1">
        <f t="shared" ref="AZ851:BA851" si="1573">sum(AN851,AQ851,AT851,AW851)</f>
        <v>0</v>
      </c>
      <c r="BA851" s="1">
        <f t="shared" si="1573"/>
        <v>0</v>
      </c>
      <c r="BB851" s="17" t="str">
        <f t="shared" si="20"/>
        <v/>
      </c>
    </row>
    <row r="852">
      <c r="I852" s="17"/>
      <c r="L852" s="17"/>
      <c r="O852" s="17"/>
      <c r="X852" s="17"/>
      <c r="AA852" s="17"/>
      <c r="AD852" s="19"/>
      <c r="AG852" s="19"/>
      <c r="AJ852" s="19"/>
      <c r="AM852" s="19"/>
      <c r="AN852" s="1">
        <f>value(IFERROR(SUBSTITUTE(SUBSTITUTE(VLOOKUP($A852,'Quarterly Pipeline vs Target Pi'!$A:$AP,26,false)," $","")," €",""), "")
)</f>
        <v>0</v>
      </c>
      <c r="AO852" s="1">
        <f>value(IFERROR(SUBSTITUTE(SUBSTITUTE(VLOOKUP($A852,'Quarterly Pipeline vs Target Pi'!$A:$AP,27,false)," $","")," €",""), "")
)</f>
        <v>0</v>
      </c>
      <c r="AP852" s="17" t="str">
        <f t="shared" si="15"/>
        <v/>
      </c>
      <c r="AQ852" s="1">
        <f>value(IFERROR(SUBSTITUTE(SUBSTITUTE(VLOOKUP($A852,'Quarterly Pipeline vs Target Pi'!$A:$AP,31,false)," $","")," €",""), "")
)</f>
        <v>0</v>
      </c>
      <c r="AR852" s="1">
        <f>value(IFERROR(SUBSTITUTE(SUBSTITUTE(VLOOKUP($A852,'Quarterly Pipeline vs Target Pi'!$A:$AP,32,false)," $","")," €",""), "")
)</f>
        <v>0</v>
      </c>
      <c r="AS852" s="17" t="str">
        <f t="shared" si="16"/>
        <v/>
      </c>
      <c r="AT852" s="1">
        <f>value(IFERROR(SUBSTITUTE(SUBSTITUTE(VLOOKUP($A852,'Quarterly Pipeline vs Target Pi'!$A:$AP,36,false)," $","")," €",""), "")
)</f>
        <v>0</v>
      </c>
      <c r="AU852" s="1">
        <f>value(IFERROR(SUBSTITUTE(SUBSTITUTE(VLOOKUP($A852,'Quarterly Pipeline vs Target Pi'!$A:$AP,37,false)," $","")," €",""), "")
)</f>
        <v>0</v>
      </c>
      <c r="AV852" s="17" t="str">
        <f t="shared" si="17"/>
        <v/>
      </c>
      <c r="AW852" s="1">
        <f>value(IFERROR(SUBSTITUTE(SUBSTITUTE(VLOOKUP($A852,'Quarterly Pipeline vs Target Pi'!$A:$AP,41,false)," $","")," €",""), "")
)</f>
        <v>0</v>
      </c>
      <c r="AX852" s="1">
        <f>value(IFERROR(SUBSTITUTE(SUBSTITUTE(VLOOKUP($A852,'Quarterly Pipeline vs Target Pi'!$A:$AP,42,false)," $","")," €",""), "")
)</f>
        <v>0</v>
      </c>
      <c r="AY852" s="17" t="str">
        <f t="shared" si="18"/>
        <v/>
      </c>
      <c r="AZ852" s="1">
        <f t="shared" ref="AZ852:BA852" si="1574">sum(AN852,AQ852,AT852,AW852)</f>
        <v>0</v>
      </c>
      <c r="BA852" s="1">
        <f t="shared" si="1574"/>
        <v>0</v>
      </c>
      <c r="BB852" s="17" t="str">
        <f t="shared" si="20"/>
        <v/>
      </c>
    </row>
    <row r="853">
      <c r="I853" s="17"/>
      <c r="L853" s="17"/>
      <c r="O853" s="17"/>
      <c r="X853" s="17"/>
      <c r="AA853" s="17"/>
      <c r="AD853" s="19"/>
      <c r="AG853" s="19"/>
      <c r="AJ853" s="19"/>
      <c r="AM853" s="19"/>
      <c r="AN853" s="1">
        <f>value(IFERROR(SUBSTITUTE(SUBSTITUTE(VLOOKUP($A853,'Quarterly Pipeline vs Target Pi'!$A:$AP,26,false)," $","")," €",""), "")
)</f>
        <v>0</v>
      </c>
      <c r="AO853" s="1">
        <f>value(IFERROR(SUBSTITUTE(SUBSTITUTE(VLOOKUP($A853,'Quarterly Pipeline vs Target Pi'!$A:$AP,27,false)," $","")," €",""), "")
)</f>
        <v>0</v>
      </c>
      <c r="AP853" s="17" t="str">
        <f t="shared" si="15"/>
        <v/>
      </c>
      <c r="AQ853" s="1">
        <f>value(IFERROR(SUBSTITUTE(SUBSTITUTE(VLOOKUP($A853,'Quarterly Pipeline vs Target Pi'!$A:$AP,31,false)," $","")," €",""), "")
)</f>
        <v>0</v>
      </c>
      <c r="AR853" s="1">
        <f>value(IFERROR(SUBSTITUTE(SUBSTITUTE(VLOOKUP($A853,'Quarterly Pipeline vs Target Pi'!$A:$AP,32,false)," $","")," €",""), "")
)</f>
        <v>0</v>
      </c>
      <c r="AS853" s="17" t="str">
        <f t="shared" si="16"/>
        <v/>
      </c>
      <c r="AT853" s="1">
        <f>value(IFERROR(SUBSTITUTE(SUBSTITUTE(VLOOKUP($A853,'Quarterly Pipeline vs Target Pi'!$A:$AP,36,false)," $","")," €",""), "")
)</f>
        <v>0</v>
      </c>
      <c r="AU853" s="1">
        <f>value(IFERROR(SUBSTITUTE(SUBSTITUTE(VLOOKUP($A853,'Quarterly Pipeline vs Target Pi'!$A:$AP,37,false)," $","")," €",""), "")
)</f>
        <v>0</v>
      </c>
      <c r="AV853" s="17" t="str">
        <f t="shared" si="17"/>
        <v/>
      </c>
      <c r="AW853" s="1">
        <f>value(IFERROR(SUBSTITUTE(SUBSTITUTE(VLOOKUP($A853,'Quarterly Pipeline vs Target Pi'!$A:$AP,41,false)," $","")," €",""), "")
)</f>
        <v>0</v>
      </c>
      <c r="AX853" s="1">
        <f>value(IFERROR(SUBSTITUTE(SUBSTITUTE(VLOOKUP($A853,'Quarterly Pipeline vs Target Pi'!$A:$AP,42,false)," $","")," €",""), "")
)</f>
        <v>0</v>
      </c>
      <c r="AY853" s="17" t="str">
        <f t="shared" si="18"/>
        <v/>
      </c>
      <c r="AZ853" s="1">
        <f t="shared" ref="AZ853:BA853" si="1575">sum(AN853,AQ853,AT853,AW853)</f>
        <v>0</v>
      </c>
      <c r="BA853" s="1">
        <f t="shared" si="1575"/>
        <v>0</v>
      </c>
      <c r="BB853" s="17" t="str">
        <f t="shared" si="20"/>
        <v/>
      </c>
    </row>
    <row r="854">
      <c r="I854" s="17"/>
      <c r="L854" s="17"/>
      <c r="O854" s="17"/>
      <c r="X854" s="17"/>
      <c r="AA854" s="17"/>
      <c r="AD854" s="19"/>
      <c r="AG854" s="19"/>
      <c r="AJ854" s="19"/>
      <c r="AM854" s="19"/>
      <c r="AN854" s="1">
        <f>value(IFERROR(SUBSTITUTE(SUBSTITUTE(VLOOKUP($A854,'Quarterly Pipeline vs Target Pi'!$A:$AP,26,false)," $","")," €",""), "")
)</f>
        <v>0</v>
      </c>
      <c r="AO854" s="1">
        <f>value(IFERROR(SUBSTITUTE(SUBSTITUTE(VLOOKUP($A854,'Quarterly Pipeline vs Target Pi'!$A:$AP,27,false)," $","")," €",""), "")
)</f>
        <v>0</v>
      </c>
      <c r="AP854" s="17" t="str">
        <f t="shared" si="15"/>
        <v/>
      </c>
      <c r="AQ854" s="1">
        <f>value(IFERROR(SUBSTITUTE(SUBSTITUTE(VLOOKUP($A854,'Quarterly Pipeline vs Target Pi'!$A:$AP,31,false)," $","")," €",""), "")
)</f>
        <v>0</v>
      </c>
      <c r="AR854" s="1">
        <f>value(IFERROR(SUBSTITUTE(SUBSTITUTE(VLOOKUP($A854,'Quarterly Pipeline vs Target Pi'!$A:$AP,32,false)," $","")," €",""), "")
)</f>
        <v>0</v>
      </c>
      <c r="AS854" s="17" t="str">
        <f t="shared" si="16"/>
        <v/>
      </c>
      <c r="AT854" s="1">
        <f>value(IFERROR(SUBSTITUTE(SUBSTITUTE(VLOOKUP($A854,'Quarterly Pipeline vs Target Pi'!$A:$AP,36,false)," $","")," €",""), "")
)</f>
        <v>0</v>
      </c>
      <c r="AU854" s="1">
        <f>value(IFERROR(SUBSTITUTE(SUBSTITUTE(VLOOKUP($A854,'Quarterly Pipeline vs Target Pi'!$A:$AP,37,false)," $","")," €",""), "")
)</f>
        <v>0</v>
      </c>
      <c r="AV854" s="17" t="str">
        <f t="shared" si="17"/>
        <v/>
      </c>
      <c r="AW854" s="1">
        <f>value(IFERROR(SUBSTITUTE(SUBSTITUTE(VLOOKUP($A854,'Quarterly Pipeline vs Target Pi'!$A:$AP,41,false)," $","")," €",""), "")
)</f>
        <v>0</v>
      </c>
      <c r="AX854" s="1">
        <f>value(IFERROR(SUBSTITUTE(SUBSTITUTE(VLOOKUP($A854,'Quarterly Pipeline vs Target Pi'!$A:$AP,42,false)," $","")," €",""), "")
)</f>
        <v>0</v>
      </c>
      <c r="AY854" s="17" t="str">
        <f t="shared" si="18"/>
        <v/>
      </c>
      <c r="AZ854" s="1">
        <f t="shared" ref="AZ854:BA854" si="1576">sum(AN854,AQ854,AT854,AW854)</f>
        <v>0</v>
      </c>
      <c r="BA854" s="1">
        <f t="shared" si="1576"/>
        <v>0</v>
      </c>
      <c r="BB854" s="17" t="str">
        <f t="shared" si="20"/>
        <v/>
      </c>
    </row>
    <row r="855">
      <c r="I855" s="17"/>
      <c r="L855" s="17"/>
      <c r="O855" s="17"/>
      <c r="X855" s="17"/>
      <c r="AA855" s="17"/>
      <c r="AD855" s="19"/>
      <c r="AG855" s="19"/>
      <c r="AJ855" s="19"/>
      <c r="AM855" s="19"/>
      <c r="AN855" s="1">
        <f>value(IFERROR(SUBSTITUTE(SUBSTITUTE(VLOOKUP($A855,'Quarterly Pipeline vs Target Pi'!$A:$AP,26,false)," $","")," €",""), "")
)</f>
        <v>0</v>
      </c>
      <c r="AO855" s="1">
        <f>value(IFERROR(SUBSTITUTE(SUBSTITUTE(VLOOKUP($A855,'Quarterly Pipeline vs Target Pi'!$A:$AP,27,false)," $","")," €",""), "")
)</f>
        <v>0</v>
      </c>
      <c r="AP855" s="17" t="str">
        <f t="shared" si="15"/>
        <v/>
      </c>
      <c r="AQ855" s="1">
        <f>value(IFERROR(SUBSTITUTE(SUBSTITUTE(VLOOKUP($A855,'Quarterly Pipeline vs Target Pi'!$A:$AP,31,false)," $","")," €",""), "")
)</f>
        <v>0</v>
      </c>
      <c r="AR855" s="1">
        <f>value(IFERROR(SUBSTITUTE(SUBSTITUTE(VLOOKUP($A855,'Quarterly Pipeline vs Target Pi'!$A:$AP,32,false)," $","")," €",""), "")
)</f>
        <v>0</v>
      </c>
      <c r="AS855" s="17" t="str">
        <f t="shared" si="16"/>
        <v/>
      </c>
      <c r="AT855" s="1">
        <f>value(IFERROR(SUBSTITUTE(SUBSTITUTE(VLOOKUP($A855,'Quarterly Pipeline vs Target Pi'!$A:$AP,36,false)," $","")," €",""), "")
)</f>
        <v>0</v>
      </c>
      <c r="AU855" s="1">
        <f>value(IFERROR(SUBSTITUTE(SUBSTITUTE(VLOOKUP($A855,'Quarterly Pipeline vs Target Pi'!$A:$AP,37,false)," $","")," €",""), "")
)</f>
        <v>0</v>
      </c>
      <c r="AV855" s="17" t="str">
        <f t="shared" si="17"/>
        <v/>
      </c>
      <c r="AW855" s="1">
        <f>value(IFERROR(SUBSTITUTE(SUBSTITUTE(VLOOKUP($A855,'Quarterly Pipeline vs Target Pi'!$A:$AP,41,false)," $","")," €",""), "")
)</f>
        <v>0</v>
      </c>
      <c r="AX855" s="1">
        <f>value(IFERROR(SUBSTITUTE(SUBSTITUTE(VLOOKUP($A855,'Quarterly Pipeline vs Target Pi'!$A:$AP,42,false)," $","")," €",""), "")
)</f>
        <v>0</v>
      </c>
      <c r="AY855" s="17" t="str">
        <f t="shared" si="18"/>
        <v/>
      </c>
      <c r="AZ855" s="1">
        <f t="shared" ref="AZ855:BA855" si="1577">sum(AN855,AQ855,AT855,AW855)</f>
        <v>0</v>
      </c>
      <c r="BA855" s="1">
        <f t="shared" si="1577"/>
        <v>0</v>
      </c>
      <c r="BB855" s="17" t="str">
        <f t="shared" si="20"/>
        <v/>
      </c>
    </row>
    <row r="856">
      <c r="I856" s="17"/>
      <c r="L856" s="17"/>
      <c r="O856" s="17"/>
      <c r="X856" s="17"/>
      <c r="AA856" s="17"/>
      <c r="AD856" s="19"/>
      <c r="AG856" s="19"/>
      <c r="AJ856" s="19"/>
      <c r="AM856" s="19"/>
      <c r="AN856" s="1">
        <f>value(IFERROR(SUBSTITUTE(SUBSTITUTE(VLOOKUP($A856,'Quarterly Pipeline vs Target Pi'!$A:$AP,26,false)," $","")," €",""), "")
)</f>
        <v>0</v>
      </c>
      <c r="AO856" s="1">
        <f>value(IFERROR(SUBSTITUTE(SUBSTITUTE(VLOOKUP($A856,'Quarterly Pipeline vs Target Pi'!$A:$AP,27,false)," $","")," €",""), "")
)</f>
        <v>0</v>
      </c>
      <c r="AP856" s="17" t="str">
        <f t="shared" si="15"/>
        <v/>
      </c>
      <c r="AQ856" s="1">
        <f>value(IFERROR(SUBSTITUTE(SUBSTITUTE(VLOOKUP($A856,'Quarterly Pipeline vs Target Pi'!$A:$AP,31,false)," $","")," €",""), "")
)</f>
        <v>0</v>
      </c>
      <c r="AR856" s="1">
        <f>value(IFERROR(SUBSTITUTE(SUBSTITUTE(VLOOKUP($A856,'Quarterly Pipeline vs Target Pi'!$A:$AP,32,false)," $","")," €",""), "")
)</f>
        <v>0</v>
      </c>
      <c r="AS856" s="17" t="str">
        <f t="shared" si="16"/>
        <v/>
      </c>
      <c r="AT856" s="1">
        <f>value(IFERROR(SUBSTITUTE(SUBSTITUTE(VLOOKUP($A856,'Quarterly Pipeline vs Target Pi'!$A:$AP,36,false)," $","")," €",""), "")
)</f>
        <v>0</v>
      </c>
      <c r="AU856" s="1">
        <f>value(IFERROR(SUBSTITUTE(SUBSTITUTE(VLOOKUP($A856,'Quarterly Pipeline vs Target Pi'!$A:$AP,37,false)," $","")," €",""), "")
)</f>
        <v>0</v>
      </c>
      <c r="AV856" s="17" t="str">
        <f t="shared" si="17"/>
        <v/>
      </c>
      <c r="AW856" s="1">
        <f>value(IFERROR(SUBSTITUTE(SUBSTITUTE(VLOOKUP($A856,'Quarterly Pipeline vs Target Pi'!$A:$AP,41,false)," $","")," €",""), "")
)</f>
        <v>0</v>
      </c>
      <c r="AX856" s="1">
        <f>value(IFERROR(SUBSTITUTE(SUBSTITUTE(VLOOKUP($A856,'Quarterly Pipeline vs Target Pi'!$A:$AP,42,false)," $","")," €",""), "")
)</f>
        <v>0</v>
      </c>
      <c r="AY856" s="17" t="str">
        <f t="shared" si="18"/>
        <v/>
      </c>
      <c r="AZ856" s="1">
        <f t="shared" ref="AZ856:BA856" si="1578">sum(AN856,AQ856,AT856,AW856)</f>
        <v>0</v>
      </c>
      <c r="BA856" s="1">
        <f t="shared" si="1578"/>
        <v>0</v>
      </c>
      <c r="BB856" s="17" t="str">
        <f t="shared" si="20"/>
        <v/>
      </c>
    </row>
    <row r="857">
      <c r="I857" s="17"/>
      <c r="L857" s="17"/>
      <c r="O857" s="17"/>
      <c r="X857" s="17"/>
      <c r="AA857" s="17"/>
      <c r="AD857" s="19"/>
      <c r="AG857" s="19"/>
      <c r="AJ857" s="19"/>
      <c r="AM857" s="19"/>
      <c r="AN857" s="1">
        <f>value(IFERROR(SUBSTITUTE(SUBSTITUTE(VLOOKUP($A857,'Quarterly Pipeline vs Target Pi'!$A:$AP,26,false)," $","")," €",""), "")
)</f>
        <v>0</v>
      </c>
      <c r="AO857" s="1">
        <f>value(IFERROR(SUBSTITUTE(SUBSTITUTE(VLOOKUP($A857,'Quarterly Pipeline vs Target Pi'!$A:$AP,27,false)," $","")," €",""), "")
)</f>
        <v>0</v>
      </c>
      <c r="AP857" s="17" t="str">
        <f t="shared" si="15"/>
        <v/>
      </c>
      <c r="AQ857" s="1">
        <f>value(IFERROR(SUBSTITUTE(SUBSTITUTE(VLOOKUP($A857,'Quarterly Pipeline vs Target Pi'!$A:$AP,31,false)," $","")," €",""), "")
)</f>
        <v>0</v>
      </c>
      <c r="AR857" s="1">
        <f>value(IFERROR(SUBSTITUTE(SUBSTITUTE(VLOOKUP($A857,'Quarterly Pipeline vs Target Pi'!$A:$AP,32,false)," $","")," €",""), "")
)</f>
        <v>0</v>
      </c>
      <c r="AS857" s="17" t="str">
        <f t="shared" si="16"/>
        <v/>
      </c>
      <c r="AT857" s="1">
        <f>value(IFERROR(SUBSTITUTE(SUBSTITUTE(VLOOKUP($A857,'Quarterly Pipeline vs Target Pi'!$A:$AP,36,false)," $","")," €",""), "")
)</f>
        <v>0</v>
      </c>
      <c r="AU857" s="1">
        <f>value(IFERROR(SUBSTITUTE(SUBSTITUTE(VLOOKUP($A857,'Quarterly Pipeline vs Target Pi'!$A:$AP,37,false)," $","")," €",""), "")
)</f>
        <v>0</v>
      </c>
      <c r="AV857" s="17" t="str">
        <f t="shared" si="17"/>
        <v/>
      </c>
      <c r="AW857" s="1">
        <f>value(IFERROR(SUBSTITUTE(SUBSTITUTE(VLOOKUP($A857,'Quarterly Pipeline vs Target Pi'!$A:$AP,41,false)," $","")," €",""), "")
)</f>
        <v>0</v>
      </c>
      <c r="AX857" s="1">
        <f>value(IFERROR(SUBSTITUTE(SUBSTITUTE(VLOOKUP($A857,'Quarterly Pipeline vs Target Pi'!$A:$AP,42,false)," $","")," €",""), "")
)</f>
        <v>0</v>
      </c>
      <c r="AY857" s="17" t="str">
        <f t="shared" si="18"/>
        <v/>
      </c>
      <c r="AZ857" s="1">
        <f t="shared" ref="AZ857:BA857" si="1579">sum(AN857,AQ857,AT857,AW857)</f>
        <v>0</v>
      </c>
      <c r="BA857" s="1">
        <f t="shared" si="1579"/>
        <v>0</v>
      </c>
      <c r="BB857" s="17" t="str">
        <f t="shared" si="20"/>
        <v/>
      </c>
    </row>
    <row r="858">
      <c r="I858" s="17"/>
      <c r="L858" s="17"/>
      <c r="O858" s="17"/>
      <c r="X858" s="17"/>
      <c r="AA858" s="17"/>
      <c r="AD858" s="19"/>
      <c r="AG858" s="19"/>
      <c r="AJ858" s="19"/>
      <c r="AM858" s="19"/>
      <c r="AN858" s="1">
        <f>value(IFERROR(SUBSTITUTE(SUBSTITUTE(VLOOKUP($A858,'Quarterly Pipeline vs Target Pi'!$A:$AP,26,false)," $","")," €",""), "")
)</f>
        <v>0</v>
      </c>
      <c r="AO858" s="1">
        <f>value(IFERROR(SUBSTITUTE(SUBSTITUTE(VLOOKUP($A858,'Quarterly Pipeline vs Target Pi'!$A:$AP,27,false)," $","")," €",""), "")
)</f>
        <v>0</v>
      </c>
      <c r="AP858" s="17" t="str">
        <f t="shared" si="15"/>
        <v/>
      </c>
      <c r="AQ858" s="1">
        <f>value(IFERROR(SUBSTITUTE(SUBSTITUTE(VLOOKUP($A858,'Quarterly Pipeline vs Target Pi'!$A:$AP,31,false)," $","")," €",""), "")
)</f>
        <v>0</v>
      </c>
      <c r="AR858" s="1">
        <f>value(IFERROR(SUBSTITUTE(SUBSTITUTE(VLOOKUP($A858,'Quarterly Pipeline vs Target Pi'!$A:$AP,32,false)," $","")," €",""), "")
)</f>
        <v>0</v>
      </c>
      <c r="AS858" s="17" t="str">
        <f t="shared" si="16"/>
        <v/>
      </c>
      <c r="AT858" s="1">
        <f>value(IFERROR(SUBSTITUTE(SUBSTITUTE(VLOOKUP($A858,'Quarterly Pipeline vs Target Pi'!$A:$AP,36,false)," $","")," €",""), "")
)</f>
        <v>0</v>
      </c>
      <c r="AU858" s="1">
        <f>value(IFERROR(SUBSTITUTE(SUBSTITUTE(VLOOKUP($A858,'Quarterly Pipeline vs Target Pi'!$A:$AP,37,false)," $","")," €",""), "")
)</f>
        <v>0</v>
      </c>
      <c r="AV858" s="17" t="str">
        <f t="shared" si="17"/>
        <v/>
      </c>
      <c r="AW858" s="1">
        <f>value(IFERROR(SUBSTITUTE(SUBSTITUTE(VLOOKUP($A858,'Quarterly Pipeline vs Target Pi'!$A:$AP,41,false)," $","")," €",""), "")
)</f>
        <v>0</v>
      </c>
      <c r="AX858" s="1">
        <f>value(IFERROR(SUBSTITUTE(SUBSTITUTE(VLOOKUP($A858,'Quarterly Pipeline vs Target Pi'!$A:$AP,42,false)," $","")," €",""), "")
)</f>
        <v>0</v>
      </c>
      <c r="AY858" s="17" t="str">
        <f t="shared" si="18"/>
        <v/>
      </c>
      <c r="AZ858" s="1">
        <f t="shared" ref="AZ858:BA858" si="1580">sum(AN858,AQ858,AT858,AW858)</f>
        <v>0</v>
      </c>
      <c r="BA858" s="1">
        <f t="shared" si="1580"/>
        <v>0</v>
      </c>
      <c r="BB858" s="17" t="str">
        <f t="shared" si="20"/>
        <v/>
      </c>
    </row>
    <row r="859">
      <c r="I859" s="17"/>
      <c r="L859" s="17"/>
      <c r="O859" s="17"/>
      <c r="X859" s="17"/>
      <c r="AA859" s="17"/>
      <c r="AD859" s="19"/>
      <c r="AG859" s="19"/>
      <c r="AJ859" s="19"/>
      <c r="AM859" s="19"/>
      <c r="AN859" s="1">
        <f>value(IFERROR(SUBSTITUTE(SUBSTITUTE(VLOOKUP($A859,'Quarterly Pipeline vs Target Pi'!$A:$AP,26,false)," $","")," €",""), "")
)</f>
        <v>0</v>
      </c>
      <c r="AO859" s="1">
        <f>value(IFERROR(SUBSTITUTE(SUBSTITUTE(VLOOKUP($A859,'Quarterly Pipeline vs Target Pi'!$A:$AP,27,false)," $","")," €",""), "")
)</f>
        <v>0</v>
      </c>
      <c r="AP859" s="17" t="str">
        <f t="shared" si="15"/>
        <v/>
      </c>
      <c r="AQ859" s="1">
        <f>value(IFERROR(SUBSTITUTE(SUBSTITUTE(VLOOKUP($A859,'Quarterly Pipeline vs Target Pi'!$A:$AP,31,false)," $","")," €",""), "")
)</f>
        <v>0</v>
      </c>
      <c r="AR859" s="1">
        <f>value(IFERROR(SUBSTITUTE(SUBSTITUTE(VLOOKUP($A859,'Quarterly Pipeline vs Target Pi'!$A:$AP,32,false)," $","")," €",""), "")
)</f>
        <v>0</v>
      </c>
      <c r="AS859" s="17" t="str">
        <f t="shared" si="16"/>
        <v/>
      </c>
      <c r="AT859" s="1">
        <f>value(IFERROR(SUBSTITUTE(SUBSTITUTE(VLOOKUP($A859,'Quarterly Pipeline vs Target Pi'!$A:$AP,36,false)," $","")," €",""), "")
)</f>
        <v>0</v>
      </c>
      <c r="AU859" s="1">
        <f>value(IFERROR(SUBSTITUTE(SUBSTITUTE(VLOOKUP($A859,'Quarterly Pipeline vs Target Pi'!$A:$AP,37,false)," $","")," €",""), "")
)</f>
        <v>0</v>
      </c>
      <c r="AV859" s="17" t="str">
        <f t="shared" si="17"/>
        <v/>
      </c>
      <c r="AW859" s="1">
        <f>value(IFERROR(SUBSTITUTE(SUBSTITUTE(VLOOKUP($A859,'Quarterly Pipeline vs Target Pi'!$A:$AP,41,false)," $","")," €",""), "")
)</f>
        <v>0</v>
      </c>
      <c r="AX859" s="1">
        <f>value(IFERROR(SUBSTITUTE(SUBSTITUTE(VLOOKUP($A859,'Quarterly Pipeline vs Target Pi'!$A:$AP,42,false)," $","")," €",""), "")
)</f>
        <v>0</v>
      </c>
      <c r="AY859" s="17" t="str">
        <f t="shared" si="18"/>
        <v/>
      </c>
      <c r="AZ859" s="1">
        <f t="shared" ref="AZ859:BA859" si="1581">sum(AN859,AQ859,AT859,AW859)</f>
        <v>0</v>
      </c>
      <c r="BA859" s="1">
        <f t="shared" si="1581"/>
        <v>0</v>
      </c>
      <c r="BB859" s="17" t="str">
        <f t="shared" si="20"/>
        <v/>
      </c>
    </row>
    <row r="860">
      <c r="I860" s="17"/>
      <c r="L860" s="17"/>
      <c r="O860" s="17"/>
      <c r="X860" s="17"/>
      <c r="AA860" s="17"/>
      <c r="AD860" s="19"/>
      <c r="AG860" s="19"/>
      <c r="AJ860" s="19"/>
      <c r="AM860" s="19"/>
      <c r="AN860" s="1">
        <f>value(IFERROR(SUBSTITUTE(SUBSTITUTE(VLOOKUP($A860,'Quarterly Pipeline vs Target Pi'!$A:$AP,26,false)," $","")," €",""), "")
)</f>
        <v>0</v>
      </c>
      <c r="AO860" s="1">
        <f>value(IFERROR(SUBSTITUTE(SUBSTITUTE(VLOOKUP($A860,'Quarterly Pipeline vs Target Pi'!$A:$AP,27,false)," $","")," €",""), "")
)</f>
        <v>0</v>
      </c>
      <c r="AP860" s="17" t="str">
        <f t="shared" si="15"/>
        <v/>
      </c>
      <c r="AQ860" s="1">
        <f>value(IFERROR(SUBSTITUTE(SUBSTITUTE(VLOOKUP($A860,'Quarterly Pipeline vs Target Pi'!$A:$AP,31,false)," $","")," €",""), "")
)</f>
        <v>0</v>
      </c>
      <c r="AR860" s="1">
        <f>value(IFERROR(SUBSTITUTE(SUBSTITUTE(VLOOKUP($A860,'Quarterly Pipeline vs Target Pi'!$A:$AP,32,false)," $","")," €",""), "")
)</f>
        <v>0</v>
      </c>
      <c r="AS860" s="17" t="str">
        <f t="shared" si="16"/>
        <v/>
      </c>
      <c r="AT860" s="1">
        <f>value(IFERROR(SUBSTITUTE(SUBSTITUTE(VLOOKUP($A860,'Quarterly Pipeline vs Target Pi'!$A:$AP,36,false)," $","")," €",""), "")
)</f>
        <v>0</v>
      </c>
      <c r="AU860" s="1">
        <f>value(IFERROR(SUBSTITUTE(SUBSTITUTE(VLOOKUP($A860,'Quarterly Pipeline vs Target Pi'!$A:$AP,37,false)," $","")," €",""), "")
)</f>
        <v>0</v>
      </c>
      <c r="AV860" s="17" t="str">
        <f t="shared" si="17"/>
        <v/>
      </c>
      <c r="AW860" s="1">
        <f>value(IFERROR(SUBSTITUTE(SUBSTITUTE(VLOOKUP($A860,'Quarterly Pipeline vs Target Pi'!$A:$AP,41,false)," $","")," €",""), "")
)</f>
        <v>0</v>
      </c>
      <c r="AX860" s="1">
        <f>value(IFERROR(SUBSTITUTE(SUBSTITUTE(VLOOKUP($A860,'Quarterly Pipeline vs Target Pi'!$A:$AP,42,false)," $","")," €",""), "")
)</f>
        <v>0</v>
      </c>
      <c r="AY860" s="17" t="str">
        <f t="shared" si="18"/>
        <v/>
      </c>
      <c r="AZ860" s="1">
        <f t="shared" ref="AZ860:BA860" si="1582">sum(AN860,AQ860,AT860,AW860)</f>
        <v>0</v>
      </c>
      <c r="BA860" s="1">
        <f t="shared" si="1582"/>
        <v>0</v>
      </c>
      <c r="BB860" s="17" t="str">
        <f t="shared" si="20"/>
        <v/>
      </c>
    </row>
    <row r="861">
      <c r="I861" s="17"/>
      <c r="L861" s="17"/>
      <c r="O861" s="17"/>
      <c r="X861" s="17"/>
      <c r="AA861" s="17"/>
      <c r="AD861" s="19"/>
      <c r="AG861" s="19"/>
      <c r="AJ861" s="19"/>
      <c r="AM861" s="19"/>
      <c r="AN861" s="1">
        <f>value(IFERROR(SUBSTITUTE(SUBSTITUTE(VLOOKUP($A861,'Quarterly Pipeline vs Target Pi'!$A:$AP,26,false)," $","")," €",""), "")
)</f>
        <v>0</v>
      </c>
      <c r="AO861" s="1">
        <f>value(IFERROR(SUBSTITUTE(SUBSTITUTE(VLOOKUP($A861,'Quarterly Pipeline vs Target Pi'!$A:$AP,27,false)," $","")," €",""), "")
)</f>
        <v>0</v>
      </c>
      <c r="AP861" s="17" t="str">
        <f t="shared" si="15"/>
        <v/>
      </c>
      <c r="AQ861" s="1">
        <f>value(IFERROR(SUBSTITUTE(SUBSTITUTE(VLOOKUP($A861,'Quarterly Pipeline vs Target Pi'!$A:$AP,31,false)," $","")," €",""), "")
)</f>
        <v>0</v>
      </c>
      <c r="AR861" s="1">
        <f>value(IFERROR(SUBSTITUTE(SUBSTITUTE(VLOOKUP($A861,'Quarterly Pipeline vs Target Pi'!$A:$AP,32,false)," $","")," €",""), "")
)</f>
        <v>0</v>
      </c>
      <c r="AS861" s="17" t="str">
        <f t="shared" si="16"/>
        <v/>
      </c>
      <c r="AT861" s="1">
        <f>value(IFERROR(SUBSTITUTE(SUBSTITUTE(VLOOKUP($A861,'Quarterly Pipeline vs Target Pi'!$A:$AP,36,false)," $","")," €",""), "")
)</f>
        <v>0</v>
      </c>
      <c r="AU861" s="1">
        <f>value(IFERROR(SUBSTITUTE(SUBSTITUTE(VLOOKUP($A861,'Quarterly Pipeline vs Target Pi'!$A:$AP,37,false)," $","")," €",""), "")
)</f>
        <v>0</v>
      </c>
      <c r="AV861" s="17" t="str">
        <f t="shared" si="17"/>
        <v/>
      </c>
      <c r="AW861" s="1">
        <f>value(IFERROR(SUBSTITUTE(SUBSTITUTE(VLOOKUP($A861,'Quarterly Pipeline vs Target Pi'!$A:$AP,41,false)," $","")," €",""), "")
)</f>
        <v>0</v>
      </c>
      <c r="AX861" s="1">
        <f>value(IFERROR(SUBSTITUTE(SUBSTITUTE(VLOOKUP($A861,'Quarterly Pipeline vs Target Pi'!$A:$AP,42,false)," $","")," €",""), "")
)</f>
        <v>0</v>
      </c>
      <c r="AY861" s="17" t="str">
        <f t="shared" si="18"/>
        <v/>
      </c>
      <c r="AZ861" s="1">
        <f t="shared" ref="AZ861:BA861" si="1583">sum(AN861,AQ861,AT861,AW861)</f>
        <v>0</v>
      </c>
      <c r="BA861" s="1">
        <f t="shared" si="1583"/>
        <v>0</v>
      </c>
      <c r="BB861" s="17" t="str">
        <f t="shared" si="20"/>
        <v/>
      </c>
    </row>
    <row r="862">
      <c r="I862" s="17"/>
      <c r="L862" s="17"/>
      <c r="O862" s="17"/>
      <c r="X862" s="17"/>
      <c r="AA862" s="17"/>
      <c r="AD862" s="19"/>
      <c r="AG862" s="19"/>
      <c r="AJ862" s="19"/>
      <c r="AM862" s="19"/>
      <c r="AN862" s="1">
        <f>value(IFERROR(SUBSTITUTE(SUBSTITUTE(VLOOKUP($A862,'Quarterly Pipeline vs Target Pi'!$A:$AP,26,false)," $","")," €",""), "")
)</f>
        <v>0</v>
      </c>
      <c r="AO862" s="1">
        <f>value(IFERROR(SUBSTITUTE(SUBSTITUTE(VLOOKUP($A862,'Quarterly Pipeline vs Target Pi'!$A:$AP,27,false)," $","")," €",""), "")
)</f>
        <v>0</v>
      </c>
      <c r="AP862" s="17" t="str">
        <f t="shared" si="15"/>
        <v/>
      </c>
      <c r="AQ862" s="1">
        <f>value(IFERROR(SUBSTITUTE(SUBSTITUTE(VLOOKUP($A862,'Quarterly Pipeline vs Target Pi'!$A:$AP,31,false)," $","")," €",""), "")
)</f>
        <v>0</v>
      </c>
      <c r="AR862" s="1">
        <f>value(IFERROR(SUBSTITUTE(SUBSTITUTE(VLOOKUP($A862,'Quarterly Pipeline vs Target Pi'!$A:$AP,32,false)," $","")," €",""), "")
)</f>
        <v>0</v>
      </c>
      <c r="AS862" s="17" t="str">
        <f t="shared" si="16"/>
        <v/>
      </c>
      <c r="AT862" s="1">
        <f>value(IFERROR(SUBSTITUTE(SUBSTITUTE(VLOOKUP($A862,'Quarterly Pipeline vs Target Pi'!$A:$AP,36,false)," $","")," €",""), "")
)</f>
        <v>0</v>
      </c>
      <c r="AU862" s="1">
        <f>value(IFERROR(SUBSTITUTE(SUBSTITUTE(VLOOKUP($A862,'Quarterly Pipeline vs Target Pi'!$A:$AP,37,false)," $","")," €",""), "")
)</f>
        <v>0</v>
      </c>
      <c r="AV862" s="17" t="str">
        <f t="shared" si="17"/>
        <v/>
      </c>
      <c r="AW862" s="1">
        <f>value(IFERROR(SUBSTITUTE(SUBSTITUTE(VLOOKUP($A862,'Quarterly Pipeline vs Target Pi'!$A:$AP,41,false)," $","")," €",""), "")
)</f>
        <v>0</v>
      </c>
      <c r="AX862" s="1">
        <f>value(IFERROR(SUBSTITUTE(SUBSTITUTE(VLOOKUP($A862,'Quarterly Pipeline vs Target Pi'!$A:$AP,42,false)," $","")," €",""), "")
)</f>
        <v>0</v>
      </c>
      <c r="AY862" s="17" t="str">
        <f t="shared" si="18"/>
        <v/>
      </c>
      <c r="AZ862" s="1">
        <f t="shared" ref="AZ862:BA862" si="1584">sum(AN862,AQ862,AT862,AW862)</f>
        <v>0</v>
      </c>
      <c r="BA862" s="1">
        <f t="shared" si="1584"/>
        <v>0</v>
      </c>
      <c r="BB862" s="17" t="str">
        <f t="shared" si="20"/>
        <v/>
      </c>
    </row>
    <row r="863">
      <c r="I863" s="17"/>
      <c r="L863" s="17"/>
      <c r="O863" s="17"/>
      <c r="X863" s="17"/>
      <c r="AA863" s="17"/>
      <c r="AD863" s="19"/>
      <c r="AG863" s="19"/>
      <c r="AJ863" s="19"/>
      <c r="AM863" s="19"/>
      <c r="AN863" s="1">
        <f>value(IFERROR(SUBSTITUTE(SUBSTITUTE(VLOOKUP($A863,'Quarterly Pipeline vs Target Pi'!$A:$AP,26,false)," $","")," €",""), "")
)</f>
        <v>0</v>
      </c>
      <c r="AO863" s="1">
        <f>value(IFERROR(SUBSTITUTE(SUBSTITUTE(VLOOKUP($A863,'Quarterly Pipeline vs Target Pi'!$A:$AP,27,false)," $","")," €",""), "")
)</f>
        <v>0</v>
      </c>
      <c r="AP863" s="17" t="str">
        <f t="shared" si="15"/>
        <v/>
      </c>
      <c r="AQ863" s="1">
        <f>value(IFERROR(SUBSTITUTE(SUBSTITUTE(VLOOKUP($A863,'Quarterly Pipeline vs Target Pi'!$A:$AP,31,false)," $","")," €",""), "")
)</f>
        <v>0</v>
      </c>
      <c r="AR863" s="1">
        <f>value(IFERROR(SUBSTITUTE(SUBSTITUTE(VLOOKUP($A863,'Quarterly Pipeline vs Target Pi'!$A:$AP,32,false)," $","")," €",""), "")
)</f>
        <v>0</v>
      </c>
      <c r="AS863" s="17" t="str">
        <f t="shared" si="16"/>
        <v/>
      </c>
      <c r="AT863" s="1">
        <f>value(IFERROR(SUBSTITUTE(SUBSTITUTE(VLOOKUP($A863,'Quarterly Pipeline vs Target Pi'!$A:$AP,36,false)," $","")," €",""), "")
)</f>
        <v>0</v>
      </c>
      <c r="AU863" s="1">
        <f>value(IFERROR(SUBSTITUTE(SUBSTITUTE(VLOOKUP($A863,'Quarterly Pipeline vs Target Pi'!$A:$AP,37,false)," $","")," €",""), "")
)</f>
        <v>0</v>
      </c>
      <c r="AV863" s="17" t="str">
        <f t="shared" si="17"/>
        <v/>
      </c>
      <c r="AW863" s="1">
        <f>value(IFERROR(SUBSTITUTE(SUBSTITUTE(VLOOKUP($A863,'Quarterly Pipeline vs Target Pi'!$A:$AP,41,false)," $","")," €",""), "")
)</f>
        <v>0</v>
      </c>
      <c r="AX863" s="1">
        <f>value(IFERROR(SUBSTITUTE(SUBSTITUTE(VLOOKUP($A863,'Quarterly Pipeline vs Target Pi'!$A:$AP,42,false)," $","")," €",""), "")
)</f>
        <v>0</v>
      </c>
      <c r="AY863" s="17" t="str">
        <f t="shared" si="18"/>
        <v/>
      </c>
      <c r="AZ863" s="1">
        <f t="shared" ref="AZ863:BA863" si="1585">sum(AN863,AQ863,AT863,AW863)</f>
        <v>0</v>
      </c>
      <c r="BA863" s="1">
        <f t="shared" si="1585"/>
        <v>0</v>
      </c>
      <c r="BB863" s="17" t="str">
        <f t="shared" si="20"/>
        <v/>
      </c>
    </row>
    <row r="864">
      <c r="I864" s="17"/>
      <c r="L864" s="17"/>
      <c r="O864" s="17"/>
      <c r="X864" s="17"/>
      <c r="AA864" s="17"/>
      <c r="AD864" s="19"/>
      <c r="AG864" s="19"/>
      <c r="AJ864" s="19"/>
      <c r="AM864" s="19"/>
      <c r="AN864" s="1">
        <f>value(IFERROR(SUBSTITUTE(SUBSTITUTE(VLOOKUP($A864,'Quarterly Pipeline vs Target Pi'!$A:$AP,26,false)," $","")," €",""), "")
)</f>
        <v>0</v>
      </c>
      <c r="AO864" s="1">
        <f>value(IFERROR(SUBSTITUTE(SUBSTITUTE(VLOOKUP($A864,'Quarterly Pipeline vs Target Pi'!$A:$AP,27,false)," $","")," €",""), "")
)</f>
        <v>0</v>
      </c>
      <c r="AP864" s="17" t="str">
        <f t="shared" si="15"/>
        <v/>
      </c>
      <c r="AQ864" s="1">
        <f>value(IFERROR(SUBSTITUTE(SUBSTITUTE(VLOOKUP($A864,'Quarterly Pipeline vs Target Pi'!$A:$AP,31,false)," $","")," €",""), "")
)</f>
        <v>0</v>
      </c>
      <c r="AR864" s="1">
        <f>value(IFERROR(SUBSTITUTE(SUBSTITUTE(VLOOKUP($A864,'Quarterly Pipeline vs Target Pi'!$A:$AP,32,false)," $","")," €",""), "")
)</f>
        <v>0</v>
      </c>
      <c r="AS864" s="17" t="str">
        <f t="shared" si="16"/>
        <v/>
      </c>
      <c r="AT864" s="1">
        <f>value(IFERROR(SUBSTITUTE(SUBSTITUTE(VLOOKUP($A864,'Quarterly Pipeline vs Target Pi'!$A:$AP,36,false)," $","")," €",""), "")
)</f>
        <v>0</v>
      </c>
      <c r="AU864" s="1">
        <f>value(IFERROR(SUBSTITUTE(SUBSTITUTE(VLOOKUP($A864,'Quarterly Pipeline vs Target Pi'!$A:$AP,37,false)," $","")," €",""), "")
)</f>
        <v>0</v>
      </c>
      <c r="AV864" s="17" t="str">
        <f t="shared" si="17"/>
        <v/>
      </c>
      <c r="AW864" s="1">
        <f>value(IFERROR(SUBSTITUTE(SUBSTITUTE(VLOOKUP($A864,'Quarterly Pipeline vs Target Pi'!$A:$AP,41,false)," $","")," €",""), "")
)</f>
        <v>0</v>
      </c>
      <c r="AX864" s="1">
        <f>value(IFERROR(SUBSTITUTE(SUBSTITUTE(VLOOKUP($A864,'Quarterly Pipeline vs Target Pi'!$A:$AP,42,false)," $","")," €",""), "")
)</f>
        <v>0</v>
      </c>
      <c r="AY864" s="17" t="str">
        <f t="shared" si="18"/>
        <v/>
      </c>
      <c r="AZ864" s="1">
        <f t="shared" ref="AZ864:BA864" si="1586">sum(AN864,AQ864,AT864,AW864)</f>
        <v>0</v>
      </c>
      <c r="BA864" s="1">
        <f t="shared" si="1586"/>
        <v>0</v>
      </c>
      <c r="BB864" s="17" t="str">
        <f t="shared" si="20"/>
        <v/>
      </c>
    </row>
    <row r="865">
      <c r="I865" s="17"/>
      <c r="L865" s="17"/>
      <c r="O865" s="17"/>
      <c r="X865" s="17"/>
      <c r="AA865" s="17"/>
      <c r="AD865" s="19"/>
      <c r="AG865" s="19"/>
      <c r="AJ865" s="19"/>
      <c r="AM865" s="19"/>
      <c r="AN865" s="1">
        <f>value(IFERROR(SUBSTITUTE(SUBSTITUTE(VLOOKUP($A865,'Quarterly Pipeline vs Target Pi'!$A:$AP,26,false)," $","")," €",""), "")
)</f>
        <v>0</v>
      </c>
      <c r="AO865" s="1">
        <f>value(IFERROR(SUBSTITUTE(SUBSTITUTE(VLOOKUP($A865,'Quarterly Pipeline vs Target Pi'!$A:$AP,27,false)," $","")," €",""), "")
)</f>
        <v>0</v>
      </c>
      <c r="AP865" s="17" t="str">
        <f t="shared" si="15"/>
        <v/>
      </c>
      <c r="AQ865" s="1">
        <f>value(IFERROR(SUBSTITUTE(SUBSTITUTE(VLOOKUP($A865,'Quarterly Pipeline vs Target Pi'!$A:$AP,31,false)," $","")," €",""), "")
)</f>
        <v>0</v>
      </c>
      <c r="AR865" s="1">
        <f>value(IFERROR(SUBSTITUTE(SUBSTITUTE(VLOOKUP($A865,'Quarterly Pipeline vs Target Pi'!$A:$AP,32,false)," $","")," €",""), "")
)</f>
        <v>0</v>
      </c>
      <c r="AS865" s="17" t="str">
        <f t="shared" si="16"/>
        <v/>
      </c>
      <c r="AT865" s="1">
        <f>value(IFERROR(SUBSTITUTE(SUBSTITUTE(VLOOKUP($A865,'Quarterly Pipeline vs Target Pi'!$A:$AP,36,false)," $","")," €",""), "")
)</f>
        <v>0</v>
      </c>
      <c r="AU865" s="1">
        <f>value(IFERROR(SUBSTITUTE(SUBSTITUTE(VLOOKUP($A865,'Quarterly Pipeline vs Target Pi'!$A:$AP,37,false)," $","")," €",""), "")
)</f>
        <v>0</v>
      </c>
      <c r="AV865" s="17" t="str">
        <f t="shared" si="17"/>
        <v/>
      </c>
      <c r="AW865" s="1">
        <f>value(IFERROR(SUBSTITUTE(SUBSTITUTE(VLOOKUP($A865,'Quarterly Pipeline vs Target Pi'!$A:$AP,41,false)," $","")," €",""), "")
)</f>
        <v>0</v>
      </c>
      <c r="AX865" s="1">
        <f>value(IFERROR(SUBSTITUTE(SUBSTITUTE(VLOOKUP($A865,'Quarterly Pipeline vs Target Pi'!$A:$AP,42,false)," $","")," €",""), "")
)</f>
        <v>0</v>
      </c>
      <c r="AY865" s="17" t="str">
        <f t="shared" si="18"/>
        <v/>
      </c>
      <c r="AZ865" s="1">
        <f t="shared" ref="AZ865:BA865" si="1587">sum(AN865,AQ865,AT865,AW865)</f>
        <v>0</v>
      </c>
      <c r="BA865" s="1">
        <f t="shared" si="1587"/>
        <v>0</v>
      </c>
      <c r="BB865" s="17" t="str">
        <f t="shared" si="20"/>
        <v/>
      </c>
    </row>
    <row r="866">
      <c r="I866" s="17"/>
      <c r="L866" s="17"/>
      <c r="O866" s="17"/>
      <c r="X866" s="17"/>
      <c r="AA866" s="17"/>
      <c r="AD866" s="19"/>
      <c r="AG866" s="19"/>
      <c r="AJ866" s="19"/>
      <c r="AM866" s="19"/>
      <c r="AN866" s="1">
        <f>value(IFERROR(SUBSTITUTE(SUBSTITUTE(VLOOKUP($A866,'Quarterly Pipeline vs Target Pi'!$A:$AP,26,false)," $","")," €",""), "")
)</f>
        <v>0</v>
      </c>
      <c r="AO866" s="1">
        <f>value(IFERROR(SUBSTITUTE(SUBSTITUTE(VLOOKUP($A866,'Quarterly Pipeline vs Target Pi'!$A:$AP,27,false)," $","")," €",""), "")
)</f>
        <v>0</v>
      </c>
      <c r="AP866" s="17" t="str">
        <f t="shared" si="15"/>
        <v/>
      </c>
      <c r="AQ866" s="1">
        <f>value(IFERROR(SUBSTITUTE(SUBSTITUTE(VLOOKUP($A866,'Quarterly Pipeline vs Target Pi'!$A:$AP,31,false)," $","")," €",""), "")
)</f>
        <v>0</v>
      </c>
      <c r="AR866" s="1">
        <f>value(IFERROR(SUBSTITUTE(SUBSTITUTE(VLOOKUP($A866,'Quarterly Pipeline vs Target Pi'!$A:$AP,32,false)," $","")," €",""), "")
)</f>
        <v>0</v>
      </c>
      <c r="AS866" s="17" t="str">
        <f t="shared" si="16"/>
        <v/>
      </c>
      <c r="AT866" s="1">
        <f>value(IFERROR(SUBSTITUTE(SUBSTITUTE(VLOOKUP($A866,'Quarterly Pipeline vs Target Pi'!$A:$AP,36,false)," $","")," €",""), "")
)</f>
        <v>0</v>
      </c>
      <c r="AU866" s="1">
        <f>value(IFERROR(SUBSTITUTE(SUBSTITUTE(VLOOKUP($A866,'Quarterly Pipeline vs Target Pi'!$A:$AP,37,false)," $","")," €",""), "")
)</f>
        <v>0</v>
      </c>
      <c r="AV866" s="17" t="str">
        <f t="shared" si="17"/>
        <v/>
      </c>
      <c r="AW866" s="1">
        <f>value(IFERROR(SUBSTITUTE(SUBSTITUTE(VLOOKUP($A866,'Quarterly Pipeline vs Target Pi'!$A:$AP,41,false)," $","")," €",""), "")
)</f>
        <v>0</v>
      </c>
      <c r="AX866" s="1">
        <f>value(IFERROR(SUBSTITUTE(SUBSTITUTE(VLOOKUP($A866,'Quarterly Pipeline vs Target Pi'!$A:$AP,42,false)," $","")," €",""), "")
)</f>
        <v>0</v>
      </c>
      <c r="AY866" s="17" t="str">
        <f t="shared" si="18"/>
        <v/>
      </c>
      <c r="AZ866" s="1">
        <f t="shared" ref="AZ866:BA866" si="1588">sum(AN866,AQ866,AT866,AW866)</f>
        <v>0</v>
      </c>
      <c r="BA866" s="1">
        <f t="shared" si="1588"/>
        <v>0</v>
      </c>
      <c r="BB866" s="17" t="str">
        <f t="shared" si="20"/>
        <v/>
      </c>
    </row>
    <row r="867">
      <c r="I867" s="17"/>
      <c r="L867" s="17"/>
      <c r="O867" s="17"/>
      <c r="X867" s="17"/>
      <c r="AA867" s="17"/>
      <c r="AD867" s="19"/>
      <c r="AG867" s="19"/>
      <c r="AJ867" s="19"/>
      <c r="AM867" s="19"/>
      <c r="AN867" s="1">
        <f>value(IFERROR(SUBSTITUTE(SUBSTITUTE(VLOOKUP($A867,'Quarterly Pipeline vs Target Pi'!$A:$AP,26,false)," $","")," €",""), "")
)</f>
        <v>0</v>
      </c>
      <c r="AO867" s="1">
        <f>value(IFERROR(SUBSTITUTE(SUBSTITUTE(VLOOKUP($A867,'Quarterly Pipeline vs Target Pi'!$A:$AP,27,false)," $","")," €",""), "")
)</f>
        <v>0</v>
      </c>
      <c r="AP867" s="17" t="str">
        <f t="shared" si="15"/>
        <v/>
      </c>
      <c r="AQ867" s="1">
        <f>value(IFERROR(SUBSTITUTE(SUBSTITUTE(VLOOKUP($A867,'Quarterly Pipeline vs Target Pi'!$A:$AP,31,false)," $","")," €",""), "")
)</f>
        <v>0</v>
      </c>
      <c r="AR867" s="1">
        <f>value(IFERROR(SUBSTITUTE(SUBSTITUTE(VLOOKUP($A867,'Quarterly Pipeline vs Target Pi'!$A:$AP,32,false)," $","")," €",""), "")
)</f>
        <v>0</v>
      </c>
      <c r="AS867" s="17" t="str">
        <f t="shared" si="16"/>
        <v/>
      </c>
      <c r="AT867" s="1">
        <f>value(IFERROR(SUBSTITUTE(SUBSTITUTE(VLOOKUP($A867,'Quarterly Pipeline vs Target Pi'!$A:$AP,36,false)," $","")," €",""), "")
)</f>
        <v>0</v>
      </c>
      <c r="AU867" s="1">
        <f>value(IFERROR(SUBSTITUTE(SUBSTITUTE(VLOOKUP($A867,'Quarterly Pipeline vs Target Pi'!$A:$AP,37,false)," $","")," €",""), "")
)</f>
        <v>0</v>
      </c>
      <c r="AV867" s="17" t="str">
        <f t="shared" si="17"/>
        <v/>
      </c>
      <c r="AW867" s="1">
        <f>value(IFERROR(SUBSTITUTE(SUBSTITUTE(VLOOKUP($A867,'Quarterly Pipeline vs Target Pi'!$A:$AP,41,false)," $","")," €",""), "")
)</f>
        <v>0</v>
      </c>
      <c r="AX867" s="1">
        <f>value(IFERROR(SUBSTITUTE(SUBSTITUTE(VLOOKUP($A867,'Quarterly Pipeline vs Target Pi'!$A:$AP,42,false)," $","")," €",""), "")
)</f>
        <v>0</v>
      </c>
      <c r="AY867" s="17" t="str">
        <f t="shared" si="18"/>
        <v/>
      </c>
      <c r="AZ867" s="1">
        <f t="shared" ref="AZ867:BA867" si="1589">sum(AN867,AQ867,AT867,AW867)</f>
        <v>0</v>
      </c>
      <c r="BA867" s="1">
        <f t="shared" si="1589"/>
        <v>0</v>
      </c>
      <c r="BB867" s="17" t="str">
        <f t="shared" si="20"/>
        <v/>
      </c>
    </row>
    <row r="868">
      <c r="I868" s="17"/>
      <c r="L868" s="17"/>
      <c r="O868" s="17"/>
      <c r="X868" s="17"/>
      <c r="AA868" s="17"/>
      <c r="AD868" s="19"/>
      <c r="AG868" s="19"/>
      <c r="AJ868" s="19"/>
      <c r="AM868" s="19"/>
      <c r="AN868" s="1">
        <f>value(IFERROR(SUBSTITUTE(SUBSTITUTE(VLOOKUP($A868,'Quarterly Pipeline vs Target Pi'!$A:$AP,26,false)," $","")," €",""), "")
)</f>
        <v>0</v>
      </c>
      <c r="AO868" s="1">
        <f>value(IFERROR(SUBSTITUTE(SUBSTITUTE(VLOOKUP($A868,'Quarterly Pipeline vs Target Pi'!$A:$AP,27,false)," $","")," €",""), "")
)</f>
        <v>0</v>
      </c>
      <c r="AP868" s="17" t="str">
        <f t="shared" si="15"/>
        <v/>
      </c>
      <c r="AQ868" s="1">
        <f>value(IFERROR(SUBSTITUTE(SUBSTITUTE(VLOOKUP($A868,'Quarterly Pipeline vs Target Pi'!$A:$AP,31,false)," $","")," €",""), "")
)</f>
        <v>0</v>
      </c>
      <c r="AR868" s="1">
        <f>value(IFERROR(SUBSTITUTE(SUBSTITUTE(VLOOKUP($A868,'Quarterly Pipeline vs Target Pi'!$A:$AP,32,false)," $","")," €",""), "")
)</f>
        <v>0</v>
      </c>
      <c r="AS868" s="17" t="str">
        <f t="shared" si="16"/>
        <v/>
      </c>
      <c r="AT868" s="1">
        <f>value(IFERROR(SUBSTITUTE(SUBSTITUTE(VLOOKUP($A868,'Quarterly Pipeline vs Target Pi'!$A:$AP,36,false)," $","")," €",""), "")
)</f>
        <v>0</v>
      </c>
      <c r="AU868" s="1">
        <f>value(IFERROR(SUBSTITUTE(SUBSTITUTE(VLOOKUP($A868,'Quarterly Pipeline vs Target Pi'!$A:$AP,37,false)," $","")," €",""), "")
)</f>
        <v>0</v>
      </c>
      <c r="AV868" s="17" t="str">
        <f t="shared" si="17"/>
        <v/>
      </c>
      <c r="AW868" s="1">
        <f>value(IFERROR(SUBSTITUTE(SUBSTITUTE(VLOOKUP($A868,'Quarterly Pipeline vs Target Pi'!$A:$AP,41,false)," $","")," €",""), "")
)</f>
        <v>0</v>
      </c>
      <c r="AX868" s="1">
        <f>value(IFERROR(SUBSTITUTE(SUBSTITUTE(VLOOKUP($A868,'Quarterly Pipeline vs Target Pi'!$A:$AP,42,false)," $","")," €",""), "")
)</f>
        <v>0</v>
      </c>
      <c r="AY868" s="17" t="str">
        <f t="shared" si="18"/>
        <v/>
      </c>
      <c r="AZ868" s="1">
        <f t="shared" ref="AZ868:BA868" si="1590">sum(AN868,AQ868,AT868,AW868)</f>
        <v>0</v>
      </c>
      <c r="BA868" s="1">
        <f t="shared" si="1590"/>
        <v>0</v>
      </c>
      <c r="BB868" s="17" t="str">
        <f t="shared" si="20"/>
        <v/>
      </c>
    </row>
    <row r="869">
      <c r="I869" s="17"/>
      <c r="L869" s="17"/>
      <c r="O869" s="17"/>
      <c r="X869" s="17"/>
      <c r="AA869" s="17"/>
      <c r="AD869" s="19"/>
      <c r="AG869" s="19"/>
      <c r="AJ869" s="19"/>
      <c r="AM869" s="19"/>
      <c r="AN869" s="1">
        <f>value(IFERROR(SUBSTITUTE(SUBSTITUTE(VLOOKUP($A869,'Quarterly Pipeline vs Target Pi'!$A:$AP,26,false)," $","")," €",""), "")
)</f>
        <v>0</v>
      </c>
      <c r="AO869" s="1">
        <f>value(IFERROR(SUBSTITUTE(SUBSTITUTE(VLOOKUP($A869,'Quarterly Pipeline vs Target Pi'!$A:$AP,27,false)," $","")," €",""), "")
)</f>
        <v>0</v>
      </c>
      <c r="AP869" s="17" t="str">
        <f t="shared" si="15"/>
        <v/>
      </c>
      <c r="AQ869" s="1">
        <f>value(IFERROR(SUBSTITUTE(SUBSTITUTE(VLOOKUP($A869,'Quarterly Pipeline vs Target Pi'!$A:$AP,31,false)," $","")," €",""), "")
)</f>
        <v>0</v>
      </c>
      <c r="AR869" s="1">
        <f>value(IFERROR(SUBSTITUTE(SUBSTITUTE(VLOOKUP($A869,'Quarterly Pipeline vs Target Pi'!$A:$AP,32,false)," $","")," €",""), "")
)</f>
        <v>0</v>
      </c>
      <c r="AS869" s="17" t="str">
        <f t="shared" si="16"/>
        <v/>
      </c>
      <c r="AT869" s="1">
        <f>value(IFERROR(SUBSTITUTE(SUBSTITUTE(VLOOKUP($A869,'Quarterly Pipeline vs Target Pi'!$A:$AP,36,false)," $","")," €",""), "")
)</f>
        <v>0</v>
      </c>
      <c r="AU869" s="1">
        <f>value(IFERROR(SUBSTITUTE(SUBSTITUTE(VLOOKUP($A869,'Quarterly Pipeline vs Target Pi'!$A:$AP,37,false)," $","")," €",""), "")
)</f>
        <v>0</v>
      </c>
      <c r="AV869" s="17" t="str">
        <f t="shared" si="17"/>
        <v/>
      </c>
      <c r="AW869" s="1">
        <f>value(IFERROR(SUBSTITUTE(SUBSTITUTE(VLOOKUP($A869,'Quarterly Pipeline vs Target Pi'!$A:$AP,41,false)," $","")," €",""), "")
)</f>
        <v>0</v>
      </c>
      <c r="AX869" s="1">
        <f>value(IFERROR(SUBSTITUTE(SUBSTITUTE(VLOOKUP($A869,'Quarterly Pipeline vs Target Pi'!$A:$AP,42,false)," $","")," €",""), "")
)</f>
        <v>0</v>
      </c>
      <c r="AY869" s="17" t="str">
        <f t="shared" si="18"/>
        <v/>
      </c>
      <c r="AZ869" s="1">
        <f t="shared" ref="AZ869:BA869" si="1591">sum(AN869,AQ869,AT869,AW869)</f>
        <v>0</v>
      </c>
      <c r="BA869" s="1">
        <f t="shared" si="1591"/>
        <v>0</v>
      </c>
      <c r="BB869" s="17" t="str">
        <f t="shared" si="20"/>
        <v/>
      </c>
    </row>
    <row r="870">
      <c r="I870" s="17"/>
      <c r="L870" s="17"/>
      <c r="O870" s="17"/>
      <c r="X870" s="17"/>
      <c r="AA870" s="17"/>
      <c r="AD870" s="19"/>
      <c r="AG870" s="19"/>
      <c r="AJ870" s="19"/>
      <c r="AM870" s="19"/>
      <c r="AN870" s="1">
        <f>value(IFERROR(SUBSTITUTE(SUBSTITUTE(VLOOKUP($A870,'Quarterly Pipeline vs Target Pi'!$A:$AP,26,false)," $","")," €",""), "")
)</f>
        <v>0</v>
      </c>
      <c r="AO870" s="1">
        <f>value(IFERROR(SUBSTITUTE(SUBSTITUTE(VLOOKUP($A870,'Quarterly Pipeline vs Target Pi'!$A:$AP,27,false)," $","")," €",""), "")
)</f>
        <v>0</v>
      </c>
      <c r="AP870" s="17" t="str">
        <f t="shared" si="15"/>
        <v/>
      </c>
      <c r="AQ870" s="1">
        <f>value(IFERROR(SUBSTITUTE(SUBSTITUTE(VLOOKUP($A870,'Quarterly Pipeline vs Target Pi'!$A:$AP,31,false)," $","")," €",""), "")
)</f>
        <v>0</v>
      </c>
      <c r="AR870" s="1">
        <f>value(IFERROR(SUBSTITUTE(SUBSTITUTE(VLOOKUP($A870,'Quarterly Pipeline vs Target Pi'!$A:$AP,32,false)," $","")," €",""), "")
)</f>
        <v>0</v>
      </c>
      <c r="AS870" s="17" t="str">
        <f t="shared" si="16"/>
        <v/>
      </c>
      <c r="AT870" s="1">
        <f>value(IFERROR(SUBSTITUTE(SUBSTITUTE(VLOOKUP($A870,'Quarterly Pipeline vs Target Pi'!$A:$AP,36,false)," $","")," €",""), "")
)</f>
        <v>0</v>
      </c>
      <c r="AU870" s="1">
        <f>value(IFERROR(SUBSTITUTE(SUBSTITUTE(VLOOKUP($A870,'Quarterly Pipeline vs Target Pi'!$A:$AP,37,false)," $","")," €",""), "")
)</f>
        <v>0</v>
      </c>
      <c r="AV870" s="17" t="str">
        <f t="shared" si="17"/>
        <v/>
      </c>
      <c r="AW870" s="1">
        <f>value(IFERROR(SUBSTITUTE(SUBSTITUTE(VLOOKUP($A870,'Quarterly Pipeline vs Target Pi'!$A:$AP,41,false)," $","")," €",""), "")
)</f>
        <v>0</v>
      </c>
      <c r="AX870" s="1">
        <f>value(IFERROR(SUBSTITUTE(SUBSTITUTE(VLOOKUP($A870,'Quarterly Pipeline vs Target Pi'!$A:$AP,42,false)," $","")," €",""), "")
)</f>
        <v>0</v>
      </c>
      <c r="AY870" s="17" t="str">
        <f t="shared" si="18"/>
        <v/>
      </c>
      <c r="AZ870" s="1">
        <f t="shared" ref="AZ870:BA870" si="1592">sum(AN870,AQ870,AT870,AW870)</f>
        <v>0</v>
      </c>
      <c r="BA870" s="1">
        <f t="shared" si="1592"/>
        <v>0</v>
      </c>
      <c r="BB870" s="17" t="str">
        <f t="shared" si="20"/>
        <v/>
      </c>
    </row>
    <row r="871">
      <c r="I871" s="17"/>
      <c r="L871" s="17"/>
      <c r="O871" s="17"/>
      <c r="X871" s="17"/>
      <c r="AA871" s="17"/>
      <c r="AD871" s="19"/>
      <c r="AG871" s="19"/>
      <c r="AJ871" s="19"/>
      <c r="AM871" s="19"/>
      <c r="AN871" s="1">
        <f>value(IFERROR(SUBSTITUTE(SUBSTITUTE(VLOOKUP($A871,'Quarterly Pipeline vs Target Pi'!$A:$AP,26,false)," $","")," €",""), "")
)</f>
        <v>0</v>
      </c>
      <c r="AO871" s="1">
        <f>value(IFERROR(SUBSTITUTE(SUBSTITUTE(VLOOKUP($A871,'Quarterly Pipeline vs Target Pi'!$A:$AP,27,false)," $","")," €",""), "")
)</f>
        <v>0</v>
      </c>
      <c r="AP871" s="17" t="str">
        <f t="shared" si="15"/>
        <v/>
      </c>
      <c r="AQ871" s="1">
        <f>value(IFERROR(SUBSTITUTE(SUBSTITUTE(VLOOKUP($A871,'Quarterly Pipeline vs Target Pi'!$A:$AP,31,false)," $","")," €",""), "")
)</f>
        <v>0</v>
      </c>
      <c r="AR871" s="1">
        <f>value(IFERROR(SUBSTITUTE(SUBSTITUTE(VLOOKUP($A871,'Quarterly Pipeline vs Target Pi'!$A:$AP,32,false)," $","")," €",""), "")
)</f>
        <v>0</v>
      </c>
      <c r="AS871" s="17" t="str">
        <f t="shared" si="16"/>
        <v/>
      </c>
      <c r="AT871" s="1">
        <f>value(IFERROR(SUBSTITUTE(SUBSTITUTE(VLOOKUP($A871,'Quarterly Pipeline vs Target Pi'!$A:$AP,36,false)," $","")," €",""), "")
)</f>
        <v>0</v>
      </c>
      <c r="AU871" s="1">
        <f>value(IFERROR(SUBSTITUTE(SUBSTITUTE(VLOOKUP($A871,'Quarterly Pipeline vs Target Pi'!$A:$AP,37,false)," $","")," €",""), "")
)</f>
        <v>0</v>
      </c>
      <c r="AV871" s="17" t="str">
        <f t="shared" si="17"/>
        <v/>
      </c>
      <c r="AW871" s="1">
        <f>value(IFERROR(SUBSTITUTE(SUBSTITUTE(VLOOKUP($A871,'Quarterly Pipeline vs Target Pi'!$A:$AP,41,false)," $","")," €",""), "")
)</f>
        <v>0</v>
      </c>
      <c r="AX871" s="1">
        <f>value(IFERROR(SUBSTITUTE(SUBSTITUTE(VLOOKUP($A871,'Quarterly Pipeline vs Target Pi'!$A:$AP,42,false)," $","")," €",""), "")
)</f>
        <v>0</v>
      </c>
      <c r="AY871" s="17" t="str">
        <f t="shared" si="18"/>
        <v/>
      </c>
      <c r="AZ871" s="1">
        <f t="shared" ref="AZ871:BA871" si="1593">sum(AN871,AQ871,AT871,AW871)</f>
        <v>0</v>
      </c>
      <c r="BA871" s="1">
        <f t="shared" si="1593"/>
        <v>0</v>
      </c>
      <c r="BB871" s="17" t="str">
        <f t="shared" si="20"/>
        <v/>
      </c>
    </row>
    <row r="872">
      <c r="I872" s="17"/>
      <c r="L872" s="17"/>
      <c r="O872" s="17"/>
      <c r="X872" s="17"/>
      <c r="AA872" s="17"/>
      <c r="AD872" s="19"/>
      <c r="AG872" s="19"/>
      <c r="AJ872" s="19"/>
      <c r="AM872" s="19"/>
      <c r="AN872" s="1">
        <f>value(IFERROR(SUBSTITUTE(SUBSTITUTE(VLOOKUP($A872,'Quarterly Pipeline vs Target Pi'!$A:$AP,26,false)," $","")," €",""), "")
)</f>
        <v>0</v>
      </c>
      <c r="AO872" s="1">
        <f>value(IFERROR(SUBSTITUTE(SUBSTITUTE(VLOOKUP($A872,'Quarterly Pipeline vs Target Pi'!$A:$AP,27,false)," $","")," €",""), "")
)</f>
        <v>0</v>
      </c>
      <c r="AP872" s="17" t="str">
        <f t="shared" si="15"/>
        <v/>
      </c>
      <c r="AQ872" s="1">
        <f>value(IFERROR(SUBSTITUTE(SUBSTITUTE(VLOOKUP($A872,'Quarterly Pipeline vs Target Pi'!$A:$AP,31,false)," $","")," €",""), "")
)</f>
        <v>0</v>
      </c>
      <c r="AR872" s="1">
        <f>value(IFERROR(SUBSTITUTE(SUBSTITUTE(VLOOKUP($A872,'Quarterly Pipeline vs Target Pi'!$A:$AP,32,false)," $","")," €",""), "")
)</f>
        <v>0</v>
      </c>
      <c r="AS872" s="17" t="str">
        <f t="shared" si="16"/>
        <v/>
      </c>
      <c r="AT872" s="1">
        <f>value(IFERROR(SUBSTITUTE(SUBSTITUTE(VLOOKUP($A872,'Quarterly Pipeline vs Target Pi'!$A:$AP,36,false)," $","")," €",""), "")
)</f>
        <v>0</v>
      </c>
      <c r="AU872" s="1">
        <f>value(IFERROR(SUBSTITUTE(SUBSTITUTE(VLOOKUP($A872,'Quarterly Pipeline vs Target Pi'!$A:$AP,37,false)," $","")," €",""), "")
)</f>
        <v>0</v>
      </c>
      <c r="AV872" s="17" t="str">
        <f t="shared" si="17"/>
        <v/>
      </c>
      <c r="AW872" s="1">
        <f>value(IFERROR(SUBSTITUTE(SUBSTITUTE(VLOOKUP($A872,'Quarterly Pipeline vs Target Pi'!$A:$AP,41,false)," $","")," €",""), "")
)</f>
        <v>0</v>
      </c>
      <c r="AX872" s="1">
        <f>value(IFERROR(SUBSTITUTE(SUBSTITUTE(VLOOKUP($A872,'Quarterly Pipeline vs Target Pi'!$A:$AP,42,false)," $","")," €",""), "")
)</f>
        <v>0</v>
      </c>
      <c r="AY872" s="17" t="str">
        <f t="shared" si="18"/>
        <v/>
      </c>
      <c r="AZ872" s="1">
        <f t="shared" ref="AZ872:BA872" si="1594">sum(AN872,AQ872,AT872,AW872)</f>
        <v>0</v>
      </c>
      <c r="BA872" s="1">
        <f t="shared" si="1594"/>
        <v>0</v>
      </c>
      <c r="BB872" s="17" t="str">
        <f t="shared" si="20"/>
        <v/>
      </c>
    </row>
    <row r="873">
      <c r="I873" s="17"/>
      <c r="L873" s="17"/>
      <c r="O873" s="17"/>
      <c r="X873" s="17"/>
      <c r="AA873" s="17"/>
      <c r="AD873" s="19"/>
      <c r="AG873" s="19"/>
      <c r="AJ873" s="19"/>
      <c r="AM873" s="19"/>
      <c r="AN873" s="1">
        <f>value(IFERROR(SUBSTITUTE(SUBSTITUTE(VLOOKUP($A873,'Quarterly Pipeline vs Target Pi'!$A:$AP,26,false)," $","")," €",""), "")
)</f>
        <v>0</v>
      </c>
      <c r="AO873" s="1">
        <f>value(IFERROR(SUBSTITUTE(SUBSTITUTE(VLOOKUP($A873,'Quarterly Pipeline vs Target Pi'!$A:$AP,27,false)," $","")," €",""), "")
)</f>
        <v>0</v>
      </c>
      <c r="AP873" s="17" t="str">
        <f t="shared" si="15"/>
        <v/>
      </c>
      <c r="AQ873" s="1">
        <f>value(IFERROR(SUBSTITUTE(SUBSTITUTE(VLOOKUP($A873,'Quarterly Pipeline vs Target Pi'!$A:$AP,31,false)," $","")," €",""), "")
)</f>
        <v>0</v>
      </c>
      <c r="AR873" s="1">
        <f>value(IFERROR(SUBSTITUTE(SUBSTITUTE(VLOOKUP($A873,'Quarterly Pipeline vs Target Pi'!$A:$AP,32,false)," $","")," €",""), "")
)</f>
        <v>0</v>
      </c>
      <c r="AS873" s="17" t="str">
        <f t="shared" si="16"/>
        <v/>
      </c>
      <c r="AT873" s="1">
        <f>value(IFERROR(SUBSTITUTE(SUBSTITUTE(VLOOKUP($A873,'Quarterly Pipeline vs Target Pi'!$A:$AP,36,false)," $","")," €",""), "")
)</f>
        <v>0</v>
      </c>
      <c r="AU873" s="1">
        <f>value(IFERROR(SUBSTITUTE(SUBSTITUTE(VLOOKUP($A873,'Quarterly Pipeline vs Target Pi'!$A:$AP,37,false)," $","")," €",""), "")
)</f>
        <v>0</v>
      </c>
      <c r="AV873" s="17" t="str">
        <f t="shared" si="17"/>
        <v/>
      </c>
      <c r="AW873" s="1">
        <f>value(IFERROR(SUBSTITUTE(SUBSTITUTE(VLOOKUP($A873,'Quarterly Pipeline vs Target Pi'!$A:$AP,41,false)," $","")," €",""), "")
)</f>
        <v>0</v>
      </c>
      <c r="AX873" s="1">
        <f>value(IFERROR(SUBSTITUTE(SUBSTITUTE(VLOOKUP($A873,'Quarterly Pipeline vs Target Pi'!$A:$AP,42,false)," $","")," €",""), "")
)</f>
        <v>0</v>
      </c>
      <c r="AY873" s="17" t="str">
        <f t="shared" si="18"/>
        <v/>
      </c>
      <c r="AZ873" s="1">
        <f t="shared" ref="AZ873:BA873" si="1595">sum(AN873,AQ873,AT873,AW873)</f>
        <v>0</v>
      </c>
      <c r="BA873" s="1">
        <f t="shared" si="1595"/>
        <v>0</v>
      </c>
      <c r="BB873" s="17" t="str">
        <f t="shared" si="20"/>
        <v/>
      </c>
    </row>
    <row r="874">
      <c r="I874" s="17"/>
      <c r="L874" s="17"/>
      <c r="O874" s="17"/>
      <c r="X874" s="17"/>
      <c r="AA874" s="17"/>
      <c r="AD874" s="19"/>
      <c r="AG874" s="19"/>
      <c r="AJ874" s="19"/>
      <c r="AM874" s="19"/>
      <c r="AN874" s="1">
        <f>value(IFERROR(SUBSTITUTE(SUBSTITUTE(VLOOKUP($A874,'Quarterly Pipeline vs Target Pi'!$A:$AP,26,false)," $","")," €",""), "")
)</f>
        <v>0</v>
      </c>
      <c r="AO874" s="1">
        <f>value(IFERROR(SUBSTITUTE(SUBSTITUTE(VLOOKUP($A874,'Quarterly Pipeline vs Target Pi'!$A:$AP,27,false)," $","")," €",""), "")
)</f>
        <v>0</v>
      </c>
      <c r="AP874" s="17" t="str">
        <f t="shared" si="15"/>
        <v/>
      </c>
      <c r="AQ874" s="1">
        <f>value(IFERROR(SUBSTITUTE(SUBSTITUTE(VLOOKUP($A874,'Quarterly Pipeline vs Target Pi'!$A:$AP,31,false)," $","")," €",""), "")
)</f>
        <v>0</v>
      </c>
      <c r="AR874" s="1">
        <f>value(IFERROR(SUBSTITUTE(SUBSTITUTE(VLOOKUP($A874,'Quarterly Pipeline vs Target Pi'!$A:$AP,32,false)," $","")," €",""), "")
)</f>
        <v>0</v>
      </c>
      <c r="AS874" s="17" t="str">
        <f t="shared" si="16"/>
        <v/>
      </c>
      <c r="AT874" s="1">
        <f>value(IFERROR(SUBSTITUTE(SUBSTITUTE(VLOOKUP($A874,'Quarterly Pipeline vs Target Pi'!$A:$AP,36,false)," $","")," €",""), "")
)</f>
        <v>0</v>
      </c>
      <c r="AU874" s="1">
        <f>value(IFERROR(SUBSTITUTE(SUBSTITUTE(VLOOKUP($A874,'Quarterly Pipeline vs Target Pi'!$A:$AP,37,false)," $","")," €",""), "")
)</f>
        <v>0</v>
      </c>
      <c r="AV874" s="17" t="str">
        <f t="shared" si="17"/>
        <v/>
      </c>
      <c r="AW874" s="1">
        <f>value(IFERROR(SUBSTITUTE(SUBSTITUTE(VLOOKUP($A874,'Quarterly Pipeline vs Target Pi'!$A:$AP,41,false)," $","")," €",""), "")
)</f>
        <v>0</v>
      </c>
      <c r="AX874" s="1">
        <f>value(IFERROR(SUBSTITUTE(SUBSTITUTE(VLOOKUP($A874,'Quarterly Pipeline vs Target Pi'!$A:$AP,42,false)," $","")," €",""), "")
)</f>
        <v>0</v>
      </c>
      <c r="AY874" s="17" t="str">
        <f t="shared" si="18"/>
        <v/>
      </c>
      <c r="AZ874" s="1">
        <f t="shared" ref="AZ874:BA874" si="1596">sum(AN874,AQ874,AT874,AW874)</f>
        <v>0</v>
      </c>
      <c r="BA874" s="1">
        <f t="shared" si="1596"/>
        <v>0</v>
      </c>
      <c r="BB874" s="17" t="str">
        <f t="shared" si="20"/>
        <v/>
      </c>
    </row>
    <row r="875">
      <c r="I875" s="17"/>
      <c r="L875" s="17"/>
      <c r="O875" s="17"/>
      <c r="X875" s="17"/>
      <c r="AA875" s="17"/>
      <c r="AD875" s="19"/>
      <c r="AG875" s="19"/>
      <c r="AJ875" s="19"/>
      <c r="AM875" s="19"/>
    </row>
    <row r="876">
      <c r="I876" s="17"/>
      <c r="L876" s="17"/>
      <c r="O876" s="17"/>
      <c r="X876" s="17"/>
      <c r="AA876" s="17"/>
      <c r="AD876" s="19"/>
      <c r="AG876" s="19"/>
      <c r="AJ876" s="19"/>
      <c r="AM876" s="19"/>
    </row>
    <row r="877">
      <c r="I877" s="17"/>
      <c r="L877" s="17"/>
      <c r="O877" s="17"/>
      <c r="X877" s="17"/>
      <c r="AA877" s="17"/>
      <c r="AD877" s="19"/>
      <c r="AG877" s="19"/>
      <c r="AJ877" s="19"/>
      <c r="AM877" s="19"/>
    </row>
    <row r="878">
      <c r="I878" s="17"/>
      <c r="L878" s="17"/>
      <c r="O878" s="17"/>
      <c r="X878" s="17"/>
      <c r="AA878" s="17"/>
      <c r="AD878" s="19"/>
      <c r="AG878" s="19"/>
      <c r="AJ878" s="19"/>
      <c r="AM878" s="19"/>
    </row>
    <row r="879">
      <c r="I879" s="17"/>
      <c r="L879" s="17"/>
      <c r="O879" s="17"/>
      <c r="X879" s="17"/>
      <c r="AA879" s="17"/>
      <c r="AD879" s="19"/>
      <c r="AG879" s="19"/>
      <c r="AJ879" s="19"/>
      <c r="AM879" s="19"/>
    </row>
    <row r="880">
      <c r="I880" s="17"/>
      <c r="L880" s="17"/>
      <c r="O880" s="17"/>
      <c r="X880" s="17"/>
      <c r="AA880" s="17"/>
      <c r="AD880" s="19"/>
      <c r="AG880" s="19"/>
      <c r="AJ880" s="19"/>
      <c r="AM880" s="19"/>
    </row>
    <row r="881">
      <c r="I881" s="17"/>
      <c r="L881" s="17"/>
      <c r="O881" s="17"/>
      <c r="X881" s="17"/>
      <c r="AA881" s="17"/>
      <c r="AD881" s="19"/>
      <c r="AG881" s="19"/>
      <c r="AJ881" s="19"/>
      <c r="AM881" s="19"/>
    </row>
    <row r="882">
      <c r="I882" s="17"/>
      <c r="L882" s="17"/>
      <c r="O882" s="17"/>
      <c r="X882" s="17"/>
      <c r="AA882" s="17"/>
      <c r="AD882" s="19"/>
      <c r="AG882" s="19"/>
      <c r="AJ882" s="19"/>
      <c r="AM882" s="19"/>
    </row>
    <row r="883">
      <c r="I883" s="17"/>
      <c r="L883" s="17"/>
      <c r="O883" s="17"/>
      <c r="X883" s="17"/>
      <c r="AA883" s="17"/>
      <c r="AD883" s="19"/>
      <c r="AG883" s="19"/>
      <c r="AJ883" s="19"/>
      <c r="AM883" s="19"/>
    </row>
    <row r="884">
      <c r="I884" s="17"/>
      <c r="L884" s="17"/>
      <c r="O884" s="17"/>
      <c r="X884" s="17"/>
      <c r="AA884" s="17"/>
      <c r="AD884" s="19"/>
      <c r="AG884" s="19"/>
      <c r="AJ884" s="19"/>
      <c r="AM884" s="19"/>
    </row>
    <row r="885">
      <c r="I885" s="17"/>
      <c r="L885" s="17"/>
      <c r="O885" s="17"/>
      <c r="X885" s="17"/>
      <c r="AA885" s="17"/>
      <c r="AD885" s="19"/>
      <c r="AG885" s="19"/>
      <c r="AJ885" s="19"/>
      <c r="AM885" s="19"/>
    </row>
    <row r="886">
      <c r="I886" s="17"/>
      <c r="L886" s="17"/>
      <c r="O886" s="17"/>
      <c r="X886" s="17"/>
      <c r="AA886" s="17"/>
      <c r="AD886" s="19"/>
      <c r="AG886" s="19"/>
      <c r="AJ886" s="19"/>
      <c r="AM886" s="19"/>
    </row>
    <row r="887">
      <c r="I887" s="17"/>
      <c r="L887" s="17"/>
      <c r="O887" s="17"/>
      <c r="X887" s="17"/>
      <c r="AA887" s="17"/>
      <c r="AD887" s="19"/>
      <c r="AG887" s="19"/>
      <c r="AJ887" s="19"/>
      <c r="AM887" s="19"/>
    </row>
    <row r="888">
      <c r="I888" s="17"/>
      <c r="L888" s="17"/>
      <c r="O888" s="17"/>
      <c r="X888" s="17"/>
      <c r="AA888" s="17"/>
      <c r="AD888" s="19"/>
      <c r="AG888" s="19"/>
      <c r="AJ888" s="19"/>
      <c r="AM888" s="19"/>
    </row>
    <row r="889">
      <c r="I889" s="17"/>
      <c r="L889" s="17"/>
      <c r="O889" s="17"/>
      <c r="X889" s="17"/>
      <c r="AA889" s="17"/>
      <c r="AD889" s="19"/>
      <c r="AG889" s="19"/>
      <c r="AJ889" s="19"/>
      <c r="AM889" s="19"/>
    </row>
    <row r="890">
      <c r="I890" s="17"/>
      <c r="L890" s="17"/>
      <c r="O890" s="17"/>
      <c r="X890" s="17"/>
      <c r="AA890" s="17"/>
      <c r="AD890" s="19"/>
      <c r="AG890" s="19"/>
      <c r="AJ890" s="19"/>
      <c r="AM890" s="19"/>
    </row>
    <row r="891">
      <c r="I891" s="17"/>
      <c r="L891" s="17"/>
      <c r="O891" s="17"/>
      <c r="X891" s="17"/>
      <c r="AA891" s="17"/>
      <c r="AD891" s="19"/>
      <c r="AG891" s="19"/>
      <c r="AJ891" s="19"/>
      <c r="AM891" s="19"/>
    </row>
    <row r="892">
      <c r="I892" s="17"/>
      <c r="L892" s="17"/>
      <c r="O892" s="17"/>
      <c r="X892" s="17"/>
      <c r="AA892" s="17"/>
      <c r="AD892" s="19"/>
      <c r="AG892" s="19"/>
      <c r="AJ892" s="19"/>
      <c r="AM892" s="19"/>
    </row>
    <row r="893">
      <c r="I893" s="17"/>
      <c r="L893" s="17"/>
      <c r="O893" s="17"/>
      <c r="X893" s="17"/>
      <c r="AA893" s="17"/>
      <c r="AD893" s="19"/>
      <c r="AG893" s="19"/>
      <c r="AJ893" s="19"/>
      <c r="AM893" s="19"/>
    </row>
    <row r="894">
      <c r="I894" s="17"/>
      <c r="L894" s="17"/>
      <c r="O894" s="17"/>
      <c r="X894" s="17"/>
      <c r="AA894" s="17"/>
      <c r="AD894" s="19"/>
      <c r="AG894" s="19"/>
      <c r="AJ894" s="19"/>
      <c r="AM894" s="19"/>
    </row>
    <row r="895">
      <c r="I895" s="17"/>
      <c r="L895" s="17"/>
      <c r="O895" s="17"/>
      <c r="X895" s="17"/>
      <c r="AA895" s="17"/>
      <c r="AD895" s="19"/>
      <c r="AG895" s="19"/>
      <c r="AJ895" s="19"/>
      <c r="AM895" s="19"/>
    </row>
    <row r="896">
      <c r="I896" s="17"/>
      <c r="L896" s="17"/>
      <c r="O896" s="17"/>
      <c r="X896" s="17"/>
      <c r="AA896" s="17"/>
      <c r="AD896" s="19"/>
      <c r="AG896" s="19"/>
      <c r="AJ896" s="19"/>
      <c r="AM896" s="19"/>
    </row>
    <row r="897">
      <c r="I897" s="17"/>
      <c r="L897" s="17"/>
      <c r="O897" s="17"/>
      <c r="X897" s="17"/>
      <c r="AA897" s="17"/>
      <c r="AD897" s="19"/>
      <c r="AG897" s="19"/>
      <c r="AJ897" s="19"/>
      <c r="AM897" s="19"/>
    </row>
    <row r="898">
      <c r="I898" s="17"/>
      <c r="L898" s="17"/>
      <c r="O898" s="17"/>
      <c r="X898" s="17"/>
      <c r="AA898" s="17"/>
      <c r="AD898" s="19"/>
      <c r="AG898" s="19"/>
      <c r="AJ898" s="19"/>
      <c r="AM898" s="19"/>
    </row>
    <row r="899">
      <c r="I899" s="17"/>
      <c r="L899" s="17"/>
      <c r="O899" s="17"/>
      <c r="X899" s="17"/>
      <c r="AA899" s="17"/>
      <c r="AD899" s="19"/>
      <c r="AG899" s="19"/>
      <c r="AJ899" s="19"/>
      <c r="AM899" s="19"/>
    </row>
    <row r="900">
      <c r="I900" s="17"/>
      <c r="L900" s="17"/>
      <c r="O900" s="17"/>
      <c r="X900" s="17"/>
      <c r="AA900" s="17"/>
      <c r="AD900" s="19"/>
      <c r="AG900" s="19"/>
      <c r="AJ900" s="19"/>
      <c r="AM900" s="19"/>
    </row>
    <row r="901">
      <c r="I901" s="17"/>
      <c r="L901" s="17"/>
      <c r="O901" s="17"/>
      <c r="X901" s="17"/>
      <c r="AA901" s="17"/>
      <c r="AD901" s="19"/>
      <c r="AG901" s="19"/>
      <c r="AJ901" s="19"/>
      <c r="AM901" s="19"/>
    </row>
    <row r="902">
      <c r="I902" s="17"/>
      <c r="L902" s="17"/>
      <c r="O902" s="17"/>
      <c r="X902" s="17"/>
      <c r="AA902" s="17"/>
      <c r="AD902" s="19"/>
      <c r="AG902" s="19"/>
      <c r="AJ902" s="19"/>
      <c r="AM902" s="19"/>
    </row>
    <row r="903">
      <c r="I903" s="17"/>
      <c r="L903" s="17"/>
      <c r="O903" s="17"/>
      <c r="X903" s="17"/>
      <c r="AA903" s="17"/>
      <c r="AD903" s="19"/>
      <c r="AG903" s="19"/>
      <c r="AJ903" s="19"/>
      <c r="AM903" s="19"/>
    </row>
    <row r="904">
      <c r="I904" s="17"/>
      <c r="L904" s="17"/>
      <c r="O904" s="17"/>
      <c r="X904" s="17"/>
      <c r="AA904" s="17"/>
      <c r="AD904" s="19"/>
      <c r="AG904" s="19"/>
      <c r="AJ904" s="19"/>
      <c r="AM904" s="19"/>
    </row>
    <row r="905">
      <c r="I905" s="17"/>
      <c r="L905" s="17"/>
      <c r="O905" s="17"/>
      <c r="X905" s="17"/>
      <c r="AA905" s="17"/>
      <c r="AD905" s="19"/>
      <c r="AG905" s="19"/>
      <c r="AJ905" s="19"/>
      <c r="AM905" s="19"/>
    </row>
    <row r="906">
      <c r="I906" s="17"/>
      <c r="L906" s="17"/>
      <c r="O906" s="17"/>
      <c r="X906" s="17"/>
      <c r="AA906" s="17"/>
      <c r="AD906" s="19"/>
      <c r="AG906" s="19"/>
      <c r="AJ906" s="19"/>
      <c r="AM906" s="19"/>
    </row>
    <row r="907">
      <c r="I907" s="17"/>
      <c r="L907" s="17"/>
      <c r="O907" s="17"/>
      <c r="X907" s="17"/>
      <c r="AA907" s="17"/>
      <c r="AD907" s="19"/>
      <c r="AG907" s="19"/>
      <c r="AJ907" s="19"/>
      <c r="AM907" s="19"/>
    </row>
    <row r="908">
      <c r="I908" s="17"/>
      <c r="L908" s="17"/>
      <c r="O908" s="17"/>
      <c r="X908" s="17"/>
      <c r="AA908" s="17"/>
      <c r="AD908" s="19"/>
      <c r="AG908" s="19"/>
      <c r="AJ908" s="19"/>
      <c r="AM908" s="19"/>
    </row>
    <row r="909">
      <c r="I909" s="17"/>
      <c r="L909" s="17"/>
      <c r="O909" s="17"/>
      <c r="X909" s="17"/>
      <c r="AA909" s="17"/>
      <c r="AD909" s="19"/>
      <c r="AG909" s="19"/>
      <c r="AJ909" s="19"/>
      <c r="AM909" s="19"/>
    </row>
    <row r="910">
      <c r="I910" s="17"/>
      <c r="L910" s="17"/>
      <c r="O910" s="17"/>
      <c r="X910" s="17"/>
      <c r="AA910" s="17"/>
      <c r="AD910" s="19"/>
      <c r="AG910" s="19"/>
      <c r="AJ910" s="19"/>
      <c r="AM910" s="19"/>
    </row>
    <row r="911">
      <c r="I911" s="17"/>
      <c r="L911" s="17"/>
      <c r="O911" s="17"/>
      <c r="X911" s="17"/>
      <c r="AA911" s="17"/>
      <c r="AD911" s="19"/>
      <c r="AG911" s="19"/>
      <c r="AJ911" s="19"/>
      <c r="AM911" s="19"/>
    </row>
    <row r="912">
      <c r="I912" s="17"/>
      <c r="L912" s="17"/>
      <c r="O912" s="17"/>
      <c r="X912" s="17"/>
      <c r="AA912" s="17"/>
      <c r="AD912" s="19"/>
      <c r="AG912" s="19"/>
      <c r="AJ912" s="19"/>
      <c r="AM912" s="19"/>
    </row>
    <row r="913">
      <c r="I913" s="17"/>
      <c r="L913" s="17"/>
      <c r="O913" s="17"/>
      <c r="X913" s="17"/>
      <c r="AA913" s="17"/>
      <c r="AD913" s="19"/>
      <c r="AG913" s="19"/>
      <c r="AJ913" s="19"/>
      <c r="AM913" s="19"/>
    </row>
    <row r="914">
      <c r="I914" s="17"/>
      <c r="L914" s="17"/>
      <c r="O914" s="17"/>
      <c r="X914" s="17"/>
      <c r="AA914" s="17"/>
      <c r="AD914" s="19"/>
      <c r="AG914" s="19"/>
      <c r="AJ914" s="19"/>
      <c r="AM914" s="19"/>
    </row>
    <row r="915">
      <c r="I915" s="17"/>
      <c r="L915" s="17"/>
      <c r="O915" s="17"/>
      <c r="X915" s="17"/>
      <c r="AA915" s="17"/>
      <c r="AD915" s="19"/>
      <c r="AG915" s="19"/>
      <c r="AJ915" s="19"/>
      <c r="AM915" s="19"/>
    </row>
    <row r="916">
      <c r="I916" s="17"/>
      <c r="L916" s="17"/>
      <c r="O916" s="17"/>
      <c r="X916" s="17"/>
      <c r="AA916" s="17"/>
      <c r="AD916" s="19"/>
      <c r="AG916" s="19"/>
      <c r="AJ916" s="19"/>
      <c r="AM916" s="19"/>
    </row>
    <row r="917">
      <c r="I917" s="17"/>
      <c r="L917" s="17"/>
      <c r="O917" s="17"/>
      <c r="X917" s="17"/>
      <c r="AA917" s="17"/>
      <c r="AD917" s="19"/>
      <c r="AG917" s="19"/>
      <c r="AJ917" s="19"/>
      <c r="AM917" s="19"/>
    </row>
    <row r="918">
      <c r="I918" s="17"/>
      <c r="L918" s="17"/>
      <c r="O918" s="17"/>
      <c r="X918" s="17"/>
      <c r="AA918" s="17"/>
      <c r="AD918" s="19"/>
      <c r="AG918" s="19"/>
      <c r="AJ918" s="19"/>
      <c r="AM918" s="19"/>
    </row>
    <row r="919">
      <c r="I919" s="17"/>
      <c r="L919" s="17"/>
      <c r="O919" s="17"/>
      <c r="X919" s="17"/>
      <c r="AA919" s="17"/>
      <c r="AD919" s="19"/>
      <c r="AG919" s="19"/>
      <c r="AJ919" s="19"/>
      <c r="AM919" s="19"/>
    </row>
    <row r="920">
      <c r="I920" s="17"/>
      <c r="L920" s="17"/>
      <c r="O920" s="17"/>
      <c r="X920" s="17"/>
      <c r="AA920" s="17"/>
      <c r="AD920" s="19"/>
      <c r="AG920" s="19"/>
      <c r="AJ920" s="19"/>
      <c r="AM920" s="19"/>
    </row>
    <row r="921">
      <c r="I921" s="17"/>
      <c r="L921" s="17"/>
      <c r="O921" s="17"/>
      <c r="X921" s="17"/>
      <c r="AA921" s="17"/>
      <c r="AD921" s="19"/>
      <c r="AG921" s="19"/>
      <c r="AJ921" s="19"/>
      <c r="AM921" s="19"/>
    </row>
    <row r="922">
      <c r="I922" s="17"/>
      <c r="L922" s="17"/>
      <c r="O922" s="17"/>
      <c r="X922" s="17"/>
      <c r="AA922" s="17"/>
      <c r="AD922" s="19"/>
      <c r="AG922" s="19"/>
      <c r="AJ922" s="19"/>
      <c r="AM922" s="19"/>
    </row>
    <row r="923">
      <c r="I923" s="17"/>
      <c r="L923" s="17"/>
      <c r="O923" s="17"/>
      <c r="X923" s="17"/>
      <c r="AA923" s="17"/>
      <c r="AD923" s="19"/>
      <c r="AG923" s="19"/>
      <c r="AJ923" s="19"/>
      <c r="AM923" s="19"/>
    </row>
    <row r="924">
      <c r="I924" s="17"/>
      <c r="L924" s="17"/>
      <c r="O924" s="17"/>
      <c r="X924" s="17"/>
      <c r="AA924" s="17"/>
      <c r="AD924" s="19"/>
      <c r="AG924" s="19"/>
      <c r="AJ924" s="19"/>
      <c r="AM924" s="19"/>
    </row>
    <row r="925">
      <c r="I925" s="17"/>
      <c r="L925" s="17"/>
      <c r="O925" s="17"/>
      <c r="X925" s="17"/>
      <c r="AA925" s="17"/>
      <c r="AD925" s="19"/>
      <c r="AG925" s="19"/>
      <c r="AJ925" s="19"/>
      <c r="AM925" s="19"/>
    </row>
    <row r="926">
      <c r="I926" s="17"/>
      <c r="L926" s="17"/>
      <c r="O926" s="17"/>
      <c r="X926" s="17"/>
      <c r="AA926" s="17"/>
      <c r="AD926" s="19"/>
      <c r="AG926" s="19"/>
      <c r="AJ926" s="19"/>
      <c r="AM926" s="19"/>
    </row>
    <row r="927">
      <c r="I927" s="17"/>
      <c r="L927" s="17"/>
      <c r="O927" s="17"/>
      <c r="X927" s="17"/>
      <c r="AA927" s="17"/>
      <c r="AD927" s="19"/>
      <c r="AG927" s="19"/>
      <c r="AJ927" s="19"/>
      <c r="AM927" s="19"/>
    </row>
    <row r="928">
      <c r="I928" s="17"/>
      <c r="L928" s="17"/>
      <c r="O928" s="17"/>
      <c r="X928" s="17"/>
      <c r="AA928" s="17"/>
      <c r="AD928" s="19"/>
      <c r="AG928" s="19"/>
      <c r="AJ928" s="19"/>
      <c r="AM928" s="19"/>
    </row>
    <row r="929">
      <c r="I929" s="17"/>
      <c r="L929" s="17"/>
      <c r="O929" s="17"/>
      <c r="X929" s="17"/>
      <c r="AA929" s="17"/>
      <c r="AD929" s="19"/>
      <c r="AG929" s="19"/>
      <c r="AJ929" s="19"/>
      <c r="AM929" s="19"/>
    </row>
    <row r="930">
      <c r="I930" s="17"/>
      <c r="L930" s="17"/>
      <c r="O930" s="17"/>
      <c r="X930" s="17"/>
      <c r="AA930" s="17"/>
      <c r="AD930" s="19"/>
      <c r="AG930" s="19"/>
      <c r="AJ930" s="19"/>
      <c r="AM930" s="19"/>
    </row>
    <row r="931">
      <c r="I931" s="17"/>
      <c r="L931" s="17"/>
      <c r="O931" s="17"/>
      <c r="X931" s="17"/>
      <c r="AA931" s="17"/>
      <c r="AD931" s="19"/>
      <c r="AG931" s="19"/>
      <c r="AJ931" s="19"/>
      <c r="AM931" s="19"/>
    </row>
    <row r="932">
      <c r="I932" s="17"/>
      <c r="L932" s="17"/>
      <c r="O932" s="17"/>
      <c r="X932" s="17"/>
      <c r="AA932" s="17"/>
      <c r="AD932" s="19"/>
      <c r="AG932" s="19"/>
      <c r="AJ932" s="19"/>
      <c r="AM932" s="19"/>
    </row>
    <row r="933">
      <c r="I933" s="17"/>
      <c r="L933" s="17"/>
      <c r="O933" s="17"/>
      <c r="X933" s="17"/>
      <c r="AA933" s="17"/>
      <c r="AD933" s="19"/>
      <c r="AG933" s="19"/>
      <c r="AJ933" s="19"/>
      <c r="AM933" s="19"/>
    </row>
    <row r="934">
      <c r="I934" s="17"/>
      <c r="L934" s="17"/>
      <c r="O934" s="17"/>
      <c r="X934" s="17"/>
      <c r="AA934" s="17"/>
      <c r="AD934" s="19"/>
      <c r="AG934" s="19"/>
      <c r="AJ934" s="19"/>
      <c r="AM934" s="19"/>
    </row>
    <row r="935">
      <c r="I935" s="17"/>
      <c r="L935" s="17"/>
      <c r="O935" s="17"/>
      <c r="X935" s="17"/>
      <c r="AA935" s="17"/>
      <c r="AD935" s="19"/>
      <c r="AG935" s="19"/>
      <c r="AJ935" s="19"/>
      <c r="AM935" s="19"/>
    </row>
    <row r="936">
      <c r="I936" s="17"/>
      <c r="L936" s="17"/>
      <c r="O936" s="17"/>
      <c r="X936" s="17"/>
      <c r="AA936" s="17"/>
      <c r="AD936" s="19"/>
      <c r="AG936" s="19"/>
      <c r="AJ936" s="19"/>
      <c r="AM936" s="19"/>
    </row>
    <row r="937">
      <c r="I937" s="17"/>
      <c r="L937" s="17"/>
      <c r="O937" s="17"/>
      <c r="X937" s="17"/>
      <c r="AA937" s="17"/>
      <c r="AD937" s="19"/>
      <c r="AG937" s="19"/>
      <c r="AJ937" s="19"/>
      <c r="AM937" s="19"/>
    </row>
    <row r="938">
      <c r="I938" s="17"/>
      <c r="L938" s="17"/>
      <c r="O938" s="17"/>
      <c r="X938" s="17"/>
      <c r="AA938" s="17"/>
      <c r="AD938" s="19"/>
      <c r="AG938" s="19"/>
      <c r="AJ938" s="19"/>
      <c r="AM938" s="19"/>
    </row>
    <row r="939">
      <c r="I939" s="17"/>
      <c r="L939" s="17"/>
      <c r="O939" s="17"/>
      <c r="X939" s="17"/>
      <c r="AA939" s="17"/>
      <c r="AD939" s="19"/>
      <c r="AG939" s="19"/>
      <c r="AJ939" s="19"/>
      <c r="AM939" s="19"/>
    </row>
    <row r="940">
      <c r="I940" s="17"/>
      <c r="L940" s="17"/>
      <c r="O940" s="17"/>
      <c r="X940" s="17"/>
      <c r="AA940" s="17"/>
      <c r="AD940" s="19"/>
      <c r="AG940" s="19"/>
      <c r="AJ940" s="19"/>
      <c r="AM940" s="19"/>
    </row>
    <row r="941">
      <c r="I941" s="17"/>
      <c r="L941" s="17"/>
      <c r="O941" s="17"/>
      <c r="X941" s="17"/>
      <c r="AA941" s="17"/>
      <c r="AD941" s="19"/>
      <c r="AG941" s="19"/>
      <c r="AJ941" s="19"/>
      <c r="AM941" s="19"/>
    </row>
    <row r="942">
      <c r="I942" s="17"/>
      <c r="L942" s="17"/>
      <c r="O942" s="17"/>
      <c r="X942" s="17"/>
      <c r="AA942" s="17"/>
      <c r="AD942" s="19"/>
      <c r="AG942" s="19"/>
      <c r="AJ942" s="19"/>
      <c r="AM942" s="19"/>
    </row>
    <row r="943">
      <c r="I943" s="17"/>
      <c r="L943" s="17"/>
      <c r="O943" s="17"/>
      <c r="X943" s="17"/>
      <c r="AA943" s="17"/>
      <c r="AD943" s="19"/>
      <c r="AG943" s="19"/>
      <c r="AJ943" s="19"/>
      <c r="AM943" s="19"/>
    </row>
    <row r="944">
      <c r="I944" s="17"/>
      <c r="L944" s="17"/>
      <c r="O944" s="17"/>
      <c r="X944" s="17"/>
      <c r="AA944" s="17"/>
      <c r="AD944" s="19"/>
      <c r="AG944" s="19"/>
      <c r="AJ944" s="19"/>
      <c r="AM944" s="19"/>
    </row>
    <row r="945">
      <c r="I945" s="17"/>
      <c r="L945" s="17"/>
      <c r="O945" s="17"/>
      <c r="X945" s="17"/>
      <c r="AA945" s="17"/>
      <c r="AD945" s="19"/>
      <c r="AG945" s="19"/>
      <c r="AJ945" s="19"/>
      <c r="AM945" s="19"/>
    </row>
    <row r="946">
      <c r="I946" s="17"/>
      <c r="L946" s="17"/>
      <c r="O946" s="17"/>
      <c r="X946" s="17"/>
      <c r="AA946" s="17"/>
      <c r="AD946" s="19"/>
      <c r="AG946" s="19"/>
      <c r="AJ946" s="19"/>
      <c r="AM946" s="19"/>
    </row>
    <row r="947">
      <c r="I947" s="17"/>
      <c r="L947" s="17"/>
      <c r="O947" s="17"/>
      <c r="X947" s="17"/>
      <c r="AA947" s="17"/>
      <c r="AD947" s="19"/>
      <c r="AG947" s="19"/>
      <c r="AJ947" s="19"/>
      <c r="AM947" s="19"/>
    </row>
    <row r="948">
      <c r="I948" s="17"/>
      <c r="L948" s="17"/>
      <c r="O948" s="17"/>
      <c r="X948" s="17"/>
      <c r="AA948" s="17"/>
      <c r="AD948" s="19"/>
      <c r="AG948" s="19"/>
      <c r="AJ948" s="19"/>
      <c r="AM948" s="19"/>
    </row>
    <row r="949">
      <c r="I949" s="17"/>
      <c r="L949" s="17"/>
      <c r="O949" s="17"/>
      <c r="X949" s="17"/>
      <c r="AA949" s="17"/>
      <c r="AD949" s="19"/>
      <c r="AG949" s="19"/>
      <c r="AJ949" s="19"/>
      <c r="AM949" s="19"/>
    </row>
    <row r="950">
      <c r="I950" s="17"/>
      <c r="L950" s="17"/>
      <c r="O950" s="17"/>
      <c r="X950" s="17"/>
      <c r="AA950" s="17"/>
      <c r="AD950" s="19"/>
      <c r="AG950" s="19"/>
      <c r="AJ950" s="19"/>
      <c r="AM950" s="19"/>
    </row>
    <row r="951">
      <c r="I951" s="17"/>
      <c r="L951" s="17"/>
      <c r="O951" s="17"/>
      <c r="X951" s="17"/>
      <c r="AA951" s="17"/>
      <c r="AD951" s="19"/>
      <c r="AG951" s="19"/>
      <c r="AJ951" s="19"/>
      <c r="AM951" s="19"/>
    </row>
    <row r="952">
      <c r="I952" s="17"/>
      <c r="L952" s="17"/>
      <c r="O952" s="17"/>
      <c r="X952" s="17"/>
      <c r="AA952" s="17"/>
      <c r="AD952" s="19"/>
      <c r="AG952" s="19"/>
      <c r="AJ952" s="19"/>
      <c r="AM952" s="19"/>
    </row>
    <row r="953">
      <c r="I953" s="17"/>
      <c r="L953" s="17"/>
      <c r="O953" s="17"/>
      <c r="X953" s="17"/>
      <c r="AA953" s="17"/>
      <c r="AD953" s="19"/>
      <c r="AG953" s="19"/>
      <c r="AJ953" s="19"/>
      <c r="AM953" s="19"/>
    </row>
    <row r="954">
      <c r="I954" s="17"/>
      <c r="L954" s="17"/>
      <c r="O954" s="17"/>
      <c r="X954" s="17"/>
      <c r="AA954" s="17"/>
      <c r="AD954" s="19"/>
      <c r="AG954" s="19"/>
      <c r="AJ954" s="19"/>
      <c r="AM954" s="19"/>
    </row>
    <row r="955">
      <c r="I955" s="17"/>
      <c r="L955" s="17"/>
      <c r="O955" s="17"/>
      <c r="X955" s="17"/>
      <c r="AA955" s="17"/>
      <c r="AD955" s="19"/>
      <c r="AG955" s="19"/>
      <c r="AJ955" s="19"/>
      <c r="AM955" s="19"/>
    </row>
    <row r="956">
      <c r="I956" s="17"/>
      <c r="L956" s="17"/>
      <c r="O956" s="17"/>
      <c r="X956" s="17"/>
      <c r="AA956" s="17"/>
      <c r="AD956" s="19"/>
      <c r="AG956" s="19"/>
      <c r="AJ956" s="19"/>
      <c r="AM956" s="19"/>
    </row>
    <row r="957">
      <c r="I957" s="17"/>
      <c r="L957" s="17"/>
      <c r="O957" s="17"/>
      <c r="X957" s="17"/>
      <c r="AA957" s="17"/>
      <c r="AD957" s="19"/>
      <c r="AG957" s="19"/>
      <c r="AJ957" s="19"/>
      <c r="AM957" s="19"/>
    </row>
    <row r="958">
      <c r="I958" s="17"/>
      <c r="L958" s="17"/>
      <c r="O958" s="17"/>
      <c r="X958" s="17"/>
      <c r="AA958" s="17"/>
      <c r="AD958" s="19"/>
      <c r="AG958" s="19"/>
      <c r="AJ958" s="19"/>
      <c r="AM958" s="19"/>
    </row>
    <row r="959">
      <c r="I959" s="17"/>
      <c r="L959" s="17"/>
      <c r="O959" s="17"/>
      <c r="X959" s="17"/>
      <c r="AA959" s="17"/>
      <c r="AD959" s="19"/>
      <c r="AG959" s="19"/>
      <c r="AJ959" s="19"/>
      <c r="AM959" s="19"/>
    </row>
    <row r="960">
      <c r="I960" s="17"/>
      <c r="L960" s="17"/>
      <c r="O960" s="17"/>
      <c r="X960" s="17"/>
      <c r="AA960" s="17"/>
      <c r="AD960" s="19"/>
      <c r="AG960" s="19"/>
      <c r="AJ960" s="19"/>
      <c r="AM960" s="19"/>
    </row>
    <row r="961">
      <c r="I961" s="17"/>
      <c r="L961" s="17"/>
      <c r="O961" s="17"/>
      <c r="X961" s="17"/>
      <c r="AA961" s="17"/>
      <c r="AD961" s="19"/>
      <c r="AG961" s="19"/>
      <c r="AJ961" s="19"/>
      <c r="AM961" s="19"/>
    </row>
    <row r="962">
      <c r="I962" s="17"/>
      <c r="L962" s="17"/>
      <c r="O962" s="17"/>
      <c r="X962" s="17"/>
      <c r="AA962" s="17"/>
      <c r="AD962" s="19"/>
      <c r="AG962" s="19"/>
      <c r="AJ962" s="19"/>
      <c r="AM962" s="19"/>
    </row>
    <row r="963">
      <c r="I963" s="17"/>
      <c r="L963" s="17"/>
      <c r="O963" s="17"/>
      <c r="X963" s="17"/>
      <c r="AA963" s="17"/>
      <c r="AD963" s="19"/>
      <c r="AG963" s="19"/>
      <c r="AJ963" s="19"/>
      <c r="AM963" s="19"/>
    </row>
    <row r="964">
      <c r="I964" s="17"/>
      <c r="L964" s="17"/>
      <c r="O964" s="17"/>
      <c r="X964" s="17"/>
      <c r="AA964" s="17"/>
      <c r="AD964" s="19"/>
      <c r="AG964" s="19"/>
      <c r="AJ964" s="19"/>
      <c r="AM964" s="19"/>
    </row>
    <row r="965">
      <c r="I965" s="17"/>
      <c r="L965" s="17"/>
      <c r="O965" s="17"/>
      <c r="X965" s="17"/>
      <c r="AA965" s="17"/>
      <c r="AD965" s="19"/>
      <c r="AG965" s="19"/>
      <c r="AJ965" s="19"/>
      <c r="AM965" s="19"/>
    </row>
    <row r="966">
      <c r="I966" s="17"/>
      <c r="L966" s="17"/>
      <c r="O966" s="17"/>
      <c r="X966" s="17"/>
      <c r="AA966" s="17"/>
      <c r="AD966" s="19"/>
      <c r="AG966" s="19"/>
      <c r="AJ966" s="19"/>
      <c r="AM966" s="19"/>
    </row>
    <row r="967">
      <c r="I967" s="17"/>
      <c r="L967" s="17"/>
      <c r="O967" s="17"/>
      <c r="X967" s="17"/>
      <c r="AA967" s="17"/>
      <c r="AD967" s="19"/>
      <c r="AG967" s="19"/>
      <c r="AJ967" s="19"/>
      <c r="AM967" s="19"/>
    </row>
    <row r="968">
      <c r="I968" s="17"/>
      <c r="L968" s="17"/>
      <c r="O968" s="17"/>
      <c r="X968" s="17"/>
      <c r="AA968" s="17"/>
      <c r="AD968" s="19"/>
      <c r="AG968" s="19"/>
      <c r="AJ968" s="19"/>
      <c r="AM968" s="19"/>
    </row>
    <row r="969">
      <c r="I969" s="17"/>
      <c r="L969" s="17"/>
      <c r="O969" s="17"/>
      <c r="X969" s="17"/>
      <c r="AA969" s="17"/>
      <c r="AD969" s="19"/>
      <c r="AG969" s="19"/>
      <c r="AJ969" s="19"/>
      <c r="AM969" s="19"/>
    </row>
    <row r="970">
      <c r="I970" s="17"/>
      <c r="L970" s="17"/>
      <c r="O970" s="17"/>
      <c r="X970" s="17"/>
      <c r="AA970" s="17"/>
      <c r="AD970" s="19"/>
      <c r="AG970" s="19"/>
      <c r="AJ970" s="19"/>
      <c r="AM970" s="19"/>
    </row>
    <row r="971">
      <c r="I971" s="17"/>
      <c r="L971" s="17"/>
      <c r="O971" s="17"/>
      <c r="X971" s="17"/>
      <c r="AA971" s="17"/>
      <c r="AD971" s="19"/>
      <c r="AG971" s="19"/>
      <c r="AJ971" s="19"/>
      <c r="AM971" s="19"/>
    </row>
    <row r="972">
      <c r="I972" s="17"/>
      <c r="L972" s="17"/>
      <c r="O972" s="17"/>
      <c r="X972" s="17"/>
      <c r="AA972" s="17"/>
      <c r="AD972" s="19"/>
      <c r="AG972" s="19"/>
      <c r="AJ972" s="19"/>
      <c r="AM972" s="19"/>
    </row>
    <row r="973">
      <c r="I973" s="17"/>
      <c r="L973" s="17"/>
      <c r="O973" s="17"/>
      <c r="X973" s="17"/>
      <c r="AA973" s="17"/>
      <c r="AD973" s="19"/>
      <c r="AG973" s="19"/>
      <c r="AJ973" s="19"/>
      <c r="AM973" s="19"/>
    </row>
    <row r="974">
      <c r="I974" s="17"/>
      <c r="L974" s="17"/>
      <c r="O974" s="17"/>
      <c r="X974" s="17"/>
      <c r="AA974" s="17"/>
      <c r="AD974" s="19"/>
      <c r="AG974" s="19"/>
      <c r="AJ974" s="19"/>
      <c r="AM974" s="19"/>
    </row>
    <row r="975">
      <c r="I975" s="17"/>
      <c r="L975" s="17"/>
      <c r="O975" s="17"/>
      <c r="X975" s="17"/>
      <c r="AA975" s="17"/>
      <c r="AD975" s="19"/>
      <c r="AG975" s="19"/>
      <c r="AJ975" s="19"/>
      <c r="AM975" s="19"/>
    </row>
    <row r="976">
      <c r="I976" s="17"/>
      <c r="L976" s="17"/>
      <c r="O976" s="17"/>
      <c r="X976" s="17"/>
      <c r="AA976" s="17"/>
      <c r="AD976" s="19"/>
      <c r="AG976" s="19"/>
      <c r="AJ976" s="19"/>
      <c r="AM976" s="19"/>
    </row>
    <row r="977">
      <c r="I977" s="17"/>
      <c r="L977" s="17"/>
      <c r="O977" s="17"/>
      <c r="X977" s="17"/>
      <c r="AA977" s="17"/>
      <c r="AD977" s="19"/>
      <c r="AG977" s="19"/>
      <c r="AJ977" s="19"/>
      <c r="AM977" s="19"/>
    </row>
    <row r="978">
      <c r="I978" s="17"/>
      <c r="L978" s="17"/>
      <c r="O978" s="17"/>
      <c r="X978" s="17"/>
      <c r="AA978" s="17"/>
      <c r="AD978" s="19"/>
      <c r="AG978" s="19"/>
      <c r="AJ978" s="19"/>
      <c r="AM978" s="19"/>
    </row>
    <row r="979">
      <c r="I979" s="17"/>
      <c r="L979" s="17"/>
      <c r="O979" s="17"/>
      <c r="X979" s="17"/>
      <c r="AA979" s="17"/>
      <c r="AD979" s="19"/>
      <c r="AG979" s="19"/>
      <c r="AJ979" s="19"/>
      <c r="AM979" s="19"/>
    </row>
    <row r="980">
      <c r="I980" s="17"/>
      <c r="L980" s="17"/>
      <c r="O980" s="17"/>
      <c r="X980" s="17"/>
      <c r="AA980" s="17"/>
      <c r="AD980" s="19"/>
      <c r="AG980" s="19"/>
      <c r="AJ980" s="19"/>
      <c r="AM980" s="19"/>
    </row>
    <row r="981">
      <c r="I981" s="17"/>
      <c r="L981" s="17"/>
      <c r="O981" s="17"/>
      <c r="X981" s="17"/>
      <c r="AA981" s="17"/>
      <c r="AD981" s="19"/>
      <c r="AG981" s="19"/>
      <c r="AJ981" s="19"/>
      <c r="AM981" s="19"/>
    </row>
    <row r="982">
      <c r="I982" s="17"/>
      <c r="L982" s="17"/>
      <c r="O982" s="17"/>
      <c r="X982" s="17"/>
      <c r="AA982" s="17"/>
      <c r="AD982" s="19"/>
      <c r="AG982" s="19"/>
      <c r="AJ982" s="19"/>
      <c r="AM982" s="19"/>
    </row>
    <row r="983">
      <c r="I983" s="17"/>
      <c r="L983" s="17"/>
      <c r="O983" s="17"/>
      <c r="X983" s="17"/>
      <c r="AA983" s="17"/>
      <c r="AD983" s="19"/>
      <c r="AG983" s="19"/>
      <c r="AJ983" s="19"/>
      <c r="AM983" s="19"/>
    </row>
    <row r="984">
      <c r="I984" s="17"/>
      <c r="L984" s="17"/>
      <c r="O984" s="17"/>
      <c r="X984" s="17"/>
      <c r="AA984" s="17"/>
      <c r="AD984" s="19"/>
      <c r="AG984" s="19"/>
      <c r="AJ984" s="19"/>
      <c r="AM984" s="19"/>
    </row>
    <row r="985">
      <c r="I985" s="17"/>
      <c r="L985" s="17"/>
      <c r="O985" s="17"/>
      <c r="X985" s="17"/>
      <c r="AA985" s="17"/>
      <c r="AD985" s="19"/>
      <c r="AG985" s="19"/>
      <c r="AJ985" s="19"/>
      <c r="AM985" s="19"/>
    </row>
    <row r="986">
      <c r="I986" s="17"/>
      <c r="L986" s="17"/>
      <c r="O986" s="17"/>
      <c r="X986" s="17"/>
      <c r="AA986" s="17"/>
      <c r="AD986" s="19"/>
      <c r="AG986" s="19"/>
      <c r="AJ986" s="19"/>
      <c r="AM986" s="19"/>
    </row>
    <row r="987">
      <c r="I987" s="17"/>
      <c r="L987" s="17"/>
      <c r="O987" s="17"/>
      <c r="X987" s="17"/>
      <c r="AA987" s="17"/>
      <c r="AD987" s="19"/>
      <c r="AG987" s="19"/>
      <c r="AJ987" s="19"/>
      <c r="AM987" s="19"/>
    </row>
    <row r="988">
      <c r="I988" s="17"/>
      <c r="L988" s="17"/>
      <c r="O988" s="17"/>
      <c r="X988" s="17"/>
      <c r="AA988" s="17"/>
      <c r="AD988" s="19"/>
      <c r="AG988" s="19"/>
      <c r="AJ988" s="19"/>
      <c r="AM988" s="19"/>
    </row>
    <row r="989">
      <c r="I989" s="17"/>
      <c r="L989" s="17"/>
      <c r="O989" s="17"/>
      <c r="X989" s="17"/>
      <c r="AA989" s="17"/>
      <c r="AD989" s="19"/>
      <c r="AG989" s="19"/>
      <c r="AJ989" s="19"/>
      <c r="AM989" s="19"/>
    </row>
    <row r="990">
      <c r="I990" s="17"/>
      <c r="L990" s="17"/>
      <c r="O990" s="17"/>
      <c r="X990" s="17"/>
      <c r="AA990" s="17"/>
      <c r="AD990" s="19"/>
      <c r="AG990" s="19"/>
      <c r="AJ990" s="19"/>
      <c r="AM990" s="19"/>
    </row>
    <row r="991">
      <c r="I991" s="17"/>
      <c r="L991" s="17"/>
      <c r="O991" s="17"/>
      <c r="X991" s="17"/>
      <c r="AA991" s="17"/>
      <c r="AD991" s="19"/>
      <c r="AG991" s="19"/>
      <c r="AJ991" s="19"/>
      <c r="AM991" s="19"/>
    </row>
    <row r="992">
      <c r="I992" s="17"/>
      <c r="L992" s="17"/>
      <c r="O992" s="17"/>
      <c r="X992" s="17"/>
      <c r="AA992" s="17"/>
      <c r="AD992" s="19"/>
      <c r="AG992" s="19"/>
      <c r="AJ992" s="19"/>
      <c r="AM992" s="19"/>
    </row>
    <row r="993">
      <c r="I993" s="17"/>
      <c r="L993" s="17"/>
      <c r="O993" s="17"/>
      <c r="X993" s="17"/>
      <c r="AA993" s="17"/>
      <c r="AD993" s="19"/>
      <c r="AG993" s="19"/>
      <c r="AJ993" s="19"/>
      <c r="AM993" s="19"/>
    </row>
    <row r="994">
      <c r="I994" s="17"/>
      <c r="L994" s="17"/>
      <c r="O994" s="17"/>
      <c r="X994" s="17"/>
      <c r="AA994" s="17"/>
      <c r="AD994" s="19"/>
      <c r="AG994" s="19"/>
      <c r="AJ994" s="19"/>
      <c r="AM994" s="19"/>
    </row>
    <row r="995">
      <c r="I995" s="17"/>
      <c r="L995" s="17"/>
      <c r="O995" s="17"/>
      <c r="X995" s="17"/>
      <c r="AA995" s="17"/>
      <c r="AD995" s="19"/>
      <c r="AG995" s="19"/>
      <c r="AJ995" s="19"/>
      <c r="AM995" s="19"/>
    </row>
    <row r="996">
      <c r="I996" s="17"/>
      <c r="L996" s="17"/>
      <c r="O996" s="17"/>
      <c r="X996" s="17"/>
      <c r="AA996" s="17"/>
      <c r="AD996" s="19"/>
      <c r="AG996" s="19"/>
      <c r="AJ996" s="19"/>
      <c r="AM996" s="19"/>
    </row>
    <row r="997">
      <c r="I997" s="17"/>
      <c r="L997" s="17"/>
      <c r="O997" s="17"/>
      <c r="X997" s="17"/>
      <c r="AA997" s="17"/>
      <c r="AD997" s="19"/>
      <c r="AG997" s="19"/>
      <c r="AJ997" s="19"/>
      <c r="AM997" s="19"/>
    </row>
    <row r="998">
      <c r="I998" s="17"/>
      <c r="L998" s="17"/>
      <c r="O998" s="17"/>
      <c r="X998" s="17"/>
      <c r="AA998" s="17"/>
      <c r="AD998" s="19"/>
      <c r="AG998" s="19"/>
      <c r="AJ998" s="19"/>
      <c r="AM998" s="19"/>
    </row>
    <row r="999">
      <c r="I999" s="17"/>
      <c r="L999" s="17"/>
      <c r="O999" s="17"/>
      <c r="X999" s="17"/>
      <c r="AA999" s="17"/>
      <c r="AD999" s="19"/>
      <c r="AG999" s="19"/>
      <c r="AJ999" s="19"/>
      <c r="AM999" s="19"/>
    </row>
    <row r="1000">
      <c r="I1000" s="17"/>
      <c r="L1000" s="17"/>
      <c r="O1000" s="17"/>
      <c r="X1000" s="17"/>
      <c r="AA1000" s="17"/>
      <c r="AD1000" s="19"/>
      <c r="AG1000" s="19"/>
      <c r="AJ1000" s="19"/>
      <c r="AM1000" s="19"/>
    </row>
  </sheetData>
  <hyperlinks>
    <hyperlink r:id="rId4" ref="B253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86"/>
  </cols>
  <sheetData>
    <row r="1">
      <c r="A1" s="20"/>
      <c r="B1" s="20"/>
      <c r="E1" s="20" t="s">
        <v>68</v>
      </c>
      <c r="F1" s="20" t="s">
        <v>69</v>
      </c>
      <c r="G1" s="20" t="s">
        <v>70</v>
      </c>
      <c r="H1" s="20" t="s">
        <v>71</v>
      </c>
      <c r="I1" s="20" t="s">
        <v>72</v>
      </c>
    </row>
    <row r="2">
      <c r="A2" s="21" t="s">
        <v>73</v>
      </c>
      <c r="B2" s="22"/>
      <c r="C2" s="23"/>
      <c r="D2" s="23"/>
      <c r="E2" s="23"/>
    </row>
    <row r="3">
      <c r="A3" s="22" t="s">
        <v>69</v>
      </c>
      <c r="B3" s="20"/>
      <c r="F3" s="22"/>
    </row>
    <row r="4">
      <c r="A4" s="23" t="s">
        <v>70</v>
      </c>
      <c r="B4" s="20"/>
    </row>
    <row r="5">
      <c r="A5" s="23" t="s">
        <v>74</v>
      </c>
      <c r="B5" s="20"/>
    </row>
    <row r="6">
      <c r="A6" s="23" t="s">
        <v>75</v>
      </c>
      <c r="B6" s="20"/>
    </row>
    <row r="7">
      <c r="A7" s="20"/>
      <c r="B7" s="20"/>
    </row>
    <row r="8">
      <c r="A8" s="20"/>
      <c r="B8" s="20"/>
    </row>
    <row r="9">
      <c r="A9" s="20"/>
      <c r="B9" s="20"/>
    </row>
    <row r="10">
      <c r="A10" s="20"/>
      <c r="B10" s="20"/>
    </row>
    <row r="11">
      <c r="A11" s="20"/>
      <c r="B11" s="20"/>
    </row>
    <row r="12">
      <c r="A12" s="13" t="s">
        <v>76</v>
      </c>
      <c r="B12" s="20"/>
    </row>
    <row r="13">
      <c r="A13" s="20" t="s">
        <v>77</v>
      </c>
      <c r="B13" s="20" t="s">
        <v>78</v>
      </c>
      <c r="C13" s="20" t="s">
        <v>79</v>
      </c>
    </row>
    <row r="14">
      <c r="A14" s="20" t="s">
        <v>80</v>
      </c>
      <c r="B14" s="20" t="s">
        <v>81</v>
      </c>
      <c r="C14" s="20" t="s">
        <v>82</v>
      </c>
    </row>
    <row r="15">
      <c r="A15" s="20" t="s">
        <v>83</v>
      </c>
      <c r="B15" s="20" t="s">
        <v>84</v>
      </c>
      <c r="C15" s="20" t="s">
        <v>85</v>
      </c>
    </row>
    <row r="18">
      <c r="A18" s="13" t="s">
        <v>1</v>
      </c>
      <c r="B18" s="13" t="s">
        <v>86</v>
      </c>
    </row>
    <row r="19">
      <c r="A19" s="20" t="s">
        <v>82</v>
      </c>
      <c r="B19" s="20" t="s">
        <v>87</v>
      </c>
    </row>
    <row r="20">
      <c r="A20" s="20" t="s">
        <v>79</v>
      </c>
      <c r="B20" s="20" t="s">
        <v>88</v>
      </c>
    </row>
    <row r="21">
      <c r="A21" s="20" t="s">
        <v>89</v>
      </c>
      <c r="B21" s="20" t="s">
        <v>90</v>
      </c>
    </row>
    <row r="22">
      <c r="A22" s="20" t="s">
        <v>89</v>
      </c>
      <c r="B22" s="20" t="s">
        <v>91</v>
      </c>
    </row>
    <row r="23">
      <c r="A23" s="20" t="s">
        <v>89</v>
      </c>
      <c r="B23" s="20" t="s">
        <v>92</v>
      </c>
    </row>
    <row r="24">
      <c r="A24" s="20" t="s">
        <v>89</v>
      </c>
      <c r="B24" s="20" t="s">
        <v>93</v>
      </c>
    </row>
    <row r="25">
      <c r="A25" s="20" t="s">
        <v>89</v>
      </c>
      <c r="B25" s="20" t="s">
        <v>94</v>
      </c>
    </row>
    <row r="26">
      <c r="A26" s="20" t="s">
        <v>89</v>
      </c>
      <c r="B26" s="20" t="s">
        <v>95</v>
      </c>
    </row>
    <row r="27">
      <c r="A27" s="20" t="s">
        <v>89</v>
      </c>
      <c r="B27" s="20" t="s">
        <v>96</v>
      </c>
    </row>
    <row r="28">
      <c r="A28" s="20" t="s">
        <v>89</v>
      </c>
      <c r="B28" s="20" t="s">
        <v>97</v>
      </c>
    </row>
    <row r="29">
      <c r="A29" s="20" t="s">
        <v>89</v>
      </c>
      <c r="B29" s="20" t="s">
        <v>98</v>
      </c>
    </row>
    <row r="30">
      <c r="A30" s="20" t="s">
        <v>89</v>
      </c>
      <c r="B30" s="20" t="s">
        <v>99</v>
      </c>
    </row>
    <row r="31">
      <c r="A31" s="20" t="s">
        <v>89</v>
      </c>
      <c r="B31" s="20" t="s">
        <v>100</v>
      </c>
    </row>
    <row r="32">
      <c r="A32" s="20" t="s">
        <v>89</v>
      </c>
      <c r="B32" s="20" t="s">
        <v>101</v>
      </c>
    </row>
    <row r="33">
      <c r="A33" s="20" t="s">
        <v>89</v>
      </c>
      <c r="B33" s="20" t="s">
        <v>102</v>
      </c>
    </row>
    <row r="34">
      <c r="A34" s="20" t="s">
        <v>89</v>
      </c>
      <c r="B34" s="20" t="s">
        <v>103</v>
      </c>
    </row>
    <row r="35">
      <c r="A35" s="20" t="s">
        <v>89</v>
      </c>
      <c r="B35" s="20" t="s">
        <v>104</v>
      </c>
    </row>
    <row r="36">
      <c r="A36" s="20" t="s">
        <v>89</v>
      </c>
      <c r="B36" s="20" t="s">
        <v>105</v>
      </c>
    </row>
    <row r="37">
      <c r="A37" s="20" t="s">
        <v>89</v>
      </c>
      <c r="B37" s="20" t="s">
        <v>106</v>
      </c>
    </row>
    <row r="38">
      <c r="A38" s="20" t="s">
        <v>89</v>
      </c>
      <c r="B38" s="20" t="s">
        <v>107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8" width="8.71"/>
    <col customWidth="1" min="9" max="9" width="17.29"/>
    <col customWidth="1" min="10" max="24" width="8.71"/>
  </cols>
  <sheetData>
    <row r="1" ht="14.25" customHeight="1">
      <c r="A1" s="20" t="s">
        <v>108</v>
      </c>
      <c r="B1" s="20" t="s">
        <v>109</v>
      </c>
      <c r="C1" s="20" t="s">
        <v>110</v>
      </c>
      <c r="D1" s="20" t="s">
        <v>111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117</v>
      </c>
      <c r="K1" s="20" t="s">
        <v>118</v>
      </c>
      <c r="L1" s="20" t="s">
        <v>119</v>
      </c>
      <c r="M1" s="20" t="s">
        <v>120</v>
      </c>
      <c r="N1" s="20" t="s">
        <v>121</v>
      </c>
      <c r="O1" s="20" t="s">
        <v>122</v>
      </c>
      <c r="P1" s="20" t="s">
        <v>123</v>
      </c>
      <c r="Q1" s="20" t="s">
        <v>124</v>
      </c>
      <c r="R1" s="20" t="s">
        <v>125</v>
      </c>
      <c r="S1" s="20" t="s">
        <v>126</v>
      </c>
      <c r="T1" s="20" t="s">
        <v>127</v>
      </c>
      <c r="U1" s="20" t="s">
        <v>128</v>
      </c>
      <c r="V1" s="20" t="s">
        <v>129</v>
      </c>
      <c r="W1" s="20" t="s">
        <v>130</v>
      </c>
      <c r="X1" s="20" t="s">
        <v>131</v>
      </c>
    </row>
    <row r="2" ht="14.25" customHeight="1">
      <c r="A2" s="20" t="s">
        <v>132</v>
      </c>
      <c r="B2" s="20" t="s">
        <v>133</v>
      </c>
      <c r="C2" s="20" t="s">
        <v>134</v>
      </c>
      <c r="F2" s="20" t="s">
        <v>15</v>
      </c>
      <c r="G2" s="20" t="s">
        <v>135</v>
      </c>
      <c r="H2" s="20">
        <v>17480.0</v>
      </c>
      <c r="I2" s="20" t="s">
        <v>100</v>
      </c>
      <c r="J2" s="20" t="s">
        <v>136</v>
      </c>
      <c r="P2" s="20" t="s">
        <v>133</v>
      </c>
      <c r="Q2" s="20">
        <v>17480.0</v>
      </c>
      <c r="R2" s="20" t="s">
        <v>137</v>
      </c>
      <c r="S2" s="20" t="s">
        <v>133</v>
      </c>
      <c r="T2" s="20" t="s">
        <v>138</v>
      </c>
      <c r="W2" s="20" t="s">
        <v>136</v>
      </c>
    </row>
    <row r="3" ht="14.25" customHeight="1">
      <c r="A3" s="20" t="s">
        <v>139</v>
      </c>
      <c r="B3" s="20" t="s">
        <v>140</v>
      </c>
      <c r="C3" s="20" t="s">
        <v>141</v>
      </c>
      <c r="F3" s="20" t="s">
        <v>15</v>
      </c>
      <c r="G3" s="20" t="s">
        <v>142</v>
      </c>
      <c r="H3" s="20">
        <v>17197.0</v>
      </c>
      <c r="I3" s="20" t="s">
        <v>105</v>
      </c>
      <c r="J3" s="20" t="s">
        <v>143</v>
      </c>
      <c r="L3" s="20" t="s">
        <v>105</v>
      </c>
      <c r="O3" s="20" t="s">
        <v>144</v>
      </c>
      <c r="P3" s="20" t="s">
        <v>140</v>
      </c>
      <c r="Q3" s="20">
        <v>17197.0</v>
      </c>
      <c r="R3" s="20" t="s">
        <v>145</v>
      </c>
      <c r="S3" s="20" t="s">
        <v>140</v>
      </c>
      <c r="T3" s="20" t="s">
        <v>138</v>
      </c>
      <c r="U3" s="24">
        <v>45260.0</v>
      </c>
      <c r="W3" s="20" t="s">
        <v>146</v>
      </c>
    </row>
    <row r="4" ht="14.25" customHeight="1">
      <c r="A4" s="20" t="s">
        <v>147</v>
      </c>
      <c r="B4" s="20" t="s">
        <v>148</v>
      </c>
      <c r="C4" s="20" t="s">
        <v>149</v>
      </c>
      <c r="F4" s="20" t="s">
        <v>150</v>
      </c>
      <c r="G4" s="20" t="s">
        <v>150</v>
      </c>
      <c r="I4" s="20" t="s">
        <v>151</v>
      </c>
      <c r="J4" s="20" t="s">
        <v>143</v>
      </c>
      <c r="Q4" s="20">
        <v>9685.0</v>
      </c>
      <c r="R4" s="20" t="s">
        <v>152</v>
      </c>
      <c r="S4" s="20" t="s">
        <v>148</v>
      </c>
      <c r="T4" s="20" t="s">
        <v>138</v>
      </c>
    </row>
    <row r="5" ht="14.25" customHeight="1">
      <c r="A5" s="20" t="s">
        <v>153</v>
      </c>
      <c r="B5" s="20" t="s">
        <v>154</v>
      </c>
      <c r="C5" s="20" t="s">
        <v>155</v>
      </c>
      <c r="F5" s="20" t="s">
        <v>150</v>
      </c>
      <c r="G5" s="20" t="s">
        <v>150</v>
      </c>
      <c r="I5" s="20" t="s">
        <v>151</v>
      </c>
      <c r="J5" s="20" t="s">
        <v>143</v>
      </c>
      <c r="Q5" s="20">
        <v>2240.0</v>
      </c>
      <c r="R5" s="20" t="s">
        <v>156</v>
      </c>
      <c r="S5" s="20" t="s">
        <v>154</v>
      </c>
      <c r="T5" s="20" t="s">
        <v>138</v>
      </c>
      <c r="W5" s="20" t="s">
        <v>146</v>
      </c>
    </row>
    <row r="6" ht="14.25" customHeight="1">
      <c r="A6" s="20" t="s">
        <v>157</v>
      </c>
      <c r="B6" s="20" t="s">
        <v>158</v>
      </c>
      <c r="C6" s="20" t="s">
        <v>159</v>
      </c>
      <c r="F6" s="20" t="s">
        <v>150</v>
      </c>
      <c r="G6" s="20" t="s">
        <v>150</v>
      </c>
      <c r="I6" s="20" t="s">
        <v>151</v>
      </c>
      <c r="J6" s="20" t="s">
        <v>143</v>
      </c>
      <c r="Q6" s="20">
        <v>9631.0</v>
      </c>
      <c r="R6" s="20" t="s">
        <v>160</v>
      </c>
      <c r="S6" s="20" t="s">
        <v>158</v>
      </c>
      <c r="T6" s="20" t="s">
        <v>138</v>
      </c>
    </row>
    <row r="7" ht="14.25" customHeight="1">
      <c r="A7" s="20" t="s">
        <v>161</v>
      </c>
      <c r="B7" s="20" t="s">
        <v>162</v>
      </c>
      <c r="C7" s="20" t="s">
        <v>163</v>
      </c>
      <c r="F7" s="20" t="s">
        <v>150</v>
      </c>
      <c r="G7" s="20" t="s">
        <v>150</v>
      </c>
      <c r="I7" s="20" t="s">
        <v>151</v>
      </c>
      <c r="J7" s="20" t="s">
        <v>143</v>
      </c>
      <c r="Q7" s="20">
        <v>6334.0</v>
      </c>
      <c r="R7" s="20" t="s">
        <v>164</v>
      </c>
      <c r="S7" s="20" t="s">
        <v>162</v>
      </c>
      <c r="T7" s="20" t="s">
        <v>138</v>
      </c>
    </row>
    <row r="8" ht="14.25" customHeight="1">
      <c r="A8" s="20" t="s">
        <v>165</v>
      </c>
      <c r="B8" s="20" t="s">
        <v>166</v>
      </c>
      <c r="C8" s="20" t="s">
        <v>159</v>
      </c>
      <c r="F8" s="20" t="s">
        <v>150</v>
      </c>
      <c r="G8" s="20" t="s">
        <v>150</v>
      </c>
      <c r="I8" s="20" t="s">
        <v>151</v>
      </c>
      <c r="J8" s="20" t="s">
        <v>143</v>
      </c>
      <c r="K8" s="20" t="s">
        <v>167</v>
      </c>
      <c r="Q8" s="20">
        <v>4174.0</v>
      </c>
      <c r="R8" s="20" t="s">
        <v>168</v>
      </c>
      <c r="S8" s="20" t="s">
        <v>166</v>
      </c>
      <c r="T8" s="20" t="s">
        <v>138</v>
      </c>
    </row>
    <row r="9" ht="14.25" customHeight="1">
      <c r="A9" s="20" t="s">
        <v>169</v>
      </c>
      <c r="B9" s="20" t="s">
        <v>170</v>
      </c>
      <c r="C9" s="20" t="s">
        <v>159</v>
      </c>
      <c r="F9" s="20" t="s">
        <v>150</v>
      </c>
      <c r="G9" s="20" t="s">
        <v>150</v>
      </c>
      <c r="I9" s="20" t="s">
        <v>151</v>
      </c>
      <c r="J9" s="20" t="s">
        <v>143</v>
      </c>
      <c r="Q9" s="20">
        <v>5635.0</v>
      </c>
      <c r="R9" s="20" t="s">
        <v>171</v>
      </c>
      <c r="S9" s="20" t="s">
        <v>170</v>
      </c>
      <c r="T9" s="20" t="s">
        <v>138</v>
      </c>
    </row>
    <row r="10" ht="14.25" customHeight="1">
      <c r="A10" s="20" t="s">
        <v>172</v>
      </c>
      <c r="B10" s="20" t="s">
        <v>173</v>
      </c>
      <c r="C10" s="20" t="s">
        <v>174</v>
      </c>
      <c r="F10" s="20" t="s">
        <v>150</v>
      </c>
      <c r="G10" s="20" t="s">
        <v>150</v>
      </c>
      <c r="I10" s="20" t="s">
        <v>151</v>
      </c>
      <c r="J10" s="20" t="s">
        <v>143</v>
      </c>
      <c r="Q10" s="20">
        <v>3834.0</v>
      </c>
      <c r="R10" s="20" t="s">
        <v>175</v>
      </c>
      <c r="S10" s="20" t="s">
        <v>173</v>
      </c>
      <c r="T10" s="20" t="s">
        <v>138</v>
      </c>
    </row>
    <row r="11" ht="14.25" customHeight="1">
      <c r="A11" s="20" t="s">
        <v>176</v>
      </c>
      <c r="B11" s="20" t="s">
        <v>177</v>
      </c>
      <c r="C11" s="20" t="s">
        <v>178</v>
      </c>
      <c r="F11" s="20" t="s">
        <v>150</v>
      </c>
      <c r="G11" s="20" t="s">
        <v>150</v>
      </c>
      <c r="I11" s="20" t="s">
        <v>151</v>
      </c>
      <c r="J11" s="20" t="s">
        <v>143</v>
      </c>
      <c r="Q11" s="20">
        <v>14598.0</v>
      </c>
      <c r="R11" s="20" t="s">
        <v>179</v>
      </c>
      <c r="S11" s="20" t="s">
        <v>177</v>
      </c>
      <c r="T11" s="20" t="s">
        <v>138</v>
      </c>
    </row>
    <row r="12" ht="14.25" customHeight="1">
      <c r="A12" s="20" t="s">
        <v>180</v>
      </c>
      <c r="B12" s="20" t="s">
        <v>181</v>
      </c>
      <c r="C12" s="20" t="s">
        <v>182</v>
      </c>
      <c r="F12" s="20" t="s">
        <v>15</v>
      </c>
      <c r="G12" s="20" t="s">
        <v>135</v>
      </c>
      <c r="I12" s="20" t="s">
        <v>93</v>
      </c>
      <c r="J12" s="20" t="s">
        <v>136</v>
      </c>
      <c r="Q12" s="20">
        <v>15073.0</v>
      </c>
      <c r="R12" s="20" t="s">
        <v>183</v>
      </c>
      <c r="S12" s="20" t="s">
        <v>181</v>
      </c>
      <c r="T12" s="20" t="s">
        <v>138</v>
      </c>
    </row>
    <row r="13" ht="14.25" customHeight="1">
      <c r="A13" s="20" t="s">
        <v>184</v>
      </c>
      <c r="B13" s="20" t="s">
        <v>185</v>
      </c>
      <c r="C13" s="20" t="s">
        <v>182</v>
      </c>
      <c r="F13" s="20" t="s">
        <v>15</v>
      </c>
      <c r="G13" s="20" t="s">
        <v>135</v>
      </c>
      <c r="H13" s="20">
        <v>3450.0</v>
      </c>
      <c r="I13" s="20" t="s">
        <v>93</v>
      </c>
      <c r="J13" s="20" t="s">
        <v>186</v>
      </c>
      <c r="K13" s="20" t="s">
        <v>187</v>
      </c>
      <c r="L13" s="20" t="s">
        <v>93</v>
      </c>
      <c r="O13" s="20" t="s">
        <v>144</v>
      </c>
      <c r="Q13" s="20">
        <v>3450.0</v>
      </c>
      <c r="R13" s="20" t="s">
        <v>188</v>
      </c>
      <c r="S13" s="20" t="s">
        <v>185</v>
      </c>
      <c r="T13" s="20" t="s">
        <v>138</v>
      </c>
      <c r="V13" s="20" t="s">
        <v>189</v>
      </c>
      <c r="W13" s="20" t="s">
        <v>190</v>
      </c>
    </row>
    <row r="14" ht="14.25" customHeight="1">
      <c r="A14" s="20" t="s">
        <v>191</v>
      </c>
      <c r="B14" s="20" t="s">
        <v>192</v>
      </c>
      <c r="C14" s="20" t="s">
        <v>193</v>
      </c>
      <c r="F14" s="20" t="s">
        <v>150</v>
      </c>
      <c r="G14" s="20" t="s">
        <v>150</v>
      </c>
      <c r="I14" s="20" t="s">
        <v>151</v>
      </c>
      <c r="J14" s="20" t="s">
        <v>143</v>
      </c>
      <c r="Q14" s="20">
        <v>12366.0</v>
      </c>
      <c r="R14" s="20" t="s">
        <v>194</v>
      </c>
      <c r="S14" s="20" t="s">
        <v>192</v>
      </c>
      <c r="T14" s="20" t="s">
        <v>138</v>
      </c>
    </row>
    <row r="15" ht="14.25" customHeight="1">
      <c r="A15" s="20" t="s">
        <v>195</v>
      </c>
      <c r="B15" s="20" t="s">
        <v>196</v>
      </c>
      <c r="C15" s="20" t="s">
        <v>197</v>
      </c>
      <c r="F15" s="20" t="s">
        <v>150</v>
      </c>
      <c r="G15" s="20" t="s">
        <v>150</v>
      </c>
      <c r="I15" s="20" t="s">
        <v>151</v>
      </c>
      <c r="J15" s="20" t="s">
        <v>143</v>
      </c>
      <c r="K15" s="20" t="s">
        <v>167</v>
      </c>
      <c r="Q15" s="20">
        <v>3868.0</v>
      </c>
      <c r="R15" s="20" t="s">
        <v>198</v>
      </c>
      <c r="S15" s="20" t="s">
        <v>196</v>
      </c>
      <c r="T15" s="20" t="s">
        <v>138</v>
      </c>
    </row>
    <row r="16" ht="14.25" customHeight="1">
      <c r="A16" s="20" t="s">
        <v>199</v>
      </c>
      <c r="B16" s="20" t="s">
        <v>200</v>
      </c>
      <c r="C16" s="20" t="s">
        <v>201</v>
      </c>
      <c r="F16" s="20" t="s">
        <v>16</v>
      </c>
      <c r="G16" s="20" t="s">
        <v>202</v>
      </c>
      <c r="I16" s="20" t="s">
        <v>203</v>
      </c>
      <c r="J16" s="20" t="s">
        <v>143</v>
      </c>
      <c r="Q16" s="20">
        <v>8692.0</v>
      </c>
      <c r="R16" s="20" t="s">
        <v>204</v>
      </c>
      <c r="S16" s="20" t="s">
        <v>200</v>
      </c>
      <c r="T16" s="20" t="s">
        <v>138</v>
      </c>
    </row>
    <row r="17" ht="14.25" customHeight="1">
      <c r="A17" s="20" t="s">
        <v>205</v>
      </c>
      <c r="B17" s="20" t="s">
        <v>206</v>
      </c>
      <c r="C17" s="20" t="s">
        <v>159</v>
      </c>
      <c r="F17" s="20" t="s">
        <v>150</v>
      </c>
      <c r="G17" s="20" t="s">
        <v>150</v>
      </c>
      <c r="I17" s="20" t="s">
        <v>151</v>
      </c>
      <c r="J17" s="20" t="s">
        <v>143</v>
      </c>
      <c r="Q17" s="20">
        <v>16202.0</v>
      </c>
      <c r="R17" s="20" t="s">
        <v>207</v>
      </c>
      <c r="S17" s="20" t="s">
        <v>206</v>
      </c>
      <c r="T17" s="20" t="s">
        <v>138</v>
      </c>
    </row>
    <row r="18" ht="14.25" customHeight="1">
      <c r="A18" s="20" t="s">
        <v>208</v>
      </c>
      <c r="B18" s="20" t="s">
        <v>209</v>
      </c>
      <c r="C18" s="20" t="s">
        <v>210</v>
      </c>
      <c r="F18" s="20" t="s">
        <v>16</v>
      </c>
      <c r="G18" s="20" t="s">
        <v>211</v>
      </c>
      <c r="I18" s="20" t="s">
        <v>212</v>
      </c>
      <c r="J18" s="20" t="s">
        <v>143</v>
      </c>
      <c r="K18" s="20" t="s">
        <v>213</v>
      </c>
      <c r="Q18" s="20">
        <v>15546.0</v>
      </c>
      <c r="R18" s="20" t="s">
        <v>214</v>
      </c>
      <c r="S18" s="20" t="s">
        <v>209</v>
      </c>
      <c r="T18" s="20" t="s">
        <v>138</v>
      </c>
      <c r="V18" s="20" t="s">
        <v>189</v>
      </c>
      <c r="W18" s="20" t="s">
        <v>146</v>
      </c>
    </row>
    <row r="19" ht="14.25" customHeight="1">
      <c r="A19" s="20" t="s">
        <v>215</v>
      </c>
      <c r="B19" s="20" t="s">
        <v>216</v>
      </c>
      <c r="C19" s="20" t="s">
        <v>217</v>
      </c>
      <c r="F19" s="20" t="s">
        <v>218</v>
      </c>
      <c r="G19" s="20" t="s">
        <v>219</v>
      </c>
      <c r="I19" s="20" t="s">
        <v>220</v>
      </c>
      <c r="J19" s="20" t="s">
        <v>186</v>
      </c>
      <c r="K19" s="20" t="s">
        <v>213</v>
      </c>
      <c r="Q19" s="20">
        <v>6855.0</v>
      </c>
      <c r="R19" s="20" t="s">
        <v>221</v>
      </c>
      <c r="S19" s="20" t="s">
        <v>216</v>
      </c>
      <c r="T19" s="20" t="s">
        <v>138</v>
      </c>
      <c r="W19" s="20" t="s">
        <v>146</v>
      </c>
    </row>
    <row r="20" ht="14.25" customHeight="1">
      <c r="A20" s="20" t="s">
        <v>222</v>
      </c>
      <c r="B20" s="20" t="s">
        <v>223</v>
      </c>
      <c r="C20" s="20" t="s">
        <v>224</v>
      </c>
      <c r="F20" s="20" t="s">
        <v>15</v>
      </c>
      <c r="G20" s="20" t="s">
        <v>142</v>
      </c>
      <c r="H20" s="20">
        <v>11561.0</v>
      </c>
      <c r="I20" s="20" t="s">
        <v>105</v>
      </c>
      <c r="J20" s="20" t="s">
        <v>143</v>
      </c>
      <c r="P20" s="20" t="s">
        <v>223</v>
      </c>
      <c r="Q20" s="20">
        <v>11561.0</v>
      </c>
      <c r="R20" s="20" t="s">
        <v>225</v>
      </c>
      <c r="S20" s="20" t="s">
        <v>223</v>
      </c>
      <c r="T20" s="20" t="s">
        <v>138</v>
      </c>
      <c r="W20" s="20" t="s">
        <v>146</v>
      </c>
    </row>
    <row r="21" ht="14.25" customHeight="1">
      <c r="A21" s="20" t="s">
        <v>226</v>
      </c>
      <c r="B21" s="25" t="s">
        <v>227</v>
      </c>
      <c r="C21" s="20" t="s">
        <v>193</v>
      </c>
      <c r="F21" s="20" t="s">
        <v>150</v>
      </c>
      <c r="G21" s="20" t="s">
        <v>150</v>
      </c>
      <c r="I21" s="20" t="s">
        <v>151</v>
      </c>
      <c r="J21" s="20" t="s">
        <v>143</v>
      </c>
      <c r="Q21" s="20">
        <v>13929.0</v>
      </c>
      <c r="R21" s="20" t="s">
        <v>228</v>
      </c>
      <c r="S21" s="25" t="s">
        <v>227</v>
      </c>
      <c r="T21" s="20" t="s">
        <v>138</v>
      </c>
    </row>
    <row r="22" ht="14.25" customHeight="1">
      <c r="A22" s="20" t="s">
        <v>229</v>
      </c>
      <c r="B22" s="20" t="s">
        <v>230</v>
      </c>
      <c r="C22" s="20" t="s">
        <v>231</v>
      </c>
      <c r="F22" s="20" t="s">
        <v>15</v>
      </c>
      <c r="G22" s="20" t="s">
        <v>135</v>
      </c>
      <c r="I22" s="20" t="s">
        <v>94</v>
      </c>
      <c r="J22" s="20" t="s">
        <v>143</v>
      </c>
      <c r="Q22" s="20">
        <v>16749.0</v>
      </c>
      <c r="R22" s="20" t="s">
        <v>232</v>
      </c>
      <c r="S22" s="20" t="s">
        <v>230</v>
      </c>
      <c r="T22" s="20" t="s">
        <v>138</v>
      </c>
    </row>
    <row r="23" ht="14.25" customHeight="1">
      <c r="A23" s="20" t="s">
        <v>233</v>
      </c>
      <c r="B23" s="20" t="s">
        <v>234</v>
      </c>
      <c r="C23" s="20" t="s">
        <v>235</v>
      </c>
      <c r="F23" s="20" t="s">
        <v>15</v>
      </c>
      <c r="G23" s="20" t="s">
        <v>142</v>
      </c>
      <c r="I23" s="20" t="s">
        <v>105</v>
      </c>
      <c r="J23" s="20" t="s">
        <v>143</v>
      </c>
      <c r="Q23" s="20">
        <v>2699.0</v>
      </c>
      <c r="R23" s="20" t="s">
        <v>236</v>
      </c>
      <c r="S23" s="20" t="s">
        <v>234</v>
      </c>
      <c r="T23" s="20" t="s">
        <v>138</v>
      </c>
    </row>
    <row r="24" ht="14.25" customHeight="1">
      <c r="A24" s="20" t="s">
        <v>237</v>
      </c>
      <c r="B24" s="20" t="s">
        <v>238</v>
      </c>
      <c r="C24" s="20" t="s">
        <v>239</v>
      </c>
      <c r="F24" s="20" t="s">
        <v>17</v>
      </c>
      <c r="G24" s="20" t="s">
        <v>17</v>
      </c>
      <c r="H24" s="20">
        <v>17302.0</v>
      </c>
      <c r="I24" s="20" t="s">
        <v>88</v>
      </c>
      <c r="J24" s="20" t="s">
        <v>143</v>
      </c>
      <c r="P24" s="20" t="s">
        <v>238</v>
      </c>
      <c r="Q24" s="20">
        <v>17302.0</v>
      </c>
      <c r="R24" s="20" t="s">
        <v>240</v>
      </c>
      <c r="S24" s="20" t="s">
        <v>238</v>
      </c>
      <c r="T24" s="20" t="s">
        <v>138</v>
      </c>
      <c r="V24" s="20" t="s">
        <v>189</v>
      </c>
      <c r="W24" s="20" t="s">
        <v>146</v>
      </c>
    </row>
    <row r="25" ht="14.25" customHeight="1">
      <c r="A25" s="20" t="s">
        <v>241</v>
      </c>
      <c r="B25" s="20" t="s">
        <v>242</v>
      </c>
      <c r="C25" s="20" t="s">
        <v>243</v>
      </c>
      <c r="F25" s="20" t="s">
        <v>17</v>
      </c>
      <c r="G25" s="20" t="s">
        <v>17</v>
      </c>
      <c r="I25" s="20" t="s">
        <v>88</v>
      </c>
      <c r="J25" s="20" t="s">
        <v>143</v>
      </c>
      <c r="K25" s="20" t="s">
        <v>167</v>
      </c>
      <c r="M25" s="20" t="s">
        <v>244</v>
      </c>
      <c r="Q25" s="20">
        <v>4824.0</v>
      </c>
      <c r="R25" s="20" t="s">
        <v>245</v>
      </c>
      <c r="S25" s="20" t="s">
        <v>242</v>
      </c>
      <c r="T25" s="20" t="s">
        <v>138</v>
      </c>
    </row>
    <row r="26" ht="14.25" customHeight="1">
      <c r="A26" s="20" t="s">
        <v>246</v>
      </c>
      <c r="B26" s="20" t="s">
        <v>247</v>
      </c>
      <c r="C26" s="20" t="s">
        <v>248</v>
      </c>
      <c r="F26" s="20" t="s">
        <v>16</v>
      </c>
      <c r="G26" s="20" t="s">
        <v>211</v>
      </c>
      <c r="I26" s="20" t="s">
        <v>212</v>
      </c>
      <c r="J26" s="20" t="s">
        <v>143</v>
      </c>
      <c r="K26" s="20" t="s">
        <v>167</v>
      </c>
      <c r="Q26" s="20">
        <v>1623.0</v>
      </c>
      <c r="R26" s="20" t="s">
        <v>249</v>
      </c>
      <c r="S26" s="20" t="s">
        <v>247</v>
      </c>
      <c r="T26" s="20" t="s">
        <v>138</v>
      </c>
    </row>
    <row r="27" ht="14.25" customHeight="1">
      <c r="A27" s="20" t="s">
        <v>250</v>
      </c>
      <c r="B27" s="20" t="s">
        <v>251</v>
      </c>
      <c r="C27" s="20" t="s">
        <v>252</v>
      </c>
      <c r="F27" s="20" t="s">
        <v>16</v>
      </c>
      <c r="G27" s="20" t="s">
        <v>211</v>
      </c>
      <c r="I27" s="20" t="s">
        <v>253</v>
      </c>
      <c r="J27" s="20" t="s">
        <v>143</v>
      </c>
      <c r="Q27" s="20">
        <v>9147.0</v>
      </c>
      <c r="R27" s="20" t="s">
        <v>254</v>
      </c>
      <c r="S27" s="20" t="s">
        <v>251</v>
      </c>
      <c r="T27" s="20" t="s">
        <v>138</v>
      </c>
    </row>
    <row r="28" ht="14.25" customHeight="1">
      <c r="A28" s="20" t="s">
        <v>255</v>
      </c>
      <c r="B28" s="20" t="s">
        <v>256</v>
      </c>
      <c r="C28" s="20" t="s">
        <v>257</v>
      </c>
      <c r="F28" s="20" t="s">
        <v>16</v>
      </c>
      <c r="G28" s="20" t="s">
        <v>211</v>
      </c>
      <c r="I28" s="20" t="s">
        <v>258</v>
      </c>
      <c r="J28" s="20" t="s">
        <v>186</v>
      </c>
      <c r="K28" s="20" t="s">
        <v>187</v>
      </c>
      <c r="L28" s="20" t="s">
        <v>258</v>
      </c>
      <c r="Q28" s="20">
        <v>55.0</v>
      </c>
      <c r="R28" s="20" t="s">
        <v>259</v>
      </c>
      <c r="S28" s="20" t="s">
        <v>256</v>
      </c>
      <c r="T28" s="20" t="s">
        <v>138</v>
      </c>
      <c r="V28" s="20" t="s">
        <v>260</v>
      </c>
      <c r="W28" s="20" t="s">
        <v>261</v>
      </c>
    </row>
    <row r="29" ht="14.25" customHeight="1">
      <c r="A29" s="20" t="s">
        <v>262</v>
      </c>
      <c r="B29" s="20" t="s">
        <v>263</v>
      </c>
      <c r="C29" s="20" t="s">
        <v>264</v>
      </c>
      <c r="F29" s="20" t="s">
        <v>16</v>
      </c>
      <c r="G29" s="20" t="s">
        <v>211</v>
      </c>
      <c r="I29" s="20" t="s">
        <v>258</v>
      </c>
      <c r="J29" s="20" t="s">
        <v>186</v>
      </c>
      <c r="K29" s="20" t="s">
        <v>187</v>
      </c>
      <c r="Q29" s="20">
        <v>3605.0</v>
      </c>
      <c r="R29" s="20" t="s">
        <v>265</v>
      </c>
      <c r="S29" s="20" t="s">
        <v>263</v>
      </c>
      <c r="T29" s="20" t="s">
        <v>138</v>
      </c>
      <c r="V29" s="20" t="s">
        <v>189</v>
      </c>
      <c r="W29" s="20" t="s">
        <v>261</v>
      </c>
    </row>
    <row r="30" ht="14.25" customHeight="1">
      <c r="A30" s="20" t="s">
        <v>266</v>
      </c>
      <c r="B30" s="20" t="s">
        <v>267</v>
      </c>
      <c r="C30" s="20" t="s">
        <v>268</v>
      </c>
      <c r="F30" s="20" t="s">
        <v>16</v>
      </c>
      <c r="G30" s="20" t="s">
        <v>211</v>
      </c>
      <c r="I30" s="20" t="s">
        <v>258</v>
      </c>
      <c r="J30" s="20" t="s">
        <v>136</v>
      </c>
      <c r="Q30" s="20">
        <v>16586.0</v>
      </c>
      <c r="R30" s="20" t="s">
        <v>269</v>
      </c>
      <c r="S30" s="20" t="s">
        <v>267</v>
      </c>
      <c r="T30" s="20" t="s">
        <v>138</v>
      </c>
    </row>
    <row r="31" ht="14.25" customHeight="1">
      <c r="A31" s="20" t="s">
        <v>270</v>
      </c>
      <c r="B31" s="20" t="s">
        <v>271</v>
      </c>
      <c r="C31" s="20" t="s">
        <v>272</v>
      </c>
      <c r="F31" s="20" t="s">
        <v>150</v>
      </c>
      <c r="G31" s="20" t="s">
        <v>150</v>
      </c>
      <c r="I31" s="20" t="s">
        <v>151</v>
      </c>
      <c r="J31" s="20" t="s">
        <v>143</v>
      </c>
      <c r="K31" s="20" t="s">
        <v>167</v>
      </c>
      <c r="Q31" s="20">
        <v>9275.0</v>
      </c>
      <c r="R31" s="20" t="s">
        <v>273</v>
      </c>
      <c r="S31" s="20" t="s">
        <v>271</v>
      </c>
      <c r="T31" s="20" t="s">
        <v>138</v>
      </c>
    </row>
    <row r="32" ht="14.25" customHeight="1">
      <c r="A32" s="20" t="s">
        <v>274</v>
      </c>
      <c r="B32" s="20" t="s">
        <v>275</v>
      </c>
      <c r="C32" s="20" t="s">
        <v>174</v>
      </c>
      <c r="F32" s="20" t="s">
        <v>150</v>
      </c>
      <c r="G32" s="20" t="s">
        <v>150</v>
      </c>
      <c r="I32" s="20" t="s">
        <v>151</v>
      </c>
      <c r="J32" s="20" t="s">
        <v>143</v>
      </c>
      <c r="Q32" s="20">
        <v>14732.0</v>
      </c>
      <c r="R32" s="20" t="s">
        <v>276</v>
      </c>
      <c r="S32" s="20" t="s">
        <v>275</v>
      </c>
      <c r="T32" s="20" t="s">
        <v>138</v>
      </c>
    </row>
    <row r="33" ht="14.25" customHeight="1">
      <c r="A33" s="20" t="s">
        <v>277</v>
      </c>
      <c r="B33" s="20" t="s">
        <v>278</v>
      </c>
      <c r="C33" s="20" t="s">
        <v>272</v>
      </c>
      <c r="F33" s="20" t="s">
        <v>150</v>
      </c>
      <c r="G33" s="20" t="s">
        <v>150</v>
      </c>
      <c r="I33" s="20" t="s">
        <v>151</v>
      </c>
      <c r="J33" s="20" t="s">
        <v>143</v>
      </c>
      <c r="Q33" s="20">
        <v>4104.0</v>
      </c>
      <c r="R33" s="20" t="s">
        <v>279</v>
      </c>
      <c r="S33" s="20" t="s">
        <v>278</v>
      </c>
      <c r="T33" s="20" t="s">
        <v>138</v>
      </c>
    </row>
    <row r="34" ht="14.25" customHeight="1">
      <c r="A34" s="20" t="s">
        <v>280</v>
      </c>
      <c r="B34" s="20" t="s">
        <v>281</v>
      </c>
      <c r="C34" s="20" t="s">
        <v>174</v>
      </c>
      <c r="F34" s="20" t="s">
        <v>150</v>
      </c>
      <c r="G34" s="20" t="s">
        <v>150</v>
      </c>
      <c r="I34" s="20" t="s">
        <v>151</v>
      </c>
      <c r="J34" s="20" t="s">
        <v>143</v>
      </c>
      <c r="Q34" s="20">
        <v>15537.0</v>
      </c>
      <c r="R34" s="20" t="s">
        <v>282</v>
      </c>
      <c r="S34" s="20" t="s">
        <v>281</v>
      </c>
      <c r="T34" s="20" t="s">
        <v>138</v>
      </c>
    </row>
    <row r="35" ht="14.25" customHeight="1">
      <c r="A35" s="20" t="s">
        <v>283</v>
      </c>
      <c r="B35" s="20" t="s">
        <v>284</v>
      </c>
      <c r="C35" s="20" t="s">
        <v>285</v>
      </c>
      <c r="F35" s="20" t="s">
        <v>15</v>
      </c>
      <c r="G35" s="20" t="s">
        <v>142</v>
      </c>
      <c r="I35" s="20" t="s">
        <v>105</v>
      </c>
      <c r="J35" s="20" t="s">
        <v>143</v>
      </c>
      <c r="Q35" s="20">
        <v>9313.0</v>
      </c>
      <c r="R35" s="20" t="s">
        <v>286</v>
      </c>
      <c r="S35" s="20" t="s">
        <v>284</v>
      </c>
      <c r="T35" s="20" t="s">
        <v>138</v>
      </c>
      <c r="W35" s="20" t="s">
        <v>146</v>
      </c>
    </row>
    <row r="36" ht="14.25" customHeight="1">
      <c r="A36" s="20" t="s">
        <v>287</v>
      </c>
      <c r="B36" s="20" t="s">
        <v>288</v>
      </c>
      <c r="C36" s="20" t="s">
        <v>289</v>
      </c>
      <c r="F36" s="20" t="s">
        <v>150</v>
      </c>
      <c r="G36" s="20" t="s">
        <v>150</v>
      </c>
      <c r="I36" s="20" t="s">
        <v>151</v>
      </c>
      <c r="J36" s="20" t="s">
        <v>143</v>
      </c>
      <c r="Q36" s="20">
        <v>12206.0</v>
      </c>
      <c r="R36" s="20" t="s">
        <v>290</v>
      </c>
      <c r="S36" s="20" t="s">
        <v>288</v>
      </c>
      <c r="T36" s="20" t="s">
        <v>138</v>
      </c>
    </row>
    <row r="37" ht="14.25" customHeight="1">
      <c r="A37" s="20" t="s">
        <v>291</v>
      </c>
      <c r="B37" s="20" t="s">
        <v>292</v>
      </c>
      <c r="C37" s="20" t="s">
        <v>163</v>
      </c>
      <c r="F37" s="20" t="s">
        <v>150</v>
      </c>
      <c r="G37" s="20" t="s">
        <v>150</v>
      </c>
      <c r="I37" s="20" t="s">
        <v>151</v>
      </c>
      <c r="J37" s="20" t="s">
        <v>143</v>
      </c>
      <c r="Q37" s="20">
        <v>12472.0</v>
      </c>
      <c r="R37" s="20" t="s">
        <v>293</v>
      </c>
      <c r="S37" s="20" t="s">
        <v>292</v>
      </c>
      <c r="T37" s="20" t="s">
        <v>138</v>
      </c>
    </row>
    <row r="38" ht="14.25" customHeight="1">
      <c r="A38" s="20" t="s">
        <v>294</v>
      </c>
      <c r="B38" s="20" t="s">
        <v>295</v>
      </c>
      <c r="C38" s="20" t="s">
        <v>289</v>
      </c>
      <c r="F38" s="20" t="s">
        <v>150</v>
      </c>
      <c r="G38" s="20" t="s">
        <v>150</v>
      </c>
      <c r="I38" s="20" t="s">
        <v>151</v>
      </c>
      <c r="J38" s="20" t="s">
        <v>143</v>
      </c>
      <c r="Q38" s="20">
        <v>15237.0</v>
      </c>
      <c r="R38" s="20" t="s">
        <v>296</v>
      </c>
      <c r="S38" s="20" t="s">
        <v>295</v>
      </c>
      <c r="T38" s="20" t="s">
        <v>138</v>
      </c>
    </row>
    <row r="39" ht="14.25" customHeight="1">
      <c r="A39" s="20" t="s">
        <v>297</v>
      </c>
      <c r="B39" s="20" t="s">
        <v>298</v>
      </c>
      <c r="C39" s="20" t="s">
        <v>193</v>
      </c>
      <c r="F39" s="20" t="s">
        <v>150</v>
      </c>
      <c r="G39" s="20" t="s">
        <v>150</v>
      </c>
      <c r="I39" s="20" t="s">
        <v>151</v>
      </c>
      <c r="J39" s="20" t="s">
        <v>143</v>
      </c>
      <c r="Q39" s="20">
        <v>11801.0</v>
      </c>
      <c r="R39" s="20" t="s">
        <v>299</v>
      </c>
      <c r="S39" s="20" t="s">
        <v>298</v>
      </c>
      <c r="T39" s="20" t="s">
        <v>138</v>
      </c>
    </row>
    <row r="40" ht="14.25" customHeight="1">
      <c r="A40" s="20" t="s">
        <v>300</v>
      </c>
      <c r="B40" s="20" t="s">
        <v>301</v>
      </c>
      <c r="C40" s="20" t="s">
        <v>178</v>
      </c>
      <c r="F40" s="20" t="s">
        <v>150</v>
      </c>
      <c r="G40" s="20" t="s">
        <v>150</v>
      </c>
      <c r="I40" s="20" t="s">
        <v>151</v>
      </c>
      <c r="J40" s="20" t="s">
        <v>143</v>
      </c>
      <c r="Q40" s="20">
        <v>12111.0</v>
      </c>
      <c r="R40" s="20" t="s">
        <v>302</v>
      </c>
      <c r="S40" s="20" t="s">
        <v>301</v>
      </c>
      <c r="T40" s="20" t="s">
        <v>138</v>
      </c>
    </row>
    <row r="41" ht="14.25" customHeight="1">
      <c r="A41" s="20" t="s">
        <v>303</v>
      </c>
      <c r="B41" s="20" t="s">
        <v>301</v>
      </c>
      <c r="C41" s="20" t="s">
        <v>174</v>
      </c>
      <c r="F41" s="20" t="s">
        <v>150</v>
      </c>
      <c r="G41" s="20" t="s">
        <v>150</v>
      </c>
      <c r="I41" s="20" t="s">
        <v>151</v>
      </c>
      <c r="J41" s="20" t="s">
        <v>143</v>
      </c>
      <c r="Q41" s="20">
        <v>7.0</v>
      </c>
      <c r="R41" s="20" t="s">
        <v>304</v>
      </c>
      <c r="S41" s="20" t="s">
        <v>301</v>
      </c>
      <c r="T41" s="20" t="s">
        <v>138</v>
      </c>
    </row>
    <row r="42" ht="14.25" customHeight="1">
      <c r="A42" s="20" t="s">
        <v>305</v>
      </c>
      <c r="B42" s="20" t="s">
        <v>306</v>
      </c>
      <c r="C42" s="20" t="s">
        <v>193</v>
      </c>
      <c r="F42" s="20" t="s">
        <v>150</v>
      </c>
      <c r="G42" s="20" t="s">
        <v>150</v>
      </c>
      <c r="I42" s="20" t="s">
        <v>151</v>
      </c>
      <c r="J42" s="20" t="s">
        <v>143</v>
      </c>
      <c r="Q42" s="20">
        <v>2696.0</v>
      </c>
      <c r="R42" s="20" t="s">
        <v>307</v>
      </c>
      <c r="S42" s="20" t="s">
        <v>306</v>
      </c>
      <c r="T42" s="20" t="s">
        <v>138</v>
      </c>
    </row>
    <row r="43" ht="14.25" customHeight="1">
      <c r="A43" s="20" t="s">
        <v>308</v>
      </c>
      <c r="B43" s="20" t="s">
        <v>309</v>
      </c>
      <c r="C43" s="20" t="s">
        <v>272</v>
      </c>
      <c r="F43" s="20" t="s">
        <v>150</v>
      </c>
      <c r="G43" s="20" t="s">
        <v>150</v>
      </c>
      <c r="I43" s="20" t="s">
        <v>151</v>
      </c>
      <c r="J43" s="20" t="s">
        <v>143</v>
      </c>
      <c r="K43" s="20" t="s">
        <v>213</v>
      </c>
      <c r="Q43" s="20">
        <v>8.0</v>
      </c>
      <c r="R43" s="20" t="s">
        <v>310</v>
      </c>
      <c r="S43" s="20" t="s">
        <v>309</v>
      </c>
      <c r="T43" s="20" t="s">
        <v>138</v>
      </c>
      <c r="W43" s="20" t="s">
        <v>146</v>
      </c>
    </row>
    <row r="44" ht="14.25" customHeight="1">
      <c r="A44" s="20" t="s">
        <v>311</v>
      </c>
      <c r="B44" s="20" t="s">
        <v>312</v>
      </c>
      <c r="C44" s="20" t="s">
        <v>313</v>
      </c>
      <c r="F44" s="20" t="s">
        <v>218</v>
      </c>
      <c r="G44" s="20" t="s">
        <v>219</v>
      </c>
      <c r="I44" s="20" t="s">
        <v>314</v>
      </c>
      <c r="J44" s="20" t="s">
        <v>186</v>
      </c>
      <c r="K44" s="20" t="s">
        <v>187</v>
      </c>
      <c r="Q44" s="20">
        <v>7799.0</v>
      </c>
      <c r="R44" s="20" t="s">
        <v>315</v>
      </c>
      <c r="S44" s="20" t="s">
        <v>312</v>
      </c>
      <c r="T44" s="20" t="s">
        <v>138</v>
      </c>
      <c r="V44" s="20" t="s">
        <v>189</v>
      </c>
      <c r="W44" s="20" t="s">
        <v>261</v>
      </c>
    </row>
    <row r="45" ht="14.25" customHeight="1">
      <c r="A45" s="20" t="s">
        <v>316</v>
      </c>
      <c r="B45" s="20" t="s">
        <v>317</v>
      </c>
      <c r="C45" s="20" t="s">
        <v>318</v>
      </c>
      <c r="F45" s="20" t="s">
        <v>17</v>
      </c>
      <c r="G45" s="20" t="s">
        <v>17</v>
      </c>
      <c r="H45" s="20">
        <v>16244.0</v>
      </c>
      <c r="I45" s="20" t="s">
        <v>88</v>
      </c>
      <c r="J45" s="20" t="s">
        <v>143</v>
      </c>
      <c r="L45" s="20" t="s">
        <v>88</v>
      </c>
      <c r="M45" s="20" t="s">
        <v>319</v>
      </c>
      <c r="Q45" s="20">
        <v>16244.0</v>
      </c>
      <c r="R45" s="20" t="s">
        <v>320</v>
      </c>
      <c r="S45" s="20" t="s">
        <v>317</v>
      </c>
      <c r="T45" s="20" t="s">
        <v>138</v>
      </c>
      <c r="U45" s="24">
        <v>44697.0</v>
      </c>
      <c r="W45" s="20" t="s">
        <v>146</v>
      </c>
    </row>
    <row r="46" ht="14.25" customHeight="1">
      <c r="A46" s="20" t="s">
        <v>321</v>
      </c>
      <c r="B46" s="20" t="s">
        <v>322</v>
      </c>
      <c r="C46" s="20" t="s">
        <v>313</v>
      </c>
      <c r="F46" s="20" t="s">
        <v>218</v>
      </c>
      <c r="G46" s="20" t="s">
        <v>219</v>
      </c>
      <c r="I46" s="20" t="s">
        <v>314</v>
      </c>
      <c r="J46" s="20" t="s">
        <v>186</v>
      </c>
      <c r="K46" s="20" t="s">
        <v>167</v>
      </c>
      <c r="Q46" s="20">
        <v>4088.0</v>
      </c>
      <c r="R46" s="20" t="s">
        <v>323</v>
      </c>
      <c r="S46" s="20" t="s">
        <v>322</v>
      </c>
      <c r="T46" s="20" t="s">
        <v>138</v>
      </c>
    </row>
    <row r="47" ht="14.25" customHeight="1">
      <c r="A47" s="20" t="s">
        <v>324</v>
      </c>
      <c r="B47" s="20" t="s">
        <v>325</v>
      </c>
      <c r="C47" s="20" t="s">
        <v>326</v>
      </c>
      <c r="F47" s="20" t="s">
        <v>327</v>
      </c>
      <c r="G47" s="20" t="s">
        <v>328</v>
      </c>
      <c r="I47" s="20" t="s">
        <v>329</v>
      </c>
      <c r="J47" s="20" t="s">
        <v>136</v>
      </c>
      <c r="Q47" s="20">
        <v>5531.0</v>
      </c>
      <c r="R47" s="20" t="s">
        <v>330</v>
      </c>
      <c r="S47" s="20" t="s">
        <v>325</v>
      </c>
      <c r="T47" s="20" t="s">
        <v>138</v>
      </c>
      <c r="W47" s="20" t="s">
        <v>136</v>
      </c>
    </row>
    <row r="48" ht="14.25" customHeight="1">
      <c r="A48" s="20" t="s">
        <v>331</v>
      </c>
      <c r="B48" s="20" t="s">
        <v>332</v>
      </c>
      <c r="C48" s="20" t="s">
        <v>333</v>
      </c>
      <c r="F48" s="20" t="s">
        <v>327</v>
      </c>
      <c r="G48" s="20" t="s">
        <v>328</v>
      </c>
      <c r="I48" s="20" t="s">
        <v>329</v>
      </c>
      <c r="J48" s="20" t="s">
        <v>186</v>
      </c>
      <c r="K48" s="20" t="s">
        <v>187</v>
      </c>
      <c r="Q48" s="20">
        <v>101.0</v>
      </c>
      <c r="R48" s="20" t="s">
        <v>334</v>
      </c>
      <c r="S48" s="20" t="s">
        <v>332</v>
      </c>
      <c r="T48" s="20" t="s">
        <v>138</v>
      </c>
      <c r="V48" s="20" t="s">
        <v>189</v>
      </c>
      <c r="W48" s="20" t="s">
        <v>190</v>
      </c>
    </row>
    <row r="49" ht="14.25" customHeight="1">
      <c r="A49" s="20" t="s">
        <v>335</v>
      </c>
      <c r="B49" s="20" t="s">
        <v>336</v>
      </c>
      <c r="C49" s="20" t="s">
        <v>217</v>
      </c>
      <c r="F49" s="20" t="s">
        <v>218</v>
      </c>
      <c r="G49" s="20" t="s">
        <v>219</v>
      </c>
      <c r="I49" s="20" t="s">
        <v>337</v>
      </c>
      <c r="J49" s="20" t="s">
        <v>186</v>
      </c>
      <c r="K49" s="20" t="s">
        <v>213</v>
      </c>
      <c r="Q49" s="20">
        <v>90.0</v>
      </c>
      <c r="R49" s="20" t="s">
        <v>338</v>
      </c>
      <c r="S49" s="20" t="s">
        <v>336</v>
      </c>
      <c r="T49" s="20" t="s">
        <v>138</v>
      </c>
      <c r="W49" s="20" t="s">
        <v>146</v>
      </c>
    </row>
    <row r="50" ht="14.25" customHeight="1">
      <c r="A50" s="20" t="s">
        <v>339</v>
      </c>
      <c r="B50" s="20" t="s">
        <v>340</v>
      </c>
      <c r="C50" s="20" t="s">
        <v>159</v>
      </c>
      <c r="F50" s="20" t="s">
        <v>150</v>
      </c>
      <c r="G50" s="20" t="s">
        <v>150</v>
      </c>
      <c r="I50" s="20" t="s">
        <v>151</v>
      </c>
      <c r="J50" s="20" t="s">
        <v>143</v>
      </c>
      <c r="Q50" s="20">
        <v>11567.0</v>
      </c>
      <c r="R50" s="20" t="s">
        <v>341</v>
      </c>
      <c r="S50" s="20" t="s">
        <v>340</v>
      </c>
      <c r="T50" s="20" t="s">
        <v>138</v>
      </c>
    </row>
    <row r="51" ht="14.25" customHeight="1">
      <c r="A51" s="20" t="s">
        <v>342</v>
      </c>
      <c r="B51" s="20" t="s">
        <v>343</v>
      </c>
      <c r="C51" s="20" t="s">
        <v>272</v>
      </c>
      <c r="F51" s="20" t="s">
        <v>150</v>
      </c>
      <c r="G51" s="20" t="s">
        <v>150</v>
      </c>
      <c r="I51" s="20" t="s">
        <v>151</v>
      </c>
      <c r="J51" s="20" t="s">
        <v>143</v>
      </c>
      <c r="Q51" s="20">
        <v>9175.0</v>
      </c>
      <c r="R51" s="20" t="s">
        <v>344</v>
      </c>
      <c r="S51" s="20" t="s">
        <v>343</v>
      </c>
      <c r="T51" s="20" t="s">
        <v>138</v>
      </c>
    </row>
    <row r="52" ht="14.25" customHeight="1">
      <c r="A52" s="20" t="s">
        <v>345</v>
      </c>
      <c r="B52" s="20" t="s">
        <v>346</v>
      </c>
      <c r="C52" s="20" t="s">
        <v>347</v>
      </c>
      <c r="F52" s="20" t="s">
        <v>15</v>
      </c>
      <c r="G52" s="20" t="s">
        <v>135</v>
      </c>
      <c r="I52" s="20" t="s">
        <v>93</v>
      </c>
      <c r="J52" s="20" t="s">
        <v>143</v>
      </c>
      <c r="Q52" s="20">
        <v>9492.0</v>
      </c>
      <c r="R52" s="20" t="s">
        <v>348</v>
      </c>
      <c r="S52" s="20" t="s">
        <v>346</v>
      </c>
      <c r="T52" s="20" t="s">
        <v>138</v>
      </c>
    </row>
    <row r="53" ht="14.25" customHeight="1">
      <c r="A53" s="20" t="s">
        <v>349</v>
      </c>
      <c r="B53" s="20" t="s">
        <v>350</v>
      </c>
      <c r="C53" s="20" t="s">
        <v>289</v>
      </c>
      <c r="F53" s="20" t="s">
        <v>150</v>
      </c>
      <c r="G53" s="20" t="s">
        <v>150</v>
      </c>
      <c r="I53" s="20" t="s">
        <v>151</v>
      </c>
      <c r="J53" s="20" t="s">
        <v>143</v>
      </c>
      <c r="Q53" s="20">
        <v>3707.0</v>
      </c>
      <c r="R53" s="20" t="s">
        <v>351</v>
      </c>
      <c r="S53" s="20" t="s">
        <v>350</v>
      </c>
      <c r="T53" s="20" t="s">
        <v>138</v>
      </c>
    </row>
    <row r="54" ht="14.25" customHeight="1">
      <c r="A54" s="20" t="s">
        <v>352</v>
      </c>
      <c r="B54" s="20" t="s">
        <v>353</v>
      </c>
      <c r="C54" s="20" t="s">
        <v>354</v>
      </c>
      <c r="F54" s="20" t="s">
        <v>218</v>
      </c>
      <c r="G54" s="20" t="s">
        <v>219</v>
      </c>
      <c r="I54" s="20" t="s">
        <v>355</v>
      </c>
      <c r="J54" s="20" t="s">
        <v>136</v>
      </c>
      <c r="K54" s="20" t="s">
        <v>167</v>
      </c>
      <c r="Q54" s="20">
        <v>11818.0</v>
      </c>
      <c r="R54" s="20" t="s">
        <v>356</v>
      </c>
      <c r="S54" s="20" t="s">
        <v>353</v>
      </c>
      <c r="T54" s="20" t="s">
        <v>138</v>
      </c>
      <c r="W54" s="20" t="s">
        <v>136</v>
      </c>
    </row>
    <row r="55" ht="14.25" customHeight="1">
      <c r="A55" s="20" t="s">
        <v>357</v>
      </c>
      <c r="B55" s="20" t="s">
        <v>358</v>
      </c>
      <c r="C55" s="20" t="s">
        <v>359</v>
      </c>
      <c r="F55" s="20" t="s">
        <v>218</v>
      </c>
      <c r="G55" s="20" t="s">
        <v>219</v>
      </c>
      <c r="I55" s="20" t="s">
        <v>360</v>
      </c>
      <c r="J55" s="20" t="s">
        <v>136</v>
      </c>
      <c r="Q55" s="20">
        <v>11820.0</v>
      </c>
      <c r="R55" s="20" t="s">
        <v>361</v>
      </c>
      <c r="S55" s="20" t="s">
        <v>358</v>
      </c>
      <c r="T55" s="20" t="s">
        <v>138</v>
      </c>
    </row>
    <row r="56" ht="14.25" customHeight="1">
      <c r="A56" s="20" t="s">
        <v>362</v>
      </c>
      <c r="B56" s="20" t="s">
        <v>363</v>
      </c>
      <c r="C56" s="20" t="s">
        <v>364</v>
      </c>
      <c r="F56" s="20" t="s">
        <v>218</v>
      </c>
      <c r="G56" s="20" t="s">
        <v>219</v>
      </c>
      <c r="I56" s="20" t="s">
        <v>365</v>
      </c>
      <c r="J56" s="20" t="s">
        <v>136</v>
      </c>
      <c r="Q56" s="20">
        <v>11817.0</v>
      </c>
      <c r="R56" s="20" t="s">
        <v>366</v>
      </c>
      <c r="S56" s="20" t="s">
        <v>363</v>
      </c>
      <c r="T56" s="20" t="s">
        <v>138</v>
      </c>
    </row>
    <row r="57" ht="14.25" customHeight="1">
      <c r="A57" s="20" t="s">
        <v>367</v>
      </c>
      <c r="B57" s="20" t="s">
        <v>368</v>
      </c>
      <c r="C57" s="20" t="s">
        <v>369</v>
      </c>
      <c r="F57" s="20" t="s">
        <v>218</v>
      </c>
      <c r="G57" s="20" t="s">
        <v>219</v>
      </c>
      <c r="I57" s="20" t="s">
        <v>370</v>
      </c>
      <c r="J57" s="20" t="s">
        <v>136</v>
      </c>
      <c r="Q57" s="20">
        <v>11822.0</v>
      </c>
      <c r="R57" s="20" t="s">
        <v>371</v>
      </c>
      <c r="S57" s="20" t="s">
        <v>368</v>
      </c>
      <c r="T57" s="20" t="s">
        <v>138</v>
      </c>
      <c r="W57" s="20" t="s">
        <v>372</v>
      </c>
    </row>
    <row r="58" ht="14.25" customHeight="1">
      <c r="A58" s="20" t="s">
        <v>373</v>
      </c>
      <c r="B58" s="20" t="s">
        <v>374</v>
      </c>
      <c r="C58" s="20" t="s">
        <v>289</v>
      </c>
      <c r="F58" s="20" t="s">
        <v>150</v>
      </c>
      <c r="G58" s="20" t="s">
        <v>150</v>
      </c>
      <c r="I58" s="20" t="s">
        <v>151</v>
      </c>
      <c r="J58" s="20" t="s">
        <v>143</v>
      </c>
      <c r="Q58" s="20">
        <v>250.0</v>
      </c>
      <c r="R58" s="20" t="s">
        <v>375</v>
      </c>
      <c r="S58" s="20" t="s">
        <v>374</v>
      </c>
      <c r="T58" s="20" t="s">
        <v>138</v>
      </c>
    </row>
    <row r="59" ht="14.25" customHeight="1">
      <c r="A59" s="20" t="s">
        <v>376</v>
      </c>
      <c r="B59" s="20" t="s">
        <v>377</v>
      </c>
      <c r="C59" s="20" t="s">
        <v>163</v>
      </c>
      <c r="F59" s="20" t="s">
        <v>150</v>
      </c>
      <c r="G59" s="20" t="s">
        <v>150</v>
      </c>
      <c r="I59" s="20" t="s">
        <v>151</v>
      </c>
      <c r="J59" s="20" t="s">
        <v>143</v>
      </c>
      <c r="Q59" s="20">
        <v>15727.0</v>
      </c>
      <c r="R59" s="20" t="s">
        <v>378</v>
      </c>
      <c r="S59" s="20" t="s">
        <v>377</v>
      </c>
      <c r="T59" s="20" t="s">
        <v>138</v>
      </c>
    </row>
    <row r="60" ht="14.25" customHeight="1">
      <c r="A60" s="20" t="s">
        <v>379</v>
      </c>
      <c r="B60" s="20" t="s">
        <v>380</v>
      </c>
      <c r="C60" s="20" t="s">
        <v>163</v>
      </c>
      <c r="F60" s="20" t="s">
        <v>150</v>
      </c>
      <c r="G60" s="20" t="s">
        <v>150</v>
      </c>
      <c r="I60" s="20" t="s">
        <v>151</v>
      </c>
      <c r="J60" s="20" t="s">
        <v>143</v>
      </c>
      <c r="Q60" s="20">
        <v>15722.0</v>
      </c>
      <c r="R60" s="20" t="s">
        <v>381</v>
      </c>
      <c r="S60" s="20" t="s">
        <v>380</v>
      </c>
      <c r="T60" s="20" t="s">
        <v>138</v>
      </c>
    </row>
    <row r="61" ht="14.25" customHeight="1">
      <c r="A61" s="20" t="s">
        <v>382</v>
      </c>
      <c r="B61" s="20" t="s">
        <v>383</v>
      </c>
      <c r="C61" s="20" t="s">
        <v>384</v>
      </c>
      <c r="F61" s="20" t="s">
        <v>327</v>
      </c>
      <c r="G61" s="20" t="s">
        <v>385</v>
      </c>
      <c r="I61" s="20" t="s">
        <v>386</v>
      </c>
      <c r="J61" s="20" t="s">
        <v>143</v>
      </c>
      <c r="Q61" s="20">
        <v>10144.0</v>
      </c>
      <c r="R61" s="20" t="s">
        <v>387</v>
      </c>
      <c r="S61" s="20" t="s">
        <v>383</v>
      </c>
      <c r="T61" s="20" t="s">
        <v>388</v>
      </c>
    </row>
    <row r="62" ht="14.25" customHeight="1">
      <c r="A62" s="20" t="s">
        <v>389</v>
      </c>
      <c r="B62" s="20" t="s">
        <v>390</v>
      </c>
      <c r="C62" s="20" t="s">
        <v>163</v>
      </c>
      <c r="F62" s="20" t="s">
        <v>150</v>
      </c>
      <c r="G62" s="20" t="s">
        <v>150</v>
      </c>
      <c r="I62" s="20" t="s">
        <v>151</v>
      </c>
      <c r="J62" s="20" t="s">
        <v>143</v>
      </c>
      <c r="Q62" s="20">
        <v>11971.0</v>
      </c>
      <c r="R62" s="20" t="s">
        <v>391</v>
      </c>
      <c r="S62" s="20" t="s">
        <v>390</v>
      </c>
      <c r="T62" s="20" t="s">
        <v>138</v>
      </c>
    </row>
    <row r="63" ht="14.25" customHeight="1">
      <c r="A63" s="20" t="s">
        <v>392</v>
      </c>
      <c r="B63" s="20" t="s">
        <v>393</v>
      </c>
      <c r="C63" s="20" t="s">
        <v>394</v>
      </c>
      <c r="F63" s="20" t="s">
        <v>327</v>
      </c>
      <c r="G63" s="20" t="s">
        <v>395</v>
      </c>
      <c r="I63" s="20" t="s">
        <v>396</v>
      </c>
      <c r="J63" s="20" t="s">
        <v>143</v>
      </c>
      <c r="Q63" s="20">
        <v>14554.0</v>
      </c>
      <c r="R63" s="20" t="s">
        <v>397</v>
      </c>
      <c r="S63" s="20" t="s">
        <v>393</v>
      </c>
      <c r="T63" s="20" t="s">
        <v>138</v>
      </c>
    </row>
    <row r="64" ht="14.25" customHeight="1">
      <c r="A64" s="20" t="s">
        <v>398</v>
      </c>
      <c r="B64" s="20" t="s">
        <v>399</v>
      </c>
      <c r="C64" s="20" t="s">
        <v>289</v>
      </c>
      <c r="F64" s="20" t="s">
        <v>150</v>
      </c>
      <c r="G64" s="20" t="s">
        <v>150</v>
      </c>
      <c r="I64" s="20" t="s">
        <v>151</v>
      </c>
      <c r="J64" s="20" t="s">
        <v>143</v>
      </c>
      <c r="Q64" s="20">
        <v>9101.0</v>
      </c>
      <c r="R64" s="20" t="s">
        <v>400</v>
      </c>
      <c r="S64" s="20" t="s">
        <v>399</v>
      </c>
      <c r="T64" s="20" t="s">
        <v>138</v>
      </c>
    </row>
    <row r="65" ht="14.25" customHeight="1">
      <c r="A65" s="20" t="s">
        <v>401</v>
      </c>
      <c r="B65" s="20" t="s">
        <v>402</v>
      </c>
      <c r="C65" s="20" t="s">
        <v>197</v>
      </c>
      <c r="F65" s="20" t="s">
        <v>150</v>
      </c>
      <c r="G65" s="20" t="s">
        <v>150</v>
      </c>
      <c r="I65" s="20" t="s">
        <v>151</v>
      </c>
      <c r="J65" s="20" t="s">
        <v>143</v>
      </c>
      <c r="Q65" s="20">
        <v>11083.0</v>
      </c>
      <c r="R65" s="20" t="s">
        <v>403</v>
      </c>
      <c r="S65" s="20" t="s">
        <v>402</v>
      </c>
      <c r="T65" s="20" t="s">
        <v>138</v>
      </c>
    </row>
    <row r="66" ht="14.25" customHeight="1">
      <c r="A66" s="20" t="s">
        <v>404</v>
      </c>
      <c r="B66" s="20" t="s">
        <v>405</v>
      </c>
      <c r="C66" s="20" t="s">
        <v>193</v>
      </c>
      <c r="F66" s="20" t="s">
        <v>150</v>
      </c>
      <c r="G66" s="20" t="s">
        <v>150</v>
      </c>
      <c r="I66" s="20" t="s">
        <v>151</v>
      </c>
      <c r="J66" s="20" t="s">
        <v>143</v>
      </c>
      <c r="Q66" s="20">
        <v>2031.0</v>
      </c>
      <c r="R66" s="20" t="s">
        <v>406</v>
      </c>
      <c r="S66" s="20" t="s">
        <v>405</v>
      </c>
      <c r="T66" s="20" t="s">
        <v>138</v>
      </c>
    </row>
    <row r="67" ht="14.25" customHeight="1">
      <c r="A67" s="20" t="s">
        <v>407</v>
      </c>
      <c r="B67" s="20" t="s">
        <v>408</v>
      </c>
      <c r="C67" s="20" t="s">
        <v>149</v>
      </c>
      <c r="F67" s="20" t="s">
        <v>150</v>
      </c>
      <c r="G67" s="20" t="s">
        <v>150</v>
      </c>
      <c r="I67" s="20" t="s">
        <v>151</v>
      </c>
      <c r="J67" s="20" t="s">
        <v>143</v>
      </c>
      <c r="Q67" s="20">
        <v>11842.0</v>
      </c>
      <c r="R67" s="20" t="s">
        <v>409</v>
      </c>
      <c r="S67" s="20" t="s">
        <v>408</v>
      </c>
      <c r="T67" s="20" t="s">
        <v>138</v>
      </c>
    </row>
    <row r="68" ht="14.25" customHeight="1">
      <c r="A68" s="20" t="s">
        <v>410</v>
      </c>
      <c r="B68" s="20" t="s">
        <v>411</v>
      </c>
      <c r="C68" s="20" t="s">
        <v>149</v>
      </c>
      <c r="F68" s="20" t="s">
        <v>150</v>
      </c>
      <c r="G68" s="20" t="s">
        <v>150</v>
      </c>
      <c r="I68" s="20" t="s">
        <v>151</v>
      </c>
      <c r="J68" s="20" t="s">
        <v>143</v>
      </c>
      <c r="Q68" s="20">
        <v>2503.0</v>
      </c>
      <c r="R68" s="20" t="s">
        <v>412</v>
      </c>
      <c r="S68" s="20" t="s">
        <v>411</v>
      </c>
      <c r="T68" s="20" t="s">
        <v>138</v>
      </c>
    </row>
    <row r="69" ht="14.25" customHeight="1">
      <c r="A69" s="20" t="s">
        <v>413</v>
      </c>
      <c r="B69" s="20" t="s">
        <v>414</v>
      </c>
      <c r="C69" s="20" t="s">
        <v>163</v>
      </c>
      <c r="F69" s="20" t="s">
        <v>150</v>
      </c>
      <c r="G69" s="20" t="s">
        <v>150</v>
      </c>
      <c r="I69" s="20" t="s">
        <v>151</v>
      </c>
      <c r="J69" s="20" t="s">
        <v>143</v>
      </c>
      <c r="Q69" s="20">
        <v>6882.0</v>
      </c>
      <c r="R69" s="20" t="s">
        <v>415</v>
      </c>
      <c r="S69" s="20" t="s">
        <v>414</v>
      </c>
      <c r="T69" s="20" t="s">
        <v>138</v>
      </c>
    </row>
    <row r="70" ht="14.25" customHeight="1">
      <c r="A70" s="20" t="s">
        <v>416</v>
      </c>
      <c r="B70" s="20" t="s">
        <v>417</v>
      </c>
      <c r="C70" s="20" t="s">
        <v>163</v>
      </c>
      <c r="F70" s="20" t="s">
        <v>150</v>
      </c>
      <c r="G70" s="20" t="s">
        <v>150</v>
      </c>
      <c r="I70" s="20" t="s">
        <v>151</v>
      </c>
      <c r="J70" s="20" t="s">
        <v>143</v>
      </c>
      <c r="K70" s="20" t="s">
        <v>167</v>
      </c>
      <c r="Q70" s="20">
        <v>6095.0</v>
      </c>
      <c r="R70" s="20" t="s">
        <v>418</v>
      </c>
      <c r="S70" s="20" t="s">
        <v>417</v>
      </c>
      <c r="T70" s="20" t="s">
        <v>138</v>
      </c>
    </row>
    <row r="71" ht="14.25" customHeight="1">
      <c r="A71" s="20" t="s">
        <v>419</v>
      </c>
      <c r="B71" s="20" t="s">
        <v>420</v>
      </c>
      <c r="C71" s="20" t="s">
        <v>159</v>
      </c>
      <c r="F71" s="20" t="s">
        <v>150</v>
      </c>
      <c r="G71" s="20" t="s">
        <v>150</v>
      </c>
      <c r="I71" s="20" t="s">
        <v>151</v>
      </c>
      <c r="J71" s="20" t="s">
        <v>143</v>
      </c>
      <c r="Q71" s="20">
        <v>266.0</v>
      </c>
      <c r="R71" s="20" t="s">
        <v>421</v>
      </c>
      <c r="S71" s="20" t="s">
        <v>420</v>
      </c>
      <c r="T71" s="20" t="s">
        <v>138</v>
      </c>
    </row>
    <row r="72" ht="14.25" customHeight="1">
      <c r="A72" s="20" t="s">
        <v>422</v>
      </c>
      <c r="B72" s="20" t="s">
        <v>423</v>
      </c>
      <c r="C72" s="20" t="s">
        <v>193</v>
      </c>
      <c r="F72" s="20" t="s">
        <v>150</v>
      </c>
      <c r="G72" s="20" t="s">
        <v>150</v>
      </c>
      <c r="I72" s="20" t="s">
        <v>151</v>
      </c>
      <c r="J72" s="20" t="s">
        <v>143</v>
      </c>
      <c r="Q72" s="20">
        <v>5777.0</v>
      </c>
      <c r="R72" s="20" t="s">
        <v>424</v>
      </c>
      <c r="S72" s="20" t="s">
        <v>423</v>
      </c>
      <c r="T72" s="20" t="s">
        <v>138</v>
      </c>
    </row>
    <row r="73" ht="14.25" customHeight="1">
      <c r="A73" s="20" t="s">
        <v>425</v>
      </c>
      <c r="B73" s="20" t="s">
        <v>426</v>
      </c>
      <c r="C73" s="20" t="s">
        <v>193</v>
      </c>
      <c r="F73" s="20" t="s">
        <v>150</v>
      </c>
      <c r="G73" s="20" t="s">
        <v>150</v>
      </c>
      <c r="I73" s="20" t="s">
        <v>151</v>
      </c>
      <c r="J73" s="20" t="s">
        <v>143</v>
      </c>
      <c r="Q73" s="20">
        <v>8952.0</v>
      </c>
      <c r="R73" s="20" t="s">
        <v>427</v>
      </c>
      <c r="S73" s="20" t="s">
        <v>426</v>
      </c>
      <c r="T73" s="20" t="s">
        <v>138</v>
      </c>
    </row>
    <row r="74" ht="14.25" customHeight="1">
      <c r="A74" s="20" t="s">
        <v>428</v>
      </c>
      <c r="B74" s="20" t="s">
        <v>429</v>
      </c>
      <c r="C74" s="20" t="s">
        <v>163</v>
      </c>
      <c r="F74" s="20" t="s">
        <v>150</v>
      </c>
      <c r="G74" s="20" t="s">
        <v>150</v>
      </c>
      <c r="I74" s="20" t="s">
        <v>151</v>
      </c>
      <c r="J74" s="20" t="s">
        <v>143</v>
      </c>
      <c r="Q74" s="20">
        <v>3041.0</v>
      </c>
      <c r="R74" s="20" t="s">
        <v>430</v>
      </c>
      <c r="S74" s="20" t="s">
        <v>429</v>
      </c>
      <c r="T74" s="20" t="s">
        <v>138</v>
      </c>
    </row>
    <row r="75" ht="14.25" customHeight="1">
      <c r="A75" s="20" t="s">
        <v>431</v>
      </c>
      <c r="B75" s="20" t="s">
        <v>432</v>
      </c>
      <c r="C75" s="20" t="s">
        <v>149</v>
      </c>
      <c r="F75" s="20" t="s">
        <v>150</v>
      </c>
      <c r="G75" s="20" t="s">
        <v>150</v>
      </c>
      <c r="I75" s="20" t="s">
        <v>151</v>
      </c>
      <c r="J75" s="20" t="s">
        <v>143</v>
      </c>
      <c r="K75" s="20" t="s">
        <v>167</v>
      </c>
      <c r="Q75" s="20">
        <v>16229.0</v>
      </c>
      <c r="R75" s="20" t="s">
        <v>433</v>
      </c>
      <c r="S75" s="20" t="s">
        <v>432</v>
      </c>
      <c r="T75" s="20" t="s">
        <v>138</v>
      </c>
    </row>
    <row r="76" ht="14.25" customHeight="1">
      <c r="A76" s="20" t="s">
        <v>434</v>
      </c>
      <c r="B76" s="20" t="s">
        <v>435</v>
      </c>
      <c r="C76" s="20" t="s">
        <v>436</v>
      </c>
      <c r="F76" s="20" t="s">
        <v>16</v>
      </c>
      <c r="G76" s="20" t="s">
        <v>211</v>
      </c>
      <c r="I76" s="20" t="s">
        <v>212</v>
      </c>
      <c r="J76" s="20" t="s">
        <v>143</v>
      </c>
      <c r="K76" s="20" t="s">
        <v>213</v>
      </c>
      <c r="Q76" s="20">
        <v>9087.0</v>
      </c>
      <c r="R76" s="20" t="s">
        <v>437</v>
      </c>
      <c r="S76" s="20" t="s">
        <v>435</v>
      </c>
      <c r="T76" s="20" t="s">
        <v>138</v>
      </c>
      <c r="V76" s="20" t="s">
        <v>189</v>
      </c>
      <c r="W76" s="20" t="s">
        <v>146</v>
      </c>
    </row>
    <row r="77" ht="14.25" customHeight="1">
      <c r="A77" s="20" t="s">
        <v>438</v>
      </c>
      <c r="B77" s="20" t="s">
        <v>439</v>
      </c>
      <c r="C77" s="20" t="s">
        <v>272</v>
      </c>
      <c r="F77" s="20" t="s">
        <v>150</v>
      </c>
      <c r="G77" s="20" t="s">
        <v>150</v>
      </c>
      <c r="I77" s="20" t="s">
        <v>151</v>
      </c>
      <c r="J77" s="20" t="s">
        <v>143</v>
      </c>
      <c r="Q77" s="20">
        <v>5829.0</v>
      </c>
      <c r="R77" s="20" t="s">
        <v>440</v>
      </c>
      <c r="S77" s="20" t="s">
        <v>439</v>
      </c>
      <c r="T77" s="20" t="s">
        <v>138</v>
      </c>
    </row>
    <row r="78" ht="14.25" customHeight="1">
      <c r="A78" s="20" t="s">
        <v>441</v>
      </c>
      <c r="B78" s="20" t="s">
        <v>442</v>
      </c>
      <c r="C78" s="20" t="s">
        <v>193</v>
      </c>
      <c r="F78" s="20" t="s">
        <v>150</v>
      </c>
      <c r="G78" s="20" t="s">
        <v>150</v>
      </c>
      <c r="I78" s="20" t="s">
        <v>151</v>
      </c>
      <c r="J78" s="20" t="s">
        <v>143</v>
      </c>
      <c r="Q78" s="20">
        <v>2818.0</v>
      </c>
      <c r="R78" s="20" t="s">
        <v>443</v>
      </c>
      <c r="S78" s="20" t="s">
        <v>442</v>
      </c>
      <c r="T78" s="20" t="s">
        <v>138</v>
      </c>
    </row>
    <row r="79" ht="14.25" customHeight="1">
      <c r="A79" s="20" t="s">
        <v>444</v>
      </c>
      <c r="B79" s="20" t="s">
        <v>445</v>
      </c>
      <c r="C79" s="20" t="s">
        <v>446</v>
      </c>
      <c r="F79" s="20" t="s">
        <v>16</v>
      </c>
      <c r="G79" s="20" t="s">
        <v>202</v>
      </c>
      <c r="I79" s="20" t="s">
        <v>87</v>
      </c>
      <c r="J79" s="20" t="s">
        <v>143</v>
      </c>
      <c r="K79" s="20" t="s">
        <v>213</v>
      </c>
      <c r="Q79" s="20">
        <v>8914.0</v>
      </c>
      <c r="R79" s="20" t="s">
        <v>447</v>
      </c>
      <c r="S79" s="20" t="s">
        <v>445</v>
      </c>
      <c r="T79" s="20" t="s">
        <v>138</v>
      </c>
      <c r="W79" s="20" t="s">
        <v>146</v>
      </c>
    </row>
    <row r="80" ht="14.25" customHeight="1">
      <c r="A80" s="20" t="s">
        <v>448</v>
      </c>
      <c r="B80" s="20" t="s">
        <v>449</v>
      </c>
      <c r="C80" s="20" t="s">
        <v>149</v>
      </c>
      <c r="F80" s="20" t="s">
        <v>150</v>
      </c>
      <c r="G80" s="20" t="s">
        <v>150</v>
      </c>
      <c r="I80" s="20" t="s">
        <v>151</v>
      </c>
      <c r="J80" s="20" t="s">
        <v>143</v>
      </c>
      <c r="Q80" s="20">
        <v>9417.0</v>
      </c>
      <c r="R80" s="20" t="s">
        <v>450</v>
      </c>
      <c r="S80" s="20" t="s">
        <v>449</v>
      </c>
      <c r="T80" s="20" t="s">
        <v>138</v>
      </c>
    </row>
    <row r="81" ht="14.25" customHeight="1">
      <c r="A81" s="20" t="s">
        <v>451</v>
      </c>
      <c r="B81" s="20" t="s">
        <v>452</v>
      </c>
      <c r="C81" s="20" t="s">
        <v>174</v>
      </c>
      <c r="F81" s="20" t="s">
        <v>150</v>
      </c>
      <c r="G81" s="20" t="s">
        <v>150</v>
      </c>
      <c r="I81" s="20" t="s">
        <v>151</v>
      </c>
      <c r="J81" s="20" t="s">
        <v>143</v>
      </c>
      <c r="Q81" s="20">
        <v>7192.0</v>
      </c>
      <c r="R81" s="20" t="s">
        <v>453</v>
      </c>
      <c r="S81" s="20" t="s">
        <v>452</v>
      </c>
      <c r="T81" s="20" t="s">
        <v>138</v>
      </c>
    </row>
    <row r="82" ht="14.25" customHeight="1">
      <c r="A82" s="20" t="s">
        <v>454</v>
      </c>
      <c r="B82" s="20" t="s">
        <v>455</v>
      </c>
      <c r="C82" s="20" t="s">
        <v>252</v>
      </c>
      <c r="F82" s="20" t="s">
        <v>16</v>
      </c>
      <c r="G82" s="20" t="s">
        <v>211</v>
      </c>
      <c r="I82" s="20" t="s">
        <v>253</v>
      </c>
      <c r="J82" s="20" t="s">
        <v>143</v>
      </c>
      <c r="Q82" s="20">
        <v>11659.0</v>
      </c>
      <c r="R82" s="20" t="s">
        <v>456</v>
      </c>
      <c r="S82" s="20" t="s">
        <v>455</v>
      </c>
      <c r="T82" s="20" t="s">
        <v>138</v>
      </c>
    </row>
    <row r="83" ht="14.25" customHeight="1">
      <c r="A83" s="20" t="s">
        <v>457</v>
      </c>
      <c r="B83" s="20" t="s">
        <v>458</v>
      </c>
      <c r="C83" s="20" t="s">
        <v>193</v>
      </c>
      <c r="F83" s="20" t="s">
        <v>150</v>
      </c>
      <c r="G83" s="20" t="s">
        <v>150</v>
      </c>
      <c r="I83" s="20" t="s">
        <v>151</v>
      </c>
      <c r="J83" s="20" t="s">
        <v>143</v>
      </c>
      <c r="Q83" s="20">
        <v>21.0</v>
      </c>
      <c r="R83" s="20" t="s">
        <v>459</v>
      </c>
      <c r="S83" s="20" t="s">
        <v>458</v>
      </c>
      <c r="T83" s="20" t="s">
        <v>138</v>
      </c>
    </row>
    <row r="84" ht="14.25" customHeight="1">
      <c r="A84" s="20" t="s">
        <v>460</v>
      </c>
      <c r="B84" s="20" t="s">
        <v>461</v>
      </c>
      <c r="C84" s="20" t="s">
        <v>272</v>
      </c>
      <c r="F84" s="20" t="s">
        <v>150</v>
      </c>
      <c r="G84" s="20" t="s">
        <v>150</v>
      </c>
      <c r="I84" s="20" t="s">
        <v>151</v>
      </c>
      <c r="J84" s="20" t="s">
        <v>143</v>
      </c>
      <c r="Q84" s="20">
        <v>13636.0</v>
      </c>
      <c r="R84" s="20" t="s">
        <v>462</v>
      </c>
      <c r="S84" s="20" t="s">
        <v>461</v>
      </c>
      <c r="T84" s="20" t="s">
        <v>138</v>
      </c>
    </row>
    <row r="85" ht="14.25" customHeight="1">
      <c r="A85" s="20" t="s">
        <v>463</v>
      </c>
      <c r="B85" s="20" t="s">
        <v>464</v>
      </c>
      <c r="C85" s="20" t="s">
        <v>465</v>
      </c>
      <c r="F85" s="20" t="s">
        <v>15</v>
      </c>
      <c r="G85" s="20" t="s">
        <v>142</v>
      </c>
      <c r="I85" s="20" t="s">
        <v>105</v>
      </c>
      <c r="J85" s="20" t="s">
        <v>143</v>
      </c>
      <c r="Q85" s="20">
        <v>2702.0</v>
      </c>
      <c r="R85" s="20" t="s">
        <v>466</v>
      </c>
      <c r="S85" s="20" t="s">
        <v>464</v>
      </c>
      <c r="T85" s="20" t="s">
        <v>138</v>
      </c>
      <c r="W85" s="20" t="s">
        <v>146</v>
      </c>
    </row>
    <row r="86" ht="14.25" customHeight="1">
      <c r="A86" s="20" t="s">
        <v>467</v>
      </c>
      <c r="B86" s="20" t="s">
        <v>468</v>
      </c>
      <c r="C86" s="20" t="s">
        <v>384</v>
      </c>
      <c r="F86" s="20" t="s">
        <v>327</v>
      </c>
      <c r="G86" s="20" t="s">
        <v>385</v>
      </c>
      <c r="I86" s="20" t="s">
        <v>386</v>
      </c>
      <c r="J86" s="20" t="s">
        <v>143</v>
      </c>
      <c r="Q86" s="20">
        <v>9111.0</v>
      </c>
      <c r="R86" s="20" t="s">
        <v>469</v>
      </c>
      <c r="S86" s="20" t="s">
        <v>468</v>
      </c>
      <c r="T86" s="20" t="s">
        <v>388</v>
      </c>
    </row>
    <row r="87" ht="14.25" customHeight="1">
      <c r="A87" s="20" t="s">
        <v>470</v>
      </c>
      <c r="B87" s="20" t="s">
        <v>471</v>
      </c>
      <c r="C87" s="20" t="s">
        <v>235</v>
      </c>
      <c r="F87" s="20" t="s">
        <v>15</v>
      </c>
      <c r="G87" s="20" t="s">
        <v>142</v>
      </c>
      <c r="I87" s="20" t="s">
        <v>105</v>
      </c>
      <c r="J87" s="20" t="s">
        <v>143</v>
      </c>
      <c r="Q87" s="20">
        <v>9734.0</v>
      </c>
      <c r="R87" s="20" t="s">
        <v>472</v>
      </c>
      <c r="S87" s="20" t="s">
        <v>471</v>
      </c>
      <c r="T87" s="20" t="s">
        <v>138</v>
      </c>
    </row>
    <row r="88" ht="14.25" customHeight="1">
      <c r="A88" s="20" t="s">
        <v>473</v>
      </c>
      <c r="B88" s="20" t="s">
        <v>474</v>
      </c>
      <c r="C88" s="20" t="s">
        <v>231</v>
      </c>
      <c r="F88" s="20" t="s">
        <v>15</v>
      </c>
      <c r="G88" s="20" t="s">
        <v>135</v>
      </c>
      <c r="I88" s="20" t="s">
        <v>94</v>
      </c>
      <c r="J88" s="20" t="s">
        <v>143</v>
      </c>
      <c r="Q88" s="20">
        <v>12159.0</v>
      </c>
      <c r="R88" s="20" t="s">
        <v>475</v>
      </c>
      <c r="S88" s="20" t="s">
        <v>474</v>
      </c>
      <c r="T88" s="20" t="s">
        <v>138</v>
      </c>
    </row>
    <row r="89" ht="14.25" customHeight="1">
      <c r="A89" s="20" t="s">
        <v>476</v>
      </c>
      <c r="B89" s="20" t="s">
        <v>477</v>
      </c>
      <c r="C89" s="20" t="s">
        <v>478</v>
      </c>
      <c r="F89" s="20" t="s">
        <v>218</v>
      </c>
      <c r="G89" s="20" t="s">
        <v>219</v>
      </c>
      <c r="I89" s="20" t="s">
        <v>360</v>
      </c>
      <c r="J89" s="20" t="s">
        <v>143</v>
      </c>
      <c r="Q89" s="20">
        <v>4841.0</v>
      </c>
      <c r="R89" s="20" t="s">
        <v>479</v>
      </c>
      <c r="S89" s="20" t="s">
        <v>477</v>
      </c>
      <c r="T89" s="20" t="s">
        <v>138</v>
      </c>
    </row>
    <row r="90" ht="14.25" customHeight="1">
      <c r="A90" s="20" t="s">
        <v>480</v>
      </c>
      <c r="B90" s="20" t="s">
        <v>481</v>
      </c>
      <c r="C90" s="20" t="s">
        <v>482</v>
      </c>
      <c r="F90" s="20" t="s">
        <v>15</v>
      </c>
      <c r="G90" s="20" t="s">
        <v>142</v>
      </c>
      <c r="I90" s="20" t="s">
        <v>105</v>
      </c>
      <c r="J90" s="20" t="s">
        <v>143</v>
      </c>
      <c r="Q90" s="20">
        <v>15603.0</v>
      </c>
      <c r="R90" s="20" t="s">
        <v>483</v>
      </c>
      <c r="S90" s="20" t="s">
        <v>481</v>
      </c>
      <c r="T90" s="20" t="s">
        <v>138</v>
      </c>
    </row>
    <row r="91" ht="14.25" customHeight="1">
      <c r="A91" s="20" t="s">
        <v>484</v>
      </c>
      <c r="B91" s="20" t="s">
        <v>485</v>
      </c>
      <c r="C91" s="20" t="s">
        <v>486</v>
      </c>
      <c r="F91" s="20" t="s">
        <v>327</v>
      </c>
      <c r="G91" s="20" t="s">
        <v>385</v>
      </c>
      <c r="I91" s="20" t="s">
        <v>487</v>
      </c>
      <c r="J91" s="20" t="s">
        <v>186</v>
      </c>
      <c r="Q91" s="20">
        <v>1615.0</v>
      </c>
      <c r="R91" s="20" t="s">
        <v>488</v>
      </c>
      <c r="S91" s="20" t="s">
        <v>485</v>
      </c>
      <c r="T91" s="20" t="s">
        <v>138</v>
      </c>
    </row>
    <row r="92" ht="14.25" customHeight="1">
      <c r="A92" s="20" t="s">
        <v>489</v>
      </c>
      <c r="B92" s="20" t="s">
        <v>490</v>
      </c>
      <c r="C92" s="20" t="s">
        <v>491</v>
      </c>
      <c r="F92" s="20" t="s">
        <v>327</v>
      </c>
      <c r="G92" s="20" t="s">
        <v>385</v>
      </c>
      <c r="I92" s="20" t="s">
        <v>492</v>
      </c>
      <c r="J92" s="20" t="s">
        <v>143</v>
      </c>
      <c r="Q92" s="20">
        <v>14222.0</v>
      </c>
      <c r="R92" s="20" t="s">
        <v>493</v>
      </c>
      <c r="S92" s="20" t="s">
        <v>490</v>
      </c>
      <c r="T92" s="20" t="s">
        <v>138</v>
      </c>
    </row>
    <row r="93" ht="14.25" customHeight="1">
      <c r="A93" s="20" t="s">
        <v>494</v>
      </c>
      <c r="B93" s="20" t="s">
        <v>495</v>
      </c>
      <c r="C93" s="20" t="s">
        <v>496</v>
      </c>
      <c r="F93" s="20" t="s">
        <v>218</v>
      </c>
      <c r="G93" s="20" t="s">
        <v>219</v>
      </c>
      <c r="I93" s="20" t="s">
        <v>497</v>
      </c>
      <c r="J93" s="20" t="s">
        <v>186</v>
      </c>
      <c r="K93" s="20" t="s">
        <v>167</v>
      </c>
      <c r="Q93" s="20">
        <v>6832.0</v>
      </c>
      <c r="R93" s="20" t="s">
        <v>498</v>
      </c>
      <c r="S93" s="20" t="s">
        <v>495</v>
      </c>
      <c r="T93" s="20" t="s">
        <v>138</v>
      </c>
      <c r="W93" s="20" t="s">
        <v>146</v>
      </c>
    </row>
    <row r="94" ht="14.25" customHeight="1">
      <c r="A94" s="20" t="s">
        <v>499</v>
      </c>
      <c r="B94" s="20" t="s">
        <v>500</v>
      </c>
      <c r="C94" s="20" t="s">
        <v>501</v>
      </c>
      <c r="F94" s="20" t="s">
        <v>16</v>
      </c>
      <c r="G94" s="20" t="s">
        <v>211</v>
      </c>
      <c r="I94" s="20" t="s">
        <v>502</v>
      </c>
      <c r="J94" s="20" t="s">
        <v>186</v>
      </c>
      <c r="K94" s="20" t="s">
        <v>213</v>
      </c>
      <c r="Q94" s="20">
        <v>1609.0</v>
      </c>
      <c r="R94" s="20" t="s">
        <v>503</v>
      </c>
      <c r="S94" s="20" t="s">
        <v>500</v>
      </c>
      <c r="T94" s="20" t="s">
        <v>138</v>
      </c>
      <c r="W94" s="20" t="s">
        <v>146</v>
      </c>
    </row>
    <row r="95" ht="14.25" customHeight="1">
      <c r="A95" s="20" t="s">
        <v>504</v>
      </c>
      <c r="B95" s="20" t="s">
        <v>505</v>
      </c>
      <c r="C95" s="20" t="s">
        <v>369</v>
      </c>
      <c r="F95" s="20" t="s">
        <v>218</v>
      </c>
      <c r="G95" s="20" t="s">
        <v>219</v>
      </c>
      <c r="I95" s="20" t="s">
        <v>370</v>
      </c>
      <c r="J95" s="20" t="s">
        <v>136</v>
      </c>
      <c r="Q95" s="20">
        <v>6217.0</v>
      </c>
      <c r="R95" s="20" t="s">
        <v>506</v>
      </c>
      <c r="S95" s="20" t="s">
        <v>505</v>
      </c>
      <c r="T95" s="20" t="s">
        <v>138</v>
      </c>
      <c r="W95" s="20" t="s">
        <v>372</v>
      </c>
    </row>
    <row r="96" ht="14.25" customHeight="1">
      <c r="A96" s="20" t="s">
        <v>507</v>
      </c>
      <c r="B96" s="20" t="s">
        <v>508</v>
      </c>
      <c r="C96" s="20" t="s">
        <v>509</v>
      </c>
      <c r="F96" s="20" t="s">
        <v>327</v>
      </c>
      <c r="G96" s="20" t="s">
        <v>385</v>
      </c>
      <c r="I96" s="20" t="s">
        <v>510</v>
      </c>
      <c r="J96" s="20" t="s">
        <v>186</v>
      </c>
      <c r="K96" s="20" t="s">
        <v>213</v>
      </c>
      <c r="Q96" s="20">
        <v>1694.0</v>
      </c>
      <c r="R96" s="20" t="s">
        <v>511</v>
      </c>
      <c r="S96" s="20" t="s">
        <v>508</v>
      </c>
      <c r="T96" s="20" t="s">
        <v>138</v>
      </c>
      <c r="W96" s="20" t="s">
        <v>190</v>
      </c>
    </row>
    <row r="97" ht="14.25" customHeight="1">
      <c r="A97" s="20" t="s">
        <v>512</v>
      </c>
      <c r="B97" s="20" t="s">
        <v>513</v>
      </c>
      <c r="C97" s="20" t="s">
        <v>289</v>
      </c>
      <c r="F97" s="20" t="s">
        <v>150</v>
      </c>
      <c r="G97" s="20" t="s">
        <v>150</v>
      </c>
      <c r="I97" s="20" t="s">
        <v>151</v>
      </c>
      <c r="J97" s="20" t="s">
        <v>143</v>
      </c>
      <c r="Q97" s="20">
        <v>2492.0</v>
      </c>
      <c r="R97" s="20" t="s">
        <v>514</v>
      </c>
      <c r="S97" s="20" t="s">
        <v>513</v>
      </c>
      <c r="T97" s="20" t="s">
        <v>138</v>
      </c>
    </row>
    <row r="98" ht="14.25" customHeight="1">
      <c r="A98" s="20" t="s">
        <v>515</v>
      </c>
      <c r="B98" s="20" t="s">
        <v>516</v>
      </c>
      <c r="C98" s="20" t="s">
        <v>517</v>
      </c>
      <c r="F98" s="20" t="s">
        <v>16</v>
      </c>
      <c r="G98" s="20" t="s">
        <v>211</v>
      </c>
      <c r="H98" s="20">
        <v>14706.0</v>
      </c>
      <c r="I98" s="20" t="s">
        <v>212</v>
      </c>
      <c r="J98" s="20" t="s">
        <v>186</v>
      </c>
      <c r="K98" s="20" t="s">
        <v>167</v>
      </c>
      <c r="L98" s="20" t="s">
        <v>212</v>
      </c>
      <c r="Q98" s="20">
        <v>14706.0</v>
      </c>
      <c r="R98" s="20" t="s">
        <v>518</v>
      </c>
      <c r="S98" s="20" t="s">
        <v>516</v>
      </c>
      <c r="T98" s="20" t="s">
        <v>138</v>
      </c>
      <c r="W98" s="20" t="s">
        <v>146</v>
      </c>
    </row>
    <row r="99" ht="14.25" customHeight="1">
      <c r="A99" s="20" t="s">
        <v>519</v>
      </c>
      <c r="B99" s="20" t="s">
        <v>520</v>
      </c>
      <c r="C99" s="20" t="s">
        <v>149</v>
      </c>
      <c r="F99" s="20" t="s">
        <v>150</v>
      </c>
      <c r="G99" s="20" t="s">
        <v>150</v>
      </c>
      <c r="I99" s="20" t="s">
        <v>151</v>
      </c>
      <c r="J99" s="20" t="s">
        <v>143</v>
      </c>
      <c r="K99" s="20" t="s">
        <v>167</v>
      </c>
      <c r="Q99" s="20">
        <v>10462.0</v>
      </c>
      <c r="R99" s="20" t="s">
        <v>521</v>
      </c>
      <c r="S99" s="20" t="s">
        <v>520</v>
      </c>
      <c r="T99" s="20" t="s">
        <v>138</v>
      </c>
    </row>
    <row r="100" ht="14.25" customHeight="1">
      <c r="A100" s="20" t="s">
        <v>522</v>
      </c>
      <c r="B100" s="20" t="s">
        <v>523</v>
      </c>
      <c r="C100" s="20" t="s">
        <v>524</v>
      </c>
      <c r="F100" s="20" t="s">
        <v>150</v>
      </c>
      <c r="G100" s="20" t="s">
        <v>150</v>
      </c>
      <c r="I100" s="20" t="s">
        <v>151</v>
      </c>
      <c r="J100" s="20" t="s">
        <v>143</v>
      </c>
      <c r="Q100" s="20">
        <v>12235.0</v>
      </c>
      <c r="R100" s="20" t="s">
        <v>525</v>
      </c>
      <c r="S100" s="20" t="s">
        <v>526</v>
      </c>
      <c r="T100" s="20" t="s">
        <v>138</v>
      </c>
    </row>
    <row r="101" ht="14.25" customHeight="1">
      <c r="A101" s="20" t="s">
        <v>527</v>
      </c>
      <c r="B101" s="20" t="s">
        <v>528</v>
      </c>
      <c r="C101" s="20" t="s">
        <v>272</v>
      </c>
      <c r="F101" s="20" t="s">
        <v>150</v>
      </c>
      <c r="G101" s="20" t="s">
        <v>150</v>
      </c>
      <c r="I101" s="20" t="s">
        <v>151</v>
      </c>
      <c r="J101" s="20" t="s">
        <v>143</v>
      </c>
      <c r="Q101" s="20">
        <v>10549.0</v>
      </c>
      <c r="R101" s="20" t="s">
        <v>529</v>
      </c>
      <c r="S101" s="20" t="s">
        <v>528</v>
      </c>
      <c r="T101" s="20" t="s">
        <v>138</v>
      </c>
    </row>
    <row r="102" ht="14.25" customHeight="1">
      <c r="A102" s="20" t="s">
        <v>530</v>
      </c>
      <c r="B102" s="20" t="s">
        <v>531</v>
      </c>
      <c r="C102" s="20" t="s">
        <v>289</v>
      </c>
      <c r="F102" s="20" t="s">
        <v>150</v>
      </c>
      <c r="G102" s="20" t="s">
        <v>150</v>
      </c>
      <c r="I102" s="20" t="s">
        <v>151</v>
      </c>
      <c r="J102" s="20" t="s">
        <v>143</v>
      </c>
      <c r="K102" s="20" t="s">
        <v>167</v>
      </c>
      <c r="Q102" s="20">
        <v>9618.0</v>
      </c>
      <c r="R102" s="20" t="s">
        <v>532</v>
      </c>
      <c r="S102" s="20" t="s">
        <v>531</v>
      </c>
      <c r="T102" s="20" t="s">
        <v>138</v>
      </c>
    </row>
    <row r="103" ht="14.25" customHeight="1">
      <c r="A103" s="20" t="s">
        <v>533</v>
      </c>
      <c r="B103" s="20" t="s">
        <v>534</v>
      </c>
      <c r="C103" s="20" t="s">
        <v>369</v>
      </c>
      <c r="F103" s="20" t="s">
        <v>218</v>
      </c>
      <c r="G103" s="20" t="s">
        <v>219</v>
      </c>
      <c r="I103" s="20" t="s">
        <v>370</v>
      </c>
      <c r="J103" s="20" t="s">
        <v>143</v>
      </c>
      <c r="Q103" s="20">
        <v>3686.0</v>
      </c>
      <c r="R103" s="20" t="s">
        <v>535</v>
      </c>
      <c r="S103" s="20" t="s">
        <v>534</v>
      </c>
      <c r="T103" s="20" t="s">
        <v>138</v>
      </c>
    </row>
    <row r="104" ht="14.25" customHeight="1">
      <c r="A104" s="20" t="s">
        <v>536</v>
      </c>
      <c r="B104" s="20" t="s">
        <v>537</v>
      </c>
      <c r="C104" s="20" t="s">
        <v>197</v>
      </c>
      <c r="F104" s="20" t="s">
        <v>150</v>
      </c>
      <c r="G104" s="20" t="s">
        <v>150</v>
      </c>
      <c r="I104" s="20" t="s">
        <v>151</v>
      </c>
      <c r="J104" s="20" t="s">
        <v>143</v>
      </c>
      <c r="Q104" s="20">
        <v>9687.0</v>
      </c>
      <c r="R104" s="20" t="s">
        <v>538</v>
      </c>
      <c r="S104" s="20" t="s">
        <v>537</v>
      </c>
      <c r="T104" s="20" t="s">
        <v>138</v>
      </c>
    </row>
    <row r="105" ht="14.25" customHeight="1">
      <c r="A105" s="20" t="s">
        <v>539</v>
      </c>
      <c r="B105" s="20" t="s">
        <v>540</v>
      </c>
      <c r="C105" s="20" t="s">
        <v>149</v>
      </c>
      <c r="F105" s="20" t="s">
        <v>150</v>
      </c>
      <c r="G105" s="20" t="s">
        <v>150</v>
      </c>
      <c r="I105" s="20" t="s">
        <v>151</v>
      </c>
      <c r="J105" s="20" t="s">
        <v>143</v>
      </c>
      <c r="Q105" s="20">
        <v>10960.0</v>
      </c>
      <c r="R105" s="20" t="s">
        <v>541</v>
      </c>
      <c r="S105" s="20" t="s">
        <v>540</v>
      </c>
      <c r="T105" s="20" t="s">
        <v>138</v>
      </c>
    </row>
    <row r="106" ht="14.25" customHeight="1">
      <c r="A106" s="20" t="s">
        <v>542</v>
      </c>
      <c r="B106" s="20" t="s">
        <v>543</v>
      </c>
      <c r="C106" s="20" t="s">
        <v>159</v>
      </c>
      <c r="F106" s="20" t="s">
        <v>150</v>
      </c>
      <c r="G106" s="20" t="s">
        <v>150</v>
      </c>
      <c r="I106" s="20" t="s">
        <v>151</v>
      </c>
      <c r="J106" s="20" t="s">
        <v>143</v>
      </c>
      <c r="Q106" s="20">
        <v>12367.0</v>
      </c>
      <c r="R106" s="20" t="s">
        <v>544</v>
      </c>
      <c r="S106" s="20" t="s">
        <v>543</v>
      </c>
      <c r="T106" s="20" t="s">
        <v>138</v>
      </c>
    </row>
    <row r="107" ht="14.25" customHeight="1">
      <c r="A107" s="20" t="s">
        <v>545</v>
      </c>
      <c r="B107" s="20" t="s">
        <v>546</v>
      </c>
      <c r="C107" s="20" t="s">
        <v>394</v>
      </c>
      <c r="F107" s="20" t="s">
        <v>218</v>
      </c>
      <c r="G107" s="20" t="s">
        <v>219</v>
      </c>
      <c r="I107" s="20" t="s">
        <v>220</v>
      </c>
      <c r="J107" s="20" t="s">
        <v>136</v>
      </c>
      <c r="Q107" s="20">
        <v>14424.0</v>
      </c>
      <c r="R107" s="20" t="s">
        <v>547</v>
      </c>
      <c r="S107" s="20" t="s">
        <v>546</v>
      </c>
      <c r="T107" s="20" t="s">
        <v>138</v>
      </c>
    </row>
    <row r="108" ht="14.25" customHeight="1">
      <c r="A108" s="20" t="s">
        <v>548</v>
      </c>
      <c r="B108" s="20" t="s">
        <v>549</v>
      </c>
      <c r="C108" s="20" t="s">
        <v>149</v>
      </c>
      <c r="F108" s="20" t="s">
        <v>150</v>
      </c>
      <c r="G108" s="20" t="s">
        <v>150</v>
      </c>
      <c r="I108" s="20" t="s">
        <v>151</v>
      </c>
      <c r="J108" s="20" t="s">
        <v>143</v>
      </c>
      <c r="Q108" s="20">
        <v>8474.0</v>
      </c>
      <c r="R108" s="20" t="s">
        <v>550</v>
      </c>
      <c r="S108" s="20" t="s">
        <v>549</v>
      </c>
      <c r="T108" s="20" t="s">
        <v>138</v>
      </c>
    </row>
    <row r="109" ht="14.25" customHeight="1">
      <c r="A109" s="20" t="s">
        <v>551</v>
      </c>
      <c r="B109" s="20" t="s">
        <v>552</v>
      </c>
      <c r="C109" s="20" t="s">
        <v>347</v>
      </c>
      <c r="F109" s="20" t="s">
        <v>15</v>
      </c>
      <c r="G109" s="20" t="s">
        <v>135</v>
      </c>
      <c r="H109" s="20">
        <v>17963.0</v>
      </c>
      <c r="I109" s="20" t="s">
        <v>93</v>
      </c>
      <c r="J109" s="20" t="s">
        <v>136</v>
      </c>
      <c r="P109" s="20" t="s">
        <v>552</v>
      </c>
      <c r="Q109" s="20">
        <v>17963.0</v>
      </c>
      <c r="R109" s="20" t="s">
        <v>553</v>
      </c>
      <c r="S109" s="20" t="s">
        <v>554</v>
      </c>
      <c r="T109" s="20" t="s">
        <v>138</v>
      </c>
      <c r="W109" s="20" t="s">
        <v>372</v>
      </c>
    </row>
    <row r="110" ht="14.25" customHeight="1">
      <c r="A110" s="20" t="s">
        <v>555</v>
      </c>
      <c r="B110" s="20" t="s">
        <v>556</v>
      </c>
      <c r="C110" s="20" t="s">
        <v>193</v>
      </c>
      <c r="F110" s="20" t="s">
        <v>150</v>
      </c>
      <c r="G110" s="20" t="s">
        <v>150</v>
      </c>
      <c r="I110" s="20" t="s">
        <v>151</v>
      </c>
      <c r="J110" s="20" t="s">
        <v>143</v>
      </c>
      <c r="Q110" s="20">
        <v>31.0</v>
      </c>
      <c r="R110" s="20" t="s">
        <v>557</v>
      </c>
      <c r="S110" s="20" t="s">
        <v>556</v>
      </c>
      <c r="T110" s="20" t="s">
        <v>138</v>
      </c>
    </row>
    <row r="111" ht="14.25" customHeight="1">
      <c r="A111" s="20" t="s">
        <v>558</v>
      </c>
      <c r="B111" s="20" t="s">
        <v>559</v>
      </c>
      <c r="C111" s="20" t="s">
        <v>193</v>
      </c>
      <c r="F111" s="20" t="s">
        <v>150</v>
      </c>
      <c r="G111" s="20" t="s">
        <v>150</v>
      </c>
      <c r="I111" s="20" t="s">
        <v>151</v>
      </c>
      <c r="J111" s="20" t="s">
        <v>143</v>
      </c>
      <c r="Q111" s="20">
        <v>32.0</v>
      </c>
      <c r="R111" s="20" t="s">
        <v>560</v>
      </c>
      <c r="S111" s="20" t="s">
        <v>559</v>
      </c>
      <c r="T111" s="20" t="s">
        <v>138</v>
      </c>
    </row>
    <row r="112" ht="14.25" customHeight="1">
      <c r="A112" s="20" t="s">
        <v>561</v>
      </c>
      <c r="B112" s="20" t="s">
        <v>562</v>
      </c>
      <c r="C112" s="20" t="s">
        <v>159</v>
      </c>
      <c r="F112" s="20" t="s">
        <v>150</v>
      </c>
      <c r="G112" s="20" t="s">
        <v>150</v>
      </c>
      <c r="I112" s="20" t="s">
        <v>151</v>
      </c>
      <c r="J112" s="20" t="s">
        <v>143</v>
      </c>
      <c r="Q112" s="20">
        <v>6966.0</v>
      </c>
      <c r="R112" s="20" t="s">
        <v>563</v>
      </c>
      <c r="S112" s="20" t="s">
        <v>562</v>
      </c>
      <c r="T112" s="20" t="s">
        <v>138</v>
      </c>
    </row>
    <row r="113" ht="14.25" customHeight="1">
      <c r="A113" s="20" t="s">
        <v>564</v>
      </c>
      <c r="B113" s="20" t="s">
        <v>565</v>
      </c>
      <c r="C113" s="20" t="s">
        <v>193</v>
      </c>
      <c r="F113" s="20" t="s">
        <v>150</v>
      </c>
      <c r="G113" s="20" t="s">
        <v>150</v>
      </c>
      <c r="I113" s="20" t="s">
        <v>151</v>
      </c>
      <c r="J113" s="20" t="s">
        <v>143</v>
      </c>
      <c r="Q113" s="20">
        <v>11838.0</v>
      </c>
      <c r="R113" s="20" t="s">
        <v>566</v>
      </c>
      <c r="S113" s="20" t="s">
        <v>565</v>
      </c>
      <c r="T113" s="20" t="s">
        <v>138</v>
      </c>
    </row>
    <row r="114" ht="14.25" customHeight="1">
      <c r="A114" s="20" t="s">
        <v>567</v>
      </c>
      <c r="B114" s="20" t="s">
        <v>568</v>
      </c>
      <c r="C114" s="20" t="s">
        <v>193</v>
      </c>
      <c r="F114" s="20" t="s">
        <v>150</v>
      </c>
      <c r="G114" s="20" t="s">
        <v>150</v>
      </c>
      <c r="I114" s="20" t="s">
        <v>151</v>
      </c>
      <c r="J114" s="20" t="s">
        <v>143</v>
      </c>
      <c r="Q114" s="20">
        <v>16616.0</v>
      </c>
      <c r="R114" s="20" t="s">
        <v>569</v>
      </c>
      <c r="S114" s="20" t="s">
        <v>568</v>
      </c>
      <c r="T114" s="20" t="s">
        <v>138</v>
      </c>
    </row>
    <row r="115" ht="14.25" customHeight="1">
      <c r="A115" s="20" t="s">
        <v>570</v>
      </c>
      <c r="B115" s="20" t="s">
        <v>571</v>
      </c>
      <c r="C115" s="20" t="s">
        <v>289</v>
      </c>
      <c r="F115" s="20" t="s">
        <v>150</v>
      </c>
      <c r="G115" s="20" t="s">
        <v>150</v>
      </c>
      <c r="I115" s="20" t="s">
        <v>151</v>
      </c>
      <c r="J115" s="20" t="s">
        <v>143</v>
      </c>
      <c r="Q115" s="20">
        <v>10433.0</v>
      </c>
      <c r="R115" s="20" t="s">
        <v>572</v>
      </c>
      <c r="S115" s="20" t="s">
        <v>571</v>
      </c>
      <c r="T115" s="20" t="s">
        <v>138</v>
      </c>
    </row>
    <row r="116" ht="14.25" customHeight="1">
      <c r="A116" s="20" t="s">
        <v>573</v>
      </c>
      <c r="B116" s="20" t="s">
        <v>574</v>
      </c>
      <c r="C116" s="20" t="s">
        <v>159</v>
      </c>
      <c r="F116" s="20" t="s">
        <v>150</v>
      </c>
      <c r="G116" s="20" t="s">
        <v>150</v>
      </c>
      <c r="I116" s="20" t="s">
        <v>151</v>
      </c>
      <c r="J116" s="20" t="s">
        <v>143</v>
      </c>
      <c r="Q116" s="20">
        <v>9630.0</v>
      </c>
      <c r="R116" s="20" t="s">
        <v>575</v>
      </c>
      <c r="S116" s="20" t="s">
        <v>574</v>
      </c>
      <c r="T116" s="20" t="s">
        <v>138</v>
      </c>
    </row>
    <row r="117" ht="14.25" customHeight="1">
      <c r="A117" s="20" t="s">
        <v>576</v>
      </c>
      <c r="B117" s="20" t="s">
        <v>577</v>
      </c>
      <c r="C117" s="20" t="s">
        <v>174</v>
      </c>
      <c r="F117" s="20" t="s">
        <v>150</v>
      </c>
      <c r="G117" s="20" t="s">
        <v>150</v>
      </c>
      <c r="I117" s="20" t="s">
        <v>151</v>
      </c>
      <c r="J117" s="20" t="s">
        <v>143</v>
      </c>
      <c r="Q117" s="20">
        <v>4907.0</v>
      </c>
      <c r="R117" s="20" t="s">
        <v>578</v>
      </c>
      <c r="S117" s="20" t="s">
        <v>577</v>
      </c>
      <c r="T117" s="20" t="s">
        <v>138</v>
      </c>
    </row>
    <row r="118" ht="14.25" customHeight="1">
      <c r="A118" s="20" t="s">
        <v>579</v>
      </c>
      <c r="B118" s="20" t="s">
        <v>580</v>
      </c>
      <c r="C118" s="20" t="s">
        <v>197</v>
      </c>
      <c r="F118" s="20" t="s">
        <v>150</v>
      </c>
      <c r="G118" s="20" t="s">
        <v>150</v>
      </c>
      <c r="I118" s="20" t="s">
        <v>151</v>
      </c>
      <c r="J118" s="20" t="s">
        <v>143</v>
      </c>
      <c r="Q118" s="20">
        <v>14232.0</v>
      </c>
      <c r="R118" s="20" t="s">
        <v>581</v>
      </c>
      <c r="S118" s="20" t="s">
        <v>580</v>
      </c>
      <c r="T118" s="20" t="s">
        <v>138</v>
      </c>
    </row>
    <row r="119" ht="14.25" customHeight="1">
      <c r="A119" s="20" t="s">
        <v>582</v>
      </c>
      <c r="B119" s="20" t="s">
        <v>583</v>
      </c>
      <c r="C119" s="20" t="s">
        <v>174</v>
      </c>
      <c r="F119" s="20" t="s">
        <v>150</v>
      </c>
      <c r="G119" s="20" t="s">
        <v>150</v>
      </c>
      <c r="I119" s="20" t="s">
        <v>151</v>
      </c>
      <c r="J119" s="20" t="s">
        <v>143</v>
      </c>
      <c r="Q119" s="20">
        <v>13975.0</v>
      </c>
      <c r="R119" s="20" t="s">
        <v>584</v>
      </c>
      <c r="S119" s="20" t="s">
        <v>583</v>
      </c>
      <c r="T119" s="20" t="s">
        <v>138</v>
      </c>
    </row>
    <row r="120" ht="14.25" customHeight="1">
      <c r="A120" s="20" t="s">
        <v>585</v>
      </c>
      <c r="B120" s="20" t="s">
        <v>586</v>
      </c>
      <c r="C120" s="20" t="s">
        <v>587</v>
      </c>
      <c r="F120" s="20" t="s">
        <v>150</v>
      </c>
      <c r="G120" s="20" t="s">
        <v>150</v>
      </c>
      <c r="H120" s="20">
        <v>17454.0</v>
      </c>
      <c r="I120" s="20" t="s">
        <v>151</v>
      </c>
      <c r="J120" s="20" t="s">
        <v>143</v>
      </c>
      <c r="P120" s="20" t="s">
        <v>586</v>
      </c>
      <c r="Q120" s="20">
        <v>17454.0</v>
      </c>
      <c r="R120" s="20" t="s">
        <v>588</v>
      </c>
      <c r="S120" s="20" t="s">
        <v>586</v>
      </c>
      <c r="T120" s="20" t="s">
        <v>138</v>
      </c>
      <c r="W120" s="20" t="s">
        <v>146</v>
      </c>
    </row>
    <row r="121" ht="14.25" customHeight="1">
      <c r="A121" s="20" t="s">
        <v>589</v>
      </c>
      <c r="B121" s="20" t="s">
        <v>590</v>
      </c>
      <c r="C121" s="20" t="s">
        <v>163</v>
      </c>
      <c r="F121" s="20" t="s">
        <v>150</v>
      </c>
      <c r="G121" s="20" t="s">
        <v>150</v>
      </c>
      <c r="I121" s="20" t="s">
        <v>151</v>
      </c>
      <c r="J121" s="20" t="s">
        <v>143</v>
      </c>
      <c r="Q121" s="20">
        <v>12471.0</v>
      </c>
      <c r="R121" s="20" t="s">
        <v>591</v>
      </c>
      <c r="S121" s="20" t="s">
        <v>590</v>
      </c>
      <c r="T121" s="20" t="s">
        <v>138</v>
      </c>
    </row>
    <row r="122" ht="14.25" customHeight="1">
      <c r="A122" s="20" t="s">
        <v>592</v>
      </c>
      <c r="B122" s="20" t="s">
        <v>593</v>
      </c>
      <c r="C122" s="20" t="s">
        <v>394</v>
      </c>
      <c r="F122" s="20" t="s">
        <v>327</v>
      </c>
      <c r="G122" s="20" t="s">
        <v>395</v>
      </c>
      <c r="I122" s="20" t="s">
        <v>396</v>
      </c>
      <c r="J122" s="20" t="s">
        <v>136</v>
      </c>
      <c r="Q122" s="20">
        <v>11612.0</v>
      </c>
      <c r="R122" s="20" t="s">
        <v>594</v>
      </c>
      <c r="S122" s="20" t="s">
        <v>593</v>
      </c>
      <c r="T122" s="20" t="s">
        <v>138</v>
      </c>
    </row>
    <row r="123" ht="14.25" customHeight="1">
      <c r="A123" s="20" t="s">
        <v>595</v>
      </c>
      <c r="B123" s="20" t="s">
        <v>596</v>
      </c>
      <c r="C123" s="20" t="s">
        <v>597</v>
      </c>
      <c r="F123" s="20" t="s">
        <v>327</v>
      </c>
      <c r="G123" s="20" t="s">
        <v>385</v>
      </c>
      <c r="I123" s="20" t="s">
        <v>598</v>
      </c>
      <c r="J123" s="20" t="s">
        <v>186</v>
      </c>
      <c r="K123" s="20" t="s">
        <v>187</v>
      </c>
      <c r="Q123" s="20">
        <v>1397.0</v>
      </c>
      <c r="R123" s="20" t="s">
        <v>599</v>
      </c>
      <c r="S123" s="20" t="s">
        <v>596</v>
      </c>
      <c r="T123" s="20" t="s">
        <v>138</v>
      </c>
      <c r="W123" s="20" t="s">
        <v>190</v>
      </c>
    </row>
    <row r="124" ht="14.25" customHeight="1">
      <c r="A124" s="20" t="s">
        <v>600</v>
      </c>
      <c r="B124" s="20" t="s">
        <v>601</v>
      </c>
      <c r="C124" s="20" t="s">
        <v>602</v>
      </c>
      <c r="F124" s="20" t="s">
        <v>327</v>
      </c>
      <c r="G124" s="20" t="s">
        <v>385</v>
      </c>
      <c r="I124" s="20" t="s">
        <v>386</v>
      </c>
      <c r="J124" s="20" t="s">
        <v>143</v>
      </c>
      <c r="Q124" s="20">
        <v>11157.0</v>
      </c>
      <c r="R124" s="20" t="s">
        <v>603</v>
      </c>
      <c r="S124" s="20" t="s">
        <v>601</v>
      </c>
      <c r="T124" s="20" t="s">
        <v>388</v>
      </c>
    </row>
    <row r="125" ht="14.25" customHeight="1">
      <c r="A125" s="20" t="s">
        <v>604</v>
      </c>
      <c r="B125" s="20" t="s">
        <v>605</v>
      </c>
      <c r="C125" s="20" t="s">
        <v>606</v>
      </c>
      <c r="F125" s="20" t="s">
        <v>327</v>
      </c>
      <c r="G125" s="20" t="s">
        <v>385</v>
      </c>
      <c r="I125" s="20" t="s">
        <v>598</v>
      </c>
      <c r="J125" s="20" t="s">
        <v>186</v>
      </c>
      <c r="K125" s="20" t="s">
        <v>213</v>
      </c>
      <c r="Q125" s="20">
        <v>5964.0</v>
      </c>
      <c r="R125" s="20" t="s">
        <v>607</v>
      </c>
      <c r="S125" s="20" t="s">
        <v>605</v>
      </c>
      <c r="T125" s="20" t="s">
        <v>138</v>
      </c>
      <c r="W125" s="20" t="s">
        <v>261</v>
      </c>
    </row>
    <row r="126" ht="14.25" customHeight="1">
      <c r="A126" s="20" t="s">
        <v>608</v>
      </c>
      <c r="B126" s="20" t="s">
        <v>609</v>
      </c>
      <c r="C126" s="20" t="s">
        <v>610</v>
      </c>
      <c r="F126" s="20" t="s">
        <v>327</v>
      </c>
      <c r="G126" s="20" t="s">
        <v>385</v>
      </c>
      <c r="I126" s="20" t="s">
        <v>492</v>
      </c>
      <c r="J126" s="20" t="s">
        <v>136</v>
      </c>
      <c r="Q126" s="20">
        <v>14043.0</v>
      </c>
      <c r="R126" s="20" t="s">
        <v>611</v>
      </c>
      <c r="S126" s="20" t="s">
        <v>612</v>
      </c>
      <c r="T126" s="20" t="s">
        <v>138</v>
      </c>
      <c r="W126" s="20" t="s">
        <v>372</v>
      </c>
    </row>
    <row r="127" ht="14.25" customHeight="1">
      <c r="A127" s="20" t="s">
        <v>613</v>
      </c>
      <c r="B127" s="20" t="s">
        <v>614</v>
      </c>
      <c r="C127" s="20" t="s">
        <v>272</v>
      </c>
      <c r="F127" s="20" t="s">
        <v>150</v>
      </c>
      <c r="G127" s="20" t="s">
        <v>150</v>
      </c>
      <c r="I127" s="20" t="s">
        <v>151</v>
      </c>
      <c r="J127" s="20" t="s">
        <v>143</v>
      </c>
      <c r="Q127" s="20">
        <v>14398.0</v>
      </c>
      <c r="R127" s="20" t="s">
        <v>615</v>
      </c>
      <c r="S127" s="20" t="s">
        <v>614</v>
      </c>
      <c r="T127" s="20" t="s">
        <v>138</v>
      </c>
    </row>
    <row r="128" ht="14.25" customHeight="1">
      <c r="A128" s="20" t="s">
        <v>616</v>
      </c>
      <c r="B128" s="20" t="s">
        <v>617</v>
      </c>
      <c r="C128" s="20" t="s">
        <v>149</v>
      </c>
      <c r="F128" s="20" t="s">
        <v>150</v>
      </c>
      <c r="G128" s="20" t="s">
        <v>150</v>
      </c>
      <c r="I128" s="20" t="s">
        <v>151</v>
      </c>
      <c r="J128" s="20" t="s">
        <v>143</v>
      </c>
      <c r="Q128" s="20">
        <v>2808.0</v>
      </c>
      <c r="R128" s="20" t="s">
        <v>618</v>
      </c>
      <c r="S128" s="20" t="s">
        <v>617</v>
      </c>
      <c r="T128" s="20" t="s">
        <v>138</v>
      </c>
    </row>
    <row r="129" ht="14.25" customHeight="1">
      <c r="A129" s="20" t="s">
        <v>619</v>
      </c>
      <c r="B129" s="20" t="s">
        <v>620</v>
      </c>
      <c r="C129" s="20" t="s">
        <v>159</v>
      </c>
      <c r="F129" s="20" t="s">
        <v>150</v>
      </c>
      <c r="G129" s="20" t="s">
        <v>150</v>
      </c>
      <c r="I129" s="20" t="s">
        <v>151</v>
      </c>
      <c r="J129" s="20" t="s">
        <v>143</v>
      </c>
      <c r="Q129" s="20">
        <v>11798.0</v>
      </c>
      <c r="R129" s="20" t="s">
        <v>621</v>
      </c>
      <c r="S129" s="20" t="s">
        <v>620</v>
      </c>
      <c r="T129" s="20" t="s">
        <v>138</v>
      </c>
    </row>
    <row r="130" ht="14.25" customHeight="1">
      <c r="A130" s="20" t="s">
        <v>622</v>
      </c>
      <c r="B130" s="20" t="s">
        <v>623</v>
      </c>
      <c r="C130" s="20" t="s">
        <v>624</v>
      </c>
      <c r="F130" s="20" t="s">
        <v>16</v>
      </c>
      <c r="G130" s="20" t="s">
        <v>202</v>
      </c>
      <c r="I130" s="20" t="s">
        <v>203</v>
      </c>
      <c r="J130" s="20" t="s">
        <v>143</v>
      </c>
      <c r="K130" s="20" t="s">
        <v>187</v>
      </c>
      <c r="Q130" s="20">
        <v>9097.0</v>
      </c>
      <c r="R130" s="20" t="s">
        <v>625</v>
      </c>
      <c r="S130" s="20" t="s">
        <v>623</v>
      </c>
      <c r="T130" s="20" t="s">
        <v>138</v>
      </c>
      <c r="V130" s="20" t="s">
        <v>260</v>
      </c>
      <c r="W130" s="20" t="s">
        <v>261</v>
      </c>
    </row>
    <row r="131" ht="14.25" customHeight="1">
      <c r="A131" s="20" t="s">
        <v>626</v>
      </c>
      <c r="B131" s="20" t="s">
        <v>627</v>
      </c>
      <c r="C131" s="20" t="s">
        <v>628</v>
      </c>
      <c r="F131" s="20" t="s">
        <v>17</v>
      </c>
      <c r="G131" s="20" t="s">
        <v>17</v>
      </c>
      <c r="H131" s="20">
        <v>1635.0</v>
      </c>
      <c r="I131" s="20" t="s">
        <v>88</v>
      </c>
      <c r="J131" s="20" t="s">
        <v>186</v>
      </c>
      <c r="K131" s="20" t="s">
        <v>213</v>
      </c>
      <c r="L131" s="20" t="s">
        <v>629</v>
      </c>
      <c r="Q131" s="20">
        <v>1635.0</v>
      </c>
      <c r="R131" s="20" t="s">
        <v>630</v>
      </c>
      <c r="S131" s="20" t="s">
        <v>627</v>
      </c>
      <c r="T131" s="20" t="s">
        <v>138</v>
      </c>
      <c r="W131" s="20" t="s">
        <v>261</v>
      </c>
    </row>
    <row r="132" ht="14.25" customHeight="1">
      <c r="A132" s="20" t="s">
        <v>631</v>
      </c>
      <c r="B132" s="20" t="s">
        <v>632</v>
      </c>
      <c r="C132" s="20" t="s">
        <v>633</v>
      </c>
      <c r="F132" s="20" t="s">
        <v>15</v>
      </c>
      <c r="G132" s="20" t="s">
        <v>135</v>
      </c>
      <c r="I132" s="20" t="s">
        <v>101</v>
      </c>
      <c r="J132" s="20" t="s">
        <v>136</v>
      </c>
      <c r="Q132" s="20">
        <v>9946.0</v>
      </c>
      <c r="R132" s="20" t="s">
        <v>634</v>
      </c>
      <c r="S132" s="20" t="s">
        <v>632</v>
      </c>
      <c r="T132" s="20" t="s">
        <v>138</v>
      </c>
      <c r="W132" s="20" t="s">
        <v>136</v>
      </c>
    </row>
    <row r="133" ht="14.25" customHeight="1">
      <c r="A133" s="20" t="s">
        <v>635</v>
      </c>
      <c r="B133" s="20" t="s">
        <v>636</v>
      </c>
      <c r="C133" s="20" t="s">
        <v>637</v>
      </c>
      <c r="F133" s="20" t="s">
        <v>16</v>
      </c>
      <c r="G133" s="20" t="s">
        <v>638</v>
      </c>
      <c r="I133" s="20" t="s">
        <v>639</v>
      </c>
      <c r="J133" s="20" t="s">
        <v>136</v>
      </c>
      <c r="Q133" s="20">
        <v>4195.0</v>
      </c>
      <c r="R133" s="20" t="s">
        <v>640</v>
      </c>
      <c r="S133" s="20" t="s">
        <v>636</v>
      </c>
      <c r="T133" s="20" t="s">
        <v>138</v>
      </c>
      <c r="W133" s="20" t="s">
        <v>136</v>
      </c>
    </row>
    <row r="134" ht="14.25" customHeight="1">
      <c r="A134" s="20" t="s">
        <v>641</v>
      </c>
      <c r="B134" s="20" t="s">
        <v>642</v>
      </c>
      <c r="C134" s="20" t="s">
        <v>643</v>
      </c>
      <c r="F134" s="20" t="s">
        <v>327</v>
      </c>
      <c r="G134" s="20" t="s">
        <v>395</v>
      </c>
      <c r="H134" s="20">
        <v>3057.0</v>
      </c>
      <c r="I134" s="20" t="s">
        <v>644</v>
      </c>
      <c r="J134" s="20" t="s">
        <v>186</v>
      </c>
      <c r="K134" s="20" t="s">
        <v>213</v>
      </c>
      <c r="L134" s="20" t="s">
        <v>644</v>
      </c>
      <c r="Q134" s="20">
        <v>3057.0</v>
      </c>
      <c r="R134" s="20" t="s">
        <v>645</v>
      </c>
      <c r="S134" s="20" t="s">
        <v>642</v>
      </c>
      <c r="T134" s="20" t="s">
        <v>138</v>
      </c>
      <c r="V134" s="20" t="s">
        <v>189</v>
      </c>
      <c r="W134" s="20" t="s">
        <v>146</v>
      </c>
    </row>
    <row r="135" ht="14.25" customHeight="1">
      <c r="A135" s="20" t="s">
        <v>646</v>
      </c>
      <c r="B135" s="20" t="s">
        <v>647</v>
      </c>
      <c r="C135" s="20" t="s">
        <v>174</v>
      </c>
      <c r="F135" s="20" t="s">
        <v>150</v>
      </c>
      <c r="G135" s="20" t="s">
        <v>150</v>
      </c>
      <c r="I135" s="20" t="s">
        <v>151</v>
      </c>
      <c r="J135" s="20" t="s">
        <v>143</v>
      </c>
      <c r="Q135" s="20">
        <v>3863.0</v>
      </c>
      <c r="R135" s="20" t="s">
        <v>648</v>
      </c>
      <c r="S135" s="20" t="s">
        <v>647</v>
      </c>
      <c r="T135" s="20" t="s">
        <v>138</v>
      </c>
    </row>
    <row r="136" ht="14.25" customHeight="1">
      <c r="A136" s="20" t="s">
        <v>649</v>
      </c>
      <c r="B136" s="20" t="s">
        <v>650</v>
      </c>
      <c r="C136" s="20" t="s">
        <v>651</v>
      </c>
      <c r="F136" s="20" t="s">
        <v>327</v>
      </c>
      <c r="G136" s="20" t="s">
        <v>395</v>
      </c>
      <c r="I136" s="20" t="s">
        <v>652</v>
      </c>
      <c r="J136" s="20" t="s">
        <v>186</v>
      </c>
      <c r="K136" s="20" t="s">
        <v>167</v>
      </c>
      <c r="Q136" s="20">
        <v>112.0</v>
      </c>
      <c r="R136" s="20" t="s">
        <v>653</v>
      </c>
      <c r="S136" s="20" t="s">
        <v>650</v>
      </c>
      <c r="T136" s="20" t="s">
        <v>138</v>
      </c>
      <c r="W136" s="20" t="s">
        <v>146</v>
      </c>
    </row>
    <row r="137" ht="14.25" customHeight="1">
      <c r="A137" s="20" t="s">
        <v>654</v>
      </c>
      <c r="B137" s="20" t="s">
        <v>655</v>
      </c>
      <c r="C137" s="20" t="s">
        <v>182</v>
      </c>
      <c r="F137" s="20" t="s">
        <v>15</v>
      </c>
      <c r="G137" s="20" t="s">
        <v>135</v>
      </c>
      <c r="H137" s="20">
        <v>128.0</v>
      </c>
      <c r="I137" s="20" t="s">
        <v>93</v>
      </c>
      <c r="J137" s="20" t="s">
        <v>186</v>
      </c>
      <c r="K137" s="20" t="s">
        <v>187</v>
      </c>
      <c r="L137" s="20" t="s">
        <v>93</v>
      </c>
      <c r="Q137" s="20">
        <v>128.0</v>
      </c>
      <c r="R137" s="20" t="s">
        <v>656</v>
      </c>
      <c r="S137" s="20" t="s">
        <v>655</v>
      </c>
      <c r="T137" s="20" t="s">
        <v>138</v>
      </c>
      <c r="V137" s="20" t="s">
        <v>189</v>
      </c>
      <c r="W137" s="20" t="s">
        <v>261</v>
      </c>
    </row>
    <row r="138" ht="14.25" customHeight="1">
      <c r="A138" s="20" t="s">
        <v>657</v>
      </c>
      <c r="B138" s="20" t="s">
        <v>658</v>
      </c>
      <c r="C138" s="20" t="s">
        <v>217</v>
      </c>
      <c r="F138" s="20" t="s">
        <v>218</v>
      </c>
      <c r="G138" s="20" t="s">
        <v>219</v>
      </c>
      <c r="I138" s="20" t="s">
        <v>220</v>
      </c>
      <c r="J138" s="20" t="s">
        <v>186</v>
      </c>
      <c r="Q138" s="20">
        <v>10930.0</v>
      </c>
      <c r="R138" s="20" t="s">
        <v>659</v>
      </c>
      <c r="S138" s="20" t="s">
        <v>658</v>
      </c>
      <c r="T138" s="20" t="s">
        <v>138</v>
      </c>
    </row>
    <row r="139" ht="14.25" customHeight="1">
      <c r="A139" s="20" t="s">
        <v>660</v>
      </c>
      <c r="B139" s="20" t="s">
        <v>661</v>
      </c>
      <c r="C139" s="20" t="s">
        <v>662</v>
      </c>
      <c r="F139" s="20" t="s">
        <v>15</v>
      </c>
      <c r="G139" s="20" t="s">
        <v>135</v>
      </c>
      <c r="I139" s="20" t="s">
        <v>90</v>
      </c>
      <c r="J139" s="20" t="s">
        <v>186</v>
      </c>
      <c r="Q139" s="20">
        <v>127.0</v>
      </c>
      <c r="R139" s="20" t="s">
        <v>663</v>
      </c>
      <c r="S139" s="20" t="s">
        <v>661</v>
      </c>
      <c r="T139" s="20" t="s">
        <v>138</v>
      </c>
    </row>
    <row r="140" ht="14.25" customHeight="1">
      <c r="A140" s="20" t="s">
        <v>664</v>
      </c>
      <c r="B140" s="20" t="s">
        <v>665</v>
      </c>
      <c r="C140" s="20" t="s">
        <v>666</v>
      </c>
      <c r="F140" s="20" t="s">
        <v>218</v>
      </c>
      <c r="G140" s="20" t="s">
        <v>667</v>
      </c>
      <c r="I140" s="20" t="s">
        <v>668</v>
      </c>
      <c r="J140" s="20" t="s">
        <v>136</v>
      </c>
      <c r="Q140" s="20">
        <v>1331.0</v>
      </c>
      <c r="R140" s="20" t="s">
        <v>669</v>
      </c>
      <c r="S140" s="20" t="s">
        <v>665</v>
      </c>
      <c r="T140" s="20" t="s">
        <v>138</v>
      </c>
    </row>
    <row r="141" ht="14.25" customHeight="1">
      <c r="A141" s="20" t="s">
        <v>670</v>
      </c>
      <c r="B141" s="20" t="s">
        <v>671</v>
      </c>
      <c r="C141" s="20" t="s">
        <v>672</v>
      </c>
      <c r="F141" s="20" t="s">
        <v>218</v>
      </c>
      <c r="G141" s="20" t="s">
        <v>667</v>
      </c>
      <c r="I141" s="20" t="s">
        <v>668</v>
      </c>
      <c r="J141" s="20" t="s">
        <v>136</v>
      </c>
      <c r="Q141" s="20">
        <v>10893.0</v>
      </c>
      <c r="R141" s="20" t="s">
        <v>673</v>
      </c>
      <c r="S141" s="20" t="s">
        <v>671</v>
      </c>
      <c r="T141" s="20" t="s">
        <v>138</v>
      </c>
    </row>
    <row r="142" ht="14.25" customHeight="1">
      <c r="A142" s="20" t="s">
        <v>674</v>
      </c>
      <c r="B142" s="20" t="s">
        <v>675</v>
      </c>
      <c r="C142" s="20" t="s">
        <v>676</v>
      </c>
      <c r="F142" s="20" t="s">
        <v>150</v>
      </c>
      <c r="G142" s="20" t="s">
        <v>150</v>
      </c>
      <c r="I142" s="20" t="s">
        <v>151</v>
      </c>
      <c r="J142" s="20" t="s">
        <v>186</v>
      </c>
      <c r="Q142" s="20">
        <v>11186.0</v>
      </c>
      <c r="R142" s="20" t="s">
        <v>677</v>
      </c>
      <c r="S142" s="20" t="s">
        <v>675</v>
      </c>
      <c r="T142" s="20" t="s">
        <v>138</v>
      </c>
    </row>
    <row r="143" ht="14.25" customHeight="1">
      <c r="A143" s="20" t="s">
        <v>678</v>
      </c>
      <c r="B143" s="20" t="s">
        <v>679</v>
      </c>
      <c r="C143" s="20" t="s">
        <v>680</v>
      </c>
      <c r="F143" s="20" t="s">
        <v>15</v>
      </c>
      <c r="G143" s="20" t="s">
        <v>142</v>
      </c>
      <c r="I143" s="20" t="s">
        <v>105</v>
      </c>
      <c r="J143" s="20" t="s">
        <v>186</v>
      </c>
      <c r="Q143" s="20">
        <v>16083.0</v>
      </c>
      <c r="R143" s="20" t="s">
        <v>681</v>
      </c>
      <c r="S143" s="20" t="s">
        <v>679</v>
      </c>
      <c r="T143" s="20" t="s">
        <v>138</v>
      </c>
    </row>
    <row r="144" ht="14.25" customHeight="1">
      <c r="A144" s="20" t="s">
        <v>682</v>
      </c>
      <c r="B144" s="20" t="s">
        <v>683</v>
      </c>
      <c r="C144" s="20" t="s">
        <v>684</v>
      </c>
      <c r="F144" s="20" t="s">
        <v>15</v>
      </c>
      <c r="G144" s="20" t="s">
        <v>142</v>
      </c>
      <c r="I144" s="20" t="s">
        <v>105</v>
      </c>
      <c r="J144" s="20" t="s">
        <v>186</v>
      </c>
      <c r="Q144" s="20">
        <v>7186.0</v>
      </c>
      <c r="R144" s="20" t="s">
        <v>685</v>
      </c>
      <c r="S144" s="20" t="s">
        <v>686</v>
      </c>
      <c r="T144" s="20" t="s">
        <v>138</v>
      </c>
    </row>
    <row r="145" ht="14.25" customHeight="1">
      <c r="A145" s="20" t="s">
        <v>687</v>
      </c>
      <c r="B145" s="20" t="s">
        <v>683</v>
      </c>
      <c r="C145" s="20" t="s">
        <v>680</v>
      </c>
      <c r="F145" s="20" t="s">
        <v>15</v>
      </c>
      <c r="G145" s="20" t="s">
        <v>142</v>
      </c>
      <c r="I145" s="20" t="s">
        <v>105</v>
      </c>
      <c r="J145" s="20" t="s">
        <v>186</v>
      </c>
      <c r="Q145" s="20">
        <v>7819.0</v>
      </c>
      <c r="R145" s="20" t="s">
        <v>688</v>
      </c>
      <c r="S145" s="20" t="s">
        <v>683</v>
      </c>
      <c r="T145" s="20" t="s">
        <v>138</v>
      </c>
    </row>
    <row r="146" ht="14.25" customHeight="1">
      <c r="A146" s="20" t="s">
        <v>689</v>
      </c>
      <c r="B146" s="20" t="s">
        <v>690</v>
      </c>
      <c r="C146" s="20" t="s">
        <v>359</v>
      </c>
      <c r="F146" s="20" t="s">
        <v>218</v>
      </c>
      <c r="G146" s="20" t="s">
        <v>219</v>
      </c>
      <c r="I146" s="20" t="s">
        <v>360</v>
      </c>
      <c r="J146" s="20" t="s">
        <v>186</v>
      </c>
      <c r="Q146" s="20">
        <v>10929.0</v>
      </c>
      <c r="R146" s="20" t="s">
        <v>691</v>
      </c>
      <c r="S146" s="20" t="s">
        <v>690</v>
      </c>
      <c r="T146" s="20" t="s">
        <v>138</v>
      </c>
    </row>
    <row r="147" ht="14.25" customHeight="1">
      <c r="A147" s="20" t="s">
        <v>692</v>
      </c>
      <c r="B147" s="20" t="s">
        <v>693</v>
      </c>
      <c r="C147" s="20" t="s">
        <v>694</v>
      </c>
      <c r="F147" s="20" t="s">
        <v>16</v>
      </c>
      <c r="G147" s="20" t="s">
        <v>202</v>
      </c>
      <c r="I147" s="20" t="s">
        <v>87</v>
      </c>
      <c r="J147" s="20" t="s">
        <v>143</v>
      </c>
      <c r="K147" s="20" t="s">
        <v>167</v>
      </c>
      <c r="Q147" s="20">
        <v>5443.0</v>
      </c>
      <c r="R147" s="20" t="s">
        <v>695</v>
      </c>
      <c r="S147" s="20" t="s">
        <v>693</v>
      </c>
      <c r="T147" s="20" t="s">
        <v>138</v>
      </c>
    </row>
    <row r="148" ht="14.25" customHeight="1">
      <c r="A148" s="20" t="s">
        <v>696</v>
      </c>
      <c r="B148" s="20" t="s">
        <v>697</v>
      </c>
      <c r="C148" s="20" t="s">
        <v>272</v>
      </c>
      <c r="F148" s="20" t="s">
        <v>150</v>
      </c>
      <c r="G148" s="20" t="s">
        <v>150</v>
      </c>
      <c r="I148" s="20" t="s">
        <v>151</v>
      </c>
      <c r="J148" s="20" t="s">
        <v>143</v>
      </c>
      <c r="Q148" s="20">
        <v>141.0</v>
      </c>
      <c r="R148" s="20" t="s">
        <v>698</v>
      </c>
      <c r="S148" s="20" t="s">
        <v>697</v>
      </c>
      <c r="T148" s="20" t="s">
        <v>138</v>
      </c>
    </row>
    <row r="149" ht="14.25" customHeight="1">
      <c r="A149" s="20" t="s">
        <v>699</v>
      </c>
      <c r="B149" s="20" t="s">
        <v>700</v>
      </c>
      <c r="C149" s="20" t="s">
        <v>235</v>
      </c>
      <c r="F149" s="20" t="s">
        <v>15</v>
      </c>
      <c r="G149" s="20" t="s">
        <v>142</v>
      </c>
      <c r="I149" s="20" t="s">
        <v>105</v>
      </c>
      <c r="J149" s="20" t="s">
        <v>143</v>
      </c>
      <c r="Q149" s="20">
        <v>2704.0</v>
      </c>
      <c r="R149" s="20" t="s">
        <v>701</v>
      </c>
      <c r="S149" s="20" t="s">
        <v>700</v>
      </c>
      <c r="T149" s="20" t="s">
        <v>138</v>
      </c>
    </row>
    <row r="150" ht="14.25" customHeight="1">
      <c r="A150" s="20" t="s">
        <v>702</v>
      </c>
      <c r="B150" s="20" t="s">
        <v>703</v>
      </c>
      <c r="C150" s="20" t="s">
        <v>704</v>
      </c>
      <c r="F150" s="20" t="s">
        <v>150</v>
      </c>
      <c r="G150" s="20" t="s">
        <v>150</v>
      </c>
      <c r="I150" s="20" t="s">
        <v>151</v>
      </c>
      <c r="J150" s="20" t="s">
        <v>136</v>
      </c>
      <c r="Q150" s="20">
        <v>2115.0</v>
      </c>
      <c r="R150" s="20" t="s">
        <v>705</v>
      </c>
      <c r="S150" s="20" t="s">
        <v>703</v>
      </c>
      <c r="T150" s="20" t="s">
        <v>138</v>
      </c>
      <c r="W150" s="20" t="s">
        <v>372</v>
      </c>
    </row>
    <row r="151" ht="14.25" customHeight="1">
      <c r="A151" s="20" t="s">
        <v>706</v>
      </c>
      <c r="B151" s="20" t="s">
        <v>707</v>
      </c>
      <c r="C151" s="20" t="s">
        <v>708</v>
      </c>
      <c r="F151" s="20" t="s">
        <v>17</v>
      </c>
      <c r="G151" s="20" t="s">
        <v>17</v>
      </c>
      <c r="I151" s="20" t="s">
        <v>88</v>
      </c>
      <c r="J151" s="20" t="s">
        <v>136</v>
      </c>
      <c r="Q151" s="20">
        <v>15802.0</v>
      </c>
      <c r="R151" s="20" t="s">
        <v>709</v>
      </c>
      <c r="S151" s="20" t="s">
        <v>707</v>
      </c>
      <c r="T151" s="20" t="s">
        <v>138</v>
      </c>
    </row>
    <row r="152" ht="14.25" customHeight="1">
      <c r="A152" s="20" t="s">
        <v>710</v>
      </c>
      <c r="B152" s="20" t="s">
        <v>711</v>
      </c>
      <c r="C152" s="20" t="s">
        <v>712</v>
      </c>
      <c r="F152" s="20" t="s">
        <v>15</v>
      </c>
      <c r="G152" s="20" t="s">
        <v>135</v>
      </c>
      <c r="I152" s="20" t="s">
        <v>93</v>
      </c>
      <c r="J152" s="20" t="s">
        <v>136</v>
      </c>
      <c r="Q152" s="20">
        <v>14275.0</v>
      </c>
      <c r="R152" s="20" t="s">
        <v>713</v>
      </c>
      <c r="S152" s="20" t="s">
        <v>714</v>
      </c>
      <c r="T152" s="20" t="s">
        <v>138</v>
      </c>
    </row>
    <row r="153" ht="14.25" customHeight="1">
      <c r="A153" s="20" t="s">
        <v>715</v>
      </c>
      <c r="B153" s="20" t="s">
        <v>716</v>
      </c>
      <c r="C153" s="20" t="s">
        <v>193</v>
      </c>
      <c r="F153" s="20" t="s">
        <v>150</v>
      </c>
      <c r="G153" s="20" t="s">
        <v>150</v>
      </c>
      <c r="I153" s="20" t="s">
        <v>151</v>
      </c>
      <c r="J153" s="20" t="s">
        <v>143</v>
      </c>
      <c r="Q153" s="20">
        <v>14026.0</v>
      </c>
      <c r="R153" s="20" t="s">
        <v>717</v>
      </c>
      <c r="S153" s="20" t="s">
        <v>716</v>
      </c>
      <c r="T153" s="20" t="s">
        <v>138</v>
      </c>
    </row>
    <row r="154" ht="14.25" customHeight="1">
      <c r="A154" s="20" t="s">
        <v>718</v>
      </c>
      <c r="B154" s="20" t="s">
        <v>719</v>
      </c>
      <c r="C154" s="20" t="s">
        <v>248</v>
      </c>
      <c r="F154" s="20" t="s">
        <v>16</v>
      </c>
      <c r="G154" s="20" t="s">
        <v>211</v>
      </c>
      <c r="I154" s="20" t="s">
        <v>212</v>
      </c>
      <c r="J154" s="20" t="s">
        <v>136</v>
      </c>
      <c r="Q154" s="20">
        <v>1835.0</v>
      </c>
      <c r="R154" s="20" t="s">
        <v>720</v>
      </c>
      <c r="S154" s="20" t="s">
        <v>719</v>
      </c>
      <c r="T154" s="20" t="s">
        <v>138</v>
      </c>
      <c r="W154" s="20" t="s">
        <v>372</v>
      </c>
    </row>
    <row r="155" ht="14.25" customHeight="1">
      <c r="A155" s="20" t="s">
        <v>721</v>
      </c>
      <c r="B155" s="20" t="s">
        <v>722</v>
      </c>
      <c r="C155" s="20" t="s">
        <v>193</v>
      </c>
      <c r="F155" s="20" t="s">
        <v>150</v>
      </c>
      <c r="G155" s="20" t="s">
        <v>150</v>
      </c>
      <c r="I155" s="20" t="s">
        <v>151</v>
      </c>
      <c r="J155" s="20" t="s">
        <v>143</v>
      </c>
      <c r="Q155" s="20">
        <v>149.0</v>
      </c>
      <c r="R155" s="20" t="s">
        <v>723</v>
      </c>
      <c r="S155" s="20" t="s">
        <v>722</v>
      </c>
      <c r="T155" s="20" t="s">
        <v>138</v>
      </c>
    </row>
    <row r="156" ht="14.25" customHeight="1">
      <c r="A156" s="20" t="s">
        <v>724</v>
      </c>
      <c r="B156" s="20" t="s">
        <v>725</v>
      </c>
      <c r="C156" s="20" t="s">
        <v>174</v>
      </c>
      <c r="F156" s="20" t="s">
        <v>150</v>
      </c>
      <c r="G156" s="20" t="s">
        <v>150</v>
      </c>
      <c r="I156" s="20" t="s">
        <v>151</v>
      </c>
      <c r="J156" s="20" t="s">
        <v>143</v>
      </c>
      <c r="Q156" s="20">
        <v>15623.0</v>
      </c>
      <c r="R156" s="20" t="s">
        <v>726</v>
      </c>
      <c r="S156" s="20" t="s">
        <v>725</v>
      </c>
      <c r="T156" s="20" t="s">
        <v>138</v>
      </c>
    </row>
    <row r="157" ht="14.25" customHeight="1">
      <c r="A157" s="20" t="s">
        <v>727</v>
      </c>
      <c r="B157" s="20" t="s">
        <v>728</v>
      </c>
      <c r="C157" s="20" t="s">
        <v>178</v>
      </c>
      <c r="F157" s="20" t="s">
        <v>150</v>
      </c>
      <c r="G157" s="20" t="s">
        <v>150</v>
      </c>
      <c r="I157" s="20" t="s">
        <v>151</v>
      </c>
      <c r="J157" s="20" t="s">
        <v>143</v>
      </c>
      <c r="Q157" s="20">
        <v>7148.0</v>
      </c>
      <c r="R157" s="20" t="s">
        <v>729</v>
      </c>
      <c r="S157" s="20" t="s">
        <v>728</v>
      </c>
      <c r="T157" s="20" t="s">
        <v>138</v>
      </c>
    </row>
    <row r="158" ht="14.25" customHeight="1">
      <c r="A158" s="20" t="s">
        <v>730</v>
      </c>
      <c r="B158" s="20" t="s">
        <v>731</v>
      </c>
      <c r="C158" s="20" t="s">
        <v>197</v>
      </c>
      <c r="F158" s="20" t="s">
        <v>150</v>
      </c>
      <c r="G158" s="20" t="s">
        <v>150</v>
      </c>
      <c r="I158" s="20" t="s">
        <v>151</v>
      </c>
      <c r="J158" s="20" t="s">
        <v>143</v>
      </c>
      <c r="Q158" s="20">
        <v>11237.0</v>
      </c>
      <c r="R158" s="20" t="s">
        <v>732</v>
      </c>
      <c r="S158" s="20" t="s">
        <v>731</v>
      </c>
      <c r="T158" s="20" t="s">
        <v>138</v>
      </c>
    </row>
    <row r="159" ht="14.25" customHeight="1">
      <c r="A159" s="20" t="s">
        <v>733</v>
      </c>
      <c r="B159" s="20" t="s">
        <v>734</v>
      </c>
      <c r="C159" s="20" t="s">
        <v>735</v>
      </c>
      <c r="F159" s="20" t="s">
        <v>17</v>
      </c>
      <c r="G159" s="20" t="s">
        <v>17</v>
      </c>
      <c r="I159" s="20" t="s">
        <v>88</v>
      </c>
      <c r="J159" s="20" t="s">
        <v>136</v>
      </c>
      <c r="Q159" s="20">
        <v>3963.0</v>
      </c>
      <c r="R159" s="20" t="s">
        <v>736</v>
      </c>
      <c r="S159" s="20" t="s">
        <v>734</v>
      </c>
      <c r="T159" s="20" t="s">
        <v>138</v>
      </c>
      <c r="W159" s="20" t="s">
        <v>372</v>
      </c>
    </row>
    <row r="160" ht="14.25" customHeight="1">
      <c r="A160" s="20" t="s">
        <v>737</v>
      </c>
      <c r="B160" s="20" t="s">
        <v>738</v>
      </c>
      <c r="C160" s="20" t="s">
        <v>739</v>
      </c>
      <c r="F160" s="20" t="s">
        <v>150</v>
      </c>
      <c r="G160" s="20" t="s">
        <v>150</v>
      </c>
      <c r="H160" s="20">
        <v>16087.0</v>
      </c>
      <c r="I160" s="20" t="s">
        <v>151</v>
      </c>
      <c r="J160" s="20" t="s">
        <v>136</v>
      </c>
      <c r="L160" s="20" t="s">
        <v>151</v>
      </c>
      <c r="M160" s="20" t="s">
        <v>740</v>
      </c>
      <c r="Q160" s="20">
        <v>16087.0</v>
      </c>
      <c r="R160" s="20" t="s">
        <v>741</v>
      </c>
      <c r="S160" s="20" t="s">
        <v>742</v>
      </c>
      <c r="T160" s="20" t="s">
        <v>138</v>
      </c>
      <c r="U160" s="24">
        <v>44819.0</v>
      </c>
      <c r="W160" s="20" t="s">
        <v>136</v>
      </c>
    </row>
    <row r="161" ht="14.25" customHeight="1">
      <c r="A161" s="20" t="s">
        <v>743</v>
      </c>
      <c r="B161" s="20" t="s">
        <v>744</v>
      </c>
      <c r="C161" s="20" t="s">
        <v>149</v>
      </c>
      <c r="F161" s="20" t="s">
        <v>150</v>
      </c>
      <c r="G161" s="20" t="s">
        <v>150</v>
      </c>
      <c r="I161" s="20" t="s">
        <v>151</v>
      </c>
      <c r="J161" s="20" t="s">
        <v>143</v>
      </c>
      <c r="Q161" s="20">
        <v>152.0</v>
      </c>
      <c r="R161" s="20" t="s">
        <v>745</v>
      </c>
      <c r="S161" s="20" t="s">
        <v>744</v>
      </c>
      <c r="T161" s="20" t="s">
        <v>138</v>
      </c>
    </row>
    <row r="162" ht="14.25" customHeight="1">
      <c r="A162" s="20" t="s">
        <v>746</v>
      </c>
      <c r="B162" s="20" t="s">
        <v>747</v>
      </c>
      <c r="C162" s="20" t="s">
        <v>748</v>
      </c>
      <c r="F162" s="20" t="s">
        <v>150</v>
      </c>
      <c r="G162" s="20" t="s">
        <v>150</v>
      </c>
      <c r="I162" s="20" t="s">
        <v>151</v>
      </c>
      <c r="J162" s="20" t="s">
        <v>186</v>
      </c>
      <c r="Q162" s="20">
        <v>6281.0</v>
      </c>
      <c r="R162" s="20" t="s">
        <v>749</v>
      </c>
      <c r="S162" s="20" t="s">
        <v>747</v>
      </c>
      <c r="T162" s="20" t="s">
        <v>138</v>
      </c>
    </row>
    <row r="163" ht="14.25" customHeight="1">
      <c r="A163" s="20" t="s">
        <v>750</v>
      </c>
      <c r="B163" s="20" t="s">
        <v>751</v>
      </c>
      <c r="C163" s="20" t="s">
        <v>149</v>
      </c>
      <c r="F163" s="20" t="s">
        <v>150</v>
      </c>
      <c r="G163" s="20" t="s">
        <v>150</v>
      </c>
      <c r="I163" s="20" t="s">
        <v>151</v>
      </c>
      <c r="J163" s="20" t="s">
        <v>143</v>
      </c>
      <c r="Q163" s="20">
        <v>4602.0</v>
      </c>
      <c r="R163" s="20" t="s">
        <v>752</v>
      </c>
      <c r="S163" s="20" t="s">
        <v>751</v>
      </c>
      <c r="T163" s="20" t="s">
        <v>138</v>
      </c>
    </row>
    <row r="164" ht="14.25" customHeight="1">
      <c r="A164" s="20" t="s">
        <v>753</v>
      </c>
      <c r="B164" s="20" t="s">
        <v>754</v>
      </c>
      <c r="C164" s="20" t="s">
        <v>174</v>
      </c>
      <c r="F164" s="20" t="s">
        <v>150</v>
      </c>
      <c r="G164" s="20" t="s">
        <v>150</v>
      </c>
      <c r="I164" s="20" t="s">
        <v>151</v>
      </c>
      <c r="J164" s="20" t="s">
        <v>143</v>
      </c>
      <c r="Q164" s="20">
        <v>12454.0</v>
      </c>
      <c r="R164" s="20" t="s">
        <v>755</v>
      </c>
      <c r="S164" s="20" t="s">
        <v>754</v>
      </c>
      <c r="T164" s="20" t="s">
        <v>138</v>
      </c>
    </row>
    <row r="165" ht="14.25" customHeight="1">
      <c r="A165" s="20" t="s">
        <v>756</v>
      </c>
      <c r="B165" s="20" t="s">
        <v>757</v>
      </c>
      <c r="C165" s="20" t="s">
        <v>159</v>
      </c>
      <c r="F165" s="20" t="s">
        <v>150</v>
      </c>
      <c r="G165" s="20" t="s">
        <v>150</v>
      </c>
      <c r="I165" s="20" t="s">
        <v>151</v>
      </c>
      <c r="J165" s="20" t="s">
        <v>143</v>
      </c>
      <c r="Q165" s="20">
        <v>11731.0</v>
      </c>
      <c r="R165" s="20" t="s">
        <v>758</v>
      </c>
      <c r="S165" s="20" t="s">
        <v>757</v>
      </c>
      <c r="T165" s="20" t="s">
        <v>138</v>
      </c>
    </row>
    <row r="166" ht="14.25" customHeight="1">
      <c r="A166" s="20" t="s">
        <v>759</v>
      </c>
      <c r="B166" s="20" t="s">
        <v>760</v>
      </c>
      <c r="C166" s="20" t="s">
        <v>761</v>
      </c>
      <c r="F166" s="20" t="s">
        <v>327</v>
      </c>
      <c r="G166" s="20" t="s">
        <v>385</v>
      </c>
      <c r="I166" s="20" t="s">
        <v>762</v>
      </c>
      <c r="J166" s="20" t="s">
        <v>186</v>
      </c>
      <c r="K166" s="20" t="s">
        <v>187</v>
      </c>
      <c r="Q166" s="20">
        <v>9789.0</v>
      </c>
      <c r="R166" s="20" t="s">
        <v>763</v>
      </c>
      <c r="S166" s="20" t="s">
        <v>760</v>
      </c>
      <c r="T166" s="20" t="s">
        <v>138</v>
      </c>
      <c r="W166" s="20" t="s">
        <v>261</v>
      </c>
    </row>
    <row r="167" ht="14.25" customHeight="1">
      <c r="A167" s="20" t="s">
        <v>764</v>
      </c>
      <c r="B167" s="20" t="s">
        <v>765</v>
      </c>
      <c r="C167" s="20" t="s">
        <v>235</v>
      </c>
      <c r="F167" s="20" t="s">
        <v>15</v>
      </c>
      <c r="G167" s="20" t="s">
        <v>142</v>
      </c>
      <c r="I167" s="20" t="s">
        <v>105</v>
      </c>
      <c r="J167" s="20" t="s">
        <v>143</v>
      </c>
      <c r="Q167" s="20">
        <v>9025.0</v>
      </c>
      <c r="R167" s="20" t="s">
        <v>766</v>
      </c>
      <c r="S167" s="20" t="s">
        <v>765</v>
      </c>
      <c r="T167" s="20" t="s">
        <v>138</v>
      </c>
    </row>
    <row r="168" ht="14.25" customHeight="1">
      <c r="A168" s="20" t="s">
        <v>767</v>
      </c>
      <c r="B168" s="20" t="s">
        <v>768</v>
      </c>
      <c r="C168" s="20" t="s">
        <v>364</v>
      </c>
      <c r="F168" s="20" t="s">
        <v>218</v>
      </c>
      <c r="G168" s="20" t="s">
        <v>219</v>
      </c>
      <c r="I168" s="20" t="s">
        <v>365</v>
      </c>
      <c r="J168" s="20" t="s">
        <v>136</v>
      </c>
      <c r="Q168" s="20">
        <v>6034.0</v>
      </c>
      <c r="R168" s="20" t="s">
        <v>769</v>
      </c>
      <c r="S168" s="20" t="s">
        <v>768</v>
      </c>
      <c r="T168" s="20" t="s">
        <v>138</v>
      </c>
      <c r="W168" s="20" t="s">
        <v>372</v>
      </c>
    </row>
    <row r="169" ht="14.25" customHeight="1">
      <c r="A169" s="20" t="s">
        <v>770</v>
      </c>
      <c r="B169" s="20" t="s">
        <v>771</v>
      </c>
      <c r="C169" s="20" t="s">
        <v>289</v>
      </c>
      <c r="F169" s="20" t="s">
        <v>150</v>
      </c>
      <c r="G169" s="20" t="s">
        <v>150</v>
      </c>
      <c r="I169" s="20" t="s">
        <v>151</v>
      </c>
      <c r="J169" s="20" t="s">
        <v>143</v>
      </c>
      <c r="Q169" s="20">
        <v>9979.0</v>
      </c>
      <c r="R169" s="20" t="s">
        <v>772</v>
      </c>
      <c r="S169" s="20" t="s">
        <v>771</v>
      </c>
      <c r="T169" s="20" t="s">
        <v>138</v>
      </c>
    </row>
    <row r="170" ht="14.25" customHeight="1">
      <c r="A170" s="20" t="s">
        <v>773</v>
      </c>
      <c r="B170" s="20" t="s">
        <v>774</v>
      </c>
      <c r="C170" s="20" t="s">
        <v>775</v>
      </c>
      <c r="F170" s="20" t="s">
        <v>327</v>
      </c>
      <c r="G170" s="20" t="s">
        <v>385</v>
      </c>
      <c r="I170" s="20" t="s">
        <v>762</v>
      </c>
      <c r="J170" s="20" t="s">
        <v>143</v>
      </c>
      <c r="Q170" s="20">
        <v>15880.0</v>
      </c>
      <c r="R170" s="20" t="s">
        <v>776</v>
      </c>
      <c r="S170" s="20" t="s">
        <v>774</v>
      </c>
      <c r="T170" s="20" t="s">
        <v>138</v>
      </c>
    </row>
    <row r="171" ht="14.25" customHeight="1">
      <c r="A171" s="20" t="s">
        <v>777</v>
      </c>
      <c r="B171" s="20" t="s">
        <v>778</v>
      </c>
      <c r="C171" s="20" t="s">
        <v>779</v>
      </c>
      <c r="F171" s="20" t="s">
        <v>150</v>
      </c>
      <c r="G171" s="20" t="s">
        <v>150</v>
      </c>
      <c r="I171" s="20" t="s">
        <v>151</v>
      </c>
      <c r="J171" s="20" t="s">
        <v>143</v>
      </c>
      <c r="Q171" s="20">
        <v>15175.0</v>
      </c>
      <c r="R171" s="20" t="s">
        <v>780</v>
      </c>
      <c r="S171" s="20" t="s">
        <v>778</v>
      </c>
      <c r="T171" s="20" t="s">
        <v>138</v>
      </c>
    </row>
    <row r="172" ht="14.25" customHeight="1">
      <c r="A172" s="20" t="s">
        <v>781</v>
      </c>
      <c r="B172" s="20" t="s">
        <v>782</v>
      </c>
      <c r="C172" s="20" t="s">
        <v>174</v>
      </c>
      <c r="F172" s="20" t="s">
        <v>150</v>
      </c>
      <c r="G172" s="20" t="s">
        <v>150</v>
      </c>
      <c r="I172" s="20" t="s">
        <v>151</v>
      </c>
      <c r="J172" s="20" t="s">
        <v>143</v>
      </c>
      <c r="Q172" s="20">
        <v>15242.0</v>
      </c>
      <c r="R172" s="20" t="s">
        <v>783</v>
      </c>
      <c r="S172" s="20" t="s">
        <v>782</v>
      </c>
      <c r="T172" s="20" t="s">
        <v>138</v>
      </c>
    </row>
    <row r="173" ht="14.25" customHeight="1">
      <c r="A173" s="20" t="s">
        <v>784</v>
      </c>
      <c r="B173" s="20" t="s">
        <v>785</v>
      </c>
      <c r="C173" s="20" t="s">
        <v>786</v>
      </c>
      <c r="F173" s="20" t="s">
        <v>16</v>
      </c>
      <c r="G173" s="20" t="s">
        <v>202</v>
      </c>
      <c r="I173" s="20" t="s">
        <v>203</v>
      </c>
      <c r="J173" s="20" t="s">
        <v>143</v>
      </c>
      <c r="K173" s="20" t="s">
        <v>167</v>
      </c>
      <c r="Q173" s="20">
        <v>9572.0</v>
      </c>
      <c r="R173" s="20" t="s">
        <v>787</v>
      </c>
      <c r="S173" s="20" t="s">
        <v>785</v>
      </c>
      <c r="T173" s="20" t="s">
        <v>138</v>
      </c>
    </row>
    <row r="174" ht="14.25" customHeight="1">
      <c r="A174" s="20" t="s">
        <v>788</v>
      </c>
      <c r="B174" s="20" t="s">
        <v>789</v>
      </c>
      <c r="C174" s="20" t="s">
        <v>779</v>
      </c>
      <c r="F174" s="20" t="s">
        <v>150</v>
      </c>
      <c r="G174" s="20" t="s">
        <v>150</v>
      </c>
      <c r="I174" s="20" t="s">
        <v>151</v>
      </c>
      <c r="J174" s="20" t="s">
        <v>143</v>
      </c>
      <c r="K174" s="20" t="s">
        <v>167</v>
      </c>
      <c r="L174" s="20" t="s">
        <v>151</v>
      </c>
      <c r="O174" s="20" t="s">
        <v>144</v>
      </c>
      <c r="Q174" s="20">
        <v>14144.0</v>
      </c>
      <c r="R174" s="20" t="s">
        <v>790</v>
      </c>
      <c r="S174" s="20" t="s">
        <v>789</v>
      </c>
      <c r="T174" s="20" t="s">
        <v>138</v>
      </c>
    </row>
    <row r="175" ht="14.25" customHeight="1">
      <c r="A175" s="20" t="s">
        <v>791</v>
      </c>
      <c r="B175" s="20" t="s">
        <v>792</v>
      </c>
      <c r="C175" s="20" t="s">
        <v>793</v>
      </c>
      <c r="F175" s="20" t="s">
        <v>16</v>
      </c>
      <c r="G175" s="20" t="s">
        <v>202</v>
      </c>
      <c r="I175" s="20" t="s">
        <v>87</v>
      </c>
      <c r="J175" s="20" t="s">
        <v>186</v>
      </c>
      <c r="K175" s="20" t="s">
        <v>213</v>
      </c>
      <c r="Q175" s="20">
        <v>160.0</v>
      </c>
      <c r="R175" s="20" t="s">
        <v>794</v>
      </c>
      <c r="S175" s="20" t="s">
        <v>792</v>
      </c>
      <c r="T175" s="20" t="s">
        <v>138</v>
      </c>
      <c r="V175" s="20" t="s">
        <v>189</v>
      </c>
      <c r="W175" s="20" t="s">
        <v>146</v>
      </c>
    </row>
    <row r="176" ht="14.25" customHeight="1">
      <c r="A176" s="20" t="s">
        <v>795</v>
      </c>
      <c r="B176" s="20" t="s">
        <v>796</v>
      </c>
      <c r="C176" s="20" t="s">
        <v>217</v>
      </c>
      <c r="F176" s="20" t="s">
        <v>218</v>
      </c>
      <c r="G176" s="20" t="s">
        <v>219</v>
      </c>
      <c r="I176" s="20" t="s">
        <v>797</v>
      </c>
      <c r="J176" s="20" t="s">
        <v>186</v>
      </c>
      <c r="Q176" s="20">
        <v>11740.0</v>
      </c>
      <c r="R176" s="20" t="s">
        <v>798</v>
      </c>
      <c r="S176" s="20" t="s">
        <v>796</v>
      </c>
      <c r="T176" s="20" t="s">
        <v>138</v>
      </c>
    </row>
    <row r="177" ht="14.25" customHeight="1">
      <c r="A177" s="20" t="s">
        <v>799</v>
      </c>
      <c r="B177" s="20" t="s">
        <v>800</v>
      </c>
      <c r="C177" s="20" t="s">
        <v>801</v>
      </c>
      <c r="F177" s="20" t="s">
        <v>218</v>
      </c>
      <c r="G177" s="20" t="s">
        <v>219</v>
      </c>
      <c r="I177" s="20" t="s">
        <v>802</v>
      </c>
      <c r="J177" s="20" t="s">
        <v>186</v>
      </c>
      <c r="Q177" s="20">
        <v>11021.0</v>
      </c>
      <c r="R177" s="20" t="s">
        <v>803</v>
      </c>
      <c r="S177" s="20" t="s">
        <v>800</v>
      </c>
      <c r="T177" s="20" t="s">
        <v>138</v>
      </c>
    </row>
    <row r="178" ht="14.25" customHeight="1">
      <c r="A178" s="20" t="s">
        <v>804</v>
      </c>
      <c r="B178" s="20" t="s">
        <v>805</v>
      </c>
      <c r="C178" s="20" t="s">
        <v>806</v>
      </c>
      <c r="F178" s="20" t="s">
        <v>15</v>
      </c>
      <c r="G178" s="20" t="s">
        <v>142</v>
      </c>
      <c r="I178" s="20" t="s">
        <v>105</v>
      </c>
      <c r="J178" s="20" t="s">
        <v>143</v>
      </c>
      <c r="Q178" s="20">
        <v>9450.0</v>
      </c>
      <c r="R178" s="20" t="s">
        <v>807</v>
      </c>
      <c r="S178" s="20" t="s">
        <v>805</v>
      </c>
      <c r="T178" s="20" t="s">
        <v>138</v>
      </c>
    </row>
    <row r="179" ht="14.25" customHeight="1">
      <c r="A179" s="20" t="s">
        <v>808</v>
      </c>
      <c r="B179" s="20" t="s">
        <v>809</v>
      </c>
      <c r="C179" s="20" t="s">
        <v>174</v>
      </c>
      <c r="F179" s="20" t="s">
        <v>150</v>
      </c>
      <c r="G179" s="20" t="s">
        <v>150</v>
      </c>
      <c r="I179" s="20" t="s">
        <v>151</v>
      </c>
      <c r="J179" s="20" t="s">
        <v>143</v>
      </c>
      <c r="Q179" s="20">
        <v>13934.0</v>
      </c>
      <c r="R179" s="20" t="s">
        <v>810</v>
      </c>
      <c r="S179" s="20" t="s">
        <v>809</v>
      </c>
      <c r="T179" s="20" t="s">
        <v>138</v>
      </c>
    </row>
    <row r="180" ht="14.25" customHeight="1">
      <c r="A180" s="20" t="s">
        <v>811</v>
      </c>
      <c r="B180" s="20" t="s">
        <v>812</v>
      </c>
      <c r="C180" s="20" t="s">
        <v>813</v>
      </c>
      <c r="F180" s="20" t="s">
        <v>16</v>
      </c>
      <c r="G180" s="20" t="s">
        <v>638</v>
      </c>
      <c r="I180" s="20" t="s">
        <v>814</v>
      </c>
      <c r="J180" s="20" t="s">
        <v>143</v>
      </c>
      <c r="K180" s="20" t="s">
        <v>187</v>
      </c>
      <c r="Q180" s="20">
        <v>163.0</v>
      </c>
      <c r="R180" s="20" t="s">
        <v>815</v>
      </c>
      <c r="S180" s="20" t="s">
        <v>812</v>
      </c>
      <c r="T180" s="20" t="s">
        <v>138</v>
      </c>
      <c r="V180" s="20" t="s">
        <v>189</v>
      </c>
      <c r="W180" s="20" t="s">
        <v>146</v>
      </c>
    </row>
    <row r="181" ht="14.25" customHeight="1">
      <c r="A181" s="20" t="s">
        <v>816</v>
      </c>
      <c r="B181" s="20" t="s">
        <v>817</v>
      </c>
      <c r="C181" s="20" t="s">
        <v>818</v>
      </c>
      <c r="F181" s="20" t="s">
        <v>17</v>
      </c>
      <c r="G181" s="20" t="s">
        <v>17</v>
      </c>
      <c r="I181" s="20" t="s">
        <v>88</v>
      </c>
      <c r="J181" s="20" t="s">
        <v>143</v>
      </c>
      <c r="K181" s="20" t="s">
        <v>167</v>
      </c>
      <c r="Q181" s="20">
        <v>6673.0</v>
      </c>
      <c r="R181" s="20" t="s">
        <v>819</v>
      </c>
      <c r="S181" s="20" t="s">
        <v>820</v>
      </c>
      <c r="T181" s="20" t="s">
        <v>138</v>
      </c>
    </row>
    <row r="182" ht="14.25" customHeight="1">
      <c r="A182" s="20" t="s">
        <v>821</v>
      </c>
      <c r="B182" s="20" t="s">
        <v>822</v>
      </c>
      <c r="C182" s="20" t="s">
        <v>252</v>
      </c>
      <c r="F182" s="20" t="s">
        <v>16</v>
      </c>
      <c r="G182" s="20" t="s">
        <v>211</v>
      </c>
      <c r="I182" s="20" t="s">
        <v>253</v>
      </c>
      <c r="J182" s="20" t="s">
        <v>143</v>
      </c>
      <c r="Q182" s="20">
        <v>11814.0</v>
      </c>
      <c r="R182" s="20" t="s">
        <v>823</v>
      </c>
      <c r="S182" s="20" t="s">
        <v>822</v>
      </c>
      <c r="T182" s="20" t="s">
        <v>138</v>
      </c>
    </row>
    <row r="183" ht="14.25" customHeight="1">
      <c r="A183" s="20" t="s">
        <v>824</v>
      </c>
      <c r="B183" s="20" t="s">
        <v>825</v>
      </c>
      <c r="C183" s="20" t="s">
        <v>197</v>
      </c>
      <c r="F183" s="20" t="s">
        <v>150</v>
      </c>
      <c r="G183" s="20" t="s">
        <v>150</v>
      </c>
      <c r="I183" s="20" t="s">
        <v>151</v>
      </c>
      <c r="J183" s="20" t="s">
        <v>143</v>
      </c>
      <c r="Q183" s="20">
        <v>11652.0</v>
      </c>
      <c r="R183" s="20" t="s">
        <v>826</v>
      </c>
      <c r="S183" s="20" t="s">
        <v>825</v>
      </c>
      <c r="T183" s="20" t="s">
        <v>138</v>
      </c>
    </row>
    <row r="184" ht="14.25" customHeight="1">
      <c r="A184" s="20" t="s">
        <v>827</v>
      </c>
      <c r="B184" s="20" t="s">
        <v>828</v>
      </c>
      <c r="C184" s="20" t="s">
        <v>829</v>
      </c>
      <c r="F184" s="20" t="s">
        <v>16</v>
      </c>
      <c r="G184" s="20" t="s">
        <v>211</v>
      </c>
      <c r="H184" s="20">
        <v>16569.0</v>
      </c>
      <c r="I184" s="20" t="s">
        <v>258</v>
      </c>
      <c r="J184" s="20" t="s">
        <v>143</v>
      </c>
      <c r="L184" s="20" t="s">
        <v>258</v>
      </c>
      <c r="Q184" s="20">
        <v>16569.0</v>
      </c>
      <c r="R184" s="20" t="s">
        <v>830</v>
      </c>
      <c r="S184" s="20" t="s">
        <v>828</v>
      </c>
      <c r="T184" s="20" t="s">
        <v>138</v>
      </c>
      <c r="W184" s="20" t="s">
        <v>146</v>
      </c>
    </row>
    <row r="185" ht="14.25" customHeight="1">
      <c r="A185" s="20" t="s">
        <v>831</v>
      </c>
      <c r="B185" s="20" t="s">
        <v>832</v>
      </c>
      <c r="C185" s="20" t="s">
        <v>193</v>
      </c>
      <c r="F185" s="20" t="s">
        <v>150</v>
      </c>
      <c r="G185" s="20" t="s">
        <v>150</v>
      </c>
      <c r="I185" s="20" t="s">
        <v>151</v>
      </c>
      <c r="J185" s="20" t="s">
        <v>143</v>
      </c>
      <c r="Q185" s="20">
        <v>13677.0</v>
      </c>
      <c r="R185" s="20" t="s">
        <v>833</v>
      </c>
      <c r="S185" s="20" t="s">
        <v>832</v>
      </c>
      <c r="T185" s="20" t="s">
        <v>138</v>
      </c>
    </row>
    <row r="186" ht="14.25" customHeight="1">
      <c r="A186" s="20" t="s">
        <v>834</v>
      </c>
      <c r="B186" s="20" t="s">
        <v>835</v>
      </c>
      <c r="C186" s="20" t="s">
        <v>836</v>
      </c>
      <c r="F186" s="20" t="s">
        <v>16</v>
      </c>
      <c r="G186" s="20" t="s">
        <v>202</v>
      </c>
      <c r="I186" s="20" t="s">
        <v>203</v>
      </c>
      <c r="J186" s="20" t="s">
        <v>143</v>
      </c>
      <c r="Q186" s="20">
        <v>10974.0</v>
      </c>
      <c r="R186" s="20" t="s">
        <v>837</v>
      </c>
      <c r="S186" s="20" t="s">
        <v>835</v>
      </c>
      <c r="T186" s="20" t="s">
        <v>138</v>
      </c>
    </row>
    <row r="187" ht="14.25" customHeight="1">
      <c r="A187" s="20" t="s">
        <v>838</v>
      </c>
      <c r="B187" s="20" t="s">
        <v>839</v>
      </c>
      <c r="C187" s="20" t="s">
        <v>197</v>
      </c>
      <c r="F187" s="20" t="s">
        <v>150</v>
      </c>
      <c r="G187" s="20" t="s">
        <v>150</v>
      </c>
      <c r="I187" s="20" t="s">
        <v>151</v>
      </c>
      <c r="J187" s="20" t="s">
        <v>143</v>
      </c>
      <c r="Q187" s="20">
        <v>8443.0</v>
      </c>
      <c r="R187" s="20" t="s">
        <v>840</v>
      </c>
      <c r="S187" s="20" t="s">
        <v>839</v>
      </c>
      <c r="T187" s="20" t="s">
        <v>138</v>
      </c>
    </row>
    <row r="188" ht="14.25" customHeight="1">
      <c r="A188" s="20" t="s">
        <v>841</v>
      </c>
      <c r="B188" s="20" t="s">
        <v>842</v>
      </c>
      <c r="C188" s="20" t="s">
        <v>779</v>
      </c>
      <c r="F188" s="20" t="s">
        <v>150</v>
      </c>
      <c r="G188" s="20" t="s">
        <v>150</v>
      </c>
      <c r="I188" s="20" t="s">
        <v>151</v>
      </c>
      <c r="J188" s="20" t="s">
        <v>143</v>
      </c>
      <c r="Q188" s="20">
        <v>13780.0</v>
      </c>
      <c r="R188" s="20" t="s">
        <v>843</v>
      </c>
      <c r="S188" s="20" t="s">
        <v>842</v>
      </c>
      <c r="T188" s="20" t="s">
        <v>138</v>
      </c>
    </row>
    <row r="189" ht="14.25" customHeight="1">
      <c r="A189" s="20" t="s">
        <v>844</v>
      </c>
      <c r="B189" s="20" t="s">
        <v>845</v>
      </c>
      <c r="C189" s="20" t="s">
        <v>846</v>
      </c>
      <c r="F189" s="20" t="s">
        <v>150</v>
      </c>
      <c r="G189" s="20" t="s">
        <v>150</v>
      </c>
      <c r="I189" s="20" t="s">
        <v>151</v>
      </c>
      <c r="J189" s="20" t="s">
        <v>143</v>
      </c>
      <c r="K189" s="20" t="s">
        <v>167</v>
      </c>
      <c r="Q189" s="20">
        <v>8680.0</v>
      </c>
      <c r="R189" s="20" t="s">
        <v>847</v>
      </c>
      <c r="S189" s="20" t="s">
        <v>845</v>
      </c>
      <c r="T189" s="20" t="s">
        <v>138</v>
      </c>
      <c r="W189" s="20" t="s">
        <v>146</v>
      </c>
    </row>
    <row r="190" ht="14.25" customHeight="1">
      <c r="A190" s="20" t="s">
        <v>848</v>
      </c>
      <c r="B190" s="20" t="s">
        <v>849</v>
      </c>
      <c r="C190" s="20" t="s">
        <v>272</v>
      </c>
      <c r="F190" s="20" t="s">
        <v>150</v>
      </c>
      <c r="G190" s="20" t="s">
        <v>150</v>
      </c>
      <c r="I190" s="20" t="s">
        <v>151</v>
      </c>
      <c r="J190" s="20" t="s">
        <v>143</v>
      </c>
      <c r="K190" s="20" t="s">
        <v>167</v>
      </c>
      <c r="Q190" s="20">
        <v>16044.0</v>
      </c>
      <c r="R190" s="20" t="s">
        <v>850</v>
      </c>
      <c r="S190" s="20" t="s">
        <v>849</v>
      </c>
      <c r="T190" s="20" t="s">
        <v>138</v>
      </c>
    </row>
    <row r="191" ht="14.25" customHeight="1">
      <c r="A191" s="20" t="s">
        <v>851</v>
      </c>
      <c r="B191" s="20" t="s">
        <v>852</v>
      </c>
      <c r="C191" s="20" t="s">
        <v>272</v>
      </c>
      <c r="F191" s="20" t="s">
        <v>150</v>
      </c>
      <c r="G191" s="20" t="s">
        <v>150</v>
      </c>
      <c r="I191" s="20" t="s">
        <v>151</v>
      </c>
      <c r="J191" s="20" t="s">
        <v>143</v>
      </c>
      <c r="Q191" s="20">
        <v>13632.0</v>
      </c>
      <c r="R191" s="20" t="s">
        <v>853</v>
      </c>
      <c r="S191" s="20" t="s">
        <v>852</v>
      </c>
      <c r="T191" s="20" t="s">
        <v>138</v>
      </c>
    </row>
    <row r="192" ht="14.25" customHeight="1">
      <c r="A192" s="20" t="s">
        <v>854</v>
      </c>
      <c r="B192" s="20" t="s">
        <v>855</v>
      </c>
      <c r="C192" s="20" t="s">
        <v>257</v>
      </c>
      <c r="F192" s="20" t="s">
        <v>16</v>
      </c>
      <c r="G192" s="20" t="s">
        <v>211</v>
      </c>
      <c r="H192" s="20">
        <v>17342.0</v>
      </c>
      <c r="I192" s="20" t="s">
        <v>258</v>
      </c>
      <c r="J192" s="20" t="s">
        <v>143</v>
      </c>
      <c r="P192" s="20" t="s">
        <v>855</v>
      </c>
      <c r="Q192" s="20">
        <v>17342.0</v>
      </c>
      <c r="R192" s="20" t="s">
        <v>856</v>
      </c>
      <c r="S192" s="20" t="s">
        <v>855</v>
      </c>
      <c r="T192" s="20" t="s">
        <v>138</v>
      </c>
      <c r="W192" s="20" t="s">
        <v>146</v>
      </c>
    </row>
    <row r="193" ht="14.25" customHeight="1">
      <c r="A193" s="20" t="s">
        <v>857</v>
      </c>
      <c r="B193" s="20" t="s">
        <v>858</v>
      </c>
      <c r="C193" s="20" t="s">
        <v>793</v>
      </c>
      <c r="F193" s="20" t="s">
        <v>16</v>
      </c>
      <c r="G193" s="20" t="s">
        <v>202</v>
      </c>
      <c r="I193" s="20" t="s">
        <v>87</v>
      </c>
      <c r="J193" s="20" t="s">
        <v>143</v>
      </c>
      <c r="K193" s="20" t="s">
        <v>213</v>
      </c>
      <c r="Q193" s="20">
        <v>410.0</v>
      </c>
      <c r="R193" s="20" t="s">
        <v>859</v>
      </c>
      <c r="S193" s="20" t="s">
        <v>858</v>
      </c>
      <c r="T193" s="20" t="s">
        <v>138</v>
      </c>
      <c r="W193" s="20" t="s">
        <v>146</v>
      </c>
    </row>
    <row r="194" ht="14.25" customHeight="1">
      <c r="A194" s="20" t="s">
        <v>860</v>
      </c>
      <c r="B194" s="20" t="s">
        <v>861</v>
      </c>
      <c r="C194" s="20" t="s">
        <v>862</v>
      </c>
      <c r="F194" s="20" t="s">
        <v>17</v>
      </c>
      <c r="G194" s="20" t="s">
        <v>17</v>
      </c>
      <c r="I194" s="20" t="s">
        <v>88</v>
      </c>
      <c r="J194" s="20" t="s">
        <v>143</v>
      </c>
      <c r="Q194" s="20">
        <v>2637.0</v>
      </c>
      <c r="R194" s="20" t="s">
        <v>863</v>
      </c>
      <c r="S194" s="20" t="s">
        <v>861</v>
      </c>
      <c r="T194" s="20" t="s">
        <v>138</v>
      </c>
    </row>
    <row r="195" ht="14.25" customHeight="1">
      <c r="A195" s="20" t="s">
        <v>864</v>
      </c>
      <c r="B195" s="20" t="s">
        <v>865</v>
      </c>
      <c r="C195" s="20" t="s">
        <v>174</v>
      </c>
      <c r="F195" s="20" t="s">
        <v>150</v>
      </c>
      <c r="G195" s="20" t="s">
        <v>150</v>
      </c>
      <c r="I195" s="20" t="s">
        <v>151</v>
      </c>
      <c r="J195" s="20" t="s">
        <v>143</v>
      </c>
      <c r="Q195" s="20">
        <v>3176.0</v>
      </c>
      <c r="R195" s="20" t="s">
        <v>866</v>
      </c>
      <c r="S195" s="20" t="s">
        <v>865</v>
      </c>
      <c r="T195" s="20" t="s">
        <v>138</v>
      </c>
    </row>
    <row r="196" ht="14.25" customHeight="1">
      <c r="A196" s="20" t="s">
        <v>867</v>
      </c>
      <c r="B196" s="20" t="s">
        <v>868</v>
      </c>
      <c r="C196" s="20" t="s">
        <v>869</v>
      </c>
      <c r="F196" s="20" t="s">
        <v>327</v>
      </c>
      <c r="G196" s="20" t="s">
        <v>328</v>
      </c>
      <c r="I196" s="20" t="s">
        <v>870</v>
      </c>
      <c r="J196" s="20" t="s">
        <v>186</v>
      </c>
      <c r="Q196" s="20">
        <v>9212.0</v>
      </c>
      <c r="R196" s="20" t="s">
        <v>871</v>
      </c>
      <c r="S196" s="20" t="s">
        <v>868</v>
      </c>
      <c r="T196" s="20" t="s">
        <v>138</v>
      </c>
    </row>
    <row r="197" ht="14.25" customHeight="1">
      <c r="A197" s="20" t="s">
        <v>872</v>
      </c>
      <c r="B197" s="20" t="s">
        <v>873</v>
      </c>
      <c r="C197" s="20" t="s">
        <v>874</v>
      </c>
      <c r="F197" s="20" t="s">
        <v>327</v>
      </c>
      <c r="G197" s="20" t="s">
        <v>385</v>
      </c>
      <c r="I197" s="20" t="s">
        <v>875</v>
      </c>
      <c r="J197" s="20" t="s">
        <v>143</v>
      </c>
      <c r="K197" s="20" t="s">
        <v>167</v>
      </c>
      <c r="Q197" s="20">
        <v>54.0</v>
      </c>
      <c r="R197" s="20" t="s">
        <v>876</v>
      </c>
      <c r="S197" s="20" t="s">
        <v>873</v>
      </c>
      <c r="T197" s="20" t="s">
        <v>138</v>
      </c>
    </row>
    <row r="198" ht="14.25" customHeight="1">
      <c r="A198" s="20" t="s">
        <v>877</v>
      </c>
      <c r="B198" s="20" t="s">
        <v>878</v>
      </c>
      <c r="C198" s="20" t="s">
        <v>174</v>
      </c>
      <c r="F198" s="20" t="s">
        <v>150</v>
      </c>
      <c r="G198" s="20" t="s">
        <v>150</v>
      </c>
      <c r="I198" s="20" t="s">
        <v>151</v>
      </c>
      <c r="J198" s="20" t="s">
        <v>143</v>
      </c>
      <c r="Q198" s="20">
        <v>9553.0</v>
      </c>
      <c r="R198" s="20" t="s">
        <v>879</v>
      </c>
      <c r="S198" s="20" t="s">
        <v>878</v>
      </c>
      <c r="T198" s="20" t="s">
        <v>138</v>
      </c>
    </row>
    <row r="199" ht="14.25" customHeight="1">
      <c r="A199" s="20" t="s">
        <v>880</v>
      </c>
      <c r="B199" s="20" t="s">
        <v>881</v>
      </c>
      <c r="C199" s="20" t="s">
        <v>289</v>
      </c>
      <c r="F199" s="20" t="s">
        <v>150</v>
      </c>
      <c r="G199" s="20" t="s">
        <v>150</v>
      </c>
      <c r="I199" s="20" t="s">
        <v>151</v>
      </c>
      <c r="J199" s="20" t="s">
        <v>143</v>
      </c>
      <c r="Q199" s="20">
        <v>15135.0</v>
      </c>
      <c r="R199" s="20" t="s">
        <v>882</v>
      </c>
      <c r="S199" s="20" t="s">
        <v>881</v>
      </c>
      <c r="T199" s="20" t="s">
        <v>138</v>
      </c>
    </row>
    <row r="200" ht="14.25" customHeight="1">
      <c r="A200" s="20" t="s">
        <v>883</v>
      </c>
      <c r="B200" s="20" t="s">
        <v>884</v>
      </c>
      <c r="C200" s="20" t="s">
        <v>193</v>
      </c>
      <c r="F200" s="20" t="s">
        <v>150</v>
      </c>
      <c r="G200" s="20" t="s">
        <v>150</v>
      </c>
      <c r="I200" s="20" t="s">
        <v>151</v>
      </c>
      <c r="J200" s="20" t="s">
        <v>143</v>
      </c>
      <c r="Q200" s="20">
        <v>11471.0</v>
      </c>
      <c r="R200" s="20" t="s">
        <v>885</v>
      </c>
      <c r="S200" s="20" t="s">
        <v>884</v>
      </c>
      <c r="T200" s="20" t="s">
        <v>138</v>
      </c>
    </row>
    <row r="201" ht="14.25" customHeight="1">
      <c r="A201" s="20" t="s">
        <v>886</v>
      </c>
      <c r="B201" s="20" t="s">
        <v>887</v>
      </c>
      <c r="C201" s="20" t="s">
        <v>272</v>
      </c>
      <c r="F201" s="20" t="s">
        <v>150</v>
      </c>
      <c r="G201" s="20" t="s">
        <v>150</v>
      </c>
      <c r="I201" s="20" t="s">
        <v>151</v>
      </c>
      <c r="J201" s="20" t="s">
        <v>143</v>
      </c>
      <c r="Q201" s="20">
        <v>15338.0</v>
      </c>
      <c r="R201" s="20" t="s">
        <v>888</v>
      </c>
      <c r="S201" s="20" t="s">
        <v>887</v>
      </c>
      <c r="T201" s="20" t="s">
        <v>138</v>
      </c>
    </row>
    <row r="202" ht="14.25" customHeight="1">
      <c r="A202" s="20" t="s">
        <v>889</v>
      </c>
      <c r="B202" s="20" t="s">
        <v>890</v>
      </c>
      <c r="C202" s="20" t="s">
        <v>197</v>
      </c>
      <c r="F202" s="20" t="s">
        <v>150</v>
      </c>
      <c r="G202" s="20" t="s">
        <v>150</v>
      </c>
      <c r="I202" s="20" t="s">
        <v>151</v>
      </c>
      <c r="J202" s="20" t="s">
        <v>143</v>
      </c>
      <c r="Q202" s="20">
        <v>14985.0</v>
      </c>
      <c r="R202" s="20" t="s">
        <v>891</v>
      </c>
      <c r="S202" s="20" t="s">
        <v>890</v>
      </c>
      <c r="T202" s="20" t="s">
        <v>138</v>
      </c>
    </row>
    <row r="203" ht="14.25" customHeight="1">
      <c r="A203" s="20" t="s">
        <v>892</v>
      </c>
      <c r="B203" s="20" t="s">
        <v>893</v>
      </c>
      <c r="C203" s="20" t="s">
        <v>272</v>
      </c>
      <c r="F203" s="20" t="s">
        <v>150</v>
      </c>
      <c r="G203" s="20" t="s">
        <v>150</v>
      </c>
      <c r="I203" s="20" t="s">
        <v>151</v>
      </c>
      <c r="J203" s="20" t="s">
        <v>143</v>
      </c>
      <c r="Q203" s="20">
        <v>2493.0</v>
      </c>
      <c r="R203" s="20" t="s">
        <v>894</v>
      </c>
      <c r="S203" s="20" t="s">
        <v>893</v>
      </c>
      <c r="T203" s="20" t="s">
        <v>138</v>
      </c>
    </row>
    <row r="204" ht="14.25" customHeight="1">
      <c r="A204" s="20" t="s">
        <v>895</v>
      </c>
      <c r="B204" s="20" t="s">
        <v>896</v>
      </c>
      <c r="C204" s="20" t="s">
        <v>193</v>
      </c>
      <c r="F204" s="20" t="s">
        <v>150</v>
      </c>
      <c r="G204" s="20" t="s">
        <v>150</v>
      </c>
      <c r="I204" s="20" t="s">
        <v>151</v>
      </c>
      <c r="J204" s="20" t="s">
        <v>143</v>
      </c>
      <c r="Q204" s="20">
        <v>170.0</v>
      </c>
      <c r="R204" s="20" t="s">
        <v>897</v>
      </c>
      <c r="S204" s="20" t="s">
        <v>896</v>
      </c>
      <c r="T204" s="20" t="s">
        <v>138</v>
      </c>
    </row>
    <row r="205" ht="14.25" customHeight="1">
      <c r="A205" s="20" t="s">
        <v>898</v>
      </c>
      <c r="B205" s="20" t="s">
        <v>899</v>
      </c>
      <c r="C205" s="20" t="s">
        <v>446</v>
      </c>
      <c r="F205" s="20" t="s">
        <v>16</v>
      </c>
      <c r="G205" s="20" t="s">
        <v>202</v>
      </c>
      <c r="I205" s="20" t="s">
        <v>87</v>
      </c>
      <c r="J205" s="20" t="s">
        <v>143</v>
      </c>
      <c r="Q205" s="20">
        <v>11734.0</v>
      </c>
      <c r="R205" s="20" t="s">
        <v>900</v>
      </c>
      <c r="S205" s="20" t="s">
        <v>899</v>
      </c>
      <c r="T205" s="20" t="s">
        <v>138</v>
      </c>
      <c r="W205" s="20" t="s">
        <v>146</v>
      </c>
    </row>
    <row r="206" ht="14.25" customHeight="1">
      <c r="A206" s="20" t="s">
        <v>901</v>
      </c>
      <c r="B206" s="20" t="s">
        <v>902</v>
      </c>
      <c r="C206" s="20" t="s">
        <v>197</v>
      </c>
      <c r="F206" s="20" t="s">
        <v>150</v>
      </c>
      <c r="G206" s="20" t="s">
        <v>150</v>
      </c>
      <c r="I206" s="20" t="s">
        <v>151</v>
      </c>
      <c r="J206" s="20" t="s">
        <v>143</v>
      </c>
      <c r="Q206" s="20">
        <v>12108.0</v>
      </c>
      <c r="R206" s="20" t="s">
        <v>903</v>
      </c>
      <c r="S206" s="20" t="s">
        <v>902</v>
      </c>
      <c r="T206" s="20" t="s">
        <v>138</v>
      </c>
    </row>
    <row r="207" ht="14.25" customHeight="1">
      <c r="A207" s="20" t="s">
        <v>904</v>
      </c>
      <c r="B207" s="20" t="s">
        <v>905</v>
      </c>
      <c r="C207" s="20" t="s">
        <v>906</v>
      </c>
      <c r="F207" s="20" t="s">
        <v>15</v>
      </c>
      <c r="G207" s="20" t="s">
        <v>142</v>
      </c>
      <c r="I207" s="20" t="s">
        <v>105</v>
      </c>
      <c r="J207" s="20" t="s">
        <v>136</v>
      </c>
      <c r="Q207" s="20">
        <v>8066.0</v>
      </c>
      <c r="R207" s="20" t="s">
        <v>907</v>
      </c>
      <c r="S207" s="20" t="s">
        <v>905</v>
      </c>
      <c r="T207" s="20" t="s">
        <v>138</v>
      </c>
      <c r="W207" s="20" t="s">
        <v>372</v>
      </c>
    </row>
    <row r="208" ht="14.25" customHeight="1">
      <c r="A208" s="20" t="s">
        <v>908</v>
      </c>
      <c r="B208" s="20" t="s">
        <v>909</v>
      </c>
      <c r="C208" s="20" t="s">
        <v>289</v>
      </c>
      <c r="F208" s="20" t="s">
        <v>150</v>
      </c>
      <c r="G208" s="20" t="s">
        <v>150</v>
      </c>
      <c r="I208" s="20" t="s">
        <v>151</v>
      </c>
      <c r="J208" s="20" t="s">
        <v>143</v>
      </c>
      <c r="Q208" s="20">
        <v>11105.0</v>
      </c>
      <c r="R208" s="20" t="s">
        <v>910</v>
      </c>
      <c r="S208" s="20" t="s">
        <v>909</v>
      </c>
      <c r="T208" s="20" t="s">
        <v>138</v>
      </c>
    </row>
    <row r="209" ht="14.25" customHeight="1">
      <c r="A209" s="20" t="s">
        <v>911</v>
      </c>
      <c r="B209" s="20" t="s">
        <v>912</v>
      </c>
      <c r="C209" s="20" t="s">
        <v>178</v>
      </c>
      <c r="F209" s="20" t="s">
        <v>150</v>
      </c>
      <c r="G209" s="20" t="s">
        <v>150</v>
      </c>
      <c r="I209" s="20" t="s">
        <v>151</v>
      </c>
      <c r="J209" s="20" t="s">
        <v>143</v>
      </c>
      <c r="Q209" s="20">
        <v>12348.0</v>
      </c>
      <c r="R209" s="20" t="s">
        <v>913</v>
      </c>
      <c r="S209" s="20" t="s">
        <v>912</v>
      </c>
      <c r="T209" s="20" t="s">
        <v>138</v>
      </c>
    </row>
    <row r="210" ht="14.25" customHeight="1">
      <c r="A210" s="20" t="s">
        <v>914</v>
      </c>
      <c r="B210" s="20" t="s">
        <v>915</v>
      </c>
      <c r="C210" s="20" t="s">
        <v>193</v>
      </c>
      <c r="F210" s="20" t="s">
        <v>150</v>
      </c>
      <c r="G210" s="20" t="s">
        <v>150</v>
      </c>
      <c r="I210" s="20" t="s">
        <v>151</v>
      </c>
      <c r="J210" s="20" t="s">
        <v>143</v>
      </c>
      <c r="Q210" s="20">
        <v>179.0</v>
      </c>
      <c r="R210" s="20" t="s">
        <v>916</v>
      </c>
      <c r="S210" s="20" t="s">
        <v>915</v>
      </c>
      <c r="T210" s="20" t="s">
        <v>138</v>
      </c>
    </row>
    <row r="211" ht="14.25" customHeight="1">
      <c r="A211" s="20" t="s">
        <v>917</v>
      </c>
      <c r="B211" s="20" t="s">
        <v>918</v>
      </c>
      <c r="C211" s="20" t="s">
        <v>149</v>
      </c>
      <c r="F211" s="20" t="s">
        <v>150</v>
      </c>
      <c r="G211" s="20" t="s">
        <v>150</v>
      </c>
      <c r="I211" s="20" t="s">
        <v>151</v>
      </c>
      <c r="J211" s="20" t="s">
        <v>143</v>
      </c>
      <c r="K211" s="20" t="s">
        <v>167</v>
      </c>
      <c r="Q211" s="20">
        <v>12444.0</v>
      </c>
      <c r="R211" s="20" t="s">
        <v>919</v>
      </c>
      <c r="S211" s="20" t="s">
        <v>918</v>
      </c>
      <c r="T211" s="20" t="s">
        <v>138</v>
      </c>
    </row>
    <row r="212" ht="14.25" customHeight="1">
      <c r="A212" s="20" t="s">
        <v>920</v>
      </c>
      <c r="B212" s="20" t="s">
        <v>921</v>
      </c>
      <c r="C212" s="20" t="s">
        <v>193</v>
      </c>
      <c r="F212" s="20" t="s">
        <v>150</v>
      </c>
      <c r="G212" s="20" t="s">
        <v>150</v>
      </c>
      <c r="I212" s="20" t="s">
        <v>151</v>
      </c>
      <c r="J212" s="20" t="s">
        <v>143</v>
      </c>
      <c r="Q212" s="20">
        <v>5827.0</v>
      </c>
      <c r="R212" s="20" t="s">
        <v>922</v>
      </c>
      <c r="S212" s="20" t="s">
        <v>921</v>
      </c>
      <c r="T212" s="20" t="s">
        <v>138</v>
      </c>
    </row>
    <row r="213" ht="14.25" customHeight="1">
      <c r="A213" s="20" t="s">
        <v>923</v>
      </c>
      <c r="B213" s="20" t="s">
        <v>924</v>
      </c>
      <c r="C213" s="20" t="s">
        <v>163</v>
      </c>
      <c r="F213" s="20" t="s">
        <v>150</v>
      </c>
      <c r="G213" s="20" t="s">
        <v>150</v>
      </c>
      <c r="I213" s="20" t="s">
        <v>151</v>
      </c>
      <c r="J213" s="20" t="s">
        <v>143</v>
      </c>
      <c r="Q213" s="20">
        <v>9406.0</v>
      </c>
      <c r="R213" s="20" t="s">
        <v>925</v>
      </c>
      <c r="S213" s="20" t="s">
        <v>924</v>
      </c>
      <c r="T213" s="20" t="s">
        <v>138</v>
      </c>
    </row>
    <row r="214" ht="14.25" customHeight="1">
      <c r="A214" s="20" t="s">
        <v>926</v>
      </c>
      <c r="B214" s="20" t="s">
        <v>927</v>
      </c>
      <c r="C214" s="20" t="s">
        <v>928</v>
      </c>
      <c r="F214" s="20" t="s">
        <v>327</v>
      </c>
      <c r="G214" s="20" t="s">
        <v>328</v>
      </c>
      <c r="I214" s="20" t="s">
        <v>329</v>
      </c>
      <c r="J214" s="20" t="s">
        <v>143</v>
      </c>
      <c r="Q214" s="20">
        <v>11296.0</v>
      </c>
      <c r="R214" s="20" t="s">
        <v>929</v>
      </c>
      <c r="S214" s="20" t="s">
        <v>927</v>
      </c>
      <c r="T214" s="20" t="s">
        <v>138</v>
      </c>
    </row>
    <row r="215" ht="14.25" customHeight="1">
      <c r="A215" s="20" t="s">
        <v>930</v>
      </c>
      <c r="B215" s="20" t="s">
        <v>931</v>
      </c>
      <c r="C215" s="20" t="s">
        <v>272</v>
      </c>
      <c r="F215" s="20" t="s">
        <v>150</v>
      </c>
      <c r="G215" s="20" t="s">
        <v>150</v>
      </c>
      <c r="I215" s="20" t="s">
        <v>151</v>
      </c>
      <c r="J215" s="20" t="s">
        <v>143</v>
      </c>
      <c r="Q215" s="20">
        <v>14027.0</v>
      </c>
      <c r="R215" s="20" t="s">
        <v>932</v>
      </c>
      <c r="S215" s="20" t="s">
        <v>931</v>
      </c>
      <c r="T215" s="20" t="s">
        <v>138</v>
      </c>
    </row>
    <row r="216" ht="14.25" customHeight="1">
      <c r="A216" s="20" t="s">
        <v>933</v>
      </c>
      <c r="B216" s="20" t="s">
        <v>934</v>
      </c>
      <c r="C216" s="20" t="s">
        <v>235</v>
      </c>
      <c r="F216" s="20" t="s">
        <v>15</v>
      </c>
      <c r="G216" s="20" t="s">
        <v>142</v>
      </c>
      <c r="I216" s="20" t="s">
        <v>105</v>
      </c>
      <c r="J216" s="20" t="s">
        <v>143</v>
      </c>
      <c r="Q216" s="20">
        <v>8655.0</v>
      </c>
      <c r="R216" s="20" t="s">
        <v>935</v>
      </c>
      <c r="S216" s="20" t="s">
        <v>934</v>
      </c>
      <c r="T216" s="20" t="s">
        <v>138</v>
      </c>
    </row>
    <row r="217" ht="14.25" customHeight="1">
      <c r="A217" s="20" t="s">
        <v>936</v>
      </c>
      <c r="B217" s="20" t="s">
        <v>937</v>
      </c>
      <c r="C217" s="20" t="s">
        <v>938</v>
      </c>
      <c r="F217" s="20" t="s">
        <v>327</v>
      </c>
      <c r="G217" s="20" t="s">
        <v>385</v>
      </c>
      <c r="I217" s="20" t="s">
        <v>939</v>
      </c>
      <c r="J217" s="20" t="s">
        <v>186</v>
      </c>
      <c r="K217" s="20" t="s">
        <v>213</v>
      </c>
      <c r="Q217" s="20">
        <v>182.0</v>
      </c>
      <c r="R217" s="20" t="s">
        <v>940</v>
      </c>
      <c r="S217" s="20" t="s">
        <v>937</v>
      </c>
      <c r="T217" s="20" t="s">
        <v>138</v>
      </c>
      <c r="W217" s="20" t="s">
        <v>261</v>
      </c>
    </row>
    <row r="218" ht="14.25" customHeight="1">
      <c r="A218" s="20" t="s">
        <v>941</v>
      </c>
      <c r="B218" s="20" t="s">
        <v>942</v>
      </c>
      <c r="C218" s="20" t="s">
        <v>943</v>
      </c>
      <c r="F218" s="20" t="s">
        <v>218</v>
      </c>
      <c r="G218" s="20" t="s">
        <v>219</v>
      </c>
      <c r="H218" s="20">
        <v>17066.0</v>
      </c>
      <c r="I218" s="20" t="s">
        <v>360</v>
      </c>
      <c r="J218" s="20" t="s">
        <v>186</v>
      </c>
      <c r="Q218" s="20">
        <v>17066.0</v>
      </c>
      <c r="R218" s="20" t="s">
        <v>944</v>
      </c>
      <c r="S218" s="20" t="s">
        <v>942</v>
      </c>
      <c r="T218" s="20" t="s">
        <v>138</v>
      </c>
      <c r="W218" s="20" t="s">
        <v>146</v>
      </c>
    </row>
    <row r="219" ht="14.25" customHeight="1">
      <c r="A219" s="20" t="s">
        <v>945</v>
      </c>
      <c r="B219" s="20" t="s">
        <v>946</v>
      </c>
      <c r="C219" s="20" t="s">
        <v>818</v>
      </c>
      <c r="F219" s="20" t="s">
        <v>17</v>
      </c>
      <c r="G219" s="20" t="s">
        <v>17</v>
      </c>
      <c r="I219" s="20" t="s">
        <v>88</v>
      </c>
      <c r="J219" s="20" t="s">
        <v>143</v>
      </c>
      <c r="K219" s="20" t="s">
        <v>167</v>
      </c>
      <c r="Q219" s="20">
        <v>185.0</v>
      </c>
      <c r="R219" s="20" t="s">
        <v>947</v>
      </c>
      <c r="S219" s="20" t="s">
        <v>946</v>
      </c>
      <c r="T219" s="20" t="s">
        <v>138</v>
      </c>
    </row>
    <row r="220" ht="14.25" customHeight="1">
      <c r="A220" s="20" t="s">
        <v>948</v>
      </c>
      <c r="B220" s="20" t="s">
        <v>949</v>
      </c>
      <c r="C220" s="20" t="s">
        <v>950</v>
      </c>
      <c r="F220" s="20" t="s">
        <v>15</v>
      </c>
      <c r="G220" s="20" t="s">
        <v>135</v>
      </c>
      <c r="I220" s="20" t="s">
        <v>100</v>
      </c>
      <c r="J220" s="20" t="s">
        <v>136</v>
      </c>
      <c r="Q220" s="20">
        <v>3273.0</v>
      </c>
      <c r="R220" s="20" t="s">
        <v>951</v>
      </c>
      <c r="S220" s="20" t="s">
        <v>949</v>
      </c>
      <c r="T220" s="20" t="s">
        <v>138</v>
      </c>
      <c r="W220" s="20" t="s">
        <v>372</v>
      </c>
    </row>
    <row r="221" ht="14.25" customHeight="1">
      <c r="A221" s="20" t="s">
        <v>952</v>
      </c>
      <c r="B221" s="20" t="s">
        <v>953</v>
      </c>
      <c r="C221" s="20" t="s">
        <v>197</v>
      </c>
      <c r="F221" s="20" t="s">
        <v>150</v>
      </c>
      <c r="G221" s="20" t="s">
        <v>150</v>
      </c>
      <c r="I221" s="20" t="s">
        <v>151</v>
      </c>
      <c r="J221" s="20" t="s">
        <v>143</v>
      </c>
      <c r="Q221" s="20">
        <v>6632.0</v>
      </c>
      <c r="R221" s="20" t="s">
        <v>954</v>
      </c>
      <c r="S221" s="20" t="s">
        <v>953</v>
      </c>
      <c r="T221" s="20" t="s">
        <v>138</v>
      </c>
    </row>
    <row r="222" ht="14.25" customHeight="1">
      <c r="A222" s="20" t="s">
        <v>955</v>
      </c>
      <c r="B222" s="20" t="s">
        <v>956</v>
      </c>
      <c r="C222" s="20" t="s">
        <v>957</v>
      </c>
      <c r="F222" s="20" t="s">
        <v>150</v>
      </c>
      <c r="G222" s="20" t="s">
        <v>150</v>
      </c>
      <c r="H222" s="20">
        <v>16979.0</v>
      </c>
      <c r="I222" s="20" t="s">
        <v>151</v>
      </c>
      <c r="J222" s="20" t="s">
        <v>143</v>
      </c>
      <c r="Q222" s="20">
        <v>16979.0</v>
      </c>
      <c r="R222" s="20" t="s">
        <v>958</v>
      </c>
      <c r="S222" s="20" t="s">
        <v>959</v>
      </c>
      <c r="T222" s="20" t="s">
        <v>138</v>
      </c>
      <c r="W222" s="20" t="s">
        <v>146</v>
      </c>
    </row>
    <row r="223" ht="14.25" customHeight="1">
      <c r="A223" s="20" t="s">
        <v>960</v>
      </c>
      <c r="B223" s="20" t="s">
        <v>961</v>
      </c>
      <c r="C223" s="20" t="s">
        <v>163</v>
      </c>
      <c r="F223" s="20" t="s">
        <v>150</v>
      </c>
      <c r="G223" s="20" t="s">
        <v>150</v>
      </c>
      <c r="I223" s="20" t="s">
        <v>151</v>
      </c>
      <c r="J223" s="20" t="s">
        <v>143</v>
      </c>
      <c r="Q223" s="20">
        <v>15294.0</v>
      </c>
      <c r="R223" s="20" t="s">
        <v>962</v>
      </c>
      <c r="S223" s="20" t="s">
        <v>961</v>
      </c>
      <c r="T223" s="20" t="s">
        <v>138</v>
      </c>
    </row>
    <row r="224" ht="14.25" customHeight="1">
      <c r="A224" s="20" t="s">
        <v>963</v>
      </c>
      <c r="B224" s="20" t="s">
        <v>964</v>
      </c>
      <c r="C224" s="20" t="s">
        <v>680</v>
      </c>
      <c r="F224" s="20" t="s">
        <v>15</v>
      </c>
      <c r="G224" s="20" t="s">
        <v>142</v>
      </c>
      <c r="I224" s="20" t="s">
        <v>105</v>
      </c>
      <c r="J224" s="20" t="s">
        <v>186</v>
      </c>
      <c r="Q224" s="20">
        <v>12241.0</v>
      </c>
      <c r="R224" s="20" t="s">
        <v>965</v>
      </c>
      <c r="S224" s="20" t="s">
        <v>964</v>
      </c>
      <c r="T224" s="20" t="s">
        <v>138</v>
      </c>
    </row>
    <row r="225" ht="14.25" customHeight="1">
      <c r="A225" s="20" t="s">
        <v>966</v>
      </c>
      <c r="B225" s="20" t="s">
        <v>967</v>
      </c>
      <c r="C225" s="20" t="s">
        <v>968</v>
      </c>
      <c r="F225" s="20" t="s">
        <v>15</v>
      </c>
      <c r="G225" s="20" t="s">
        <v>142</v>
      </c>
      <c r="I225" s="20" t="s">
        <v>105</v>
      </c>
      <c r="J225" s="20" t="s">
        <v>186</v>
      </c>
      <c r="Q225" s="20">
        <v>6107.0</v>
      </c>
      <c r="R225" s="20" t="s">
        <v>969</v>
      </c>
      <c r="S225" s="20" t="s">
        <v>967</v>
      </c>
      <c r="T225" s="20" t="s">
        <v>138</v>
      </c>
    </row>
    <row r="226" ht="14.25" customHeight="1">
      <c r="A226" s="20" t="s">
        <v>970</v>
      </c>
      <c r="B226" s="20" t="s">
        <v>971</v>
      </c>
      <c r="C226" s="20" t="s">
        <v>174</v>
      </c>
      <c r="F226" s="20" t="s">
        <v>150</v>
      </c>
      <c r="G226" s="20" t="s">
        <v>150</v>
      </c>
      <c r="I226" s="20" t="s">
        <v>151</v>
      </c>
      <c r="J226" s="20" t="s">
        <v>143</v>
      </c>
      <c r="Q226" s="20">
        <v>8573.0</v>
      </c>
      <c r="R226" s="20" t="s">
        <v>972</v>
      </c>
      <c r="S226" s="20" t="s">
        <v>971</v>
      </c>
      <c r="T226" s="20" t="s">
        <v>138</v>
      </c>
    </row>
    <row r="227" ht="14.25" customHeight="1">
      <c r="A227" s="20" t="s">
        <v>973</v>
      </c>
      <c r="B227" s="20" t="s">
        <v>974</v>
      </c>
      <c r="C227" s="20" t="s">
        <v>193</v>
      </c>
      <c r="F227" s="20" t="s">
        <v>150</v>
      </c>
      <c r="G227" s="20" t="s">
        <v>150</v>
      </c>
      <c r="I227" s="20" t="s">
        <v>151</v>
      </c>
      <c r="J227" s="20" t="s">
        <v>143</v>
      </c>
      <c r="K227" s="20" t="s">
        <v>167</v>
      </c>
      <c r="Q227" s="20">
        <v>189.0</v>
      </c>
      <c r="R227" s="20" t="s">
        <v>975</v>
      </c>
      <c r="S227" s="20" t="s">
        <v>974</v>
      </c>
      <c r="T227" s="20" t="s">
        <v>138</v>
      </c>
    </row>
    <row r="228" ht="14.25" customHeight="1">
      <c r="A228" s="20" t="s">
        <v>976</v>
      </c>
      <c r="B228" s="20" t="s">
        <v>977</v>
      </c>
      <c r="C228" s="20" t="s">
        <v>174</v>
      </c>
      <c r="F228" s="20" t="s">
        <v>150</v>
      </c>
      <c r="G228" s="20" t="s">
        <v>150</v>
      </c>
      <c r="I228" s="20" t="s">
        <v>151</v>
      </c>
      <c r="J228" s="20" t="s">
        <v>143</v>
      </c>
      <c r="Q228" s="20">
        <v>10686.0</v>
      </c>
      <c r="R228" s="20" t="s">
        <v>978</v>
      </c>
      <c r="S228" s="20" t="s">
        <v>977</v>
      </c>
      <c r="T228" s="20" t="s">
        <v>138</v>
      </c>
    </row>
    <row r="229" ht="14.25" customHeight="1">
      <c r="A229" s="20" t="s">
        <v>979</v>
      </c>
      <c r="B229" s="20" t="s">
        <v>980</v>
      </c>
      <c r="C229" s="20" t="s">
        <v>193</v>
      </c>
      <c r="F229" s="20" t="s">
        <v>150</v>
      </c>
      <c r="G229" s="20" t="s">
        <v>150</v>
      </c>
      <c r="I229" s="20" t="s">
        <v>151</v>
      </c>
      <c r="J229" s="20" t="s">
        <v>143</v>
      </c>
      <c r="Q229" s="20">
        <v>7281.0</v>
      </c>
      <c r="R229" s="20" t="s">
        <v>981</v>
      </c>
      <c r="S229" s="20" t="s">
        <v>980</v>
      </c>
      <c r="T229" s="20" t="s">
        <v>138</v>
      </c>
    </row>
    <row r="230" ht="14.25" customHeight="1">
      <c r="A230" s="20" t="s">
        <v>982</v>
      </c>
      <c r="B230" s="20" t="s">
        <v>983</v>
      </c>
      <c r="C230" s="20" t="s">
        <v>178</v>
      </c>
      <c r="F230" s="20" t="s">
        <v>150</v>
      </c>
      <c r="G230" s="20" t="s">
        <v>150</v>
      </c>
      <c r="I230" s="20" t="s">
        <v>151</v>
      </c>
      <c r="J230" s="20" t="s">
        <v>143</v>
      </c>
      <c r="Q230" s="20">
        <v>9274.0</v>
      </c>
      <c r="R230" s="20" t="s">
        <v>984</v>
      </c>
      <c r="S230" s="20" t="s">
        <v>983</v>
      </c>
      <c r="T230" s="20" t="s">
        <v>138</v>
      </c>
    </row>
    <row r="231" ht="14.25" customHeight="1">
      <c r="A231" s="20" t="s">
        <v>985</v>
      </c>
      <c r="B231" s="20" t="s">
        <v>986</v>
      </c>
      <c r="C231" s="20" t="s">
        <v>193</v>
      </c>
      <c r="F231" s="20" t="s">
        <v>150</v>
      </c>
      <c r="G231" s="20" t="s">
        <v>150</v>
      </c>
      <c r="I231" s="20" t="s">
        <v>151</v>
      </c>
      <c r="J231" s="20" t="s">
        <v>143</v>
      </c>
      <c r="Q231" s="20">
        <v>5747.0</v>
      </c>
      <c r="R231" s="20" t="s">
        <v>987</v>
      </c>
      <c r="S231" s="20" t="s">
        <v>986</v>
      </c>
      <c r="T231" s="20" t="s">
        <v>138</v>
      </c>
    </row>
    <row r="232" ht="14.25" customHeight="1">
      <c r="A232" s="20" t="s">
        <v>988</v>
      </c>
      <c r="B232" s="20" t="s">
        <v>989</v>
      </c>
      <c r="C232" s="20" t="s">
        <v>197</v>
      </c>
      <c r="F232" s="20" t="s">
        <v>150</v>
      </c>
      <c r="G232" s="20" t="s">
        <v>150</v>
      </c>
      <c r="I232" s="20" t="s">
        <v>151</v>
      </c>
      <c r="J232" s="20" t="s">
        <v>143</v>
      </c>
      <c r="K232" s="20" t="s">
        <v>213</v>
      </c>
      <c r="Q232" s="20">
        <v>10520.0</v>
      </c>
      <c r="R232" s="20" t="s">
        <v>990</v>
      </c>
      <c r="S232" s="20" t="s">
        <v>989</v>
      </c>
      <c r="T232" s="20" t="s">
        <v>138</v>
      </c>
      <c r="V232" s="20" t="s">
        <v>189</v>
      </c>
      <c r="W232" s="20" t="s">
        <v>146</v>
      </c>
    </row>
    <row r="233" ht="14.25" customHeight="1">
      <c r="A233" s="20" t="s">
        <v>991</v>
      </c>
      <c r="B233" s="20" t="s">
        <v>992</v>
      </c>
      <c r="C233" s="20" t="s">
        <v>149</v>
      </c>
      <c r="F233" s="20" t="s">
        <v>150</v>
      </c>
      <c r="G233" s="20" t="s">
        <v>150</v>
      </c>
      <c r="I233" s="20" t="s">
        <v>151</v>
      </c>
      <c r="J233" s="20" t="s">
        <v>143</v>
      </c>
      <c r="Q233" s="20">
        <v>12394.0</v>
      </c>
      <c r="R233" s="20" t="s">
        <v>993</v>
      </c>
      <c r="S233" s="20" t="s">
        <v>992</v>
      </c>
      <c r="T233" s="20" t="s">
        <v>138</v>
      </c>
    </row>
    <row r="234" ht="14.25" customHeight="1">
      <c r="A234" s="20" t="s">
        <v>994</v>
      </c>
      <c r="B234" s="20" t="s">
        <v>995</v>
      </c>
      <c r="C234" s="20" t="s">
        <v>354</v>
      </c>
      <c r="F234" s="20" t="s">
        <v>218</v>
      </c>
      <c r="G234" s="20" t="s">
        <v>219</v>
      </c>
      <c r="I234" s="20" t="s">
        <v>355</v>
      </c>
      <c r="J234" s="20" t="s">
        <v>186</v>
      </c>
      <c r="Q234" s="20">
        <v>841.0</v>
      </c>
      <c r="R234" s="20" t="s">
        <v>996</v>
      </c>
      <c r="S234" s="20" t="s">
        <v>995</v>
      </c>
      <c r="T234" s="20" t="s">
        <v>138</v>
      </c>
    </row>
    <row r="235" ht="14.25" customHeight="1">
      <c r="A235" s="20" t="s">
        <v>997</v>
      </c>
      <c r="B235" s="20" t="s">
        <v>998</v>
      </c>
      <c r="C235" s="20" t="s">
        <v>159</v>
      </c>
      <c r="F235" s="20" t="s">
        <v>150</v>
      </c>
      <c r="G235" s="20" t="s">
        <v>150</v>
      </c>
      <c r="I235" s="20" t="s">
        <v>151</v>
      </c>
      <c r="J235" s="20" t="s">
        <v>143</v>
      </c>
      <c r="Q235" s="20">
        <v>15020.0</v>
      </c>
      <c r="R235" s="20" t="s">
        <v>999</v>
      </c>
      <c r="S235" s="20" t="s">
        <v>998</v>
      </c>
      <c r="T235" s="20" t="s">
        <v>138</v>
      </c>
    </row>
    <row r="236" ht="14.25" customHeight="1">
      <c r="A236" s="20" t="s">
        <v>1000</v>
      </c>
      <c r="B236" s="20" t="s">
        <v>1001</v>
      </c>
      <c r="C236" s="20" t="s">
        <v>1002</v>
      </c>
      <c r="F236" s="20" t="s">
        <v>17</v>
      </c>
      <c r="G236" s="20" t="s">
        <v>17</v>
      </c>
      <c r="I236" s="20" t="s">
        <v>88</v>
      </c>
      <c r="J236" s="20" t="s">
        <v>143</v>
      </c>
      <c r="Q236" s="20">
        <v>14941.0</v>
      </c>
      <c r="R236" s="20" t="s">
        <v>1003</v>
      </c>
      <c r="S236" s="20" t="s">
        <v>1001</v>
      </c>
      <c r="T236" s="20" t="s">
        <v>138</v>
      </c>
    </row>
    <row r="237" ht="14.25" customHeight="1">
      <c r="A237" s="20" t="s">
        <v>1004</v>
      </c>
      <c r="B237" s="20" t="s">
        <v>1005</v>
      </c>
      <c r="C237" s="20" t="s">
        <v>149</v>
      </c>
      <c r="F237" s="20" t="s">
        <v>150</v>
      </c>
      <c r="G237" s="20" t="s">
        <v>150</v>
      </c>
      <c r="I237" s="20" t="s">
        <v>151</v>
      </c>
      <c r="J237" s="20" t="s">
        <v>143</v>
      </c>
      <c r="Q237" s="20">
        <v>15281.0</v>
      </c>
      <c r="R237" s="20" t="s">
        <v>1006</v>
      </c>
      <c r="S237" s="20" t="s">
        <v>1005</v>
      </c>
      <c r="T237" s="20" t="s">
        <v>138</v>
      </c>
    </row>
    <row r="238" ht="14.25" customHeight="1">
      <c r="A238" s="20" t="s">
        <v>1007</v>
      </c>
      <c r="B238" s="20" t="s">
        <v>1008</v>
      </c>
      <c r="C238" s="20" t="s">
        <v>163</v>
      </c>
      <c r="F238" s="20" t="s">
        <v>150</v>
      </c>
      <c r="G238" s="20" t="s">
        <v>150</v>
      </c>
      <c r="I238" s="20" t="s">
        <v>151</v>
      </c>
      <c r="J238" s="20" t="s">
        <v>143</v>
      </c>
      <c r="Q238" s="20">
        <v>192.0</v>
      </c>
      <c r="R238" s="20" t="s">
        <v>1009</v>
      </c>
      <c r="S238" s="20" t="s">
        <v>1008</v>
      </c>
      <c r="T238" s="20" t="s">
        <v>138</v>
      </c>
    </row>
    <row r="239" ht="14.25" customHeight="1">
      <c r="A239" s="20" t="s">
        <v>1010</v>
      </c>
      <c r="B239" s="20" t="s">
        <v>1011</v>
      </c>
      <c r="C239" s="20" t="s">
        <v>193</v>
      </c>
      <c r="F239" s="20" t="s">
        <v>150</v>
      </c>
      <c r="G239" s="20" t="s">
        <v>150</v>
      </c>
      <c r="I239" s="20" t="s">
        <v>151</v>
      </c>
      <c r="J239" s="20" t="s">
        <v>143</v>
      </c>
      <c r="Q239" s="20">
        <v>9008.0</v>
      </c>
      <c r="R239" s="20" t="s">
        <v>1012</v>
      </c>
      <c r="S239" s="20" t="s">
        <v>1011</v>
      </c>
      <c r="T239" s="20" t="s">
        <v>138</v>
      </c>
    </row>
    <row r="240" ht="14.25" customHeight="1">
      <c r="A240" s="20" t="s">
        <v>1013</v>
      </c>
      <c r="B240" s="20" t="s">
        <v>1014</v>
      </c>
      <c r="C240" s="20" t="s">
        <v>197</v>
      </c>
      <c r="F240" s="20" t="s">
        <v>150</v>
      </c>
      <c r="G240" s="20" t="s">
        <v>150</v>
      </c>
      <c r="I240" s="20" t="s">
        <v>151</v>
      </c>
      <c r="J240" s="20" t="s">
        <v>143</v>
      </c>
      <c r="Q240" s="20">
        <v>9770.0</v>
      </c>
      <c r="R240" s="20" t="s">
        <v>1015</v>
      </c>
      <c r="S240" s="20" t="s">
        <v>1014</v>
      </c>
      <c r="T240" s="20" t="s">
        <v>138</v>
      </c>
    </row>
    <row r="241" ht="14.25" customHeight="1">
      <c r="A241" s="20" t="s">
        <v>1016</v>
      </c>
      <c r="B241" s="20" t="s">
        <v>1017</v>
      </c>
      <c r="C241" s="20" t="s">
        <v>159</v>
      </c>
      <c r="F241" s="20" t="s">
        <v>150</v>
      </c>
      <c r="G241" s="20" t="s">
        <v>150</v>
      </c>
      <c r="I241" s="20" t="s">
        <v>151</v>
      </c>
      <c r="J241" s="20" t="s">
        <v>143</v>
      </c>
      <c r="Q241" s="20">
        <v>10992.0</v>
      </c>
      <c r="R241" s="20" t="s">
        <v>1018</v>
      </c>
      <c r="S241" s="20" t="s">
        <v>1017</v>
      </c>
      <c r="T241" s="20" t="s">
        <v>138</v>
      </c>
    </row>
    <row r="242" ht="14.25" customHeight="1">
      <c r="A242" s="20" t="s">
        <v>1019</v>
      </c>
      <c r="B242" s="20" t="s">
        <v>1020</v>
      </c>
      <c r="C242" s="20" t="s">
        <v>197</v>
      </c>
      <c r="F242" s="20" t="s">
        <v>150</v>
      </c>
      <c r="G242" s="20" t="s">
        <v>150</v>
      </c>
      <c r="I242" s="20" t="s">
        <v>151</v>
      </c>
      <c r="J242" s="20" t="s">
        <v>143</v>
      </c>
      <c r="Q242" s="20">
        <v>14946.0</v>
      </c>
      <c r="R242" s="20" t="s">
        <v>1021</v>
      </c>
      <c r="S242" s="20" t="s">
        <v>1020</v>
      </c>
      <c r="T242" s="20" t="s">
        <v>138</v>
      </c>
    </row>
    <row r="243" ht="14.25" customHeight="1">
      <c r="A243" s="20" t="s">
        <v>1022</v>
      </c>
      <c r="B243" s="20" t="s">
        <v>1023</v>
      </c>
      <c r="C243" s="20" t="s">
        <v>174</v>
      </c>
      <c r="F243" s="20" t="s">
        <v>150</v>
      </c>
      <c r="G243" s="20" t="s">
        <v>150</v>
      </c>
      <c r="I243" s="20" t="s">
        <v>151</v>
      </c>
      <c r="J243" s="20" t="s">
        <v>143</v>
      </c>
      <c r="Q243" s="20">
        <v>15306.0</v>
      </c>
      <c r="R243" s="20" t="s">
        <v>1024</v>
      </c>
      <c r="S243" s="20" t="s">
        <v>1023</v>
      </c>
      <c r="T243" s="20" t="s">
        <v>138</v>
      </c>
    </row>
    <row r="244" ht="14.25" customHeight="1">
      <c r="A244" s="20" t="s">
        <v>1025</v>
      </c>
      <c r="B244" s="20" t="s">
        <v>1026</v>
      </c>
      <c r="C244" s="20" t="s">
        <v>163</v>
      </c>
      <c r="F244" s="20" t="s">
        <v>150</v>
      </c>
      <c r="G244" s="20" t="s">
        <v>150</v>
      </c>
      <c r="I244" s="20" t="s">
        <v>151</v>
      </c>
      <c r="J244" s="20" t="s">
        <v>143</v>
      </c>
      <c r="Q244" s="20">
        <v>10622.0</v>
      </c>
      <c r="R244" s="20" t="s">
        <v>1027</v>
      </c>
      <c r="S244" s="20" t="s">
        <v>1026</v>
      </c>
      <c r="T244" s="20" t="s">
        <v>138</v>
      </c>
    </row>
    <row r="245" ht="14.25" customHeight="1">
      <c r="A245" s="20" t="s">
        <v>1028</v>
      </c>
      <c r="B245" s="20" t="s">
        <v>1029</v>
      </c>
      <c r="C245" s="20" t="s">
        <v>163</v>
      </c>
      <c r="F245" s="20" t="s">
        <v>150</v>
      </c>
      <c r="G245" s="20" t="s">
        <v>150</v>
      </c>
      <c r="I245" s="20" t="s">
        <v>151</v>
      </c>
      <c r="J245" s="20" t="s">
        <v>143</v>
      </c>
      <c r="K245" s="20" t="s">
        <v>167</v>
      </c>
      <c r="Q245" s="20">
        <v>10093.0</v>
      </c>
      <c r="R245" s="20" t="s">
        <v>1030</v>
      </c>
      <c r="S245" s="20" t="s">
        <v>1029</v>
      </c>
      <c r="T245" s="20" t="s">
        <v>138</v>
      </c>
    </row>
    <row r="246" ht="14.25" customHeight="1">
      <c r="A246" s="20" t="s">
        <v>1031</v>
      </c>
      <c r="B246" s="20" t="s">
        <v>1032</v>
      </c>
      <c r="C246" s="20" t="s">
        <v>1033</v>
      </c>
      <c r="F246" s="20" t="s">
        <v>327</v>
      </c>
      <c r="G246" s="20" t="s">
        <v>395</v>
      </c>
      <c r="I246" s="20" t="s">
        <v>1034</v>
      </c>
      <c r="J246" s="20" t="s">
        <v>186</v>
      </c>
      <c r="K246" s="20" t="s">
        <v>213</v>
      </c>
      <c r="L246" s="20" t="s">
        <v>1034</v>
      </c>
      <c r="Q246" s="20">
        <v>733.0</v>
      </c>
      <c r="R246" s="20" t="s">
        <v>1035</v>
      </c>
      <c r="S246" s="20" t="s">
        <v>1032</v>
      </c>
      <c r="T246" s="20" t="s">
        <v>138</v>
      </c>
      <c r="W246" s="20" t="s">
        <v>146</v>
      </c>
    </row>
    <row r="247" ht="14.25" customHeight="1">
      <c r="A247" s="20" t="s">
        <v>1036</v>
      </c>
      <c r="B247" s="20" t="s">
        <v>1037</v>
      </c>
      <c r="C247" s="20" t="s">
        <v>587</v>
      </c>
      <c r="F247" s="20" t="s">
        <v>150</v>
      </c>
      <c r="G247" s="20" t="s">
        <v>150</v>
      </c>
      <c r="H247" s="20">
        <v>17384.0</v>
      </c>
      <c r="I247" s="20" t="s">
        <v>151</v>
      </c>
      <c r="J247" s="20" t="s">
        <v>143</v>
      </c>
      <c r="Q247" s="20">
        <v>17384.0</v>
      </c>
      <c r="R247" s="20" t="s">
        <v>1038</v>
      </c>
      <c r="S247" s="20" t="s">
        <v>1037</v>
      </c>
      <c r="T247" s="20" t="s">
        <v>138</v>
      </c>
      <c r="W247" s="20" t="s">
        <v>146</v>
      </c>
    </row>
    <row r="248" ht="14.25" customHeight="1">
      <c r="A248" s="20" t="s">
        <v>1039</v>
      </c>
      <c r="B248" s="20" t="s">
        <v>1040</v>
      </c>
      <c r="C248" s="20" t="s">
        <v>163</v>
      </c>
      <c r="F248" s="20" t="s">
        <v>150</v>
      </c>
      <c r="G248" s="20" t="s">
        <v>150</v>
      </c>
      <c r="I248" s="20" t="s">
        <v>151</v>
      </c>
      <c r="J248" s="20" t="s">
        <v>143</v>
      </c>
      <c r="Q248" s="20">
        <v>10394.0</v>
      </c>
      <c r="R248" s="20" t="s">
        <v>1041</v>
      </c>
      <c r="S248" s="20" t="s">
        <v>1040</v>
      </c>
      <c r="T248" s="20" t="s">
        <v>138</v>
      </c>
    </row>
    <row r="249" ht="14.25" customHeight="1">
      <c r="A249" s="20" t="s">
        <v>1042</v>
      </c>
      <c r="B249" s="20" t="s">
        <v>1043</v>
      </c>
      <c r="C249" s="20" t="s">
        <v>193</v>
      </c>
      <c r="F249" s="20" t="s">
        <v>150</v>
      </c>
      <c r="G249" s="20" t="s">
        <v>150</v>
      </c>
      <c r="I249" s="20" t="s">
        <v>151</v>
      </c>
      <c r="J249" s="20" t="s">
        <v>143</v>
      </c>
      <c r="Q249" s="20">
        <v>8646.0</v>
      </c>
      <c r="R249" s="20" t="s">
        <v>1044</v>
      </c>
      <c r="S249" s="20" t="s">
        <v>1043</v>
      </c>
      <c r="T249" s="20" t="s">
        <v>138</v>
      </c>
    </row>
    <row r="250" ht="14.25" customHeight="1">
      <c r="A250" s="20" t="s">
        <v>1045</v>
      </c>
      <c r="B250" s="20" t="s">
        <v>1046</v>
      </c>
      <c r="C250" s="20" t="s">
        <v>289</v>
      </c>
      <c r="F250" s="20" t="s">
        <v>150</v>
      </c>
      <c r="G250" s="20" t="s">
        <v>150</v>
      </c>
      <c r="I250" s="20" t="s">
        <v>151</v>
      </c>
      <c r="J250" s="20" t="s">
        <v>143</v>
      </c>
      <c r="Q250" s="20">
        <v>3703.0</v>
      </c>
      <c r="R250" s="20" t="s">
        <v>1047</v>
      </c>
      <c r="S250" s="20" t="s">
        <v>1046</v>
      </c>
      <c r="T250" s="20" t="s">
        <v>138</v>
      </c>
    </row>
    <row r="251" ht="14.25" customHeight="1">
      <c r="A251" s="20" t="s">
        <v>1048</v>
      </c>
      <c r="B251" s="20" t="s">
        <v>1049</v>
      </c>
      <c r="C251" s="20" t="s">
        <v>197</v>
      </c>
      <c r="F251" s="20" t="s">
        <v>150</v>
      </c>
      <c r="G251" s="20" t="s">
        <v>150</v>
      </c>
      <c r="I251" s="20" t="s">
        <v>151</v>
      </c>
      <c r="J251" s="20" t="s">
        <v>143</v>
      </c>
      <c r="Q251" s="20">
        <v>11143.0</v>
      </c>
      <c r="R251" s="20" t="s">
        <v>1050</v>
      </c>
      <c r="S251" s="20" t="s">
        <v>1049</v>
      </c>
      <c r="T251" s="20" t="s">
        <v>138</v>
      </c>
    </row>
    <row r="252" ht="14.25" customHeight="1">
      <c r="A252" s="20" t="s">
        <v>1051</v>
      </c>
      <c r="B252" s="20" t="s">
        <v>1052</v>
      </c>
      <c r="C252" s="20" t="s">
        <v>201</v>
      </c>
      <c r="F252" s="20" t="s">
        <v>16</v>
      </c>
      <c r="G252" s="20" t="s">
        <v>202</v>
      </c>
      <c r="I252" s="20" t="s">
        <v>203</v>
      </c>
      <c r="J252" s="20" t="s">
        <v>143</v>
      </c>
      <c r="Q252" s="20">
        <v>9071.0</v>
      </c>
      <c r="R252" s="20" t="s">
        <v>1053</v>
      </c>
      <c r="S252" s="20" t="s">
        <v>1052</v>
      </c>
      <c r="T252" s="20" t="s">
        <v>138</v>
      </c>
    </row>
    <row r="253" ht="14.25" customHeight="1">
      <c r="A253" s="20" t="s">
        <v>1054</v>
      </c>
      <c r="B253" s="20" t="s">
        <v>1055</v>
      </c>
      <c r="C253" s="20" t="s">
        <v>193</v>
      </c>
      <c r="F253" s="20" t="s">
        <v>150</v>
      </c>
      <c r="G253" s="20" t="s">
        <v>150</v>
      </c>
      <c r="I253" s="20" t="s">
        <v>151</v>
      </c>
      <c r="J253" s="20" t="s">
        <v>143</v>
      </c>
      <c r="Q253" s="20">
        <v>1633.0</v>
      </c>
      <c r="R253" s="20" t="s">
        <v>1056</v>
      </c>
      <c r="S253" s="20" t="s">
        <v>1055</v>
      </c>
      <c r="T253" s="20" t="s">
        <v>138</v>
      </c>
    </row>
    <row r="254" ht="14.25" customHeight="1">
      <c r="A254" s="20" t="s">
        <v>1057</v>
      </c>
      <c r="B254" s="20" t="s">
        <v>1058</v>
      </c>
      <c r="C254" s="20" t="s">
        <v>1059</v>
      </c>
      <c r="F254" s="20" t="s">
        <v>218</v>
      </c>
      <c r="G254" s="20" t="s">
        <v>219</v>
      </c>
      <c r="I254" s="20" t="s">
        <v>360</v>
      </c>
      <c r="J254" s="20" t="s">
        <v>136</v>
      </c>
      <c r="Q254" s="20">
        <v>15832.0</v>
      </c>
      <c r="R254" s="20" t="s">
        <v>1060</v>
      </c>
      <c r="S254" s="20" t="s">
        <v>1058</v>
      </c>
      <c r="T254" s="20" t="s">
        <v>138</v>
      </c>
      <c r="W254" s="20" t="s">
        <v>372</v>
      </c>
    </row>
    <row r="255" ht="14.25" customHeight="1">
      <c r="A255" s="20" t="s">
        <v>1061</v>
      </c>
      <c r="B255" s="20" t="s">
        <v>1062</v>
      </c>
      <c r="C255" s="20" t="s">
        <v>149</v>
      </c>
      <c r="F255" s="20" t="s">
        <v>150</v>
      </c>
      <c r="G255" s="20" t="s">
        <v>150</v>
      </c>
      <c r="I255" s="20" t="s">
        <v>151</v>
      </c>
      <c r="J255" s="20" t="s">
        <v>143</v>
      </c>
      <c r="Q255" s="20">
        <v>202.0</v>
      </c>
      <c r="R255" s="20" t="s">
        <v>1063</v>
      </c>
      <c r="S255" s="20" t="s">
        <v>1064</v>
      </c>
      <c r="T255" s="20" t="s">
        <v>138</v>
      </c>
    </row>
    <row r="256" ht="14.25" customHeight="1">
      <c r="A256" s="20" t="s">
        <v>1065</v>
      </c>
      <c r="B256" s="20" t="s">
        <v>1066</v>
      </c>
      <c r="C256" s="20" t="s">
        <v>235</v>
      </c>
      <c r="F256" s="20" t="s">
        <v>15</v>
      </c>
      <c r="G256" s="20" t="s">
        <v>142</v>
      </c>
      <c r="I256" s="20" t="s">
        <v>105</v>
      </c>
      <c r="J256" s="20" t="s">
        <v>143</v>
      </c>
      <c r="Q256" s="20">
        <v>8667.0</v>
      </c>
      <c r="R256" s="20" t="s">
        <v>1067</v>
      </c>
      <c r="S256" s="20" t="s">
        <v>1066</v>
      </c>
      <c r="T256" s="20" t="s">
        <v>138</v>
      </c>
    </row>
    <row r="257" ht="14.25" customHeight="1">
      <c r="A257" s="20" t="s">
        <v>1068</v>
      </c>
      <c r="B257" s="20" t="s">
        <v>1069</v>
      </c>
      <c r="C257" s="20" t="s">
        <v>197</v>
      </c>
      <c r="F257" s="20" t="s">
        <v>150</v>
      </c>
      <c r="G257" s="20" t="s">
        <v>150</v>
      </c>
      <c r="I257" s="20" t="s">
        <v>151</v>
      </c>
      <c r="J257" s="20" t="s">
        <v>143</v>
      </c>
      <c r="Q257" s="20">
        <v>15332.0</v>
      </c>
      <c r="R257" s="20" t="s">
        <v>1070</v>
      </c>
      <c r="S257" s="20" t="s">
        <v>1069</v>
      </c>
      <c r="T257" s="20" t="s">
        <v>138</v>
      </c>
    </row>
    <row r="258" ht="14.25" customHeight="1">
      <c r="A258" s="20" t="s">
        <v>1071</v>
      </c>
      <c r="B258" s="20" t="s">
        <v>1072</v>
      </c>
      <c r="C258" s="20" t="s">
        <v>1073</v>
      </c>
      <c r="F258" s="20" t="s">
        <v>15</v>
      </c>
      <c r="G258" s="20" t="s">
        <v>142</v>
      </c>
      <c r="I258" s="20" t="s">
        <v>105</v>
      </c>
      <c r="J258" s="20" t="s">
        <v>136</v>
      </c>
      <c r="Q258" s="20">
        <v>16221.0</v>
      </c>
      <c r="R258" s="20" t="s">
        <v>1074</v>
      </c>
      <c r="S258" s="20" t="s">
        <v>1072</v>
      </c>
      <c r="T258" s="20" t="s">
        <v>138</v>
      </c>
    </row>
    <row r="259" ht="14.25" customHeight="1">
      <c r="A259" s="20" t="s">
        <v>1075</v>
      </c>
      <c r="B259" s="20" t="s">
        <v>1076</v>
      </c>
      <c r="C259" s="20" t="s">
        <v>1073</v>
      </c>
      <c r="F259" s="20" t="s">
        <v>16</v>
      </c>
      <c r="G259" s="20" t="s">
        <v>638</v>
      </c>
      <c r="I259" s="20" t="s">
        <v>1077</v>
      </c>
      <c r="J259" s="20" t="s">
        <v>136</v>
      </c>
      <c r="Q259" s="20">
        <v>16297.0</v>
      </c>
      <c r="R259" s="20" t="s">
        <v>1078</v>
      </c>
      <c r="S259" s="20" t="s">
        <v>1076</v>
      </c>
      <c r="T259" s="20" t="s">
        <v>138</v>
      </c>
    </row>
    <row r="260" ht="14.25" customHeight="1">
      <c r="A260" s="20" t="s">
        <v>1079</v>
      </c>
      <c r="B260" s="20" t="s">
        <v>1080</v>
      </c>
      <c r="C260" s="20" t="s">
        <v>174</v>
      </c>
      <c r="F260" s="20" t="s">
        <v>150</v>
      </c>
      <c r="G260" s="20" t="s">
        <v>150</v>
      </c>
      <c r="I260" s="20" t="s">
        <v>151</v>
      </c>
      <c r="J260" s="20" t="s">
        <v>143</v>
      </c>
      <c r="Q260" s="20">
        <v>15811.0</v>
      </c>
      <c r="R260" s="20" t="s">
        <v>1081</v>
      </c>
      <c r="S260" s="20" t="s">
        <v>1080</v>
      </c>
      <c r="T260" s="20" t="s">
        <v>138</v>
      </c>
    </row>
    <row r="261" ht="14.25" customHeight="1">
      <c r="A261" s="20" t="s">
        <v>1082</v>
      </c>
      <c r="B261" s="20" t="s">
        <v>1083</v>
      </c>
      <c r="C261" s="20" t="s">
        <v>289</v>
      </c>
      <c r="F261" s="20" t="s">
        <v>150</v>
      </c>
      <c r="G261" s="20" t="s">
        <v>150</v>
      </c>
      <c r="I261" s="20" t="s">
        <v>151</v>
      </c>
      <c r="J261" s="20" t="s">
        <v>143</v>
      </c>
      <c r="Q261" s="20">
        <v>6451.0</v>
      </c>
      <c r="R261" s="20" t="s">
        <v>1084</v>
      </c>
      <c r="S261" s="20" t="s">
        <v>1083</v>
      </c>
      <c r="T261" s="20" t="s">
        <v>138</v>
      </c>
    </row>
    <row r="262" ht="14.25" customHeight="1">
      <c r="A262" s="20" t="s">
        <v>1085</v>
      </c>
      <c r="B262" s="20" t="s">
        <v>1086</v>
      </c>
      <c r="C262" s="20" t="s">
        <v>163</v>
      </c>
      <c r="F262" s="20" t="s">
        <v>150</v>
      </c>
      <c r="G262" s="20" t="s">
        <v>150</v>
      </c>
      <c r="I262" s="20" t="s">
        <v>151</v>
      </c>
      <c r="J262" s="20" t="s">
        <v>143</v>
      </c>
      <c r="Q262" s="20">
        <v>13566.0</v>
      </c>
      <c r="R262" s="20" t="s">
        <v>1087</v>
      </c>
      <c r="S262" s="20" t="s">
        <v>1086</v>
      </c>
      <c r="T262" s="20" t="s">
        <v>138</v>
      </c>
    </row>
    <row r="263" ht="14.25" customHeight="1">
      <c r="A263" s="20" t="s">
        <v>1088</v>
      </c>
      <c r="B263" s="20" t="s">
        <v>1089</v>
      </c>
      <c r="C263" s="20" t="s">
        <v>174</v>
      </c>
      <c r="F263" s="20" t="s">
        <v>150</v>
      </c>
      <c r="G263" s="20" t="s">
        <v>150</v>
      </c>
      <c r="I263" s="20" t="s">
        <v>151</v>
      </c>
      <c r="J263" s="20" t="s">
        <v>143</v>
      </c>
      <c r="Q263" s="20">
        <v>9792.0</v>
      </c>
      <c r="R263" s="20" t="s">
        <v>1090</v>
      </c>
      <c r="S263" s="20" t="s">
        <v>1089</v>
      </c>
      <c r="T263" s="20" t="s">
        <v>138</v>
      </c>
    </row>
    <row r="264" ht="14.25" customHeight="1">
      <c r="A264" s="20" t="s">
        <v>1091</v>
      </c>
      <c r="B264" s="20" t="s">
        <v>1092</v>
      </c>
      <c r="C264" s="20" t="s">
        <v>289</v>
      </c>
      <c r="F264" s="20" t="s">
        <v>150</v>
      </c>
      <c r="G264" s="20" t="s">
        <v>150</v>
      </c>
      <c r="I264" s="20" t="s">
        <v>151</v>
      </c>
      <c r="J264" s="20" t="s">
        <v>143</v>
      </c>
      <c r="Q264" s="20">
        <v>7081.0</v>
      </c>
      <c r="R264" s="20" t="s">
        <v>1093</v>
      </c>
      <c r="S264" s="20" t="s">
        <v>1092</v>
      </c>
      <c r="T264" s="20" t="s">
        <v>138</v>
      </c>
    </row>
    <row r="265" ht="14.25" customHeight="1">
      <c r="A265" s="20" t="s">
        <v>1094</v>
      </c>
      <c r="B265" s="20" t="s">
        <v>1095</v>
      </c>
      <c r="C265" s="20" t="s">
        <v>1096</v>
      </c>
      <c r="F265" s="20" t="s">
        <v>16</v>
      </c>
      <c r="G265" s="20" t="s">
        <v>638</v>
      </c>
      <c r="I265" s="20" t="s">
        <v>1077</v>
      </c>
      <c r="J265" s="20" t="s">
        <v>143</v>
      </c>
      <c r="K265" s="20" t="s">
        <v>213</v>
      </c>
      <c r="Q265" s="20">
        <v>7042.0</v>
      </c>
      <c r="R265" s="20" t="s">
        <v>1097</v>
      </c>
      <c r="S265" s="20" t="s">
        <v>1095</v>
      </c>
      <c r="T265" s="20" t="s">
        <v>138</v>
      </c>
      <c r="W265" s="20" t="s">
        <v>146</v>
      </c>
    </row>
    <row r="266" ht="14.25" customHeight="1">
      <c r="A266" s="20" t="s">
        <v>1098</v>
      </c>
      <c r="B266" s="20" t="s">
        <v>1099</v>
      </c>
      <c r="C266" s="20" t="s">
        <v>174</v>
      </c>
      <c r="F266" s="20" t="s">
        <v>150</v>
      </c>
      <c r="G266" s="20" t="s">
        <v>150</v>
      </c>
      <c r="I266" s="20" t="s">
        <v>151</v>
      </c>
      <c r="J266" s="20" t="s">
        <v>143</v>
      </c>
      <c r="Q266" s="20">
        <v>16712.0</v>
      </c>
      <c r="R266" s="20" t="s">
        <v>1100</v>
      </c>
      <c r="S266" s="20" t="s">
        <v>1099</v>
      </c>
      <c r="T266" s="20" t="s">
        <v>138</v>
      </c>
    </row>
    <row r="267" ht="14.25" customHeight="1">
      <c r="A267" s="20" t="s">
        <v>1101</v>
      </c>
      <c r="B267" s="20" t="s">
        <v>1102</v>
      </c>
      <c r="C267" s="20" t="s">
        <v>1103</v>
      </c>
      <c r="F267" s="20" t="s">
        <v>327</v>
      </c>
      <c r="G267" s="20" t="s">
        <v>395</v>
      </c>
      <c r="I267" s="20" t="s">
        <v>1104</v>
      </c>
      <c r="J267" s="20" t="s">
        <v>143</v>
      </c>
      <c r="K267" s="20" t="s">
        <v>167</v>
      </c>
      <c r="Q267" s="20">
        <v>10139.0</v>
      </c>
      <c r="R267" s="20" t="s">
        <v>1105</v>
      </c>
      <c r="S267" s="20" t="s">
        <v>1102</v>
      </c>
      <c r="T267" s="20" t="s">
        <v>138</v>
      </c>
    </row>
    <row r="268" ht="14.25" customHeight="1">
      <c r="A268" s="20" t="s">
        <v>1106</v>
      </c>
      <c r="B268" s="20" t="s">
        <v>1107</v>
      </c>
      <c r="C268" s="20" t="s">
        <v>289</v>
      </c>
      <c r="F268" s="20" t="s">
        <v>150</v>
      </c>
      <c r="G268" s="20" t="s">
        <v>150</v>
      </c>
      <c r="I268" s="20" t="s">
        <v>151</v>
      </c>
      <c r="J268" s="20" t="s">
        <v>143</v>
      </c>
      <c r="Q268" s="20">
        <v>10475.0</v>
      </c>
      <c r="R268" s="20" t="s">
        <v>1108</v>
      </c>
      <c r="S268" s="20" t="s">
        <v>1107</v>
      </c>
      <c r="T268" s="20" t="s">
        <v>138</v>
      </c>
    </row>
    <row r="269" ht="14.25" customHeight="1">
      <c r="A269" s="20" t="s">
        <v>1109</v>
      </c>
      <c r="B269" s="20" t="s">
        <v>1110</v>
      </c>
      <c r="C269" s="20" t="s">
        <v>1111</v>
      </c>
      <c r="F269" s="20" t="s">
        <v>16</v>
      </c>
      <c r="G269" s="20" t="s">
        <v>638</v>
      </c>
      <c r="I269" s="20" t="s">
        <v>814</v>
      </c>
      <c r="J269" s="20" t="s">
        <v>143</v>
      </c>
      <c r="K269" s="20" t="s">
        <v>167</v>
      </c>
      <c r="Q269" s="20">
        <v>17117.0</v>
      </c>
      <c r="R269" s="20" t="s">
        <v>1112</v>
      </c>
      <c r="S269" s="20" t="s">
        <v>1110</v>
      </c>
      <c r="T269" s="20" t="s">
        <v>138</v>
      </c>
      <c r="W269" s="20" t="s">
        <v>146</v>
      </c>
    </row>
    <row r="270" ht="14.25" customHeight="1">
      <c r="A270" s="20" t="s">
        <v>1113</v>
      </c>
      <c r="B270" s="20" t="s">
        <v>1114</v>
      </c>
      <c r="C270" s="20" t="s">
        <v>1115</v>
      </c>
      <c r="F270" s="20" t="s">
        <v>15</v>
      </c>
      <c r="G270" s="20" t="s">
        <v>142</v>
      </c>
      <c r="H270" s="20">
        <v>11020.0</v>
      </c>
      <c r="I270" s="20" t="s">
        <v>105</v>
      </c>
      <c r="J270" s="20" t="s">
        <v>143</v>
      </c>
      <c r="P270" s="20" t="s">
        <v>1114</v>
      </c>
      <c r="Q270" s="20">
        <v>11020.0</v>
      </c>
      <c r="R270" s="20" t="s">
        <v>1116</v>
      </c>
      <c r="S270" s="20" t="s">
        <v>1114</v>
      </c>
      <c r="T270" s="20" t="s">
        <v>138</v>
      </c>
      <c r="W270" s="20" t="s">
        <v>146</v>
      </c>
    </row>
    <row r="271" ht="14.25" customHeight="1">
      <c r="A271" s="20" t="s">
        <v>1117</v>
      </c>
      <c r="B271" s="20" t="s">
        <v>1118</v>
      </c>
      <c r="C271" s="20" t="s">
        <v>1119</v>
      </c>
      <c r="F271" s="20" t="s">
        <v>15</v>
      </c>
      <c r="G271" s="20" t="s">
        <v>142</v>
      </c>
      <c r="I271" s="20" t="s">
        <v>105</v>
      </c>
      <c r="J271" s="20" t="s">
        <v>143</v>
      </c>
      <c r="Q271" s="20">
        <v>8781.0</v>
      </c>
      <c r="R271" s="20" t="s">
        <v>1120</v>
      </c>
      <c r="S271" s="20" t="s">
        <v>1118</v>
      </c>
      <c r="T271" s="20" t="s">
        <v>138</v>
      </c>
      <c r="W271" s="20" t="s">
        <v>146</v>
      </c>
    </row>
    <row r="272" ht="14.25" customHeight="1">
      <c r="A272" s="20" t="s">
        <v>1121</v>
      </c>
      <c r="B272" s="20" t="s">
        <v>1122</v>
      </c>
      <c r="C272" s="20" t="s">
        <v>159</v>
      </c>
      <c r="F272" s="20" t="s">
        <v>150</v>
      </c>
      <c r="G272" s="20" t="s">
        <v>150</v>
      </c>
      <c r="I272" s="20" t="s">
        <v>151</v>
      </c>
      <c r="J272" s="20" t="s">
        <v>143</v>
      </c>
      <c r="Q272" s="20">
        <v>10476.0</v>
      </c>
      <c r="R272" s="20" t="s">
        <v>1123</v>
      </c>
      <c r="S272" s="20" t="s">
        <v>1122</v>
      </c>
      <c r="T272" s="20" t="s">
        <v>138</v>
      </c>
    </row>
    <row r="273" ht="14.25" customHeight="1">
      <c r="A273" s="20" t="s">
        <v>1124</v>
      </c>
      <c r="B273" s="20" t="s">
        <v>1125</v>
      </c>
      <c r="C273" s="20" t="s">
        <v>1126</v>
      </c>
      <c r="F273" s="20" t="s">
        <v>15</v>
      </c>
      <c r="G273" s="20" t="s">
        <v>135</v>
      </c>
      <c r="I273" s="20" t="s">
        <v>96</v>
      </c>
      <c r="J273" s="20" t="s">
        <v>186</v>
      </c>
      <c r="K273" s="20" t="s">
        <v>187</v>
      </c>
      <c r="Q273" s="20">
        <v>63.0</v>
      </c>
      <c r="R273" s="20" t="s">
        <v>1127</v>
      </c>
      <c r="S273" s="20" t="s">
        <v>1125</v>
      </c>
      <c r="T273" s="20" t="s">
        <v>138</v>
      </c>
      <c r="V273" s="20" t="s">
        <v>260</v>
      </c>
      <c r="W273" s="20" t="s">
        <v>261</v>
      </c>
    </row>
    <row r="274" ht="14.25" customHeight="1">
      <c r="A274" s="20" t="s">
        <v>1128</v>
      </c>
      <c r="B274" s="20" t="s">
        <v>1129</v>
      </c>
      <c r="C274" s="20" t="s">
        <v>272</v>
      </c>
      <c r="F274" s="20" t="s">
        <v>150</v>
      </c>
      <c r="G274" s="20" t="s">
        <v>150</v>
      </c>
      <c r="I274" s="20" t="s">
        <v>151</v>
      </c>
      <c r="J274" s="20" t="s">
        <v>143</v>
      </c>
      <c r="Q274" s="20">
        <v>9977.0</v>
      </c>
      <c r="R274" s="20" t="s">
        <v>1130</v>
      </c>
      <c r="S274" s="20" t="s">
        <v>1129</v>
      </c>
      <c r="T274" s="20" t="s">
        <v>138</v>
      </c>
    </row>
    <row r="275" ht="14.25" customHeight="1">
      <c r="A275" s="20" t="s">
        <v>1131</v>
      </c>
      <c r="B275" s="20" t="s">
        <v>1132</v>
      </c>
      <c r="C275" s="20" t="s">
        <v>174</v>
      </c>
      <c r="F275" s="20" t="s">
        <v>150</v>
      </c>
      <c r="G275" s="20" t="s">
        <v>150</v>
      </c>
      <c r="I275" s="20" t="s">
        <v>151</v>
      </c>
      <c r="J275" s="20" t="s">
        <v>143</v>
      </c>
      <c r="Q275" s="20">
        <v>206.0</v>
      </c>
      <c r="R275" s="20" t="s">
        <v>1133</v>
      </c>
      <c r="S275" s="20" t="s">
        <v>1132</v>
      </c>
      <c r="T275" s="20" t="s">
        <v>138</v>
      </c>
    </row>
    <row r="276" ht="14.25" customHeight="1">
      <c r="A276" s="20" t="s">
        <v>1134</v>
      </c>
      <c r="B276" s="20" t="s">
        <v>1135</v>
      </c>
      <c r="C276" s="20" t="s">
        <v>174</v>
      </c>
      <c r="F276" s="20" t="s">
        <v>150</v>
      </c>
      <c r="G276" s="20" t="s">
        <v>150</v>
      </c>
      <c r="I276" s="20" t="s">
        <v>151</v>
      </c>
      <c r="J276" s="20" t="s">
        <v>186</v>
      </c>
      <c r="Q276" s="20">
        <v>9895.0</v>
      </c>
      <c r="R276" s="20" t="s">
        <v>1136</v>
      </c>
      <c r="S276" s="20" t="s">
        <v>1135</v>
      </c>
      <c r="T276" s="20" t="s">
        <v>138</v>
      </c>
    </row>
    <row r="277" ht="14.25" customHeight="1">
      <c r="A277" s="20" t="s">
        <v>1137</v>
      </c>
      <c r="B277" s="20" t="s">
        <v>1138</v>
      </c>
      <c r="C277" s="20" t="s">
        <v>1139</v>
      </c>
      <c r="F277" s="20" t="s">
        <v>150</v>
      </c>
      <c r="G277" s="20" t="s">
        <v>150</v>
      </c>
      <c r="I277" s="20" t="s">
        <v>151</v>
      </c>
      <c r="J277" s="20" t="s">
        <v>186</v>
      </c>
      <c r="Q277" s="20">
        <v>1980.0</v>
      </c>
      <c r="R277" s="20" t="s">
        <v>1140</v>
      </c>
      <c r="S277" s="20" t="s">
        <v>1141</v>
      </c>
      <c r="T277" s="20" t="s">
        <v>138</v>
      </c>
    </row>
    <row r="278" ht="14.25" customHeight="1">
      <c r="A278" s="20" t="s">
        <v>1142</v>
      </c>
      <c r="B278" s="20" t="s">
        <v>1143</v>
      </c>
      <c r="C278" s="20" t="s">
        <v>1144</v>
      </c>
      <c r="F278" s="20" t="s">
        <v>150</v>
      </c>
      <c r="G278" s="20" t="s">
        <v>150</v>
      </c>
      <c r="I278" s="20" t="s">
        <v>151</v>
      </c>
      <c r="J278" s="20" t="s">
        <v>186</v>
      </c>
      <c r="K278" s="20" t="s">
        <v>167</v>
      </c>
      <c r="Q278" s="20">
        <v>813.0</v>
      </c>
      <c r="R278" s="20" t="s">
        <v>1145</v>
      </c>
      <c r="S278" s="20" t="s">
        <v>1143</v>
      </c>
      <c r="T278" s="20" t="s">
        <v>138</v>
      </c>
    </row>
    <row r="279" ht="14.25" customHeight="1">
      <c r="A279" s="20" t="s">
        <v>1146</v>
      </c>
      <c r="B279" s="20" t="s">
        <v>1147</v>
      </c>
      <c r="C279" s="20" t="s">
        <v>624</v>
      </c>
      <c r="F279" s="20" t="s">
        <v>16</v>
      </c>
      <c r="G279" s="20" t="s">
        <v>202</v>
      </c>
      <c r="I279" s="20" t="s">
        <v>203</v>
      </c>
      <c r="J279" s="20" t="s">
        <v>186</v>
      </c>
      <c r="K279" s="20" t="s">
        <v>187</v>
      </c>
      <c r="Q279" s="20">
        <v>788.0</v>
      </c>
      <c r="R279" s="20" t="s">
        <v>1148</v>
      </c>
      <c r="S279" s="20" t="s">
        <v>1149</v>
      </c>
      <c r="T279" s="20" t="s">
        <v>138</v>
      </c>
      <c r="V279" s="20" t="s">
        <v>260</v>
      </c>
      <c r="W279" s="20" t="s">
        <v>261</v>
      </c>
    </row>
    <row r="280" ht="14.25" customHeight="1">
      <c r="A280" s="20" t="s">
        <v>1150</v>
      </c>
      <c r="B280" s="20" t="s">
        <v>1151</v>
      </c>
      <c r="C280" s="20" t="s">
        <v>1144</v>
      </c>
      <c r="F280" s="20" t="s">
        <v>150</v>
      </c>
      <c r="G280" s="20" t="s">
        <v>150</v>
      </c>
      <c r="I280" s="20" t="s">
        <v>151</v>
      </c>
      <c r="J280" s="20" t="s">
        <v>186</v>
      </c>
      <c r="Q280" s="20">
        <v>2164.0</v>
      </c>
      <c r="R280" s="20" t="s">
        <v>1152</v>
      </c>
      <c r="S280" s="20" t="s">
        <v>1151</v>
      </c>
      <c r="T280" s="20" t="s">
        <v>138</v>
      </c>
    </row>
    <row r="281" ht="14.25" customHeight="1">
      <c r="A281" s="20" t="s">
        <v>1153</v>
      </c>
      <c r="B281" s="20" t="s">
        <v>1154</v>
      </c>
      <c r="C281" s="20" t="s">
        <v>193</v>
      </c>
      <c r="F281" s="20" t="s">
        <v>150</v>
      </c>
      <c r="G281" s="20" t="s">
        <v>150</v>
      </c>
      <c r="I281" s="20" t="s">
        <v>151</v>
      </c>
      <c r="J281" s="20" t="s">
        <v>143</v>
      </c>
      <c r="Q281" s="20">
        <v>16671.0</v>
      </c>
      <c r="R281" s="20" t="s">
        <v>1155</v>
      </c>
      <c r="S281" s="20" t="s">
        <v>1154</v>
      </c>
      <c r="T281" s="20" t="s">
        <v>138</v>
      </c>
    </row>
    <row r="282" ht="14.25" customHeight="1">
      <c r="A282" s="20" t="s">
        <v>1156</v>
      </c>
      <c r="B282" s="20" t="s">
        <v>1157</v>
      </c>
      <c r="C282" s="20" t="s">
        <v>1158</v>
      </c>
      <c r="F282" s="20" t="s">
        <v>218</v>
      </c>
      <c r="G282" s="20" t="s">
        <v>219</v>
      </c>
      <c r="I282" s="20" t="s">
        <v>1159</v>
      </c>
      <c r="J282" s="20" t="s">
        <v>186</v>
      </c>
      <c r="Q282" s="20">
        <v>5641.0</v>
      </c>
      <c r="R282" s="20" t="s">
        <v>1160</v>
      </c>
      <c r="S282" s="20" t="s">
        <v>1157</v>
      </c>
      <c r="T282" s="20" t="s">
        <v>138</v>
      </c>
      <c r="W282" s="20" t="s">
        <v>146</v>
      </c>
    </row>
    <row r="283" ht="14.25" customHeight="1">
      <c r="A283" s="20" t="s">
        <v>1161</v>
      </c>
      <c r="B283" s="20" t="s">
        <v>1162</v>
      </c>
      <c r="C283" s="20" t="s">
        <v>149</v>
      </c>
      <c r="F283" s="20" t="s">
        <v>150</v>
      </c>
      <c r="G283" s="20" t="s">
        <v>150</v>
      </c>
      <c r="I283" s="20" t="s">
        <v>151</v>
      </c>
      <c r="J283" s="20" t="s">
        <v>143</v>
      </c>
      <c r="K283" s="20" t="s">
        <v>167</v>
      </c>
      <c r="Q283" s="20">
        <v>15543.0</v>
      </c>
      <c r="R283" s="20" t="s">
        <v>1163</v>
      </c>
      <c r="S283" s="20" t="s">
        <v>1162</v>
      </c>
      <c r="T283" s="20" t="s">
        <v>138</v>
      </c>
    </row>
    <row r="284" ht="14.25" customHeight="1">
      <c r="A284" s="20" t="s">
        <v>1164</v>
      </c>
      <c r="B284" s="20" t="s">
        <v>1165</v>
      </c>
      <c r="C284" s="20" t="s">
        <v>174</v>
      </c>
      <c r="F284" s="20" t="s">
        <v>150</v>
      </c>
      <c r="G284" s="20" t="s">
        <v>150</v>
      </c>
      <c r="I284" s="20" t="s">
        <v>151</v>
      </c>
      <c r="J284" s="20" t="s">
        <v>143</v>
      </c>
      <c r="Q284" s="20">
        <v>16634.0</v>
      </c>
      <c r="R284" s="20" t="s">
        <v>1166</v>
      </c>
      <c r="S284" s="20" t="s">
        <v>1165</v>
      </c>
      <c r="T284" s="20" t="s">
        <v>138</v>
      </c>
    </row>
    <row r="285" ht="14.25" customHeight="1">
      <c r="A285" s="20" t="s">
        <v>1167</v>
      </c>
      <c r="B285" s="20" t="s">
        <v>1168</v>
      </c>
      <c r="C285" s="20" t="s">
        <v>1169</v>
      </c>
      <c r="F285" s="20" t="s">
        <v>15</v>
      </c>
      <c r="G285" s="20" t="s">
        <v>135</v>
      </c>
      <c r="I285" s="20" t="s">
        <v>100</v>
      </c>
      <c r="J285" s="20" t="s">
        <v>143</v>
      </c>
      <c r="Q285" s="20">
        <v>14057.0</v>
      </c>
      <c r="R285" s="20" t="s">
        <v>1170</v>
      </c>
      <c r="S285" s="20" t="s">
        <v>1168</v>
      </c>
      <c r="T285" s="20" t="s">
        <v>138</v>
      </c>
    </row>
    <row r="286" ht="14.25" customHeight="1">
      <c r="A286" s="20" t="s">
        <v>1171</v>
      </c>
      <c r="B286" s="20" t="s">
        <v>1172</v>
      </c>
      <c r="C286" s="20" t="s">
        <v>779</v>
      </c>
      <c r="F286" s="20" t="s">
        <v>150</v>
      </c>
      <c r="G286" s="20" t="s">
        <v>150</v>
      </c>
      <c r="I286" s="20" t="s">
        <v>151</v>
      </c>
      <c r="J286" s="20" t="s">
        <v>143</v>
      </c>
      <c r="Q286" s="20">
        <v>11648.0</v>
      </c>
      <c r="R286" s="20" t="s">
        <v>1173</v>
      </c>
      <c r="S286" s="20" t="s">
        <v>1172</v>
      </c>
      <c r="T286" s="20" t="s">
        <v>138</v>
      </c>
    </row>
    <row r="287" ht="14.25" customHeight="1">
      <c r="A287" s="20" t="s">
        <v>1174</v>
      </c>
      <c r="B287" s="20" t="s">
        <v>1175</v>
      </c>
      <c r="C287" s="20" t="s">
        <v>1176</v>
      </c>
      <c r="F287" s="20" t="s">
        <v>16</v>
      </c>
      <c r="G287" s="20" t="s">
        <v>638</v>
      </c>
      <c r="H287" s="20">
        <v>15938.0</v>
      </c>
      <c r="I287" s="20" t="s">
        <v>814</v>
      </c>
      <c r="J287" s="20" t="s">
        <v>143</v>
      </c>
      <c r="K287" s="20" t="s">
        <v>213</v>
      </c>
      <c r="L287" s="20" t="s">
        <v>814</v>
      </c>
      <c r="Q287" s="20">
        <v>15938.0</v>
      </c>
      <c r="R287" s="20" t="s">
        <v>1177</v>
      </c>
      <c r="S287" s="20" t="s">
        <v>1175</v>
      </c>
      <c r="T287" s="20" t="s">
        <v>138</v>
      </c>
      <c r="U287" s="24">
        <v>44673.0</v>
      </c>
      <c r="W287" s="20" t="s">
        <v>146</v>
      </c>
    </row>
    <row r="288" ht="14.25" customHeight="1">
      <c r="A288" s="20" t="s">
        <v>1178</v>
      </c>
      <c r="B288" s="20" t="s">
        <v>1179</v>
      </c>
      <c r="C288" s="20" t="s">
        <v>818</v>
      </c>
      <c r="F288" s="20" t="s">
        <v>17</v>
      </c>
      <c r="G288" s="20" t="s">
        <v>17</v>
      </c>
      <c r="I288" s="20" t="s">
        <v>88</v>
      </c>
      <c r="J288" s="20" t="s">
        <v>143</v>
      </c>
      <c r="K288" s="20" t="s">
        <v>167</v>
      </c>
      <c r="Q288" s="20">
        <v>1494.0</v>
      </c>
      <c r="R288" s="20" t="s">
        <v>1180</v>
      </c>
      <c r="S288" s="20" t="s">
        <v>1181</v>
      </c>
      <c r="T288" s="20" t="s">
        <v>138</v>
      </c>
    </row>
    <row r="289" ht="14.25" customHeight="1">
      <c r="A289" s="20" t="s">
        <v>1182</v>
      </c>
      <c r="B289" s="20" t="s">
        <v>1183</v>
      </c>
      <c r="C289" s="20" t="s">
        <v>174</v>
      </c>
      <c r="F289" s="20" t="s">
        <v>150</v>
      </c>
      <c r="G289" s="20" t="s">
        <v>150</v>
      </c>
      <c r="I289" s="20" t="s">
        <v>151</v>
      </c>
      <c r="J289" s="20" t="s">
        <v>143</v>
      </c>
      <c r="Q289" s="20">
        <v>16207.0</v>
      </c>
      <c r="R289" s="20" t="s">
        <v>1184</v>
      </c>
      <c r="S289" s="20" t="s">
        <v>1183</v>
      </c>
      <c r="T289" s="20" t="s">
        <v>138</v>
      </c>
    </row>
    <row r="290" ht="14.25" customHeight="1">
      <c r="A290" s="20" t="s">
        <v>1185</v>
      </c>
      <c r="B290" s="20" t="s">
        <v>1186</v>
      </c>
      <c r="C290" s="20" t="s">
        <v>201</v>
      </c>
      <c r="F290" s="20" t="s">
        <v>16</v>
      </c>
      <c r="G290" s="20" t="s">
        <v>202</v>
      </c>
      <c r="I290" s="20" t="s">
        <v>203</v>
      </c>
      <c r="J290" s="20" t="s">
        <v>143</v>
      </c>
      <c r="Q290" s="20">
        <v>8887.0</v>
      </c>
      <c r="R290" s="20" t="s">
        <v>1187</v>
      </c>
      <c r="S290" s="20" t="s">
        <v>1186</v>
      </c>
      <c r="T290" s="20" t="s">
        <v>138</v>
      </c>
    </row>
    <row r="291" ht="14.25" customHeight="1">
      <c r="A291" s="20" t="s">
        <v>1188</v>
      </c>
      <c r="B291" s="20" t="s">
        <v>1189</v>
      </c>
      <c r="C291" s="20" t="s">
        <v>1190</v>
      </c>
      <c r="F291" s="20" t="s">
        <v>150</v>
      </c>
      <c r="G291" s="20" t="s">
        <v>150</v>
      </c>
      <c r="I291" s="20" t="s">
        <v>151</v>
      </c>
      <c r="J291" s="20" t="s">
        <v>143</v>
      </c>
      <c r="K291" s="20" t="s">
        <v>167</v>
      </c>
      <c r="Q291" s="20">
        <v>5343.0</v>
      </c>
      <c r="R291" s="20" t="s">
        <v>1191</v>
      </c>
      <c r="S291" s="20" t="s">
        <v>1189</v>
      </c>
      <c r="T291" s="20" t="s">
        <v>138</v>
      </c>
      <c r="W291" s="20" t="s">
        <v>146</v>
      </c>
    </row>
    <row r="292" ht="14.25" customHeight="1">
      <c r="A292" s="20" t="s">
        <v>1192</v>
      </c>
      <c r="B292" s="20" t="s">
        <v>1193</v>
      </c>
      <c r="C292" s="20" t="s">
        <v>178</v>
      </c>
      <c r="F292" s="20" t="s">
        <v>150</v>
      </c>
      <c r="G292" s="20" t="s">
        <v>150</v>
      </c>
      <c r="I292" s="20" t="s">
        <v>151</v>
      </c>
      <c r="J292" s="20" t="s">
        <v>143</v>
      </c>
      <c r="Q292" s="20">
        <v>10522.0</v>
      </c>
      <c r="R292" s="20" t="s">
        <v>1194</v>
      </c>
      <c r="S292" s="20" t="s">
        <v>1193</v>
      </c>
      <c r="T292" s="20" t="s">
        <v>138</v>
      </c>
    </row>
    <row r="293" ht="14.25" customHeight="1">
      <c r="A293" s="20" t="s">
        <v>1195</v>
      </c>
      <c r="B293" s="20" t="s">
        <v>1196</v>
      </c>
      <c r="C293" s="20" t="s">
        <v>197</v>
      </c>
      <c r="F293" s="20" t="s">
        <v>150</v>
      </c>
      <c r="G293" s="20" t="s">
        <v>150</v>
      </c>
      <c r="I293" s="20" t="s">
        <v>151</v>
      </c>
      <c r="J293" s="20" t="s">
        <v>143</v>
      </c>
      <c r="Q293" s="20">
        <v>14055.0</v>
      </c>
      <c r="R293" s="20" t="s">
        <v>1197</v>
      </c>
      <c r="S293" s="20" t="s">
        <v>1196</v>
      </c>
      <c r="T293" s="20" t="s">
        <v>138</v>
      </c>
    </row>
    <row r="294" ht="14.25" customHeight="1">
      <c r="A294" s="20" t="s">
        <v>1198</v>
      </c>
      <c r="B294" s="20" t="s">
        <v>1199</v>
      </c>
      <c r="C294" s="20" t="s">
        <v>1200</v>
      </c>
      <c r="F294" s="20" t="s">
        <v>327</v>
      </c>
      <c r="G294" s="20" t="s">
        <v>385</v>
      </c>
      <c r="I294" s="20" t="s">
        <v>1201</v>
      </c>
      <c r="J294" s="20" t="s">
        <v>186</v>
      </c>
      <c r="K294" s="20" t="s">
        <v>213</v>
      </c>
      <c r="Q294" s="20">
        <v>12329.0</v>
      </c>
      <c r="R294" s="20" t="s">
        <v>1202</v>
      </c>
      <c r="S294" s="20" t="s">
        <v>1199</v>
      </c>
      <c r="T294" s="20" t="s">
        <v>138</v>
      </c>
    </row>
    <row r="295" ht="14.25" customHeight="1">
      <c r="A295" s="20" t="s">
        <v>1203</v>
      </c>
      <c r="B295" s="20" t="s">
        <v>1204</v>
      </c>
      <c r="C295" s="20" t="s">
        <v>174</v>
      </c>
      <c r="F295" s="20" t="s">
        <v>150</v>
      </c>
      <c r="G295" s="20" t="s">
        <v>150</v>
      </c>
      <c r="I295" s="20" t="s">
        <v>151</v>
      </c>
      <c r="J295" s="20" t="s">
        <v>143</v>
      </c>
      <c r="Q295" s="20">
        <v>5308.0</v>
      </c>
      <c r="R295" s="20" t="s">
        <v>1205</v>
      </c>
      <c r="S295" s="20" t="s">
        <v>1204</v>
      </c>
      <c r="T295" s="20" t="s">
        <v>138</v>
      </c>
    </row>
    <row r="296" ht="14.25" customHeight="1">
      <c r="A296" s="20" t="s">
        <v>1206</v>
      </c>
      <c r="B296" s="20" t="s">
        <v>1207</v>
      </c>
      <c r="C296" s="20" t="s">
        <v>193</v>
      </c>
      <c r="F296" s="20" t="s">
        <v>150</v>
      </c>
      <c r="G296" s="20" t="s">
        <v>150</v>
      </c>
      <c r="I296" s="20" t="s">
        <v>151</v>
      </c>
      <c r="J296" s="20" t="s">
        <v>143</v>
      </c>
      <c r="K296" s="20" t="s">
        <v>167</v>
      </c>
      <c r="Q296" s="20">
        <v>8575.0</v>
      </c>
      <c r="R296" s="20" t="s">
        <v>1208</v>
      </c>
      <c r="S296" s="20" t="s">
        <v>1207</v>
      </c>
      <c r="T296" s="20" t="s">
        <v>138</v>
      </c>
    </row>
    <row r="297" ht="14.25" customHeight="1">
      <c r="A297" s="20" t="s">
        <v>1209</v>
      </c>
      <c r="B297" s="20" t="s">
        <v>1210</v>
      </c>
      <c r="C297" s="20" t="s">
        <v>174</v>
      </c>
      <c r="F297" s="20" t="s">
        <v>150</v>
      </c>
      <c r="G297" s="20" t="s">
        <v>150</v>
      </c>
      <c r="I297" s="20" t="s">
        <v>151</v>
      </c>
      <c r="J297" s="20" t="s">
        <v>143</v>
      </c>
      <c r="Q297" s="20">
        <v>12445.0</v>
      </c>
      <c r="R297" s="20" t="s">
        <v>1211</v>
      </c>
      <c r="S297" s="20" t="s">
        <v>1210</v>
      </c>
      <c r="T297" s="20" t="s">
        <v>138</v>
      </c>
    </row>
    <row r="298" ht="14.25" customHeight="1">
      <c r="A298" s="20" t="s">
        <v>1212</v>
      </c>
      <c r="B298" s="20" t="s">
        <v>1213</v>
      </c>
      <c r="C298" s="20" t="s">
        <v>174</v>
      </c>
      <c r="F298" s="20" t="s">
        <v>150</v>
      </c>
      <c r="G298" s="20" t="s">
        <v>150</v>
      </c>
      <c r="I298" s="20" t="s">
        <v>151</v>
      </c>
      <c r="J298" s="20" t="s">
        <v>143</v>
      </c>
      <c r="Q298" s="20">
        <v>9965.0</v>
      </c>
      <c r="R298" s="20" t="s">
        <v>1214</v>
      </c>
      <c r="S298" s="20" t="s">
        <v>1213</v>
      </c>
      <c r="T298" s="20" t="s">
        <v>138</v>
      </c>
    </row>
    <row r="299" ht="14.25" customHeight="1">
      <c r="A299" s="20" t="s">
        <v>1215</v>
      </c>
      <c r="B299" s="20" t="s">
        <v>1216</v>
      </c>
      <c r="C299" s="20" t="s">
        <v>178</v>
      </c>
      <c r="F299" s="20" t="s">
        <v>150</v>
      </c>
      <c r="G299" s="20" t="s">
        <v>150</v>
      </c>
      <c r="I299" s="20" t="s">
        <v>151</v>
      </c>
      <c r="J299" s="20" t="s">
        <v>143</v>
      </c>
      <c r="Q299" s="20">
        <v>14837.0</v>
      </c>
      <c r="R299" s="20" t="s">
        <v>1217</v>
      </c>
      <c r="S299" s="20" t="s">
        <v>1216</v>
      </c>
      <c r="T299" s="20" t="s">
        <v>138</v>
      </c>
    </row>
    <row r="300" ht="14.25" customHeight="1">
      <c r="A300" s="20" t="s">
        <v>1218</v>
      </c>
      <c r="B300" s="20" t="s">
        <v>1219</v>
      </c>
      <c r="C300" s="20" t="s">
        <v>1220</v>
      </c>
      <c r="F300" s="20" t="s">
        <v>327</v>
      </c>
      <c r="G300" s="20" t="s">
        <v>328</v>
      </c>
      <c r="H300" s="20">
        <v>17484.0</v>
      </c>
      <c r="I300" s="20" t="s">
        <v>329</v>
      </c>
      <c r="J300" s="20" t="s">
        <v>136</v>
      </c>
      <c r="P300" s="20" t="s">
        <v>1219</v>
      </c>
      <c r="Q300" s="20">
        <v>17484.0</v>
      </c>
      <c r="R300" s="20" t="s">
        <v>1221</v>
      </c>
      <c r="S300" s="20" t="s">
        <v>1219</v>
      </c>
      <c r="T300" s="20" t="s">
        <v>138</v>
      </c>
      <c r="W300" s="20" t="s">
        <v>136</v>
      </c>
    </row>
    <row r="301" ht="14.25" customHeight="1">
      <c r="A301" s="20" t="s">
        <v>1222</v>
      </c>
      <c r="B301" s="20" t="s">
        <v>1223</v>
      </c>
      <c r="C301" s="20" t="s">
        <v>201</v>
      </c>
      <c r="F301" s="20" t="s">
        <v>16</v>
      </c>
      <c r="G301" s="20" t="s">
        <v>202</v>
      </c>
      <c r="I301" s="20" t="s">
        <v>203</v>
      </c>
      <c r="J301" s="20" t="s">
        <v>143</v>
      </c>
      <c r="K301" s="20" t="s">
        <v>167</v>
      </c>
      <c r="Q301" s="20">
        <v>8150.0</v>
      </c>
      <c r="R301" s="20" t="s">
        <v>1224</v>
      </c>
      <c r="S301" s="20" t="s">
        <v>1223</v>
      </c>
      <c r="T301" s="20" t="s">
        <v>138</v>
      </c>
    </row>
    <row r="302" ht="14.25" customHeight="1">
      <c r="A302" s="20" t="s">
        <v>1225</v>
      </c>
      <c r="B302" s="20" t="s">
        <v>1226</v>
      </c>
      <c r="C302" s="20" t="s">
        <v>149</v>
      </c>
      <c r="F302" s="20" t="s">
        <v>150</v>
      </c>
      <c r="G302" s="20" t="s">
        <v>150</v>
      </c>
      <c r="I302" s="20" t="s">
        <v>151</v>
      </c>
      <c r="J302" s="20" t="s">
        <v>143</v>
      </c>
      <c r="Q302" s="20">
        <v>3670.0</v>
      </c>
      <c r="R302" s="20" t="s">
        <v>1227</v>
      </c>
      <c r="S302" s="20" t="s">
        <v>1226</v>
      </c>
      <c r="T302" s="20" t="s">
        <v>138</v>
      </c>
    </row>
    <row r="303" ht="14.25" customHeight="1">
      <c r="A303" s="20" t="s">
        <v>1228</v>
      </c>
      <c r="B303" s="20" t="s">
        <v>1229</v>
      </c>
      <c r="C303" s="20" t="s">
        <v>193</v>
      </c>
      <c r="F303" s="20" t="s">
        <v>150</v>
      </c>
      <c r="G303" s="20" t="s">
        <v>150</v>
      </c>
      <c r="I303" s="20" t="s">
        <v>151</v>
      </c>
      <c r="J303" s="20" t="s">
        <v>143</v>
      </c>
      <c r="Q303" s="20">
        <v>2771.0</v>
      </c>
      <c r="R303" s="20" t="s">
        <v>1230</v>
      </c>
      <c r="S303" s="20" t="s">
        <v>1229</v>
      </c>
      <c r="T303" s="20" t="s">
        <v>138</v>
      </c>
    </row>
    <row r="304" ht="14.25" customHeight="1">
      <c r="A304" s="20" t="s">
        <v>1231</v>
      </c>
      <c r="B304" s="20" t="s">
        <v>1232</v>
      </c>
      <c r="C304" s="20" t="s">
        <v>193</v>
      </c>
      <c r="F304" s="20" t="s">
        <v>150</v>
      </c>
      <c r="G304" s="20" t="s">
        <v>150</v>
      </c>
      <c r="I304" s="20" t="s">
        <v>151</v>
      </c>
      <c r="J304" s="20" t="s">
        <v>143</v>
      </c>
      <c r="Q304" s="20">
        <v>8471.0</v>
      </c>
      <c r="R304" s="20" t="s">
        <v>1233</v>
      </c>
      <c r="S304" s="20" t="s">
        <v>1232</v>
      </c>
      <c r="T304" s="20" t="s">
        <v>138</v>
      </c>
    </row>
    <row r="305" ht="14.25" customHeight="1">
      <c r="A305" s="20" t="s">
        <v>1234</v>
      </c>
      <c r="B305" s="20" t="s">
        <v>1235</v>
      </c>
      <c r="C305" s="20" t="s">
        <v>231</v>
      </c>
      <c r="F305" s="20" t="s">
        <v>15</v>
      </c>
      <c r="G305" s="20" t="s">
        <v>135</v>
      </c>
      <c r="I305" s="20" t="s">
        <v>94</v>
      </c>
      <c r="J305" s="20" t="s">
        <v>143</v>
      </c>
      <c r="Q305" s="20">
        <v>16601.0</v>
      </c>
      <c r="R305" s="20" t="s">
        <v>1236</v>
      </c>
      <c r="S305" s="20" t="s">
        <v>1235</v>
      </c>
      <c r="T305" s="20" t="s">
        <v>138</v>
      </c>
    </row>
    <row r="306" ht="14.25" customHeight="1">
      <c r="A306" s="20" t="s">
        <v>1237</v>
      </c>
      <c r="B306" s="20" t="s">
        <v>1238</v>
      </c>
      <c r="C306" s="20" t="s">
        <v>289</v>
      </c>
      <c r="F306" s="20" t="s">
        <v>150</v>
      </c>
      <c r="G306" s="20" t="s">
        <v>150</v>
      </c>
      <c r="I306" s="20" t="s">
        <v>151</v>
      </c>
      <c r="J306" s="20" t="s">
        <v>143</v>
      </c>
      <c r="Q306" s="20">
        <v>5636.0</v>
      </c>
      <c r="R306" s="20" t="s">
        <v>1239</v>
      </c>
      <c r="S306" s="20" t="s">
        <v>1238</v>
      </c>
      <c r="T306" s="20" t="s">
        <v>138</v>
      </c>
    </row>
    <row r="307" ht="14.25" customHeight="1">
      <c r="A307" s="20" t="s">
        <v>1240</v>
      </c>
      <c r="B307" s="20" t="s">
        <v>1241</v>
      </c>
      <c r="C307" s="20" t="s">
        <v>1242</v>
      </c>
      <c r="F307" s="20" t="s">
        <v>16</v>
      </c>
      <c r="G307" s="20" t="s">
        <v>211</v>
      </c>
      <c r="H307" s="20">
        <v>17304.0</v>
      </c>
      <c r="I307" s="20" t="s">
        <v>253</v>
      </c>
      <c r="J307" s="20" t="s">
        <v>186</v>
      </c>
      <c r="P307" s="20" t="s">
        <v>1241</v>
      </c>
      <c r="Q307" s="20">
        <v>17304.0</v>
      </c>
      <c r="R307" s="20" t="s">
        <v>1243</v>
      </c>
      <c r="S307" s="20" t="s">
        <v>1241</v>
      </c>
      <c r="T307" s="20" t="s">
        <v>138</v>
      </c>
      <c r="W307" s="20" t="s">
        <v>146</v>
      </c>
    </row>
    <row r="308" ht="14.25" customHeight="1">
      <c r="A308" s="20" t="s">
        <v>1244</v>
      </c>
      <c r="B308" s="20" t="s">
        <v>1245</v>
      </c>
      <c r="C308" s="20" t="s">
        <v>786</v>
      </c>
      <c r="F308" s="20" t="s">
        <v>16</v>
      </c>
      <c r="G308" s="20" t="s">
        <v>202</v>
      </c>
      <c r="I308" s="20" t="s">
        <v>203</v>
      </c>
      <c r="J308" s="20" t="s">
        <v>143</v>
      </c>
      <c r="Q308" s="20">
        <v>13596.0</v>
      </c>
      <c r="R308" s="20" t="s">
        <v>1246</v>
      </c>
      <c r="S308" s="20" t="s">
        <v>1245</v>
      </c>
      <c r="T308" s="20" t="s">
        <v>138</v>
      </c>
    </row>
    <row r="309" ht="14.25" customHeight="1">
      <c r="A309" s="20" t="s">
        <v>1247</v>
      </c>
      <c r="B309" s="20" t="s">
        <v>1248</v>
      </c>
      <c r="C309" s="20" t="s">
        <v>174</v>
      </c>
      <c r="F309" s="20" t="s">
        <v>150</v>
      </c>
      <c r="G309" s="20" t="s">
        <v>150</v>
      </c>
      <c r="I309" s="20" t="s">
        <v>151</v>
      </c>
      <c r="J309" s="20" t="s">
        <v>143</v>
      </c>
      <c r="Q309" s="20">
        <v>4107.0</v>
      </c>
      <c r="R309" s="20" t="s">
        <v>1249</v>
      </c>
      <c r="S309" s="20" t="s">
        <v>1248</v>
      </c>
      <c r="T309" s="20" t="s">
        <v>138</v>
      </c>
    </row>
    <row r="310" ht="14.25" customHeight="1">
      <c r="A310" s="20" t="s">
        <v>1250</v>
      </c>
      <c r="B310" s="20" t="s">
        <v>1251</v>
      </c>
      <c r="C310" s="20" t="s">
        <v>197</v>
      </c>
      <c r="F310" s="20" t="s">
        <v>150</v>
      </c>
      <c r="G310" s="20" t="s">
        <v>150</v>
      </c>
      <c r="I310" s="20" t="s">
        <v>151</v>
      </c>
      <c r="J310" s="20" t="s">
        <v>143</v>
      </c>
      <c r="K310" s="20" t="s">
        <v>167</v>
      </c>
      <c r="Q310" s="20">
        <v>15003.0</v>
      </c>
      <c r="R310" s="20" t="s">
        <v>1252</v>
      </c>
      <c r="S310" s="20" t="s">
        <v>1251</v>
      </c>
      <c r="T310" s="20" t="s">
        <v>138</v>
      </c>
    </row>
    <row r="311" ht="14.25" customHeight="1">
      <c r="A311" s="20" t="s">
        <v>1253</v>
      </c>
      <c r="B311" s="20" t="s">
        <v>1254</v>
      </c>
      <c r="C311" s="20" t="s">
        <v>1255</v>
      </c>
      <c r="F311" s="20" t="s">
        <v>17</v>
      </c>
      <c r="G311" s="20" t="s">
        <v>17</v>
      </c>
      <c r="H311" s="20">
        <v>231.0</v>
      </c>
      <c r="I311" s="20" t="s">
        <v>88</v>
      </c>
      <c r="J311" s="20" t="s">
        <v>186</v>
      </c>
      <c r="K311" s="20" t="s">
        <v>213</v>
      </c>
      <c r="L311" s="20" t="s">
        <v>88</v>
      </c>
      <c r="O311" s="20" t="s">
        <v>144</v>
      </c>
      <c r="Q311" s="20">
        <v>231.0</v>
      </c>
      <c r="R311" s="20" t="s">
        <v>1256</v>
      </c>
      <c r="S311" s="20" t="s">
        <v>1254</v>
      </c>
      <c r="T311" s="20" t="s">
        <v>138</v>
      </c>
      <c r="W311" s="20" t="s">
        <v>146</v>
      </c>
    </row>
    <row r="312" ht="14.25" customHeight="1">
      <c r="A312" s="20" t="s">
        <v>1257</v>
      </c>
      <c r="B312" s="20" t="s">
        <v>1258</v>
      </c>
      <c r="C312" s="20" t="s">
        <v>193</v>
      </c>
      <c r="F312" s="20" t="s">
        <v>150</v>
      </c>
      <c r="G312" s="20" t="s">
        <v>150</v>
      </c>
      <c r="I312" s="20" t="s">
        <v>151</v>
      </c>
      <c r="J312" s="20" t="s">
        <v>143</v>
      </c>
      <c r="Q312" s="20">
        <v>2769.0</v>
      </c>
      <c r="R312" s="20" t="s">
        <v>1259</v>
      </c>
      <c r="S312" s="20" t="s">
        <v>1258</v>
      </c>
      <c r="T312" s="20" t="s">
        <v>138</v>
      </c>
    </row>
    <row r="313" ht="14.25" customHeight="1">
      <c r="A313" s="20" t="s">
        <v>1260</v>
      </c>
      <c r="B313" s="20" t="s">
        <v>1261</v>
      </c>
      <c r="C313" s="20" t="s">
        <v>272</v>
      </c>
      <c r="F313" s="20" t="s">
        <v>150</v>
      </c>
      <c r="G313" s="20" t="s">
        <v>150</v>
      </c>
      <c r="I313" s="20" t="s">
        <v>151</v>
      </c>
      <c r="J313" s="20" t="s">
        <v>143</v>
      </c>
      <c r="Q313" s="20">
        <v>16515.0</v>
      </c>
      <c r="R313" s="20" t="s">
        <v>1262</v>
      </c>
      <c r="S313" s="20" t="s">
        <v>1261</v>
      </c>
      <c r="T313" s="20" t="s">
        <v>138</v>
      </c>
    </row>
    <row r="314" ht="14.25" customHeight="1">
      <c r="A314" s="20" t="s">
        <v>1263</v>
      </c>
      <c r="B314" s="20" t="s">
        <v>1264</v>
      </c>
      <c r="C314" s="20" t="s">
        <v>1265</v>
      </c>
      <c r="F314" s="20" t="s">
        <v>218</v>
      </c>
      <c r="G314" s="20" t="s">
        <v>219</v>
      </c>
      <c r="I314" s="20" t="s">
        <v>314</v>
      </c>
      <c r="J314" s="20" t="s">
        <v>186</v>
      </c>
      <c r="Q314" s="20">
        <v>14997.0</v>
      </c>
      <c r="R314" s="20" t="s">
        <v>1266</v>
      </c>
      <c r="S314" s="20" t="s">
        <v>1264</v>
      </c>
      <c r="T314" s="20" t="s">
        <v>138</v>
      </c>
    </row>
    <row r="315" ht="14.25" customHeight="1">
      <c r="A315" s="20" t="s">
        <v>1267</v>
      </c>
      <c r="B315" s="20" t="s">
        <v>1268</v>
      </c>
      <c r="C315" s="20" t="s">
        <v>1269</v>
      </c>
      <c r="F315" s="20" t="s">
        <v>218</v>
      </c>
      <c r="G315" s="20" t="s">
        <v>219</v>
      </c>
      <c r="I315" s="20" t="s">
        <v>314</v>
      </c>
      <c r="J315" s="20" t="s">
        <v>186</v>
      </c>
      <c r="K315" s="20" t="s">
        <v>187</v>
      </c>
      <c r="Q315" s="20">
        <v>11056.0</v>
      </c>
      <c r="R315" s="20" t="s">
        <v>1270</v>
      </c>
      <c r="S315" s="20" t="s">
        <v>1268</v>
      </c>
      <c r="T315" s="20" t="s">
        <v>138</v>
      </c>
      <c r="V315" s="20" t="s">
        <v>260</v>
      </c>
      <c r="W315" s="20" t="s">
        <v>261</v>
      </c>
    </row>
    <row r="316" ht="14.25" customHeight="1">
      <c r="A316" s="20" t="s">
        <v>1271</v>
      </c>
      <c r="B316" s="20" t="s">
        <v>1272</v>
      </c>
      <c r="C316" s="20" t="s">
        <v>1273</v>
      </c>
      <c r="F316" s="20" t="s">
        <v>17</v>
      </c>
      <c r="G316" s="20" t="s">
        <v>17</v>
      </c>
      <c r="I316" s="20" t="s">
        <v>88</v>
      </c>
      <c r="J316" s="20" t="s">
        <v>186</v>
      </c>
      <c r="K316" s="20" t="s">
        <v>213</v>
      </c>
      <c r="Q316" s="20">
        <v>4378.0</v>
      </c>
      <c r="R316" s="20" t="s">
        <v>1274</v>
      </c>
      <c r="S316" s="20" t="s">
        <v>1275</v>
      </c>
      <c r="T316" s="20" t="s">
        <v>138</v>
      </c>
      <c r="V316" s="20" t="s">
        <v>189</v>
      </c>
      <c r="W316" s="20" t="s">
        <v>261</v>
      </c>
    </row>
    <row r="317" ht="14.25" customHeight="1">
      <c r="A317" s="20" t="s">
        <v>1276</v>
      </c>
      <c r="B317" s="20" t="s">
        <v>1277</v>
      </c>
      <c r="C317" s="20" t="s">
        <v>174</v>
      </c>
      <c r="F317" s="20" t="s">
        <v>150</v>
      </c>
      <c r="G317" s="20" t="s">
        <v>150</v>
      </c>
      <c r="I317" s="20" t="s">
        <v>151</v>
      </c>
      <c r="J317" s="20" t="s">
        <v>143</v>
      </c>
      <c r="Q317" s="20">
        <v>2425.0</v>
      </c>
      <c r="R317" s="20" t="s">
        <v>1278</v>
      </c>
      <c r="S317" s="20" t="s">
        <v>1277</v>
      </c>
      <c r="T317" s="20" t="s">
        <v>138</v>
      </c>
    </row>
    <row r="318" ht="14.25" customHeight="1">
      <c r="A318" s="20" t="s">
        <v>1279</v>
      </c>
      <c r="B318" s="20" t="s">
        <v>1280</v>
      </c>
      <c r="C318" s="20" t="s">
        <v>1281</v>
      </c>
      <c r="E318" s="20" t="s">
        <v>1280</v>
      </c>
      <c r="F318" s="20" t="s">
        <v>327</v>
      </c>
      <c r="G318" s="20" t="s">
        <v>211</v>
      </c>
      <c r="I318" s="20" t="s">
        <v>1282</v>
      </c>
      <c r="J318" s="20" t="s">
        <v>136</v>
      </c>
      <c r="M318" s="20" t="s">
        <v>1283</v>
      </c>
      <c r="Q318" s="20">
        <v>17018.0</v>
      </c>
      <c r="R318" s="20" t="s">
        <v>1284</v>
      </c>
      <c r="S318" s="20" t="s">
        <v>1280</v>
      </c>
      <c r="T318" s="20" t="s">
        <v>138</v>
      </c>
      <c r="W318" s="20" t="s">
        <v>136</v>
      </c>
    </row>
    <row r="319" ht="14.25" customHeight="1">
      <c r="A319" s="20" t="s">
        <v>1285</v>
      </c>
      <c r="B319" s="20" t="s">
        <v>1286</v>
      </c>
      <c r="C319" s="20" t="s">
        <v>364</v>
      </c>
      <c r="F319" s="20" t="s">
        <v>218</v>
      </c>
      <c r="G319" s="20" t="s">
        <v>219</v>
      </c>
      <c r="I319" s="20" t="s">
        <v>365</v>
      </c>
      <c r="J319" s="20" t="s">
        <v>186</v>
      </c>
      <c r="Q319" s="20">
        <v>15824.0</v>
      </c>
      <c r="R319" s="20" t="s">
        <v>1287</v>
      </c>
      <c r="S319" s="20" t="s">
        <v>1286</v>
      </c>
      <c r="T319" s="20" t="s">
        <v>138</v>
      </c>
    </row>
    <row r="320" ht="14.25" customHeight="1">
      <c r="A320" s="20" t="s">
        <v>1288</v>
      </c>
      <c r="B320" s="20" t="s">
        <v>1289</v>
      </c>
      <c r="C320" s="20" t="s">
        <v>1290</v>
      </c>
      <c r="F320" s="20" t="s">
        <v>218</v>
      </c>
      <c r="G320" s="20" t="s">
        <v>219</v>
      </c>
      <c r="H320" s="20">
        <v>17640.0</v>
      </c>
      <c r="I320" s="20" t="s">
        <v>355</v>
      </c>
      <c r="J320" s="20" t="s">
        <v>143</v>
      </c>
      <c r="P320" s="20" t="s">
        <v>1289</v>
      </c>
      <c r="Q320" s="20">
        <v>17640.0</v>
      </c>
      <c r="R320" s="20" t="s">
        <v>1291</v>
      </c>
      <c r="S320" s="20" t="s">
        <v>1289</v>
      </c>
      <c r="T320" s="20" t="s">
        <v>138</v>
      </c>
      <c r="W320" s="20" t="s">
        <v>146</v>
      </c>
      <c r="X320" s="20" t="s">
        <v>1292</v>
      </c>
    </row>
    <row r="321" ht="14.25" customHeight="1">
      <c r="A321" s="20" t="s">
        <v>1293</v>
      </c>
      <c r="B321" s="20" t="s">
        <v>1294</v>
      </c>
      <c r="C321" s="20" t="s">
        <v>394</v>
      </c>
      <c r="F321" s="20" t="s">
        <v>16</v>
      </c>
      <c r="G321" s="20" t="s">
        <v>211</v>
      </c>
      <c r="I321" s="20" t="s">
        <v>502</v>
      </c>
      <c r="J321" s="20" t="s">
        <v>186</v>
      </c>
      <c r="Q321" s="20">
        <v>15838.0</v>
      </c>
      <c r="R321" s="20" t="s">
        <v>1295</v>
      </c>
      <c r="S321" s="20" t="s">
        <v>1294</v>
      </c>
      <c r="T321" s="20" t="s">
        <v>138</v>
      </c>
    </row>
    <row r="322" ht="14.25" customHeight="1">
      <c r="A322" s="20" t="s">
        <v>1296</v>
      </c>
      <c r="B322" s="20" t="s">
        <v>1297</v>
      </c>
      <c r="C322" s="20" t="s">
        <v>159</v>
      </c>
      <c r="F322" s="20" t="s">
        <v>150</v>
      </c>
      <c r="G322" s="20" t="s">
        <v>150</v>
      </c>
      <c r="I322" s="20" t="s">
        <v>151</v>
      </c>
      <c r="J322" s="20" t="s">
        <v>143</v>
      </c>
      <c r="Q322" s="20">
        <v>15266.0</v>
      </c>
      <c r="R322" s="20" t="s">
        <v>1298</v>
      </c>
      <c r="S322" s="20" t="s">
        <v>1297</v>
      </c>
      <c r="T322" s="20" t="s">
        <v>138</v>
      </c>
    </row>
    <row r="323" ht="14.25" customHeight="1">
      <c r="A323" s="20" t="s">
        <v>1299</v>
      </c>
      <c r="B323" s="20" t="s">
        <v>1300</v>
      </c>
      <c r="C323" s="20" t="s">
        <v>818</v>
      </c>
      <c r="F323" s="20" t="s">
        <v>17</v>
      </c>
      <c r="G323" s="20" t="s">
        <v>17</v>
      </c>
      <c r="I323" s="20" t="s">
        <v>88</v>
      </c>
      <c r="J323" s="20" t="s">
        <v>143</v>
      </c>
      <c r="Q323" s="20">
        <v>1054.0</v>
      </c>
      <c r="R323" s="20" t="s">
        <v>1301</v>
      </c>
      <c r="S323" s="20" t="s">
        <v>1302</v>
      </c>
      <c r="T323" s="20" t="s">
        <v>138</v>
      </c>
    </row>
    <row r="324" ht="14.25" customHeight="1">
      <c r="A324" s="20" t="s">
        <v>1303</v>
      </c>
      <c r="B324" s="20" t="s">
        <v>1304</v>
      </c>
      <c r="C324" s="20" t="s">
        <v>1305</v>
      </c>
      <c r="F324" s="20" t="s">
        <v>16</v>
      </c>
      <c r="G324" s="20" t="s">
        <v>202</v>
      </c>
      <c r="I324" s="20" t="s">
        <v>1306</v>
      </c>
      <c r="J324" s="20" t="s">
        <v>143</v>
      </c>
      <c r="K324" s="20" t="s">
        <v>167</v>
      </c>
      <c r="Q324" s="20">
        <v>5870.0</v>
      </c>
      <c r="R324" s="20" t="s">
        <v>1307</v>
      </c>
      <c r="S324" s="20" t="s">
        <v>1304</v>
      </c>
      <c r="T324" s="20" t="s">
        <v>138</v>
      </c>
    </row>
    <row r="325" ht="14.25" customHeight="1">
      <c r="A325" s="20" t="s">
        <v>1308</v>
      </c>
      <c r="B325" s="20" t="s">
        <v>1309</v>
      </c>
      <c r="C325" s="20" t="s">
        <v>1310</v>
      </c>
      <c r="F325" s="20" t="s">
        <v>15</v>
      </c>
      <c r="G325" s="20" t="s">
        <v>142</v>
      </c>
      <c r="H325" s="20">
        <v>17557.0</v>
      </c>
      <c r="I325" s="20" t="s">
        <v>105</v>
      </c>
      <c r="J325" s="20" t="s">
        <v>143</v>
      </c>
      <c r="P325" s="20" t="s">
        <v>1309</v>
      </c>
      <c r="Q325" s="20">
        <v>17557.0</v>
      </c>
      <c r="R325" s="20" t="s">
        <v>1311</v>
      </c>
      <c r="S325" s="20" t="s">
        <v>1309</v>
      </c>
      <c r="T325" s="20" t="s">
        <v>138</v>
      </c>
      <c r="W325" s="20" t="s">
        <v>146</v>
      </c>
    </row>
    <row r="326" ht="14.25" customHeight="1">
      <c r="A326" s="20" t="s">
        <v>1312</v>
      </c>
      <c r="B326" s="20" t="s">
        <v>1313</v>
      </c>
      <c r="C326" s="20" t="s">
        <v>1314</v>
      </c>
      <c r="F326" s="20" t="s">
        <v>16</v>
      </c>
      <c r="G326" s="20" t="s">
        <v>211</v>
      </c>
      <c r="I326" s="20" t="s">
        <v>258</v>
      </c>
      <c r="J326" s="20" t="s">
        <v>136</v>
      </c>
      <c r="Q326" s="20">
        <v>9020.0</v>
      </c>
      <c r="R326" s="20" t="s">
        <v>1315</v>
      </c>
      <c r="S326" s="20" t="s">
        <v>1313</v>
      </c>
      <c r="T326" s="20" t="s">
        <v>138</v>
      </c>
      <c r="W326" s="20" t="s">
        <v>136</v>
      </c>
    </row>
    <row r="327" ht="14.25" customHeight="1">
      <c r="A327" s="20" t="s">
        <v>1316</v>
      </c>
      <c r="B327" s="20" t="s">
        <v>1317</v>
      </c>
      <c r="C327" s="20" t="s">
        <v>1318</v>
      </c>
      <c r="F327" s="20" t="s">
        <v>218</v>
      </c>
      <c r="G327" s="20" t="s">
        <v>219</v>
      </c>
      <c r="H327" s="20">
        <v>15995.0</v>
      </c>
      <c r="I327" s="20" t="s">
        <v>314</v>
      </c>
      <c r="J327" s="20" t="s">
        <v>186</v>
      </c>
      <c r="P327" s="20" t="s">
        <v>1317</v>
      </c>
      <c r="Q327" s="20">
        <v>15995.0</v>
      </c>
      <c r="R327" s="20" t="s">
        <v>1319</v>
      </c>
      <c r="T327" s="20" t="s">
        <v>138</v>
      </c>
      <c r="W327" s="20" t="s">
        <v>146</v>
      </c>
    </row>
    <row r="328" ht="14.25" customHeight="1">
      <c r="A328" s="20" t="s">
        <v>1320</v>
      </c>
      <c r="B328" s="20" t="s">
        <v>1321</v>
      </c>
      <c r="C328" s="20" t="s">
        <v>1322</v>
      </c>
      <c r="F328" s="20" t="s">
        <v>218</v>
      </c>
      <c r="G328" s="20" t="s">
        <v>219</v>
      </c>
      <c r="H328" s="20">
        <v>16437.0</v>
      </c>
      <c r="I328" s="20" t="s">
        <v>365</v>
      </c>
      <c r="J328" s="20" t="s">
        <v>186</v>
      </c>
      <c r="K328" s="20" t="s">
        <v>167</v>
      </c>
      <c r="L328" s="20" t="s">
        <v>365</v>
      </c>
      <c r="M328" s="20" t="s">
        <v>1323</v>
      </c>
      <c r="Q328" s="20">
        <v>16437.0</v>
      </c>
      <c r="R328" s="20" t="s">
        <v>1324</v>
      </c>
      <c r="S328" s="20" t="s">
        <v>1321</v>
      </c>
      <c r="T328" s="20" t="s">
        <v>138</v>
      </c>
      <c r="U328" s="24">
        <v>44841.0</v>
      </c>
      <c r="W328" s="20" t="s">
        <v>146</v>
      </c>
    </row>
    <row r="329" ht="14.25" customHeight="1">
      <c r="A329" s="20" t="s">
        <v>1325</v>
      </c>
      <c r="B329" s="20" t="s">
        <v>1326</v>
      </c>
      <c r="C329" s="20" t="s">
        <v>193</v>
      </c>
      <c r="F329" s="20" t="s">
        <v>150</v>
      </c>
      <c r="G329" s="20" t="s">
        <v>150</v>
      </c>
      <c r="I329" s="20" t="s">
        <v>151</v>
      </c>
      <c r="J329" s="20" t="s">
        <v>143</v>
      </c>
      <c r="Q329" s="20">
        <v>6936.0</v>
      </c>
      <c r="R329" s="20" t="s">
        <v>1327</v>
      </c>
      <c r="S329" s="20" t="s">
        <v>1326</v>
      </c>
      <c r="T329" s="20" t="s">
        <v>138</v>
      </c>
    </row>
    <row r="330" ht="14.25" customHeight="1">
      <c r="A330" s="20" t="s">
        <v>1328</v>
      </c>
      <c r="B330" s="20" t="s">
        <v>1329</v>
      </c>
      <c r="C330" s="20" t="s">
        <v>248</v>
      </c>
      <c r="F330" s="20" t="s">
        <v>16</v>
      </c>
      <c r="G330" s="20" t="s">
        <v>211</v>
      </c>
      <c r="I330" s="20" t="s">
        <v>212</v>
      </c>
      <c r="J330" s="20" t="s">
        <v>136</v>
      </c>
      <c r="Q330" s="20">
        <v>14387.0</v>
      </c>
      <c r="R330" s="20" t="s">
        <v>1330</v>
      </c>
      <c r="S330" s="20" t="s">
        <v>1329</v>
      </c>
      <c r="T330" s="20" t="s">
        <v>138</v>
      </c>
      <c r="W330" s="20" t="s">
        <v>372</v>
      </c>
    </row>
    <row r="331" ht="14.25" customHeight="1">
      <c r="A331" s="20" t="s">
        <v>1331</v>
      </c>
      <c r="B331" s="20" t="s">
        <v>1332</v>
      </c>
      <c r="C331" s="20" t="s">
        <v>818</v>
      </c>
      <c r="F331" s="20" t="s">
        <v>17</v>
      </c>
      <c r="G331" s="20" t="s">
        <v>17</v>
      </c>
      <c r="I331" s="20" t="s">
        <v>88</v>
      </c>
      <c r="J331" s="20" t="s">
        <v>143</v>
      </c>
      <c r="Q331" s="20">
        <v>237.0</v>
      </c>
      <c r="R331" s="20" t="s">
        <v>1333</v>
      </c>
      <c r="S331" s="20" t="s">
        <v>1332</v>
      </c>
      <c r="T331" s="20" t="s">
        <v>138</v>
      </c>
    </row>
    <row r="332" ht="14.25" customHeight="1">
      <c r="A332" s="20" t="s">
        <v>1334</v>
      </c>
      <c r="B332" s="20" t="s">
        <v>1335</v>
      </c>
      <c r="C332" s="20" t="s">
        <v>235</v>
      </c>
      <c r="F332" s="20" t="s">
        <v>15</v>
      </c>
      <c r="G332" s="20" t="s">
        <v>142</v>
      </c>
      <c r="I332" s="20" t="s">
        <v>105</v>
      </c>
      <c r="J332" s="20" t="s">
        <v>143</v>
      </c>
      <c r="Q332" s="20">
        <v>8504.0</v>
      </c>
      <c r="R332" s="20" t="s">
        <v>1336</v>
      </c>
      <c r="S332" s="20" t="s">
        <v>1335</v>
      </c>
      <c r="T332" s="20" t="s">
        <v>138</v>
      </c>
    </row>
    <row r="333" ht="14.25" customHeight="1">
      <c r="A333" s="20" t="s">
        <v>1337</v>
      </c>
      <c r="B333" s="20" t="s">
        <v>1338</v>
      </c>
      <c r="C333" s="20" t="s">
        <v>193</v>
      </c>
      <c r="F333" s="20" t="s">
        <v>150</v>
      </c>
      <c r="G333" s="20" t="s">
        <v>150</v>
      </c>
      <c r="I333" s="20" t="s">
        <v>151</v>
      </c>
      <c r="J333" s="20" t="s">
        <v>143</v>
      </c>
      <c r="Q333" s="20">
        <v>16021.0</v>
      </c>
      <c r="R333" s="20" t="s">
        <v>1339</v>
      </c>
      <c r="S333" s="20" t="s">
        <v>1340</v>
      </c>
      <c r="T333" s="20" t="s">
        <v>138</v>
      </c>
    </row>
    <row r="334" ht="14.25" customHeight="1">
      <c r="A334" s="20" t="s">
        <v>1341</v>
      </c>
      <c r="B334" s="20" t="s">
        <v>1342</v>
      </c>
      <c r="C334" s="20" t="s">
        <v>1343</v>
      </c>
      <c r="F334" s="20" t="s">
        <v>150</v>
      </c>
      <c r="G334" s="20" t="s">
        <v>150</v>
      </c>
      <c r="I334" s="20" t="s">
        <v>151</v>
      </c>
      <c r="J334" s="20" t="s">
        <v>186</v>
      </c>
      <c r="Q334" s="20">
        <v>15784.0</v>
      </c>
      <c r="R334" s="20" t="s">
        <v>1344</v>
      </c>
      <c r="S334" s="20" t="s">
        <v>1342</v>
      </c>
      <c r="T334" s="20" t="s">
        <v>138</v>
      </c>
    </row>
    <row r="335" ht="14.25" customHeight="1">
      <c r="A335" s="20" t="s">
        <v>1345</v>
      </c>
      <c r="B335" s="20" t="s">
        <v>1346</v>
      </c>
      <c r="C335" s="20" t="s">
        <v>1343</v>
      </c>
      <c r="F335" s="20" t="s">
        <v>150</v>
      </c>
      <c r="G335" s="20" t="s">
        <v>150</v>
      </c>
      <c r="I335" s="20" t="s">
        <v>151</v>
      </c>
      <c r="J335" s="20" t="s">
        <v>186</v>
      </c>
      <c r="Q335" s="20">
        <v>15783.0</v>
      </c>
      <c r="R335" s="20" t="s">
        <v>1347</v>
      </c>
      <c r="S335" s="20" t="s">
        <v>1346</v>
      </c>
      <c r="T335" s="20" t="s">
        <v>138</v>
      </c>
    </row>
    <row r="336" ht="14.25" customHeight="1">
      <c r="A336" s="20" t="s">
        <v>1348</v>
      </c>
      <c r="B336" s="20" t="s">
        <v>1349</v>
      </c>
      <c r="C336" s="20" t="s">
        <v>1350</v>
      </c>
      <c r="F336" s="20" t="s">
        <v>150</v>
      </c>
      <c r="G336" s="20" t="s">
        <v>150</v>
      </c>
      <c r="H336" s="20">
        <v>15552.0</v>
      </c>
      <c r="I336" s="20" t="s">
        <v>151</v>
      </c>
      <c r="J336" s="20" t="s">
        <v>186</v>
      </c>
      <c r="K336" s="20" t="s">
        <v>187</v>
      </c>
      <c r="M336" s="20" t="s">
        <v>1351</v>
      </c>
      <c r="O336" s="20" t="s">
        <v>144</v>
      </c>
      <c r="Q336" s="20">
        <v>443.0</v>
      </c>
      <c r="R336" s="20" t="s">
        <v>1352</v>
      </c>
      <c r="S336" s="20" t="s">
        <v>1349</v>
      </c>
      <c r="T336" s="20" t="s">
        <v>138</v>
      </c>
    </row>
    <row r="337" ht="14.25" customHeight="1">
      <c r="A337" s="20" t="s">
        <v>1353</v>
      </c>
      <c r="B337" s="20" t="s">
        <v>1354</v>
      </c>
      <c r="C337" s="20" t="s">
        <v>1355</v>
      </c>
      <c r="F337" s="20" t="s">
        <v>16</v>
      </c>
      <c r="G337" s="20" t="s">
        <v>211</v>
      </c>
      <c r="I337" s="20" t="s">
        <v>212</v>
      </c>
      <c r="J337" s="20" t="s">
        <v>186</v>
      </c>
      <c r="K337" s="20" t="s">
        <v>213</v>
      </c>
      <c r="Q337" s="20">
        <v>1793.0</v>
      </c>
      <c r="R337" s="20" t="s">
        <v>1356</v>
      </c>
      <c r="S337" s="20" t="s">
        <v>1357</v>
      </c>
      <c r="T337" s="20" t="s">
        <v>138</v>
      </c>
      <c r="V337" s="20" t="s">
        <v>189</v>
      </c>
      <c r="W337" s="20" t="s">
        <v>146</v>
      </c>
    </row>
    <row r="338" ht="14.25" customHeight="1">
      <c r="A338" s="20" t="s">
        <v>1358</v>
      </c>
      <c r="B338" s="20" t="s">
        <v>1359</v>
      </c>
      <c r="C338" s="20" t="s">
        <v>1355</v>
      </c>
      <c r="F338" s="20" t="s">
        <v>16</v>
      </c>
      <c r="G338" s="20" t="s">
        <v>211</v>
      </c>
      <c r="I338" s="20" t="s">
        <v>212</v>
      </c>
      <c r="J338" s="20" t="s">
        <v>186</v>
      </c>
      <c r="Q338" s="20">
        <v>1786.0</v>
      </c>
      <c r="R338" s="20" t="s">
        <v>1360</v>
      </c>
      <c r="S338" s="20" t="s">
        <v>1361</v>
      </c>
      <c r="T338" s="20" t="s">
        <v>138</v>
      </c>
    </row>
    <row r="339" ht="14.25" customHeight="1">
      <c r="A339" s="20" t="s">
        <v>1362</v>
      </c>
      <c r="B339" s="20" t="s">
        <v>1363</v>
      </c>
      <c r="C339" s="20" t="s">
        <v>1355</v>
      </c>
      <c r="F339" s="20" t="s">
        <v>16</v>
      </c>
      <c r="G339" s="20" t="s">
        <v>211</v>
      </c>
      <c r="I339" s="20" t="s">
        <v>212</v>
      </c>
      <c r="J339" s="20" t="s">
        <v>186</v>
      </c>
      <c r="Q339" s="20">
        <v>1788.0</v>
      </c>
      <c r="R339" s="20" t="s">
        <v>1364</v>
      </c>
      <c r="S339" s="20" t="s">
        <v>1365</v>
      </c>
      <c r="T339" s="20" t="s">
        <v>138</v>
      </c>
    </row>
    <row r="340" ht="14.25" customHeight="1">
      <c r="A340" s="20" t="s">
        <v>1366</v>
      </c>
      <c r="B340" s="20" t="s">
        <v>1367</v>
      </c>
      <c r="C340" s="20" t="s">
        <v>1350</v>
      </c>
      <c r="F340" s="20" t="s">
        <v>150</v>
      </c>
      <c r="G340" s="20" t="s">
        <v>150</v>
      </c>
      <c r="I340" s="20" t="s">
        <v>151</v>
      </c>
      <c r="J340" s="20" t="s">
        <v>186</v>
      </c>
      <c r="K340" s="20" t="s">
        <v>187</v>
      </c>
      <c r="L340" s="20" t="s">
        <v>151</v>
      </c>
      <c r="M340" s="20" t="s">
        <v>1368</v>
      </c>
      <c r="Q340" s="20">
        <v>15552.0</v>
      </c>
      <c r="R340" s="20" t="s">
        <v>1369</v>
      </c>
      <c r="S340" s="20" t="s">
        <v>1370</v>
      </c>
      <c r="T340" s="20" t="s">
        <v>138</v>
      </c>
      <c r="V340" s="20" t="s">
        <v>260</v>
      </c>
      <c r="W340" s="20" t="s">
        <v>261</v>
      </c>
    </row>
    <row r="341" ht="14.25" customHeight="1">
      <c r="A341" s="20" t="s">
        <v>1371</v>
      </c>
      <c r="B341" s="20" t="s">
        <v>1372</v>
      </c>
      <c r="C341" s="20" t="s">
        <v>482</v>
      </c>
      <c r="F341" s="20" t="s">
        <v>15</v>
      </c>
      <c r="G341" s="20" t="s">
        <v>142</v>
      </c>
      <c r="I341" s="20" t="s">
        <v>105</v>
      </c>
      <c r="J341" s="20" t="s">
        <v>143</v>
      </c>
      <c r="Q341" s="20">
        <v>14974.0</v>
      </c>
      <c r="R341" s="20" t="s">
        <v>1373</v>
      </c>
      <c r="S341" s="20" t="s">
        <v>1372</v>
      </c>
      <c r="T341" s="20" t="s">
        <v>138</v>
      </c>
    </row>
    <row r="342" ht="14.25" customHeight="1">
      <c r="A342" s="20" t="s">
        <v>1374</v>
      </c>
      <c r="B342" s="20" t="s">
        <v>1375</v>
      </c>
      <c r="C342" s="20" t="s">
        <v>174</v>
      </c>
      <c r="F342" s="20" t="s">
        <v>150</v>
      </c>
      <c r="G342" s="20" t="s">
        <v>150</v>
      </c>
      <c r="I342" s="20" t="s">
        <v>151</v>
      </c>
      <c r="J342" s="20" t="s">
        <v>186</v>
      </c>
      <c r="Q342" s="20">
        <v>13985.0</v>
      </c>
      <c r="R342" s="20" t="s">
        <v>1376</v>
      </c>
      <c r="S342" s="20" t="s">
        <v>1375</v>
      </c>
      <c r="T342" s="20" t="s">
        <v>138</v>
      </c>
    </row>
    <row r="343" ht="14.25" customHeight="1">
      <c r="A343" s="20" t="s">
        <v>1377</v>
      </c>
      <c r="B343" s="20" t="s">
        <v>1378</v>
      </c>
      <c r="C343" s="20" t="s">
        <v>272</v>
      </c>
      <c r="F343" s="20" t="s">
        <v>150</v>
      </c>
      <c r="G343" s="20" t="s">
        <v>150</v>
      </c>
      <c r="I343" s="20" t="s">
        <v>151</v>
      </c>
      <c r="J343" s="20" t="s">
        <v>143</v>
      </c>
      <c r="Q343" s="20">
        <v>9851.0</v>
      </c>
      <c r="R343" s="20" t="s">
        <v>1379</v>
      </c>
      <c r="S343" s="20" t="s">
        <v>1378</v>
      </c>
      <c r="T343" s="20" t="s">
        <v>138</v>
      </c>
    </row>
    <row r="344" ht="14.25" customHeight="1">
      <c r="A344" s="20" t="s">
        <v>1380</v>
      </c>
      <c r="B344" s="20" t="s">
        <v>1381</v>
      </c>
      <c r="C344" s="20" t="s">
        <v>354</v>
      </c>
      <c r="F344" s="20" t="s">
        <v>218</v>
      </c>
      <c r="G344" s="20" t="s">
        <v>219</v>
      </c>
      <c r="H344" s="20">
        <v>16414.0</v>
      </c>
      <c r="I344" s="20" t="s">
        <v>355</v>
      </c>
      <c r="J344" s="20" t="s">
        <v>143</v>
      </c>
      <c r="P344" s="20" t="s">
        <v>1381</v>
      </c>
      <c r="Q344" s="20">
        <v>16414.0</v>
      </c>
      <c r="R344" s="20" t="s">
        <v>1382</v>
      </c>
      <c r="S344" s="20" t="s">
        <v>1381</v>
      </c>
      <c r="T344" s="20" t="s">
        <v>138</v>
      </c>
      <c r="W344" s="20" t="s">
        <v>146</v>
      </c>
    </row>
    <row r="345" ht="14.25" customHeight="1">
      <c r="A345" s="20" t="s">
        <v>1383</v>
      </c>
      <c r="B345" s="20" t="s">
        <v>1384</v>
      </c>
      <c r="C345" s="20" t="s">
        <v>239</v>
      </c>
      <c r="F345" s="20" t="s">
        <v>17</v>
      </c>
      <c r="G345" s="20" t="s">
        <v>17</v>
      </c>
      <c r="I345" s="20" t="s">
        <v>88</v>
      </c>
      <c r="J345" s="20" t="s">
        <v>143</v>
      </c>
      <c r="K345" s="20" t="s">
        <v>167</v>
      </c>
      <c r="Q345" s="20">
        <v>407.0</v>
      </c>
      <c r="R345" s="20" t="s">
        <v>1385</v>
      </c>
      <c r="S345" s="20" t="s">
        <v>1384</v>
      </c>
      <c r="T345" s="20" t="s">
        <v>138</v>
      </c>
    </row>
    <row r="346" ht="14.25" customHeight="1">
      <c r="A346" s="20" t="s">
        <v>1386</v>
      </c>
      <c r="B346" s="20" t="s">
        <v>1387</v>
      </c>
      <c r="C346" s="20" t="s">
        <v>1388</v>
      </c>
      <c r="F346" s="20" t="s">
        <v>16</v>
      </c>
      <c r="G346" s="20" t="s">
        <v>202</v>
      </c>
      <c r="H346" s="20">
        <v>16386.0</v>
      </c>
      <c r="I346" s="20" t="s">
        <v>1306</v>
      </c>
      <c r="J346" s="20" t="s">
        <v>143</v>
      </c>
      <c r="K346" s="20" t="s">
        <v>167</v>
      </c>
      <c r="Q346" s="20">
        <v>16386.0</v>
      </c>
      <c r="R346" s="20" t="s">
        <v>1389</v>
      </c>
      <c r="S346" s="20" t="s">
        <v>1387</v>
      </c>
      <c r="T346" s="20" t="s">
        <v>138</v>
      </c>
      <c r="U346" s="24">
        <v>44854.0</v>
      </c>
      <c r="W346" s="20" t="s">
        <v>146</v>
      </c>
    </row>
    <row r="347" ht="14.25" customHeight="1">
      <c r="A347" s="20" t="s">
        <v>1390</v>
      </c>
      <c r="B347" s="20" t="s">
        <v>1391</v>
      </c>
      <c r="C347" s="20" t="s">
        <v>1392</v>
      </c>
      <c r="F347" s="20" t="s">
        <v>17</v>
      </c>
      <c r="G347" s="20" t="s">
        <v>17</v>
      </c>
      <c r="I347" s="20" t="s">
        <v>88</v>
      </c>
      <c r="J347" s="20" t="s">
        <v>186</v>
      </c>
      <c r="Q347" s="20">
        <v>8989.0</v>
      </c>
      <c r="R347" s="20" t="s">
        <v>1393</v>
      </c>
      <c r="S347" s="20" t="s">
        <v>1394</v>
      </c>
      <c r="T347" s="20" t="s">
        <v>138</v>
      </c>
    </row>
    <row r="348" ht="14.25" customHeight="1">
      <c r="A348" s="20" t="s">
        <v>1395</v>
      </c>
      <c r="B348" s="20" t="s">
        <v>1396</v>
      </c>
      <c r="C348" s="20" t="s">
        <v>1397</v>
      </c>
      <c r="F348" s="20" t="s">
        <v>17</v>
      </c>
      <c r="G348" s="20" t="s">
        <v>17</v>
      </c>
      <c r="I348" s="20" t="s">
        <v>88</v>
      </c>
      <c r="J348" s="20" t="s">
        <v>143</v>
      </c>
      <c r="Q348" s="20">
        <v>15097.0</v>
      </c>
      <c r="R348" s="20" t="s">
        <v>1398</v>
      </c>
      <c r="S348" s="20" t="s">
        <v>1396</v>
      </c>
      <c r="T348" s="20" t="s">
        <v>138</v>
      </c>
    </row>
    <row r="349" ht="14.25" customHeight="1">
      <c r="A349" s="20" t="s">
        <v>1399</v>
      </c>
      <c r="B349" s="20" t="s">
        <v>1400</v>
      </c>
      <c r="C349" s="20" t="s">
        <v>163</v>
      </c>
      <c r="F349" s="20" t="s">
        <v>150</v>
      </c>
      <c r="G349" s="20" t="s">
        <v>150</v>
      </c>
      <c r="I349" s="20" t="s">
        <v>151</v>
      </c>
      <c r="J349" s="20" t="s">
        <v>143</v>
      </c>
      <c r="Q349" s="20">
        <v>10824.0</v>
      </c>
      <c r="R349" s="20" t="s">
        <v>1401</v>
      </c>
      <c r="S349" s="20" t="s">
        <v>1400</v>
      </c>
      <c r="T349" s="20" t="s">
        <v>138</v>
      </c>
    </row>
    <row r="350" ht="14.25" customHeight="1">
      <c r="A350" s="20" t="s">
        <v>1402</v>
      </c>
      <c r="B350" s="20" t="s">
        <v>1403</v>
      </c>
      <c r="C350" s="20" t="s">
        <v>163</v>
      </c>
      <c r="F350" s="20" t="s">
        <v>150</v>
      </c>
      <c r="G350" s="20" t="s">
        <v>150</v>
      </c>
      <c r="I350" s="20" t="s">
        <v>151</v>
      </c>
      <c r="J350" s="20" t="s">
        <v>143</v>
      </c>
      <c r="K350" s="20" t="s">
        <v>167</v>
      </c>
      <c r="Q350" s="20">
        <v>244.0</v>
      </c>
      <c r="R350" s="20" t="s">
        <v>1404</v>
      </c>
      <c r="S350" s="20" t="s">
        <v>1403</v>
      </c>
      <c r="T350" s="20" t="s">
        <v>138</v>
      </c>
    </row>
    <row r="351" ht="14.25" customHeight="1">
      <c r="A351" s="20" t="s">
        <v>1405</v>
      </c>
      <c r="B351" s="20" t="s">
        <v>1406</v>
      </c>
      <c r="C351" s="20" t="s">
        <v>197</v>
      </c>
      <c r="F351" s="20" t="s">
        <v>150</v>
      </c>
      <c r="G351" s="20" t="s">
        <v>150</v>
      </c>
      <c r="I351" s="20" t="s">
        <v>151</v>
      </c>
      <c r="J351" s="20" t="s">
        <v>143</v>
      </c>
      <c r="Q351" s="20">
        <v>12340.0</v>
      </c>
      <c r="R351" s="20" t="s">
        <v>1407</v>
      </c>
      <c r="S351" s="20" t="s">
        <v>1406</v>
      </c>
      <c r="T351" s="20" t="s">
        <v>138</v>
      </c>
    </row>
    <row r="352" ht="14.25" customHeight="1">
      <c r="A352" s="20" t="s">
        <v>1408</v>
      </c>
      <c r="B352" s="20" t="s">
        <v>1409</v>
      </c>
      <c r="C352" s="20" t="s">
        <v>818</v>
      </c>
      <c r="F352" s="20" t="s">
        <v>17</v>
      </c>
      <c r="G352" s="20" t="s">
        <v>17</v>
      </c>
      <c r="I352" s="20" t="s">
        <v>88</v>
      </c>
      <c r="J352" s="20" t="s">
        <v>143</v>
      </c>
      <c r="Q352" s="20">
        <v>11859.0</v>
      </c>
      <c r="R352" s="20" t="s">
        <v>1410</v>
      </c>
      <c r="S352" s="20" t="s">
        <v>1409</v>
      </c>
      <c r="T352" s="20" t="s">
        <v>138</v>
      </c>
    </row>
    <row r="353" ht="14.25" customHeight="1">
      <c r="A353" s="20" t="s">
        <v>1411</v>
      </c>
      <c r="B353" s="20" t="s">
        <v>1412</v>
      </c>
      <c r="C353" s="20" t="s">
        <v>491</v>
      </c>
      <c r="F353" s="20" t="s">
        <v>327</v>
      </c>
      <c r="G353" s="20" t="s">
        <v>385</v>
      </c>
      <c r="I353" s="20" t="s">
        <v>492</v>
      </c>
      <c r="J353" s="20" t="s">
        <v>186</v>
      </c>
      <c r="K353" s="20" t="s">
        <v>167</v>
      </c>
      <c r="Q353" s="20">
        <v>1071.0</v>
      </c>
      <c r="R353" s="20" t="s">
        <v>1413</v>
      </c>
      <c r="S353" s="20" t="s">
        <v>1412</v>
      </c>
      <c r="T353" s="20" t="s">
        <v>138</v>
      </c>
    </row>
    <row r="354" ht="14.25" customHeight="1">
      <c r="A354" s="20" t="s">
        <v>1414</v>
      </c>
      <c r="B354" s="20" t="s">
        <v>1415</v>
      </c>
      <c r="C354" s="20" t="s">
        <v>1416</v>
      </c>
      <c r="F354" s="20" t="s">
        <v>17</v>
      </c>
      <c r="G354" s="20" t="s">
        <v>17</v>
      </c>
      <c r="I354" s="20" t="s">
        <v>88</v>
      </c>
      <c r="J354" s="20" t="s">
        <v>143</v>
      </c>
      <c r="K354" s="20" t="s">
        <v>213</v>
      </c>
      <c r="Q354" s="20">
        <v>8826.0</v>
      </c>
      <c r="R354" s="20" t="s">
        <v>1417</v>
      </c>
      <c r="S354" s="20" t="s">
        <v>1415</v>
      </c>
      <c r="T354" s="20" t="s">
        <v>138</v>
      </c>
      <c r="V354" s="20" t="s">
        <v>189</v>
      </c>
      <c r="W354" s="20" t="s">
        <v>146</v>
      </c>
    </row>
    <row r="355" ht="14.25" customHeight="1">
      <c r="A355" s="20" t="s">
        <v>1418</v>
      </c>
      <c r="B355" s="20" t="s">
        <v>1419</v>
      </c>
      <c r="C355" s="20" t="s">
        <v>1420</v>
      </c>
      <c r="F355" s="20" t="s">
        <v>17</v>
      </c>
      <c r="G355" s="20" t="s">
        <v>17</v>
      </c>
      <c r="I355" s="20" t="s">
        <v>88</v>
      </c>
      <c r="J355" s="20" t="s">
        <v>143</v>
      </c>
      <c r="K355" s="20" t="s">
        <v>213</v>
      </c>
      <c r="Q355" s="20">
        <v>246.0</v>
      </c>
      <c r="R355" s="20" t="s">
        <v>1421</v>
      </c>
      <c r="S355" s="20" t="s">
        <v>1419</v>
      </c>
      <c r="T355" s="20" t="s">
        <v>138</v>
      </c>
      <c r="W355" s="20" t="s">
        <v>146</v>
      </c>
    </row>
    <row r="356" ht="14.25" customHeight="1">
      <c r="A356" s="20" t="s">
        <v>1422</v>
      </c>
      <c r="B356" s="20" t="s">
        <v>1423</v>
      </c>
      <c r="C356" s="20" t="s">
        <v>149</v>
      </c>
      <c r="F356" s="20" t="s">
        <v>150</v>
      </c>
      <c r="G356" s="20" t="s">
        <v>150</v>
      </c>
      <c r="I356" s="20" t="s">
        <v>151</v>
      </c>
      <c r="J356" s="20" t="s">
        <v>143</v>
      </c>
      <c r="Q356" s="20">
        <v>14724.0</v>
      </c>
      <c r="R356" s="20" t="s">
        <v>1424</v>
      </c>
      <c r="S356" s="20" t="s">
        <v>1423</v>
      </c>
      <c r="T356" s="20" t="s">
        <v>138</v>
      </c>
      <c r="V356" s="20" t="s">
        <v>260</v>
      </c>
      <c r="W356" s="20" t="s">
        <v>146</v>
      </c>
    </row>
    <row r="357" ht="14.25" customHeight="1">
      <c r="A357" s="20" t="s">
        <v>1425</v>
      </c>
      <c r="B357" s="20" t="s">
        <v>1426</v>
      </c>
      <c r="C357" s="20" t="s">
        <v>906</v>
      </c>
      <c r="F357" s="20" t="s">
        <v>15</v>
      </c>
      <c r="G357" s="20" t="s">
        <v>142</v>
      </c>
      <c r="I357" s="20" t="s">
        <v>105</v>
      </c>
      <c r="J357" s="20" t="s">
        <v>136</v>
      </c>
      <c r="Q357" s="20">
        <v>13772.0</v>
      </c>
      <c r="R357" s="20" t="s">
        <v>1427</v>
      </c>
      <c r="S357" s="20" t="s">
        <v>1426</v>
      </c>
      <c r="T357" s="20" t="s">
        <v>138</v>
      </c>
      <c r="W357" s="20" t="s">
        <v>136</v>
      </c>
    </row>
    <row r="358" ht="14.25" customHeight="1">
      <c r="A358" s="20" t="s">
        <v>1428</v>
      </c>
      <c r="B358" s="20" t="s">
        <v>1429</v>
      </c>
      <c r="C358" s="20" t="s">
        <v>1430</v>
      </c>
      <c r="F358" s="20" t="s">
        <v>16</v>
      </c>
      <c r="G358" s="20" t="s">
        <v>211</v>
      </c>
      <c r="I358" s="20" t="s">
        <v>212</v>
      </c>
      <c r="J358" s="20" t="s">
        <v>186</v>
      </c>
      <c r="K358" s="20" t="s">
        <v>167</v>
      </c>
      <c r="Q358" s="20">
        <v>2241.0</v>
      </c>
      <c r="R358" s="20" t="s">
        <v>1431</v>
      </c>
      <c r="S358" s="20" t="s">
        <v>1432</v>
      </c>
      <c r="T358" s="20" t="s">
        <v>138</v>
      </c>
      <c r="V358" s="20" t="s">
        <v>260</v>
      </c>
      <c r="W358" s="20" t="s">
        <v>146</v>
      </c>
    </row>
    <row r="359" ht="14.25" customHeight="1">
      <c r="A359" s="20" t="s">
        <v>1433</v>
      </c>
      <c r="B359" s="20" t="s">
        <v>1434</v>
      </c>
      <c r="C359" s="20" t="s">
        <v>1435</v>
      </c>
      <c r="F359" s="20" t="s">
        <v>16</v>
      </c>
      <c r="G359" s="20" t="s">
        <v>211</v>
      </c>
      <c r="H359" s="20">
        <v>1339.0</v>
      </c>
      <c r="I359" s="20" t="s">
        <v>212</v>
      </c>
      <c r="J359" s="20" t="s">
        <v>186</v>
      </c>
      <c r="K359" s="20" t="s">
        <v>213</v>
      </c>
      <c r="P359" s="20" t="s">
        <v>1434</v>
      </c>
      <c r="Q359" s="20">
        <v>1339.0</v>
      </c>
      <c r="R359" s="20" t="s">
        <v>1436</v>
      </c>
      <c r="S359" s="20" t="s">
        <v>1434</v>
      </c>
      <c r="T359" s="20" t="s">
        <v>138</v>
      </c>
    </row>
    <row r="360" ht="14.25" customHeight="1">
      <c r="A360" s="20" t="s">
        <v>1437</v>
      </c>
      <c r="B360" s="20" t="s">
        <v>1438</v>
      </c>
      <c r="C360" s="20" t="s">
        <v>1439</v>
      </c>
      <c r="F360" s="20" t="s">
        <v>16</v>
      </c>
      <c r="G360" s="20" t="s">
        <v>638</v>
      </c>
      <c r="I360" s="20" t="s">
        <v>639</v>
      </c>
      <c r="J360" s="20" t="s">
        <v>136</v>
      </c>
      <c r="Q360" s="20">
        <v>2812.0</v>
      </c>
      <c r="R360" s="20" t="s">
        <v>1440</v>
      </c>
      <c r="S360" s="20" t="s">
        <v>1438</v>
      </c>
      <c r="T360" s="20" t="s">
        <v>138</v>
      </c>
      <c r="W360" s="20" t="s">
        <v>372</v>
      </c>
    </row>
    <row r="361" ht="14.25" customHeight="1">
      <c r="A361" s="20" t="s">
        <v>1441</v>
      </c>
      <c r="B361" s="20" t="s">
        <v>1442</v>
      </c>
      <c r="C361" s="20" t="s">
        <v>163</v>
      </c>
      <c r="F361" s="20" t="s">
        <v>150</v>
      </c>
      <c r="G361" s="20" t="s">
        <v>150</v>
      </c>
      <c r="I361" s="20" t="s">
        <v>151</v>
      </c>
      <c r="J361" s="20" t="s">
        <v>143</v>
      </c>
      <c r="Q361" s="20">
        <v>15930.0</v>
      </c>
      <c r="R361" s="20" t="s">
        <v>1443</v>
      </c>
      <c r="S361" s="20" t="s">
        <v>1442</v>
      </c>
      <c r="T361" s="20" t="s">
        <v>138</v>
      </c>
    </row>
    <row r="362" ht="14.25" customHeight="1">
      <c r="A362" s="20" t="s">
        <v>1444</v>
      </c>
      <c r="B362" s="20" t="s">
        <v>1445</v>
      </c>
      <c r="C362" s="20" t="s">
        <v>174</v>
      </c>
      <c r="F362" s="20" t="s">
        <v>150</v>
      </c>
      <c r="G362" s="20" t="s">
        <v>150</v>
      </c>
      <c r="I362" s="20" t="s">
        <v>151</v>
      </c>
      <c r="J362" s="20" t="s">
        <v>143</v>
      </c>
      <c r="Q362" s="20">
        <v>13635.0</v>
      </c>
      <c r="R362" s="20" t="s">
        <v>1446</v>
      </c>
      <c r="S362" s="20" t="s">
        <v>1445</v>
      </c>
      <c r="T362" s="20" t="s">
        <v>138</v>
      </c>
    </row>
    <row r="363" ht="14.25" customHeight="1">
      <c r="A363" s="20" t="s">
        <v>1447</v>
      </c>
      <c r="B363" s="20" t="s">
        <v>1448</v>
      </c>
      <c r="C363" s="20" t="s">
        <v>1449</v>
      </c>
      <c r="F363" s="20" t="s">
        <v>17</v>
      </c>
      <c r="G363" s="20" t="s">
        <v>17</v>
      </c>
      <c r="H363" s="20">
        <v>2535.0</v>
      </c>
      <c r="I363" s="20" t="s">
        <v>88</v>
      </c>
      <c r="J363" s="20" t="s">
        <v>143</v>
      </c>
      <c r="K363" s="20" t="s">
        <v>213</v>
      </c>
      <c r="M363" s="20" t="s">
        <v>319</v>
      </c>
      <c r="O363" s="20" t="s">
        <v>144</v>
      </c>
      <c r="Q363" s="20">
        <v>2535.0</v>
      </c>
      <c r="R363" s="20" t="s">
        <v>1450</v>
      </c>
      <c r="S363" s="20" t="s">
        <v>1448</v>
      </c>
      <c r="T363" s="20" t="s">
        <v>138</v>
      </c>
      <c r="U363" s="24">
        <v>44796.0</v>
      </c>
      <c r="W363" s="20" t="s">
        <v>146</v>
      </c>
    </row>
    <row r="364" ht="14.25" customHeight="1">
      <c r="A364" s="20" t="s">
        <v>1451</v>
      </c>
      <c r="B364" s="20" t="s">
        <v>1452</v>
      </c>
      <c r="C364" s="20" t="s">
        <v>252</v>
      </c>
      <c r="F364" s="20" t="s">
        <v>16</v>
      </c>
      <c r="G364" s="20" t="s">
        <v>211</v>
      </c>
      <c r="I364" s="20" t="s">
        <v>253</v>
      </c>
      <c r="J364" s="20" t="s">
        <v>136</v>
      </c>
      <c r="Q364" s="20">
        <v>14809.0</v>
      </c>
      <c r="R364" s="20" t="s">
        <v>1453</v>
      </c>
      <c r="S364" s="20" t="s">
        <v>1452</v>
      </c>
      <c r="T364" s="20" t="s">
        <v>138</v>
      </c>
      <c r="W364" s="20" t="s">
        <v>372</v>
      </c>
    </row>
    <row r="365" ht="14.25" customHeight="1">
      <c r="A365" s="20" t="s">
        <v>1454</v>
      </c>
      <c r="B365" s="20" t="s">
        <v>1455</v>
      </c>
      <c r="C365" s="20" t="s">
        <v>193</v>
      </c>
      <c r="F365" s="20" t="s">
        <v>150</v>
      </c>
      <c r="G365" s="20" t="s">
        <v>150</v>
      </c>
      <c r="I365" s="20" t="s">
        <v>151</v>
      </c>
      <c r="J365" s="20" t="s">
        <v>143</v>
      </c>
      <c r="Q365" s="20">
        <v>3036.0</v>
      </c>
      <c r="R365" s="20" t="s">
        <v>1456</v>
      </c>
      <c r="S365" s="20" t="s">
        <v>1455</v>
      </c>
      <c r="T365" s="20" t="s">
        <v>138</v>
      </c>
    </row>
    <row r="366" ht="14.25" customHeight="1">
      <c r="A366" s="20" t="s">
        <v>1457</v>
      </c>
      <c r="B366" s="20" t="s">
        <v>1458</v>
      </c>
      <c r="C366" s="20" t="s">
        <v>874</v>
      </c>
      <c r="F366" s="20" t="s">
        <v>327</v>
      </c>
      <c r="G366" s="20" t="s">
        <v>385</v>
      </c>
      <c r="I366" s="20" t="s">
        <v>875</v>
      </c>
      <c r="J366" s="20" t="s">
        <v>186</v>
      </c>
      <c r="K366" s="20" t="s">
        <v>213</v>
      </c>
      <c r="L366" s="20" t="s">
        <v>875</v>
      </c>
      <c r="Q366" s="20">
        <v>4812.0</v>
      </c>
      <c r="R366" s="20" t="s">
        <v>1459</v>
      </c>
      <c r="S366" s="20" t="s">
        <v>1458</v>
      </c>
      <c r="T366" s="20" t="s">
        <v>138</v>
      </c>
      <c r="V366" s="20" t="s">
        <v>260</v>
      </c>
      <c r="W366" s="20" t="s">
        <v>146</v>
      </c>
    </row>
    <row r="367" ht="14.25" customHeight="1">
      <c r="A367" s="20" t="s">
        <v>1460</v>
      </c>
      <c r="B367" s="20" t="s">
        <v>1461</v>
      </c>
      <c r="C367" s="20" t="s">
        <v>174</v>
      </c>
      <c r="F367" s="20" t="s">
        <v>150</v>
      </c>
      <c r="G367" s="20" t="s">
        <v>150</v>
      </c>
      <c r="I367" s="20" t="s">
        <v>151</v>
      </c>
      <c r="J367" s="20" t="s">
        <v>143</v>
      </c>
      <c r="Q367" s="20">
        <v>10455.0</v>
      </c>
      <c r="R367" s="20" t="s">
        <v>1462</v>
      </c>
      <c r="S367" s="20" t="s">
        <v>1461</v>
      </c>
      <c r="T367" s="20" t="s">
        <v>138</v>
      </c>
    </row>
    <row r="368" ht="14.25" customHeight="1">
      <c r="A368" s="20" t="s">
        <v>1463</v>
      </c>
      <c r="B368" s="20" t="s">
        <v>1464</v>
      </c>
      <c r="C368" s="20" t="s">
        <v>680</v>
      </c>
      <c r="F368" s="20" t="s">
        <v>15</v>
      </c>
      <c r="G368" s="20" t="s">
        <v>142</v>
      </c>
      <c r="I368" s="20" t="s">
        <v>105</v>
      </c>
      <c r="J368" s="20" t="s">
        <v>143</v>
      </c>
      <c r="Q368" s="20">
        <v>10257.0</v>
      </c>
      <c r="R368" s="20" t="s">
        <v>1465</v>
      </c>
      <c r="S368" s="20" t="s">
        <v>1464</v>
      </c>
      <c r="T368" s="20" t="s">
        <v>138</v>
      </c>
    </row>
    <row r="369" ht="14.25" customHeight="1">
      <c r="A369" s="20" t="s">
        <v>1466</v>
      </c>
      <c r="B369" s="20" t="s">
        <v>1467</v>
      </c>
      <c r="C369" s="20" t="s">
        <v>680</v>
      </c>
      <c r="F369" s="20" t="s">
        <v>15</v>
      </c>
      <c r="G369" s="20" t="s">
        <v>142</v>
      </c>
      <c r="I369" s="20" t="s">
        <v>105</v>
      </c>
      <c r="J369" s="20" t="s">
        <v>1468</v>
      </c>
      <c r="Q369" s="20">
        <v>13446.0</v>
      </c>
      <c r="R369" s="20" t="s">
        <v>1469</v>
      </c>
      <c r="S369" s="20" t="s">
        <v>1467</v>
      </c>
      <c r="T369" s="20" t="s">
        <v>138</v>
      </c>
    </row>
    <row r="370" ht="14.25" customHeight="1">
      <c r="A370" s="20" t="s">
        <v>1470</v>
      </c>
      <c r="B370" s="20" t="s">
        <v>1471</v>
      </c>
      <c r="C370" s="20" t="s">
        <v>149</v>
      </c>
      <c r="F370" s="20" t="s">
        <v>150</v>
      </c>
      <c r="G370" s="20" t="s">
        <v>150</v>
      </c>
      <c r="I370" s="20" t="s">
        <v>151</v>
      </c>
      <c r="J370" s="20" t="s">
        <v>143</v>
      </c>
      <c r="Q370" s="20">
        <v>252.0</v>
      </c>
      <c r="R370" s="20" t="s">
        <v>1472</v>
      </c>
      <c r="S370" s="20" t="s">
        <v>1471</v>
      </c>
      <c r="T370" s="20" t="s">
        <v>138</v>
      </c>
    </row>
    <row r="371" ht="14.25" customHeight="1">
      <c r="A371" s="20" t="s">
        <v>1473</v>
      </c>
      <c r="B371" s="20" t="s">
        <v>1474</v>
      </c>
      <c r="C371" s="20" t="s">
        <v>1475</v>
      </c>
      <c r="F371" s="20" t="s">
        <v>16</v>
      </c>
      <c r="G371" s="20" t="s">
        <v>202</v>
      </c>
      <c r="H371" s="20">
        <v>16226.0</v>
      </c>
      <c r="I371" s="20" t="s">
        <v>87</v>
      </c>
      <c r="J371" s="20" t="s">
        <v>143</v>
      </c>
      <c r="Q371" s="20">
        <v>16227.0</v>
      </c>
      <c r="R371" s="20" t="s">
        <v>1476</v>
      </c>
      <c r="S371" s="20" t="s">
        <v>1474</v>
      </c>
      <c r="T371" s="20" t="s">
        <v>138</v>
      </c>
      <c r="U371" s="24">
        <v>44718.0</v>
      </c>
    </row>
    <row r="372" ht="14.25" customHeight="1">
      <c r="A372" s="20" t="s">
        <v>1477</v>
      </c>
      <c r="B372" s="20" t="s">
        <v>1478</v>
      </c>
      <c r="C372" s="20" t="s">
        <v>1290</v>
      </c>
      <c r="F372" s="20" t="s">
        <v>218</v>
      </c>
      <c r="G372" s="20" t="s">
        <v>219</v>
      </c>
      <c r="H372" s="20">
        <v>17638.0</v>
      </c>
      <c r="I372" s="20" t="s">
        <v>355</v>
      </c>
      <c r="J372" s="20" t="s">
        <v>143</v>
      </c>
      <c r="P372" s="20" t="s">
        <v>1478</v>
      </c>
      <c r="Q372" s="20">
        <v>17638.0</v>
      </c>
      <c r="R372" s="20" t="s">
        <v>1479</v>
      </c>
      <c r="S372" s="20" t="s">
        <v>1478</v>
      </c>
      <c r="T372" s="20" t="s">
        <v>138</v>
      </c>
      <c r="W372" s="20" t="s">
        <v>146</v>
      </c>
      <c r="X372" s="20" t="s">
        <v>1292</v>
      </c>
    </row>
    <row r="373" ht="14.25" customHeight="1">
      <c r="A373" s="20" t="s">
        <v>1480</v>
      </c>
      <c r="B373" s="20" t="s">
        <v>1481</v>
      </c>
      <c r="C373" s="20" t="s">
        <v>1482</v>
      </c>
      <c r="F373" s="20" t="s">
        <v>17</v>
      </c>
      <c r="G373" s="20" t="s">
        <v>17</v>
      </c>
      <c r="I373" s="20" t="s">
        <v>88</v>
      </c>
      <c r="J373" s="20" t="s">
        <v>143</v>
      </c>
      <c r="K373" s="20" t="s">
        <v>213</v>
      </c>
      <c r="Q373" s="20">
        <v>3104.0</v>
      </c>
      <c r="R373" s="20" t="s">
        <v>1483</v>
      </c>
      <c r="S373" s="20" t="s">
        <v>1481</v>
      </c>
      <c r="T373" s="20" t="s">
        <v>138</v>
      </c>
      <c r="V373" s="20" t="s">
        <v>189</v>
      </c>
      <c r="W373" s="20" t="s">
        <v>146</v>
      </c>
    </row>
    <row r="374" ht="14.25" customHeight="1">
      <c r="A374" s="20" t="s">
        <v>1484</v>
      </c>
      <c r="B374" s="20" t="s">
        <v>1485</v>
      </c>
      <c r="C374" s="20" t="s">
        <v>272</v>
      </c>
      <c r="F374" s="20" t="s">
        <v>150</v>
      </c>
      <c r="G374" s="20" t="s">
        <v>150</v>
      </c>
      <c r="I374" s="20" t="s">
        <v>151</v>
      </c>
      <c r="J374" s="20" t="s">
        <v>143</v>
      </c>
      <c r="Q374" s="20">
        <v>14789.0</v>
      </c>
      <c r="R374" s="20" t="s">
        <v>1486</v>
      </c>
      <c r="S374" s="20" t="s">
        <v>1485</v>
      </c>
      <c r="T374" s="20" t="s">
        <v>138</v>
      </c>
    </row>
    <row r="375" ht="14.25" customHeight="1">
      <c r="A375" s="20" t="s">
        <v>1487</v>
      </c>
      <c r="B375" s="20" t="s">
        <v>1488</v>
      </c>
      <c r="C375" s="20" t="s">
        <v>174</v>
      </c>
      <c r="F375" s="20" t="s">
        <v>150</v>
      </c>
      <c r="G375" s="20" t="s">
        <v>150</v>
      </c>
      <c r="I375" s="20" t="s">
        <v>151</v>
      </c>
      <c r="J375" s="20" t="s">
        <v>143</v>
      </c>
      <c r="Q375" s="20">
        <v>259.0</v>
      </c>
      <c r="R375" s="20" t="s">
        <v>1489</v>
      </c>
      <c r="S375" s="20" t="s">
        <v>1488</v>
      </c>
      <c r="T375" s="20" t="s">
        <v>138</v>
      </c>
    </row>
    <row r="376" ht="14.25" customHeight="1">
      <c r="A376" s="20" t="s">
        <v>1490</v>
      </c>
      <c r="B376" s="20" t="s">
        <v>1491</v>
      </c>
      <c r="C376" s="20" t="s">
        <v>272</v>
      </c>
      <c r="F376" s="20" t="s">
        <v>150</v>
      </c>
      <c r="G376" s="20" t="s">
        <v>150</v>
      </c>
      <c r="I376" s="20" t="s">
        <v>151</v>
      </c>
      <c r="J376" s="20" t="s">
        <v>143</v>
      </c>
      <c r="Q376" s="20">
        <v>16686.0</v>
      </c>
      <c r="R376" s="20" t="s">
        <v>1492</v>
      </c>
      <c r="S376" s="20" t="s">
        <v>1491</v>
      </c>
      <c r="T376" s="20" t="s">
        <v>138</v>
      </c>
    </row>
    <row r="377" ht="14.25" customHeight="1">
      <c r="A377" s="20" t="s">
        <v>1493</v>
      </c>
      <c r="B377" s="20" t="s">
        <v>1494</v>
      </c>
      <c r="C377" s="20" t="s">
        <v>174</v>
      </c>
      <c r="F377" s="20" t="s">
        <v>150</v>
      </c>
      <c r="G377" s="20" t="s">
        <v>150</v>
      </c>
      <c r="I377" s="20" t="s">
        <v>151</v>
      </c>
      <c r="J377" s="20" t="s">
        <v>143</v>
      </c>
      <c r="Q377" s="20">
        <v>2206.0</v>
      </c>
      <c r="R377" s="20" t="s">
        <v>1495</v>
      </c>
      <c r="S377" s="20" t="s">
        <v>1494</v>
      </c>
      <c r="T377" s="20" t="s">
        <v>138</v>
      </c>
    </row>
    <row r="378" ht="14.25" customHeight="1">
      <c r="A378" s="20" t="s">
        <v>1496</v>
      </c>
      <c r="B378" s="20" t="s">
        <v>1497</v>
      </c>
      <c r="C378" s="20" t="s">
        <v>779</v>
      </c>
      <c r="F378" s="20" t="s">
        <v>150</v>
      </c>
      <c r="G378" s="20" t="s">
        <v>150</v>
      </c>
      <c r="I378" s="20" t="s">
        <v>151</v>
      </c>
      <c r="J378" s="20" t="s">
        <v>143</v>
      </c>
      <c r="Q378" s="20">
        <v>4733.0</v>
      </c>
      <c r="R378" s="20" t="s">
        <v>1498</v>
      </c>
      <c r="S378" s="20" t="s">
        <v>1497</v>
      </c>
      <c r="T378" s="20" t="s">
        <v>138</v>
      </c>
    </row>
    <row r="379" ht="14.25" customHeight="1">
      <c r="A379" s="20" t="s">
        <v>1499</v>
      </c>
      <c r="B379" s="20" t="s">
        <v>1500</v>
      </c>
      <c r="C379" s="20" t="s">
        <v>1501</v>
      </c>
      <c r="F379" s="20" t="s">
        <v>15</v>
      </c>
      <c r="G379" s="20" t="s">
        <v>142</v>
      </c>
      <c r="I379" s="20" t="s">
        <v>105</v>
      </c>
      <c r="J379" s="20" t="s">
        <v>143</v>
      </c>
      <c r="Q379" s="20">
        <v>14801.0</v>
      </c>
      <c r="R379" s="20" t="s">
        <v>1502</v>
      </c>
      <c r="S379" s="20" t="s">
        <v>1500</v>
      </c>
      <c r="T379" s="20" t="s">
        <v>138</v>
      </c>
    </row>
    <row r="380" ht="14.25" customHeight="1">
      <c r="A380" s="20" t="s">
        <v>1503</v>
      </c>
      <c r="B380" s="20" t="s">
        <v>1504</v>
      </c>
      <c r="C380" s="20" t="s">
        <v>1505</v>
      </c>
      <c r="F380" s="20" t="s">
        <v>15</v>
      </c>
      <c r="G380" s="20" t="s">
        <v>135</v>
      </c>
      <c r="I380" s="20" t="s">
        <v>98</v>
      </c>
      <c r="J380" s="20" t="s">
        <v>136</v>
      </c>
      <c r="Q380" s="20">
        <v>11033.0</v>
      </c>
      <c r="R380" s="20" t="s">
        <v>1506</v>
      </c>
      <c r="S380" s="20" t="s">
        <v>1504</v>
      </c>
      <c r="T380" s="20" t="s">
        <v>138</v>
      </c>
    </row>
    <row r="381" ht="14.25" customHeight="1">
      <c r="A381" s="20" t="s">
        <v>1507</v>
      </c>
      <c r="B381" s="20" t="s">
        <v>1508</v>
      </c>
      <c r="C381" s="20" t="s">
        <v>197</v>
      </c>
      <c r="F381" s="20" t="s">
        <v>150</v>
      </c>
      <c r="G381" s="20" t="s">
        <v>150</v>
      </c>
      <c r="I381" s="20" t="s">
        <v>151</v>
      </c>
      <c r="J381" s="20" t="s">
        <v>143</v>
      </c>
      <c r="Q381" s="20">
        <v>261.0</v>
      </c>
      <c r="R381" s="20" t="s">
        <v>1509</v>
      </c>
      <c r="S381" s="20" t="s">
        <v>1508</v>
      </c>
      <c r="T381" s="20" t="s">
        <v>138</v>
      </c>
    </row>
    <row r="382" ht="14.25" customHeight="1">
      <c r="A382" s="20" t="s">
        <v>1510</v>
      </c>
      <c r="B382" s="20" t="s">
        <v>1511</v>
      </c>
      <c r="C382" s="20" t="s">
        <v>779</v>
      </c>
      <c r="F382" s="20" t="s">
        <v>150</v>
      </c>
      <c r="G382" s="20" t="s">
        <v>150</v>
      </c>
      <c r="I382" s="20" t="s">
        <v>151</v>
      </c>
      <c r="J382" s="20" t="s">
        <v>143</v>
      </c>
      <c r="Q382" s="20">
        <v>14737.0</v>
      </c>
      <c r="R382" s="20" t="s">
        <v>1512</v>
      </c>
      <c r="S382" s="20" t="s">
        <v>1511</v>
      </c>
      <c r="T382" s="20" t="s">
        <v>138</v>
      </c>
    </row>
    <row r="383" ht="14.25" customHeight="1">
      <c r="A383" s="20" t="s">
        <v>1513</v>
      </c>
      <c r="B383" s="20" t="s">
        <v>1514</v>
      </c>
      <c r="C383" s="20" t="s">
        <v>775</v>
      </c>
      <c r="F383" s="20" t="s">
        <v>327</v>
      </c>
      <c r="G383" s="20" t="s">
        <v>385</v>
      </c>
      <c r="I383" s="20" t="s">
        <v>762</v>
      </c>
      <c r="J383" s="20" t="s">
        <v>143</v>
      </c>
      <c r="K383" s="20" t="s">
        <v>167</v>
      </c>
      <c r="Q383" s="20">
        <v>6919.0</v>
      </c>
      <c r="R383" s="20" t="s">
        <v>1515</v>
      </c>
      <c r="S383" s="20" t="s">
        <v>1514</v>
      </c>
      <c r="T383" s="20" t="s">
        <v>138</v>
      </c>
    </row>
    <row r="384" ht="14.25" customHeight="1">
      <c r="A384" s="20" t="s">
        <v>1516</v>
      </c>
      <c r="B384" s="20" t="s">
        <v>1517</v>
      </c>
      <c r="C384" s="20" t="s">
        <v>197</v>
      </c>
      <c r="F384" s="20" t="s">
        <v>150</v>
      </c>
      <c r="G384" s="20" t="s">
        <v>150</v>
      </c>
      <c r="I384" s="20" t="s">
        <v>151</v>
      </c>
      <c r="J384" s="20" t="s">
        <v>143</v>
      </c>
      <c r="K384" s="20" t="s">
        <v>213</v>
      </c>
      <c r="Q384" s="20">
        <v>11390.0</v>
      </c>
      <c r="R384" s="20" t="s">
        <v>1518</v>
      </c>
      <c r="S384" s="20" t="s">
        <v>1517</v>
      </c>
      <c r="T384" s="20" t="s">
        <v>138</v>
      </c>
      <c r="V384" s="20" t="s">
        <v>189</v>
      </c>
    </row>
    <row r="385" ht="14.25" customHeight="1">
      <c r="A385" s="20" t="s">
        <v>1519</v>
      </c>
      <c r="B385" s="20" t="s">
        <v>1520</v>
      </c>
      <c r="C385" s="20" t="s">
        <v>197</v>
      </c>
      <c r="F385" s="20" t="s">
        <v>150</v>
      </c>
      <c r="G385" s="20" t="s">
        <v>150</v>
      </c>
      <c r="I385" s="20" t="s">
        <v>151</v>
      </c>
      <c r="J385" s="20" t="s">
        <v>143</v>
      </c>
      <c r="Q385" s="20">
        <v>7836.0</v>
      </c>
      <c r="R385" s="20" t="s">
        <v>1521</v>
      </c>
      <c r="S385" s="20" t="s">
        <v>1520</v>
      </c>
      <c r="T385" s="20" t="s">
        <v>138</v>
      </c>
    </row>
    <row r="386" ht="14.25" customHeight="1">
      <c r="A386" s="20" t="s">
        <v>1522</v>
      </c>
      <c r="B386" s="20" t="s">
        <v>1523</v>
      </c>
      <c r="C386" s="20" t="s">
        <v>1505</v>
      </c>
      <c r="F386" s="20" t="s">
        <v>15</v>
      </c>
      <c r="G386" s="20" t="s">
        <v>135</v>
      </c>
      <c r="I386" s="20" t="s">
        <v>102</v>
      </c>
      <c r="J386" s="20" t="s">
        <v>136</v>
      </c>
      <c r="Q386" s="20">
        <v>8794.0</v>
      </c>
      <c r="R386" s="20" t="s">
        <v>1524</v>
      </c>
      <c r="S386" s="20" t="s">
        <v>1523</v>
      </c>
      <c r="T386" s="20" t="s">
        <v>138</v>
      </c>
    </row>
    <row r="387" ht="14.25" customHeight="1">
      <c r="A387" s="20" t="s">
        <v>1525</v>
      </c>
      <c r="B387" s="20" t="s">
        <v>1526</v>
      </c>
      <c r="C387" s="20" t="s">
        <v>1096</v>
      </c>
      <c r="F387" s="20" t="s">
        <v>16</v>
      </c>
      <c r="G387" s="20" t="s">
        <v>638</v>
      </c>
      <c r="I387" s="20" t="s">
        <v>814</v>
      </c>
      <c r="J387" s="20" t="s">
        <v>143</v>
      </c>
      <c r="Q387" s="20">
        <v>12363.0</v>
      </c>
      <c r="R387" s="20" t="s">
        <v>1527</v>
      </c>
      <c r="S387" s="20" t="s">
        <v>1526</v>
      </c>
      <c r="T387" s="20" t="s">
        <v>138</v>
      </c>
    </row>
    <row r="388" ht="14.25" customHeight="1">
      <c r="A388" s="20" t="s">
        <v>1528</v>
      </c>
      <c r="B388" s="20" t="s">
        <v>1529</v>
      </c>
      <c r="C388" s="20" t="s">
        <v>235</v>
      </c>
      <c r="F388" s="20" t="s">
        <v>15</v>
      </c>
      <c r="G388" s="20" t="s">
        <v>142</v>
      </c>
      <c r="I388" s="20" t="s">
        <v>105</v>
      </c>
      <c r="J388" s="20" t="s">
        <v>143</v>
      </c>
      <c r="Q388" s="20">
        <v>11305.0</v>
      </c>
      <c r="R388" s="20" t="s">
        <v>1530</v>
      </c>
      <c r="S388" s="20" t="s">
        <v>1529</v>
      </c>
      <c r="T388" s="20" t="s">
        <v>138</v>
      </c>
    </row>
    <row r="389" ht="14.25" customHeight="1">
      <c r="A389" s="20" t="s">
        <v>1531</v>
      </c>
      <c r="B389" s="20" t="s">
        <v>1532</v>
      </c>
      <c r="C389" s="20" t="s">
        <v>174</v>
      </c>
      <c r="F389" s="20" t="s">
        <v>150</v>
      </c>
      <c r="G389" s="20" t="s">
        <v>150</v>
      </c>
      <c r="I389" s="20" t="s">
        <v>151</v>
      </c>
      <c r="J389" s="20" t="s">
        <v>143</v>
      </c>
      <c r="Q389" s="20">
        <v>11744.0</v>
      </c>
      <c r="R389" s="20" t="s">
        <v>1533</v>
      </c>
      <c r="S389" s="20" t="s">
        <v>1532</v>
      </c>
      <c r="T389" s="20" t="s">
        <v>138</v>
      </c>
    </row>
    <row r="390" ht="14.25" customHeight="1">
      <c r="A390" s="20" t="s">
        <v>1534</v>
      </c>
      <c r="B390" s="20" t="s">
        <v>1535</v>
      </c>
      <c r="C390" s="20" t="s">
        <v>272</v>
      </c>
      <c r="F390" s="20" t="s">
        <v>150</v>
      </c>
      <c r="G390" s="20" t="s">
        <v>150</v>
      </c>
      <c r="I390" s="20" t="s">
        <v>151</v>
      </c>
      <c r="J390" s="20" t="s">
        <v>143</v>
      </c>
      <c r="Q390" s="20">
        <v>10162.0</v>
      </c>
      <c r="R390" s="20" t="s">
        <v>1536</v>
      </c>
      <c r="S390" s="20" t="s">
        <v>1535</v>
      </c>
      <c r="T390" s="20" t="s">
        <v>138</v>
      </c>
    </row>
    <row r="391" ht="14.25" customHeight="1">
      <c r="A391" s="20" t="s">
        <v>1537</v>
      </c>
      <c r="B391" s="20" t="s">
        <v>1538</v>
      </c>
      <c r="C391" s="20" t="s">
        <v>174</v>
      </c>
      <c r="F391" s="20" t="s">
        <v>150</v>
      </c>
      <c r="G391" s="20" t="s">
        <v>150</v>
      </c>
      <c r="I391" s="20" t="s">
        <v>151</v>
      </c>
      <c r="J391" s="20" t="s">
        <v>186</v>
      </c>
      <c r="Q391" s="20">
        <v>878.0</v>
      </c>
      <c r="R391" s="20" t="s">
        <v>1539</v>
      </c>
      <c r="S391" s="20" t="s">
        <v>1540</v>
      </c>
      <c r="T391" s="20" t="s">
        <v>138</v>
      </c>
    </row>
    <row r="392" ht="14.25" customHeight="1">
      <c r="A392" s="20" t="s">
        <v>1541</v>
      </c>
      <c r="B392" s="20" t="s">
        <v>1542</v>
      </c>
      <c r="C392" s="20" t="s">
        <v>174</v>
      </c>
      <c r="F392" s="20" t="s">
        <v>150</v>
      </c>
      <c r="G392" s="20" t="s">
        <v>150</v>
      </c>
      <c r="I392" s="20" t="s">
        <v>151</v>
      </c>
      <c r="J392" s="20" t="s">
        <v>186</v>
      </c>
      <c r="Q392" s="20">
        <v>7760.0</v>
      </c>
      <c r="R392" s="20" t="s">
        <v>1543</v>
      </c>
      <c r="S392" s="20" t="s">
        <v>1542</v>
      </c>
      <c r="T392" s="20" t="s">
        <v>138</v>
      </c>
    </row>
    <row r="393" ht="14.25" customHeight="1">
      <c r="A393" s="20" t="s">
        <v>1544</v>
      </c>
      <c r="B393" s="20" t="s">
        <v>1545</v>
      </c>
      <c r="C393" s="20" t="s">
        <v>197</v>
      </c>
      <c r="F393" s="20" t="s">
        <v>150</v>
      </c>
      <c r="G393" s="20" t="s">
        <v>150</v>
      </c>
      <c r="I393" s="20" t="s">
        <v>151</v>
      </c>
      <c r="J393" s="20" t="s">
        <v>143</v>
      </c>
      <c r="Q393" s="20">
        <v>273.0</v>
      </c>
      <c r="R393" s="20" t="s">
        <v>1546</v>
      </c>
      <c r="S393" s="20" t="s">
        <v>1547</v>
      </c>
      <c r="T393" s="20" t="s">
        <v>138</v>
      </c>
    </row>
    <row r="394" ht="14.25" customHeight="1">
      <c r="A394" s="20" t="s">
        <v>1548</v>
      </c>
      <c r="B394" s="20" t="s">
        <v>1549</v>
      </c>
      <c r="C394" s="20" t="s">
        <v>1144</v>
      </c>
      <c r="F394" s="20" t="s">
        <v>150</v>
      </c>
      <c r="G394" s="20" t="s">
        <v>150</v>
      </c>
      <c r="I394" s="20" t="s">
        <v>151</v>
      </c>
      <c r="J394" s="20" t="s">
        <v>186</v>
      </c>
      <c r="Q394" s="20">
        <v>7761.0</v>
      </c>
      <c r="R394" s="20" t="s">
        <v>1550</v>
      </c>
      <c r="S394" s="20" t="s">
        <v>1549</v>
      </c>
      <c r="T394" s="20" t="s">
        <v>138</v>
      </c>
    </row>
    <row r="395" ht="14.25" customHeight="1">
      <c r="A395" s="20" t="s">
        <v>1551</v>
      </c>
      <c r="B395" s="20" t="s">
        <v>1552</v>
      </c>
      <c r="C395" s="20" t="s">
        <v>252</v>
      </c>
      <c r="F395" s="20" t="s">
        <v>16</v>
      </c>
      <c r="G395" s="20" t="s">
        <v>211</v>
      </c>
      <c r="I395" s="20" t="s">
        <v>253</v>
      </c>
      <c r="J395" s="20" t="s">
        <v>143</v>
      </c>
      <c r="Q395" s="20">
        <v>16241.0</v>
      </c>
      <c r="R395" s="20" t="s">
        <v>1553</v>
      </c>
      <c r="S395" s="20" t="s">
        <v>1552</v>
      </c>
      <c r="T395" s="20" t="s">
        <v>138</v>
      </c>
    </row>
    <row r="396" ht="14.25" customHeight="1">
      <c r="A396" s="20" t="s">
        <v>1554</v>
      </c>
      <c r="B396" s="20" t="s">
        <v>1555</v>
      </c>
      <c r="C396" s="20" t="s">
        <v>163</v>
      </c>
      <c r="F396" s="20" t="s">
        <v>150</v>
      </c>
      <c r="G396" s="20" t="s">
        <v>150</v>
      </c>
      <c r="I396" s="20" t="s">
        <v>151</v>
      </c>
      <c r="J396" s="20" t="s">
        <v>143</v>
      </c>
      <c r="Q396" s="20">
        <v>10473.0</v>
      </c>
      <c r="R396" s="20" t="s">
        <v>1556</v>
      </c>
      <c r="S396" s="20" t="s">
        <v>1555</v>
      </c>
      <c r="T396" s="20" t="s">
        <v>138</v>
      </c>
    </row>
    <row r="397" ht="14.25" customHeight="1">
      <c r="A397" s="20" t="s">
        <v>1557</v>
      </c>
      <c r="B397" s="20" t="s">
        <v>1558</v>
      </c>
      <c r="C397" s="20" t="s">
        <v>1559</v>
      </c>
      <c r="F397" s="20" t="s">
        <v>16</v>
      </c>
      <c r="G397" s="20" t="s">
        <v>202</v>
      </c>
      <c r="I397" s="20" t="s">
        <v>87</v>
      </c>
      <c r="J397" s="20" t="s">
        <v>143</v>
      </c>
      <c r="Q397" s="20">
        <v>13946.0</v>
      </c>
      <c r="R397" s="20" t="s">
        <v>1560</v>
      </c>
      <c r="S397" s="20" t="s">
        <v>1558</v>
      </c>
      <c r="T397" s="20" t="s">
        <v>138</v>
      </c>
    </row>
    <row r="398" ht="14.25" customHeight="1">
      <c r="A398" s="20" t="s">
        <v>1561</v>
      </c>
      <c r="B398" s="20" t="s">
        <v>1562</v>
      </c>
      <c r="C398" s="20" t="s">
        <v>369</v>
      </c>
      <c r="F398" s="20" t="s">
        <v>218</v>
      </c>
      <c r="G398" s="20" t="s">
        <v>219</v>
      </c>
      <c r="I398" s="20" t="s">
        <v>370</v>
      </c>
      <c r="J398" s="20" t="s">
        <v>143</v>
      </c>
      <c r="Q398" s="20">
        <v>14903.0</v>
      </c>
      <c r="R398" s="20" t="s">
        <v>1563</v>
      </c>
      <c r="S398" s="20" t="s">
        <v>1562</v>
      </c>
      <c r="T398" s="20" t="s">
        <v>138</v>
      </c>
      <c r="V398" s="20" t="s">
        <v>189</v>
      </c>
      <c r="W398" s="20" t="s">
        <v>146</v>
      </c>
    </row>
    <row r="399" ht="14.25" customHeight="1">
      <c r="A399" s="20" t="s">
        <v>1564</v>
      </c>
      <c r="B399" s="20" t="s">
        <v>1565</v>
      </c>
      <c r="C399" s="20" t="s">
        <v>163</v>
      </c>
      <c r="F399" s="20" t="s">
        <v>150</v>
      </c>
      <c r="G399" s="20" t="s">
        <v>150</v>
      </c>
      <c r="I399" s="20" t="s">
        <v>151</v>
      </c>
      <c r="J399" s="20" t="s">
        <v>143</v>
      </c>
      <c r="Q399" s="20">
        <v>16713.0</v>
      </c>
      <c r="R399" s="20" t="s">
        <v>1566</v>
      </c>
      <c r="S399" s="20" t="s">
        <v>1565</v>
      </c>
      <c r="T399" s="20" t="s">
        <v>138</v>
      </c>
    </row>
    <row r="400" ht="14.25" customHeight="1">
      <c r="A400" s="20" t="s">
        <v>1567</v>
      </c>
      <c r="B400" s="20" t="s">
        <v>1568</v>
      </c>
      <c r="C400" s="20" t="s">
        <v>486</v>
      </c>
      <c r="F400" s="20" t="s">
        <v>327</v>
      </c>
      <c r="G400" s="20" t="s">
        <v>385</v>
      </c>
      <c r="I400" s="20" t="s">
        <v>1569</v>
      </c>
      <c r="J400" s="20" t="s">
        <v>143</v>
      </c>
      <c r="Q400" s="20">
        <v>16205.0</v>
      </c>
      <c r="R400" s="20" t="s">
        <v>1570</v>
      </c>
      <c r="S400" s="20" t="s">
        <v>1568</v>
      </c>
      <c r="T400" s="20" t="s">
        <v>138</v>
      </c>
    </row>
    <row r="401" ht="14.25" customHeight="1">
      <c r="A401" s="20" t="s">
        <v>1571</v>
      </c>
      <c r="B401" s="20" t="s">
        <v>1572</v>
      </c>
      <c r="C401" s="20" t="s">
        <v>1573</v>
      </c>
      <c r="F401" s="20" t="s">
        <v>150</v>
      </c>
      <c r="G401" s="20" t="s">
        <v>150</v>
      </c>
      <c r="H401" s="20">
        <v>16748.0</v>
      </c>
      <c r="I401" s="20" t="s">
        <v>151</v>
      </c>
      <c r="J401" s="20" t="s">
        <v>143</v>
      </c>
      <c r="P401" s="20" t="s">
        <v>1574</v>
      </c>
      <c r="Q401" s="20">
        <v>16748.0</v>
      </c>
      <c r="R401" s="20" t="s">
        <v>1575</v>
      </c>
      <c r="S401" s="20" t="s">
        <v>1574</v>
      </c>
      <c r="T401" s="20" t="s">
        <v>138</v>
      </c>
      <c r="W401" s="20" t="s">
        <v>146</v>
      </c>
    </row>
    <row r="402" ht="14.25" customHeight="1">
      <c r="A402" s="20" t="s">
        <v>1576</v>
      </c>
      <c r="B402" s="20" t="s">
        <v>1577</v>
      </c>
      <c r="C402" s="20" t="s">
        <v>775</v>
      </c>
      <c r="F402" s="20" t="s">
        <v>327</v>
      </c>
      <c r="G402" s="20" t="s">
        <v>385</v>
      </c>
      <c r="I402" s="20" t="s">
        <v>762</v>
      </c>
      <c r="J402" s="20" t="s">
        <v>143</v>
      </c>
      <c r="Q402" s="20">
        <v>14555.0</v>
      </c>
      <c r="R402" s="20" t="s">
        <v>1578</v>
      </c>
      <c r="S402" s="20" t="s">
        <v>1577</v>
      </c>
      <c r="T402" s="20" t="s">
        <v>138</v>
      </c>
    </row>
    <row r="403" ht="14.25" customHeight="1">
      <c r="A403" s="20" t="s">
        <v>1579</v>
      </c>
      <c r="B403" s="20" t="s">
        <v>1580</v>
      </c>
      <c r="C403" s="20" t="s">
        <v>1581</v>
      </c>
      <c r="F403" s="20" t="s">
        <v>16</v>
      </c>
      <c r="G403" s="20" t="s">
        <v>638</v>
      </c>
      <c r="I403" s="20" t="s">
        <v>1582</v>
      </c>
      <c r="J403" s="20" t="s">
        <v>143</v>
      </c>
      <c r="Q403" s="20">
        <v>7048.0</v>
      </c>
      <c r="R403" s="20" t="s">
        <v>1583</v>
      </c>
      <c r="S403" s="20" t="s">
        <v>1580</v>
      </c>
      <c r="T403" s="20" t="s">
        <v>138</v>
      </c>
    </row>
    <row r="404" ht="14.25" customHeight="1">
      <c r="A404" s="20" t="s">
        <v>1584</v>
      </c>
      <c r="B404" s="20" t="s">
        <v>1585</v>
      </c>
      <c r="C404" s="20" t="s">
        <v>1586</v>
      </c>
      <c r="F404" s="20" t="s">
        <v>218</v>
      </c>
      <c r="I404" s="20" t="s">
        <v>220</v>
      </c>
      <c r="J404" s="20" t="s">
        <v>1587</v>
      </c>
      <c r="L404" s="20" t="s">
        <v>220</v>
      </c>
      <c r="M404" s="20" t="s">
        <v>1588</v>
      </c>
      <c r="X404" s="20" t="s">
        <v>1292</v>
      </c>
    </row>
    <row r="405" ht="14.25" customHeight="1">
      <c r="A405" s="20" t="s">
        <v>1589</v>
      </c>
      <c r="B405" s="20" t="s">
        <v>1590</v>
      </c>
      <c r="C405" s="20" t="s">
        <v>364</v>
      </c>
      <c r="F405" s="20" t="s">
        <v>218</v>
      </c>
      <c r="G405" s="20" t="s">
        <v>219</v>
      </c>
      <c r="I405" s="20" t="s">
        <v>365</v>
      </c>
      <c r="J405" s="20" t="s">
        <v>186</v>
      </c>
      <c r="Q405" s="20">
        <v>15662.0</v>
      </c>
      <c r="R405" s="20" t="s">
        <v>1591</v>
      </c>
      <c r="S405" s="20" t="s">
        <v>1590</v>
      </c>
      <c r="T405" s="20" t="s">
        <v>138</v>
      </c>
    </row>
    <row r="406" ht="14.25" customHeight="1">
      <c r="A406" s="20" t="s">
        <v>1592</v>
      </c>
      <c r="B406" s="20" t="s">
        <v>1593</v>
      </c>
      <c r="C406" s="20" t="s">
        <v>174</v>
      </c>
      <c r="F406" s="20" t="s">
        <v>150</v>
      </c>
      <c r="G406" s="20" t="s">
        <v>150</v>
      </c>
      <c r="I406" s="20" t="s">
        <v>151</v>
      </c>
      <c r="J406" s="20" t="s">
        <v>143</v>
      </c>
      <c r="Q406" s="20">
        <v>16275.0</v>
      </c>
      <c r="R406" s="20" t="s">
        <v>1594</v>
      </c>
      <c r="S406" s="20" t="s">
        <v>1593</v>
      </c>
      <c r="T406" s="20" t="s">
        <v>138</v>
      </c>
    </row>
    <row r="407" ht="14.25" customHeight="1">
      <c r="A407" s="20" t="s">
        <v>1595</v>
      </c>
      <c r="B407" s="20" t="s">
        <v>1596</v>
      </c>
      <c r="C407" s="20" t="s">
        <v>1597</v>
      </c>
      <c r="F407" s="20" t="s">
        <v>17</v>
      </c>
      <c r="G407" s="20" t="s">
        <v>17</v>
      </c>
      <c r="I407" s="20" t="s">
        <v>88</v>
      </c>
      <c r="J407" s="20" t="s">
        <v>143</v>
      </c>
      <c r="K407" s="20" t="s">
        <v>167</v>
      </c>
      <c r="Q407" s="20">
        <v>15536.0</v>
      </c>
      <c r="R407" s="20" t="s">
        <v>1598</v>
      </c>
      <c r="S407" s="20" t="s">
        <v>1596</v>
      </c>
      <c r="T407" s="20" t="s">
        <v>138</v>
      </c>
      <c r="W407" s="20" t="s">
        <v>146</v>
      </c>
    </row>
    <row r="408" ht="14.25" customHeight="1">
      <c r="A408" s="20" t="s">
        <v>1599</v>
      </c>
      <c r="B408" s="20" t="s">
        <v>1600</v>
      </c>
      <c r="C408" s="20" t="s">
        <v>708</v>
      </c>
      <c r="F408" s="20" t="s">
        <v>17</v>
      </c>
      <c r="G408" s="20" t="s">
        <v>17</v>
      </c>
      <c r="I408" s="20" t="s">
        <v>88</v>
      </c>
      <c r="J408" s="20" t="s">
        <v>143</v>
      </c>
      <c r="Q408" s="20">
        <v>3252.0</v>
      </c>
      <c r="R408" s="20" t="s">
        <v>1601</v>
      </c>
      <c r="S408" s="20" t="s">
        <v>1600</v>
      </c>
      <c r="T408" s="20" t="s">
        <v>138</v>
      </c>
    </row>
    <row r="409" ht="14.25" customHeight="1">
      <c r="A409" s="20" t="s">
        <v>1602</v>
      </c>
      <c r="B409" s="20" t="s">
        <v>1603</v>
      </c>
      <c r="C409" s="20" t="s">
        <v>478</v>
      </c>
      <c r="F409" s="20" t="s">
        <v>218</v>
      </c>
      <c r="G409" s="20" t="s">
        <v>219</v>
      </c>
      <c r="I409" s="20" t="s">
        <v>360</v>
      </c>
      <c r="J409" s="20" t="s">
        <v>186</v>
      </c>
      <c r="K409" s="20" t="s">
        <v>213</v>
      </c>
      <c r="Q409" s="20">
        <v>12322.0</v>
      </c>
      <c r="R409" s="20" t="s">
        <v>1604</v>
      </c>
      <c r="S409" s="20" t="s">
        <v>1603</v>
      </c>
      <c r="T409" s="20" t="s">
        <v>138</v>
      </c>
      <c r="V409" s="20" t="s">
        <v>189</v>
      </c>
      <c r="W409" s="20" t="s">
        <v>146</v>
      </c>
    </row>
    <row r="410" ht="14.25" customHeight="1">
      <c r="A410" s="20" t="s">
        <v>1605</v>
      </c>
      <c r="B410" s="20" t="s">
        <v>1606</v>
      </c>
      <c r="C410" s="20" t="s">
        <v>957</v>
      </c>
      <c r="F410" s="20" t="s">
        <v>150</v>
      </c>
      <c r="G410" s="20" t="s">
        <v>150</v>
      </c>
      <c r="I410" s="20" t="s">
        <v>151</v>
      </c>
      <c r="J410" s="20" t="s">
        <v>143</v>
      </c>
      <c r="Q410" s="20">
        <v>16352.0</v>
      </c>
      <c r="R410" s="20" t="s">
        <v>1607</v>
      </c>
      <c r="S410" s="20" t="s">
        <v>1606</v>
      </c>
      <c r="T410" s="20" t="s">
        <v>138</v>
      </c>
      <c r="W410" s="20" t="s">
        <v>146</v>
      </c>
    </row>
    <row r="411" ht="14.25" customHeight="1">
      <c r="A411" s="20" t="s">
        <v>1608</v>
      </c>
      <c r="B411" s="20" t="s">
        <v>1609</v>
      </c>
      <c r="C411" s="20" t="s">
        <v>779</v>
      </c>
      <c r="F411" s="20" t="s">
        <v>150</v>
      </c>
      <c r="G411" s="20" t="s">
        <v>150</v>
      </c>
      <c r="I411" s="20" t="s">
        <v>151</v>
      </c>
      <c r="J411" s="20" t="s">
        <v>143</v>
      </c>
      <c r="Q411" s="20">
        <v>9617.0</v>
      </c>
      <c r="R411" s="20" t="s">
        <v>1610</v>
      </c>
      <c r="S411" s="20" t="s">
        <v>1609</v>
      </c>
      <c r="T411" s="20" t="s">
        <v>138</v>
      </c>
    </row>
    <row r="412" ht="14.25" customHeight="1">
      <c r="A412" s="20" t="s">
        <v>1611</v>
      </c>
      <c r="B412" s="20" t="s">
        <v>1612</v>
      </c>
      <c r="C412" s="20" t="s">
        <v>149</v>
      </c>
      <c r="F412" s="20" t="s">
        <v>150</v>
      </c>
      <c r="G412" s="20" t="s">
        <v>150</v>
      </c>
      <c r="I412" s="20" t="s">
        <v>151</v>
      </c>
      <c r="J412" s="20" t="s">
        <v>143</v>
      </c>
      <c r="Q412" s="20">
        <v>8954.0</v>
      </c>
      <c r="R412" s="20" t="s">
        <v>1613</v>
      </c>
      <c r="S412" s="20" t="s">
        <v>1612</v>
      </c>
      <c r="T412" s="20" t="s">
        <v>138</v>
      </c>
    </row>
    <row r="413" ht="14.25" customHeight="1">
      <c r="A413" s="20" t="s">
        <v>1614</v>
      </c>
      <c r="B413" s="20" t="s">
        <v>1615</v>
      </c>
      <c r="C413" s="20" t="s">
        <v>289</v>
      </c>
      <c r="F413" s="20" t="s">
        <v>150</v>
      </c>
      <c r="G413" s="20" t="s">
        <v>150</v>
      </c>
      <c r="I413" s="20" t="s">
        <v>151</v>
      </c>
      <c r="J413" s="20" t="s">
        <v>143</v>
      </c>
      <c r="K413" s="20" t="s">
        <v>167</v>
      </c>
      <c r="Q413" s="20">
        <v>9616.0</v>
      </c>
      <c r="R413" s="20" t="s">
        <v>1616</v>
      </c>
      <c r="S413" s="20" t="s">
        <v>1615</v>
      </c>
      <c r="T413" s="20" t="s">
        <v>138</v>
      </c>
    </row>
    <row r="414" ht="14.25" customHeight="1">
      <c r="A414" s="20" t="s">
        <v>1617</v>
      </c>
      <c r="B414" s="20" t="s">
        <v>1618</v>
      </c>
      <c r="C414" s="20" t="s">
        <v>178</v>
      </c>
      <c r="F414" s="20" t="s">
        <v>150</v>
      </c>
      <c r="G414" s="20" t="s">
        <v>150</v>
      </c>
      <c r="I414" s="20" t="s">
        <v>151</v>
      </c>
      <c r="J414" s="20" t="s">
        <v>143</v>
      </c>
      <c r="Q414" s="20">
        <v>14037.0</v>
      </c>
      <c r="R414" s="20" t="s">
        <v>1619</v>
      </c>
      <c r="S414" s="20" t="s">
        <v>1618</v>
      </c>
      <c r="T414" s="20" t="s">
        <v>138</v>
      </c>
    </row>
    <row r="415" ht="14.25" customHeight="1">
      <c r="A415" s="20" t="s">
        <v>1620</v>
      </c>
      <c r="B415" s="20" t="s">
        <v>1621</v>
      </c>
      <c r="C415" s="20" t="s">
        <v>149</v>
      </c>
      <c r="F415" s="20" t="s">
        <v>150</v>
      </c>
      <c r="G415" s="20" t="s">
        <v>150</v>
      </c>
      <c r="I415" s="20" t="s">
        <v>151</v>
      </c>
      <c r="J415" s="20" t="s">
        <v>143</v>
      </c>
      <c r="K415" s="20" t="s">
        <v>167</v>
      </c>
      <c r="Q415" s="20">
        <v>7146.0</v>
      </c>
      <c r="R415" s="20" t="s">
        <v>1622</v>
      </c>
      <c r="S415" s="20" t="s">
        <v>1621</v>
      </c>
      <c r="T415" s="20" t="s">
        <v>138</v>
      </c>
    </row>
    <row r="416" ht="14.25" customHeight="1">
      <c r="A416" s="20" t="s">
        <v>1623</v>
      </c>
      <c r="B416" s="20" t="s">
        <v>1624</v>
      </c>
      <c r="C416" s="20" t="s">
        <v>174</v>
      </c>
      <c r="F416" s="20" t="s">
        <v>150</v>
      </c>
      <c r="G416" s="20" t="s">
        <v>150</v>
      </c>
      <c r="I416" s="20" t="s">
        <v>151</v>
      </c>
      <c r="J416" s="20" t="s">
        <v>143</v>
      </c>
      <c r="Q416" s="20">
        <v>11546.0</v>
      </c>
      <c r="R416" s="20" t="s">
        <v>1625</v>
      </c>
      <c r="S416" s="20" t="s">
        <v>1624</v>
      </c>
      <c r="T416" s="20" t="s">
        <v>138</v>
      </c>
    </row>
    <row r="417" ht="14.25" customHeight="1">
      <c r="A417" s="20" t="s">
        <v>1626</v>
      </c>
      <c r="B417" s="20" t="s">
        <v>1627</v>
      </c>
      <c r="C417" s="20" t="s">
        <v>149</v>
      </c>
      <c r="F417" s="20" t="s">
        <v>150</v>
      </c>
      <c r="G417" s="20" t="s">
        <v>150</v>
      </c>
      <c r="I417" s="20" t="s">
        <v>151</v>
      </c>
      <c r="J417" s="20" t="s">
        <v>143</v>
      </c>
      <c r="Q417" s="20">
        <v>6938.0</v>
      </c>
      <c r="R417" s="20" t="s">
        <v>1628</v>
      </c>
      <c r="S417" s="20" t="s">
        <v>1627</v>
      </c>
      <c r="T417" s="20" t="s">
        <v>138</v>
      </c>
    </row>
    <row r="418" ht="14.25" customHeight="1">
      <c r="A418" s="20" t="s">
        <v>1629</v>
      </c>
      <c r="B418" s="20" t="s">
        <v>1630</v>
      </c>
      <c r="C418" s="20" t="s">
        <v>1305</v>
      </c>
      <c r="F418" s="20" t="s">
        <v>16</v>
      </c>
      <c r="G418" s="20" t="s">
        <v>202</v>
      </c>
      <c r="H418" s="20">
        <v>16394.0</v>
      </c>
      <c r="I418" s="20" t="s">
        <v>1306</v>
      </c>
      <c r="J418" s="20" t="s">
        <v>143</v>
      </c>
      <c r="Q418" s="20">
        <v>16394.0</v>
      </c>
      <c r="R418" s="20" t="s">
        <v>1631</v>
      </c>
      <c r="S418" s="20" t="s">
        <v>1630</v>
      </c>
      <c r="T418" s="20" t="s">
        <v>138</v>
      </c>
    </row>
    <row r="419" ht="14.25" customHeight="1">
      <c r="A419" s="20" t="s">
        <v>1632</v>
      </c>
      <c r="B419" s="20" t="s">
        <v>1633</v>
      </c>
      <c r="C419" s="20" t="s">
        <v>149</v>
      </c>
      <c r="F419" s="20" t="s">
        <v>150</v>
      </c>
      <c r="G419" s="20" t="s">
        <v>150</v>
      </c>
      <c r="I419" s="20" t="s">
        <v>151</v>
      </c>
      <c r="J419" s="20" t="s">
        <v>143</v>
      </c>
      <c r="Q419" s="20">
        <v>8807.0</v>
      </c>
      <c r="R419" s="20" t="s">
        <v>1634</v>
      </c>
      <c r="S419" s="20" t="s">
        <v>1633</v>
      </c>
      <c r="T419" s="20" t="s">
        <v>138</v>
      </c>
    </row>
    <row r="420" ht="14.25" customHeight="1">
      <c r="A420" s="20" t="s">
        <v>1635</v>
      </c>
      <c r="B420" s="20" t="s">
        <v>1636</v>
      </c>
      <c r="C420" s="20" t="s">
        <v>239</v>
      </c>
      <c r="F420" s="20" t="s">
        <v>17</v>
      </c>
      <c r="G420" s="20" t="s">
        <v>17</v>
      </c>
      <c r="I420" s="20" t="s">
        <v>88</v>
      </c>
      <c r="J420" s="20" t="s">
        <v>143</v>
      </c>
      <c r="Q420" s="20">
        <v>12345.0</v>
      </c>
      <c r="R420" s="20" t="s">
        <v>1637</v>
      </c>
      <c r="S420" s="20" t="s">
        <v>1636</v>
      </c>
      <c r="T420" s="20" t="s">
        <v>138</v>
      </c>
    </row>
    <row r="421" ht="14.25" customHeight="1">
      <c r="A421" s="20" t="s">
        <v>1638</v>
      </c>
      <c r="B421" s="20" t="s">
        <v>1639</v>
      </c>
      <c r="C421" s="20" t="s">
        <v>149</v>
      </c>
      <c r="F421" s="20" t="s">
        <v>150</v>
      </c>
      <c r="G421" s="20" t="s">
        <v>150</v>
      </c>
      <c r="I421" s="20" t="s">
        <v>151</v>
      </c>
      <c r="J421" s="20" t="s">
        <v>143</v>
      </c>
      <c r="Q421" s="20">
        <v>13921.0</v>
      </c>
      <c r="R421" s="20" t="s">
        <v>1640</v>
      </c>
      <c r="S421" s="20" t="s">
        <v>1639</v>
      </c>
      <c r="T421" s="20" t="s">
        <v>138</v>
      </c>
    </row>
    <row r="422" ht="14.25" customHeight="1">
      <c r="A422" s="20" t="s">
        <v>1641</v>
      </c>
      <c r="B422" s="20" t="s">
        <v>1642</v>
      </c>
      <c r="C422" s="20" t="s">
        <v>874</v>
      </c>
      <c r="F422" s="20" t="s">
        <v>327</v>
      </c>
      <c r="G422" s="20" t="s">
        <v>385</v>
      </c>
      <c r="I422" s="20" t="s">
        <v>875</v>
      </c>
      <c r="J422" s="20" t="s">
        <v>143</v>
      </c>
      <c r="K422" s="20" t="s">
        <v>167</v>
      </c>
      <c r="Q422" s="20">
        <v>10054.0</v>
      </c>
      <c r="R422" s="20" t="s">
        <v>1643</v>
      </c>
      <c r="S422" s="20" t="s">
        <v>1642</v>
      </c>
      <c r="T422" s="20" t="s">
        <v>138</v>
      </c>
      <c r="W422" s="20" t="s">
        <v>146</v>
      </c>
    </row>
    <row r="423" ht="14.25" customHeight="1">
      <c r="A423" s="20" t="s">
        <v>1644</v>
      </c>
      <c r="B423" s="20" t="s">
        <v>1645</v>
      </c>
      <c r="C423" s="20" t="s">
        <v>1646</v>
      </c>
      <c r="F423" s="20" t="s">
        <v>218</v>
      </c>
      <c r="G423" s="20" t="s">
        <v>219</v>
      </c>
      <c r="I423" s="20" t="s">
        <v>314</v>
      </c>
      <c r="J423" s="20" t="s">
        <v>186</v>
      </c>
      <c r="Q423" s="20">
        <v>4827.0</v>
      </c>
      <c r="R423" s="20" t="s">
        <v>1647</v>
      </c>
      <c r="S423" s="20" t="s">
        <v>1645</v>
      </c>
      <c r="T423" s="20" t="s">
        <v>138</v>
      </c>
    </row>
    <row r="424" ht="14.25" customHeight="1">
      <c r="A424" s="20" t="s">
        <v>1648</v>
      </c>
      <c r="B424" s="20" t="s">
        <v>1649</v>
      </c>
      <c r="C424" s="20" t="s">
        <v>708</v>
      </c>
      <c r="F424" s="20" t="s">
        <v>17</v>
      </c>
      <c r="G424" s="20" t="s">
        <v>17</v>
      </c>
      <c r="I424" s="20" t="s">
        <v>88</v>
      </c>
      <c r="J424" s="20" t="s">
        <v>143</v>
      </c>
      <c r="Q424" s="20">
        <v>10188.0</v>
      </c>
      <c r="R424" s="20" t="s">
        <v>1650</v>
      </c>
      <c r="S424" s="20" t="s">
        <v>1649</v>
      </c>
      <c r="T424" s="20" t="s">
        <v>138</v>
      </c>
    </row>
    <row r="425" ht="14.25" customHeight="1">
      <c r="A425" s="20" t="s">
        <v>1651</v>
      </c>
      <c r="B425" s="20" t="s">
        <v>1652</v>
      </c>
      <c r="C425" s="20" t="s">
        <v>159</v>
      </c>
      <c r="F425" s="20" t="s">
        <v>150</v>
      </c>
      <c r="G425" s="20" t="s">
        <v>150</v>
      </c>
      <c r="I425" s="20" t="s">
        <v>151</v>
      </c>
      <c r="J425" s="20" t="s">
        <v>143</v>
      </c>
      <c r="Q425" s="20">
        <v>6963.0</v>
      </c>
      <c r="R425" s="20" t="s">
        <v>1653</v>
      </c>
      <c r="S425" s="20" t="s">
        <v>1652</v>
      </c>
      <c r="T425" s="20" t="s">
        <v>138</v>
      </c>
    </row>
    <row r="426" ht="14.25" customHeight="1">
      <c r="A426" s="20" t="s">
        <v>1654</v>
      </c>
      <c r="B426" s="20" t="s">
        <v>1655</v>
      </c>
      <c r="C426" s="20" t="s">
        <v>193</v>
      </c>
      <c r="F426" s="20" t="s">
        <v>150</v>
      </c>
      <c r="G426" s="20" t="s">
        <v>150</v>
      </c>
      <c r="I426" s="20" t="s">
        <v>151</v>
      </c>
      <c r="J426" s="20" t="s">
        <v>143</v>
      </c>
      <c r="Q426" s="20">
        <v>9112.0</v>
      </c>
      <c r="R426" s="20" t="s">
        <v>1656</v>
      </c>
      <c r="S426" s="20" t="s">
        <v>1655</v>
      </c>
      <c r="T426" s="20" t="s">
        <v>138</v>
      </c>
    </row>
    <row r="427" ht="14.25" customHeight="1">
      <c r="A427" s="20" t="s">
        <v>1657</v>
      </c>
      <c r="B427" s="20" t="s">
        <v>1658</v>
      </c>
      <c r="C427" s="20" t="s">
        <v>1659</v>
      </c>
      <c r="F427" s="20" t="s">
        <v>15</v>
      </c>
      <c r="G427" s="20" t="s">
        <v>135</v>
      </c>
      <c r="I427" s="20" t="s">
        <v>93</v>
      </c>
      <c r="J427" s="20" t="s">
        <v>143</v>
      </c>
      <c r="K427" s="20" t="s">
        <v>167</v>
      </c>
      <c r="Q427" s="20">
        <v>16299.0</v>
      </c>
      <c r="R427" s="20" t="s">
        <v>1660</v>
      </c>
      <c r="S427" s="20" t="s">
        <v>1658</v>
      </c>
      <c r="T427" s="20" t="s">
        <v>138</v>
      </c>
    </row>
    <row r="428" ht="14.25" customHeight="1">
      <c r="A428" s="20" t="s">
        <v>1661</v>
      </c>
      <c r="B428" s="20" t="s">
        <v>1662</v>
      </c>
      <c r="C428" s="20" t="s">
        <v>1663</v>
      </c>
      <c r="F428" s="20" t="s">
        <v>218</v>
      </c>
      <c r="G428" s="20" t="s">
        <v>219</v>
      </c>
      <c r="I428" s="20" t="s">
        <v>1664</v>
      </c>
      <c r="J428" s="20" t="s">
        <v>186</v>
      </c>
      <c r="Q428" s="20">
        <v>5916.0</v>
      </c>
      <c r="R428" s="20" t="s">
        <v>1665</v>
      </c>
      <c r="S428" s="20" t="s">
        <v>1666</v>
      </c>
      <c r="T428" s="20" t="s">
        <v>138</v>
      </c>
    </row>
    <row r="429" ht="14.25" customHeight="1">
      <c r="A429" s="20" t="s">
        <v>1667</v>
      </c>
      <c r="B429" s="20" t="s">
        <v>1668</v>
      </c>
      <c r="C429" s="20" t="s">
        <v>1669</v>
      </c>
      <c r="F429" s="20" t="s">
        <v>17</v>
      </c>
      <c r="G429" s="20" t="s">
        <v>17</v>
      </c>
      <c r="I429" s="20" t="s">
        <v>88</v>
      </c>
      <c r="J429" s="20" t="s">
        <v>186</v>
      </c>
      <c r="K429" s="20" t="s">
        <v>187</v>
      </c>
      <c r="Q429" s="20">
        <v>318.0</v>
      </c>
      <c r="R429" s="20" t="s">
        <v>1670</v>
      </c>
      <c r="S429" s="20" t="s">
        <v>1668</v>
      </c>
      <c r="T429" s="20" t="s">
        <v>138</v>
      </c>
      <c r="V429" s="20" t="s">
        <v>189</v>
      </c>
      <c r="W429" s="20" t="s">
        <v>190</v>
      </c>
    </row>
    <row r="430" ht="14.25" customHeight="1">
      <c r="A430" s="20" t="s">
        <v>1671</v>
      </c>
      <c r="B430" s="20" t="s">
        <v>1672</v>
      </c>
      <c r="C430" s="20" t="s">
        <v>193</v>
      </c>
      <c r="F430" s="20" t="s">
        <v>150</v>
      </c>
      <c r="G430" s="20" t="s">
        <v>150</v>
      </c>
      <c r="I430" s="20" t="s">
        <v>151</v>
      </c>
      <c r="J430" s="20" t="s">
        <v>143</v>
      </c>
      <c r="Q430" s="20">
        <v>13922.0</v>
      </c>
      <c r="R430" s="20" t="s">
        <v>1673</v>
      </c>
      <c r="S430" s="20" t="s">
        <v>1672</v>
      </c>
      <c r="T430" s="20" t="s">
        <v>138</v>
      </c>
    </row>
    <row r="431" ht="14.25" customHeight="1">
      <c r="A431" s="20" t="s">
        <v>1674</v>
      </c>
      <c r="B431" s="20" t="s">
        <v>1675</v>
      </c>
      <c r="C431" s="20" t="s">
        <v>1676</v>
      </c>
      <c r="F431" s="20" t="s">
        <v>16</v>
      </c>
      <c r="G431" s="20" t="s">
        <v>202</v>
      </c>
      <c r="I431" s="20" t="s">
        <v>203</v>
      </c>
      <c r="J431" s="20" t="s">
        <v>186</v>
      </c>
      <c r="K431" s="20" t="s">
        <v>187</v>
      </c>
      <c r="Q431" s="20">
        <v>2137.0</v>
      </c>
      <c r="R431" s="20" t="s">
        <v>1677</v>
      </c>
      <c r="S431" s="20" t="s">
        <v>1675</v>
      </c>
      <c r="T431" s="20" t="s">
        <v>138</v>
      </c>
      <c r="V431" s="20" t="s">
        <v>260</v>
      </c>
      <c r="W431" s="20" t="s">
        <v>190</v>
      </c>
    </row>
    <row r="432" ht="14.25" customHeight="1">
      <c r="A432" s="20" t="s">
        <v>1678</v>
      </c>
      <c r="B432" s="20" t="s">
        <v>1679</v>
      </c>
      <c r="C432" s="20" t="s">
        <v>1680</v>
      </c>
      <c r="F432" s="20" t="s">
        <v>327</v>
      </c>
      <c r="G432" s="20" t="s">
        <v>385</v>
      </c>
      <c r="I432" s="20" t="s">
        <v>1681</v>
      </c>
      <c r="J432" s="20" t="s">
        <v>186</v>
      </c>
      <c r="K432" s="20" t="s">
        <v>167</v>
      </c>
      <c r="Q432" s="20">
        <v>304.0</v>
      </c>
      <c r="R432" s="20" t="s">
        <v>1682</v>
      </c>
      <c r="S432" s="20" t="s">
        <v>1679</v>
      </c>
      <c r="T432" s="20" t="s">
        <v>138</v>
      </c>
      <c r="W432" s="20" t="s">
        <v>146</v>
      </c>
    </row>
    <row r="433" ht="14.25" customHeight="1">
      <c r="A433" s="20" t="s">
        <v>1683</v>
      </c>
      <c r="B433" s="20" t="s">
        <v>1684</v>
      </c>
      <c r="C433" s="20" t="s">
        <v>197</v>
      </c>
      <c r="F433" s="20" t="s">
        <v>150</v>
      </c>
      <c r="G433" s="20" t="s">
        <v>150</v>
      </c>
      <c r="I433" s="20" t="s">
        <v>151</v>
      </c>
      <c r="J433" s="20" t="s">
        <v>143</v>
      </c>
      <c r="K433" s="20" t="s">
        <v>167</v>
      </c>
      <c r="Q433" s="20">
        <v>2319.0</v>
      </c>
      <c r="R433" s="20" t="s">
        <v>1685</v>
      </c>
      <c r="S433" s="20" t="s">
        <v>1684</v>
      </c>
      <c r="T433" s="20" t="s">
        <v>138</v>
      </c>
    </row>
    <row r="434" ht="14.25" customHeight="1">
      <c r="A434" s="20" t="s">
        <v>1686</v>
      </c>
      <c r="B434" s="20" t="s">
        <v>1687</v>
      </c>
      <c r="C434" s="20" t="s">
        <v>1139</v>
      </c>
      <c r="F434" s="20" t="s">
        <v>150</v>
      </c>
      <c r="G434" s="20" t="s">
        <v>150</v>
      </c>
      <c r="I434" s="20" t="s">
        <v>151</v>
      </c>
      <c r="J434" s="20" t="s">
        <v>186</v>
      </c>
      <c r="K434" s="20" t="s">
        <v>187</v>
      </c>
      <c r="Q434" s="20">
        <v>307.0</v>
      </c>
      <c r="R434" s="20" t="s">
        <v>1688</v>
      </c>
      <c r="S434" s="20" t="s">
        <v>1687</v>
      </c>
      <c r="T434" s="20" t="s">
        <v>138</v>
      </c>
    </row>
    <row r="435" ht="14.25" customHeight="1">
      <c r="A435" s="20" t="s">
        <v>1689</v>
      </c>
      <c r="B435" s="20" t="s">
        <v>1690</v>
      </c>
      <c r="C435" s="20" t="s">
        <v>793</v>
      </c>
      <c r="F435" s="20" t="s">
        <v>16</v>
      </c>
      <c r="G435" s="20" t="s">
        <v>202</v>
      </c>
      <c r="I435" s="20" t="s">
        <v>87</v>
      </c>
      <c r="J435" s="20" t="s">
        <v>143</v>
      </c>
      <c r="K435" s="20" t="s">
        <v>213</v>
      </c>
      <c r="Q435" s="20">
        <v>11988.0</v>
      </c>
      <c r="R435" s="20" t="s">
        <v>1691</v>
      </c>
      <c r="S435" s="20" t="s">
        <v>1690</v>
      </c>
      <c r="T435" s="20" t="s">
        <v>138</v>
      </c>
      <c r="V435" s="20" t="s">
        <v>189</v>
      </c>
      <c r="W435" s="20" t="s">
        <v>146</v>
      </c>
    </row>
    <row r="436" ht="14.25" customHeight="1">
      <c r="A436" s="20" t="s">
        <v>1692</v>
      </c>
      <c r="B436" s="20" t="s">
        <v>1693</v>
      </c>
      <c r="C436" s="20" t="s">
        <v>289</v>
      </c>
      <c r="F436" s="20" t="s">
        <v>150</v>
      </c>
      <c r="G436" s="20" t="s">
        <v>150</v>
      </c>
      <c r="I436" s="20" t="s">
        <v>151</v>
      </c>
      <c r="J436" s="20" t="s">
        <v>143</v>
      </c>
      <c r="Q436" s="20">
        <v>16516.0</v>
      </c>
      <c r="R436" s="20" t="s">
        <v>1694</v>
      </c>
      <c r="S436" s="20" t="s">
        <v>1693</v>
      </c>
      <c r="T436" s="20" t="s">
        <v>138</v>
      </c>
    </row>
    <row r="437" ht="14.25" customHeight="1">
      <c r="A437" s="20" t="s">
        <v>1695</v>
      </c>
      <c r="B437" s="20" t="s">
        <v>1696</v>
      </c>
      <c r="C437" s="20" t="s">
        <v>1697</v>
      </c>
      <c r="F437" s="20" t="s">
        <v>150</v>
      </c>
      <c r="G437" s="20" t="s">
        <v>150</v>
      </c>
      <c r="I437" s="20" t="s">
        <v>151</v>
      </c>
      <c r="J437" s="20" t="s">
        <v>143</v>
      </c>
      <c r="Q437" s="20">
        <v>10404.0</v>
      </c>
      <c r="R437" s="20" t="s">
        <v>1698</v>
      </c>
      <c r="S437" s="20" t="s">
        <v>1696</v>
      </c>
      <c r="T437" s="20" t="s">
        <v>138</v>
      </c>
      <c r="W437" s="20" t="s">
        <v>146</v>
      </c>
    </row>
    <row r="438" ht="14.25" customHeight="1">
      <c r="A438" s="20" t="s">
        <v>1699</v>
      </c>
      <c r="B438" s="20" t="s">
        <v>1700</v>
      </c>
      <c r="C438" s="20" t="s">
        <v>486</v>
      </c>
      <c r="F438" s="20" t="s">
        <v>327</v>
      </c>
      <c r="G438" s="20" t="s">
        <v>385</v>
      </c>
      <c r="I438" s="20" t="s">
        <v>1201</v>
      </c>
      <c r="J438" s="20" t="s">
        <v>186</v>
      </c>
      <c r="K438" s="20" t="s">
        <v>167</v>
      </c>
      <c r="Q438" s="20">
        <v>12351.0</v>
      </c>
      <c r="R438" s="20" t="s">
        <v>1701</v>
      </c>
      <c r="S438" s="20" t="s">
        <v>1700</v>
      </c>
      <c r="T438" s="20" t="s">
        <v>138</v>
      </c>
      <c r="W438" s="20" t="s">
        <v>146</v>
      </c>
    </row>
    <row r="439" ht="14.25" customHeight="1">
      <c r="A439" s="20" t="s">
        <v>1702</v>
      </c>
      <c r="B439" s="20" t="s">
        <v>1703</v>
      </c>
      <c r="C439" s="20" t="s">
        <v>651</v>
      </c>
      <c r="F439" s="20" t="s">
        <v>327</v>
      </c>
      <c r="G439" s="20" t="s">
        <v>395</v>
      </c>
      <c r="I439" s="20" t="s">
        <v>1704</v>
      </c>
      <c r="J439" s="20" t="s">
        <v>186</v>
      </c>
      <c r="K439" s="20" t="s">
        <v>167</v>
      </c>
      <c r="Q439" s="20">
        <v>319.0</v>
      </c>
      <c r="R439" s="20" t="s">
        <v>1705</v>
      </c>
      <c r="S439" s="20" t="s">
        <v>1703</v>
      </c>
      <c r="T439" s="20" t="s">
        <v>138</v>
      </c>
    </row>
    <row r="440" ht="14.25" customHeight="1">
      <c r="A440" s="20" t="s">
        <v>1706</v>
      </c>
      <c r="B440" s="20" t="s">
        <v>1707</v>
      </c>
      <c r="C440" s="20" t="s">
        <v>1708</v>
      </c>
      <c r="F440" s="20" t="s">
        <v>15</v>
      </c>
      <c r="G440" s="20" t="s">
        <v>142</v>
      </c>
      <c r="I440" s="20" t="s">
        <v>105</v>
      </c>
      <c r="J440" s="20" t="s">
        <v>143</v>
      </c>
      <c r="Q440" s="20">
        <v>2713.0</v>
      </c>
      <c r="R440" s="20" t="s">
        <v>1709</v>
      </c>
      <c r="S440" s="20" t="s">
        <v>1707</v>
      </c>
      <c r="T440" s="20" t="s">
        <v>138</v>
      </c>
      <c r="W440" s="20" t="s">
        <v>261</v>
      </c>
    </row>
    <row r="441" ht="14.25" customHeight="1">
      <c r="A441" s="20" t="s">
        <v>1710</v>
      </c>
      <c r="B441" s="20" t="s">
        <v>1711</v>
      </c>
      <c r="C441" s="20" t="s">
        <v>149</v>
      </c>
      <c r="F441" s="20" t="s">
        <v>150</v>
      </c>
      <c r="G441" s="20" t="s">
        <v>150</v>
      </c>
      <c r="I441" s="20" t="s">
        <v>151</v>
      </c>
      <c r="J441" s="20" t="s">
        <v>143</v>
      </c>
      <c r="Q441" s="20">
        <v>311.0</v>
      </c>
      <c r="R441" s="20" t="s">
        <v>1712</v>
      </c>
      <c r="S441" s="20" t="s">
        <v>1711</v>
      </c>
      <c r="T441" s="20" t="s">
        <v>138</v>
      </c>
    </row>
    <row r="442" ht="14.25" customHeight="1">
      <c r="A442" s="20" t="s">
        <v>1713</v>
      </c>
      <c r="B442" s="20" t="s">
        <v>1714</v>
      </c>
      <c r="C442" s="20" t="s">
        <v>163</v>
      </c>
      <c r="F442" s="20" t="s">
        <v>150</v>
      </c>
      <c r="G442" s="20" t="s">
        <v>150</v>
      </c>
      <c r="I442" s="20" t="s">
        <v>151</v>
      </c>
      <c r="J442" s="20" t="s">
        <v>143</v>
      </c>
      <c r="Q442" s="20">
        <v>7143.0</v>
      </c>
      <c r="R442" s="20" t="s">
        <v>1715</v>
      </c>
      <c r="S442" s="20" t="s">
        <v>1714</v>
      </c>
      <c r="T442" s="20" t="s">
        <v>138</v>
      </c>
    </row>
    <row r="443" ht="14.25" customHeight="1">
      <c r="A443" s="20" t="s">
        <v>1716</v>
      </c>
      <c r="B443" s="20" t="s">
        <v>1717</v>
      </c>
      <c r="C443" s="20" t="s">
        <v>163</v>
      </c>
      <c r="F443" s="20" t="s">
        <v>150</v>
      </c>
      <c r="G443" s="20" t="s">
        <v>150</v>
      </c>
      <c r="I443" s="20" t="s">
        <v>151</v>
      </c>
      <c r="J443" s="20" t="s">
        <v>143</v>
      </c>
      <c r="K443" s="20" t="s">
        <v>167</v>
      </c>
      <c r="Q443" s="20">
        <v>263.0</v>
      </c>
      <c r="R443" s="20" t="s">
        <v>1718</v>
      </c>
      <c r="S443" s="20" t="s">
        <v>1717</v>
      </c>
      <c r="T443" s="20" t="s">
        <v>138</v>
      </c>
    </row>
    <row r="444" ht="14.25" customHeight="1">
      <c r="A444" s="20" t="s">
        <v>1719</v>
      </c>
      <c r="B444" s="20" t="s">
        <v>1720</v>
      </c>
      <c r="C444" s="20" t="s">
        <v>818</v>
      </c>
      <c r="F444" s="20" t="s">
        <v>17</v>
      </c>
      <c r="G444" s="20" t="s">
        <v>17</v>
      </c>
      <c r="I444" s="20" t="s">
        <v>88</v>
      </c>
      <c r="J444" s="20" t="s">
        <v>143</v>
      </c>
      <c r="Q444" s="20">
        <v>8930.0</v>
      </c>
      <c r="R444" s="20" t="s">
        <v>1721</v>
      </c>
      <c r="S444" s="20" t="s">
        <v>1720</v>
      </c>
      <c r="T444" s="20" t="s">
        <v>138</v>
      </c>
    </row>
    <row r="445" ht="14.25" customHeight="1">
      <c r="A445" s="20" t="s">
        <v>1722</v>
      </c>
      <c r="B445" s="20" t="s">
        <v>1723</v>
      </c>
      <c r="C445" s="20" t="s">
        <v>1724</v>
      </c>
      <c r="F445" s="20" t="s">
        <v>327</v>
      </c>
      <c r="G445" s="20" t="s">
        <v>328</v>
      </c>
      <c r="H445" s="20">
        <v>15612.0</v>
      </c>
      <c r="I445" s="20" t="s">
        <v>329</v>
      </c>
      <c r="J445" s="20" t="s">
        <v>136</v>
      </c>
      <c r="Q445" s="20">
        <v>15612.0</v>
      </c>
      <c r="R445" s="20" t="s">
        <v>1725</v>
      </c>
      <c r="S445" s="20" t="s">
        <v>1723</v>
      </c>
      <c r="T445" s="20" t="s">
        <v>138</v>
      </c>
      <c r="W445" s="20" t="s">
        <v>136</v>
      </c>
    </row>
    <row r="446" ht="14.25" customHeight="1">
      <c r="A446" s="20" t="s">
        <v>1726</v>
      </c>
      <c r="B446" s="20" t="s">
        <v>1727</v>
      </c>
      <c r="C446" s="20" t="s">
        <v>272</v>
      </c>
      <c r="F446" s="20" t="s">
        <v>150</v>
      </c>
      <c r="G446" s="20" t="s">
        <v>150</v>
      </c>
      <c r="I446" s="20" t="s">
        <v>151</v>
      </c>
      <c r="J446" s="20" t="s">
        <v>143</v>
      </c>
      <c r="Q446" s="20">
        <v>10533.0</v>
      </c>
      <c r="R446" s="20" t="s">
        <v>1728</v>
      </c>
      <c r="S446" s="20" t="s">
        <v>1727</v>
      </c>
      <c r="T446" s="20" t="s">
        <v>138</v>
      </c>
    </row>
    <row r="447" ht="14.25" customHeight="1">
      <c r="A447" s="20" t="s">
        <v>1729</v>
      </c>
      <c r="B447" s="20" t="s">
        <v>1730</v>
      </c>
      <c r="C447" s="20" t="s">
        <v>149</v>
      </c>
      <c r="F447" s="20" t="s">
        <v>150</v>
      </c>
      <c r="G447" s="20" t="s">
        <v>150</v>
      </c>
      <c r="I447" s="20" t="s">
        <v>151</v>
      </c>
      <c r="J447" s="20" t="s">
        <v>143</v>
      </c>
      <c r="Q447" s="20">
        <v>15774.0</v>
      </c>
      <c r="R447" s="20" t="s">
        <v>1731</v>
      </c>
      <c r="S447" s="20" t="s">
        <v>1730</v>
      </c>
      <c r="T447" s="20" t="s">
        <v>138</v>
      </c>
    </row>
    <row r="448" ht="14.25" customHeight="1">
      <c r="A448" s="20" t="s">
        <v>1732</v>
      </c>
      <c r="B448" s="20" t="s">
        <v>1733</v>
      </c>
      <c r="C448" s="20" t="s">
        <v>1096</v>
      </c>
      <c r="F448" s="20" t="s">
        <v>16</v>
      </c>
      <c r="G448" s="20" t="s">
        <v>638</v>
      </c>
      <c r="I448" s="20" t="s">
        <v>814</v>
      </c>
      <c r="J448" s="20" t="s">
        <v>143</v>
      </c>
      <c r="K448" s="20" t="s">
        <v>213</v>
      </c>
      <c r="Q448" s="20">
        <v>12052.0</v>
      </c>
      <c r="R448" s="20" t="s">
        <v>1734</v>
      </c>
      <c r="S448" s="20" t="s">
        <v>1733</v>
      </c>
      <c r="T448" s="20" t="s">
        <v>138</v>
      </c>
      <c r="W448" s="20" t="s">
        <v>261</v>
      </c>
    </row>
    <row r="449" ht="14.25" customHeight="1">
      <c r="A449" s="20" t="s">
        <v>1735</v>
      </c>
      <c r="B449" s="20" t="s">
        <v>1736</v>
      </c>
      <c r="C449" s="20" t="s">
        <v>786</v>
      </c>
      <c r="F449" s="20" t="s">
        <v>16</v>
      </c>
      <c r="G449" s="20" t="s">
        <v>202</v>
      </c>
      <c r="I449" s="20" t="s">
        <v>203</v>
      </c>
      <c r="J449" s="20" t="s">
        <v>136</v>
      </c>
      <c r="L449" s="20" t="s">
        <v>203</v>
      </c>
      <c r="Q449" s="20">
        <v>8998.0</v>
      </c>
      <c r="R449" s="20" t="s">
        <v>1737</v>
      </c>
      <c r="S449" s="20" t="s">
        <v>1736</v>
      </c>
      <c r="T449" s="20" t="s">
        <v>138</v>
      </c>
      <c r="W449" s="20" t="s">
        <v>372</v>
      </c>
    </row>
    <row r="450" ht="14.25" customHeight="1">
      <c r="A450" s="20" t="s">
        <v>1738</v>
      </c>
      <c r="B450" s="20" t="s">
        <v>1739</v>
      </c>
      <c r="C450" s="20" t="s">
        <v>1740</v>
      </c>
      <c r="F450" s="20" t="s">
        <v>16</v>
      </c>
      <c r="G450" s="20" t="s">
        <v>638</v>
      </c>
      <c r="I450" s="20" t="s">
        <v>814</v>
      </c>
      <c r="J450" s="20" t="s">
        <v>143</v>
      </c>
      <c r="Q450" s="20">
        <v>12488.0</v>
      </c>
      <c r="R450" s="20" t="s">
        <v>1741</v>
      </c>
      <c r="S450" s="20" t="s">
        <v>1739</v>
      </c>
      <c r="T450" s="20" t="s">
        <v>138</v>
      </c>
    </row>
    <row r="451" ht="14.25" customHeight="1">
      <c r="A451" s="20" t="s">
        <v>1742</v>
      </c>
      <c r="B451" s="20" t="s">
        <v>1743</v>
      </c>
      <c r="C451" s="20" t="s">
        <v>1744</v>
      </c>
      <c r="F451" s="20" t="s">
        <v>16</v>
      </c>
      <c r="G451" s="20" t="s">
        <v>202</v>
      </c>
      <c r="I451" s="20" t="s">
        <v>1745</v>
      </c>
      <c r="J451" s="20" t="s">
        <v>186</v>
      </c>
      <c r="K451" s="20" t="s">
        <v>167</v>
      </c>
      <c r="Q451" s="20">
        <v>1403.0</v>
      </c>
      <c r="R451" s="20" t="s">
        <v>1746</v>
      </c>
      <c r="S451" s="20" t="s">
        <v>1743</v>
      </c>
      <c r="T451" s="20" t="s">
        <v>138</v>
      </c>
    </row>
    <row r="452" ht="14.25" customHeight="1">
      <c r="A452" s="20" t="s">
        <v>1747</v>
      </c>
      <c r="B452" s="20" t="s">
        <v>1748</v>
      </c>
      <c r="C452" s="20" t="s">
        <v>1749</v>
      </c>
      <c r="F452" s="20" t="s">
        <v>16</v>
      </c>
      <c r="G452" s="20" t="s">
        <v>202</v>
      </c>
      <c r="I452" s="20" t="s">
        <v>87</v>
      </c>
      <c r="J452" s="20" t="s">
        <v>143</v>
      </c>
      <c r="K452" s="20" t="s">
        <v>213</v>
      </c>
      <c r="Q452" s="20">
        <v>321.0</v>
      </c>
      <c r="R452" s="20" t="s">
        <v>1750</v>
      </c>
      <c r="S452" s="20" t="s">
        <v>1748</v>
      </c>
      <c r="T452" s="20" t="s">
        <v>138</v>
      </c>
    </row>
    <row r="453" ht="14.25" customHeight="1">
      <c r="A453" s="20" t="s">
        <v>1751</v>
      </c>
      <c r="B453" s="20" t="s">
        <v>1752</v>
      </c>
      <c r="C453" s="20" t="s">
        <v>1744</v>
      </c>
      <c r="F453" s="20" t="s">
        <v>16</v>
      </c>
      <c r="G453" s="20" t="s">
        <v>202</v>
      </c>
      <c r="I453" s="20" t="s">
        <v>1745</v>
      </c>
      <c r="J453" s="20" t="s">
        <v>186</v>
      </c>
      <c r="Q453" s="20">
        <v>322.0</v>
      </c>
      <c r="R453" s="20" t="s">
        <v>1753</v>
      </c>
      <c r="S453" s="20" t="s">
        <v>1752</v>
      </c>
      <c r="T453" s="20" t="s">
        <v>138</v>
      </c>
      <c r="V453" s="20" t="s">
        <v>189</v>
      </c>
      <c r="W453" s="20" t="s">
        <v>146</v>
      </c>
    </row>
    <row r="454" ht="14.25" customHeight="1">
      <c r="A454" s="20" t="s">
        <v>1754</v>
      </c>
      <c r="B454" s="20" t="s">
        <v>1755</v>
      </c>
      <c r="C454" s="20" t="s">
        <v>235</v>
      </c>
      <c r="F454" s="20" t="s">
        <v>15</v>
      </c>
      <c r="G454" s="20" t="s">
        <v>142</v>
      </c>
      <c r="I454" s="20" t="s">
        <v>105</v>
      </c>
      <c r="J454" s="20" t="s">
        <v>143</v>
      </c>
      <c r="Q454" s="20">
        <v>2731.0</v>
      </c>
      <c r="R454" s="20" t="s">
        <v>1756</v>
      </c>
      <c r="S454" s="20" t="s">
        <v>1755</v>
      </c>
      <c r="T454" s="20" t="s">
        <v>138</v>
      </c>
    </row>
    <row r="455" ht="14.25" customHeight="1">
      <c r="A455" s="20" t="s">
        <v>1757</v>
      </c>
      <c r="B455" s="20" t="s">
        <v>1758</v>
      </c>
      <c r="C455" s="20" t="s">
        <v>818</v>
      </c>
      <c r="F455" s="20" t="s">
        <v>17</v>
      </c>
      <c r="G455" s="20" t="s">
        <v>17</v>
      </c>
      <c r="I455" s="20" t="s">
        <v>88</v>
      </c>
      <c r="J455" s="20" t="s">
        <v>143</v>
      </c>
      <c r="Q455" s="20">
        <v>323.0</v>
      </c>
      <c r="R455" s="20" t="s">
        <v>1759</v>
      </c>
      <c r="S455" s="20" t="s">
        <v>1758</v>
      </c>
      <c r="T455" s="20" t="s">
        <v>138</v>
      </c>
    </row>
    <row r="456" ht="14.25" customHeight="1">
      <c r="A456" s="20" t="s">
        <v>1760</v>
      </c>
      <c r="B456" s="20" t="s">
        <v>1761</v>
      </c>
      <c r="C456" s="20" t="s">
        <v>1762</v>
      </c>
      <c r="F456" s="20" t="s">
        <v>15</v>
      </c>
      <c r="G456" s="20" t="s">
        <v>135</v>
      </c>
      <c r="I456" s="20" t="s">
        <v>103</v>
      </c>
      <c r="J456" s="20" t="s">
        <v>186</v>
      </c>
      <c r="K456" s="20" t="s">
        <v>213</v>
      </c>
      <c r="Q456" s="20">
        <v>6073.0</v>
      </c>
      <c r="R456" s="20" t="s">
        <v>1763</v>
      </c>
      <c r="S456" s="20" t="s">
        <v>1761</v>
      </c>
      <c r="T456" s="20" t="s">
        <v>138</v>
      </c>
      <c r="V456" s="20" t="s">
        <v>260</v>
      </c>
    </row>
    <row r="457" ht="14.25" customHeight="1">
      <c r="A457" s="20" t="s">
        <v>1764</v>
      </c>
      <c r="B457" s="20" t="s">
        <v>1765</v>
      </c>
      <c r="C457" s="20" t="s">
        <v>862</v>
      </c>
      <c r="F457" s="20" t="s">
        <v>17</v>
      </c>
      <c r="G457" s="20" t="s">
        <v>17</v>
      </c>
      <c r="I457" s="20" t="s">
        <v>88</v>
      </c>
      <c r="J457" s="20" t="s">
        <v>143</v>
      </c>
      <c r="K457" s="20" t="s">
        <v>167</v>
      </c>
      <c r="L457" s="20" t="s">
        <v>88</v>
      </c>
      <c r="O457" s="20" t="s">
        <v>144</v>
      </c>
      <c r="Q457" s="20">
        <v>5785.0</v>
      </c>
      <c r="R457" s="20" t="s">
        <v>1766</v>
      </c>
      <c r="S457" s="20" t="s">
        <v>1765</v>
      </c>
      <c r="T457" s="20" t="s">
        <v>138</v>
      </c>
    </row>
    <row r="458" ht="14.25" customHeight="1">
      <c r="A458" s="20" t="s">
        <v>1767</v>
      </c>
      <c r="B458" s="20" t="s">
        <v>1768</v>
      </c>
      <c r="C458" s="20" t="s">
        <v>235</v>
      </c>
      <c r="F458" s="20" t="s">
        <v>15</v>
      </c>
      <c r="G458" s="20" t="s">
        <v>142</v>
      </c>
      <c r="I458" s="20" t="s">
        <v>105</v>
      </c>
      <c r="J458" s="20" t="s">
        <v>143</v>
      </c>
      <c r="Q458" s="20">
        <v>9206.0</v>
      </c>
      <c r="R458" s="20" t="s">
        <v>1769</v>
      </c>
      <c r="S458" s="20" t="s">
        <v>1768</v>
      </c>
      <c r="T458" s="20" t="s">
        <v>138</v>
      </c>
    </row>
    <row r="459" ht="14.25" customHeight="1">
      <c r="A459" s="20" t="s">
        <v>1770</v>
      </c>
      <c r="B459" s="20" t="s">
        <v>1771</v>
      </c>
      <c r="C459" s="20" t="s">
        <v>193</v>
      </c>
      <c r="F459" s="20" t="s">
        <v>150</v>
      </c>
      <c r="G459" s="20" t="s">
        <v>150</v>
      </c>
      <c r="I459" s="20" t="s">
        <v>151</v>
      </c>
      <c r="J459" s="20" t="s">
        <v>143</v>
      </c>
      <c r="Q459" s="20">
        <v>11653.0</v>
      </c>
      <c r="R459" s="20" t="s">
        <v>1772</v>
      </c>
      <c r="S459" s="20" t="s">
        <v>1771</v>
      </c>
      <c r="T459" s="20" t="s">
        <v>138</v>
      </c>
    </row>
    <row r="460" ht="14.25" customHeight="1">
      <c r="A460" s="20" t="s">
        <v>1773</v>
      </c>
      <c r="B460" s="20" t="s">
        <v>1774</v>
      </c>
      <c r="C460" s="20" t="s">
        <v>163</v>
      </c>
      <c r="F460" s="20" t="s">
        <v>150</v>
      </c>
      <c r="G460" s="20" t="s">
        <v>150</v>
      </c>
      <c r="I460" s="20" t="s">
        <v>151</v>
      </c>
      <c r="J460" s="20" t="s">
        <v>143</v>
      </c>
      <c r="K460" s="20" t="s">
        <v>167</v>
      </c>
      <c r="Q460" s="20">
        <v>2635.0</v>
      </c>
      <c r="R460" s="20" t="s">
        <v>1775</v>
      </c>
      <c r="S460" s="20" t="s">
        <v>1774</v>
      </c>
      <c r="T460" s="20" t="s">
        <v>138</v>
      </c>
    </row>
    <row r="461" ht="14.25" customHeight="1">
      <c r="A461" s="20" t="s">
        <v>1776</v>
      </c>
      <c r="B461" s="20" t="s">
        <v>1777</v>
      </c>
      <c r="C461" s="20" t="s">
        <v>149</v>
      </c>
      <c r="F461" s="20" t="s">
        <v>150</v>
      </c>
      <c r="G461" s="20" t="s">
        <v>150</v>
      </c>
      <c r="I461" s="20" t="s">
        <v>151</v>
      </c>
      <c r="J461" s="20" t="s">
        <v>186</v>
      </c>
      <c r="Q461" s="20">
        <v>10078.0</v>
      </c>
      <c r="R461" s="20" t="s">
        <v>1778</v>
      </c>
      <c r="S461" s="20" t="s">
        <v>1777</v>
      </c>
      <c r="T461" s="20" t="s">
        <v>138</v>
      </c>
    </row>
    <row r="462" ht="14.25" customHeight="1">
      <c r="A462" s="20" t="s">
        <v>1779</v>
      </c>
      <c r="B462" s="20" t="s">
        <v>1780</v>
      </c>
      <c r="C462" s="20" t="s">
        <v>637</v>
      </c>
      <c r="F462" s="20" t="s">
        <v>16</v>
      </c>
      <c r="G462" s="20" t="s">
        <v>638</v>
      </c>
      <c r="I462" s="20" t="s">
        <v>639</v>
      </c>
      <c r="J462" s="20" t="s">
        <v>186</v>
      </c>
      <c r="Q462" s="20">
        <v>9896.0</v>
      </c>
      <c r="R462" s="20" t="s">
        <v>1781</v>
      </c>
      <c r="S462" s="20" t="s">
        <v>1780</v>
      </c>
      <c r="T462" s="20" t="s">
        <v>138</v>
      </c>
    </row>
    <row r="463" ht="14.25" customHeight="1">
      <c r="A463" s="20" t="s">
        <v>1782</v>
      </c>
      <c r="B463" s="20" t="s">
        <v>1783</v>
      </c>
      <c r="C463" s="20" t="s">
        <v>289</v>
      </c>
      <c r="F463" s="20" t="s">
        <v>150</v>
      </c>
      <c r="G463" s="20" t="s">
        <v>150</v>
      </c>
      <c r="I463" s="20" t="s">
        <v>151</v>
      </c>
      <c r="J463" s="20" t="s">
        <v>143</v>
      </c>
      <c r="Q463" s="20">
        <v>2030.0</v>
      </c>
      <c r="R463" s="20" t="s">
        <v>1784</v>
      </c>
      <c r="S463" s="20" t="s">
        <v>1783</v>
      </c>
      <c r="T463" s="20" t="s">
        <v>138</v>
      </c>
    </row>
    <row r="464" ht="14.25" customHeight="1">
      <c r="A464" s="20" t="s">
        <v>1785</v>
      </c>
      <c r="B464" s="20" t="s">
        <v>1786</v>
      </c>
      <c r="C464" s="20" t="s">
        <v>928</v>
      </c>
      <c r="F464" s="20" t="s">
        <v>327</v>
      </c>
      <c r="G464" s="20" t="s">
        <v>328</v>
      </c>
      <c r="I464" s="20" t="s">
        <v>329</v>
      </c>
      <c r="J464" s="20" t="s">
        <v>143</v>
      </c>
      <c r="Q464" s="20">
        <v>7743.0</v>
      </c>
      <c r="R464" s="20" t="s">
        <v>1787</v>
      </c>
      <c r="S464" s="20" t="s">
        <v>1788</v>
      </c>
      <c r="T464" s="20" t="s">
        <v>138</v>
      </c>
    </row>
    <row r="465" ht="14.25" customHeight="1">
      <c r="A465" s="20" t="s">
        <v>1789</v>
      </c>
      <c r="B465" s="20" t="s">
        <v>1790</v>
      </c>
      <c r="C465" s="20" t="s">
        <v>235</v>
      </c>
      <c r="F465" s="20" t="s">
        <v>15</v>
      </c>
      <c r="G465" s="20" t="s">
        <v>142</v>
      </c>
      <c r="I465" s="20" t="s">
        <v>105</v>
      </c>
      <c r="J465" s="20" t="s">
        <v>143</v>
      </c>
      <c r="Q465" s="20">
        <v>9372.0</v>
      </c>
      <c r="R465" s="20" t="s">
        <v>1791</v>
      </c>
      <c r="S465" s="20" t="s">
        <v>1790</v>
      </c>
      <c r="T465" s="20" t="s">
        <v>138</v>
      </c>
    </row>
    <row r="466" ht="14.25" customHeight="1">
      <c r="A466" s="20" t="s">
        <v>1792</v>
      </c>
      <c r="B466" s="20" t="s">
        <v>1793</v>
      </c>
      <c r="C466" s="20" t="s">
        <v>149</v>
      </c>
      <c r="F466" s="20" t="s">
        <v>150</v>
      </c>
      <c r="G466" s="20" t="s">
        <v>150</v>
      </c>
      <c r="I466" s="20" t="s">
        <v>151</v>
      </c>
      <c r="J466" s="20" t="s">
        <v>143</v>
      </c>
      <c r="Q466" s="20">
        <v>2614.0</v>
      </c>
      <c r="R466" s="20" t="s">
        <v>1794</v>
      </c>
      <c r="S466" s="20" t="s">
        <v>1793</v>
      </c>
      <c r="T466" s="20" t="s">
        <v>138</v>
      </c>
      <c r="V466" s="20" t="s">
        <v>260</v>
      </c>
      <c r="W466" s="20" t="s">
        <v>146</v>
      </c>
    </row>
    <row r="467" ht="14.25" customHeight="1">
      <c r="A467" s="20" t="s">
        <v>1795</v>
      </c>
      <c r="B467" s="20" t="s">
        <v>1796</v>
      </c>
      <c r="C467" s="20" t="s">
        <v>197</v>
      </c>
      <c r="F467" s="20" t="s">
        <v>150</v>
      </c>
      <c r="G467" s="20" t="s">
        <v>150</v>
      </c>
      <c r="I467" s="20" t="s">
        <v>151</v>
      </c>
      <c r="J467" s="20" t="s">
        <v>143</v>
      </c>
      <c r="Q467" s="20">
        <v>12109.0</v>
      </c>
      <c r="R467" s="20" t="s">
        <v>1797</v>
      </c>
      <c r="S467" s="20" t="s">
        <v>1796</v>
      </c>
      <c r="T467" s="20" t="s">
        <v>138</v>
      </c>
    </row>
    <row r="468" ht="14.25" customHeight="1">
      <c r="A468" s="20" t="s">
        <v>1798</v>
      </c>
      <c r="B468" s="20" t="s">
        <v>1799</v>
      </c>
      <c r="C468" s="20" t="s">
        <v>197</v>
      </c>
      <c r="F468" s="20" t="s">
        <v>150</v>
      </c>
      <c r="G468" s="20" t="s">
        <v>150</v>
      </c>
      <c r="I468" s="20" t="s">
        <v>151</v>
      </c>
      <c r="J468" s="20" t="s">
        <v>143</v>
      </c>
      <c r="Q468" s="20">
        <v>12191.0</v>
      </c>
      <c r="R468" s="20" t="s">
        <v>1800</v>
      </c>
      <c r="S468" s="20" t="s">
        <v>1799</v>
      </c>
      <c r="T468" s="20" t="s">
        <v>138</v>
      </c>
    </row>
    <row r="469" ht="14.25" customHeight="1">
      <c r="A469" s="20" t="s">
        <v>1801</v>
      </c>
      <c r="B469" s="20" t="s">
        <v>1802</v>
      </c>
      <c r="C469" s="20" t="s">
        <v>239</v>
      </c>
      <c r="F469" s="20" t="s">
        <v>17</v>
      </c>
      <c r="G469" s="20" t="s">
        <v>17</v>
      </c>
      <c r="I469" s="20" t="s">
        <v>88</v>
      </c>
      <c r="J469" s="20" t="s">
        <v>143</v>
      </c>
      <c r="K469" s="20" t="s">
        <v>167</v>
      </c>
      <c r="Q469" s="20">
        <v>2789.0</v>
      </c>
      <c r="R469" s="20" t="s">
        <v>1803</v>
      </c>
      <c r="S469" s="20" t="s">
        <v>1802</v>
      </c>
      <c r="T469" s="20" t="s">
        <v>138</v>
      </c>
    </row>
    <row r="470" ht="14.25" customHeight="1">
      <c r="A470" s="20" t="s">
        <v>1804</v>
      </c>
      <c r="B470" s="20" t="s">
        <v>1805</v>
      </c>
      <c r="C470" s="20" t="s">
        <v>1806</v>
      </c>
      <c r="F470" s="20" t="s">
        <v>16</v>
      </c>
      <c r="G470" s="20" t="s">
        <v>638</v>
      </c>
      <c r="I470" s="20" t="s">
        <v>814</v>
      </c>
      <c r="J470" s="20" t="s">
        <v>143</v>
      </c>
      <c r="Q470" s="20">
        <v>14017.0</v>
      </c>
      <c r="R470" s="20" t="s">
        <v>1807</v>
      </c>
      <c r="S470" s="20" t="s">
        <v>1805</v>
      </c>
      <c r="T470" s="20" t="s">
        <v>138</v>
      </c>
    </row>
    <row r="471" ht="14.25" customHeight="1">
      <c r="A471" s="20" t="s">
        <v>1808</v>
      </c>
      <c r="B471" s="20" t="s">
        <v>1809</v>
      </c>
      <c r="C471" s="20" t="s">
        <v>193</v>
      </c>
      <c r="F471" s="20" t="s">
        <v>150</v>
      </c>
      <c r="G471" s="20" t="s">
        <v>150</v>
      </c>
      <c r="I471" s="20" t="s">
        <v>151</v>
      </c>
      <c r="J471" s="20" t="s">
        <v>143</v>
      </c>
      <c r="Q471" s="20">
        <v>4658.0</v>
      </c>
      <c r="R471" s="20" t="s">
        <v>1810</v>
      </c>
      <c r="S471" s="20" t="s">
        <v>1809</v>
      </c>
      <c r="T471" s="20" t="s">
        <v>138</v>
      </c>
    </row>
    <row r="472" ht="14.25" customHeight="1">
      <c r="A472" s="20" t="s">
        <v>1811</v>
      </c>
      <c r="B472" s="20" t="s">
        <v>1812</v>
      </c>
      <c r="C472" s="20" t="s">
        <v>197</v>
      </c>
      <c r="F472" s="20" t="s">
        <v>150</v>
      </c>
      <c r="G472" s="20" t="s">
        <v>150</v>
      </c>
      <c r="I472" s="20" t="s">
        <v>151</v>
      </c>
      <c r="J472" s="20" t="s">
        <v>143</v>
      </c>
      <c r="Q472" s="20">
        <v>7147.0</v>
      </c>
      <c r="R472" s="20" t="s">
        <v>1813</v>
      </c>
      <c r="S472" s="20" t="s">
        <v>1812</v>
      </c>
      <c r="T472" s="20" t="s">
        <v>138</v>
      </c>
      <c r="V472" s="20" t="s">
        <v>189</v>
      </c>
      <c r="W472" s="20" t="s">
        <v>146</v>
      </c>
    </row>
    <row r="473" ht="14.25" customHeight="1">
      <c r="A473" s="20" t="s">
        <v>1814</v>
      </c>
      <c r="B473" s="20" t="s">
        <v>1815</v>
      </c>
      <c r="C473" s="20" t="s">
        <v>149</v>
      </c>
      <c r="F473" s="20" t="s">
        <v>150</v>
      </c>
      <c r="G473" s="20" t="s">
        <v>150</v>
      </c>
      <c r="I473" s="20" t="s">
        <v>151</v>
      </c>
      <c r="J473" s="20" t="s">
        <v>143</v>
      </c>
      <c r="Q473" s="20">
        <v>14840.0</v>
      </c>
      <c r="R473" s="20" t="s">
        <v>1816</v>
      </c>
      <c r="S473" s="20" t="s">
        <v>1815</v>
      </c>
      <c r="T473" s="20" t="s">
        <v>138</v>
      </c>
    </row>
    <row r="474" ht="14.25" customHeight="1">
      <c r="A474" s="20" t="s">
        <v>1817</v>
      </c>
      <c r="B474" s="20" t="s">
        <v>1818</v>
      </c>
      <c r="C474" s="20" t="s">
        <v>193</v>
      </c>
      <c r="F474" s="20" t="s">
        <v>150</v>
      </c>
      <c r="G474" s="20" t="s">
        <v>150</v>
      </c>
      <c r="I474" s="20" t="s">
        <v>151</v>
      </c>
      <c r="J474" s="20" t="s">
        <v>143</v>
      </c>
      <c r="K474" s="20" t="s">
        <v>167</v>
      </c>
      <c r="Q474" s="20">
        <v>15979.0</v>
      </c>
      <c r="R474" s="20" t="s">
        <v>1819</v>
      </c>
      <c r="S474" s="20" t="s">
        <v>1818</v>
      </c>
      <c r="T474" s="20" t="s">
        <v>138</v>
      </c>
    </row>
    <row r="475" ht="14.25" customHeight="1">
      <c r="A475" s="20" t="s">
        <v>1820</v>
      </c>
      <c r="B475" s="20" t="s">
        <v>1821</v>
      </c>
      <c r="C475" s="20" t="s">
        <v>163</v>
      </c>
      <c r="F475" s="20" t="s">
        <v>150</v>
      </c>
      <c r="G475" s="20" t="s">
        <v>150</v>
      </c>
      <c r="I475" s="20" t="s">
        <v>151</v>
      </c>
      <c r="J475" s="20" t="s">
        <v>143</v>
      </c>
      <c r="Q475" s="20">
        <v>15860.0</v>
      </c>
      <c r="R475" s="20" t="s">
        <v>1822</v>
      </c>
      <c r="S475" s="20" t="s">
        <v>1821</v>
      </c>
      <c r="T475" s="20" t="s">
        <v>138</v>
      </c>
    </row>
    <row r="476" ht="14.25" customHeight="1">
      <c r="A476" s="20" t="s">
        <v>1823</v>
      </c>
      <c r="B476" s="20" t="s">
        <v>1824</v>
      </c>
      <c r="C476" s="20" t="s">
        <v>818</v>
      </c>
      <c r="F476" s="20" t="s">
        <v>17</v>
      </c>
      <c r="G476" s="20" t="s">
        <v>17</v>
      </c>
      <c r="I476" s="20" t="s">
        <v>88</v>
      </c>
      <c r="J476" s="20" t="s">
        <v>143</v>
      </c>
      <c r="K476" s="20" t="s">
        <v>167</v>
      </c>
      <c r="Q476" s="20">
        <v>1653.0</v>
      </c>
      <c r="R476" s="20" t="s">
        <v>1825</v>
      </c>
      <c r="S476" s="20" t="s">
        <v>1824</v>
      </c>
      <c r="T476" s="20" t="s">
        <v>138</v>
      </c>
    </row>
    <row r="477" ht="14.25" customHeight="1">
      <c r="A477" s="20" t="s">
        <v>1826</v>
      </c>
      <c r="B477" s="20" t="s">
        <v>1827</v>
      </c>
      <c r="C477" s="20" t="s">
        <v>779</v>
      </c>
      <c r="F477" s="20" t="s">
        <v>150</v>
      </c>
      <c r="G477" s="20" t="s">
        <v>150</v>
      </c>
      <c r="I477" s="20" t="s">
        <v>151</v>
      </c>
      <c r="J477" s="20" t="s">
        <v>143</v>
      </c>
      <c r="Q477" s="20">
        <v>14820.0</v>
      </c>
      <c r="R477" s="20" t="s">
        <v>1828</v>
      </c>
      <c r="S477" s="20" t="s">
        <v>1827</v>
      </c>
      <c r="T477" s="20" t="s">
        <v>138</v>
      </c>
    </row>
    <row r="478" ht="14.25" customHeight="1">
      <c r="A478" s="20" t="s">
        <v>1829</v>
      </c>
      <c r="B478" s="20" t="s">
        <v>1830</v>
      </c>
      <c r="C478" s="20" t="s">
        <v>1831</v>
      </c>
      <c r="F478" s="20" t="s">
        <v>218</v>
      </c>
      <c r="G478" s="20" t="s">
        <v>219</v>
      </c>
      <c r="H478" s="20">
        <v>17700.0</v>
      </c>
      <c r="I478" s="20" t="s">
        <v>370</v>
      </c>
      <c r="J478" s="20" t="s">
        <v>143</v>
      </c>
      <c r="P478" s="20" t="s">
        <v>1830</v>
      </c>
      <c r="Q478" s="20">
        <v>17700.0</v>
      </c>
      <c r="R478" s="20" t="s">
        <v>1832</v>
      </c>
      <c r="S478" s="20" t="s">
        <v>1830</v>
      </c>
      <c r="T478" s="20" t="s">
        <v>138</v>
      </c>
    </row>
    <row r="479" ht="14.25" customHeight="1">
      <c r="A479" s="20" t="s">
        <v>1833</v>
      </c>
      <c r="B479" s="20" t="s">
        <v>1834</v>
      </c>
      <c r="C479" s="20" t="s">
        <v>1835</v>
      </c>
      <c r="F479" s="20" t="s">
        <v>17</v>
      </c>
      <c r="G479" s="20" t="s">
        <v>17</v>
      </c>
      <c r="I479" s="20" t="s">
        <v>88</v>
      </c>
      <c r="J479" s="20" t="s">
        <v>143</v>
      </c>
      <c r="K479" s="20" t="s">
        <v>187</v>
      </c>
      <c r="Q479" s="20">
        <v>1380.0</v>
      </c>
      <c r="R479" s="20" t="s">
        <v>1836</v>
      </c>
      <c r="S479" s="20" t="s">
        <v>1834</v>
      </c>
      <c r="T479" s="20" t="s">
        <v>138</v>
      </c>
      <c r="V479" s="20" t="s">
        <v>189</v>
      </c>
      <c r="W479" s="20" t="s">
        <v>190</v>
      </c>
    </row>
    <row r="480" ht="14.25" customHeight="1">
      <c r="A480" s="20" t="s">
        <v>1837</v>
      </c>
      <c r="B480" s="20" t="s">
        <v>1838</v>
      </c>
      <c r="C480" s="20" t="s">
        <v>235</v>
      </c>
      <c r="F480" s="20" t="s">
        <v>15</v>
      </c>
      <c r="G480" s="20" t="s">
        <v>142</v>
      </c>
      <c r="I480" s="20" t="s">
        <v>105</v>
      </c>
      <c r="J480" s="20" t="s">
        <v>143</v>
      </c>
      <c r="Q480" s="20">
        <v>8709.0</v>
      </c>
      <c r="R480" s="20" t="s">
        <v>1839</v>
      </c>
      <c r="S480" s="20" t="s">
        <v>1838</v>
      </c>
      <c r="T480" s="20" t="s">
        <v>138</v>
      </c>
    </row>
    <row r="481" ht="14.25" customHeight="1">
      <c r="A481" s="20" t="s">
        <v>1840</v>
      </c>
      <c r="B481" s="26" t="s">
        <v>1841</v>
      </c>
      <c r="C481" s="20" t="s">
        <v>149</v>
      </c>
      <c r="F481" s="20" t="s">
        <v>150</v>
      </c>
      <c r="G481" s="20" t="s">
        <v>150</v>
      </c>
      <c r="H481" s="20">
        <v>1724.0</v>
      </c>
      <c r="I481" s="20" t="s">
        <v>151</v>
      </c>
      <c r="J481" s="20" t="s">
        <v>143</v>
      </c>
      <c r="K481" s="20" t="s">
        <v>187</v>
      </c>
      <c r="Q481" s="20">
        <v>9827.0</v>
      </c>
      <c r="R481" s="20" t="s">
        <v>1842</v>
      </c>
      <c r="S481" s="26" t="s">
        <v>1841</v>
      </c>
      <c r="T481" s="20" t="s">
        <v>138</v>
      </c>
      <c r="V481" s="20" t="s">
        <v>260</v>
      </c>
      <c r="W481" s="20" t="s">
        <v>146</v>
      </c>
    </row>
    <row r="482" ht="14.25" customHeight="1">
      <c r="A482" s="20" t="s">
        <v>1843</v>
      </c>
      <c r="B482" s="20" t="s">
        <v>1844</v>
      </c>
      <c r="C482" s="20" t="s">
        <v>1845</v>
      </c>
      <c r="F482" s="20" t="s">
        <v>15</v>
      </c>
      <c r="G482" s="20" t="s">
        <v>142</v>
      </c>
      <c r="I482" s="20" t="s">
        <v>105</v>
      </c>
      <c r="J482" s="20" t="s">
        <v>143</v>
      </c>
      <c r="Q482" s="20">
        <v>15182.0</v>
      </c>
      <c r="R482" s="20" t="s">
        <v>1846</v>
      </c>
      <c r="S482" s="20" t="s">
        <v>1844</v>
      </c>
      <c r="T482" s="20" t="s">
        <v>138</v>
      </c>
    </row>
    <row r="483" ht="14.25" customHeight="1">
      <c r="A483" s="20" t="s">
        <v>1847</v>
      </c>
      <c r="B483" s="20" t="s">
        <v>1848</v>
      </c>
      <c r="C483" s="20" t="s">
        <v>235</v>
      </c>
      <c r="F483" s="20" t="s">
        <v>15</v>
      </c>
      <c r="G483" s="20" t="s">
        <v>142</v>
      </c>
      <c r="I483" s="20" t="s">
        <v>105</v>
      </c>
      <c r="J483" s="20" t="s">
        <v>143</v>
      </c>
      <c r="Q483" s="20">
        <v>9349.0</v>
      </c>
      <c r="R483" s="20" t="s">
        <v>1849</v>
      </c>
      <c r="S483" s="20" t="s">
        <v>1848</v>
      </c>
      <c r="T483" s="20" t="s">
        <v>138</v>
      </c>
    </row>
    <row r="484" ht="14.25" customHeight="1">
      <c r="A484" s="20" t="s">
        <v>1850</v>
      </c>
      <c r="B484" s="20" t="s">
        <v>1851</v>
      </c>
      <c r="C484" s="20" t="s">
        <v>1852</v>
      </c>
      <c r="F484" s="20" t="s">
        <v>16</v>
      </c>
      <c r="G484" s="20" t="s">
        <v>638</v>
      </c>
      <c r="H484" s="20">
        <v>16331.0</v>
      </c>
      <c r="I484" s="20" t="s">
        <v>639</v>
      </c>
      <c r="J484" s="20" t="s">
        <v>136</v>
      </c>
      <c r="L484" s="20" t="s">
        <v>1582</v>
      </c>
      <c r="M484" s="20" t="s">
        <v>319</v>
      </c>
      <c r="O484" s="20" t="s">
        <v>144</v>
      </c>
      <c r="Q484" s="20">
        <v>16331.0</v>
      </c>
      <c r="R484" s="20" t="s">
        <v>1853</v>
      </c>
      <c r="S484" s="20" t="s">
        <v>1854</v>
      </c>
      <c r="T484" s="20" t="s">
        <v>138</v>
      </c>
      <c r="U484" s="24">
        <v>44838.0</v>
      </c>
      <c r="W484" s="20" t="s">
        <v>136</v>
      </c>
    </row>
    <row r="485" ht="14.25" customHeight="1">
      <c r="A485" s="20" t="s">
        <v>1855</v>
      </c>
      <c r="B485" s="20" t="s">
        <v>1856</v>
      </c>
      <c r="C485" s="20" t="s">
        <v>174</v>
      </c>
      <c r="F485" s="20" t="s">
        <v>150</v>
      </c>
      <c r="G485" s="20" t="s">
        <v>150</v>
      </c>
      <c r="I485" s="20" t="s">
        <v>151</v>
      </c>
      <c r="J485" s="20" t="s">
        <v>143</v>
      </c>
      <c r="Q485" s="20">
        <v>3701.0</v>
      </c>
      <c r="R485" s="20" t="s">
        <v>1857</v>
      </c>
      <c r="S485" s="20" t="s">
        <v>1856</v>
      </c>
      <c r="T485" s="20" t="s">
        <v>138</v>
      </c>
    </row>
    <row r="486" ht="14.25" customHeight="1">
      <c r="A486" s="20" t="s">
        <v>1858</v>
      </c>
      <c r="B486" s="20" t="s">
        <v>1859</v>
      </c>
      <c r="C486" s="20" t="s">
        <v>235</v>
      </c>
      <c r="F486" s="20" t="s">
        <v>15</v>
      </c>
      <c r="G486" s="20" t="s">
        <v>142</v>
      </c>
      <c r="I486" s="20" t="s">
        <v>105</v>
      </c>
      <c r="J486" s="20" t="s">
        <v>143</v>
      </c>
      <c r="Q486" s="20">
        <v>1774.0</v>
      </c>
      <c r="R486" s="20" t="s">
        <v>1860</v>
      </c>
      <c r="S486" s="20" t="s">
        <v>1859</v>
      </c>
      <c r="T486" s="20" t="s">
        <v>138</v>
      </c>
    </row>
    <row r="487" ht="14.25" customHeight="1">
      <c r="A487" s="20" t="s">
        <v>1861</v>
      </c>
      <c r="B487" s="20" t="s">
        <v>1862</v>
      </c>
      <c r="C487" s="20" t="s">
        <v>235</v>
      </c>
      <c r="F487" s="20" t="s">
        <v>15</v>
      </c>
      <c r="G487" s="20" t="s">
        <v>142</v>
      </c>
      <c r="I487" s="20" t="s">
        <v>105</v>
      </c>
      <c r="J487" s="20" t="s">
        <v>143</v>
      </c>
      <c r="Q487" s="20">
        <v>4492.0</v>
      </c>
      <c r="R487" s="20" t="s">
        <v>1863</v>
      </c>
      <c r="S487" s="20" t="s">
        <v>1862</v>
      </c>
      <c r="T487" s="20" t="s">
        <v>138</v>
      </c>
    </row>
    <row r="488" ht="14.25" customHeight="1">
      <c r="A488" s="20" t="s">
        <v>1864</v>
      </c>
      <c r="B488" s="20" t="s">
        <v>1865</v>
      </c>
      <c r="C488" s="20" t="s">
        <v>1866</v>
      </c>
      <c r="F488" s="20" t="s">
        <v>150</v>
      </c>
      <c r="G488" s="20" t="s">
        <v>150</v>
      </c>
      <c r="I488" s="20" t="s">
        <v>151</v>
      </c>
      <c r="J488" s="20" t="s">
        <v>143</v>
      </c>
      <c r="K488" s="20" t="s">
        <v>167</v>
      </c>
      <c r="Q488" s="20">
        <v>8716.0</v>
      </c>
      <c r="R488" s="20" t="s">
        <v>1867</v>
      </c>
      <c r="S488" s="20" t="s">
        <v>1865</v>
      </c>
      <c r="T488" s="20" t="s">
        <v>138</v>
      </c>
      <c r="W488" s="20" t="s">
        <v>146</v>
      </c>
      <c r="X488" s="20" t="s">
        <v>1868</v>
      </c>
    </row>
    <row r="489" ht="14.25" customHeight="1">
      <c r="A489" s="20" t="s">
        <v>1869</v>
      </c>
      <c r="B489" s="20" t="s">
        <v>1870</v>
      </c>
      <c r="C489" s="20" t="s">
        <v>1871</v>
      </c>
      <c r="J489" s="20" t="s">
        <v>143</v>
      </c>
      <c r="Q489" s="20">
        <v>9177.0</v>
      </c>
      <c r="R489" s="20" t="s">
        <v>1872</v>
      </c>
      <c r="S489" s="20" t="s">
        <v>1870</v>
      </c>
      <c r="T489" s="20" t="s">
        <v>138</v>
      </c>
    </row>
    <row r="490" ht="14.25" customHeight="1">
      <c r="A490" s="20" t="s">
        <v>1873</v>
      </c>
      <c r="B490" s="20" t="s">
        <v>1874</v>
      </c>
      <c r="C490" s="20" t="s">
        <v>1875</v>
      </c>
      <c r="F490" s="20" t="s">
        <v>17</v>
      </c>
      <c r="G490" s="20" t="s">
        <v>17</v>
      </c>
      <c r="I490" s="20" t="s">
        <v>88</v>
      </c>
      <c r="J490" s="20" t="s">
        <v>143</v>
      </c>
      <c r="K490" s="20" t="s">
        <v>187</v>
      </c>
      <c r="Q490" s="20">
        <v>335.0</v>
      </c>
      <c r="R490" s="20" t="s">
        <v>1876</v>
      </c>
      <c r="S490" s="20" t="s">
        <v>1877</v>
      </c>
      <c r="T490" s="20" t="s">
        <v>138</v>
      </c>
      <c r="V490" s="20" t="s">
        <v>189</v>
      </c>
      <c r="W490" s="20" t="s">
        <v>261</v>
      </c>
    </row>
    <row r="491" ht="14.25" customHeight="1">
      <c r="A491" s="20" t="s">
        <v>1878</v>
      </c>
      <c r="B491" s="20" t="s">
        <v>1879</v>
      </c>
      <c r="C491" s="20" t="s">
        <v>174</v>
      </c>
      <c r="F491" s="20" t="s">
        <v>150</v>
      </c>
      <c r="G491" s="20" t="s">
        <v>150</v>
      </c>
      <c r="I491" s="20" t="s">
        <v>151</v>
      </c>
      <c r="J491" s="20" t="s">
        <v>143</v>
      </c>
      <c r="Q491" s="20">
        <v>336.0</v>
      </c>
      <c r="R491" s="20" t="s">
        <v>1880</v>
      </c>
      <c r="S491" s="20" t="s">
        <v>1879</v>
      </c>
      <c r="T491" s="20" t="s">
        <v>138</v>
      </c>
    </row>
    <row r="492" ht="14.25" customHeight="1">
      <c r="A492" s="20" t="s">
        <v>1881</v>
      </c>
      <c r="B492" s="20" t="s">
        <v>1882</v>
      </c>
      <c r="C492" s="20" t="s">
        <v>178</v>
      </c>
      <c r="F492" s="20" t="s">
        <v>150</v>
      </c>
      <c r="G492" s="20" t="s">
        <v>150</v>
      </c>
      <c r="I492" s="20" t="s">
        <v>151</v>
      </c>
      <c r="J492" s="20" t="s">
        <v>143</v>
      </c>
      <c r="Q492" s="20">
        <v>6739.0</v>
      </c>
      <c r="R492" s="20" t="s">
        <v>1883</v>
      </c>
      <c r="S492" s="20" t="s">
        <v>1882</v>
      </c>
      <c r="T492" s="20" t="s">
        <v>138</v>
      </c>
    </row>
    <row r="493" ht="14.25" customHeight="1">
      <c r="A493" s="20" t="s">
        <v>1884</v>
      </c>
      <c r="B493" s="20" t="s">
        <v>1885</v>
      </c>
      <c r="C493" s="20" t="s">
        <v>1886</v>
      </c>
      <c r="F493" s="20" t="s">
        <v>15</v>
      </c>
      <c r="G493" s="20" t="s">
        <v>135</v>
      </c>
      <c r="I493" s="20" t="s">
        <v>93</v>
      </c>
      <c r="J493" s="20" t="s">
        <v>186</v>
      </c>
      <c r="Q493" s="20">
        <v>7715.0</v>
      </c>
      <c r="R493" s="20" t="s">
        <v>1887</v>
      </c>
      <c r="S493" s="20" t="s">
        <v>1888</v>
      </c>
      <c r="T493" s="20" t="s">
        <v>138</v>
      </c>
      <c r="W493" s="20" t="s">
        <v>261</v>
      </c>
    </row>
    <row r="494" ht="14.25" customHeight="1">
      <c r="A494" s="20" t="s">
        <v>1889</v>
      </c>
      <c r="B494" s="20" t="s">
        <v>1890</v>
      </c>
      <c r="C494" s="20" t="s">
        <v>637</v>
      </c>
      <c r="F494" s="20" t="s">
        <v>16</v>
      </c>
      <c r="G494" s="20" t="s">
        <v>638</v>
      </c>
      <c r="I494" s="20" t="s">
        <v>639</v>
      </c>
      <c r="J494" s="20" t="s">
        <v>143</v>
      </c>
      <c r="K494" s="20" t="s">
        <v>167</v>
      </c>
      <c r="Q494" s="20">
        <v>3752.0</v>
      </c>
      <c r="R494" s="20" t="s">
        <v>1891</v>
      </c>
      <c r="S494" s="20" t="s">
        <v>1892</v>
      </c>
      <c r="T494" s="20" t="s">
        <v>138</v>
      </c>
    </row>
    <row r="495" ht="14.25" customHeight="1">
      <c r="A495" s="20" t="s">
        <v>1893</v>
      </c>
      <c r="B495" s="20" t="s">
        <v>1894</v>
      </c>
      <c r="C495" s="20" t="s">
        <v>174</v>
      </c>
      <c r="F495" s="20" t="s">
        <v>150</v>
      </c>
      <c r="G495" s="20" t="s">
        <v>150</v>
      </c>
      <c r="I495" s="20" t="s">
        <v>151</v>
      </c>
      <c r="J495" s="20" t="s">
        <v>143</v>
      </c>
      <c r="Q495" s="20">
        <v>13979.0</v>
      </c>
      <c r="R495" s="20" t="s">
        <v>1895</v>
      </c>
      <c r="S495" s="20" t="s">
        <v>1894</v>
      </c>
      <c r="T495" s="20" t="s">
        <v>138</v>
      </c>
    </row>
    <row r="496" ht="14.25" customHeight="1">
      <c r="A496" s="20" t="s">
        <v>1896</v>
      </c>
      <c r="B496" s="20" t="s">
        <v>1897</v>
      </c>
      <c r="C496" s="20" t="s">
        <v>178</v>
      </c>
      <c r="F496" s="20" t="s">
        <v>150</v>
      </c>
      <c r="G496" s="20" t="s">
        <v>150</v>
      </c>
      <c r="I496" s="20" t="s">
        <v>151</v>
      </c>
      <c r="J496" s="20" t="s">
        <v>143</v>
      </c>
      <c r="Q496" s="20">
        <v>11775.0</v>
      </c>
      <c r="R496" s="20" t="s">
        <v>1898</v>
      </c>
      <c r="S496" s="20" t="s">
        <v>1897</v>
      </c>
      <c r="T496" s="20" t="s">
        <v>138</v>
      </c>
    </row>
    <row r="497" ht="14.25" customHeight="1">
      <c r="A497" s="20" t="s">
        <v>1899</v>
      </c>
      <c r="B497" s="20" t="s">
        <v>1900</v>
      </c>
      <c r="C497" s="20" t="s">
        <v>1901</v>
      </c>
      <c r="F497" s="20" t="s">
        <v>15</v>
      </c>
      <c r="G497" s="20" t="s">
        <v>142</v>
      </c>
      <c r="I497" s="20" t="s">
        <v>105</v>
      </c>
      <c r="J497" s="20" t="s">
        <v>186</v>
      </c>
      <c r="Q497" s="20">
        <v>8967.0</v>
      </c>
      <c r="R497" s="20" t="s">
        <v>1902</v>
      </c>
      <c r="S497" s="20" t="s">
        <v>1900</v>
      </c>
      <c r="T497" s="20" t="s">
        <v>138</v>
      </c>
      <c r="W497" s="20" t="s">
        <v>146</v>
      </c>
    </row>
    <row r="498" ht="14.25" customHeight="1">
      <c r="A498" s="20" t="s">
        <v>1903</v>
      </c>
      <c r="B498" s="20" t="s">
        <v>1904</v>
      </c>
      <c r="C498" s="20" t="s">
        <v>1905</v>
      </c>
      <c r="F498" s="20" t="s">
        <v>17</v>
      </c>
      <c r="G498" s="20" t="s">
        <v>17</v>
      </c>
      <c r="I498" s="20" t="s">
        <v>88</v>
      </c>
      <c r="J498" s="20" t="s">
        <v>143</v>
      </c>
      <c r="K498" s="20" t="s">
        <v>167</v>
      </c>
      <c r="Q498" s="20">
        <v>345.0</v>
      </c>
      <c r="R498" s="20" t="s">
        <v>1906</v>
      </c>
      <c r="S498" s="20" t="s">
        <v>1904</v>
      </c>
      <c r="T498" s="20" t="s">
        <v>138</v>
      </c>
    </row>
    <row r="499" ht="14.25" customHeight="1">
      <c r="A499" s="20" t="s">
        <v>1907</v>
      </c>
      <c r="B499" s="20" t="s">
        <v>1908</v>
      </c>
      <c r="C499" s="20" t="s">
        <v>193</v>
      </c>
      <c r="F499" s="20" t="s">
        <v>150</v>
      </c>
      <c r="G499" s="20" t="s">
        <v>150</v>
      </c>
      <c r="I499" s="20" t="s">
        <v>151</v>
      </c>
      <c r="J499" s="20" t="s">
        <v>143</v>
      </c>
      <c r="Q499" s="20">
        <v>13713.0</v>
      </c>
      <c r="R499" s="20" t="s">
        <v>1909</v>
      </c>
      <c r="S499" s="20" t="s">
        <v>1908</v>
      </c>
      <c r="T499" s="20" t="s">
        <v>138</v>
      </c>
    </row>
    <row r="500" ht="14.25" customHeight="1">
      <c r="A500" s="20" t="s">
        <v>1910</v>
      </c>
      <c r="B500" s="20" t="s">
        <v>1911</v>
      </c>
      <c r="C500" s="20" t="s">
        <v>163</v>
      </c>
      <c r="F500" s="20" t="s">
        <v>150</v>
      </c>
      <c r="G500" s="20" t="s">
        <v>150</v>
      </c>
      <c r="I500" s="20" t="s">
        <v>151</v>
      </c>
      <c r="J500" s="20" t="s">
        <v>143</v>
      </c>
      <c r="Q500" s="20">
        <v>16262.0</v>
      </c>
      <c r="R500" s="20" t="s">
        <v>1912</v>
      </c>
      <c r="S500" s="20" t="s">
        <v>1911</v>
      </c>
      <c r="T500" s="20" t="s">
        <v>138</v>
      </c>
    </row>
    <row r="501" ht="14.25" customHeight="1">
      <c r="A501" s="20" t="s">
        <v>1913</v>
      </c>
      <c r="B501" s="20" t="s">
        <v>1914</v>
      </c>
      <c r="C501" s="20" t="s">
        <v>174</v>
      </c>
      <c r="F501" s="20" t="s">
        <v>150</v>
      </c>
      <c r="G501" s="20" t="s">
        <v>150</v>
      </c>
      <c r="I501" s="20" t="s">
        <v>151</v>
      </c>
      <c r="J501" s="20" t="s">
        <v>143</v>
      </c>
      <c r="Q501" s="20">
        <v>8776.0</v>
      </c>
      <c r="R501" s="20" t="s">
        <v>1915</v>
      </c>
      <c r="S501" s="20" t="s">
        <v>1914</v>
      </c>
      <c r="T501" s="20" t="s">
        <v>138</v>
      </c>
    </row>
    <row r="502" ht="14.25" customHeight="1">
      <c r="A502" s="20" t="s">
        <v>1916</v>
      </c>
      <c r="B502" s="20" t="s">
        <v>1917</v>
      </c>
      <c r="C502" s="20" t="s">
        <v>818</v>
      </c>
      <c r="F502" s="20" t="s">
        <v>17</v>
      </c>
      <c r="G502" s="20" t="s">
        <v>17</v>
      </c>
      <c r="I502" s="20" t="s">
        <v>88</v>
      </c>
      <c r="J502" s="20" t="s">
        <v>143</v>
      </c>
      <c r="Q502" s="20">
        <v>15240.0</v>
      </c>
      <c r="R502" s="20" t="s">
        <v>1918</v>
      </c>
      <c r="S502" s="20" t="s">
        <v>1917</v>
      </c>
      <c r="T502" s="20" t="s">
        <v>138</v>
      </c>
    </row>
    <row r="503" ht="14.25" customHeight="1">
      <c r="A503" s="20" t="s">
        <v>1919</v>
      </c>
      <c r="B503" s="20" t="s">
        <v>1920</v>
      </c>
      <c r="C503" s="20" t="s">
        <v>149</v>
      </c>
      <c r="F503" s="20" t="s">
        <v>150</v>
      </c>
      <c r="G503" s="20" t="s">
        <v>150</v>
      </c>
      <c r="I503" s="20" t="s">
        <v>151</v>
      </c>
      <c r="J503" s="20" t="s">
        <v>143</v>
      </c>
      <c r="Q503" s="20">
        <v>11493.0</v>
      </c>
      <c r="R503" s="20" t="s">
        <v>1921</v>
      </c>
      <c r="S503" s="20" t="s">
        <v>1920</v>
      </c>
      <c r="T503" s="20" t="s">
        <v>138</v>
      </c>
    </row>
    <row r="504" ht="14.25" customHeight="1">
      <c r="A504" s="20" t="s">
        <v>1922</v>
      </c>
      <c r="B504" s="20" t="s">
        <v>1923</v>
      </c>
      <c r="C504" s="20" t="s">
        <v>197</v>
      </c>
      <c r="F504" s="20" t="s">
        <v>150</v>
      </c>
      <c r="G504" s="20" t="s">
        <v>150</v>
      </c>
      <c r="I504" s="20" t="s">
        <v>151</v>
      </c>
      <c r="J504" s="20" t="s">
        <v>143</v>
      </c>
      <c r="K504" s="20" t="s">
        <v>213</v>
      </c>
      <c r="Q504" s="20">
        <v>2688.0</v>
      </c>
      <c r="R504" s="20" t="s">
        <v>1924</v>
      </c>
      <c r="S504" s="20" t="s">
        <v>1923</v>
      </c>
      <c r="T504" s="20" t="s">
        <v>138</v>
      </c>
    </row>
    <row r="505" ht="14.25" customHeight="1">
      <c r="A505" s="20" t="s">
        <v>1925</v>
      </c>
      <c r="B505" s="20" t="s">
        <v>1926</v>
      </c>
      <c r="C505" s="20" t="s">
        <v>174</v>
      </c>
      <c r="F505" s="20" t="s">
        <v>150</v>
      </c>
      <c r="G505" s="20" t="s">
        <v>150</v>
      </c>
      <c r="I505" s="20" t="s">
        <v>151</v>
      </c>
      <c r="J505" s="20" t="s">
        <v>143</v>
      </c>
      <c r="Q505" s="20">
        <v>3599.0</v>
      </c>
      <c r="R505" s="20" t="s">
        <v>1927</v>
      </c>
      <c r="S505" s="20" t="s">
        <v>1926</v>
      </c>
      <c r="T505" s="20" t="s">
        <v>138</v>
      </c>
    </row>
    <row r="506" ht="14.25" customHeight="1">
      <c r="A506" s="20" t="s">
        <v>1928</v>
      </c>
      <c r="B506" s="20" t="s">
        <v>1929</v>
      </c>
      <c r="C506" s="20" t="s">
        <v>1930</v>
      </c>
      <c r="F506" s="20" t="s">
        <v>16</v>
      </c>
      <c r="G506" s="20" t="s">
        <v>211</v>
      </c>
      <c r="H506" s="20">
        <v>17762.0</v>
      </c>
      <c r="I506" s="20" t="s">
        <v>1931</v>
      </c>
      <c r="J506" s="20" t="s">
        <v>143</v>
      </c>
      <c r="P506" s="20" t="s">
        <v>1929</v>
      </c>
      <c r="Q506" s="20">
        <v>17762.0</v>
      </c>
      <c r="R506" s="20" t="s">
        <v>1932</v>
      </c>
      <c r="S506" s="20" t="s">
        <v>1929</v>
      </c>
      <c r="T506" s="20" t="s">
        <v>138</v>
      </c>
      <c r="W506" s="20" t="s">
        <v>146</v>
      </c>
    </row>
    <row r="507" ht="14.25" customHeight="1">
      <c r="A507" s="20" t="s">
        <v>1933</v>
      </c>
      <c r="B507" s="20" t="s">
        <v>1934</v>
      </c>
      <c r="C507" s="20" t="s">
        <v>1935</v>
      </c>
      <c r="F507" s="20" t="s">
        <v>327</v>
      </c>
      <c r="G507" s="20" t="s">
        <v>385</v>
      </c>
      <c r="I507" s="20" t="s">
        <v>1936</v>
      </c>
      <c r="J507" s="20" t="s">
        <v>186</v>
      </c>
      <c r="K507" s="20" t="s">
        <v>213</v>
      </c>
      <c r="Q507" s="20">
        <v>12349.0</v>
      </c>
      <c r="R507" s="20" t="s">
        <v>1937</v>
      </c>
      <c r="S507" s="20" t="s">
        <v>1934</v>
      </c>
      <c r="T507" s="20" t="s">
        <v>138</v>
      </c>
      <c r="W507" s="20" t="s">
        <v>146</v>
      </c>
    </row>
    <row r="508" ht="14.25" customHeight="1">
      <c r="A508" s="20" t="s">
        <v>1938</v>
      </c>
      <c r="B508" s="20" t="s">
        <v>1939</v>
      </c>
      <c r="C508" s="20" t="s">
        <v>1220</v>
      </c>
      <c r="F508" s="20" t="s">
        <v>327</v>
      </c>
      <c r="G508" s="20" t="s">
        <v>328</v>
      </c>
      <c r="H508" s="20">
        <v>17254.0</v>
      </c>
      <c r="I508" s="20" t="s">
        <v>329</v>
      </c>
      <c r="J508" s="20" t="s">
        <v>136</v>
      </c>
      <c r="P508" s="20" t="s">
        <v>1939</v>
      </c>
      <c r="Q508" s="20">
        <v>17254.0</v>
      </c>
      <c r="R508" s="20" t="s">
        <v>1940</v>
      </c>
      <c r="S508" s="20" t="s">
        <v>1941</v>
      </c>
      <c r="T508" s="20" t="s">
        <v>138</v>
      </c>
      <c r="W508" s="20" t="s">
        <v>372</v>
      </c>
    </row>
    <row r="509" ht="14.25" customHeight="1">
      <c r="A509" s="20" t="s">
        <v>1942</v>
      </c>
      <c r="B509" s="20" t="s">
        <v>1943</v>
      </c>
      <c r="C509" s="20" t="s">
        <v>235</v>
      </c>
      <c r="F509" s="20" t="s">
        <v>15</v>
      </c>
      <c r="G509" s="20" t="s">
        <v>142</v>
      </c>
      <c r="I509" s="20" t="s">
        <v>105</v>
      </c>
      <c r="J509" s="20" t="s">
        <v>143</v>
      </c>
      <c r="Q509" s="20">
        <v>5033.0</v>
      </c>
      <c r="R509" s="20" t="s">
        <v>1944</v>
      </c>
      <c r="S509" s="20" t="s">
        <v>1943</v>
      </c>
      <c r="T509" s="20" t="s">
        <v>138</v>
      </c>
    </row>
    <row r="510" ht="14.25" customHeight="1">
      <c r="A510" s="20" t="s">
        <v>1945</v>
      </c>
      <c r="B510" s="20" t="s">
        <v>1946</v>
      </c>
      <c r="C510" s="20" t="s">
        <v>163</v>
      </c>
      <c r="F510" s="20" t="s">
        <v>150</v>
      </c>
      <c r="G510" s="20" t="s">
        <v>150</v>
      </c>
      <c r="I510" s="20" t="s">
        <v>151</v>
      </c>
      <c r="J510" s="20" t="s">
        <v>143</v>
      </c>
      <c r="Q510" s="20">
        <v>2708.0</v>
      </c>
      <c r="R510" s="20" t="s">
        <v>1947</v>
      </c>
      <c r="S510" s="20" t="s">
        <v>1946</v>
      </c>
      <c r="T510" s="20" t="s">
        <v>138</v>
      </c>
    </row>
    <row r="511" ht="14.25" customHeight="1">
      <c r="A511" s="20" t="s">
        <v>1948</v>
      </c>
      <c r="B511" s="20" t="s">
        <v>1949</v>
      </c>
      <c r="C511" s="20" t="s">
        <v>149</v>
      </c>
      <c r="F511" s="20" t="s">
        <v>150</v>
      </c>
      <c r="G511" s="20" t="s">
        <v>150</v>
      </c>
      <c r="I511" s="20" t="s">
        <v>151</v>
      </c>
      <c r="J511" s="20" t="s">
        <v>143</v>
      </c>
      <c r="K511" s="20" t="s">
        <v>167</v>
      </c>
      <c r="Q511" s="20">
        <v>16462.0</v>
      </c>
      <c r="R511" s="20" t="s">
        <v>1950</v>
      </c>
      <c r="S511" s="20" t="s">
        <v>1949</v>
      </c>
      <c r="T511" s="20" t="s">
        <v>138</v>
      </c>
    </row>
    <row r="512" ht="14.25" customHeight="1">
      <c r="A512" s="20" t="s">
        <v>1951</v>
      </c>
      <c r="B512" s="20" t="s">
        <v>1952</v>
      </c>
      <c r="C512" s="20" t="s">
        <v>1953</v>
      </c>
      <c r="F512" s="20" t="s">
        <v>17</v>
      </c>
      <c r="G512" s="20" t="s">
        <v>17</v>
      </c>
      <c r="H512" s="20">
        <v>16837.0</v>
      </c>
      <c r="I512" s="20" t="s">
        <v>88</v>
      </c>
      <c r="J512" s="20" t="s">
        <v>143</v>
      </c>
      <c r="Q512" s="20">
        <v>16837.0</v>
      </c>
      <c r="R512" s="20" t="s">
        <v>1954</v>
      </c>
      <c r="S512" s="20" t="s">
        <v>1955</v>
      </c>
      <c r="T512" s="20" t="s">
        <v>138</v>
      </c>
    </row>
    <row r="513" ht="14.25" customHeight="1">
      <c r="A513" s="20" t="s">
        <v>1956</v>
      </c>
      <c r="B513" s="20" t="s">
        <v>1957</v>
      </c>
      <c r="C513" s="20" t="s">
        <v>347</v>
      </c>
      <c r="F513" s="20" t="s">
        <v>15</v>
      </c>
      <c r="G513" s="20" t="s">
        <v>135</v>
      </c>
      <c r="I513" s="20" t="s">
        <v>93</v>
      </c>
      <c r="J513" s="20" t="s">
        <v>143</v>
      </c>
      <c r="K513" s="20" t="s">
        <v>187</v>
      </c>
      <c r="Q513" s="20">
        <v>5003.0</v>
      </c>
      <c r="R513" s="20" t="s">
        <v>1958</v>
      </c>
      <c r="S513" s="20" t="s">
        <v>1957</v>
      </c>
      <c r="T513" s="20" t="s">
        <v>138</v>
      </c>
      <c r="W513" s="20" t="s">
        <v>261</v>
      </c>
    </row>
    <row r="514" ht="14.25" customHeight="1">
      <c r="A514" s="20" t="s">
        <v>1959</v>
      </c>
      <c r="B514" s="20" t="s">
        <v>1960</v>
      </c>
      <c r="C514" s="20" t="s">
        <v>1961</v>
      </c>
      <c r="F514" s="20" t="s">
        <v>16</v>
      </c>
      <c r="G514" s="20" t="s">
        <v>211</v>
      </c>
      <c r="I514" s="20" t="s">
        <v>1931</v>
      </c>
      <c r="J514" s="20" t="s">
        <v>143</v>
      </c>
      <c r="K514" s="20" t="s">
        <v>187</v>
      </c>
      <c r="Q514" s="20">
        <v>4813.0</v>
      </c>
      <c r="R514" s="20" t="s">
        <v>1962</v>
      </c>
      <c r="S514" s="20" t="s">
        <v>1963</v>
      </c>
      <c r="T514" s="20" t="s">
        <v>138</v>
      </c>
    </row>
    <row r="515" ht="14.25" customHeight="1">
      <c r="A515" s="20" t="s">
        <v>1964</v>
      </c>
      <c r="B515" s="20" t="s">
        <v>1965</v>
      </c>
      <c r="C515" s="20" t="s">
        <v>197</v>
      </c>
      <c r="F515" s="20" t="s">
        <v>150</v>
      </c>
      <c r="G515" s="20" t="s">
        <v>150</v>
      </c>
      <c r="I515" s="20" t="s">
        <v>151</v>
      </c>
      <c r="J515" s="20" t="s">
        <v>143</v>
      </c>
      <c r="Q515" s="20">
        <v>15845.0</v>
      </c>
      <c r="R515" s="20" t="s">
        <v>1966</v>
      </c>
      <c r="S515" s="20" t="s">
        <v>1965</v>
      </c>
      <c r="T515" s="20" t="s">
        <v>138</v>
      </c>
    </row>
    <row r="516" ht="14.25" customHeight="1">
      <c r="A516" s="20" t="s">
        <v>1967</v>
      </c>
      <c r="B516" s="20" t="s">
        <v>1968</v>
      </c>
      <c r="C516" s="20" t="s">
        <v>163</v>
      </c>
      <c r="F516" s="20" t="s">
        <v>150</v>
      </c>
      <c r="G516" s="20" t="s">
        <v>150</v>
      </c>
      <c r="I516" s="20" t="s">
        <v>151</v>
      </c>
      <c r="J516" s="20" t="s">
        <v>143</v>
      </c>
      <c r="Q516" s="20">
        <v>13554.0</v>
      </c>
      <c r="R516" s="20" t="s">
        <v>1969</v>
      </c>
      <c r="S516" s="20" t="s">
        <v>1968</v>
      </c>
      <c r="T516" s="20" t="s">
        <v>138</v>
      </c>
    </row>
    <row r="517" ht="14.25" customHeight="1">
      <c r="A517" s="20" t="s">
        <v>1970</v>
      </c>
      <c r="B517" s="20" t="s">
        <v>1971</v>
      </c>
      <c r="C517" s="20" t="s">
        <v>174</v>
      </c>
      <c r="F517" s="20" t="s">
        <v>150</v>
      </c>
      <c r="G517" s="20" t="s">
        <v>150</v>
      </c>
      <c r="I517" s="20" t="s">
        <v>151</v>
      </c>
      <c r="J517" s="20" t="s">
        <v>143</v>
      </c>
      <c r="Q517" s="20">
        <v>2248.0</v>
      </c>
      <c r="R517" s="20" t="s">
        <v>1972</v>
      </c>
      <c r="S517" s="20" t="s">
        <v>1971</v>
      </c>
      <c r="T517" s="20" t="s">
        <v>138</v>
      </c>
    </row>
    <row r="518" ht="14.25" customHeight="1">
      <c r="A518" s="20" t="s">
        <v>1973</v>
      </c>
      <c r="B518" s="20" t="s">
        <v>1974</v>
      </c>
      <c r="C518" s="20" t="s">
        <v>159</v>
      </c>
      <c r="F518" s="20" t="s">
        <v>150</v>
      </c>
      <c r="G518" s="20" t="s">
        <v>150</v>
      </c>
      <c r="I518" s="20" t="s">
        <v>151</v>
      </c>
      <c r="J518" s="20" t="s">
        <v>143</v>
      </c>
      <c r="Q518" s="20">
        <v>15267.0</v>
      </c>
      <c r="R518" s="20" t="s">
        <v>1975</v>
      </c>
      <c r="S518" s="20" t="s">
        <v>1974</v>
      </c>
      <c r="T518" s="20" t="s">
        <v>138</v>
      </c>
    </row>
    <row r="519" ht="14.25" customHeight="1">
      <c r="A519" s="20" t="s">
        <v>1976</v>
      </c>
      <c r="B519" s="20" t="s">
        <v>1977</v>
      </c>
      <c r="C519" s="20" t="s">
        <v>1762</v>
      </c>
      <c r="F519" s="20" t="s">
        <v>15</v>
      </c>
      <c r="G519" s="20" t="s">
        <v>135</v>
      </c>
      <c r="I519" s="20" t="s">
        <v>95</v>
      </c>
      <c r="J519" s="20" t="s">
        <v>136</v>
      </c>
      <c r="Q519" s="20">
        <v>14540.0</v>
      </c>
      <c r="R519" s="20" t="s">
        <v>1978</v>
      </c>
      <c r="S519" s="20" t="s">
        <v>1977</v>
      </c>
      <c r="T519" s="20" t="s">
        <v>138</v>
      </c>
    </row>
    <row r="520" ht="14.25" customHeight="1">
      <c r="A520" s="20" t="s">
        <v>1979</v>
      </c>
      <c r="B520" s="20" t="s">
        <v>1980</v>
      </c>
      <c r="C520" s="20" t="s">
        <v>1981</v>
      </c>
      <c r="F520" s="20" t="s">
        <v>15</v>
      </c>
      <c r="G520" s="20" t="s">
        <v>135</v>
      </c>
      <c r="I520" s="20" t="s">
        <v>96</v>
      </c>
      <c r="J520" s="20" t="s">
        <v>136</v>
      </c>
      <c r="L520" s="20" t="s">
        <v>96</v>
      </c>
      <c r="M520" s="20" t="s">
        <v>1982</v>
      </c>
      <c r="Q520" s="20">
        <v>16934.0</v>
      </c>
      <c r="R520" s="20" t="s">
        <v>1983</v>
      </c>
      <c r="S520" s="20" t="s">
        <v>1980</v>
      </c>
      <c r="T520" s="20" t="s">
        <v>138</v>
      </c>
      <c r="W520" s="20" t="s">
        <v>136</v>
      </c>
    </row>
    <row r="521" ht="14.25" customHeight="1">
      <c r="A521" s="20" t="s">
        <v>1984</v>
      </c>
      <c r="B521" s="20" t="s">
        <v>1985</v>
      </c>
      <c r="C521" s="20" t="s">
        <v>633</v>
      </c>
      <c r="F521" s="20" t="s">
        <v>15</v>
      </c>
      <c r="G521" s="20" t="s">
        <v>142</v>
      </c>
      <c r="I521" s="20" t="s">
        <v>105</v>
      </c>
      <c r="J521" s="20" t="s">
        <v>136</v>
      </c>
      <c r="Q521" s="20">
        <v>14900.0</v>
      </c>
      <c r="R521" s="20" t="s">
        <v>1986</v>
      </c>
      <c r="S521" s="20" t="s">
        <v>1985</v>
      </c>
      <c r="T521" s="20" t="s">
        <v>138</v>
      </c>
    </row>
    <row r="522" ht="14.25" customHeight="1">
      <c r="A522" s="20" t="s">
        <v>1987</v>
      </c>
      <c r="B522" s="20" t="s">
        <v>1988</v>
      </c>
      <c r="C522" s="20" t="s">
        <v>950</v>
      </c>
      <c r="F522" s="20" t="s">
        <v>15</v>
      </c>
      <c r="G522" s="20" t="s">
        <v>135</v>
      </c>
      <c r="H522" s="20">
        <v>17305.0</v>
      </c>
      <c r="I522" s="20" t="s">
        <v>100</v>
      </c>
      <c r="J522" s="20" t="s">
        <v>136</v>
      </c>
      <c r="Q522" s="20">
        <v>17305.0</v>
      </c>
      <c r="R522" s="20" t="s">
        <v>1989</v>
      </c>
      <c r="S522" s="20" t="s">
        <v>1990</v>
      </c>
      <c r="T522" s="20" t="s">
        <v>138</v>
      </c>
      <c r="W522" s="20" t="s">
        <v>136</v>
      </c>
    </row>
    <row r="523" ht="14.25" customHeight="1">
      <c r="A523" s="20" t="s">
        <v>1991</v>
      </c>
      <c r="B523" s="20" t="s">
        <v>1992</v>
      </c>
      <c r="C523" s="20" t="s">
        <v>1762</v>
      </c>
      <c r="F523" s="20" t="s">
        <v>15</v>
      </c>
      <c r="G523" s="20" t="s">
        <v>135</v>
      </c>
      <c r="I523" s="20" t="s">
        <v>103</v>
      </c>
      <c r="J523" s="20" t="s">
        <v>136</v>
      </c>
      <c r="Q523" s="20">
        <v>14746.0</v>
      </c>
      <c r="R523" s="20" t="s">
        <v>1993</v>
      </c>
      <c r="S523" s="20" t="s">
        <v>1992</v>
      </c>
      <c r="T523" s="20" t="s">
        <v>138</v>
      </c>
    </row>
    <row r="524" ht="14.25" customHeight="1">
      <c r="A524" s="20" t="s">
        <v>1994</v>
      </c>
      <c r="B524" s="20" t="s">
        <v>1995</v>
      </c>
      <c r="C524" s="20" t="s">
        <v>1762</v>
      </c>
      <c r="F524" s="20" t="s">
        <v>15</v>
      </c>
      <c r="G524" s="20" t="s">
        <v>135</v>
      </c>
      <c r="I524" s="20" t="s">
        <v>90</v>
      </c>
      <c r="J524" s="20" t="s">
        <v>136</v>
      </c>
      <c r="Q524" s="20">
        <v>7112.0</v>
      </c>
      <c r="R524" s="20" t="s">
        <v>1996</v>
      </c>
      <c r="S524" s="20" t="s">
        <v>1995</v>
      </c>
      <c r="T524" s="20" t="s">
        <v>138</v>
      </c>
    </row>
    <row r="525" ht="14.25" customHeight="1">
      <c r="A525" s="20" t="s">
        <v>1997</v>
      </c>
      <c r="B525" s="20" t="s">
        <v>1998</v>
      </c>
      <c r="C525" s="20" t="s">
        <v>197</v>
      </c>
      <c r="F525" s="20" t="s">
        <v>150</v>
      </c>
      <c r="G525" s="20" t="s">
        <v>150</v>
      </c>
      <c r="I525" s="20" t="s">
        <v>151</v>
      </c>
      <c r="J525" s="20" t="s">
        <v>143</v>
      </c>
      <c r="Q525" s="20">
        <v>15490.0</v>
      </c>
      <c r="R525" s="20" t="s">
        <v>1999</v>
      </c>
      <c r="S525" s="20" t="s">
        <v>1998</v>
      </c>
      <c r="T525" s="20" t="s">
        <v>138</v>
      </c>
    </row>
    <row r="526" ht="14.25" customHeight="1">
      <c r="A526" s="20" t="s">
        <v>2000</v>
      </c>
      <c r="B526" s="20" t="s">
        <v>2001</v>
      </c>
      <c r="C526" s="20" t="s">
        <v>313</v>
      </c>
      <c r="F526" s="20" t="s">
        <v>218</v>
      </c>
      <c r="G526" s="20" t="s">
        <v>219</v>
      </c>
      <c r="I526" s="20" t="s">
        <v>314</v>
      </c>
      <c r="J526" s="20" t="s">
        <v>186</v>
      </c>
      <c r="K526" s="20" t="s">
        <v>187</v>
      </c>
      <c r="Q526" s="20">
        <v>9009.0</v>
      </c>
      <c r="R526" s="20" t="s">
        <v>2002</v>
      </c>
      <c r="S526" s="20" t="s">
        <v>2001</v>
      </c>
      <c r="T526" s="20" t="s">
        <v>138</v>
      </c>
      <c r="V526" s="20" t="s">
        <v>189</v>
      </c>
      <c r="W526" s="20" t="s">
        <v>261</v>
      </c>
    </row>
    <row r="527" ht="14.25" customHeight="1">
      <c r="A527" s="20" t="s">
        <v>2003</v>
      </c>
      <c r="B527" s="20" t="s">
        <v>2004</v>
      </c>
      <c r="C527" s="20" t="s">
        <v>235</v>
      </c>
      <c r="F527" s="20" t="s">
        <v>15</v>
      </c>
      <c r="G527" s="20" t="s">
        <v>142</v>
      </c>
      <c r="I527" s="20" t="s">
        <v>105</v>
      </c>
      <c r="J527" s="20" t="s">
        <v>186</v>
      </c>
      <c r="Q527" s="20">
        <v>16529.0</v>
      </c>
      <c r="R527" s="20" t="s">
        <v>2005</v>
      </c>
      <c r="S527" s="20" t="s">
        <v>2006</v>
      </c>
      <c r="T527" s="20" t="s">
        <v>138</v>
      </c>
      <c r="W527" s="20" t="s">
        <v>261</v>
      </c>
    </row>
    <row r="528" ht="14.25" customHeight="1">
      <c r="A528" s="20" t="s">
        <v>2007</v>
      </c>
      <c r="B528" s="20" t="s">
        <v>2004</v>
      </c>
      <c r="C528" s="20" t="s">
        <v>2008</v>
      </c>
      <c r="F528" s="20" t="s">
        <v>15</v>
      </c>
      <c r="G528" s="20" t="s">
        <v>142</v>
      </c>
      <c r="I528" s="20" t="s">
        <v>105</v>
      </c>
      <c r="J528" s="20" t="s">
        <v>143</v>
      </c>
      <c r="Q528" s="20">
        <v>2375.0</v>
      </c>
      <c r="R528" s="20" t="s">
        <v>2009</v>
      </c>
      <c r="S528" s="20" t="s">
        <v>2004</v>
      </c>
      <c r="T528" s="20" t="s">
        <v>138</v>
      </c>
      <c r="W528" s="20" t="s">
        <v>261</v>
      </c>
    </row>
    <row r="529" ht="14.25" customHeight="1">
      <c r="A529" s="20" t="s">
        <v>2010</v>
      </c>
      <c r="B529" s="20" t="s">
        <v>2011</v>
      </c>
      <c r="C529" s="20" t="s">
        <v>1265</v>
      </c>
      <c r="F529" s="20" t="s">
        <v>218</v>
      </c>
      <c r="G529" s="20" t="s">
        <v>219</v>
      </c>
      <c r="I529" s="20" t="s">
        <v>314</v>
      </c>
      <c r="J529" s="20" t="s">
        <v>186</v>
      </c>
      <c r="Q529" s="20">
        <v>4027.0</v>
      </c>
      <c r="R529" s="20" t="s">
        <v>2012</v>
      </c>
      <c r="S529" s="20" t="s">
        <v>2011</v>
      </c>
      <c r="T529" s="20" t="s">
        <v>138</v>
      </c>
    </row>
    <row r="530" ht="14.25" customHeight="1">
      <c r="A530" s="20" t="s">
        <v>2013</v>
      </c>
      <c r="B530" s="20" t="s">
        <v>2014</v>
      </c>
      <c r="C530" s="20" t="s">
        <v>159</v>
      </c>
      <c r="F530" s="20" t="s">
        <v>150</v>
      </c>
      <c r="G530" s="20" t="s">
        <v>150</v>
      </c>
      <c r="I530" s="20" t="s">
        <v>151</v>
      </c>
      <c r="J530" s="20" t="s">
        <v>143</v>
      </c>
      <c r="Q530" s="20">
        <v>15392.0</v>
      </c>
      <c r="R530" s="20" t="s">
        <v>2015</v>
      </c>
      <c r="S530" s="20" t="s">
        <v>2014</v>
      </c>
      <c r="T530" s="20" t="s">
        <v>138</v>
      </c>
    </row>
    <row r="531" ht="14.25" customHeight="1">
      <c r="A531" s="20" t="s">
        <v>2016</v>
      </c>
      <c r="B531" s="20" t="s">
        <v>2017</v>
      </c>
      <c r="C531" s="20" t="s">
        <v>235</v>
      </c>
      <c r="F531" s="20" t="s">
        <v>15</v>
      </c>
      <c r="G531" s="20" t="s">
        <v>142</v>
      </c>
      <c r="I531" s="20" t="s">
        <v>105</v>
      </c>
      <c r="J531" s="20" t="s">
        <v>143</v>
      </c>
      <c r="Q531" s="20">
        <v>5908.0</v>
      </c>
      <c r="R531" s="20" t="s">
        <v>2018</v>
      </c>
      <c r="S531" s="20" t="s">
        <v>2017</v>
      </c>
      <c r="T531" s="20" t="s">
        <v>138</v>
      </c>
    </row>
    <row r="532" ht="14.25" customHeight="1">
      <c r="A532" s="20" t="s">
        <v>2019</v>
      </c>
      <c r="B532" s="20" t="s">
        <v>2020</v>
      </c>
      <c r="C532" s="20" t="s">
        <v>1501</v>
      </c>
      <c r="F532" s="20" t="s">
        <v>15</v>
      </c>
      <c r="G532" s="20" t="s">
        <v>142</v>
      </c>
      <c r="I532" s="20" t="s">
        <v>105</v>
      </c>
      <c r="J532" s="20" t="s">
        <v>143</v>
      </c>
      <c r="Q532" s="20">
        <v>16062.0</v>
      </c>
      <c r="R532" s="20" t="s">
        <v>2021</v>
      </c>
      <c r="S532" s="20" t="s">
        <v>2020</v>
      </c>
      <c r="T532" s="20" t="s">
        <v>138</v>
      </c>
    </row>
    <row r="533" ht="14.25" customHeight="1">
      <c r="A533" s="20" t="s">
        <v>2022</v>
      </c>
      <c r="B533" s="20" t="s">
        <v>2023</v>
      </c>
      <c r="C533" s="20" t="s">
        <v>289</v>
      </c>
      <c r="F533" s="20" t="s">
        <v>150</v>
      </c>
      <c r="G533" s="20" t="s">
        <v>150</v>
      </c>
      <c r="I533" s="20" t="s">
        <v>2024</v>
      </c>
      <c r="J533" s="20" t="s">
        <v>143</v>
      </c>
      <c r="Q533" s="20">
        <v>15821.0</v>
      </c>
      <c r="R533" s="20" t="s">
        <v>2025</v>
      </c>
      <c r="S533" s="20" t="s">
        <v>2023</v>
      </c>
      <c r="T533" s="20" t="s">
        <v>138</v>
      </c>
    </row>
    <row r="534" ht="14.25" customHeight="1">
      <c r="A534" s="20" t="s">
        <v>2026</v>
      </c>
      <c r="B534" s="20" t="s">
        <v>2027</v>
      </c>
      <c r="C534" s="20" t="s">
        <v>1482</v>
      </c>
      <c r="F534" s="20" t="s">
        <v>17</v>
      </c>
      <c r="G534" s="20" t="s">
        <v>17</v>
      </c>
      <c r="I534" s="20" t="s">
        <v>88</v>
      </c>
      <c r="J534" s="20" t="s">
        <v>143</v>
      </c>
      <c r="K534" s="20" t="s">
        <v>167</v>
      </c>
      <c r="Q534" s="20">
        <v>7299.0</v>
      </c>
      <c r="R534" s="20" t="s">
        <v>2028</v>
      </c>
      <c r="S534" s="20" t="s">
        <v>2027</v>
      </c>
      <c r="T534" s="20" t="s">
        <v>138</v>
      </c>
    </row>
    <row r="535" ht="14.25" customHeight="1">
      <c r="A535" s="20" t="s">
        <v>2029</v>
      </c>
      <c r="B535" s="20" t="s">
        <v>2030</v>
      </c>
      <c r="C535" s="20" t="s">
        <v>491</v>
      </c>
      <c r="F535" s="20" t="s">
        <v>327</v>
      </c>
      <c r="G535" s="20" t="s">
        <v>385</v>
      </c>
      <c r="I535" s="20" t="s">
        <v>492</v>
      </c>
      <c r="J535" s="20" t="s">
        <v>143</v>
      </c>
      <c r="Q535" s="20">
        <v>16104.0</v>
      </c>
      <c r="R535" s="20" t="s">
        <v>2031</v>
      </c>
      <c r="S535" s="20" t="s">
        <v>2030</v>
      </c>
      <c r="T535" s="20" t="s">
        <v>138</v>
      </c>
    </row>
    <row r="536" ht="14.25" customHeight="1">
      <c r="A536" s="20" t="s">
        <v>2032</v>
      </c>
      <c r="B536" s="20" t="s">
        <v>2033</v>
      </c>
      <c r="C536" s="20" t="s">
        <v>680</v>
      </c>
      <c r="F536" s="20" t="s">
        <v>15</v>
      </c>
      <c r="G536" s="20" t="s">
        <v>142</v>
      </c>
      <c r="I536" s="20" t="s">
        <v>105</v>
      </c>
      <c r="J536" s="20" t="s">
        <v>143</v>
      </c>
      <c r="Q536" s="20">
        <v>13782.0</v>
      </c>
      <c r="R536" s="20" t="s">
        <v>2034</v>
      </c>
      <c r="S536" s="20" t="s">
        <v>2033</v>
      </c>
      <c r="T536" s="20" t="s">
        <v>138</v>
      </c>
    </row>
    <row r="537" ht="14.25" customHeight="1">
      <c r="A537" s="20" t="s">
        <v>2035</v>
      </c>
      <c r="B537" s="20" t="s">
        <v>2036</v>
      </c>
      <c r="C537" s="20" t="s">
        <v>178</v>
      </c>
      <c r="F537" s="20" t="s">
        <v>150</v>
      </c>
      <c r="G537" s="20" t="s">
        <v>150</v>
      </c>
      <c r="I537" s="20" t="s">
        <v>151</v>
      </c>
      <c r="J537" s="20" t="s">
        <v>143</v>
      </c>
      <c r="Q537" s="20">
        <v>14236.0</v>
      </c>
      <c r="R537" s="20" t="s">
        <v>2037</v>
      </c>
      <c r="S537" s="20" t="s">
        <v>2036</v>
      </c>
      <c r="T537" s="20" t="s">
        <v>138</v>
      </c>
    </row>
    <row r="538" ht="14.25" customHeight="1">
      <c r="A538" s="20" t="s">
        <v>2038</v>
      </c>
      <c r="B538" s="20" t="s">
        <v>2039</v>
      </c>
      <c r="C538" s="20" t="s">
        <v>174</v>
      </c>
      <c r="F538" s="20" t="s">
        <v>150</v>
      </c>
      <c r="G538" s="20" t="s">
        <v>150</v>
      </c>
      <c r="I538" s="20" t="s">
        <v>151</v>
      </c>
      <c r="J538" s="20" t="s">
        <v>143</v>
      </c>
      <c r="Q538" s="20">
        <v>7047.0</v>
      </c>
      <c r="R538" s="20" t="s">
        <v>2040</v>
      </c>
      <c r="S538" s="20" t="s">
        <v>2039</v>
      </c>
      <c r="T538" s="20" t="s">
        <v>138</v>
      </c>
    </row>
    <row r="539" ht="14.25" customHeight="1">
      <c r="A539" s="20" t="s">
        <v>2041</v>
      </c>
      <c r="B539" s="20" t="s">
        <v>2042</v>
      </c>
      <c r="C539" s="20" t="s">
        <v>2043</v>
      </c>
      <c r="F539" s="20" t="s">
        <v>218</v>
      </c>
      <c r="G539" s="20" t="s">
        <v>219</v>
      </c>
      <c r="I539" s="20" t="s">
        <v>360</v>
      </c>
      <c r="J539" s="20" t="s">
        <v>186</v>
      </c>
      <c r="Q539" s="20">
        <v>15881.0</v>
      </c>
      <c r="R539" s="20" t="s">
        <v>2044</v>
      </c>
      <c r="S539" s="20" t="s">
        <v>2042</v>
      </c>
      <c r="T539" s="20" t="s">
        <v>138</v>
      </c>
    </row>
    <row r="540" ht="14.25" customHeight="1">
      <c r="A540" s="20" t="s">
        <v>2045</v>
      </c>
      <c r="B540" s="20" t="s">
        <v>2046</v>
      </c>
      <c r="C540" s="20" t="s">
        <v>2047</v>
      </c>
      <c r="F540" s="20" t="s">
        <v>17</v>
      </c>
      <c r="G540" s="20" t="s">
        <v>17</v>
      </c>
      <c r="H540" s="20">
        <v>17359.0</v>
      </c>
      <c r="I540" s="20" t="s">
        <v>88</v>
      </c>
      <c r="J540" s="20" t="s">
        <v>143</v>
      </c>
      <c r="P540" s="20" t="s">
        <v>2046</v>
      </c>
      <c r="Q540" s="20">
        <v>17359.0</v>
      </c>
      <c r="R540" s="20" t="s">
        <v>2048</v>
      </c>
      <c r="S540" s="20" t="s">
        <v>2046</v>
      </c>
      <c r="T540" s="20" t="s">
        <v>138</v>
      </c>
      <c r="W540" s="20" t="s">
        <v>146</v>
      </c>
    </row>
    <row r="541" ht="14.25" customHeight="1">
      <c r="A541" s="20" t="s">
        <v>2049</v>
      </c>
      <c r="B541" s="20" t="s">
        <v>2050</v>
      </c>
      <c r="C541" s="20" t="s">
        <v>2051</v>
      </c>
      <c r="F541" s="20" t="s">
        <v>16</v>
      </c>
      <c r="G541" s="20" t="s">
        <v>202</v>
      </c>
      <c r="I541" s="20" t="s">
        <v>203</v>
      </c>
      <c r="J541" s="20" t="s">
        <v>143</v>
      </c>
      <c r="Q541" s="20">
        <v>10604.0</v>
      </c>
      <c r="R541" s="20" t="s">
        <v>2052</v>
      </c>
      <c r="S541" s="20" t="s">
        <v>2050</v>
      </c>
      <c r="T541" s="20" t="s">
        <v>138</v>
      </c>
    </row>
    <row r="542" ht="14.25" customHeight="1">
      <c r="A542" s="20" t="s">
        <v>2053</v>
      </c>
      <c r="B542" s="20" t="s">
        <v>2054</v>
      </c>
      <c r="C542" s="20" t="s">
        <v>779</v>
      </c>
      <c r="F542" s="20" t="s">
        <v>150</v>
      </c>
      <c r="G542" s="20" t="s">
        <v>150</v>
      </c>
      <c r="I542" s="20" t="s">
        <v>151</v>
      </c>
      <c r="J542" s="20" t="s">
        <v>143</v>
      </c>
      <c r="Q542" s="20">
        <v>13932.0</v>
      </c>
      <c r="R542" s="20" t="s">
        <v>2055</v>
      </c>
      <c r="S542" s="20" t="s">
        <v>2054</v>
      </c>
      <c r="T542" s="20" t="s">
        <v>138</v>
      </c>
    </row>
    <row r="543" ht="14.25" customHeight="1">
      <c r="A543" s="20" t="s">
        <v>2056</v>
      </c>
      <c r="B543" s="20" t="s">
        <v>2057</v>
      </c>
      <c r="C543" s="20" t="s">
        <v>874</v>
      </c>
      <c r="F543" s="20" t="s">
        <v>327</v>
      </c>
      <c r="G543" s="20" t="s">
        <v>385</v>
      </c>
      <c r="I543" s="20" t="s">
        <v>875</v>
      </c>
      <c r="J543" s="20" t="s">
        <v>143</v>
      </c>
      <c r="Q543" s="20">
        <v>10216.0</v>
      </c>
      <c r="R543" s="20" t="s">
        <v>2058</v>
      </c>
      <c r="S543" s="20" t="s">
        <v>2057</v>
      </c>
      <c r="T543" s="20" t="s">
        <v>138</v>
      </c>
    </row>
    <row r="544" ht="14.25" customHeight="1">
      <c r="A544" s="20" t="s">
        <v>2059</v>
      </c>
      <c r="B544" s="20" t="s">
        <v>2060</v>
      </c>
      <c r="C544" s="20" t="s">
        <v>193</v>
      </c>
      <c r="F544" s="20" t="s">
        <v>150</v>
      </c>
      <c r="G544" s="20" t="s">
        <v>150</v>
      </c>
      <c r="I544" s="20" t="s">
        <v>151</v>
      </c>
      <c r="J544" s="20" t="s">
        <v>143</v>
      </c>
      <c r="Q544" s="20">
        <v>15062.0</v>
      </c>
      <c r="R544" s="20" t="s">
        <v>2061</v>
      </c>
      <c r="S544" s="20" t="s">
        <v>2060</v>
      </c>
      <c r="T544" s="20" t="s">
        <v>138</v>
      </c>
    </row>
    <row r="545" ht="14.25" customHeight="1">
      <c r="A545" s="20" t="s">
        <v>2062</v>
      </c>
      <c r="B545" s="20" t="s">
        <v>2063</v>
      </c>
      <c r="C545" s="20" t="s">
        <v>1169</v>
      </c>
      <c r="F545" s="20" t="s">
        <v>15</v>
      </c>
      <c r="G545" s="20" t="s">
        <v>135</v>
      </c>
      <c r="I545" s="20" t="s">
        <v>100</v>
      </c>
      <c r="J545" s="20" t="s">
        <v>143</v>
      </c>
      <c r="K545" s="20" t="s">
        <v>213</v>
      </c>
      <c r="Q545" s="20">
        <v>13683.0</v>
      </c>
      <c r="R545" s="20" t="s">
        <v>2064</v>
      </c>
      <c r="S545" s="20" t="s">
        <v>2063</v>
      </c>
      <c r="T545" s="20" t="s">
        <v>138</v>
      </c>
    </row>
    <row r="546" ht="14.25" customHeight="1">
      <c r="A546" s="20" t="s">
        <v>2065</v>
      </c>
      <c r="B546" s="20" t="s">
        <v>2066</v>
      </c>
      <c r="C546" s="20" t="s">
        <v>369</v>
      </c>
      <c r="F546" s="20" t="s">
        <v>218</v>
      </c>
      <c r="G546" s="20" t="s">
        <v>219</v>
      </c>
      <c r="I546" s="20" t="s">
        <v>370</v>
      </c>
      <c r="J546" s="20" t="s">
        <v>186</v>
      </c>
      <c r="Q546" s="20">
        <v>6967.0</v>
      </c>
      <c r="R546" s="20" t="s">
        <v>2067</v>
      </c>
      <c r="S546" s="20" t="s">
        <v>2066</v>
      </c>
      <c r="T546" s="20" t="s">
        <v>138</v>
      </c>
    </row>
    <row r="547" ht="14.25" customHeight="1">
      <c r="A547" s="20" t="s">
        <v>2068</v>
      </c>
      <c r="B547" s="20" t="s">
        <v>2069</v>
      </c>
      <c r="C547" s="20" t="s">
        <v>193</v>
      </c>
      <c r="F547" s="20" t="s">
        <v>150</v>
      </c>
      <c r="G547" s="20" t="s">
        <v>150</v>
      </c>
      <c r="I547" s="20" t="s">
        <v>151</v>
      </c>
      <c r="J547" s="20" t="s">
        <v>143</v>
      </c>
      <c r="Q547" s="20">
        <v>365.0</v>
      </c>
      <c r="R547" s="20" t="s">
        <v>2070</v>
      </c>
      <c r="S547" s="20" t="s">
        <v>2069</v>
      </c>
      <c r="T547" s="20" t="s">
        <v>138</v>
      </c>
    </row>
    <row r="548" ht="14.25" customHeight="1">
      <c r="A548" s="20" t="s">
        <v>2071</v>
      </c>
      <c r="B548" s="20" t="s">
        <v>2072</v>
      </c>
      <c r="C548" s="20" t="s">
        <v>149</v>
      </c>
      <c r="F548" s="20" t="s">
        <v>150</v>
      </c>
      <c r="G548" s="20" t="s">
        <v>150</v>
      </c>
      <c r="I548" s="20" t="s">
        <v>151</v>
      </c>
      <c r="J548" s="20" t="s">
        <v>143</v>
      </c>
      <c r="Q548" s="20">
        <v>14235.0</v>
      </c>
      <c r="R548" s="20" t="s">
        <v>2073</v>
      </c>
      <c r="S548" s="20" t="s">
        <v>2072</v>
      </c>
      <c r="T548" s="20" t="s">
        <v>138</v>
      </c>
    </row>
    <row r="549" ht="14.25" customHeight="1">
      <c r="A549" s="20" t="s">
        <v>2074</v>
      </c>
      <c r="B549" s="20" t="s">
        <v>2075</v>
      </c>
      <c r="C549" s="20" t="s">
        <v>178</v>
      </c>
      <c r="F549" s="20" t="s">
        <v>150</v>
      </c>
      <c r="G549" s="20" t="s">
        <v>150</v>
      </c>
      <c r="I549" s="20" t="s">
        <v>151</v>
      </c>
      <c r="J549" s="20" t="s">
        <v>143</v>
      </c>
      <c r="Q549" s="20">
        <v>5089.0</v>
      </c>
      <c r="R549" s="20" t="s">
        <v>2076</v>
      </c>
      <c r="S549" s="20" t="s">
        <v>2075</v>
      </c>
      <c r="T549" s="20" t="s">
        <v>138</v>
      </c>
    </row>
    <row r="550" ht="14.25" customHeight="1">
      <c r="A550" s="20" t="s">
        <v>2077</v>
      </c>
      <c r="B550" s="20" t="s">
        <v>2078</v>
      </c>
      <c r="C550" s="20" t="s">
        <v>1762</v>
      </c>
      <c r="F550" s="20" t="s">
        <v>15</v>
      </c>
      <c r="G550" s="20" t="s">
        <v>135</v>
      </c>
      <c r="I550" s="20" t="s">
        <v>90</v>
      </c>
      <c r="J550" s="20" t="s">
        <v>186</v>
      </c>
      <c r="Q550" s="20">
        <v>9768.0</v>
      </c>
      <c r="R550" s="20" t="s">
        <v>2079</v>
      </c>
      <c r="S550" s="20" t="s">
        <v>2078</v>
      </c>
      <c r="T550" s="20" t="s">
        <v>138</v>
      </c>
    </row>
    <row r="551" ht="14.25" customHeight="1">
      <c r="A551" s="20" t="s">
        <v>2080</v>
      </c>
      <c r="B551" s="20" t="s">
        <v>2081</v>
      </c>
      <c r="C551" s="20" t="s">
        <v>193</v>
      </c>
      <c r="F551" s="20" t="s">
        <v>150</v>
      </c>
      <c r="G551" s="20" t="s">
        <v>150</v>
      </c>
      <c r="I551" s="20" t="s">
        <v>151</v>
      </c>
      <c r="J551" s="20" t="s">
        <v>143</v>
      </c>
      <c r="Q551" s="20">
        <v>11746.0</v>
      </c>
      <c r="R551" s="20" t="s">
        <v>2082</v>
      </c>
      <c r="S551" s="20" t="s">
        <v>2081</v>
      </c>
      <c r="T551" s="20" t="s">
        <v>138</v>
      </c>
    </row>
    <row r="552" ht="14.25" customHeight="1">
      <c r="A552" s="20" t="s">
        <v>2083</v>
      </c>
      <c r="B552" s="20" t="s">
        <v>2084</v>
      </c>
      <c r="C552" s="20" t="s">
        <v>235</v>
      </c>
      <c r="F552" s="20" t="s">
        <v>15</v>
      </c>
      <c r="G552" s="20" t="s">
        <v>142</v>
      </c>
      <c r="I552" s="20" t="s">
        <v>91</v>
      </c>
      <c r="J552" s="20" t="s">
        <v>143</v>
      </c>
      <c r="Q552" s="20">
        <v>8398.0</v>
      </c>
      <c r="R552" s="20" t="s">
        <v>2085</v>
      </c>
      <c r="S552" s="20" t="s">
        <v>2084</v>
      </c>
      <c r="T552" s="20" t="s">
        <v>138</v>
      </c>
    </row>
    <row r="553" ht="14.25" customHeight="1">
      <c r="A553" s="20" t="s">
        <v>2086</v>
      </c>
      <c r="B553" s="20" t="s">
        <v>2087</v>
      </c>
      <c r="C553" s="20" t="s">
        <v>289</v>
      </c>
      <c r="F553" s="20" t="s">
        <v>150</v>
      </c>
      <c r="G553" s="20" t="s">
        <v>150</v>
      </c>
      <c r="I553" s="20" t="s">
        <v>151</v>
      </c>
      <c r="J553" s="20" t="s">
        <v>143</v>
      </c>
      <c r="Q553" s="20">
        <v>372.0</v>
      </c>
      <c r="R553" s="20" t="s">
        <v>2088</v>
      </c>
      <c r="S553" s="20" t="s">
        <v>2087</v>
      </c>
      <c r="T553" s="20" t="s">
        <v>138</v>
      </c>
    </row>
    <row r="554" ht="14.25" customHeight="1">
      <c r="A554" s="20" t="s">
        <v>2089</v>
      </c>
      <c r="B554" s="20" t="s">
        <v>2090</v>
      </c>
      <c r="C554" s="20" t="s">
        <v>1676</v>
      </c>
      <c r="F554" s="20" t="s">
        <v>16</v>
      </c>
      <c r="G554" s="20" t="s">
        <v>202</v>
      </c>
      <c r="I554" s="20" t="s">
        <v>203</v>
      </c>
      <c r="J554" s="20" t="s">
        <v>143</v>
      </c>
      <c r="Q554" s="20">
        <v>9878.0</v>
      </c>
      <c r="R554" s="20" t="s">
        <v>2091</v>
      </c>
      <c r="S554" s="20" t="s">
        <v>2090</v>
      </c>
      <c r="T554" s="20" t="s">
        <v>138</v>
      </c>
      <c r="W554" s="20" t="s">
        <v>146</v>
      </c>
    </row>
    <row r="555" ht="14.25" customHeight="1">
      <c r="A555" s="20" t="s">
        <v>2092</v>
      </c>
      <c r="B555" s="20" t="s">
        <v>2093</v>
      </c>
      <c r="C555" s="20" t="s">
        <v>2094</v>
      </c>
      <c r="F555" s="20" t="s">
        <v>15</v>
      </c>
      <c r="G555" s="20" t="s">
        <v>142</v>
      </c>
      <c r="I555" s="20" t="s">
        <v>105</v>
      </c>
      <c r="J555" s="20" t="s">
        <v>143</v>
      </c>
      <c r="Q555" s="20">
        <v>15181.0</v>
      </c>
      <c r="R555" s="20" t="s">
        <v>2095</v>
      </c>
      <c r="S555" s="20" t="s">
        <v>2093</v>
      </c>
      <c r="T555" s="20" t="s">
        <v>138</v>
      </c>
      <c r="W555" s="20" t="s">
        <v>146</v>
      </c>
    </row>
    <row r="556" ht="14.25" customHeight="1">
      <c r="A556" s="20" t="s">
        <v>2096</v>
      </c>
      <c r="B556" s="20" t="s">
        <v>2097</v>
      </c>
      <c r="C556" s="20" t="s">
        <v>178</v>
      </c>
      <c r="F556" s="20" t="s">
        <v>150</v>
      </c>
      <c r="G556" s="20" t="s">
        <v>150</v>
      </c>
      <c r="I556" s="20" t="s">
        <v>151</v>
      </c>
      <c r="J556" s="20" t="s">
        <v>143</v>
      </c>
      <c r="Q556" s="20">
        <v>9002.0</v>
      </c>
      <c r="R556" s="20" t="s">
        <v>2098</v>
      </c>
      <c r="S556" s="20" t="s">
        <v>2097</v>
      </c>
      <c r="T556" s="20" t="s">
        <v>138</v>
      </c>
    </row>
    <row r="557" ht="14.25" customHeight="1">
      <c r="A557" s="20" t="s">
        <v>2099</v>
      </c>
      <c r="B557" s="20" t="s">
        <v>2100</v>
      </c>
      <c r="C557" s="20" t="s">
        <v>159</v>
      </c>
      <c r="F557" s="20" t="s">
        <v>150</v>
      </c>
      <c r="G557" s="20" t="s">
        <v>150</v>
      </c>
      <c r="I557" s="20" t="s">
        <v>151</v>
      </c>
      <c r="J557" s="20" t="s">
        <v>143</v>
      </c>
      <c r="Q557" s="20">
        <v>374.0</v>
      </c>
      <c r="R557" s="20" t="s">
        <v>2101</v>
      </c>
      <c r="S557" s="20" t="s">
        <v>2100</v>
      </c>
      <c r="T557" s="20" t="s">
        <v>138</v>
      </c>
    </row>
    <row r="558" ht="14.25" customHeight="1">
      <c r="A558" s="20" t="s">
        <v>2102</v>
      </c>
      <c r="B558" s="20" t="s">
        <v>2103</v>
      </c>
      <c r="C558" s="20" t="s">
        <v>193</v>
      </c>
      <c r="F558" s="20" t="s">
        <v>150</v>
      </c>
      <c r="G558" s="20" t="s">
        <v>150</v>
      </c>
      <c r="I558" s="20" t="s">
        <v>151</v>
      </c>
      <c r="J558" s="20" t="s">
        <v>143</v>
      </c>
      <c r="Q558" s="20">
        <v>11745.0</v>
      </c>
      <c r="R558" s="20" t="s">
        <v>2104</v>
      </c>
      <c r="S558" s="20" t="s">
        <v>2103</v>
      </c>
      <c r="T558" s="20" t="s">
        <v>138</v>
      </c>
    </row>
    <row r="559" ht="14.25" customHeight="1">
      <c r="A559" s="20" t="s">
        <v>2105</v>
      </c>
      <c r="B559" s="20" t="s">
        <v>2106</v>
      </c>
      <c r="C559" s="20" t="s">
        <v>2107</v>
      </c>
      <c r="F559" s="20" t="s">
        <v>17</v>
      </c>
      <c r="G559" s="20" t="s">
        <v>17</v>
      </c>
      <c r="I559" s="20" t="s">
        <v>88</v>
      </c>
      <c r="J559" s="20" t="s">
        <v>186</v>
      </c>
      <c r="K559" s="20" t="s">
        <v>187</v>
      </c>
      <c r="Q559" s="20">
        <v>2738.0</v>
      </c>
      <c r="R559" s="20" t="s">
        <v>2108</v>
      </c>
      <c r="S559" s="20" t="s">
        <v>2106</v>
      </c>
      <c r="T559" s="20" t="s">
        <v>138</v>
      </c>
    </row>
    <row r="560" ht="14.25" customHeight="1">
      <c r="A560" s="20" t="s">
        <v>2109</v>
      </c>
      <c r="B560" s="20" t="s">
        <v>2106</v>
      </c>
      <c r="C560" s="20" t="s">
        <v>2110</v>
      </c>
      <c r="F560" s="20" t="s">
        <v>17</v>
      </c>
      <c r="G560" s="20" t="s">
        <v>17</v>
      </c>
      <c r="I560" s="20" t="s">
        <v>88</v>
      </c>
      <c r="J560" s="20" t="s">
        <v>186</v>
      </c>
      <c r="Q560" s="20">
        <v>377.0</v>
      </c>
      <c r="R560" s="20" t="s">
        <v>2111</v>
      </c>
      <c r="S560" s="20" t="s">
        <v>2112</v>
      </c>
      <c r="T560" s="20" t="s">
        <v>138</v>
      </c>
    </row>
    <row r="561" ht="14.25" customHeight="1">
      <c r="A561" s="20" t="s">
        <v>2113</v>
      </c>
      <c r="B561" s="20" t="s">
        <v>2114</v>
      </c>
      <c r="C561" s="20" t="s">
        <v>2115</v>
      </c>
      <c r="F561" s="20" t="s">
        <v>150</v>
      </c>
      <c r="G561" s="20" t="s">
        <v>150</v>
      </c>
      <c r="I561" s="20" t="s">
        <v>151</v>
      </c>
      <c r="J561" s="20" t="s">
        <v>186</v>
      </c>
      <c r="Q561" s="20">
        <v>15792.0</v>
      </c>
      <c r="R561" s="20" t="s">
        <v>2116</v>
      </c>
      <c r="S561" s="20" t="s">
        <v>2114</v>
      </c>
      <c r="T561" s="20" t="s">
        <v>138</v>
      </c>
    </row>
    <row r="562" ht="14.25" customHeight="1">
      <c r="A562" s="20" t="s">
        <v>2117</v>
      </c>
      <c r="B562" s="20" t="s">
        <v>2118</v>
      </c>
      <c r="C562" s="20" t="s">
        <v>149</v>
      </c>
      <c r="F562" s="20" t="s">
        <v>150</v>
      </c>
      <c r="G562" s="20" t="s">
        <v>150</v>
      </c>
      <c r="I562" s="20" t="s">
        <v>151</v>
      </c>
      <c r="J562" s="20" t="s">
        <v>143</v>
      </c>
      <c r="K562" s="20" t="s">
        <v>167</v>
      </c>
      <c r="Q562" s="20">
        <v>9793.0</v>
      </c>
      <c r="R562" s="20" t="s">
        <v>2119</v>
      </c>
      <c r="S562" s="20" t="s">
        <v>2118</v>
      </c>
      <c r="T562" s="20" t="s">
        <v>138</v>
      </c>
    </row>
    <row r="563" ht="14.25" customHeight="1">
      <c r="A563" s="20" t="s">
        <v>2120</v>
      </c>
      <c r="B563" s="20" t="s">
        <v>2121</v>
      </c>
      <c r="C563" s="20" t="s">
        <v>178</v>
      </c>
      <c r="F563" s="20" t="s">
        <v>150</v>
      </c>
      <c r="G563" s="20" t="s">
        <v>150</v>
      </c>
      <c r="I563" s="20" t="s">
        <v>151</v>
      </c>
      <c r="J563" s="20" t="s">
        <v>143</v>
      </c>
      <c r="Q563" s="20">
        <v>380.0</v>
      </c>
      <c r="R563" s="20" t="s">
        <v>2122</v>
      </c>
      <c r="S563" s="20" t="s">
        <v>2121</v>
      </c>
      <c r="T563" s="20" t="s">
        <v>138</v>
      </c>
    </row>
    <row r="564" ht="14.25" customHeight="1">
      <c r="A564" s="20" t="s">
        <v>2123</v>
      </c>
      <c r="B564" s="20" t="s">
        <v>2124</v>
      </c>
      <c r="C564" s="20" t="s">
        <v>2125</v>
      </c>
      <c r="F564" s="20" t="s">
        <v>327</v>
      </c>
      <c r="G564" s="20" t="s">
        <v>328</v>
      </c>
      <c r="I564" s="20" t="s">
        <v>2126</v>
      </c>
      <c r="J564" s="20" t="s">
        <v>143</v>
      </c>
      <c r="Q564" s="20">
        <v>11128.0</v>
      </c>
      <c r="R564" s="20" t="s">
        <v>2127</v>
      </c>
      <c r="S564" s="20" t="s">
        <v>2124</v>
      </c>
      <c r="T564" s="20" t="s">
        <v>138</v>
      </c>
    </row>
    <row r="565" ht="14.25" customHeight="1">
      <c r="A565" s="20" t="s">
        <v>2128</v>
      </c>
      <c r="B565" s="20" t="s">
        <v>2129</v>
      </c>
      <c r="C565" s="20" t="s">
        <v>201</v>
      </c>
      <c r="F565" s="20" t="s">
        <v>16</v>
      </c>
      <c r="G565" s="20" t="s">
        <v>202</v>
      </c>
      <c r="I565" s="20" t="s">
        <v>203</v>
      </c>
      <c r="J565" s="20" t="s">
        <v>143</v>
      </c>
      <c r="Q565" s="20">
        <v>8715.0</v>
      </c>
      <c r="R565" s="20" t="s">
        <v>2130</v>
      </c>
      <c r="S565" s="20" t="s">
        <v>2129</v>
      </c>
      <c r="T565" s="20" t="s">
        <v>138</v>
      </c>
    </row>
    <row r="566" ht="14.25" customHeight="1">
      <c r="A566" s="20" t="s">
        <v>2131</v>
      </c>
      <c r="B566" s="20" t="s">
        <v>2132</v>
      </c>
      <c r="C566" s="20" t="s">
        <v>193</v>
      </c>
      <c r="F566" s="20" t="s">
        <v>150</v>
      </c>
      <c r="G566" s="20" t="s">
        <v>150</v>
      </c>
      <c r="I566" s="20" t="s">
        <v>151</v>
      </c>
      <c r="J566" s="20" t="s">
        <v>143</v>
      </c>
      <c r="Q566" s="20">
        <v>4570.0</v>
      </c>
      <c r="R566" s="20" t="s">
        <v>2133</v>
      </c>
      <c r="S566" s="20" t="s">
        <v>2132</v>
      </c>
      <c r="T566" s="20" t="s">
        <v>138</v>
      </c>
    </row>
    <row r="567" ht="14.25" customHeight="1">
      <c r="A567" s="20" t="s">
        <v>2134</v>
      </c>
      <c r="B567" s="20" t="s">
        <v>2135</v>
      </c>
      <c r="C567" s="20" t="s">
        <v>272</v>
      </c>
      <c r="F567" s="20" t="s">
        <v>150</v>
      </c>
      <c r="G567" s="20" t="s">
        <v>150</v>
      </c>
      <c r="I567" s="20" t="s">
        <v>151</v>
      </c>
      <c r="J567" s="20" t="s">
        <v>143</v>
      </c>
      <c r="K567" s="20" t="s">
        <v>167</v>
      </c>
      <c r="Q567" s="20">
        <v>381.0</v>
      </c>
      <c r="R567" s="20" t="s">
        <v>2136</v>
      </c>
      <c r="S567" s="20" t="s">
        <v>2135</v>
      </c>
      <c r="T567" s="20" t="s">
        <v>138</v>
      </c>
    </row>
    <row r="568" ht="14.25" customHeight="1">
      <c r="A568" s="20" t="s">
        <v>2137</v>
      </c>
      <c r="B568" s="20" t="s">
        <v>2138</v>
      </c>
      <c r="C568" s="20" t="s">
        <v>285</v>
      </c>
      <c r="F568" s="20" t="s">
        <v>15</v>
      </c>
      <c r="G568" s="20" t="s">
        <v>142</v>
      </c>
      <c r="I568" s="20" t="s">
        <v>105</v>
      </c>
      <c r="J568" s="20" t="s">
        <v>143</v>
      </c>
      <c r="Q568" s="20">
        <v>5781.0</v>
      </c>
      <c r="R568" s="20" t="s">
        <v>2139</v>
      </c>
      <c r="S568" s="20" t="s">
        <v>2138</v>
      </c>
      <c r="T568" s="20" t="s">
        <v>138</v>
      </c>
      <c r="W568" s="20" t="s">
        <v>261</v>
      </c>
    </row>
    <row r="569" ht="14.25" customHeight="1">
      <c r="A569" s="20" t="s">
        <v>2140</v>
      </c>
      <c r="B569" s="20" t="s">
        <v>2141</v>
      </c>
      <c r="C569" s="20" t="s">
        <v>818</v>
      </c>
      <c r="F569" s="20" t="s">
        <v>17</v>
      </c>
      <c r="G569" s="20" t="s">
        <v>17</v>
      </c>
      <c r="I569" s="20" t="s">
        <v>88</v>
      </c>
      <c r="J569" s="20" t="s">
        <v>143</v>
      </c>
      <c r="Q569" s="20">
        <v>2638.0</v>
      </c>
      <c r="R569" s="20" t="s">
        <v>2142</v>
      </c>
      <c r="S569" s="20" t="s">
        <v>2141</v>
      </c>
      <c r="T569" s="20" t="s">
        <v>138</v>
      </c>
    </row>
    <row r="570" ht="14.25" customHeight="1">
      <c r="A570" s="20" t="s">
        <v>2143</v>
      </c>
      <c r="B570" s="20" t="s">
        <v>2144</v>
      </c>
      <c r="C570" s="20" t="s">
        <v>818</v>
      </c>
      <c r="F570" s="20" t="s">
        <v>17</v>
      </c>
      <c r="G570" s="20" t="s">
        <v>17</v>
      </c>
      <c r="I570" s="20" t="s">
        <v>88</v>
      </c>
      <c r="J570" s="20" t="s">
        <v>143</v>
      </c>
      <c r="Q570" s="20">
        <v>9142.0</v>
      </c>
      <c r="R570" s="20" t="s">
        <v>2145</v>
      </c>
      <c r="S570" s="20" t="s">
        <v>2144</v>
      </c>
      <c r="T570" s="20" t="s">
        <v>138</v>
      </c>
    </row>
    <row r="571" ht="14.25" customHeight="1">
      <c r="A571" s="20" t="s">
        <v>2146</v>
      </c>
      <c r="B571" s="20" t="s">
        <v>2147</v>
      </c>
      <c r="C571" s="20" t="s">
        <v>818</v>
      </c>
      <c r="F571" s="20" t="s">
        <v>17</v>
      </c>
      <c r="G571" s="20" t="s">
        <v>17</v>
      </c>
      <c r="I571" s="20" t="s">
        <v>88</v>
      </c>
      <c r="J571" s="20" t="s">
        <v>143</v>
      </c>
      <c r="K571" s="20" t="s">
        <v>167</v>
      </c>
      <c r="Q571" s="20">
        <v>11308.0</v>
      </c>
      <c r="R571" s="20" t="s">
        <v>2148</v>
      </c>
      <c r="S571" s="20" t="s">
        <v>2147</v>
      </c>
      <c r="T571" s="20" t="s">
        <v>138</v>
      </c>
    </row>
    <row r="572" ht="14.25" customHeight="1">
      <c r="A572" s="20" t="s">
        <v>2149</v>
      </c>
      <c r="B572" s="20" t="s">
        <v>2150</v>
      </c>
      <c r="C572" s="20" t="s">
        <v>159</v>
      </c>
      <c r="F572" s="20" t="s">
        <v>150</v>
      </c>
      <c r="G572" s="20" t="s">
        <v>150</v>
      </c>
      <c r="I572" s="20" t="s">
        <v>151</v>
      </c>
      <c r="J572" s="20" t="s">
        <v>143</v>
      </c>
      <c r="Q572" s="20">
        <v>16589.0</v>
      </c>
      <c r="R572" s="20" t="s">
        <v>2151</v>
      </c>
      <c r="S572" s="20" t="s">
        <v>2150</v>
      </c>
      <c r="T572" s="20" t="s">
        <v>138</v>
      </c>
    </row>
    <row r="573" ht="14.25" customHeight="1">
      <c r="A573" s="20" t="s">
        <v>2152</v>
      </c>
      <c r="B573" s="20" t="s">
        <v>2153</v>
      </c>
      <c r="C573" s="20" t="s">
        <v>197</v>
      </c>
      <c r="F573" s="20" t="s">
        <v>150</v>
      </c>
      <c r="G573" s="20" t="s">
        <v>150</v>
      </c>
      <c r="I573" s="20" t="s">
        <v>151</v>
      </c>
      <c r="J573" s="20" t="s">
        <v>143</v>
      </c>
      <c r="Q573" s="20">
        <v>10523.0</v>
      </c>
      <c r="R573" s="20" t="s">
        <v>2154</v>
      </c>
      <c r="S573" s="20" t="s">
        <v>2153</v>
      </c>
      <c r="T573" s="20" t="s">
        <v>138</v>
      </c>
    </row>
    <row r="574" ht="14.25" customHeight="1">
      <c r="A574" s="20" t="s">
        <v>2155</v>
      </c>
      <c r="B574" s="20" t="s">
        <v>2156</v>
      </c>
      <c r="C574" s="20" t="s">
        <v>446</v>
      </c>
      <c r="F574" s="20" t="s">
        <v>16</v>
      </c>
      <c r="G574" s="20" t="s">
        <v>202</v>
      </c>
      <c r="I574" s="20" t="s">
        <v>87</v>
      </c>
      <c r="J574" s="20" t="s">
        <v>143</v>
      </c>
      <c r="K574" s="20" t="s">
        <v>167</v>
      </c>
      <c r="Q574" s="20">
        <v>9023.0</v>
      </c>
      <c r="R574" s="20" t="s">
        <v>2157</v>
      </c>
      <c r="S574" s="20" t="s">
        <v>2156</v>
      </c>
      <c r="T574" s="20" t="s">
        <v>138</v>
      </c>
    </row>
    <row r="575" ht="14.25" customHeight="1">
      <c r="A575" s="20" t="s">
        <v>2158</v>
      </c>
      <c r="B575" s="20" t="s">
        <v>2159</v>
      </c>
      <c r="C575" s="20" t="s">
        <v>2160</v>
      </c>
      <c r="F575" s="20" t="s">
        <v>218</v>
      </c>
      <c r="G575" s="20" t="s">
        <v>219</v>
      </c>
      <c r="H575" s="20">
        <v>17584.0</v>
      </c>
      <c r="I575" s="20" t="s">
        <v>802</v>
      </c>
      <c r="J575" s="20" t="s">
        <v>186</v>
      </c>
      <c r="P575" s="20" t="s">
        <v>2159</v>
      </c>
      <c r="Q575" s="20">
        <v>17584.0</v>
      </c>
      <c r="R575" s="20" t="s">
        <v>2161</v>
      </c>
      <c r="S575" s="20" t="s">
        <v>2162</v>
      </c>
      <c r="T575" s="20" t="s">
        <v>138</v>
      </c>
      <c r="W575" s="20" t="s">
        <v>146</v>
      </c>
      <c r="X575" s="20" t="s">
        <v>1292</v>
      </c>
    </row>
    <row r="576" ht="14.25" customHeight="1">
      <c r="A576" s="20" t="s">
        <v>2163</v>
      </c>
      <c r="B576" s="20" t="s">
        <v>2164</v>
      </c>
      <c r="C576" s="20" t="s">
        <v>2165</v>
      </c>
      <c r="F576" s="20" t="s">
        <v>15</v>
      </c>
      <c r="G576" s="20" t="s">
        <v>142</v>
      </c>
      <c r="I576" s="20" t="s">
        <v>105</v>
      </c>
      <c r="J576" s="20" t="s">
        <v>143</v>
      </c>
      <c r="Q576" s="20">
        <v>14719.0</v>
      </c>
      <c r="R576" s="20" t="s">
        <v>2166</v>
      </c>
      <c r="S576" s="20" t="s">
        <v>2164</v>
      </c>
      <c r="T576" s="20" t="s">
        <v>138</v>
      </c>
      <c r="W576" s="20" t="s">
        <v>146</v>
      </c>
      <c r="X576" s="20" t="s">
        <v>1292</v>
      </c>
    </row>
    <row r="577" ht="14.25" customHeight="1">
      <c r="A577" s="20" t="s">
        <v>2167</v>
      </c>
      <c r="B577" s="20" t="s">
        <v>2168</v>
      </c>
      <c r="C577" s="20" t="s">
        <v>957</v>
      </c>
      <c r="F577" s="20" t="s">
        <v>150</v>
      </c>
      <c r="G577" s="20" t="s">
        <v>150</v>
      </c>
      <c r="I577" s="20" t="s">
        <v>151</v>
      </c>
      <c r="J577" s="20" t="s">
        <v>143</v>
      </c>
      <c r="K577" s="20" t="s">
        <v>167</v>
      </c>
      <c r="Q577" s="20">
        <v>15397.0</v>
      </c>
      <c r="R577" s="20" t="s">
        <v>2169</v>
      </c>
      <c r="S577" s="20" t="s">
        <v>2168</v>
      </c>
      <c r="T577" s="20" t="s">
        <v>138</v>
      </c>
      <c r="W577" s="20" t="s">
        <v>146</v>
      </c>
    </row>
    <row r="578" ht="14.25" customHeight="1">
      <c r="A578" s="20" t="s">
        <v>2170</v>
      </c>
      <c r="B578" s="20" t="s">
        <v>2171</v>
      </c>
      <c r="C578" s="20" t="s">
        <v>2051</v>
      </c>
      <c r="F578" s="20" t="s">
        <v>16</v>
      </c>
      <c r="G578" s="20" t="s">
        <v>202</v>
      </c>
      <c r="I578" s="20" t="s">
        <v>203</v>
      </c>
      <c r="J578" s="20" t="s">
        <v>143</v>
      </c>
      <c r="K578" s="20" t="s">
        <v>167</v>
      </c>
      <c r="Q578" s="20">
        <v>1688.0</v>
      </c>
      <c r="R578" s="20" t="s">
        <v>2172</v>
      </c>
      <c r="S578" s="20" t="s">
        <v>2171</v>
      </c>
      <c r="T578" s="20" t="s">
        <v>138</v>
      </c>
    </row>
    <row r="579" ht="14.25" customHeight="1">
      <c r="A579" s="20" t="s">
        <v>2173</v>
      </c>
      <c r="B579" s="20" t="s">
        <v>2174</v>
      </c>
      <c r="C579" s="20" t="s">
        <v>1676</v>
      </c>
      <c r="F579" s="20" t="s">
        <v>16</v>
      </c>
      <c r="G579" s="20" t="s">
        <v>202</v>
      </c>
      <c r="I579" s="20" t="s">
        <v>203</v>
      </c>
      <c r="J579" s="20" t="s">
        <v>143</v>
      </c>
      <c r="K579" s="20" t="s">
        <v>213</v>
      </c>
      <c r="Q579" s="20">
        <v>1687.0</v>
      </c>
      <c r="R579" s="20" t="s">
        <v>2175</v>
      </c>
      <c r="S579" s="20" t="s">
        <v>2174</v>
      </c>
      <c r="T579" s="20" t="s">
        <v>138</v>
      </c>
      <c r="V579" s="20" t="s">
        <v>189</v>
      </c>
      <c r="W579" s="20" t="s">
        <v>146</v>
      </c>
    </row>
    <row r="580" ht="14.25" customHeight="1">
      <c r="A580" s="20" t="s">
        <v>2176</v>
      </c>
      <c r="B580" s="20" t="s">
        <v>2177</v>
      </c>
      <c r="C580" s="20" t="s">
        <v>1676</v>
      </c>
      <c r="F580" s="20" t="s">
        <v>16</v>
      </c>
      <c r="G580" s="20" t="s">
        <v>202</v>
      </c>
      <c r="I580" s="20" t="s">
        <v>203</v>
      </c>
      <c r="J580" s="20" t="s">
        <v>143</v>
      </c>
      <c r="K580" s="20" t="s">
        <v>167</v>
      </c>
      <c r="Q580" s="20">
        <v>12066.0</v>
      </c>
      <c r="R580" s="20" t="s">
        <v>2178</v>
      </c>
      <c r="S580" s="20" t="s">
        <v>2177</v>
      </c>
      <c r="T580" s="20" t="s">
        <v>138</v>
      </c>
    </row>
    <row r="581" ht="14.25" customHeight="1">
      <c r="A581" s="20" t="s">
        <v>2179</v>
      </c>
      <c r="B581" s="20" t="s">
        <v>2180</v>
      </c>
      <c r="C581" s="20" t="s">
        <v>163</v>
      </c>
      <c r="F581" s="20" t="s">
        <v>150</v>
      </c>
      <c r="G581" s="20" t="s">
        <v>150</v>
      </c>
      <c r="I581" s="20" t="s">
        <v>151</v>
      </c>
      <c r="J581" s="20" t="s">
        <v>143</v>
      </c>
      <c r="Q581" s="20">
        <v>10461.0</v>
      </c>
      <c r="R581" s="20" t="s">
        <v>2181</v>
      </c>
      <c r="S581" s="20" t="s">
        <v>2180</v>
      </c>
      <c r="T581" s="20" t="s">
        <v>138</v>
      </c>
    </row>
    <row r="582" ht="14.25" customHeight="1">
      <c r="A582" s="20" t="s">
        <v>2182</v>
      </c>
      <c r="B582" s="20" t="s">
        <v>2183</v>
      </c>
      <c r="C582" s="20" t="s">
        <v>1505</v>
      </c>
      <c r="F582" s="20" t="s">
        <v>15</v>
      </c>
      <c r="G582" s="20" t="s">
        <v>135</v>
      </c>
      <c r="I582" s="20" t="s">
        <v>96</v>
      </c>
      <c r="J582" s="20" t="s">
        <v>136</v>
      </c>
      <c r="Q582" s="20">
        <v>11381.0</v>
      </c>
      <c r="R582" s="20" t="s">
        <v>2184</v>
      </c>
      <c r="S582" s="20" t="s">
        <v>2183</v>
      </c>
      <c r="T582" s="20" t="s">
        <v>138</v>
      </c>
    </row>
    <row r="583" ht="14.25" customHeight="1">
      <c r="A583" s="20" t="s">
        <v>2185</v>
      </c>
      <c r="B583" s="20" t="s">
        <v>2186</v>
      </c>
      <c r="C583" s="20" t="s">
        <v>1505</v>
      </c>
      <c r="F583" s="20" t="s">
        <v>15</v>
      </c>
      <c r="G583" s="20" t="s">
        <v>135</v>
      </c>
      <c r="I583" s="20" t="s">
        <v>92</v>
      </c>
      <c r="J583" s="20" t="s">
        <v>136</v>
      </c>
      <c r="Q583" s="20">
        <v>14562.0</v>
      </c>
      <c r="R583" s="20" t="s">
        <v>2187</v>
      </c>
      <c r="S583" s="20" t="s">
        <v>2186</v>
      </c>
      <c r="T583" s="20" t="s">
        <v>138</v>
      </c>
    </row>
    <row r="584" ht="14.25" customHeight="1">
      <c r="A584" s="20" t="s">
        <v>2188</v>
      </c>
      <c r="B584" s="20" t="s">
        <v>2189</v>
      </c>
      <c r="C584" s="20" t="s">
        <v>159</v>
      </c>
      <c r="F584" s="20" t="s">
        <v>150</v>
      </c>
      <c r="G584" s="20" t="s">
        <v>150</v>
      </c>
      <c r="I584" s="20" t="s">
        <v>151</v>
      </c>
      <c r="J584" s="20" t="s">
        <v>143</v>
      </c>
      <c r="Q584" s="20">
        <v>9355.0</v>
      </c>
      <c r="R584" s="20" t="s">
        <v>2190</v>
      </c>
      <c r="S584" s="20" t="s">
        <v>2189</v>
      </c>
      <c r="T584" s="20" t="s">
        <v>138</v>
      </c>
    </row>
    <row r="585" ht="14.25" customHeight="1">
      <c r="A585" s="20" t="s">
        <v>2191</v>
      </c>
      <c r="B585" s="20" t="s">
        <v>2192</v>
      </c>
      <c r="C585" s="20" t="s">
        <v>178</v>
      </c>
      <c r="F585" s="20" t="s">
        <v>150</v>
      </c>
      <c r="G585" s="20" t="s">
        <v>150</v>
      </c>
      <c r="I585" s="20" t="s">
        <v>151</v>
      </c>
      <c r="J585" s="20" t="s">
        <v>143</v>
      </c>
      <c r="Q585" s="20">
        <v>15489.0</v>
      </c>
      <c r="R585" s="20" t="s">
        <v>2193</v>
      </c>
      <c r="S585" s="20" t="s">
        <v>2192</v>
      </c>
      <c r="T585" s="20" t="s">
        <v>138</v>
      </c>
    </row>
    <row r="586" ht="14.25" customHeight="1">
      <c r="A586" s="20" t="s">
        <v>2194</v>
      </c>
      <c r="B586" s="20" t="s">
        <v>2195</v>
      </c>
      <c r="C586" s="20" t="s">
        <v>178</v>
      </c>
      <c r="F586" s="20" t="s">
        <v>150</v>
      </c>
      <c r="G586" s="20" t="s">
        <v>150</v>
      </c>
      <c r="I586" s="20" t="s">
        <v>151</v>
      </c>
      <c r="J586" s="20" t="s">
        <v>143</v>
      </c>
      <c r="Q586" s="20">
        <v>16483.0</v>
      </c>
      <c r="R586" s="20" t="s">
        <v>2196</v>
      </c>
      <c r="S586" s="20" t="s">
        <v>2195</v>
      </c>
      <c r="T586" s="20" t="s">
        <v>138</v>
      </c>
    </row>
    <row r="587" ht="14.25" customHeight="1">
      <c r="A587" s="20" t="s">
        <v>2197</v>
      </c>
      <c r="B587" s="20" t="s">
        <v>2198</v>
      </c>
      <c r="C587" s="20" t="s">
        <v>818</v>
      </c>
      <c r="F587" s="20" t="s">
        <v>17</v>
      </c>
      <c r="G587" s="20" t="s">
        <v>17</v>
      </c>
      <c r="I587" s="20" t="s">
        <v>88</v>
      </c>
      <c r="J587" s="20" t="s">
        <v>143</v>
      </c>
      <c r="K587" s="20" t="s">
        <v>167</v>
      </c>
      <c r="Q587" s="20">
        <v>1810.0</v>
      </c>
      <c r="R587" s="20" t="s">
        <v>2199</v>
      </c>
      <c r="S587" s="20" t="s">
        <v>2198</v>
      </c>
      <c r="T587" s="20" t="s">
        <v>138</v>
      </c>
    </row>
    <row r="588" ht="14.25" customHeight="1">
      <c r="A588" s="20" t="s">
        <v>2200</v>
      </c>
      <c r="B588" s="20" t="s">
        <v>2201</v>
      </c>
      <c r="C588" s="20" t="s">
        <v>193</v>
      </c>
      <c r="F588" s="20" t="s">
        <v>150</v>
      </c>
      <c r="G588" s="20" t="s">
        <v>150</v>
      </c>
      <c r="I588" s="20" t="s">
        <v>151</v>
      </c>
      <c r="J588" s="20" t="s">
        <v>143</v>
      </c>
      <c r="Q588" s="20">
        <v>11878.0</v>
      </c>
      <c r="R588" s="20" t="s">
        <v>2202</v>
      </c>
      <c r="S588" s="20" t="s">
        <v>2201</v>
      </c>
      <c r="T588" s="20" t="s">
        <v>138</v>
      </c>
    </row>
    <row r="589" ht="14.25" customHeight="1">
      <c r="A589" s="20" t="s">
        <v>2203</v>
      </c>
      <c r="B589" s="20" t="s">
        <v>2204</v>
      </c>
      <c r="C589" s="20" t="s">
        <v>193</v>
      </c>
      <c r="F589" s="20" t="s">
        <v>150</v>
      </c>
      <c r="G589" s="20" t="s">
        <v>150</v>
      </c>
      <c r="I589" s="20" t="s">
        <v>151</v>
      </c>
      <c r="J589" s="20" t="s">
        <v>143</v>
      </c>
      <c r="Q589" s="20">
        <v>4132.0</v>
      </c>
      <c r="R589" s="20" t="s">
        <v>2205</v>
      </c>
      <c r="S589" s="20" t="s">
        <v>2204</v>
      </c>
      <c r="T589" s="20" t="s">
        <v>138</v>
      </c>
    </row>
    <row r="590" ht="14.25" customHeight="1">
      <c r="A590" s="20" t="s">
        <v>2206</v>
      </c>
      <c r="B590" s="20" t="s">
        <v>2207</v>
      </c>
      <c r="C590" s="20" t="s">
        <v>174</v>
      </c>
      <c r="F590" s="20" t="s">
        <v>150</v>
      </c>
      <c r="G590" s="20" t="s">
        <v>150</v>
      </c>
      <c r="I590" s="20" t="s">
        <v>151</v>
      </c>
      <c r="J590" s="20" t="s">
        <v>143</v>
      </c>
      <c r="Q590" s="20">
        <v>6452.0</v>
      </c>
      <c r="R590" s="20" t="s">
        <v>2208</v>
      </c>
      <c r="S590" s="20" t="s">
        <v>2207</v>
      </c>
      <c r="T590" s="20" t="s">
        <v>138</v>
      </c>
    </row>
    <row r="591" ht="14.25" customHeight="1">
      <c r="A591" s="20" t="s">
        <v>2209</v>
      </c>
      <c r="B591" s="20" t="s">
        <v>2210</v>
      </c>
      <c r="C591" s="20" t="s">
        <v>159</v>
      </c>
      <c r="F591" s="20" t="s">
        <v>150</v>
      </c>
      <c r="G591" s="20" t="s">
        <v>150</v>
      </c>
      <c r="I591" s="20" t="s">
        <v>151</v>
      </c>
      <c r="J591" s="20" t="s">
        <v>143</v>
      </c>
      <c r="Q591" s="20">
        <v>11127.0</v>
      </c>
      <c r="R591" s="20" t="s">
        <v>2211</v>
      </c>
      <c r="S591" s="20" t="s">
        <v>2210</v>
      </c>
      <c r="T591" s="20" t="s">
        <v>138</v>
      </c>
    </row>
    <row r="592" ht="14.25" customHeight="1">
      <c r="A592" s="20" t="s">
        <v>2212</v>
      </c>
      <c r="B592" s="20" t="s">
        <v>2213</v>
      </c>
      <c r="C592" s="20" t="s">
        <v>193</v>
      </c>
      <c r="F592" s="20" t="s">
        <v>150</v>
      </c>
      <c r="G592" s="20" t="s">
        <v>150</v>
      </c>
      <c r="I592" s="20" t="s">
        <v>151</v>
      </c>
      <c r="J592" s="20" t="s">
        <v>143</v>
      </c>
      <c r="Q592" s="20">
        <v>10557.0</v>
      </c>
      <c r="R592" s="20" t="s">
        <v>2214</v>
      </c>
      <c r="S592" s="20" t="s">
        <v>2213</v>
      </c>
      <c r="T592" s="20" t="s">
        <v>138</v>
      </c>
    </row>
    <row r="593" ht="14.25" customHeight="1">
      <c r="A593" s="20" t="s">
        <v>2215</v>
      </c>
      <c r="B593" s="20" t="s">
        <v>2216</v>
      </c>
      <c r="C593" s="20" t="s">
        <v>235</v>
      </c>
      <c r="F593" s="20" t="s">
        <v>15</v>
      </c>
      <c r="G593" s="20" t="s">
        <v>142</v>
      </c>
      <c r="H593" s="20">
        <v>17689.0</v>
      </c>
      <c r="I593" s="20" t="s">
        <v>105</v>
      </c>
      <c r="J593" s="20" t="s">
        <v>143</v>
      </c>
      <c r="P593" s="20" t="s">
        <v>2216</v>
      </c>
      <c r="Q593" s="20">
        <v>17689.0</v>
      </c>
      <c r="R593" s="20" t="s">
        <v>2217</v>
      </c>
      <c r="S593" s="20" t="s">
        <v>2218</v>
      </c>
      <c r="T593" s="20" t="s">
        <v>138</v>
      </c>
      <c r="W593" s="20" t="s">
        <v>146</v>
      </c>
    </row>
    <row r="594" ht="14.25" customHeight="1">
      <c r="A594" s="20" t="s">
        <v>2219</v>
      </c>
      <c r="B594" s="20" t="s">
        <v>2220</v>
      </c>
      <c r="C594" s="20" t="s">
        <v>2221</v>
      </c>
      <c r="F594" s="20" t="s">
        <v>15</v>
      </c>
      <c r="G594" s="20" t="s">
        <v>142</v>
      </c>
      <c r="I594" s="20" t="s">
        <v>105</v>
      </c>
      <c r="J594" s="20" t="s">
        <v>186</v>
      </c>
      <c r="Q594" s="20">
        <v>11852.0</v>
      </c>
      <c r="R594" s="20" t="s">
        <v>2222</v>
      </c>
      <c r="S594" s="20" t="s">
        <v>2220</v>
      </c>
      <c r="T594" s="20" t="s">
        <v>138</v>
      </c>
    </row>
    <row r="595" ht="14.25" customHeight="1">
      <c r="A595" s="20" t="s">
        <v>2223</v>
      </c>
      <c r="B595" s="20" t="s">
        <v>2224</v>
      </c>
      <c r="C595" s="20" t="s">
        <v>163</v>
      </c>
      <c r="F595" s="20" t="s">
        <v>150</v>
      </c>
      <c r="G595" s="20" t="s">
        <v>150</v>
      </c>
      <c r="I595" s="20" t="s">
        <v>151</v>
      </c>
      <c r="J595" s="20" t="s">
        <v>143</v>
      </c>
      <c r="K595" s="20" t="s">
        <v>167</v>
      </c>
      <c r="Q595" s="20">
        <v>2636.0</v>
      </c>
      <c r="R595" s="20" t="s">
        <v>2225</v>
      </c>
      <c r="S595" s="20" t="s">
        <v>2224</v>
      </c>
      <c r="T595" s="20" t="s">
        <v>138</v>
      </c>
    </row>
    <row r="596" ht="14.25" customHeight="1">
      <c r="A596" s="20" t="s">
        <v>2226</v>
      </c>
      <c r="B596" s="20" t="s">
        <v>2227</v>
      </c>
      <c r="C596" s="20" t="s">
        <v>2228</v>
      </c>
      <c r="F596" s="20" t="s">
        <v>218</v>
      </c>
      <c r="G596" s="20" t="s">
        <v>219</v>
      </c>
      <c r="H596" s="20">
        <v>16026.0</v>
      </c>
      <c r="I596" s="20" t="s">
        <v>314</v>
      </c>
      <c r="J596" s="20" t="s">
        <v>186</v>
      </c>
      <c r="K596" s="20" t="s">
        <v>167</v>
      </c>
      <c r="Q596" s="20">
        <v>16026.0</v>
      </c>
      <c r="R596" s="20" t="s">
        <v>2229</v>
      </c>
      <c r="S596" s="20" t="s">
        <v>2227</v>
      </c>
      <c r="T596" s="20" t="s">
        <v>138</v>
      </c>
      <c r="U596" s="24">
        <v>44733.0</v>
      </c>
    </row>
    <row r="597" ht="14.25" customHeight="1">
      <c r="A597" s="20" t="s">
        <v>2230</v>
      </c>
      <c r="B597" s="20" t="s">
        <v>2231</v>
      </c>
      <c r="C597" s="20" t="s">
        <v>2232</v>
      </c>
      <c r="F597" s="20" t="s">
        <v>327</v>
      </c>
      <c r="G597" s="20" t="s">
        <v>385</v>
      </c>
      <c r="I597" s="20" t="s">
        <v>510</v>
      </c>
      <c r="J597" s="20" t="s">
        <v>143</v>
      </c>
      <c r="Q597" s="20">
        <v>9873.0</v>
      </c>
      <c r="R597" s="20" t="s">
        <v>2233</v>
      </c>
      <c r="S597" s="20" t="s">
        <v>2231</v>
      </c>
      <c r="T597" s="20" t="s">
        <v>138</v>
      </c>
    </row>
    <row r="598" ht="14.25" customHeight="1">
      <c r="A598" s="20" t="s">
        <v>2234</v>
      </c>
      <c r="B598" s="20" t="s">
        <v>2235</v>
      </c>
      <c r="C598" s="20" t="s">
        <v>478</v>
      </c>
      <c r="F598" s="20" t="s">
        <v>218</v>
      </c>
      <c r="G598" s="20" t="s">
        <v>219</v>
      </c>
      <c r="I598" s="20" t="s">
        <v>360</v>
      </c>
      <c r="J598" s="20" t="s">
        <v>186</v>
      </c>
      <c r="K598" s="20" t="s">
        <v>187</v>
      </c>
      <c r="Q598" s="20">
        <v>59.0</v>
      </c>
      <c r="R598" s="20" t="s">
        <v>2236</v>
      </c>
      <c r="S598" s="20" t="s">
        <v>2235</v>
      </c>
      <c r="T598" s="20" t="s">
        <v>138</v>
      </c>
      <c r="W598" s="20" t="s">
        <v>261</v>
      </c>
    </row>
    <row r="599" ht="14.25" customHeight="1">
      <c r="A599" s="20" t="s">
        <v>2237</v>
      </c>
      <c r="B599" s="20" t="s">
        <v>2238</v>
      </c>
      <c r="C599" s="20" t="s">
        <v>2221</v>
      </c>
      <c r="F599" s="20" t="s">
        <v>15</v>
      </c>
      <c r="G599" s="20" t="s">
        <v>142</v>
      </c>
      <c r="I599" s="20" t="s">
        <v>105</v>
      </c>
      <c r="J599" s="20" t="s">
        <v>186</v>
      </c>
      <c r="Q599" s="20">
        <v>7101.0</v>
      </c>
      <c r="R599" s="20" t="s">
        <v>2239</v>
      </c>
      <c r="S599" s="20" t="s">
        <v>2238</v>
      </c>
      <c r="T599" s="20" t="s">
        <v>138</v>
      </c>
    </row>
    <row r="600" ht="14.25" customHeight="1">
      <c r="A600" s="20" t="s">
        <v>2240</v>
      </c>
      <c r="B600" s="20" t="s">
        <v>2241</v>
      </c>
      <c r="C600" s="20" t="s">
        <v>149</v>
      </c>
      <c r="F600" s="20" t="s">
        <v>150</v>
      </c>
      <c r="G600" s="20" t="s">
        <v>150</v>
      </c>
      <c r="I600" s="20" t="s">
        <v>151</v>
      </c>
      <c r="J600" s="20" t="s">
        <v>143</v>
      </c>
      <c r="K600" s="20" t="s">
        <v>167</v>
      </c>
      <c r="Q600" s="20">
        <v>15422.0</v>
      </c>
      <c r="R600" s="20" t="s">
        <v>2242</v>
      </c>
      <c r="S600" s="20" t="s">
        <v>2241</v>
      </c>
      <c r="T600" s="20" t="s">
        <v>138</v>
      </c>
    </row>
    <row r="601" ht="14.25" customHeight="1">
      <c r="A601" s="20" t="s">
        <v>2243</v>
      </c>
      <c r="B601" s="20" t="s">
        <v>2244</v>
      </c>
      <c r="C601" s="20" t="s">
        <v>938</v>
      </c>
      <c r="F601" s="20" t="s">
        <v>327</v>
      </c>
      <c r="G601" s="20" t="s">
        <v>385</v>
      </c>
      <c r="I601" s="20" t="s">
        <v>2245</v>
      </c>
      <c r="J601" s="20" t="s">
        <v>186</v>
      </c>
      <c r="K601" s="20" t="s">
        <v>213</v>
      </c>
      <c r="Q601" s="20">
        <v>13895.0</v>
      </c>
      <c r="R601" s="20" t="s">
        <v>2246</v>
      </c>
      <c r="S601" s="20" t="s">
        <v>2244</v>
      </c>
      <c r="T601" s="20" t="s">
        <v>138</v>
      </c>
      <c r="V601" s="20" t="s">
        <v>260</v>
      </c>
      <c r="W601" s="20" t="s">
        <v>146</v>
      </c>
    </row>
    <row r="602" ht="14.25" customHeight="1">
      <c r="A602" s="20" t="s">
        <v>2247</v>
      </c>
      <c r="B602" s="20" t="s">
        <v>2248</v>
      </c>
      <c r="C602" s="20" t="s">
        <v>938</v>
      </c>
      <c r="F602" s="20" t="s">
        <v>327</v>
      </c>
      <c r="G602" s="20" t="s">
        <v>385</v>
      </c>
      <c r="I602" s="20" t="s">
        <v>2245</v>
      </c>
      <c r="J602" s="20" t="s">
        <v>186</v>
      </c>
      <c r="Q602" s="20">
        <v>14051.0</v>
      </c>
      <c r="R602" s="20" t="s">
        <v>2249</v>
      </c>
      <c r="S602" s="20" t="s">
        <v>2248</v>
      </c>
      <c r="T602" s="20" t="s">
        <v>138</v>
      </c>
    </row>
    <row r="603" ht="14.25" customHeight="1">
      <c r="A603" s="20" t="s">
        <v>2250</v>
      </c>
      <c r="B603" s="20" t="s">
        <v>2251</v>
      </c>
      <c r="C603" s="20" t="s">
        <v>235</v>
      </c>
      <c r="F603" s="20" t="s">
        <v>15</v>
      </c>
      <c r="G603" s="20" t="s">
        <v>142</v>
      </c>
      <c r="I603" s="20" t="s">
        <v>105</v>
      </c>
      <c r="J603" s="20" t="s">
        <v>143</v>
      </c>
      <c r="Q603" s="20">
        <v>10880.0</v>
      </c>
      <c r="R603" s="20" t="s">
        <v>2252</v>
      </c>
      <c r="S603" s="20" t="s">
        <v>2251</v>
      </c>
      <c r="T603" s="20" t="s">
        <v>138</v>
      </c>
    </row>
    <row r="604" ht="14.25" customHeight="1">
      <c r="A604" s="20" t="s">
        <v>2253</v>
      </c>
      <c r="B604" s="20" t="s">
        <v>2254</v>
      </c>
      <c r="C604" s="20" t="s">
        <v>235</v>
      </c>
      <c r="F604" s="20" t="s">
        <v>15</v>
      </c>
      <c r="G604" s="20" t="s">
        <v>142</v>
      </c>
      <c r="I604" s="20" t="s">
        <v>105</v>
      </c>
      <c r="J604" s="20" t="s">
        <v>143</v>
      </c>
      <c r="Q604" s="20">
        <v>4556.0</v>
      </c>
      <c r="R604" s="20" t="s">
        <v>2255</v>
      </c>
      <c r="S604" s="20" t="s">
        <v>2254</v>
      </c>
      <c r="T604" s="20" t="s">
        <v>138</v>
      </c>
    </row>
    <row r="605" ht="14.25" customHeight="1">
      <c r="A605" s="20" t="s">
        <v>2256</v>
      </c>
      <c r="B605" s="20" t="s">
        <v>2257</v>
      </c>
      <c r="C605" s="20" t="s">
        <v>1505</v>
      </c>
      <c r="F605" s="20" t="s">
        <v>15</v>
      </c>
      <c r="G605" s="20" t="s">
        <v>135</v>
      </c>
      <c r="I605" s="20" t="s">
        <v>102</v>
      </c>
      <c r="J605" s="20" t="s">
        <v>186</v>
      </c>
      <c r="K605" s="20" t="s">
        <v>213</v>
      </c>
      <c r="Q605" s="20">
        <v>1491.0</v>
      </c>
      <c r="R605" s="20" t="s">
        <v>2258</v>
      </c>
      <c r="S605" s="20" t="s">
        <v>2257</v>
      </c>
      <c r="T605" s="20" t="s">
        <v>138</v>
      </c>
      <c r="W605" s="20" t="s">
        <v>146</v>
      </c>
    </row>
    <row r="606" ht="14.25" customHeight="1">
      <c r="A606" s="20" t="s">
        <v>2259</v>
      </c>
      <c r="B606" s="20" t="s">
        <v>2260</v>
      </c>
      <c r="C606" s="20" t="s">
        <v>633</v>
      </c>
      <c r="F606" s="20" t="s">
        <v>15</v>
      </c>
      <c r="G606" s="20" t="s">
        <v>135</v>
      </c>
      <c r="I606" s="20" t="s">
        <v>101</v>
      </c>
      <c r="J606" s="20" t="s">
        <v>186</v>
      </c>
      <c r="K606" s="20" t="s">
        <v>167</v>
      </c>
      <c r="Q606" s="20">
        <v>845.0</v>
      </c>
      <c r="R606" s="20" t="s">
        <v>2261</v>
      </c>
      <c r="S606" s="20" t="s">
        <v>2260</v>
      </c>
      <c r="T606" s="20" t="s">
        <v>138</v>
      </c>
    </row>
    <row r="607" ht="14.25" customHeight="1">
      <c r="A607" s="20" t="s">
        <v>2262</v>
      </c>
      <c r="B607" s="20" t="s">
        <v>2263</v>
      </c>
      <c r="C607" s="20" t="s">
        <v>1762</v>
      </c>
      <c r="F607" s="20" t="s">
        <v>15</v>
      </c>
      <c r="G607" s="20" t="s">
        <v>135</v>
      </c>
      <c r="I607" s="20" t="s">
        <v>95</v>
      </c>
      <c r="J607" s="20" t="s">
        <v>186</v>
      </c>
      <c r="K607" s="20" t="s">
        <v>187</v>
      </c>
      <c r="Q607" s="20">
        <v>61.0</v>
      </c>
      <c r="R607" s="20" t="s">
        <v>2264</v>
      </c>
      <c r="S607" s="20" t="s">
        <v>2263</v>
      </c>
      <c r="T607" s="20" t="s">
        <v>138</v>
      </c>
      <c r="W607" s="20" t="s">
        <v>261</v>
      </c>
    </row>
    <row r="608" ht="14.25" customHeight="1">
      <c r="A608" s="20" t="s">
        <v>2265</v>
      </c>
      <c r="B608" s="20" t="s">
        <v>2266</v>
      </c>
      <c r="C608" s="20" t="s">
        <v>2267</v>
      </c>
      <c r="F608" s="20" t="s">
        <v>327</v>
      </c>
      <c r="G608" s="20" t="s">
        <v>385</v>
      </c>
      <c r="I608" s="20" t="s">
        <v>2268</v>
      </c>
      <c r="J608" s="20" t="s">
        <v>136</v>
      </c>
      <c r="Q608" s="20">
        <v>14182.0</v>
      </c>
      <c r="R608" s="20" t="s">
        <v>2269</v>
      </c>
      <c r="S608" s="20" t="s">
        <v>2266</v>
      </c>
      <c r="T608" s="20" t="s">
        <v>138</v>
      </c>
      <c r="W608" s="20" t="s">
        <v>136</v>
      </c>
    </row>
    <row r="609" ht="14.25" customHeight="1">
      <c r="A609" s="20" t="s">
        <v>2270</v>
      </c>
      <c r="B609" s="20" t="s">
        <v>2271</v>
      </c>
      <c r="C609" s="20" t="s">
        <v>818</v>
      </c>
      <c r="F609" s="20" t="s">
        <v>17</v>
      </c>
      <c r="G609" s="20" t="s">
        <v>17</v>
      </c>
      <c r="I609" s="20" t="s">
        <v>88</v>
      </c>
      <c r="J609" s="20" t="s">
        <v>143</v>
      </c>
      <c r="K609" s="20" t="s">
        <v>167</v>
      </c>
      <c r="Q609" s="20">
        <v>6211.0</v>
      </c>
      <c r="R609" s="20" t="s">
        <v>2272</v>
      </c>
      <c r="S609" s="20" t="s">
        <v>2271</v>
      </c>
      <c r="T609" s="20" t="s">
        <v>138</v>
      </c>
    </row>
    <row r="610" ht="14.25" customHeight="1">
      <c r="A610" s="20" t="s">
        <v>2273</v>
      </c>
      <c r="B610" s="20" t="s">
        <v>2274</v>
      </c>
      <c r="C610" s="20" t="s">
        <v>272</v>
      </c>
      <c r="F610" s="20" t="s">
        <v>150</v>
      </c>
      <c r="G610" s="20" t="s">
        <v>150</v>
      </c>
      <c r="I610" s="20" t="s">
        <v>151</v>
      </c>
      <c r="J610" s="20" t="s">
        <v>143</v>
      </c>
      <c r="K610" s="20" t="s">
        <v>167</v>
      </c>
      <c r="Q610" s="20">
        <v>12017.0</v>
      </c>
      <c r="R610" s="20" t="s">
        <v>2275</v>
      </c>
      <c r="S610" s="20" t="s">
        <v>2274</v>
      </c>
      <c r="T610" s="20" t="s">
        <v>138</v>
      </c>
    </row>
    <row r="611" ht="14.25" customHeight="1">
      <c r="A611" s="20" t="s">
        <v>2276</v>
      </c>
      <c r="B611" s="20" t="s">
        <v>2277</v>
      </c>
      <c r="C611" s="20" t="s">
        <v>1305</v>
      </c>
      <c r="F611" s="20" t="s">
        <v>16</v>
      </c>
      <c r="G611" s="20" t="s">
        <v>202</v>
      </c>
      <c r="I611" s="20" t="s">
        <v>1306</v>
      </c>
      <c r="J611" s="20" t="s">
        <v>143</v>
      </c>
      <c r="Q611" s="20">
        <v>4912.0</v>
      </c>
      <c r="R611" s="20" t="s">
        <v>2278</v>
      </c>
      <c r="S611" s="20" t="s">
        <v>2279</v>
      </c>
      <c r="T611" s="20" t="s">
        <v>138</v>
      </c>
      <c r="W611" s="20" t="s">
        <v>146</v>
      </c>
    </row>
    <row r="612" ht="14.25" customHeight="1">
      <c r="A612" s="20" t="s">
        <v>2280</v>
      </c>
      <c r="B612" s="20" t="s">
        <v>2281</v>
      </c>
      <c r="C612" s="20" t="s">
        <v>193</v>
      </c>
      <c r="F612" s="20" t="s">
        <v>150</v>
      </c>
      <c r="G612" s="20" t="s">
        <v>150</v>
      </c>
      <c r="I612" s="20" t="s">
        <v>151</v>
      </c>
      <c r="J612" s="20" t="s">
        <v>143</v>
      </c>
      <c r="Q612" s="20">
        <v>13556.0</v>
      </c>
      <c r="R612" s="20" t="s">
        <v>2282</v>
      </c>
      <c r="S612" s="20" t="s">
        <v>2281</v>
      </c>
      <c r="T612" s="20" t="s">
        <v>138</v>
      </c>
    </row>
    <row r="613" ht="14.25" customHeight="1">
      <c r="A613" s="20" t="s">
        <v>2283</v>
      </c>
      <c r="B613" s="20" t="s">
        <v>2284</v>
      </c>
      <c r="C613" s="20" t="s">
        <v>149</v>
      </c>
      <c r="F613" s="20" t="s">
        <v>150</v>
      </c>
      <c r="G613" s="20" t="s">
        <v>150</v>
      </c>
      <c r="I613" s="20" t="s">
        <v>151</v>
      </c>
      <c r="J613" s="20" t="s">
        <v>143</v>
      </c>
      <c r="Q613" s="20">
        <v>450.0</v>
      </c>
      <c r="R613" s="20" t="s">
        <v>2285</v>
      </c>
      <c r="S613" s="20" t="s">
        <v>2284</v>
      </c>
      <c r="T613" s="20" t="s">
        <v>138</v>
      </c>
      <c r="V613" s="20" t="s">
        <v>260</v>
      </c>
    </row>
    <row r="614" ht="14.25" customHeight="1">
      <c r="A614" s="20" t="s">
        <v>2286</v>
      </c>
      <c r="B614" s="20" t="s">
        <v>2287</v>
      </c>
      <c r="C614" s="20" t="s">
        <v>524</v>
      </c>
      <c r="F614" s="20" t="s">
        <v>150</v>
      </c>
      <c r="G614" s="20" t="s">
        <v>150</v>
      </c>
      <c r="I614" s="20" t="s">
        <v>151</v>
      </c>
      <c r="J614" s="20" t="s">
        <v>143</v>
      </c>
      <c r="Q614" s="20">
        <v>14541.0</v>
      </c>
      <c r="R614" s="20" t="s">
        <v>2288</v>
      </c>
      <c r="S614" s="20" t="s">
        <v>2287</v>
      </c>
      <c r="T614" s="20" t="s">
        <v>138</v>
      </c>
    </row>
    <row r="615" ht="14.25" customHeight="1">
      <c r="A615" s="20" t="s">
        <v>2289</v>
      </c>
      <c r="B615" s="20" t="s">
        <v>2290</v>
      </c>
      <c r="C615" s="20" t="s">
        <v>680</v>
      </c>
      <c r="F615" s="20" t="s">
        <v>15</v>
      </c>
      <c r="G615" s="20" t="s">
        <v>142</v>
      </c>
      <c r="I615" s="20" t="s">
        <v>105</v>
      </c>
      <c r="J615" s="20" t="s">
        <v>143</v>
      </c>
      <c r="Q615" s="20">
        <v>14990.0</v>
      </c>
      <c r="R615" s="20" t="s">
        <v>2291</v>
      </c>
      <c r="S615" s="20" t="s">
        <v>2290</v>
      </c>
      <c r="T615" s="20" t="s">
        <v>138</v>
      </c>
    </row>
    <row r="616" ht="14.25" customHeight="1">
      <c r="A616" s="20" t="s">
        <v>2292</v>
      </c>
      <c r="B616" s="20" t="s">
        <v>2293</v>
      </c>
      <c r="C616" s="20" t="s">
        <v>235</v>
      </c>
      <c r="F616" s="20" t="s">
        <v>15</v>
      </c>
      <c r="G616" s="20" t="s">
        <v>142</v>
      </c>
      <c r="I616" s="20" t="s">
        <v>105</v>
      </c>
      <c r="J616" s="20" t="s">
        <v>143</v>
      </c>
      <c r="Q616" s="20">
        <v>8771.0</v>
      </c>
      <c r="R616" s="20" t="s">
        <v>2294</v>
      </c>
      <c r="S616" s="20" t="s">
        <v>2293</v>
      </c>
      <c r="T616" s="20" t="s">
        <v>138</v>
      </c>
    </row>
    <row r="617" ht="14.25" customHeight="1">
      <c r="A617" s="20" t="s">
        <v>2295</v>
      </c>
      <c r="B617" s="20" t="s">
        <v>2296</v>
      </c>
      <c r="C617" s="20" t="s">
        <v>235</v>
      </c>
      <c r="F617" s="20" t="s">
        <v>15</v>
      </c>
      <c r="G617" s="20" t="s">
        <v>142</v>
      </c>
      <c r="I617" s="20" t="s">
        <v>105</v>
      </c>
      <c r="J617" s="20" t="s">
        <v>143</v>
      </c>
      <c r="Q617" s="20">
        <v>10126.0</v>
      </c>
      <c r="R617" s="20" t="s">
        <v>2297</v>
      </c>
      <c r="S617" s="20" t="s">
        <v>2296</v>
      </c>
      <c r="T617" s="20" t="s">
        <v>138</v>
      </c>
    </row>
    <row r="618" ht="14.25" customHeight="1">
      <c r="A618" s="20" t="s">
        <v>2298</v>
      </c>
      <c r="B618" s="20" t="s">
        <v>2299</v>
      </c>
      <c r="C618" s="20" t="s">
        <v>159</v>
      </c>
      <c r="F618" s="20" t="s">
        <v>150</v>
      </c>
      <c r="G618" s="20" t="s">
        <v>150</v>
      </c>
      <c r="I618" s="20" t="s">
        <v>151</v>
      </c>
      <c r="J618" s="20" t="s">
        <v>143</v>
      </c>
      <c r="Q618" s="20">
        <v>7881.0</v>
      </c>
      <c r="R618" s="20" t="s">
        <v>2300</v>
      </c>
      <c r="S618" s="20" t="s">
        <v>2299</v>
      </c>
      <c r="T618" s="20" t="s">
        <v>138</v>
      </c>
    </row>
    <row r="619" ht="14.25" customHeight="1">
      <c r="A619" s="20" t="s">
        <v>2301</v>
      </c>
      <c r="B619" s="20" t="s">
        <v>2302</v>
      </c>
      <c r="C619" s="20" t="s">
        <v>633</v>
      </c>
      <c r="F619" s="20" t="s">
        <v>15</v>
      </c>
      <c r="G619" s="20" t="s">
        <v>135</v>
      </c>
      <c r="I619" s="20" t="s">
        <v>104</v>
      </c>
      <c r="J619" s="20" t="s">
        <v>186</v>
      </c>
      <c r="K619" s="20" t="s">
        <v>167</v>
      </c>
      <c r="Q619" s="20">
        <v>1562.0</v>
      </c>
      <c r="R619" s="20" t="s">
        <v>2303</v>
      </c>
      <c r="S619" s="20" t="s">
        <v>2302</v>
      </c>
      <c r="T619" s="20" t="s">
        <v>138</v>
      </c>
    </row>
    <row r="620" ht="14.25" customHeight="1">
      <c r="A620" s="20" t="s">
        <v>2304</v>
      </c>
      <c r="B620" s="20" t="s">
        <v>2305</v>
      </c>
      <c r="C620" s="20" t="s">
        <v>801</v>
      </c>
      <c r="F620" s="20" t="s">
        <v>218</v>
      </c>
      <c r="G620" s="20" t="s">
        <v>219</v>
      </c>
      <c r="I620" s="20" t="s">
        <v>802</v>
      </c>
      <c r="J620" s="20" t="s">
        <v>186</v>
      </c>
      <c r="K620" s="20" t="s">
        <v>213</v>
      </c>
      <c r="Q620" s="20">
        <v>81.0</v>
      </c>
      <c r="R620" s="20" t="s">
        <v>2306</v>
      </c>
      <c r="S620" s="20" t="s">
        <v>2305</v>
      </c>
      <c r="T620" s="20" t="s">
        <v>138</v>
      </c>
      <c r="W620" s="20" t="s">
        <v>146</v>
      </c>
    </row>
    <row r="621" ht="14.25" customHeight="1">
      <c r="A621" s="20" t="s">
        <v>2307</v>
      </c>
      <c r="B621" s="20" t="s">
        <v>2308</v>
      </c>
      <c r="C621" s="20" t="s">
        <v>906</v>
      </c>
      <c r="F621" s="20" t="s">
        <v>15</v>
      </c>
      <c r="G621" s="20" t="s">
        <v>142</v>
      </c>
      <c r="I621" s="20" t="s">
        <v>105</v>
      </c>
      <c r="J621" s="20" t="s">
        <v>136</v>
      </c>
      <c r="Q621" s="20">
        <v>15895.0</v>
      </c>
      <c r="R621" s="20" t="s">
        <v>2309</v>
      </c>
      <c r="S621" s="20" t="s">
        <v>2308</v>
      </c>
      <c r="T621" s="20" t="s">
        <v>138</v>
      </c>
    </row>
    <row r="622" ht="14.25" customHeight="1">
      <c r="A622" s="20" t="s">
        <v>2310</v>
      </c>
      <c r="B622" s="20" t="s">
        <v>2311</v>
      </c>
      <c r="C622" s="20" t="s">
        <v>496</v>
      </c>
      <c r="F622" s="20" t="s">
        <v>218</v>
      </c>
      <c r="G622" s="20" t="s">
        <v>219</v>
      </c>
      <c r="I622" s="20" t="s">
        <v>2312</v>
      </c>
      <c r="J622" s="20" t="s">
        <v>186</v>
      </c>
      <c r="Q622" s="20">
        <v>10384.0</v>
      </c>
      <c r="R622" s="20" t="s">
        <v>2313</v>
      </c>
      <c r="S622" s="20" t="s">
        <v>2311</v>
      </c>
      <c r="T622" s="20" t="s">
        <v>138</v>
      </c>
    </row>
    <row r="623" ht="14.25" customHeight="1">
      <c r="A623" s="20" t="s">
        <v>2314</v>
      </c>
      <c r="B623" s="20" t="s">
        <v>2315</v>
      </c>
      <c r="C623" s="20" t="s">
        <v>272</v>
      </c>
      <c r="F623" s="20" t="s">
        <v>150</v>
      </c>
      <c r="G623" s="20" t="s">
        <v>150</v>
      </c>
      <c r="I623" s="20" t="s">
        <v>151</v>
      </c>
      <c r="J623" s="20" t="s">
        <v>143</v>
      </c>
      <c r="Q623" s="20">
        <v>14053.0</v>
      </c>
      <c r="R623" s="20" t="s">
        <v>2316</v>
      </c>
      <c r="S623" s="20" t="s">
        <v>2315</v>
      </c>
      <c r="T623" s="20" t="s">
        <v>138</v>
      </c>
    </row>
    <row r="624" ht="14.25" customHeight="1">
      <c r="A624" s="20" t="s">
        <v>2317</v>
      </c>
      <c r="B624" s="20" t="s">
        <v>2318</v>
      </c>
      <c r="C624" s="20" t="s">
        <v>2319</v>
      </c>
      <c r="F624" s="20" t="s">
        <v>150</v>
      </c>
      <c r="G624" s="20" t="s">
        <v>150</v>
      </c>
      <c r="I624" s="20" t="s">
        <v>151</v>
      </c>
      <c r="J624" s="20" t="s">
        <v>143</v>
      </c>
      <c r="K624" s="20" t="s">
        <v>213</v>
      </c>
      <c r="Q624" s="20">
        <v>3218.0</v>
      </c>
      <c r="R624" s="20" t="s">
        <v>2320</v>
      </c>
      <c r="S624" s="20" t="s">
        <v>2321</v>
      </c>
      <c r="T624" s="20" t="s">
        <v>138</v>
      </c>
      <c r="V624" s="20" t="s">
        <v>260</v>
      </c>
      <c r="W624" s="20" t="s">
        <v>146</v>
      </c>
    </row>
    <row r="625" ht="14.25" customHeight="1">
      <c r="A625" s="20" t="s">
        <v>2322</v>
      </c>
      <c r="B625" s="20" t="s">
        <v>2323</v>
      </c>
      <c r="C625" s="20" t="s">
        <v>193</v>
      </c>
      <c r="F625" s="20" t="s">
        <v>150</v>
      </c>
      <c r="G625" s="20" t="s">
        <v>150</v>
      </c>
      <c r="I625" s="20" t="s">
        <v>151</v>
      </c>
      <c r="J625" s="20" t="s">
        <v>143</v>
      </c>
      <c r="Q625" s="20">
        <v>235.0</v>
      </c>
      <c r="R625" s="20" t="s">
        <v>2324</v>
      </c>
      <c r="S625" s="20" t="s">
        <v>2323</v>
      </c>
      <c r="T625" s="20" t="s">
        <v>138</v>
      </c>
    </row>
    <row r="626" ht="14.25" customHeight="1">
      <c r="A626" s="20" t="s">
        <v>2325</v>
      </c>
      <c r="B626" s="20" t="s">
        <v>2326</v>
      </c>
      <c r="C626" s="20" t="s">
        <v>178</v>
      </c>
      <c r="F626" s="20" t="s">
        <v>150</v>
      </c>
      <c r="G626" s="20" t="s">
        <v>150</v>
      </c>
      <c r="I626" s="20" t="s">
        <v>151</v>
      </c>
      <c r="J626" s="20" t="s">
        <v>143</v>
      </c>
      <c r="Q626" s="20">
        <v>16518.0</v>
      </c>
      <c r="R626" s="20" t="s">
        <v>2327</v>
      </c>
      <c r="S626" s="20" t="s">
        <v>2326</v>
      </c>
      <c r="T626" s="20" t="s">
        <v>138</v>
      </c>
    </row>
    <row r="627" ht="14.25" customHeight="1">
      <c r="A627" s="20" t="s">
        <v>2328</v>
      </c>
      <c r="B627" s="20" t="s">
        <v>2329</v>
      </c>
      <c r="C627" s="20" t="s">
        <v>2330</v>
      </c>
      <c r="F627" s="20" t="s">
        <v>16</v>
      </c>
      <c r="G627" s="20" t="s">
        <v>202</v>
      </c>
      <c r="H627" s="20">
        <v>15650.0</v>
      </c>
      <c r="I627" s="20" t="s">
        <v>87</v>
      </c>
      <c r="J627" s="20" t="s">
        <v>143</v>
      </c>
      <c r="L627" s="20" t="s">
        <v>87</v>
      </c>
      <c r="Q627" s="20">
        <v>15650.0</v>
      </c>
      <c r="R627" s="20" t="s">
        <v>2331</v>
      </c>
      <c r="S627" s="20" t="s">
        <v>2329</v>
      </c>
      <c r="T627" s="20" t="s">
        <v>138</v>
      </c>
      <c r="U627" s="24">
        <v>44711.0</v>
      </c>
    </row>
    <row r="628" ht="14.25" customHeight="1">
      <c r="A628" s="20" t="s">
        <v>2332</v>
      </c>
      <c r="B628" s="20" t="s">
        <v>2333</v>
      </c>
      <c r="C628" s="20" t="s">
        <v>235</v>
      </c>
      <c r="F628" s="20" t="s">
        <v>15</v>
      </c>
      <c r="G628" s="20" t="s">
        <v>142</v>
      </c>
      <c r="I628" s="20" t="s">
        <v>105</v>
      </c>
      <c r="J628" s="20" t="s">
        <v>143</v>
      </c>
      <c r="Q628" s="20">
        <v>16191.0</v>
      </c>
      <c r="R628" s="20" t="s">
        <v>2334</v>
      </c>
      <c r="S628" s="20" t="s">
        <v>2333</v>
      </c>
      <c r="T628" s="20" t="s">
        <v>138</v>
      </c>
    </row>
    <row r="629" ht="14.25" customHeight="1">
      <c r="A629" s="20" t="s">
        <v>2335</v>
      </c>
      <c r="B629" s="20" t="s">
        <v>2336</v>
      </c>
      <c r="C629" s="20" t="s">
        <v>708</v>
      </c>
      <c r="F629" s="20" t="s">
        <v>17</v>
      </c>
      <c r="G629" s="20" t="s">
        <v>17</v>
      </c>
      <c r="I629" s="20" t="s">
        <v>88</v>
      </c>
      <c r="J629" s="20" t="s">
        <v>143</v>
      </c>
      <c r="Q629" s="20">
        <v>11574.0</v>
      </c>
      <c r="R629" s="20" t="s">
        <v>2337</v>
      </c>
      <c r="S629" s="20" t="s">
        <v>2336</v>
      </c>
      <c r="T629" s="20" t="s">
        <v>138</v>
      </c>
    </row>
    <row r="630" ht="14.25" customHeight="1">
      <c r="A630" s="20" t="s">
        <v>2338</v>
      </c>
      <c r="B630" s="20" t="s">
        <v>2339</v>
      </c>
      <c r="C630" s="20" t="s">
        <v>159</v>
      </c>
      <c r="F630" s="20" t="s">
        <v>150</v>
      </c>
      <c r="G630" s="20" t="s">
        <v>150</v>
      </c>
      <c r="I630" s="20" t="s">
        <v>151</v>
      </c>
      <c r="J630" s="20" t="s">
        <v>143</v>
      </c>
      <c r="Q630" s="20">
        <v>13568.0</v>
      </c>
      <c r="R630" s="20" t="s">
        <v>2340</v>
      </c>
      <c r="S630" s="20" t="s">
        <v>2339</v>
      </c>
      <c r="T630" s="20" t="s">
        <v>138</v>
      </c>
    </row>
    <row r="631" ht="14.25" customHeight="1">
      <c r="A631" s="20" t="s">
        <v>2341</v>
      </c>
      <c r="B631" s="20" t="s">
        <v>2342</v>
      </c>
      <c r="C631" s="20" t="s">
        <v>1420</v>
      </c>
      <c r="F631" s="20" t="s">
        <v>17</v>
      </c>
      <c r="G631" s="20" t="s">
        <v>17</v>
      </c>
      <c r="I631" s="20" t="s">
        <v>88</v>
      </c>
      <c r="J631" s="20" t="s">
        <v>186</v>
      </c>
      <c r="K631" s="20" t="s">
        <v>187</v>
      </c>
      <c r="Q631" s="20">
        <v>487.0</v>
      </c>
      <c r="R631" s="20" t="s">
        <v>2343</v>
      </c>
      <c r="S631" s="20" t="s">
        <v>2342</v>
      </c>
      <c r="T631" s="20" t="s">
        <v>138</v>
      </c>
      <c r="V631" s="20" t="s">
        <v>189</v>
      </c>
      <c r="W631" s="20" t="s">
        <v>261</v>
      </c>
    </row>
    <row r="632" ht="14.25" customHeight="1">
      <c r="A632" s="20" t="s">
        <v>2344</v>
      </c>
      <c r="B632" s="20" t="s">
        <v>2345</v>
      </c>
      <c r="C632" s="20" t="s">
        <v>2346</v>
      </c>
      <c r="F632" s="20" t="s">
        <v>15</v>
      </c>
      <c r="G632" s="20" t="s">
        <v>135</v>
      </c>
      <c r="H632" s="20">
        <v>18053.0</v>
      </c>
      <c r="I632" s="20" t="s">
        <v>96</v>
      </c>
      <c r="J632" s="20" t="s">
        <v>186</v>
      </c>
      <c r="P632" s="20" t="s">
        <v>2345</v>
      </c>
      <c r="Q632" s="20">
        <v>18053.0</v>
      </c>
      <c r="R632" s="20" t="s">
        <v>2347</v>
      </c>
      <c r="S632" s="20" t="s">
        <v>2345</v>
      </c>
      <c r="T632" s="20" t="s">
        <v>138</v>
      </c>
    </row>
    <row r="633" ht="14.25" customHeight="1">
      <c r="A633" s="20" t="s">
        <v>2348</v>
      </c>
      <c r="B633" s="20" t="s">
        <v>2349</v>
      </c>
      <c r="C633" s="20" t="s">
        <v>486</v>
      </c>
      <c r="F633" s="20" t="s">
        <v>327</v>
      </c>
      <c r="G633" s="20" t="s">
        <v>385</v>
      </c>
      <c r="I633" s="20" t="s">
        <v>2350</v>
      </c>
      <c r="J633" s="20" t="s">
        <v>143</v>
      </c>
      <c r="K633" s="20" t="s">
        <v>167</v>
      </c>
      <c r="Q633" s="20">
        <v>4916.0</v>
      </c>
      <c r="R633" s="20" t="s">
        <v>2351</v>
      </c>
      <c r="S633" s="20" t="s">
        <v>2349</v>
      </c>
      <c r="T633" s="20" t="s">
        <v>138</v>
      </c>
    </row>
    <row r="634" ht="14.25" customHeight="1">
      <c r="A634" s="20" t="s">
        <v>2352</v>
      </c>
      <c r="B634" s="20" t="s">
        <v>2353</v>
      </c>
      <c r="C634" s="20" t="s">
        <v>651</v>
      </c>
      <c r="F634" s="20" t="s">
        <v>327</v>
      </c>
      <c r="G634" s="20" t="s">
        <v>395</v>
      </c>
      <c r="I634" s="20" t="s">
        <v>2354</v>
      </c>
      <c r="J634" s="20" t="s">
        <v>186</v>
      </c>
      <c r="K634" s="20" t="s">
        <v>167</v>
      </c>
      <c r="Q634" s="20">
        <v>1639.0</v>
      </c>
      <c r="R634" s="20" t="s">
        <v>2355</v>
      </c>
      <c r="S634" s="20" t="s">
        <v>2353</v>
      </c>
      <c r="T634" s="20" t="s">
        <v>138</v>
      </c>
      <c r="W634" s="20" t="s">
        <v>146</v>
      </c>
    </row>
    <row r="635" ht="14.25" customHeight="1">
      <c r="A635" s="20" t="s">
        <v>2356</v>
      </c>
      <c r="B635" s="20" t="s">
        <v>2357</v>
      </c>
      <c r="C635" s="20" t="s">
        <v>159</v>
      </c>
      <c r="F635" s="20" t="s">
        <v>150</v>
      </c>
      <c r="G635" s="20" t="s">
        <v>150</v>
      </c>
      <c r="I635" s="20" t="s">
        <v>151</v>
      </c>
      <c r="J635" s="20" t="s">
        <v>143</v>
      </c>
      <c r="Q635" s="20">
        <v>883.0</v>
      </c>
      <c r="R635" s="20" t="s">
        <v>2358</v>
      </c>
      <c r="S635" s="20" t="s">
        <v>2357</v>
      </c>
      <c r="T635" s="20" t="s">
        <v>138</v>
      </c>
    </row>
    <row r="636" ht="14.25" customHeight="1">
      <c r="A636" s="20" t="s">
        <v>2359</v>
      </c>
      <c r="B636" s="20" t="s">
        <v>2360</v>
      </c>
      <c r="C636" s="20" t="s">
        <v>1343</v>
      </c>
      <c r="F636" s="20" t="s">
        <v>150</v>
      </c>
      <c r="G636" s="20" t="s">
        <v>150</v>
      </c>
      <c r="I636" s="20" t="s">
        <v>151</v>
      </c>
      <c r="J636" s="20" t="s">
        <v>143</v>
      </c>
      <c r="Q636" s="20">
        <v>16025.0</v>
      </c>
      <c r="R636" s="20" t="s">
        <v>2361</v>
      </c>
      <c r="S636" s="20" t="s">
        <v>2360</v>
      </c>
      <c r="T636" s="20" t="s">
        <v>138</v>
      </c>
    </row>
    <row r="637" ht="14.25" customHeight="1">
      <c r="A637" s="20" t="s">
        <v>2362</v>
      </c>
      <c r="B637" s="20" t="s">
        <v>2363</v>
      </c>
      <c r="C637" s="20" t="s">
        <v>193</v>
      </c>
      <c r="F637" s="20" t="s">
        <v>150</v>
      </c>
      <c r="G637" s="20" t="s">
        <v>150</v>
      </c>
      <c r="I637" s="20" t="s">
        <v>151</v>
      </c>
      <c r="J637" s="20" t="s">
        <v>143</v>
      </c>
      <c r="Q637" s="20">
        <v>15607.0</v>
      </c>
      <c r="R637" s="20" t="s">
        <v>2364</v>
      </c>
      <c r="S637" s="20" t="s">
        <v>2363</v>
      </c>
      <c r="T637" s="20" t="s">
        <v>138</v>
      </c>
    </row>
    <row r="638" ht="14.25" customHeight="1">
      <c r="A638" s="20" t="s">
        <v>2365</v>
      </c>
      <c r="B638" s="20" t="s">
        <v>2366</v>
      </c>
      <c r="C638" s="20" t="s">
        <v>197</v>
      </c>
      <c r="F638" s="20" t="s">
        <v>150</v>
      </c>
      <c r="G638" s="20" t="s">
        <v>150</v>
      </c>
      <c r="I638" s="20" t="s">
        <v>151</v>
      </c>
      <c r="J638" s="20" t="s">
        <v>143</v>
      </c>
      <c r="Q638" s="20">
        <v>4656.0</v>
      </c>
      <c r="R638" s="20" t="s">
        <v>2367</v>
      </c>
      <c r="S638" s="20" t="s">
        <v>2366</v>
      </c>
      <c r="T638" s="20" t="s">
        <v>138</v>
      </c>
    </row>
    <row r="639" ht="14.25" customHeight="1">
      <c r="A639" s="20" t="s">
        <v>2368</v>
      </c>
      <c r="B639" s="20" t="s">
        <v>2369</v>
      </c>
      <c r="C639" s="20" t="s">
        <v>197</v>
      </c>
      <c r="F639" s="20" t="s">
        <v>150</v>
      </c>
      <c r="G639" s="20" t="s">
        <v>150</v>
      </c>
      <c r="I639" s="20" t="s">
        <v>151</v>
      </c>
      <c r="J639" s="20" t="s">
        <v>143</v>
      </c>
      <c r="K639" s="20" t="s">
        <v>167</v>
      </c>
      <c r="Q639" s="20">
        <v>9126.0</v>
      </c>
      <c r="R639" s="20" t="s">
        <v>2370</v>
      </c>
      <c r="S639" s="20" t="s">
        <v>2369</v>
      </c>
      <c r="T639" s="20" t="s">
        <v>138</v>
      </c>
    </row>
    <row r="640" ht="14.25" customHeight="1">
      <c r="A640" s="20" t="s">
        <v>2371</v>
      </c>
      <c r="B640" s="20" t="s">
        <v>2372</v>
      </c>
      <c r="C640" s="20" t="s">
        <v>272</v>
      </c>
      <c r="F640" s="20" t="s">
        <v>150</v>
      </c>
      <c r="G640" s="20" t="s">
        <v>150</v>
      </c>
      <c r="I640" s="20" t="s">
        <v>151</v>
      </c>
      <c r="J640" s="20" t="s">
        <v>143</v>
      </c>
      <c r="Q640" s="20">
        <v>11739.0</v>
      </c>
      <c r="R640" s="20" t="s">
        <v>2373</v>
      </c>
      <c r="S640" s="20" t="s">
        <v>2372</v>
      </c>
      <c r="T640" s="20" t="s">
        <v>138</v>
      </c>
    </row>
    <row r="641" ht="14.25" customHeight="1">
      <c r="A641" s="20" t="s">
        <v>2374</v>
      </c>
      <c r="B641" s="20" t="s">
        <v>2375</v>
      </c>
      <c r="C641" s="20" t="s">
        <v>272</v>
      </c>
      <c r="F641" s="20" t="s">
        <v>150</v>
      </c>
      <c r="G641" s="20" t="s">
        <v>150</v>
      </c>
      <c r="I641" s="20" t="s">
        <v>151</v>
      </c>
      <c r="J641" s="20" t="s">
        <v>143</v>
      </c>
      <c r="Q641" s="20">
        <v>15664.0</v>
      </c>
      <c r="R641" s="20" t="s">
        <v>2376</v>
      </c>
      <c r="S641" s="20" t="s">
        <v>2375</v>
      </c>
      <c r="T641" s="20" t="s">
        <v>138</v>
      </c>
    </row>
    <row r="642" ht="14.25" customHeight="1">
      <c r="A642" s="20" t="s">
        <v>2377</v>
      </c>
      <c r="B642" s="20" t="s">
        <v>2378</v>
      </c>
      <c r="C642" s="20" t="s">
        <v>193</v>
      </c>
      <c r="F642" s="20" t="s">
        <v>150</v>
      </c>
      <c r="G642" s="20" t="s">
        <v>150</v>
      </c>
      <c r="I642" s="20" t="s">
        <v>151</v>
      </c>
      <c r="J642" s="20" t="s">
        <v>143</v>
      </c>
      <c r="Q642" s="20">
        <v>13766.0</v>
      </c>
      <c r="R642" s="20" t="s">
        <v>2379</v>
      </c>
      <c r="S642" s="20" t="s">
        <v>2378</v>
      </c>
      <c r="T642" s="20" t="s">
        <v>138</v>
      </c>
    </row>
    <row r="643" ht="14.25" customHeight="1">
      <c r="A643" s="20" t="s">
        <v>2380</v>
      </c>
      <c r="B643" s="20" t="s">
        <v>2381</v>
      </c>
      <c r="C643" s="20" t="s">
        <v>1953</v>
      </c>
      <c r="F643" s="20" t="s">
        <v>17</v>
      </c>
      <c r="G643" s="20" t="s">
        <v>17</v>
      </c>
      <c r="H643" s="20">
        <v>16875.0</v>
      </c>
      <c r="I643" s="20" t="s">
        <v>88</v>
      </c>
      <c r="J643" s="20" t="s">
        <v>143</v>
      </c>
      <c r="Q643" s="20">
        <v>16875.0</v>
      </c>
      <c r="R643" s="20" t="s">
        <v>2382</v>
      </c>
      <c r="S643" s="20" t="s">
        <v>2381</v>
      </c>
      <c r="T643" s="20" t="s">
        <v>138</v>
      </c>
    </row>
    <row r="644" ht="14.25" customHeight="1">
      <c r="A644" s="20" t="s">
        <v>2383</v>
      </c>
      <c r="B644" s="20" t="s">
        <v>2384</v>
      </c>
      <c r="C644" s="20" t="s">
        <v>2385</v>
      </c>
      <c r="F644" s="20" t="s">
        <v>327</v>
      </c>
      <c r="H644" s="20">
        <v>17543.0</v>
      </c>
      <c r="I644" s="20" t="s">
        <v>2268</v>
      </c>
      <c r="J644" s="20" t="s">
        <v>136</v>
      </c>
      <c r="P644" s="20" t="s">
        <v>2384</v>
      </c>
      <c r="Q644" s="20">
        <v>17543.0</v>
      </c>
      <c r="R644" s="20" t="s">
        <v>2386</v>
      </c>
      <c r="S644" s="20" t="s">
        <v>2384</v>
      </c>
      <c r="T644" s="20" t="s">
        <v>138</v>
      </c>
      <c r="W644" s="20" t="s">
        <v>136</v>
      </c>
    </row>
    <row r="645" ht="14.25" customHeight="1">
      <c r="A645" s="20" t="s">
        <v>2387</v>
      </c>
      <c r="B645" s="20" t="s">
        <v>2388</v>
      </c>
      <c r="C645" s="20" t="s">
        <v>178</v>
      </c>
      <c r="F645" s="20" t="s">
        <v>150</v>
      </c>
      <c r="G645" s="20" t="s">
        <v>150</v>
      </c>
      <c r="I645" s="20" t="s">
        <v>151</v>
      </c>
      <c r="J645" s="20" t="s">
        <v>143</v>
      </c>
      <c r="Q645" s="20">
        <v>9157.0</v>
      </c>
      <c r="R645" s="20" t="s">
        <v>2389</v>
      </c>
      <c r="S645" s="20" t="s">
        <v>2388</v>
      </c>
      <c r="T645" s="20" t="s">
        <v>138</v>
      </c>
    </row>
    <row r="646" ht="14.25" customHeight="1">
      <c r="A646" s="20" t="s">
        <v>2390</v>
      </c>
      <c r="B646" s="20" t="s">
        <v>2391</v>
      </c>
      <c r="C646" s="20" t="s">
        <v>2392</v>
      </c>
      <c r="F646" s="20" t="s">
        <v>16</v>
      </c>
      <c r="G646" s="20" t="s">
        <v>638</v>
      </c>
      <c r="H646" s="20">
        <v>17343.0</v>
      </c>
      <c r="I646" s="20" t="s">
        <v>814</v>
      </c>
      <c r="J646" s="20" t="s">
        <v>143</v>
      </c>
      <c r="Q646" s="20">
        <v>17343.0</v>
      </c>
      <c r="R646" s="20" t="s">
        <v>2393</v>
      </c>
      <c r="S646" s="20" t="s">
        <v>2391</v>
      </c>
      <c r="T646" s="20" t="s">
        <v>138</v>
      </c>
      <c r="W646" s="20" t="s">
        <v>146</v>
      </c>
    </row>
    <row r="647" ht="14.25" customHeight="1">
      <c r="A647" s="20" t="s">
        <v>2394</v>
      </c>
      <c r="B647" s="20" t="s">
        <v>2395</v>
      </c>
      <c r="C647" s="20" t="s">
        <v>2396</v>
      </c>
      <c r="F647" s="20" t="s">
        <v>16</v>
      </c>
      <c r="G647" s="20" t="s">
        <v>202</v>
      </c>
      <c r="I647" s="20" t="s">
        <v>2397</v>
      </c>
      <c r="J647" s="20" t="s">
        <v>143</v>
      </c>
      <c r="Q647" s="20">
        <v>14013.0</v>
      </c>
      <c r="R647" s="20" t="s">
        <v>2398</v>
      </c>
      <c r="S647" s="20" t="s">
        <v>2395</v>
      </c>
      <c r="T647" s="20" t="s">
        <v>138</v>
      </c>
    </row>
    <row r="648" ht="14.25" customHeight="1">
      <c r="A648" s="20" t="s">
        <v>2399</v>
      </c>
      <c r="B648" s="20" t="s">
        <v>2400</v>
      </c>
      <c r="C648" s="20" t="s">
        <v>217</v>
      </c>
      <c r="F648" s="20" t="s">
        <v>218</v>
      </c>
      <c r="G648" s="20" t="s">
        <v>219</v>
      </c>
      <c r="I648" s="20" t="s">
        <v>220</v>
      </c>
      <c r="J648" s="20" t="s">
        <v>186</v>
      </c>
      <c r="Q648" s="20">
        <v>10969.0</v>
      </c>
      <c r="R648" s="20" t="s">
        <v>2401</v>
      </c>
      <c r="S648" s="20" t="s">
        <v>2400</v>
      </c>
      <c r="T648" s="20" t="s">
        <v>138</v>
      </c>
    </row>
    <row r="649" ht="14.25" customHeight="1">
      <c r="A649" s="20" t="s">
        <v>2402</v>
      </c>
      <c r="B649" s="20" t="s">
        <v>2403</v>
      </c>
      <c r="C649" s="20" t="s">
        <v>159</v>
      </c>
      <c r="F649" s="20" t="s">
        <v>150</v>
      </c>
      <c r="G649" s="20" t="s">
        <v>150</v>
      </c>
      <c r="I649" s="20" t="s">
        <v>151</v>
      </c>
      <c r="J649" s="20" t="s">
        <v>143</v>
      </c>
      <c r="Q649" s="20">
        <v>412.0</v>
      </c>
      <c r="R649" s="20" t="s">
        <v>2404</v>
      </c>
      <c r="S649" s="20" t="s">
        <v>2403</v>
      </c>
      <c r="T649" s="20" t="s">
        <v>138</v>
      </c>
    </row>
    <row r="650" ht="14.25" customHeight="1">
      <c r="A650" s="20" t="s">
        <v>2405</v>
      </c>
      <c r="B650" s="20" t="s">
        <v>2406</v>
      </c>
      <c r="C650" s="20" t="s">
        <v>779</v>
      </c>
      <c r="F650" s="20" t="s">
        <v>150</v>
      </c>
      <c r="G650" s="20" t="s">
        <v>150</v>
      </c>
      <c r="I650" s="20" t="s">
        <v>151</v>
      </c>
      <c r="J650" s="20" t="s">
        <v>143</v>
      </c>
      <c r="Q650" s="20">
        <v>2029.0</v>
      </c>
      <c r="R650" s="20" t="s">
        <v>2407</v>
      </c>
      <c r="S650" s="20" t="s">
        <v>2406</v>
      </c>
      <c r="T650" s="20" t="s">
        <v>138</v>
      </c>
    </row>
    <row r="651" ht="14.25" customHeight="1">
      <c r="A651" s="20" t="s">
        <v>2408</v>
      </c>
      <c r="B651" s="20" t="s">
        <v>2409</v>
      </c>
      <c r="C651" s="20" t="s">
        <v>1430</v>
      </c>
      <c r="F651" s="20" t="s">
        <v>16</v>
      </c>
      <c r="G651" s="20" t="s">
        <v>211</v>
      </c>
      <c r="I651" s="20" t="s">
        <v>212</v>
      </c>
      <c r="J651" s="20" t="s">
        <v>186</v>
      </c>
      <c r="Q651" s="20">
        <v>2507.0</v>
      </c>
      <c r="R651" s="20" t="s">
        <v>2410</v>
      </c>
      <c r="S651" s="20" t="s">
        <v>2409</v>
      </c>
      <c r="T651" s="20" t="s">
        <v>138</v>
      </c>
    </row>
    <row r="652" ht="14.25" customHeight="1">
      <c r="A652" s="20" t="s">
        <v>2411</v>
      </c>
      <c r="B652" s="20" t="s">
        <v>2412</v>
      </c>
      <c r="C652" s="20" t="s">
        <v>178</v>
      </c>
      <c r="F652" s="20" t="s">
        <v>150</v>
      </c>
      <c r="G652" s="20" t="s">
        <v>150</v>
      </c>
      <c r="I652" s="20" t="s">
        <v>151</v>
      </c>
      <c r="J652" s="20" t="s">
        <v>143</v>
      </c>
      <c r="Q652" s="20">
        <v>5281.0</v>
      </c>
      <c r="R652" s="20" t="s">
        <v>2413</v>
      </c>
      <c r="S652" s="20" t="s">
        <v>2412</v>
      </c>
      <c r="T652" s="20" t="s">
        <v>138</v>
      </c>
    </row>
    <row r="653" ht="14.25" customHeight="1">
      <c r="A653" s="20" t="s">
        <v>2414</v>
      </c>
      <c r="B653" s="20" t="s">
        <v>2415</v>
      </c>
      <c r="C653" s="20" t="s">
        <v>289</v>
      </c>
      <c r="F653" s="20" t="s">
        <v>150</v>
      </c>
      <c r="G653" s="20" t="s">
        <v>150</v>
      </c>
      <c r="I653" s="20" t="s">
        <v>2024</v>
      </c>
      <c r="J653" s="20" t="s">
        <v>143</v>
      </c>
      <c r="Q653" s="20">
        <v>15151.0</v>
      </c>
      <c r="R653" s="20" t="s">
        <v>2416</v>
      </c>
      <c r="S653" s="20" t="s">
        <v>2415</v>
      </c>
      <c r="T653" s="20" t="s">
        <v>138</v>
      </c>
    </row>
    <row r="654" ht="14.25" customHeight="1">
      <c r="A654" s="20" t="s">
        <v>2417</v>
      </c>
      <c r="B654" s="20" t="s">
        <v>2418</v>
      </c>
      <c r="C654" s="20" t="s">
        <v>1659</v>
      </c>
      <c r="F654" s="20" t="s">
        <v>15</v>
      </c>
      <c r="G654" s="20" t="s">
        <v>135</v>
      </c>
      <c r="I654" s="20" t="s">
        <v>93</v>
      </c>
      <c r="J654" s="20" t="s">
        <v>136</v>
      </c>
      <c r="Q654" s="20">
        <v>14661.0</v>
      </c>
      <c r="R654" s="20" t="s">
        <v>2419</v>
      </c>
      <c r="S654" s="20" t="s">
        <v>2418</v>
      </c>
      <c r="T654" s="20" t="s">
        <v>138</v>
      </c>
    </row>
    <row r="655" ht="14.25" customHeight="1">
      <c r="A655" s="20" t="s">
        <v>2420</v>
      </c>
      <c r="B655" s="20" t="s">
        <v>2421</v>
      </c>
      <c r="C655" s="20" t="s">
        <v>2094</v>
      </c>
      <c r="F655" s="20" t="s">
        <v>15</v>
      </c>
      <c r="G655" s="20" t="s">
        <v>142</v>
      </c>
      <c r="I655" s="20" t="s">
        <v>105</v>
      </c>
      <c r="J655" s="20" t="s">
        <v>143</v>
      </c>
      <c r="Q655" s="20">
        <v>6863.0</v>
      </c>
      <c r="R655" s="20" t="s">
        <v>2422</v>
      </c>
      <c r="S655" s="20" t="s">
        <v>2421</v>
      </c>
      <c r="T655" s="20" t="s">
        <v>138</v>
      </c>
    </row>
    <row r="656" ht="14.25" customHeight="1">
      <c r="A656" s="20" t="s">
        <v>2423</v>
      </c>
      <c r="B656" s="20" t="s">
        <v>2424</v>
      </c>
      <c r="C656" s="20" t="s">
        <v>2425</v>
      </c>
      <c r="F656" s="20" t="s">
        <v>16</v>
      </c>
      <c r="G656" s="20" t="s">
        <v>202</v>
      </c>
      <c r="H656" s="20">
        <v>16974.0</v>
      </c>
      <c r="I656" s="20" t="s">
        <v>203</v>
      </c>
      <c r="J656" s="20" t="s">
        <v>136</v>
      </c>
      <c r="L656" s="20" t="s">
        <v>203</v>
      </c>
      <c r="Q656" s="20">
        <v>16974.0</v>
      </c>
      <c r="R656" s="20" t="s">
        <v>2426</v>
      </c>
      <c r="S656" s="20" t="s">
        <v>2424</v>
      </c>
      <c r="T656" s="20" t="s">
        <v>138</v>
      </c>
      <c r="U656" s="24">
        <v>45078.0</v>
      </c>
      <c r="W656" s="20" t="s">
        <v>136</v>
      </c>
    </row>
    <row r="657" ht="14.25" customHeight="1">
      <c r="A657" s="20" t="s">
        <v>2427</v>
      </c>
      <c r="B657" s="20" t="s">
        <v>2428</v>
      </c>
      <c r="C657" s="20" t="s">
        <v>193</v>
      </c>
      <c r="F657" s="20" t="s">
        <v>150</v>
      </c>
      <c r="G657" s="20" t="s">
        <v>150</v>
      </c>
      <c r="I657" s="20" t="s">
        <v>151</v>
      </c>
      <c r="J657" s="20" t="s">
        <v>143</v>
      </c>
      <c r="Q657" s="20">
        <v>13819.0</v>
      </c>
      <c r="R657" s="20" t="s">
        <v>2429</v>
      </c>
      <c r="S657" s="20" t="s">
        <v>2428</v>
      </c>
      <c r="T657" s="20" t="s">
        <v>138</v>
      </c>
    </row>
    <row r="658" ht="14.25" customHeight="1">
      <c r="A658" s="20" t="s">
        <v>2430</v>
      </c>
      <c r="B658" s="20" t="s">
        <v>2431</v>
      </c>
      <c r="C658" s="20" t="s">
        <v>174</v>
      </c>
      <c r="F658" s="20" t="s">
        <v>150</v>
      </c>
      <c r="G658" s="20" t="s">
        <v>150</v>
      </c>
      <c r="I658" s="20" t="s">
        <v>151</v>
      </c>
      <c r="J658" s="20" t="s">
        <v>143</v>
      </c>
      <c r="Q658" s="20">
        <v>9974.0</v>
      </c>
      <c r="R658" s="20" t="s">
        <v>2432</v>
      </c>
      <c r="S658" s="20" t="s">
        <v>2431</v>
      </c>
      <c r="T658" s="20" t="s">
        <v>138</v>
      </c>
    </row>
    <row r="659" ht="14.25" customHeight="1">
      <c r="A659" s="20" t="s">
        <v>2433</v>
      </c>
      <c r="B659" s="20" t="s">
        <v>2434</v>
      </c>
      <c r="C659" s="20" t="s">
        <v>272</v>
      </c>
      <c r="F659" s="20" t="s">
        <v>150</v>
      </c>
      <c r="G659" s="20" t="s">
        <v>150</v>
      </c>
      <c r="I659" s="20" t="s">
        <v>151</v>
      </c>
      <c r="J659" s="20" t="s">
        <v>143</v>
      </c>
      <c r="Q659" s="20">
        <v>11009.0</v>
      </c>
      <c r="R659" s="20" t="s">
        <v>2435</v>
      </c>
      <c r="S659" s="20" t="s">
        <v>2434</v>
      </c>
      <c r="T659" s="20" t="s">
        <v>138</v>
      </c>
    </row>
    <row r="660" ht="14.25" customHeight="1">
      <c r="A660" s="20" t="s">
        <v>2436</v>
      </c>
      <c r="B660" s="20" t="s">
        <v>2437</v>
      </c>
      <c r="C660" s="20" t="s">
        <v>369</v>
      </c>
      <c r="F660" s="20" t="s">
        <v>218</v>
      </c>
      <c r="G660" s="20" t="s">
        <v>219</v>
      </c>
      <c r="I660" s="20" t="s">
        <v>370</v>
      </c>
      <c r="J660" s="20" t="s">
        <v>143</v>
      </c>
      <c r="Q660" s="20">
        <v>10783.0</v>
      </c>
      <c r="R660" s="20" t="s">
        <v>2438</v>
      </c>
      <c r="S660" s="20" t="s">
        <v>2437</v>
      </c>
      <c r="T660" s="20" t="s">
        <v>138</v>
      </c>
    </row>
    <row r="661" ht="14.25" customHeight="1">
      <c r="A661" s="20" t="s">
        <v>2439</v>
      </c>
      <c r="B661" s="20" t="s">
        <v>2440</v>
      </c>
      <c r="C661" s="20" t="s">
        <v>193</v>
      </c>
      <c r="F661" s="20" t="s">
        <v>150</v>
      </c>
      <c r="G661" s="20" t="s">
        <v>150</v>
      </c>
      <c r="I661" s="20" t="s">
        <v>151</v>
      </c>
      <c r="J661" s="20" t="s">
        <v>143</v>
      </c>
      <c r="Q661" s="20">
        <v>11879.0</v>
      </c>
      <c r="R661" s="20" t="s">
        <v>2441</v>
      </c>
      <c r="S661" s="20" t="s">
        <v>2440</v>
      </c>
      <c r="T661" s="20" t="s">
        <v>138</v>
      </c>
    </row>
    <row r="662" ht="14.25" customHeight="1">
      <c r="A662" s="20" t="s">
        <v>2442</v>
      </c>
      <c r="B662" s="20" t="s">
        <v>2443</v>
      </c>
      <c r="C662" s="20" t="s">
        <v>1314</v>
      </c>
      <c r="F662" s="20" t="s">
        <v>16</v>
      </c>
      <c r="G662" s="20" t="s">
        <v>211</v>
      </c>
      <c r="I662" s="20" t="s">
        <v>258</v>
      </c>
      <c r="J662" s="20" t="s">
        <v>143</v>
      </c>
      <c r="Q662" s="20">
        <v>7862.0</v>
      </c>
      <c r="R662" s="20" t="s">
        <v>2444</v>
      </c>
      <c r="S662" s="20" t="s">
        <v>2443</v>
      </c>
      <c r="T662" s="20" t="s">
        <v>138</v>
      </c>
    </row>
    <row r="663" ht="14.25" customHeight="1">
      <c r="A663" s="20" t="s">
        <v>2445</v>
      </c>
      <c r="B663" s="20" t="s">
        <v>2446</v>
      </c>
      <c r="C663" s="20" t="s">
        <v>676</v>
      </c>
      <c r="F663" s="20" t="s">
        <v>150</v>
      </c>
      <c r="G663" s="20" t="s">
        <v>150</v>
      </c>
      <c r="I663" s="20" t="s">
        <v>151</v>
      </c>
      <c r="J663" s="20" t="s">
        <v>186</v>
      </c>
      <c r="Q663" s="20">
        <v>12271.0</v>
      </c>
      <c r="R663" s="20" t="s">
        <v>2447</v>
      </c>
      <c r="S663" s="20" t="s">
        <v>2446</v>
      </c>
      <c r="T663" s="20" t="s">
        <v>138</v>
      </c>
    </row>
    <row r="664" ht="14.25" customHeight="1">
      <c r="A664" s="20" t="s">
        <v>2448</v>
      </c>
      <c r="B664" s="20" t="s">
        <v>2449</v>
      </c>
      <c r="C664" s="20" t="s">
        <v>235</v>
      </c>
      <c r="F664" s="20" t="s">
        <v>15</v>
      </c>
      <c r="G664" s="20" t="s">
        <v>142</v>
      </c>
      <c r="I664" s="20" t="s">
        <v>105</v>
      </c>
      <c r="J664" s="20" t="s">
        <v>143</v>
      </c>
      <c r="Q664" s="20">
        <v>6328.0</v>
      </c>
      <c r="R664" s="20" t="s">
        <v>2450</v>
      </c>
      <c r="S664" s="20" t="s">
        <v>2449</v>
      </c>
      <c r="T664" s="20" t="s">
        <v>138</v>
      </c>
    </row>
    <row r="665" ht="14.25" customHeight="1">
      <c r="A665" s="20" t="s">
        <v>2451</v>
      </c>
      <c r="B665" s="20" t="s">
        <v>2452</v>
      </c>
      <c r="C665" s="20" t="s">
        <v>1559</v>
      </c>
      <c r="F665" s="20" t="s">
        <v>16</v>
      </c>
      <c r="G665" s="20" t="s">
        <v>202</v>
      </c>
      <c r="I665" s="20" t="s">
        <v>87</v>
      </c>
      <c r="J665" s="20" t="s">
        <v>143</v>
      </c>
      <c r="Q665" s="20">
        <v>15284.0</v>
      </c>
      <c r="R665" s="20" t="s">
        <v>2453</v>
      </c>
      <c r="S665" s="20" t="s">
        <v>2454</v>
      </c>
      <c r="T665" s="20" t="s">
        <v>138</v>
      </c>
    </row>
    <row r="666" ht="14.25" customHeight="1">
      <c r="A666" s="20" t="s">
        <v>2455</v>
      </c>
      <c r="B666" s="20" t="s">
        <v>2456</v>
      </c>
      <c r="C666" s="20" t="s">
        <v>478</v>
      </c>
      <c r="F666" s="20" t="s">
        <v>218</v>
      </c>
      <c r="G666" s="20" t="s">
        <v>219</v>
      </c>
      <c r="I666" s="20" t="s">
        <v>360</v>
      </c>
      <c r="J666" s="20" t="s">
        <v>186</v>
      </c>
      <c r="Q666" s="20">
        <v>10739.0</v>
      </c>
      <c r="R666" s="20" t="s">
        <v>2457</v>
      </c>
      <c r="S666" s="20" t="s">
        <v>2456</v>
      </c>
      <c r="T666" s="20" t="s">
        <v>138</v>
      </c>
    </row>
    <row r="667" ht="14.25" customHeight="1">
      <c r="A667" s="20" t="s">
        <v>2458</v>
      </c>
      <c r="B667" s="20" t="s">
        <v>2459</v>
      </c>
      <c r="C667" s="20" t="s">
        <v>149</v>
      </c>
      <c r="F667" s="20" t="s">
        <v>150</v>
      </c>
      <c r="G667" s="20" t="s">
        <v>150</v>
      </c>
      <c r="I667" s="20" t="s">
        <v>151</v>
      </c>
      <c r="J667" s="20" t="s">
        <v>143</v>
      </c>
      <c r="Q667" s="20">
        <v>15665.0</v>
      </c>
      <c r="R667" s="20" t="s">
        <v>2460</v>
      </c>
      <c r="S667" s="20" t="s">
        <v>2459</v>
      </c>
      <c r="T667" s="20" t="s">
        <v>138</v>
      </c>
    </row>
    <row r="668" ht="14.25" customHeight="1">
      <c r="A668" s="20" t="s">
        <v>2461</v>
      </c>
      <c r="B668" s="20" t="s">
        <v>2462</v>
      </c>
      <c r="C668" s="20" t="s">
        <v>928</v>
      </c>
      <c r="F668" s="20" t="s">
        <v>327</v>
      </c>
      <c r="G668" s="20" t="s">
        <v>328</v>
      </c>
      <c r="I668" s="20" t="s">
        <v>329</v>
      </c>
      <c r="J668" s="20" t="s">
        <v>143</v>
      </c>
      <c r="Q668" s="20">
        <v>13682.0</v>
      </c>
      <c r="R668" s="20" t="s">
        <v>2463</v>
      </c>
      <c r="S668" s="20" t="s">
        <v>2462</v>
      </c>
      <c r="T668" s="20" t="s">
        <v>138</v>
      </c>
    </row>
    <row r="669" ht="14.25" customHeight="1">
      <c r="A669" s="20" t="s">
        <v>2464</v>
      </c>
      <c r="B669" s="20" t="s">
        <v>2465</v>
      </c>
      <c r="C669" s="20" t="s">
        <v>818</v>
      </c>
      <c r="F669" s="20" t="s">
        <v>17</v>
      </c>
      <c r="G669" s="20" t="s">
        <v>17</v>
      </c>
      <c r="I669" s="20" t="s">
        <v>88</v>
      </c>
      <c r="J669" s="20" t="s">
        <v>143</v>
      </c>
      <c r="Q669" s="20">
        <v>9187.0</v>
      </c>
      <c r="R669" s="20" t="s">
        <v>2466</v>
      </c>
      <c r="S669" s="20" t="s">
        <v>2465</v>
      </c>
      <c r="T669" s="20" t="s">
        <v>138</v>
      </c>
    </row>
    <row r="670" ht="14.25" customHeight="1">
      <c r="A670" s="20" t="s">
        <v>2467</v>
      </c>
      <c r="B670" s="20" t="s">
        <v>2468</v>
      </c>
      <c r="C670" s="20" t="s">
        <v>2469</v>
      </c>
      <c r="F670" s="20" t="s">
        <v>327</v>
      </c>
      <c r="G670" s="20" t="s">
        <v>385</v>
      </c>
      <c r="I670" s="20" t="s">
        <v>598</v>
      </c>
      <c r="J670" s="20" t="s">
        <v>143</v>
      </c>
      <c r="Q670" s="20">
        <v>9674.0</v>
      </c>
      <c r="R670" s="20" t="s">
        <v>2470</v>
      </c>
      <c r="S670" s="20" t="s">
        <v>2468</v>
      </c>
      <c r="T670" s="20" t="s">
        <v>138</v>
      </c>
    </row>
    <row r="671" ht="14.25" customHeight="1">
      <c r="A671" s="20" t="s">
        <v>2471</v>
      </c>
      <c r="B671" s="20" t="s">
        <v>2472</v>
      </c>
      <c r="C671" s="20" t="s">
        <v>1190</v>
      </c>
      <c r="F671" s="20" t="s">
        <v>150</v>
      </c>
      <c r="G671" s="20" t="s">
        <v>150</v>
      </c>
      <c r="I671" s="20" t="s">
        <v>151</v>
      </c>
      <c r="J671" s="20" t="s">
        <v>143</v>
      </c>
      <c r="K671" s="20" t="s">
        <v>167</v>
      </c>
      <c r="Q671" s="20">
        <v>426.0</v>
      </c>
      <c r="R671" s="20" t="s">
        <v>2473</v>
      </c>
      <c r="S671" s="20" t="s">
        <v>2472</v>
      </c>
      <c r="T671" s="20" t="s">
        <v>138</v>
      </c>
      <c r="W671" s="20" t="s">
        <v>146</v>
      </c>
    </row>
    <row r="672" ht="14.25" customHeight="1">
      <c r="A672" s="20" t="s">
        <v>2474</v>
      </c>
      <c r="B672" s="20" t="s">
        <v>2475</v>
      </c>
      <c r="C672" s="20" t="s">
        <v>2476</v>
      </c>
      <c r="F672" s="20" t="s">
        <v>17</v>
      </c>
      <c r="G672" s="20" t="s">
        <v>17</v>
      </c>
      <c r="I672" s="20" t="s">
        <v>88</v>
      </c>
      <c r="J672" s="20" t="s">
        <v>143</v>
      </c>
      <c r="Q672" s="20">
        <v>11549.0</v>
      </c>
      <c r="R672" s="20" t="s">
        <v>2477</v>
      </c>
      <c r="S672" s="20" t="s">
        <v>2478</v>
      </c>
      <c r="T672" s="20" t="s">
        <v>138</v>
      </c>
      <c r="W672" s="20" t="s">
        <v>146</v>
      </c>
    </row>
    <row r="673" ht="14.25" customHeight="1">
      <c r="A673" s="20" t="s">
        <v>2479</v>
      </c>
      <c r="B673" s="20" t="s">
        <v>2480</v>
      </c>
      <c r="C673" s="20" t="s">
        <v>680</v>
      </c>
      <c r="F673" s="20" t="s">
        <v>15</v>
      </c>
      <c r="G673" s="20" t="s">
        <v>142</v>
      </c>
      <c r="I673" s="20" t="s">
        <v>105</v>
      </c>
      <c r="J673" s="20" t="s">
        <v>143</v>
      </c>
      <c r="Q673" s="20">
        <v>15460.0</v>
      </c>
      <c r="R673" s="20" t="s">
        <v>2481</v>
      </c>
      <c r="S673" s="20" t="s">
        <v>2480</v>
      </c>
      <c r="T673" s="20" t="s">
        <v>138</v>
      </c>
    </row>
    <row r="674" ht="14.25" customHeight="1">
      <c r="A674" s="20" t="s">
        <v>2482</v>
      </c>
      <c r="B674" s="20" t="s">
        <v>2483</v>
      </c>
      <c r="C674" s="20" t="s">
        <v>149</v>
      </c>
      <c r="F674" s="20" t="s">
        <v>150</v>
      </c>
      <c r="G674" s="20" t="s">
        <v>150</v>
      </c>
      <c r="I674" s="20" t="s">
        <v>151</v>
      </c>
      <c r="J674" s="20" t="s">
        <v>143</v>
      </c>
      <c r="Q674" s="20">
        <v>15728.0</v>
      </c>
      <c r="R674" s="20" t="s">
        <v>2484</v>
      </c>
      <c r="S674" s="20" t="s">
        <v>2483</v>
      </c>
      <c r="T674" s="20" t="s">
        <v>138</v>
      </c>
    </row>
    <row r="675" ht="14.25" customHeight="1">
      <c r="A675" s="20" t="s">
        <v>2485</v>
      </c>
      <c r="B675" s="20" t="s">
        <v>2486</v>
      </c>
      <c r="C675" s="20" t="s">
        <v>193</v>
      </c>
      <c r="F675" s="20" t="s">
        <v>150</v>
      </c>
      <c r="G675" s="20" t="s">
        <v>150</v>
      </c>
      <c r="I675" s="20" t="s">
        <v>151</v>
      </c>
      <c r="J675" s="20" t="s">
        <v>143</v>
      </c>
      <c r="Q675" s="20">
        <v>5616.0</v>
      </c>
      <c r="R675" s="20" t="s">
        <v>2487</v>
      </c>
      <c r="S675" s="20" t="s">
        <v>2486</v>
      </c>
      <c r="T675" s="20" t="s">
        <v>138</v>
      </c>
    </row>
    <row r="676" ht="14.25" customHeight="1">
      <c r="A676" s="20" t="s">
        <v>2488</v>
      </c>
      <c r="B676" s="20" t="s">
        <v>2489</v>
      </c>
      <c r="C676" s="20" t="s">
        <v>2490</v>
      </c>
      <c r="F676" s="20" t="s">
        <v>16</v>
      </c>
      <c r="G676" s="20" t="s">
        <v>638</v>
      </c>
      <c r="H676" s="20">
        <v>17362.0</v>
      </c>
      <c r="I676" s="20" t="s">
        <v>814</v>
      </c>
      <c r="P676" s="20" t="s">
        <v>2489</v>
      </c>
      <c r="Q676" s="20">
        <v>17362.0</v>
      </c>
      <c r="R676" s="20" t="s">
        <v>2491</v>
      </c>
      <c r="S676" s="20" t="s">
        <v>2489</v>
      </c>
      <c r="T676" s="20" t="s">
        <v>138</v>
      </c>
    </row>
    <row r="677" ht="14.25" customHeight="1">
      <c r="A677" s="20" t="s">
        <v>2492</v>
      </c>
      <c r="B677" s="20" t="s">
        <v>2493</v>
      </c>
      <c r="C677" s="20" t="s">
        <v>2494</v>
      </c>
      <c r="F677" s="20" t="s">
        <v>218</v>
      </c>
      <c r="G677" s="20" t="s">
        <v>219</v>
      </c>
      <c r="I677" s="20" t="s">
        <v>365</v>
      </c>
      <c r="J677" s="20" t="s">
        <v>143</v>
      </c>
      <c r="K677" s="20" t="s">
        <v>213</v>
      </c>
      <c r="L677" s="20" t="s">
        <v>365</v>
      </c>
      <c r="Q677" s="20">
        <v>17139.0</v>
      </c>
      <c r="R677" s="20" t="s">
        <v>2495</v>
      </c>
      <c r="S677" s="20" t="s">
        <v>2493</v>
      </c>
      <c r="T677" s="20" t="s">
        <v>138</v>
      </c>
      <c r="V677" s="20" t="s">
        <v>189</v>
      </c>
      <c r="W677" s="20" t="s">
        <v>146</v>
      </c>
    </row>
    <row r="678" ht="14.25" customHeight="1">
      <c r="A678" s="20" t="s">
        <v>2496</v>
      </c>
      <c r="B678" s="20" t="s">
        <v>2497</v>
      </c>
      <c r="C678" s="20" t="s">
        <v>1144</v>
      </c>
      <c r="F678" s="20" t="s">
        <v>150</v>
      </c>
      <c r="G678" s="20" t="s">
        <v>150</v>
      </c>
      <c r="I678" s="20" t="s">
        <v>151</v>
      </c>
      <c r="J678" s="20" t="s">
        <v>186</v>
      </c>
      <c r="Q678" s="20">
        <v>430.0</v>
      </c>
      <c r="R678" s="20" t="s">
        <v>2498</v>
      </c>
      <c r="S678" s="20" t="s">
        <v>2497</v>
      </c>
      <c r="T678" s="20" t="s">
        <v>138</v>
      </c>
    </row>
    <row r="679" ht="14.25" customHeight="1">
      <c r="A679" s="20" t="s">
        <v>2499</v>
      </c>
      <c r="B679" s="20" t="s">
        <v>2500</v>
      </c>
      <c r="C679" s="20" t="s">
        <v>149</v>
      </c>
      <c r="F679" s="20" t="s">
        <v>150</v>
      </c>
      <c r="G679" s="20" t="s">
        <v>150</v>
      </c>
      <c r="I679" s="20" t="s">
        <v>151</v>
      </c>
      <c r="J679" s="20" t="s">
        <v>143</v>
      </c>
      <c r="Q679" s="20">
        <v>16620.0</v>
      </c>
      <c r="R679" s="20" t="s">
        <v>2501</v>
      </c>
      <c r="S679" s="20" t="s">
        <v>2500</v>
      </c>
      <c r="T679" s="20" t="s">
        <v>138</v>
      </c>
    </row>
    <row r="680" ht="14.25" customHeight="1">
      <c r="A680" s="20" t="s">
        <v>2502</v>
      </c>
      <c r="B680" s="20" t="s">
        <v>2503</v>
      </c>
      <c r="C680" s="20" t="s">
        <v>1659</v>
      </c>
      <c r="F680" s="20" t="s">
        <v>15</v>
      </c>
      <c r="G680" s="20" t="s">
        <v>135</v>
      </c>
      <c r="I680" s="20" t="s">
        <v>93</v>
      </c>
      <c r="J680" s="20" t="s">
        <v>143</v>
      </c>
      <c r="K680" s="20" t="s">
        <v>167</v>
      </c>
      <c r="Q680" s="20">
        <v>4290.0</v>
      </c>
      <c r="R680" s="20" t="s">
        <v>2504</v>
      </c>
      <c r="S680" s="20" t="s">
        <v>2503</v>
      </c>
      <c r="T680" s="20" t="s">
        <v>138</v>
      </c>
    </row>
    <row r="681" ht="14.25" customHeight="1">
      <c r="A681" s="20" t="s">
        <v>2505</v>
      </c>
      <c r="B681" s="20" t="s">
        <v>2506</v>
      </c>
      <c r="C681" s="20" t="s">
        <v>174</v>
      </c>
      <c r="F681" s="20" t="s">
        <v>150</v>
      </c>
      <c r="G681" s="20" t="s">
        <v>150</v>
      </c>
      <c r="I681" s="20" t="s">
        <v>151</v>
      </c>
      <c r="J681" s="20" t="s">
        <v>143</v>
      </c>
      <c r="Q681" s="20">
        <v>6970.0</v>
      </c>
      <c r="R681" s="20" t="s">
        <v>2507</v>
      </c>
      <c r="S681" s="20" t="s">
        <v>2506</v>
      </c>
      <c r="T681" s="20" t="s">
        <v>138</v>
      </c>
    </row>
    <row r="682" ht="14.25" customHeight="1">
      <c r="A682" s="20" t="s">
        <v>2508</v>
      </c>
      <c r="B682" s="20" t="s">
        <v>2509</v>
      </c>
      <c r="C682" s="20" t="s">
        <v>149</v>
      </c>
      <c r="F682" s="20" t="s">
        <v>150</v>
      </c>
      <c r="G682" s="20" t="s">
        <v>150</v>
      </c>
      <c r="I682" s="20" t="s">
        <v>151</v>
      </c>
      <c r="J682" s="20" t="s">
        <v>143</v>
      </c>
      <c r="Q682" s="20">
        <v>546.0</v>
      </c>
      <c r="R682" s="20" t="s">
        <v>2510</v>
      </c>
      <c r="S682" s="20" t="s">
        <v>2509</v>
      </c>
      <c r="T682" s="20" t="s">
        <v>138</v>
      </c>
    </row>
    <row r="683" ht="14.25" customHeight="1">
      <c r="A683" s="20" t="s">
        <v>2511</v>
      </c>
      <c r="B683" s="20" t="s">
        <v>2512</v>
      </c>
      <c r="C683" s="20" t="s">
        <v>193</v>
      </c>
      <c r="F683" s="20" t="s">
        <v>150</v>
      </c>
      <c r="G683" s="20" t="s">
        <v>150</v>
      </c>
      <c r="I683" s="20" t="s">
        <v>151</v>
      </c>
      <c r="J683" s="20" t="s">
        <v>143</v>
      </c>
      <c r="Q683" s="20">
        <v>436.0</v>
      </c>
      <c r="R683" s="20" t="s">
        <v>2513</v>
      </c>
      <c r="S683" s="20" t="s">
        <v>2512</v>
      </c>
      <c r="T683" s="20" t="s">
        <v>138</v>
      </c>
    </row>
    <row r="684" ht="14.25" customHeight="1">
      <c r="A684" s="20" t="s">
        <v>2514</v>
      </c>
      <c r="B684" s="20" t="s">
        <v>2515</v>
      </c>
      <c r="C684" s="20" t="s">
        <v>779</v>
      </c>
      <c r="F684" s="20" t="s">
        <v>150</v>
      </c>
      <c r="G684" s="20" t="s">
        <v>150</v>
      </c>
      <c r="I684" s="20" t="s">
        <v>151</v>
      </c>
      <c r="J684" s="20" t="s">
        <v>143</v>
      </c>
      <c r="Q684" s="20">
        <v>5625.0</v>
      </c>
      <c r="R684" s="20" t="s">
        <v>2516</v>
      </c>
      <c r="S684" s="20" t="s">
        <v>2515</v>
      </c>
      <c r="T684" s="20" t="s">
        <v>138</v>
      </c>
    </row>
    <row r="685" ht="14.25" customHeight="1">
      <c r="A685" s="20" t="s">
        <v>2517</v>
      </c>
      <c r="B685" s="20" t="s">
        <v>2518</v>
      </c>
      <c r="C685" s="20" t="s">
        <v>178</v>
      </c>
      <c r="F685" s="20" t="s">
        <v>150</v>
      </c>
      <c r="G685" s="20" t="s">
        <v>150</v>
      </c>
      <c r="I685" s="20" t="s">
        <v>151</v>
      </c>
      <c r="J685" s="20" t="s">
        <v>143</v>
      </c>
      <c r="Q685" s="20">
        <v>13980.0</v>
      </c>
      <c r="R685" s="20" t="s">
        <v>2519</v>
      </c>
      <c r="S685" s="20" t="s">
        <v>2518</v>
      </c>
      <c r="T685" s="20" t="s">
        <v>138</v>
      </c>
    </row>
    <row r="686" ht="14.25" customHeight="1">
      <c r="A686" s="20" t="s">
        <v>2520</v>
      </c>
      <c r="B686" s="20" t="s">
        <v>2521</v>
      </c>
      <c r="C686" s="20" t="s">
        <v>197</v>
      </c>
      <c r="F686" s="20" t="s">
        <v>150</v>
      </c>
      <c r="G686" s="20" t="s">
        <v>150</v>
      </c>
      <c r="I686" s="20" t="s">
        <v>151</v>
      </c>
      <c r="J686" s="20" t="s">
        <v>143</v>
      </c>
      <c r="Q686" s="20">
        <v>11651.0</v>
      </c>
      <c r="R686" s="20" t="s">
        <v>2522</v>
      </c>
      <c r="S686" s="20" t="s">
        <v>2521</v>
      </c>
      <c r="T686" s="20" t="s">
        <v>138</v>
      </c>
    </row>
    <row r="687" ht="14.25" customHeight="1">
      <c r="A687" s="20" t="s">
        <v>2523</v>
      </c>
      <c r="B687" s="20" t="s">
        <v>2524</v>
      </c>
      <c r="C687" s="20" t="s">
        <v>446</v>
      </c>
      <c r="F687" s="20" t="s">
        <v>16</v>
      </c>
      <c r="G687" s="20" t="s">
        <v>202</v>
      </c>
      <c r="I687" s="20" t="s">
        <v>87</v>
      </c>
      <c r="J687" s="20" t="s">
        <v>136</v>
      </c>
      <c r="Q687" s="20">
        <v>14252.0</v>
      </c>
      <c r="R687" s="20" t="s">
        <v>2525</v>
      </c>
      <c r="S687" s="20" t="s">
        <v>2524</v>
      </c>
      <c r="T687" s="20" t="s">
        <v>138</v>
      </c>
      <c r="W687" s="20" t="s">
        <v>136</v>
      </c>
    </row>
    <row r="688" ht="14.25" customHeight="1">
      <c r="A688" s="20" t="s">
        <v>2526</v>
      </c>
      <c r="B688" s="20" t="s">
        <v>2527</v>
      </c>
      <c r="C688" s="20" t="s">
        <v>2528</v>
      </c>
      <c r="F688" s="20" t="s">
        <v>16</v>
      </c>
      <c r="G688" s="20" t="s">
        <v>638</v>
      </c>
      <c r="H688" s="20">
        <v>5893.0</v>
      </c>
      <c r="I688" s="20" t="s">
        <v>1582</v>
      </c>
      <c r="J688" s="20" t="s">
        <v>143</v>
      </c>
      <c r="K688" s="20" t="s">
        <v>187</v>
      </c>
      <c r="L688" s="20" t="s">
        <v>1582</v>
      </c>
      <c r="Q688" s="20">
        <v>5893.0</v>
      </c>
      <c r="R688" s="20" t="s">
        <v>2529</v>
      </c>
      <c r="S688" s="20" t="s">
        <v>2527</v>
      </c>
      <c r="T688" s="20" t="s">
        <v>138</v>
      </c>
      <c r="U688" s="24">
        <v>44641.0</v>
      </c>
      <c r="V688" s="20" t="s">
        <v>260</v>
      </c>
      <c r="W688" s="20" t="s">
        <v>146</v>
      </c>
    </row>
    <row r="689" ht="14.25" customHeight="1">
      <c r="A689" s="20" t="s">
        <v>2530</v>
      </c>
      <c r="B689" s="20" t="s">
        <v>2531</v>
      </c>
      <c r="C689" s="20" t="s">
        <v>1318</v>
      </c>
      <c r="F689" s="20" t="s">
        <v>218</v>
      </c>
      <c r="G689" s="20" t="s">
        <v>219</v>
      </c>
      <c r="I689" s="20" t="s">
        <v>314</v>
      </c>
      <c r="J689" s="20" t="s">
        <v>186</v>
      </c>
      <c r="Q689" s="20">
        <v>11443.0</v>
      </c>
      <c r="R689" s="20" t="s">
        <v>2532</v>
      </c>
      <c r="S689" s="20" t="s">
        <v>2531</v>
      </c>
      <c r="T689" s="20" t="s">
        <v>138</v>
      </c>
    </row>
    <row r="690" ht="14.25" customHeight="1">
      <c r="A690" s="20" t="s">
        <v>2533</v>
      </c>
      <c r="B690" s="20" t="s">
        <v>2534</v>
      </c>
      <c r="C690" s="20" t="s">
        <v>694</v>
      </c>
      <c r="F690" s="20" t="s">
        <v>16</v>
      </c>
      <c r="G690" s="20" t="s">
        <v>202</v>
      </c>
      <c r="I690" s="20" t="s">
        <v>87</v>
      </c>
      <c r="J690" s="20" t="s">
        <v>143</v>
      </c>
      <c r="Q690" s="20">
        <v>16226.0</v>
      </c>
      <c r="R690" s="20" t="s">
        <v>2535</v>
      </c>
      <c r="S690" s="20" t="s">
        <v>2534</v>
      </c>
      <c r="T690" s="20" t="s">
        <v>138</v>
      </c>
    </row>
    <row r="691" ht="14.25" customHeight="1">
      <c r="A691" s="20" t="s">
        <v>2536</v>
      </c>
      <c r="B691" s="20" t="s">
        <v>2537</v>
      </c>
      <c r="C691" s="20" t="s">
        <v>2538</v>
      </c>
      <c r="F691" s="20" t="s">
        <v>15</v>
      </c>
      <c r="G691" s="20" t="s">
        <v>135</v>
      </c>
      <c r="I691" s="20" t="s">
        <v>100</v>
      </c>
      <c r="J691" s="20" t="s">
        <v>186</v>
      </c>
      <c r="Q691" s="20">
        <v>440.0</v>
      </c>
      <c r="R691" s="20" t="s">
        <v>2539</v>
      </c>
      <c r="S691" s="20" t="s">
        <v>2540</v>
      </c>
      <c r="T691" s="20" t="s">
        <v>138</v>
      </c>
    </row>
    <row r="692" ht="14.25" customHeight="1">
      <c r="A692" s="20" t="s">
        <v>2541</v>
      </c>
      <c r="B692" s="20" t="s">
        <v>2542</v>
      </c>
      <c r="C692" s="20" t="s">
        <v>1416</v>
      </c>
      <c r="F692" s="20" t="s">
        <v>17</v>
      </c>
      <c r="G692" s="20" t="s">
        <v>17</v>
      </c>
      <c r="I692" s="20" t="s">
        <v>88</v>
      </c>
      <c r="J692" s="20" t="s">
        <v>143</v>
      </c>
      <c r="K692" s="20" t="s">
        <v>213</v>
      </c>
      <c r="Q692" s="20">
        <v>445.0</v>
      </c>
      <c r="R692" s="20" t="s">
        <v>2543</v>
      </c>
      <c r="S692" s="20" t="s">
        <v>2542</v>
      </c>
      <c r="T692" s="20" t="s">
        <v>138</v>
      </c>
      <c r="W692" s="20" t="s">
        <v>146</v>
      </c>
    </row>
    <row r="693" ht="14.25" customHeight="1">
      <c r="A693" s="20" t="s">
        <v>2544</v>
      </c>
      <c r="B693" s="20" t="s">
        <v>2545</v>
      </c>
      <c r="C693" s="20" t="s">
        <v>786</v>
      </c>
      <c r="F693" s="20" t="s">
        <v>16</v>
      </c>
      <c r="G693" s="20" t="s">
        <v>202</v>
      </c>
      <c r="I693" s="20" t="s">
        <v>203</v>
      </c>
      <c r="J693" s="20" t="s">
        <v>143</v>
      </c>
      <c r="K693" s="20" t="s">
        <v>167</v>
      </c>
      <c r="Q693" s="20">
        <v>4615.0</v>
      </c>
      <c r="R693" s="20" t="s">
        <v>2546</v>
      </c>
      <c r="S693" s="20" t="s">
        <v>2545</v>
      </c>
      <c r="T693" s="20" t="s">
        <v>138</v>
      </c>
    </row>
    <row r="694" ht="14.25" customHeight="1">
      <c r="A694" s="20" t="s">
        <v>2547</v>
      </c>
      <c r="B694" s="20" t="s">
        <v>2548</v>
      </c>
      <c r="C694" s="20" t="s">
        <v>174</v>
      </c>
      <c r="F694" s="20" t="s">
        <v>150</v>
      </c>
      <c r="G694" s="20" t="s">
        <v>150</v>
      </c>
      <c r="I694" s="20" t="s">
        <v>151</v>
      </c>
      <c r="J694" s="20" t="s">
        <v>143</v>
      </c>
      <c r="Q694" s="20">
        <v>14411.0</v>
      </c>
      <c r="R694" s="20" t="s">
        <v>2549</v>
      </c>
      <c r="S694" s="20" t="s">
        <v>2548</v>
      </c>
      <c r="T694" s="20" t="s">
        <v>138</v>
      </c>
    </row>
    <row r="695" ht="14.25" customHeight="1">
      <c r="A695" s="20" t="s">
        <v>2550</v>
      </c>
      <c r="B695" s="20" t="s">
        <v>2551</v>
      </c>
      <c r="C695" s="20" t="s">
        <v>159</v>
      </c>
      <c r="F695" s="20" t="s">
        <v>150</v>
      </c>
      <c r="G695" s="20" t="s">
        <v>150</v>
      </c>
      <c r="I695" s="20" t="s">
        <v>151</v>
      </c>
      <c r="J695" s="20" t="s">
        <v>143</v>
      </c>
      <c r="Q695" s="20">
        <v>351.0</v>
      </c>
      <c r="R695" s="20" t="s">
        <v>2552</v>
      </c>
      <c r="S695" s="20" t="s">
        <v>2551</v>
      </c>
      <c r="T695" s="20" t="s">
        <v>138</v>
      </c>
    </row>
    <row r="696" ht="14.25" customHeight="1">
      <c r="A696" s="20" t="s">
        <v>2553</v>
      </c>
      <c r="B696" s="20" t="s">
        <v>2554</v>
      </c>
      <c r="C696" s="20" t="s">
        <v>2555</v>
      </c>
      <c r="F696" s="20" t="s">
        <v>17</v>
      </c>
      <c r="G696" s="20" t="s">
        <v>17</v>
      </c>
      <c r="I696" s="20" t="s">
        <v>88</v>
      </c>
      <c r="J696" s="20" t="s">
        <v>143</v>
      </c>
      <c r="K696" s="20" t="s">
        <v>213</v>
      </c>
      <c r="Q696" s="20">
        <v>447.0</v>
      </c>
      <c r="R696" s="20" t="s">
        <v>2556</v>
      </c>
      <c r="S696" s="20" t="s">
        <v>2554</v>
      </c>
      <c r="T696" s="20" t="s">
        <v>138</v>
      </c>
      <c r="V696" s="20" t="s">
        <v>260</v>
      </c>
      <c r="W696" s="20" t="s">
        <v>146</v>
      </c>
    </row>
    <row r="697" ht="14.25" customHeight="1">
      <c r="A697" s="20" t="s">
        <v>2557</v>
      </c>
      <c r="B697" s="20" t="s">
        <v>2558</v>
      </c>
      <c r="C697" s="20" t="s">
        <v>193</v>
      </c>
      <c r="F697" s="20" t="s">
        <v>150</v>
      </c>
      <c r="G697" s="20" t="s">
        <v>150</v>
      </c>
      <c r="I697" s="20" t="s">
        <v>151</v>
      </c>
      <c r="J697" s="20" t="s">
        <v>143</v>
      </c>
      <c r="Q697" s="20">
        <v>449.0</v>
      </c>
      <c r="R697" s="20" t="s">
        <v>2559</v>
      </c>
      <c r="S697" s="20" t="s">
        <v>2558</v>
      </c>
      <c r="T697" s="20" t="s">
        <v>138</v>
      </c>
    </row>
    <row r="698" ht="14.25" customHeight="1">
      <c r="A698" s="20" t="s">
        <v>2560</v>
      </c>
      <c r="B698" s="20" t="s">
        <v>2561</v>
      </c>
      <c r="C698" s="20" t="s">
        <v>874</v>
      </c>
      <c r="F698" s="20" t="s">
        <v>327</v>
      </c>
      <c r="G698" s="20" t="s">
        <v>385</v>
      </c>
      <c r="I698" s="20" t="s">
        <v>875</v>
      </c>
      <c r="J698" s="20" t="s">
        <v>143</v>
      </c>
      <c r="Q698" s="20">
        <v>16214.0</v>
      </c>
      <c r="R698" s="20" t="s">
        <v>2562</v>
      </c>
      <c r="S698" s="20" t="s">
        <v>2561</v>
      </c>
      <c r="T698" s="20" t="s">
        <v>138</v>
      </c>
    </row>
    <row r="699" ht="14.25" customHeight="1">
      <c r="A699" s="20" t="s">
        <v>2563</v>
      </c>
      <c r="B699" s="20" t="s">
        <v>2564</v>
      </c>
      <c r="C699" s="20" t="s">
        <v>2565</v>
      </c>
      <c r="F699" s="20" t="s">
        <v>327</v>
      </c>
      <c r="G699" s="20" t="s">
        <v>385</v>
      </c>
      <c r="I699" s="20" t="s">
        <v>598</v>
      </c>
      <c r="J699" s="20" t="s">
        <v>143</v>
      </c>
      <c r="Q699" s="20">
        <v>16642.0</v>
      </c>
      <c r="R699" s="20" t="s">
        <v>2566</v>
      </c>
      <c r="S699" s="20" t="s">
        <v>2564</v>
      </c>
      <c r="T699" s="20" t="s">
        <v>138</v>
      </c>
    </row>
    <row r="700" ht="14.25" customHeight="1">
      <c r="A700" s="20" t="s">
        <v>2567</v>
      </c>
      <c r="B700" s="20" t="s">
        <v>2568</v>
      </c>
      <c r="C700" s="20" t="s">
        <v>163</v>
      </c>
      <c r="F700" s="20" t="s">
        <v>150</v>
      </c>
      <c r="G700" s="20" t="s">
        <v>150</v>
      </c>
      <c r="I700" s="20" t="s">
        <v>151</v>
      </c>
      <c r="J700" s="20" t="s">
        <v>143</v>
      </c>
      <c r="Q700" s="20">
        <v>16088.0</v>
      </c>
      <c r="R700" s="20" t="s">
        <v>2569</v>
      </c>
      <c r="S700" s="20" t="s">
        <v>2570</v>
      </c>
      <c r="T700" s="20" t="s">
        <v>138</v>
      </c>
    </row>
    <row r="701" ht="14.25" customHeight="1">
      <c r="A701" s="20" t="s">
        <v>2571</v>
      </c>
      <c r="B701" s="20" t="s">
        <v>2572</v>
      </c>
      <c r="C701" s="20" t="s">
        <v>163</v>
      </c>
      <c r="F701" s="20" t="s">
        <v>150</v>
      </c>
      <c r="G701" s="20" t="s">
        <v>150</v>
      </c>
      <c r="I701" s="20" t="s">
        <v>151</v>
      </c>
      <c r="J701" s="20" t="s">
        <v>143</v>
      </c>
      <c r="Q701" s="20">
        <v>13595.0</v>
      </c>
      <c r="R701" s="20" t="s">
        <v>2573</v>
      </c>
      <c r="S701" s="20" t="s">
        <v>2572</v>
      </c>
      <c r="T701" s="20" t="s">
        <v>138</v>
      </c>
    </row>
    <row r="702" ht="14.25" customHeight="1">
      <c r="A702" s="20" t="s">
        <v>2574</v>
      </c>
      <c r="B702" s="20" t="s">
        <v>2575</v>
      </c>
      <c r="C702" s="20" t="s">
        <v>486</v>
      </c>
      <c r="F702" s="20" t="s">
        <v>327</v>
      </c>
      <c r="G702" s="20" t="s">
        <v>385</v>
      </c>
      <c r="I702" s="20" t="s">
        <v>2350</v>
      </c>
      <c r="J702" s="20" t="s">
        <v>136</v>
      </c>
      <c r="Q702" s="20">
        <v>5720.0</v>
      </c>
      <c r="R702" s="20" t="s">
        <v>2576</v>
      </c>
      <c r="S702" s="20" t="s">
        <v>2575</v>
      </c>
      <c r="T702" s="20" t="s">
        <v>138</v>
      </c>
      <c r="W702" s="20" t="s">
        <v>136</v>
      </c>
    </row>
    <row r="703" ht="14.25" customHeight="1">
      <c r="A703" s="20" t="s">
        <v>2577</v>
      </c>
      <c r="B703" s="20" t="s">
        <v>2578</v>
      </c>
      <c r="C703" s="20" t="s">
        <v>178</v>
      </c>
      <c r="F703" s="20" t="s">
        <v>150</v>
      </c>
      <c r="G703" s="20" t="s">
        <v>150</v>
      </c>
      <c r="I703" s="20" t="s">
        <v>151</v>
      </c>
      <c r="J703" s="20" t="s">
        <v>143</v>
      </c>
      <c r="Q703" s="20">
        <v>9881.0</v>
      </c>
      <c r="R703" s="20" t="s">
        <v>2579</v>
      </c>
      <c r="S703" s="20" t="s">
        <v>2578</v>
      </c>
      <c r="T703" s="20" t="s">
        <v>138</v>
      </c>
    </row>
    <row r="704" ht="14.25" customHeight="1">
      <c r="A704" s="20" t="s">
        <v>2580</v>
      </c>
      <c r="B704" s="20" t="s">
        <v>2581</v>
      </c>
      <c r="C704" s="20" t="s">
        <v>818</v>
      </c>
      <c r="F704" s="20" t="s">
        <v>17</v>
      </c>
      <c r="G704" s="20" t="s">
        <v>17</v>
      </c>
      <c r="I704" s="20" t="s">
        <v>88</v>
      </c>
      <c r="J704" s="20" t="s">
        <v>143</v>
      </c>
      <c r="K704" s="20" t="s">
        <v>167</v>
      </c>
      <c r="Q704" s="20">
        <v>2302.0</v>
      </c>
      <c r="R704" s="20" t="s">
        <v>2582</v>
      </c>
      <c r="S704" s="20" t="s">
        <v>2581</v>
      </c>
      <c r="T704" s="20" t="s">
        <v>138</v>
      </c>
    </row>
    <row r="705" ht="14.25" customHeight="1">
      <c r="A705" s="20" t="s">
        <v>2583</v>
      </c>
      <c r="B705" s="20" t="s">
        <v>2584</v>
      </c>
      <c r="C705" s="20" t="s">
        <v>178</v>
      </c>
      <c r="F705" s="20" t="s">
        <v>150</v>
      </c>
      <c r="G705" s="20" t="s">
        <v>150</v>
      </c>
      <c r="I705" s="20" t="s">
        <v>151</v>
      </c>
      <c r="J705" s="20" t="s">
        <v>143</v>
      </c>
      <c r="Q705" s="20">
        <v>4777.0</v>
      </c>
      <c r="R705" s="20" t="s">
        <v>2585</v>
      </c>
      <c r="S705" s="20" t="s">
        <v>2584</v>
      </c>
      <c r="T705" s="20" t="s">
        <v>138</v>
      </c>
    </row>
    <row r="706" ht="14.25" customHeight="1">
      <c r="A706" s="20" t="s">
        <v>2586</v>
      </c>
      <c r="B706" s="20" t="s">
        <v>2587</v>
      </c>
      <c r="C706" s="20" t="s">
        <v>174</v>
      </c>
      <c r="F706" s="20" t="s">
        <v>150</v>
      </c>
      <c r="G706" s="20" t="s">
        <v>150</v>
      </c>
      <c r="I706" s="20" t="s">
        <v>151</v>
      </c>
      <c r="J706" s="20" t="s">
        <v>143</v>
      </c>
      <c r="Q706" s="20">
        <v>2685.0</v>
      </c>
      <c r="R706" s="20" t="s">
        <v>2588</v>
      </c>
      <c r="S706" s="20" t="s">
        <v>2587</v>
      </c>
      <c r="T706" s="20" t="s">
        <v>138</v>
      </c>
    </row>
    <row r="707" ht="14.25" customHeight="1">
      <c r="A707" s="20" t="s">
        <v>2589</v>
      </c>
      <c r="B707" s="20" t="s">
        <v>2590</v>
      </c>
      <c r="C707" s="20" t="s">
        <v>174</v>
      </c>
      <c r="F707" s="20" t="s">
        <v>150</v>
      </c>
      <c r="G707" s="20" t="s">
        <v>150</v>
      </c>
      <c r="I707" s="20" t="s">
        <v>151</v>
      </c>
      <c r="J707" s="20" t="s">
        <v>143</v>
      </c>
      <c r="K707" s="20" t="s">
        <v>167</v>
      </c>
      <c r="Q707" s="20">
        <v>446.0</v>
      </c>
      <c r="R707" s="20" t="s">
        <v>2591</v>
      </c>
      <c r="S707" s="20" t="s">
        <v>2590</v>
      </c>
      <c r="T707" s="20" t="s">
        <v>138</v>
      </c>
      <c r="V707" s="20" t="s">
        <v>260</v>
      </c>
    </row>
    <row r="708" ht="14.25" customHeight="1">
      <c r="A708" s="20" t="s">
        <v>2592</v>
      </c>
      <c r="B708" s="20" t="s">
        <v>2593</v>
      </c>
      <c r="C708" s="20" t="s">
        <v>446</v>
      </c>
      <c r="F708" s="20" t="s">
        <v>16</v>
      </c>
      <c r="G708" s="20" t="s">
        <v>202</v>
      </c>
      <c r="I708" s="20" t="s">
        <v>87</v>
      </c>
      <c r="J708" s="20" t="s">
        <v>186</v>
      </c>
      <c r="K708" s="20" t="s">
        <v>213</v>
      </c>
      <c r="Q708" s="20">
        <v>459.0</v>
      </c>
      <c r="R708" s="20" t="s">
        <v>2594</v>
      </c>
      <c r="S708" s="20" t="s">
        <v>2593</v>
      </c>
      <c r="T708" s="20" t="s">
        <v>138</v>
      </c>
      <c r="V708" s="20" t="s">
        <v>189</v>
      </c>
      <c r="W708" s="20" t="s">
        <v>146</v>
      </c>
    </row>
    <row r="709" ht="14.25" customHeight="1">
      <c r="A709" s="20" t="s">
        <v>2595</v>
      </c>
      <c r="B709" s="20" t="s">
        <v>2596</v>
      </c>
      <c r="C709" s="20" t="s">
        <v>2597</v>
      </c>
      <c r="F709" s="20" t="s">
        <v>16</v>
      </c>
      <c r="G709" s="20" t="s">
        <v>638</v>
      </c>
      <c r="I709" s="20" t="s">
        <v>1077</v>
      </c>
      <c r="J709" s="20" t="s">
        <v>143</v>
      </c>
      <c r="K709" s="20" t="s">
        <v>213</v>
      </c>
      <c r="Q709" s="20">
        <v>15813.0</v>
      </c>
      <c r="R709" s="20" t="s">
        <v>2598</v>
      </c>
      <c r="S709" s="20" t="s">
        <v>2599</v>
      </c>
      <c r="T709" s="20" t="s">
        <v>138</v>
      </c>
      <c r="V709" s="20" t="s">
        <v>189</v>
      </c>
      <c r="W709" s="20" t="s">
        <v>146</v>
      </c>
    </row>
    <row r="710" ht="14.25" customHeight="1">
      <c r="A710" s="20" t="s">
        <v>2600</v>
      </c>
      <c r="B710" s="20" t="s">
        <v>2601</v>
      </c>
      <c r="C710" s="20" t="s">
        <v>289</v>
      </c>
      <c r="F710" s="20" t="s">
        <v>150</v>
      </c>
      <c r="G710" s="20" t="s">
        <v>150</v>
      </c>
      <c r="H710" s="20">
        <v>17339.0</v>
      </c>
      <c r="I710" s="20" t="s">
        <v>151</v>
      </c>
      <c r="J710" s="20" t="s">
        <v>143</v>
      </c>
      <c r="Q710" s="20">
        <v>17339.0</v>
      </c>
      <c r="R710" s="20" t="s">
        <v>2602</v>
      </c>
      <c r="S710" s="20" t="s">
        <v>2603</v>
      </c>
      <c r="T710" s="20" t="s">
        <v>138</v>
      </c>
    </row>
    <row r="711" ht="14.25" customHeight="1">
      <c r="A711" s="20" t="s">
        <v>2604</v>
      </c>
      <c r="B711" s="20" t="s">
        <v>2605</v>
      </c>
      <c r="C711" s="20" t="s">
        <v>2606</v>
      </c>
      <c r="F711" s="20" t="s">
        <v>17</v>
      </c>
      <c r="G711" s="20" t="s">
        <v>17</v>
      </c>
      <c r="I711" s="20" t="s">
        <v>88</v>
      </c>
      <c r="J711" s="20" t="s">
        <v>143</v>
      </c>
      <c r="Q711" s="20">
        <v>2125.0</v>
      </c>
      <c r="R711" s="20" t="s">
        <v>2607</v>
      </c>
      <c r="S711" s="20" t="s">
        <v>2605</v>
      </c>
      <c r="T711" s="20" t="s">
        <v>138</v>
      </c>
      <c r="V711" s="20" t="s">
        <v>260</v>
      </c>
      <c r="W711" s="20" t="s">
        <v>146</v>
      </c>
    </row>
    <row r="712" ht="14.25" customHeight="1">
      <c r="A712" s="20" t="s">
        <v>2608</v>
      </c>
      <c r="B712" s="20" t="s">
        <v>2609</v>
      </c>
      <c r="C712" s="20" t="s">
        <v>1255</v>
      </c>
      <c r="F712" s="20" t="s">
        <v>17</v>
      </c>
      <c r="G712" s="20" t="s">
        <v>17</v>
      </c>
      <c r="I712" s="20" t="s">
        <v>88</v>
      </c>
      <c r="J712" s="20" t="s">
        <v>186</v>
      </c>
      <c r="K712" s="20" t="s">
        <v>187</v>
      </c>
      <c r="L712" s="20" t="s">
        <v>88</v>
      </c>
      <c r="O712" s="20" t="s">
        <v>144</v>
      </c>
      <c r="Q712" s="20">
        <v>8869.0</v>
      </c>
      <c r="R712" s="20" t="s">
        <v>2610</v>
      </c>
      <c r="S712" s="20" t="s">
        <v>2609</v>
      </c>
      <c r="T712" s="20" t="s">
        <v>138</v>
      </c>
      <c r="V712" s="20" t="s">
        <v>189</v>
      </c>
      <c r="W712" s="20" t="s">
        <v>261</v>
      </c>
    </row>
    <row r="713" ht="14.25" customHeight="1">
      <c r="A713" s="20" t="s">
        <v>2611</v>
      </c>
      <c r="B713" s="20" t="s">
        <v>2612</v>
      </c>
      <c r="C713" s="20" t="s">
        <v>2613</v>
      </c>
      <c r="W713" s="20" t="s">
        <v>146</v>
      </c>
    </row>
    <row r="714" ht="14.25" customHeight="1">
      <c r="A714" s="20" t="s">
        <v>2614</v>
      </c>
      <c r="B714" s="20" t="s">
        <v>2615</v>
      </c>
      <c r="C714" s="20" t="s">
        <v>2043</v>
      </c>
      <c r="F714" s="20" t="s">
        <v>218</v>
      </c>
      <c r="G714" s="20" t="s">
        <v>219</v>
      </c>
      <c r="I714" s="20" t="s">
        <v>360</v>
      </c>
      <c r="J714" s="20" t="s">
        <v>143</v>
      </c>
      <c r="Q714" s="20">
        <v>1757.0</v>
      </c>
      <c r="R714" s="20" t="s">
        <v>2616</v>
      </c>
      <c r="S714" s="20" t="s">
        <v>2615</v>
      </c>
      <c r="T714" s="20" t="s">
        <v>138</v>
      </c>
    </row>
    <row r="715" ht="14.25" customHeight="1">
      <c r="A715" s="20" t="s">
        <v>2617</v>
      </c>
      <c r="B715" s="20" t="s">
        <v>2618</v>
      </c>
      <c r="C715" s="20" t="s">
        <v>1663</v>
      </c>
      <c r="F715" s="20" t="s">
        <v>218</v>
      </c>
      <c r="G715" s="20" t="s">
        <v>219</v>
      </c>
      <c r="I715" s="20" t="s">
        <v>1664</v>
      </c>
      <c r="J715" s="20" t="s">
        <v>136</v>
      </c>
      <c r="Q715" s="20">
        <v>15340.0</v>
      </c>
      <c r="R715" s="20" t="s">
        <v>2619</v>
      </c>
      <c r="S715" s="20" t="s">
        <v>2618</v>
      </c>
      <c r="T715" s="20" t="s">
        <v>138</v>
      </c>
    </row>
    <row r="716" ht="14.25" customHeight="1">
      <c r="A716" s="20" t="s">
        <v>2620</v>
      </c>
      <c r="B716" s="20" t="s">
        <v>2621</v>
      </c>
      <c r="C716" s="20" t="s">
        <v>801</v>
      </c>
      <c r="F716" s="20" t="s">
        <v>218</v>
      </c>
      <c r="G716" s="20" t="s">
        <v>219</v>
      </c>
      <c r="I716" s="20" t="s">
        <v>802</v>
      </c>
      <c r="J716" s="20" t="s">
        <v>136</v>
      </c>
      <c r="Q716" s="20">
        <v>15347.0</v>
      </c>
      <c r="R716" s="20" t="s">
        <v>2622</v>
      </c>
      <c r="S716" s="20" t="s">
        <v>2621</v>
      </c>
      <c r="T716" s="20" t="s">
        <v>138</v>
      </c>
      <c r="W716" s="20" t="s">
        <v>136</v>
      </c>
    </row>
    <row r="717" ht="14.25" customHeight="1">
      <c r="A717" s="20" t="s">
        <v>2623</v>
      </c>
      <c r="B717" s="20" t="s">
        <v>2624</v>
      </c>
      <c r="C717" s="20" t="s">
        <v>2625</v>
      </c>
      <c r="F717" s="20" t="s">
        <v>327</v>
      </c>
      <c r="G717" s="20" t="s">
        <v>395</v>
      </c>
      <c r="I717" s="20" t="s">
        <v>1104</v>
      </c>
      <c r="J717" s="20" t="s">
        <v>136</v>
      </c>
      <c r="Q717" s="20">
        <v>3902.0</v>
      </c>
      <c r="R717" s="20" t="s">
        <v>2626</v>
      </c>
      <c r="S717" s="20" t="s">
        <v>2624</v>
      </c>
      <c r="T717" s="20" t="s">
        <v>138</v>
      </c>
      <c r="W717" s="20" t="s">
        <v>372</v>
      </c>
    </row>
    <row r="718" ht="14.25" customHeight="1">
      <c r="A718" s="20" t="s">
        <v>2627</v>
      </c>
      <c r="B718" s="20" t="s">
        <v>2628</v>
      </c>
      <c r="C718" s="20" t="s">
        <v>2043</v>
      </c>
      <c r="F718" s="20" t="s">
        <v>218</v>
      </c>
      <c r="G718" s="20" t="s">
        <v>219</v>
      </c>
      <c r="I718" s="20" t="s">
        <v>360</v>
      </c>
      <c r="J718" s="20" t="s">
        <v>136</v>
      </c>
      <c r="Q718" s="20">
        <v>15334.0</v>
      </c>
      <c r="R718" s="20" t="s">
        <v>2629</v>
      </c>
      <c r="S718" s="20" t="s">
        <v>2628</v>
      </c>
      <c r="T718" s="20" t="s">
        <v>138</v>
      </c>
    </row>
    <row r="719" ht="14.25" customHeight="1">
      <c r="A719" s="20" t="s">
        <v>2630</v>
      </c>
      <c r="B719" s="20" t="s">
        <v>2631</v>
      </c>
      <c r="C719" s="20" t="s">
        <v>2043</v>
      </c>
      <c r="F719" s="20" t="s">
        <v>218</v>
      </c>
      <c r="G719" s="20" t="s">
        <v>219</v>
      </c>
      <c r="I719" s="20" t="s">
        <v>360</v>
      </c>
      <c r="J719" s="20" t="s">
        <v>136</v>
      </c>
      <c r="Q719" s="20">
        <v>15341.0</v>
      </c>
      <c r="R719" s="20" t="s">
        <v>2632</v>
      </c>
      <c r="S719" s="20" t="s">
        <v>2631</v>
      </c>
      <c r="T719" s="20" t="s">
        <v>138</v>
      </c>
    </row>
    <row r="720" ht="14.25" customHeight="1">
      <c r="A720" s="20" t="s">
        <v>2633</v>
      </c>
      <c r="B720" s="20" t="s">
        <v>2634</v>
      </c>
      <c r="C720" s="20" t="s">
        <v>369</v>
      </c>
      <c r="F720" s="20" t="s">
        <v>218</v>
      </c>
      <c r="G720" s="20" t="s">
        <v>219</v>
      </c>
      <c r="I720" s="20" t="s">
        <v>370</v>
      </c>
      <c r="J720" s="20" t="s">
        <v>136</v>
      </c>
      <c r="Q720" s="20">
        <v>6049.0</v>
      </c>
      <c r="R720" s="20" t="s">
        <v>2635</v>
      </c>
      <c r="S720" s="20" t="s">
        <v>2634</v>
      </c>
      <c r="T720" s="20" t="s">
        <v>138</v>
      </c>
      <c r="W720" s="20" t="s">
        <v>372</v>
      </c>
    </row>
    <row r="721" ht="14.25" customHeight="1">
      <c r="A721" s="20" t="s">
        <v>2636</v>
      </c>
      <c r="B721" s="20" t="s">
        <v>2637</v>
      </c>
      <c r="C721" s="20" t="s">
        <v>2638</v>
      </c>
      <c r="F721" s="20" t="s">
        <v>16</v>
      </c>
      <c r="G721" s="20" t="s">
        <v>638</v>
      </c>
      <c r="H721" s="20">
        <v>15741.0</v>
      </c>
      <c r="I721" s="20" t="s">
        <v>814</v>
      </c>
      <c r="J721" s="20" t="s">
        <v>136</v>
      </c>
      <c r="L721" s="20" t="s">
        <v>814</v>
      </c>
      <c r="Q721" s="20">
        <v>15741.0</v>
      </c>
      <c r="R721" s="20" t="s">
        <v>2639</v>
      </c>
      <c r="S721" s="20" t="s">
        <v>2640</v>
      </c>
      <c r="T721" s="20" t="s">
        <v>138</v>
      </c>
      <c r="U721" s="24">
        <v>44700.0</v>
      </c>
      <c r="W721" s="20" t="s">
        <v>136</v>
      </c>
    </row>
    <row r="722" ht="14.25" customHeight="1">
      <c r="A722" s="20" t="s">
        <v>2641</v>
      </c>
      <c r="B722" s="20" t="s">
        <v>2642</v>
      </c>
      <c r="C722" s="20" t="s">
        <v>159</v>
      </c>
      <c r="F722" s="20" t="s">
        <v>150</v>
      </c>
      <c r="G722" s="20" t="s">
        <v>150</v>
      </c>
      <c r="I722" s="20" t="s">
        <v>151</v>
      </c>
      <c r="J722" s="20" t="s">
        <v>143</v>
      </c>
      <c r="Q722" s="20">
        <v>6717.0</v>
      </c>
      <c r="R722" s="20" t="s">
        <v>2643</v>
      </c>
      <c r="S722" s="20" t="s">
        <v>2642</v>
      </c>
      <c r="T722" s="20" t="s">
        <v>138</v>
      </c>
    </row>
    <row r="723" ht="14.25" customHeight="1">
      <c r="A723" s="20" t="s">
        <v>2644</v>
      </c>
      <c r="B723" s="20" t="s">
        <v>2645</v>
      </c>
      <c r="C723" s="20" t="s">
        <v>252</v>
      </c>
      <c r="F723" s="20" t="s">
        <v>16</v>
      </c>
      <c r="G723" s="20" t="s">
        <v>211</v>
      </c>
      <c r="I723" s="20" t="s">
        <v>253</v>
      </c>
      <c r="J723" s="20" t="s">
        <v>143</v>
      </c>
      <c r="Q723" s="20">
        <v>16105.0</v>
      </c>
      <c r="R723" s="20" t="s">
        <v>2646</v>
      </c>
      <c r="S723" s="20" t="s">
        <v>2645</v>
      </c>
      <c r="T723" s="20" t="s">
        <v>138</v>
      </c>
    </row>
    <row r="724" ht="14.25" customHeight="1">
      <c r="A724" s="20" t="s">
        <v>2647</v>
      </c>
      <c r="B724" s="20" t="s">
        <v>2648</v>
      </c>
      <c r="C724" s="20" t="s">
        <v>2649</v>
      </c>
      <c r="F724" s="20" t="s">
        <v>15</v>
      </c>
      <c r="G724" s="20" t="s">
        <v>135</v>
      </c>
      <c r="I724" s="20" t="s">
        <v>100</v>
      </c>
      <c r="J724" s="20" t="s">
        <v>186</v>
      </c>
      <c r="K724" s="20" t="s">
        <v>187</v>
      </c>
      <c r="Q724" s="20">
        <v>10255.0</v>
      </c>
      <c r="R724" s="20" t="s">
        <v>2650</v>
      </c>
      <c r="S724" s="20" t="s">
        <v>2648</v>
      </c>
      <c r="T724" s="20" t="s">
        <v>138</v>
      </c>
      <c r="V724" s="20" t="s">
        <v>189</v>
      </c>
      <c r="W724" s="20" t="s">
        <v>190</v>
      </c>
    </row>
    <row r="725" ht="14.25" customHeight="1">
      <c r="A725" s="20" t="s">
        <v>2651</v>
      </c>
      <c r="B725" s="20" t="s">
        <v>2652</v>
      </c>
      <c r="C725" s="20" t="s">
        <v>178</v>
      </c>
      <c r="F725" s="20" t="s">
        <v>150</v>
      </c>
      <c r="G725" s="20" t="s">
        <v>150</v>
      </c>
      <c r="I725" s="20" t="s">
        <v>151</v>
      </c>
      <c r="J725" s="20" t="s">
        <v>143</v>
      </c>
      <c r="Q725" s="20">
        <v>7702.0</v>
      </c>
      <c r="R725" s="20" t="s">
        <v>2653</v>
      </c>
      <c r="S725" s="20" t="s">
        <v>2652</v>
      </c>
      <c r="T725" s="20" t="s">
        <v>138</v>
      </c>
    </row>
    <row r="726" ht="14.25" customHeight="1">
      <c r="A726" s="20" t="s">
        <v>2654</v>
      </c>
      <c r="B726" s="20" t="s">
        <v>2655</v>
      </c>
      <c r="C726" s="20" t="s">
        <v>2656</v>
      </c>
      <c r="F726" s="20" t="s">
        <v>16</v>
      </c>
      <c r="G726" s="20" t="s">
        <v>202</v>
      </c>
      <c r="I726" s="20" t="s">
        <v>87</v>
      </c>
      <c r="J726" s="20" t="s">
        <v>136</v>
      </c>
      <c r="Q726" s="20">
        <v>10676.0</v>
      </c>
      <c r="R726" s="20" t="s">
        <v>2657</v>
      </c>
      <c r="S726" s="20" t="s">
        <v>2658</v>
      </c>
      <c r="T726" s="20" t="s">
        <v>138</v>
      </c>
      <c r="W726" s="20" t="s">
        <v>372</v>
      </c>
    </row>
    <row r="727" ht="14.25" customHeight="1">
      <c r="A727" s="20" t="s">
        <v>2659</v>
      </c>
      <c r="B727" s="20" t="s">
        <v>2660</v>
      </c>
      <c r="C727" s="20" t="s">
        <v>252</v>
      </c>
      <c r="F727" s="20" t="s">
        <v>16</v>
      </c>
      <c r="G727" s="20" t="s">
        <v>211</v>
      </c>
      <c r="I727" s="20" t="s">
        <v>253</v>
      </c>
      <c r="J727" s="20" t="s">
        <v>143</v>
      </c>
      <c r="Q727" s="20">
        <v>16069.0</v>
      </c>
      <c r="R727" s="20" t="s">
        <v>2661</v>
      </c>
      <c r="S727" s="20" t="s">
        <v>2660</v>
      </c>
      <c r="T727" s="20" t="s">
        <v>138</v>
      </c>
    </row>
    <row r="728" ht="14.25" customHeight="1">
      <c r="A728" s="20" t="s">
        <v>2662</v>
      </c>
      <c r="B728" s="20" t="s">
        <v>2663</v>
      </c>
      <c r="C728" s="20" t="s">
        <v>2664</v>
      </c>
      <c r="F728" s="20" t="s">
        <v>16</v>
      </c>
      <c r="G728" s="20" t="s">
        <v>202</v>
      </c>
      <c r="I728" s="20" t="s">
        <v>87</v>
      </c>
      <c r="J728" s="20" t="s">
        <v>143</v>
      </c>
      <c r="K728" s="20" t="s">
        <v>167</v>
      </c>
      <c r="Q728" s="20">
        <v>5384.0</v>
      </c>
      <c r="R728" s="20" t="s">
        <v>2665</v>
      </c>
      <c r="S728" s="20" t="s">
        <v>2663</v>
      </c>
      <c r="T728" s="20" t="s">
        <v>138</v>
      </c>
    </row>
    <row r="729" ht="14.25" customHeight="1">
      <c r="A729" s="20" t="s">
        <v>2666</v>
      </c>
      <c r="B729" s="20" t="s">
        <v>2667</v>
      </c>
      <c r="C729" s="20" t="s">
        <v>818</v>
      </c>
      <c r="F729" s="20" t="s">
        <v>17</v>
      </c>
      <c r="G729" s="20" t="s">
        <v>17</v>
      </c>
      <c r="I729" s="20" t="s">
        <v>88</v>
      </c>
      <c r="J729" s="20" t="s">
        <v>143</v>
      </c>
      <c r="Q729" s="20">
        <v>466.0</v>
      </c>
      <c r="R729" s="20" t="s">
        <v>2668</v>
      </c>
      <c r="S729" s="20" t="s">
        <v>2667</v>
      </c>
      <c r="T729" s="20" t="s">
        <v>138</v>
      </c>
    </row>
    <row r="730" ht="14.25" customHeight="1">
      <c r="A730" s="20" t="s">
        <v>2669</v>
      </c>
      <c r="B730" s="20" t="s">
        <v>2670</v>
      </c>
      <c r="C730" s="20" t="s">
        <v>149</v>
      </c>
      <c r="F730" s="20" t="s">
        <v>150</v>
      </c>
      <c r="G730" s="20" t="s">
        <v>150</v>
      </c>
      <c r="I730" s="20" t="s">
        <v>151</v>
      </c>
      <c r="J730" s="20" t="s">
        <v>143</v>
      </c>
      <c r="Q730" s="20">
        <v>11650.0</v>
      </c>
      <c r="R730" s="20" t="s">
        <v>2671</v>
      </c>
      <c r="S730" s="20" t="s">
        <v>2670</v>
      </c>
      <c r="T730" s="20" t="s">
        <v>138</v>
      </c>
    </row>
    <row r="731" ht="14.25" customHeight="1">
      <c r="A731" s="20" t="s">
        <v>2672</v>
      </c>
      <c r="B731" s="20" t="s">
        <v>2673</v>
      </c>
      <c r="C731" s="20" t="s">
        <v>174</v>
      </c>
      <c r="F731" s="20" t="s">
        <v>150</v>
      </c>
      <c r="G731" s="20" t="s">
        <v>150</v>
      </c>
      <c r="I731" s="20" t="s">
        <v>151</v>
      </c>
      <c r="J731" s="20" t="s">
        <v>143</v>
      </c>
      <c r="Q731" s="20">
        <v>9415.0</v>
      </c>
      <c r="R731" s="20" t="s">
        <v>2674</v>
      </c>
      <c r="S731" s="20" t="s">
        <v>2673</v>
      </c>
      <c r="T731" s="20" t="s">
        <v>138</v>
      </c>
    </row>
    <row r="732" ht="14.25" customHeight="1">
      <c r="A732" s="20" t="s">
        <v>2675</v>
      </c>
      <c r="B732" s="20" t="s">
        <v>2676</v>
      </c>
      <c r="C732" s="20" t="s">
        <v>289</v>
      </c>
      <c r="F732" s="20" t="s">
        <v>150</v>
      </c>
      <c r="G732" s="20" t="s">
        <v>150</v>
      </c>
      <c r="I732" s="20" t="s">
        <v>151</v>
      </c>
      <c r="J732" s="20" t="s">
        <v>143</v>
      </c>
      <c r="Q732" s="20">
        <v>7050.0</v>
      </c>
      <c r="R732" s="20" t="s">
        <v>2677</v>
      </c>
      <c r="S732" s="20" t="s">
        <v>2676</v>
      </c>
      <c r="T732" s="20" t="s">
        <v>138</v>
      </c>
    </row>
    <row r="733" ht="14.25" customHeight="1">
      <c r="A733" s="20" t="s">
        <v>2678</v>
      </c>
      <c r="B733" s="20" t="s">
        <v>2679</v>
      </c>
      <c r="C733" s="20" t="s">
        <v>197</v>
      </c>
      <c r="F733" s="20" t="s">
        <v>150</v>
      </c>
      <c r="G733" s="20" t="s">
        <v>150</v>
      </c>
      <c r="I733" s="20" t="s">
        <v>151</v>
      </c>
      <c r="J733" s="20" t="s">
        <v>143</v>
      </c>
      <c r="K733" s="20" t="s">
        <v>213</v>
      </c>
      <c r="Q733" s="20">
        <v>463.0</v>
      </c>
      <c r="R733" s="20" t="s">
        <v>2680</v>
      </c>
      <c r="S733" s="20" t="s">
        <v>2679</v>
      </c>
      <c r="T733" s="20" t="s">
        <v>138</v>
      </c>
      <c r="V733" s="20" t="s">
        <v>189</v>
      </c>
    </row>
    <row r="734" ht="14.25" customHeight="1">
      <c r="A734" s="20" t="s">
        <v>2681</v>
      </c>
      <c r="B734" s="20" t="s">
        <v>2682</v>
      </c>
      <c r="C734" s="20" t="s">
        <v>201</v>
      </c>
      <c r="F734" s="20" t="s">
        <v>16</v>
      </c>
      <c r="G734" s="20" t="s">
        <v>202</v>
      </c>
      <c r="I734" s="20" t="s">
        <v>203</v>
      </c>
      <c r="J734" s="20" t="s">
        <v>143</v>
      </c>
      <c r="K734" s="20" t="s">
        <v>167</v>
      </c>
      <c r="Q734" s="20">
        <v>9193.0</v>
      </c>
      <c r="R734" s="20" t="s">
        <v>2683</v>
      </c>
      <c r="S734" s="20" t="s">
        <v>2682</v>
      </c>
      <c r="T734" s="20" t="s">
        <v>138</v>
      </c>
    </row>
    <row r="735" ht="14.25" customHeight="1">
      <c r="A735" s="20" t="s">
        <v>2684</v>
      </c>
      <c r="B735" s="20" t="s">
        <v>2685</v>
      </c>
      <c r="C735" s="20" t="s">
        <v>289</v>
      </c>
      <c r="F735" s="20" t="s">
        <v>150</v>
      </c>
      <c r="G735" s="20" t="s">
        <v>150</v>
      </c>
      <c r="I735" s="20" t="s">
        <v>151</v>
      </c>
      <c r="J735" s="20" t="s">
        <v>143</v>
      </c>
      <c r="Q735" s="20">
        <v>14934.0</v>
      </c>
      <c r="R735" s="20" t="s">
        <v>2686</v>
      </c>
      <c r="S735" s="20" t="s">
        <v>2685</v>
      </c>
      <c r="T735" s="20" t="s">
        <v>138</v>
      </c>
    </row>
    <row r="736" ht="14.25" customHeight="1">
      <c r="A736" s="20" t="s">
        <v>2687</v>
      </c>
      <c r="B736" s="20" t="s">
        <v>2688</v>
      </c>
      <c r="C736" s="20" t="s">
        <v>163</v>
      </c>
      <c r="F736" s="20" t="s">
        <v>150</v>
      </c>
      <c r="G736" s="20" t="s">
        <v>150</v>
      </c>
      <c r="I736" s="20" t="s">
        <v>151</v>
      </c>
      <c r="J736" s="20" t="s">
        <v>143</v>
      </c>
      <c r="Q736" s="20">
        <v>464.0</v>
      </c>
      <c r="R736" s="20" t="s">
        <v>2689</v>
      </c>
      <c r="S736" s="20" t="s">
        <v>2688</v>
      </c>
      <c r="T736" s="20" t="s">
        <v>138</v>
      </c>
    </row>
    <row r="737" ht="14.25" customHeight="1">
      <c r="A737" s="20" t="s">
        <v>2690</v>
      </c>
      <c r="B737" s="20" t="s">
        <v>2691</v>
      </c>
      <c r="C737" s="20" t="s">
        <v>1482</v>
      </c>
      <c r="F737" s="20" t="s">
        <v>17</v>
      </c>
      <c r="G737" s="20" t="s">
        <v>17</v>
      </c>
      <c r="I737" s="20" t="s">
        <v>88</v>
      </c>
      <c r="J737" s="20" t="s">
        <v>143</v>
      </c>
      <c r="K737" s="20" t="s">
        <v>167</v>
      </c>
      <c r="Q737" s="20">
        <v>875.0</v>
      </c>
      <c r="R737" s="20" t="s">
        <v>2692</v>
      </c>
      <c r="S737" s="20" t="s">
        <v>2691</v>
      </c>
      <c r="T737" s="20" t="s">
        <v>138</v>
      </c>
    </row>
    <row r="738" ht="14.25" customHeight="1">
      <c r="A738" s="20" t="s">
        <v>2693</v>
      </c>
      <c r="B738" s="20" t="s">
        <v>2694</v>
      </c>
      <c r="C738" s="20" t="s">
        <v>818</v>
      </c>
      <c r="F738" s="20" t="s">
        <v>17</v>
      </c>
      <c r="G738" s="20" t="s">
        <v>17</v>
      </c>
      <c r="I738" s="20" t="s">
        <v>88</v>
      </c>
      <c r="J738" s="20" t="s">
        <v>143</v>
      </c>
      <c r="Q738" s="20">
        <v>5732.0</v>
      </c>
      <c r="R738" s="20" t="s">
        <v>2695</v>
      </c>
      <c r="S738" s="20" t="s">
        <v>2694</v>
      </c>
      <c r="T738" s="20" t="s">
        <v>138</v>
      </c>
    </row>
    <row r="739" ht="14.25" customHeight="1">
      <c r="A739" s="20" t="s">
        <v>2696</v>
      </c>
      <c r="B739" s="20" t="s">
        <v>2697</v>
      </c>
      <c r="C739" s="20" t="s">
        <v>2698</v>
      </c>
      <c r="F739" s="20" t="s">
        <v>327</v>
      </c>
      <c r="G739" s="20" t="s">
        <v>385</v>
      </c>
      <c r="I739" s="20" t="s">
        <v>1936</v>
      </c>
      <c r="J739" s="20" t="s">
        <v>186</v>
      </c>
      <c r="Q739" s="20">
        <v>13931.0</v>
      </c>
      <c r="R739" s="20" t="s">
        <v>2699</v>
      </c>
      <c r="S739" s="20" t="s">
        <v>2697</v>
      </c>
      <c r="T739" s="20" t="s">
        <v>138</v>
      </c>
    </row>
    <row r="740" ht="14.25" customHeight="1">
      <c r="A740" s="20" t="s">
        <v>2700</v>
      </c>
      <c r="B740" s="20" t="s">
        <v>2701</v>
      </c>
      <c r="C740" s="20" t="s">
        <v>496</v>
      </c>
      <c r="F740" s="20" t="s">
        <v>218</v>
      </c>
      <c r="G740" s="20" t="s">
        <v>219</v>
      </c>
      <c r="I740" s="20" t="s">
        <v>370</v>
      </c>
      <c r="J740" s="20" t="s">
        <v>143</v>
      </c>
      <c r="Q740" s="20">
        <v>10339.0</v>
      </c>
      <c r="R740" s="20" t="s">
        <v>2702</v>
      </c>
      <c r="S740" s="20" t="s">
        <v>2701</v>
      </c>
      <c r="T740" s="20" t="s">
        <v>138</v>
      </c>
    </row>
    <row r="741" ht="14.25" customHeight="1">
      <c r="A741" s="20" t="s">
        <v>2703</v>
      </c>
      <c r="B741" s="20" t="s">
        <v>2704</v>
      </c>
      <c r="C741" s="20" t="s">
        <v>149</v>
      </c>
      <c r="F741" s="20" t="s">
        <v>150</v>
      </c>
      <c r="G741" s="20" t="s">
        <v>150</v>
      </c>
      <c r="I741" s="20" t="s">
        <v>151</v>
      </c>
      <c r="J741" s="20" t="s">
        <v>143</v>
      </c>
      <c r="Q741" s="20">
        <v>14124.0</v>
      </c>
      <c r="R741" s="20" t="s">
        <v>2705</v>
      </c>
      <c r="S741" s="20" t="s">
        <v>2704</v>
      </c>
      <c r="T741" s="20" t="s">
        <v>138</v>
      </c>
    </row>
    <row r="742" ht="14.25" customHeight="1">
      <c r="A742" s="20" t="s">
        <v>2706</v>
      </c>
      <c r="B742" s="20" t="s">
        <v>2707</v>
      </c>
      <c r="C742" s="20" t="s">
        <v>159</v>
      </c>
      <c r="F742" s="20" t="s">
        <v>150</v>
      </c>
      <c r="G742" s="20" t="s">
        <v>150</v>
      </c>
      <c r="I742" s="20" t="s">
        <v>151</v>
      </c>
      <c r="J742" s="20" t="s">
        <v>143</v>
      </c>
      <c r="Q742" s="20">
        <v>6770.0</v>
      </c>
      <c r="R742" s="20" t="s">
        <v>2708</v>
      </c>
      <c r="S742" s="20" t="s">
        <v>2707</v>
      </c>
      <c r="T742" s="20" t="s">
        <v>138</v>
      </c>
    </row>
    <row r="743" ht="14.25" customHeight="1">
      <c r="A743" s="20" t="s">
        <v>2709</v>
      </c>
      <c r="B743" s="20" t="s">
        <v>2710</v>
      </c>
      <c r="C743" s="20" t="s">
        <v>354</v>
      </c>
      <c r="F743" s="20" t="s">
        <v>218</v>
      </c>
      <c r="G743" s="20" t="s">
        <v>219</v>
      </c>
      <c r="I743" s="20" t="s">
        <v>355</v>
      </c>
      <c r="J743" s="20" t="s">
        <v>186</v>
      </c>
      <c r="K743" s="20" t="s">
        <v>167</v>
      </c>
      <c r="Q743" s="20">
        <v>5360.0</v>
      </c>
      <c r="R743" s="20" t="s">
        <v>2711</v>
      </c>
      <c r="S743" s="20" t="s">
        <v>2710</v>
      </c>
      <c r="T743" s="20" t="s">
        <v>138</v>
      </c>
      <c r="W743" s="20" t="s">
        <v>146</v>
      </c>
    </row>
    <row r="744" ht="14.25" customHeight="1">
      <c r="A744" s="20" t="s">
        <v>2712</v>
      </c>
      <c r="B744" s="20" t="s">
        <v>2713</v>
      </c>
      <c r="C744" s="20" t="s">
        <v>2714</v>
      </c>
      <c r="F744" s="20" t="s">
        <v>327</v>
      </c>
      <c r="G744" s="20" t="s">
        <v>385</v>
      </c>
      <c r="I744" s="20" t="s">
        <v>598</v>
      </c>
      <c r="J744" s="20" t="s">
        <v>136</v>
      </c>
      <c r="Q744" s="20">
        <v>7668.0</v>
      </c>
      <c r="R744" s="20" t="s">
        <v>2715</v>
      </c>
      <c r="S744" s="20" t="s">
        <v>2713</v>
      </c>
      <c r="T744" s="20" t="s">
        <v>138</v>
      </c>
    </row>
    <row r="745" ht="14.25" customHeight="1">
      <c r="A745" s="20" t="s">
        <v>2716</v>
      </c>
      <c r="B745" s="20" t="s">
        <v>2717</v>
      </c>
      <c r="C745" s="20" t="s">
        <v>197</v>
      </c>
      <c r="F745" s="20" t="s">
        <v>150</v>
      </c>
      <c r="G745" s="20" t="s">
        <v>150</v>
      </c>
      <c r="I745" s="20" t="s">
        <v>151</v>
      </c>
      <c r="J745" s="20" t="s">
        <v>143</v>
      </c>
      <c r="Q745" s="20">
        <v>11647.0</v>
      </c>
      <c r="R745" s="20" t="s">
        <v>2718</v>
      </c>
      <c r="S745" s="20" t="s">
        <v>2717</v>
      </c>
      <c r="T745" s="20" t="s">
        <v>138</v>
      </c>
    </row>
    <row r="746" ht="14.25" customHeight="1">
      <c r="A746" s="20" t="s">
        <v>2719</v>
      </c>
      <c r="B746" s="20" t="s">
        <v>2720</v>
      </c>
      <c r="C746" s="20" t="s">
        <v>354</v>
      </c>
      <c r="F746" s="20" t="s">
        <v>218</v>
      </c>
      <c r="G746" s="20" t="s">
        <v>219</v>
      </c>
      <c r="I746" s="20" t="s">
        <v>355</v>
      </c>
      <c r="J746" s="20" t="s">
        <v>186</v>
      </c>
      <c r="K746" s="20" t="s">
        <v>167</v>
      </c>
      <c r="Q746" s="20">
        <v>14074.0</v>
      </c>
      <c r="R746" s="20" t="s">
        <v>2721</v>
      </c>
      <c r="S746" s="20" t="s">
        <v>2720</v>
      </c>
      <c r="T746" s="20" t="s">
        <v>138</v>
      </c>
    </row>
    <row r="747" ht="14.25" customHeight="1">
      <c r="A747" s="20" t="s">
        <v>2722</v>
      </c>
      <c r="B747" s="20" t="s">
        <v>2723</v>
      </c>
      <c r="C747" s="20" t="s">
        <v>818</v>
      </c>
      <c r="F747" s="20" t="s">
        <v>17</v>
      </c>
      <c r="G747" s="20" t="s">
        <v>17</v>
      </c>
      <c r="I747" s="20" t="s">
        <v>88</v>
      </c>
      <c r="J747" s="20" t="s">
        <v>143</v>
      </c>
      <c r="Q747" s="20">
        <v>473.0</v>
      </c>
      <c r="R747" s="20" t="s">
        <v>2724</v>
      </c>
      <c r="S747" s="20" t="s">
        <v>2725</v>
      </c>
      <c r="T747" s="20" t="s">
        <v>138</v>
      </c>
    </row>
    <row r="748" ht="14.25" customHeight="1">
      <c r="A748" s="20" t="s">
        <v>2726</v>
      </c>
      <c r="B748" s="20" t="s">
        <v>2727</v>
      </c>
      <c r="C748" s="20" t="s">
        <v>193</v>
      </c>
      <c r="F748" s="20" t="s">
        <v>150</v>
      </c>
      <c r="G748" s="20" t="s">
        <v>150</v>
      </c>
      <c r="I748" s="20" t="s">
        <v>151</v>
      </c>
      <c r="J748" s="20" t="s">
        <v>143</v>
      </c>
      <c r="Q748" s="20">
        <v>8647.0</v>
      </c>
      <c r="R748" s="20" t="s">
        <v>2728</v>
      </c>
      <c r="S748" s="20" t="s">
        <v>2727</v>
      </c>
      <c r="T748" s="20" t="s">
        <v>138</v>
      </c>
    </row>
    <row r="749" ht="14.25" customHeight="1">
      <c r="A749" s="20" t="s">
        <v>2729</v>
      </c>
      <c r="B749" s="20" t="s">
        <v>2730</v>
      </c>
      <c r="C749" s="20" t="s">
        <v>1343</v>
      </c>
      <c r="F749" s="20" t="s">
        <v>150</v>
      </c>
      <c r="G749" s="20" t="s">
        <v>150</v>
      </c>
      <c r="I749" s="20" t="s">
        <v>151</v>
      </c>
      <c r="J749" s="20" t="s">
        <v>186</v>
      </c>
      <c r="Q749" s="20">
        <v>2209.0</v>
      </c>
      <c r="R749" s="20" t="s">
        <v>2731</v>
      </c>
      <c r="S749" s="20" t="s">
        <v>2730</v>
      </c>
      <c r="T749" s="20" t="s">
        <v>138</v>
      </c>
    </row>
    <row r="750" ht="14.25" customHeight="1">
      <c r="A750" s="20" t="s">
        <v>2732</v>
      </c>
      <c r="B750" s="20" t="s">
        <v>2733</v>
      </c>
      <c r="C750" s="20" t="s">
        <v>1343</v>
      </c>
      <c r="F750" s="20" t="s">
        <v>150</v>
      </c>
      <c r="G750" s="20" t="s">
        <v>150</v>
      </c>
      <c r="I750" s="20" t="s">
        <v>151</v>
      </c>
      <c r="J750" s="20" t="s">
        <v>186</v>
      </c>
      <c r="Q750" s="20">
        <v>9919.0</v>
      </c>
      <c r="R750" s="20" t="s">
        <v>2734</v>
      </c>
      <c r="S750" s="20" t="s">
        <v>2733</v>
      </c>
      <c r="T750" s="20" t="s">
        <v>138</v>
      </c>
    </row>
    <row r="751" ht="14.25" customHeight="1">
      <c r="A751" s="20" t="s">
        <v>2735</v>
      </c>
      <c r="B751" s="20" t="s">
        <v>2736</v>
      </c>
      <c r="C751" s="20" t="s">
        <v>197</v>
      </c>
      <c r="F751" s="20" t="s">
        <v>150</v>
      </c>
      <c r="G751" s="20" t="s">
        <v>150</v>
      </c>
      <c r="I751" s="20" t="s">
        <v>151</v>
      </c>
      <c r="J751" s="20" t="s">
        <v>186</v>
      </c>
      <c r="Q751" s="20">
        <v>11097.0</v>
      </c>
      <c r="R751" s="20" t="s">
        <v>2737</v>
      </c>
      <c r="S751" s="20" t="s">
        <v>2736</v>
      </c>
      <c r="T751" s="20" t="s">
        <v>138</v>
      </c>
    </row>
    <row r="752" ht="14.25" customHeight="1">
      <c r="A752" s="20" t="s">
        <v>2738</v>
      </c>
      <c r="B752" s="20" t="s">
        <v>2739</v>
      </c>
      <c r="C752" s="20" t="s">
        <v>1343</v>
      </c>
      <c r="F752" s="20" t="s">
        <v>150</v>
      </c>
      <c r="G752" s="20" t="s">
        <v>150</v>
      </c>
      <c r="I752" s="20" t="s">
        <v>151</v>
      </c>
      <c r="J752" s="20" t="s">
        <v>186</v>
      </c>
      <c r="Q752" s="20">
        <v>16112.0</v>
      </c>
      <c r="R752" s="20" t="s">
        <v>2740</v>
      </c>
      <c r="S752" s="20" t="s">
        <v>2739</v>
      </c>
      <c r="T752" s="20" t="s">
        <v>138</v>
      </c>
    </row>
    <row r="753" ht="14.25" customHeight="1">
      <c r="A753" s="20" t="s">
        <v>2741</v>
      </c>
      <c r="B753" s="20" t="s">
        <v>2742</v>
      </c>
      <c r="C753" s="20" t="s">
        <v>1350</v>
      </c>
      <c r="F753" s="20" t="s">
        <v>150</v>
      </c>
      <c r="G753" s="20" t="s">
        <v>150</v>
      </c>
      <c r="I753" s="20" t="s">
        <v>151</v>
      </c>
      <c r="J753" s="20" t="s">
        <v>186</v>
      </c>
      <c r="K753" s="20" t="s">
        <v>187</v>
      </c>
      <c r="Q753" s="20">
        <v>9908.0</v>
      </c>
      <c r="R753" s="20" t="s">
        <v>2743</v>
      </c>
      <c r="S753" s="20" t="s">
        <v>2742</v>
      </c>
      <c r="T753" s="20" t="s">
        <v>138</v>
      </c>
      <c r="V753" s="20" t="s">
        <v>260</v>
      </c>
      <c r="W753" s="20" t="s">
        <v>261</v>
      </c>
    </row>
    <row r="754" ht="14.25" customHeight="1">
      <c r="A754" s="20" t="s">
        <v>2744</v>
      </c>
      <c r="B754" s="20" t="s">
        <v>2745</v>
      </c>
      <c r="C754" s="20" t="s">
        <v>1343</v>
      </c>
      <c r="F754" s="20" t="s">
        <v>150</v>
      </c>
      <c r="G754" s="20" t="s">
        <v>150</v>
      </c>
      <c r="I754" s="20" t="s">
        <v>151</v>
      </c>
      <c r="J754" s="20" t="s">
        <v>186</v>
      </c>
      <c r="Q754" s="20">
        <v>11378.0</v>
      </c>
      <c r="R754" s="20" t="s">
        <v>2746</v>
      </c>
      <c r="S754" s="20" t="s">
        <v>2745</v>
      </c>
      <c r="T754" s="20" t="s">
        <v>138</v>
      </c>
    </row>
    <row r="755" ht="14.25" customHeight="1">
      <c r="A755" s="20" t="s">
        <v>2747</v>
      </c>
      <c r="B755" s="20" t="s">
        <v>2748</v>
      </c>
      <c r="C755" s="20" t="s">
        <v>1343</v>
      </c>
      <c r="F755" s="20" t="s">
        <v>150</v>
      </c>
      <c r="G755" s="20" t="s">
        <v>150</v>
      </c>
      <c r="I755" s="20" t="s">
        <v>151</v>
      </c>
      <c r="J755" s="20" t="s">
        <v>186</v>
      </c>
      <c r="Q755" s="20">
        <v>11379.0</v>
      </c>
      <c r="R755" s="20" t="s">
        <v>2749</v>
      </c>
      <c r="S755" s="20" t="s">
        <v>2748</v>
      </c>
      <c r="T755" s="20" t="s">
        <v>138</v>
      </c>
    </row>
    <row r="756" ht="14.25" customHeight="1">
      <c r="A756" s="20" t="s">
        <v>2750</v>
      </c>
      <c r="B756" s="20" t="s">
        <v>2751</v>
      </c>
      <c r="C756" s="20" t="s">
        <v>1343</v>
      </c>
      <c r="F756" s="20" t="s">
        <v>150</v>
      </c>
      <c r="G756" s="20" t="s">
        <v>150</v>
      </c>
      <c r="I756" s="20" t="s">
        <v>151</v>
      </c>
      <c r="J756" s="20" t="s">
        <v>186</v>
      </c>
      <c r="Q756" s="20">
        <v>10118.0</v>
      </c>
      <c r="R756" s="20" t="s">
        <v>2752</v>
      </c>
      <c r="S756" s="20" t="s">
        <v>2751</v>
      </c>
      <c r="T756" s="20" t="s">
        <v>138</v>
      </c>
    </row>
    <row r="757" ht="14.25" customHeight="1">
      <c r="A757" s="20" t="s">
        <v>2753</v>
      </c>
      <c r="B757" s="20" t="s">
        <v>2754</v>
      </c>
      <c r="C757" s="20" t="s">
        <v>1343</v>
      </c>
      <c r="F757" s="20" t="s">
        <v>150</v>
      </c>
      <c r="G757" s="20" t="s">
        <v>150</v>
      </c>
      <c r="I757" s="20" t="s">
        <v>151</v>
      </c>
      <c r="J757" s="20" t="s">
        <v>186</v>
      </c>
      <c r="Q757" s="20">
        <v>11386.0</v>
      </c>
      <c r="R757" s="20" t="s">
        <v>2755</v>
      </c>
      <c r="S757" s="20" t="s">
        <v>2756</v>
      </c>
      <c r="T757" s="20" t="s">
        <v>138</v>
      </c>
    </row>
    <row r="758" ht="14.25" customHeight="1">
      <c r="A758" s="20" t="s">
        <v>2757</v>
      </c>
      <c r="B758" s="20" t="s">
        <v>2754</v>
      </c>
      <c r="C758" s="20" t="s">
        <v>1343</v>
      </c>
      <c r="F758" s="20" t="s">
        <v>150</v>
      </c>
      <c r="G758" s="20" t="s">
        <v>150</v>
      </c>
      <c r="I758" s="20" t="s">
        <v>151</v>
      </c>
      <c r="J758" s="20" t="s">
        <v>186</v>
      </c>
      <c r="Q758" s="20">
        <v>11385.0</v>
      </c>
      <c r="R758" s="20" t="s">
        <v>2758</v>
      </c>
      <c r="S758" s="20" t="s">
        <v>2756</v>
      </c>
      <c r="T758" s="20" t="s">
        <v>138</v>
      </c>
    </row>
    <row r="759" ht="14.25" customHeight="1">
      <c r="A759" s="20" t="s">
        <v>2759</v>
      </c>
      <c r="B759" s="20" t="s">
        <v>2751</v>
      </c>
      <c r="C759" s="20" t="s">
        <v>1343</v>
      </c>
      <c r="F759" s="20" t="s">
        <v>150</v>
      </c>
      <c r="G759" s="20" t="s">
        <v>150</v>
      </c>
      <c r="I759" s="20" t="s">
        <v>151</v>
      </c>
      <c r="J759" s="20" t="s">
        <v>186</v>
      </c>
      <c r="Q759" s="20">
        <v>16670.0</v>
      </c>
      <c r="R759" s="20" t="s">
        <v>2760</v>
      </c>
      <c r="S759" s="20" t="s">
        <v>2751</v>
      </c>
      <c r="T759" s="20" t="s">
        <v>138</v>
      </c>
    </row>
    <row r="760" ht="14.25" customHeight="1">
      <c r="A760" s="20" t="s">
        <v>2761</v>
      </c>
      <c r="B760" s="20" t="s">
        <v>2762</v>
      </c>
      <c r="C760" s="20" t="s">
        <v>1343</v>
      </c>
      <c r="F760" s="20" t="s">
        <v>150</v>
      </c>
      <c r="G760" s="20" t="s">
        <v>150</v>
      </c>
      <c r="I760" s="20" t="s">
        <v>151</v>
      </c>
      <c r="J760" s="20" t="s">
        <v>186</v>
      </c>
      <c r="Q760" s="20">
        <v>16669.0</v>
      </c>
      <c r="R760" s="20" t="s">
        <v>2763</v>
      </c>
      <c r="S760" s="20" t="s">
        <v>2762</v>
      </c>
      <c r="T760" s="20" t="s">
        <v>138</v>
      </c>
    </row>
    <row r="761" ht="14.25" customHeight="1">
      <c r="A761" s="20" t="s">
        <v>2764</v>
      </c>
      <c r="B761" s="20" t="s">
        <v>2765</v>
      </c>
      <c r="C761" s="20" t="s">
        <v>1343</v>
      </c>
      <c r="F761" s="20" t="s">
        <v>150</v>
      </c>
      <c r="G761" s="20" t="s">
        <v>150</v>
      </c>
      <c r="I761" s="20" t="s">
        <v>151</v>
      </c>
      <c r="J761" s="20" t="s">
        <v>186</v>
      </c>
      <c r="Q761" s="20">
        <v>10852.0</v>
      </c>
      <c r="R761" s="20" t="s">
        <v>2766</v>
      </c>
      <c r="S761" s="20" t="s">
        <v>2765</v>
      </c>
      <c r="T761" s="20" t="s">
        <v>138</v>
      </c>
    </row>
    <row r="762" ht="14.25" customHeight="1">
      <c r="A762" s="20" t="s">
        <v>2767</v>
      </c>
      <c r="B762" s="20" t="s">
        <v>2768</v>
      </c>
      <c r="C762" s="20" t="s">
        <v>1343</v>
      </c>
      <c r="F762" s="20" t="s">
        <v>150</v>
      </c>
      <c r="G762" s="20" t="s">
        <v>150</v>
      </c>
      <c r="I762" s="20" t="s">
        <v>151</v>
      </c>
      <c r="J762" s="20" t="s">
        <v>186</v>
      </c>
      <c r="Q762" s="20">
        <v>11384.0</v>
      </c>
      <c r="R762" s="20" t="s">
        <v>2769</v>
      </c>
      <c r="S762" s="20" t="s">
        <v>2768</v>
      </c>
      <c r="T762" s="20" t="s">
        <v>138</v>
      </c>
    </row>
    <row r="763" ht="14.25" customHeight="1">
      <c r="A763" s="20" t="s">
        <v>2770</v>
      </c>
      <c r="B763" s="20" t="s">
        <v>2771</v>
      </c>
      <c r="C763" s="20" t="s">
        <v>159</v>
      </c>
      <c r="F763" s="20" t="s">
        <v>150</v>
      </c>
      <c r="G763" s="20" t="s">
        <v>150</v>
      </c>
      <c r="I763" s="20" t="s">
        <v>151</v>
      </c>
      <c r="J763" s="20" t="s">
        <v>143</v>
      </c>
      <c r="Q763" s="20">
        <v>8138.0</v>
      </c>
      <c r="R763" s="20" t="s">
        <v>2772</v>
      </c>
      <c r="S763" s="20" t="s">
        <v>2771</v>
      </c>
      <c r="T763" s="20" t="s">
        <v>138</v>
      </c>
    </row>
    <row r="764" ht="14.25" customHeight="1">
      <c r="A764" s="20" t="s">
        <v>2773</v>
      </c>
      <c r="B764" s="20" t="s">
        <v>2774</v>
      </c>
      <c r="C764" s="20" t="s">
        <v>272</v>
      </c>
      <c r="F764" s="20" t="s">
        <v>150</v>
      </c>
      <c r="G764" s="20" t="s">
        <v>150</v>
      </c>
      <c r="I764" s="20" t="s">
        <v>151</v>
      </c>
      <c r="J764" s="20" t="s">
        <v>143</v>
      </c>
      <c r="Q764" s="20">
        <v>7835.0</v>
      </c>
      <c r="R764" s="20" t="s">
        <v>2775</v>
      </c>
      <c r="S764" s="20" t="s">
        <v>2774</v>
      </c>
      <c r="T764" s="20" t="s">
        <v>138</v>
      </c>
    </row>
    <row r="765" ht="14.25" customHeight="1">
      <c r="A765" s="20" t="s">
        <v>2776</v>
      </c>
      <c r="B765" s="20" t="s">
        <v>2777</v>
      </c>
      <c r="C765" s="20" t="s">
        <v>2778</v>
      </c>
      <c r="F765" s="20" t="s">
        <v>17</v>
      </c>
      <c r="G765" s="20" t="s">
        <v>17</v>
      </c>
      <c r="H765" s="20">
        <v>9445.0</v>
      </c>
      <c r="I765" s="20" t="s">
        <v>88</v>
      </c>
      <c r="J765" s="20" t="s">
        <v>143</v>
      </c>
      <c r="K765" s="20" t="s">
        <v>167</v>
      </c>
      <c r="M765" s="20" t="s">
        <v>2779</v>
      </c>
      <c r="Q765" s="20">
        <v>9445.0</v>
      </c>
      <c r="R765" s="20" t="s">
        <v>2780</v>
      </c>
      <c r="S765" s="20" t="s">
        <v>2777</v>
      </c>
      <c r="T765" s="20" t="s">
        <v>138</v>
      </c>
      <c r="U765" s="24">
        <v>44774.0</v>
      </c>
      <c r="W765" s="20" t="s">
        <v>146</v>
      </c>
    </row>
    <row r="766" ht="14.25" customHeight="1">
      <c r="A766" s="20" t="s">
        <v>2781</v>
      </c>
      <c r="B766" s="20" t="s">
        <v>2782</v>
      </c>
      <c r="C766" s="20" t="s">
        <v>364</v>
      </c>
      <c r="F766" s="20" t="s">
        <v>218</v>
      </c>
      <c r="G766" s="20" t="s">
        <v>219</v>
      </c>
      <c r="I766" s="20" t="s">
        <v>365</v>
      </c>
      <c r="J766" s="20" t="s">
        <v>136</v>
      </c>
      <c r="Q766" s="20">
        <v>14092.0</v>
      </c>
      <c r="R766" s="20" t="s">
        <v>2783</v>
      </c>
      <c r="S766" s="20" t="s">
        <v>2782</v>
      </c>
      <c r="T766" s="20" t="s">
        <v>138</v>
      </c>
      <c r="W766" s="20" t="s">
        <v>372</v>
      </c>
    </row>
    <row r="767" ht="14.25" customHeight="1">
      <c r="A767" s="20" t="s">
        <v>2784</v>
      </c>
      <c r="B767" s="20" t="s">
        <v>2785</v>
      </c>
      <c r="C767" s="20" t="s">
        <v>694</v>
      </c>
      <c r="F767" s="20" t="s">
        <v>16</v>
      </c>
      <c r="G767" s="20" t="s">
        <v>202</v>
      </c>
      <c r="I767" s="20" t="s">
        <v>87</v>
      </c>
      <c r="J767" s="20" t="s">
        <v>143</v>
      </c>
      <c r="Q767" s="20">
        <v>11095.0</v>
      </c>
      <c r="R767" s="20" t="s">
        <v>2786</v>
      </c>
      <c r="S767" s="20" t="s">
        <v>2785</v>
      </c>
      <c r="T767" s="20" t="s">
        <v>138</v>
      </c>
    </row>
    <row r="768" ht="14.25" customHeight="1">
      <c r="A768" s="20" t="s">
        <v>2787</v>
      </c>
      <c r="B768" s="20" t="s">
        <v>2788</v>
      </c>
      <c r="C768" s="20" t="s">
        <v>289</v>
      </c>
      <c r="F768" s="20" t="s">
        <v>150</v>
      </c>
      <c r="G768" s="20" t="s">
        <v>150</v>
      </c>
      <c r="I768" s="20" t="s">
        <v>151</v>
      </c>
      <c r="J768" s="20" t="s">
        <v>143</v>
      </c>
      <c r="Q768" s="20">
        <v>7049.0</v>
      </c>
      <c r="R768" s="20" t="s">
        <v>2789</v>
      </c>
      <c r="S768" s="20" t="s">
        <v>2790</v>
      </c>
      <c r="T768" s="20" t="s">
        <v>138</v>
      </c>
    </row>
    <row r="769" ht="14.25" customHeight="1">
      <c r="A769" s="20" t="s">
        <v>2791</v>
      </c>
      <c r="B769" s="20" t="s">
        <v>2792</v>
      </c>
      <c r="C769" s="20" t="s">
        <v>818</v>
      </c>
      <c r="F769" s="20" t="s">
        <v>17</v>
      </c>
      <c r="G769" s="20" t="s">
        <v>17</v>
      </c>
      <c r="I769" s="20" t="s">
        <v>88</v>
      </c>
      <c r="J769" s="20" t="s">
        <v>143</v>
      </c>
      <c r="Q769" s="20">
        <v>15044.0</v>
      </c>
      <c r="R769" s="20" t="s">
        <v>2793</v>
      </c>
      <c r="S769" s="20" t="s">
        <v>2792</v>
      </c>
      <c r="T769" s="20" t="s">
        <v>138</v>
      </c>
    </row>
    <row r="770" ht="14.25" customHeight="1">
      <c r="A770" s="20" t="s">
        <v>2794</v>
      </c>
      <c r="B770" s="20" t="s">
        <v>2795</v>
      </c>
      <c r="C770" s="20" t="s">
        <v>2796</v>
      </c>
      <c r="F770" s="20" t="s">
        <v>218</v>
      </c>
      <c r="G770" s="20" t="s">
        <v>219</v>
      </c>
      <c r="H770" s="20">
        <v>3924.0</v>
      </c>
      <c r="I770" s="20" t="s">
        <v>360</v>
      </c>
      <c r="J770" s="20" t="s">
        <v>186</v>
      </c>
      <c r="K770" s="20" t="s">
        <v>167</v>
      </c>
      <c r="Q770" s="20">
        <v>3924.0</v>
      </c>
      <c r="R770" s="20" t="s">
        <v>2797</v>
      </c>
      <c r="S770" s="20" t="s">
        <v>2795</v>
      </c>
      <c r="T770" s="20" t="s">
        <v>138</v>
      </c>
      <c r="W770" s="20" t="s">
        <v>146</v>
      </c>
    </row>
    <row r="771" ht="14.25" customHeight="1">
      <c r="A771" s="20" t="s">
        <v>2798</v>
      </c>
      <c r="B771" s="20" t="s">
        <v>2799</v>
      </c>
      <c r="C771" s="20" t="s">
        <v>818</v>
      </c>
      <c r="F771" s="20" t="s">
        <v>17</v>
      </c>
      <c r="G771" s="20" t="s">
        <v>17</v>
      </c>
      <c r="I771" s="20" t="s">
        <v>88</v>
      </c>
      <c r="J771" s="20" t="s">
        <v>143</v>
      </c>
      <c r="Q771" s="20">
        <v>11413.0</v>
      </c>
      <c r="R771" s="20" t="s">
        <v>2800</v>
      </c>
      <c r="S771" s="20" t="s">
        <v>2799</v>
      </c>
      <c r="T771" s="20" t="s">
        <v>138</v>
      </c>
    </row>
    <row r="772" ht="14.25" customHeight="1">
      <c r="A772" s="20" t="s">
        <v>2801</v>
      </c>
      <c r="B772" s="20" t="s">
        <v>2802</v>
      </c>
      <c r="C772" s="20" t="s">
        <v>193</v>
      </c>
      <c r="F772" s="20" t="s">
        <v>150</v>
      </c>
      <c r="G772" s="20" t="s">
        <v>150</v>
      </c>
      <c r="I772" s="20" t="s">
        <v>151</v>
      </c>
      <c r="J772" s="20" t="s">
        <v>143</v>
      </c>
      <c r="K772" s="20" t="s">
        <v>167</v>
      </c>
      <c r="Q772" s="20">
        <v>15221.0</v>
      </c>
      <c r="R772" s="20" t="s">
        <v>2803</v>
      </c>
      <c r="S772" s="20" t="s">
        <v>2804</v>
      </c>
      <c r="T772" s="20" t="s">
        <v>138</v>
      </c>
    </row>
    <row r="773" ht="14.25" customHeight="1">
      <c r="A773" s="20" t="s">
        <v>2805</v>
      </c>
      <c r="B773" s="20" t="s">
        <v>2806</v>
      </c>
      <c r="C773" s="20" t="s">
        <v>174</v>
      </c>
      <c r="F773" s="20" t="s">
        <v>150</v>
      </c>
      <c r="G773" s="20" t="s">
        <v>150</v>
      </c>
      <c r="I773" s="20" t="s">
        <v>151</v>
      </c>
      <c r="J773" s="20" t="s">
        <v>143</v>
      </c>
      <c r="Q773" s="20">
        <v>6939.0</v>
      </c>
      <c r="R773" s="20" t="s">
        <v>2807</v>
      </c>
      <c r="S773" s="20" t="s">
        <v>2806</v>
      </c>
      <c r="T773" s="20" t="s">
        <v>138</v>
      </c>
    </row>
    <row r="774" ht="14.25" customHeight="1">
      <c r="A774" s="20" t="s">
        <v>2808</v>
      </c>
      <c r="B774" s="20" t="s">
        <v>2809</v>
      </c>
      <c r="C774" s="20" t="s">
        <v>818</v>
      </c>
      <c r="F774" s="20" t="s">
        <v>17</v>
      </c>
      <c r="G774" s="20" t="s">
        <v>17</v>
      </c>
      <c r="I774" s="20" t="s">
        <v>88</v>
      </c>
      <c r="J774" s="20" t="s">
        <v>143</v>
      </c>
      <c r="Q774" s="20">
        <v>10438.0</v>
      </c>
      <c r="R774" s="20" t="s">
        <v>2810</v>
      </c>
      <c r="S774" s="20" t="s">
        <v>2809</v>
      </c>
      <c r="T774" s="20" t="s">
        <v>138</v>
      </c>
    </row>
    <row r="775" ht="14.25" customHeight="1">
      <c r="A775" s="20" t="s">
        <v>2811</v>
      </c>
      <c r="B775" s="20" t="s">
        <v>2812</v>
      </c>
      <c r="C775" s="20" t="s">
        <v>2813</v>
      </c>
      <c r="F775" s="20" t="s">
        <v>17</v>
      </c>
      <c r="G775" s="20" t="s">
        <v>17</v>
      </c>
      <c r="I775" s="20" t="s">
        <v>88</v>
      </c>
      <c r="J775" s="20" t="s">
        <v>143</v>
      </c>
      <c r="K775" s="20" t="s">
        <v>167</v>
      </c>
      <c r="L775" s="20" t="s">
        <v>88</v>
      </c>
      <c r="O775" s="20" t="s">
        <v>144</v>
      </c>
      <c r="Q775" s="20">
        <v>493.0</v>
      </c>
      <c r="R775" s="20" t="s">
        <v>2814</v>
      </c>
      <c r="S775" s="20" t="s">
        <v>2812</v>
      </c>
      <c r="T775" s="20" t="s">
        <v>138</v>
      </c>
      <c r="V775" s="20" t="s">
        <v>260</v>
      </c>
      <c r="W775" s="20" t="s">
        <v>146</v>
      </c>
    </row>
    <row r="776" ht="14.25" customHeight="1">
      <c r="A776" s="20" t="s">
        <v>2815</v>
      </c>
      <c r="B776" s="20" t="s">
        <v>2816</v>
      </c>
      <c r="C776" s="20" t="s">
        <v>174</v>
      </c>
      <c r="F776" s="20" t="s">
        <v>150</v>
      </c>
      <c r="G776" s="20" t="s">
        <v>150</v>
      </c>
      <c r="I776" s="20" t="s">
        <v>151</v>
      </c>
      <c r="J776" s="20" t="s">
        <v>143</v>
      </c>
      <c r="Q776" s="20">
        <v>11537.0</v>
      </c>
      <c r="R776" s="20" t="s">
        <v>2817</v>
      </c>
      <c r="S776" s="20" t="s">
        <v>2816</v>
      </c>
      <c r="T776" s="20" t="s">
        <v>138</v>
      </c>
    </row>
    <row r="777" ht="14.25" customHeight="1">
      <c r="A777" s="20" t="s">
        <v>2818</v>
      </c>
      <c r="B777" s="20" t="s">
        <v>2819</v>
      </c>
      <c r="C777" s="20" t="s">
        <v>201</v>
      </c>
      <c r="F777" s="20" t="s">
        <v>16</v>
      </c>
      <c r="G777" s="20" t="s">
        <v>202</v>
      </c>
      <c r="I777" s="20" t="s">
        <v>203</v>
      </c>
      <c r="J777" s="20" t="s">
        <v>143</v>
      </c>
      <c r="Q777" s="20">
        <v>7841.0</v>
      </c>
      <c r="R777" s="20" t="s">
        <v>2820</v>
      </c>
      <c r="S777" s="20" t="s">
        <v>2819</v>
      </c>
      <c r="T777" s="20" t="s">
        <v>138</v>
      </c>
    </row>
    <row r="778" ht="14.25" customHeight="1">
      <c r="A778" s="20" t="s">
        <v>2821</v>
      </c>
      <c r="B778" s="20" t="s">
        <v>2822</v>
      </c>
      <c r="C778" s="20" t="s">
        <v>818</v>
      </c>
      <c r="F778" s="20" t="s">
        <v>17</v>
      </c>
      <c r="G778" s="20" t="s">
        <v>17</v>
      </c>
      <c r="I778" s="20" t="s">
        <v>88</v>
      </c>
      <c r="J778" s="20" t="s">
        <v>143</v>
      </c>
      <c r="Q778" s="20">
        <v>3209.0</v>
      </c>
      <c r="R778" s="20" t="s">
        <v>2823</v>
      </c>
      <c r="S778" s="20" t="s">
        <v>2822</v>
      </c>
      <c r="T778" s="20" t="s">
        <v>138</v>
      </c>
    </row>
    <row r="779" ht="14.25" customHeight="1">
      <c r="A779" s="20" t="s">
        <v>2824</v>
      </c>
      <c r="B779" s="20" t="s">
        <v>2825</v>
      </c>
      <c r="C779" s="20" t="s">
        <v>2826</v>
      </c>
      <c r="F779" s="20" t="s">
        <v>327</v>
      </c>
      <c r="G779" s="20" t="s">
        <v>385</v>
      </c>
      <c r="I779" s="20" t="s">
        <v>2827</v>
      </c>
      <c r="J779" s="20" t="s">
        <v>186</v>
      </c>
      <c r="Q779" s="20">
        <v>11672.0</v>
      </c>
      <c r="R779" s="20" t="s">
        <v>2828</v>
      </c>
      <c r="S779" s="20" t="s">
        <v>2825</v>
      </c>
      <c r="T779" s="20" t="s">
        <v>138</v>
      </c>
    </row>
    <row r="780" ht="14.25" customHeight="1">
      <c r="A780" s="20" t="s">
        <v>2829</v>
      </c>
      <c r="B780" s="20" t="s">
        <v>2830</v>
      </c>
      <c r="C780" s="20" t="s">
        <v>496</v>
      </c>
      <c r="F780" s="20" t="s">
        <v>218</v>
      </c>
      <c r="G780" s="20" t="s">
        <v>219</v>
      </c>
      <c r="I780" s="20" t="s">
        <v>2831</v>
      </c>
      <c r="J780" s="20" t="s">
        <v>186</v>
      </c>
      <c r="Q780" s="20">
        <v>13710.0</v>
      </c>
      <c r="R780" s="20" t="s">
        <v>2832</v>
      </c>
      <c r="S780" s="20" t="s">
        <v>2830</v>
      </c>
      <c r="T780" s="20" t="s">
        <v>138</v>
      </c>
    </row>
    <row r="781" ht="14.25" customHeight="1">
      <c r="A781" s="20" t="s">
        <v>2833</v>
      </c>
      <c r="B781" s="20" t="s">
        <v>2834</v>
      </c>
      <c r="C781" s="20" t="s">
        <v>1033</v>
      </c>
      <c r="F781" s="20" t="s">
        <v>327</v>
      </c>
      <c r="G781" s="20" t="s">
        <v>395</v>
      </c>
      <c r="H781" s="20">
        <v>15407.0</v>
      </c>
      <c r="I781" s="20" t="s">
        <v>1034</v>
      </c>
      <c r="J781" s="20" t="s">
        <v>136</v>
      </c>
      <c r="P781" s="20" t="s">
        <v>2834</v>
      </c>
      <c r="Q781" s="20">
        <v>15407.0</v>
      </c>
      <c r="R781" s="20" t="s">
        <v>2835</v>
      </c>
      <c r="S781" s="20" t="s">
        <v>2834</v>
      </c>
      <c r="T781" s="20" t="s">
        <v>138</v>
      </c>
      <c r="W781" s="20" t="s">
        <v>136</v>
      </c>
    </row>
    <row r="782" ht="14.25" customHeight="1">
      <c r="A782" s="20" t="s">
        <v>2836</v>
      </c>
      <c r="B782" s="20" t="s">
        <v>2837</v>
      </c>
      <c r="C782" s="20" t="s">
        <v>354</v>
      </c>
      <c r="F782" s="20" t="s">
        <v>218</v>
      </c>
      <c r="G782" s="20" t="s">
        <v>219</v>
      </c>
      <c r="I782" s="20" t="s">
        <v>355</v>
      </c>
      <c r="J782" s="20" t="s">
        <v>186</v>
      </c>
      <c r="K782" s="20" t="s">
        <v>213</v>
      </c>
      <c r="Q782" s="20">
        <v>7445.0</v>
      </c>
      <c r="R782" s="20" t="s">
        <v>2838</v>
      </c>
      <c r="S782" s="20" t="s">
        <v>2839</v>
      </c>
      <c r="T782" s="20" t="s">
        <v>138</v>
      </c>
    </row>
    <row r="783" ht="14.25" customHeight="1">
      <c r="A783" s="20" t="s">
        <v>2840</v>
      </c>
      <c r="B783" s="20" t="s">
        <v>2841</v>
      </c>
      <c r="C783" s="20" t="s">
        <v>163</v>
      </c>
      <c r="F783" s="20" t="s">
        <v>150</v>
      </c>
      <c r="G783" s="20" t="s">
        <v>150</v>
      </c>
      <c r="I783" s="20" t="s">
        <v>151</v>
      </c>
      <c r="J783" s="20" t="s">
        <v>143</v>
      </c>
      <c r="Q783" s="20">
        <v>14123.0</v>
      </c>
      <c r="R783" s="20" t="s">
        <v>2842</v>
      </c>
      <c r="S783" s="20" t="s">
        <v>2841</v>
      </c>
      <c r="T783" s="20" t="s">
        <v>138</v>
      </c>
    </row>
    <row r="784" ht="14.25" customHeight="1">
      <c r="A784" s="20" t="s">
        <v>2843</v>
      </c>
      <c r="B784" s="20" t="s">
        <v>2844</v>
      </c>
      <c r="C784" s="20" t="s">
        <v>235</v>
      </c>
      <c r="F784" s="20" t="s">
        <v>15</v>
      </c>
      <c r="G784" s="20" t="s">
        <v>142</v>
      </c>
      <c r="I784" s="20" t="s">
        <v>105</v>
      </c>
      <c r="J784" s="20" t="s">
        <v>143</v>
      </c>
      <c r="Q784" s="20">
        <v>8651.0</v>
      </c>
      <c r="R784" s="20" t="s">
        <v>2845</v>
      </c>
      <c r="S784" s="20" t="s">
        <v>2844</v>
      </c>
      <c r="T784" s="20" t="s">
        <v>138</v>
      </c>
    </row>
    <row r="785" ht="14.25" customHeight="1">
      <c r="A785" s="20" t="s">
        <v>2846</v>
      </c>
      <c r="B785" s="20" t="s">
        <v>2847</v>
      </c>
      <c r="C785" s="20" t="s">
        <v>174</v>
      </c>
      <c r="F785" s="20" t="s">
        <v>150</v>
      </c>
      <c r="G785" s="20" t="s">
        <v>150</v>
      </c>
      <c r="I785" s="20" t="s">
        <v>151</v>
      </c>
      <c r="J785" s="20" t="s">
        <v>143</v>
      </c>
      <c r="Q785" s="20">
        <v>1987.0</v>
      </c>
      <c r="R785" s="20" t="s">
        <v>2848</v>
      </c>
      <c r="S785" s="20" t="s">
        <v>2849</v>
      </c>
      <c r="T785" s="20" t="s">
        <v>138</v>
      </c>
    </row>
    <row r="786" ht="14.25" customHeight="1">
      <c r="A786" s="20" t="s">
        <v>2850</v>
      </c>
      <c r="B786" s="20" t="s">
        <v>2851</v>
      </c>
      <c r="C786" s="20" t="s">
        <v>2043</v>
      </c>
      <c r="F786" s="20" t="s">
        <v>218</v>
      </c>
      <c r="G786" s="20" t="s">
        <v>219</v>
      </c>
      <c r="I786" s="20" t="s">
        <v>360</v>
      </c>
      <c r="J786" s="20" t="s">
        <v>143</v>
      </c>
      <c r="Q786" s="20">
        <v>6083.0</v>
      </c>
      <c r="R786" s="20" t="s">
        <v>2852</v>
      </c>
      <c r="S786" s="20" t="s">
        <v>2851</v>
      </c>
      <c r="T786" s="20" t="s">
        <v>138</v>
      </c>
    </row>
    <row r="787" ht="14.25" customHeight="1">
      <c r="A787" s="20" t="s">
        <v>2853</v>
      </c>
      <c r="B787" s="20" t="s">
        <v>2854</v>
      </c>
      <c r="C787" s="20" t="s">
        <v>2855</v>
      </c>
      <c r="F787" s="20" t="s">
        <v>15</v>
      </c>
      <c r="G787" s="20" t="s">
        <v>135</v>
      </c>
      <c r="I787" s="20" t="s">
        <v>100</v>
      </c>
      <c r="J787" s="20" t="s">
        <v>143</v>
      </c>
      <c r="Q787" s="20">
        <v>7246.0</v>
      </c>
      <c r="R787" s="20" t="s">
        <v>2856</v>
      </c>
      <c r="S787" s="20" t="s">
        <v>2854</v>
      </c>
      <c r="T787" s="20" t="s">
        <v>138</v>
      </c>
      <c r="W787" s="20" t="s">
        <v>146</v>
      </c>
    </row>
    <row r="788" ht="14.25" customHeight="1">
      <c r="A788" s="20" t="s">
        <v>2857</v>
      </c>
      <c r="B788" s="20" t="s">
        <v>2858</v>
      </c>
      <c r="C788" s="20" t="s">
        <v>748</v>
      </c>
      <c r="F788" s="20" t="s">
        <v>150</v>
      </c>
      <c r="G788" s="20" t="s">
        <v>150</v>
      </c>
      <c r="I788" s="20" t="s">
        <v>151</v>
      </c>
      <c r="J788" s="20" t="s">
        <v>186</v>
      </c>
      <c r="Q788" s="20">
        <v>12426.0</v>
      </c>
      <c r="R788" s="20" t="s">
        <v>2859</v>
      </c>
      <c r="S788" s="20" t="s">
        <v>2858</v>
      </c>
      <c r="T788" s="20" t="s">
        <v>138</v>
      </c>
    </row>
    <row r="789" ht="14.25" customHeight="1">
      <c r="A789" s="20" t="s">
        <v>2860</v>
      </c>
      <c r="B789" s="20" t="s">
        <v>2861</v>
      </c>
      <c r="C789" s="20" t="s">
        <v>235</v>
      </c>
      <c r="F789" s="20" t="s">
        <v>15</v>
      </c>
      <c r="G789" s="20" t="s">
        <v>142</v>
      </c>
      <c r="I789" s="20" t="s">
        <v>105</v>
      </c>
      <c r="J789" s="20" t="s">
        <v>186</v>
      </c>
      <c r="Q789" s="20">
        <v>7286.0</v>
      </c>
      <c r="R789" s="20" t="s">
        <v>2862</v>
      </c>
      <c r="S789" s="20" t="s">
        <v>2861</v>
      </c>
      <c r="T789" s="20" t="s">
        <v>138</v>
      </c>
    </row>
    <row r="790" ht="14.25" customHeight="1">
      <c r="A790" s="20" t="s">
        <v>2863</v>
      </c>
      <c r="B790" s="20" t="s">
        <v>2864</v>
      </c>
      <c r="C790" s="20" t="s">
        <v>818</v>
      </c>
      <c r="F790" s="20" t="s">
        <v>17</v>
      </c>
      <c r="G790" s="20" t="s">
        <v>17</v>
      </c>
      <c r="I790" s="20" t="s">
        <v>88</v>
      </c>
      <c r="J790" s="20" t="s">
        <v>143</v>
      </c>
      <c r="K790" s="20" t="s">
        <v>167</v>
      </c>
      <c r="Q790" s="20">
        <v>2765.0</v>
      </c>
      <c r="R790" s="20" t="s">
        <v>2865</v>
      </c>
      <c r="S790" s="20" t="s">
        <v>2864</v>
      </c>
      <c r="T790" s="20" t="s">
        <v>138</v>
      </c>
    </row>
    <row r="791" ht="14.25" customHeight="1">
      <c r="A791" s="20" t="s">
        <v>2866</v>
      </c>
      <c r="B791" s="20" t="s">
        <v>2867</v>
      </c>
      <c r="C791" s="20" t="s">
        <v>163</v>
      </c>
      <c r="F791" s="20" t="s">
        <v>150</v>
      </c>
      <c r="G791" s="20" t="s">
        <v>150</v>
      </c>
      <c r="I791" s="20" t="s">
        <v>151</v>
      </c>
      <c r="J791" s="20" t="s">
        <v>143</v>
      </c>
      <c r="Q791" s="20">
        <v>16507.0</v>
      </c>
      <c r="R791" s="20" t="s">
        <v>2868</v>
      </c>
      <c r="S791" s="20" t="s">
        <v>2867</v>
      </c>
      <c r="T791" s="20" t="s">
        <v>138</v>
      </c>
    </row>
    <row r="792" ht="14.25" customHeight="1">
      <c r="A792" s="20" t="s">
        <v>2869</v>
      </c>
      <c r="B792" s="20" t="s">
        <v>2870</v>
      </c>
      <c r="C792" s="20" t="s">
        <v>2871</v>
      </c>
      <c r="F792" s="20" t="s">
        <v>218</v>
      </c>
      <c r="G792" s="20" t="s">
        <v>219</v>
      </c>
      <c r="H792" s="20">
        <v>12395.0</v>
      </c>
      <c r="I792" s="20" t="s">
        <v>355</v>
      </c>
      <c r="J792" s="20" t="s">
        <v>143</v>
      </c>
      <c r="K792" s="20" t="s">
        <v>187</v>
      </c>
      <c r="Q792" s="20">
        <v>12395.0</v>
      </c>
      <c r="R792" s="20" t="s">
        <v>2872</v>
      </c>
      <c r="S792" s="20" t="s">
        <v>2870</v>
      </c>
      <c r="T792" s="20" t="s">
        <v>138</v>
      </c>
      <c r="W792" s="20" t="s">
        <v>146</v>
      </c>
      <c r="X792" s="20" t="s">
        <v>1292</v>
      </c>
    </row>
    <row r="793" ht="14.25" customHeight="1">
      <c r="A793" s="20" t="s">
        <v>2873</v>
      </c>
      <c r="B793" s="20" t="s">
        <v>2874</v>
      </c>
      <c r="C793" s="20" t="s">
        <v>1663</v>
      </c>
      <c r="F793" s="20" t="s">
        <v>218</v>
      </c>
      <c r="G793" s="20" t="s">
        <v>219</v>
      </c>
      <c r="I793" s="20" t="s">
        <v>2875</v>
      </c>
      <c r="J793" s="20" t="s">
        <v>186</v>
      </c>
      <c r="Q793" s="20">
        <v>4028.0</v>
      </c>
      <c r="R793" s="20" t="s">
        <v>2876</v>
      </c>
      <c r="S793" s="20" t="s">
        <v>2874</v>
      </c>
      <c r="T793" s="20" t="s">
        <v>138</v>
      </c>
    </row>
    <row r="794" ht="14.25" customHeight="1">
      <c r="A794" s="20" t="s">
        <v>2877</v>
      </c>
      <c r="B794" s="20" t="s">
        <v>2878</v>
      </c>
      <c r="C794" s="20" t="s">
        <v>235</v>
      </c>
      <c r="F794" s="20" t="s">
        <v>15</v>
      </c>
      <c r="G794" s="20" t="s">
        <v>142</v>
      </c>
      <c r="I794" s="20" t="s">
        <v>105</v>
      </c>
      <c r="J794" s="20" t="s">
        <v>143</v>
      </c>
      <c r="Q794" s="20">
        <v>9042.0</v>
      </c>
      <c r="R794" s="20" t="s">
        <v>2879</v>
      </c>
      <c r="S794" s="20" t="s">
        <v>2878</v>
      </c>
      <c r="T794" s="20" t="s">
        <v>138</v>
      </c>
    </row>
    <row r="795" ht="14.25" customHeight="1">
      <c r="A795" s="20" t="s">
        <v>2880</v>
      </c>
      <c r="B795" s="20" t="s">
        <v>2881</v>
      </c>
      <c r="C795" s="20" t="s">
        <v>174</v>
      </c>
      <c r="F795" s="20" t="s">
        <v>150</v>
      </c>
      <c r="G795" s="20" t="s">
        <v>150</v>
      </c>
      <c r="I795" s="20" t="s">
        <v>151</v>
      </c>
      <c r="J795" s="20" t="s">
        <v>143</v>
      </c>
      <c r="K795" s="20" t="s">
        <v>167</v>
      </c>
      <c r="Q795" s="20">
        <v>16013.0</v>
      </c>
      <c r="R795" s="20" t="s">
        <v>2882</v>
      </c>
      <c r="S795" s="20" t="s">
        <v>2881</v>
      </c>
      <c r="T795" s="20" t="s">
        <v>138</v>
      </c>
    </row>
    <row r="796" ht="14.25" customHeight="1">
      <c r="A796" s="20" t="s">
        <v>2883</v>
      </c>
      <c r="B796" s="20" t="s">
        <v>2884</v>
      </c>
      <c r="C796" s="20" t="s">
        <v>1762</v>
      </c>
      <c r="F796" s="20" t="s">
        <v>15</v>
      </c>
      <c r="G796" s="20" t="s">
        <v>135</v>
      </c>
      <c r="I796" s="20" t="s">
        <v>90</v>
      </c>
      <c r="J796" s="20" t="s">
        <v>136</v>
      </c>
      <c r="Q796" s="20">
        <v>6536.0</v>
      </c>
      <c r="R796" s="20" t="s">
        <v>2885</v>
      </c>
      <c r="S796" s="20" t="s">
        <v>2884</v>
      </c>
      <c r="T796" s="20" t="s">
        <v>138</v>
      </c>
    </row>
    <row r="797" ht="14.25" customHeight="1">
      <c r="A797" s="20" t="s">
        <v>2886</v>
      </c>
      <c r="B797" s="20" t="s">
        <v>2887</v>
      </c>
      <c r="C797" s="20" t="s">
        <v>2888</v>
      </c>
      <c r="F797" s="20" t="s">
        <v>17</v>
      </c>
      <c r="G797" s="20" t="s">
        <v>17</v>
      </c>
      <c r="I797" s="20" t="s">
        <v>88</v>
      </c>
      <c r="J797" s="20" t="s">
        <v>186</v>
      </c>
      <c r="Q797" s="20">
        <v>512.0</v>
      </c>
      <c r="R797" s="20" t="s">
        <v>2889</v>
      </c>
      <c r="S797" s="20" t="s">
        <v>2890</v>
      </c>
      <c r="T797" s="20" t="s">
        <v>138</v>
      </c>
    </row>
    <row r="798" ht="14.25" customHeight="1">
      <c r="A798" s="20" t="s">
        <v>2891</v>
      </c>
      <c r="B798" s="20" t="s">
        <v>2892</v>
      </c>
      <c r="C798" s="20" t="s">
        <v>1115</v>
      </c>
      <c r="F798" s="20" t="s">
        <v>15</v>
      </c>
      <c r="G798" s="20" t="s">
        <v>142</v>
      </c>
      <c r="H798" s="20">
        <v>11565.0</v>
      </c>
      <c r="I798" s="20" t="s">
        <v>105</v>
      </c>
      <c r="J798" s="20" t="s">
        <v>143</v>
      </c>
      <c r="P798" s="20" t="s">
        <v>2892</v>
      </c>
      <c r="Q798" s="20">
        <v>11565.0</v>
      </c>
      <c r="R798" s="20" t="s">
        <v>2893</v>
      </c>
      <c r="S798" s="20" t="s">
        <v>2892</v>
      </c>
      <c r="T798" s="20" t="s">
        <v>138</v>
      </c>
      <c r="W798" s="20" t="s">
        <v>146</v>
      </c>
    </row>
    <row r="799" ht="14.25" customHeight="1">
      <c r="A799" s="20" t="s">
        <v>2894</v>
      </c>
      <c r="B799" s="20" t="s">
        <v>2895</v>
      </c>
      <c r="C799" s="20" t="s">
        <v>694</v>
      </c>
      <c r="F799" s="20" t="s">
        <v>16</v>
      </c>
      <c r="G799" s="20" t="s">
        <v>202</v>
      </c>
      <c r="I799" s="20" t="s">
        <v>87</v>
      </c>
      <c r="J799" s="20" t="s">
        <v>186</v>
      </c>
      <c r="K799" s="20" t="s">
        <v>187</v>
      </c>
      <c r="Q799" s="20">
        <v>3066.0</v>
      </c>
      <c r="R799" s="20" t="s">
        <v>2896</v>
      </c>
      <c r="S799" s="20" t="s">
        <v>2895</v>
      </c>
      <c r="T799" s="20" t="s">
        <v>138</v>
      </c>
      <c r="V799" s="20" t="s">
        <v>189</v>
      </c>
      <c r="W799" s="20" t="s">
        <v>190</v>
      </c>
    </row>
    <row r="800" ht="14.25" customHeight="1">
      <c r="A800" s="20" t="s">
        <v>2897</v>
      </c>
      <c r="B800" s="20" t="s">
        <v>2898</v>
      </c>
      <c r="C800" s="20" t="s">
        <v>289</v>
      </c>
      <c r="F800" s="20" t="s">
        <v>150</v>
      </c>
      <c r="G800" s="20" t="s">
        <v>150</v>
      </c>
      <c r="I800" s="20" t="s">
        <v>2024</v>
      </c>
      <c r="J800" s="20" t="s">
        <v>143</v>
      </c>
      <c r="Q800" s="20">
        <v>10687.0</v>
      </c>
      <c r="R800" s="20" t="s">
        <v>2899</v>
      </c>
      <c r="S800" s="20" t="s">
        <v>2898</v>
      </c>
      <c r="T800" s="20" t="s">
        <v>138</v>
      </c>
    </row>
    <row r="801" ht="14.25" customHeight="1">
      <c r="A801" s="20" t="s">
        <v>2900</v>
      </c>
      <c r="B801" s="20" t="s">
        <v>2901</v>
      </c>
      <c r="C801" s="20" t="s">
        <v>394</v>
      </c>
      <c r="F801" s="20" t="s">
        <v>327</v>
      </c>
      <c r="G801" s="20" t="s">
        <v>395</v>
      </c>
      <c r="I801" s="20" t="s">
        <v>396</v>
      </c>
      <c r="J801" s="20" t="s">
        <v>143</v>
      </c>
      <c r="Q801" s="20">
        <v>14669.0</v>
      </c>
      <c r="R801" s="20" t="s">
        <v>2902</v>
      </c>
      <c r="S801" s="20" t="s">
        <v>2903</v>
      </c>
      <c r="T801" s="20" t="s">
        <v>138</v>
      </c>
    </row>
    <row r="802" ht="14.25" customHeight="1">
      <c r="A802" s="20" t="s">
        <v>2904</v>
      </c>
      <c r="B802" s="20" t="s">
        <v>2905</v>
      </c>
      <c r="C802" s="20" t="s">
        <v>235</v>
      </c>
      <c r="F802" s="20" t="s">
        <v>15</v>
      </c>
      <c r="G802" s="20" t="s">
        <v>142</v>
      </c>
      <c r="I802" s="20" t="s">
        <v>105</v>
      </c>
      <c r="J802" s="20" t="s">
        <v>143</v>
      </c>
      <c r="Q802" s="20">
        <v>9996.0</v>
      </c>
      <c r="R802" s="20" t="s">
        <v>2906</v>
      </c>
      <c r="S802" s="20" t="s">
        <v>2905</v>
      </c>
      <c r="T802" s="20" t="s">
        <v>138</v>
      </c>
    </row>
    <row r="803" ht="14.25" customHeight="1">
      <c r="A803" s="20" t="s">
        <v>2907</v>
      </c>
      <c r="B803" s="20" t="s">
        <v>2908</v>
      </c>
      <c r="C803" s="20" t="s">
        <v>235</v>
      </c>
      <c r="F803" s="20" t="s">
        <v>15</v>
      </c>
      <c r="G803" s="20" t="s">
        <v>142</v>
      </c>
      <c r="I803" s="20" t="s">
        <v>105</v>
      </c>
      <c r="J803" s="20" t="s">
        <v>143</v>
      </c>
      <c r="Q803" s="20">
        <v>10331.0</v>
      </c>
      <c r="R803" s="20" t="s">
        <v>2909</v>
      </c>
      <c r="S803" s="20" t="s">
        <v>2908</v>
      </c>
      <c r="T803" s="20" t="s">
        <v>138</v>
      </c>
    </row>
    <row r="804" ht="14.25" customHeight="1">
      <c r="A804" s="20" t="s">
        <v>2910</v>
      </c>
      <c r="B804" s="20" t="s">
        <v>2911</v>
      </c>
      <c r="C804" s="20" t="s">
        <v>775</v>
      </c>
      <c r="F804" s="20" t="s">
        <v>327</v>
      </c>
      <c r="G804" s="20" t="s">
        <v>385</v>
      </c>
      <c r="I804" s="20" t="s">
        <v>762</v>
      </c>
      <c r="J804" s="20" t="s">
        <v>143</v>
      </c>
      <c r="Q804" s="20">
        <v>10173.0</v>
      </c>
      <c r="R804" s="20" t="s">
        <v>2912</v>
      </c>
      <c r="S804" s="20" t="s">
        <v>2911</v>
      </c>
      <c r="T804" s="20" t="s">
        <v>138</v>
      </c>
    </row>
    <row r="805" ht="14.25" customHeight="1">
      <c r="A805" s="20" t="s">
        <v>2913</v>
      </c>
      <c r="B805" s="20" t="s">
        <v>2914</v>
      </c>
      <c r="C805" s="20" t="s">
        <v>197</v>
      </c>
      <c r="F805" s="20" t="s">
        <v>150</v>
      </c>
      <c r="G805" s="20" t="s">
        <v>150</v>
      </c>
      <c r="I805" s="20" t="s">
        <v>151</v>
      </c>
      <c r="J805" s="20" t="s">
        <v>143</v>
      </c>
      <c r="Q805" s="20">
        <v>11959.0</v>
      </c>
      <c r="R805" s="20" t="s">
        <v>2915</v>
      </c>
      <c r="S805" s="20" t="s">
        <v>2914</v>
      </c>
      <c r="T805" s="20" t="s">
        <v>138</v>
      </c>
    </row>
    <row r="806" ht="14.25" customHeight="1">
      <c r="A806" s="20" t="s">
        <v>2916</v>
      </c>
      <c r="B806" s="20" t="s">
        <v>2917</v>
      </c>
      <c r="C806" s="20" t="s">
        <v>2232</v>
      </c>
      <c r="F806" s="20" t="s">
        <v>327</v>
      </c>
      <c r="G806" s="20" t="s">
        <v>385</v>
      </c>
      <c r="I806" s="20" t="s">
        <v>510</v>
      </c>
      <c r="J806" s="20" t="s">
        <v>143</v>
      </c>
      <c r="K806" s="20" t="s">
        <v>213</v>
      </c>
      <c r="Q806" s="20">
        <v>7449.0</v>
      </c>
      <c r="R806" s="20" t="s">
        <v>2918</v>
      </c>
      <c r="S806" s="20" t="s">
        <v>2917</v>
      </c>
      <c r="T806" s="20" t="s">
        <v>138</v>
      </c>
    </row>
    <row r="807" ht="14.25" customHeight="1">
      <c r="A807" s="20" t="s">
        <v>2919</v>
      </c>
      <c r="B807" s="20" t="s">
        <v>2920</v>
      </c>
      <c r="C807" s="20" t="s">
        <v>149</v>
      </c>
      <c r="F807" s="20" t="s">
        <v>150</v>
      </c>
      <c r="G807" s="20" t="s">
        <v>150</v>
      </c>
      <c r="I807" s="20" t="s">
        <v>151</v>
      </c>
      <c r="J807" s="20" t="s">
        <v>143</v>
      </c>
      <c r="Q807" s="20">
        <v>10345.0</v>
      </c>
      <c r="R807" s="20" t="s">
        <v>2921</v>
      </c>
      <c r="S807" s="20" t="s">
        <v>2920</v>
      </c>
      <c r="T807" s="20" t="s">
        <v>138</v>
      </c>
    </row>
    <row r="808" ht="14.25" customHeight="1">
      <c r="A808" s="20" t="s">
        <v>2922</v>
      </c>
      <c r="B808" s="20" t="s">
        <v>2923</v>
      </c>
      <c r="C808" s="20" t="s">
        <v>779</v>
      </c>
      <c r="F808" s="20" t="s">
        <v>150</v>
      </c>
      <c r="G808" s="20" t="s">
        <v>150</v>
      </c>
      <c r="I808" s="20" t="s">
        <v>151</v>
      </c>
      <c r="J808" s="20" t="s">
        <v>143</v>
      </c>
      <c r="Q808" s="20">
        <v>9775.0</v>
      </c>
      <c r="R808" s="20" t="s">
        <v>2924</v>
      </c>
      <c r="S808" s="20" t="s">
        <v>2923</v>
      </c>
      <c r="T808" s="20" t="s">
        <v>138</v>
      </c>
    </row>
    <row r="809" ht="14.25" customHeight="1">
      <c r="A809" s="20" t="s">
        <v>2925</v>
      </c>
      <c r="B809" s="20" t="s">
        <v>2926</v>
      </c>
      <c r="C809" s="20" t="s">
        <v>384</v>
      </c>
      <c r="F809" s="20" t="s">
        <v>327</v>
      </c>
      <c r="G809" s="20" t="s">
        <v>385</v>
      </c>
      <c r="I809" s="20" t="s">
        <v>386</v>
      </c>
      <c r="J809" s="20" t="s">
        <v>143</v>
      </c>
      <c r="Q809" s="20">
        <v>10817.0</v>
      </c>
      <c r="R809" s="20" t="s">
        <v>2927</v>
      </c>
      <c r="S809" s="20" t="s">
        <v>2926</v>
      </c>
      <c r="T809" s="20" t="s">
        <v>138</v>
      </c>
    </row>
    <row r="810" ht="14.25" customHeight="1">
      <c r="A810" s="20" t="s">
        <v>2928</v>
      </c>
      <c r="B810" s="20" t="s">
        <v>2929</v>
      </c>
      <c r="C810" s="20" t="s">
        <v>2930</v>
      </c>
      <c r="F810" s="20" t="s">
        <v>327</v>
      </c>
      <c r="G810" s="20" t="s">
        <v>385</v>
      </c>
      <c r="I810" s="20" t="s">
        <v>2931</v>
      </c>
      <c r="J810" s="20" t="s">
        <v>186</v>
      </c>
      <c r="K810" s="20" t="s">
        <v>213</v>
      </c>
      <c r="Q810" s="20">
        <v>11846.0</v>
      </c>
      <c r="R810" s="20" t="s">
        <v>2932</v>
      </c>
      <c r="S810" s="20" t="s">
        <v>2929</v>
      </c>
      <c r="T810" s="20" t="s">
        <v>138</v>
      </c>
      <c r="W810" s="20" t="s">
        <v>146</v>
      </c>
    </row>
    <row r="811" ht="14.25" customHeight="1">
      <c r="A811" s="20" t="s">
        <v>2933</v>
      </c>
      <c r="B811" s="20" t="s">
        <v>2934</v>
      </c>
      <c r="C811" s="20" t="s">
        <v>786</v>
      </c>
      <c r="F811" s="20" t="s">
        <v>16</v>
      </c>
      <c r="G811" s="20" t="s">
        <v>202</v>
      </c>
      <c r="I811" s="20" t="s">
        <v>203</v>
      </c>
      <c r="J811" s="20" t="s">
        <v>143</v>
      </c>
      <c r="K811" s="20" t="s">
        <v>167</v>
      </c>
      <c r="Q811" s="20">
        <v>3949.0</v>
      </c>
      <c r="R811" s="20" t="s">
        <v>2935</v>
      </c>
      <c r="S811" s="20" t="s">
        <v>2934</v>
      </c>
      <c r="T811" s="20" t="s">
        <v>138</v>
      </c>
    </row>
    <row r="812" ht="14.25" customHeight="1">
      <c r="A812" s="20" t="s">
        <v>2936</v>
      </c>
      <c r="B812" s="20" t="s">
        <v>2937</v>
      </c>
      <c r="C812" s="20" t="s">
        <v>217</v>
      </c>
      <c r="F812" s="20" t="s">
        <v>218</v>
      </c>
      <c r="G812" s="20" t="s">
        <v>219</v>
      </c>
      <c r="I812" s="20" t="s">
        <v>337</v>
      </c>
      <c r="J812" s="20" t="s">
        <v>186</v>
      </c>
      <c r="Q812" s="20">
        <v>11075.0</v>
      </c>
      <c r="R812" s="20" t="s">
        <v>2938</v>
      </c>
      <c r="S812" s="20" t="s">
        <v>2937</v>
      </c>
      <c r="T812" s="20" t="s">
        <v>138</v>
      </c>
    </row>
    <row r="813" ht="14.25" customHeight="1">
      <c r="A813" s="20" t="s">
        <v>2939</v>
      </c>
      <c r="B813" s="20" t="s">
        <v>2940</v>
      </c>
      <c r="C813" s="20" t="s">
        <v>394</v>
      </c>
      <c r="F813" s="20" t="s">
        <v>17</v>
      </c>
      <c r="G813" s="20" t="s">
        <v>17</v>
      </c>
      <c r="I813" s="20" t="s">
        <v>88</v>
      </c>
      <c r="J813" s="20" t="s">
        <v>186</v>
      </c>
      <c r="Q813" s="20">
        <v>15561.0</v>
      </c>
      <c r="R813" s="20" t="s">
        <v>2941</v>
      </c>
      <c r="S813" s="20" t="s">
        <v>2940</v>
      </c>
      <c r="T813" s="20" t="s">
        <v>138</v>
      </c>
    </row>
    <row r="814" ht="14.25" customHeight="1">
      <c r="A814" s="20" t="s">
        <v>2942</v>
      </c>
      <c r="B814" s="20" t="s">
        <v>2943</v>
      </c>
      <c r="C814" s="20" t="s">
        <v>818</v>
      </c>
      <c r="F814" s="20" t="s">
        <v>17</v>
      </c>
      <c r="G814" s="20" t="s">
        <v>17</v>
      </c>
      <c r="I814" s="20" t="s">
        <v>88</v>
      </c>
      <c r="J814" s="20" t="s">
        <v>143</v>
      </c>
      <c r="Q814" s="20">
        <v>518.0</v>
      </c>
      <c r="R814" s="20" t="s">
        <v>2944</v>
      </c>
      <c r="S814" s="20" t="s">
        <v>2943</v>
      </c>
      <c r="T814" s="20" t="s">
        <v>138</v>
      </c>
    </row>
    <row r="815" ht="14.25" customHeight="1">
      <c r="A815" s="20" t="s">
        <v>2945</v>
      </c>
      <c r="B815" s="20" t="s">
        <v>2946</v>
      </c>
      <c r="C815" s="20" t="s">
        <v>1318</v>
      </c>
      <c r="F815" s="20" t="s">
        <v>218</v>
      </c>
      <c r="G815" s="20" t="s">
        <v>219</v>
      </c>
      <c r="H815" s="20">
        <v>7270.0</v>
      </c>
      <c r="I815" s="20" t="s">
        <v>314</v>
      </c>
      <c r="J815" s="20" t="s">
        <v>186</v>
      </c>
      <c r="P815" s="20" t="s">
        <v>2946</v>
      </c>
      <c r="Q815" s="20">
        <v>7270.0</v>
      </c>
      <c r="R815" s="20" t="s">
        <v>2947</v>
      </c>
      <c r="S815" s="20" t="s">
        <v>2946</v>
      </c>
      <c r="T815" s="20" t="s">
        <v>138</v>
      </c>
      <c r="W815" s="20" t="s">
        <v>146</v>
      </c>
    </row>
    <row r="816" ht="14.25" customHeight="1">
      <c r="A816" s="20" t="s">
        <v>2948</v>
      </c>
      <c r="B816" s="20" t="s">
        <v>2949</v>
      </c>
      <c r="C816" s="20" t="s">
        <v>1744</v>
      </c>
      <c r="F816" s="20" t="s">
        <v>16</v>
      </c>
      <c r="G816" s="20" t="s">
        <v>202</v>
      </c>
      <c r="I816" s="20" t="s">
        <v>1745</v>
      </c>
      <c r="J816" s="20" t="s">
        <v>186</v>
      </c>
      <c r="K816" s="20" t="s">
        <v>213</v>
      </c>
      <c r="L816" s="20" t="s">
        <v>1745</v>
      </c>
      <c r="O816" s="20" t="s">
        <v>144</v>
      </c>
      <c r="Q816" s="20">
        <v>3635.0</v>
      </c>
      <c r="R816" s="20" t="s">
        <v>2950</v>
      </c>
      <c r="S816" s="20" t="s">
        <v>2949</v>
      </c>
      <c r="T816" s="20" t="s">
        <v>138</v>
      </c>
      <c r="V816" s="20" t="s">
        <v>260</v>
      </c>
      <c r="W816" s="20" t="s">
        <v>146</v>
      </c>
    </row>
    <row r="817" ht="14.25" customHeight="1">
      <c r="A817" s="20" t="s">
        <v>2951</v>
      </c>
      <c r="B817" s="20" t="s">
        <v>2952</v>
      </c>
      <c r="C817" s="20" t="s">
        <v>193</v>
      </c>
      <c r="F817" s="20" t="s">
        <v>150</v>
      </c>
      <c r="G817" s="20" t="s">
        <v>150</v>
      </c>
      <c r="I817" s="20" t="s">
        <v>151</v>
      </c>
      <c r="J817" s="20" t="s">
        <v>143</v>
      </c>
      <c r="K817" s="20" t="s">
        <v>167</v>
      </c>
      <c r="Q817" s="20">
        <v>6631.0</v>
      </c>
      <c r="R817" s="20" t="s">
        <v>2953</v>
      </c>
      <c r="S817" s="20" t="s">
        <v>2952</v>
      </c>
      <c r="T817" s="20" t="s">
        <v>138</v>
      </c>
    </row>
    <row r="818" ht="14.25" customHeight="1">
      <c r="A818" s="20" t="s">
        <v>2954</v>
      </c>
      <c r="B818" s="20" t="s">
        <v>2955</v>
      </c>
      <c r="C818" s="20" t="s">
        <v>272</v>
      </c>
      <c r="F818" s="20" t="s">
        <v>150</v>
      </c>
      <c r="G818" s="20" t="s">
        <v>150</v>
      </c>
      <c r="I818" s="20" t="s">
        <v>151</v>
      </c>
      <c r="J818" s="20" t="s">
        <v>143</v>
      </c>
      <c r="K818" s="20" t="s">
        <v>167</v>
      </c>
      <c r="Q818" s="20">
        <v>14673.0</v>
      </c>
      <c r="R818" s="20" t="s">
        <v>2956</v>
      </c>
      <c r="S818" s="20" t="s">
        <v>2955</v>
      </c>
      <c r="T818" s="20" t="s">
        <v>138</v>
      </c>
    </row>
    <row r="819" ht="14.25" customHeight="1">
      <c r="A819" s="20" t="s">
        <v>2957</v>
      </c>
      <c r="B819" s="20" t="s">
        <v>2958</v>
      </c>
      <c r="C819" s="20" t="s">
        <v>446</v>
      </c>
      <c r="F819" s="20" t="s">
        <v>16</v>
      </c>
      <c r="G819" s="20" t="s">
        <v>202</v>
      </c>
      <c r="I819" s="20" t="s">
        <v>87</v>
      </c>
      <c r="J819" s="20" t="s">
        <v>186</v>
      </c>
      <c r="K819" s="20" t="s">
        <v>213</v>
      </c>
      <c r="Q819" s="20">
        <v>521.0</v>
      </c>
      <c r="R819" s="20" t="s">
        <v>2959</v>
      </c>
      <c r="S819" s="20" t="s">
        <v>2958</v>
      </c>
      <c r="T819" s="20" t="s">
        <v>138</v>
      </c>
      <c r="V819" s="20" t="s">
        <v>189</v>
      </c>
      <c r="W819" s="20" t="s">
        <v>146</v>
      </c>
    </row>
    <row r="820" ht="14.25" customHeight="1">
      <c r="A820" s="20" t="s">
        <v>2960</v>
      </c>
      <c r="B820" s="20" t="s">
        <v>2961</v>
      </c>
      <c r="C820" s="20" t="s">
        <v>482</v>
      </c>
      <c r="F820" s="20" t="s">
        <v>15</v>
      </c>
      <c r="G820" s="20" t="s">
        <v>142</v>
      </c>
      <c r="I820" s="20" t="s">
        <v>105</v>
      </c>
      <c r="J820" s="20" t="s">
        <v>143</v>
      </c>
      <c r="Q820" s="20">
        <v>14904.0</v>
      </c>
      <c r="R820" s="20" t="s">
        <v>2962</v>
      </c>
      <c r="S820" s="20" t="s">
        <v>2961</v>
      </c>
      <c r="T820" s="20" t="s">
        <v>138</v>
      </c>
    </row>
    <row r="821" ht="14.25" customHeight="1">
      <c r="A821" s="20" t="s">
        <v>2963</v>
      </c>
      <c r="B821" s="20" t="s">
        <v>2964</v>
      </c>
      <c r="C821" s="20" t="s">
        <v>818</v>
      </c>
      <c r="F821" s="20" t="s">
        <v>17</v>
      </c>
      <c r="G821" s="20" t="s">
        <v>17</v>
      </c>
      <c r="I821" s="20" t="s">
        <v>88</v>
      </c>
      <c r="J821" s="20" t="s">
        <v>143</v>
      </c>
      <c r="Q821" s="20">
        <v>10768.0</v>
      </c>
      <c r="R821" s="20" t="s">
        <v>2965</v>
      </c>
      <c r="S821" s="20" t="s">
        <v>2964</v>
      </c>
      <c r="T821" s="20" t="s">
        <v>138</v>
      </c>
    </row>
    <row r="822" ht="14.25" customHeight="1">
      <c r="A822" s="20" t="s">
        <v>2966</v>
      </c>
      <c r="B822" s="20" t="s">
        <v>2967</v>
      </c>
      <c r="C822" s="20" t="s">
        <v>235</v>
      </c>
      <c r="F822" s="20" t="s">
        <v>15</v>
      </c>
      <c r="G822" s="20" t="s">
        <v>142</v>
      </c>
      <c r="I822" s="20" t="s">
        <v>105</v>
      </c>
      <c r="J822" s="20" t="s">
        <v>143</v>
      </c>
      <c r="Q822" s="20">
        <v>9803.0</v>
      </c>
      <c r="R822" s="20" t="s">
        <v>2968</v>
      </c>
      <c r="S822" s="20" t="s">
        <v>2967</v>
      </c>
      <c r="T822" s="20" t="s">
        <v>138</v>
      </c>
    </row>
    <row r="823" ht="14.25" customHeight="1">
      <c r="A823" s="20" t="s">
        <v>2969</v>
      </c>
      <c r="B823" s="20" t="s">
        <v>2970</v>
      </c>
      <c r="C823" s="20" t="s">
        <v>235</v>
      </c>
      <c r="F823" s="20" t="s">
        <v>15</v>
      </c>
      <c r="G823" s="20" t="s">
        <v>142</v>
      </c>
      <c r="I823" s="20" t="s">
        <v>105</v>
      </c>
      <c r="J823" s="20" t="s">
        <v>143</v>
      </c>
      <c r="Q823" s="20">
        <v>8793.0</v>
      </c>
      <c r="R823" s="20" t="s">
        <v>2971</v>
      </c>
      <c r="S823" s="20" t="s">
        <v>2970</v>
      </c>
      <c r="T823" s="20" t="s">
        <v>138</v>
      </c>
    </row>
    <row r="824" ht="14.25" customHeight="1">
      <c r="A824" s="20" t="s">
        <v>2972</v>
      </c>
      <c r="B824" s="20" t="s">
        <v>2973</v>
      </c>
      <c r="C824" s="20" t="s">
        <v>289</v>
      </c>
      <c r="F824" s="20" t="s">
        <v>150</v>
      </c>
      <c r="G824" s="20" t="s">
        <v>150</v>
      </c>
      <c r="I824" s="20" t="s">
        <v>151</v>
      </c>
      <c r="J824" s="20" t="s">
        <v>143</v>
      </c>
      <c r="Q824" s="20">
        <v>5238.0</v>
      </c>
      <c r="R824" s="20" t="s">
        <v>2974</v>
      </c>
      <c r="S824" s="20" t="s">
        <v>2973</v>
      </c>
      <c r="T824" s="20" t="s">
        <v>138</v>
      </c>
    </row>
    <row r="825" ht="14.25" customHeight="1">
      <c r="A825" s="20" t="s">
        <v>2975</v>
      </c>
      <c r="B825" s="20" t="s">
        <v>2976</v>
      </c>
      <c r="C825" s="20" t="s">
        <v>2494</v>
      </c>
      <c r="F825" s="20" t="s">
        <v>218</v>
      </c>
      <c r="G825" s="20" t="s">
        <v>219</v>
      </c>
      <c r="I825" s="20" t="s">
        <v>365</v>
      </c>
      <c r="J825" s="20" t="s">
        <v>143</v>
      </c>
      <c r="L825" s="20" t="s">
        <v>365</v>
      </c>
      <c r="Q825" s="20">
        <v>17138.0</v>
      </c>
      <c r="R825" s="20" t="s">
        <v>2977</v>
      </c>
      <c r="S825" s="20" t="s">
        <v>2976</v>
      </c>
      <c r="T825" s="20" t="s">
        <v>138</v>
      </c>
    </row>
    <row r="826" ht="14.25" customHeight="1">
      <c r="A826" s="20" t="s">
        <v>2978</v>
      </c>
      <c r="B826" s="20" t="s">
        <v>2979</v>
      </c>
      <c r="C826" s="20" t="s">
        <v>2980</v>
      </c>
      <c r="F826" s="20" t="s">
        <v>150</v>
      </c>
      <c r="G826" s="20" t="s">
        <v>150</v>
      </c>
      <c r="I826" s="20" t="s">
        <v>151</v>
      </c>
      <c r="J826" s="20" t="s">
        <v>143</v>
      </c>
      <c r="K826" s="20" t="s">
        <v>167</v>
      </c>
      <c r="Q826" s="20">
        <v>16633.0</v>
      </c>
      <c r="R826" s="20" t="s">
        <v>2981</v>
      </c>
      <c r="S826" s="20" t="s">
        <v>2979</v>
      </c>
      <c r="T826" s="20" t="s">
        <v>138</v>
      </c>
      <c r="W826" s="20" t="s">
        <v>146</v>
      </c>
    </row>
    <row r="827" ht="14.25" customHeight="1">
      <c r="A827" s="20" t="s">
        <v>2982</v>
      </c>
      <c r="B827" s="20" t="s">
        <v>2983</v>
      </c>
      <c r="C827" s="20" t="s">
        <v>2984</v>
      </c>
      <c r="F827" s="20" t="s">
        <v>150</v>
      </c>
      <c r="G827" s="20" t="s">
        <v>150</v>
      </c>
      <c r="H827" s="20">
        <v>15735.0</v>
      </c>
      <c r="I827" s="20" t="s">
        <v>151</v>
      </c>
      <c r="J827" s="20" t="s">
        <v>143</v>
      </c>
      <c r="K827" s="20" t="s">
        <v>167</v>
      </c>
      <c r="Q827" s="20">
        <v>15735.0</v>
      </c>
      <c r="R827" s="20" t="s">
        <v>2985</v>
      </c>
      <c r="S827" s="20" t="s">
        <v>2983</v>
      </c>
      <c r="T827" s="20" t="s">
        <v>138</v>
      </c>
      <c r="U827" s="24">
        <v>44762.0</v>
      </c>
      <c r="W827" s="20" t="s">
        <v>146</v>
      </c>
    </row>
    <row r="828" ht="14.25" customHeight="1">
      <c r="A828" s="20" t="s">
        <v>2986</v>
      </c>
      <c r="B828" s="20" t="s">
        <v>2987</v>
      </c>
      <c r="C828" s="20" t="s">
        <v>174</v>
      </c>
      <c r="F828" s="20" t="s">
        <v>150</v>
      </c>
      <c r="G828" s="20" t="s">
        <v>150</v>
      </c>
      <c r="I828" s="20" t="s">
        <v>151</v>
      </c>
      <c r="J828" s="20" t="s">
        <v>143</v>
      </c>
      <c r="Q828" s="20">
        <v>3835.0</v>
      </c>
      <c r="R828" s="20" t="s">
        <v>2988</v>
      </c>
      <c r="S828" s="20" t="s">
        <v>2987</v>
      </c>
      <c r="T828" s="20" t="s">
        <v>138</v>
      </c>
    </row>
    <row r="829" ht="14.25" customHeight="1">
      <c r="A829" s="20" t="s">
        <v>2989</v>
      </c>
      <c r="B829" s="20" t="s">
        <v>2990</v>
      </c>
      <c r="C829" s="20" t="s">
        <v>197</v>
      </c>
      <c r="F829" s="20" t="s">
        <v>150</v>
      </c>
      <c r="G829" s="20" t="s">
        <v>150</v>
      </c>
      <c r="I829" s="20" t="s">
        <v>151</v>
      </c>
      <c r="J829" s="20" t="s">
        <v>186</v>
      </c>
      <c r="Q829" s="20">
        <v>10371.0</v>
      </c>
      <c r="R829" s="20" t="s">
        <v>2991</v>
      </c>
      <c r="S829" s="20" t="s">
        <v>2990</v>
      </c>
      <c r="T829" s="20" t="s">
        <v>138</v>
      </c>
    </row>
    <row r="830" ht="14.25" customHeight="1">
      <c r="A830" s="20" t="s">
        <v>2992</v>
      </c>
      <c r="B830" s="20" t="s">
        <v>2993</v>
      </c>
      <c r="C830" s="20" t="s">
        <v>197</v>
      </c>
      <c r="F830" s="20" t="s">
        <v>150</v>
      </c>
      <c r="G830" s="20" t="s">
        <v>150</v>
      </c>
      <c r="I830" s="20" t="s">
        <v>151</v>
      </c>
      <c r="J830" s="20" t="s">
        <v>186</v>
      </c>
      <c r="Q830" s="20">
        <v>10298.0</v>
      </c>
      <c r="R830" s="20" t="s">
        <v>2994</v>
      </c>
      <c r="S830" s="20" t="s">
        <v>2993</v>
      </c>
      <c r="T830" s="20" t="s">
        <v>138</v>
      </c>
    </row>
    <row r="831" ht="14.25" customHeight="1">
      <c r="A831" s="20" t="s">
        <v>2995</v>
      </c>
      <c r="B831" s="20" t="s">
        <v>2996</v>
      </c>
      <c r="C831" s="20" t="s">
        <v>272</v>
      </c>
      <c r="F831" s="20" t="s">
        <v>150</v>
      </c>
      <c r="G831" s="20" t="s">
        <v>150</v>
      </c>
      <c r="I831" s="20" t="s">
        <v>151</v>
      </c>
      <c r="J831" s="20" t="s">
        <v>186</v>
      </c>
      <c r="Q831" s="20">
        <v>10391.0</v>
      </c>
      <c r="R831" s="20" t="s">
        <v>2997</v>
      </c>
      <c r="S831" s="20" t="s">
        <v>2996</v>
      </c>
      <c r="T831" s="20" t="s">
        <v>138</v>
      </c>
    </row>
    <row r="832" ht="14.25" customHeight="1">
      <c r="A832" s="20" t="s">
        <v>2998</v>
      </c>
      <c r="B832" s="20" t="s">
        <v>2999</v>
      </c>
      <c r="C832" s="20" t="s">
        <v>163</v>
      </c>
      <c r="F832" s="20" t="s">
        <v>150</v>
      </c>
      <c r="G832" s="20" t="s">
        <v>150</v>
      </c>
      <c r="I832" s="20" t="s">
        <v>151</v>
      </c>
      <c r="J832" s="20" t="s">
        <v>186</v>
      </c>
      <c r="Q832" s="20">
        <v>10376.0</v>
      </c>
      <c r="R832" s="20" t="s">
        <v>3000</v>
      </c>
      <c r="S832" s="20" t="s">
        <v>2999</v>
      </c>
      <c r="T832" s="20" t="s">
        <v>138</v>
      </c>
    </row>
    <row r="833" ht="14.25" customHeight="1">
      <c r="A833" s="20" t="s">
        <v>3001</v>
      </c>
      <c r="B833" s="20" t="s">
        <v>3002</v>
      </c>
      <c r="C833" s="20" t="s">
        <v>197</v>
      </c>
      <c r="F833" s="20" t="s">
        <v>150</v>
      </c>
      <c r="G833" s="20" t="s">
        <v>150</v>
      </c>
      <c r="I833" s="20" t="s">
        <v>151</v>
      </c>
      <c r="J833" s="20" t="s">
        <v>186</v>
      </c>
      <c r="Q833" s="20">
        <v>10287.0</v>
      </c>
      <c r="R833" s="20" t="s">
        <v>3003</v>
      </c>
      <c r="S833" s="20" t="s">
        <v>3002</v>
      </c>
      <c r="T833" s="20" t="s">
        <v>138</v>
      </c>
    </row>
    <row r="834" ht="14.25" customHeight="1">
      <c r="A834" s="20" t="s">
        <v>3004</v>
      </c>
      <c r="B834" s="20" t="s">
        <v>3005</v>
      </c>
      <c r="C834" s="20" t="s">
        <v>159</v>
      </c>
      <c r="F834" s="20" t="s">
        <v>150</v>
      </c>
      <c r="G834" s="20" t="s">
        <v>150</v>
      </c>
      <c r="I834" s="20" t="s">
        <v>151</v>
      </c>
      <c r="J834" s="20" t="s">
        <v>186</v>
      </c>
      <c r="Q834" s="20">
        <v>10367.0</v>
      </c>
      <c r="R834" s="20" t="s">
        <v>3006</v>
      </c>
      <c r="S834" s="20" t="s">
        <v>3005</v>
      </c>
      <c r="T834" s="20" t="s">
        <v>138</v>
      </c>
    </row>
    <row r="835" ht="14.25" customHeight="1">
      <c r="A835" s="20" t="s">
        <v>3007</v>
      </c>
      <c r="B835" s="20" t="s">
        <v>3008</v>
      </c>
      <c r="C835" s="20" t="s">
        <v>159</v>
      </c>
      <c r="F835" s="20" t="s">
        <v>150</v>
      </c>
      <c r="G835" s="20" t="s">
        <v>150</v>
      </c>
      <c r="I835" s="20" t="s">
        <v>151</v>
      </c>
      <c r="J835" s="20" t="s">
        <v>186</v>
      </c>
      <c r="Q835" s="20">
        <v>10350.0</v>
      </c>
      <c r="R835" s="20" t="s">
        <v>3009</v>
      </c>
      <c r="S835" s="20" t="s">
        <v>3008</v>
      </c>
      <c r="T835" s="20" t="s">
        <v>138</v>
      </c>
    </row>
    <row r="836" ht="14.25" customHeight="1">
      <c r="A836" s="20" t="s">
        <v>3010</v>
      </c>
      <c r="B836" s="20" t="s">
        <v>3011</v>
      </c>
      <c r="C836" s="20" t="s">
        <v>163</v>
      </c>
      <c r="F836" s="20" t="s">
        <v>150</v>
      </c>
      <c r="G836" s="20" t="s">
        <v>150</v>
      </c>
      <c r="I836" s="20" t="s">
        <v>151</v>
      </c>
      <c r="J836" s="20" t="s">
        <v>186</v>
      </c>
      <c r="Q836" s="20">
        <v>10388.0</v>
      </c>
      <c r="R836" s="20" t="s">
        <v>3012</v>
      </c>
      <c r="S836" s="20" t="s">
        <v>3011</v>
      </c>
      <c r="T836" s="20" t="s">
        <v>138</v>
      </c>
    </row>
    <row r="837" ht="14.25" customHeight="1">
      <c r="A837" s="20" t="s">
        <v>3013</v>
      </c>
      <c r="B837" s="20" t="s">
        <v>3014</v>
      </c>
      <c r="C837" s="20" t="s">
        <v>159</v>
      </c>
      <c r="F837" s="20" t="s">
        <v>150</v>
      </c>
      <c r="G837" s="20" t="s">
        <v>150</v>
      </c>
      <c r="I837" s="20" t="s">
        <v>151</v>
      </c>
      <c r="J837" s="20" t="s">
        <v>186</v>
      </c>
      <c r="Q837" s="20">
        <v>10370.0</v>
      </c>
      <c r="R837" s="20" t="s">
        <v>3015</v>
      </c>
      <c r="S837" s="20" t="s">
        <v>3014</v>
      </c>
      <c r="T837" s="20" t="s">
        <v>138</v>
      </c>
    </row>
    <row r="838" ht="14.25" customHeight="1">
      <c r="A838" s="20" t="s">
        <v>3016</v>
      </c>
      <c r="B838" s="20" t="s">
        <v>3017</v>
      </c>
      <c r="C838" s="20" t="s">
        <v>197</v>
      </c>
      <c r="F838" s="20" t="s">
        <v>150</v>
      </c>
      <c r="G838" s="20" t="s">
        <v>150</v>
      </c>
      <c r="I838" s="20" t="s">
        <v>151</v>
      </c>
      <c r="J838" s="20" t="s">
        <v>186</v>
      </c>
      <c r="Q838" s="20">
        <v>10354.0</v>
      </c>
      <c r="R838" s="20" t="s">
        <v>3018</v>
      </c>
      <c r="S838" s="20" t="s">
        <v>3017</v>
      </c>
      <c r="T838" s="20" t="s">
        <v>138</v>
      </c>
    </row>
    <row r="839" ht="14.25" customHeight="1">
      <c r="A839" s="20" t="s">
        <v>3019</v>
      </c>
      <c r="B839" s="20" t="s">
        <v>3020</v>
      </c>
      <c r="C839" s="20" t="s">
        <v>159</v>
      </c>
      <c r="F839" s="20" t="s">
        <v>150</v>
      </c>
      <c r="G839" s="20" t="s">
        <v>150</v>
      </c>
      <c r="I839" s="20" t="s">
        <v>151</v>
      </c>
      <c r="J839" s="20" t="s">
        <v>186</v>
      </c>
      <c r="Q839" s="20">
        <v>10365.0</v>
      </c>
      <c r="R839" s="20" t="s">
        <v>3021</v>
      </c>
      <c r="S839" s="20" t="s">
        <v>3020</v>
      </c>
      <c r="T839" s="20" t="s">
        <v>138</v>
      </c>
    </row>
    <row r="840" ht="14.25" customHeight="1">
      <c r="A840" s="20" t="s">
        <v>3022</v>
      </c>
      <c r="B840" s="20" t="s">
        <v>3023</v>
      </c>
      <c r="C840" s="20" t="s">
        <v>197</v>
      </c>
      <c r="F840" s="20" t="s">
        <v>150</v>
      </c>
      <c r="G840" s="20" t="s">
        <v>150</v>
      </c>
      <c r="I840" s="20" t="s">
        <v>151</v>
      </c>
      <c r="J840" s="20" t="s">
        <v>186</v>
      </c>
      <c r="Q840" s="20">
        <v>10351.0</v>
      </c>
      <c r="R840" s="20" t="s">
        <v>3024</v>
      </c>
      <c r="S840" s="20" t="s">
        <v>3023</v>
      </c>
      <c r="T840" s="20" t="s">
        <v>138</v>
      </c>
    </row>
    <row r="841" ht="14.25" customHeight="1">
      <c r="A841" s="20" t="s">
        <v>3025</v>
      </c>
      <c r="B841" s="20" t="s">
        <v>3026</v>
      </c>
      <c r="C841" s="20" t="s">
        <v>197</v>
      </c>
      <c r="F841" s="20" t="s">
        <v>150</v>
      </c>
      <c r="G841" s="20" t="s">
        <v>150</v>
      </c>
      <c r="I841" s="20" t="s">
        <v>151</v>
      </c>
      <c r="J841" s="20" t="s">
        <v>186</v>
      </c>
      <c r="Q841" s="20">
        <v>10372.0</v>
      </c>
      <c r="R841" s="20" t="s">
        <v>3027</v>
      </c>
      <c r="S841" s="20" t="s">
        <v>3026</v>
      </c>
      <c r="T841" s="20" t="s">
        <v>138</v>
      </c>
    </row>
    <row r="842" ht="14.25" customHeight="1">
      <c r="A842" s="20" t="s">
        <v>3028</v>
      </c>
      <c r="B842" s="20" t="s">
        <v>3029</v>
      </c>
      <c r="C842" s="20" t="s">
        <v>163</v>
      </c>
      <c r="F842" s="20" t="s">
        <v>150</v>
      </c>
      <c r="G842" s="20" t="s">
        <v>150</v>
      </c>
      <c r="I842" s="20" t="s">
        <v>151</v>
      </c>
      <c r="J842" s="20" t="s">
        <v>186</v>
      </c>
      <c r="Q842" s="20">
        <v>10381.0</v>
      </c>
      <c r="R842" s="20" t="s">
        <v>3030</v>
      </c>
      <c r="S842" s="20" t="s">
        <v>3029</v>
      </c>
      <c r="T842" s="20" t="s">
        <v>138</v>
      </c>
    </row>
    <row r="843" ht="14.25" customHeight="1">
      <c r="A843" s="20" t="s">
        <v>3031</v>
      </c>
      <c r="B843" s="20" t="s">
        <v>3032</v>
      </c>
      <c r="C843" s="20" t="s">
        <v>163</v>
      </c>
      <c r="F843" s="20" t="s">
        <v>150</v>
      </c>
      <c r="G843" s="20" t="s">
        <v>150</v>
      </c>
      <c r="I843" s="20" t="s">
        <v>151</v>
      </c>
      <c r="J843" s="20" t="s">
        <v>186</v>
      </c>
      <c r="Q843" s="20">
        <v>10389.0</v>
      </c>
      <c r="R843" s="20" t="s">
        <v>3033</v>
      </c>
      <c r="S843" s="20" t="s">
        <v>3032</v>
      </c>
      <c r="T843" s="20" t="s">
        <v>138</v>
      </c>
    </row>
    <row r="844" ht="14.25" customHeight="1">
      <c r="A844" s="20" t="s">
        <v>3034</v>
      </c>
      <c r="B844" s="20" t="s">
        <v>3035</v>
      </c>
      <c r="C844" s="20" t="s">
        <v>197</v>
      </c>
      <c r="F844" s="20" t="s">
        <v>150</v>
      </c>
      <c r="G844" s="20" t="s">
        <v>150</v>
      </c>
      <c r="I844" s="20" t="s">
        <v>151</v>
      </c>
      <c r="J844" s="20" t="s">
        <v>186</v>
      </c>
      <c r="Q844" s="20">
        <v>10294.0</v>
      </c>
      <c r="R844" s="20" t="s">
        <v>3036</v>
      </c>
      <c r="S844" s="20" t="s">
        <v>3035</v>
      </c>
      <c r="T844" s="20" t="s">
        <v>138</v>
      </c>
    </row>
    <row r="845" ht="14.25" customHeight="1">
      <c r="A845" s="20" t="s">
        <v>3037</v>
      </c>
      <c r="B845" s="20" t="s">
        <v>3038</v>
      </c>
      <c r="C845" s="20" t="s">
        <v>174</v>
      </c>
      <c r="F845" s="20" t="s">
        <v>150</v>
      </c>
      <c r="G845" s="20" t="s">
        <v>150</v>
      </c>
      <c r="I845" s="20" t="s">
        <v>151</v>
      </c>
      <c r="J845" s="20" t="s">
        <v>186</v>
      </c>
      <c r="Q845" s="20">
        <v>10366.0</v>
      </c>
      <c r="R845" s="20" t="s">
        <v>3039</v>
      </c>
      <c r="S845" s="20" t="s">
        <v>3038</v>
      </c>
      <c r="T845" s="20" t="s">
        <v>138</v>
      </c>
    </row>
    <row r="846" ht="14.25" customHeight="1">
      <c r="A846" s="20" t="s">
        <v>3040</v>
      </c>
      <c r="B846" s="20" t="s">
        <v>3041</v>
      </c>
      <c r="C846" s="20" t="s">
        <v>163</v>
      </c>
      <c r="F846" s="20" t="s">
        <v>150</v>
      </c>
      <c r="G846" s="20" t="s">
        <v>150</v>
      </c>
      <c r="I846" s="20" t="s">
        <v>151</v>
      </c>
      <c r="J846" s="20" t="s">
        <v>186</v>
      </c>
      <c r="Q846" s="20">
        <v>10390.0</v>
      </c>
      <c r="R846" s="20" t="s">
        <v>3042</v>
      </c>
      <c r="S846" s="20" t="s">
        <v>3041</v>
      </c>
      <c r="T846" s="20" t="s">
        <v>138</v>
      </c>
    </row>
    <row r="847" ht="14.25" customHeight="1">
      <c r="A847" s="20" t="s">
        <v>3043</v>
      </c>
      <c r="B847" s="20" t="s">
        <v>3044</v>
      </c>
      <c r="C847" s="20" t="s">
        <v>197</v>
      </c>
      <c r="F847" s="20" t="s">
        <v>150</v>
      </c>
      <c r="G847" s="20" t="s">
        <v>150</v>
      </c>
      <c r="I847" s="20" t="s">
        <v>151</v>
      </c>
      <c r="J847" s="20" t="s">
        <v>186</v>
      </c>
      <c r="Q847" s="20">
        <v>10286.0</v>
      </c>
      <c r="R847" s="20" t="s">
        <v>3045</v>
      </c>
      <c r="S847" s="20" t="s">
        <v>3044</v>
      </c>
      <c r="T847" s="20" t="s">
        <v>138</v>
      </c>
    </row>
    <row r="848" ht="14.25" customHeight="1">
      <c r="A848" s="20" t="s">
        <v>3046</v>
      </c>
      <c r="B848" s="20" t="s">
        <v>3047</v>
      </c>
      <c r="C848" s="20" t="s">
        <v>197</v>
      </c>
      <c r="F848" s="20" t="s">
        <v>150</v>
      </c>
      <c r="G848" s="20" t="s">
        <v>150</v>
      </c>
      <c r="I848" s="20" t="s">
        <v>151</v>
      </c>
      <c r="J848" s="20" t="s">
        <v>186</v>
      </c>
      <c r="Q848" s="20">
        <v>10289.0</v>
      </c>
      <c r="R848" s="20" t="s">
        <v>3048</v>
      </c>
      <c r="S848" s="20" t="s">
        <v>3047</v>
      </c>
      <c r="T848" s="20" t="s">
        <v>138</v>
      </c>
    </row>
    <row r="849" ht="14.25" customHeight="1">
      <c r="A849" s="20" t="s">
        <v>3049</v>
      </c>
      <c r="B849" s="20" t="s">
        <v>3050</v>
      </c>
      <c r="C849" s="20" t="s">
        <v>197</v>
      </c>
      <c r="F849" s="20" t="s">
        <v>150</v>
      </c>
      <c r="G849" s="20" t="s">
        <v>150</v>
      </c>
      <c r="I849" s="20" t="s">
        <v>151</v>
      </c>
      <c r="J849" s="20" t="s">
        <v>186</v>
      </c>
      <c r="Q849" s="20">
        <v>10278.0</v>
      </c>
      <c r="R849" s="20" t="s">
        <v>3051</v>
      </c>
      <c r="S849" s="20" t="s">
        <v>3050</v>
      </c>
      <c r="T849" s="20" t="s">
        <v>138</v>
      </c>
    </row>
    <row r="850" ht="14.25" customHeight="1">
      <c r="A850" s="20" t="s">
        <v>3052</v>
      </c>
      <c r="B850" s="20" t="s">
        <v>3053</v>
      </c>
      <c r="C850" s="20" t="s">
        <v>159</v>
      </c>
      <c r="F850" s="20" t="s">
        <v>150</v>
      </c>
      <c r="G850" s="20" t="s">
        <v>150</v>
      </c>
      <c r="I850" s="20" t="s">
        <v>151</v>
      </c>
      <c r="J850" s="20" t="s">
        <v>186</v>
      </c>
      <c r="Q850" s="20">
        <v>10352.0</v>
      </c>
      <c r="R850" s="20" t="s">
        <v>3054</v>
      </c>
      <c r="S850" s="20" t="s">
        <v>3053</v>
      </c>
      <c r="T850" s="20" t="s">
        <v>138</v>
      </c>
    </row>
    <row r="851" ht="14.25" customHeight="1">
      <c r="A851" s="20" t="s">
        <v>3055</v>
      </c>
      <c r="B851" s="20" t="s">
        <v>3056</v>
      </c>
      <c r="C851" s="20" t="s">
        <v>197</v>
      </c>
      <c r="F851" s="20" t="s">
        <v>150</v>
      </c>
      <c r="G851" s="20" t="s">
        <v>150</v>
      </c>
      <c r="I851" s="20" t="s">
        <v>151</v>
      </c>
      <c r="J851" s="20" t="s">
        <v>186</v>
      </c>
      <c r="Q851" s="20">
        <v>10288.0</v>
      </c>
      <c r="R851" s="20" t="s">
        <v>3057</v>
      </c>
      <c r="S851" s="20" t="s">
        <v>3056</v>
      </c>
      <c r="T851" s="20" t="s">
        <v>138</v>
      </c>
    </row>
    <row r="852" ht="14.25" customHeight="1">
      <c r="A852" s="20" t="s">
        <v>3058</v>
      </c>
      <c r="B852" s="20" t="s">
        <v>3059</v>
      </c>
      <c r="C852" s="20" t="s">
        <v>197</v>
      </c>
      <c r="F852" s="20" t="s">
        <v>150</v>
      </c>
      <c r="G852" s="20" t="s">
        <v>150</v>
      </c>
      <c r="I852" s="20" t="s">
        <v>151</v>
      </c>
      <c r="J852" s="20" t="s">
        <v>186</v>
      </c>
      <c r="Q852" s="20">
        <v>10295.0</v>
      </c>
      <c r="R852" s="20" t="s">
        <v>3060</v>
      </c>
      <c r="S852" s="20" t="s">
        <v>3059</v>
      </c>
      <c r="T852" s="20" t="s">
        <v>138</v>
      </c>
    </row>
    <row r="853" ht="14.25" customHeight="1">
      <c r="A853" s="20" t="s">
        <v>3061</v>
      </c>
      <c r="B853" s="20" t="s">
        <v>3062</v>
      </c>
      <c r="C853" s="20" t="s">
        <v>163</v>
      </c>
      <c r="F853" s="20" t="s">
        <v>150</v>
      </c>
      <c r="G853" s="20" t="s">
        <v>150</v>
      </c>
      <c r="I853" s="20" t="s">
        <v>151</v>
      </c>
      <c r="J853" s="20" t="s">
        <v>186</v>
      </c>
      <c r="Q853" s="20">
        <v>10378.0</v>
      </c>
      <c r="R853" s="20" t="s">
        <v>3063</v>
      </c>
      <c r="S853" s="20" t="s">
        <v>3062</v>
      </c>
      <c r="T853" s="20" t="s">
        <v>138</v>
      </c>
    </row>
    <row r="854" ht="14.25" customHeight="1">
      <c r="A854" s="20" t="s">
        <v>3064</v>
      </c>
      <c r="B854" s="20" t="s">
        <v>3065</v>
      </c>
      <c r="C854" s="20" t="s">
        <v>197</v>
      </c>
      <c r="F854" s="20" t="s">
        <v>150</v>
      </c>
      <c r="G854" s="20" t="s">
        <v>150</v>
      </c>
      <c r="I854" s="20" t="s">
        <v>151</v>
      </c>
      <c r="J854" s="20" t="s">
        <v>186</v>
      </c>
      <c r="Q854" s="20">
        <v>10353.0</v>
      </c>
      <c r="R854" s="20" t="s">
        <v>3066</v>
      </c>
      <c r="S854" s="20" t="s">
        <v>3065</v>
      </c>
      <c r="T854" s="20" t="s">
        <v>138</v>
      </c>
    </row>
    <row r="855" ht="14.25" customHeight="1">
      <c r="A855" s="20" t="s">
        <v>3067</v>
      </c>
      <c r="B855" s="20" t="s">
        <v>3068</v>
      </c>
      <c r="C855" s="20" t="s">
        <v>694</v>
      </c>
      <c r="F855" s="20" t="s">
        <v>16</v>
      </c>
      <c r="G855" s="20" t="s">
        <v>202</v>
      </c>
      <c r="I855" s="20" t="s">
        <v>87</v>
      </c>
      <c r="J855" s="20" t="s">
        <v>143</v>
      </c>
      <c r="K855" s="20" t="s">
        <v>167</v>
      </c>
      <c r="Q855" s="20">
        <v>1027.0</v>
      </c>
      <c r="R855" s="20" t="s">
        <v>3069</v>
      </c>
      <c r="S855" s="20" t="s">
        <v>3068</v>
      </c>
      <c r="T855" s="20" t="s">
        <v>138</v>
      </c>
    </row>
    <row r="856" ht="14.25" customHeight="1">
      <c r="A856" s="20" t="s">
        <v>3070</v>
      </c>
      <c r="B856" s="20" t="s">
        <v>3071</v>
      </c>
      <c r="C856" s="20" t="s">
        <v>1559</v>
      </c>
      <c r="F856" s="20" t="s">
        <v>16</v>
      </c>
      <c r="G856" s="20" t="s">
        <v>202</v>
      </c>
      <c r="I856" s="20" t="s">
        <v>87</v>
      </c>
      <c r="J856" s="20" t="s">
        <v>143</v>
      </c>
      <c r="K856" s="20" t="s">
        <v>167</v>
      </c>
      <c r="Q856" s="20">
        <v>1456.0</v>
      </c>
      <c r="R856" s="20" t="s">
        <v>3072</v>
      </c>
      <c r="S856" s="20" t="s">
        <v>3071</v>
      </c>
      <c r="T856" s="20" t="s">
        <v>138</v>
      </c>
    </row>
    <row r="857" ht="14.25" customHeight="1">
      <c r="A857" s="20" t="s">
        <v>3073</v>
      </c>
      <c r="B857" s="20" t="s">
        <v>3074</v>
      </c>
      <c r="C857" s="20" t="s">
        <v>272</v>
      </c>
      <c r="F857" s="20" t="s">
        <v>150</v>
      </c>
      <c r="G857" s="20" t="s">
        <v>150</v>
      </c>
      <c r="I857" s="20" t="s">
        <v>151</v>
      </c>
      <c r="J857" s="20" t="s">
        <v>143</v>
      </c>
      <c r="Q857" s="20">
        <v>11140.0</v>
      </c>
      <c r="R857" s="20" t="s">
        <v>3075</v>
      </c>
      <c r="S857" s="20" t="s">
        <v>3074</v>
      </c>
      <c r="T857" s="20" t="s">
        <v>138</v>
      </c>
    </row>
    <row r="858" ht="14.25" customHeight="1">
      <c r="A858" s="20" t="s">
        <v>3076</v>
      </c>
      <c r="B858" s="20" t="s">
        <v>3077</v>
      </c>
      <c r="C858" s="20" t="s">
        <v>289</v>
      </c>
      <c r="F858" s="20" t="s">
        <v>150</v>
      </c>
      <c r="G858" s="20" t="s">
        <v>150</v>
      </c>
      <c r="I858" s="20" t="s">
        <v>151</v>
      </c>
      <c r="J858" s="20" t="s">
        <v>143</v>
      </c>
      <c r="Q858" s="20">
        <v>15134.0</v>
      </c>
      <c r="R858" s="20" t="s">
        <v>3078</v>
      </c>
      <c r="S858" s="20" t="s">
        <v>3077</v>
      </c>
      <c r="T858" s="20" t="s">
        <v>138</v>
      </c>
    </row>
    <row r="859" ht="14.25" customHeight="1">
      <c r="A859" s="20" t="s">
        <v>3079</v>
      </c>
      <c r="B859" s="20" t="s">
        <v>3080</v>
      </c>
      <c r="C859" s="20" t="s">
        <v>163</v>
      </c>
      <c r="F859" s="20" t="s">
        <v>150</v>
      </c>
      <c r="G859" s="20" t="s">
        <v>150</v>
      </c>
      <c r="I859" s="20" t="s">
        <v>151</v>
      </c>
      <c r="J859" s="20" t="s">
        <v>143</v>
      </c>
      <c r="Q859" s="20">
        <v>16247.0</v>
      </c>
      <c r="R859" s="20" t="s">
        <v>3081</v>
      </c>
      <c r="S859" s="20" t="s">
        <v>3080</v>
      </c>
      <c r="T859" s="20" t="s">
        <v>138</v>
      </c>
    </row>
    <row r="860" ht="14.25" customHeight="1">
      <c r="A860" s="20" t="s">
        <v>3082</v>
      </c>
      <c r="B860" s="20" t="s">
        <v>3083</v>
      </c>
      <c r="C860" s="20" t="s">
        <v>163</v>
      </c>
      <c r="F860" s="20" t="s">
        <v>150</v>
      </c>
      <c r="G860" s="20" t="s">
        <v>150</v>
      </c>
      <c r="I860" s="20" t="s">
        <v>151</v>
      </c>
      <c r="J860" s="20" t="s">
        <v>143</v>
      </c>
      <c r="Q860" s="20">
        <v>16246.0</v>
      </c>
      <c r="R860" s="20" t="s">
        <v>3084</v>
      </c>
      <c r="S860" s="20" t="s">
        <v>3083</v>
      </c>
      <c r="T860" s="20" t="s">
        <v>138</v>
      </c>
    </row>
    <row r="861" ht="14.25" customHeight="1">
      <c r="A861" s="20" t="s">
        <v>3085</v>
      </c>
      <c r="B861" s="20" t="s">
        <v>3086</v>
      </c>
      <c r="C861" s="20" t="s">
        <v>163</v>
      </c>
      <c r="F861" s="20" t="s">
        <v>150</v>
      </c>
      <c r="G861" s="20" t="s">
        <v>150</v>
      </c>
      <c r="I861" s="20" t="s">
        <v>151</v>
      </c>
      <c r="J861" s="20" t="s">
        <v>143</v>
      </c>
      <c r="Q861" s="20">
        <v>16249.0</v>
      </c>
      <c r="R861" s="20" t="s">
        <v>3087</v>
      </c>
      <c r="S861" s="20" t="s">
        <v>3086</v>
      </c>
      <c r="T861" s="20" t="s">
        <v>138</v>
      </c>
    </row>
    <row r="862" ht="14.25" customHeight="1">
      <c r="A862" s="20" t="s">
        <v>3088</v>
      </c>
      <c r="B862" s="20" t="s">
        <v>3089</v>
      </c>
      <c r="C862" s="20" t="s">
        <v>3090</v>
      </c>
      <c r="F862" s="20" t="s">
        <v>150</v>
      </c>
      <c r="G862" s="20" t="s">
        <v>150</v>
      </c>
      <c r="I862" s="20" t="s">
        <v>151</v>
      </c>
      <c r="J862" s="20" t="s">
        <v>143</v>
      </c>
      <c r="Q862" s="20">
        <v>280.0</v>
      </c>
      <c r="R862" s="20" t="s">
        <v>3091</v>
      </c>
      <c r="S862" s="20" t="s">
        <v>3092</v>
      </c>
      <c r="T862" s="20" t="s">
        <v>138</v>
      </c>
    </row>
    <row r="863" ht="14.25" customHeight="1">
      <c r="A863" s="20" t="s">
        <v>3093</v>
      </c>
      <c r="B863" s="20" t="s">
        <v>3094</v>
      </c>
      <c r="C863" s="20" t="s">
        <v>174</v>
      </c>
      <c r="F863" s="20" t="s">
        <v>150</v>
      </c>
      <c r="G863" s="20" t="s">
        <v>150</v>
      </c>
      <c r="I863" s="20" t="s">
        <v>151</v>
      </c>
      <c r="J863" s="20" t="s">
        <v>143</v>
      </c>
      <c r="Q863" s="20">
        <v>4395.0</v>
      </c>
      <c r="R863" s="20" t="s">
        <v>3095</v>
      </c>
      <c r="S863" s="20" t="s">
        <v>3096</v>
      </c>
      <c r="T863" s="20" t="s">
        <v>138</v>
      </c>
    </row>
    <row r="864" ht="14.25" customHeight="1">
      <c r="A864" s="20" t="s">
        <v>3097</v>
      </c>
      <c r="B864" s="20" t="s">
        <v>3098</v>
      </c>
      <c r="C864" s="20" t="s">
        <v>1305</v>
      </c>
      <c r="F864" s="20" t="s">
        <v>16</v>
      </c>
      <c r="G864" s="20" t="s">
        <v>202</v>
      </c>
      <c r="I864" s="20" t="s">
        <v>1306</v>
      </c>
      <c r="J864" s="20" t="s">
        <v>143</v>
      </c>
      <c r="K864" s="20" t="s">
        <v>167</v>
      </c>
      <c r="Q864" s="20">
        <v>6204.0</v>
      </c>
      <c r="R864" s="20" t="s">
        <v>3099</v>
      </c>
      <c r="S864" s="20" t="s">
        <v>3100</v>
      </c>
      <c r="T864" s="20" t="s">
        <v>138</v>
      </c>
      <c r="W864" s="20" t="s">
        <v>146</v>
      </c>
    </row>
    <row r="865" ht="14.25" customHeight="1">
      <c r="A865" s="20" t="s">
        <v>3101</v>
      </c>
      <c r="B865" s="20" t="s">
        <v>3102</v>
      </c>
      <c r="C865" s="20" t="s">
        <v>2826</v>
      </c>
      <c r="F865" s="20" t="s">
        <v>327</v>
      </c>
      <c r="G865" s="20" t="s">
        <v>385</v>
      </c>
      <c r="I865" s="20" t="s">
        <v>2827</v>
      </c>
      <c r="J865" s="20" t="s">
        <v>143</v>
      </c>
      <c r="Q865" s="20">
        <v>14087.0</v>
      </c>
      <c r="R865" s="20" t="s">
        <v>3103</v>
      </c>
      <c r="S865" s="20" t="s">
        <v>3102</v>
      </c>
      <c r="T865" s="20" t="s">
        <v>138</v>
      </c>
    </row>
    <row r="866" ht="14.25" customHeight="1">
      <c r="A866" s="20" t="s">
        <v>3104</v>
      </c>
      <c r="B866" s="20" t="s">
        <v>3105</v>
      </c>
      <c r="C866" s="20" t="s">
        <v>610</v>
      </c>
      <c r="F866" s="20" t="s">
        <v>327</v>
      </c>
      <c r="G866" s="20" t="s">
        <v>385</v>
      </c>
      <c r="I866" s="20" t="s">
        <v>492</v>
      </c>
      <c r="J866" s="20" t="s">
        <v>136</v>
      </c>
      <c r="Q866" s="20">
        <v>14335.0</v>
      </c>
      <c r="R866" s="20" t="s">
        <v>3106</v>
      </c>
      <c r="S866" s="20" t="s">
        <v>3105</v>
      </c>
      <c r="T866" s="20" t="s">
        <v>138</v>
      </c>
    </row>
    <row r="867" ht="14.25" customHeight="1">
      <c r="A867" s="20" t="s">
        <v>3107</v>
      </c>
      <c r="B867" s="20" t="s">
        <v>3108</v>
      </c>
      <c r="C867" s="20" t="s">
        <v>3109</v>
      </c>
      <c r="F867" s="20" t="s">
        <v>17</v>
      </c>
      <c r="G867" s="20" t="s">
        <v>17</v>
      </c>
      <c r="I867" s="20" t="s">
        <v>88</v>
      </c>
      <c r="J867" s="20" t="s">
        <v>143</v>
      </c>
      <c r="K867" s="20" t="s">
        <v>167</v>
      </c>
      <c r="Q867" s="20">
        <v>528.0</v>
      </c>
      <c r="R867" s="20" t="s">
        <v>3110</v>
      </c>
      <c r="S867" s="20" t="s">
        <v>3111</v>
      </c>
      <c r="T867" s="20" t="s">
        <v>138</v>
      </c>
    </row>
    <row r="868" ht="14.25" customHeight="1">
      <c r="A868" s="20" t="s">
        <v>3112</v>
      </c>
      <c r="B868" s="20" t="s">
        <v>3113</v>
      </c>
      <c r="C868" s="20" t="s">
        <v>3114</v>
      </c>
      <c r="F868" s="20" t="s">
        <v>218</v>
      </c>
      <c r="G868" s="20" t="s">
        <v>219</v>
      </c>
      <c r="H868" s="20">
        <v>16373.0</v>
      </c>
      <c r="I868" s="20" t="s">
        <v>802</v>
      </c>
      <c r="J868" s="20" t="s">
        <v>186</v>
      </c>
      <c r="K868" s="20" t="s">
        <v>213</v>
      </c>
      <c r="L868" s="20" t="s">
        <v>802</v>
      </c>
      <c r="M868" s="20" t="s">
        <v>3115</v>
      </c>
      <c r="O868" s="20" t="s">
        <v>144</v>
      </c>
      <c r="Q868" s="20">
        <v>16373.0</v>
      </c>
      <c r="R868" s="20" t="s">
        <v>3116</v>
      </c>
      <c r="S868" s="20" t="s">
        <v>3113</v>
      </c>
      <c r="T868" s="20" t="s">
        <v>138</v>
      </c>
      <c r="U868" s="24">
        <v>44830.0</v>
      </c>
      <c r="W868" s="20" t="s">
        <v>146</v>
      </c>
    </row>
    <row r="869" ht="14.25" customHeight="1">
      <c r="A869" s="20" t="s">
        <v>3117</v>
      </c>
      <c r="B869" s="20" t="s">
        <v>3118</v>
      </c>
      <c r="C869" s="20" t="s">
        <v>779</v>
      </c>
      <c r="F869" s="20" t="s">
        <v>150</v>
      </c>
      <c r="G869" s="20" t="s">
        <v>150</v>
      </c>
      <c r="I869" s="20" t="s">
        <v>151</v>
      </c>
      <c r="J869" s="20" t="s">
        <v>143</v>
      </c>
      <c r="Q869" s="20">
        <v>16596.0</v>
      </c>
      <c r="R869" s="20" t="s">
        <v>3119</v>
      </c>
      <c r="S869" s="20" t="s">
        <v>3118</v>
      </c>
      <c r="T869" s="20" t="s">
        <v>138</v>
      </c>
    </row>
    <row r="870" ht="14.25" customHeight="1">
      <c r="A870" s="20" t="s">
        <v>3120</v>
      </c>
      <c r="B870" s="20" t="s">
        <v>3121</v>
      </c>
      <c r="C870" s="20" t="s">
        <v>1269</v>
      </c>
      <c r="F870" s="20" t="s">
        <v>218</v>
      </c>
      <c r="G870" s="20" t="s">
        <v>219</v>
      </c>
      <c r="I870" s="20" t="s">
        <v>314</v>
      </c>
      <c r="J870" s="20" t="s">
        <v>186</v>
      </c>
      <c r="K870" s="20" t="s">
        <v>213</v>
      </c>
      <c r="Q870" s="20">
        <v>10917.0</v>
      </c>
      <c r="R870" s="20" t="s">
        <v>3122</v>
      </c>
      <c r="S870" s="20" t="s">
        <v>3121</v>
      </c>
      <c r="T870" s="20" t="s">
        <v>138</v>
      </c>
    </row>
    <row r="871" ht="14.25" customHeight="1">
      <c r="A871" s="20" t="s">
        <v>3123</v>
      </c>
      <c r="B871" s="20" t="s">
        <v>3124</v>
      </c>
      <c r="C871" s="20" t="s">
        <v>313</v>
      </c>
      <c r="F871" s="20" t="s">
        <v>218</v>
      </c>
      <c r="G871" s="20" t="s">
        <v>219</v>
      </c>
      <c r="I871" s="20" t="s">
        <v>314</v>
      </c>
      <c r="J871" s="20" t="s">
        <v>186</v>
      </c>
      <c r="K871" s="20" t="s">
        <v>187</v>
      </c>
      <c r="Q871" s="20">
        <v>5366.0</v>
      </c>
      <c r="R871" s="20" t="s">
        <v>3125</v>
      </c>
      <c r="S871" s="20" t="s">
        <v>3124</v>
      </c>
      <c r="T871" s="20" t="s">
        <v>138</v>
      </c>
      <c r="V871" s="20" t="s">
        <v>189</v>
      </c>
      <c r="W871" s="20" t="s">
        <v>261</v>
      </c>
    </row>
    <row r="872" ht="14.25" customHeight="1">
      <c r="A872" s="20" t="s">
        <v>3126</v>
      </c>
      <c r="B872" s="20" t="s">
        <v>3127</v>
      </c>
      <c r="C872" s="20" t="s">
        <v>1318</v>
      </c>
      <c r="F872" s="20" t="s">
        <v>218</v>
      </c>
      <c r="G872" s="20" t="s">
        <v>219</v>
      </c>
      <c r="I872" s="20" t="s">
        <v>314</v>
      </c>
      <c r="J872" s="20" t="s">
        <v>186</v>
      </c>
      <c r="Q872" s="20">
        <v>11278.0</v>
      </c>
      <c r="R872" s="20" t="s">
        <v>3128</v>
      </c>
      <c r="S872" s="20" t="s">
        <v>3127</v>
      </c>
      <c r="T872" s="20" t="s">
        <v>138</v>
      </c>
    </row>
    <row r="873" ht="14.25" customHeight="1">
      <c r="A873" s="20" t="s">
        <v>3129</v>
      </c>
      <c r="B873" s="20" t="s">
        <v>3130</v>
      </c>
      <c r="C873" s="20" t="s">
        <v>174</v>
      </c>
      <c r="F873" s="20" t="s">
        <v>150</v>
      </c>
      <c r="G873" s="20" t="s">
        <v>150</v>
      </c>
      <c r="I873" s="20" t="s">
        <v>151</v>
      </c>
      <c r="J873" s="20" t="s">
        <v>143</v>
      </c>
      <c r="Q873" s="20">
        <v>12233.0</v>
      </c>
      <c r="R873" s="20" t="s">
        <v>3131</v>
      </c>
      <c r="S873" s="20" t="s">
        <v>3130</v>
      </c>
      <c r="T873" s="20" t="s">
        <v>138</v>
      </c>
    </row>
    <row r="874" ht="14.25" customHeight="1">
      <c r="A874" s="20" t="s">
        <v>3132</v>
      </c>
      <c r="B874" s="20" t="s">
        <v>3133</v>
      </c>
      <c r="C874" s="20" t="s">
        <v>1314</v>
      </c>
      <c r="F874" s="20" t="s">
        <v>16</v>
      </c>
      <c r="G874" s="20" t="s">
        <v>211</v>
      </c>
      <c r="I874" s="20" t="s">
        <v>258</v>
      </c>
      <c r="J874" s="20" t="s">
        <v>143</v>
      </c>
      <c r="K874" s="20" t="s">
        <v>167</v>
      </c>
      <c r="Q874" s="20">
        <v>1915.0</v>
      </c>
      <c r="R874" s="20" t="s">
        <v>3134</v>
      </c>
      <c r="S874" s="20" t="s">
        <v>3133</v>
      </c>
      <c r="T874" s="20" t="s">
        <v>138</v>
      </c>
    </row>
    <row r="875" ht="14.25" customHeight="1">
      <c r="A875" s="20" t="s">
        <v>3135</v>
      </c>
      <c r="B875" s="20" t="s">
        <v>3136</v>
      </c>
      <c r="C875" s="20" t="s">
        <v>818</v>
      </c>
      <c r="F875" s="20" t="s">
        <v>17</v>
      </c>
      <c r="G875" s="20" t="s">
        <v>17</v>
      </c>
      <c r="I875" s="20" t="s">
        <v>88</v>
      </c>
      <c r="J875" s="20" t="s">
        <v>143</v>
      </c>
      <c r="Q875" s="20">
        <v>14069.0</v>
      </c>
      <c r="R875" s="20" t="s">
        <v>3137</v>
      </c>
      <c r="S875" s="20" t="s">
        <v>3136</v>
      </c>
      <c r="T875" s="20" t="s">
        <v>138</v>
      </c>
    </row>
    <row r="876" ht="14.25" customHeight="1">
      <c r="A876" s="20" t="s">
        <v>3138</v>
      </c>
      <c r="B876" s="20" t="s">
        <v>3139</v>
      </c>
      <c r="C876" s="20" t="s">
        <v>818</v>
      </c>
      <c r="F876" s="20" t="s">
        <v>17</v>
      </c>
      <c r="G876" s="20" t="s">
        <v>17</v>
      </c>
      <c r="I876" s="20" t="s">
        <v>88</v>
      </c>
      <c r="J876" s="20" t="s">
        <v>143</v>
      </c>
      <c r="K876" s="20" t="s">
        <v>167</v>
      </c>
      <c r="Q876" s="20">
        <v>3214.0</v>
      </c>
      <c r="R876" s="20" t="s">
        <v>3140</v>
      </c>
      <c r="S876" s="20" t="s">
        <v>3139</v>
      </c>
      <c r="T876" s="20" t="s">
        <v>138</v>
      </c>
    </row>
    <row r="877" ht="14.25" customHeight="1">
      <c r="A877" s="20" t="s">
        <v>3141</v>
      </c>
      <c r="B877" s="20" t="s">
        <v>3142</v>
      </c>
      <c r="C877" s="20" t="s">
        <v>3143</v>
      </c>
      <c r="F877" s="20" t="s">
        <v>150</v>
      </c>
      <c r="G877" s="20" t="s">
        <v>150</v>
      </c>
      <c r="H877" s="20">
        <v>17102.0</v>
      </c>
      <c r="I877" s="20" t="s">
        <v>151</v>
      </c>
      <c r="J877" s="20" t="s">
        <v>143</v>
      </c>
      <c r="Q877" s="20">
        <v>17102.0</v>
      </c>
      <c r="R877" s="20" t="s">
        <v>3144</v>
      </c>
      <c r="S877" s="20" t="s">
        <v>3145</v>
      </c>
      <c r="T877" s="20" t="s">
        <v>138</v>
      </c>
      <c r="W877" s="20" t="s">
        <v>146</v>
      </c>
    </row>
    <row r="878" ht="14.25" customHeight="1">
      <c r="A878" s="20" t="s">
        <v>3146</v>
      </c>
      <c r="B878" s="20" t="s">
        <v>3147</v>
      </c>
      <c r="C878" s="20" t="s">
        <v>818</v>
      </c>
      <c r="F878" s="20" t="s">
        <v>17</v>
      </c>
      <c r="G878" s="20" t="s">
        <v>17</v>
      </c>
      <c r="I878" s="20" t="s">
        <v>88</v>
      </c>
      <c r="J878" s="20" t="s">
        <v>143</v>
      </c>
      <c r="Q878" s="20">
        <v>3216.0</v>
      </c>
      <c r="R878" s="20" t="s">
        <v>3148</v>
      </c>
      <c r="S878" s="20" t="s">
        <v>3147</v>
      </c>
      <c r="T878" s="20" t="s">
        <v>138</v>
      </c>
    </row>
    <row r="879" ht="14.25" customHeight="1">
      <c r="A879" s="20" t="s">
        <v>3149</v>
      </c>
      <c r="B879" s="20" t="s">
        <v>3150</v>
      </c>
      <c r="C879" s="20" t="s">
        <v>239</v>
      </c>
      <c r="F879" s="20" t="s">
        <v>17</v>
      </c>
      <c r="G879" s="20" t="s">
        <v>17</v>
      </c>
      <c r="I879" s="20" t="s">
        <v>88</v>
      </c>
      <c r="J879" s="20" t="s">
        <v>143</v>
      </c>
      <c r="Q879" s="20">
        <v>6704.0</v>
      </c>
      <c r="R879" s="20" t="s">
        <v>3151</v>
      </c>
      <c r="S879" s="20" t="s">
        <v>3150</v>
      </c>
      <c r="T879" s="20" t="s">
        <v>138</v>
      </c>
    </row>
    <row r="880" ht="14.25" customHeight="1">
      <c r="A880" s="20" t="s">
        <v>3152</v>
      </c>
      <c r="B880" s="20" t="s">
        <v>3153</v>
      </c>
      <c r="C880" s="20" t="s">
        <v>818</v>
      </c>
      <c r="F880" s="20" t="s">
        <v>17</v>
      </c>
      <c r="G880" s="20" t="s">
        <v>17</v>
      </c>
      <c r="I880" s="20" t="s">
        <v>88</v>
      </c>
      <c r="J880" s="20" t="s">
        <v>143</v>
      </c>
      <c r="Q880" s="20">
        <v>532.0</v>
      </c>
      <c r="R880" s="20" t="s">
        <v>3154</v>
      </c>
      <c r="S880" s="20" t="s">
        <v>3153</v>
      </c>
      <c r="T880" s="20" t="s">
        <v>138</v>
      </c>
    </row>
    <row r="881" ht="14.25" customHeight="1">
      <c r="A881" s="20" t="s">
        <v>3155</v>
      </c>
      <c r="B881" s="20" t="s">
        <v>3156</v>
      </c>
      <c r="C881" s="20" t="s">
        <v>3157</v>
      </c>
      <c r="F881" s="20" t="s">
        <v>17</v>
      </c>
      <c r="G881" s="20" t="s">
        <v>17</v>
      </c>
      <c r="H881" s="20">
        <v>530.0</v>
      </c>
      <c r="I881" s="20" t="s">
        <v>88</v>
      </c>
      <c r="J881" s="20" t="s">
        <v>186</v>
      </c>
      <c r="K881" s="20" t="s">
        <v>187</v>
      </c>
      <c r="L881" s="20" t="s">
        <v>88</v>
      </c>
      <c r="O881" s="20" t="s">
        <v>144</v>
      </c>
      <c r="Q881" s="20">
        <v>530.0</v>
      </c>
      <c r="R881" s="20" t="s">
        <v>3158</v>
      </c>
      <c r="S881" s="20" t="s">
        <v>3156</v>
      </c>
      <c r="T881" s="20" t="s">
        <v>138</v>
      </c>
      <c r="V881" s="20" t="s">
        <v>189</v>
      </c>
      <c r="W881" s="20" t="s">
        <v>261</v>
      </c>
    </row>
    <row r="882" ht="14.25" customHeight="1">
      <c r="A882" s="20" t="s">
        <v>3159</v>
      </c>
      <c r="B882" s="20" t="s">
        <v>3160</v>
      </c>
      <c r="C882" s="20" t="s">
        <v>874</v>
      </c>
      <c r="F882" s="20" t="s">
        <v>327</v>
      </c>
      <c r="G882" s="20" t="s">
        <v>202</v>
      </c>
      <c r="H882" s="20">
        <v>14101.0</v>
      </c>
      <c r="I882" s="20" t="s">
        <v>875</v>
      </c>
      <c r="J882" s="20" t="s">
        <v>186</v>
      </c>
      <c r="P882" s="20" t="s">
        <v>3160</v>
      </c>
      <c r="Q882" s="20">
        <v>14101.0</v>
      </c>
      <c r="R882" s="20" t="s">
        <v>3161</v>
      </c>
      <c r="S882" s="20" t="s">
        <v>3162</v>
      </c>
      <c r="T882" s="20" t="s">
        <v>138</v>
      </c>
      <c r="W882" s="20" t="s">
        <v>146</v>
      </c>
    </row>
    <row r="883" ht="14.25" customHeight="1">
      <c r="A883" s="20" t="s">
        <v>3163</v>
      </c>
      <c r="B883" s="20" t="s">
        <v>3164</v>
      </c>
      <c r="C883" s="20" t="s">
        <v>3165</v>
      </c>
      <c r="F883" s="20" t="s">
        <v>218</v>
      </c>
      <c r="G883" s="20" t="s">
        <v>219</v>
      </c>
      <c r="H883" s="20">
        <v>17641.0</v>
      </c>
      <c r="I883" s="20" t="s">
        <v>355</v>
      </c>
      <c r="J883" s="20" t="s">
        <v>143</v>
      </c>
      <c r="P883" s="20" t="s">
        <v>3164</v>
      </c>
      <c r="Q883" s="20">
        <v>17641.0</v>
      </c>
      <c r="R883" s="20" t="s">
        <v>3166</v>
      </c>
      <c r="S883" s="20" t="s">
        <v>3164</v>
      </c>
      <c r="T883" s="20" t="s">
        <v>138</v>
      </c>
      <c r="W883" s="20" t="s">
        <v>146</v>
      </c>
      <c r="X883" s="20" t="s">
        <v>1292</v>
      </c>
    </row>
    <row r="884" ht="14.25" customHeight="1">
      <c r="A884" s="20" t="s">
        <v>3167</v>
      </c>
      <c r="B884" s="20" t="s">
        <v>3168</v>
      </c>
      <c r="C884" s="20" t="s">
        <v>818</v>
      </c>
      <c r="F884" s="20" t="s">
        <v>17</v>
      </c>
      <c r="G884" s="20" t="s">
        <v>17</v>
      </c>
      <c r="I884" s="20" t="s">
        <v>88</v>
      </c>
      <c r="J884" s="20" t="s">
        <v>143</v>
      </c>
      <c r="Q884" s="20">
        <v>534.0</v>
      </c>
      <c r="R884" s="20" t="s">
        <v>3169</v>
      </c>
      <c r="S884" s="20" t="s">
        <v>3168</v>
      </c>
      <c r="T884" s="20" t="s">
        <v>138</v>
      </c>
    </row>
    <row r="885" ht="14.25" customHeight="1">
      <c r="A885" s="20" t="s">
        <v>3170</v>
      </c>
      <c r="B885" s="20" t="s">
        <v>3171</v>
      </c>
      <c r="C885" s="20" t="s">
        <v>149</v>
      </c>
      <c r="F885" s="20" t="s">
        <v>150</v>
      </c>
      <c r="G885" s="20" t="s">
        <v>150</v>
      </c>
      <c r="I885" s="20" t="s">
        <v>151</v>
      </c>
      <c r="J885" s="20" t="s">
        <v>143</v>
      </c>
      <c r="Q885" s="20">
        <v>9505.0</v>
      </c>
      <c r="R885" s="20" t="s">
        <v>3172</v>
      </c>
      <c r="S885" s="20" t="s">
        <v>3171</v>
      </c>
      <c r="T885" s="20" t="s">
        <v>138</v>
      </c>
    </row>
    <row r="886" ht="14.25" customHeight="1">
      <c r="A886" s="20" t="s">
        <v>3173</v>
      </c>
      <c r="B886" s="20" t="s">
        <v>3174</v>
      </c>
      <c r="C886" s="20" t="s">
        <v>1350</v>
      </c>
      <c r="F886" s="20" t="s">
        <v>150</v>
      </c>
      <c r="G886" s="20" t="s">
        <v>150</v>
      </c>
      <c r="I886" s="20" t="s">
        <v>151</v>
      </c>
      <c r="J886" s="20" t="s">
        <v>186</v>
      </c>
      <c r="K886" s="20" t="s">
        <v>187</v>
      </c>
      <c r="Q886" s="20">
        <v>7802.0</v>
      </c>
      <c r="R886" s="20" t="s">
        <v>3175</v>
      </c>
      <c r="S886" s="20" t="s">
        <v>3174</v>
      </c>
      <c r="T886" s="20" t="s">
        <v>138</v>
      </c>
      <c r="V886" s="20" t="s">
        <v>189</v>
      </c>
      <c r="W886" s="20" t="s">
        <v>261</v>
      </c>
    </row>
    <row r="887" ht="14.25" customHeight="1">
      <c r="A887" s="20" t="s">
        <v>3176</v>
      </c>
      <c r="B887" s="20" t="s">
        <v>3177</v>
      </c>
      <c r="C887" s="20" t="s">
        <v>3178</v>
      </c>
      <c r="F887" s="20" t="s">
        <v>16</v>
      </c>
      <c r="G887" s="20" t="s">
        <v>202</v>
      </c>
      <c r="H887" s="20">
        <v>15935.0</v>
      </c>
      <c r="I887" s="20" t="s">
        <v>203</v>
      </c>
      <c r="J887" s="20" t="s">
        <v>143</v>
      </c>
      <c r="Q887" s="20">
        <v>15935.0</v>
      </c>
      <c r="R887" s="20" t="s">
        <v>3179</v>
      </c>
      <c r="S887" s="20" t="s">
        <v>3177</v>
      </c>
      <c r="T887" s="20" t="s">
        <v>138</v>
      </c>
      <c r="U887" s="24">
        <v>44754.0</v>
      </c>
      <c r="W887" s="20" t="s">
        <v>146</v>
      </c>
    </row>
    <row r="888" ht="14.25" customHeight="1">
      <c r="A888" s="20" t="s">
        <v>3180</v>
      </c>
      <c r="B888" s="20" t="s">
        <v>3181</v>
      </c>
      <c r="C888" s="20" t="s">
        <v>1501</v>
      </c>
      <c r="F888" s="20" t="s">
        <v>15</v>
      </c>
      <c r="G888" s="20" t="s">
        <v>142</v>
      </c>
      <c r="I888" s="20" t="s">
        <v>105</v>
      </c>
      <c r="J888" s="20" t="s">
        <v>186</v>
      </c>
      <c r="Q888" s="20">
        <v>11921.0</v>
      </c>
      <c r="R888" s="20" t="s">
        <v>3182</v>
      </c>
      <c r="S888" s="20" t="s">
        <v>3181</v>
      </c>
      <c r="T888" s="20" t="s">
        <v>138</v>
      </c>
    </row>
    <row r="889" ht="14.25" customHeight="1">
      <c r="A889" s="20" t="s">
        <v>3183</v>
      </c>
      <c r="B889" s="20" t="s">
        <v>3184</v>
      </c>
      <c r="C889" s="20" t="s">
        <v>1269</v>
      </c>
      <c r="F889" s="20" t="s">
        <v>218</v>
      </c>
      <c r="G889" s="20" t="s">
        <v>219</v>
      </c>
      <c r="I889" s="20" t="s">
        <v>314</v>
      </c>
      <c r="J889" s="20" t="s">
        <v>186</v>
      </c>
      <c r="Q889" s="20">
        <v>14509.0</v>
      </c>
      <c r="R889" s="20" t="s">
        <v>3185</v>
      </c>
      <c r="S889" s="20" t="s">
        <v>3184</v>
      </c>
      <c r="T889" s="20" t="s">
        <v>138</v>
      </c>
      <c r="W889" s="20" t="s">
        <v>146</v>
      </c>
    </row>
    <row r="890" ht="14.25" customHeight="1">
      <c r="A890" s="20" t="s">
        <v>3186</v>
      </c>
      <c r="B890" s="20" t="s">
        <v>3187</v>
      </c>
      <c r="C890" s="20" t="s">
        <v>149</v>
      </c>
      <c r="F890" s="20" t="s">
        <v>150</v>
      </c>
      <c r="G890" s="20" t="s">
        <v>150</v>
      </c>
      <c r="I890" s="20" t="s">
        <v>151</v>
      </c>
      <c r="J890" s="20" t="s">
        <v>143</v>
      </c>
      <c r="Q890" s="20">
        <v>9940.0</v>
      </c>
      <c r="R890" s="20" t="s">
        <v>3188</v>
      </c>
      <c r="S890" s="20" t="s">
        <v>3187</v>
      </c>
      <c r="T890" s="20" t="s">
        <v>138</v>
      </c>
    </row>
    <row r="891" ht="14.25" customHeight="1">
      <c r="A891" s="20" t="s">
        <v>3189</v>
      </c>
      <c r="B891" s="20" t="s">
        <v>3190</v>
      </c>
      <c r="C891" s="20" t="s">
        <v>3191</v>
      </c>
      <c r="F891" s="20" t="s">
        <v>17</v>
      </c>
      <c r="G891" s="20" t="s">
        <v>17</v>
      </c>
      <c r="H891" s="20">
        <v>538.0</v>
      </c>
      <c r="I891" s="20" t="s">
        <v>88</v>
      </c>
      <c r="J891" s="20" t="s">
        <v>186</v>
      </c>
      <c r="K891" s="20" t="s">
        <v>213</v>
      </c>
      <c r="L891" s="20" t="s">
        <v>88</v>
      </c>
      <c r="M891" s="20" t="s">
        <v>1588</v>
      </c>
      <c r="O891" s="20" t="s">
        <v>144</v>
      </c>
      <c r="Q891" s="20">
        <v>538.0</v>
      </c>
      <c r="R891" s="20" t="s">
        <v>3192</v>
      </c>
      <c r="S891" s="20" t="s">
        <v>3190</v>
      </c>
      <c r="T891" s="20" t="s">
        <v>138</v>
      </c>
      <c r="V891" s="20" t="s">
        <v>189</v>
      </c>
      <c r="W891" s="20" t="s">
        <v>261</v>
      </c>
    </row>
    <row r="892" ht="14.25" customHeight="1">
      <c r="A892" s="20" t="s">
        <v>3193</v>
      </c>
      <c r="B892" s="20" t="s">
        <v>3194</v>
      </c>
      <c r="C892" s="20" t="s">
        <v>174</v>
      </c>
      <c r="F892" s="20" t="s">
        <v>150</v>
      </c>
      <c r="G892" s="20" t="s">
        <v>150</v>
      </c>
      <c r="I892" s="20" t="s">
        <v>151</v>
      </c>
      <c r="J892" s="20" t="s">
        <v>186</v>
      </c>
      <c r="Q892" s="20">
        <v>12095.0</v>
      </c>
      <c r="R892" s="20" t="s">
        <v>3195</v>
      </c>
      <c r="S892" s="20" t="s">
        <v>3194</v>
      </c>
      <c r="T892" s="20" t="s">
        <v>138</v>
      </c>
    </row>
    <row r="893" ht="14.25" customHeight="1">
      <c r="A893" s="20" t="s">
        <v>3196</v>
      </c>
      <c r="B893" s="20" t="s">
        <v>3197</v>
      </c>
      <c r="C893" s="20" t="s">
        <v>3198</v>
      </c>
      <c r="F893" s="20" t="s">
        <v>16</v>
      </c>
      <c r="G893" s="20" t="s">
        <v>211</v>
      </c>
      <c r="I893" s="20" t="s">
        <v>212</v>
      </c>
      <c r="J893" s="20" t="s">
        <v>186</v>
      </c>
      <c r="Q893" s="20">
        <v>11845.0</v>
      </c>
      <c r="R893" s="20" t="s">
        <v>3199</v>
      </c>
      <c r="S893" s="20" t="s">
        <v>3197</v>
      </c>
      <c r="T893" s="20" t="s">
        <v>138</v>
      </c>
    </row>
    <row r="894" ht="14.25" customHeight="1">
      <c r="A894" s="20" t="s">
        <v>3200</v>
      </c>
      <c r="B894" s="20" t="s">
        <v>3201</v>
      </c>
      <c r="C894" s="20" t="s">
        <v>637</v>
      </c>
      <c r="F894" s="20" t="s">
        <v>16</v>
      </c>
      <c r="G894" s="20" t="s">
        <v>638</v>
      </c>
      <c r="I894" s="20" t="s">
        <v>639</v>
      </c>
      <c r="J894" s="20" t="s">
        <v>143</v>
      </c>
      <c r="Q894" s="20">
        <v>3755.0</v>
      </c>
      <c r="R894" s="20" t="s">
        <v>3202</v>
      </c>
      <c r="S894" s="20" t="s">
        <v>3201</v>
      </c>
      <c r="T894" s="20" t="s">
        <v>138</v>
      </c>
    </row>
    <row r="895" ht="14.25" customHeight="1">
      <c r="A895" s="20" t="s">
        <v>3203</v>
      </c>
      <c r="B895" s="20" t="s">
        <v>3204</v>
      </c>
      <c r="C895" s="20" t="s">
        <v>217</v>
      </c>
      <c r="F895" s="20" t="s">
        <v>218</v>
      </c>
      <c r="G895" s="20" t="s">
        <v>219</v>
      </c>
      <c r="I895" s="20" t="s">
        <v>220</v>
      </c>
      <c r="J895" s="20" t="s">
        <v>186</v>
      </c>
      <c r="K895" s="20" t="s">
        <v>187</v>
      </c>
      <c r="Q895" s="20">
        <v>1753.0</v>
      </c>
      <c r="R895" s="20" t="s">
        <v>3205</v>
      </c>
      <c r="S895" s="20" t="s">
        <v>3204</v>
      </c>
      <c r="T895" s="20" t="s">
        <v>138</v>
      </c>
      <c r="V895" s="20" t="s">
        <v>189</v>
      </c>
      <c r="W895" s="20" t="s">
        <v>261</v>
      </c>
    </row>
    <row r="896" ht="14.25" customHeight="1">
      <c r="A896" s="20" t="s">
        <v>3206</v>
      </c>
      <c r="B896" s="20" t="s">
        <v>3207</v>
      </c>
      <c r="C896" s="20" t="s">
        <v>496</v>
      </c>
      <c r="F896" s="20" t="s">
        <v>218</v>
      </c>
      <c r="G896" s="20" t="s">
        <v>219</v>
      </c>
      <c r="I896" s="20" t="s">
        <v>497</v>
      </c>
      <c r="J896" s="20" t="s">
        <v>186</v>
      </c>
      <c r="Q896" s="20">
        <v>10048.0</v>
      </c>
      <c r="R896" s="20" t="s">
        <v>3208</v>
      </c>
      <c r="S896" s="20" t="s">
        <v>3207</v>
      </c>
      <c r="T896" s="20" t="s">
        <v>138</v>
      </c>
    </row>
    <row r="897" ht="14.25" customHeight="1">
      <c r="A897" s="20" t="s">
        <v>3209</v>
      </c>
      <c r="B897" s="20" t="s">
        <v>3210</v>
      </c>
      <c r="C897" s="20" t="s">
        <v>394</v>
      </c>
      <c r="F897" s="20" t="s">
        <v>327</v>
      </c>
      <c r="G897" s="20" t="s">
        <v>395</v>
      </c>
      <c r="I897" s="20" t="s">
        <v>396</v>
      </c>
      <c r="J897" s="20" t="s">
        <v>143</v>
      </c>
      <c r="Q897" s="20">
        <v>14689.0</v>
      </c>
      <c r="R897" s="20" t="s">
        <v>3211</v>
      </c>
      <c r="S897" s="20" t="s">
        <v>3210</v>
      </c>
      <c r="T897" s="20" t="s">
        <v>138</v>
      </c>
    </row>
    <row r="898" ht="14.25" customHeight="1">
      <c r="A898" s="20" t="s">
        <v>3212</v>
      </c>
      <c r="B898" s="20" t="s">
        <v>3213</v>
      </c>
      <c r="C898" s="20" t="s">
        <v>149</v>
      </c>
      <c r="F898" s="20" t="s">
        <v>150</v>
      </c>
      <c r="G898" s="20" t="s">
        <v>150</v>
      </c>
      <c r="I898" s="20" t="s">
        <v>151</v>
      </c>
      <c r="J898" s="20" t="s">
        <v>143</v>
      </c>
      <c r="Q898" s="20">
        <v>16602.0</v>
      </c>
      <c r="R898" s="20" t="s">
        <v>3214</v>
      </c>
      <c r="S898" s="20" t="s">
        <v>3213</v>
      </c>
      <c r="T898" s="20" t="s">
        <v>138</v>
      </c>
    </row>
    <row r="899" ht="14.25" customHeight="1">
      <c r="A899" s="20" t="s">
        <v>3215</v>
      </c>
      <c r="B899" s="20" t="s">
        <v>3216</v>
      </c>
      <c r="C899" s="20" t="s">
        <v>491</v>
      </c>
      <c r="F899" s="20" t="s">
        <v>327</v>
      </c>
      <c r="G899" s="20" t="s">
        <v>385</v>
      </c>
      <c r="I899" s="20" t="s">
        <v>492</v>
      </c>
      <c r="J899" s="20" t="s">
        <v>186</v>
      </c>
      <c r="Q899" s="20">
        <v>539.0</v>
      </c>
      <c r="R899" s="20" t="s">
        <v>3217</v>
      </c>
      <c r="S899" s="20" t="s">
        <v>3218</v>
      </c>
      <c r="T899" s="20" t="s">
        <v>138</v>
      </c>
    </row>
    <row r="900" ht="14.25" customHeight="1">
      <c r="A900" s="20" t="s">
        <v>3219</v>
      </c>
      <c r="B900" s="20" t="s">
        <v>3220</v>
      </c>
      <c r="C900" s="20" t="s">
        <v>1115</v>
      </c>
      <c r="F900" s="20" t="s">
        <v>15</v>
      </c>
      <c r="G900" s="20" t="s">
        <v>142</v>
      </c>
      <c r="H900" s="20">
        <v>14834.0</v>
      </c>
      <c r="I900" s="20" t="s">
        <v>105</v>
      </c>
      <c r="J900" s="20" t="s">
        <v>143</v>
      </c>
      <c r="P900" s="20" t="s">
        <v>3220</v>
      </c>
      <c r="Q900" s="20">
        <v>14834.0</v>
      </c>
      <c r="R900" s="20" t="s">
        <v>3221</v>
      </c>
      <c r="S900" s="20" t="s">
        <v>3220</v>
      </c>
      <c r="T900" s="20" t="s">
        <v>138</v>
      </c>
      <c r="W900" s="20" t="s">
        <v>146</v>
      </c>
    </row>
    <row r="901" ht="14.25" customHeight="1">
      <c r="A901" s="20" t="s">
        <v>3222</v>
      </c>
      <c r="B901" s="20" t="s">
        <v>3223</v>
      </c>
      <c r="C901" s="20" t="s">
        <v>174</v>
      </c>
      <c r="F901" s="20" t="s">
        <v>150</v>
      </c>
      <c r="G901" s="20" t="s">
        <v>150</v>
      </c>
      <c r="I901" s="20" t="s">
        <v>151</v>
      </c>
      <c r="J901" s="20" t="s">
        <v>143</v>
      </c>
      <c r="Q901" s="20">
        <v>14125.0</v>
      </c>
      <c r="R901" s="20" t="s">
        <v>3224</v>
      </c>
      <c r="S901" s="20" t="s">
        <v>3223</v>
      </c>
      <c r="T901" s="20" t="s">
        <v>138</v>
      </c>
    </row>
    <row r="902" ht="14.25" customHeight="1">
      <c r="A902" s="20" t="s">
        <v>3225</v>
      </c>
      <c r="B902" s="20" t="s">
        <v>3226</v>
      </c>
      <c r="C902" s="20" t="s">
        <v>159</v>
      </c>
      <c r="F902" s="20" t="s">
        <v>150</v>
      </c>
      <c r="G902" s="20" t="s">
        <v>150</v>
      </c>
      <c r="I902" s="20" t="s">
        <v>151</v>
      </c>
      <c r="J902" s="20" t="s">
        <v>143</v>
      </c>
      <c r="Q902" s="20">
        <v>8822.0</v>
      </c>
      <c r="R902" s="20" t="s">
        <v>3227</v>
      </c>
      <c r="S902" s="20" t="s">
        <v>3226</v>
      </c>
      <c r="T902" s="20" t="s">
        <v>138</v>
      </c>
    </row>
    <row r="903" ht="14.25" customHeight="1">
      <c r="A903" s="20" t="s">
        <v>3228</v>
      </c>
      <c r="B903" s="20" t="s">
        <v>3229</v>
      </c>
      <c r="C903" s="20" t="s">
        <v>174</v>
      </c>
      <c r="F903" s="20" t="s">
        <v>150</v>
      </c>
      <c r="G903" s="20" t="s">
        <v>150</v>
      </c>
      <c r="I903" s="20" t="s">
        <v>151</v>
      </c>
      <c r="J903" s="20" t="s">
        <v>143</v>
      </c>
      <c r="Q903" s="20">
        <v>6099.0</v>
      </c>
      <c r="R903" s="20" t="s">
        <v>3230</v>
      </c>
      <c r="S903" s="20" t="s">
        <v>3229</v>
      </c>
      <c r="T903" s="20" t="s">
        <v>138</v>
      </c>
    </row>
    <row r="904" ht="14.25" customHeight="1">
      <c r="A904" s="20" t="s">
        <v>3231</v>
      </c>
      <c r="B904" s="20" t="s">
        <v>3232</v>
      </c>
      <c r="C904" s="20" t="s">
        <v>149</v>
      </c>
      <c r="F904" s="20" t="s">
        <v>150</v>
      </c>
      <c r="G904" s="20" t="s">
        <v>150</v>
      </c>
      <c r="I904" s="20" t="s">
        <v>151</v>
      </c>
      <c r="J904" s="20" t="s">
        <v>143</v>
      </c>
      <c r="Q904" s="20">
        <v>4963.0</v>
      </c>
      <c r="R904" s="20" t="s">
        <v>3233</v>
      </c>
      <c r="S904" s="20" t="s">
        <v>3232</v>
      </c>
      <c r="T904" s="20" t="s">
        <v>138</v>
      </c>
    </row>
    <row r="905" ht="14.25" customHeight="1">
      <c r="A905" s="20" t="s">
        <v>3234</v>
      </c>
      <c r="B905" s="20" t="s">
        <v>3235</v>
      </c>
      <c r="C905" s="20" t="s">
        <v>2606</v>
      </c>
      <c r="F905" s="20" t="s">
        <v>17</v>
      </c>
      <c r="G905" s="20" t="s">
        <v>17</v>
      </c>
      <c r="I905" s="20" t="s">
        <v>88</v>
      </c>
      <c r="J905" s="20" t="s">
        <v>186</v>
      </c>
      <c r="K905" s="20" t="s">
        <v>187</v>
      </c>
      <c r="Q905" s="20">
        <v>2148.0</v>
      </c>
      <c r="R905" s="20" t="s">
        <v>3236</v>
      </c>
      <c r="S905" s="20" t="s">
        <v>3235</v>
      </c>
      <c r="T905" s="20" t="s">
        <v>138</v>
      </c>
      <c r="W905" s="20" t="s">
        <v>261</v>
      </c>
    </row>
    <row r="906" ht="14.25" customHeight="1">
      <c r="A906" s="20" t="s">
        <v>3237</v>
      </c>
      <c r="B906" s="20" t="s">
        <v>3238</v>
      </c>
      <c r="C906" s="20" t="s">
        <v>818</v>
      </c>
      <c r="F906" s="20" t="s">
        <v>17</v>
      </c>
      <c r="G906" s="20" t="s">
        <v>17</v>
      </c>
      <c r="I906" s="20" t="s">
        <v>88</v>
      </c>
      <c r="J906" s="20" t="s">
        <v>143</v>
      </c>
      <c r="Q906" s="20">
        <v>6019.0</v>
      </c>
      <c r="R906" s="20" t="s">
        <v>3239</v>
      </c>
      <c r="S906" s="20" t="s">
        <v>3238</v>
      </c>
      <c r="T906" s="20" t="s">
        <v>138</v>
      </c>
    </row>
    <row r="907" ht="14.25" customHeight="1">
      <c r="A907" s="20" t="s">
        <v>3240</v>
      </c>
      <c r="B907" s="20" t="s">
        <v>3241</v>
      </c>
      <c r="C907" s="20" t="s">
        <v>818</v>
      </c>
      <c r="F907" s="20" t="s">
        <v>17</v>
      </c>
      <c r="G907" s="20" t="s">
        <v>17</v>
      </c>
      <c r="I907" s="20" t="s">
        <v>88</v>
      </c>
      <c r="J907" s="20" t="s">
        <v>143</v>
      </c>
      <c r="Q907" s="20">
        <v>2682.0</v>
      </c>
      <c r="R907" s="20" t="s">
        <v>3242</v>
      </c>
      <c r="S907" s="20" t="s">
        <v>3241</v>
      </c>
      <c r="T907" s="20" t="s">
        <v>138</v>
      </c>
    </row>
    <row r="908" ht="14.25" customHeight="1">
      <c r="A908" s="20" t="s">
        <v>3243</v>
      </c>
      <c r="B908" s="20" t="s">
        <v>3244</v>
      </c>
      <c r="C908" s="20" t="s">
        <v>272</v>
      </c>
      <c r="F908" s="20" t="s">
        <v>150</v>
      </c>
      <c r="G908" s="20" t="s">
        <v>150</v>
      </c>
      <c r="I908" s="20" t="s">
        <v>151</v>
      </c>
      <c r="J908" s="20" t="s">
        <v>143</v>
      </c>
      <c r="Q908" s="20">
        <v>16006.0</v>
      </c>
      <c r="R908" s="20" t="s">
        <v>3245</v>
      </c>
      <c r="S908" s="20" t="s">
        <v>3244</v>
      </c>
      <c r="T908" s="20" t="s">
        <v>138</v>
      </c>
    </row>
    <row r="909" ht="14.25" customHeight="1">
      <c r="A909" s="20" t="s">
        <v>3246</v>
      </c>
      <c r="B909" s="20" t="s">
        <v>3247</v>
      </c>
      <c r="C909" s="20" t="s">
        <v>369</v>
      </c>
      <c r="F909" s="20" t="s">
        <v>218</v>
      </c>
      <c r="G909" s="20" t="s">
        <v>219</v>
      </c>
      <c r="I909" s="20" t="s">
        <v>370</v>
      </c>
      <c r="J909" s="20" t="s">
        <v>186</v>
      </c>
      <c r="Q909" s="20">
        <v>15498.0</v>
      </c>
      <c r="R909" s="20" t="s">
        <v>3248</v>
      </c>
      <c r="S909" s="20" t="s">
        <v>3247</v>
      </c>
      <c r="T909" s="20" t="s">
        <v>138</v>
      </c>
    </row>
    <row r="910" ht="14.25" customHeight="1">
      <c r="A910" s="20" t="s">
        <v>3249</v>
      </c>
      <c r="B910" s="20" t="s">
        <v>3250</v>
      </c>
      <c r="C910" s="20" t="s">
        <v>928</v>
      </c>
      <c r="F910" s="20" t="s">
        <v>327</v>
      </c>
      <c r="G910" s="20" t="s">
        <v>328</v>
      </c>
      <c r="I910" s="20" t="s">
        <v>329</v>
      </c>
      <c r="J910" s="20" t="s">
        <v>143</v>
      </c>
      <c r="K910" s="20" t="s">
        <v>167</v>
      </c>
      <c r="Q910" s="20">
        <v>11491.0</v>
      </c>
      <c r="R910" s="20" t="s">
        <v>3251</v>
      </c>
      <c r="S910" s="20" t="s">
        <v>3250</v>
      </c>
      <c r="T910" s="20" t="s">
        <v>138</v>
      </c>
    </row>
    <row r="911" ht="14.25" customHeight="1">
      <c r="A911" s="20" t="s">
        <v>3252</v>
      </c>
      <c r="B911" s="20" t="s">
        <v>3253</v>
      </c>
      <c r="C911" s="20" t="s">
        <v>1430</v>
      </c>
      <c r="F911" s="20" t="s">
        <v>16</v>
      </c>
      <c r="G911" s="20" t="s">
        <v>211</v>
      </c>
      <c r="I911" s="20" t="s">
        <v>212</v>
      </c>
      <c r="J911" s="20" t="s">
        <v>143</v>
      </c>
      <c r="Q911" s="20">
        <v>15852.0</v>
      </c>
      <c r="R911" s="20" t="s">
        <v>3254</v>
      </c>
      <c r="S911" s="20" t="s">
        <v>3253</v>
      </c>
      <c r="T911" s="20" t="s">
        <v>138</v>
      </c>
    </row>
    <row r="912" ht="14.25" customHeight="1">
      <c r="A912" s="20" t="s">
        <v>3255</v>
      </c>
      <c r="B912" s="20" t="s">
        <v>3256</v>
      </c>
      <c r="C912" s="20" t="s">
        <v>289</v>
      </c>
      <c r="F912" s="20" t="s">
        <v>150</v>
      </c>
      <c r="G912" s="20" t="s">
        <v>150</v>
      </c>
      <c r="I912" s="20" t="s">
        <v>151</v>
      </c>
      <c r="J912" s="20" t="s">
        <v>143</v>
      </c>
      <c r="Q912" s="20">
        <v>15719.0</v>
      </c>
      <c r="R912" s="20" t="s">
        <v>3257</v>
      </c>
      <c r="S912" s="20" t="s">
        <v>3256</v>
      </c>
      <c r="T912" s="20" t="s">
        <v>138</v>
      </c>
    </row>
    <row r="913" ht="14.25" customHeight="1">
      <c r="A913" s="20" t="s">
        <v>3258</v>
      </c>
      <c r="B913" s="20" t="s">
        <v>3259</v>
      </c>
      <c r="C913" s="20" t="s">
        <v>159</v>
      </c>
      <c r="F913" s="20" t="s">
        <v>150</v>
      </c>
      <c r="G913" s="20" t="s">
        <v>150</v>
      </c>
      <c r="I913" s="20" t="s">
        <v>151</v>
      </c>
      <c r="J913" s="20" t="s">
        <v>143</v>
      </c>
      <c r="Q913" s="20">
        <v>2662.0</v>
      </c>
      <c r="R913" s="20" t="s">
        <v>3260</v>
      </c>
      <c r="S913" s="20" t="s">
        <v>3259</v>
      </c>
      <c r="T913" s="20" t="s">
        <v>138</v>
      </c>
    </row>
    <row r="914" ht="14.25" customHeight="1">
      <c r="A914" s="20" t="s">
        <v>3261</v>
      </c>
      <c r="B914" s="20" t="s">
        <v>3262</v>
      </c>
      <c r="C914" s="20" t="s">
        <v>836</v>
      </c>
      <c r="F914" s="20" t="s">
        <v>16</v>
      </c>
      <c r="G914" s="20" t="s">
        <v>202</v>
      </c>
      <c r="I914" s="20" t="s">
        <v>203</v>
      </c>
      <c r="J914" s="20" t="s">
        <v>143</v>
      </c>
      <c r="K914" s="20" t="s">
        <v>167</v>
      </c>
      <c r="Q914" s="20">
        <v>11668.0</v>
      </c>
      <c r="R914" s="20" t="s">
        <v>3263</v>
      </c>
      <c r="S914" s="20" t="s">
        <v>3262</v>
      </c>
      <c r="T914" s="20" t="s">
        <v>138</v>
      </c>
    </row>
    <row r="915" ht="14.25" customHeight="1">
      <c r="A915" s="20" t="s">
        <v>3264</v>
      </c>
      <c r="B915" s="20" t="s">
        <v>3265</v>
      </c>
      <c r="C915" s="20" t="s">
        <v>289</v>
      </c>
      <c r="F915" s="20" t="s">
        <v>150</v>
      </c>
      <c r="G915" s="20" t="s">
        <v>150</v>
      </c>
      <c r="I915" s="20" t="s">
        <v>2024</v>
      </c>
      <c r="J915" s="20" t="s">
        <v>143</v>
      </c>
      <c r="K915" s="20" t="s">
        <v>213</v>
      </c>
      <c r="Q915" s="20">
        <v>4961.0</v>
      </c>
      <c r="R915" s="20" t="s">
        <v>3266</v>
      </c>
      <c r="S915" s="20" t="s">
        <v>3267</v>
      </c>
      <c r="T915" s="20" t="s">
        <v>138</v>
      </c>
      <c r="V915" s="20" t="s">
        <v>189</v>
      </c>
      <c r="W915" s="20" t="s">
        <v>146</v>
      </c>
    </row>
    <row r="916" ht="14.25" customHeight="1">
      <c r="A916" s="20" t="s">
        <v>3268</v>
      </c>
      <c r="B916" s="20" t="s">
        <v>3269</v>
      </c>
      <c r="C916" s="20" t="s">
        <v>587</v>
      </c>
      <c r="F916" s="20" t="s">
        <v>150</v>
      </c>
      <c r="G916" s="20" t="s">
        <v>150</v>
      </c>
      <c r="H916" s="20">
        <v>16785.0</v>
      </c>
      <c r="I916" s="20" t="s">
        <v>151</v>
      </c>
      <c r="J916" s="20" t="s">
        <v>143</v>
      </c>
      <c r="Q916" s="20">
        <v>16785.0</v>
      </c>
      <c r="R916" s="20" t="s">
        <v>3270</v>
      </c>
      <c r="S916" s="20" t="s">
        <v>3271</v>
      </c>
      <c r="T916" s="20" t="s">
        <v>138</v>
      </c>
      <c r="W916" s="20" t="s">
        <v>146</v>
      </c>
    </row>
    <row r="917" ht="14.25" customHeight="1">
      <c r="A917" s="20" t="s">
        <v>3272</v>
      </c>
      <c r="B917" s="20" t="s">
        <v>3273</v>
      </c>
      <c r="C917" s="20" t="s">
        <v>906</v>
      </c>
      <c r="F917" s="20" t="s">
        <v>15</v>
      </c>
      <c r="G917" s="20" t="s">
        <v>142</v>
      </c>
      <c r="I917" s="20" t="s">
        <v>105</v>
      </c>
      <c r="J917" s="20" t="s">
        <v>136</v>
      </c>
      <c r="Q917" s="20">
        <v>7864.0</v>
      </c>
      <c r="R917" s="20" t="s">
        <v>3274</v>
      </c>
      <c r="S917" s="20" t="s">
        <v>3273</v>
      </c>
      <c r="T917" s="20" t="s">
        <v>138</v>
      </c>
      <c r="W917" s="20" t="s">
        <v>372</v>
      </c>
    </row>
    <row r="918" ht="14.25" customHeight="1">
      <c r="A918" s="20" t="s">
        <v>3275</v>
      </c>
      <c r="B918" s="20" t="s">
        <v>3276</v>
      </c>
      <c r="C918" s="20" t="s">
        <v>775</v>
      </c>
      <c r="F918" s="20" t="s">
        <v>327</v>
      </c>
      <c r="G918" s="20" t="s">
        <v>385</v>
      </c>
      <c r="I918" s="20" t="s">
        <v>762</v>
      </c>
      <c r="J918" s="20" t="s">
        <v>186</v>
      </c>
      <c r="Q918" s="20">
        <v>13976.0</v>
      </c>
      <c r="R918" s="20" t="s">
        <v>3277</v>
      </c>
      <c r="S918" s="20" t="s">
        <v>3276</v>
      </c>
      <c r="T918" s="20" t="s">
        <v>138</v>
      </c>
    </row>
    <row r="919" ht="14.25" customHeight="1">
      <c r="A919" s="20" t="s">
        <v>3278</v>
      </c>
      <c r="B919" s="20" t="s">
        <v>3279</v>
      </c>
      <c r="C919" s="20" t="s">
        <v>174</v>
      </c>
      <c r="F919" s="20" t="s">
        <v>150</v>
      </c>
      <c r="G919" s="20" t="s">
        <v>150</v>
      </c>
      <c r="I919" s="20" t="s">
        <v>151</v>
      </c>
      <c r="J919" s="20" t="s">
        <v>143</v>
      </c>
      <c r="Q919" s="20">
        <v>13555.0</v>
      </c>
      <c r="R919" s="20" t="s">
        <v>3280</v>
      </c>
      <c r="S919" s="20" t="s">
        <v>3279</v>
      </c>
      <c r="T919" s="20" t="s">
        <v>138</v>
      </c>
    </row>
    <row r="920" ht="14.25" customHeight="1">
      <c r="A920" s="20" t="s">
        <v>3281</v>
      </c>
      <c r="B920" s="20" t="s">
        <v>3282</v>
      </c>
      <c r="C920" s="20" t="s">
        <v>3283</v>
      </c>
      <c r="F920" s="20" t="s">
        <v>218</v>
      </c>
      <c r="G920" s="20" t="s">
        <v>219</v>
      </c>
      <c r="I920" s="20" t="s">
        <v>314</v>
      </c>
      <c r="J920" s="20" t="s">
        <v>186</v>
      </c>
      <c r="Q920" s="20">
        <v>13604.0</v>
      </c>
      <c r="R920" s="20" t="s">
        <v>3284</v>
      </c>
      <c r="S920" s="20" t="s">
        <v>3282</v>
      </c>
      <c r="T920" s="20" t="s">
        <v>138</v>
      </c>
    </row>
    <row r="921" ht="14.25" customHeight="1">
      <c r="A921" s="20" t="s">
        <v>3285</v>
      </c>
      <c r="B921" s="20" t="s">
        <v>3286</v>
      </c>
      <c r="C921" s="20" t="s">
        <v>289</v>
      </c>
      <c r="F921" s="20" t="s">
        <v>150</v>
      </c>
      <c r="G921" s="20" t="s">
        <v>150</v>
      </c>
      <c r="I921" s="20" t="s">
        <v>151</v>
      </c>
      <c r="J921" s="20" t="s">
        <v>143</v>
      </c>
      <c r="Q921" s="20">
        <v>14811.0</v>
      </c>
      <c r="R921" s="20" t="s">
        <v>3287</v>
      </c>
      <c r="S921" s="20" t="s">
        <v>3286</v>
      </c>
      <c r="T921" s="20" t="s">
        <v>138</v>
      </c>
    </row>
    <row r="922" ht="14.25" customHeight="1">
      <c r="A922" s="20" t="s">
        <v>3288</v>
      </c>
      <c r="B922" s="20" t="s">
        <v>3289</v>
      </c>
      <c r="C922" s="20" t="s">
        <v>289</v>
      </c>
      <c r="F922" s="20" t="s">
        <v>150</v>
      </c>
      <c r="G922" s="20" t="s">
        <v>150</v>
      </c>
      <c r="I922" s="20" t="s">
        <v>151</v>
      </c>
      <c r="J922" s="20" t="s">
        <v>143</v>
      </c>
      <c r="Q922" s="20">
        <v>8472.0</v>
      </c>
      <c r="R922" s="20" t="s">
        <v>3290</v>
      </c>
      <c r="S922" s="20" t="s">
        <v>3289</v>
      </c>
      <c r="T922" s="20" t="s">
        <v>138</v>
      </c>
    </row>
    <row r="923" ht="14.25" customHeight="1">
      <c r="A923" s="20" t="s">
        <v>3291</v>
      </c>
      <c r="B923" s="20" t="s">
        <v>3292</v>
      </c>
      <c r="C923" s="20" t="s">
        <v>874</v>
      </c>
      <c r="F923" s="20" t="s">
        <v>327</v>
      </c>
      <c r="G923" s="20" t="s">
        <v>385</v>
      </c>
      <c r="I923" s="20" t="s">
        <v>875</v>
      </c>
      <c r="J923" s="20" t="s">
        <v>136</v>
      </c>
      <c r="Q923" s="20">
        <v>9170.0</v>
      </c>
      <c r="R923" s="20" t="s">
        <v>3293</v>
      </c>
      <c r="S923" s="20" t="s">
        <v>3294</v>
      </c>
      <c r="T923" s="20" t="s">
        <v>138</v>
      </c>
      <c r="W923" s="20" t="s">
        <v>136</v>
      </c>
    </row>
    <row r="924" ht="14.25" customHeight="1">
      <c r="A924" s="20" t="s">
        <v>3295</v>
      </c>
      <c r="B924" s="20" t="s">
        <v>3296</v>
      </c>
      <c r="C924" s="20" t="s">
        <v>159</v>
      </c>
      <c r="F924" s="20" t="s">
        <v>150</v>
      </c>
      <c r="G924" s="20" t="s">
        <v>150</v>
      </c>
      <c r="I924" s="20" t="s">
        <v>151</v>
      </c>
      <c r="J924" s="20" t="s">
        <v>143</v>
      </c>
      <c r="Q924" s="20">
        <v>8767.0</v>
      </c>
      <c r="R924" s="20" t="s">
        <v>3297</v>
      </c>
      <c r="S924" s="20" t="s">
        <v>3296</v>
      </c>
      <c r="T924" s="20" t="s">
        <v>138</v>
      </c>
    </row>
    <row r="925" ht="14.25" customHeight="1">
      <c r="A925" s="20" t="s">
        <v>3298</v>
      </c>
      <c r="B925" s="20" t="s">
        <v>3299</v>
      </c>
      <c r="C925" s="20" t="s">
        <v>289</v>
      </c>
      <c r="F925" s="20" t="s">
        <v>150</v>
      </c>
      <c r="G925" s="20" t="s">
        <v>150</v>
      </c>
      <c r="I925" s="20" t="s">
        <v>151</v>
      </c>
      <c r="J925" s="20" t="s">
        <v>143</v>
      </c>
      <c r="Q925" s="20">
        <v>14320.0</v>
      </c>
      <c r="R925" s="20" t="s">
        <v>3300</v>
      </c>
      <c r="S925" s="20" t="s">
        <v>3299</v>
      </c>
      <c r="T925" s="20" t="s">
        <v>138</v>
      </c>
    </row>
    <row r="926" ht="14.25" customHeight="1">
      <c r="A926" s="20" t="s">
        <v>3301</v>
      </c>
      <c r="B926" s="20" t="s">
        <v>3302</v>
      </c>
      <c r="C926" s="20" t="s">
        <v>3303</v>
      </c>
      <c r="F926" s="20" t="s">
        <v>327</v>
      </c>
      <c r="G926" s="20" t="s">
        <v>385</v>
      </c>
      <c r="I926" s="20" t="s">
        <v>598</v>
      </c>
      <c r="J926" s="20" t="s">
        <v>143</v>
      </c>
      <c r="Q926" s="20">
        <v>14172.0</v>
      </c>
      <c r="R926" s="20" t="s">
        <v>3304</v>
      </c>
      <c r="S926" s="20" t="s">
        <v>3302</v>
      </c>
      <c r="T926" s="20" t="s">
        <v>138</v>
      </c>
    </row>
    <row r="927" ht="14.25" customHeight="1">
      <c r="A927" s="20" t="s">
        <v>3305</v>
      </c>
      <c r="B927" s="26" t="s">
        <v>3306</v>
      </c>
      <c r="C927" s="20" t="s">
        <v>178</v>
      </c>
      <c r="F927" s="20" t="s">
        <v>150</v>
      </c>
      <c r="G927" s="20" t="s">
        <v>150</v>
      </c>
      <c r="I927" s="20" t="s">
        <v>151</v>
      </c>
      <c r="J927" s="20" t="s">
        <v>143</v>
      </c>
      <c r="K927" s="20" t="s">
        <v>167</v>
      </c>
      <c r="Q927" s="20">
        <v>2622.0</v>
      </c>
      <c r="R927" s="20" t="s">
        <v>3307</v>
      </c>
      <c r="S927" s="26" t="s">
        <v>3306</v>
      </c>
      <c r="T927" s="20" t="s">
        <v>138</v>
      </c>
    </row>
    <row r="928" ht="14.25" customHeight="1">
      <c r="A928" s="20" t="s">
        <v>3308</v>
      </c>
      <c r="B928" s="20" t="s">
        <v>3309</v>
      </c>
      <c r="C928" s="20" t="s">
        <v>818</v>
      </c>
      <c r="F928" s="20" t="s">
        <v>17</v>
      </c>
      <c r="G928" s="20" t="s">
        <v>17</v>
      </c>
      <c r="I928" s="20" t="s">
        <v>88</v>
      </c>
      <c r="J928" s="20" t="s">
        <v>143</v>
      </c>
      <c r="Q928" s="20">
        <v>14797.0</v>
      </c>
      <c r="R928" s="20" t="s">
        <v>3310</v>
      </c>
      <c r="S928" s="20" t="s">
        <v>3309</v>
      </c>
      <c r="T928" s="20" t="s">
        <v>138</v>
      </c>
    </row>
    <row r="929" ht="14.25" customHeight="1">
      <c r="A929" s="20" t="s">
        <v>3311</v>
      </c>
      <c r="B929" s="20" t="s">
        <v>3312</v>
      </c>
      <c r="C929" s="20" t="s">
        <v>174</v>
      </c>
      <c r="F929" s="20" t="s">
        <v>150</v>
      </c>
      <c r="G929" s="20" t="s">
        <v>150</v>
      </c>
      <c r="I929" s="20" t="s">
        <v>151</v>
      </c>
      <c r="J929" s="20" t="s">
        <v>143</v>
      </c>
      <c r="Q929" s="20">
        <v>553.0</v>
      </c>
      <c r="R929" s="20" t="s">
        <v>3313</v>
      </c>
      <c r="S929" s="20" t="s">
        <v>3312</v>
      </c>
      <c r="T929" s="20" t="s">
        <v>138</v>
      </c>
    </row>
    <row r="930" ht="14.25" customHeight="1">
      <c r="A930" s="20" t="s">
        <v>3314</v>
      </c>
      <c r="B930" s="20" t="s">
        <v>3315</v>
      </c>
      <c r="C930" s="20" t="s">
        <v>163</v>
      </c>
      <c r="F930" s="20" t="s">
        <v>150</v>
      </c>
      <c r="G930" s="20" t="s">
        <v>150</v>
      </c>
      <c r="I930" s="20" t="s">
        <v>151</v>
      </c>
      <c r="J930" s="20" t="s">
        <v>143</v>
      </c>
      <c r="Q930" s="20">
        <v>7904.0</v>
      </c>
      <c r="R930" s="20" t="s">
        <v>3316</v>
      </c>
      <c r="S930" s="20" t="s">
        <v>3315</v>
      </c>
      <c r="T930" s="20" t="s">
        <v>138</v>
      </c>
    </row>
    <row r="931" ht="14.25" customHeight="1">
      <c r="A931" s="20" t="s">
        <v>3317</v>
      </c>
      <c r="B931" s="20" t="s">
        <v>3318</v>
      </c>
      <c r="C931" s="20" t="s">
        <v>159</v>
      </c>
      <c r="F931" s="20" t="s">
        <v>150</v>
      </c>
      <c r="G931" s="20" t="s">
        <v>150</v>
      </c>
      <c r="I931" s="20" t="s">
        <v>151</v>
      </c>
      <c r="J931" s="20" t="s">
        <v>143</v>
      </c>
      <c r="Q931" s="20">
        <v>11591.0</v>
      </c>
      <c r="R931" s="20" t="s">
        <v>3319</v>
      </c>
      <c r="S931" s="20" t="s">
        <v>3318</v>
      </c>
      <c r="T931" s="20" t="s">
        <v>138</v>
      </c>
    </row>
    <row r="932" ht="14.25" customHeight="1">
      <c r="A932" s="20" t="s">
        <v>3320</v>
      </c>
      <c r="B932" s="20" t="s">
        <v>3321</v>
      </c>
      <c r="C932" s="20" t="s">
        <v>1305</v>
      </c>
      <c r="F932" s="20" t="s">
        <v>16</v>
      </c>
      <c r="G932" s="20" t="s">
        <v>202</v>
      </c>
      <c r="I932" s="20" t="s">
        <v>1306</v>
      </c>
      <c r="J932" s="20" t="s">
        <v>143</v>
      </c>
      <c r="K932" s="20" t="s">
        <v>167</v>
      </c>
      <c r="Q932" s="20">
        <v>4952.0</v>
      </c>
      <c r="R932" s="20" t="s">
        <v>3322</v>
      </c>
      <c r="S932" s="20" t="s">
        <v>3321</v>
      </c>
      <c r="T932" s="20" t="s">
        <v>138</v>
      </c>
      <c r="W932" s="20" t="s">
        <v>146</v>
      </c>
    </row>
    <row r="933" ht="14.25" customHeight="1">
      <c r="A933" s="20" t="s">
        <v>3323</v>
      </c>
      <c r="B933" s="20" t="s">
        <v>3324</v>
      </c>
      <c r="C933" s="20" t="s">
        <v>235</v>
      </c>
      <c r="F933" s="20" t="s">
        <v>15</v>
      </c>
      <c r="G933" s="20" t="s">
        <v>142</v>
      </c>
      <c r="I933" s="20" t="s">
        <v>105</v>
      </c>
      <c r="J933" s="20" t="s">
        <v>143</v>
      </c>
      <c r="Q933" s="20">
        <v>8533.0</v>
      </c>
      <c r="R933" s="20" t="s">
        <v>3325</v>
      </c>
      <c r="S933" s="20" t="s">
        <v>3324</v>
      </c>
      <c r="T933" s="20" t="s">
        <v>138</v>
      </c>
    </row>
    <row r="934" ht="14.25" customHeight="1">
      <c r="A934" s="20" t="s">
        <v>3326</v>
      </c>
      <c r="B934" s="20" t="s">
        <v>3327</v>
      </c>
      <c r="C934" s="20" t="s">
        <v>1305</v>
      </c>
      <c r="F934" s="20" t="s">
        <v>16</v>
      </c>
      <c r="G934" s="20" t="s">
        <v>202</v>
      </c>
      <c r="I934" s="20" t="s">
        <v>1306</v>
      </c>
      <c r="J934" s="20" t="s">
        <v>186</v>
      </c>
      <c r="Q934" s="20">
        <v>6205.0</v>
      </c>
      <c r="R934" s="20" t="s">
        <v>3328</v>
      </c>
      <c r="S934" s="20" t="s">
        <v>3329</v>
      </c>
      <c r="T934" s="20" t="s">
        <v>138</v>
      </c>
      <c r="W934" s="20" t="s">
        <v>146</v>
      </c>
    </row>
    <row r="935" ht="14.25" customHeight="1">
      <c r="A935" s="20" t="s">
        <v>3330</v>
      </c>
      <c r="B935" s="20" t="s">
        <v>3331</v>
      </c>
      <c r="C935" s="20" t="s">
        <v>446</v>
      </c>
      <c r="F935" s="20" t="s">
        <v>16</v>
      </c>
      <c r="G935" s="20" t="s">
        <v>202</v>
      </c>
      <c r="I935" s="20" t="s">
        <v>87</v>
      </c>
      <c r="J935" s="20" t="s">
        <v>143</v>
      </c>
      <c r="Q935" s="20">
        <v>5662.0</v>
      </c>
      <c r="R935" s="20" t="s">
        <v>3332</v>
      </c>
      <c r="S935" s="20" t="s">
        <v>3331</v>
      </c>
      <c r="T935" s="20" t="s">
        <v>138</v>
      </c>
    </row>
    <row r="936" ht="14.25" customHeight="1">
      <c r="A936" s="20" t="s">
        <v>3333</v>
      </c>
      <c r="B936" s="20" t="s">
        <v>3334</v>
      </c>
      <c r="C936" s="20" t="s">
        <v>272</v>
      </c>
      <c r="F936" s="20" t="s">
        <v>150</v>
      </c>
      <c r="G936" s="20" t="s">
        <v>150</v>
      </c>
      <c r="I936" s="20" t="s">
        <v>151</v>
      </c>
      <c r="J936" s="20" t="s">
        <v>143</v>
      </c>
      <c r="Q936" s="20">
        <v>13567.0</v>
      </c>
      <c r="R936" s="20" t="s">
        <v>3335</v>
      </c>
      <c r="S936" s="20" t="s">
        <v>3334</v>
      </c>
      <c r="T936" s="20" t="s">
        <v>138</v>
      </c>
    </row>
    <row r="937" ht="14.25" customHeight="1">
      <c r="A937" s="20" t="s">
        <v>3336</v>
      </c>
      <c r="B937" s="20" t="s">
        <v>3337</v>
      </c>
      <c r="C937" s="20" t="s">
        <v>1350</v>
      </c>
      <c r="F937" s="20" t="s">
        <v>150</v>
      </c>
      <c r="G937" s="20" t="s">
        <v>150</v>
      </c>
      <c r="I937" s="20" t="s">
        <v>151</v>
      </c>
      <c r="J937" s="20" t="s">
        <v>186</v>
      </c>
      <c r="K937" s="20" t="s">
        <v>187</v>
      </c>
      <c r="Q937" s="20">
        <v>2150.0</v>
      </c>
      <c r="R937" s="20" t="s">
        <v>3338</v>
      </c>
      <c r="S937" s="20" t="s">
        <v>3337</v>
      </c>
      <c r="T937" s="20" t="s">
        <v>138</v>
      </c>
      <c r="W937" s="20" t="s">
        <v>261</v>
      </c>
    </row>
    <row r="938" ht="14.25" customHeight="1">
      <c r="A938" s="20" t="s">
        <v>3339</v>
      </c>
      <c r="B938" s="20" t="s">
        <v>3340</v>
      </c>
      <c r="C938" s="20" t="s">
        <v>1144</v>
      </c>
      <c r="F938" s="20" t="s">
        <v>150</v>
      </c>
      <c r="G938" s="20" t="s">
        <v>150</v>
      </c>
      <c r="I938" s="20" t="s">
        <v>151</v>
      </c>
      <c r="J938" s="20" t="s">
        <v>186</v>
      </c>
      <c r="Q938" s="20">
        <v>16028.0</v>
      </c>
      <c r="R938" s="20" t="s">
        <v>3341</v>
      </c>
      <c r="S938" s="20" t="s">
        <v>3340</v>
      </c>
      <c r="T938" s="20" t="s">
        <v>138</v>
      </c>
    </row>
    <row r="939" ht="14.25" customHeight="1">
      <c r="A939" s="20" t="s">
        <v>3342</v>
      </c>
      <c r="B939" s="20" t="s">
        <v>3343</v>
      </c>
      <c r="C939" s="20" t="s">
        <v>1144</v>
      </c>
      <c r="F939" s="20" t="s">
        <v>150</v>
      </c>
      <c r="G939" s="20" t="s">
        <v>150</v>
      </c>
      <c r="I939" s="20" t="s">
        <v>151</v>
      </c>
      <c r="J939" s="20" t="s">
        <v>186</v>
      </c>
      <c r="Q939" s="20">
        <v>1030.0</v>
      </c>
      <c r="R939" s="20" t="s">
        <v>3344</v>
      </c>
      <c r="S939" s="20" t="s">
        <v>3343</v>
      </c>
      <c r="T939" s="20" t="s">
        <v>138</v>
      </c>
    </row>
    <row r="940" ht="14.25" customHeight="1">
      <c r="A940" s="20" t="s">
        <v>3345</v>
      </c>
      <c r="B940" s="20" t="s">
        <v>3346</v>
      </c>
      <c r="C940" s="20" t="s">
        <v>197</v>
      </c>
      <c r="F940" s="20" t="s">
        <v>150</v>
      </c>
      <c r="G940" s="20" t="s">
        <v>150</v>
      </c>
      <c r="I940" s="20" t="s">
        <v>151</v>
      </c>
      <c r="J940" s="20" t="s">
        <v>143</v>
      </c>
      <c r="Q940" s="20">
        <v>9237.0</v>
      </c>
      <c r="R940" s="20" t="s">
        <v>3347</v>
      </c>
      <c r="S940" s="20" t="s">
        <v>3346</v>
      </c>
      <c r="T940" s="20" t="s">
        <v>138</v>
      </c>
    </row>
    <row r="941" ht="14.25" customHeight="1">
      <c r="A941" s="20" t="s">
        <v>3348</v>
      </c>
      <c r="B941" s="20" t="s">
        <v>3349</v>
      </c>
      <c r="C941" s="20" t="s">
        <v>235</v>
      </c>
      <c r="F941" s="20" t="s">
        <v>15</v>
      </c>
      <c r="G941" s="20" t="s">
        <v>142</v>
      </c>
      <c r="I941" s="20" t="s">
        <v>105</v>
      </c>
      <c r="J941" s="20" t="s">
        <v>143</v>
      </c>
      <c r="Q941" s="20">
        <v>4843.0</v>
      </c>
      <c r="R941" s="20" t="s">
        <v>3350</v>
      </c>
      <c r="S941" s="20" t="s">
        <v>3349</v>
      </c>
      <c r="T941" s="20" t="s">
        <v>138</v>
      </c>
    </row>
    <row r="942" ht="14.25" customHeight="1">
      <c r="A942" s="20" t="s">
        <v>3351</v>
      </c>
      <c r="B942" s="20" t="s">
        <v>3352</v>
      </c>
      <c r="C942" s="20" t="s">
        <v>2698</v>
      </c>
      <c r="F942" s="20" t="s">
        <v>327</v>
      </c>
      <c r="G942" s="20" t="s">
        <v>385</v>
      </c>
      <c r="I942" s="20" t="s">
        <v>386</v>
      </c>
      <c r="J942" s="20" t="s">
        <v>143</v>
      </c>
      <c r="K942" s="20" t="s">
        <v>167</v>
      </c>
      <c r="Q942" s="20">
        <v>12517.0</v>
      </c>
      <c r="R942" s="20" t="s">
        <v>3353</v>
      </c>
      <c r="S942" s="20" t="s">
        <v>3352</v>
      </c>
      <c r="T942" s="20" t="s">
        <v>138</v>
      </c>
    </row>
    <row r="943" ht="14.25" customHeight="1">
      <c r="A943" s="20" t="s">
        <v>3354</v>
      </c>
      <c r="B943" s="20" t="s">
        <v>3355</v>
      </c>
      <c r="C943" s="20" t="s">
        <v>178</v>
      </c>
      <c r="F943" s="20" t="s">
        <v>150</v>
      </c>
      <c r="G943" s="20" t="s">
        <v>150</v>
      </c>
      <c r="I943" s="20" t="s">
        <v>151</v>
      </c>
      <c r="J943" s="20" t="s">
        <v>143</v>
      </c>
      <c r="Q943" s="20">
        <v>16578.0</v>
      </c>
      <c r="R943" s="20" t="s">
        <v>3356</v>
      </c>
      <c r="S943" s="20" t="s">
        <v>3355</v>
      </c>
      <c r="T943" s="20" t="s">
        <v>138</v>
      </c>
    </row>
    <row r="944" ht="14.25" customHeight="1">
      <c r="A944" s="20" t="s">
        <v>3357</v>
      </c>
      <c r="B944" s="20" t="s">
        <v>3358</v>
      </c>
      <c r="C944" s="20" t="s">
        <v>2980</v>
      </c>
      <c r="F944" s="20" t="s">
        <v>150</v>
      </c>
      <c r="G944" s="20" t="s">
        <v>150</v>
      </c>
      <c r="H944" s="20">
        <v>16889.0</v>
      </c>
      <c r="I944" s="20" t="s">
        <v>151</v>
      </c>
      <c r="J944" s="20" t="s">
        <v>143</v>
      </c>
      <c r="Q944" s="20">
        <v>16889.0</v>
      </c>
      <c r="R944" s="20" t="s">
        <v>3359</v>
      </c>
      <c r="S944" s="20" t="s">
        <v>3360</v>
      </c>
      <c r="T944" s="20" t="s">
        <v>138</v>
      </c>
      <c r="W944" s="20" t="s">
        <v>146</v>
      </c>
    </row>
    <row r="945" ht="14.25" customHeight="1">
      <c r="A945" s="20" t="s">
        <v>3361</v>
      </c>
      <c r="B945" s="20" t="s">
        <v>3362</v>
      </c>
      <c r="C945" s="20" t="s">
        <v>3363</v>
      </c>
      <c r="F945" s="20" t="s">
        <v>16</v>
      </c>
      <c r="G945" s="20" t="s">
        <v>385</v>
      </c>
      <c r="H945" s="20">
        <v>16718.0</v>
      </c>
      <c r="I945" s="20" t="s">
        <v>3364</v>
      </c>
      <c r="J945" s="20" t="s">
        <v>143</v>
      </c>
      <c r="P945" s="20" t="s">
        <v>3362</v>
      </c>
      <c r="Q945" s="20">
        <v>16718.0</v>
      </c>
      <c r="R945" s="20" t="s">
        <v>3365</v>
      </c>
      <c r="T945" s="20" t="s">
        <v>138</v>
      </c>
    </row>
    <row r="946" ht="14.25" customHeight="1">
      <c r="A946" s="20" t="s">
        <v>3366</v>
      </c>
      <c r="B946" s="20" t="s">
        <v>3367</v>
      </c>
      <c r="C946" s="20" t="s">
        <v>3363</v>
      </c>
      <c r="F946" s="20" t="s">
        <v>16</v>
      </c>
      <c r="G946" s="20" t="s">
        <v>202</v>
      </c>
      <c r="H946" s="20">
        <v>16717.0</v>
      </c>
      <c r="I946" s="20" t="s">
        <v>3368</v>
      </c>
      <c r="J946" s="20" t="s">
        <v>143</v>
      </c>
      <c r="Q946" s="20">
        <v>16717.0</v>
      </c>
      <c r="R946" s="20" t="s">
        <v>3369</v>
      </c>
      <c r="S946" s="20" t="s">
        <v>3370</v>
      </c>
      <c r="T946" s="20" t="s">
        <v>138</v>
      </c>
    </row>
    <row r="947" ht="14.25" customHeight="1">
      <c r="A947" s="20" t="s">
        <v>3371</v>
      </c>
      <c r="B947" s="20" t="s">
        <v>3372</v>
      </c>
      <c r="C947" s="20" t="s">
        <v>3363</v>
      </c>
      <c r="F947" s="20" t="s">
        <v>16</v>
      </c>
      <c r="G947" s="20" t="s">
        <v>385</v>
      </c>
      <c r="H947" s="20">
        <v>16716.0</v>
      </c>
      <c r="I947" s="20" t="s">
        <v>3373</v>
      </c>
      <c r="J947" s="20" t="s">
        <v>143</v>
      </c>
      <c r="P947" s="20" t="s">
        <v>3372</v>
      </c>
      <c r="Q947" s="20">
        <v>16716.0</v>
      </c>
      <c r="R947" s="20" t="s">
        <v>3374</v>
      </c>
      <c r="S947" s="20" t="s">
        <v>3372</v>
      </c>
      <c r="T947" s="20" t="s">
        <v>138</v>
      </c>
    </row>
    <row r="948" ht="14.25" customHeight="1">
      <c r="A948" s="20" t="s">
        <v>3375</v>
      </c>
      <c r="B948" s="20" t="s">
        <v>3376</v>
      </c>
      <c r="C948" s="20" t="s">
        <v>197</v>
      </c>
      <c r="F948" s="20" t="s">
        <v>150</v>
      </c>
      <c r="G948" s="20" t="s">
        <v>150</v>
      </c>
      <c r="I948" s="20" t="s">
        <v>151</v>
      </c>
      <c r="J948" s="20" t="s">
        <v>143</v>
      </c>
      <c r="Q948" s="20">
        <v>15005.0</v>
      </c>
      <c r="R948" s="20" t="s">
        <v>3377</v>
      </c>
      <c r="S948" s="20" t="s">
        <v>3376</v>
      </c>
      <c r="T948" s="20" t="s">
        <v>138</v>
      </c>
    </row>
    <row r="949" ht="14.25" customHeight="1">
      <c r="A949" s="20" t="s">
        <v>3378</v>
      </c>
      <c r="B949" s="20" t="s">
        <v>3379</v>
      </c>
      <c r="C949" s="20" t="s">
        <v>159</v>
      </c>
      <c r="F949" s="20" t="s">
        <v>150</v>
      </c>
      <c r="G949" s="20" t="s">
        <v>150</v>
      </c>
      <c r="I949" s="20" t="s">
        <v>151</v>
      </c>
      <c r="J949" s="20" t="s">
        <v>143</v>
      </c>
      <c r="Q949" s="20">
        <v>12364.0</v>
      </c>
      <c r="R949" s="20" t="s">
        <v>3380</v>
      </c>
      <c r="S949" s="20" t="s">
        <v>3379</v>
      </c>
      <c r="T949" s="20" t="s">
        <v>138</v>
      </c>
    </row>
    <row r="950" ht="14.25" customHeight="1">
      <c r="A950" s="20" t="s">
        <v>3381</v>
      </c>
      <c r="B950" s="20" t="s">
        <v>3382</v>
      </c>
      <c r="C950" s="20" t="s">
        <v>3383</v>
      </c>
      <c r="F950" s="20" t="s">
        <v>327</v>
      </c>
      <c r="G950" s="20" t="s">
        <v>395</v>
      </c>
      <c r="H950" s="20">
        <v>10496.0</v>
      </c>
      <c r="I950" s="20" t="s">
        <v>3384</v>
      </c>
      <c r="J950" s="20" t="s">
        <v>186</v>
      </c>
      <c r="K950" s="20" t="s">
        <v>167</v>
      </c>
      <c r="L950" s="20" t="s">
        <v>3384</v>
      </c>
      <c r="O950" s="20" t="s">
        <v>144</v>
      </c>
      <c r="Q950" s="20">
        <v>10496.0</v>
      </c>
      <c r="R950" s="20" t="s">
        <v>3385</v>
      </c>
      <c r="S950" s="20" t="s">
        <v>3382</v>
      </c>
      <c r="T950" s="20" t="s">
        <v>138</v>
      </c>
    </row>
    <row r="951" ht="14.25" customHeight="1">
      <c r="A951" s="20" t="s">
        <v>3386</v>
      </c>
      <c r="B951" s="20" t="s">
        <v>3387</v>
      </c>
      <c r="C951" s="20" t="s">
        <v>1581</v>
      </c>
      <c r="F951" s="20" t="s">
        <v>16</v>
      </c>
      <c r="G951" s="20" t="s">
        <v>638</v>
      </c>
      <c r="I951" s="20" t="s">
        <v>1582</v>
      </c>
      <c r="J951" s="20" t="s">
        <v>186</v>
      </c>
      <c r="Q951" s="20">
        <v>15082.0</v>
      </c>
      <c r="R951" s="20" t="s">
        <v>3388</v>
      </c>
      <c r="S951" s="20" t="s">
        <v>3387</v>
      </c>
      <c r="T951" s="20" t="s">
        <v>138</v>
      </c>
    </row>
    <row r="952" ht="14.25" customHeight="1">
      <c r="A952" s="20" t="s">
        <v>3389</v>
      </c>
      <c r="B952" s="20" t="s">
        <v>3390</v>
      </c>
      <c r="C952" s="20" t="s">
        <v>174</v>
      </c>
      <c r="F952" s="20" t="s">
        <v>150</v>
      </c>
      <c r="G952" s="20" t="s">
        <v>150</v>
      </c>
      <c r="I952" s="20" t="s">
        <v>151</v>
      </c>
      <c r="J952" s="20" t="s">
        <v>143</v>
      </c>
      <c r="Q952" s="20">
        <v>16435.0</v>
      </c>
      <c r="R952" s="20" t="s">
        <v>3391</v>
      </c>
      <c r="S952" s="20" t="s">
        <v>3390</v>
      </c>
      <c r="T952" s="20" t="s">
        <v>138</v>
      </c>
    </row>
    <row r="953" ht="14.25" customHeight="1">
      <c r="A953" s="20" t="s">
        <v>3392</v>
      </c>
      <c r="B953" s="20" t="s">
        <v>3393</v>
      </c>
      <c r="C953" s="20" t="s">
        <v>3394</v>
      </c>
      <c r="F953" s="20" t="s">
        <v>16</v>
      </c>
      <c r="G953" s="20" t="s">
        <v>638</v>
      </c>
      <c r="H953" s="20">
        <v>17198.0</v>
      </c>
      <c r="I953" s="20" t="s">
        <v>1582</v>
      </c>
      <c r="J953" s="20" t="s">
        <v>136</v>
      </c>
      <c r="Q953" s="20">
        <v>17198.0</v>
      </c>
      <c r="R953" s="20" t="s">
        <v>3395</v>
      </c>
      <c r="S953" s="20" t="s">
        <v>3393</v>
      </c>
      <c r="T953" s="20" t="s">
        <v>138</v>
      </c>
      <c r="W953" s="20" t="s">
        <v>136</v>
      </c>
    </row>
    <row r="954" ht="14.25" customHeight="1">
      <c r="A954" s="20" t="s">
        <v>3396</v>
      </c>
      <c r="B954" s="20" t="s">
        <v>3397</v>
      </c>
      <c r="C954" s="20" t="s">
        <v>1961</v>
      </c>
      <c r="F954" s="20" t="s">
        <v>16</v>
      </c>
      <c r="G954" s="20" t="s">
        <v>211</v>
      </c>
      <c r="I954" s="20" t="s">
        <v>1931</v>
      </c>
      <c r="J954" s="20" t="s">
        <v>136</v>
      </c>
      <c r="L954" s="20" t="s">
        <v>1931</v>
      </c>
      <c r="Q954" s="20">
        <v>10483.0</v>
      </c>
      <c r="R954" s="20" t="s">
        <v>3398</v>
      </c>
      <c r="S954" s="20" t="s">
        <v>3399</v>
      </c>
      <c r="T954" s="20" t="s">
        <v>138</v>
      </c>
      <c r="W954" s="20" t="s">
        <v>136</v>
      </c>
    </row>
    <row r="955" ht="14.25" customHeight="1">
      <c r="A955" s="20" t="s">
        <v>3400</v>
      </c>
      <c r="B955" s="20" t="s">
        <v>3401</v>
      </c>
      <c r="C955" s="20" t="s">
        <v>174</v>
      </c>
      <c r="F955" s="20" t="s">
        <v>150</v>
      </c>
      <c r="G955" s="20" t="s">
        <v>150</v>
      </c>
      <c r="I955" s="20" t="s">
        <v>151</v>
      </c>
      <c r="J955" s="20" t="s">
        <v>143</v>
      </c>
      <c r="K955" s="20" t="s">
        <v>167</v>
      </c>
      <c r="Q955" s="20">
        <v>15526.0</v>
      </c>
      <c r="R955" s="20" t="s">
        <v>3402</v>
      </c>
      <c r="S955" s="20" t="s">
        <v>3401</v>
      </c>
      <c r="T955" s="20" t="s">
        <v>138</v>
      </c>
    </row>
    <row r="956" ht="14.25" customHeight="1">
      <c r="A956" s="20" t="s">
        <v>3403</v>
      </c>
      <c r="B956" s="20" t="s">
        <v>3404</v>
      </c>
      <c r="C956" s="20" t="s">
        <v>149</v>
      </c>
      <c r="F956" s="20" t="s">
        <v>150</v>
      </c>
      <c r="G956" s="20" t="s">
        <v>150</v>
      </c>
      <c r="I956" s="20" t="s">
        <v>151</v>
      </c>
      <c r="J956" s="20" t="s">
        <v>143</v>
      </c>
      <c r="Q956" s="20">
        <v>9236.0</v>
      </c>
      <c r="R956" s="20" t="s">
        <v>3405</v>
      </c>
      <c r="S956" s="20" t="s">
        <v>3404</v>
      </c>
      <c r="T956" s="20" t="s">
        <v>138</v>
      </c>
      <c r="W956" s="20" t="s">
        <v>146</v>
      </c>
    </row>
    <row r="957" ht="14.25" customHeight="1">
      <c r="A957" s="20" t="s">
        <v>3406</v>
      </c>
      <c r="B957" s="20" t="s">
        <v>3407</v>
      </c>
      <c r="C957" s="20" t="s">
        <v>3408</v>
      </c>
      <c r="F957" s="20" t="s">
        <v>327</v>
      </c>
      <c r="G957" s="20" t="s">
        <v>395</v>
      </c>
      <c r="I957" s="20" t="s">
        <v>1104</v>
      </c>
      <c r="J957" s="20" t="s">
        <v>186</v>
      </c>
      <c r="K957" s="20" t="s">
        <v>213</v>
      </c>
      <c r="Q957" s="20">
        <v>6914.0</v>
      </c>
      <c r="R957" s="20" t="s">
        <v>3409</v>
      </c>
      <c r="S957" s="20" t="s">
        <v>3407</v>
      </c>
      <c r="T957" s="20" t="s">
        <v>138</v>
      </c>
      <c r="W957" s="20" t="s">
        <v>261</v>
      </c>
    </row>
    <row r="958" ht="14.25" customHeight="1">
      <c r="A958" s="20" t="s">
        <v>3410</v>
      </c>
      <c r="B958" s="20" t="s">
        <v>3411</v>
      </c>
      <c r="C958" s="20" t="s">
        <v>193</v>
      </c>
      <c r="F958" s="20" t="s">
        <v>150</v>
      </c>
      <c r="G958" s="20" t="s">
        <v>150</v>
      </c>
      <c r="I958" s="20" t="s">
        <v>151</v>
      </c>
      <c r="J958" s="20" t="s">
        <v>143</v>
      </c>
      <c r="Q958" s="20">
        <v>14216.0</v>
      </c>
      <c r="R958" s="20" t="s">
        <v>3412</v>
      </c>
      <c r="S958" s="20" t="s">
        <v>3411</v>
      </c>
      <c r="T958" s="20" t="s">
        <v>138</v>
      </c>
    </row>
    <row r="959" ht="14.25" customHeight="1">
      <c r="A959" s="20" t="s">
        <v>3413</v>
      </c>
      <c r="B959" s="20" t="s">
        <v>3414</v>
      </c>
      <c r="C959" s="20" t="s">
        <v>3415</v>
      </c>
      <c r="F959" s="20" t="s">
        <v>15</v>
      </c>
      <c r="G959" s="20" t="s">
        <v>135</v>
      </c>
      <c r="I959" s="20" t="s">
        <v>102</v>
      </c>
      <c r="J959" s="20" t="s">
        <v>186</v>
      </c>
      <c r="K959" s="20" t="s">
        <v>167</v>
      </c>
      <c r="L959" s="20" t="s">
        <v>102</v>
      </c>
      <c r="M959" s="20" t="s">
        <v>3416</v>
      </c>
      <c r="Q959" s="20">
        <v>14854.0</v>
      </c>
      <c r="R959" s="20" t="s">
        <v>3417</v>
      </c>
      <c r="S959" s="20" t="s">
        <v>3414</v>
      </c>
      <c r="T959" s="20" t="s">
        <v>138</v>
      </c>
      <c r="W959" s="20" t="s">
        <v>146</v>
      </c>
    </row>
    <row r="960" ht="14.25" customHeight="1">
      <c r="A960" s="20" t="s">
        <v>3418</v>
      </c>
      <c r="B960" s="20" t="s">
        <v>3419</v>
      </c>
      <c r="C960" s="20" t="s">
        <v>3420</v>
      </c>
      <c r="F960" s="20" t="s">
        <v>16</v>
      </c>
      <c r="G960" s="20" t="s">
        <v>638</v>
      </c>
      <c r="H960" s="20">
        <v>17886.0</v>
      </c>
      <c r="I960" s="20" t="s">
        <v>814</v>
      </c>
      <c r="J960" s="20" t="s">
        <v>143</v>
      </c>
      <c r="P960" s="20" t="s">
        <v>3419</v>
      </c>
      <c r="Q960" s="20">
        <v>17886.0</v>
      </c>
      <c r="R960" s="20" t="s">
        <v>3421</v>
      </c>
      <c r="S960" s="20" t="s">
        <v>3419</v>
      </c>
      <c r="T960" s="20" t="s">
        <v>138</v>
      </c>
      <c r="W960" s="20" t="s">
        <v>146</v>
      </c>
    </row>
    <row r="961" ht="14.25" customHeight="1">
      <c r="A961" s="20" t="s">
        <v>3422</v>
      </c>
      <c r="B961" s="20" t="s">
        <v>3423</v>
      </c>
      <c r="C961" s="20" t="s">
        <v>201</v>
      </c>
      <c r="F961" s="20" t="s">
        <v>16</v>
      </c>
      <c r="G961" s="20" t="s">
        <v>202</v>
      </c>
      <c r="I961" s="20" t="s">
        <v>203</v>
      </c>
      <c r="J961" s="20" t="s">
        <v>143</v>
      </c>
      <c r="Q961" s="20">
        <v>6765.0</v>
      </c>
      <c r="R961" s="20" t="s">
        <v>3424</v>
      </c>
      <c r="S961" s="20" t="s">
        <v>3423</v>
      </c>
      <c r="T961" s="20" t="s">
        <v>138</v>
      </c>
    </row>
    <row r="962" ht="14.25" customHeight="1">
      <c r="A962" s="20" t="s">
        <v>3425</v>
      </c>
      <c r="B962" s="20" t="s">
        <v>3426</v>
      </c>
      <c r="C962" s="20" t="s">
        <v>159</v>
      </c>
      <c r="F962" s="20" t="s">
        <v>150</v>
      </c>
      <c r="G962" s="20" t="s">
        <v>150</v>
      </c>
      <c r="I962" s="20" t="s">
        <v>151</v>
      </c>
      <c r="J962" s="20" t="s">
        <v>143</v>
      </c>
      <c r="Q962" s="20">
        <v>16674.0</v>
      </c>
      <c r="R962" s="20" t="s">
        <v>3427</v>
      </c>
      <c r="S962" s="20" t="s">
        <v>3426</v>
      </c>
      <c r="T962" s="20" t="s">
        <v>138</v>
      </c>
    </row>
    <row r="963" ht="14.25" customHeight="1">
      <c r="A963" s="20" t="s">
        <v>3428</v>
      </c>
      <c r="B963" s="20" t="s">
        <v>3429</v>
      </c>
      <c r="C963" s="20" t="s">
        <v>235</v>
      </c>
      <c r="F963" s="20" t="s">
        <v>15</v>
      </c>
      <c r="G963" s="20" t="s">
        <v>142</v>
      </c>
      <c r="I963" s="20" t="s">
        <v>105</v>
      </c>
      <c r="J963" s="20" t="s">
        <v>143</v>
      </c>
      <c r="Q963" s="20">
        <v>9639.0</v>
      </c>
      <c r="R963" s="20" t="s">
        <v>3430</v>
      </c>
      <c r="S963" s="20" t="s">
        <v>3429</v>
      </c>
      <c r="T963" s="20" t="s">
        <v>138</v>
      </c>
    </row>
    <row r="964" ht="14.25" customHeight="1">
      <c r="A964" s="20" t="s">
        <v>3431</v>
      </c>
      <c r="B964" s="20" t="s">
        <v>3432</v>
      </c>
      <c r="C964" s="20" t="s">
        <v>235</v>
      </c>
      <c r="F964" s="20" t="s">
        <v>15</v>
      </c>
      <c r="G964" s="20" t="s">
        <v>142</v>
      </c>
      <c r="I964" s="20" t="s">
        <v>105</v>
      </c>
      <c r="J964" s="20" t="s">
        <v>143</v>
      </c>
      <c r="Q964" s="20">
        <v>10349.0</v>
      </c>
      <c r="R964" s="20" t="s">
        <v>3433</v>
      </c>
      <c r="S964" s="20" t="s">
        <v>3432</v>
      </c>
      <c r="T964" s="20" t="s">
        <v>138</v>
      </c>
    </row>
    <row r="965" ht="14.25" customHeight="1">
      <c r="A965" s="20" t="s">
        <v>3434</v>
      </c>
      <c r="B965" s="20" t="s">
        <v>3435</v>
      </c>
      <c r="C965" s="20" t="s">
        <v>1314</v>
      </c>
      <c r="F965" s="20" t="s">
        <v>16</v>
      </c>
      <c r="G965" s="20" t="s">
        <v>211</v>
      </c>
      <c r="I965" s="20" t="s">
        <v>258</v>
      </c>
      <c r="J965" s="20" t="s">
        <v>143</v>
      </c>
      <c r="Q965" s="20">
        <v>4327.0</v>
      </c>
      <c r="R965" s="20" t="s">
        <v>3436</v>
      </c>
      <c r="S965" s="20" t="s">
        <v>3435</v>
      </c>
      <c r="T965" s="20" t="s">
        <v>138</v>
      </c>
    </row>
    <row r="966" ht="14.25" customHeight="1">
      <c r="A966" s="20" t="s">
        <v>3437</v>
      </c>
      <c r="B966" s="20" t="s">
        <v>3438</v>
      </c>
      <c r="C966" s="20" t="s">
        <v>149</v>
      </c>
      <c r="F966" s="20" t="s">
        <v>150</v>
      </c>
      <c r="G966" s="20" t="s">
        <v>150</v>
      </c>
      <c r="I966" s="20" t="s">
        <v>151</v>
      </c>
      <c r="J966" s="20" t="s">
        <v>143</v>
      </c>
      <c r="Q966" s="20">
        <v>15396.0</v>
      </c>
      <c r="R966" s="20" t="s">
        <v>3439</v>
      </c>
      <c r="S966" s="20" t="s">
        <v>3438</v>
      </c>
      <c r="T966" s="20" t="s">
        <v>138</v>
      </c>
    </row>
    <row r="967" ht="14.25" customHeight="1">
      <c r="A967" s="20" t="s">
        <v>3440</v>
      </c>
      <c r="B967" s="20" t="s">
        <v>3441</v>
      </c>
      <c r="C967" s="20" t="s">
        <v>1169</v>
      </c>
      <c r="F967" s="20" t="s">
        <v>15</v>
      </c>
      <c r="G967" s="20" t="s">
        <v>135</v>
      </c>
      <c r="I967" s="20" t="s">
        <v>100</v>
      </c>
      <c r="J967" s="20" t="s">
        <v>143</v>
      </c>
      <c r="K967" s="20" t="s">
        <v>167</v>
      </c>
      <c r="Q967" s="20">
        <v>12400.0</v>
      </c>
      <c r="R967" s="20" t="s">
        <v>3442</v>
      </c>
      <c r="S967" s="20" t="s">
        <v>3441</v>
      </c>
      <c r="T967" s="20" t="s">
        <v>138</v>
      </c>
    </row>
    <row r="968" ht="14.25" customHeight="1">
      <c r="A968" s="20" t="s">
        <v>3443</v>
      </c>
      <c r="B968" s="20" t="s">
        <v>3444</v>
      </c>
      <c r="C968" s="20" t="s">
        <v>2826</v>
      </c>
      <c r="F968" s="20" t="s">
        <v>327</v>
      </c>
      <c r="G968" s="20" t="s">
        <v>385</v>
      </c>
      <c r="I968" s="20" t="s">
        <v>2827</v>
      </c>
      <c r="J968" s="20" t="s">
        <v>143</v>
      </c>
      <c r="Q968" s="20">
        <v>10368.0</v>
      </c>
      <c r="R968" s="20" t="s">
        <v>3445</v>
      </c>
      <c r="S968" s="20" t="s">
        <v>3444</v>
      </c>
      <c r="T968" s="20" t="s">
        <v>138</v>
      </c>
      <c r="W968" s="20" t="s">
        <v>146</v>
      </c>
    </row>
    <row r="969" ht="14.25" customHeight="1">
      <c r="A969" s="20" t="s">
        <v>3446</v>
      </c>
      <c r="B969" s="20" t="s">
        <v>3447</v>
      </c>
      <c r="C969" s="20" t="s">
        <v>928</v>
      </c>
      <c r="F969" s="20" t="s">
        <v>327</v>
      </c>
      <c r="G969" s="20" t="s">
        <v>328</v>
      </c>
      <c r="I969" s="20" t="s">
        <v>329</v>
      </c>
      <c r="J969" s="20" t="s">
        <v>186</v>
      </c>
      <c r="Q969" s="20">
        <v>13777.0</v>
      </c>
      <c r="R969" s="20" t="s">
        <v>3448</v>
      </c>
      <c r="S969" s="20" t="s">
        <v>3447</v>
      </c>
      <c r="T969" s="20" t="s">
        <v>138</v>
      </c>
    </row>
    <row r="970" ht="14.25" customHeight="1">
      <c r="A970" s="20" t="s">
        <v>3449</v>
      </c>
      <c r="B970" s="20" t="s">
        <v>3450</v>
      </c>
      <c r="C970" s="20" t="s">
        <v>197</v>
      </c>
      <c r="F970" s="20" t="s">
        <v>150</v>
      </c>
      <c r="G970" s="20" t="s">
        <v>150</v>
      </c>
      <c r="I970" s="20" t="s">
        <v>151</v>
      </c>
      <c r="J970" s="20" t="s">
        <v>143</v>
      </c>
      <c r="K970" s="20" t="s">
        <v>167</v>
      </c>
      <c r="Q970" s="20">
        <v>13848.0</v>
      </c>
      <c r="R970" s="20" t="s">
        <v>3451</v>
      </c>
      <c r="S970" s="20" t="s">
        <v>3450</v>
      </c>
      <c r="T970" s="20" t="s">
        <v>138</v>
      </c>
    </row>
    <row r="971" ht="14.25" customHeight="1">
      <c r="A971" s="20" t="s">
        <v>3452</v>
      </c>
      <c r="B971" s="20" t="s">
        <v>3453</v>
      </c>
      <c r="C971" s="20" t="s">
        <v>163</v>
      </c>
      <c r="F971" s="20" t="s">
        <v>150</v>
      </c>
      <c r="G971" s="20" t="s">
        <v>150</v>
      </c>
      <c r="I971" s="20" t="s">
        <v>151</v>
      </c>
      <c r="J971" s="20" t="s">
        <v>143</v>
      </c>
      <c r="Q971" s="20">
        <v>14657.0</v>
      </c>
      <c r="R971" s="20" t="s">
        <v>3454</v>
      </c>
      <c r="S971" s="20" t="s">
        <v>3453</v>
      </c>
      <c r="T971" s="20" t="s">
        <v>138</v>
      </c>
    </row>
    <row r="972" ht="14.25" customHeight="1">
      <c r="A972" s="20" t="s">
        <v>3455</v>
      </c>
      <c r="B972" s="20" t="s">
        <v>3456</v>
      </c>
      <c r="C972" s="20" t="s">
        <v>3457</v>
      </c>
      <c r="F972" s="20" t="s">
        <v>218</v>
      </c>
      <c r="G972" s="20" t="s">
        <v>219</v>
      </c>
      <c r="I972" s="20" t="s">
        <v>314</v>
      </c>
      <c r="J972" s="20" t="s">
        <v>186</v>
      </c>
      <c r="Q972" s="20">
        <v>12168.0</v>
      </c>
      <c r="R972" s="20" t="s">
        <v>3458</v>
      </c>
      <c r="S972" s="20" t="s">
        <v>3456</v>
      </c>
      <c r="T972" s="20" t="s">
        <v>138</v>
      </c>
    </row>
    <row r="973" ht="14.25" customHeight="1">
      <c r="A973" s="20" t="s">
        <v>3459</v>
      </c>
      <c r="B973" s="20" t="s">
        <v>3460</v>
      </c>
      <c r="C973" s="20" t="s">
        <v>3461</v>
      </c>
      <c r="F973" s="20" t="s">
        <v>15</v>
      </c>
      <c r="G973" s="20" t="s">
        <v>142</v>
      </c>
      <c r="H973" s="20">
        <v>17171.0</v>
      </c>
      <c r="I973" s="20" t="s">
        <v>105</v>
      </c>
      <c r="J973" s="20" t="s">
        <v>143</v>
      </c>
      <c r="Q973" s="20">
        <v>17171.0</v>
      </c>
      <c r="R973" s="20" t="s">
        <v>3462</v>
      </c>
      <c r="S973" s="20" t="s">
        <v>3460</v>
      </c>
      <c r="T973" s="20" t="s">
        <v>138</v>
      </c>
      <c r="W973" s="20" t="s">
        <v>261</v>
      </c>
    </row>
    <row r="974" ht="14.25" customHeight="1">
      <c r="A974" s="20" t="s">
        <v>3463</v>
      </c>
      <c r="B974" s="20" t="s">
        <v>3464</v>
      </c>
      <c r="C974" s="20" t="s">
        <v>174</v>
      </c>
      <c r="F974" s="20" t="s">
        <v>150</v>
      </c>
      <c r="G974" s="20" t="s">
        <v>150</v>
      </c>
      <c r="I974" s="20" t="s">
        <v>151</v>
      </c>
      <c r="J974" s="20" t="s">
        <v>143</v>
      </c>
      <c r="Q974" s="20">
        <v>6949.0</v>
      </c>
      <c r="R974" s="20" t="s">
        <v>3465</v>
      </c>
      <c r="S974" s="20" t="s">
        <v>3464</v>
      </c>
      <c r="T974" s="20" t="s">
        <v>138</v>
      </c>
    </row>
    <row r="975" ht="14.25" customHeight="1">
      <c r="A975" s="20" t="s">
        <v>3466</v>
      </c>
      <c r="B975" s="20" t="s">
        <v>3467</v>
      </c>
      <c r="C975" s="20" t="s">
        <v>149</v>
      </c>
      <c r="F975" s="20" t="s">
        <v>150</v>
      </c>
      <c r="G975" s="20" t="s">
        <v>150</v>
      </c>
      <c r="I975" s="20" t="s">
        <v>151</v>
      </c>
      <c r="J975" s="20" t="s">
        <v>143</v>
      </c>
      <c r="Q975" s="20">
        <v>4143.0</v>
      </c>
      <c r="R975" s="20" t="s">
        <v>3468</v>
      </c>
      <c r="S975" s="20" t="s">
        <v>3467</v>
      </c>
      <c r="T975" s="20" t="s">
        <v>138</v>
      </c>
    </row>
    <row r="976" ht="14.25" customHeight="1">
      <c r="A976" s="20" t="s">
        <v>3469</v>
      </c>
      <c r="B976" s="20" t="s">
        <v>3470</v>
      </c>
      <c r="C976" s="20" t="s">
        <v>217</v>
      </c>
      <c r="F976" s="20" t="s">
        <v>218</v>
      </c>
      <c r="G976" s="20" t="s">
        <v>219</v>
      </c>
      <c r="I976" s="20" t="s">
        <v>220</v>
      </c>
      <c r="J976" s="20" t="s">
        <v>136</v>
      </c>
      <c r="Q976" s="20">
        <v>10223.0</v>
      </c>
      <c r="R976" s="20" t="s">
        <v>3471</v>
      </c>
      <c r="S976" s="20" t="s">
        <v>3470</v>
      </c>
      <c r="T976" s="20" t="s">
        <v>138</v>
      </c>
      <c r="W976" s="20" t="s">
        <v>136</v>
      </c>
    </row>
    <row r="977" ht="14.25" customHeight="1">
      <c r="A977" s="20" t="s">
        <v>3472</v>
      </c>
      <c r="B977" s="20" t="s">
        <v>3473</v>
      </c>
      <c r="C977" s="20" t="s">
        <v>2043</v>
      </c>
      <c r="F977" s="20" t="s">
        <v>218</v>
      </c>
      <c r="G977" s="20" t="s">
        <v>219</v>
      </c>
      <c r="I977" s="20" t="s">
        <v>360</v>
      </c>
      <c r="J977" s="20" t="s">
        <v>136</v>
      </c>
      <c r="Q977" s="20">
        <v>11272.0</v>
      </c>
      <c r="R977" s="20" t="s">
        <v>3474</v>
      </c>
      <c r="S977" s="20" t="s">
        <v>3473</v>
      </c>
      <c r="T977" s="20" t="s">
        <v>138</v>
      </c>
    </row>
    <row r="978" ht="14.25" customHeight="1">
      <c r="A978" s="20" t="s">
        <v>3475</v>
      </c>
      <c r="B978" s="20" t="s">
        <v>3476</v>
      </c>
      <c r="C978" s="20" t="s">
        <v>3477</v>
      </c>
      <c r="F978" s="20" t="s">
        <v>327</v>
      </c>
      <c r="G978" s="20" t="s">
        <v>395</v>
      </c>
      <c r="I978" s="20" t="s">
        <v>1104</v>
      </c>
      <c r="J978" s="20" t="s">
        <v>186</v>
      </c>
      <c r="Q978" s="20">
        <v>11910.0</v>
      </c>
      <c r="R978" s="20" t="s">
        <v>3478</v>
      </c>
      <c r="S978" s="20" t="s">
        <v>3476</v>
      </c>
      <c r="T978" s="20" t="s">
        <v>138</v>
      </c>
    </row>
    <row r="979" ht="14.25" customHeight="1">
      <c r="A979" s="20" t="s">
        <v>3479</v>
      </c>
      <c r="B979" s="20" t="s">
        <v>3480</v>
      </c>
      <c r="C979" s="20" t="s">
        <v>149</v>
      </c>
      <c r="F979" s="20" t="s">
        <v>150</v>
      </c>
      <c r="G979" s="20" t="s">
        <v>150</v>
      </c>
      <c r="I979" s="20" t="s">
        <v>151</v>
      </c>
      <c r="J979" s="20" t="s">
        <v>143</v>
      </c>
      <c r="Q979" s="20">
        <v>568.0</v>
      </c>
      <c r="R979" s="20" t="s">
        <v>3481</v>
      </c>
      <c r="S979" s="20" t="s">
        <v>3480</v>
      </c>
      <c r="T979" s="20" t="s">
        <v>138</v>
      </c>
    </row>
    <row r="980" ht="14.25" customHeight="1">
      <c r="A980" s="20" t="s">
        <v>3482</v>
      </c>
      <c r="B980" s="20" t="s">
        <v>3483</v>
      </c>
      <c r="C980" s="20" t="s">
        <v>235</v>
      </c>
      <c r="F980" s="20" t="s">
        <v>15</v>
      </c>
      <c r="G980" s="20" t="s">
        <v>142</v>
      </c>
      <c r="I980" s="20" t="s">
        <v>105</v>
      </c>
      <c r="J980" s="20" t="s">
        <v>143</v>
      </c>
      <c r="Q980" s="20">
        <v>9951.0</v>
      </c>
      <c r="R980" s="20" t="s">
        <v>3484</v>
      </c>
      <c r="S980" s="20" t="s">
        <v>3483</v>
      </c>
      <c r="T980" s="20" t="s">
        <v>138</v>
      </c>
    </row>
    <row r="981" ht="14.25" customHeight="1">
      <c r="A981" s="20" t="s">
        <v>3485</v>
      </c>
      <c r="B981" s="20" t="s">
        <v>3486</v>
      </c>
      <c r="C981" s="20" t="s">
        <v>486</v>
      </c>
      <c r="F981" s="20" t="s">
        <v>327</v>
      </c>
      <c r="G981" s="20" t="s">
        <v>385</v>
      </c>
      <c r="I981" s="20" t="s">
        <v>2350</v>
      </c>
      <c r="J981" s="20" t="s">
        <v>186</v>
      </c>
      <c r="Q981" s="20">
        <v>10501.0</v>
      </c>
      <c r="R981" s="20" t="s">
        <v>3487</v>
      </c>
      <c r="S981" s="20" t="s">
        <v>3486</v>
      </c>
      <c r="T981" s="20" t="s">
        <v>138</v>
      </c>
    </row>
    <row r="982" ht="14.25" customHeight="1">
      <c r="A982" s="20" t="s">
        <v>3488</v>
      </c>
      <c r="B982" s="20" t="s">
        <v>3489</v>
      </c>
      <c r="C982" s="20" t="s">
        <v>478</v>
      </c>
      <c r="F982" s="20" t="s">
        <v>218</v>
      </c>
      <c r="G982" s="20" t="s">
        <v>219</v>
      </c>
      <c r="I982" s="20" t="s">
        <v>360</v>
      </c>
      <c r="J982" s="20" t="s">
        <v>143</v>
      </c>
      <c r="Q982" s="20">
        <v>3888.0</v>
      </c>
      <c r="R982" s="20" t="s">
        <v>3490</v>
      </c>
      <c r="S982" s="20" t="s">
        <v>3489</v>
      </c>
      <c r="T982" s="20" t="s">
        <v>138</v>
      </c>
    </row>
    <row r="983" ht="14.25" customHeight="1">
      <c r="A983" s="20" t="s">
        <v>3491</v>
      </c>
      <c r="B983" s="20" t="s">
        <v>3492</v>
      </c>
      <c r="C983" s="20" t="s">
        <v>2094</v>
      </c>
      <c r="F983" s="20" t="s">
        <v>15</v>
      </c>
      <c r="G983" s="20" t="s">
        <v>142</v>
      </c>
      <c r="H983" s="20">
        <v>17231.0</v>
      </c>
      <c r="I983" s="20" t="s">
        <v>105</v>
      </c>
      <c r="J983" s="20" t="s">
        <v>143</v>
      </c>
      <c r="P983" s="20" t="s">
        <v>3492</v>
      </c>
      <c r="Q983" s="20">
        <v>17231.0</v>
      </c>
      <c r="R983" s="20" t="s">
        <v>3493</v>
      </c>
      <c r="S983" s="20" t="s">
        <v>3492</v>
      </c>
      <c r="T983" s="20" t="s">
        <v>138</v>
      </c>
      <c r="W983" s="20" t="s">
        <v>146</v>
      </c>
    </row>
    <row r="984" ht="14.25" customHeight="1">
      <c r="A984" s="20" t="s">
        <v>3494</v>
      </c>
      <c r="B984" s="20" t="s">
        <v>3495</v>
      </c>
      <c r="C984" s="20" t="s">
        <v>801</v>
      </c>
      <c r="F984" s="20" t="s">
        <v>218</v>
      </c>
      <c r="G984" s="20" t="s">
        <v>219</v>
      </c>
      <c r="I984" s="20" t="s">
        <v>802</v>
      </c>
      <c r="J984" s="20" t="s">
        <v>186</v>
      </c>
      <c r="Q984" s="20">
        <v>14024.0</v>
      </c>
      <c r="R984" s="20" t="s">
        <v>3496</v>
      </c>
      <c r="S984" s="20" t="s">
        <v>3495</v>
      </c>
      <c r="T984" s="20" t="s">
        <v>138</v>
      </c>
    </row>
    <row r="985" ht="14.25" customHeight="1">
      <c r="A985" s="20" t="s">
        <v>3497</v>
      </c>
      <c r="B985" s="20" t="s">
        <v>3498</v>
      </c>
      <c r="C985" s="20" t="s">
        <v>2565</v>
      </c>
      <c r="F985" s="20" t="s">
        <v>327</v>
      </c>
      <c r="G985" s="20" t="s">
        <v>385</v>
      </c>
      <c r="I985" s="20" t="s">
        <v>598</v>
      </c>
      <c r="J985" s="20" t="s">
        <v>143</v>
      </c>
      <c r="Q985" s="20">
        <v>16844.0</v>
      </c>
      <c r="R985" s="20" t="s">
        <v>3499</v>
      </c>
      <c r="S985" s="20" t="s">
        <v>3498</v>
      </c>
      <c r="T985" s="20" t="s">
        <v>138</v>
      </c>
    </row>
    <row r="986" ht="14.25" customHeight="1">
      <c r="A986" s="20" t="s">
        <v>3500</v>
      </c>
      <c r="B986" s="20" t="s">
        <v>3501</v>
      </c>
      <c r="C986" s="20" t="s">
        <v>289</v>
      </c>
      <c r="F986" s="20" t="s">
        <v>150</v>
      </c>
      <c r="G986" s="20" t="s">
        <v>150</v>
      </c>
      <c r="I986" s="20" t="s">
        <v>151</v>
      </c>
      <c r="J986" s="20" t="s">
        <v>143</v>
      </c>
      <c r="Q986" s="20">
        <v>2779.0</v>
      </c>
      <c r="R986" s="20" t="s">
        <v>3502</v>
      </c>
      <c r="S986" s="20" t="s">
        <v>3501</v>
      </c>
      <c r="T986" s="20" t="s">
        <v>138</v>
      </c>
    </row>
    <row r="987" ht="14.25" customHeight="1">
      <c r="A987" s="20" t="s">
        <v>3503</v>
      </c>
      <c r="B987" s="20" t="s">
        <v>3504</v>
      </c>
      <c r="C987" s="20" t="s">
        <v>938</v>
      </c>
      <c r="F987" s="20" t="s">
        <v>327</v>
      </c>
      <c r="G987" s="20" t="s">
        <v>385</v>
      </c>
      <c r="I987" s="20" t="s">
        <v>2245</v>
      </c>
      <c r="J987" s="20" t="s">
        <v>186</v>
      </c>
      <c r="K987" s="20" t="s">
        <v>187</v>
      </c>
      <c r="Q987" s="20">
        <v>4213.0</v>
      </c>
      <c r="R987" s="20" t="s">
        <v>3505</v>
      </c>
      <c r="S987" s="20" t="s">
        <v>3504</v>
      </c>
      <c r="T987" s="20" t="s">
        <v>138</v>
      </c>
      <c r="W987" s="20" t="s">
        <v>146</v>
      </c>
    </row>
    <row r="988" ht="14.25" customHeight="1">
      <c r="A988" s="20" t="s">
        <v>3506</v>
      </c>
      <c r="B988" s="20" t="s">
        <v>3507</v>
      </c>
      <c r="C988" s="20" t="s">
        <v>1144</v>
      </c>
      <c r="F988" s="20" t="s">
        <v>150</v>
      </c>
      <c r="G988" s="20" t="s">
        <v>150</v>
      </c>
      <c r="I988" s="20" t="s">
        <v>151</v>
      </c>
      <c r="J988" s="20" t="s">
        <v>186</v>
      </c>
      <c r="K988" s="20" t="s">
        <v>213</v>
      </c>
      <c r="Q988" s="20">
        <v>1713.0</v>
      </c>
      <c r="R988" s="20" t="s">
        <v>3508</v>
      </c>
      <c r="S988" s="20" t="s">
        <v>3507</v>
      </c>
      <c r="T988" s="20" t="s">
        <v>138</v>
      </c>
    </row>
    <row r="989" ht="14.25" customHeight="1">
      <c r="A989" s="20" t="s">
        <v>3509</v>
      </c>
      <c r="B989" s="20" t="s">
        <v>3510</v>
      </c>
      <c r="C989" s="20" t="s">
        <v>1144</v>
      </c>
      <c r="F989" s="20" t="s">
        <v>150</v>
      </c>
      <c r="G989" s="20" t="s">
        <v>150</v>
      </c>
      <c r="I989" s="20" t="s">
        <v>151</v>
      </c>
      <c r="J989" s="20" t="s">
        <v>186</v>
      </c>
      <c r="K989" s="20" t="s">
        <v>213</v>
      </c>
      <c r="Q989" s="20">
        <v>1375.0</v>
      </c>
      <c r="R989" s="20" t="s">
        <v>3511</v>
      </c>
      <c r="S989" s="20" t="s">
        <v>3510</v>
      </c>
      <c r="T989" s="20" t="s">
        <v>138</v>
      </c>
    </row>
    <row r="990" ht="14.25" customHeight="1">
      <c r="A990" s="20" t="s">
        <v>3512</v>
      </c>
      <c r="B990" s="20" t="s">
        <v>3513</v>
      </c>
      <c r="C990" s="20" t="s">
        <v>1144</v>
      </c>
      <c r="F990" s="20" t="s">
        <v>150</v>
      </c>
      <c r="G990" s="20" t="s">
        <v>150</v>
      </c>
      <c r="I990" s="20" t="s">
        <v>151</v>
      </c>
      <c r="J990" s="20" t="s">
        <v>186</v>
      </c>
      <c r="Q990" s="20">
        <v>14208.0</v>
      </c>
      <c r="R990" s="20" t="s">
        <v>3514</v>
      </c>
      <c r="S990" s="20" t="s">
        <v>3513</v>
      </c>
      <c r="T990" s="20" t="s">
        <v>138</v>
      </c>
    </row>
    <row r="991" ht="14.25" customHeight="1">
      <c r="A991" s="20" t="s">
        <v>3515</v>
      </c>
      <c r="B991" s="20" t="s">
        <v>3516</v>
      </c>
      <c r="C991" s="20" t="s">
        <v>779</v>
      </c>
      <c r="F991" s="20" t="s">
        <v>150</v>
      </c>
      <c r="G991" s="20" t="s">
        <v>150</v>
      </c>
      <c r="I991" s="20" t="s">
        <v>151</v>
      </c>
      <c r="J991" s="20" t="s">
        <v>143</v>
      </c>
      <c r="Q991" s="20">
        <v>2634.0</v>
      </c>
      <c r="R991" s="20" t="s">
        <v>3517</v>
      </c>
      <c r="S991" s="20" t="s">
        <v>3516</v>
      </c>
      <c r="T991" s="20" t="s">
        <v>138</v>
      </c>
    </row>
    <row r="992" ht="14.25" customHeight="1">
      <c r="A992" s="20" t="s">
        <v>3518</v>
      </c>
      <c r="B992" s="20" t="s">
        <v>3519</v>
      </c>
      <c r="C992" s="20" t="s">
        <v>201</v>
      </c>
      <c r="F992" s="20" t="s">
        <v>16</v>
      </c>
      <c r="G992" s="20" t="s">
        <v>202</v>
      </c>
      <c r="I992" s="20" t="s">
        <v>203</v>
      </c>
      <c r="J992" s="20" t="s">
        <v>143</v>
      </c>
      <c r="K992" s="20" t="s">
        <v>167</v>
      </c>
      <c r="Q992" s="20">
        <v>8389.0</v>
      </c>
      <c r="R992" s="20" t="s">
        <v>3520</v>
      </c>
      <c r="S992" s="20" t="s">
        <v>3519</v>
      </c>
      <c r="T992" s="20" t="s">
        <v>138</v>
      </c>
    </row>
    <row r="993" ht="14.25" customHeight="1">
      <c r="A993" s="20" t="s">
        <v>3521</v>
      </c>
      <c r="B993" s="20" t="s">
        <v>3522</v>
      </c>
      <c r="C993" s="20" t="s">
        <v>3303</v>
      </c>
      <c r="F993" s="20" t="s">
        <v>327</v>
      </c>
      <c r="G993" s="20" t="s">
        <v>385</v>
      </c>
      <c r="I993" s="20" t="s">
        <v>598</v>
      </c>
      <c r="J993" s="20" t="s">
        <v>186</v>
      </c>
      <c r="Q993" s="20">
        <v>12303.0</v>
      </c>
      <c r="R993" s="20" t="s">
        <v>3523</v>
      </c>
      <c r="S993" s="20" t="s">
        <v>3522</v>
      </c>
      <c r="T993" s="20" t="s">
        <v>138</v>
      </c>
    </row>
    <row r="994" ht="14.25" customHeight="1">
      <c r="A994" s="20" t="s">
        <v>3524</v>
      </c>
      <c r="B994" s="20" t="s">
        <v>3525</v>
      </c>
      <c r="C994" s="20" t="s">
        <v>928</v>
      </c>
      <c r="F994" s="20" t="s">
        <v>327</v>
      </c>
      <c r="G994" s="20" t="s">
        <v>328</v>
      </c>
      <c r="I994" s="20" t="s">
        <v>329</v>
      </c>
      <c r="J994" s="20" t="s">
        <v>143</v>
      </c>
      <c r="Q994" s="20">
        <v>12137.0</v>
      </c>
      <c r="R994" s="20" t="s">
        <v>3526</v>
      </c>
      <c r="S994" s="20" t="s">
        <v>3525</v>
      </c>
      <c r="T994" s="20" t="s">
        <v>138</v>
      </c>
    </row>
    <row r="995" ht="14.25" customHeight="1">
      <c r="A995" s="20" t="s">
        <v>3527</v>
      </c>
      <c r="B995" s="20" t="s">
        <v>3528</v>
      </c>
      <c r="C995" s="20" t="s">
        <v>779</v>
      </c>
      <c r="F995" s="20" t="s">
        <v>150</v>
      </c>
      <c r="G995" s="20" t="s">
        <v>150</v>
      </c>
      <c r="I995" s="20" t="s">
        <v>151</v>
      </c>
      <c r="J995" s="20" t="s">
        <v>143</v>
      </c>
      <c r="Q995" s="20">
        <v>13592.0</v>
      </c>
      <c r="R995" s="20" t="s">
        <v>3529</v>
      </c>
      <c r="S995" s="20" t="s">
        <v>3528</v>
      </c>
      <c r="T995" s="20" t="s">
        <v>138</v>
      </c>
    </row>
    <row r="996" ht="14.25" customHeight="1">
      <c r="A996" s="20" t="s">
        <v>3530</v>
      </c>
      <c r="B996" s="20" t="s">
        <v>3531</v>
      </c>
      <c r="C996" s="20" t="s">
        <v>159</v>
      </c>
      <c r="F996" s="20" t="s">
        <v>150</v>
      </c>
      <c r="G996" s="20" t="s">
        <v>150</v>
      </c>
      <c r="I996" s="20" t="s">
        <v>151</v>
      </c>
      <c r="J996" s="20" t="s">
        <v>143</v>
      </c>
      <c r="Q996" s="20">
        <v>11701.0</v>
      </c>
      <c r="R996" s="20" t="s">
        <v>3532</v>
      </c>
      <c r="S996" s="20" t="s">
        <v>3531</v>
      </c>
      <c r="T996" s="20" t="s">
        <v>138</v>
      </c>
    </row>
    <row r="997" ht="14.25" customHeight="1">
      <c r="A997" s="20" t="s">
        <v>3533</v>
      </c>
      <c r="B997" s="20" t="s">
        <v>3534</v>
      </c>
      <c r="C997" s="20" t="s">
        <v>235</v>
      </c>
      <c r="F997" s="20" t="s">
        <v>15</v>
      </c>
      <c r="G997" s="20" t="s">
        <v>142</v>
      </c>
      <c r="I997" s="20" t="s">
        <v>105</v>
      </c>
      <c r="J997" s="20" t="s">
        <v>143</v>
      </c>
      <c r="Q997" s="20">
        <v>8505.0</v>
      </c>
      <c r="R997" s="20" t="s">
        <v>3535</v>
      </c>
      <c r="S997" s="20" t="s">
        <v>3534</v>
      </c>
      <c r="T997" s="20" t="s">
        <v>138</v>
      </c>
    </row>
    <row r="998" ht="14.25" customHeight="1">
      <c r="A998" s="20" t="s">
        <v>3536</v>
      </c>
      <c r="B998" s="20" t="s">
        <v>3537</v>
      </c>
      <c r="C998" s="20" t="s">
        <v>2826</v>
      </c>
      <c r="F998" s="20" t="s">
        <v>327</v>
      </c>
      <c r="G998" s="20" t="s">
        <v>385</v>
      </c>
      <c r="I998" s="20" t="s">
        <v>3538</v>
      </c>
      <c r="J998" s="20" t="s">
        <v>186</v>
      </c>
      <c r="K998" s="20" t="s">
        <v>167</v>
      </c>
      <c r="Q998" s="20">
        <v>571.0</v>
      </c>
      <c r="R998" s="20" t="s">
        <v>3539</v>
      </c>
      <c r="S998" s="20" t="s">
        <v>3537</v>
      </c>
      <c r="T998" s="20" t="s">
        <v>138</v>
      </c>
    </row>
    <row r="999" ht="14.25" customHeight="1">
      <c r="A999" s="20" t="s">
        <v>3540</v>
      </c>
      <c r="B999" s="20" t="s">
        <v>3541</v>
      </c>
      <c r="C999" s="20" t="s">
        <v>394</v>
      </c>
      <c r="F999" s="20" t="s">
        <v>327</v>
      </c>
      <c r="G999" s="20" t="s">
        <v>395</v>
      </c>
      <c r="I999" s="20" t="s">
        <v>396</v>
      </c>
      <c r="J999" s="20" t="s">
        <v>143</v>
      </c>
      <c r="K999" s="20" t="s">
        <v>167</v>
      </c>
      <c r="Q999" s="20">
        <v>1851.0</v>
      </c>
      <c r="R999" s="20" t="s">
        <v>3542</v>
      </c>
      <c r="S999" s="20" t="s">
        <v>3541</v>
      </c>
      <c r="T999" s="20" t="s">
        <v>138</v>
      </c>
    </row>
    <row r="1000" ht="14.25" customHeight="1">
      <c r="A1000" s="20" t="s">
        <v>3543</v>
      </c>
      <c r="B1000" s="20" t="s">
        <v>3544</v>
      </c>
      <c r="C1000" s="20" t="s">
        <v>874</v>
      </c>
      <c r="F1000" s="20" t="s">
        <v>327</v>
      </c>
      <c r="G1000" s="20" t="s">
        <v>385</v>
      </c>
      <c r="I1000" s="20" t="s">
        <v>875</v>
      </c>
      <c r="J1000" s="20" t="s">
        <v>136</v>
      </c>
      <c r="Q1000" s="20">
        <v>15653.0</v>
      </c>
      <c r="R1000" s="20" t="s">
        <v>3545</v>
      </c>
      <c r="S1000" s="20" t="s">
        <v>3544</v>
      </c>
      <c r="T1000" s="20" t="s">
        <v>138</v>
      </c>
      <c r="W1000" s="20" t="s">
        <v>136</v>
      </c>
    </row>
    <row r="1001" ht="14.25" customHeight="1">
      <c r="A1001" s="20" t="s">
        <v>3546</v>
      </c>
      <c r="B1001" s="20" t="s">
        <v>3547</v>
      </c>
      <c r="C1001" s="20" t="s">
        <v>1397</v>
      </c>
      <c r="F1001" s="20" t="s">
        <v>17</v>
      </c>
      <c r="G1001" s="20" t="s">
        <v>17</v>
      </c>
      <c r="I1001" s="20" t="s">
        <v>88</v>
      </c>
      <c r="J1001" s="20" t="s">
        <v>143</v>
      </c>
      <c r="Q1001" s="20">
        <v>15414.0</v>
      </c>
      <c r="R1001" s="20" t="s">
        <v>3548</v>
      </c>
      <c r="S1001" s="20" t="s">
        <v>3547</v>
      </c>
      <c r="T1001" s="20" t="s">
        <v>138</v>
      </c>
    </row>
    <row r="1002" ht="14.25" customHeight="1">
      <c r="A1002" s="20" t="s">
        <v>3549</v>
      </c>
      <c r="B1002" s="20" t="s">
        <v>3550</v>
      </c>
      <c r="C1002" s="20" t="s">
        <v>174</v>
      </c>
      <c r="F1002" s="20" t="s">
        <v>150</v>
      </c>
      <c r="G1002" s="20" t="s">
        <v>150</v>
      </c>
      <c r="I1002" s="20" t="s">
        <v>151</v>
      </c>
      <c r="J1002" s="20" t="s">
        <v>143</v>
      </c>
      <c r="Q1002" s="20">
        <v>572.0</v>
      </c>
      <c r="R1002" s="20" t="s">
        <v>3551</v>
      </c>
      <c r="S1002" s="20" t="s">
        <v>3550</v>
      </c>
      <c r="T1002" s="20" t="s">
        <v>138</v>
      </c>
    </row>
    <row r="1003" ht="14.25" customHeight="1">
      <c r="A1003" s="20" t="s">
        <v>3552</v>
      </c>
      <c r="B1003" s="20" t="s">
        <v>3553</v>
      </c>
      <c r="C1003" s="20" t="s">
        <v>779</v>
      </c>
      <c r="F1003" s="20" t="s">
        <v>150</v>
      </c>
      <c r="G1003" s="20" t="s">
        <v>150</v>
      </c>
      <c r="I1003" s="20" t="s">
        <v>151</v>
      </c>
      <c r="J1003" s="20" t="s">
        <v>143</v>
      </c>
      <c r="Q1003" s="20">
        <v>14448.0</v>
      </c>
      <c r="R1003" s="20" t="s">
        <v>3554</v>
      </c>
      <c r="S1003" s="20" t="s">
        <v>3553</v>
      </c>
      <c r="T1003" s="20" t="s">
        <v>138</v>
      </c>
    </row>
    <row r="1004" ht="14.25" customHeight="1">
      <c r="A1004" s="20" t="s">
        <v>3555</v>
      </c>
      <c r="B1004" s="20" t="s">
        <v>3556</v>
      </c>
      <c r="C1004" s="20" t="s">
        <v>2930</v>
      </c>
      <c r="F1004" s="20" t="s">
        <v>327</v>
      </c>
      <c r="G1004" s="20" t="s">
        <v>385</v>
      </c>
      <c r="I1004" s="20" t="s">
        <v>1201</v>
      </c>
      <c r="J1004" s="20" t="s">
        <v>186</v>
      </c>
      <c r="K1004" s="20" t="s">
        <v>213</v>
      </c>
      <c r="Q1004" s="20">
        <v>1406.0</v>
      </c>
      <c r="R1004" s="20" t="s">
        <v>3557</v>
      </c>
      <c r="S1004" s="20" t="s">
        <v>3556</v>
      </c>
      <c r="T1004" s="20" t="s">
        <v>138</v>
      </c>
      <c r="W1004" s="20" t="s">
        <v>146</v>
      </c>
    </row>
    <row r="1005" ht="14.25" customHeight="1">
      <c r="A1005" s="20" t="s">
        <v>3558</v>
      </c>
      <c r="B1005" s="20" t="s">
        <v>3559</v>
      </c>
      <c r="C1005" s="20" t="s">
        <v>197</v>
      </c>
      <c r="F1005" s="20" t="s">
        <v>150</v>
      </c>
      <c r="G1005" s="20" t="s">
        <v>150</v>
      </c>
      <c r="I1005" s="20" t="s">
        <v>151</v>
      </c>
      <c r="J1005" s="20" t="s">
        <v>143</v>
      </c>
      <c r="Q1005" s="20">
        <v>15911.0</v>
      </c>
      <c r="R1005" s="20" t="s">
        <v>3560</v>
      </c>
      <c r="S1005" s="20" t="s">
        <v>3559</v>
      </c>
      <c r="T1005" s="20" t="s">
        <v>138</v>
      </c>
    </row>
    <row r="1006" ht="14.25" customHeight="1">
      <c r="A1006" s="20" t="s">
        <v>3561</v>
      </c>
      <c r="B1006" s="20" t="s">
        <v>3562</v>
      </c>
      <c r="C1006" s="20" t="s">
        <v>197</v>
      </c>
      <c r="F1006" s="20" t="s">
        <v>150</v>
      </c>
      <c r="G1006" s="20" t="s">
        <v>150</v>
      </c>
      <c r="I1006" s="20" t="s">
        <v>151</v>
      </c>
      <c r="J1006" s="20" t="s">
        <v>143</v>
      </c>
      <c r="Q1006" s="20">
        <v>3115.0</v>
      </c>
      <c r="R1006" s="20" t="s">
        <v>3563</v>
      </c>
      <c r="S1006" s="20" t="s">
        <v>3562</v>
      </c>
      <c r="T1006" s="20" t="s">
        <v>138</v>
      </c>
    </row>
    <row r="1007" ht="14.25" customHeight="1">
      <c r="A1007" s="20" t="s">
        <v>3564</v>
      </c>
      <c r="B1007" s="20" t="s">
        <v>3565</v>
      </c>
      <c r="C1007" s="20" t="s">
        <v>3566</v>
      </c>
      <c r="F1007" s="20" t="s">
        <v>15</v>
      </c>
      <c r="G1007" s="20" t="s">
        <v>135</v>
      </c>
      <c r="H1007" s="20">
        <v>16170.0</v>
      </c>
      <c r="I1007" s="20" t="s">
        <v>100</v>
      </c>
      <c r="J1007" s="20" t="s">
        <v>143</v>
      </c>
      <c r="L1007" s="20" t="s">
        <v>100</v>
      </c>
      <c r="M1007" s="20" t="s">
        <v>1283</v>
      </c>
      <c r="O1007" s="20" t="s">
        <v>144</v>
      </c>
      <c r="Q1007" s="20">
        <v>16170.0</v>
      </c>
      <c r="R1007" s="20" t="s">
        <v>3567</v>
      </c>
      <c r="S1007" s="20" t="s">
        <v>3568</v>
      </c>
      <c r="T1007" s="20" t="s">
        <v>388</v>
      </c>
      <c r="W1007" s="20" t="s">
        <v>146</v>
      </c>
    </row>
    <row r="1008" ht="14.25" customHeight="1">
      <c r="A1008" s="20" t="s">
        <v>3569</v>
      </c>
      <c r="B1008" s="20" t="s">
        <v>3570</v>
      </c>
      <c r="C1008" s="20" t="s">
        <v>193</v>
      </c>
      <c r="F1008" s="20" t="s">
        <v>150</v>
      </c>
      <c r="G1008" s="20" t="s">
        <v>150</v>
      </c>
      <c r="I1008" s="20" t="s">
        <v>151</v>
      </c>
      <c r="J1008" s="20" t="s">
        <v>143</v>
      </c>
      <c r="Q1008" s="20">
        <v>10534.0</v>
      </c>
      <c r="R1008" s="20" t="s">
        <v>3571</v>
      </c>
      <c r="S1008" s="20" t="s">
        <v>3570</v>
      </c>
      <c r="T1008" s="20" t="s">
        <v>138</v>
      </c>
    </row>
    <row r="1009" ht="14.25" customHeight="1">
      <c r="A1009" s="20" t="s">
        <v>3572</v>
      </c>
      <c r="B1009" s="20" t="s">
        <v>3573</v>
      </c>
      <c r="C1009" s="20" t="s">
        <v>159</v>
      </c>
      <c r="F1009" s="20" t="s">
        <v>150</v>
      </c>
      <c r="G1009" s="20" t="s">
        <v>150</v>
      </c>
      <c r="I1009" s="20" t="s">
        <v>151</v>
      </c>
      <c r="J1009" s="20" t="s">
        <v>143</v>
      </c>
      <c r="K1009" s="20" t="s">
        <v>213</v>
      </c>
      <c r="L1009" s="20" t="s">
        <v>151</v>
      </c>
      <c r="M1009" s="20" t="s">
        <v>3574</v>
      </c>
      <c r="Q1009" s="20">
        <v>916.0</v>
      </c>
      <c r="R1009" s="20" t="s">
        <v>3575</v>
      </c>
      <c r="S1009" s="20" t="s">
        <v>3573</v>
      </c>
      <c r="T1009" s="20" t="s">
        <v>138</v>
      </c>
      <c r="V1009" s="20" t="s">
        <v>260</v>
      </c>
    </row>
    <row r="1010" ht="14.25" customHeight="1">
      <c r="A1010" s="20" t="s">
        <v>3576</v>
      </c>
      <c r="B1010" s="20" t="s">
        <v>3577</v>
      </c>
      <c r="C1010" s="20" t="s">
        <v>163</v>
      </c>
      <c r="F1010" s="20" t="s">
        <v>150</v>
      </c>
      <c r="G1010" s="20" t="s">
        <v>150</v>
      </c>
      <c r="I1010" s="20" t="s">
        <v>151</v>
      </c>
      <c r="J1010" s="20" t="s">
        <v>143</v>
      </c>
      <c r="K1010" s="20" t="s">
        <v>167</v>
      </c>
      <c r="Q1010" s="20">
        <v>10535.0</v>
      </c>
      <c r="R1010" s="20" t="s">
        <v>3578</v>
      </c>
      <c r="S1010" s="20" t="s">
        <v>3577</v>
      </c>
      <c r="T1010" s="20" t="s">
        <v>138</v>
      </c>
    </row>
    <row r="1011" ht="14.25" customHeight="1">
      <c r="A1011" s="20" t="s">
        <v>3579</v>
      </c>
      <c r="B1011" s="20" t="s">
        <v>3580</v>
      </c>
      <c r="C1011" s="20" t="s">
        <v>174</v>
      </c>
      <c r="F1011" s="20" t="s">
        <v>150</v>
      </c>
      <c r="G1011" s="20" t="s">
        <v>150</v>
      </c>
      <c r="I1011" s="20" t="s">
        <v>151</v>
      </c>
      <c r="J1011" s="20" t="s">
        <v>143</v>
      </c>
      <c r="Q1011" s="20">
        <v>10690.0</v>
      </c>
      <c r="R1011" s="20" t="s">
        <v>3581</v>
      </c>
      <c r="S1011" s="20" t="s">
        <v>3580</v>
      </c>
      <c r="T1011" s="20" t="s">
        <v>138</v>
      </c>
    </row>
    <row r="1012" ht="14.25" customHeight="1">
      <c r="A1012" s="20" t="s">
        <v>3582</v>
      </c>
      <c r="B1012" s="20" t="s">
        <v>3583</v>
      </c>
      <c r="C1012" s="20" t="s">
        <v>272</v>
      </c>
      <c r="F1012" s="20" t="s">
        <v>150</v>
      </c>
      <c r="G1012" s="20" t="s">
        <v>150</v>
      </c>
      <c r="I1012" s="20" t="s">
        <v>151</v>
      </c>
      <c r="J1012" s="20" t="s">
        <v>143</v>
      </c>
      <c r="Q1012" s="20">
        <v>7781.0</v>
      </c>
      <c r="R1012" s="20" t="s">
        <v>3584</v>
      </c>
      <c r="S1012" s="20" t="s">
        <v>3583</v>
      </c>
      <c r="T1012" s="20" t="s">
        <v>138</v>
      </c>
    </row>
    <row r="1013" ht="14.25" customHeight="1">
      <c r="A1013" s="20" t="s">
        <v>3585</v>
      </c>
      <c r="B1013" s="20" t="s">
        <v>3586</v>
      </c>
      <c r="C1013" s="20" t="s">
        <v>149</v>
      </c>
      <c r="F1013" s="20" t="s">
        <v>150</v>
      </c>
      <c r="G1013" s="20" t="s">
        <v>150</v>
      </c>
      <c r="I1013" s="20" t="s">
        <v>151</v>
      </c>
      <c r="J1013" s="20" t="s">
        <v>143</v>
      </c>
      <c r="Q1013" s="20">
        <v>14693.0</v>
      </c>
      <c r="R1013" s="20" t="s">
        <v>3587</v>
      </c>
      <c r="S1013" s="20" t="s">
        <v>3586</v>
      </c>
      <c r="T1013" s="20" t="s">
        <v>138</v>
      </c>
    </row>
    <row r="1014" ht="14.25" customHeight="1">
      <c r="A1014" s="20" t="s">
        <v>3588</v>
      </c>
      <c r="B1014" s="20" t="s">
        <v>3589</v>
      </c>
      <c r="C1014" s="20" t="s">
        <v>149</v>
      </c>
      <c r="F1014" s="20" t="s">
        <v>150</v>
      </c>
      <c r="G1014" s="20" t="s">
        <v>150</v>
      </c>
      <c r="I1014" s="20" t="s">
        <v>151</v>
      </c>
      <c r="J1014" s="20" t="s">
        <v>143</v>
      </c>
      <c r="Q1014" s="20">
        <v>13923.0</v>
      </c>
      <c r="R1014" s="20" t="s">
        <v>3590</v>
      </c>
      <c r="S1014" s="20" t="s">
        <v>3589</v>
      </c>
      <c r="T1014" s="20" t="s">
        <v>138</v>
      </c>
    </row>
    <row r="1015" ht="14.25" customHeight="1">
      <c r="A1015" s="20" t="s">
        <v>3591</v>
      </c>
      <c r="B1015" s="20" t="s">
        <v>3592</v>
      </c>
      <c r="C1015" s="20" t="s">
        <v>289</v>
      </c>
      <c r="F1015" s="20" t="s">
        <v>150</v>
      </c>
      <c r="G1015" s="20" t="s">
        <v>150</v>
      </c>
      <c r="I1015" s="20" t="s">
        <v>151</v>
      </c>
      <c r="J1015" s="20" t="s">
        <v>143</v>
      </c>
      <c r="Q1015" s="20">
        <v>5824.0</v>
      </c>
      <c r="R1015" s="20" t="s">
        <v>3593</v>
      </c>
      <c r="S1015" s="20" t="s">
        <v>3592</v>
      </c>
      <c r="T1015" s="20" t="s">
        <v>138</v>
      </c>
    </row>
    <row r="1016" ht="14.25" customHeight="1">
      <c r="A1016" s="20" t="s">
        <v>3594</v>
      </c>
      <c r="B1016" s="20" t="s">
        <v>3595</v>
      </c>
      <c r="C1016" s="20" t="s">
        <v>193</v>
      </c>
      <c r="F1016" s="20" t="s">
        <v>150</v>
      </c>
      <c r="G1016" s="20" t="s">
        <v>150</v>
      </c>
      <c r="I1016" s="20" t="s">
        <v>151</v>
      </c>
      <c r="J1016" s="20" t="s">
        <v>143</v>
      </c>
      <c r="Q1016" s="20">
        <v>13593.0</v>
      </c>
      <c r="R1016" s="20" t="s">
        <v>3596</v>
      </c>
      <c r="S1016" s="20" t="s">
        <v>3595</v>
      </c>
      <c r="T1016" s="20" t="s">
        <v>138</v>
      </c>
    </row>
    <row r="1017" ht="14.25" customHeight="1">
      <c r="A1017" s="20" t="s">
        <v>3597</v>
      </c>
      <c r="B1017" s="20" t="s">
        <v>3598</v>
      </c>
      <c r="C1017" s="20" t="s">
        <v>1144</v>
      </c>
      <c r="F1017" s="20" t="s">
        <v>150</v>
      </c>
      <c r="G1017" s="20" t="s">
        <v>150</v>
      </c>
      <c r="I1017" s="20" t="s">
        <v>151</v>
      </c>
      <c r="J1017" s="20" t="s">
        <v>186</v>
      </c>
      <c r="Q1017" s="20">
        <v>405.0</v>
      </c>
      <c r="R1017" s="20" t="s">
        <v>3599</v>
      </c>
      <c r="S1017" s="20" t="s">
        <v>3598</v>
      </c>
      <c r="T1017" s="20" t="s">
        <v>138</v>
      </c>
    </row>
    <row r="1018" ht="14.25" customHeight="1">
      <c r="A1018" s="20" t="s">
        <v>3600</v>
      </c>
      <c r="B1018" s="20" t="s">
        <v>3601</v>
      </c>
      <c r="C1018" s="20" t="s">
        <v>1144</v>
      </c>
      <c r="F1018" s="20" t="s">
        <v>150</v>
      </c>
      <c r="G1018" s="20" t="s">
        <v>150</v>
      </c>
      <c r="I1018" s="20" t="s">
        <v>151</v>
      </c>
      <c r="J1018" s="20" t="s">
        <v>186</v>
      </c>
      <c r="Q1018" s="20">
        <v>2378.0</v>
      </c>
      <c r="R1018" s="20" t="s">
        <v>3602</v>
      </c>
      <c r="S1018" s="20" t="s">
        <v>3601</v>
      </c>
      <c r="T1018" s="20" t="s">
        <v>138</v>
      </c>
    </row>
    <row r="1019" ht="14.25" customHeight="1">
      <c r="A1019" s="20" t="s">
        <v>3603</v>
      </c>
      <c r="B1019" s="20" t="s">
        <v>3604</v>
      </c>
      <c r="C1019" s="20" t="s">
        <v>2528</v>
      </c>
      <c r="F1019" s="20" t="s">
        <v>16</v>
      </c>
      <c r="G1019" s="20" t="s">
        <v>638</v>
      </c>
      <c r="H1019" s="20">
        <v>15671.0</v>
      </c>
      <c r="I1019" s="20" t="s">
        <v>1582</v>
      </c>
      <c r="J1019" s="20" t="s">
        <v>143</v>
      </c>
      <c r="K1019" s="20" t="s">
        <v>213</v>
      </c>
      <c r="L1019" s="20" t="s">
        <v>1582</v>
      </c>
      <c r="Q1019" s="20">
        <v>15671.0</v>
      </c>
      <c r="R1019" s="20" t="s">
        <v>3605</v>
      </c>
      <c r="S1019" s="20" t="s">
        <v>3604</v>
      </c>
      <c r="T1019" s="20" t="s">
        <v>138</v>
      </c>
      <c r="U1019" s="24">
        <v>44643.0</v>
      </c>
      <c r="V1019" s="20" t="s">
        <v>260</v>
      </c>
      <c r="W1019" s="20" t="s">
        <v>146</v>
      </c>
    </row>
    <row r="1020" ht="14.25" customHeight="1">
      <c r="A1020" s="20" t="s">
        <v>3606</v>
      </c>
      <c r="B1020" s="20" t="s">
        <v>3607</v>
      </c>
      <c r="C1020" s="20" t="s">
        <v>1269</v>
      </c>
      <c r="F1020" s="20" t="s">
        <v>218</v>
      </c>
      <c r="G1020" s="20" t="s">
        <v>219</v>
      </c>
      <c r="I1020" s="20" t="s">
        <v>314</v>
      </c>
      <c r="J1020" s="20" t="s">
        <v>186</v>
      </c>
      <c r="Q1020" s="20">
        <v>11664.0</v>
      </c>
      <c r="R1020" s="20" t="s">
        <v>3608</v>
      </c>
      <c r="S1020" s="20" t="s">
        <v>3607</v>
      </c>
      <c r="T1020" s="20" t="s">
        <v>138</v>
      </c>
    </row>
    <row r="1021" ht="14.25" customHeight="1">
      <c r="A1021" s="20" t="s">
        <v>3609</v>
      </c>
      <c r="B1021" s="20" t="s">
        <v>3610</v>
      </c>
      <c r="C1021" s="20" t="s">
        <v>174</v>
      </c>
      <c r="F1021" s="20" t="s">
        <v>150</v>
      </c>
      <c r="G1021" s="20" t="s">
        <v>150</v>
      </c>
      <c r="I1021" s="20" t="s">
        <v>151</v>
      </c>
      <c r="J1021" s="20" t="s">
        <v>186</v>
      </c>
      <c r="Q1021" s="20">
        <v>15025.0</v>
      </c>
      <c r="R1021" s="20" t="s">
        <v>3611</v>
      </c>
      <c r="S1021" s="20" t="s">
        <v>3610</v>
      </c>
      <c r="T1021" s="20" t="s">
        <v>138</v>
      </c>
    </row>
    <row r="1022" ht="14.25" customHeight="1">
      <c r="A1022" s="20" t="s">
        <v>3612</v>
      </c>
      <c r="B1022" s="20" t="s">
        <v>3613</v>
      </c>
      <c r="C1022" s="20" t="s">
        <v>178</v>
      </c>
      <c r="F1022" s="20" t="s">
        <v>150</v>
      </c>
      <c r="G1022" s="20" t="s">
        <v>150</v>
      </c>
      <c r="I1022" s="20" t="s">
        <v>151</v>
      </c>
      <c r="J1022" s="20" t="s">
        <v>143</v>
      </c>
      <c r="Q1022" s="20">
        <v>16438.0</v>
      </c>
      <c r="R1022" s="20" t="s">
        <v>3614</v>
      </c>
      <c r="S1022" s="20" t="s">
        <v>3613</v>
      </c>
      <c r="T1022" s="20" t="s">
        <v>138</v>
      </c>
    </row>
    <row r="1023" ht="14.25" customHeight="1">
      <c r="A1023" s="20" t="s">
        <v>3615</v>
      </c>
      <c r="B1023" s="20" t="s">
        <v>3616</v>
      </c>
      <c r="C1023" s="20" t="s">
        <v>197</v>
      </c>
      <c r="F1023" s="20" t="s">
        <v>150</v>
      </c>
      <c r="G1023" s="20" t="s">
        <v>150</v>
      </c>
      <c r="I1023" s="20" t="s">
        <v>151</v>
      </c>
      <c r="J1023" s="20" t="s">
        <v>143</v>
      </c>
      <c r="Q1023" s="20">
        <v>11331.0</v>
      </c>
      <c r="R1023" s="20" t="s">
        <v>3617</v>
      </c>
      <c r="S1023" s="20" t="s">
        <v>3616</v>
      </c>
      <c r="T1023" s="20" t="s">
        <v>138</v>
      </c>
    </row>
    <row r="1024" ht="14.25" customHeight="1">
      <c r="A1024" s="20" t="s">
        <v>3618</v>
      </c>
      <c r="B1024" s="20" t="s">
        <v>3619</v>
      </c>
      <c r="C1024" s="20" t="s">
        <v>1762</v>
      </c>
      <c r="F1024" s="20" t="s">
        <v>15</v>
      </c>
      <c r="G1024" s="20" t="s">
        <v>135</v>
      </c>
      <c r="I1024" s="20" t="s">
        <v>106</v>
      </c>
      <c r="J1024" s="20" t="s">
        <v>186</v>
      </c>
      <c r="K1024" s="20" t="s">
        <v>213</v>
      </c>
      <c r="Q1024" s="20">
        <v>2905.0</v>
      </c>
      <c r="R1024" s="20" t="s">
        <v>3620</v>
      </c>
      <c r="S1024" s="20" t="s">
        <v>3619</v>
      </c>
      <c r="T1024" s="20" t="s">
        <v>138</v>
      </c>
      <c r="W1024" s="20" t="s">
        <v>146</v>
      </c>
    </row>
    <row r="1025" ht="14.25" customHeight="1">
      <c r="A1025" s="20" t="s">
        <v>3621</v>
      </c>
      <c r="B1025" s="20" t="s">
        <v>3622</v>
      </c>
      <c r="C1025" s="20" t="s">
        <v>178</v>
      </c>
      <c r="F1025" s="20" t="s">
        <v>150</v>
      </c>
      <c r="G1025" s="20" t="s">
        <v>150</v>
      </c>
      <c r="I1025" s="20" t="s">
        <v>151</v>
      </c>
      <c r="J1025" s="20" t="s">
        <v>143</v>
      </c>
      <c r="Q1025" s="20">
        <v>9751.0</v>
      </c>
      <c r="R1025" s="20" t="s">
        <v>3623</v>
      </c>
      <c r="S1025" s="20" t="s">
        <v>3622</v>
      </c>
      <c r="T1025" s="20" t="s">
        <v>138</v>
      </c>
    </row>
    <row r="1026" ht="14.25" customHeight="1">
      <c r="A1026" s="20" t="s">
        <v>3624</v>
      </c>
      <c r="B1026" s="20" t="s">
        <v>3625</v>
      </c>
      <c r="C1026" s="20" t="s">
        <v>394</v>
      </c>
      <c r="F1026" s="20" t="s">
        <v>327</v>
      </c>
      <c r="G1026" s="20" t="s">
        <v>385</v>
      </c>
      <c r="I1026" s="20" t="s">
        <v>3626</v>
      </c>
      <c r="J1026" s="20" t="s">
        <v>136</v>
      </c>
      <c r="Q1026" s="20">
        <v>15850.0</v>
      </c>
      <c r="R1026" s="20" t="s">
        <v>3627</v>
      </c>
      <c r="S1026" s="20" t="s">
        <v>3625</v>
      </c>
      <c r="T1026" s="20" t="s">
        <v>138</v>
      </c>
    </row>
    <row r="1027" ht="14.25" customHeight="1">
      <c r="A1027" s="20" t="s">
        <v>3628</v>
      </c>
      <c r="B1027" s="20" t="s">
        <v>3629</v>
      </c>
      <c r="C1027" s="20" t="s">
        <v>193</v>
      </c>
      <c r="F1027" s="20" t="s">
        <v>150</v>
      </c>
      <c r="G1027" s="20" t="s">
        <v>150</v>
      </c>
      <c r="I1027" s="20" t="s">
        <v>151</v>
      </c>
      <c r="J1027" s="20" t="s">
        <v>143</v>
      </c>
      <c r="K1027" s="20" t="s">
        <v>167</v>
      </c>
      <c r="Q1027" s="20">
        <v>7145.0</v>
      </c>
      <c r="R1027" s="20" t="s">
        <v>3630</v>
      </c>
      <c r="S1027" s="20" t="s">
        <v>3629</v>
      </c>
      <c r="T1027" s="20" t="s">
        <v>138</v>
      </c>
    </row>
    <row r="1028" ht="14.25" customHeight="1">
      <c r="A1028" s="20" t="s">
        <v>3631</v>
      </c>
      <c r="B1028" s="20" t="s">
        <v>3632</v>
      </c>
      <c r="C1028" s="20" t="s">
        <v>178</v>
      </c>
      <c r="F1028" s="20" t="s">
        <v>150</v>
      </c>
      <c r="G1028" s="20" t="s">
        <v>150</v>
      </c>
      <c r="I1028" s="20" t="s">
        <v>151</v>
      </c>
      <c r="J1028" s="20" t="s">
        <v>143</v>
      </c>
      <c r="Q1028" s="20">
        <v>10620.0</v>
      </c>
      <c r="R1028" s="20" t="s">
        <v>3633</v>
      </c>
      <c r="S1028" s="20" t="s">
        <v>3632</v>
      </c>
      <c r="T1028" s="20" t="s">
        <v>138</v>
      </c>
    </row>
    <row r="1029" ht="14.25" customHeight="1">
      <c r="A1029" s="20" t="s">
        <v>3634</v>
      </c>
      <c r="B1029" s="20" t="s">
        <v>3635</v>
      </c>
      <c r="C1029" s="20" t="s">
        <v>1505</v>
      </c>
      <c r="F1029" s="20" t="s">
        <v>15</v>
      </c>
      <c r="G1029" s="20" t="s">
        <v>135</v>
      </c>
      <c r="I1029" s="20" t="s">
        <v>102</v>
      </c>
      <c r="J1029" s="20" t="s">
        <v>136</v>
      </c>
      <c r="Q1029" s="20">
        <v>15308.0</v>
      </c>
      <c r="R1029" s="20" t="s">
        <v>3636</v>
      </c>
      <c r="S1029" s="20" t="s">
        <v>3635</v>
      </c>
      <c r="T1029" s="20" t="s">
        <v>138</v>
      </c>
    </row>
    <row r="1030" ht="14.25" customHeight="1">
      <c r="A1030" s="20" t="s">
        <v>3637</v>
      </c>
      <c r="B1030" s="20" t="s">
        <v>3638</v>
      </c>
      <c r="C1030" s="20" t="s">
        <v>354</v>
      </c>
      <c r="F1030" s="20" t="s">
        <v>218</v>
      </c>
      <c r="G1030" s="20" t="s">
        <v>219</v>
      </c>
      <c r="I1030" s="20" t="s">
        <v>355</v>
      </c>
      <c r="J1030" s="20" t="s">
        <v>136</v>
      </c>
      <c r="Q1030" s="20">
        <v>8569.0</v>
      </c>
      <c r="R1030" s="20" t="s">
        <v>3639</v>
      </c>
      <c r="S1030" s="20" t="s">
        <v>3638</v>
      </c>
      <c r="T1030" s="20" t="s">
        <v>138</v>
      </c>
      <c r="W1030" s="20" t="s">
        <v>372</v>
      </c>
    </row>
    <row r="1031" ht="14.25" customHeight="1">
      <c r="A1031" s="20" t="s">
        <v>3640</v>
      </c>
      <c r="B1031" s="20" t="s">
        <v>3641</v>
      </c>
      <c r="C1031" s="20" t="s">
        <v>174</v>
      </c>
      <c r="F1031" s="20" t="s">
        <v>150</v>
      </c>
      <c r="G1031" s="20" t="s">
        <v>150</v>
      </c>
      <c r="I1031" s="20" t="s">
        <v>151</v>
      </c>
      <c r="J1031" s="20" t="s">
        <v>143</v>
      </c>
      <c r="Q1031" s="20">
        <v>15021.0</v>
      </c>
      <c r="R1031" s="20" t="s">
        <v>3642</v>
      </c>
      <c r="S1031" s="20" t="s">
        <v>3641</v>
      </c>
      <c r="T1031" s="20" t="s">
        <v>138</v>
      </c>
    </row>
    <row r="1032" ht="14.25" customHeight="1">
      <c r="A1032" s="20" t="s">
        <v>3643</v>
      </c>
      <c r="B1032" s="20" t="s">
        <v>3644</v>
      </c>
      <c r="C1032" s="20" t="s">
        <v>193</v>
      </c>
      <c r="F1032" s="20" t="s">
        <v>150</v>
      </c>
      <c r="G1032" s="20" t="s">
        <v>150</v>
      </c>
      <c r="I1032" s="20" t="s">
        <v>151</v>
      </c>
      <c r="J1032" s="20" t="s">
        <v>143</v>
      </c>
      <c r="Q1032" s="20">
        <v>10521.0</v>
      </c>
      <c r="R1032" s="20" t="s">
        <v>3645</v>
      </c>
      <c r="S1032" s="20" t="s">
        <v>3644</v>
      </c>
      <c r="T1032" s="20" t="s">
        <v>138</v>
      </c>
    </row>
    <row r="1033" ht="14.25" customHeight="1">
      <c r="A1033" s="20" t="s">
        <v>3646</v>
      </c>
      <c r="B1033" s="20" t="s">
        <v>3647</v>
      </c>
      <c r="C1033" s="20" t="s">
        <v>197</v>
      </c>
      <c r="F1033" s="20" t="s">
        <v>150</v>
      </c>
      <c r="G1033" s="20" t="s">
        <v>150</v>
      </c>
      <c r="I1033" s="20" t="s">
        <v>151</v>
      </c>
      <c r="J1033" s="20" t="s">
        <v>143</v>
      </c>
      <c r="Q1033" s="20">
        <v>11011.0</v>
      </c>
      <c r="R1033" s="20" t="s">
        <v>3648</v>
      </c>
      <c r="S1033" s="20" t="s">
        <v>3647</v>
      </c>
      <c r="T1033" s="20" t="s">
        <v>138</v>
      </c>
    </row>
    <row r="1034" ht="14.25" customHeight="1">
      <c r="A1034" s="20" t="s">
        <v>3649</v>
      </c>
      <c r="B1034" s="20" t="s">
        <v>3650</v>
      </c>
      <c r="C1034" s="20" t="s">
        <v>1115</v>
      </c>
      <c r="F1034" s="20" t="s">
        <v>15</v>
      </c>
      <c r="G1034" s="20" t="s">
        <v>142</v>
      </c>
      <c r="H1034" s="20">
        <v>16333.0</v>
      </c>
      <c r="I1034" s="20" t="s">
        <v>105</v>
      </c>
      <c r="J1034" s="20" t="s">
        <v>143</v>
      </c>
      <c r="P1034" s="20" t="s">
        <v>3650</v>
      </c>
      <c r="Q1034" s="20">
        <v>16333.0</v>
      </c>
      <c r="R1034" s="20" t="s">
        <v>3651</v>
      </c>
      <c r="S1034" s="20" t="s">
        <v>3650</v>
      </c>
      <c r="T1034" s="20" t="s">
        <v>138</v>
      </c>
      <c r="W1034" s="20" t="s">
        <v>146</v>
      </c>
    </row>
    <row r="1035" ht="14.25" customHeight="1">
      <c r="A1035" s="20" t="s">
        <v>3652</v>
      </c>
      <c r="B1035" s="20" t="s">
        <v>3653</v>
      </c>
      <c r="C1035" s="20" t="s">
        <v>1343</v>
      </c>
      <c r="F1035" s="20" t="s">
        <v>150</v>
      </c>
      <c r="G1035" s="20" t="s">
        <v>150</v>
      </c>
      <c r="I1035" s="20" t="s">
        <v>151</v>
      </c>
      <c r="J1035" s="20" t="s">
        <v>186</v>
      </c>
      <c r="Q1035" s="20">
        <v>570.0</v>
      </c>
      <c r="R1035" s="20" t="s">
        <v>3654</v>
      </c>
      <c r="S1035" s="20" t="s">
        <v>3653</v>
      </c>
      <c r="T1035" s="20" t="s">
        <v>138</v>
      </c>
    </row>
    <row r="1036" ht="14.25" customHeight="1">
      <c r="A1036" s="20" t="s">
        <v>3655</v>
      </c>
      <c r="B1036" s="20" t="s">
        <v>3656</v>
      </c>
      <c r="C1036" s="20" t="s">
        <v>1343</v>
      </c>
      <c r="F1036" s="20" t="s">
        <v>150</v>
      </c>
      <c r="G1036" s="20" t="s">
        <v>150</v>
      </c>
      <c r="I1036" s="20" t="s">
        <v>151</v>
      </c>
      <c r="J1036" s="20" t="s">
        <v>186</v>
      </c>
      <c r="Q1036" s="20">
        <v>9754.0</v>
      </c>
      <c r="R1036" s="20" t="s">
        <v>3657</v>
      </c>
      <c r="S1036" s="20" t="s">
        <v>3656</v>
      </c>
      <c r="T1036" s="20" t="s">
        <v>138</v>
      </c>
    </row>
    <row r="1037" ht="14.25" customHeight="1">
      <c r="A1037" s="20" t="s">
        <v>3658</v>
      </c>
      <c r="B1037" s="20" t="s">
        <v>3659</v>
      </c>
      <c r="C1037" s="20" t="s">
        <v>3660</v>
      </c>
      <c r="F1037" s="20" t="s">
        <v>150</v>
      </c>
      <c r="G1037" s="20" t="s">
        <v>150</v>
      </c>
      <c r="I1037" s="20" t="s">
        <v>151</v>
      </c>
      <c r="J1037" s="20" t="s">
        <v>136</v>
      </c>
      <c r="Q1037" s="20">
        <v>8044.0</v>
      </c>
      <c r="R1037" s="20" t="s">
        <v>3661</v>
      </c>
      <c r="S1037" s="20" t="s">
        <v>3659</v>
      </c>
      <c r="T1037" s="20" t="s">
        <v>138</v>
      </c>
      <c r="W1037" s="20" t="s">
        <v>372</v>
      </c>
    </row>
    <row r="1038" ht="14.25" customHeight="1">
      <c r="A1038" s="20" t="s">
        <v>3662</v>
      </c>
      <c r="B1038" s="20" t="s">
        <v>3663</v>
      </c>
      <c r="C1038" s="20" t="s">
        <v>1581</v>
      </c>
      <c r="F1038" s="20" t="s">
        <v>16</v>
      </c>
      <c r="G1038" s="20" t="s">
        <v>638</v>
      </c>
      <c r="I1038" s="20" t="s">
        <v>1582</v>
      </c>
      <c r="J1038" s="20" t="s">
        <v>136</v>
      </c>
      <c r="Q1038" s="20">
        <v>9799.0</v>
      </c>
      <c r="R1038" s="20" t="s">
        <v>3664</v>
      </c>
      <c r="S1038" s="20" t="s">
        <v>3663</v>
      </c>
      <c r="T1038" s="20" t="s">
        <v>138</v>
      </c>
    </row>
    <row r="1039" ht="14.25" customHeight="1">
      <c r="A1039" s="20" t="s">
        <v>3665</v>
      </c>
      <c r="B1039" s="20" t="s">
        <v>3666</v>
      </c>
      <c r="C1039" s="20" t="s">
        <v>174</v>
      </c>
      <c r="F1039" s="20" t="s">
        <v>150</v>
      </c>
      <c r="G1039" s="20" t="s">
        <v>150</v>
      </c>
      <c r="I1039" s="20" t="s">
        <v>151</v>
      </c>
      <c r="J1039" s="20" t="s">
        <v>143</v>
      </c>
      <c r="Q1039" s="20">
        <v>14188.0</v>
      </c>
      <c r="R1039" s="20" t="s">
        <v>3667</v>
      </c>
      <c r="S1039" s="20" t="s">
        <v>3666</v>
      </c>
      <c r="T1039" s="20" t="s">
        <v>138</v>
      </c>
    </row>
    <row r="1040" ht="14.25" customHeight="1">
      <c r="A1040" s="20" t="s">
        <v>3668</v>
      </c>
      <c r="B1040" s="20" t="s">
        <v>3669</v>
      </c>
      <c r="C1040" s="20" t="s">
        <v>3670</v>
      </c>
      <c r="F1040" s="20" t="s">
        <v>150</v>
      </c>
      <c r="G1040" s="20" t="s">
        <v>150</v>
      </c>
      <c r="I1040" s="20" t="s">
        <v>151</v>
      </c>
      <c r="J1040" s="20" t="s">
        <v>136</v>
      </c>
      <c r="K1040" s="20" t="s">
        <v>167</v>
      </c>
      <c r="Q1040" s="20">
        <v>6248.0</v>
      </c>
      <c r="R1040" s="20" t="s">
        <v>3671</v>
      </c>
      <c r="S1040" s="20" t="s">
        <v>3669</v>
      </c>
      <c r="T1040" s="20" t="s">
        <v>138</v>
      </c>
    </row>
    <row r="1041" ht="14.25" customHeight="1">
      <c r="A1041" s="20" t="s">
        <v>3672</v>
      </c>
      <c r="B1041" s="20" t="s">
        <v>3673</v>
      </c>
      <c r="C1041" s="20" t="s">
        <v>786</v>
      </c>
      <c r="F1041" s="20" t="s">
        <v>16</v>
      </c>
      <c r="G1041" s="20" t="s">
        <v>202</v>
      </c>
      <c r="I1041" s="20" t="s">
        <v>203</v>
      </c>
      <c r="J1041" s="20" t="s">
        <v>136</v>
      </c>
      <c r="L1041" s="20" t="s">
        <v>203</v>
      </c>
      <c r="Q1041" s="20">
        <v>8572.0</v>
      </c>
      <c r="R1041" s="20" t="s">
        <v>3674</v>
      </c>
      <c r="S1041" s="20" t="s">
        <v>3673</v>
      </c>
      <c r="T1041" s="20" t="s">
        <v>138</v>
      </c>
      <c r="W1041" s="20" t="s">
        <v>372</v>
      </c>
    </row>
    <row r="1042" ht="14.25" customHeight="1">
      <c r="A1042" s="20" t="s">
        <v>3675</v>
      </c>
      <c r="B1042" s="20" t="s">
        <v>3676</v>
      </c>
      <c r="C1042" s="20" t="s">
        <v>2232</v>
      </c>
      <c r="F1042" s="20" t="s">
        <v>327</v>
      </c>
      <c r="G1042" s="20" t="s">
        <v>385</v>
      </c>
      <c r="I1042" s="20" t="s">
        <v>510</v>
      </c>
      <c r="J1042" s="20" t="s">
        <v>136</v>
      </c>
      <c r="K1042" s="20" t="s">
        <v>167</v>
      </c>
      <c r="Q1042" s="20">
        <v>10116.0</v>
      </c>
      <c r="R1042" s="20" t="s">
        <v>3677</v>
      </c>
      <c r="S1042" s="20" t="s">
        <v>3676</v>
      </c>
      <c r="T1042" s="20" t="s">
        <v>138</v>
      </c>
    </row>
    <row r="1043" ht="14.25" customHeight="1">
      <c r="A1043" s="20" t="s">
        <v>3678</v>
      </c>
      <c r="B1043" s="20" t="s">
        <v>3679</v>
      </c>
      <c r="C1043" s="20" t="s">
        <v>1305</v>
      </c>
      <c r="F1043" s="20" t="s">
        <v>16</v>
      </c>
      <c r="G1043" s="20" t="s">
        <v>202</v>
      </c>
      <c r="I1043" s="20" t="s">
        <v>1306</v>
      </c>
      <c r="J1043" s="20" t="s">
        <v>136</v>
      </c>
      <c r="Q1043" s="20">
        <v>10082.0</v>
      </c>
      <c r="R1043" s="20" t="s">
        <v>3680</v>
      </c>
      <c r="S1043" s="20" t="s">
        <v>3679</v>
      </c>
      <c r="T1043" s="20" t="s">
        <v>138</v>
      </c>
    </row>
    <row r="1044" ht="14.25" customHeight="1">
      <c r="A1044" s="20" t="s">
        <v>3681</v>
      </c>
      <c r="B1044" s="20" t="s">
        <v>3682</v>
      </c>
      <c r="C1044" s="20" t="s">
        <v>694</v>
      </c>
      <c r="F1044" s="20" t="s">
        <v>16</v>
      </c>
      <c r="G1044" s="20" t="s">
        <v>202</v>
      </c>
      <c r="I1044" s="20" t="s">
        <v>87</v>
      </c>
      <c r="J1044" s="20" t="s">
        <v>136</v>
      </c>
      <c r="Q1044" s="20">
        <v>7805.0</v>
      </c>
      <c r="R1044" s="20" t="s">
        <v>3683</v>
      </c>
      <c r="S1044" s="20" t="s">
        <v>3682</v>
      </c>
      <c r="T1044" s="20" t="s">
        <v>138</v>
      </c>
    </row>
    <row r="1045" ht="14.25" customHeight="1">
      <c r="A1045" s="20" t="s">
        <v>3684</v>
      </c>
      <c r="B1045" s="20" t="s">
        <v>3685</v>
      </c>
      <c r="C1045" s="20" t="s">
        <v>735</v>
      </c>
      <c r="F1045" s="20" t="s">
        <v>17</v>
      </c>
      <c r="G1045" s="20" t="s">
        <v>17</v>
      </c>
      <c r="I1045" s="20" t="s">
        <v>88</v>
      </c>
      <c r="J1045" s="20" t="s">
        <v>136</v>
      </c>
      <c r="Q1045" s="20">
        <v>10250.0</v>
      </c>
      <c r="R1045" s="20" t="s">
        <v>3686</v>
      </c>
      <c r="S1045" s="20" t="s">
        <v>3685</v>
      </c>
      <c r="T1045" s="20" t="s">
        <v>138</v>
      </c>
      <c r="W1045" s="20" t="s">
        <v>372</v>
      </c>
    </row>
    <row r="1046" ht="14.25" customHeight="1">
      <c r="A1046" s="20" t="s">
        <v>3687</v>
      </c>
      <c r="B1046" s="20" t="s">
        <v>3688</v>
      </c>
      <c r="C1046" s="20" t="s">
        <v>289</v>
      </c>
      <c r="F1046" s="20" t="s">
        <v>150</v>
      </c>
      <c r="G1046" s="20" t="s">
        <v>150</v>
      </c>
      <c r="I1046" s="20" t="s">
        <v>151</v>
      </c>
      <c r="J1046" s="20" t="s">
        <v>143</v>
      </c>
      <c r="Q1046" s="20">
        <v>7169.0</v>
      </c>
      <c r="R1046" s="20" t="s">
        <v>3689</v>
      </c>
      <c r="S1046" s="20" t="s">
        <v>3688</v>
      </c>
      <c r="T1046" s="20" t="s">
        <v>138</v>
      </c>
    </row>
    <row r="1047" ht="14.25" customHeight="1">
      <c r="A1047" s="20" t="s">
        <v>3690</v>
      </c>
      <c r="B1047" s="20" t="s">
        <v>3691</v>
      </c>
      <c r="C1047" s="20" t="s">
        <v>1343</v>
      </c>
      <c r="F1047" s="20" t="s">
        <v>150</v>
      </c>
      <c r="G1047" s="20" t="s">
        <v>150</v>
      </c>
      <c r="I1047" s="20" t="s">
        <v>151</v>
      </c>
      <c r="J1047" s="20" t="s">
        <v>186</v>
      </c>
      <c r="Q1047" s="20">
        <v>15214.0</v>
      </c>
      <c r="R1047" s="20" t="s">
        <v>3692</v>
      </c>
      <c r="S1047" s="20" t="s">
        <v>3691</v>
      </c>
      <c r="T1047" s="20" t="s">
        <v>138</v>
      </c>
    </row>
    <row r="1048" ht="14.25" customHeight="1">
      <c r="A1048" s="20" t="s">
        <v>3693</v>
      </c>
      <c r="B1048" s="20" t="s">
        <v>3694</v>
      </c>
      <c r="C1048" s="20" t="s">
        <v>1343</v>
      </c>
      <c r="F1048" s="20" t="s">
        <v>150</v>
      </c>
      <c r="G1048" s="20" t="s">
        <v>150</v>
      </c>
      <c r="I1048" s="20" t="s">
        <v>151</v>
      </c>
      <c r="J1048" s="20" t="s">
        <v>186</v>
      </c>
      <c r="Q1048" s="20">
        <v>15229.0</v>
      </c>
      <c r="R1048" s="20" t="s">
        <v>3695</v>
      </c>
      <c r="S1048" s="20" t="s">
        <v>3694</v>
      </c>
      <c r="T1048" s="20" t="s">
        <v>138</v>
      </c>
    </row>
    <row r="1049" ht="14.25" customHeight="1">
      <c r="A1049" s="20" t="s">
        <v>3696</v>
      </c>
      <c r="B1049" s="20" t="s">
        <v>3697</v>
      </c>
      <c r="C1049" s="20" t="s">
        <v>1144</v>
      </c>
      <c r="F1049" s="20" t="s">
        <v>150</v>
      </c>
      <c r="G1049" s="20" t="s">
        <v>150</v>
      </c>
      <c r="I1049" s="20" t="s">
        <v>151</v>
      </c>
      <c r="J1049" s="20" t="s">
        <v>186</v>
      </c>
      <c r="Q1049" s="20">
        <v>9755.0</v>
      </c>
      <c r="R1049" s="20" t="s">
        <v>3698</v>
      </c>
      <c r="S1049" s="20" t="s">
        <v>3699</v>
      </c>
      <c r="T1049" s="20" t="s">
        <v>138</v>
      </c>
    </row>
    <row r="1050" ht="14.25" customHeight="1">
      <c r="A1050" s="20" t="s">
        <v>3700</v>
      </c>
      <c r="B1050" s="20" t="s">
        <v>3701</v>
      </c>
      <c r="C1050" s="20" t="s">
        <v>159</v>
      </c>
      <c r="F1050" s="20" t="s">
        <v>150</v>
      </c>
      <c r="G1050" s="20" t="s">
        <v>150</v>
      </c>
      <c r="I1050" s="20" t="s">
        <v>151</v>
      </c>
      <c r="J1050" s="20" t="s">
        <v>143</v>
      </c>
      <c r="Q1050" s="20">
        <v>12028.0</v>
      </c>
      <c r="R1050" s="20" t="s">
        <v>3702</v>
      </c>
      <c r="S1050" s="20" t="s">
        <v>3701</v>
      </c>
      <c r="T1050" s="20" t="s">
        <v>138</v>
      </c>
    </row>
    <row r="1051" ht="14.25" customHeight="1">
      <c r="A1051" s="20" t="s">
        <v>3703</v>
      </c>
      <c r="B1051" s="20" t="s">
        <v>3704</v>
      </c>
      <c r="C1051" s="20" t="s">
        <v>1676</v>
      </c>
      <c r="F1051" s="20" t="s">
        <v>16</v>
      </c>
      <c r="G1051" s="20" t="s">
        <v>202</v>
      </c>
      <c r="I1051" s="20" t="s">
        <v>203</v>
      </c>
      <c r="J1051" s="20" t="s">
        <v>143</v>
      </c>
      <c r="K1051" s="20" t="s">
        <v>213</v>
      </c>
      <c r="Q1051" s="20">
        <v>1512.0</v>
      </c>
      <c r="R1051" s="20" t="s">
        <v>3705</v>
      </c>
      <c r="S1051" s="20" t="s">
        <v>3704</v>
      </c>
      <c r="T1051" s="20" t="s">
        <v>138</v>
      </c>
      <c r="W1051" s="20" t="s">
        <v>146</v>
      </c>
    </row>
    <row r="1052" ht="14.25" customHeight="1">
      <c r="A1052" s="20" t="s">
        <v>3706</v>
      </c>
      <c r="B1052" s="20" t="s">
        <v>3707</v>
      </c>
      <c r="C1052" s="20" t="s">
        <v>193</v>
      </c>
      <c r="F1052" s="20" t="s">
        <v>150</v>
      </c>
      <c r="G1052" s="20" t="s">
        <v>150</v>
      </c>
      <c r="I1052" s="20" t="s">
        <v>151</v>
      </c>
      <c r="J1052" s="20" t="s">
        <v>143</v>
      </c>
      <c r="Q1052" s="20">
        <v>5755.0</v>
      </c>
      <c r="R1052" s="20" t="s">
        <v>3708</v>
      </c>
      <c r="S1052" s="20" t="s">
        <v>3707</v>
      </c>
      <c r="T1052" s="20" t="s">
        <v>138</v>
      </c>
    </row>
    <row r="1053" ht="14.25" customHeight="1">
      <c r="A1053" s="20" t="s">
        <v>3709</v>
      </c>
      <c r="B1053" s="20" t="s">
        <v>3710</v>
      </c>
      <c r="C1053" s="20" t="s">
        <v>1126</v>
      </c>
      <c r="F1053" s="20" t="s">
        <v>15</v>
      </c>
      <c r="G1053" s="20" t="s">
        <v>135</v>
      </c>
      <c r="I1053" s="20" t="s">
        <v>96</v>
      </c>
      <c r="J1053" s="20" t="s">
        <v>186</v>
      </c>
      <c r="K1053" s="20" t="s">
        <v>213</v>
      </c>
      <c r="Q1053" s="20">
        <v>1767.0</v>
      </c>
      <c r="R1053" s="20" t="s">
        <v>3711</v>
      </c>
      <c r="S1053" s="20" t="s">
        <v>3710</v>
      </c>
      <c r="T1053" s="20" t="s">
        <v>138</v>
      </c>
      <c r="W1053" s="20" t="s">
        <v>146</v>
      </c>
    </row>
    <row r="1054" ht="14.25" customHeight="1">
      <c r="A1054" s="20" t="s">
        <v>3712</v>
      </c>
      <c r="B1054" s="20" t="s">
        <v>3713</v>
      </c>
      <c r="C1054" s="20" t="s">
        <v>272</v>
      </c>
      <c r="F1054" s="20" t="s">
        <v>150</v>
      </c>
      <c r="G1054" s="20" t="s">
        <v>150</v>
      </c>
      <c r="I1054" s="20" t="s">
        <v>151</v>
      </c>
      <c r="J1054" s="20" t="s">
        <v>143</v>
      </c>
      <c r="Q1054" s="20">
        <v>12029.0</v>
      </c>
      <c r="R1054" s="20" t="s">
        <v>3714</v>
      </c>
      <c r="S1054" s="20" t="s">
        <v>3713</v>
      </c>
      <c r="T1054" s="20" t="s">
        <v>138</v>
      </c>
    </row>
    <row r="1055" ht="14.25" customHeight="1">
      <c r="A1055" s="20" t="s">
        <v>3715</v>
      </c>
      <c r="B1055" s="20" t="s">
        <v>3716</v>
      </c>
      <c r="C1055" s="20" t="s">
        <v>197</v>
      </c>
      <c r="F1055" s="20" t="s">
        <v>150</v>
      </c>
      <c r="G1055" s="20" t="s">
        <v>150</v>
      </c>
      <c r="I1055" s="20" t="s">
        <v>151</v>
      </c>
      <c r="J1055" s="20" t="s">
        <v>143</v>
      </c>
      <c r="Q1055" s="20">
        <v>14083.0</v>
      </c>
      <c r="R1055" s="20" t="s">
        <v>3717</v>
      </c>
      <c r="S1055" s="20" t="s">
        <v>3716</v>
      </c>
      <c r="T1055" s="20" t="s">
        <v>138</v>
      </c>
    </row>
    <row r="1056" ht="14.25" customHeight="1">
      <c r="A1056" s="20" t="s">
        <v>3718</v>
      </c>
      <c r="B1056" s="20" t="s">
        <v>3719</v>
      </c>
      <c r="C1056" s="20" t="s">
        <v>2051</v>
      </c>
      <c r="F1056" s="20" t="s">
        <v>16</v>
      </c>
      <c r="G1056" s="20" t="s">
        <v>202</v>
      </c>
      <c r="I1056" s="20" t="s">
        <v>203</v>
      </c>
      <c r="J1056" s="20" t="s">
        <v>143</v>
      </c>
      <c r="Q1056" s="20">
        <v>3840.0</v>
      </c>
      <c r="R1056" s="20" t="s">
        <v>3720</v>
      </c>
      <c r="S1056" s="20" t="s">
        <v>3719</v>
      </c>
      <c r="T1056" s="20" t="s">
        <v>138</v>
      </c>
    </row>
    <row r="1057" ht="14.25" customHeight="1">
      <c r="A1057" s="20" t="s">
        <v>3721</v>
      </c>
      <c r="B1057" s="20" t="s">
        <v>3722</v>
      </c>
      <c r="C1057" s="20" t="s">
        <v>2606</v>
      </c>
      <c r="F1057" s="20" t="s">
        <v>17</v>
      </c>
      <c r="G1057" s="20" t="s">
        <v>17</v>
      </c>
      <c r="I1057" s="20" t="s">
        <v>88</v>
      </c>
      <c r="J1057" s="20" t="s">
        <v>143</v>
      </c>
      <c r="K1057" s="20" t="s">
        <v>213</v>
      </c>
      <c r="Q1057" s="20">
        <v>2504.0</v>
      </c>
      <c r="R1057" s="20" t="s">
        <v>3723</v>
      </c>
      <c r="S1057" s="20" t="s">
        <v>3722</v>
      </c>
      <c r="T1057" s="20" t="s">
        <v>138</v>
      </c>
      <c r="V1057" s="20" t="s">
        <v>260</v>
      </c>
      <c r="W1057" s="20" t="s">
        <v>146</v>
      </c>
    </row>
    <row r="1058" ht="14.25" customHeight="1">
      <c r="A1058" s="20" t="s">
        <v>3724</v>
      </c>
      <c r="B1058" s="20" t="s">
        <v>3725</v>
      </c>
      <c r="C1058" s="20" t="s">
        <v>193</v>
      </c>
      <c r="F1058" s="20" t="s">
        <v>150</v>
      </c>
      <c r="G1058" s="20" t="s">
        <v>150</v>
      </c>
      <c r="I1058" s="20" t="s">
        <v>151</v>
      </c>
      <c r="J1058" s="20" t="s">
        <v>143</v>
      </c>
      <c r="Q1058" s="20">
        <v>13676.0</v>
      </c>
      <c r="R1058" s="20" t="s">
        <v>3726</v>
      </c>
      <c r="S1058" s="20" t="s">
        <v>3725</v>
      </c>
      <c r="T1058" s="20" t="s">
        <v>138</v>
      </c>
    </row>
    <row r="1059" ht="14.25" customHeight="1">
      <c r="A1059" s="20" t="s">
        <v>3727</v>
      </c>
      <c r="B1059" s="20" t="s">
        <v>3728</v>
      </c>
      <c r="C1059" s="20" t="s">
        <v>2855</v>
      </c>
      <c r="F1059" s="20" t="s">
        <v>15</v>
      </c>
      <c r="G1059" s="20" t="s">
        <v>135</v>
      </c>
      <c r="I1059" s="20" t="s">
        <v>100</v>
      </c>
      <c r="J1059" s="20" t="s">
        <v>143</v>
      </c>
      <c r="Q1059" s="20">
        <v>5269.0</v>
      </c>
      <c r="R1059" s="20" t="s">
        <v>3729</v>
      </c>
      <c r="S1059" s="20" t="s">
        <v>3728</v>
      </c>
      <c r="T1059" s="20" t="s">
        <v>138</v>
      </c>
    </row>
    <row r="1060" ht="14.25" customHeight="1">
      <c r="A1060" s="20" t="s">
        <v>3730</v>
      </c>
      <c r="B1060" s="20" t="s">
        <v>3731</v>
      </c>
      <c r="C1060" s="20" t="s">
        <v>486</v>
      </c>
      <c r="F1060" s="20" t="s">
        <v>327</v>
      </c>
      <c r="G1060" s="20" t="s">
        <v>385</v>
      </c>
      <c r="I1060" s="20" t="s">
        <v>2350</v>
      </c>
      <c r="J1060" s="20" t="s">
        <v>136</v>
      </c>
      <c r="Q1060" s="20">
        <v>8481.0</v>
      </c>
      <c r="R1060" s="20" t="s">
        <v>3732</v>
      </c>
      <c r="S1060" s="20" t="s">
        <v>3731</v>
      </c>
      <c r="T1060" s="20" t="s">
        <v>138</v>
      </c>
      <c r="W1060" s="20" t="s">
        <v>136</v>
      </c>
    </row>
    <row r="1061" ht="14.25" customHeight="1">
      <c r="A1061" s="20" t="s">
        <v>3733</v>
      </c>
      <c r="B1061" s="20" t="s">
        <v>3734</v>
      </c>
      <c r="C1061" s="20" t="s">
        <v>1416</v>
      </c>
      <c r="F1061" s="20" t="s">
        <v>17</v>
      </c>
      <c r="G1061" s="20" t="s">
        <v>17</v>
      </c>
      <c r="I1061" s="20" t="s">
        <v>88</v>
      </c>
      <c r="J1061" s="20" t="s">
        <v>143</v>
      </c>
      <c r="K1061" s="20" t="s">
        <v>213</v>
      </c>
      <c r="Q1061" s="20">
        <v>9549.0</v>
      </c>
      <c r="R1061" s="20" t="s">
        <v>3735</v>
      </c>
      <c r="S1061" s="20" t="s">
        <v>3734</v>
      </c>
      <c r="T1061" s="20" t="s">
        <v>138</v>
      </c>
      <c r="V1061" s="20" t="s">
        <v>189</v>
      </c>
      <c r="W1061" s="20" t="s">
        <v>146</v>
      </c>
    </row>
    <row r="1062" ht="14.25" customHeight="1">
      <c r="A1062" s="20" t="s">
        <v>3736</v>
      </c>
      <c r="B1062" s="20" t="s">
        <v>3737</v>
      </c>
      <c r="C1062" s="20" t="s">
        <v>243</v>
      </c>
      <c r="F1062" s="20" t="s">
        <v>17</v>
      </c>
      <c r="G1062" s="20" t="s">
        <v>17</v>
      </c>
      <c r="I1062" s="20" t="s">
        <v>88</v>
      </c>
      <c r="J1062" s="20" t="s">
        <v>143</v>
      </c>
      <c r="Q1062" s="20">
        <v>9766.0</v>
      </c>
      <c r="R1062" s="20" t="s">
        <v>3738</v>
      </c>
      <c r="S1062" s="20" t="s">
        <v>3737</v>
      </c>
      <c r="T1062" s="20" t="s">
        <v>138</v>
      </c>
    </row>
    <row r="1063" ht="14.25" customHeight="1">
      <c r="A1063" s="20" t="s">
        <v>3739</v>
      </c>
      <c r="B1063" s="20" t="s">
        <v>3740</v>
      </c>
      <c r="C1063" s="20" t="s">
        <v>163</v>
      </c>
      <c r="F1063" s="20" t="s">
        <v>150</v>
      </c>
      <c r="G1063" s="20" t="s">
        <v>150</v>
      </c>
      <c r="I1063" s="20" t="s">
        <v>151</v>
      </c>
      <c r="J1063" s="20" t="s">
        <v>143</v>
      </c>
      <c r="Q1063" s="20">
        <v>12213.0</v>
      </c>
      <c r="R1063" s="20" t="s">
        <v>3741</v>
      </c>
      <c r="S1063" s="20" t="s">
        <v>3740</v>
      </c>
      <c r="T1063" s="20" t="s">
        <v>138</v>
      </c>
    </row>
    <row r="1064" ht="14.25" customHeight="1">
      <c r="A1064" s="20" t="s">
        <v>3742</v>
      </c>
      <c r="B1064" s="20" t="s">
        <v>3743</v>
      </c>
      <c r="C1064" s="20" t="s">
        <v>3744</v>
      </c>
      <c r="F1064" s="20" t="s">
        <v>16</v>
      </c>
      <c r="G1064" s="20" t="s">
        <v>202</v>
      </c>
      <c r="I1064" s="20" t="s">
        <v>87</v>
      </c>
      <c r="J1064" s="20" t="s">
        <v>143</v>
      </c>
      <c r="Q1064" s="20">
        <v>15684.0</v>
      </c>
      <c r="R1064" s="20" t="s">
        <v>3745</v>
      </c>
      <c r="S1064" s="20" t="s">
        <v>3743</v>
      </c>
      <c r="T1064" s="20" t="s">
        <v>138</v>
      </c>
    </row>
    <row r="1065" ht="14.25" customHeight="1">
      <c r="A1065" s="20" t="s">
        <v>3746</v>
      </c>
      <c r="B1065" s="20" t="s">
        <v>3747</v>
      </c>
      <c r="C1065" s="20" t="s">
        <v>174</v>
      </c>
      <c r="F1065" s="20" t="s">
        <v>150</v>
      </c>
      <c r="G1065" s="20" t="s">
        <v>150</v>
      </c>
      <c r="I1065" s="20" t="s">
        <v>151</v>
      </c>
      <c r="J1065" s="20" t="s">
        <v>143</v>
      </c>
      <c r="K1065" s="20" t="s">
        <v>213</v>
      </c>
      <c r="Q1065" s="20">
        <v>580.0</v>
      </c>
      <c r="R1065" s="20" t="s">
        <v>3748</v>
      </c>
      <c r="S1065" s="20" t="s">
        <v>3749</v>
      </c>
      <c r="T1065" s="20" t="s">
        <v>138</v>
      </c>
      <c r="V1065" s="20" t="s">
        <v>260</v>
      </c>
      <c r="W1065" s="20" t="s">
        <v>146</v>
      </c>
    </row>
    <row r="1066" ht="14.25" customHeight="1">
      <c r="A1066" s="20" t="s">
        <v>3750</v>
      </c>
      <c r="B1066" s="20" t="s">
        <v>3751</v>
      </c>
      <c r="C1066" s="20" t="s">
        <v>252</v>
      </c>
      <c r="F1066" s="20" t="s">
        <v>16</v>
      </c>
      <c r="G1066" s="20" t="s">
        <v>211</v>
      </c>
      <c r="I1066" s="20" t="s">
        <v>253</v>
      </c>
      <c r="J1066" s="20" t="s">
        <v>136</v>
      </c>
      <c r="Q1066" s="20">
        <v>15718.0</v>
      </c>
      <c r="R1066" s="20" t="s">
        <v>3752</v>
      </c>
      <c r="S1066" s="20" t="s">
        <v>3751</v>
      </c>
      <c r="T1066" s="20" t="s">
        <v>138</v>
      </c>
    </row>
    <row r="1067" ht="14.25" customHeight="1">
      <c r="A1067" s="20" t="s">
        <v>3753</v>
      </c>
      <c r="B1067" s="20" t="s">
        <v>3754</v>
      </c>
      <c r="C1067" s="20" t="s">
        <v>174</v>
      </c>
      <c r="F1067" s="20" t="s">
        <v>150</v>
      </c>
      <c r="G1067" s="20" t="s">
        <v>150</v>
      </c>
      <c r="I1067" s="20" t="s">
        <v>151</v>
      </c>
      <c r="J1067" s="20" t="s">
        <v>143</v>
      </c>
      <c r="Q1067" s="20">
        <v>15140.0</v>
      </c>
      <c r="R1067" s="20" t="s">
        <v>3755</v>
      </c>
      <c r="S1067" s="20" t="s">
        <v>3754</v>
      </c>
      <c r="T1067" s="20" t="s">
        <v>138</v>
      </c>
    </row>
    <row r="1068" ht="14.25" customHeight="1">
      <c r="A1068" s="20" t="s">
        <v>3756</v>
      </c>
      <c r="B1068" s="20" t="s">
        <v>3757</v>
      </c>
      <c r="C1068" s="20" t="s">
        <v>2494</v>
      </c>
      <c r="F1068" s="20" t="s">
        <v>218</v>
      </c>
      <c r="G1068" s="20" t="s">
        <v>219</v>
      </c>
      <c r="H1068" s="20">
        <v>17556.0</v>
      </c>
      <c r="I1068" s="20" t="s">
        <v>365</v>
      </c>
      <c r="J1068" s="20" t="s">
        <v>186</v>
      </c>
      <c r="O1068" s="20" t="s">
        <v>144</v>
      </c>
      <c r="P1068" s="20" t="s">
        <v>3757</v>
      </c>
      <c r="Q1068" s="20">
        <v>17556.0</v>
      </c>
      <c r="R1068" s="20" t="s">
        <v>3758</v>
      </c>
      <c r="S1068" s="20" t="s">
        <v>3757</v>
      </c>
      <c r="T1068" s="20" t="s">
        <v>138</v>
      </c>
      <c r="W1068" s="20" t="s">
        <v>146</v>
      </c>
      <c r="X1068" s="20" t="s">
        <v>1292</v>
      </c>
    </row>
    <row r="1069" ht="14.25" customHeight="1">
      <c r="A1069" s="20" t="s">
        <v>3759</v>
      </c>
      <c r="B1069" s="20" t="s">
        <v>3760</v>
      </c>
      <c r="C1069" s="20" t="s">
        <v>818</v>
      </c>
      <c r="F1069" s="20" t="s">
        <v>17</v>
      </c>
      <c r="G1069" s="20" t="s">
        <v>17</v>
      </c>
      <c r="I1069" s="20" t="s">
        <v>88</v>
      </c>
      <c r="J1069" s="20" t="s">
        <v>143</v>
      </c>
      <c r="Q1069" s="20">
        <v>581.0</v>
      </c>
      <c r="R1069" s="20" t="s">
        <v>3761</v>
      </c>
      <c r="S1069" s="20" t="s">
        <v>3760</v>
      </c>
      <c r="T1069" s="20" t="s">
        <v>138</v>
      </c>
    </row>
    <row r="1070" ht="14.25" customHeight="1">
      <c r="A1070" s="20" t="s">
        <v>3762</v>
      </c>
      <c r="B1070" s="20" t="s">
        <v>3763</v>
      </c>
      <c r="C1070" s="20" t="s">
        <v>3157</v>
      </c>
      <c r="F1070" s="20" t="s">
        <v>17</v>
      </c>
      <c r="G1070" s="20" t="s">
        <v>17</v>
      </c>
      <c r="I1070" s="20" t="s">
        <v>88</v>
      </c>
      <c r="J1070" s="20" t="s">
        <v>186</v>
      </c>
      <c r="K1070" s="20" t="s">
        <v>187</v>
      </c>
      <c r="Q1070" s="20">
        <v>2830.0</v>
      </c>
      <c r="R1070" s="20" t="s">
        <v>3764</v>
      </c>
      <c r="S1070" s="20" t="s">
        <v>3763</v>
      </c>
      <c r="T1070" s="20" t="s">
        <v>138</v>
      </c>
      <c r="V1070" s="20" t="s">
        <v>189</v>
      </c>
      <c r="W1070" s="20" t="s">
        <v>261</v>
      </c>
    </row>
    <row r="1071" ht="14.25" customHeight="1">
      <c r="A1071" s="20" t="s">
        <v>3765</v>
      </c>
      <c r="B1071" s="20" t="s">
        <v>3766</v>
      </c>
      <c r="C1071" s="20" t="s">
        <v>1355</v>
      </c>
      <c r="F1071" s="20" t="s">
        <v>16</v>
      </c>
      <c r="G1071" s="20" t="s">
        <v>211</v>
      </c>
      <c r="I1071" s="20" t="s">
        <v>212</v>
      </c>
      <c r="J1071" s="20" t="s">
        <v>186</v>
      </c>
      <c r="K1071" s="20" t="s">
        <v>213</v>
      </c>
      <c r="L1071" s="20" t="s">
        <v>212</v>
      </c>
      <c r="Q1071" s="20">
        <v>10973.0</v>
      </c>
      <c r="R1071" s="20" t="s">
        <v>3767</v>
      </c>
      <c r="S1071" s="20" t="s">
        <v>3766</v>
      </c>
      <c r="T1071" s="20" t="s">
        <v>138</v>
      </c>
      <c r="W1071" s="20" t="s">
        <v>146</v>
      </c>
    </row>
    <row r="1072" ht="14.25" customHeight="1">
      <c r="A1072" s="20" t="s">
        <v>3768</v>
      </c>
      <c r="B1072" s="20" t="s">
        <v>3769</v>
      </c>
      <c r="C1072" s="20" t="s">
        <v>326</v>
      </c>
      <c r="F1072" s="20" t="s">
        <v>327</v>
      </c>
      <c r="G1072" s="20" t="s">
        <v>328</v>
      </c>
      <c r="I1072" s="20" t="s">
        <v>329</v>
      </c>
      <c r="J1072" s="20" t="s">
        <v>136</v>
      </c>
      <c r="Q1072" s="20">
        <v>14030.0</v>
      </c>
      <c r="R1072" s="20" t="s">
        <v>3770</v>
      </c>
      <c r="S1072" s="20" t="s">
        <v>3769</v>
      </c>
      <c r="T1072" s="20" t="s">
        <v>138</v>
      </c>
      <c r="W1072" s="20" t="s">
        <v>136</v>
      </c>
    </row>
    <row r="1073" ht="14.25" customHeight="1">
      <c r="A1073" s="20" t="s">
        <v>3771</v>
      </c>
      <c r="B1073" s="20" t="s">
        <v>3772</v>
      </c>
      <c r="C1073" s="20" t="s">
        <v>3773</v>
      </c>
      <c r="F1073" s="20" t="s">
        <v>16</v>
      </c>
      <c r="G1073" s="20" t="s">
        <v>202</v>
      </c>
      <c r="I1073" s="20" t="s">
        <v>87</v>
      </c>
      <c r="J1073" s="20" t="s">
        <v>143</v>
      </c>
      <c r="K1073" s="20" t="s">
        <v>213</v>
      </c>
      <c r="Q1073" s="20">
        <v>14284.0</v>
      </c>
      <c r="R1073" s="20" t="s">
        <v>3774</v>
      </c>
      <c r="S1073" s="20" t="s">
        <v>3772</v>
      </c>
      <c r="T1073" s="20" t="s">
        <v>138</v>
      </c>
      <c r="W1073" s="20" t="s">
        <v>146</v>
      </c>
    </row>
    <row r="1074" ht="14.25" customHeight="1">
      <c r="A1074" s="20" t="s">
        <v>3775</v>
      </c>
      <c r="B1074" s="20" t="s">
        <v>3776</v>
      </c>
      <c r="C1074" s="20" t="s">
        <v>289</v>
      </c>
      <c r="F1074" s="20" t="s">
        <v>150</v>
      </c>
      <c r="G1074" s="20" t="s">
        <v>150</v>
      </c>
      <c r="I1074" s="20" t="s">
        <v>151</v>
      </c>
      <c r="J1074" s="20" t="s">
        <v>143</v>
      </c>
      <c r="Q1074" s="20">
        <v>15609.0</v>
      </c>
      <c r="R1074" s="20" t="s">
        <v>3777</v>
      </c>
      <c r="S1074" s="20" t="s">
        <v>3776</v>
      </c>
      <c r="T1074" s="20" t="s">
        <v>138</v>
      </c>
    </row>
    <row r="1075" ht="14.25" customHeight="1">
      <c r="A1075" s="20" t="s">
        <v>3778</v>
      </c>
      <c r="B1075" s="20" t="s">
        <v>3779</v>
      </c>
      <c r="C1075" s="20" t="s">
        <v>708</v>
      </c>
      <c r="F1075" s="20" t="s">
        <v>17</v>
      </c>
      <c r="G1075" s="20" t="s">
        <v>17</v>
      </c>
      <c r="I1075" s="20" t="s">
        <v>88</v>
      </c>
      <c r="J1075" s="20" t="s">
        <v>143</v>
      </c>
      <c r="Q1075" s="20">
        <v>8127.0</v>
      </c>
      <c r="R1075" s="20" t="s">
        <v>3780</v>
      </c>
      <c r="S1075" s="20" t="s">
        <v>3779</v>
      </c>
      <c r="T1075" s="20" t="s">
        <v>138</v>
      </c>
    </row>
    <row r="1076" ht="14.25" customHeight="1">
      <c r="A1076" s="20" t="s">
        <v>3781</v>
      </c>
      <c r="B1076" s="20" t="s">
        <v>3782</v>
      </c>
      <c r="C1076" s="20" t="s">
        <v>289</v>
      </c>
      <c r="F1076" s="20" t="s">
        <v>150</v>
      </c>
      <c r="G1076" s="20" t="s">
        <v>150</v>
      </c>
      <c r="I1076" s="20" t="s">
        <v>151</v>
      </c>
      <c r="J1076" s="20" t="s">
        <v>143</v>
      </c>
      <c r="Q1076" s="20">
        <v>15331.0</v>
      </c>
      <c r="R1076" s="20" t="s">
        <v>3783</v>
      </c>
      <c r="S1076" s="20" t="s">
        <v>3782</v>
      </c>
      <c r="T1076" s="20" t="s">
        <v>138</v>
      </c>
    </row>
    <row r="1077" ht="14.25" customHeight="1">
      <c r="A1077" s="20" t="s">
        <v>3784</v>
      </c>
      <c r="B1077" s="26" t="s">
        <v>3785</v>
      </c>
      <c r="C1077" s="20" t="s">
        <v>818</v>
      </c>
      <c r="F1077" s="20" t="s">
        <v>17</v>
      </c>
      <c r="G1077" s="20" t="s">
        <v>17</v>
      </c>
      <c r="I1077" s="20" t="s">
        <v>88</v>
      </c>
      <c r="J1077" s="20" t="s">
        <v>143</v>
      </c>
      <c r="K1077" s="20" t="s">
        <v>167</v>
      </c>
      <c r="Q1077" s="20">
        <v>6401.0</v>
      </c>
      <c r="R1077" s="20" t="s">
        <v>3786</v>
      </c>
      <c r="S1077" s="26" t="s">
        <v>3785</v>
      </c>
      <c r="T1077" s="20" t="s">
        <v>138</v>
      </c>
    </row>
    <row r="1078" ht="14.25" customHeight="1">
      <c r="A1078" s="20" t="s">
        <v>3787</v>
      </c>
      <c r="B1078" s="20" t="s">
        <v>3788</v>
      </c>
      <c r="C1078" s="20" t="s">
        <v>197</v>
      </c>
      <c r="F1078" s="20" t="s">
        <v>150</v>
      </c>
      <c r="G1078" s="20" t="s">
        <v>150</v>
      </c>
      <c r="I1078" s="20" t="s">
        <v>151</v>
      </c>
      <c r="J1078" s="20" t="s">
        <v>143</v>
      </c>
      <c r="Q1078" s="20">
        <v>16608.0</v>
      </c>
      <c r="R1078" s="20" t="s">
        <v>3789</v>
      </c>
      <c r="S1078" s="20" t="s">
        <v>3788</v>
      </c>
      <c r="T1078" s="20" t="s">
        <v>138</v>
      </c>
    </row>
    <row r="1079" ht="14.25" customHeight="1">
      <c r="A1079" s="20" t="s">
        <v>3790</v>
      </c>
      <c r="B1079" s="20" t="s">
        <v>3791</v>
      </c>
      <c r="C1079" s="20" t="s">
        <v>197</v>
      </c>
      <c r="F1079" s="20" t="s">
        <v>150</v>
      </c>
      <c r="G1079" s="20" t="s">
        <v>150</v>
      </c>
      <c r="I1079" s="20" t="s">
        <v>151</v>
      </c>
      <c r="J1079" s="20" t="s">
        <v>143</v>
      </c>
      <c r="Q1079" s="20">
        <v>2462.0</v>
      </c>
      <c r="R1079" s="20" t="s">
        <v>3792</v>
      </c>
      <c r="S1079" s="20" t="s">
        <v>3791</v>
      </c>
      <c r="T1079" s="20" t="s">
        <v>138</v>
      </c>
    </row>
    <row r="1080" ht="14.25" customHeight="1">
      <c r="A1080" s="20" t="s">
        <v>3793</v>
      </c>
      <c r="B1080" s="20" t="s">
        <v>3794</v>
      </c>
      <c r="C1080" s="20" t="s">
        <v>3795</v>
      </c>
      <c r="F1080" s="20" t="s">
        <v>15</v>
      </c>
      <c r="G1080" s="20" t="s">
        <v>135</v>
      </c>
      <c r="H1080" s="20">
        <v>16224.0</v>
      </c>
      <c r="I1080" s="20" t="s">
        <v>94</v>
      </c>
      <c r="J1080" s="20" t="s">
        <v>143</v>
      </c>
      <c r="L1080" s="20" t="s">
        <v>94</v>
      </c>
      <c r="Q1080" s="20">
        <v>16224.0</v>
      </c>
      <c r="R1080" s="20" t="s">
        <v>3796</v>
      </c>
      <c r="S1080" s="20" t="s">
        <v>3794</v>
      </c>
      <c r="T1080" s="20" t="s">
        <v>138</v>
      </c>
      <c r="U1080" s="24">
        <v>44781.0</v>
      </c>
    </row>
    <row r="1081" ht="14.25" customHeight="1">
      <c r="A1081" s="20" t="s">
        <v>3797</v>
      </c>
      <c r="B1081" s="20" t="s">
        <v>3798</v>
      </c>
      <c r="C1081" s="20" t="s">
        <v>174</v>
      </c>
      <c r="F1081" s="20" t="s">
        <v>150</v>
      </c>
      <c r="G1081" s="20" t="s">
        <v>150</v>
      </c>
      <c r="I1081" s="20" t="s">
        <v>151</v>
      </c>
      <c r="J1081" s="20" t="s">
        <v>143</v>
      </c>
      <c r="Q1081" s="20">
        <v>13634.0</v>
      </c>
      <c r="R1081" s="20" t="s">
        <v>3799</v>
      </c>
      <c r="S1081" s="20" t="s">
        <v>3798</v>
      </c>
      <c r="T1081" s="20" t="s">
        <v>138</v>
      </c>
    </row>
    <row r="1082" ht="14.25" customHeight="1">
      <c r="A1082" s="20" t="s">
        <v>3800</v>
      </c>
      <c r="B1082" s="20" t="s">
        <v>3801</v>
      </c>
      <c r="C1082" s="20" t="s">
        <v>149</v>
      </c>
      <c r="F1082" s="20" t="s">
        <v>150</v>
      </c>
      <c r="G1082" s="20" t="s">
        <v>150</v>
      </c>
      <c r="I1082" s="20" t="s">
        <v>151</v>
      </c>
      <c r="J1082" s="20" t="s">
        <v>143</v>
      </c>
      <c r="Q1082" s="20">
        <v>583.0</v>
      </c>
      <c r="R1082" s="20" t="s">
        <v>3802</v>
      </c>
      <c r="S1082" s="20" t="s">
        <v>3801</v>
      </c>
      <c r="T1082" s="20" t="s">
        <v>138</v>
      </c>
    </row>
    <row r="1083" ht="14.25" customHeight="1">
      <c r="A1083" s="20" t="s">
        <v>3803</v>
      </c>
      <c r="B1083" s="20" t="s">
        <v>3804</v>
      </c>
      <c r="C1083" s="20" t="s">
        <v>178</v>
      </c>
      <c r="F1083" s="20" t="s">
        <v>150</v>
      </c>
      <c r="G1083" s="20" t="s">
        <v>150</v>
      </c>
      <c r="I1083" s="20" t="s">
        <v>151</v>
      </c>
      <c r="J1083" s="20" t="s">
        <v>143</v>
      </c>
      <c r="Q1083" s="20">
        <v>8644.0</v>
      </c>
      <c r="R1083" s="20" t="s">
        <v>3805</v>
      </c>
      <c r="S1083" s="20" t="s">
        <v>3804</v>
      </c>
      <c r="T1083" s="20" t="s">
        <v>138</v>
      </c>
    </row>
    <row r="1084" ht="14.25" customHeight="1">
      <c r="A1084" s="20" t="s">
        <v>3806</v>
      </c>
      <c r="B1084" s="20" t="s">
        <v>3807</v>
      </c>
      <c r="C1084" s="20" t="s">
        <v>163</v>
      </c>
      <c r="F1084" s="20" t="s">
        <v>150</v>
      </c>
      <c r="G1084" s="20" t="s">
        <v>150</v>
      </c>
      <c r="I1084" s="20" t="s">
        <v>151</v>
      </c>
      <c r="J1084" s="20" t="s">
        <v>143</v>
      </c>
      <c r="Q1084" s="20">
        <v>3766.0</v>
      </c>
      <c r="R1084" s="20" t="s">
        <v>3808</v>
      </c>
      <c r="S1084" s="20" t="s">
        <v>3807</v>
      </c>
      <c r="T1084" s="20" t="s">
        <v>138</v>
      </c>
    </row>
    <row r="1085" ht="14.25" customHeight="1">
      <c r="A1085" s="20" t="s">
        <v>3809</v>
      </c>
      <c r="B1085" s="20" t="s">
        <v>3810</v>
      </c>
      <c r="C1085" s="20" t="s">
        <v>272</v>
      </c>
      <c r="F1085" s="20" t="s">
        <v>150</v>
      </c>
      <c r="G1085" s="20" t="s">
        <v>150</v>
      </c>
      <c r="I1085" s="20" t="s">
        <v>151</v>
      </c>
      <c r="J1085" s="20" t="s">
        <v>143</v>
      </c>
      <c r="Q1085" s="20">
        <v>6477.0</v>
      </c>
      <c r="R1085" s="20" t="s">
        <v>3811</v>
      </c>
      <c r="S1085" s="20" t="s">
        <v>3812</v>
      </c>
      <c r="T1085" s="20" t="s">
        <v>138</v>
      </c>
    </row>
    <row r="1086" ht="14.25" customHeight="1">
      <c r="A1086" s="20" t="s">
        <v>3813</v>
      </c>
      <c r="B1086" s="20" t="s">
        <v>3814</v>
      </c>
      <c r="C1086" s="20" t="s">
        <v>818</v>
      </c>
      <c r="F1086" s="20" t="s">
        <v>17</v>
      </c>
      <c r="G1086" s="20" t="s">
        <v>17</v>
      </c>
      <c r="I1086" s="20" t="s">
        <v>88</v>
      </c>
      <c r="J1086" s="20" t="s">
        <v>143</v>
      </c>
      <c r="K1086" s="20" t="s">
        <v>167</v>
      </c>
      <c r="Q1086" s="20">
        <v>584.0</v>
      </c>
      <c r="R1086" s="20" t="s">
        <v>3815</v>
      </c>
      <c r="S1086" s="20" t="s">
        <v>3814</v>
      </c>
      <c r="T1086" s="20" t="s">
        <v>138</v>
      </c>
    </row>
    <row r="1087" ht="14.25" customHeight="1">
      <c r="A1087" s="20" t="s">
        <v>3816</v>
      </c>
      <c r="B1087" s="20" t="s">
        <v>3817</v>
      </c>
      <c r="C1087" s="20" t="s">
        <v>3818</v>
      </c>
      <c r="F1087" s="20" t="s">
        <v>17</v>
      </c>
      <c r="G1087" s="20" t="s">
        <v>17</v>
      </c>
      <c r="I1087" s="20" t="s">
        <v>88</v>
      </c>
      <c r="J1087" s="20" t="s">
        <v>143</v>
      </c>
      <c r="L1087" s="20" t="s">
        <v>88</v>
      </c>
      <c r="O1087" s="20" t="s">
        <v>144</v>
      </c>
      <c r="Q1087" s="20">
        <v>2511.0</v>
      </c>
      <c r="R1087" s="20" t="s">
        <v>3819</v>
      </c>
      <c r="S1087" s="20" t="s">
        <v>3817</v>
      </c>
      <c r="T1087" s="20" t="s">
        <v>138</v>
      </c>
      <c r="V1087" s="20" t="s">
        <v>260</v>
      </c>
      <c r="W1087" s="20" t="s">
        <v>146</v>
      </c>
    </row>
    <row r="1088" ht="14.25" customHeight="1">
      <c r="A1088" s="20" t="s">
        <v>3820</v>
      </c>
      <c r="B1088" s="20" t="s">
        <v>3821</v>
      </c>
      <c r="C1088" s="20" t="s">
        <v>235</v>
      </c>
      <c r="F1088" s="20" t="s">
        <v>15</v>
      </c>
      <c r="G1088" s="20" t="s">
        <v>142</v>
      </c>
      <c r="I1088" s="20" t="s">
        <v>105</v>
      </c>
      <c r="J1088" s="20" t="s">
        <v>143</v>
      </c>
      <c r="Q1088" s="20">
        <v>6528.0</v>
      </c>
      <c r="R1088" s="20" t="s">
        <v>3822</v>
      </c>
      <c r="S1088" s="20" t="s">
        <v>3821</v>
      </c>
      <c r="T1088" s="20" t="s">
        <v>138</v>
      </c>
    </row>
    <row r="1089" ht="14.25" customHeight="1">
      <c r="A1089" s="20" t="s">
        <v>3823</v>
      </c>
      <c r="B1089" s="20" t="s">
        <v>3824</v>
      </c>
      <c r="C1089" s="20" t="s">
        <v>149</v>
      </c>
      <c r="F1089" s="20" t="s">
        <v>150</v>
      </c>
      <c r="G1089" s="20" t="s">
        <v>150</v>
      </c>
      <c r="I1089" s="20" t="s">
        <v>151</v>
      </c>
      <c r="J1089" s="20" t="s">
        <v>143</v>
      </c>
      <c r="Q1089" s="20">
        <v>10850.0</v>
      </c>
      <c r="R1089" s="20" t="s">
        <v>3825</v>
      </c>
      <c r="S1089" s="20" t="s">
        <v>3824</v>
      </c>
      <c r="T1089" s="20" t="s">
        <v>138</v>
      </c>
    </row>
    <row r="1090" ht="14.25" customHeight="1">
      <c r="A1090" s="20" t="s">
        <v>3826</v>
      </c>
      <c r="B1090" s="20" t="s">
        <v>3827</v>
      </c>
      <c r="C1090" s="20" t="s">
        <v>193</v>
      </c>
      <c r="F1090" s="20" t="s">
        <v>150</v>
      </c>
      <c r="G1090" s="20" t="s">
        <v>150</v>
      </c>
      <c r="I1090" s="20" t="s">
        <v>151</v>
      </c>
      <c r="J1090" s="20" t="s">
        <v>143</v>
      </c>
      <c r="Q1090" s="20">
        <v>14798.0</v>
      </c>
      <c r="R1090" s="20" t="s">
        <v>3828</v>
      </c>
      <c r="S1090" s="20" t="s">
        <v>3827</v>
      </c>
      <c r="T1090" s="20" t="s">
        <v>138</v>
      </c>
    </row>
    <row r="1091" ht="14.25" customHeight="1">
      <c r="A1091" s="20" t="s">
        <v>3829</v>
      </c>
      <c r="B1091" s="20" t="s">
        <v>3830</v>
      </c>
      <c r="C1091" s="20" t="s">
        <v>3457</v>
      </c>
      <c r="F1091" s="20" t="s">
        <v>218</v>
      </c>
      <c r="G1091" s="20" t="s">
        <v>219</v>
      </c>
      <c r="I1091" s="20" t="s">
        <v>314</v>
      </c>
      <c r="J1091" s="20" t="s">
        <v>186</v>
      </c>
      <c r="Q1091" s="20">
        <v>5318.0</v>
      </c>
      <c r="R1091" s="20" t="s">
        <v>3831</v>
      </c>
      <c r="S1091" s="20" t="s">
        <v>3830</v>
      </c>
      <c r="T1091" s="20" t="s">
        <v>138</v>
      </c>
    </row>
    <row r="1092" ht="14.25" customHeight="1">
      <c r="A1092" s="20" t="s">
        <v>3832</v>
      </c>
      <c r="B1092" s="20" t="s">
        <v>3833</v>
      </c>
      <c r="C1092" s="20" t="s">
        <v>193</v>
      </c>
      <c r="F1092" s="20" t="s">
        <v>150</v>
      </c>
      <c r="G1092" s="20" t="s">
        <v>150</v>
      </c>
      <c r="I1092" s="20" t="s">
        <v>151</v>
      </c>
      <c r="J1092" s="20" t="s">
        <v>143</v>
      </c>
      <c r="Q1092" s="20">
        <v>6771.0</v>
      </c>
      <c r="R1092" s="20" t="s">
        <v>3834</v>
      </c>
      <c r="S1092" s="20" t="s">
        <v>3833</v>
      </c>
      <c r="T1092" s="20" t="s">
        <v>138</v>
      </c>
      <c r="W1092" s="20" t="s">
        <v>146</v>
      </c>
    </row>
    <row r="1093" ht="14.25" customHeight="1">
      <c r="A1093" s="20" t="s">
        <v>3835</v>
      </c>
      <c r="B1093" s="20" t="s">
        <v>3836</v>
      </c>
      <c r="C1093" s="20" t="s">
        <v>174</v>
      </c>
      <c r="F1093" s="20" t="s">
        <v>150</v>
      </c>
      <c r="G1093" s="20" t="s">
        <v>150</v>
      </c>
      <c r="I1093" s="20" t="s">
        <v>151</v>
      </c>
      <c r="J1093" s="20" t="s">
        <v>143</v>
      </c>
      <c r="Q1093" s="20">
        <v>14234.0</v>
      </c>
      <c r="R1093" s="20" t="s">
        <v>3837</v>
      </c>
      <c r="S1093" s="20" t="s">
        <v>3836</v>
      </c>
      <c r="T1093" s="20" t="s">
        <v>138</v>
      </c>
    </row>
    <row r="1094" ht="14.25" customHeight="1">
      <c r="A1094" s="20" t="s">
        <v>3838</v>
      </c>
      <c r="B1094" s="20" t="s">
        <v>3839</v>
      </c>
      <c r="C1094" s="20" t="s">
        <v>174</v>
      </c>
      <c r="F1094" s="20" t="s">
        <v>150</v>
      </c>
      <c r="G1094" s="20" t="s">
        <v>150</v>
      </c>
      <c r="I1094" s="20" t="s">
        <v>151</v>
      </c>
      <c r="J1094" s="20" t="s">
        <v>143</v>
      </c>
      <c r="Q1094" s="20">
        <v>586.0</v>
      </c>
      <c r="R1094" s="20" t="s">
        <v>3840</v>
      </c>
      <c r="S1094" s="20" t="s">
        <v>3839</v>
      </c>
      <c r="T1094" s="20" t="s">
        <v>138</v>
      </c>
    </row>
    <row r="1095" ht="14.25" customHeight="1">
      <c r="A1095" s="20" t="s">
        <v>3841</v>
      </c>
      <c r="B1095" s="20" t="s">
        <v>3842</v>
      </c>
      <c r="C1095" s="20" t="s">
        <v>289</v>
      </c>
      <c r="F1095" s="20" t="s">
        <v>150</v>
      </c>
      <c r="G1095" s="20" t="s">
        <v>150</v>
      </c>
      <c r="I1095" s="20" t="s">
        <v>151</v>
      </c>
      <c r="J1095" s="20" t="s">
        <v>143</v>
      </c>
      <c r="Q1095" s="20">
        <v>14054.0</v>
      </c>
      <c r="R1095" s="20" t="s">
        <v>3843</v>
      </c>
      <c r="S1095" s="20" t="s">
        <v>3842</v>
      </c>
      <c r="T1095" s="20" t="s">
        <v>138</v>
      </c>
    </row>
    <row r="1096" ht="14.25" customHeight="1">
      <c r="A1096" s="20" t="s">
        <v>3844</v>
      </c>
      <c r="B1096" s="20" t="s">
        <v>3845</v>
      </c>
      <c r="C1096" s="20" t="s">
        <v>2221</v>
      </c>
      <c r="F1096" s="20" t="s">
        <v>15</v>
      </c>
      <c r="G1096" s="20" t="s">
        <v>142</v>
      </c>
      <c r="I1096" s="20" t="s">
        <v>105</v>
      </c>
      <c r="J1096" s="20" t="s">
        <v>143</v>
      </c>
      <c r="Q1096" s="20">
        <v>14892.0</v>
      </c>
      <c r="R1096" s="20" t="s">
        <v>3846</v>
      </c>
      <c r="S1096" s="20" t="s">
        <v>3845</v>
      </c>
      <c r="T1096" s="20" t="s">
        <v>138</v>
      </c>
      <c r="W1096" s="20" t="s">
        <v>146</v>
      </c>
    </row>
    <row r="1097" ht="14.25" customHeight="1">
      <c r="A1097" s="20" t="s">
        <v>3847</v>
      </c>
      <c r="B1097" s="20" t="s">
        <v>3848</v>
      </c>
      <c r="C1097" s="20" t="s">
        <v>289</v>
      </c>
      <c r="F1097" s="20" t="s">
        <v>150</v>
      </c>
      <c r="G1097" s="20" t="s">
        <v>150</v>
      </c>
      <c r="I1097" s="20" t="s">
        <v>151</v>
      </c>
      <c r="J1097" s="20" t="s">
        <v>143</v>
      </c>
      <c r="Q1097" s="20">
        <v>5508.0</v>
      </c>
      <c r="R1097" s="20" t="s">
        <v>3849</v>
      </c>
      <c r="S1097" s="20" t="s">
        <v>3848</v>
      </c>
      <c r="T1097" s="20" t="s">
        <v>138</v>
      </c>
    </row>
    <row r="1098" ht="14.25" customHeight="1">
      <c r="A1098" s="20" t="s">
        <v>3850</v>
      </c>
      <c r="B1098" s="20" t="s">
        <v>3851</v>
      </c>
      <c r="C1098" s="20" t="s">
        <v>197</v>
      </c>
      <c r="F1098" s="20" t="s">
        <v>150</v>
      </c>
      <c r="G1098" s="20" t="s">
        <v>150</v>
      </c>
      <c r="I1098" s="20" t="s">
        <v>151</v>
      </c>
      <c r="J1098" s="20" t="s">
        <v>143</v>
      </c>
      <c r="K1098" s="20" t="s">
        <v>167</v>
      </c>
      <c r="Q1098" s="20">
        <v>9686.0</v>
      </c>
      <c r="R1098" s="20" t="s">
        <v>3852</v>
      </c>
      <c r="S1098" s="20" t="s">
        <v>3851</v>
      </c>
      <c r="T1098" s="20" t="s">
        <v>138</v>
      </c>
    </row>
    <row r="1099" ht="14.25" customHeight="1">
      <c r="A1099" s="20" t="s">
        <v>3853</v>
      </c>
      <c r="B1099" s="20" t="s">
        <v>3854</v>
      </c>
      <c r="C1099" s="20" t="s">
        <v>174</v>
      </c>
      <c r="F1099" s="20" t="s">
        <v>150</v>
      </c>
      <c r="G1099" s="20" t="s">
        <v>150</v>
      </c>
      <c r="I1099" s="20" t="s">
        <v>151</v>
      </c>
      <c r="J1099" s="20" t="s">
        <v>143</v>
      </c>
      <c r="Q1099" s="20">
        <v>13637.0</v>
      </c>
      <c r="R1099" s="20" t="s">
        <v>3855</v>
      </c>
      <c r="S1099" s="20" t="s">
        <v>3854</v>
      </c>
      <c r="T1099" s="20" t="s">
        <v>138</v>
      </c>
    </row>
    <row r="1100" ht="14.25" customHeight="1">
      <c r="A1100" s="20" t="s">
        <v>3856</v>
      </c>
      <c r="B1100" s="20" t="s">
        <v>3857</v>
      </c>
      <c r="C1100" s="20" t="s">
        <v>680</v>
      </c>
      <c r="F1100" s="20" t="s">
        <v>15</v>
      </c>
      <c r="G1100" s="20" t="s">
        <v>142</v>
      </c>
      <c r="I1100" s="20" t="s">
        <v>105</v>
      </c>
      <c r="J1100" s="20" t="s">
        <v>143</v>
      </c>
      <c r="Q1100" s="20">
        <v>12502.0</v>
      </c>
      <c r="R1100" s="20" t="s">
        <v>3858</v>
      </c>
      <c r="S1100" s="20" t="s">
        <v>3857</v>
      </c>
      <c r="T1100" s="20" t="s">
        <v>138</v>
      </c>
    </row>
    <row r="1101" ht="14.25" customHeight="1">
      <c r="A1101" s="20" t="s">
        <v>3859</v>
      </c>
      <c r="B1101" s="20" t="s">
        <v>3860</v>
      </c>
      <c r="C1101" s="20" t="s">
        <v>818</v>
      </c>
      <c r="F1101" s="20" t="s">
        <v>17</v>
      </c>
      <c r="G1101" s="20" t="s">
        <v>17</v>
      </c>
      <c r="I1101" s="20" t="s">
        <v>88</v>
      </c>
      <c r="J1101" s="20" t="s">
        <v>143</v>
      </c>
      <c r="Q1101" s="20">
        <v>593.0</v>
      </c>
      <c r="R1101" s="20" t="s">
        <v>3861</v>
      </c>
      <c r="S1101" s="20" t="s">
        <v>3862</v>
      </c>
      <c r="T1101" s="20" t="s">
        <v>138</v>
      </c>
    </row>
    <row r="1102" ht="14.25" customHeight="1">
      <c r="A1102" s="20" t="s">
        <v>3863</v>
      </c>
      <c r="B1102" s="20" t="s">
        <v>3864</v>
      </c>
      <c r="C1102" s="20" t="s">
        <v>149</v>
      </c>
      <c r="F1102" s="20" t="s">
        <v>150</v>
      </c>
      <c r="G1102" s="20" t="s">
        <v>150</v>
      </c>
      <c r="I1102" s="20" t="s">
        <v>151</v>
      </c>
      <c r="J1102" s="20" t="s">
        <v>143</v>
      </c>
      <c r="Q1102" s="20">
        <v>12459.0</v>
      </c>
      <c r="R1102" s="20" t="s">
        <v>3865</v>
      </c>
      <c r="S1102" s="20" t="s">
        <v>3864</v>
      </c>
      <c r="T1102" s="20" t="s">
        <v>138</v>
      </c>
    </row>
    <row r="1103" ht="14.25" customHeight="1">
      <c r="A1103" s="20" t="s">
        <v>3866</v>
      </c>
      <c r="B1103" s="20" t="s">
        <v>3867</v>
      </c>
      <c r="C1103" s="20" t="s">
        <v>818</v>
      </c>
      <c r="F1103" s="20" t="s">
        <v>17</v>
      </c>
      <c r="G1103" s="20" t="s">
        <v>17</v>
      </c>
      <c r="I1103" s="20" t="s">
        <v>88</v>
      </c>
      <c r="J1103" s="20" t="s">
        <v>143</v>
      </c>
      <c r="K1103" s="20" t="s">
        <v>167</v>
      </c>
      <c r="Q1103" s="20">
        <v>10418.0</v>
      </c>
      <c r="R1103" s="20" t="s">
        <v>3868</v>
      </c>
      <c r="S1103" s="20" t="s">
        <v>3869</v>
      </c>
      <c r="T1103" s="20" t="s">
        <v>138</v>
      </c>
    </row>
    <row r="1104" ht="14.25" customHeight="1">
      <c r="A1104" s="20" t="s">
        <v>3870</v>
      </c>
      <c r="B1104" s="20" t="s">
        <v>3871</v>
      </c>
      <c r="C1104" s="20" t="s">
        <v>174</v>
      </c>
      <c r="F1104" s="20" t="s">
        <v>150</v>
      </c>
      <c r="G1104" s="20" t="s">
        <v>150</v>
      </c>
      <c r="I1104" s="20" t="s">
        <v>151</v>
      </c>
      <c r="J1104" s="20" t="s">
        <v>143</v>
      </c>
      <c r="Q1104" s="20">
        <v>12365.0</v>
      </c>
      <c r="R1104" s="20" t="s">
        <v>3872</v>
      </c>
      <c r="S1104" s="20" t="s">
        <v>3871</v>
      </c>
      <c r="T1104" s="20" t="s">
        <v>138</v>
      </c>
    </row>
    <row r="1105" ht="14.25" customHeight="1">
      <c r="A1105" s="20" t="s">
        <v>3873</v>
      </c>
      <c r="B1105" s="20" t="s">
        <v>3874</v>
      </c>
      <c r="C1105" s="20" t="s">
        <v>3875</v>
      </c>
      <c r="F1105" s="20" t="s">
        <v>16</v>
      </c>
      <c r="G1105" s="20" t="s">
        <v>638</v>
      </c>
      <c r="I1105" s="20" t="s">
        <v>814</v>
      </c>
      <c r="J1105" s="20" t="s">
        <v>143</v>
      </c>
      <c r="K1105" s="20" t="s">
        <v>213</v>
      </c>
      <c r="Q1105" s="20">
        <v>4422.0</v>
      </c>
      <c r="R1105" s="20" t="s">
        <v>3876</v>
      </c>
      <c r="S1105" s="20" t="s">
        <v>3874</v>
      </c>
      <c r="T1105" s="20" t="s">
        <v>138</v>
      </c>
      <c r="W1105" s="20" t="s">
        <v>146</v>
      </c>
    </row>
    <row r="1106" ht="14.25" customHeight="1">
      <c r="A1106" s="20" t="s">
        <v>3877</v>
      </c>
      <c r="B1106" s="20" t="s">
        <v>3878</v>
      </c>
      <c r="C1106" s="20" t="s">
        <v>3879</v>
      </c>
      <c r="F1106" s="20" t="s">
        <v>16</v>
      </c>
      <c r="G1106" s="20" t="s">
        <v>638</v>
      </c>
      <c r="I1106" s="20" t="s">
        <v>639</v>
      </c>
      <c r="J1106" s="20" t="s">
        <v>143</v>
      </c>
      <c r="K1106" s="20" t="s">
        <v>213</v>
      </c>
      <c r="M1106" s="20" t="s">
        <v>319</v>
      </c>
      <c r="Q1106" s="20">
        <v>4081.0</v>
      </c>
      <c r="R1106" s="20" t="s">
        <v>3880</v>
      </c>
      <c r="S1106" s="20" t="s">
        <v>3878</v>
      </c>
      <c r="T1106" s="20" t="s">
        <v>138</v>
      </c>
      <c r="W1106" s="20" t="s">
        <v>146</v>
      </c>
    </row>
    <row r="1107" ht="14.25" customHeight="1">
      <c r="A1107" s="20" t="s">
        <v>3881</v>
      </c>
      <c r="B1107" s="20" t="s">
        <v>3882</v>
      </c>
      <c r="C1107" s="20" t="s">
        <v>235</v>
      </c>
      <c r="F1107" s="20" t="s">
        <v>15</v>
      </c>
      <c r="G1107" s="20" t="s">
        <v>142</v>
      </c>
      <c r="H1107" s="20">
        <v>15130.0</v>
      </c>
      <c r="I1107" s="20" t="s">
        <v>105</v>
      </c>
      <c r="J1107" s="20" t="s">
        <v>143</v>
      </c>
      <c r="P1107" s="20" t="s">
        <v>3882</v>
      </c>
      <c r="Q1107" s="20">
        <v>15130.0</v>
      </c>
      <c r="R1107" s="20" t="s">
        <v>3883</v>
      </c>
      <c r="S1107" s="20" t="s">
        <v>3882</v>
      </c>
      <c r="T1107" s="20" t="s">
        <v>138</v>
      </c>
      <c r="W1107" s="20" t="s">
        <v>146</v>
      </c>
    </row>
    <row r="1108" ht="14.25" customHeight="1">
      <c r="A1108" s="20" t="s">
        <v>3884</v>
      </c>
      <c r="B1108" s="20" t="s">
        <v>3885</v>
      </c>
      <c r="C1108" s="20" t="s">
        <v>818</v>
      </c>
      <c r="F1108" s="20" t="s">
        <v>17</v>
      </c>
      <c r="G1108" s="20" t="s">
        <v>17</v>
      </c>
      <c r="I1108" s="20" t="s">
        <v>88</v>
      </c>
      <c r="J1108" s="20" t="s">
        <v>143</v>
      </c>
      <c r="Q1108" s="20">
        <v>5774.0</v>
      </c>
      <c r="R1108" s="20" t="s">
        <v>3886</v>
      </c>
      <c r="S1108" s="20" t="s">
        <v>3885</v>
      </c>
      <c r="T1108" s="20" t="s">
        <v>138</v>
      </c>
    </row>
    <row r="1109" ht="14.25" customHeight="1">
      <c r="A1109" s="20" t="s">
        <v>3887</v>
      </c>
      <c r="B1109" s="20" t="s">
        <v>3888</v>
      </c>
      <c r="C1109" s="20" t="s">
        <v>1762</v>
      </c>
      <c r="F1109" s="20" t="s">
        <v>15</v>
      </c>
      <c r="G1109" s="20" t="s">
        <v>135</v>
      </c>
      <c r="I1109" s="20" t="s">
        <v>103</v>
      </c>
      <c r="J1109" s="20" t="s">
        <v>186</v>
      </c>
      <c r="K1109" s="20" t="s">
        <v>167</v>
      </c>
      <c r="Q1109" s="20">
        <v>6128.0</v>
      </c>
      <c r="R1109" s="20" t="s">
        <v>3889</v>
      </c>
      <c r="S1109" s="20" t="s">
        <v>3888</v>
      </c>
      <c r="T1109" s="20" t="s">
        <v>138</v>
      </c>
    </row>
    <row r="1110" ht="14.25" customHeight="1">
      <c r="A1110" s="20" t="s">
        <v>3890</v>
      </c>
      <c r="B1110" s="20" t="s">
        <v>3891</v>
      </c>
      <c r="C1110" s="20" t="s">
        <v>163</v>
      </c>
      <c r="F1110" s="20" t="s">
        <v>150</v>
      </c>
      <c r="G1110" s="20" t="s">
        <v>150</v>
      </c>
      <c r="I1110" s="20" t="s">
        <v>151</v>
      </c>
      <c r="J1110" s="20" t="s">
        <v>143</v>
      </c>
      <c r="K1110" s="20" t="s">
        <v>213</v>
      </c>
      <c r="Q1110" s="20">
        <v>16725.0</v>
      </c>
      <c r="R1110" s="20" t="s">
        <v>3892</v>
      </c>
      <c r="S1110" s="20" t="s">
        <v>3891</v>
      </c>
      <c r="T1110" s="20" t="s">
        <v>138</v>
      </c>
    </row>
    <row r="1111" ht="14.25" customHeight="1">
      <c r="A1111" s="20" t="s">
        <v>3893</v>
      </c>
      <c r="B1111" s="20" t="s">
        <v>3894</v>
      </c>
      <c r="C1111" s="20" t="s">
        <v>3895</v>
      </c>
      <c r="F1111" s="20" t="s">
        <v>150</v>
      </c>
      <c r="G1111" s="20" t="s">
        <v>150</v>
      </c>
      <c r="I1111" s="20" t="s">
        <v>151</v>
      </c>
      <c r="J1111" s="20" t="s">
        <v>143</v>
      </c>
      <c r="K1111" s="20" t="s">
        <v>213</v>
      </c>
      <c r="Q1111" s="20">
        <v>14028.0</v>
      </c>
      <c r="R1111" s="20" t="s">
        <v>3896</v>
      </c>
      <c r="S1111" s="20" t="s">
        <v>3894</v>
      </c>
      <c r="T1111" s="20" t="s">
        <v>138</v>
      </c>
      <c r="W1111" s="20" t="s">
        <v>146</v>
      </c>
    </row>
    <row r="1112" ht="14.25" customHeight="1">
      <c r="A1112" s="20" t="s">
        <v>3897</v>
      </c>
      <c r="B1112" s="20" t="s">
        <v>3898</v>
      </c>
      <c r="C1112" s="20" t="s">
        <v>3899</v>
      </c>
      <c r="F1112" s="20" t="s">
        <v>150</v>
      </c>
      <c r="G1112" s="20" t="s">
        <v>150</v>
      </c>
      <c r="H1112" s="20">
        <v>18151.0</v>
      </c>
      <c r="I1112" s="20" t="s">
        <v>151</v>
      </c>
      <c r="J1112" s="20" t="s">
        <v>143</v>
      </c>
      <c r="P1112" s="20" t="s">
        <v>3898</v>
      </c>
      <c r="Q1112" s="20">
        <v>18151.0</v>
      </c>
      <c r="R1112" s="20" t="s">
        <v>3900</v>
      </c>
      <c r="S1112" s="20" t="s">
        <v>3898</v>
      </c>
      <c r="T1112" s="20" t="s">
        <v>138</v>
      </c>
    </row>
    <row r="1113" ht="14.25" customHeight="1">
      <c r="A1113" s="20" t="s">
        <v>3901</v>
      </c>
      <c r="B1113" s="20" t="s">
        <v>3902</v>
      </c>
      <c r="C1113" s="20" t="s">
        <v>289</v>
      </c>
      <c r="F1113" s="20" t="s">
        <v>150</v>
      </c>
      <c r="G1113" s="20" t="s">
        <v>150</v>
      </c>
      <c r="I1113" s="20" t="s">
        <v>151</v>
      </c>
      <c r="J1113" s="20" t="s">
        <v>143</v>
      </c>
      <c r="Q1113" s="20">
        <v>16305.0</v>
      </c>
      <c r="R1113" s="20" t="s">
        <v>3903</v>
      </c>
      <c r="S1113" s="20" t="s">
        <v>3902</v>
      </c>
      <c r="T1113" s="20" t="s">
        <v>138</v>
      </c>
    </row>
    <row r="1114" ht="14.25" customHeight="1">
      <c r="A1114" s="20" t="s">
        <v>3904</v>
      </c>
      <c r="B1114" s="20" t="s">
        <v>3905</v>
      </c>
      <c r="C1114" s="20" t="s">
        <v>289</v>
      </c>
      <c r="F1114" s="20" t="s">
        <v>150</v>
      </c>
      <c r="G1114" s="20" t="s">
        <v>150</v>
      </c>
      <c r="I1114" s="20" t="s">
        <v>151</v>
      </c>
      <c r="J1114" s="20" t="s">
        <v>143</v>
      </c>
      <c r="K1114" s="20" t="s">
        <v>213</v>
      </c>
      <c r="Q1114" s="20">
        <v>889.0</v>
      </c>
      <c r="R1114" s="20" t="s">
        <v>3906</v>
      </c>
      <c r="S1114" s="20" t="s">
        <v>3905</v>
      </c>
      <c r="T1114" s="20" t="s">
        <v>138</v>
      </c>
      <c r="V1114" s="20" t="s">
        <v>260</v>
      </c>
      <c r="W1114" s="20" t="s">
        <v>261</v>
      </c>
    </row>
    <row r="1115" ht="14.25" customHeight="1">
      <c r="A1115" s="20" t="s">
        <v>3907</v>
      </c>
      <c r="B1115" s="20" t="s">
        <v>3908</v>
      </c>
      <c r="C1115" s="20" t="s">
        <v>289</v>
      </c>
      <c r="F1115" s="20" t="s">
        <v>150</v>
      </c>
      <c r="G1115" s="20" t="s">
        <v>150</v>
      </c>
      <c r="I1115" s="20" t="s">
        <v>2024</v>
      </c>
      <c r="J1115" s="20" t="s">
        <v>143</v>
      </c>
      <c r="K1115" s="20" t="s">
        <v>213</v>
      </c>
      <c r="Q1115" s="20">
        <v>15260.0</v>
      </c>
      <c r="R1115" s="20" t="s">
        <v>3909</v>
      </c>
      <c r="S1115" s="20" t="s">
        <v>3908</v>
      </c>
      <c r="T1115" s="20" t="s">
        <v>138</v>
      </c>
      <c r="V1115" s="20" t="s">
        <v>189</v>
      </c>
      <c r="W1115" s="20" t="s">
        <v>146</v>
      </c>
    </row>
    <row r="1116" ht="14.25" customHeight="1">
      <c r="A1116" s="20" t="s">
        <v>3910</v>
      </c>
      <c r="B1116" s="20" t="s">
        <v>3911</v>
      </c>
      <c r="C1116" s="20" t="s">
        <v>818</v>
      </c>
      <c r="F1116" s="20" t="s">
        <v>17</v>
      </c>
      <c r="G1116" s="20" t="s">
        <v>17</v>
      </c>
      <c r="I1116" s="20" t="s">
        <v>88</v>
      </c>
      <c r="J1116" s="20" t="s">
        <v>143</v>
      </c>
      <c r="Q1116" s="20">
        <v>807.0</v>
      </c>
      <c r="R1116" s="20" t="s">
        <v>3912</v>
      </c>
      <c r="S1116" s="20" t="s">
        <v>3911</v>
      </c>
      <c r="T1116" s="20" t="s">
        <v>138</v>
      </c>
    </row>
    <row r="1117" ht="14.25" customHeight="1">
      <c r="A1117" s="20" t="s">
        <v>3913</v>
      </c>
      <c r="B1117" s="20" t="s">
        <v>3914</v>
      </c>
      <c r="C1117" s="20" t="s">
        <v>818</v>
      </c>
      <c r="F1117" s="20" t="s">
        <v>17</v>
      </c>
      <c r="G1117" s="20" t="s">
        <v>17</v>
      </c>
      <c r="I1117" s="20" t="s">
        <v>88</v>
      </c>
      <c r="J1117" s="20" t="s">
        <v>143</v>
      </c>
      <c r="Q1117" s="20">
        <v>3710.0</v>
      </c>
      <c r="R1117" s="20" t="s">
        <v>3915</v>
      </c>
      <c r="S1117" s="20" t="s">
        <v>3914</v>
      </c>
      <c r="T1117" s="20" t="s">
        <v>138</v>
      </c>
    </row>
    <row r="1118" ht="14.25" customHeight="1">
      <c r="A1118" s="20" t="s">
        <v>3916</v>
      </c>
      <c r="B1118" s="20" t="s">
        <v>3917</v>
      </c>
      <c r="C1118" s="20" t="s">
        <v>3918</v>
      </c>
      <c r="F1118" s="20" t="s">
        <v>17</v>
      </c>
      <c r="G1118" s="20" t="s">
        <v>17</v>
      </c>
      <c r="I1118" s="20" t="s">
        <v>88</v>
      </c>
      <c r="J1118" s="20" t="s">
        <v>136</v>
      </c>
      <c r="L1118" s="20" t="s">
        <v>88</v>
      </c>
      <c r="Q1118" s="20">
        <v>1656.0</v>
      </c>
      <c r="R1118" s="20" t="s">
        <v>3919</v>
      </c>
      <c r="S1118" s="20" t="s">
        <v>3917</v>
      </c>
      <c r="T1118" s="20" t="s">
        <v>138</v>
      </c>
      <c r="W1118" s="20" t="s">
        <v>372</v>
      </c>
    </row>
    <row r="1119" ht="14.25" customHeight="1">
      <c r="A1119" s="20" t="s">
        <v>3920</v>
      </c>
      <c r="B1119" s="20" t="s">
        <v>3921</v>
      </c>
      <c r="C1119" s="20" t="s">
        <v>3922</v>
      </c>
      <c r="F1119" s="20" t="s">
        <v>16</v>
      </c>
      <c r="G1119" s="20" t="s">
        <v>638</v>
      </c>
      <c r="I1119" s="20" t="s">
        <v>639</v>
      </c>
      <c r="J1119" s="20" t="s">
        <v>186</v>
      </c>
      <c r="K1119" s="20" t="s">
        <v>213</v>
      </c>
      <c r="Q1119" s="20">
        <v>3478.0</v>
      </c>
      <c r="R1119" s="20" t="s">
        <v>3923</v>
      </c>
      <c r="S1119" s="20" t="s">
        <v>3921</v>
      </c>
      <c r="T1119" s="20" t="s">
        <v>138</v>
      </c>
      <c r="W1119" s="20" t="s">
        <v>146</v>
      </c>
    </row>
    <row r="1120" ht="14.25" customHeight="1">
      <c r="A1120" s="20" t="s">
        <v>3924</v>
      </c>
      <c r="B1120" s="20" t="s">
        <v>3925</v>
      </c>
      <c r="C1120" s="20" t="s">
        <v>3926</v>
      </c>
      <c r="F1120" s="20" t="s">
        <v>16</v>
      </c>
      <c r="G1120" s="20" t="s">
        <v>638</v>
      </c>
      <c r="I1120" s="20" t="s">
        <v>639</v>
      </c>
      <c r="J1120" s="20" t="s">
        <v>186</v>
      </c>
      <c r="Q1120" s="20">
        <v>602.0</v>
      </c>
      <c r="R1120" s="20" t="s">
        <v>3927</v>
      </c>
      <c r="S1120" s="20" t="s">
        <v>3925</v>
      </c>
      <c r="T1120" s="20" t="s">
        <v>138</v>
      </c>
    </row>
    <row r="1121" ht="14.25" customHeight="1">
      <c r="A1121" s="20" t="s">
        <v>3928</v>
      </c>
      <c r="B1121" s="20" t="s">
        <v>3929</v>
      </c>
      <c r="C1121" s="20" t="s">
        <v>637</v>
      </c>
      <c r="F1121" s="20" t="s">
        <v>16</v>
      </c>
      <c r="G1121" s="20" t="s">
        <v>638</v>
      </c>
      <c r="I1121" s="20" t="s">
        <v>639</v>
      </c>
      <c r="J1121" s="20" t="s">
        <v>143</v>
      </c>
      <c r="Q1121" s="20">
        <v>3754.0</v>
      </c>
      <c r="R1121" s="20" t="s">
        <v>3930</v>
      </c>
      <c r="S1121" s="20" t="s">
        <v>3929</v>
      </c>
      <c r="T1121" s="20" t="s">
        <v>138</v>
      </c>
    </row>
    <row r="1122" ht="14.25" customHeight="1">
      <c r="A1122" s="20" t="s">
        <v>3931</v>
      </c>
      <c r="B1122" s="20" t="s">
        <v>3932</v>
      </c>
      <c r="C1122" s="20" t="s">
        <v>197</v>
      </c>
      <c r="F1122" s="20" t="s">
        <v>150</v>
      </c>
      <c r="G1122" s="20" t="s">
        <v>150</v>
      </c>
      <c r="I1122" s="20" t="s">
        <v>151</v>
      </c>
      <c r="J1122" s="20" t="s">
        <v>143</v>
      </c>
      <c r="K1122" s="20" t="s">
        <v>213</v>
      </c>
      <c r="Q1122" s="20">
        <v>2461.0</v>
      </c>
      <c r="R1122" s="20" t="s">
        <v>3933</v>
      </c>
      <c r="S1122" s="20" t="s">
        <v>3932</v>
      </c>
      <c r="T1122" s="20" t="s">
        <v>138</v>
      </c>
      <c r="V1122" s="20" t="s">
        <v>260</v>
      </c>
      <c r="W1122" s="20" t="s">
        <v>146</v>
      </c>
    </row>
    <row r="1123" ht="14.25" customHeight="1">
      <c r="A1123" s="20" t="s">
        <v>3934</v>
      </c>
      <c r="B1123" s="20" t="s">
        <v>3935</v>
      </c>
      <c r="C1123" s="20" t="s">
        <v>818</v>
      </c>
      <c r="F1123" s="20" t="s">
        <v>17</v>
      </c>
      <c r="G1123" s="20" t="s">
        <v>17</v>
      </c>
      <c r="I1123" s="20" t="s">
        <v>88</v>
      </c>
      <c r="J1123" s="20" t="s">
        <v>143</v>
      </c>
      <c r="K1123" s="20" t="s">
        <v>167</v>
      </c>
      <c r="Q1123" s="20">
        <v>607.0</v>
      </c>
      <c r="R1123" s="20" t="s">
        <v>3936</v>
      </c>
      <c r="S1123" s="20" t="s">
        <v>3935</v>
      </c>
      <c r="T1123" s="20" t="s">
        <v>138</v>
      </c>
    </row>
    <row r="1124" ht="14.25" customHeight="1">
      <c r="A1124" s="20" t="s">
        <v>3937</v>
      </c>
      <c r="B1124" s="20" t="s">
        <v>3938</v>
      </c>
      <c r="C1124" s="20" t="s">
        <v>1158</v>
      </c>
      <c r="F1124" s="20" t="s">
        <v>218</v>
      </c>
      <c r="G1124" s="20" t="s">
        <v>219</v>
      </c>
      <c r="I1124" s="20" t="s">
        <v>1159</v>
      </c>
      <c r="J1124" s="20" t="s">
        <v>186</v>
      </c>
      <c r="K1124" s="20" t="s">
        <v>213</v>
      </c>
      <c r="Q1124" s="20">
        <v>12067.0</v>
      </c>
      <c r="R1124" s="20" t="s">
        <v>3939</v>
      </c>
      <c r="S1124" s="20" t="s">
        <v>3938</v>
      </c>
      <c r="T1124" s="20" t="s">
        <v>138</v>
      </c>
    </row>
    <row r="1125" ht="14.25" customHeight="1">
      <c r="A1125" s="20" t="s">
        <v>3940</v>
      </c>
      <c r="B1125" s="20" t="s">
        <v>3941</v>
      </c>
      <c r="C1125" s="20" t="s">
        <v>159</v>
      </c>
      <c r="F1125" s="20" t="s">
        <v>150</v>
      </c>
      <c r="G1125" s="20" t="s">
        <v>150</v>
      </c>
      <c r="I1125" s="20" t="s">
        <v>151</v>
      </c>
      <c r="J1125" s="20" t="s">
        <v>143</v>
      </c>
      <c r="Q1125" s="20">
        <v>10463.0</v>
      </c>
      <c r="R1125" s="20" t="s">
        <v>3942</v>
      </c>
      <c r="S1125" s="20" t="s">
        <v>3941</v>
      </c>
      <c r="T1125" s="20" t="s">
        <v>138</v>
      </c>
    </row>
    <row r="1126" ht="14.25" customHeight="1">
      <c r="A1126" s="20" t="s">
        <v>3943</v>
      </c>
      <c r="B1126" s="26" t="s">
        <v>3944</v>
      </c>
      <c r="C1126" s="20" t="s">
        <v>587</v>
      </c>
      <c r="F1126" s="20" t="s">
        <v>150</v>
      </c>
      <c r="G1126" s="20" t="s">
        <v>150</v>
      </c>
      <c r="I1126" s="20" t="s">
        <v>151</v>
      </c>
      <c r="J1126" s="20" t="s">
        <v>143</v>
      </c>
      <c r="Q1126" s="20">
        <v>14213.0</v>
      </c>
      <c r="R1126" s="20" t="s">
        <v>3945</v>
      </c>
      <c r="S1126" s="26" t="s">
        <v>3944</v>
      </c>
      <c r="T1126" s="20" t="s">
        <v>138</v>
      </c>
    </row>
    <row r="1127" ht="14.25" customHeight="1">
      <c r="A1127" s="20" t="s">
        <v>3946</v>
      </c>
      <c r="B1127" s="20" t="s">
        <v>3947</v>
      </c>
      <c r="C1127" s="20" t="s">
        <v>836</v>
      </c>
      <c r="F1127" s="20" t="s">
        <v>16</v>
      </c>
      <c r="G1127" s="20" t="s">
        <v>202</v>
      </c>
      <c r="I1127" s="20" t="s">
        <v>203</v>
      </c>
      <c r="J1127" s="20" t="s">
        <v>143</v>
      </c>
      <c r="K1127" s="20" t="s">
        <v>167</v>
      </c>
      <c r="Q1127" s="20">
        <v>11068.0</v>
      </c>
      <c r="R1127" s="20" t="s">
        <v>3948</v>
      </c>
      <c r="S1127" s="20" t="s">
        <v>3947</v>
      </c>
      <c r="T1127" s="20" t="s">
        <v>138</v>
      </c>
    </row>
    <row r="1128" ht="14.25" customHeight="1">
      <c r="A1128" s="20" t="s">
        <v>3949</v>
      </c>
      <c r="B1128" s="20" t="s">
        <v>3950</v>
      </c>
      <c r="C1128" s="20" t="s">
        <v>178</v>
      </c>
      <c r="F1128" s="20" t="s">
        <v>150</v>
      </c>
      <c r="G1128" s="20" t="s">
        <v>150</v>
      </c>
      <c r="I1128" s="20" t="s">
        <v>151</v>
      </c>
      <c r="J1128" s="20" t="s">
        <v>143</v>
      </c>
      <c r="Q1128" s="20">
        <v>611.0</v>
      </c>
      <c r="R1128" s="20" t="s">
        <v>3951</v>
      </c>
      <c r="S1128" s="20" t="s">
        <v>3950</v>
      </c>
      <c r="T1128" s="20" t="s">
        <v>138</v>
      </c>
    </row>
    <row r="1129" ht="14.25" customHeight="1">
      <c r="A1129" s="20" t="s">
        <v>3952</v>
      </c>
      <c r="B1129" s="20" t="s">
        <v>3953</v>
      </c>
      <c r="C1129" s="20" t="s">
        <v>159</v>
      </c>
      <c r="F1129" s="20" t="s">
        <v>150</v>
      </c>
      <c r="G1129" s="20" t="s">
        <v>150</v>
      </c>
      <c r="I1129" s="20" t="s">
        <v>151</v>
      </c>
      <c r="J1129" s="20" t="s">
        <v>143</v>
      </c>
      <c r="Q1129" s="20">
        <v>1601.0</v>
      </c>
      <c r="R1129" s="20" t="s">
        <v>3954</v>
      </c>
      <c r="S1129" s="20" t="s">
        <v>3953</v>
      </c>
      <c r="T1129" s="20" t="s">
        <v>138</v>
      </c>
    </row>
    <row r="1130" ht="14.25" customHeight="1">
      <c r="A1130" s="20" t="s">
        <v>3955</v>
      </c>
      <c r="B1130" s="20" t="s">
        <v>3956</v>
      </c>
      <c r="C1130" s="20" t="s">
        <v>174</v>
      </c>
      <c r="F1130" s="20" t="s">
        <v>150</v>
      </c>
      <c r="G1130" s="20" t="s">
        <v>150</v>
      </c>
      <c r="I1130" s="20" t="s">
        <v>151</v>
      </c>
      <c r="J1130" s="20" t="s">
        <v>143</v>
      </c>
      <c r="K1130" s="20" t="s">
        <v>167</v>
      </c>
      <c r="Q1130" s="20">
        <v>12201.0</v>
      </c>
      <c r="R1130" s="20" t="s">
        <v>3957</v>
      </c>
      <c r="S1130" s="20" t="s">
        <v>3956</v>
      </c>
      <c r="T1130" s="20" t="s">
        <v>138</v>
      </c>
    </row>
    <row r="1131" ht="14.25" customHeight="1">
      <c r="A1131" s="20" t="s">
        <v>3958</v>
      </c>
      <c r="B1131" s="20" t="s">
        <v>3959</v>
      </c>
      <c r="C1131" s="20" t="s">
        <v>174</v>
      </c>
      <c r="F1131" s="20" t="s">
        <v>150</v>
      </c>
      <c r="G1131" s="20" t="s">
        <v>150</v>
      </c>
      <c r="H1131" s="20">
        <v>12201.0</v>
      </c>
      <c r="I1131" s="20" t="s">
        <v>151</v>
      </c>
      <c r="J1131" s="20" t="s">
        <v>143</v>
      </c>
      <c r="Q1131" s="20">
        <v>12201.0</v>
      </c>
      <c r="R1131" s="20" t="s">
        <v>3957</v>
      </c>
      <c r="S1131" s="20" t="s">
        <v>3959</v>
      </c>
      <c r="T1131" s="20" t="s">
        <v>138</v>
      </c>
    </row>
    <row r="1132" ht="14.25" customHeight="1">
      <c r="A1132" s="20" t="s">
        <v>3960</v>
      </c>
      <c r="B1132" s="20" t="s">
        <v>3961</v>
      </c>
      <c r="C1132" s="20" t="s">
        <v>178</v>
      </c>
      <c r="F1132" s="20" t="s">
        <v>150</v>
      </c>
      <c r="G1132" s="20" t="s">
        <v>150</v>
      </c>
      <c r="I1132" s="20" t="s">
        <v>151</v>
      </c>
      <c r="J1132" s="20" t="s">
        <v>143</v>
      </c>
      <c r="Q1132" s="20">
        <v>6745.0</v>
      </c>
      <c r="R1132" s="20" t="s">
        <v>3962</v>
      </c>
      <c r="S1132" s="20" t="s">
        <v>3961</v>
      </c>
      <c r="T1132" s="20" t="s">
        <v>138</v>
      </c>
    </row>
    <row r="1133" ht="14.25" customHeight="1">
      <c r="A1133" s="20" t="s">
        <v>3963</v>
      </c>
      <c r="B1133" s="20" t="s">
        <v>3964</v>
      </c>
      <c r="C1133" s="20" t="s">
        <v>193</v>
      </c>
      <c r="F1133" s="20" t="s">
        <v>150</v>
      </c>
      <c r="G1133" s="20" t="s">
        <v>150</v>
      </c>
      <c r="I1133" s="20" t="s">
        <v>151</v>
      </c>
      <c r="J1133" s="20" t="s">
        <v>143</v>
      </c>
      <c r="Q1133" s="20">
        <v>14390.0</v>
      </c>
      <c r="R1133" s="20" t="s">
        <v>3965</v>
      </c>
      <c r="S1133" s="20" t="s">
        <v>3964</v>
      </c>
      <c r="T1133" s="20" t="s">
        <v>138</v>
      </c>
    </row>
    <row r="1134" ht="14.25" customHeight="1">
      <c r="A1134" s="20" t="s">
        <v>3966</v>
      </c>
      <c r="B1134" s="20" t="s">
        <v>3967</v>
      </c>
      <c r="C1134" s="20" t="s">
        <v>3968</v>
      </c>
      <c r="F1134" s="20" t="s">
        <v>15</v>
      </c>
      <c r="G1134" s="20" t="s">
        <v>142</v>
      </c>
      <c r="I1134" s="20" t="s">
        <v>105</v>
      </c>
      <c r="J1134" s="20" t="s">
        <v>143</v>
      </c>
      <c r="L1134" s="20" t="s">
        <v>105</v>
      </c>
      <c r="M1134" s="20" t="s">
        <v>1982</v>
      </c>
      <c r="Q1134" s="20">
        <v>16805.0</v>
      </c>
      <c r="R1134" s="20" t="s">
        <v>3969</v>
      </c>
      <c r="S1134" s="20" t="s">
        <v>3967</v>
      </c>
      <c r="T1134" s="20" t="s">
        <v>138</v>
      </c>
      <c r="W1134" s="20" t="s">
        <v>261</v>
      </c>
    </row>
    <row r="1135" ht="14.25" customHeight="1">
      <c r="A1135" s="20" t="s">
        <v>3970</v>
      </c>
      <c r="B1135" s="20" t="s">
        <v>3971</v>
      </c>
      <c r="C1135" s="20" t="s">
        <v>680</v>
      </c>
      <c r="F1135" s="20" t="s">
        <v>15</v>
      </c>
      <c r="G1135" s="20" t="s">
        <v>142</v>
      </c>
      <c r="I1135" s="20" t="s">
        <v>105</v>
      </c>
      <c r="J1135" s="20" t="s">
        <v>143</v>
      </c>
      <c r="Q1135" s="20">
        <v>10040.0</v>
      </c>
      <c r="R1135" s="20" t="s">
        <v>3972</v>
      </c>
      <c r="S1135" s="20" t="s">
        <v>3971</v>
      </c>
      <c r="T1135" s="20" t="s">
        <v>138</v>
      </c>
    </row>
    <row r="1136" ht="14.25" customHeight="1">
      <c r="A1136" s="20" t="s">
        <v>3973</v>
      </c>
      <c r="B1136" s="20" t="s">
        <v>3974</v>
      </c>
      <c r="C1136" s="20" t="s">
        <v>193</v>
      </c>
      <c r="F1136" s="20" t="s">
        <v>150</v>
      </c>
      <c r="G1136" s="20" t="s">
        <v>150</v>
      </c>
      <c r="I1136" s="20" t="s">
        <v>151</v>
      </c>
      <c r="J1136" s="20" t="s">
        <v>143</v>
      </c>
      <c r="Q1136" s="20">
        <v>11114.0</v>
      </c>
      <c r="R1136" s="20" t="s">
        <v>3975</v>
      </c>
      <c r="S1136" s="20" t="s">
        <v>3974</v>
      </c>
      <c r="T1136" s="20" t="s">
        <v>138</v>
      </c>
    </row>
    <row r="1137" ht="14.25" customHeight="1">
      <c r="A1137" s="20" t="s">
        <v>3976</v>
      </c>
      <c r="B1137" s="20" t="s">
        <v>3977</v>
      </c>
      <c r="C1137" s="20" t="s">
        <v>174</v>
      </c>
      <c r="F1137" s="20" t="s">
        <v>150</v>
      </c>
      <c r="G1137" s="20" t="s">
        <v>150</v>
      </c>
      <c r="I1137" s="20" t="s">
        <v>151</v>
      </c>
      <c r="J1137" s="20" t="s">
        <v>143</v>
      </c>
      <c r="Q1137" s="20">
        <v>14122.0</v>
      </c>
      <c r="R1137" s="20" t="s">
        <v>3978</v>
      </c>
      <c r="S1137" s="20" t="s">
        <v>3977</v>
      </c>
      <c r="T1137" s="20" t="s">
        <v>138</v>
      </c>
    </row>
    <row r="1138" ht="14.25" customHeight="1">
      <c r="A1138" s="20" t="s">
        <v>3979</v>
      </c>
      <c r="B1138" s="20" t="s">
        <v>3980</v>
      </c>
      <c r="C1138" s="20" t="s">
        <v>3981</v>
      </c>
      <c r="F1138" s="20" t="s">
        <v>15</v>
      </c>
      <c r="G1138" s="20" t="s">
        <v>142</v>
      </c>
      <c r="I1138" s="20" t="s">
        <v>105</v>
      </c>
      <c r="J1138" s="20" t="s">
        <v>143</v>
      </c>
      <c r="Q1138" s="20">
        <v>10571.0</v>
      </c>
      <c r="R1138" s="20" t="s">
        <v>3982</v>
      </c>
      <c r="S1138" s="20" t="s">
        <v>3980</v>
      </c>
      <c r="T1138" s="20" t="s">
        <v>138</v>
      </c>
      <c r="W1138" s="20" t="s">
        <v>146</v>
      </c>
    </row>
    <row r="1139" ht="14.25" customHeight="1">
      <c r="A1139" s="20" t="s">
        <v>3983</v>
      </c>
      <c r="B1139" s="20" t="s">
        <v>3984</v>
      </c>
      <c r="C1139" s="20" t="s">
        <v>289</v>
      </c>
      <c r="F1139" s="20" t="s">
        <v>150</v>
      </c>
      <c r="G1139" s="20" t="s">
        <v>150</v>
      </c>
      <c r="I1139" s="20" t="s">
        <v>151</v>
      </c>
      <c r="J1139" s="20" t="s">
        <v>143</v>
      </c>
      <c r="Q1139" s="20">
        <v>13650.0</v>
      </c>
      <c r="R1139" s="20" t="s">
        <v>3985</v>
      </c>
      <c r="S1139" s="20" t="s">
        <v>3984</v>
      </c>
      <c r="T1139" s="20" t="s">
        <v>138</v>
      </c>
    </row>
    <row r="1140" ht="14.25" customHeight="1">
      <c r="A1140" s="20" t="s">
        <v>3986</v>
      </c>
      <c r="B1140" s="20" t="s">
        <v>3987</v>
      </c>
      <c r="C1140" s="20" t="s">
        <v>193</v>
      </c>
      <c r="F1140" s="20" t="s">
        <v>150</v>
      </c>
      <c r="G1140" s="20" t="s">
        <v>150</v>
      </c>
      <c r="I1140" s="20" t="s">
        <v>151</v>
      </c>
      <c r="J1140" s="20" t="s">
        <v>143</v>
      </c>
      <c r="K1140" s="20" t="s">
        <v>167</v>
      </c>
      <c r="Q1140" s="20">
        <v>6968.0</v>
      </c>
      <c r="R1140" s="20" t="s">
        <v>3988</v>
      </c>
      <c r="S1140" s="20" t="s">
        <v>3987</v>
      </c>
      <c r="T1140" s="20" t="s">
        <v>138</v>
      </c>
    </row>
    <row r="1141" ht="14.25" customHeight="1">
      <c r="A1141" s="20" t="s">
        <v>3989</v>
      </c>
      <c r="B1141" s="20" t="s">
        <v>3990</v>
      </c>
      <c r="C1141" s="20" t="s">
        <v>159</v>
      </c>
      <c r="F1141" s="20" t="s">
        <v>150</v>
      </c>
      <c r="G1141" s="20" t="s">
        <v>150</v>
      </c>
      <c r="I1141" s="20" t="s">
        <v>151</v>
      </c>
      <c r="J1141" s="20" t="s">
        <v>143</v>
      </c>
      <c r="Q1141" s="20">
        <v>613.0</v>
      </c>
      <c r="R1141" s="20" t="s">
        <v>3991</v>
      </c>
      <c r="S1141" s="20" t="s">
        <v>3990</v>
      </c>
      <c r="T1141" s="20" t="s">
        <v>138</v>
      </c>
    </row>
    <row r="1142" ht="14.25" customHeight="1">
      <c r="A1142" s="20" t="s">
        <v>3992</v>
      </c>
      <c r="B1142" s="20" t="s">
        <v>3993</v>
      </c>
      <c r="C1142" s="20" t="s">
        <v>239</v>
      </c>
      <c r="F1142" s="20" t="s">
        <v>17</v>
      </c>
      <c r="G1142" s="20" t="s">
        <v>17</v>
      </c>
      <c r="I1142" s="20" t="s">
        <v>88</v>
      </c>
      <c r="J1142" s="20" t="s">
        <v>143</v>
      </c>
      <c r="Q1142" s="20">
        <v>2055.0</v>
      </c>
      <c r="R1142" s="20" t="s">
        <v>3994</v>
      </c>
      <c r="S1142" s="20" t="s">
        <v>3993</v>
      </c>
      <c r="T1142" s="20" t="s">
        <v>138</v>
      </c>
    </row>
    <row r="1143" ht="14.25" customHeight="1">
      <c r="A1143" s="20" t="s">
        <v>3995</v>
      </c>
      <c r="B1143" s="20" t="s">
        <v>3996</v>
      </c>
      <c r="C1143" s="20" t="s">
        <v>779</v>
      </c>
      <c r="F1143" s="20" t="s">
        <v>150</v>
      </c>
      <c r="G1143" s="20" t="s">
        <v>150</v>
      </c>
      <c r="I1143" s="20" t="s">
        <v>151</v>
      </c>
      <c r="J1143" s="20" t="s">
        <v>143</v>
      </c>
      <c r="K1143" s="20" t="s">
        <v>167</v>
      </c>
      <c r="Q1143" s="20">
        <v>13948.0</v>
      </c>
      <c r="R1143" s="20" t="s">
        <v>3997</v>
      </c>
      <c r="S1143" s="20" t="s">
        <v>3996</v>
      </c>
      <c r="T1143" s="20" t="s">
        <v>138</v>
      </c>
    </row>
    <row r="1144" ht="14.25" customHeight="1">
      <c r="A1144" s="20" t="s">
        <v>3998</v>
      </c>
      <c r="B1144" s="20" t="s">
        <v>3999</v>
      </c>
      <c r="C1144" s="20" t="s">
        <v>1144</v>
      </c>
      <c r="F1144" s="20" t="s">
        <v>150</v>
      </c>
      <c r="G1144" s="20" t="s">
        <v>150</v>
      </c>
      <c r="I1144" s="20" t="s">
        <v>151</v>
      </c>
      <c r="J1144" s="20" t="s">
        <v>186</v>
      </c>
      <c r="K1144" s="20" t="s">
        <v>213</v>
      </c>
      <c r="Q1144" s="20">
        <v>616.0</v>
      </c>
      <c r="R1144" s="20" t="s">
        <v>4000</v>
      </c>
      <c r="S1144" s="20" t="s">
        <v>4001</v>
      </c>
      <c r="T1144" s="20" t="s">
        <v>138</v>
      </c>
    </row>
    <row r="1145" ht="14.25" customHeight="1">
      <c r="A1145" s="20" t="s">
        <v>4002</v>
      </c>
      <c r="B1145" s="20" t="s">
        <v>4003</v>
      </c>
      <c r="C1145" s="20" t="s">
        <v>347</v>
      </c>
      <c r="F1145" s="20" t="s">
        <v>15</v>
      </c>
      <c r="G1145" s="20" t="s">
        <v>135</v>
      </c>
      <c r="I1145" s="20" t="s">
        <v>93</v>
      </c>
      <c r="J1145" s="20" t="s">
        <v>136</v>
      </c>
      <c r="Q1145" s="20">
        <v>4185.0</v>
      </c>
      <c r="R1145" s="20" t="s">
        <v>4004</v>
      </c>
      <c r="S1145" s="20" t="s">
        <v>4003</v>
      </c>
      <c r="T1145" s="20" t="s">
        <v>138</v>
      </c>
      <c r="W1145" s="20" t="s">
        <v>372</v>
      </c>
    </row>
    <row r="1146" ht="14.25" customHeight="1">
      <c r="A1146" s="20" t="s">
        <v>4005</v>
      </c>
      <c r="B1146" s="20" t="s">
        <v>4006</v>
      </c>
      <c r="C1146" s="20" t="s">
        <v>235</v>
      </c>
      <c r="F1146" s="20" t="s">
        <v>15</v>
      </c>
      <c r="G1146" s="20" t="s">
        <v>142</v>
      </c>
      <c r="I1146" s="20" t="s">
        <v>105</v>
      </c>
      <c r="J1146" s="20" t="s">
        <v>143</v>
      </c>
      <c r="Q1146" s="20">
        <v>14180.0</v>
      </c>
      <c r="R1146" s="20" t="s">
        <v>4007</v>
      </c>
      <c r="S1146" s="20" t="s">
        <v>4006</v>
      </c>
      <c r="T1146" s="20" t="s">
        <v>138</v>
      </c>
    </row>
    <row r="1147" ht="14.25" customHeight="1">
      <c r="A1147" s="20" t="s">
        <v>4008</v>
      </c>
      <c r="B1147" s="20" t="s">
        <v>4009</v>
      </c>
      <c r="C1147" s="20" t="s">
        <v>159</v>
      </c>
      <c r="F1147" s="20" t="s">
        <v>150</v>
      </c>
      <c r="G1147" s="20" t="s">
        <v>150</v>
      </c>
      <c r="I1147" s="20" t="s">
        <v>151</v>
      </c>
      <c r="J1147" s="20" t="s">
        <v>143</v>
      </c>
      <c r="Q1147" s="20">
        <v>14307.0</v>
      </c>
      <c r="R1147" s="20" t="s">
        <v>4010</v>
      </c>
      <c r="S1147" s="20" t="s">
        <v>4009</v>
      </c>
      <c r="T1147" s="20" t="s">
        <v>138</v>
      </c>
    </row>
    <row r="1148" ht="14.25" customHeight="1">
      <c r="A1148" s="20" t="s">
        <v>4011</v>
      </c>
      <c r="B1148" s="20" t="s">
        <v>4012</v>
      </c>
      <c r="C1148" s="20" t="s">
        <v>4013</v>
      </c>
      <c r="F1148" s="20" t="s">
        <v>16</v>
      </c>
      <c r="G1148" s="20" t="s">
        <v>638</v>
      </c>
      <c r="I1148" s="20" t="s">
        <v>1582</v>
      </c>
      <c r="J1148" s="20" t="s">
        <v>143</v>
      </c>
      <c r="K1148" s="20" t="s">
        <v>213</v>
      </c>
      <c r="Q1148" s="20">
        <v>15369.0</v>
      </c>
      <c r="R1148" s="20" t="s">
        <v>4014</v>
      </c>
      <c r="S1148" s="20" t="s">
        <v>4012</v>
      </c>
      <c r="T1148" s="20" t="s">
        <v>138</v>
      </c>
      <c r="V1148" s="20" t="s">
        <v>260</v>
      </c>
      <c r="W1148" s="20" t="s">
        <v>146</v>
      </c>
    </row>
    <row r="1149" ht="14.25" customHeight="1">
      <c r="A1149" s="20" t="s">
        <v>4015</v>
      </c>
      <c r="B1149" s="20" t="s">
        <v>4016</v>
      </c>
      <c r="C1149" s="20" t="s">
        <v>235</v>
      </c>
      <c r="F1149" s="20" t="s">
        <v>15</v>
      </c>
      <c r="G1149" s="20" t="s">
        <v>142</v>
      </c>
      <c r="I1149" s="20" t="s">
        <v>105</v>
      </c>
      <c r="J1149" s="20" t="s">
        <v>143</v>
      </c>
      <c r="Q1149" s="20">
        <v>5389.0</v>
      </c>
      <c r="R1149" s="20" t="s">
        <v>4017</v>
      </c>
      <c r="S1149" s="20" t="s">
        <v>4018</v>
      </c>
      <c r="T1149" s="20" t="s">
        <v>138</v>
      </c>
    </row>
    <row r="1150" ht="14.25" customHeight="1">
      <c r="A1150" s="20" t="s">
        <v>4019</v>
      </c>
      <c r="B1150" s="20" t="s">
        <v>4020</v>
      </c>
      <c r="C1150" s="20" t="s">
        <v>1482</v>
      </c>
      <c r="F1150" s="20" t="s">
        <v>17</v>
      </c>
      <c r="G1150" s="20" t="s">
        <v>17</v>
      </c>
      <c r="I1150" s="20" t="s">
        <v>88</v>
      </c>
      <c r="J1150" s="20" t="s">
        <v>143</v>
      </c>
      <c r="K1150" s="20" t="s">
        <v>213</v>
      </c>
      <c r="Q1150" s="20">
        <v>4962.0</v>
      </c>
      <c r="R1150" s="20" t="s">
        <v>4021</v>
      </c>
      <c r="S1150" s="20" t="s">
        <v>4020</v>
      </c>
      <c r="T1150" s="20" t="s">
        <v>138</v>
      </c>
      <c r="W1150" s="20" t="s">
        <v>261</v>
      </c>
    </row>
    <row r="1151" ht="14.25" customHeight="1">
      <c r="A1151" s="20" t="s">
        <v>4022</v>
      </c>
      <c r="B1151" s="20" t="s">
        <v>4023</v>
      </c>
      <c r="C1151" s="20" t="s">
        <v>163</v>
      </c>
      <c r="F1151" s="20" t="s">
        <v>150</v>
      </c>
      <c r="G1151" s="20" t="s">
        <v>150</v>
      </c>
      <c r="I1151" s="20" t="s">
        <v>151</v>
      </c>
      <c r="J1151" s="20" t="s">
        <v>143</v>
      </c>
      <c r="Q1151" s="20">
        <v>13594.0</v>
      </c>
      <c r="R1151" s="20" t="s">
        <v>4024</v>
      </c>
      <c r="S1151" s="20" t="s">
        <v>4023</v>
      </c>
      <c r="T1151" s="20" t="s">
        <v>138</v>
      </c>
    </row>
    <row r="1152" ht="14.25" customHeight="1">
      <c r="A1152" s="20" t="s">
        <v>4025</v>
      </c>
      <c r="B1152" s="20" t="s">
        <v>4026</v>
      </c>
      <c r="C1152" s="20" t="s">
        <v>2396</v>
      </c>
      <c r="F1152" s="20" t="s">
        <v>16</v>
      </c>
      <c r="G1152" s="20" t="s">
        <v>202</v>
      </c>
      <c r="I1152" s="20" t="s">
        <v>2397</v>
      </c>
      <c r="J1152" s="20" t="s">
        <v>143</v>
      </c>
      <c r="K1152" s="20" t="s">
        <v>167</v>
      </c>
      <c r="Q1152" s="20">
        <v>6929.0</v>
      </c>
      <c r="R1152" s="20" t="s">
        <v>4027</v>
      </c>
      <c r="S1152" s="20" t="s">
        <v>4026</v>
      </c>
      <c r="T1152" s="20" t="s">
        <v>138</v>
      </c>
    </row>
    <row r="1153" ht="14.25" customHeight="1">
      <c r="A1153" s="20" t="s">
        <v>4028</v>
      </c>
      <c r="B1153" s="20" t="s">
        <v>4029</v>
      </c>
      <c r="C1153" s="20" t="s">
        <v>201</v>
      </c>
      <c r="F1153" s="20" t="s">
        <v>16</v>
      </c>
      <c r="G1153" s="20" t="s">
        <v>202</v>
      </c>
      <c r="I1153" s="20" t="s">
        <v>203</v>
      </c>
      <c r="J1153" s="20" t="s">
        <v>143</v>
      </c>
      <c r="Q1153" s="20">
        <v>9086.0</v>
      </c>
      <c r="R1153" s="20" t="s">
        <v>4030</v>
      </c>
      <c r="S1153" s="20" t="s">
        <v>4029</v>
      </c>
      <c r="T1153" s="20" t="s">
        <v>138</v>
      </c>
    </row>
    <row r="1154" ht="14.25" customHeight="1">
      <c r="A1154" s="20" t="s">
        <v>4031</v>
      </c>
      <c r="B1154" s="20" t="s">
        <v>4032</v>
      </c>
      <c r="C1154" s="20" t="s">
        <v>2094</v>
      </c>
      <c r="F1154" s="20" t="s">
        <v>15</v>
      </c>
      <c r="G1154" s="20" t="s">
        <v>142</v>
      </c>
      <c r="I1154" s="20" t="s">
        <v>105</v>
      </c>
      <c r="J1154" s="20" t="s">
        <v>143</v>
      </c>
      <c r="Q1154" s="20">
        <v>5054.0</v>
      </c>
      <c r="R1154" s="20" t="s">
        <v>4033</v>
      </c>
      <c r="S1154" s="20" t="s">
        <v>4032</v>
      </c>
      <c r="T1154" s="20" t="s">
        <v>138</v>
      </c>
      <c r="W1154" s="20" t="s">
        <v>146</v>
      </c>
    </row>
    <row r="1155" ht="14.25" customHeight="1">
      <c r="A1155" s="20" t="s">
        <v>4034</v>
      </c>
      <c r="B1155" s="20" t="s">
        <v>4035</v>
      </c>
      <c r="C1155" s="20" t="s">
        <v>4036</v>
      </c>
      <c r="F1155" s="20" t="s">
        <v>327</v>
      </c>
      <c r="G1155" s="20" t="s">
        <v>395</v>
      </c>
      <c r="I1155" s="20" t="s">
        <v>629</v>
      </c>
      <c r="J1155" s="20" t="s">
        <v>186</v>
      </c>
      <c r="K1155" s="20" t="s">
        <v>167</v>
      </c>
      <c r="Q1155" s="20">
        <v>16265.0</v>
      </c>
      <c r="R1155" s="20" t="s">
        <v>4037</v>
      </c>
      <c r="S1155" s="20" t="s">
        <v>4035</v>
      </c>
      <c r="T1155" s="20" t="s">
        <v>138</v>
      </c>
    </row>
    <row r="1156" ht="14.25" customHeight="1">
      <c r="A1156" s="20" t="s">
        <v>4038</v>
      </c>
      <c r="B1156" s="20" t="s">
        <v>4039</v>
      </c>
      <c r="C1156" s="20" t="s">
        <v>4036</v>
      </c>
      <c r="F1156" s="20" t="s">
        <v>327</v>
      </c>
      <c r="G1156" s="20" t="s">
        <v>395</v>
      </c>
      <c r="I1156" s="20" t="s">
        <v>629</v>
      </c>
      <c r="J1156" s="20" t="s">
        <v>136</v>
      </c>
      <c r="Q1156" s="20">
        <v>16263.0</v>
      </c>
      <c r="R1156" s="20" t="s">
        <v>4040</v>
      </c>
      <c r="S1156" s="20" t="s">
        <v>4039</v>
      </c>
      <c r="T1156" s="20" t="s">
        <v>138</v>
      </c>
      <c r="W1156" s="20" t="s">
        <v>136</v>
      </c>
    </row>
    <row r="1157" ht="14.25" customHeight="1">
      <c r="A1157" s="20" t="s">
        <v>4041</v>
      </c>
      <c r="B1157" s="20" t="s">
        <v>4042</v>
      </c>
      <c r="C1157" s="20" t="s">
        <v>501</v>
      </c>
      <c r="F1157" s="20" t="s">
        <v>16</v>
      </c>
      <c r="G1157" s="20" t="s">
        <v>211</v>
      </c>
      <c r="I1157" s="20" t="s">
        <v>4043</v>
      </c>
      <c r="J1157" s="20" t="s">
        <v>186</v>
      </c>
      <c r="K1157" s="20" t="s">
        <v>187</v>
      </c>
      <c r="Q1157" s="20">
        <v>1338.0</v>
      </c>
      <c r="R1157" s="20" t="s">
        <v>4044</v>
      </c>
      <c r="S1157" s="20" t="s">
        <v>4042</v>
      </c>
      <c r="T1157" s="20" t="s">
        <v>138</v>
      </c>
      <c r="W1157" s="20" t="s">
        <v>261</v>
      </c>
    </row>
    <row r="1158" ht="14.25" customHeight="1">
      <c r="A1158" s="20" t="s">
        <v>4045</v>
      </c>
      <c r="B1158" s="20" t="s">
        <v>4046</v>
      </c>
      <c r="C1158" s="20" t="s">
        <v>1676</v>
      </c>
      <c r="F1158" s="20" t="s">
        <v>16</v>
      </c>
      <c r="G1158" s="20" t="s">
        <v>202</v>
      </c>
      <c r="I1158" s="20" t="s">
        <v>203</v>
      </c>
      <c r="J1158" s="20" t="s">
        <v>186</v>
      </c>
      <c r="K1158" s="20" t="s">
        <v>213</v>
      </c>
      <c r="Q1158" s="20">
        <v>1920.0</v>
      </c>
      <c r="R1158" s="20" t="s">
        <v>4047</v>
      </c>
      <c r="S1158" s="20" t="s">
        <v>4046</v>
      </c>
      <c r="T1158" s="20" t="s">
        <v>138</v>
      </c>
      <c r="V1158" s="20" t="s">
        <v>189</v>
      </c>
      <c r="W1158" s="20" t="s">
        <v>146</v>
      </c>
    </row>
    <row r="1159" ht="14.25" customHeight="1">
      <c r="A1159" s="20" t="s">
        <v>4048</v>
      </c>
      <c r="B1159" s="20" t="s">
        <v>4049</v>
      </c>
      <c r="C1159" s="20" t="s">
        <v>3457</v>
      </c>
      <c r="F1159" s="20" t="s">
        <v>218</v>
      </c>
      <c r="G1159" s="20" t="s">
        <v>219</v>
      </c>
      <c r="I1159" s="20" t="s">
        <v>314</v>
      </c>
      <c r="J1159" s="20" t="s">
        <v>186</v>
      </c>
      <c r="Q1159" s="20">
        <v>5367.0</v>
      </c>
      <c r="R1159" s="20" t="s">
        <v>4050</v>
      </c>
      <c r="S1159" s="20" t="s">
        <v>4049</v>
      </c>
      <c r="T1159" s="20" t="s">
        <v>138</v>
      </c>
    </row>
    <row r="1160" ht="14.25" customHeight="1">
      <c r="A1160" s="20" t="s">
        <v>4051</v>
      </c>
      <c r="B1160" s="20" t="s">
        <v>4052</v>
      </c>
      <c r="C1160" s="20" t="s">
        <v>272</v>
      </c>
      <c r="F1160" s="20" t="s">
        <v>150</v>
      </c>
      <c r="G1160" s="20" t="s">
        <v>150</v>
      </c>
      <c r="I1160" s="20" t="s">
        <v>151</v>
      </c>
      <c r="J1160" s="20" t="s">
        <v>143</v>
      </c>
      <c r="Q1160" s="20">
        <v>12396.0</v>
      </c>
      <c r="R1160" s="20" t="s">
        <v>4053</v>
      </c>
      <c r="S1160" s="20" t="s">
        <v>4052</v>
      </c>
      <c r="T1160" s="20" t="s">
        <v>138</v>
      </c>
    </row>
    <row r="1161" ht="14.25" customHeight="1">
      <c r="A1161" s="20" t="s">
        <v>4054</v>
      </c>
      <c r="B1161" s="20" t="s">
        <v>4055</v>
      </c>
      <c r="C1161" s="20" t="s">
        <v>197</v>
      </c>
      <c r="F1161" s="20" t="s">
        <v>150</v>
      </c>
      <c r="G1161" s="20" t="s">
        <v>150</v>
      </c>
      <c r="I1161" s="20" t="s">
        <v>151</v>
      </c>
      <c r="J1161" s="20" t="s">
        <v>143</v>
      </c>
      <c r="Q1161" s="20">
        <v>3444.0</v>
      </c>
      <c r="R1161" s="20" t="s">
        <v>4056</v>
      </c>
      <c r="S1161" s="20" t="s">
        <v>4055</v>
      </c>
      <c r="T1161" s="20" t="s">
        <v>138</v>
      </c>
    </row>
    <row r="1162" ht="14.25" customHeight="1">
      <c r="A1162" s="20" t="s">
        <v>4057</v>
      </c>
      <c r="B1162" s="20" t="s">
        <v>4058</v>
      </c>
      <c r="C1162" s="20" t="s">
        <v>482</v>
      </c>
      <c r="F1162" s="20" t="s">
        <v>15</v>
      </c>
      <c r="G1162" s="20" t="s">
        <v>142</v>
      </c>
      <c r="I1162" s="20" t="s">
        <v>105</v>
      </c>
      <c r="J1162" s="20" t="s">
        <v>143</v>
      </c>
      <c r="Q1162" s="20">
        <v>14718.0</v>
      </c>
      <c r="R1162" s="20" t="s">
        <v>4059</v>
      </c>
      <c r="S1162" s="20" t="s">
        <v>4058</v>
      </c>
      <c r="T1162" s="20" t="s">
        <v>138</v>
      </c>
    </row>
    <row r="1163" ht="14.25" customHeight="1">
      <c r="A1163" s="20" t="s">
        <v>4060</v>
      </c>
      <c r="B1163" s="20" t="s">
        <v>4061</v>
      </c>
      <c r="C1163" s="20" t="s">
        <v>193</v>
      </c>
      <c r="F1163" s="20" t="s">
        <v>150</v>
      </c>
      <c r="G1163" s="20" t="s">
        <v>150</v>
      </c>
      <c r="I1163" s="20" t="s">
        <v>151</v>
      </c>
      <c r="J1163" s="20" t="s">
        <v>143</v>
      </c>
      <c r="Q1163" s="20">
        <v>6042.0</v>
      </c>
      <c r="R1163" s="20" t="s">
        <v>4062</v>
      </c>
      <c r="S1163" s="20" t="s">
        <v>4061</v>
      </c>
      <c r="T1163" s="20" t="s">
        <v>138</v>
      </c>
    </row>
    <row r="1164" ht="14.25" customHeight="1">
      <c r="A1164" s="20" t="s">
        <v>4063</v>
      </c>
      <c r="B1164" s="20" t="s">
        <v>4064</v>
      </c>
      <c r="C1164" s="20" t="s">
        <v>928</v>
      </c>
      <c r="F1164" s="20" t="s">
        <v>327</v>
      </c>
      <c r="G1164" s="20" t="s">
        <v>328</v>
      </c>
      <c r="I1164" s="20" t="s">
        <v>329</v>
      </c>
      <c r="J1164" s="20" t="s">
        <v>143</v>
      </c>
      <c r="Q1164" s="20">
        <v>14825.0</v>
      </c>
      <c r="R1164" s="20" t="s">
        <v>4065</v>
      </c>
      <c r="S1164" s="20" t="s">
        <v>4064</v>
      </c>
      <c r="T1164" s="20" t="s">
        <v>138</v>
      </c>
    </row>
    <row r="1165" ht="14.25" customHeight="1">
      <c r="A1165" s="20" t="s">
        <v>4066</v>
      </c>
      <c r="B1165" s="20" t="s">
        <v>4067</v>
      </c>
      <c r="C1165" s="20" t="s">
        <v>159</v>
      </c>
      <c r="F1165" s="20" t="s">
        <v>150</v>
      </c>
      <c r="G1165" s="20" t="s">
        <v>150</v>
      </c>
      <c r="I1165" s="20" t="s">
        <v>151</v>
      </c>
      <c r="J1165" s="20" t="s">
        <v>143</v>
      </c>
      <c r="Q1165" s="20">
        <v>15720.0</v>
      </c>
      <c r="R1165" s="20" t="s">
        <v>4068</v>
      </c>
      <c r="S1165" s="20" t="s">
        <v>4067</v>
      </c>
      <c r="T1165" s="20" t="s">
        <v>138</v>
      </c>
    </row>
    <row r="1166" ht="14.25" customHeight="1">
      <c r="A1166" s="20" t="s">
        <v>4069</v>
      </c>
      <c r="B1166" s="20" t="s">
        <v>4070</v>
      </c>
      <c r="C1166" s="20" t="s">
        <v>174</v>
      </c>
      <c r="F1166" s="20" t="s">
        <v>150</v>
      </c>
      <c r="G1166" s="20" t="s">
        <v>150</v>
      </c>
      <c r="I1166" s="20" t="s">
        <v>151</v>
      </c>
      <c r="J1166" s="20" t="s">
        <v>143</v>
      </c>
      <c r="Q1166" s="20">
        <v>15533.0</v>
      </c>
      <c r="R1166" s="20" t="s">
        <v>4071</v>
      </c>
      <c r="S1166" s="20" t="s">
        <v>4070</v>
      </c>
      <c r="T1166" s="20" t="s">
        <v>138</v>
      </c>
    </row>
    <row r="1167" ht="14.25" customHeight="1">
      <c r="A1167" s="20" t="s">
        <v>4072</v>
      </c>
      <c r="B1167" s="20" t="s">
        <v>4073</v>
      </c>
      <c r="C1167" s="20" t="s">
        <v>235</v>
      </c>
      <c r="F1167" s="20" t="s">
        <v>15</v>
      </c>
      <c r="G1167" s="20" t="s">
        <v>142</v>
      </c>
      <c r="I1167" s="20" t="s">
        <v>105</v>
      </c>
      <c r="J1167" s="20" t="s">
        <v>143</v>
      </c>
      <c r="Q1167" s="20">
        <v>9938.0</v>
      </c>
      <c r="R1167" s="20" t="s">
        <v>4074</v>
      </c>
      <c r="S1167" s="20" t="s">
        <v>4073</v>
      </c>
      <c r="T1167" s="20" t="s">
        <v>138</v>
      </c>
    </row>
    <row r="1168" ht="14.25" customHeight="1">
      <c r="A1168" s="20" t="s">
        <v>4075</v>
      </c>
      <c r="B1168" s="20" t="s">
        <v>4076</v>
      </c>
      <c r="C1168" s="20" t="s">
        <v>178</v>
      </c>
      <c r="F1168" s="20" t="s">
        <v>150</v>
      </c>
      <c r="G1168" s="20" t="s">
        <v>150</v>
      </c>
      <c r="I1168" s="20" t="s">
        <v>151</v>
      </c>
      <c r="J1168" s="20" t="s">
        <v>143</v>
      </c>
      <c r="Q1168" s="20">
        <v>7876.0</v>
      </c>
      <c r="R1168" s="20" t="s">
        <v>4077</v>
      </c>
      <c r="S1168" s="20" t="s">
        <v>4076</v>
      </c>
      <c r="T1168" s="20" t="s">
        <v>138</v>
      </c>
    </row>
    <row r="1169" ht="14.25" customHeight="1">
      <c r="A1169" s="20" t="s">
        <v>4078</v>
      </c>
      <c r="B1169" s="20" t="s">
        <v>4079</v>
      </c>
      <c r="C1169" s="20" t="s">
        <v>4080</v>
      </c>
      <c r="F1169" s="20" t="s">
        <v>15</v>
      </c>
      <c r="G1169" s="20" t="s">
        <v>142</v>
      </c>
      <c r="I1169" s="20" t="s">
        <v>105</v>
      </c>
      <c r="J1169" s="20" t="s">
        <v>143</v>
      </c>
      <c r="Q1169" s="20">
        <v>8404.0</v>
      </c>
      <c r="R1169" s="20" t="s">
        <v>4081</v>
      </c>
      <c r="S1169" s="20" t="s">
        <v>4079</v>
      </c>
      <c r="T1169" s="20" t="s">
        <v>138</v>
      </c>
      <c r="W1169" s="20" t="s">
        <v>261</v>
      </c>
    </row>
    <row r="1170" ht="14.25" customHeight="1">
      <c r="A1170" s="20" t="s">
        <v>4082</v>
      </c>
      <c r="B1170" s="20" t="s">
        <v>4083</v>
      </c>
      <c r="C1170" s="20" t="s">
        <v>1762</v>
      </c>
      <c r="F1170" s="20" t="s">
        <v>15</v>
      </c>
      <c r="G1170" s="20" t="s">
        <v>135</v>
      </c>
      <c r="I1170" s="20" t="s">
        <v>90</v>
      </c>
      <c r="J1170" s="20" t="s">
        <v>186</v>
      </c>
      <c r="K1170" s="20" t="s">
        <v>167</v>
      </c>
      <c r="Q1170" s="20">
        <v>7506.0</v>
      </c>
      <c r="R1170" s="20" t="s">
        <v>4084</v>
      </c>
      <c r="S1170" s="20" t="s">
        <v>4083</v>
      </c>
      <c r="T1170" s="20" t="s">
        <v>138</v>
      </c>
    </row>
    <row r="1171" ht="14.25" customHeight="1">
      <c r="A1171" s="20" t="s">
        <v>4085</v>
      </c>
      <c r="B1171" s="20" t="s">
        <v>4086</v>
      </c>
      <c r="C1171" s="20" t="s">
        <v>4087</v>
      </c>
      <c r="F1171" s="20" t="s">
        <v>16</v>
      </c>
      <c r="G1171" s="20" t="s">
        <v>202</v>
      </c>
      <c r="H1171" s="20">
        <v>15613.0</v>
      </c>
      <c r="I1171" s="20" t="s">
        <v>87</v>
      </c>
      <c r="J1171" s="20" t="s">
        <v>143</v>
      </c>
      <c r="Q1171" s="20">
        <v>15613.0</v>
      </c>
      <c r="R1171" s="20" t="s">
        <v>4088</v>
      </c>
      <c r="S1171" s="20" t="s">
        <v>4086</v>
      </c>
      <c r="T1171" s="20" t="s">
        <v>138</v>
      </c>
      <c r="U1171" s="24">
        <v>44749.0</v>
      </c>
    </row>
    <row r="1172" ht="14.25" customHeight="1">
      <c r="A1172" s="20" t="s">
        <v>4089</v>
      </c>
      <c r="B1172" s="20" t="s">
        <v>4090</v>
      </c>
      <c r="C1172" s="20" t="s">
        <v>1126</v>
      </c>
      <c r="F1172" s="20" t="s">
        <v>15</v>
      </c>
      <c r="G1172" s="20" t="s">
        <v>135</v>
      </c>
      <c r="I1172" s="20" t="s">
        <v>96</v>
      </c>
      <c r="J1172" s="20" t="s">
        <v>186</v>
      </c>
      <c r="K1172" s="20" t="s">
        <v>167</v>
      </c>
      <c r="Q1172" s="20">
        <v>654.0</v>
      </c>
      <c r="R1172" s="20" t="s">
        <v>4091</v>
      </c>
      <c r="S1172" s="20" t="s">
        <v>4090</v>
      </c>
      <c r="T1172" s="20" t="s">
        <v>138</v>
      </c>
    </row>
    <row r="1173" ht="14.25" customHeight="1">
      <c r="A1173" s="20" t="s">
        <v>4092</v>
      </c>
      <c r="B1173" s="20" t="s">
        <v>4093</v>
      </c>
      <c r="C1173" s="20" t="s">
        <v>775</v>
      </c>
      <c r="F1173" s="20" t="s">
        <v>327</v>
      </c>
      <c r="G1173" s="20" t="s">
        <v>385</v>
      </c>
      <c r="I1173" s="20" t="s">
        <v>762</v>
      </c>
      <c r="J1173" s="20" t="s">
        <v>136</v>
      </c>
      <c r="Q1173" s="20">
        <v>16066.0</v>
      </c>
      <c r="R1173" s="20" t="s">
        <v>4094</v>
      </c>
      <c r="S1173" s="20" t="s">
        <v>4093</v>
      </c>
      <c r="T1173" s="20" t="s">
        <v>138</v>
      </c>
    </row>
    <row r="1174" ht="14.25" customHeight="1">
      <c r="A1174" s="20" t="s">
        <v>4095</v>
      </c>
      <c r="B1174" s="20" t="s">
        <v>4096</v>
      </c>
      <c r="C1174" s="20" t="s">
        <v>174</v>
      </c>
      <c r="F1174" s="20" t="s">
        <v>150</v>
      </c>
      <c r="G1174" s="20" t="s">
        <v>150</v>
      </c>
      <c r="I1174" s="20" t="s">
        <v>151</v>
      </c>
      <c r="J1174" s="20" t="s">
        <v>143</v>
      </c>
      <c r="Q1174" s="20">
        <v>11291.0</v>
      </c>
      <c r="R1174" s="20" t="s">
        <v>4097</v>
      </c>
      <c r="S1174" s="20" t="s">
        <v>4096</v>
      </c>
      <c r="T1174" s="20" t="s">
        <v>138</v>
      </c>
    </row>
    <row r="1175" ht="14.25" customHeight="1">
      <c r="A1175" s="20" t="s">
        <v>4098</v>
      </c>
      <c r="B1175" s="20" t="s">
        <v>4099</v>
      </c>
      <c r="C1175" s="20" t="s">
        <v>2698</v>
      </c>
      <c r="F1175" s="20" t="s">
        <v>327</v>
      </c>
      <c r="G1175" s="20" t="s">
        <v>385</v>
      </c>
      <c r="I1175" s="20" t="s">
        <v>1936</v>
      </c>
      <c r="J1175" s="20" t="s">
        <v>186</v>
      </c>
      <c r="Q1175" s="20">
        <v>6348.0</v>
      </c>
      <c r="R1175" s="20" t="s">
        <v>4100</v>
      </c>
      <c r="S1175" s="20" t="s">
        <v>4099</v>
      </c>
      <c r="T1175" s="20" t="s">
        <v>138</v>
      </c>
    </row>
    <row r="1176" ht="14.25" customHeight="1">
      <c r="A1176" s="20" t="s">
        <v>4101</v>
      </c>
      <c r="B1176" s="20" t="s">
        <v>4102</v>
      </c>
      <c r="C1176" s="20" t="s">
        <v>2649</v>
      </c>
      <c r="F1176" s="20" t="s">
        <v>15</v>
      </c>
      <c r="G1176" s="20" t="s">
        <v>135</v>
      </c>
      <c r="I1176" s="20" t="s">
        <v>100</v>
      </c>
      <c r="J1176" s="20" t="s">
        <v>136</v>
      </c>
      <c r="Q1176" s="20">
        <v>9398.0</v>
      </c>
      <c r="R1176" s="20" t="s">
        <v>4103</v>
      </c>
      <c r="S1176" s="20" t="s">
        <v>4102</v>
      </c>
      <c r="T1176" s="20" t="s">
        <v>138</v>
      </c>
      <c r="W1176" s="20" t="s">
        <v>136</v>
      </c>
    </row>
    <row r="1177" ht="14.25" customHeight="1">
      <c r="A1177" s="20" t="s">
        <v>4104</v>
      </c>
      <c r="B1177" s="20" t="s">
        <v>4105</v>
      </c>
      <c r="C1177" s="20" t="s">
        <v>193</v>
      </c>
      <c r="F1177" s="20" t="s">
        <v>150</v>
      </c>
      <c r="G1177" s="20" t="s">
        <v>150</v>
      </c>
      <c r="I1177" s="20" t="s">
        <v>151</v>
      </c>
      <c r="J1177" s="20" t="s">
        <v>143</v>
      </c>
      <c r="Q1177" s="20">
        <v>12393.0</v>
      </c>
      <c r="R1177" s="20" t="s">
        <v>4106</v>
      </c>
      <c r="S1177" s="20" t="s">
        <v>4105</v>
      </c>
      <c r="T1177" s="20" t="s">
        <v>138</v>
      </c>
    </row>
    <row r="1178" ht="14.25" customHeight="1">
      <c r="A1178" s="20" t="s">
        <v>4107</v>
      </c>
      <c r="B1178" s="20" t="s">
        <v>4108</v>
      </c>
      <c r="C1178" s="20" t="s">
        <v>4109</v>
      </c>
      <c r="F1178" s="20" t="s">
        <v>327</v>
      </c>
      <c r="G1178" s="20" t="s">
        <v>385</v>
      </c>
      <c r="I1178" s="20" t="s">
        <v>4110</v>
      </c>
      <c r="J1178" s="20" t="s">
        <v>186</v>
      </c>
      <c r="K1178" s="20" t="s">
        <v>167</v>
      </c>
      <c r="Q1178" s="20">
        <v>1409.0</v>
      </c>
      <c r="R1178" s="20" t="s">
        <v>4111</v>
      </c>
      <c r="S1178" s="20" t="s">
        <v>4108</v>
      </c>
      <c r="T1178" s="20" t="s">
        <v>138</v>
      </c>
    </row>
    <row r="1179" ht="14.25" customHeight="1">
      <c r="A1179" s="20" t="s">
        <v>4112</v>
      </c>
      <c r="B1179" s="20" t="s">
        <v>4113</v>
      </c>
      <c r="C1179" s="20" t="s">
        <v>775</v>
      </c>
      <c r="F1179" s="20" t="s">
        <v>327</v>
      </c>
      <c r="G1179" s="20" t="s">
        <v>385</v>
      </c>
      <c r="I1179" s="20" t="s">
        <v>4114</v>
      </c>
      <c r="J1179" s="20" t="s">
        <v>143</v>
      </c>
      <c r="K1179" s="20" t="s">
        <v>167</v>
      </c>
      <c r="Q1179" s="20">
        <v>10318.0</v>
      </c>
      <c r="R1179" s="20" t="s">
        <v>4115</v>
      </c>
      <c r="S1179" s="20" t="s">
        <v>4113</v>
      </c>
      <c r="T1179" s="20" t="s">
        <v>138</v>
      </c>
    </row>
    <row r="1180" ht="14.25" customHeight="1">
      <c r="A1180" s="20" t="s">
        <v>4116</v>
      </c>
      <c r="B1180" s="20" t="s">
        <v>4117</v>
      </c>
      <c r="C1180" s="20" t="s">
        <v>235</v>
      </c>
      <c r="F1180" s="20" t="s">
        <v>15</v>
      </c>
      <c r="G1180" s="20" t="s">
        <v>142</v>
      </c>
      <c r="I1180" s="20" t="s">
        <v>105</v>
      </c>
      <c r="J1180" s="20" t="s">
        <v>143</v>
      </c>
      <c r="Q1180" s="20">
        <v>9182.0</v>
      </c>
      <c r="R1180" s="20" t="s">
        <v>4118</v>
      </c>
      <c r="S1180" s="20" t="s">
        <v>4117</v>
      </c>
      <c r="T1180" s="20" t="s">
        <v>138</v>
      </c>
    </row>
    <row r="1181" ht="14.25" customHeight="1">
      <c r="A1181" s="20" t="s">
        <v>4119</v>
      </c>
      <c r="B1181" s="20" t="s">
        <v>4120</v>
      </c>
      <c r="C1181" s="20" t="s">
        <v>174</v>
      </c>
      <c r="F1181" s="20" t="s">
        <v>150</v>
      </c>
      <c r="G1181" s="20" t="s">
        <v>150</v>
      </c>
      <c r="I1181" s="20" t="s">
        <v>151</v>
      </c>
      <c r="J1181" s="20" t="s">
        <v>143</v>
      </c>
      <c r="Q1181" s="20">
        <v>634.0</v>
      </c>
      <c r="R1181" s="20" t="s">
        <v>4121</v>
      </c>
      <c r="S1181" s="20" t="s">
        <v>4120</v>
      </c>
      <c r="T1181" s="20" t="s">
        <v>138</v>
      </c>
    </row>
    <row r="1182" ht="14.25" customHeight="1">
      <c r="A1182" s="20" t="s">
        <v>4122</v>
      </c>
      <c r="B1182" s="20" t="s">
        <v>4123</v>
      </c>
      <c r="C1182" s="20" t="s">
        <v>193</v>
      </c>
      <c r="F1182" s="20" t="s">
        <v>150</v>
      </c>
      <c r="G1182" s="20" t="s">
        <v>150</v>
      </c>
      <c r="I1182" s="20" t="s">
        <v>151</v>
      </c>
      <c r="J1182" s="20" t="s">
        <v>143</v>
      </c>
      <c r="K1182" s="20" t="s">
        <v>167</v>
      </c>
      <c r="Q1182" s="20">
        <v>10432.0</v>
      </c>
      <c r="R1182" s="20" t="s">
        <v>4124</v>
      </c>
      <c r="S1182" s="20" t="s">
        <v>4123</v>
      </c>
      <c r="T1182" s="20" t="s">
        <v>138</v>
      </c>
    </row>
    <row r="1183" ht="14.25" customHeight="1">
      <c r="A1183" s="20" t="s">
        <v>4125</v>
      </c>
      <c r="B1183" s="20" t="s">
        <v>4126</v>
      </c>
      <c r="C1183" s="20" t="s">
        <v>694</v>
      </c>
      <c r="F1183" s="20" t="s">
        <v>16</v>
      </c>
      <c r="G1183" s="20" t="s">
        <v>202</v>
      </c>
      <c r="I1183" s="20" t="s">
        <v>87</v>
      </c>
      <c r="J1183" s="20" t="s">
        <v>136</v>
      </c>
      <c r="Q1183" s="20">
        <v>6191.0</v>
      </c>
      <c r="R1183" s="20" t="s">
        <v>4127</v>
      </c>
      <c r="S1183" s="20" t="s">
        <v>4126</v>
      </c>
      <c r="T1183" s="20" t="s">
        <v>138</v>
      </c>
      <c r="W1183" s="20" t="s">
        <v>372</v>
      </c>
    </row>
    <row r="1184" ht="14.25" customHeight="1">
      <c r="A1184" s="20" t="s">
        <v>4128</v>
      </c>
      <c r="B1184" s="20" t="s">
        <v>4129</v>
      </c>
      <c r="C1184" s="20" t="s">
        <v>1144</v>
      </c>
      <c r="F1184" s="20" t="s">
        <v>150</v>
      </c>
      <c r="G1184" s="20" t="s">
        <v>150</v>
      </c>
      <c r="I1184" s="20" t="s">
        <v>151</v>
      </c>
      <c r="J1184" s="20" t="s">
        <v>186</v>
      </c>
      <c r="Q1184" s="20">
        <v>635.0</v>
      </c>
      <c r="R1184" s="20" t="s">
        <v>4130</v>
      </c>
      <c r="S1184" s="20" t="s">
        <v>4129</v>
      </c>
      <c r="T1184" s="20" t="s">
        <v>138</v>
      </c>
    </row>
    <row r="1185" ht="14.25" customHeight="1">
      <c r="A1185" s="20" t="s">
        <v>4131</v>
      </c>
      <c r="B1185" s="20" t="s">
        <v>4132</v>
      </c>
      <c r="C1185" s="20" t="s">
        <v>1144</v>
      </c>
      <c r="F1185" s="20" t="s">
        <v>150</v>
      </c>
      <c r="G1185" s="20" t="s">
        <v>150</v>
      </c>
      <c r="I1185" s="20" t="s">
        <v>151</v>
      </c>
      <c r="J1185" s="20" t="s">
        <v>186</v>
      </c>
      <c r="Q1185" s="20">
        <v>685.0</v>
      </c>
      <c r="R1185" s="20" t="s">
        <v>4133</v>
      </c>
      <c r="S1185" s="20" t="s">
        <v>4132</v>
      </c>
      <c r="T1185" s="20" t="s">
        <v>138</v>
      </c>
    </row>
    <row r="1186" ht="14.25" customHeight="1">
      <c r="A1186" s="20" t="s">
        <v>4134</v>
      </c>
      <c r="B1186" s="20" t="s">
        <v>4135</v>
      </c>
      <c r="C1186" s="20" t="s">
        <v>1103</v>
      </c>
      <c r="F1186" s="20" t="s">
        <v>327</v>
      </c>
      <c r="G1186" s="20" t="s">
        <v>395</v>
      </c>
      <c r="I1186" s="20" t="s">
        <v>1104</v>
      </c>
      <c r="J1186" s="20" t="s">
        <v>143</v>
      </c>
      <c r="K1186" s="20" t="s">
        <v>213</v>
      </c>
      <c r="Q1186" s="20">
        <v>15426.0</v>
      </c>
      <c r="R1186" s="20" t="s">
        <v>4136</v>
      </c>
      <c r="S1186" s="20" t="s">
        <v>4135</v>
      </c>
      <c r="T1186" s="20" t="s">
        <v>138</v>
      </c>
    </row>
    <row r="1187" ht="14.25" customHeight="1">
      <c r="A1187" s="20" t="s">
        <v>4137</v>
      </c>
      <c r="B1187" s="20" t="s">
        <v>4138</v>
      </c>
      <c r="C1187" s="20" t="s">
        <v>1103</v>
      </c>
      <c r="F1187" s="20" t="s">
        <v>327</v>
      </c>
      <c r="G1187" s="20" t="s">
        <v>395</v>
      </c>
      <c r="I1187" s="20" t="s">
        <v>1104</v>
      </c>
      <c r="J1187" s="20" t="s">
        <v>143</v>
      </c>
      <c r="Q1187" s="20">
        <v>15184.0</v>
      </c>
      <c r="R1187" s="20" t="s">
        <v>4139</v>
      </c>
      <c r="S1187" s="20" t="s">
        <v>4138</v>
      </c>
      <c r="T1187" s="20" t="s">
        <v>138</v>
      </c>
    </row>
    <row r="1188" ht="14.25" customHeight="1">
      <c r="A1188" s="20" t="s">
        <v>4140</v>
      </c>
      <c r="B1188" s="20" t="s">
        <v>4141</v>
      </c>
      <c r="C1188" s="20" t="s">
        <v>4142</v>
      </c>
      <c r="F1188" s="20" t="s">
        <v>15</v>
      </c>
      <c r="G1188" s="20" t="s">
        <v>135</v>
      </c>
      <c r="H1188" s="20">
        <v>6483.0</v>
      </c>
      <c r="I1188" s="20" t="s">
        <v>100</v>
      </c>
      <c r="J1188" s="20" t="s">
        <v>143</v>
      </c>
      <c r="Q1188" s="20">
        <v>6483.0</v>
      </c>
      <c r="R1188" s="20" t="s">
        <v>4143</v>
      </c>
      <c r="S1188" s="20" t="s">
        <v>4141</v>
      </c>
      <c r="T1188" s="20" t="s">
        <v>138</v>
      </c>
      <c r="W1188" s="20" t="s">
        <v>146</v>
      </c>
    </row>
    <row r="1189" ht="14.25" customHeight="1">
      <c r="A1189" s="20" t="s">
        <v>4144</v>
      </c>
      <c r="B1189" s="20" t="s">
        <v>4145</v>
      </c>
      <c r="C1189" s="20" t="s">
        <v>3744</v>
      </c>
      <c r="F1189" s="20" t="s">
        <v>16</v>
      </c>
      <c r="G1189" s="20" t="s">
        <v>202</v>
      </c>
      <c r="I1189" s="20" t="s">
        <v>87</v>
      </c>
      <c r="J1189" s="20" t="s">
        <v>136</v>
      </c>
      <c r="Q1189" s="20">
        <v>16023.0</v>
      </c>
      <c r="R1189" s="20" t="s">
        <v>4146</v>
      </c>
      <c r="S1189" s="20" t="s">
        <v>4145</v>
      </c>
      <c r="T1189" s="20" t="s">
        <v>138</v>
      </c>
    </row>
    <row r="1190" ht="14.25" customHeight="1">
      <c r="A1190" s="20" t="s">
        <v>4147</v>
      </c>
      <c r="B1190" s="20" t="s">
        <v>4148</v>
      </c>
      <c r="C1190" s="20" t="s">
        <v>149</v>
      </c>
      <c r="F1190" s="20" t="s">
        <v>150</v>
      </c>
      <c r="G1190" s="20" t="s">
        <v>150</v>
      </c>
      <c r="I1190" s="20" t="s">
        <v>151</v>
      </c>
      <c r="J1190" s="20" t="s">
        <v>143</v>
      </c>
      <c r="Q1190" s="20">
        <v>15518.0</v>
      </c>
      <c r="R1190" s="20" t="s">
        <v>4149</v>
      </c>
      <c r="S1190" s="20" t="s">
        <v>4148</v>
      </c>
      <c r="T1190" s="20" t="s">
        <v>138</v>
      </c>
    </row>
    <row r="1191" ht="14.25" customHeight="1">
      <c r="A1191" s="20" t="s">
        <v>4150</v>
      </c>
      <c r="B1191" s="20" t="s">
        <v>4151</v>
      </c>
      <c r="C1191" s="20" t="s">
        <v>193</v>
      </c>
      <c r="F1191" s="20" t="s">
        <v>150</v>
      </c>
      <c r="G1191" s="20" t="s">
        <v>150</v>
      </c>
      <c r="I1191" s="20" t="s">
        <v>151</v>
      </c>
      <c r="J1191" s="20" t="s">
        <v>143</v>
      </c>
      <c r="Q1191" s="20">
        <v>14694.0</v>
      </c>
      <c r="R1191" s="20" t="s">
        <v>4152</v>
      </c>
      <c r="S1191" s="20" t="s">
        <v>4151</v>
      </c>
      <c r="T1191" s="20" t="s">
        <v>138</v>
      </c>
    </row>
    <row r="1192" ht="14.25" customHeight="1">
      <c r="A1192" s="20" t="s">
        <v>4153</v>
      </c>
      <c r="B1192" s="20" t="s">
        <v>4154</v>
      </c>
      <c r="C1192" s="20" t="s">
        <v>289</v>
      </c>
      <c r="F1192" s="20" t="s">
        <v>150</v>
      </c>
      <c r="G1192" s="20" t="s">
        <v>150</v>
      </c>
      <c r="I1192" s="20" t="s">
        <v>151</v>
      </c>
      <c r="J1192" s="20" t="s">
        <v>143</v>
      </c>
      <c r="Q1192" s="20">
        <v>10826.0</v>
      </c>
      <c r="R1192" s="20" t="s">
        <v>4155</v>
      </c>
      <c r="S1192" s="20" t="s">
        <v>4154</v>
      </c>
      <c r="T1192" s="20" t="s">
        <v>138</v>
      </c>
    </row>
    <row r="1193" ht="14.25" customHeight="1">
      <c r="A1193" s="20" t="s">
        <v>4156</v>
      </c>
      <c r="B1193" s="20" t="s">
        <v>4157</v>
      </c>
      <c r="C1193" s="20" t="s">
        <v>2094</v>
      </c>
      <c r="F1193" s="20" t="s">
        <v>15</v>
      </c>
      <c r="G1193" s="20" t="s">
        <v>142</v>
      </c>
      <c r="H1193" s="20">
        <v>17894.0</v>
      </c>
      <c r="I1193" s="20" t="s">
        <v>105</v>
      </c>
      <c r="J1193" s="20" t="s">
        <v>143</v>
      </c>
      <c r="P1193" s="20" t="s">
        <v>4157</v>
      </c>
      <c r="Q1193" s="20">
        <v>17894.0</v>
      </c>
      <c r="R1193" s="20" t="s">
        <v>4158</v>
      </c>
      <c r="S1193" s="20" t="s">
        <v>4018</v>
      </c>
      <c r="T1193" s="20" t="s">
        <v>138</v>
      </c>
      <c r="W1193" s="20" t="s">
        <v>146</v>
      </c>
    </row>
    <row r="1194" ht="14.25" customHeight="1">
      <c r="A1194" s="20" t="s">
        <v>4159</v>
      </c>
      <c r="B1194" s="20" t="s">
        <v>4160</v>
      </c>
      <c r="C1194" s="20" t="s">
        <v>174</v>
      </c>
      <c r="F1194" s="20" t="s">
        <v>150</v>
      </c>
      <c r="G1194" s="20" t="s">
        <v>150</v>
      </c>
      <c r="I1194" s="20" t="s">
        <v>151</v>
      </c>
      <c r="J1194" s="20" t="s">
        <v>143</v>
      </c>
      <c r="Q1194" s="20">
        <v>6144.0</v>
      </c>
      <c r="R1194" s="20" t="s">
        <v>4161</v>
      </c>
      <c r="S1194" s="20" t="s">
        <v>4160</v>
      </c>
      <c r="T1194" s="20" t="s">
        <v>138</v>
      </c>
    </row>
    <row r="1195" ht="14.25" customHeight="1">
      <c r="A1195" s="20" t="s">
        <v>4162</v>
      </c>
      <c r="B1195" s="20" t="s">
        <v>4163</v>
      </c>
      <c r="C1195" s="20" t="s">
        <v>289</v>
      </c>
      <c r="F1195" s="20" t="s">
        <v>150</v>
      </c>
      <c r="G1195" s="20" t="s">
        <v>150</v>
      </c>
      <c r="I1195" s="20" t="s">
        <v>151</v>
      </c>
      <c r="J1195" s="20" t="s">
        <v>143</v>
      </c>
      <c r="Q1195" s="20">
        <v>14919.0</v>
      </c>
      <c r="R1195" s="20" t="s">
        <v>4164</v>
      </c>
      <c r="S1195" s="20" t="s">
        <v>4163</v>
      </c>
      <c r="T1195" s="20" t="s">
        <v>138</v>
      </c>
    </row>
    <row r="1196" ht="14.25" customHeight="1">
      <c r="A1196" s="20" t="s">
        <v>4165</v>
      </c>
      <c r="B1196" s="20" t="s">
        <v>4166</v>
      </c>
      <c r="C1196" s="20" t="s">
        <v>394</v>
      </c>
      <c r="F1196" s="20" t="s">
        <v>327</v>
      </c>
      <c r="G1196" s="20" t="s">
        <v>385</v>
      </c>
      <c r="I1196" s="20" t="s">
        <v>3626</v>
      </c>
      <c r="J1196" s="20" t="s">
        <v>136</v>
      </c>
      <c r="Q1196" s="20">
        <v>14242.0</v>
      </c>
      <c r="R1196" s="20" t="s">
        <v>4167</v>
      </c>
      <c r="S1196" s="20" t="s">
        <v>4166</v>
      </c>
      <c r="T1196" s="20" t="s">
        <v>138</v>
      </c>
    </row>
    <row r="1197" ht="14.25" customHeight="1">
      <c r="A1197" s="20" t="s">
        <v>4168</v>
      </c>
      <c r="B1197" s="20" t="s">
        <v>4169</v>
      </c>
      <c r="C1197" s="20" t="s">
        <v>3457</v>
      </c>
      <c r="F1197" s="20" t="s">
        <v>218</v>
      </c>
      <c r="G1197" s="20" t="s">
        <v>219</v>
      </c>
      <c r="I1197" s="20" t="s">
        <v>314</v>
      </c>
      <c r="J1197" s="20" t="s">
        <v>186</v>
      </c>
      <c r="Q1197" s="20">
        <v>14943.0</v>
      </c>
      <c r="R1197" s="20" t="s">
        <v>4170</v>
      </c>
      <c r="S1197" s="20" t="s">
        <v>4169</v>
      </c>
      <c r="T1197" s="20" t="s">
        <v>138</v>
      </c>
    </row>
    <row r="1198" ht="14.25" customHeight="1">
      <c r="A1198" s="20" t="s">
        <v>4171</v>
      </c>
      <c r="B1198" s="20" t="s">
        <v>4172</v>
      </c>
      <c r="C1198" s="20" t="s">
        <v>289</v>
      </c>
      <c r="F1198" s="20" t="s">
        <v>150</v>
      </c>
      <c r="G1198" s="20" t="s">
        <v>150</v>
      </c>
      <c r="I1198" s="20" t="s">
        <v>151</v>
      </c>
      <c r="J1198" s="20" t="s">
        <v>143</v>
      </c>
      <c r="Q1198" s="20">
        <v>15608.0</v>
      </c>
      <c r="R1198" s="20" t="s">
        <v>4173</v>
      </c>
      <c r="S1198" s="20" t="s">
        <v>4172</v>
      </c>
      <c r="T1198" s="20" t="s">
        <v>138</v>
      </c>
    </row>
    <row r="1199" ht="14.25" customHeight="1">
      <c r="A1199" s="20" t="s">
        <v>4174</v>
      </c>
      <c r="B1199" s="20" t="s">
        <v>4175</v>
      </c>
      <c r="C1199" s="20" t="s">
        <v>4176</v>
      </c>
      <c r="F1199" s="20" t="s">
        <v>15</v>
      </c>
      <c r="G1199" s="20" t="s">
        <v>135</v>
      </c>
      <c r="H1199" s="20">
        <v>17248.0</v>
      </c>
      <c r="I1199" s="20" t="s">
        <v>94</v>
      </c>
      <c r="J1199" s="20" t="s">
        <v>143</v>
      </c>
      <c r="K1199" s="20" t="s">
        <v>213</v>
      </c>
      <c r="P1199" s="20" t="s">
        <v>4175</v>
      </c>
      <c r="Q1199" s="20">
        <v>17248.0</v>
      </c>
      <c r="R1199" s="20" t="s">
        <v>4177</v>
      </c>
      <c r="S1199" s="20" t="s">
        <v>4175</v>
      </c>
      <c r="T1199" s="20" t="s">
        <v>138</v>
      </c>
      <c r="W1199" s="20" t="s">
        <v>146</v>
      </c>
    </row>
    <row r="1200" ht="14.25" customHeight="1">
      <c r="A1200" s="20" t="s">
        <v>4178</v>
      </c>
      <c r="B1200" s="20" t="s">
        <v>4179</v>
      </c>
      <c r="C1200" s="20" t="s">
        <v>446</v>
      </c>
      <c r="F1200" s="20" t="s">
        <v>16</v>
      </c>
      <c r="G1200" s="20" t="s">
        <v>202</v>
      </c>
      <c r="I1200" s="20" t="s">
        <v>87</v>
      </c>
      <c r="J1200" s="20" t="s">
        <v>143</v>
      </c>
      <c r="K1200" s="20" t="s">
        <v>167</v>
      </c>
      <c r="Q1200" s="20">
        <v>4923.0</v>
      </c>
      <c r="R1200" s="20" t="s">
        <v>4180</v>
      </c>
      <c r="S1200" s="20" t="s">
        <v>4179</v>
      </c>
      <c r="T1200" s="20" t="s">
        <v>138</v>
      </c>
    </row>
    <row r="1201" ht="14.25" customHeight="1">
      <c r="A1201" s="20" t="s">
        <v>4181</v>
      </c>
      <c r="B1201" s="20" t="s">
        <v>4182</v>
      </c>
      <c r="C1201" s="20" t="s">
        <v>2232</v>
      </c>
      <c r="F1201" s="20" t="s">
        <v>327</v>
      </c>
      <c r="G1201" s="20" t="s">
        <v>385</v>
      </c>
      <c r="I1201" s="20" t="s">
        <v>510</v>
      </c>
      <c r="J1201" s="20" t="s">
        <v>186</v>
      </c>
      <c r="Q1201" s="20">
        <v>14940.0</v>
      </c>
      <c r="R1201" s="20" t="s">
        <v>4183</v>
      </c>
      <c r="S1201" s="20" t="s">
        <v>4182</v>
      </c>
      <c r="T1201" s="20" t="s">
        <v>138</v>
      </c>
    </row>
    <row r="1202" ht="14.25" customHeight="1">
      <c r="A1202" s="20" t="s">
        <v>4184</v>
      </c>
      <c r="B1202" s="20" t="s">
        <v>4185</v>
      </c>
      <c r="C1202" s="20" t="s">
        <v>4186</v>
      </c>
      <c r="F1202" s="20" t="s">
        <v>150</v>
      </c>
      <c r="G1202" s="20" t="s">
        <v>150</v>
      </c>
      <c r="I1202" s="20" t="s">
        <v>151</v>
      </c>
      <c r="J1202" s="20" t="s">
        <v>143</v>
      </c>
      <c r="K1202" s="20" t="s">
        <v>213</v>
      </c>
      <c r="Q1202" s="20">
        <v>643.0</v>
      </c>
      <c r="R1202" s="20" t="s">
        <v>4187</v>
      </c>
      <c r="S1202" s="20" t="s">
        <v>4185</v>
      </c>
      <c r="T1202" s="20" t="s">
        <v>138</v>
      </c>
      <c r="V1202" s="20" t="s">
        <v>189</v>
      </c>
      <c r="W1202" s="20" t="s">
        <v>146</v>
      </c>
      <c r="X1202" s="20" t="s">
        <v>1868</v>
      </c>
    </row>
    <row r="1203" ht="14.25" customHeight="1">
      <c r="A1203" s="20" t="s">
        <v>4188</v>
      </c>
      <c r="B1203" s="20" t="s">
        <v>4189</v>
      </c>
      <c r="C1203" s="20" t="s">
        <v>779</v>
      </c>
      <c r="F1203" s="20" t="s">
        <v>150</v>
      </c>
      <c r="G1203" s="20" t="s">
        <v>150</v>
      </c>
      <c r="I1203" s="20" t="s">
        <v>151</v>
      </c>
      <c r="J1203" s="20" t="s">
        <v>143</v>
      </c>
      <c r="Q1203" s="20">
        <v>11922.0</v>
      </c>
      <c r="R1203" s="20" t="s">
        <v>4190</v>
      </c>
      <c r="S1203" s="20" t="s">
        <v>4189</v>
      </c>
      <c r="T1203" s="20" t="s">
        <v>138</v>
      </c>
    </row>
    <row r="1204" ht="14.25" customHeight="1">
      <c r="A1204" s="20" t="s">
        <v>4191</v>
      </c>
      <c r="B1204" s="20" t="s">
        <v>4192</v>
      </c>
      <c r="C1204" s="20" t="s">
        <v>163</v>
      </c>
      <c r="F1204" s="20" t="s">
        <v>150</v>
      </c>
      <c r="G1204" s="20" t="s">
        <v>150</v>
      </c>
      <c r="I1204" s="20" t="s">
        <v>151</v>
      </c>
      <c r="J1204" s="20" t="s">
        <v>143</v>
      </c>
      <c r="K1204" s="20" t="s">
        <v>167</v>
      </c>
      <c r="Q1204" s="20">
        <v>12176.0</v>
      </c>
      <c r="R1204" s="20" t="s">
        <v>4193</v>
      </c>
      <c r="S1204" s="20" t="s">
        <v>4192</v>
      </c>
      <c r="T1204" s="20" t="s">
        <v>138</v>
      </c>
    </row>
    <row r="1205" ht="14.25" customHeight="1">
      <c r="A1205" s="20" t="s">
        <v>4194</v>
      </c>
      <c r="B1205" s="20" t="s">
        <v>4195</v>
      </c>
      <c r="C1205" s="20" t="s">
        <v>694</v>
      </c>
      <c r="F1205" s="20" t="s">
        <v>16</v>
      </c>
      <c r="G1205" s="20" t="s">
        <v>202</v>
      </c>
      <c r="I1205" s="20" t="s">
        <v>87</v>
      </c>
      <c r="J1205" s="20" t="s">
        <v>143</v>
      </c>
      <c r="Q1205" s="20">
        <v>15977.0</v>
      </c>
      <c r="R1205" s="20" t="s">
        <v>4196</v>
      </c>
      <c r="S1205" s="20" t="s">
        <v>4195</v>
      </c>
      <c r="T1205" s="20" t="s">
        <v>138</v>
      </c>
    </row>
    <row r="1206" ht="14.25" customHeight="1">
      <c r="A1206" s="20" t="s">
        <v>4197</v>
      </c>
      <c r="B1206" s="20" t="s">
        <v>4198</v>
      </c>
      <c r="C1206" s="20" t="s">
        <v>4199</v>
      </c>
      <c r="F1206" s="20" t="s">
        <v>150</v>
      </c>
      <c r="G1206" s="20" t="s">
        <v>150</v>
      </c>
      <c r="I1206" s="20" t="s">
        <v>151</v>
      </c>
      <c r="J1206" s="20" t="s">
        <v>143</v>
      </c>
      <c r="Q1206" s="20">
        <v>16872.0</v>
      </c>
      <c r="R1206" s="20" t="s">
        <v>4200</v>
      </c>
      <c r="S1206" s="20" t="s">
        <v>4198</v>
      </c>
      <c r="T1206" s="20" t="s">
        <v>138</v>
      </c>
      <c r="W1206" s="20" t="s">
        <v>146</v>
      </c>
    </row>
    <row r="1207" ht="14.25" customHeight="1">
      <c r="A1207" s="20" t="s">
        <v>4201</v>
      </c>
      <c r="B1207" s="20" t="s">
        <v>4202</v>
      </c>
      <c r="C1207" s="20" t="s">
        <v>1314</v>
      </c>
      <c r="F1207" s="20" t="s">
        <v>16</v>
      </c>
      <c r="G1207" s="20" t="s">
        <v>211</v>
      </c>
      <c r="I1207" s="20" t="s">
        <v>258</v>
      </c>
      <c r="J1207" s="20" t="s">
        <v>143</v>
      </c>
      <c r="K1207" s="20" t="s">
        <v>213</v>
      </c>
      <c r="L1207" s="20" t="s">
        <v>258</v>
      </c>
      <c r="Q1207" s="20">
        <v>14835.0</v>
      </c>
      <c r="R1207" s="20" t="s">
        <v>4203</v>
      </c>
      <c r="S1207" s="20" t="s">
        <v>4202</v>
      </c>
      <c r="T1207" s="20" t="s">
        <v>138</v>
      </c>
      <c r="W1207" s="20" t="s">
        <v>146</v>
      </c>
    </row>
    <row r="1208" ht="14.25" customHeight="1">
      <c r="A1208" s="20" t="s">
        <v>4204</v>
      </c>
      <c r="B1208" s="20" t="s">
        <v>4205</v>
      </c>
      <c r="C1208" s="20" t="s">
        <v>938</v>
      </c>
      <c r="F1208" s="20" t="s">
        <v>327</v>
      </c>
      <c r="G1208" s="20" t="s">
        <v>385</v>
      </c>
      <c r="I1208" s="20" t="s">
        <v>2245</v>
      </c>
      <c r="J1208" s="20" t="s">
        <v>143</v>
      </c>
      <c r="Q1208" s="20">
        <v>15129.0</v>
      </c>
      <c r="R1208" s="20" t="s">
        <v>4206</v>
      </c>
      <c r="S1208" s="20" t="s">
        <v>4205</v>
      </c>
      <c r="T1208" s="20" t="s">
        <v>138</v>
      </c>
    </row>
    <row r="1209" ht="14.25" customHeight="1">
      <c r="A1209" s="20" t="s">
        <v>4207</v>
      </c>
      <c r="B1209" s="20" t="s">
        <v>4208</v>
      </c>
      <c r="C1209" s="20" t="s">
        <v>235</v>
      </c>
      <c r="F1209" s="20" t="s">
        <v>15</v>
      </c>
      <c r="G1209" s="20" t="s">
        <v>142</v>
      </c>
      <c r="I1209" s="20" t="s">
        <v>105</v>
      </c>
      <c r="J1209" s="20" t="s">
        <v>143</v>
      </c>
      <c r="Q1209" s="20">
        <v>5062.0</v>
      </c>
      <c r="R1209" s="20" t="s">
        <v>4209</v>
      </c>
      <c r="S1209" s="20" t="s">
        <v>4208</v>
      </c>
      <c r="T1209" s="20" t="s">
        <v>138</v>
      </c>
    </row>
    <row r="1210" ht="14.25" customHeight="1">
      <c r="A1210" s="20" t="s">
        <v>4210</v>
      </c>
      <c r="B1210" s="20" t="s">
        <v>4211</v>
      </c>
      <c r="C1210" s="20" t="s">
        <v>1305</v>
      </c>
      <c r="F1210" s="20" t="s">
        <v>16</v>
      </c>
      <c r="G1210" s="20" t="s">
        <v>202</v>
      </c>
      <c r="I1210" s="20" t="s">
        <v>1306</v>
      </c>
      <c r="J1210" s="20" t="s">
        <v>186</v>
      </c>
      <c r="K1210" s="20" t="s">
        <v>167</v>
      </c>
      <c r="Q1210" s="20">
        <v>11566.0</v>
      </c>
      <c r="R1210" s="20" t="s">
        <v>4212</v>
      </c>
      <c r="S1210" s="20" t="s">
        <v>4211</v>
      </c>
      <c r="T1210" s="20" t="s">
        <v>138</v>
      </c>
    </row>
    <row r="1211" ht="14.25" customHeight="1">
      <c r="A1211" s="20" t="s">
        <v>4213</v>
      </c>
      <c r="B1211" s="20" t="s">
        <v>4214</v>
      </c>
      <c r="C1211" s="20" t="s">
        <v>2267</v>
      </c>
      <c r="F1211" s="20" t="s">
        <v>327</v>
      </c>
      <c r="G1211" s="20" t="s">
        <v>385</v>
      </c>
      <c r="I1211" s="20" t="s">
        <v>2268</v>
      </c>
      <c r="J1211" s="20" t="s">
        <v>186</v>
      </c>
      <c r="K1211" s="20" t="s">
        <v>187</v>
      </c>
      <c r="Q1211" s="20">
        <v>92.0</v>
      </c>
      <c r="R1211" s="20" t="s">
        <v>4215</v>
      </c>
      <c r="S1211" s="20" t="s">
        <v>4214</v>
      </c>
      <c r="T1211" s="20" t="s">
        <v>138</v>
      </c>
      <c r="W1211" s="20" t="s">
        <v>261</v>
      </c>
    </row>
    <row r="1212" ht="14.25" customHeight="1">
      <c r="A1212" s="20" t="s">
        <v>4216</v>
      </c>
      <c r="B1212" s="20" t="s">
        <v>4217</v>
      </c>
      <c r="C1212" s="20" t="s">
        <v>394</v>
      </c>
      <c r="F1212" s="20" t="s">
        <v>327</v>
      </c>
      <c r="G1212" s="20" t="s">
        <v>385</v>
      </c>
      <c r="I1212" s="20" t="s">
        <v>3626</v>
      </c>
      <c r="J1212" s="20" t="s">
        <v>136</v>
      </c>
      <c r="Q1212" s="20">
        <v>13992.0</v>
      </c>
      <c r="R1212" s="20" t="s">
        <v>4218</v>
      </c>
      <c r="S1212" s="20" t="s">
        <v>4217</v>
      </c>
      <c r="T1212" s="20" t="s">
        <v>138</v>
      </c>
    </row>
    <row r="1213" ht="14.25" customHeight="1">
      <c r="A1213" s="20" t="s">
        <v>4219</v>
      </c>
      <c r="B1213" s="20" t="s">
        <v>4220</v>
      </c>
      <c r="C1213" s="20" t="s">
        <v>4221</v>
      </c>
      <c r="F1213" s="20" t="s">
        <v>16</v>
      </c>
      <c r="G1213" s="20" t="s">
        <v>211</v>
      </c>
      <c r="I1213" s="20" t="s">
        <v>253</v>
      </c>
      <c r="J1213" s="20" t="s">
        <v>143</v>
      </c>
      <c r="Q1213" s="20">
        <v>16077.0</v>
      </c>
      <c r="R1213" s="20" t="s">
        <v>4222</v>
      </c>
      <c r="S1213" s="20" t="s">
        <v>4220</v>
      </c>
      <c r="T1213" s="20" t="s">
        <v>138</v>
      </c>
    </row>
    <row r="1214" ht="14.25" customHeight="1">
      <c r="A1214" s="20" t="s">
        <v>4223</v>
      </c>
      <c r="B1214" s="20" t="s">
        <v>4224</v>
      </c>
      <c r="C1214" s="20" t="s">
        <v>4225</v>
      </c>
      <c r="F1214" s="20" t="s">
        <v>327</v>
      </c>
      <c r="G1214" s="20" t="s">
        <v>385</v>
      </c>
      <c r="H1214" s="20">
        <v>16162.0</v>
      </c>
      <c r="I1214" s="20" t="s">
        <v>762</v>
      </c>
      <c r="J1214" s="20" t="s">
        <v>143</v>
      </c>
      <c r="Q1214" s="20">
        <v>16162.0</v>
      </c>
      <c r="R1214" s="20" t="s">
        <v>4226</v>
      </c>
      <c r="S1214" s="20" t="s">
        <v>4224</v>
      </c>
      <c r="T1214" s="20" t="s">
        <v>138</v>
      </c>
    </row>
    <row r="1215" ht="14.25" customHeight="1">
      <c r="A1215" s="20" t="s">
        <v>4227</v>
      </c>
      <c r="B1215" s="20" t="s">
        <v>4228</v>
      </c>
      <c r="C1215" s="20" t="s">
        <v>197</v>
      </c>
      <c r="F1215" s="20" t="s">
        <v>150</v>
      </c>
      <c r="G1215" s="20" t="s">
        <v>150</v>
      </c>
      <c r="I1215" s="20" t="s">
        <v>151</v>
      </c>
      <c r="J1215" s="20" t="s">
        <v>143</v>
      </c>
      <c r="Q1215" s="20">
        <v>8645.0</v>
      </c>
      <c r="R1215" s="20" t="s">
        <v>4229</v>
      </c>
      <c r="S1215" s="20" t="s">
        <v>4228</v>
      </c>
      <c r="T1215" s="20" t="s">
        <v>138</v>
      </c>
    </row>
    <row r="1216" ht="14.25" customHeight="1">
      <c r="A1216" s="20" t="s">
        <v>4230</v>
      </c>
      <c r="B1216" s="20" t="s">
        <v>4231</v>
      </c>
      <c r="C1216" s="20" t="s">
        <v>4232</v>
      </c>
      <c r="F1216" s="20" t="s">
        <v>327</v>
      </c>
      <c r="G1216" s="20" t="s">
        <v>385</v>
      </c>
      <c r="I1216" s="20" t="s">
        <v>4233</v>
      </c>
      <c r="J1216" s="20" t="s">
        <v>186</v>
      </c>
      <c r="Q1216" s="20">
        <v>16591.0</v>
      </c>
      <c r="R1216" s="20" t="s">
        <v>4234</v>
      </c>
      <c r="S1216" s="20" t="s">
        <v>4231</v>
      </c>
      <c r="T1216" s="20" t="s">
        <v>138</v>
      </c>
    </row>
    <row r="1217" ht="14.25" customHeight="1">
      <c r="A1217" s="20" t="s">
        <v>4235</v>
      </c>
      <c r="B1217" s="20" t="s">
        <v>4236</v>
      </c>
      <c r="C1217" s="20" t="s">
        <v>4237</v>
      </c>
      <c r="F1217" s="20" t="s">
        <v>327</v>
      </c>
      <c r="G1217" s="20" t="s">
        <v>385</v>
      </c>
      <c r="I1217" s="20" t="s">
        <v>598</v>
      </c>
      <c r="J1217" s="20" t="s">
        <v>186</v>
      </c>
      <c r="Q1217" s="20">
        <v>12302.0</v>
      </c>
      <c r="R1217" s="20" t="s">
        <v>4238</v>
      </c>
      <c r="S1217" s="20" t="s">
        <v>4236</v>
      </c>
      <c r="T1217" s="20" t="s">
        <v>138</v>
      </c>
      <c r="W1217" s="20" t="s">
        <v>146</v>
      </c>
    </row>
    <row r="1218" ht="14.25" customHeight="1">
      <c r="A1218" s="20" t="s">
        <v>4239</v>
      </c>
      <c r="B1218" s="20" t="s">
        <v>4240</v>
      </c>
      <c r="C1218" s="20" t="s">
        <v>4232</v>
      </c>
      <c r="F1218" s="20" t="s">
        <v>327</v>
      </c>
      <c r="G1218" s="20" t="s">
        <v>385</v>
      </c>
      <c r="I1218" s="20" t="s">
        <v>4233</v>
      </c>
      <c r="J1218" s="20" t="s">
        <v>186</v>
      </c>
      <c r="K1218" s="20" t="s">
        <v>167</v>
      </c>
      <c r="Q1218" s="20">
        <v>652.0</v>
      </c>
      <c r="R1218" s="20" t="s">
        <v>4241</v>
      </c>
      <c r="S1218" s="20" t="s">
        <v>4240</v>
      </c>
      <c r="T1218" s="20" t="s">
        <v>138</v>
      </c>
    </row>
    <row r="1219" ht="14.25" customHeight="1">
      <c r="A1219" s="20" t="s">
        <v>4242</v>
      </c>
      <c r="B1219" s="20" t="s">
        <v>4243</v>
      </c>
      <c r="C1219" s="20" t="s">
        <v>779</v>
      </c>
      <c r="F1219" s="20" t="s">
        <v>150</v>
      </c>
      <c r="G1219" s="20" t="s">
        <v>150</v>
      </c>
      <c r="I1219" s="20" t="s">
        <v>151</v>
      </c>
      <c r="J1219" s="20" t="s">
        <v>143</v>
      </c>
      <c r="Q1219" s="20">
        <v>16470.0</v>
      </c>
      <c r="R1219" s="20" t="s">
        <v>4244</v>
      </c>
      <c r="S1219" s="20" t="s">
        <v>4243</v>
      </c>
      <c r="T1219" s="20" t="s">
        <v>138</v>
      </c>
    </row>
    <row r="1220" ht="14.25" customHeight="1">
      <c r="A1220" s="20" t="s">
        <v>4245</v>
      </c>
      <c r="B1220" s="20" t="s">
        <v>4246</v>
      </c>
      <c r="C1220" s="20" t="s">
        <v>4247</v>
      </c>
      <c r="F1220" s="20" t="s">
        <v>327</v>
      </c>
      <c r="G1220" s="20" t="s">
        <v>385</v>
      </c>
      <c r="I1220" s="20" t="s">
        <v>386</v>
      </c>
      <c r="J1220" s="20" t="s">
        <v>186</v>
      </c>
      <c r="Q1220" s="20">
        <v>10261.0</v>
      </c>
      <c r="R1220" s="20" t="s">
        <v>4248</v>
      </c>
      <c r="S1220" s="20" t="s">
        <v>4246</v>
      </c>
      <c r="T1220" s="20" t="s">
        <v>138</v>
      </c>
    </row>
    <row r="1221" ht="14.25" customHeight="1">
      <c r="A1221" s="20" t="s">
        <v>4249</v>
      </c>
      <c r="B1221" s="20" t="s">
        <v>4250</v>
      </c>
      <c r="C1221" s="20" t="s">
        <v>159</v>
      </c>
      <c r="F1221" s="20" t="s">
        <v>150</v>
      </c>
      <c r="G1221" s="20" t="s">
        <v>150</v>
      </c>
      <c r="I1221" s="20" t="s">
        <v>151</v>
      </c>
      <c r="J1221" s="20" t="s">
        <v>143</v>
      </c>
      <c r="Q1221" s="20">
        <v>6827.0</v>
      </c>
      <c r="R1221" s="20" t="s">
        <v>4251</v>
      </c>
      <c r="S1221" s="20" t="s">
        <v>4250</v>
      </c>
      <c r="T1221" s="20" t="s">
        <v>138</v>
      </c>
    </row>
    <row r="1222" ht="14.25" customHeight="1">
      <c r="A1222" s="20" t="s">
        <v>4252</v>
      </c>
      <c r="B1222" s="20" t="s">
        <v>4253</v>
      </c>
      <c r="C1222" s="20" t="s">
        <v>818</v>
      </c>
      <c r="F1222" s="20" t="s">
        <v>17</v>
      </c>
      <c r="G1222" s="20" t="s">
        <v>17</v>
      </c>
      <c r="I1222" s="20" t="s">
        <v>88</v>
      </c>
      <c r="J1222" s="20" t="s">
        <v>143</v>
      </c>
      <c r="Q1222" s="20">
        <v>15580.0</v>
      </c>
      <c r="R1222" s="20" t="s">
        <v>4254</v>
      </c>
      <c r="S1222" s="20" t="s">
        <v>4255</v>
      </c>
      <c r="T1222" s="20" t="s">
        <v>138</v>
      </c>
    </row>
    <row r="1223" ht="14.25" customHeight="1">
      <c r="A1223" s="20" t="s">
        <v>4256</v>
      </c>
      <c r="B1223" s="20" t="s">
        <v>4257</v>
      </c>
      <c r="C1223" s="20" t="s">
        <v>193</v>
      </c>
      <c r="F1223" s="20" t="s">
        <v>150</v>
      </c>
      <c r="G1223" s="20" t="s">
        <v>150</v>
      </c>
      <c r="I1223" s="20" t="s">
        <v>151</v>
      </c>
      <c r="J1223" s="20" t="s">
        <v>143</v>
      </c>
      <c r="Q1223" s="20">
        <v>13602.0</v>
      </c>
      <c r="R1223" s="20" t="s">
        <v>4258</v>
      </c>
      <c r="S1223" s="20" t="s">
        <v>4257</v>
      </c>
      <c r="T1223" s="20" t="s">
        <v>138</v>
      </c>
    </row>
    <row r="1224" ht="14.25" customHeight="1">
      <c r="A1224" s="20" t="s">
        <v>4259</v>
      </c>
      <c r="B1224" s="20" t="s">
        <v>4260</v>
      </c>
      <c r="C1224" s="20" t="s">
        <v>4261</v>
      </c>
      <c r="F1224" s="20" t="s">
        <v>15</v>
      </c>
      <c r="G1224" s="20" t="s">
        <v>142</v>
      </c>
      <c r="I1224" s="20" t="s">
        <v>105</v>
      </c>
      <c r="J1224" s="20" t="s">
        <v>143</v>
      </c>
      <c r="Q1224" s="20">
        <v>5063.0</v>
      </c>
      <c r="R1224" s="20" t="s">
        <v>4262</v>
      </c>
      <c r="S1224" s="20" t="s">
        <v>4260</v>
      </c>
      <c r="T1224" s="20" t="s">
        <v>138</v>
      </c>
      <c r="W1224" s="20" t="s">
        <v>146</v>
      </c>
    </row>
    <row r="1225" ht="14.25" customHeight="1">
      <c r="A1225" s="20" t="s">
        <v>4263</v>
      </c>
      <c r="B1225" s="20" t="s">
        <v>4264</v>
      </c>
      <c r="C1225" s="20" t="s">
        <v>178</v>
      </c>
      <c r="F1225" s="20" t="s">
        <v>150</v>
      </c>
      <c r="G1225" s="20" t="s">
        <v>150</v>
      </c>
      <c r="I1225" s="20" t="s">
        <v>151</v>
      </c>
      <c r="J1225" s="20" t="s">
        <v>143</v>
      </c>
      <c r="Q1225" s="20">
        <v>10830.0</v>
      </c>
      <c r="R1225" s="20" t="s">
        <v>4265</v>
      </c>
      <c r="S1225" s="20" t="s">
        <v>4264</v>
      </c>
      <c r="T1225" s="20" t="s">
        <v>138</v>
      </c>
    </row>
    <row r="1226" ht="14.25" customHeight="1">
      <c r="A1226" s="20" t="s">
        <v>4266</v>
      </c>
      <c r="B1226" s="20" t="s">
        <v>4267</v>
      </c>
      <c r="C1226" s="20" t="s">
        <v>2469</v>
      </c>
      <c r="F1226" s="20" t="s">
        <v>327</v>
      </c>
      <c r="G1226" s="20" t="s">
        <v>385</v>
      </c>
      <c r="I1226" s="20" t="s">
        <v>598</v>
      </c>
      <c r="J1226" s="20" t="s">
        <v>186</v>
      </c>
      <c r="Q1226" s="20">
        <v>7784.0</v>
      </c>
      <c r="R1226" s="20" t="s">
        <v>4268</v>
      </c>
      <c r="S1226" s="20" t="s">
        <v>4267</v>
      </c>
      <c r="T1226" s="20" t="s">
        <v>138</v>
      </c>
    </row>
    <row r="1227" ht="14.25" customHeight="1">
      <c r="A1227" s="20" t="s">
        <v>4269</v>
      </c>
      <c r="B1227" s="20" t="s">
        <v>4270</v>
      </c>
      <c r="C1227" s="20" t="s">
        <v>149</v>
      </c>
      <c r="F1227" s="20" t="s">
        <v>150</v>
      </c>
      <c r="G1227" s="20" t="s">
        <v>150</v>
      </c>
      <c r="I1227" s="20" t="s">
        <v>151</v>
      </c>
      <c r="J1227" s="20" t="s">
        <v>143</v>
      </c>
      <c r="Q1227" s="20">
        <v>15963.0</v>
      </c>
      <c r="R1227" s="20" t="s">
        <v>4271</v>
      </c>
      <c r="S1227" s="20" t="s">
        <v>4270</v>
      </c>
      <c r="T1227" s="20" t="s">
        <v>138</v>
      </c>
    </row>
    <row r="1228" ht="14.25" customHeight="1">
      <c r="A1228" s="20" t="s">
        <v>4272</v>
      </c>
      <c r="B1228" s="20" t="s">
        <v>4273</v>
      </c>
      <c r="C1228" s="20" t="s">
        <v>4109</v>
      </c>
      <c r="F1228" s="20" t="s">
        <v>327</v>
      </c>
      <c r="G1228" s="20" t="s">
        <v>385</v>
      </c>
      <c r="I1228" s="20" t="s">
        <v>4274</v>
      </c>
      <c r="J1228" s="20" t="s">
        <v>186</v>
      </c>
      <c r="Q1228" s="20">
        <v>4608.0</v>
      </c>
      <c r="R1228" s="20" t="s">
        <v>4275</v>
      </c>
      <c r="S1228" s="20" t="s">
        <v>4273</v>
      </c>
      <c r="T1228" s="20" t="s">
        <v>138</v>
      </c>
    </row>
    <row r="1229" ht="14.25" customHeight="1">
      <c r="A1229" s="20" t="s">
        <v>4276</v>
      </c>
      <c r="B1229" s="20" t="s">
        <v>4277</v>
      </c>
      <c r="C1229" s="20" t="s">
        <v>272</v>
      </c>
      <c r="F1229" s="20" t="s">
        <v>150</v>
      </c>
      <c r="G1229" s="20" t="s">
        <v>150</v>
      </c>
      <c r="I1229" s="20" t="s">
        <v>151</v>
      </c>
      <c r="J1229" s="20" t="s">
        <v>143</v>
      </c>
      <c r="Q1229" s="20">
        <v>9015.0</v>
      </c>
      <c r="R1229" s="20" t="s">
        <v>4278</v>
      </c>
      <c r="S1229" s="20" t="s">
        <v>4277</v>
      </c>
      <c r="T1229" s="20" t="s">
        <v>138</v>
      </c>
    </row>
    <row r="1230" ht="14.25" customHeight="1">
      <c r="A1230" s="20" t="s">
        <v>4279</v>
      </c>
      <c r="B1230" s="20" t="s">
        <v>4280</v>
      </c>
      <c r="C1230" s="20" t="s">
        <v>4281</v>
      </c>
      <c r="F1230" s="20" t="s">
        <v>17</v>
      </c>
      <c r="G1230" s="20" t="s">
        <v>17</v>
      </c>
      <c r="I1230" s="20" t="s">
        <v>88</v>
      </c>
      <c r="J1230" s="20" t="s">
        <v>143</v>
      </c>
      <c r="Q1230" s="20">
        <v>9664.0</v>
      </c>
      <c r="R1230" s="20" t="s">
        <v>4282</v>
      </c>
      <c r="S1230" s="20" t="s">
        <v>4280</v>
      </c>
      <c r="T1230" s="20" t="s">
        <v>138</v>
      </c>
    </row>
    <row r="1231" ht="14.25" customHeight="1">
      <c r="A1231" s="20" t="s">
        <v>4283</v>
      </c>
      <c r="B1231" s="20" t="s">
        <v>4284</v>
      </c>
      <c r="C1231" s="20" t="s">
        <v>149</v>
      </c>
      <c r="F1231" s="20" t="s">
        <v>150</v>
      </c>
      <c r="G1231" s="20" t="s">
        <v>150</v>
      </c>
      <c r="I1231" s="20" t="s">
        <v>151</v>
      </c>
      <c r="J1231" s="20" t="s">
        <v>143</v>
      </c>
      <c r="K1231" s="20" t="s">
        <v>167</v>
      </c>
      <c r="Q1231" s="20">
        <v>4356.0</v>
      </c>
      <c r="R1231" s="20" t="s">
        <v>4285</v>
      </c>
      <c r="S1231" s="20" t="s">
        <v>4284</v>
      </c>
      <c r="T1231" s="20" t="s">
        <v>138</v>
      </c>
      <c r="V1231" s="20" t="s">
        <v>260</v>
      </c>
    </row>
    <row r="1232" ht="14.25" customHeight="1">
      <c r="A1232" s="20" t="s">
        <v>4286</v>
      </c>
      <c r="B1232" s="20" t="s">
        <v>4287</v>
      </c>
      <c r="C1232" s="20" t="s">
        <v>289</v>
      </c>
      <c r="F1232" s="20" t="s">
        <v>150</v>
      </c>
      <c r="G1232" s="20" t="s">
        <v>150</v>
      </c>
      <c r="I1232" s="20" t="s">
        <v>151</v>
      </c>
      <c r="J1232" s="20" t="s">
        <v>143</v>
      </c>
      <c r="Q1232" s="20">
        <v>10052.0</v>
      </c>
      <c r="R1232" s="20" t="s">
        <v>4288</v>
      </c>
      <c r="S1232" s="20" t="s">
        <v>4287</v>
      </c>
      <c r="T1232" s="20" t="s">
        <v>138</v>
      </c>
    </row>
    <row r="1233" ht="14.25" customHeight="1">
      <c r="A1233" s="20" t="s">
        <v>4289</v>
      </c>
      <c r="B1233" s="20" t="s">
        <v>4290</v>
      </c>
      <c r="C1233" s="20" t="s">
        <v>1158</v>
      </c>
      <c r="F1233" s="20" t="s">
        <v>218</v>
      </c>
      <c r="G1233" s="20" t="s">
        <v>219</v>
      </c>
      <c r="I1233" s="20" t="s">
        <v>1159</v>
      </c>
      <c r="J1233" s="20" t="s">
        <v>186</v>
      </c>
      <c r="Q1233" s="20">
        <v>16022.0</v>
      </c>
      <c r="R1233" s="20" t="s">
        <v>4291</v>
      </c>
      <c r="S1233" s="20" t="s">
        <v>4290</v>
      </c>
      <c r="T1233" s="20" t="s">
        <v>138</v>
      </c>
    </row>
    <row r="1234" ht="14.25" customHeight="1">
      <c r="A1234" s="20" t="s">
        <v>4292</v>
      </c>
      <c r="B1234" s="26" t="s">
        <v>4293</v>
      </c>
      <c r="C1234" s="20" t="s">
        <v>178</v>
      </c>
      <c r="F1234" s="20" t="s">
        <v>150</v>
      </c>
      <c r="G1234" s="20" t="s">
        <v>150</v>
      </c>
      <c r="I1234" s="20" t="s">
        <v>151</v>
      </c>
      <c r="J1234" s="20" t="s">
        <v>143</v>
      </c>
      <c r="Q1234" s="20">
        <v>3054.0</v>
      </c>
      <c r="R1234" s="20" t="s">
        <v>4294</v>
      </c>
      <c r="S1234" s="26" t="s">
        <v>4293</v>
      </c>
      <c r="T1234" s="20" t="s">
        <v>138</v>
      </c>
    </row>
    <row r="1235" ht="14.25" customHeight="1">
      <c r="A1235" s="20" t="s">
        <v>4295</v>
      </c>
      <c r="B1235" s="20" t="s">
        <v>4296</v>
      </c>
      <c r="C1235" s="20" t="s">
        <v>217</v>
      </c>
      <c r="F1235" s="20" t="s">
        <v>218</v>
      </c>
      <c r="G1235" s="20" t="s">
        <v>219</v>
      </c>
      <c r="I1235" s="20" t="s">
        <v>337</v>
      </c>
      <c r="J1235" s="20" t="s">
        <v>186</v>
      </c>
      <c r="Q1235" s="20">
        <v>12457.0</v>
      </c>
      <c r="R1235" s="20" t="s">
        <v>4297</v>
      </c>
      <c r="S1235" s="20" t="s">
        <v>4296</v>
      </c>
      <c r="T1235" s="20" t="s">
        <v>138</v>
      </c>
    </row>
    <row r="1236" ht="14.25" customHeight="1">
      <c r="A1236" s="20" t="s">
        <v>4298</v>
      </c>
      <c r="B1236" s="20" t="s">
        <v>4299</v>
      </c>
      <c r="C1236" s="20" t="s">
        <v>272</v>
      </c>
      <c r="F1236" s="20" t="s">
        <v>150</v>
      </c>
      <c r="G1236" s="20" t="s">
        <v>150</v>
      </c>
      <c r="I1236" s="20" t="s">
        <v>151</v>
      </c>
      <c r="J1236" s="20" t="s">
        <v>143</v>
      </c>
      <c r="Q1236" s="20">
        <v>10555.0</v>
      </c>
      <c r="R1236" s="20" t="s">
        <v>4300</v>
      </c>
      <c r="S1236" s="20" t="s">
        <v>4301</v>
      </c>
      <c r="T1236" s="20" t="s">
        <v>138</v>
      </c>
    </row>
    <row r="1237" ht="14.25" customHeight="1">
      <c r="A1237" s="20" t="s">
        <v>4302</v>
      </c>
      <c r="B1237" s="20" t="s">
        <v>4303</v>
      </c>
      <c r="C1237" s="20" t="s">
        <v>818</v>
      </c>
      <c r="F1237" s="20" t="s">
        <v>17</v>
      </c>
      <c r="G1237" s="20" t="s">
        <v>17</v>
      </c>
      <c r="I1237" s="20" t="s">
        <v>88</v>
      </c>
      <c r="J1237" s="20" t="s">
        <v>143</v>
      </c>
      <c r="Q1237" s="20">
        <v>11066.0</v>
      </c>
      <c r="R1237" s="20" t="s">
        <v>4304</v>
      </c>
      <c r="S1237" s="20" t="s">
        <v>4303</v>
      </c>
      <c r="T1237" s="20" t="s">
        <v>138</v>
      </c>
    </row>
    <row r="1238" ht="14.25" customHeight="1">
      <c r="A1238" s="20" t="s">
        <v>4305</v>
      </c>
      <c r="B1238" s="20" t="s">
        <v>4306</v>
      </c>
      <c r="C1238" s="20" t="s">
        <v>193</v>
      </c>
      <c r="F1238" s="20" t="s">
        <v>150</v>
      </c>
      <c r="G1238" s="20" t="s">
        <v>150</v>
      </c>
      <c r="I1238" s="20" t="s">
        <v>151</v>
      </c>
      <c r="J1238" s="20" t="s">
        <v>143</v>
      </c>
      <c r="Q1238" s="20">
        <v>15420.0</v>
      </c>
      <c r="R1238" s="20" t="s">
        <v>4307</v>
      </c>
      <c r="S1238" s="20" t="s">
        <v>4306</v>
      </c>
      <c r="T1238" s="20" t="s">
        <v>138</v>
      </c>
    </row>
    <row r="1239" ht="14.25" customHeight="1">
      <c r="A1239" s="20" t="s">
        <v>4308</v>
      </c>
      <c r="B1239" s="20" t="s">
        <v>4309</v>
      </c>
      <c r="C1239" s="20" t="s">
        <v>197</v>
      </c>
      <c r="F1239" s="20" t="s">
        <v>150</v>
      </c>
      <c r="G1239" s="20" t="s">
        <v>150</v>
      </c>
      <c r="I1239" s="20" t="s">
        <v>151</v>
      </c>
      <c r="J1239" s="20" t="s">
        <v>143</v>
      </c>
      <c r="Q1239" s="20">
        <v>11800.0</v>
      </c>
      <c r="R1239" s="20" t="s">
        <v>4310</v>
      </c>
      <c r="S1239" s="20" t="s">
        <v>4309</v>
      </c>
      <c r="T1239" s="20" t="s">
        <v>138</v>
      </c>
    </row>
    <row r="1240" ht="14.25" customHeight="1">
      <c r="A1240" s="20" t="s">
        <v>4311</v>
      </c>
      <c r="B1240" s="20" t="s">
        <v>4312</v>
      </c>
      <c r="C1240" s="20" t="s">
        <v>818</v>
      </c>
      <c r="F1240" s="20" t="s">
        <v>17</v>
      </c>
      <c r="G1240" s="20" t="s">
        <v>17</v>
      </c>
      <c r="I1240" s="20" t="s">
        <v>88</v>
      </c>
      <c r="J1240" s="20" t="s">
        <v>143</v>
      </c>
      <c r="Q1240" s="20">
        <v>2244.0</v>
      </c>
      <c r="R1240" s="20" t="s">
        <v>4313</v>
      </c>
      <c r="S1240" s="20" t="s">
        <v>4312</v>
      </c>
      <c r="T1240" s="20" t="s">
        <v>138</v>
      </c>
    </row>
    <row r="1241" ht="14.25" customHeight="1">
      <c r="A1241" s="20" t="s">
        <v>4314</v>
      </c>
      <c r="B1241" s="20" t="s">
        <v>4315</v>
      </c>
      <c r="C1241" s="20" t="s">
        <v>289</v>
      </c>
      <c r="F1241" s="20" t="s">
        <v>150</v>
      </c>
      <c r="G1241" s="20" t="s">
        <v>150</v>
      </c>
      <c r="I1241" s="20" t="s">
        <v>2024</v>
      </c>
      <c r="J1241" s="20" t="s">
        <v>143</v>
      </c>
      <c r="Q1241" s="20">
        <v>13657.0</v>
      </c>
      <c r="R1241" s="20" t="s">
        <v>4316</v>
      </c>
      <c r="S1241" s="20" t="s">
        <v>4315</v>
      </c>
      <c r="T1241" s="20" t="s">
        <v>138</v>
      </c>
    </row>
    <row r="1242" ht="14.25" customHeight="1">
      <c r="A1242" s="20" t="s">
        <v>4317</v>
      </c>
      <c r="B1242" s="20" t="s">
        <v>4318</v>
      </c>
      <c r="C1242" s="20" t="s">
        <v>149</v>
      </c>
      <c r="F1242" s="20" t="s">
        <v>150</v>
      </c>
      <c r="G1242" s="20" t="s">
        <v>150</v>
      </c>
      <c r="I1242" s="20" t="s">
        <v>151</v>
      </c>
      <c r="J1242" s="20" t="s">
        <v>143</v>
      </c>
      <c r="Q1242" s="20">
        <v>2465.0</v>
      </c>
      <c r="R1242" s="20" t="s">
        <v>4319</v>
      </c>
      <c r="S1242" s="20" t="s">
        <v>4318</v>
      </c>
      <c r="T1242" s="20" t="s">
        <v>138</v>
      </c>
    </row>
    <row r="1243" ht="14.25" customHeight="1">
      <c r="A1243" s="20" t="s">
        <v>4320</v>
      </c>
      <c r="B1243" s="20" t="s">
        <v>4321</v>
      </c>
      <c r="C1243" s="20" t="s">
        <v>235</v>
      </c>
      <c r="F1243" s="20" t="s">
        <v>15</v>
      </c>
      <c r="G1243" s="20" t="s">
        <v>142</v>
      </c>
      <c r="H1243" s="20">
        <v>17111.0</v>
      </c>
      <c r="I1243" s="20" t="s">
        <v>105</v>
      </c>
      <c r="J1243" s="20" t="s">
        <v>143</v>
      </c>
      <c r="Q1243" s="20">
        <v>17111.0</v>
      </c>
      <c r="R1243" s="20" t="s">
        <v>4322</v>
      </c>
      <c r="S1243" s="20" t="s">
        <v>4321</v>
      </c>
      <c r="T1243" s="20" t="s">
        <v>138</v>
      </c>
    </row>
    <row r="1244" ht="14.25" customHeight="1">
      <c r="A1244" s="20" t="s">
        <v>4323</v>
      </c>
      <c r="B1244" s="20" t="s">
        <v>4324</v>
      </c>
      <c r="C1244" s="20" t="s">
        <v>193</v>
      </c>
      <c r="F1244" s="20" t="s">
        <v>150</v>
      </c>
      <c r="G1244" s="20" t="s">
        <v>150</v>
      </c>
      <c r="I1244" s="20" t="s">
        <v>151</v>
      </c>
      <c r="J1244" s="20" t="s">
        <v>143</v>
      </c>
      <c r="Q1244" s="20">
        <v>2494.0</v>
      </c>
      <c r="R1244" s="20" t="s">
        <v>4325</v>
      </c>
      <c r="S1244" s="20" t="s">
        <v>4324</v>
      </c>
      <c r="T1244" s="20" t="s">
        <v>138</v>
      </c>
    </row>
    <row r="1245" ht="14.25" customHeight="1">
      <c r="A1245" s="20" t="s">
        <v>4326</v>
      </c>
      <c r="B1245" s="20" t="s">
        <v>4327</v>
      </c>
      <c r="C1245" s="20" t="s">
        <v>4328</v>
      </c>
      <c r="F1245" s="20" t="s">
        <v>15</v>
      </c>
      <c r="G1245" s="20" t="s">
        <v>142</v>
      </c>
      <c r="I1245" s="20" t="s">
        <v>105</v>
      </c>
      <c r="J1245" s="20" t="s">
        <v>143</v>
      </c>
      <c r="Q1245" s="20">
        <v>2725.0</v>
      </c>
      <c r="R1245" s="20" t="s">
        <v>4329</v>
      </c>
      <c r="S1245" s="20" t="s">
        <v>4327</v>
      </c>
      <c r="T1245" s="20" t="s">
        <v>138</v>
      </c>
      <c r="W1245" s="20" t="s">
        <v>146</v>
      </c>
    </row>
    <row r="1246" ht="14.25" customHeight="1">
      <c r="A1246" s="20" t="s">
        <v>4330</v>
      </c>
      <c r="B1246" s="20" t="s">
        <v>4331</v>
      </c>
      <c r="C1246" s="20" t="s">
        <v>906</v>
      </c>
      <c r="F1246" s="20" t="s">
        <v>15</v>
      </c>
      <c r="G1246" s="20" t="s">
        <v>142</v>
      </c>
      <c r="I1246" s="20" t="s">
        <v>105</v>
      </c>
      <c r="J1246" s="20" t="s">
        <v>136</v>
      </c>
      <c r="Q1246" s="20">
        <v>15967.0</v>
      </c>
      <c r="R1246" s="20" t="s">
        <v>4332</v>
      </c>
      <c r="S1246" s="20" t="s">
        <v>4331</v>
      </c>
      <c r="T1246" s="20" t="s">
        <v>138</v>
      </c>
    </row>
    <row r="1247" ht="14.25" customHeight="1">
      <c r="A1247" s="20" t="s">
        <v>4333</v>
      </c>
      <c r="B1247" s="20" t="s">
        <v>4334</v>
      </c>
      <c r="C1247" s="20" t="s">
        <v>159</v>
      </c>
      <c r="F1247" s="20" t="s">
        <v>150</v>
      </c>
      <c r="G1247" s="20" t="s">
        <v>150</v>
      </c>
      <c r="I1247" s="20" t="s">
        <v>151</v>
      </c>
      <c r="J1247" s="20" t="s">
        <v>143</v>
      </c>
      <c r="Q1247" s="20">
        <v>663.0</v>
      </c>
      <c r="R1247" s="20" t="s">
        <v>4335</v>
      </c>
      <c r="S1247" s="20" t="s">
        <v>4334</v>
      </c>
      <c r="T1247" s="20" t="s">
        <v>138</v>
      </c>
    </row>
    <row r="1248" ht="14.25" customHeight="1">
      <c r="A1248" s="20" t="s">
        <v>4336</v>
      </c>
      <c r="B1248" s="20" t="s">
        <v>4337</v>
      </c>
      <c r="C1248" s="20" t="s">
        <v>818</v>
      </c>
      <c r="F1248" s="20" t="s">
        <v>17</v>
      </c>
      <c r="G1248" s="20" t="s">
        <v>17</v>
      </c>
      <c r="I1248" s="20" t="s">
        <v>88</v>
      </c>
      <c r="J1248" s="20" t="s">
        <v>143</v>
      </c>
      <c r="Q1248" s="20">
        <v>10270.0</v>
      </c>
      <c r="R1248" s="20" t="s">
        <v>4338</v>
      </c>
      <c r="S1248" s="20" t="s">
        <v>4337</v>
      </c>
      <c r="T1248" s="20" t="s">
        <v>138</v>
      </c>
    </row>
    <row r="1249" ht="14.25" customHeight="1">
      <c r="A1249" s="20" t="s">
        <v>4339</v>
      </c>
      <c r="B1249" s="20" t="s">
        <v>4340</v>
      </c>
      <c r="C1249" s="20" t="s">
        <v>201</v>
      </c>
      <c r="F1249" s="20" t="s">
        <v>16</v>
      </c>
      <c r="G1249" s="20" t="s">
        <v>202</v>
      </c>
      <c r="I1249" s="20" t="s">
        <v>203</v>
      </c>
      <c r="J1249" s="20" t="s">
        <v>143</v>
      </c>
      <c r="Q1249" s="20">
        <v>8688.0</v>
      </c>
      <c r="R1249" s="20" t="s">
        <v>4341</v>
      </c>
      <c r="S1249" s="20" t="s">
        <v>4340</v>
      </c>
      <c r="T1249" s="20" t="s">
        <v>138</v>
      </c>
    </row>
    <row r="1250" ht="14.25" customHeight="1">
      <c r="A1250" s="20" t="s">
        <v>4342</v>
      </c>
      <c r="B1250" s="20" t="s">
        <v>4343</v>
      </c>
      <c r="C1250" s="20" t="s">
        <v>818</v>
      </c>
      <c r="F1250" s="20" t="s">
        <v>17</v>
      </c>
      <c r="G1250" s="20" t="s">
        <v>17</v>
      </c>
      <c r="I1250" s="20" t="s">
        <v>88</v>
      </c>
      <c r="J1250" s="20" t="s">
        <v>143</v>
      </c>
      <c r="K1250" s="20" t="s">
        <v>167</v>
      </c>
      <c r="Q1250" s="20">
        <v>2899.0</v>
      </c>
      <c r="R1250" s="20" t="s">
        <v>4344</v>
      </c>
      <c r="S1250" s="20" t="s">
        <v>4343</v>
      </c>
      <c r="T1250" s="20" t="s">
        <v>138</v>
      </c>
    </row>
    <row r="1251" ht="14.25" customHeight="1">
      <c r="A1251" s="20" t="s">
        <v>4345</v>
      </c>
      <c r="B1251" s="20" t="s">
        <v>4346</v>
      </c>
      <c r="C1251" s="20" t="s">
        <v>1676</v>
      </c>
      <c r="F1251" s="20" t="s">
        <v>16</v>
      </c>
      <c r="G1251" s="20" t="s">
        <v>202</v>
      </c>
      <c r="I1251" s="20" t="s">
        <v>203</v>
      </c>
      <c r="J1251" s="20" t="s">
        <v>143</v>
      </c>
      <c r="K1251" s="20" t="s">
        <v>167</v>
      </c>
      <c r="Q1251" s="20">
        <v>9199.0</v>
      </c>
      <c r="R1251" s="20" t="s">
        <v>4347</v>
      </c>
      <c r="S1251" s="20" t="s">
        <v>4346</v>
      </c>
      <c r="T1251" s="20" t="s">
        <v>138</v>
      </c>
    </row>
    <row r="1252" ht="14.25" customHeight="1">
      <c r="A1252" s="20" t="s">
        <v>4348</v>
      </c>
      <c r="B1252" s="20" t="s">
        <v>4349</v>
      </c>
      <c r="C1252" s="20" t="s">
        <v>818</v>
      </c>
      <c r="F1252" s="20" t="s">
        <v>17</v>
      </c>
      <c r="G1252" s="20" t="s">
        <v>17</v>
      </c>
      <c r="I1252" s="20" t="s">
        <v>88</v>
      </c>
      <c r="J1252" s="20" t="s">
        <v>143</v>
      </c>
      <c r="Q1252" s="20">
        <v>2441.0</v>
      </c>
      <c r="R1252" s="20" t="s">
        <v>4350</v>
      </c>
      <c r="S1252" s="20" t="s">
        <v>4351</v>
      </c>
      <c r="T1252" s="20" t="s">
        <v>138</v>
      </c>
    </row>
    <row r="1253" ht="14.25" customHeight="1">
      <c r="A1253" s="20" t="s">
        <v>4352</v>
      </c>
      <c r="B1253" s="20" t="s">
        <v>4353</v>
      </c>
      <c r="C1253" s="20" t="s">
        <v>193</v>
      </c>
      <c r="F1253" s="20" t="s">
        <v>150</v>
      </c>
      <c r="G1253" s="20" t="s">
        <v>150</v>
      </c>
      <c r="I1253" s="20" t="s">
        <v>151</v>
      </c>
      <c r="J1253" s="20" t="s">
        <v>143</v>
      </c>
      <c r="Q1253" s="20">
        <v>3037.0</v>
      </c>
      <c r="R1253" s="20" t="s">
        <v>4354</v>
      </c>
      <c r="S1253" s="20" t="s">
        <v>4353</v>
      </c>
      <c r="T1253" s="20" t="s">
        <v>138</v>
      </c>
    </row>
    <row r="1254" ht="14.25" customHeight="1">
      <c r="A1254" s="20" t="s">
        <v>4355</v>
      </c>
      <c r="B1254" s="20" t="s">
        <v>4356</v>
      </c>
      <c r="C1254" s="20" t="s">
        <v>193</v>
      </c>
      <c r="F1254" s="20" t="s">
        <v>150</v>
      </c>
      <c r="G1254" s="20" t="s">
        <v>150</v>
      </c>
      <c r="I1254" s="20" t="s">
        <v>151</v>
      </c>
      <c r="J1254" s="20" t="s">
        <v>143</v>
      </c>
      <c r="Q1254" s="20">
        <v>15465.0</v>
      </c>
      <c r="R1254" s="20" t="s">
        <v>4357</v>
      </c>
      <c r="S1254" s="20" t="s">
        <v>4356</v>
      </c>
      <c r="T1254" s="20" t="s">
        <v>138</v>
      </c>
    </row>
    <row r="1255" ht="14.25" customHeight="1">
      <c r="A1255" s="20" t="s">
        <v>4358</v>
      </c>
      <c r="B1255" s="20" t="s">
        <v>4359</v>
      </c>
      <c r="C1255" s="20" t="s">
        <v>2606</v>
      </c>
      <c r="F1255" s="20" t="s">
        <v>17</v>
      </c>
      <c r="G1255" s="20" t="s">
        <v>17</v>
      </c>
      <c r="I1255" s="20" t="s">
        <v>88</v>
      </c>
      <c r="J1255" s="20" t="s">
        <v>143</v>
      </c>
      <c r="Q1255" s="20">
        <v>668.0</v>
      </c>
      <c r="R1255" s="20" t="s">
        <v>4360</v>
      </c>
      <c r="S1255" s="20" t="s">
        <v>4359</v>
      </c>
      <c r="T1255" s="20" t="s">
        <v>138</v>
      </c>
    </row>
    <row r="1256" ht="14.25" customHeight="1">
      <c r="A1256" s="20" t="s">
        <v>4361</v>
      </c>
      <c r="B1256" s="20" t="s">
        <v>4362</v>
      </c>
      <c r="C1256" s="20" t="s">
        <v>1103</v>
      </c>
      <c r="F1256" s="20" t="s">
        <v>327</v>
      </c>
      <c r="G1256" s="20" t="s">
        <v>395</v>
      </c>
      <c r="I1256" s="20" t="s">
        <v>1104</v>
      </c>
      <c r="J1256" s="20" t="s">
        <v>143</v>
      </c>
      <c r="K1256" s="20" t="s">
        <v>167</v>
      </c>
      <c r="Q1256" s="20">
        <v>9680.0</v>
      </c>
      <c r="R1256" s="20" t="s">
        <v>4363</v>
      </c>
      <c r="S1256" s="20" t="s">
        <v>4364</v>
      </c>
      <c r="T1256" s="20" t="s">
        <v>138</v>
      </c>
    </row>
    <row r="1257" ht="14.25" customHeight="1">
      <c r="A1257" s="20" t="s">
        <v>4365</v>
      </c>
      <c r="B1257" s="20" t="s">
        <v>4366</v>
      </c>
      <c r="C1257" s="20" t="s">
        <v>193</v>
      </c>
      <c r="F1257" s="20" t="s">
        <v>150</v>
      </c>
      <c r="G1257" s="20" t="s">
        <v>150</v>
      </c>
      <c r="I1257" s="20" t="s">
        <v>151</v>
      </c>
      <c r="J1257" s="20" t="s">
        <v>143</v>
      </c>
      <c r="K1257" s="20" t="s">
        <v>167</v>
      </c>
      <c r="Q1257" s="20">
        <v>3173.0</v>
      </c>
      <c r="R1257" s="20" t="s">
        <v>4367</v>
      </c>
      <c r="S1257" s="20" t="s">
        <v>4366</v>
      </c>
      <c r="T1257" s="20" t="s">
        <v>138</v>
      </c>
    </row>
    <row r="1258" ht="14.25" customHeight="1">
      <c r="A1258" s="20" t="s">
        <v>4368</v>
      </c>
      <c r="B1258" s="20" t="s">
        <v>4369</v>
      </c>
      <c r="C1258" s="20" t="s">
        <v>159</v>
      </c>
      <c r="F1258" s="20" t="s">
        <v>150</v>
      </c>
      <c r="G1258" s="20" t="s">
        <v>150</v>
      </c>
      <c r="I1258" s="20" t="s">
        <v>151</v>
      </c>
      <c r="J1258" s="20" t="s">
        <v>143</v>
      </c>
      <c r="Q1258" s="20">
        <v>6098.0</v>
      </c>
      <c r="R1258" s="20" t="s">
        <v>4370</v>
      </c>
      <c r="S1258" s="20" t="s">
        <v>4369</v>
      </c>
      <c r="T1258" s="20" t="s">
        <v>138</v>
      </c>
    </row>
    <row r="1259" ht="14.25" customHeight="1">
      <c r="A1259" s="20" t="s">
        <v>4371</v>
      </c>
      <c r="B1259" s="20" t="s">
        <v>4372</v>
      </c>
      <c r="C1259" s="20" t="s">
        <v>193</v>
      </c>
      <c r="F1259" s="20" t="s">
        <v>150</v>
      </c>
      <c r="G1259" s="20" t="s">
        <v>150</v>
      </c>
      <c r="I1259" s="20" t="s">
        <v>151</v>
      </c>
      <c r="J1259" s="20" t="s">
        <v>143</v>
      </c>
      <c r="Q1259" s="20">
        <v>15133.0</v>
      </c>
      <c r="R1259" s="20" t="s">
        <v>4373</v>
      </c>
      <c r="S1259" s="20" t="s">
        <v>4372</v>
      </c>
      <c r="T1259" s="20" t="s">
        <v>138</v>
      </c>
    </row>
    <row r="1260" ht="14.25" customHeight="1">
      <c r="A1260" s="20" t="s">
        <v>4374</v>
      </c>
      <c r="B1260" s="20" t="s">
        <v>4375</v>
      </c>
      <c r="C1260" s="20" t="s">
        <v>174</v>
      </c>
      <c r="F1260" s="20" t="s">
        <v>150</v>
      </c>
      <c r="G1260" s="20" t="s">
        <v>150</v>
      </c>
      <c r="I1260" s="20" t="s">
        <v>151</v>
      </c>
      <c r="J1260" s="20" t="s">
        <v>143</v>
      </c>
      <c r="K1260" s="20" t="s">
        <v>167</v>
      </c>
      <c r="Q1260" s="20">
        <v>15982.0</v>
      </c>
      <c r="R1260" s="20" t="s">
        <v>4376</v>
      </c>
      <c r="S1260" s="20" t="s">
        <v>4375</v>
      </c>
      <c r="T1260" s="20" t="s">
        <v>138</v>
      </c>
    </row>
    <row r="1261" ht="14.25" customHeight="1">
      <c r="A1261" s="20" t="s">
        <v>4377</v>
      </c>
      <c r="B1261" s="20" t="s">
        <v>4378</v>
      </c>
      <c r="C1261" s="20" t="s">
        <v>235</v>
      </c>
      <c r="F1261" s="20" t="s">
        <v>15</v>
      </c>
      <c r="G1261" s="20" t="s">
        <v>142</v>
      </c>
      <c r="I1261" s="20" t="s">
        <v>105</v>
      </c>
      <c r="J1261" s="20" t="s">
        <v>143</v>
      </c>
      <c r="Q1261" s="20">
        <v>8595.0</v>
      </c>
      <c r="R1261" s="20" t="s">
        <v>4379</v>
      </c>
      <c r="S1261" s="20" t="s">
        <v>4378</v>
      </c>
      <c r="T1261" s="20" t="s">
        <v>138</v>
      </c>
    </row>
    <row r="1262" ht="14.25" customHeight="1">
      <c r="A1262" s="20" t="s">
        <v>4380</v>
      </c>
      <c r="B1262" s="20" t="s">
        <v>4381</v>
      </c>
      <c r="C1262" s="20" t="s">
        <v>217</v>
      </c>
      <c r="F1262" s="20" t="s">
        <v>218</v>
      </c>
      <c r="G1262" s="20" t="s">
        <v>219</v>
      </c>
      <c r="I1262" s="20" t="s">
        <v>337</v>
      </c>
      <c r="J1262" s="20" t="s">
        <v>186</v>
      </c>
      <c r="K1262" s="20" t="s">
        <v>213</v>
      </c>
      <c r="Q1262" s="20">
        <v>4683.0</v>
      </c>
      <c r="R1262" s="20" t="s">
        <v>4382</v>
      </c>
      <c r="S1262" s="20" t="s">
        <v>4381</v>
      </c>
      <c r="T1262" s="20" t="s">
        <v>138</v>
      </c>
    </row>
    <row r="1263" ht="14.25" customHeight="1">
      <c r="A1263" s="20" t="s">
        <v>4383</v>
      </c>
      <c r="B1263" s="20" t="s">
        <v>4384</v>
      </c>
      <c r="C1263" s="20" t="s">
        <v>289</v>
      </c>
      <c r="F1263" s="20" t="s">
        <v>150</v>
      </c>
      <c r="G1263" s="20" t="s">
        <v>150</v>
      </c>
      <c r="I1263" s="20" t="s">
        <v>151</v>
      </c>
      <c r="J1263" s="20" t="s">
        <v>143</v>
      </c>
      <c r="Q1263" s="20">
        <v>8623.0</v>
      </c>
      <c r="R1263" s="20" t="s">
        <v>4385</v>
      </c>
      <c r="S1263" s="20" t="s">
        <v>4384</v>
      </c>
      <c r="T1263" s="20" t="s">
        <v>138</v>
      </c>
    </row>
    <row r="1264" ht="14.25" customHeight="1">
      <c r="A1264" s="20" t="s">
        <v>4386</v>
      </c>
      <c r="B1264" s="20" t="s">
        <v>4387</v>
      </c>
      <c r="C1264" s="20" t="s">
        <v>4388</v>
      </c>
      <c r="F1264" s="20" t="s">
        <v>150</v>
      </c>
      <c r="G1264" s="20" t="s">
        <v>150</v>
      </c>
      <c r="I1264" s="20" t="s">
        <v>151</v>
      </c>
      <c r="J1264" s="20" t="s">
        <v>186</v>
      </c>
      <c r="Q1264" s="20">
        <v>16138.0</v>
      </c>
      <c r="R1264" s="20" t="s">
        <v>4389</v>
      </c>
      <c r="S1264" s="20" t="s">
        <v>4387</v>
      </c>
      <c r="T1264" s="20" t="s">
        <v>138</v>
      </c>
    </row>
    <row r="1265" ht="14.25" customHeight="1">
      <c r="A1265" s="20" t="s">
        <v>4390</v>
      </c>
      <c r="B1265" s="20" t="s">
        <v>4391</v>
      </c>
      <c r="C1265" s="20" t="s">
        <v>2051</v>
      </c>
      <c r="F1265" s="20" t="s">
        <v>16</v>
      </c>
      <c r="G1265" s="20" t="s">
        <v>202</v>
      </c>
      <c r="I1265" s="20" t="s">
        <v>203</v>
      </c>
      <c r="J1265" s="20" t="s">
        <v>143</v>
      </c>
      <c r="Q1265" s="20">
        <v>4122.0</v>
      </c>
      <c r="R1265" s="20" t="s">
        <v>4392</v>
      </c>
      <c r="S1265" s="20" t="s">
        <v>4391</v>
      </c>
      <c r="T1265" s="20" t="s">
        <v>138</v>
      </c>
      <c r="W1265" s="20" t="s">
        <v>146</v>
      </c>
    </row>
    <row r="1266" ht="14.25" customHeight="1">
      <c r="A1266" s="20" t="s">
        <v>4393</v>
      </c>
      <c r="B1266" s="20" t="s">
        <v>4394</v>
      </c>
      <c r="C1266" s="20" t="s">
        <v>818</v>
      </c>
      <c r="F1266" s="20" t="s">
        <v>17</v>
      </c>
      <c r="G1266" s="20" t="s">
        <v>17</v>
      </c>
      <c r="H1266" s="20">
        <v>683.0</v>
      </c>
      <c r="I1266" s="20" t="s">
        <v>88</v>
      </c>
      <c r="J1266" s="20" t="s">
        <v>143</v>
      </c>
      <c r="K1266" s="20" t="s">
        <v>167</v>
      </c>
      <c r="L1266" s="20" t="s">
        <v>88</v>
      </c>
      <c r="M1266" s="20" t="s">
        <v>4395</v>
      </c>
      <c r="Q1266" s="20">
        <v>683.0</v>
      </c>
      <c r="R1266" s="20" t="s">
        <v>4396</v>
      </c>
      <c r="S1266" s="20" t="s">
        <v>4394</v>
      </c>
      <c r="T1266" s="20" t="s">
        <v>138</v>
      </c>
      <c r="U1266" s="24">
        <v>45369.0</v>
      </c>
    </row>
    <row r="1267" ht="14.25" customHeight="1">
      <c r="A1267" s="20" t="s">
        <v>4397</v>
      </c>
      <c r="B1267" s="20" t="s">
        <v>4398</v>
      </c>
      <c r="C1267" s="20" t="s">
        <v>1420</v>
      </c>
      <c r="F1267" s="20" t="s">
        <v>17</v>
      </c>
      <c r="G1267" s="20" t="s">
        <v>17</v>
      </c>
      <c r="I1267" s="20" t="s">
        <v>88</v>
      </c>
      <c r="J1267" s="20" t="s">
        <v>186</v>
      </c>
      <c r="K1267" s="20" t="s">
        <v>187</v>
      </c>
      <c r="Q1267" s="20">
        <v>232.0</v>
      </c>
      <c r="R1267" s="20" t="s">
        <v>4399</v>
      </c>
      <c r="S1267" s="20" t="s">
        <v>4400</v>
      </c>
      <c r="T1267" s="20" t="s">
        <v>138</v>
      </c>
      <c r="V1267" s="20" t="s">
        <v>189</v>
      </c>
      <c r="W1267" s="20" t="s">
        <v>261</v>
      </c>
    </row>
    <row r="1268" ht="14.25" customHeight="1">
      <c r="A1268" s="20" t="s">
        <v>4401</v>
      </c>
      <c r="B1268" s="20" t="s">
        <v>4402</v>
      </c>
      <c r="C1268" s="20" t="s">
        <v>818</v>
      </c>
      <c r="F1268" s="20" t="s">
        <v>17</v>
      </c>
      <c r="G1268" s="20" t="s">
        <v>17</v>
      </c>
      <c r="I1268" s="20" t="s">
        <v>88</v>
      </c>
      <c r="J1268" s="20" t="s">
        <v>143</v>
      </c>
      <c r="Q1268" s="20">
        <v>714.0</v>
      </c>
      <c r="R1268" s="20" t="s">
        <v>4403</v>
      </c>
      <c r="S1268" s="20" t="s">
        <v>4402</v>
      </c>
      <c r="T1268" s="20" t="s">
        <v>138</v>
      </c>
    </row>
    <row r="1269" ht="14.25" customHeight="1">
      <c r="A1269" s="20" t="s">
        <v>4404</v>
      </c>
      <c r="B1269" s="20" t="s">
        <v>4405</v>
      </c>
      <c r="C1269" s="20" t="s">
        <v>1096</v>
      </c>
      <c r="F1269" s="20" t="s">
        <v>16</v>
      </c>
      <c r="G1269" s="20" t="s">
        <v>638</v>
      </c>
      <c r="I1269" s="20" t="s">
        <v>814</v>
      </c>
      <c r="J1269" s="20" t="s">
        <v>143</v>
      </c>
      <c r="K1269" s="20" t="s">
        <v>213</v>
      </c>
      <c r="L1269" s="20" t="s">
        <v>814</v>
      </c>
      <c r="Q1269" s="20">
        <v>490.0</v>
      </c>
      <c r="R1269" s="20" t="s">
        <v>4406</v>
      </c>
      <c r="S1269" s="20" t="s">
        <v>4405</v>
      </c>
      <c r="T1269" s="20" t="s">
        <v>138</v>
      </c>
      <c r="W1269" s="20" t="s">
        <v>146</v>
      </c>
    </row>
    <row r="1270" ht="14.25" customHeight="1">
      <c r="A1270" s="20" t="s">
        <v>4407</v>
      </c>
      <c r="B1270" s="20" t="s">
        <v>4408</v>
      </c>
      <c r="C1270" s="20" t="s">
        <v>174</v>
      </c>
      <c r="F1270" s="20" t="s">
        <v>150</v>
      </c>
      <c r="G1270" s="20" t="s">
        <v>150</v>
      </c>
      <c r="I1270" s="20" t="s">
        <v>151</v>
      </c>
      <c r="J1270" s="20" t="s">
        <v>143</v>
      </c>
      <c r="Q1270" s="20">
        <v>15353.0</v>
      </c>
      <c r="R1270" s="20" t="s">
        <v>4409</v>
      </c>
      <c r="S1270" s="20" t="s">
        <v>4408</v>
      </c>
      <c r="T1270" s="20" t="s">
        <v>138</v>
      </c>
    </row>
    <row r="1271" ht="14.25" customHeight="1">
      <c r="A1271" s="20" t="s">
        <v>4410</v>
      </c>
      <c r="B1271" s="20" t="s">
        <v>4411</v>
      </c>
      <c r="C1271" s="20" t="s">
        <v>1676</v>
      </c>
      <c r="F1271" s="20" t="s">
        <v>16</v>
      </c>
      <c r="G1271" s="20" t="s">
        <v>202</v>
      </c>
      <c r="I1271" s="20" t="s">
        <v>203</v>
      </c>
      <c r="J1271" s="20" t="s">
        <v>143</v>
      </c>
      <c r="K1271" s="20" t="s">
        <v>167</v>
      </c>
      <c r="Q1271" s="20">
        <v>1597.0</v>
      </c>
      <c r="R1271" s="20" t="s">
        <v>4412</v>
      </c>
      <c r="S1271" s="20" t="s">
        <v>4411</v>
      </c>
      <c r="T1271" s="20" t="s">
        <v>138</v>
      </c>
    </row>
    <row r="1272" ht="14.25" customHeight="1">
      <c r="A1272" s="20" t="s">
        <v>4413</v>
      </c>
      <c r="B1272" s="20" t="s">
        <v>4414</v>
      </c>
      <c r="C1272" s="20" t="s">
        <v>193</v>
      </c>
      <c r="F1272" s="20" t="s">
        <v>150</v>
      </c>
      <c r="G1272" s="20" t="s">
        <v>150</v>
      </c>
      <c r="I1272" s="20" t="s">
        <v>151</v>
      </c>
      <c r="J1272" s="20" t="s">
        <v>143</v>
      </c>
      <c r="Q1272" s="20">
        <v>3770.0</v>
      </c>
      <c r="R1272" s="20" t="s">
        <v>4415</v>
      </c>
      <c r="S1272" s="20" t="s">
        <v>4414</v>
      </c>
      <c r="T1272" s="20" t="s">
        <v>138</v>
      </c>
    </row>
    <row r="1273" ht="14.25" customHeight="1">
      <c r="A1273" s="20" t="s">
        <v>4416</v>
      </c>
      <c r="B1273" s="20" t="s">
        <v>4417</v>
      </c>
      <c r="C1273" s="20" t="s">
        <v>369</v>
      </c>
      <c r="F1273" s="20" t="s">
        <v>218</v>
      </c>
      <c r="G1273" s="20" t="s">
        <v>219</v>
      </c>
      <c r="I1273" s="20" t="s">
        <v>370</v>
      </c>
      <c r="J1273" s="20" t="s">
        <v>186</v>
      </c>
      <c r="K1273" s="20" t="s">
        <v>187</v>
      </c>
      <c r="Q1273" s="20">
        <v>4053.0</v>
      </c>
      <c r="R1273" s="20" t="s">
        <v>4418</v>
      </c>
      <c r="S1273" s="20" t="s">
        <v>4417</v>
      </c>
      <c r="T1273" s="20" t="s">
        <v>138</v>
      </c>
      <c r="W1273" s="20" t="s">
        <v>261</v>
      </c>
    </row>
    <row r="1274" ht="14.25" customHeight="1">
      <c r="A1274" s="20" t="s">
        <v>4419</v>
      </c>
      <c r="B1274" s="20" t="s">
        <v>4420</v>
      </c>
      <c r="C1274" s="20" t="s">
        <v>4421</v>
      </c>
      <c r="F1274" s="20" t="s">
        <v>218</v>
      </c>
      <c r="G1274" s="20" t="s">
        <v>219</v>
      </c>
      <c r="H1274" s="20">
        <v>16798.0</v>
      </c>
      <c r="I1274" s="20" t="s">
        <v>497</v>
      </c>
      <c r="J1274" s="20" t="s">
        <v>186</v>
      </c>
      <c r="P1274" s="20" t="s">
        <v>4420</v>
      </c>
      <c r="Q1274" s="20">
        <v>16798.0</v>
      </c>
      <c r="R1274" s="20" t="s">
        <v>4422</v>
      </c>
      <c r="S1274" s="20" t="s">
        <v>4420</v>
      </c>
      <c r="T1274" s="20" t="s">
        <v>138</v>
      </c>
      <c r="V1274" s="20" t="s">
        <v>189</v>
      </c>
      <c r="W1274" s="20" t="s">
        <v>146</v>
      </c>
    </row>
    <row r="1275" ht="14.25" customHeight="1">
      <c r="A1275" s="20" t="s">
        <v>4423</v>
      </c>
      <c r="B1275" s="20" t="s">
        <v>4424</v>
      </c>
      <c r="C1275" s="20" t="s">
        <v>3157</v>
      </c>
      <c r="F1275" s="20" t="s">
        <v>17</v>
      </c>
      <c r="G1275" s="20" t="s">
        <v>17</v>
      </c>
      <c r="I1275" s="20" t="s">
        <v>88</v>
      </c>
      <c r="J1275" s="20" t="s">
        <v>186</v>
      </c>
      <c r="K1275" s="20" t="s">
        <v>213</v>
      </c>
      <c r="L1275" s="20" t="s">
        <v>88</v>
      </c>
      <c r="O1275" s="20" t="s">
        <v>144</v>
      </c>
      <c r="Q1275" s="20">
        <v>677.0</v>
      </c>
      <c r="R1275" s="20" t="s">
        <v>4425</v>
      </c>
      <c r="S1275" s="20" t="s">
        <v>4424</v>
      </c>
      <c r="T1275" s="20" t="s">
        <v>138</v>
      </c>
      <c r="W1275" s="20" t="s">
        <v>146</v>
      </c>
    </row>
    <row r="1276" ht="14.25" customHeight="1">
      <c r="A1276" s="20" t="s">
        <v>4426</v>
      </c>
      <c r="B1276" s="20" t="s">
        <v>4427</v>
      </c>
      <c r="C1276" s="20" t="s">
        <v>369</v>
      </c>
      <c r="F1276" s="20" t="s">
        <v>218</v>
      </c>
      <c r="G1276" s="20" t="s">
        <v>219</v>
      </c>
      <c r="I1276" s="20" t="s">
        <v>370</v>
      </c>
      <c r="J1276" s="20" t="s">
        <v>186</v>
      </c>
      <c r="Q1276" s="20">
        <v>7775.0</v>
      </c>
      <c r="R1276" s="20" t="s">
        <v>4428</v>
      </c>
      <c r="S1276" s="20" t="s">
        <v>4427</v>
      </c>
      <c r="T1276" s="20" t="s">
        <v>138</v>
      </c>
      <c r="W1276" s="20" t="s">
        <v>146</v>
      </c>
    </row>
    <row r="1277" ht="14.25" customHeight="1">
      <c r="A1277" s="20" t="s">
        <v>4429</v>
      </c>
      <c r="B1277" s="20" t="s">
        <v>4430</v>
      </c>
      <c r="C1277" s="20" t="s">
        <v>1158</v>
      </c>
      <c r="F1277" s="20" t="s">
        <v>218</v>
      </c>
      <c r="G1277" s="20" t="s">
        <v>219</v>
      </c>
      <c r="I1277" s="20" t="s">
        <v>1159</v>
      </c>
      <c r="J1277" s="20" t="s">
        <v>136</v>
      </c>
      <c r="Q1277" s="20">
        <v>11893.0</v>
      </c>
      <c r="R1277" s="20" t="s">
        <v>4431</v>
      </c>
      <c r="S1277" s="20" t="s">
        <v>4430</v>
      </c>
      <c r="T1277" s="20" t="s">
        <v>138</v>
      </c>
    </row>
    <row r="1278" ht="14.25" customHeight="1">
      <c r="A1278" s="20" t="s">
        <v>4432</v>
      </c>
      <c r="B1278" s="20" t="s">
        <v>4433</v>
      </c>
      <c r="C1278" s="20" t="s">
        <v>2346</v>
      </c>
      <c r="F1278" s="20" t="s">
        <v>15</v>
      </c>
      <c r="G1278" s="20" t="s">
        <v>135</v>
      </c>
      <c r="H1278" s="20">
        <v>17952.0</v>
      </c>
      <c r="I1278" s="20" t="s">
        <v>96</v>
      </c>
      <c r="J1278" s="20" t="s">
        <v>186</v>
      </c>
      <c r="P1278" s="20" t="s">
        <v>4433</v>
      </c>
      <c r="Q1278" s="20">
        <v>17952.0</v>
      </c>
      <c r="R1278" s="20" t="s">
        <v>4434</v>
      </c>
      <c r="S1278" s="20" t="s">
        <v>4433</v>
      </c>
      <c r="T1278" s="20" t="s">
        <v>138</v>
      </c>
      <c r="X1278" s="20" t="s">
        <v>1292</v>
      </c>
    </row>
    <row r="1279" ht="14.25" customHeight="1">
      <c r="A1279" s="20" t="s">
        <v>4435</v>
      </c>
      <c r="B1279" s="20" t="s">
        <v>4436</v>
      </c>
      <c r="C1279" s="20" t="s">
        <v>874</v>
      </c>
      <c r="F1279" s="20" t="s">
        <v>327</v>
      </c>
      <c r="G1279" s="20" t="s">
        <v>385</v>
      </c>
      <c r="I1279" s="20" t="s">
        <v>3626</v>
      </c>
      <c r="J1279" s="20" t="s">
        <v>186</v>
      </c>
      <c r="K1279" s="20" t="s">
        <v>213</v>
      </c>
      <c r="Q1279" s="20">
        <v>679.0</v>
      </c>
      <c r="R1279" s="20" t="s">
        <v>4437</v>
      </c>
      <c r="S1279" s="20" t="s">
        <v>4438</v>
      </c>
      <c r="T1279" s="20" t="s">
        <v>138</v>
      </c>
      <c r="W1279" s="20" t="s">
        <v>146</v>
      </c>
    </row>
    <row r="1280" ht="14.25" customHeight="1">
      <c r="A1280" s="20" t="s">
        <v>4439</v>
      </c>
      <c r="B1280" s="20" t="s">
        <v>4440</v>
      </c>
      <c r="C1280" s="20" t="s">
        <v>637</v>
      </c>
      <c r="F1280" s="20" t="s">
        <v>16</v>
      </c>
      <c r="G1280" s="20" t="s">
        <v>638</v>
      </c>
      <c r="I1280" s="20" t="s">
        <v>639</v>
      </c>
      <c r="J1280" s="20" t="s">
        <v>143</v>
      </c>
      <c r="K1280" s="20" t="s">
        <v>167</v>
      </c>
      <c r="Q1280" s="20">
        <v>3753.0</v>
      </c>
      <c r="R1280" s="20" t="s">
        <v>4441</v>
      </c>
      <c r="S1280" s="20" t="s">
        <v>4440</v>
      </c>
      <c r="T1280" s="20" t="s">
        <v>138</v>
      </c>
    </row>
    <row r="1281" ht="14.25" customHeight="1">
      <c r="A1281" s="20" t="s">
        <v>4442</v>
      </c>
      <c r="B1281" s="20" t="s">
        <v>4443</v>
      </c>
      <c r="C1281" s="20" t="s">
        <v>163</v>
      </c>
      <c r="F1281" s="20" t="s">
        <v>150</v>
      </c>
      <c r="G1281" s="20" t="s">
        <v>150</v>
      </c>
      <c r="I1281" s="20" t="s">
        <v>151</v>
      </c>
      <c r="J1281" s="20" t="s">
        <v>143</v>
      </c>
      <c r="Q1281" s="20">
        <v>15300.0</v>
      </c>
      <c r="R1281" s="20" t="s">
        <v>4444</v>
      </c>
      <c r="S1281" s="20" t="s">
        <v>4443</v>
      </c>
      <c r="T1281" s="20" t="s">
        <v>138</v>
      </c>
    </row>
    <row r="1282" ht="14.25" customHeight="1">
      <c r="A1282" s="20" t="s">
        <v>4445</v>
      </c>
      <c r="B1282" s="20" t="s">
        <v>4446</v>
      </c>
      <c r="C1282" s="20" t="s">
        <v>801</v>
      </c>
      <c r="F1282" s="20" t="s">
        <v>218</v>
      </c>
      <c r="G1282" s="20" t="s">
        <v>219</v>
      </c>
      <c r="I1282" s="20" t="s">
        <v>802</v>
      </c>
      <c r="J1282" s="20" t="s">
        <v>186</v>
      </c>
      <c r="K1282" s="20" t="s">
        <v>167</v>
      </c>
      <c r="Q1282" s="20">
        <v>12487.0</v>
      </c>
      <c r="R1282" s="20" t="s">
        <v>4447</v>
      </c>
      <c r="S1282" s="20" t="s">
        <v>4446</v>
      </c>
      <c r="T1282" s="20" t="s">
        <v>138</v>
      </c>
    </row>
    <row r="1283" ht="14.25" customHeight="1">
      <c r="A1283" s="20" t="s">
        <v>4448</v>
      </c>
      <c r="B1283" s="20" t="s">
        <v>4449</v>
      </c>
      <c r="C1283" s="20" t="s">
        <v>369</v>
      </c>
      <c r="F1283" s="20" t="s">
        <v>218</v>
      </c>
      <c r="G1283" s="20" t="s">
        <v>219</v>
      </c>
      <c r="I1283" s="20" t="s">
        <v>370</v>
      </c>
      <c r="J1283" s="20" t="s">
        <v>186</v>
      </c>
      <c r="Q1283" s="20">
        <v>4054.0</v>
      </c>
      <c r="R1283" s="20" t="s">
        <v>4450</v>
      </c>
      <c r="S1283" s="20" t="s">
        <v>4449</v>
      </c>
      <c r="T1283" s="20" t="s">
        <v>138</v>
      </c>
      <c r="V1283" s="20" t="s">
        <v>189</v>
      </c>
      <c r="W1283" s="20" t="s">
        <v>261</v>
      </c>
    </row>
    <row r="1284" ht="14.25" customHeight="1">
      <c r="A1284" s="20" t="s">
        <v>4451</v>
      </c>
      <c r="B1284" s="20" t="s">
        <v>4452</v>
      </c>
      <c r="C1284" s="20" t="s">
        <v>491</v>
      </c>
      <c r="F1284" s="20" t="s">
        <v>327</v>
      </c>
      <c r="G1284" s="20" t="s">
        <v>385</v>
      </c>
      <c r="I1284" s="20" t="s">
        <v>492</v>
      </c>
      <c r="J1284" s="20" t="s">
        <v>143</v>
      </c>
      <c r="Q1284" s="20">
        <v>9338.0</v>
      </c>
      <c r="R1284" s="20" t="s">
        <v>4453</v>
      </c>
      <c r="S1284" s="20" t="s">
        <v>4452</v>
      </c>
      <c r="T1284" s="20" t="s">
        <v>138</v>
      </c>
    </row>
    <row r="1285" ht="14.25" customHeight="1">
      <c r="A1285" s="20" t="s">
        <v>4454</v>
      </c>
      <c r="B1285" s="20" t="s">
        <v>4455</v>
      </c>
      <c r="C1285" s="20" t="s">
        <v>197</v>
      </c>
      <c r="F1285" s="20" t="s">
        <v>150</v>
      </c>
      <c r="G1285" s="20" t="s">
        <v>150</v>
      </c>
      <c r="I1285" s="20" t="s">
        <v>151</v>
      </c>
      <c r="J1285" s="20" t="s">
        <v>143</v>
      </c>
      <c r="Q1285" s="20">
        <v>16595.0</v>
      </c>
      <c r="R1285" s="20" t="s">
        <v>4456</v>
      </c>
      <c r="S1285" s="20" t="s">
        <v>4455</v>
      </c>
      <c r="T1285" s="20" t="s">
        <v>138</v>
      </c>
    </row>
    <row r="1286" ht="14.25" customHeight="1">
      <c r="A1286" s="20" t="s">
        <v>4457</v>
      </c>
      <c r="B1286" s="20" t="s">
        <v>4458</v>
      </c>
      <c r="C1286" s="20" t="s">
        <v>4459</v>
      </c>
      <c r="F1286" s="20" t="s">
        <v>17</v>
      </c>
      <c r="G1286" s="20" t="s">
        <v>17</v>
      </c>
      <c r="H1286" s="20">
        <v>18109.0</v>
      </c>
      <c r="I1286" s="20" t="s">
        <v>88</v>
      </c>
      <c r="J1286" s="20" t="s">
        <v>143</v>
      </c>
      <c r="K1286" s="20" t="s">
        <v>213</v>
      </c>
      <c r="L1286" s="20" t="s">
        <v>88</v>
      </c>
      <c r="P1286" s="20" t="s">
        <v>4458</v>
      </c>
      <c r="Q1286" s="20">
        <v>18109.0</v>
      </c>
      <c r="R1286" s="20" t="s">
        <v>4460</v>
      </c>
      <c r="S1286" s="20" t="s">
        <v>4458</v>
      </c>
      <c r="T1286" s="20" t="s">
        <v>138</v>
      </c>
    </row>
    <row r="1287" ht="14.25" customHeight="1">
      <c r="A1287" s="20" t="s">
        <v>4461</v>
      </c>
      <c r="B1287" s="20" t="s">
        <v>4462</v>
      </c>
      <c r="C1287" s="20" t="s">
        <v>193</v>
      </c>
      <c r="F1287" s="20" t="s">
        <v>150</v>
      </c>
      <c r="G1287" s="20" t="s">
        <v>150</v>
      </c>
      <c r="I1287" s="20" t="s">
        <v>151</v>
      </c>
      <c r="J1287" s="20" t="s">
        <v>143</v>
      </c>
      <c r="Q1287" s="20">
        <v>3865.0</v>
      </c>
      <c r="R1287" s="20" t="s">
        <v>4463</v>
      </c>
      <c r="S1287" s="20" t="s">
        <v>4462</v>
      </c>
      <c r="T1287" s="20" t="s">
        <v>138</v>
      </c>
    </row>
    <row r="1288" ht="14.25" customHeight="1">
      <c r="A1288" s="20" t="s">
        <v>4464</v>
      </c>
      <c r="B1288" s="20" t="s">
        <v>4465</v>
      </c>
      <c r="C1288" s="20" t="s">
        <v>928</v>
      </c>
      <c r="F1288" s="20" t="s">
        <v>327</v>
      </c>
      <c r="G1288" s="20" t="s">
        <v>328</v>
      </c>
      <c r="I1288" s="20" t="s">
        <v>329</v>
      </c>
      <c r="J1288" s="20" t="s">
        <v>186</v>
      </c>
      <c r="Q1288" s="20">
        <v>13893.0</v>
      </c>
      <c r="R1288" s="20" t="s">
        <v>4466</v>
      </c>
      <c r="S1288" s="20" t="s">
        <v>4465</v>
      </c>
      <c r="T1288" s="20" t="s">
        <v>138</v>
      </c>
    </row>
    <row r="1289" ht="14.25" customHeight="1">
      <c r="A1289" s="20" t="s">
        <v>4467</v>
      </c>
      <c r="B1289" s="20" t="s">
        <v>4468</v>
      </c>
      <c r="C1289" s="20" t="s">
        <v>235</v>
      </c>
      <c r="F1289" s="20" t="s">
        <v>15</v>
      </c>
      <c r="G1289" s="20" t="s">
        <v>142</v>
      </c>
      <c r="I1289" s="20" t="s">
        <v>105</v>
      </c>
      <c r="J1289" s="20" t="s">
        <v>143</v>
      </c>
      <c r="Q1289" s="20">
        <v>5067.0</v>
      </c>
      <c r="R1289" s="20" t="s">
        <v>4469</v>
      </c>
      <c r="S1289" s="20" t="s">
        <v>4468</v>
      </c>
      <c r="T1289" s="20" t="s">
        <v>138</v>
      </c>
    </row>
    <row r="1290" ht="14.25" customHeight="1">
      <c r="A1290" s="20" t="s">
        <v>4470</v>
      </c>
      <c r="B1290" s="20" t="s">
        <v>4471</v>
      </c>
      <c r="C1290" s="20" t="s">
        <v>4472</v>
      </c>
      <c r="F1290" s="20" t="s">
        <v>17</v>
      </c>
      <c r="G1290" s="20" t="s">
        <v>17</v>
      </c>
      <c r="I1290" s="20" t="s">
        <v>88</v>
      </c>
      <c r="J1290" s="20" t="s">
        <v>143</v>
      </c>
      <c r="K1290" s="20" t="s">
        <v>213</v>
      </c>
      <c r="L1290" s="20" t="s">
        <v>88</v>
      </c>
      <c r="O1290" s="20" t="s">
        <v>144</v>
      </c>
      <c r="Q1290" s="20">
        <v>3578.0</v>
      </c>
      <c r="R1290" s="20" t="s">
        <v>4473</v>
      </c>
      <c r="S1290" s="20" t="s">
        <v>4471</v>
      </c>
      <c r="T1290" s="20" t="s">
        <v>138</v>
      </c>
      <c r="V1290" s="20" t="s">
        <v>189</v>
      </c>
      <c r="W1290" s="20" t="s">
        <v>146</v>
      </c>
    </row>
    <row r="1291" ht="14.25" customHeight="1">
      <c r="A1291" s="20" t="s">
        <v>4474</v>
      </c>
      <c r="B1291" s="20" t="s">
        <v>4475</v>
      </c>
      <c r="C1291" s="20" t="s">
        <v>1581</v>
      </c>
      <c r="F1291" s="20" t="s">
        <v>16</v>
      </c>
      <c r="G1291" s="20" t="s">
        <v>638</v>
      </c>
      <c r="I1291" s="20" t="s">
        <v>1582</v>
      </c>
      <c r="J1291" s="20" t="s">
        <v>143</v>
      </c>
      <c r="K1291" s="20" t="s">
        <v>213</v>
      </c>
      <c r="Q1291" s="20">
        <v>13865.0</v>
      </c>
      <c r="R1291" s="20" t="s">
        <v>4476</v>
      </c>
      <c r="S1291" s="20" t="s">
        <v>4475</v>
      </c>
      <c r="T1291" s="20" t="s">
        <v>138</v>
      </c>
      <c r="V1291" s="20" t="s">
        <v>189</v>
      </c>
      <c r="W1291" s="20" t="s">
        <v>146</v>
      </c>
    </row>
    <row r="1292" ht="14.25" customHeight="1">
      <c r="A1292" s="20" t="s">
        <v>4477</v>
      </c>
      <c r="B1292" s="20" t="s">
        <v>4478</v>
      </c>
      <c r="C1292" s="20" t="s">
        <v>4479</v>
      </c>
      <c r="F1292" s="20" t="s">
        <v>16</v>
      </c>
      <c r="G1292" s="20" t="s">
        <v>211</v>
      </c>
      <c r="I1292" s="20" t="s">
        <v>4480</v>
      </c>
      <c r="J1292" s="20" t="s">
        <v>186</v>
      </c>
      <c r="K1292" s="20" t="s">
        <v>187</v>
      </c>
      <c r="Q1292" s="20">
        <v>1636.0</v>
      </c>
      <c r="R1292" s="20" t="s">
        <v>4481</v>
      </c>
      <c r="S1292" s="20" t="s">
        <v>4478</v>
      </c>
      <c r="T1292" s="20" t="s">
        <v>138</v>
      </c>
    </row>
    <row r="1293" ht="14.25" customHeight="1">
      <c r="A1293" s="20" t="s">
        <v>4482</v>
      </c>
      <c r="B1293" s="20" t="s">
        <v>4483</v>
      </c>
      <c r="C1293" s="20" t="s">
        <v>4484</v>
      </c>
      <c r="F1293" s="20" t="s">
        <v>17</v>
      </c>
      <c r="G1293" s="20" t="s">
        <v>17</v>
      </c>
      <c r="I1293" s="20" t="s">
        <v>88</v>
      </c>
      <c r="J1293" s="20" t="s">
        <v>143</v>
      </c>
      <c r="Q1293" s="20">
        <v>15096.0</v>
      </c>
      <c r="R1293" s="20" t="s">
        <v>4485</v>
      </c>
      <c r="S1293" s="20" t="s">
        <v>4483</v>
      </c>
      <c r="T1293" s="20" t="s">
        <v>138</v>
      </c>
    </row>
    <row r="1294" ht="14.25" customHeight="1">
      <c r="A1294" s="20" t="s">
        <v>4486</v>
      </c>
      <c r="B1294" s="20" t="s">
        <v>4487</v>
      </c>
      <c r="C1294" s="20" t="s">
        <v>201</v>
      </c>
      <c r="F1294" s="20" t="s">
        <v>16</v>
      </c>
      <c r="G1294" s="20" t="s">
        <v>202</v>
      </c>
      <c r="I1294" s="20" t="s">
        <v>203</v>
      </c>
      <c r="J1294" s="20" t="s">
        <v>143</v>
      </c>
      <c r="Q1294" s="20">
        <v>8729.0</v>
      </c>
      <c r="R1294" s="20" t="s">
        <v>4488</v>
      </c>
      <c r="S1294" s="20" t="s">
        <v>4487</v>
      </c>
      <c r="T1294" s="20" t="s">
        <v>138</v>
      </c>
    </row>
    <row r="1295" ht="14.25" customHeight="1">
      <c r="A1295" s="20" t="s">
        <v>4489</v>
      </c>
      <c r="B1295" s="20" t="s">
        <v>4490</v>
      </c>
      <c r="C1295" s="20" t="s">
        <v>193</v>
      </c>
      <c r="F1295" s="20" t="s">
        <v>150</v>
      </c>
      <c r="G1295" s="20" t="s">
        <v>150</v>
      </c>
      <c r="I1295" s="20" t="s">
        <v>151</v>
      </c>
      <c r="J1295" s="20" t="s">
        <v>143</v>
      </c>
      <c r="Q1295" s="20">
        <v>682.0</v>
      </c>
      <c r="R1295" s="20" t="s">
        <v>4491</v>
      </c>
      <c r="S1295" s="20" t="s">
        <v>4490</v>
      </c>
      <c r="T1295" s="20" t="s">
        <v>138</v>
      </c>
    </row>
    <row r="1296" ht="14.25" customHeight="1">
      <c r="A1296" s="20" t="s">
        <v>4492</v>
      </c>
      <c r="B1296" s="20" t="s">
        <v>4493</v>
      </c>
      <c r="C1296" s="20" t="s">
        <v>680</v>
      </c>
      <c r="F1296" s="20" t="s">
        <v>15</v>
      </c>
      <c r="G1296" s="20" t="s">
        <v>142</v>
      </c>
      <c r="I1296" s="20" t="s">
        <v>105</v>
      </c>
      <c r="J1296" s="20" t="s">
        <v>143</v>
      </c>
      <c r="Q1296" s="20">
        <v>14686.0</v>
      </c>
      <c r="R1296" s="20" t="s">
        <v>4494</v>
      </c>
      <c r="S1296" s="20" t="s">
        <v>4493</v>
      </c>
      <c r="T1296" s="20" t="s">
        <v>138</v>
      </c>
    </row>
    <row r="1297" ht="14.25" customHeight="1">
      <c r="A1297" s="20" t="s">
        <v>4495</v>
      </c>
      <c r="B1297" s="20" t="s">
        <v>4496</v>
      </c>
      <c r="C1297" s="20" t="s">
        <v>174</v>
      </c>
      <c r="F1297" s="20" t="s">
        <v>150</v>
      </c>
      <c r="G1297" s="20" t="s">
        <v>150</v>
      </c>
      <c r="I1297" s="20" t="s">
        <v>151</v>
      </c>
      <c r="J1297" s="20" t="s">
        <v>143</v>
      </c>
      <c r="Q1297" s="20">
        <v>6220.0</v>
      </c>
      <c r="R1297" s="20" t="s">
        <v>4497</v>
      </c>
      <c r="S1297" s="20" t="s">
        <v>4496</v>
      </c>
      <c r="T1297" s="20" t="s">
        <v>138</v>
      </c>
    </row>
    <row r="1298" ht="14.25" customHeight="1">
      <c r="A1298" s="20" t="s">
        <v>4498</v>
      </c>
      <c r="B1298" s="20" t="s">
        <v>4499</v>
      </c>
      <c r="C1298" s="20" t="s">
        <v>193</v>
      </c>
      <c r="F1298" s="20" t="s">
        <v>150</v>
      </c>
      <c r="G1298" s="20" t="s">
        <v>150</v>
      </c>
      <c r="I1298" s="20" t="s">
        <v>151</v>
      </c>
      <c r="J1298" s="20" t="s">
        <v>143</v>
      </c>
      <c r="Q1298" s="20">
        <v>7776.0</v>
      </c>
      <c r="R1298" s="20" t="s">
        <v>4500</v>
      </c>
      <c r="S1298" s="20" t="s">
        <v>4499</v>
      </c>
      <c r="T1298" s="20" t="s">
        <v>138</v>
      </c>
    </row>
    <row r="1299" ht="14.25" customHeight="1">
      <c r="A1299" s="20" t="s">
        <v>4501</v>
      </c>
      <c r="B1299" s="20" t="s">
        <v>4502</v>
      </c>
      <c r="C1299" s="20" t="s">
        <v>4503</v>
      </c>
      <c r="F1299" s="20" t="s">
        <v>218</v>
      </c>
      <c r="G1299" s="20" t="s">
        <v>219</v>
      </c>
      <c r="I1299" s="20" t="s">
        <v>314</v>
      </c>
      <c r="J1299" s="20" t="s">
        <v>186</v>
      </c>
      <c r="K1299" s="20" t="s">
        <v>213</v>
      </c>
      <c r="Q1299" s="20">
        <v>10705.0</v>
      </c>
      <c r="R1299" s="20" t="s">
        <v>4504</v>
      </c>
      <c r="S1299" s="20" t="s">
        <v>4502</v>
      </c>
      <c r="T1299" s="20" t="s">
        <v>138</v>
      </c>
    </row>
    <row r="1300" ht="14.25" customHeight="1">
      <c r="A1300" s="20" t="s">
        <v>4505</v>
      </c>
      <c r="B1300" s="20" t="s">
        <v>4506</v>
      </c>
      <c r="C1300" s="20" t="s">
        <v>2043</v>
      </c>
      <c r="F1300" s="20" t="s">
        <v>218</v>
      </c>
      <c r="G1300" s="20" t="s">
        <v>219</v>
      </c>
      <c r="I1300" s="20" t="s">
        <v>360</v>
      </c>
      <c r="J1300" s="20" t="s">
        <v>186</v>
      </c>
      <c r="K1300" s="20" t="s">
        <v>187</v>
      </c>
      <c r="Q1300" s="20">
        <v>2457.0</v>
      </c>
      <c r="R1300" s="20" t="s">
        <v>4507</v>
      </c>
      <c r="S1300" s="20" t="s">
        <v>4506</v>
      </c>
      <c r="T1300" s="20" t="s">
        <v>138</v>
      </c>
      <c r="W1300" s="20" t="s">
        <v>190</v>
      </c>
    </row>
    <row r="1301" ht="14.25" customHeight="1">
      <c r="A1301" s="20" t="s">
        <v>4508</v>
      </c>
      <c r="B1301" s="20" t="s">
        <v>4509</v>
      </c>
      <c r="C1301" s="20" t="s">
        <v>201</v>
      </c>
      <c r="F1301" s="20" t="s">
        <v>16</v>
      </c>
      <c r="G1301" s="20" t="s">
        <v>202</v>
      </c>
      <c r="I1301" s="20" t="s">
        <v>203</v>
      </c>
      <c r="J1301" s="20" t="s">
        <v>143</v>
      </c>
      <c r="Q1301" s="20">
        <v>9241.0</v>
      </c>
      <c r="R1301" s="20" t="s">
        <v>4510</v>
      </c>
      <c r="S1301" s="20" t="s">
        <v>4509</v>
      </c>
      <c r="T1301" s="20" t="s">
        <v>138</v>
      </c>
    </row>
    <row r="1302" ht="14.25" customHeight="1">
      <c r="A1302" s="20" t="s">
        <v>4511</v>
      </c>
      <c r="B1302" s="20" t="s">
        <v>4512</v>
      </c>
      <c r="C1302" s="20" t="s">
        <v>4513</v>
      </c>
      <c r="F1302" s="20" t="s">
        <v>150</v>
      </c>
      <c r="G1302" s="20" t="s">
        <v>150</v>
      </c>
      <c r="I1302" s="20" t="s">
        <v>151</v>
      </c>
      <c r="J1302" s="20" t="s">
        <v>186</v>
      </c>
      <c r="Q1302" s="20">
        <v>4879.0</v>
      </c>
      <c r="R1302" s="20" t="s">
        <v>4514</v>
      </c>
      <c r="S1302" s="20" t="s">
        <v>4515</v>
      </c>
      <c r="T1302" s="20" t="s">
        <v>138</v>
      </c>
    </row>
    <row r="1303" ht="14.25" customHeight="1">
      <c r="A1303" s="20" t="s">
        <v>4516</v>
      </c>
      <c r="B1303" s="20" t="s">
        <v>4517</v>
      </c>
      <c r="C1303" s="20" t="s">
        <v>4513</v>
      </c>
      <c r="F1303" s="20" t="s">
        <v>150</v>
      </c>
      <c r="G1303" s="20" t="s">
        <v>150</v>
      </c>
      <c r="I1303" s="20" t="s">
        <v>151</v>
      </c>
      <c r="J1303" s="20" t="s">
        <v>186</v>
      </c>
      <c r="Q1303" s="20">
        <v>4861.0</v>
      </c>
      <c r="R1303" s="20" t="s">
        <v>4518</v>
      </c>
      <c r="S1303" s="20" t="s">
        <v>4519</v>
      </c>
      <c r="T1303" s="20" t="s">
        <v>138</v>
      </c>
    </row>
    <row r="1304" ht="14.25" customHeight="1">
      <c r="A1304" s="20" t="s">
        <v>4520</v>
      </c>
      <c r="B1304" s="20" t="s">
        <v>4521</v>
      </c>
      <c r="C1304" s="20" t="s">
        <v>4513</v>
      </c>
      <c r="F1304" s="20" t="s">
        <v>150</v>
      </c>
      <c r="G1304" s="20" t="s">
        <v>150</v>
      </c>
      <c r="I1304" s="20" t="s">
        <v>151</v>
      </c>
      <c r="J1304" s="20" t="s">
        <v>186</v>
      </c>
      <c r="Q1304" s="20">
        <v>4854.0</v>
      </c>
      <c r="R1304" s="20" t="s">
        <v>4522</v>
      </c>
      <c r="S1304" s="20" t="s">
        <v>4523</v>
      </c>
      <c r="T1304" s="20" t="s">
        <v>138</v>
      </c>
    </row>
    <row r="1305" ht="14.25" customHeight="1">
      <c r="A1305" s="20" t="s">
        <v>4524</v>
      </c>
      <c r="B1305" s="20" t="s">
        <v>4525</v>
      </c>
      <c r="C1305" s="20" t="s">
        <v>4513</v>
      </c>
      <c r="F1305" s="20" t="s">
        <v>150</v>
      </c>
      <c r="G1305" s="20" t="s">
        <v>150</v>
      </c>
      <c r="I1305" s="20" t="s">
        <v>151</v>
      </c>
      <c r="J1305" s="20" t="s">
        <v>186</v>
      </c>
      <c r="Q1305" s="20">
        <v>4873.0</v>
      </c>
      <c r="R1305" s="20" t="s">
        <v>4526</v>
      </c>
      <c r="S1305" s="20" t="s">
        <v>4527</v>
      </c>
      <c r="T1305" s="20" t="s">
        <v>138</v>
      </c>
    </row>
    <row r="1306" ht="14.25" customHeight="1">
      <c r="A1306" s="20" t="s">
        <v>4528</v>
      </c>
      <c r="B1306" s="20" t="s">
        <v>4529</v>
      </c>
      <c r="C1306" s="20" t="s">
        <v>4513</v>
      </c>
      <c r="F1306" s="20" t="s">
        <v>150</v>
      </c>
      <c r="G1306" s="20" t="s">
        <v>150</v>
      </c>
      <c r="I1306" s="20" t="s">
        <v>151</v>
      </c>
      <c r="J1306" s="20" t="s">
        <v>186</v>
      </c>
      <c r="Q1306" s="20">
        <v>4881.0</v>
      </c>
      <c r="R1306" s="20" t="s">
        <v>4530</v>
      </c>
      <c r="S1306" s="20" t="s">
        <v>4531</v>
      </c>
      <c r="T1306" s="20" t="s">
        <v>138</v>
      </c>
    </row>
    <row r="1307" ht="14.25" customHeight="1">
      <c r="A1307" s="20" t="s">
        <v>4532</v>
      </c>
      <c r="B1307" s="20" t="s">
        <v>4533</v>
      </c>
      <c r="C1307" s="20" t="s">
        <v>4513</v>
      </c>
      <c r="F1307" s="20" t="s">
        <v>150</v>
      </c>
      <c r="G1307" s="20" t="s">
        <v>150</v>
      </c>
      <c r="I1307" s="20" t="s">
        <v>151</v>
      </c>
      <c r="J1307" s="20" t="s">
        <v>186</v>
      </c>
      <c r="Q1307" s="20">
        <v>4895.0</v>
      </c>
      <c r="R1307" s="20" t="s">
        <v>4534</v>
      </c>
      <c r="S1307" s="20" t="s">
        <v>4535</v>
      </c>
      <c r="T1307" s="20" t="s">
        <v>138</v>
      </c>
    </row>
    <row r="1308" ht="14.25" customHeight="1">
      <c r="A1308" s="20" t="s">
        <v>4536</v>
      </c>
      <c r="B1308" s="20" t="s">
        <v>4537</v>
      </c>
      <c r="C1308" s="20" t="s">
        <v>4513</v>
      </c>
      <c r="F1308" s="20" t="s">
        <v>150</v>
      </c>
      <c r="G1308" s="20" t="s">
        <v>150</v>
      </c>
      <c r="I1308" s="20" t="s">
        <v>151</v>
      </c>
      <c r="J1308" s="20" t="s">
        <v>186</v>
      </c>
      <c r="Q1308" s="20">
        <v>4866.0</v>
      </c>
      <c r="R1308" s="20" t="s">
        <v>4538</v>
      </c>
      <c r="S1308" s="20" t="s">
        <v>4539</v>
      </c>
      <c r="T1308" s="20" t="s">
        <v>138</v>
      </c>
    </row>
    <row r="1309" ht="14.25" customHeight="1">
      <c r="A1309" s="20" t="s">
        <v>4540</v>
      </c>
      <c r="B1309" s="20" t="s">
        <v>4541</v>
      </c>
      <c r="C1309" s="20" t="s">
        <v>4513</v>
      </c>
      <c r="F1309" s="20" t="s">
        <v>150</v>
      </c>
      <c r="G1309" s="20" t="s">
        <v>150</v>
      </c>
      <c r="I1309" s="20" t="s">
        <v>151</v>
      </c>
      <c r="J1309" s="20" t="s">
        <v>186</v>
      </c>
      <c r="Q1309" s="20">
        <v>4888.0</v>
      </c>
      <c r="R1309" s="20" t="s">
        <v>4542</v>
      </c>
      <c r="S1309" s="20" t="s">
        <v>4543</v>
      </c>
      <c r="T1309" s="20" t="s">
        <v>138</v>
      </c>
    </row>
    <row r="1310" ht="14.25" customHeight="1">
      <c r="A1310" s="20" t="s">
        <v>4544</v>
      </c>
      <c r="B1310" s="20" t="s">
        <v>4545</v>
      </c>
      <c r="C1310" s="20" t="s">
        <v>4513</v>
      </c>
      <c r="F1310" s="20" t="s">
        <v>150</v>
      </c>
      <c r="G1310" s="20" t="s">
        <v>150</v>
      </c>
      <c r="I1310" s="20" t="s">
        <v>151</v>
      </c>
      <c r="J1310" s="20" t="s">
        <v>186</v>
      </c>
      <c r="Q1310" s="20">
        <v>4855.0</v>
      </c>
      <c r="R1310" s="20" t="s">
        <v>4546</v>
      </c>
      <c r="S1310" s="20" t="s">
        <v>4547</v>
      </c>
      <c r="T1310" s="20" t="s">
        <v>138</v>
      </c>
    </row>
    <row r="1311" ht="14.25" customHeight="1">
      <c r="A1311" s="20" t="s">
        <v>4548</v>
      </c>
      <c r="B1311" s="20" t="s">
        <v>4549</v>
      </c>
      <c r="C1311" s="20" t="s">
        <v>4513</v>
      </c>
      <c r="F1311" s="20" t="s">
        <v>150</v>
      </c>
      <c r="G1311" s="20" t="s">
        <v>150</v>
      </c>
      <c r="I1311" s="20" t="s">
        <v>151</v>
      </c>
      <c r="J1311" s="20" t="s">
        <v>186</v>
      </c>
      <c r="Q1311" s="20">
        <v>4896.0</v>
      </c>
      <c r="R1311" s="20" t="s">
        <v>4550</v>
      </c>
      <c r="S1311" s="20" t="s">
        <v>4551</v>
      </c>
      <c r="T1311" s="20" t="s">
        <v>138</v>
      </c>
    </row>
    <row r="1312" ht="14.25" customHeight="1">
      <c r="A1312" s="20" t="s">
        <v>4552</v>
      </c>
      <c r="B1312" s="20" t="s">
        <v>4553</v>
      </c>
      <c r="C1312" s="20" t="s">
        <v>4513</v>
      </c>
      <c r="F1312" s="20" t="s">
        <v>150</v>
      </c>
      <c r="G1312" s="20" t="s">
        <v>150</v>
      </c>
      <c r="I1312" s="20" t="s">
        <v>151</v>
      </c>
      <c r="J1312" s="20" t="s">
        <v>186</v>
      </c>
      <c r="Q1312" s="20">
        <v>4862.0</v>
      </c>
      <c r="R1312" s="20" t="s">
        <v>4554</v>
      </c>
      <c r="S1312" s="20" t="s">
        <v>4555</v>
      </c>
      <c r="T1312" s="20" t="s">
        <v>138</v>
      </c>
    </row>
    <row r="1313" ht="14.25" customHeight="1">
      <c r="A1313" s="20" t="s">
        <v>4556</v>
      </c>
      <c r="B1313" s="20" t="s">
        <v>4557</v>
      </c>
      <c r="C1313" s="20" t="s">
        <v>4513</v>
      </c>
      <c r="F1313" s="20" t="s">
        <v>150</v>
      </c>
      <c r="G1313" s="20" t="s">
        <v>150</v>
      </c>
      <c r="I1313" s="20" t="s">
        <v>151</v>
      </c>
      <c r="J1313" s="20" t="s">
        <v>186</v>
      </c>
      <c r="Q1313" s="20">
        <v>4867.0</v>
      </c>
      <c r="R1313" s="20" t="s">
        <v>4558</v>
      </c>
      <c r="S1313" s="20" t="s">
        <v>4559</v>
      </c>
      <c r="T1313" s="20" t="s">
        <v>138</v>
      </c>
    </row>
    <row r="1314" ht="14.25" customHeight="1">
      <c r="A1314" s="20" t="s">
        <v>4560</v>
      </c>
      <c r="B1314" s="20" t="s">
        <v>4561</v>
      </c>
      <c r="C1314" s="20" t="s">
        <v>4513</v>
      </c>
      <c r="F1314" s="20" t="s">
        <v>150</v>
      </c>
      <c r="G1314" s="20" t="s">
        <v>150</v>
      </c>
      <c r="I1314" s="20" t="s">
        <v>151</v>
      </c>
      <c r="J1314" s="20" t="s">
        <v>186</v>
      </c>
      <c r="Q1314" s="20">
        <v>4874.0</v>
      </c>
      <c r="R1314" s="20" t="s">
        <v>4562</v>
      </c>
      <c r="S1314" s="20" t="s">
        <v>4563</v>
      </c>
      <c r="T1314" s="20" t="s">
        <v>138</v>
      </c>
    </row>
    <row r="1315" ht="14.25" customHeight="1">
      <c r="A1315" s="20" t="s">
        <v>4564</v>
      </c>
      <c r="B1315" s="20" t="s">
        <v>4565</v>
      </c>
      <c r="C1315" s="20" t="s">
        <v>4513</v>
      </c>
      <c r="F1315" s="20" t="s">
        <v>150</v>
      </c>
      <c r="G1315" s="20" t="s">
        <v>150</v>
      </c>
      <c r="I1315" s="20" t="s">
        <v>151</v>
      </c>
      <c r="J1315" s="20" t="s">
        <v>186</v>
      </c>
      <c r="Q1315" s="20">
        <v>4875.0</v>
      </c>
      <c r="R1315" s="20" t="s">
        <v>4566</v>
      </c>
      <c r="S1315" s="20" t="s">
        <v>4567</v>
      </c>
      <c r="T1315" s="20" t="s">
        <v>138</v>
      </c>
    </row>
    <row r="1316" ht="14.25" customHeight="1">
      <c r="A1316" s="20" t="s">
        <v>4568</v>
      </c>
      <c r="B1316" s="20" t="s">
        <v>4569</v>
      </c>
      <c r="C1316" s="20" t="s">
        <v>4513</v>
      </c>
      <c r="F1316" s="20" t="s">
        <v>150</v>
      </c>
      <c r="G1316" s="20" t="s">
        <v>150</v>
      </c>
      <c r="I1316" s="20" t="s">
        <v>151</v>
      </c>
      <c r="J1316" s="20" t="s">
        <v>186</v>
      </c>
      <c r="Q1316" s="20">
        <v>4868.0</v>
      </c>
      <c r="R1316" s="20" t="s">
        <v>4570</v>
      </c>
      <c r="S1316" s="20" t="s">
        <v>4571</v>
      </c>
      <c r="T1316" s="20" t="s">
        <v>138</v>
      </c>
    </row>
    <row r="1317" ht="14.25" customHeight="1">
      <c r="A1317" s="20" t="s">
        <v>4572</v>
      </c>
      <c r="B1317" s="20" t="s">
        <v>4573</v>
      </c>
      <c r="C1317" s="20" t="s">
        <v>4513</v>
      </c>
      <c r="F1317" s="20" t="s">
        <v>150</v>
      </c>
      <c r="G1317" s="20" t="s">
        <v>150</v>
      </c>
      <c r="I1317" s="20" t="s">
        <v>151</v>
      </c>
      <c r="J1317" s="20" t="s">
        <v>186</v>
      </c>
      <c r="Q1317" s="20">
        <v>4869.0</v>
      </c>
      <c r="R1317" s="20" t="s">
        <v>4574</v>
      </c>
      <c r="S1317" s="20" t="s">
        <v>4575</v>
      </c>
      <c r="T1317" s="20" t="s">
        <v>138</v>
      </c>
    </row>
    <row r="1318" ht="14.25" customHeight="1">
      <c r="A1318" s="20" t="s">
        <v>4576</v>
      </c>
      <c r="B1318" s="20" t="s">
        <v>4577</v>
      </c>
      <c r="C1318" s="20" t="s">
        <v>4513</v>
      </c>
      <c r="F1318" s="20" t="s">
        <v>150</v>
      </c>
      <c r="G1318" s="20" t="s">
        <v>150</v>
      </c>
      <c r="I1318" s="20" t="s">
        <v>151</v>
      </c>
      <c r="J1318" s="20" t="s">
        <v>186</v>
      </c>
      <c r="Q1318" s="20">
        <v>4876.0</v>
      </c>
      <c r="R1318" s="20" t="s">
        <v>4578</v>
      </c>
      <c r="S1318" s="20" t="s">
        <v>4579</v>
      </c>
      <c r="T1318" s="20" t="s">
        <v>138</v>
      </c>
    </row>
    <row r="1319" ht="14.25" customHeight="1">
      <c r="A1319" s="20" t="s">
        <v>4580</v>
      </c>
      <c r="B1319" s="20" t="s">
        <v>4581</v>
      </c>
      <c r="C1319" s="20" t="s">
        <v>4513</v>
      </c>
      <c r="F1319" s="20" t="s">
        <v>150</v>
      </c>
      <c r="G1319" s="20" t="s">
        <v>150</v>
      </c>
      <c r="I1319" s="20" t="s">
        <v>151</v>
      </c>
      <c r="J1319" s="20" t="s">
        <v>186</v>
      </c>
      <c r="Q1319" s="20">
        <v>4853.0</v>
      </c>
      <c r="R1319" s="20" t="s">
        <v>4582</v>
      </c>
      <c r="S1319" s="20" t="s">
        <v>4583</v>
      </c>
      <c r="T1319" s="20" t="s">
        <v>138</v>
      </c>
    </row>
    <row r="1320" ht="14.25" customHeight="1">
      <c r="A1320" s="20" t="s">
        <v>4584</v>
      </c>
      <c r="B1320" s="20" t="s">
        <v>4585</v>
      </c>
      <c r="C1320" s="20" t="s">
        <v>4513</v>
      </c>
      <c r="F1320" s="20" t="s">
        <v>150</v>
      </c>
      <c r="G1320" s="20" t="s">
        <v>150</v>
      </c>
      <c r="I1320" s="20" t="s">
        <v>151</v>
      </c>
      <c r="J1320" s="20" t="s">
        <v>186</v>
      </c>
      <c r="Q1320" s="20">
        <v>4897.0</v>
      </c>
      <c r="R1320" s="20" t="s">
        <v>4586</v>
      </c>
      <c r="S1320" s="20" t="s">
        <v>4587</v>
      </c>
      <c r="T1320" s="20" t="s">
        <v>138</v>
      </c>
    </row>
    <row r="1321" ht="14.25" customHeight="1">
      <c r="A1321" s="20" t="s">
        <v>4588</v>
      </c>
      <c r="B1321" s="20" t="s">
        <v>4589</v>
      </c>
      <c r="C1321" s="20" t="s">
        <v>4513</v>
      </c>
      <c r="F1321" s="20" t="s">
        <v>150</v>
      </c>
      <c r="G1321" s="20" t="s">
        <v>150</v>
      </c>
      <c r="I1321" s="20" t="s">
        <v>151</v>
      </c>
      <c r="J1321" s="20" t="s">
        <v>186</v>
      </c>
      <c r="Q1321" s="20">
        <v>4863.0</v>
      </c>
      <c r="R1321" s="20" t="s">
        <v>4590</v>
      </c>
      <c r="S1321" s="20" t="s">
        <v>4591</v>
      </c>
      <c r="T1321" s="20" t="s">
        <v>138</v>
      </c>
    </row>
    <row r="1322" ht="14.25" customHeight="1">
      <c r="A1322" s="20" t="s">
        <v>4592</v>
      </c>
      <c r="B1322" s="20" t="s">
        <v>4593</v>
      </c>
      <c r="C1322" s="20" t="s">
        <v>4513</v>
      </c>
      <c r="F1322" s="20" t="s">
        <v>150</v>
      </c>
      <c r="G1322" s="20" t="s">
        <v>150</v>
      </c>
      <c r="I1322" s="20" t="s">
        <v>151</v>
      </c>
      <c r="J1322" s="20" t="s">
        <v>186</v>
      </c>
      <c r="Q1322" s="20">
        <v>4894.0</v>
      </c>
      <c r="R1322" s="20" t="s">
        <v>4594</v>
      </c>
      <c r="S1322" s="20" t="s">
        <v>4595</v>
      </c>
      <c r="T1322" s="20" t="s">
        <v>138</v>
      </c>
    </row>
    <row r="1323" ht="14.25" customHeight="1">
      <c r="A1323" s="20" t="s">
        <v>4596</v>
      </c>
      <c r="B1323" s="20" t="s">
        <v>4597</v>
      </c>
      <c r="C1323" s="20" t="s">
        <v>4513</v>
      </c>
      <c r="F1323" s="20" t="s">
        <v>150</v>
      </c>
      <c r="G1323" s="20" t="s">
        <v>150</v>
      </c>
      <c r="I1323" s="20" t="s">
        <v>151</v>
      </c>
      <c r="J1323" s="20" t="s">
        <v>186</v>
      </c>
      <c r="Q1323" s="20">
        <v>4877.0</v>
      </c>
      <c r="R1323" s="20" t="s">
        <v>4598</v>
      </c>
      <c r="S1323" s="20" t="s">
        <v>4599</v>
      </c>
      <c r="T1323" s="20" t="s">
        <v>138</v>
      </c>
    </row>
    <row r="1324" ht="14.25" customHeight="1">
      <c r="A1324" s="20" t="s">
        <v>4600</v>
      </c>
      <c r="B1324" s="20" t="s">
        <v>4601</v>
      </c>
      <c r="C1324" s="20" t="s">
        <v>4513</v>
      </c>
      <c r="F1324" s="20" t="s">
        <v>150</v>
      </c>
      <c r="G1324" s="20" t="s">
        <v>150</v>
      </c>
      <c r="I1324" s="20" t="s">
        <v>151</v>
      </c>
      <c r="J1324" s="20" t="s">
        <v>186</v>
      </c>
      <c r="Q1324" s="20">
        <v>4856.0</v>
      </c>
      <c r="R1324" s="20" t="s">
        <v>4602</v>
      </c>
      <c r="S1324" s="20" t="s">
        <v>4603</v>
      </c>
      <c r="T1324" s="20" t="s">
        <v>138</v>
      </c>
    </row>
    <row r="1325" ht="14.25" customHeight="1">
      <c r="A1325" s="20" t="s">
        <v>4604</v>
      </c>
      <c r="B1325" s="20" t="s">
        <v>4605</v>
      </c>
      <c r="C1325" s="20" t="s">
        <v>4513</v>
      </c>
      <c r="F1325" s="20" t="s">
        <v>150</v>
      </c>
      <c r="G1325" s="20" t="s">
        <v>150</v>
      </c>
      <c r="I1325" s="20" t="s">
        <v>151</v>
      </c>
      <c r="J1325" s="20" t="s">
        <v>186</v>
      </c>
      <c r="Q1325" s="20">
        <v>4882.0</v>
      </c>
      <c r="R1325" s="20" t="s">
        <v>4606</v>
      </c>
      <c r="S1325" s="20" t="s">
        <v>4607</v>
      </c>
      <c r="T1325" s="20" t="s">
        <v>138</v>
      </c>
    </row>
    <row r="1326" ht="14.25" customHeight="1">
      <c r="A1326" s="20" t="s">
        <v>4608</v>
      </c>
      <c r="B1326" s="20" t="s">
        <v>4609</v>
      </c>
      <c r="C1326" s="20" t="s">
        <v>4513</v>
      </c>
      <c r="F1326" s="20" t="s">
        <v>150</v>
      </c>
      <c r="G1326" s="20" t="s">
        <v>150</v>
      </c>
      <c r="I1326" s="20" t="s">
        <v>151</v>
      </c>
      <c r="J1326" s="20" t="s">
        <v>186</v>
      </c>
      <c r="Q1326" s="20">
        <v>4870.0</v>
      </c>
      <c r="R1326" s="20" t="s">
        <v>4610</v>
      </c>
      <c r="S1326" s="20" t="s">
        <v>4611</v>
      </c>
      <c r="T1326" s="20" t="s">
        <v>138</v>
      </c>
    </row>
    <row r="1327" ht="14.25" customHeight="1">
      <c r="A1327" s="20" t="s">
        <v>4612</v>
      </c>
      <c r="B1327" s="20" t="s">
        <v>4613</v>
      </c>
      <c r="C1327" s="20" t="s">
        <v>4513</v>
      </c>
      <c r="F1327" s="20" t="s">
        <v>150</v>
      </c>
      <c r="G1327" s="20" t="s">
        <v>150</v>
      </c>
      <c r="I1327" s="20" t="s">
        <v>151</v>
      </c>
      <c r="J1327" s="20" t="s">
        <v>186</v>
      </c>
      <c r="Q1327" s="20">
        <v>4883.0</v>
      </c>
      <c r="R1327" s="20" t="s">
        <v>4614</v>
      </c>
      <c r="S1327" s="20" t="s">
        <v>4615</v>
      </c>
      <c r="T1327" s="20" t="s">
        <v>138</v>
      </c>
    </row>
    <row r="1328" ht="14.25" customHeight="1">
      <c r="A1328" s="20" t="s">
        <v>4616</v>
      </c>
      <c r="B1328" s="20" t="s">
        <v>4617</v>
      </c>
      <c r="C1328" s="20" t="s">
        <v>4513</v>
      </c>
      <c r="F1328" s="20" t="s">
        <v>150</v>
      </c>
      <c r="G1328" s="20" t="s">
        <v>150</v>
      </c>
      <c r="I1328" s="20" t="s">
        <v>151</v>
      </c>
      <c r="J1328" s="20" t="s">
        <v>186</v>
      </c>
      <c r="Q1328" s="20">
        <v>4871.0</v>
      </c>
      <c r="R1328" s="20" t="s">
        <v>4618</v>
      </c>
      <c r="S1328" s="20" t="s">
        <v>4619</v>
      </c>
      <c r="T1328" s="20" t="s">
        <v>138</v>
      </c>
    </row>
    <row r="1329" ht="14.25" customHeight="1">
      <c r="A1329" s="20" t="s">
        <v>4620</v>
      </c>
      <c r="B1329" s="20" t="s">
        <v>4621</v>
      </c>
      <c r="C1329" s="20" t="s">
        <v>4513</v>
      </c>
      <c r="F1329" s="20" t="s">
        <v>150</v>
      </c>
      <c r="G1329" s="20" t="s">
        <v>150</v>
      </c>
      <c r="I1329" s="20" t="s">
        <v>151</v>
      </c>
      <c r="J1329" s="20" t="s">
        <v>186</v>
      </c>
      <c r="Q1329" s="20">
        <v>4857.0</v>
      </c>
      <c r="R1329" s="20" t="s">
        <v>4622</v>
      </c>
      <c r="S1329" s="20" t="s">
        <v>4623</v>
      </c>
      <c r="T1329" s="20" t="s">
        <v>138</v>
      </c>
    </row>
    <row r="1330" ht="14.25" customHeight="1">
      <c r="A1330" s="20" t="s">
        <v>4624</v>
      </c>
      <c r="B1330" s="20" t="s">
        <v>4625</v>
      </c>
      <c r="C1330" s="20" t="s">
        <v>4513</v>
      </c>
      <c r="F1330" s="20" t="s">
        <v>150</v>
      </c>
      <c r="G1330" s="20" t="s">
        <v>150</v>
      </c>
      <c r="I1330" s="20" t="s">
        <v>151</v>
      </c>
      <c r="J1330" s="20" t="s">
        <v>186</v>
      </c>
      <c r="Q1330" s="20">
        <v>4885.0</v>
      </c>
      <c r="R1330" s="20" t="s">
        <v>4626</v>
      </c>
      <c r="S1330" s="20" t="s">
        <v>4627</v>
      </c>
      <c r="T1330" s="20" t="s">
        <v>138</v>
      </c>
    </row>
    <row r="1331" ht="14.25" customHeight="1">
      <c r="A1331" s="20" t="s">
        <v>4628</v>
      </c>
      <c r="B1331" s="20" t="s">
        <v>4629</v>
      </c>
      <c r="C1331" s="20" t="s">
        <v>4513</v>
      </c>
      <c r="F1331" s="20" t="s">
        <v>150</v>
      </c>
      <c r="G1331" s="20" t="s">
        <v>150</v>
      </c>
      <c r="I1331" s="20" t="s">
        <v>151</v>
      </c>
      <c r="J1331" s="20" t="s">
        <v>186</v>
      </c>
      <c r="Q1331" s="20">
        <v>4892.0</v>
      </c>
      <c r="R1331" s="20" t="s">
        <v>4630</v>
      </c>
      <c r="S1331" s="20" t="s">
        <v>4631</v>
      </c>
      <c r="T1331" s="20" t="s">
        <v>138</v>
      </c>
    </row>
    <row r="1332" ht="14.25" customHeight="1">
      <c r="A1332" s="20" t="s">
        <v>4632</v>
      </c>
      <c r="B1332" s="20" t="s">
        <v>4633</v>
      </c>
      <c r="C1332" s="20" t="s">
        <v>4513</v>
      </c>
      <c r="F1332" s="20" t="s">
        <v>150</v>
      </c>
      <c r="G1332" s="20" t="s">
        <v>150</v>
      </c>
      <c r="I1332" s="20" t="s">
        <v>151</v>
      </c>
      <c r="J1332" s="20" t="s">
        <v>186</v>
      </c>
      <c r="Q1332" s="20">
        <v>4860.0</v>
      </c>
      <c r="R1332" s="20" t="s">
        <v>4634</v>
      </c>
      <c r="S1332" s="20" t="s">
        <v>4635</v>
      </c>
      <c r="T1332" s="20" t="s">
        <v>138</v>
      </c>
    </row>
    <row r="1333" ht="14.25" customHeight="1">
      <c r="A1333" s="20" t="s">
        <v>4636</v>
      </c>
      <c r="B1333" s="20" t="s">
        <v>4637</v>
      </c>
      <c r="C1333" s="20" t="s">
        <v>4513</v>
      </c>
      <c r="F1333" s="20" t="s">
        <v>150</v>
      </c>
      <c r="G1333" s="20" t="s">
        <v>150</v>
      </c>
      <c r="I1333" s="20" t="s">
        <v>151</v>
      </c>
      <c r="J1333" s="20" t="s">
        <v>186</v>
      </c>
      <c r="Q1333" s="20">
        <v>4886.0</v>
      </c>
      <c r="R1333" s="20" t="s">
        <v>4638</v>
      </c>
      <c r="S1333" s="20" t="s">
        <v>4639</v>
      </c>
      <c r="T1333" s="20" t="s">
        <v>138</v>
      </c>
    </row>
    <row r="1334" ht="14.25" customHeight="1">
      <c r="A1334" s="20" t="s">
        <v>4640</v>
      </c>
      <c r="B1334" s="20" t="s">
        <v>4641</v>
      </c>
      <c r="C1334" s="20" t="s">
        <v>4513</v>
      </c>
      <c r="F1334" s="20" t="s">
        <v>150</v>
      </c>
      <c r="G1334" s="20" t="s">
        <v>150</v>
      </c>
      <c r="I1334" s="20" t="s">
        <v>151</v>
      </c>
      <c r="J1334" s="20" t="s">
        <v>186</v>
      </c>
      <c r="Q1334" s="20">
        <v>4898.0</v>
      </c>
      <c r="R1334" s="20" t="s">
        <v>4642</v>
      </c>
      <c r="S1334" s="20" t="s">
        <v>4643</v>
      </c>
      <c r="T1334" s="20" t="s">
        <v>138</v>
      </c>
    </row>
    <row r="1335" ht="14.25" customHeight="1">
      <c r="A1335" s="20" t="s">
        <v>4644</v>
      </c>
      <c r="B1335" s="20" t="s">
        <v>4645</v>
      </c>
      <c r="C1335" s="20" t="s">
        <v>4513</v>
      </c>
      <c r="F1335" s="20" t="s">
        <v>150</v>
      </c>
      <c r="G1335" s="20" t="s">
        <v>150</v>
      </c>
      <c r="I1335" s="20" t="s">
        <v>151</v>
      </c>
      <c r="J1335" s="20" t="s">
        <v>186</v>
      </c>
      <c r="Q1335" s="20">
        <v>4864.0</v>
      </c>
      <c r="R1335" s="20" t="s">
        <v>4646</v>
      </c>
      <c r="S1335" s="20" t="s">
        <v>4647</v>
      </c>
      <c r="T1335" s="20" t="s">
        <v>138</v>
      </c>
    </row>
    <row r="1336" ht="14.25" customHeight="1">
      <c r="A1336" s="20" t="s">
        <v>4648</v>
      </c>
      <c r="B1336" s="20" t="s">
        <v>4649</v>
      </c>
      <c r="C1336" s="20" t="s">
        <v>4513</v>
      </c>
      <c r="F1336" s="20" t="s">
        <v>150</v>
      </c>
      <c r="G1336" s="20" t="s">
        <v>150</v>
      </c>
      <c r="I1336" s="20" t="s">
        <v>151</v>
      </c>
      <c r="J1336" s="20" t="s">
        <v>186</v>
      </c>
      <c r="Q1336" s="20">
        <v>4858.0</v>
      </c>
      <c r="R1336" s="20" t="s">
        <v>4650</v>
      </c>
      <c r="S1336" s="20" t="s">
        <v>4651</v>
      </c>
      <c r="T1336" s="20" t="s">
        <v>138</v>
      </c>
    </row>
    <row r="1337" ht="14.25" customHeight="1">
      <c r="A1337" s="20" t="s">
        <v>4652</v>
      </c>
      <c r="B1337" s="20" t="s">
        <v>4653</v>
      </c>
      <c r="C1337" s="20" t="s">
        <v>4513</v>
      </c>
      <c r="F1337" s="20" t="s">
        <v>150</v>
      </c>
      <c r="G1337" s="20" t="s">
        <v>150</v>
      </c>
      <c r="I1337" s="20" t="s">
        <v>151</v>
      </c>
      <c r="J1337" s="20" t="s">
        <v>186</v>
      </c>
      <c r="Q1337" s="20">
        <v>4865.0</v>
      </c>
      <c r="R1337" s="20" t="s">
        <v>4654</v>
      </c>
      <c r="S1337" s="20" t="s">
        <v>4655</v>
      </c>
      <c r="T1337" s="20" t="s">
        <v>138</v>
      </c>
    </row>
    <row r="1338" ht="14.25" customHeight="1">
      <c r="A1338" s="20" t="s">
        <v>4656</v>
      </c>
      <c r="B1338" s="20" t="s">
        <v>4657</v>
      </c>
      <c r="C1338" s="20" t="s">
        <v>4513</v>
      </c>
      <c r="F1338" s="20" t="s">
        <v>150</v>
      </c>
      <c r="G1338" s="20" t="s">
        <v>150</v>
      </c>
      <c r="I1338" s="20" t="s">
        <v>151</v>
      </c>
      <c r="J1338" s="20" t="s">
        <v>186</v>
      </c>
      <c r="Q1338" s="20">
        <v>4878.0</v>
      </c>
      <c r="R1338" s="20" t="s">
        <v>4658</v>
      </c>
      <c r="S1338" s="20" t="s">
        <v>4659</v>
      </c>
      <c r="T1338" s="20" t="s">
        <v>138</v>
      </c>
    </row>
    <row r="1339" ht="14.25" customHeight="1">
      <c r="A1339" s="20" t="s">
        <v>4660</v>
      </c>
      <c r="B1339" s="20" t="s">
        <v>4661</v>
      </c>
      <c r="C1339" s="20" t="s">
        <v>4513</v>
      </c>
      <c r="F1339" s="20" t="s">
        <v>150</v>
      </c>
      <c r="G1339" s="20" t="s">
        <v>150</v>
      </c>
      <c r="I1339" s="20" t="s">
        <v>151</v>
      </c>
      <c r="J1339" s="20" t="s">
        <v>186</v>
      </c>
      <c r="Q1339" s="20">
        <v>4872.0</v>
      </c>
      <c r="R1339" s="20" t="s">
        <v>4662</v>
      </c>
      <c r="S1339" s="20" t="s">
        <v>4663</v>
      </c>
      <c r="T1339" s="20" t="s">
        <v>138</v>
      </c>
    </row>
    <row r="1340" ht="14.25" customHeight="1">
      <c r="A1340" s="20" t="s">
        <v>4664</v>
      </c>
      <c r="B1340" s="20" t="s">
        <v>4665</v>
      </c>
      <c r="C1340" s="20" t="s">
        <v>4513</v>
      </c>
      <c r="F1340" s="20" t="s">
        <v>150</v>
      </c>
      <c r="G1340" s="20" t="s">
        <v>150</v>
      </c>
      <c r="I1340" s="20" t="s">
        <v>151</v>
      </c>
      <c r="J1340" s="20" t="s">
        <v>186</v>
      </c>
      <c r="Q1340" s="20">
        <v>4887.0</v>
      </c>
      <c r="R1340" s="20" t="s">
        <v>4666</v>
      </c>
      <c r="S1340" s="20" t="s">
        <v>4667</v>
      </c>
      <c r="T1340" s="20" t="s">
        <v>138</v>
      </c>
    </row>
    <row r="1341" ht="14.25" customHeight="1">
      <c r="A1341" s="20" t="s">
        <v>4668</v>
      </c>
      <c r="B1341" s="20" t="s">
        <v>4669</v>
      </c>
      <c r="C1341" s="20" t="s">
        <v>4513</v>
      </c>
      <c r="F1341" s="20" t="s">
        <v>150</v>
      </c>
      <c r="G1341" s="20" t="s">
        <v>150</v>
      </c>
      <c r="I1341" s="20" t="s">
        <v>151</v>
      </c>
      <c r="J1341" s="20" t="s">
        <v>186</v>
      </c>
      <c r="Q1341" s="20">
        <v>4889.0</v>
      </c>
      <c r="R1341" s="20" t="s">
        <v>4670</v>
      </c>
      <c r="S1341" s="20" t="s">
        <v>4671</v>
      </c>
      <c r="T1341" s="20" t="s">
        <v>138</v>
      </c>
    </row>
    <row r="1342" ht="14.25" customHeight="1">
      <c r="A1342" s="20" t="s">
        <v>4672</v>
      </c>
      <c r="B1342" s="20" t="s">
        <v>4673</v>
      </c>
      <c r="C1342" s="20" t="s">
        <v>4513</v>
      </c>
      <c r="F1342" s="20" t="s">
        <v>150</v>
      </c>
      <c r="G1342" s="20" t="s">
        <v>150</v>
      </c>
      <c r="I1342" s="20" t="s">
        <v>151</v>
      </c>
      <c r="J1342" s="20" t="s">
        <v>186</v>
      </c>
      <c r="Q1342" s="20">
        <v>4859.0</v>
      </c>
      <c r="R1342" s="20" t="s">
        <v>4674</v>
      </c>
      <c r="S1342" s="20" t="s">
        <v>4675</v>
      </c>
      <c r="T1342" s="20" t="s">
        <v>138</v>
      </c>
    </row>
    <row r="1343" ht="14.25" customHeight="1">
      <c r="A1343" s="20" t="s">
        <v>4676</v>
      </c>
      <c r="B1343" s="20" t="s">
        <v>4677</v>
      </c>
      <c r="C1343" s="20" t="s">
        <v>174</v>
      </c>
      <c r="F1343" s="20" t="s">
        <v>150</v>
      </c>
      <c r="G1343" s="20" t="s">
        <v>150</v>
      </c>
      <c r="I1343" s="20" t="s">
        <v>151</v>
      </c>
      <c r="J1343" s="20" t="s">
        <v>186</v>
      </c>
      <c r="Q1343" s="20">
        <v>171.0</v>
      </c>
      <c r="R1343" s="20" t="s">
        <v>4678</v>
      </c>
      <c r="S1343" s="20" t="s">
        <v>4677</v>
      </c>
      <c r="T1343" s="20" t="s">
        <v>138</v>
      </c>
    </row>
    <row r="1344" ht="14.25" customHeight="1">
      <c r="A1344" s="20" t="s">
        <v>4679</v>
      </c>
      <c r="B1344" s="20" t="s">
        <v>4680</v>
      </c>
      <c r="C1344" s="20" t="s">
        <v>174</v>
      </c>
      <c r="F1344" s="20" t="s">
        <v>150</v>
      </c>
      <c r="G1344" s="20" t="s">
        <v>150</v>
      </c>
      <c r="I1344" s="20" t="s">
        <v>151</v>
      </c>
      <c r="J1344" s="20" t="s">
        <v>186</v>
      </c>
      <c r="K1344" s="20" t="s">
        <v>213</v>
      </c>
      <c r="Q1344" s="20">
        <v>172.0</v>
      </c>
      <c r="R1344" s="20" t="s">
        <v>4681</v>
      </c>
      <c r="S1344" s="20" t="s">
        <v>4682</v>
      </c>
      <c r="T1344" s="20" t="s">
        <v>138</v>
      </c>
    </row>
    <row r="1345" ht="14.25" customHeight="1">
      <c r="A1345" s="20" t="s">
        <v>4683</v>
      </c>
      <c r="B1345" s="20" t="s">
        <v>4684</v>
      </c>
      <c r="C1345" s="20" t="s">
        <v>174</v>
      </c>
      <c r="F1345" s="20" t="s">
        <v>150</v>
      </c>
      <c r="G1345" s="20" t="s">
        <v>150</v>
      </c>
      <c r="I1345" s="20" t="s">
        <v>151</v>
      </c>
      <c r="J1345" s="20" t="s">
        <v>143</v>
      </c>
      <c r="Q1345" s="20">
        <v>10164.0</v>
      </c>
      <c r="R1345" s="20" t="s">
        <v>4685</v>
      </c>
      <c r="S1345" s="20" t="s">
        <v>4684</v>
      </c>
      <c r="T1345" s="20" t="s">
        <v>138</v>
      </c>
    </row>
    <row r="1346" ht="14.25" customHeight="1">
      <c r="A1346" s="20" t="s">
        <v>4686</v>
      </c>
      <c r="B1346" s="20" t="s">
        <v>4687</v>
      </c>
      <c r="C1346" s="20" t="s">
        <v>1981</v>
      </c>
      <c r="F1346" s="20" t="s">
        <v>15</v>
      </c>
      <c r="G1346" s="20" t="s">
        <v>135</v>
      </c>
      <c r="H1346" s="20">
        <v>17769.0</v>
      </c>
      <c r="I1346" s="20" t="s">
        <v>102</v>
      </c>
      <c r="J1346" s="20" t="s">
        <v>136</v>
      </c>
      <c r="P1346" s="20" t="s">
        <v>4687</v>
      </c>
      <c r="Q1346" s="20">
        <v>17769.0</v>
      </c>
      <c r="R1346" s="20" t="s">
        <v>4688</v>
      </c>
      <c r="S1346" s="20" t="s">
        <v>4687</v>
      </c>
      <c r="T1346" s="20" t="s">
        <v>138</v>
      </c>
      <c r="W1346" s="20" t="s">
        <v>136</v>
      </c>
    </row>
    <row r="1347" ht="14.25" customHeight="1">
      <c r="A1347" s="20" t="s">
        <v>4689</v>
      </c>
      <c r="B1347" s="20" t="s">
        <v>4690</v>
      </c>
      <c r="C1347" s="20" t="s">
        <v>193</v>
      </c>
      <c r="F1347" s="20" t="s">
        <v>150</v>
      </c>
      <c r="G1347" s="20" t="s">
        <v>150</v>
      </c>
      <c r="I1347" s="20" t="s">
        <v>151</v>
      </c>
      <c r="J1347" s="20" t="s">
        <v>143</v>
      </c>
      <c r="Q1347" s="20">
        <v>6699.0</v>
      </c>
      <c r="R1347" s="20" t="s">
        <v>4691</v>
      </c>
      <c r="S1347" s="20" t="s">
        <v>4690</v>
      </c>
      <c r="T1347" s="20" t="s">
        <v>138</v>
      </c>
    </row>
    <row r="1348" ht="14.25" customHeight="1">
      <c r="A1348" s="20" t="s">
        <v>4692</v>
      </c>
      <c r="B1348" s="20" t="s">
        <v>4693</v>
      </c>
      <c r="C1348" s="20" t="s">
        <v>1103</v>
      </c>
      <c r="F1348" s="20" t="s">
        <v>327</v>
      </c>
      <c r="G1348" s="20" t="s">
        <v>395</v>
      </c>
      <c r="I1348" s="20" t="s">
        <v>1104</v>
      </c>
      <c r="J1348" s="20" t="s">
        <v>143</v>
      </c>
      <c r="Q1348" s="20">
        <v>15170.0</v>
      </c>
      <c r="R1348" s="20" t="s">
        <v>4694</v>
      </c>
      <c r="S1348" s="20" t="s">
        <v>4693</v>
      </c>
      <c r="T1348" s="20" t="s">
        <v>138</v>
      </c>
    </row>
    <row r="1349" ht="14.25" customHeight="1">
      <c r="A1349" s="20" t="s">
        <v>4695</v>
      </c>
      <c r="B1349" s="20" t="s">
        <v>4696</v>
      </c>
      <c r="C1349" s="20" t="s">
        <v>257</v>
      </c>
      <c r="F1349" s="20" t="s">
        <v>16</v>
      </c>
      <c r="G1349" s="20" t="s">
        <v>211</v>
      </c>
      <c r="I1349" s="20" t="s">
        <v>258</v>
      </c>
      <c r="J1349" s="20" t="s">
        <v>143</v>
      </c>
      <c r="Q1349" s="20">
        <v>15988.0</v>
      </c>
      <c r="R1349" s="20" t="s">
        <v>4697</v>
      </c>
      <c r="S1349" s="20" t="s">
        <v>4696</v>
      </c>
      <c r="T1349" s="20" t="s">
        <v>138</v>
      </c>
    </row>
    <row r="1350" ht="14.25" customHeight="1">
      <c r="A1350" s="20" t="s">
        <v>4698</v>
      </c>
      <c r="B1350" s="20" t="s">
        <v>4699</v>
      </c>
      <c r="C1350" s="20" t="s">
        <v>159</v>
      </c>
      <c r="F1350" s="20" t="s">
        <v>150</v>
      </c>
      <c r="G1350" s="20" t="s">
        <v>150</v>
      </c>
      <c r="I1350" s="20" t="s">
        <v>151</v>
      </c>
      <c r="J1350" s="20" t="s">
        <v>143</v>
      </c>
      <c r="Q1350" s="20">
        <v>12027.0</v>
      </c>
      <c r="R1350" s="20" t="s">
        <v>4700</v>
      </c>
      <c r="S1350" s="20" t="s">
        <v>4701</v>
      </c>
      <c r="T1350" s="20" t="s">
        <v>138</v>
      </c>
    </row>
    <row r="1351" ht="14.25" customHeight="1">
      <c r="A1351" s="20" t="s">
        <v>4702</v>
      </c>
      <c r="B1351" s="20" t="s">
        <v>4703</v>
      </c>
      <c r="C1351" s="20" t="s">
        <v>1305</v>
      </c>
      <c r="F1351" s="20" t="s">
        <v>16</v>
      </c>
      <c r="G1351" s="20" t="s">
        <v>202</v>
      </c>
      <c r="I1351" s="20" t="s">
        <v>1306</v>
      </c>
      <c r="J1351" s="20" t="s">
        <v>143</v>
      </c>
      <c r="K1351" s="20" t="s">
        <v>167</v>
      </c>
      <c r="Q1351" s="20">
        <v>15515.0</v>
      </c>
      <c r="R1351" s="20" t="s">
        <v>4704</v>
      </c>
      <c r="S1351" s="20" t="s">
        <v>4703</v>
      </c>
      <c r="T1351" s="20" t="s">
        <v>138</v>
      </c>
    </row>
    <row r="1352" ht="14.25" customHeight="1">
      <c r="A1352" s="20" t="s">
        <v>4705</v>
      </c>
      <c r="B1352" s="20" t="s">
        <v>4706</v>
      </c>
      <c r="C1352" s="20" t="s">
        <v>1269</v>
      </c>
      <c r="F1352" s="20" t="s">
        <v>218</v>
      </c>
      <c r="G1352" s="20" t="s">
        <v>219</v>
      </c>
      <c r="I1352" s="20" t="s">
        <v>314</v>
      </c>
      <c r="J1352" s="20" t="s">
        <v>186</v>
      </c>
      <c r="K1352" s="20" t="s">
        <v>213</v>
      </c>
      <c r="Q1352" s="20">
        <v>11768.0</v>
      </c>
      <c r="R1352" s="20" t="s">
        <v>4707</v>
      </c>
      <c r="S1352" s="20" t="s">
        <v>4706</v>
      </c>
      <c r="T1352" s="20" t="s">
        <v>138</v>
      </c>
      <c r="V1352" s="20" t="s">
        <v>260</v>
      </c>
      <c r="W1352" s="20" t="s">
        <v>146</v>
      </c>
    </row>
    <row r="1353" ht="14.25" customHeight="1">
      <c r="A1353" s="20" t="s">
        <v>4708</v>
      </c>
      <c r="B1353" s="20" t="s">
        <v>4709</v>
      </c>
      <c r="C1353" s="20" t="s">
        <v>159</v>
      </c>
      <c r="F1353" s="20" t="s">
        <v>150</v>
      </c>
      <c r="G1353" s="20" t="s">
        <v>150</v>
      </c>
      <c r="I1353" s="20" t="s">
        <v>151</v>
      </c>
      <c r="J1353" s="20" t="s">
        <v>143</v>
      </c>
      <c r="Q1353" s="20">
        <v>3223.0</v>
      </c>
      <c r="R1353" s="20" t="s">
        <v>4710</v>
      </c>
      <c r="S1353" s="20" t="s">
        <v>4709</v>
      </c>
      <c r="T1353" s="20" t="s">
        <v>138</v>
      </c>
    </row>
    <row r="1354" ht="14.25" customHeight="1">
      <c r="A1354" s="20" t="s">
        <v>4711</v>
      </c>
      <c r="B1354" s="20" t="s">
        <v>4712</v>
      </c>
      <c r="C1354" s="20" t="s">
        <v>4713</v>
      </c>
      <c r="F1354" s="20" t="s">
        <v>16</v>
      </c>
      <c r="G1354" s="20" t="s">
        <v>211</v>
      </c>
      <c r="I1354" s="20" t="s">
        <v>4043</v>
      </c>
      <c r="J1354" s="20" t="s">
        <v>186</v>
      </c>
      <c r="K1354" s="20" t="s">
        <v>187</v>
      </c>
      <c r="Q1354" s="20">
        <v>8156.0</v>
      </c>
      <c r="R1354" s="20" t="s">
        <v>4714</v>
      </c>
      <c r="S1354" s="20" t="s">
        <v>4712</v>
      </c>
      <c r="T1354" s="20" t="s">
        <v>138</v>
      </c>
      <c r="W1354" s="20" t="s">
        <v>146</v>
      </c>
    </row>
    <row r="1355" ht="14.25" customHeight="1">
      <c r="A1355" s="20" t="s">
        <v>4715</v>
      </c>
      <c r="B1355" s="20" t="s">
        <v>4716</v>
      </c>
      <c r="C1355" s="20" t="s">
        <v>4713</v>
      </c>
      <c r="F1355" s="20" t="s">
        <v>16</v>
      </c>
      <c r="G1355" s="20" t="s">
        <v>211</v>
      </c>
      <c r="I1355" s="20" t="s">
        <v>4043</v>
      </c>
      <c r="J1355" s="20" t="s">
        <v>186</v>
      </c>
      <c r="Q1355" s="20">
        <v>2160.0</v>
      </c>
      <c r="R1355" s="20" t="s">
        <v>4717</v>
      </c>
      <c r="S1355" s="20" t="s">
        <v>4716</v>
      </c>
      <c r="T1355" s="20" t="s">
        <v>138</v>
      </c>
    </row>
    <row r="1356" ht="14.25" customHeight="1">
      <c r="A1356" s="20" t="s">
        <v>4718</v>
      </c>
      <c r="B1356" s="20" t="s">
        <v>4719</v>
      </c>
      <c r="C1356" s="20" t="s">
        <v>4720</v>
      </c>
      <c r="F1356" s="20" t="s">
        <v>15</v>
      </c>
      <c r="G1356" s="20" t="s">
        <v>142</v>
      </c>
      <c r="I1356" s="20" t="s">
        <v>105</v>
      </c>
      <c r="J1356" s="20" t="s">
        <v>186</v>
      </c>
      <c r="Q1356" s="20">
        <v>11277.0</v>
      </c>
      <c r="R1356" s="20" t="s">
        <v>4721</v>
      </c>
      <c r="S1356" s="20" t="s">
        <v>4719</v>
      </c>
      <c r="T1356" s="20" t="s">
        <v>138</v>
      </c>
    </row>
    <row r="1357" ht="14.25" customHeight="1">
      <c r="A1357" s="20" t="s">
        <v>4722</v>
      </c>
      <c r="B1357" s="20" t="s">
        <v>4723</v>
      </c>
      <c r="C1357" s="20" t="s">
        <v>149</v>
      </c>
      <c r="F1357" s="20" t="s">
        <v>150</v>
      </c>
      <c r="G1357" s="20" t="s">
        <v>150</v>
      </c>
      <c r="I1357" s="20" t="s">
        <v>151</v>
      </c>
      <c r="J1357" s="20" t="s">
        <v>143</v>
      </c>
      <c r="Q1357" s="20">
        <v>14168.0</v>
      </c>
      <c r="R1357" s="20" t="s">
        <v>4724</v>
      </c>
      <c r="S1357" s="20" t="s">
        <v>4723</v>
      </c>
      <c r="T1357" s="20" t="s">
        <v>138</v>
      </c>
    </row>
    <row r="1358" ht="14.25" customHeight="1">
      <c r="A1358" s="20" t="s">
        <v>4725</v>
      </c>
      <c r="B1358" s="20" t="s">
        <v>4726</v>
      </c>
      <c r="C1358" s="20" t="s">
        <v>694</v>
      </c>
      <c r="F1358" s="20" t="s">
        <v>16</v>
      </c>
      <c r="G1358" s="20" t="s">
        <v>202</v>
      </c>
      <c r="I1358" s="20" t="s">
        <v>87</v>
      </c>
      <c r="J1358" s="20" t="s">
        <v>143</v>
      </c>
      <c r="Q1358" s="20">
        <v>13910.0</v>
      </c>
      <c r="R1358" s="20" t="s">
        <v>4727</v>
      </c>
      <c r="S1358" s="20" t="s">
        <v>4726</v>
      </c>
      <c r="T1358" s="20" t="s">
        <v>138</v>
      </c>
    </row>
    <row r="1359" ht="14.25" customHeight="1">
      <c r="A1359" s="20" t="s">
        <v>4728</v>
      </c>
      <c r="B1359" s="20" t="s">
        <v>4729</v>
      </c>
      <c r="C1359" s="20" t="s">
        <v>178</v>
      </c>
      <c r="F1359" s="20" t="s">
        <v>150</v>
      </c>
      <c r="G1359" s="20" t="s">
        <v>150</v>
      </c>
      <c r="I1359" s="20" t="s">
        <v>151</v>
      </c>
      <c r="J1359" s="20" t="s">
        <v>143</v>
      </c>
      <c r="Q1359" s="20">
        <v>9322.0</v>
      </c>
      <c r="R1359" s="20" t="s">
        <v>4730</v>
      </c>
      <c r="S1359" s="20" t="s">
        <v>4729</v>
      </c>
      <c r="T1359" s="20" t="s">
        <v>138</v>
      </c>
    </row>
    <row r="1360" ht="14.25" customHeight="1">
      <c r="A1360" s="20" t="s">
        <v>4731</v>
      </c>
      <c r="B1360" s="20" t="s">
        <v>4732</v>
      </c>
      <c r="C1360" s="20" t="s">
        <v>174</v>
      </c>
      <c r="F1360" s="20" t="s">
        <v>150</v>
      </c>
      <c r="G1360" s="20" t="s">
        <v>150</v>
      </c>
      <c r="I1360" s="20" t="s">
        <v>151</v>
      </c>
      <c r="J1360" s="20" t="s">
        <v>143</v>
      </c>
      <c r="Q1360" s="20">
        <v>11732.0</v>
      </c>
      <c r="R1360" s="20" t="s">
        <v>4733</v>
      </c>
      <c r="S1360" s="20" t="s">
        <v>4732</v>
      </c>
      <c r="T1360" s="20" t="s">
        <v>138</v>
      </c>
    </row>
    <row r="1361" ht="14.25" customHeight="1">
      <c r="A1361" s="20" t="s">
        <v>4734</v>
      </c>
      <c r="B1361" s="20" t="s">
        <v>4735</v>
      </c>
      <c r="C1361" s="20" t="s">
        <v>2221</v>
      </c>
      <c r="F1361" s="20" t="s">
        <v>15</v>
      </c>
      <c r="G1361" s="20" t="s">
        <v>142</v>
      </c>
      <c r="I1361" s="20" t="s">
        <v>105</v>
      </c>
      <c r="J1361" s="20" t="s">
        <v>186</v>
      </c>
      <c r="Q1361" s="20">
        <v>11906.0</v>
      </c>
      <c r="R1361" s="20" t="s">
        <v>4736</v>
      </c>
      <c r="S1361" s="20" t="s">
        <v>4735</v>
      </c>
      <c r="T1361" s="20" t="s">
        <v>138</v>
      </c>
    </row>
    <row r="1362" ht="14.25" customHeight="1">
      <c r="A1362" s="20" t="s">
        <v>4737</v>
      </c>
      <c r="B1362" s="20" t="s">
        <v>4738</v>
      </c>
      <c r="C1362" s="20" t="s">
        <v>1806</v>
      </c>
      <c r="F1362" s="20" t="s">
        <v>16</v>
      </c>
      <c r="G1362" s="20" t="s">
        <v>638</v>
      </c>
      <c r="I1362" s="20" t="s">
        <v>814</v>
      </c>
      <c r="J1362" s="20" t="s">
        <v>143</v>
      </c>
      <c r="K1362" s="20" t="s">
        <v>167</v>
      </c>
      <c r="Q1362" s="20">
        <v>11394.0</v>
      </c>
      <c r="R1362" s="20" t="s">
        <v>4739</v>
      </c>
      <c r="S1362" s="20" t="s">
        <v>4738</v>
      </c>
      <c r="T1362" s="20" t="s">
        <v>138</v>
      </c>
    </row>
    <row r="1363" ht="14.25" customHeight="1">
      <c r="A1363" s="20" t="s">
        <v>4740</v>
      </c>
      <c r="B1363" s="20" t="s">
        <v>4741</v>
      </c>
      <c r="C1363" s="20" t="s">
        <v>159</v>
      </c>
      <c r="F1363" s="20" t="s">
        <v>150</v>
      </c>
      <c r="G1363" s="20" t="s">
        <v>150</v>
      </c>
      <c r="I1363" s="20" t="s">
        <v>151</v>
      </c>
      <c r="J1363" s="20" t="s">
        <v>143</v>
      </c>
      <c r="Q1363" s="20">
        <v>11142.0</v>
      </c>
      <c r="R1363" s="20" t="s">
        <v>4742</v>
      </c>
      <c r="S1363" s="20" t="s">
        <v>4741</v>
      </c>
      <c r="T1363" s="20" t="s">
        <v>138</v>
      </c>
    </row>
    <row r="1364" ht="14.25" customHeight="1">
      <c r="A1364" s="20" t="s">
        <v>4743</v>
      </c>
      <c r="B1364" s="20" t="s">
        <v>4744</v>
      </c>
      <c r="C1364" s="20" t="s">
        <v>193</v>
      </c>
      <c r="F1364" s="20" t="s">
        <v>150</v>
      </c>
      <c r="G1364" s="20" t="s">
        <v>150</v>
      </c>
      <c r="I1364" s="20" t="s">
        <v>151</v>
      </c>
      <c r="J1364" s="20" t="s">
        <v>143</v>
      </c>
      <c r="Q1364" s="20">
        <v>11330.0</v>
      </c>
      <c r="R1364" s="20" t="s">
        <v>4745</v>
      </c>
      <c r="S1364" s="20" t="s">
        <v>4744</v>
      </c>
      <c r="T1364" s="20" t="s">
        <v>138</v>
      </c>
    </row>
    <row r="1365" ht="14.25" customHeight="1">
      <c r="A1365" s="20" t="s">
        <v>4746</v>
      </c>
      <c r="B1365" s="20" t="s">
        <v>4747</v>
      </c>
      <c r="C1365" s="20" t="s">
        <v>235</v>
      </c>
      <c r="F1365" s="20" t="s">
        <v>15</v>
      </c>
      <c r="G1365" s="20" t="s">
        <v>142</v>
      </c>
      <c r="I1365" s="20" t="s">
        <v>105</v>
      </c>
      <c r="J1365" s="20" t="s">
        <v>143</v>
      </c>
      <c r="Q1365" s="20">
        <v>9702.0</v>
      </c>
      <c r="R1365" s="20" t="s">
        <v>4748</v>
      </c>
      <c r="S1365" s="20" t="s">
        <v>4747</v>
      </c>
      <c r="T1365" s="20" t="s">
        <v>138</v>
      </c>
    </row>
    <row r="1366" ht="14.25" customHeight="1">
      <c r="A1366" s="20" t="s">
        <v>4749</v>
      </c>
      <c r="B1366" s="20" t="s">
        <v>4750</v>
      </c>
      <c r="C1366" s="20" t="s">
        <v>779</v>
      </c>
      <c r="F1366" s="20" t="s">
        <v>150</v>
      </c>
      <c r="G1366" s="20" t="s">
        <v>150</v>
      </c>
      <c r="I1366" s="20" t="s">
        <v>151</v>
      </c>
      <c r="J1366" s="20" t="s">
        <v>143</v>
      </c>
      <c r="Q1366" s="20">
        <v>15174.0</v>
      </c>
      <c r="R1366" s="20" t="s">
        <v>4751</v>
      </c>
      <c r="S1366" s="20" t="s">
        <v>4750</v>
      </c>
      <c r="T1366" s="20" t="s">
        <v>138</v>
      </c>
    </row>
    <row r="1367" ht="14.25" customHeight="1">
      <c r="A1367" s="20" t="s">
        <v>4752</v>
      </c>
      <c r="B1367" s="20" t="s">
        <v>4753</v>
      </c>
      <c r="C1367" s="20" t="s">
        <v>149</v>
      </c>
      <c r="F1367" s="20" t="s">
        <v>150</v>
      </c>
      <c r="G1367" s="20" t="s">
        <v>150</v>
      </c>
      <c r="I1367" s="20" t="s">
        <v>151</v>
      </c>
      <c r="J1367" s="20" t="s">
        <v>143</v>
      </c>
      <c r="Q1367" s="20">
        <v>16201.0</v>
      </c>
      <c r="R1367" s="20" t="s">
        <v>4754</v>
      </c>
      <c r="S1367" s="20" t="s">
        <v>4753</v>
      </c>
      <c r="T1367" s="20" t="s">
        <v>138</v>
      </c>
    </row>
    <row r="1368" ht="14.25" customHeight="1">
      <c r="A1368" s="20" t="s">
        <v>4755</v>
      </c>
      <c r="B1368" s="20" t="s">
        <v>4756</v>
      </c>
      <c r="C1368" s="20" t="s">
        <v>159</v>
      </c>
      <c r="F1368" s="20" t="s">
        <v>150</v>
      </c>
      <c r="G1368" s="20" t="s">
        <v>150</v>
      </c>
      <c r="I1368" s="20" t="s">
        <v>151</v>
      </c>
      <c r="J1368" s="20" t="s">
        <v>143</v>
      </c>
      <c r="K1368" s="20" t="s">
        <v>167</v>
      </c>
      <c r="Q1368" s="20">
        <v>16303.0</v>
      </c>
      <c r="R1368" s="20" t="s">
        <v>4757</v>
      </c>
      <c r="S1368" s="20" t="s">
        <v>4756</v>
      </c>
      <c r="T1368" s="20" t="s">
        <v>138</v>
      </c>
    </row>
    <row r="1369" ht="14.25" customHeight="1">
      <c r="A1369" s="20" t="s">
        <v>4758</v>
      </c>
      <c r="B1369" s="20" t="s">
        <v>4759</v>
      </c>
      <c r="C1369" s="20" t="s">
        <v>178</v>
      </c>
      <c r="F1369" s="20" t="s">
        <v>150</v>
      </c>
      <c r="G1369" s="20" t="s">
        <v>150</v>
      </c>
      <c r="I1369" s="20" t="s">
        <v>151</v>
      </c>
      <c r="J1369" s="20" t="s">
        <v>143</v>
      </c>
      <c r="Q1369" s="20">
        <v>15610.0</v>
      </c>
      <c r="R1369" s="20" t="s">
        <v>4760</v>
      </c>
      <c r="S1369" s="20" t="s">
        <v>4759</v>
      </c>
      <c r="T1369" s="20" t="s">
        <v>138</v>
      </c>
    </row>
    <row r="1370" ht="14.25" customHeight="1">
      <c r="A1370" s="20" t="s">
        <v>4761</v>
      </c>
      <c r="B1370" s="20" t="s">
        <v>4762</v>
      </c>
      <c r="C1370" s="20" t="s">
        <v>174</v>
      </c>
      <c r="F1370" s="20" t="s">
        <v>150</v>
      </c>
      <c r="G1370" s="20" t="s">
        <v>150</v>
      </c>
      <c r="I1370" s="20" t="s">
        <v>151</v>
      </c>
      <c r="J1370" s="20" t="s">
        <v>143</v>
      </c>
      <c r="Q1370" s="20">
        <v>10851.0</v>
      </c>
      <c r="R1370" s="20" t="s">
        <v>4763</v>
      </c>
      <c r="S1370" s="20" t="s">
        <v>4762</v>
      </c>
      <c r="T1370" s="20" t="s">
        <v>138</v>
      </c>
    </row>
    <row r="1371" ht="14.25" customHeight="1">
      <c r="A1371" s="20" t="s">
        <v>4764</v>
      </c>
      <c r="B1371" s="20" t="s">
        <v>4765</v>
      </c>
      <c r="C1371" s="20" t="s">
        <v>197</v>
      </c>
      <c r="F1371" s="20" t="s">
        <v>150</v>
      </c>
      <c r="G1371" s="20" t="s">
        <v>150</v>
      </c>
      <c r="I1371" s="20" t="s">
        <v>151</v>
      </c>
      <c r="J1371" s="20" t="s">
        <v>143</v>
      </c>
      <c r="Q1371" s="20">
        <v>12497.0</v>
      </c>
      <c r="R1371" s="20" t="s">
        <v>4766</v>
      </c>
      <c r="S1371" s="20" t="s">
        <v>4765</v>
      </c>
      <c r="T1371" s="20" t="s">
        <v>138</v>
      </c>
    </row>
    <row r="1372" ht="14.25" customHeight="1">
      <c r="A1372" s="20" t="s">
        <v>4767</v>
      </c>
      <c r="B1372" s="20" t="s">
        <v>4768</v>
      </c>
      <c r="C1372" s="20" t="s">
        <v>163</v>
      </c>
      <c r="F1372" s="20" t="s">
        <v>150</v>
      </c>
      <c r="G1372" s="20" t="s">
        <v>150</v>
      </c>
      <c r="I1372" s="20" t="s">
        <v>151</v>
      </c>
      <c r="J1372" s="20" t="s">
        <v>143</v>
      </c>
      <c r="Q1372" s="20">
        <v>16702.0</v>
      </c>
      <c r="R1372" s="20" t="s">
        <v>4769</v>
      </c>
      <c r="S1372" s="20" t="s">
        <v>4768</v>
      </c>
      <c r="T1372" s="20" t="s">
        <v>138</v>
      </c>
    </row>
    <row r="1373" ht="14.25" customHeight="1">
      <c r="A1373" s="20" t="s">
        <v>4770</v>
      </c>
      <c r="B1373" s="20" t="s">
        <v>4771</v>
      </c>
      <c r="C1373" s="20" t="s">
        <v>818</v>
      </c>
      <c r="F1373" s="20" t="s">
        <v>17</v>
      </c>
      <c r="G1373" s="20" t="s">
        <v>17</v>
      </c>
      <c r="I1373" s="20" t="s">
        <v>88</v>
      </c>
      <c r="J1373" s="20" t="s">
        <v>143</v>
      </c>
      <c r="K1373" s="20" t="s">
        <v>167</v>
      </c>
      <c r="Q1373" s="20">
        <v>1577.0</v>
      </c>
      <c r="R1373" s="20" t="s">
        <v>4772</v>
      </c>
      <c r="S1373" s="20" t="s">
        <v>4771</v>
      </c>
      <c r="T1373" s="20" t="s">
        <v>138</v>
      </c>
    </row>
    <row r="1374" ht="14.25" customHeight="1">
      <c r="A1374" s="20" t="s">
        <v>4773</v>
      </c>
      <c r="B1374" s="20" t="s">
        <v>4774</v>
      </c>
      <c r="C1374" s="20" t="s">
        <v>369</v>
      </c>
      <c r="F1374" s="20" t="s">
        <v>218</v>
      </c>
      <c r="G1374" s="20" t="s">
        <v>219</v>
      </c>
      <c r="I1374" s="20" t="s">
        <v>370</v>
      </c>
      <c r="J1374" s="20" t="s">
        <v>186</v>
      </c>
      <c r="Q1374" s="20">
        <v>1769.0</v>
      </c>
      <c r="R1374" s="20" t="s">
        <v>4775</v>
      </c>
      <c r="S1374" s="20" t="s">
        <v>4774</v>
      </c>
      <c r="T1374" s="20" t="s">
        <v>138</v>
      </c>
    </row>
    <row r="1375" ht="14.25" customHeight="1">
      <c r="A1375" s="20" t="s">
        <v>4776</v>
      </c>
      <c r="B1375" s="20" t="s">
        <v>4777</v>
      </c>
      <c r="C1375" s="20" t="s">
        <v>163</v>
      </c>
      <c r="F1375" s="20" t="s">
        <v>150</v>
      </c>
      <c r="G1375" s="20" t="s">
        <v>150</v>
      </c>
      <c r="I1375" s="20" t="s">
        <v>151</v>
      </c>
      <c r="J1375" s="20" t="s">
        <v>143</v>
      </c>
      <c r="K1375" s="20" t="s">
        <v>167</v>
      </c>
      <c r="Q1375" s="20">
        <v>720.0</v>
      </c>
      <c r="R1375" s="20" t="s">
        <v>4778</v>
      </c>
      <c r="S1375" s="20" t="s">
        <v>4777</v>
      </c>
      <c r="T1375" s="20" t="s">
        <v>138</v>
      </c>
    </row>
    <row r="1376" ht="14.25" customHeight="1">
      <c r="A1376" s="20" t="s">
        <v>4779</v>
      </c>
      <c r="B1376" s="20" t="s">
        <v>4780</v>
      </c>
      <c r="C1376" s="20" t="s">
        <v>2043</v>
      </c>
      <c r="F1376" s="20" t="s">
        <v>218</v>
      </c>
      <c r="G1376" s="20" t="s">
        <v>219</v>
      </c>
      <c r="I1376" s="20" t="s">
        <v>360</v>
      </c>
      <c r="J1376" s="20" t="s">
        <v>4781</v>
      </c>
      <c r="Q1376" s="20">
        <v>7393.0</v>
      </c>
      <c r="R1376" s="20" t="s">
        <v>4782</v>
      </c>
      <c r="S1376" s="20" t="s">
        <v>4780</v>
      </c>
      <c r="T1376" s="20" t="s">
        <v>138</v>
      </c>
    </row>
    <row r="1377" ht="14.25" customHeight="1">
      <c r="A1377" s="20" t="s">
        <v>4783</v>
      </c>
      <c r="B1377" s="20" t="s">
        <v>4784</v>
      </c>
      <c r="C1377" s="20" t="s">
        <v>4785</v>
      </c>
      <c r="F1377" s="20" t="s">
        <v>16</v>
      </c>
      <c r="G1377" s="20" t="s">
        <v>638</v>
      </c>
      <c r="I1377" s="20" t="s">
        <v>1582</v>
      </c>
      <c r="J1377" s="20" t="s">
        <v>4781</v>
      </c>
      <c r="K1377" s="20" t="s">
        <v>187</v>
      </c>
      <c r="L1377" s="20" t="s">
        <v>1582</v>
      </c>
      <c r="N1377" s="20" t="s">
        <v>4786</v>
      </c>
      <c r="Q1377" s="20">
        <v>44.0</v>
      </c>
      <c r="R1377" s="20" t="s">
        <v>4787</v>
      </c>
      <c r="S1377" s="20" t="s">
        <v>4784</v>
      </c>
      <c r="T1377" s="20" t="s">
        <v>138</v>
      </c>
      <c r="W1377" s="20" t="s">
        <v>190</v>
      </c>
    </row>
    <row r="1378" ht="14.25" customHeight="1">
      <c r="A1378" s="20" t="s">
        <v>4788</v>
      </c>
      <c r="B1378" s="20" t="s">
        <v>4789</v>
      </c>
      <c r="C1378" s="20" t="s">
        <v>1033</v>
      </c>
      <c r="F1378" s="20" t="s">
        <v>327</v>
      </c>
      <c r="G1378" s="20" t="s">
        <v>395</v>
      </c>
      <c r="I1378" s="20" t="s">
        <v>1034</v>
      </c>
      <c r="J1378" s="20" t="s">
        <v>4781</v>
      </c>
      <c r="K1378" s="20" t="s">
        <v>213</v>
      </c>
      <c r="L1378" s="20" t="s">
        <v>1034</v>
      </c>
      <c r="Q1378" s="20">
        <v>126.0</v>
      </c>
      <c r="R1378" s="20" t="s">
        <v>4790</v>
      </c>
      <c r="S1378" s="20" t="s">
        <v>4789</v>
      </c>
      <c r="T1378" s="20" t="s">
        <v>138</v>
      </c>
      <c r="W1378" s="20" t="s">
        <v>146</v>
      </c>
    </row>
    <row r="1379" ht="14.25" customHeight="1">
      <c r="A1379" s="20" t="s">
        <v>4791</v>
      </c>
      <c r="B1379" s="20" t="s">
        <v>4792</v>
      </c>
      <c r="C1379" s="20" t="s">
        <v>4513</v>
      </c>
      <c r="F1379" s="20" t="s">
        <v>150</v>
      </c>
      <c r="G1379" s="20" t="s">
        <v>150</v>
      </c>
      <c r="I1379" s="20" t="s">
        <v>151</v>
      </c>
      <c r="J1379" s="20" t="s">
        <v>4781</v>
      </c>
      <c r="Q1379" s="20">
        <v>3620.0</v>
      </c>
      <c r="R1379" s="20" t="s">
        <v>4793</v>
      </c>
      <c r="S1379" s="20" t="s">
        <v>4792</v>
      </c>
      <c r="T1379" s="20" t="s">
        <v>138</v>
      </c>
    </row>
    <row r="1380" ht="14.25" customHeight="1">
      <c r="A1380" s="20" t="s">
        <v>4794</v>
      </c>
      <c r="B1380" s="20" t="s">
        <v>4795</v>
      </c>
      <c r="C1380" s="20" t="s">
        <v>4796</v>
      </c>
      <c r="F1380" s="20" t="s">
        <v>17</v>
      </c>
      <c r="G1380" s="20" t="s">
        <v>17</v>
      </c>
      <c r="I1380" s="20" t="s">
        <v>88</v>
      </c>
      <c r="J1380" s="20" t="s">
        <v>4781</v>
      </c>
      <c r="K1380" s="20" t="s">
        <v>187</v>
      </c>
      <c r="Q1380" s="20">
        <v>68.0</v>
      </c>
      <c r="R1380" s="20" t="s">
        <v>4797</v>
      </c>
      <c r="S1380" s="20" t="s">
        <v>4795</v>
      </c>
      <c r="T1380" s="20" t="s">
        <v>138</v>
      </c>
      <c r="V1380" s="20" t="s">
        <v>260</v>
      </c>
      <c r="W1380" s="20" t="s">
        <v>190</v>
      </c>
    </row>
    <row r="1381" ht="14.25" customHeight="1">
      <c r="A1381" s="20" t="s">
        <v>4798</v>
      </c>
      <c r="B1381" s="20" t="s">
        <v>4799</v>
      </c>
      <c r="C1381" s="20" t="s">
        <v>4800</v>
      </c>
      <c r="F1381" s="20" t="s">
        <v>327</v>
      </c>
      <c r="G1381" s="20" t="s">
        <v>395</v>
      </c>
      <c r="I1381" s="20" t="s">
        <v>4801</v>
      </c>
      <c r="J1381" s="20" t="s">
        <v>186</v>
      </c>
      <c r="K1381" s="20" t="s">
        <v>167</v>
      </c>
      <c r="Q1381" s="20">
        <v>100.0</v>
      </c>
      <c r="R1381" s="20" t="s">
        <v>4802</v>
      </c>
      <c r="S1381" s="20" t="s">
        <v>4799</v>
      </c>
      <c r="T1381" s="20" t="s">
        <v>138</v>
      </c>
    </row>
    <row r="1382" ht="14.25" customHeight="1">
      <c r="A1382" s="20" t="s">
        <v>4803</v>
      </c>
      <c r="B1382" s="20" t="s">
        <v>4804</v>
      </c>
      <c r="C1382" s="20" t="s">
        <v>928</v>
      </c>
      <c r="F1382" s="20" t="s">
        <v>327</v>
      </c>
      <c r="G1382" s="20" t="s">
        <v>328</v>
      </c>
      <c r="I1382" s="20" t="s">
        <v>329</v>
      </c>
      <c r="J1382" s="20" t="s">
        <v>4781</v>
      </c>
      <c r="Q1382" s="20">
        <v>14532.0</v>
      </c>
      <c r="R1382" s="20" t="s">
        <v>4805</v>
      </c>
      <c r="S1382" s="20" t="s">
        <v>4804</v>
      </c>
      <c r="T1382" s="20" t="s">
        <v>138</v>
      </c>
    </row>
    <row r="1383" ht="14.25" customHeight="1">
      <c r="A1383" s="20" t="s">
        <v>4806</v>
      </c>
      <c r="B1383" s="20" t="s">
        <v>4807</v>
      </c>
      <c r="C1383" s="20" t="s">
        <v>813</v>
      </c>
      <c r="F1383" s="20" t="s">
        <v>16</v>
      </c>
      <c r="G1383" s="20" t="s">
        <v>638</v>
      </c>
      <c r="I1383" s="20" t="s">
        <v>1077</v>
      </c>
      <c r="J1383" s="20" t="s">
        <v>4781</v>
      </c>
      <c r="Q1383" s="20">
        <v>72.0</v>
      </c>
      <c r="R1383" s="20" t="s">
        <v>4808</v>
      </c>
      <c r="S1383" s="20" t="s">
        <v>4807</v>
      </c>
      <c r="T1383" s="20" t="s">
        <v>138</v>
      </c>
      <c r="W1383" s="20" t="s">
        <v>146</v>
      </c>
    </row>
    <row r="1384" ht="14.25" customHeight="1">
      <c r="A1384" s="20" t="s">
        <v>4809</v>
      </c>
      <c r="B1384" s="20" t="s">
        <v>4810</v>
      </c>
      <c r="C1384" s="20" t="s">
        <v>624</v>
      </c>
      <c r="F1384" s="20" t="s">
        <v>16</v>
      </c>
      <c r="G1384" s="20" t="s">
        <v>202</v>
      </c>
      <c r="I1384" s="20" t="s">
        <v>203</v>
      </c>
      <c r="J1384" s="20" t="s">
        <v>4781</v>
      </c>
      <c r="Q1384" s="20">
        <v>2798.0</v>
      </c>
      <c r="R1384" s="20" t="s">
        <v>4811</v>
      </c>
      <c r="S1384" s="20" t="s">
        <v>4810</v>
      </c>
      <c r="T1384" s="20" t="s">
        <v>138</v>
      </c>
    </row>
    <row r="1385" ht="14.25" customHeight="1">
      <c r="A1385" s="20" t="s">
        <v>4812</v>
      </c>
      <c r="B1385" s="20" t="s">
        <v>4813</v>
      </c>
      <c r="C1385" s="20" t="s">
        <v>1740</v>
      </c>
      <c r="F1385" s="20" t="s">
        <v>16</v>
      </c>
      <c r="G1385" s="20" t="s">
        <v>638</v>
      </c>
      <c r="I1385" s="20" t="s">
        <v>814</v>
      </c>
      <c r="J1385" s="20" t="s">
        <v>4781</v>
      </c>
      <c r="Q1385" s="20">
        <v>15080.0</v>
      </c>
      <c r="R1385" s="20" t="s">
        <v>4814</v>
      </c>
      <c r="S1385" s="20" t="s">
        <v>4813</v>
      </c>
      <c r="T1385" s="20" t="s">
        <v>138</v>
      </c>
    </row>
    <row r="1386" ht="14.25" customHeight="1">
      <c r="A1386" s="20" t="s">
        <v>4815</v>
      </c>
      <c r="B1386" s="20" t="s">
        <v>4816</v>
      </c>
      <c r="C1386" s="20" t="s">
        <v>4817</v>
      </c>
      <c r="F1386" s="20" t="s">
        <v>16</v>
      </c>
      <c r="G1386" s="20" t="s">
        <v>638</v>
      </c>
      <c r="I1386" s="20" t="s">
        <v>4818</v>
      </c>
      <c r="J1386" s="20" t="s">
        <v>4781</v>
      </c>
      <c r="Q1386" s="20">
        <v>6426.0</v>
      </c>
      <c r="R1386" s="20" t="s">
        <v>4819</v>
      </c>
      <c r="S1386" s="20" t="s">
        <v>4816</v>
      </c>
      <c r="T1386" s="20" t="s">
        <v>138</v>
      </c>
    </row>
    <row r="1387" ht="14.25" customHeight="1">
      <c r="A1387" s="20" t="s">
        <v>4820</v>
      </c>
      <c r="B1387" s="20" t="s">
        <v>4821</v>
      </c>
      <c r="C1387" s="20" t="s">
        <v>637</v>
      </c>
      <c r="F1387" s="20" t="s">
        <v>16</v>
      </c>
      <c r="G1387" s="20" t="s">
        <v>638</v>
      </c>
      <c r="I1387" s="20" t="s">
        <v>639</v>
      </c>
      <c r="J1387" s="20" t="s">
        <v>4781</v>
      </c>
      <c r="Q1387" s="20">
        <v>76.0</v>
      </c>
      <c r="R1387" s="20" t="s">
        <v>4822</v>
      </c>
      <c r="S1387" s="20" t="s">
        <v>4821</v>
      </c>
      <c r="T1387" s="20" t="s">
        <v>138</v>
      </c>
    </row>
    <row r="1388" ht="14.25" customHeight="1">
      <c r="A1388" s="20" t="s">
        <v>4823</v>
      </c>
      <c r="B1388" s="20" t="s">
        <v>4824</v>
      </c>
      <c r="C1388" s="20" t="s">
        <v>4825</v>
      </c>
      <c r="F1388" s="20" t="s">
        <v>16</v>
      </c>
      <c r="G1388" s="20" t="s">
        <v>638</v>
      </c>
      <c r="I1388" s="20" t="s">
        <v>639</v>
      </c>
      <c r="J1388" s="20" t="s">
        <v>4781</v>
      </c>
      <c r="K1388" s="20" t="s">
        <v>187</v>
      </c>
      <c r="Q1388" s="20">
        <v>10147.0</v>
      </c>
      <c r="R1388" s="20" t="s">
        <v>4826</v>
      </c>
      <c r="S1388" s="20" t="s">
        <v>4824</v>
      </c>
      <c r="T1388" s="20" t="s">
        <v>138</v>
      </c>
    </row>
    <row r="1389" ht="14.25" customHeight="1">
      <c r="A1389" s="20" t="s">
        <v>4827</v>
      </c>
      <c r="B1389" s="20" t="s">
        <v>4828</v>
      </c>
      <c r="C1389" s="20" t="s">
        <v>801</v>
      </c>
      <c r="F1389" s="20" t="s">
        <v>218</v>
      </c>
      <c r="G1389" s="20" t="s">
        <v>219</v>
      </c>
      <c r="I1389" s="20" t="s">
        <v>802</v>
      </c>
      <c r="J1389" s="20" t="s">
        <v>4781</v>
      </c>
      <c r="Q1389" s="20">
        <v>15118.0</v>
      </c>
      <c r="R1389" s="20" t="s">
        <v>4829</v>
      </c>
      <c r="S1389" s="20" t="s">
        <v>4828</v>
      </c>
      <c r="T1389" s="20" t="s">
        <v>138</v>
      </c>
    </row>
    <row r="1390" ht="14.25" customHeight="1">
      <c r="A1390" s="20" t="s">
        <v>4830</v>
      </c>
      <c r="B1390" s="20" t="s">
        <v>4831</v>
      </c>
      <c r="C1390" s="20" t="s">
        <v>4832</v>
      </c>
      <c r="F1390" s="20" t="s">
        <v>327</v>
      </c>
      <c r="G1390" s="20" t="s">
        <v>395</v>
      </c>
      <c r="I1390" s="20" t="s">
        <v>1104</v>
      </c>
      <c r="J1390" s="20" t="s">
        <v>4781</v>
      </c>
      <c r="K1390" s="20" t="s">
        <v>167</v>
      </c>
      <c r="Q1390" s="20">
        <v>115.0</v>
      </c>
      <c r="R1390" s="20" t="s">
        <v>4833</v>
      </c>
      <c r="S1390" s="20" t="s">
        <v>4831</v>
      </c>
      <c r="T1390" s="20" t="s">
        <v>138</v>
      </c>
    </row>
    <row r="1391" ht="14.25" customHeight="1">
      <c r="A1391" s="20" t="s">
        <v>4834</v>
      </c>
      <c r="B1391" s="20" t="s">
        <v>4835</v>
      </c>
      <c r="C1391" s="20" t="s">
        <v>4836</v>
      </c>
      <c r="F1391" s="20" t="s">
        <v>327</v>
      </c>
      <c r="G1391" s="20" t="s">
        <v>395</v>
      </c>
      <c r="I1391" s="20" t="s">
        <v>1104</v>
      </c>
      <c r="J1391" s="20" t="s">
        <v>4781</v>
      </c>
      <c r="Q1391" s="20">
        <v>6831.0</v>
      </c>
      <c r="R1391" s="20" t="s">
        <v>4837</v>
      </c>
      <c r="S1391" s="20" t="s">
        <v>4835</v>
      </c>
      <c r="T1391" s="20" t="s">
        <v>138</v>
      </c>
    </row>
    <row r="1392" ht="14.25" customHeight="1">
      <c r="A1392" s="20" t="s">
        <v>4838</v>
      </c>
      <c r="B1392" s="20" t="s">
        <v>4839</v>
      </c>
      <c r="C1392" s="20" t="s">
        <v>369</v>
      </c>
      <c r="F1392" s="20" t="s">
        <v>218</v>
      </c>
      <c r="G1392" s="20" t="s">
        <v>219</v>
      </c>
      <c r="I1392" s="20" t="s">
        <v>370</v>
      </c>
      <c r="J1392" s="20" t="s">
        <v>186</v>
      </c>
      <c r="Q1392" s="20">
        <v>8347.0</v>
      </c>
      <c r="R1392" s="20" t="s">
        <v>4840</v>
      </c>
      <c r="S1392" s="20" t="s">
        <v>4839</v>
      </c>
      <c r="T1392" s="20" t="s">
        <v>138</v>
      </c>
      <c r="W1392" s="20" t="s">
        <v>146</v>
      </c>
    </row>
    <row r="1393" ht="14.25" customHeight="1">
      <c r="A1393" s="20" t="s">
        <v>4841</v>
      </c>
      <c r="B1393" s="20" t="s">
        <v>4842</v>
      </c>
      <c r="C1393" s="20" t="s">
        <v>4800</v>
      </c>
      <c r="F1393" s="20" t="s">
        <v>327</v>
      </c>
      <c r="G1393" s="20" t="s">
        <v>395</v>
      </c>
      <c r="I1393" s="20" t="s">
        <v>644</v>
      </c>
      <c r="J1393" s="20" t="s">
        <v>4781</v>
      </c>
      <c r="K1393" s="20" t="s">
        <v>213</v>
      </c>
      <c r="L1393" s="20" t="s">
        <v>644</v>
      </c>
      <c r="M1393" s="20" t="s">
        <v>4843</v>
      </c>
      <c r="Q1393" s="20">
        <v>86.0</v>
      </c>
      <c r="R1393" s="20" t="s">
        <v>4844</v>
      </c>
      <c r="S1393" s="20" t="s">
        <v>4842</v>
      </c>
      <c r="T1393" s="20" t="s">
        <v>138</v>
      </c>
      <c r="W1393" s="20" t="s">
        <v>146</v>
      </c>
    </row>
    <row r="1394" ht="14.25" customHeight="1">
      <c r="A1394" s="20" t="s">
        <v>4845</v>
      </c>
      <c r="B1394" s="20" t="s">
        <v>4846</v>
      </c>
      <c r="C1394" s="20" t="s">
        <v>446</v>
      </c>
      <c r="F1394" s="20" t="s">
        <v>16</v>
      </c>
      <c r="G1394" s="20" t="s">
        <v>202</v>
      </c>
      <c r="I1394" s="20" t="s">
        <v>87</v>
      </c>
      <c r="J1394" s="20" t="s">
        <v>4781</v>
      </c>
      <c r="K1394" s="20" t="s">
        <v>213</v>
      </c>
      <c r="Q1394" s="20">
        <v>88.0</v>
      </c>
      <c r="R1394" s="20" t="s">
        <v>4847</v>
      </c>
      <c r="S1394" s="20" t="s">
        <v>4848</v>
      </c>
      <c r="T1394" s="20" t="s">
        <v>138</v>
      </c>
      <c r="W1394" s="20" t="s">
        <v>190</v>
      </c>
    </row>
    <row r="1395" ht="14.25" customHeight="1">
      <c r="A1395" s="20" t="s">
        <v>4849</v>
      </c>
      <c r="B1395" s="20" t="s">
        <v>4850</v>
      </c>
      <c r="C1395" s="20" t="s">
        <v>813</v>
      </c>
      <c r="F1395" s="20" t="s">
        <v>16</v>
      </c>
      <c r="G1395" s="20" t="s">
        <v>638</v>
      </c>
      <c r="I1395" s="20" t="s">
        <v>814</v>
      </c>
      <c r="J1395" s="20" t="s">
        <v>4781</v>
      </c>
      <c r="K1395" s="20" t="s">
        <v>187</v>
      </c>
      <c r="Q1395" s="20">
        <v>93.0</v>
      </c>
      <c r="R1395" s="20" t="s">
        <v>4851</v>
      </c>
      <c r="S1395" s="20" t="s">
        <v>4850</v>
      </c>
      <c r="T1395" s="20" t="s">
        <v>138</v>
      </c>
      <c r="W1395" s="20" t="s">
        <v>146</v>
      </c>
    </row>
    <row r="1396" ht="14.25" customHeight="1">
      <c r="A1396" s="20" t="s">
        <v>4852</v>
      </c>
      <c r="B1396" s="20" t="s">
        <v>4853</v>
      </c>
      <c r="C1396" s="20" t="s">
        <v>197</v>
      </c>
      <c r="F1396" s="20" t="s">
        <v>150</v>
      </c>
      <c r="G1396" s="20" t="s">
        <v>150</v>
      </c>
      <c r="I1396" s="20" t="s">
        <v>151</v>
      </c>
      <c r="J1396" s="20" t="s">
        <v>143</v>
      </c>
      <c r="Q1396" s="20">
        <v>9319.0</v>
      </c>
      <c r="R1396" s="20" t="s">
        <v>4854</v>
      </c>
      <c r="S1396" s="20" t="s">
        <v>4853</v>
      </c>
      <c r="T1396" s="20" t="s">
        <v>138</v>
      </c>
    </row>
    <row r="1397" ht="14.25" customHeight="1">
      <c r="A1397" s="20" t="s">
        <v>4855</v>
      </c>
      <c r="B1397" s="20" t="s">
        <v>4856</v>
      </c>
      <c r="C1397" s="20" t="s">
        <v>193</v>
      </c>
      <c r="F1397" s="20" t="s">
        <v>150</v>
      </c>
      <c r="G1397" s="20" t="s">
        <v>150</v>
      </c>
      <c r="I1397" s="20" t="s">
        <v>151</v>
      </c>
      <c r="J1397" s="20" t="s">
        <v>143</v>
      </c>
      <c r="Q1397" s="20">
        <v>5486.0</v>
      </c>
      <c r="R1397" s="20" t="s">
        <v>4857</v>
      </c>
      <c r="S1397" s="20" t="s">
        <v>4856</v>
      </c>
      <c r="T1397" s="20" t="s">
        <v>138</v>
      </c>
    </row>
    <row r="1398" ht="14.25" customHeight="1">
      <c r="A1398" s="20" t="s">
        <v>4858</v>
      </c>
      <c r="B1398" s="20" t="s">
        <v>4859</v>
      </c>
      <c r="C1398" s="20" t="s">
        <v>4860</v>
      </c>
      <c r="F1398" s="20" t="s">
        <v>16</v>
      </c>
      <c r="G1398" s="20" t="s">
        <v>638</v>
      </c>
      <c r="H1398" s="20">
        <v>16225.0</v>
      </c>
      <c r="I1398" s="20" t="s">
        <v>639</v>
      </c>
      <c r="J1398" s="20" t="s">
        <v>136</v>
      </c>
      <c r="Q1398" s="20">
        <v>16225.0</v>
      </c>
      <c r="R1398" s="20" t="s">
        <v>4861</v>
      </c>
      <c r="S1398" s="20" t="s">
        <v>4859</v>
      </c>
      <c r="T1398" s="20" t="s">
        <v>138</v>
      </c>
      <c r="U1398" s="24">
        <v>44721.0</v>
      </c>
    </row>
    <row r="1399" ht="14.25" customHeight="1">
      <c r="A1399" s="20" t="s">
        <v>4862</v>
      </c>
      <c r="B1399" s="20" t="s">
        <v>4863</v>
      </c>
      <c r="C1399" s="20" t="s">
        <v>1806</v>
      </c>
      <c r="F1399" s="20" t="s">
        <v>16</v>
      </c>
      <c r="G1399" s="20" t="s">
        <v>638</v>
      </c>
      <c r="I1399" s="20" t="s">
        <v>814</v>
      </c>
      <c r="J1399" s="20" t="s">
        <v>136</v>
      </c>
      <c r="Q1399" s="20">
        <v>16223.0</v>
      </c>
      <c r="R1399" s="20" t="s">
        <v>4864</v>
      </c>
      <c r="S1399" s="20" t="s">
        <v>4863</v>
      </c>
      <c r="T1399" s="20" t="s">
        <v>138</v>
      </c>
    </row>
    <row r="1400" ht="14.25" customHeight="1">
      <c r="A1400" s="20" t="s">
        <v>4865</v>
      </c>
      <c r="B1400" s="20" t="s">
        <v>4866</v>
      </c>
      <c r="C1400" s="20" t="s">
        <v>1806</v>
      </c>
      <c r="F1400" s="20" t="s">
        <v>16</v>
      </c>
      <c r="G1400" s="20" t="s">
        <v>638</v>
      </c>
      <c r="I1400" s="20" t="s">
        <v>814</v>
      </c>
      <c r="J1400" s="20" t="s">
        <v>136</v>
      </c>
      <c r="Q1400" s="20">
        <v>16222.0</v>
      </c>
      <c r="R1400" s="20" t="s">
        <v>4867</v>
      </c>
      <c r="S1400" s="20" t="s">
        <v>4866</v>
      </c>
      <c r="T1400" s="20" t="s">
        <v>138</v>
      </c>
    </row>
    <row r="1401" ht="14.25" customHeight="1">
      <c r="A1401" s="20" t="s">
        <v>4868</v>
      </c>
      <c r="B1401" s="20" t="s">
        <v>4869</v>
      </c>
      <c r="C1401" s="20" t="s">
        <v>1806</v>
      </c>
      <c r="F1401" s="20" t="s">
        <v>16</v>
      </c>
      <c r="G1401" s="20" t="s">
        <v>638</v>
      </c>
      <c r="I1401" s="20" t="s">
        <v>814</v>
      </c>
      <c r="J1401" s="20" t="s">
        <v>136</v>
      </c>
      <c r="Q1401" s="20">
        <v>9548.0</v>
      </c>
      <c r="R1401" s="20" t="s">
        <v>4870</v>
      </c>
      <c r="S1401" s="20" t="s">
        <v>4869</v>
      </c>
      <c r="T1401" s="20" t="s">
        <v>138</v>
      </c>
      <c r="W1401" s="20" t="s">
        <v>372</v>
      </c>
    </row>
    <row r="1402" ht="14.25" customHeight="1">
      <c r="A1402" s="20" t="s">
        <v>4871</v>
      </c>
      <c r="B1402" s="20" t="s">
        <v>4872</v>
      </c>
      <c r="C1402" s="20" t="s">
        <v>4873</v>
      </c>
      <c r="F1402" s="20" t="s">
        <v>16</v>
      </c>
      <c r="G1402" s="20" t="s">
        <v>638</v>
      </c>
      <c r="I1402" s="20" t="s">
        <v>1077</v>
      </c>
      <c r="J1402" s="20" t="s">
        <v>136</v>
      </c>
      <c r="Q1402" s="20">
        <v>14226.0</v>
      </c>
      <c r="R1402" s="20" t="s">
        <v>4874</v>
      </c>
      <c r="S1402" s="20" t="s">
        <v>4872</v>
      </c>
      <c r="T1402" s="20" t="s">
        <v>138</v>
      </c>
    </row>
    <row r="1403" ht="14.25" customHeight="1">
      <c r="A1403" s="20" t="s">
        <v>4875</v>
      </c>
      <c r="B1403" s="20" t="s">
        <v>4876</v>
      </c>
      <c r="C1403" s="20" t="s">
        <v>4877</v>
      </c>
      <c r="F1403" s="20" t="s">
        <v>150</v>
      </c>
      <c r="G1403" s="20" t="s">
        <v>150</v>
      </c>
      <c r="I1403" s="20" t="s">
        <v>151</v>
      </c>
      <c r="J1403" s="20" t="s">
        <v>186</v>
      </c>
      <c r="K1403" s="20" t="s">
        <v>187</v>
      </c>
      <c r="Q1403" s="20">
        <v>67.0</v>
      </c>
      <c r="R1403" s="20" t="s">
        <v>4878</v>
      </c>
      <c r="S1403" s="20" t="s">
        <v>4876</v>
      </c>
      <c r="T1403" s="20" t="s">
        <v>138</v>
      </c>
      <c r="V1403" s="20" t="s">
        <v>260</v>
      </c>
      <c r="W1403" s="20" t="s">
        <v>190</v>
      </c>
    </row>
    <row r="1404" ht="14.25" customHeight="1">
      <c r="A1404" s="20" t="s">
        <v>4879</v>
      </c>
      <c r="B1404" s="20" t="s">
        <v>4880</v>
      </c>
      <c r="C1404" s="20" t="s">
        <v>2494</v>
      </c>
      <c r="F1404" s="20" t="s">
        <v>218</v>
      </c>
      <c r="G1404" s="20" t="s">
        <v>219</v>
      </c>
      <c r="H1404" s="20">
        <v>17743.0</v>
      </c>
      <c r="I1404" s="20" t="s">
        <v>365</v>
      </c>
      <c r="J1404" s="20" t="s">
        <v>186</v>
      </c>
      <c r="P1404" s="20" t="s">
        <v>4880</v>
      </c>
      <c r="Q1404" s="20">
        <v>17743.0</v>
      </c>
      <c r="R1404" s="20" t="s">
        <v>4881</v>
      </c>
      <c r="S1404" s="20" t="s">
        <v>4880</v>
      </c>
      <c r="T1404" s="20" t="s">
        <v>138</v>
      </c>
      <c r="W1404" s="20" t="s">
        <v>146</v>
      </c>
      <c r="X1404" s="20" t="s">
        <v>1292</v>
      </c>
    </row>
    <row r="1405" ht="14.25" customHeight="1">
      <c r="A1405" s="20" t="s">
        <v>4882</v>
      </c>
      <c r="B1405" s="20" t="s">
        <v>4883</v>
      </c>
      <c r="C1405" s="20" t="s">
        <v>197</v>
      </c>
      <c r="F1405" s="20" t="s">
        <v>150</v>
      </c>
      <c r="G1405" s="20" t="s">
        <v>150</v>
      </c>
      <c r="I1405" s="20" t="s">
        <v>151</v>
      </c>
      <c r="J1405" s="20" t="s">
        <v>143</v>
      </c>
      <c r="Q1405" s="20">
        <v>3772.0</v>
      </c>
      <c r="R1405" s="20" t="s">
        <v>4884</v>
      </c>
      <c r="S1405" s="20" t="s">
        <v>4883</v>
      </c>
      <c r="T1405" s="20" t="s">
        <v>138</v>
      </c>
    </row>
    <row r="1406" ht="14.25" customHeight="1">
      <c r="A1406" s="20" t="s">
        <v>4885</v>
      </c>
      <c r="B1406" s="20" t="s">
        <v>4886</v>
      </c>
      <c r="C1406" s="20" t="s">
        <v>272</v>
      </c>
      <c r="F1406" s="20" t="s">
        <v>150</v>
      </c>
      <c r="G1406" s="20" t="s">
        <v>150</v>
      </c>
      <c r="I1406" s="20" t="s">
        <v>151</v>
      </c>
      <c r="J1406" s="20" t="s">
        <v>143</v>
      </c>
      <c r="Q1406" s="20">
        <v>11064.0</v>
      </c>
      <c r="R1406" s="20" t="s">
        <v>4887</v>
      </c>
      <c r="S1406" s="20" t="s">
        <v>4886</v>
      </c>
      <c r="T1406" s="20" t="s">
        <v>138</v>
      </c>
    </row>
    <row r="1407" ht="14.25" customHeight="1">
      <c r="A1407" s="20" t="s">
        <v>4888</v>
      </c>
      <c r="B1407" s="20" t="s">
        <v>4889</v>
      </c>
      <c r="C1407" s="20" t="s">
        <v>178</v>
      </c>
      <c r="F1407" s="20" t="s">
        <v>150</v>
      </c>
      <c r="G1407" s="20" t="s">
        <v>150</v>
      </c>
      <c r="I1407" s="20" t="s">
        <v>151</v>
      </c>
      <c r="J1407" s="20" t="s">
        <v>143</v>
      </c>
      <c r="Q1407" s="20">
        <v>16624.0</v>
      </c>
      <c r="R1407" s="20" t="s">
        <v>4890</v>
      </c>
      <c r="S1407" s="20" t="s">
        <v>4889</v>
      </c>
      <c r="T1407" s="20" t="s">
        <v>138</v>
      </c>
    </row>
    <row r="1408" ht="14.25" customHeight="1">
      <c r="A1408" s="20" t="s">
        <v>4891</v>
      </c>
      <c r="B1408" s="20" t="s">
        <v>4892</v>
      </c>
      <c r="C1408" s="20" t="s">
        <v>235</v>
      </c>
      <c r="F1408" s="20" t="s">
        <v>15</v>
      </c>
      <c r="G1408" s="20" t="s">
        <v>142</v>
      </c>
      <c r="I1408" s="20" t="s">
        <v>105</v>
      </c>
      <c r="J1408" s="20" t="s">
        <v>143</v>
      </c>
      <c r="Q1408" s="20">
        <v>10387.0</v>
      </c>
      <c r="R1408" s="20" t="s">
        <v>4893</v>
      </c>
      <c r="S1408" s="20" t="s">
        <v>4892</v>
      </c>
      <c r="T1408" s="20" t="s">
        <v>138</v>
      </c>
    </row>
    <row r="1409" ht="14.25" customHeight="1">
      <c r="A1409" s="20" t="s">
        <v>4894</v>
      </c>
      <c r="B1409" s="20" t="s">
        <v>4895</v>
      </c>
      <c r="C1409" s="20" t="s">
        <v>4896</v>
      </c>
      <c r="F1409" s="20" t="s">
        <v>16</v>
      </c>
      <c r="G1409" s="20" t="s">
        <v>211</v>
      </c>
      <c r="I1409" s="20" t="s">
        <v>253</v>
      </c>
      <c r="J1409" s="20" t="s">
        <v>136</v>
      </c>
      <c r="Q1409" s="20">
        <v>17101.0</v>
      </c>
      <c r="R1409" s="20" t="s">
        <v>4897</v>
      </c>
      <c r="S1409" s="20" t="s">
        <v>4895</v>
      </c>
      <c r="T1409" s="20" t="s">
        <v>138</v>
      </c>
      <c r="W1409" s="20" t="s">
        <v>136</v>
      </c>
    </row>
    <row r="1410" ht="14.25" customHeight="1">
      <c r="A1410" s="20" t="s">
        <v>4898</v>
      </c>
      <c r="B1410" s="20" t="s">
        <v>4899</v>
      </c>
      <c r="C1410" s="20" t="s">
        <v>197</v>
      </c>
      <c r="F1410" s="20" t="s">
        <v>150</v>
      </c>
      <c r="G1410" s="20" t="s">
        <v>150</v>
      </c>
      <c r="I1410" s="20" t="s">
        <v>151</v>
      </c>
      <c r="J1410" s="20" t="s">
        <v>143</v>
      </c>
      <c r="K1410" s="20" t="s">
        <v>167</v>
      </c>
      <c r="Q1410" s="20">
        <v>240.0</v>
      </c>
      <c r="R1410" s="20" t="s">
        <v>4900</v>
      </c>
      <c r="S1410" s="20" t="s">
        <v>4899</v>
      </c>
      <c r="T1410" s="20" t="s">
        <v>138</v>
      </c>
    </row>
    <row r="1411" ht="14.25" customHeight="1">
      <c r="A1411" s="20" t="s">
        <v>4901</v>
      </c>
      <c r="B1411" s="20" t="s">
        <v>4902</v>
      </c>
      <c r="C1411" s="20" t="s">
        <v>174</v>
      </c>
      <c r="F1411" s="20" t="s">
        <v>150</v>
      </c>
      <c r="G1411" s="20" t="s">
        <v>150</v>
      </c>
      <c r="I1411" s="20" t="s">
        <v>151</v>
      </c>
      <c r="J1411" s="20" t="s">
        <v>143</v>
      </c>
      <c r="Q1411" s="20">
        <v>6758.0</v>
      </c>
      <c r="R1411" s="20" t="s">
        <v>4903</v>
      </c>
      <c r="S1411" s="20" t="s">
        <v>4902</v>
      </c>
      <c r="T1411" s="20" t="s">
        <v>138</v>
      </c>
    </row>
    <row r="1412" ht="14.25" customHeight="1">
      <c r="A1412" s="20" t="s">
        <v>4904</v>
      </c>
      <c r="B1412" s="20" t="s">
        <v>4905</v>
      </c>
      <c r="C1412" s="20" t="s">
        <v>957</v>
      </c>
      <c r="F1412" s="20" t="s">
        <v>150</v>
      </c>
      <c r="G1412" s="20" t="s">
        <v>150</v>
      </c>
      <c r="I1412" s="20" t="s">
        <v>151</v>
      </c>
      <c r="J1412" s="20" t="s">
        <v>143</v>
      </c>
      <c r="Q1412" s="20">
        <v>6517.0</v>
      </c>
      <c r="R1412" s="20" t="s">
        <v>4906</v>
      </c>
      <c r="S1412" s="20" t="s">
        <v>4905</v>
      </c>
      <c r="T1412" s="20" t="s">
        <v>138</v>
      </c>
      <c r="W1412" s="20" t="s">
        <v>146</v>
      </c>
    </row>
    <row r="1413" ht="14.25" customHeight="1">
      <c r="A1413" s="20" t="s">
        <v>4907</v>
      </c>
      <c r="B1413" s="20" t="s">
        <v>4908</v>
      </c>
      <c r="C1413" s="20" t="s">
        <v>159</v>
      </c>
      <c r="F1413" s="20" t="s">
        <v>150</v>
      </c>
      <c r="G1413" s="20" t="s">
        <v>150</v>
      </c>
      <c r="I1413" s="20" t="s">
        <v>151</v>
      </c>
      <c r="J1413" s="20" t="s">
        <v>143</v>
      </c>
      <c r="Q1413" s="20">
        <v>9003.0</v>
      </c>
      <c r="R1413" s="20" t="s">
        <v>4909</v>
      </c>
      <c r="S1413" s="20" t="s">
        <v>4908</v>
      </c>
      <c r="T1413" s="20" t="s">
        <v>138</v>
      </c>
    </row>
    <row r="1414" ht="14.25" customHeight="1">
      <c r="A1414" s="20" t="s">
        <v>4910</v>
      </c>
      <c r="B1414" s="20" t="s">
        <v>4911</v>
      </c>
      <c r="C1414" s="20" t="s">
        <v>197</v>
      </c>
      <c r="F1414" s="20" t="s">
        <v>150</v>
      </c>
      <c r="G1414" s="20" t="s">
        <v>150</v>
      </c>
      <c r="I1414" s="20" t="s">
        <v>151</v>
      </c>
      <c r="J1414" s="20" t="s">
        <v>143</v>
      </c>
      <c r="Q1414" s="20">
        <v>10119.0</v>
      </c>
      <c r="R1414" s="20" t="s">
        <v>4912</v>
      </c>
      <c r="S1414" s="20" t="s">
        <v>4911</v>
      </c>
      <c r="T1414" s="20" t="s">
        <v>138</v>
      </c>
    </row>
    <row r="1415" ht="14.25" customHeight="1">
      <c r="A1415" s="20" t="s">
        <v>4913</v>
      </c>
      <c r="B1415" s="20" t="s">
        <v>4914</v>
      </c>
      <c r="C1415" s="20" t="s">
        <v>1659</v>
      </c>
      <c r="F1415" s="20" t="s">
        <v>15</v>
      </c>
      <c r="G1415" s="20" t="s">
        <v>135</v>
      </c>
      <c r="I1415" s="20" t="s">
        <v>93</v>
      </c>
      <c r="J1415" s="20" t="s">
        <v>136</v>
      </c>
      <c r="Q1415" s="20">
        <v>3226.0</v>
      </c>
      <c r="R1415" s="20" t="s">
        <v>4915</v>
      </c>
      <c r="S1415" s="20" t="s">
        <v>4914</v>
      </c>
      <c r="T1415" s="20" t="s">
        <v>138</v>
      </c>
    </row>
    <row r="1416" ht="14.25" customHeight="1">
      <c r="A1416" s="20" t="s">
        <v>4916</v>
      </c>
      <c r="B1416" s="20" t="s">
        <v>4917</v>
      </c>
      <c r="C1416" s="20" t="s">
        <v>2698</v>
      </c>
      <c r="F1416" s="20" t="s">
        <v>327</v>
      </c>
      <c r="G1416" s="20" t="s">
        <v>385</v>
      </c>
      <c r="I1416" s="20" t="s">
        <v>386</v>
      </c>
      <c r="J1416" s="20" t="s">
        <v>186</v>
      </c>
      <c r="K1416" s="20" t="s">
        <v>167</v>
      </c>
      <c r="Q1416" s="20">
        <v>1413.0</v>
      </c>
      <c r="R1416" s="20" t="s">
        <v>4918</v>
      </c>
      <c r="S1416" s="20" t="s">
        <v>4917</v>
      </c>
      <c r="T1416" s="20" t="s">
        <v>138</v>
      </c>
      <c r="W1416" s="20" t="s">
        <v>146</v>
      </c>
    </row>
    <row r="1417" ht="14.25" customHeight="1">
      <c r="A1417" s="20" t="s">
        <v>4919</v>
      </c>
      <c r="B1417" s="20" t="s">
        <v>4920</v>
      </c>
      <c r="C1417" s="20" t="s">
        <v>496</v>
      </c>
      <c r="F1417" s="20" t="s">
        <v>218</v>
      </c>
      <c r="G1417" s="20" t="s">
        <v>219</v>
      </c>
      <c r="I1417" s="20" t="s">
        <v>370</v>
      </c>
      <c r="J1417" s="20" t="s">
        <v>136</v>
      </c>
      <c r="Q1417" s="20">
        <v>5532.0</v>
      </c>
      <c r="R1417" s="20" t="s">
        <v>4921</v>
      </c>
      <c r="S1417" s="20" t="s">
        <v>4920</v>
      </c>
      <c r="T1417" s="20" t="s">
        <v>138</v>
      </c>
    </row>
    <row r="1418" ht="14.25" customHeight="1">
      <c r="A1418" s="20" t="s">
        <v>4922</v>
      </c>
      <c r="B1418" s="20" t="s">
        <v>4923</v>
      </c>
      <c r="C1418" s="20" t="s">
        <v>178</v>
      </c>
      <c r="F1418" s="20" t="s">
        <v>150</v>
      </c>
      <c r="G1418" s="20" t="s">
        <v>150</v>
      </c>
      <c r="I1418" s="20" t="s">
        <v>151</v>
      </c>
      <c r="J1418" s="20" t="s">
        <v>143</v>
      </c>
      <c r="Q1418" s="20">
        <v>11117.0</v>
      </c>
      <c r="R1418" s="20" t="s">
        <v>4924</v>
      </c>
      <c r="S1418" s="20" t="s">
        <v>4923</v>
      </c>
      <c r="T1418" s="20" t="s">
        <v>138</v>
      </c>
    </row>
    <row r="1419" ht="14.25" customHeight="1">
      <c r="A1419" s="20" t="s">
        <v>4925</v>
      </c>
      <c r="B1419" s="20" t="s">
        <v>4926</v>
      </c>
      <c r="C1419" s="20" t="s">
        <v>369</v>
      </c>
      <c r="F1419" s="20" t="s">
        <v>218</v>
      </c>
      <c r="G1419" s="20" t="s">
        <v>219</v>
      </c>
      <c r="I1419" s="20" t="s">
        <v>370</v>
      </c>
      <c r="J1419" s="20" t="s">
        <v>186</v>
      </c>
      <c r="K1419" s="20" t="s">
        <v>167</v>
      </c>
      <c r="Q1419" s="20">
        <v>1073.0</v>
      </c>
      <c r="R1419" s="20" t="s">
        <v>4927</v>
      </c>
      <c r="S1419" s="20" t="s">
        <v>4926</v>
      </c>
      <c r="T1419" s="20" t="s">
        <v>138</v>
      </c>
      <c r="W1419" s="20" t="s">
        <v>146</v>
      </c>
    </row>
    <row r="1420" ht="14.25" customHeight="1">
      <c r="A1420" s="20" t="s">
        <v>4928</v>
      </c>
      <c r="B1420" s="20" t="s">
        <v>4929</v>
      </c>
      <c r="C1420" s="20" t="s">
        <v>369</v>
      </c>
      <c r="F1420" s="20" t="s">
        <v>218</v>
      </c>
      <c r="G1420" s="20" t="s">
        <v>219</v>
      </c>
      <c r="I1420" s="20" t="s">
        <v>370</v>
      </c>
      <c r="J1420" s="20" t="s">
        <v>186</v>
      </c>
      <c r="Q1420" s="20">
        <v>16286.0</v>
      </c>
      <c r="R1420" s="20" t="s">
        <v>4930</v>
      </c>
      <c r="S1420" s="20" t="s">
        <v>4929</v>
      </c>
      <c r="T1420" s="20" t="s">
        <v>138</v>
      </c>
    </row>
    <row r="1421" ht="14.25" customHeight="1">
      <c r="A1421" s="20" t="s">
        <v>4931</v>
      </c>
      <c r="B1421" s="20" t="s">
        <v>4932</v>
      </c>
      <c r="C1421" s="20" t="s">
        <v>289</v>
      </c>
      <c r="F1421" s="20" t="s">
        <v>150</v>
      </c>
      <c r="G1421" s="20" t="s">
        <v>150</v>
      </c>
      <c r="I1421" s="20" t="s">
        <v>151</v>
      </c>
      <c r="J1421" s="20" t="s">
        <v>143</v>
      </c>
      <c r="Q1421" s="20">
        <v>9130.0</v>
      </c>
      <c r="R1421" s="20" t="s">
        <v>4933</v>
      </c>
      <c r="S1421" s="20" t="s">
        <v>4932</v>
      </c>
      <c r="T1421" s="20" t="s">
        <v>138</v>
      </c>
    </row>
    <row r="1422" ht="14.25" customHeight="1">
      <c r="A1422" s="20" t="s">
        <v>4934</v>
      </c>
      <c r="B1422" s="20" t="s">
        <v>4935</v>
      </c>
      <c r="C1422" s="20" t="s">
        <v>496</v>
      </c>
      <c r="F1422" s="20" t="s">
        <v>218</v>
      </c>
      <c r="G1422" s="20" t="s">
        <v>219</v>
      </c>
      <c r="H1422" s="20">
        <v>17532.0</v>
      </c>
      <c r="I1422" s="20" t="s">
        <v>497</v>
      </c>
      <c r="J1422" s="20" t="s">
        <v>186</v>
      </c>
      <c r="P1422" s="20" t="s">
        <v>4935</v>
      </c>
      <c r="Q1422" s="20">
        <v>17532.0</v>
      </c>
      <c r="R1422" s="20" t="s">
        <v>4936</v>
      </c>
      <c r="S1422" s="20" t="s">
        <v>4935</v>
      </c>
      <c r="T1422" s="20" t="s">
        <v>138</v>
      </c>
      <c r="W1422" s="20" t="s">
        <v>261</v>
      </c>
    </row>
    <row r="1423" ht="14.25" customHeight="1">
      <c r="A1423" s="20" t="s">
        <v>4937</v>
      </c>
      <c r="B1423" s="20" t="s">
        <v>4938</v>
      </c>
      <c r="C1423" s="20" t="s">
        <v>178</v>
      </c>
      <c r="F1423" s="20" t="s">
        <v>150</v>
      </c>
      <c r="G1423" s="20" t="s">
        <v>150</v>
      </c>
      <c r="I1423" s="20" t="s">
        <v>151</v>
      </c>
      <c r="J1423" s="20" t="s">
        <v>143</v>
      </c>
      <c r="Q1423" s="20">
        <v>11590.0</v>
      </c>
      <c r="R1423" s="20" t="s">
        <v>4939</v>
      </c>
      <c r="S1423" s="20" t="s">
        <v>4938</v>
      </c>
      <c r="T1423" s="20" t="s">
        <v>138</v>
      </c>
    </row>
    <row r="1424" ht="14.25" customHeight="1">
      <c r="A1424" s="20" t="s">
        <v>4940</v>
      </c>
      <c r="B1424" s="20" t="s">
        <v>4941</v>
      </c>
      <c r="C1424" s="20" t="s">
        <v>496</v>
      </c>
      <c r="F1424" s="20" t="s">
        <v>218</v>
      </c>
      <c r="G1424" s="20" t="s">
        <v>219</v>
      </c>
      <c r="I1424" s="20" t="s">
        <v>497</v>
      </c>
      <c r="J1424" s="20" t="s">
        <v>186</v>
      </c>
      <c r="K1424" s="20" t="s">
        <v>167</v>
      </c>
      <c r="Q1424" s="20">
        <v>5193.0</v>
      </c>
      <c r="R1424" s="20" t="s">
        <v>4942</v>
      </c>
      <c r="S1424" s="20" t="s">
        <v>4941</v>
      </c>
      <c r="T1424" s="20" t="s">
        <v>138</v>
      </c>
    </row>
    <row r="1425" ht="14.25" customHeight="1">
      <c r="A1425" s="20" t="s">
        <v>4943</v>
      </c>
      <c r="B1425" s="20" t="s">
        <v>4944</v>
      </c>
      <c r="C1425" s="20" t="s">
        <v>197</v>
      </c>
      <c r="F1425" s="20" t="s">
        <v>150</v>
      </c>
      <c r="G1425" s="20" t="s">
        <v>150</v>
      </c>
      <c r="I1425" s="20" t="s">
        <v>151</v>
      </c>
      <c r="J1425" s="20" t="s">
        <v>143</v>
      </c>
      <c r="K1425" s="20" t="s">
        <v>167</v>
      </c>
      <c r="Q1425" s="20">
        <v>14178.0</v>
      </c>
      <c r="R1425" s="20" t="s">
        <v>4945</v>
      </c>
      <c r="S1425" s="20" t="s">
        <v>4944</v>
      </c>
      <c r="T1425" s="20" t="s">
        <v>138</v>
      </c>
      <c r="W1425" s="20" t="s">
        <v>146</v>
      </c>
    </row>
    <row r="1426" ht="14.25" customHeight="1">
      <c r="A1426" s="20" t="s">
        <v>4946</v>
      </c>
      <c r="B1426" s="20" t="s">
        <v>4947</v>
      </c>
      <c r="C1426" s="20" t="s">
        <v>182</v>
      </c>
      <c r="F1426" s="20" t="s">
        <v>15</v>
      </c>
      <c r="G1426" s="20" t="s">
        <v>135</v>
      </c>
      <c r="I1426" s="20" t="s">
        <v>93</v>
      </c>
      <c r="J1426" s="20" t="s">
        <v>186</v>
      </c>
      <c r="Q1426" s="20">
        <v>3933.0</v>
      </c>
      <c r="R1426" s="20" t="s">
        <v>4948</v>
      </c>
      <c r="S1426" s="20" t="s">
        <v>4947</v>
      </c>
      <c r="T1426" s="20" t="s">
        <v>138</v>
      </c>
    </row>
    <row r="1427" ht="14.25" customHeight="1">
      <c r="A1427" s="20" t="s">
        <v>4949</v>
      </c>
      <c r="B1427" s="20" t="s">
        <v>4950</v>
      </c>
      <c r="C1427" s="20" t="s">
        <v>197</v>
      </c>
      <c r="F1427" s="20" t="s">
        <v>150</v>
      </c>
      <c r="G1427" s="20" t="s">
        <v>150</v>
      </c>
      <c r="I1427" s="20" t="s">
        <v>151</v>
      </c>
      <c r="J1427" s="20" t="s">
        <v>143</v>
      </c>
      <c r="K1427" s="20" t="s">
        <v>167</v>
      </c>
      <c r="Q1427" s="20">
        <v>9882.0</v>
      </c>
      <c r="R1427" s="20" t="s">
        <v>4951</v>
      </c>
      <c r="S1427" s="20" t="s">
        <v>4950</v>
      </c>
      <c r="T1427" s="20" t="s">
        <v>138</v>
      </c>
      <c r="W1427" s="20" t="s">
        <v>146</v>
      </c>
    </row>
    <row r="1428" ht="14.25" customHeight="1">
      <c r="A1428" s="20" t="s">
        <v>4952</v>
      </c>
      <c r="B1428" s="20" t="s">
        <v>4953</v>
      </c>
      <c r="C1428" s="20" t="s">
        <v>1581</v>
      </c>
      <c r="F1428" s="20" t="s">
        <v>16</v>
      </c>
      <c r="G1428" s="20" t="s">
        <v>638</v>
      </c>
      <c r="I1428" s="20" t="s">
        <v>1582</v>
      </c>
      <c r="J1428" s="20" t="s">
        <v>143</v>
      </c>
      <c r="Q1428" s="20">
        <v>11981.0</v>
      </c>
      <c r="R1428" s="20" t="s">
        <v>4954</v>
      </c>
      <c r="S1428" s="20" t="s">
        <v>4953</v>
      </c>
      <c r="T1428" s="20" t="s">
        <v>138</v>
      </c>
    </row>
    <row r="1429" ht="14.25" customHeight="1">
      <c r="A1429" s="20" t="s">
        <v>4955</v>
      </c>
      <c r="B1429" s="20" t="s">
        <v>4956</v>
      </c>
      <c r="C1429" s="20" t="s">
        <v>496</v>
      </c>
      <c r="F1429" s="20" t="s">
        <v>218</v>
      </c>
      <c r="G1429" s="20" t="s">
        <v>219</v>
      </c>
      <c r="I1429" s="20" t="s">
        <v>497</v>
      </c>
      <c r="J1429" s="20" t="s">
        <v>186</v>
      </c>
      <c r="K1429" s="20" t="s">
        <v>167</v>
      </c>
      <c r="Q1429" s="20">
        <v>699.0</v>
      </c>
      <c r="R1429" s="20" t="s">
        <v>4957</v>
      </c>
      <c r="S1429" s="20" t="s">
        <v>4956</v>
      </c>
      <c r="T1429" s="20" t="s">
        <v>138</v>
      </c>
      <c r="W1429" s="20" t="s">
        <v>146</v>
      </c>
    </row>
    <row r="1430" ht="14.25" customHeight="1">
      <c r="A1430" s="20" t="s">
        <v>4958</v>
      </c>
      <c r="B1430" s="20" t="s">
        <v>4959</v>
      </c>
      <c r="C1430" s="20" t="s">
        <v>369</v>
      </c>
      <c r="F1430" s="20" t="s">
        <v>218</v>
      </c>
      <c r="G1430" s="20" t="s">
        <v>219</v>
      </c>
      <c r="H1430" s="20">
        <v>17559.0</v>
      </c>
      <c r="I1430" s="20" t="s">
        <v>370</v>
      </c>
      <c r="J1430" s="20" t="s">
        <v>186</v>
      </c>
      <c r="O1430" s="20" t="s">
        <v>144</v>
      </c>
      <c r="P1430" s="20" t="s">
        <v>4959</v>
      </c>
      <c r="Q1430" s="20">
        <v>17559.0</v>
      </c>
      <c r="R1430" s="20" t="s">
        <v>4960</v>
      </c>
      <c r="S1430" s="20" t="s">
        <v>4959</v>
      </c>
      <c r="T1430" s="20" t="s">
        <v>138</v>
      </c>
      <c r="W1430" s="20" t="s">
        <v>146</v>
      </c>
      <c r="X1430" s="20" t="s">
        <v>1292</v>
      </c>
    </row>
    <row r="1431" ht="14.25" customHeight="1">
      <c r="A1431" s="20" t="s">
        <v>4961</v>
      </c>
      <c r="B1431" s="20" t="s">
        <v>4962</v>
      </c>
      <c r="C1431" s="20" t="s">
        <v>4963</v>
      </c>
      <c r="F1431" s="20" t="s">
        <v>150</v>
      </c>
      <c r="G1431" s="20" t="s">
        <v>150</v>
      </c>
      <c r="I1431" s="20" t="s">
        <v>151</v>
      </c>
      <c r="J1431" s="20" t="s">
        <v>143</v>
      </c>
      <c r="Q1431" s="20">
        <v>4746.0</v>
      </c>
      <c r="R1431" s="20" t="s">
        <v>4964</v>
      </c>
      <c r="S1431" s="20" t="s">
        <v>4962</v>
      </c>
      <c r="T1431" s="20" t="s">
        <v>138</v>
      </c>
      <c r="W1431" s="20" t="s">
        <v>261</v>
      </c>
    </row>
    <row r="1432" ht="14.25" customHeight="1">
      <c r="A1432" s="20" t="s">
        <v>4965</v>
      </c>
      <c r="B1432" s="20" t="s">
        <v>4966</v>
      </c>
      <c r="C1432" s="20" t="s">
        <v>680</v>
      </c>
      <c r="F1432" s="20" t="s">
        <v>15</v>
      </c>
      <c r="G1432" s="20" t="s">
        <v>142</v>
      </c>
      <c r="I1432" s="20" t="s">
        <v>105</v>
      </c>
      <c r="J1432" s="20" t="s">
        <v>143</v>
      </c>
      <c r="Q1432" s="20">
        <v>13867.0</v>
      </c>
      <c r="R1432" s="20" t="s">
        <v>4967</v>
      </c>
      <c r="S1432" s="20" t="s">
        <v>4966</v>
      </c>
      <c r="T1432" s="20" t="s">
        <v>138</v>
      </c>
    </row>
    <row r="1433" ht="14.25" customHeight="1">
      <c r="A1433" s="20" t="s">
        <v>4968</v>
      </c>
      <c r="B1433" s="20" t="s">
        <v>4969</v>
      </c>
      <c r="C1433" s="20" t="s">
        <v>4970</v>
      </c>
      <c r="F1433" s="20" t="s">
        <v>150</v>
      </c>
      <c r="G1433" s="20" t="s">
        <v>150</v>
      </c>
      <c r="I1433" s="20" t="s">
        <v>151</v>
      </c>
      <c r="J1433" s="20" t="s">
        <v>136</v>
      </c>
      <c r="Q1433" s="20">
        <v>6316.0</v>
      </c>
      <c r="R1433" s="20" t="s">
        <v>4971</v>
      </c>
      <c r="S1433" s="20" t="s">
        <v>4969</v>
      </c>
      <c r="T1433" s="20" t="s">
        <v>138</v>
      </c>
    </row>
    <row r="1434" ht="14.25" customHeight="1">
      <c r="A1434" s="20" t="s">
        <v>4972</v>
      </c>
      <c r="B1434" s="20" t="s">
        <v>4973</v>
      </c>
      <c r="C1434" s="20" t="s">
        <v>289</v>
      </c>
      <c r="F1434" s="20" t="s">
        <v>150</v>
      </c>
      <c r="G1434" s="20" t="s">
        <v>150</v>
      </c>
      <c r="I1434" s="20" t="s">
        <v>151</v>
      </c>
      <c r="J1434" s="20" t="s">
        <v>143</v>
      </c>
      <c r="Q1434" s="20">
        <v>13678.0</v>
      </c>
      <c r="R1434" s="20" t="s">
        <v>4974</v>
      </c>
      <c r="S1434" s="20" t="s">
        <v>4973</v>
      </c>
      <c r="T1434" s="20" t="s">
        <v>138</v>
      </c>
    </row>
    <row r="1435" ht="14.25" customHeight="1">
      <c r="A1435" s="20" t="s">
        <v>4975</v>
      </c>
      <c r="B1435" s="20" t="s">
        <v>4976</v>
      </c>
      <c r="C1435" s="20" t="s">
        <v>174</v>
      </c>
      <c r="F1435" s="20" t="s">
        <v>150</v>
      </c>
      <c r="G1435" s="20" t="s">
        <v>150</v>
      </c>
      <c r="I1435" s="20" t="s">
        <v>151</v>
      </c>
      <c r="J1435" s="20" t="s">
        <v>143</v>
      </c>
      <c r="Q1435" s="20">
        <v>15534.0</v>
      </c>
      <c r="R1435" s="20" t="s">
        <v>4977</v>
      </c>
      <c r="S1435" s="20" t="s">
        <v>4976</v>
      </c>
      <c r="T1435" s="20" t="s">
        <v>138</v>
      </c>
    </row>
    <row r="1436" ht="14.25" customHeight="1">
      <c r="A1436" s="20" t="s">
        <v>4978</v>
      </c>
      <c r="B1436" s="20" t="s">
        <v>4979</v>
      </c>
      <c r="C1436" s="20" t="s">
        <v>786</v>
      </c>
      <c r="F1436" s="20" t="s">
        <v>16</v>
      </c>
      <c r="G1436" s="20" t="s">
        <v>202</v>
      </c>
      <c r="I1436" s="20" t="s">
        <v>203</v>
      </c>
      <c r="J1436" s="20" t="s">
        <v>143</v>
      </c>
      <c r="Q1436" s="20">
        <v>1662.0</v>
      </c>
      <c r="R1436" s="20" t="s">
        <v>4980</v>
      </c>
      <c r="S1436" s="20" t="s">
        <v>4979</v>
      </c>
      <c r="T1436" s="20" t="s">
        <v>138</v>
      </c>
    </row>
    <row r="1437" ht="14.25" customHeight="1">
      <c r="A1437" s="20" t="s">
        <v>4981</v>
      </c>
      <c r="B1437" s="20" t="s">
        <v>4982</v>
      </c>
      <c r="C1437" s="20" t="s">
        <v>4983</v>
      </c>
      <c r="F1437" s="20" t="s">
        <v>15</v>
      </c>
      <c r="G1437" s="20" t="s">
        <v>142</v>
      </c>
      <c r="I1437" s="20" t="s">
        <v>105</v>
      </c>
      <c r="J1437" s="20" t="s">
        <v>143</v>
      </c>
      <c r="Q1437" s="20">
        <v>8407.0</v>
      </c>
      <c r="R1437" s="20" t="s">
        <v>4984</v>
      </c>
      <c r="S1437" s="20" t="s">
        <v>4982</v>
      </c>
      <c r="T1437" s="20" t="s">
        <v>138</v>
      </c>
      <c r="V1437" s="20" t="s">
        <v>260</v>
      </c>
      <c r="W1437" s="20" t="s">
        <v>261</v>
      </c>
    </row>
    <row r="1438" ht="14.25" customHeight="1">
      <c r="A1438" s="20" t="s">
        <v>4985</v>
      </c>
      <c r="B1438" s="20" t="s">
        <v>4986</v>
      </c>
      <c r="C1438" s="20" t="s">
        <v>193</v>
      </c>
      <c r="F1438" s="20" t="s">
        <v>150</v>
      </c>
      <c r="G1438" s="20" t="s">
        <v>150</v>
      </c>
      <c r="I1438" s="20" t="s">
        <v>151</v>
      </c>
      <c r="J1438" s="20" t="s">
        <v>143</v>
      </c>
      <c r="Q1438" s="20">
        <v>4805.0</v>
      </c>
      <c r="R1438" s="20" t="s">
        <v>4987</v>
      </c>
      <c r="S1438" s="20" t="s">
        <v>4986</v>
      </c>
      <c r="T1438" s="20" t="s">
        <v>138</v>
      </c>
    </row>
    <row r="1439" ht="14.25" customHeight="1">
      <c r="A1439" s="20" t="s">
        <v>4988</v>
      </c>
      <c r="B1439" s="20" t="s">
        <v>4989</v>
      </c>
      <c r="C1439" s="20" t="s">
        <v>2232</v>
      </c>
      <c r="F1439" s="20" t="s">
        <v>327</v>
      </c>
      <c r="G1439" s="20" t="s">
        <v>385</v>
      </c>
      <c r="I1439" s="20" t="s">
        <v>510</v>
      </c>
      <c r="J1439" s="20" t="s">
        <v>143</v>
      </c>
      <c r="K1439" s="20" t="s">
        <v>213</v>
      </c>
      <c r="Q1439" s="20">
        <v>9062.0</v>
      </c>
      <c r="R1439" s="20" t="s">
        <v>4990</v>
      </c>
      <c r="S1439" s="20" t="s">
        <v>4989</v>
      </c>
      <c r="T1439" s="20" t="s">
        <v>138</v>
      </c>
      <c r="V1439" s="20" t="s">
        <v>260</v>
      </c>
      <c r="W1439" s="20" t="s">
        <v>146</v>
      </c>
    </row>
    <row r="1440" ht="14.25" customHeight="1">
      <c r="A1440" s="20" t="s">
        <v>4991</v>
      </c>
      <c r="B1440" s="20" t="s">
        <v>4992</v>
      </c>
      <c r="C1440" s="20" t="s">
        <v>193</v>
      </c>
      <c r="F1440" s="20" t="s">
        <v>150</v>
      </c>
      <c r="G1440" s="20" t="s">
        <v>150</v>
      </c>
      <c r="I1440" s="20" t="s">
        <v>151</v>
      </c>
      <c r="J1440" s="20" t="s">
        <v>143</v>
      </c>
      <c r="Q1440" s="20">
        <v>15405.0</v>
      </c>
      <c r="R1440" s="20" t="s">
        <v>4993</v>
      </c>
      <c r="S1440" s="20" t="s">
        <v>4992</v>
      </c>
      <c r="T1440" s="20" t="s">
        <v>138</v>
      </c>
    </row>
    <row r="1441" ht="14.25" customHeight="1">
      <c r="A1441" s="20" t="s">
        <v>4994</v>
      </c>
      <c r="B1441" s="20" t="s">
        <v>4995</v>
      </c>
      <c r="C1441" s="20" t="s">
        <v>174</v>
      </c>
      <c r="F1441" s="20" t="s">
        <v>150</v>
      </c>
      <c r="G1441" s="20" t="s">
        <v>150</v>
      </c>
      <c r="I1441" s="20" t="s">
        <v>151</v>
      </c>
      <c r="J1441" s="20" t="s">
        <v>143</v>
      </c>
      <c r="Q1441" s="20">
        <v>14029.0</v>
      </c>
      <c r="R1441" s="20" t="s">
        <v>4996</v>
      </c>
      <c r="S1441" s="20" t="s">
        <v>4995</v>
      </c>
      <c r="T1441" s="20" t="s">
        <v>138</v>
      </c>
    </row>
    <row r="1442" ht="14.25" customHeight="1">
      <c r="A1442" s="20" t="s">
        <v>4997</v>
      </c>
      <c r="B1442" s="20" t="s">
        <v>4998</v>
      </c>
      <c r="C1442" s="20" t="s">
        <v>928</v>
      </c>
      <c r="F1442" s="20" t="s">
        <v>327</v>
      </c>
      <c r="G1442" s="20" t="s">
        <v>328</v>
      </c>
      <c r="I1442" s="20" t="s">
        <v>329</v>
      </c>
      <c r="J1442" s="20" t="s">
        <v>186</v>
      </c>
      <c r="Q1442" s="20">
        <v>5245.0</v>
      </c>
      <c r="R1442" s="20" t="s">
        <v>4999</v>
      </c>
      <c r="S1442" s="20" t="s">
        <v>4998</v>
      </c>
      <c r="T1442" s="20" t="s">
        <v>138</v>
      </c>
    </row>
    <row r="1443" ht="14.25" customHeight="1">
      <c r="A1443" s="20" t="s">
        <v>5000</v>
      </c>
      <c r="B1443" s="20" t="s">
        <v>5001</v>
      </c>
      <c r="C1443" s="20" t="s">
        <v>5002</v>
      </c>
      <c r="F1443" s="20" t="s">
        <v>150</v>
      </c>
      <c r="G1443" s="20" t="s">
        <v>150</v>
      </c>
      <c r="I1443" s="20" t="s">
        <v>151</v>
      </c>
      <c r="J1443" s="20" t="s">
        <v>186</v>
      </c>
      <c r="Q1443" s="20">
        <v>4129.0</v>
      </c>
      <c r="R1443" s="20" t="s">
        <v>5003</v>
      </c>
      <c r="S1443" s="20" t="s">
        <v>5001</v>
      </c>
      <c r="T1443" s="20" t="s">
        <v>138</v>
      </c>
    </row>
    <row r="1444" ht="14.25" customHeight="1">
      <c r="A1444" s="20" t="s">
        <v>5004</v>
      </c>
      <c r="B1444" s="20" t="s">
        <v>5005</v>
      </c>
      <c r="C1444" s="20" t="s">
        <v>5006</v>
      </c>
      <c r="F1444" s="20" t="s">
        <v>327</v>
      </c>
      <c r="G1444" s="20" t="s">
        <v>395</v>
      </c>
      <c r="I1444" s="20" t="s">
        <v>1104</v>
      </c>
      <c r="J1444" s="20" t="s">
        <v>186</v>
      </c>
      <c r="K1444" s="20" t="s">
        <v>213</v>
      </c>
      <c r="L1444" s="20" t="s">
        <v>1104</v>
      </c>
      <c r="Q1444" s="20">
        <v>4611.0</v>
      </c>
      <c r="R1444" s="20" t="s">
        <v>5007</v>
      </c>
      <c r="S1444" s="20" t="s">
        <v>5005</v>
      </c>
      <c r="T1444" s="20" t="s">
        <v>138</v>
      </c>
      <c r="V1444" s="20" t="s">
        <v>260</v>
      </c>
      <c r="W1444" s="20" t="s">
        <v>261</v>
      </c>
    </row>
    <row r="1445" ht="14.25" customHeight="1">
      <c r="A1445" s="20" t="s">
        <v>5008</v>
      </c>
      <c r="B1445" s="20" t="s">
        <v>5009</v>
      </c>
      <c r="C1445" s="20" t="s">
        <v>5010</v>
      </c>
      <c r="F1445" s="20" t="s">
        <v>150</v>
      </c>
      <c r="G1445" s="20" t="s">
        <v>150</v>
      </c>
      <c r="I1445" s="20" t="s">
        <v>151</v>
      </c>
      <c r="J1445" s="20" t="s">
        <v>186</v>
      </c>
      <c r="K1445" s="20" t="s">
        <v>187</v>
      </c>
      <c r="Q1445" s="20">
        <v>1794.0</v>
      </c>
      <c r="R1445" s="20" t="s">
        <v>5011</v>
      </c>
      <c r="S1445" s="20" t="s">
        <v>5009</v>
      </c>
      <c r="T1445" s="20" t="s">
        <v>138</v>
      </c>
    </row>
    <row r="1446" ht="14.25" customHeight="1">
      <c r="A1446" s="20" t="s">
        <v>5012</v>
      </c>
      <c r="B1446" s="20" t="s">
        <v>5013</v>
      </c>
      <c r="C1446" s="20" t="s">
        <v>149</v>
      </c>
      <c r="F1446" s="20" t="s">
        <v>150</v>
      </c>
      <c r="G1446" s="20" t="s">
        <v>150</v>
      </c>
      <c r="I1446" s="20" t="s">
        <v>151</v>
      </c>
      <c r="J1446" s="20" t="s">
        <v>143</v>
      </c>
      <c r="Q1446" s="20">
        <v>15726.0</v>
      </c>
      <c r="R1446" s="20" t="s">
        <v>5014</v>
      </c>
      <c r="S1446" s="20" t="s">
        <v>5013</v>
      </c>
      <c r="T1446" s="20" t="s">
        <v>138</v>
      </c>
    </row>
    <row r="1447" ht="14.25" customHeight="1">
      <c r="A1447" s="20" t="s">
        <v>5015</v>
      </c>
      <c r="B1447" s="20" t="s">
        <v>5016</v>
      </c>
      <c r="C1447" s="20" t="s">
        <v>394</v>
      </c>
      <c r="F1447" s="20" t="s">
        <v>327</v>
      </c>
      <c r="G1447" s="20" t="s">
        <v>395</v>
      </c>
      <c r="I1447" s="20" t="s">
        <v>396</v>
      </c>
      <c r="J1447" s="20" t="s">
        <v>143</v>
      </c>
      <c r="K1447" s="20" t="s">
        <v>167</v>
      </c>
      <c r="Q1447" s="20">
        <v>11218.0</v>
      </c>
      <c r="R1447" s="20" t="s">
        <v>5017</v>
      </c>
      <c r="S1447" s="20" t="s">
        <v>5016</v>
      </c>
      <c r="T1447" s="20" t="s">
        <v>138</v>
      </c>
    </row>
    <row r="1448" ht="14.25" customHeight="1">
      <c r="A1448" s="20" t="s">
        <v>5018</v>
      </c>
      <c r="B1448" s="20" t="s">
        <v>5019</v>
      </c>
      <c r="C1448" s="20" t="s">
        <v>4036</v>
      </c>
      <c r="F1448" s="20" t="s">
        <v>327</v>
      </c>
      <c r="G1448" s="20" t="s">
        <v>395</v>
      </c>
      <c r="I1448" s="20" t="s">
        <v>3384</v>
      </c>
      <c r="J1448" s="20" t="s">
        <v>136</v>
      </c>
      <c r="Q1448" s="20">
        <v>3826.0</v>
      </c>
      <c r="R1448" s="20" t="s">
        <v>5020</v>
      </c>
      <c r="S1448" s="20" t="s">
        <v>5019</v>
      </c>
      <c r="T1448" s="20" t="s">
        <v>138</v>
      </c>
    </row>
    <row r="1449" ht="14.25" customHeight="1">
      <c r="A1449" s="20" t="s">
        <v>5021</v>
      </c>
      <c r="B1449" s="20" t="s">
        <v>5022</v>
      </c>
      <c r="C1449" s="20" t="s">
        <v>491</v>
      </c>
      <c r="F1449" s="20" t="s">
        <v>327</v>
      </c>
      <c r="G1449" s="20" t="s">
        <v>385</v>
      </c>
      <c r="I1449" s="20" t="s">
        <v>492</v>
      </c>
      <c r="J1449" s="20" t="s">
        <v>143</v>
      </c>
      <c r="Q1449" s="20">
        <v>12120.0</v>
      </c>
      <c r="R1449" s="20" t="s">
        <v>5023</v>
      </c>
      <c r="S1449" s="20" t="s">
        <v>5022</v>
      </c>
      <c r="T1449" s="20" t="s">
        <v>138</v>
      </c>
    </row>
    <row r="1450" ht="14.25" customHeight="1">
      <c r="A1450" s="20" t="s">
        <v>5024</v>
      </c>
      <c r="B1450" s="20" t="s">
        <v>5025</v>
      </c>
      <c r="C1450" s="20" t="s">
        <v>874</v>
      </c>
      <c r="F1450" s="20" t="s">
        <v>327</v>
      </c>
      <c r="G1450" s="20" t="s">
        <v>385</v>
      </c>
      <c r="I1450" s="20" t="s">
        <v>875</v>
      </c>
      <c r="J1450" s="20" t="s">
        <v>143</v>
      </c>
      <c r="K1450" s="20" t="s">
        <v>213</v>
      </c>
      <c r="Q1450" s="20">
        <v>8430.0</v>
      </c>
      <c r="R1450" s="20" t="s">
        <v>5026</v>
      </c>
      <c r="S1450" s="20" t="s">
        <v>5025</v>
      </c>
      <c r="T1450" s="20" t="s">
        <v>138</v>
      </c>
      <c r="V1450" s="20" t="s">
        <v>189</v>
      </c>
      <c r="W1450" s="20" t="s">
        <v>146</v>
      </c>
    </row>
    <row r="1451" ht="14.25" customHeight="1">
      <c r="A1451" s="20" t="s">
        <v>5027</v>
      </c>
      <c r="B1451" s="20" t="s">
        <v>5028</v>
      </c>
      <c r="C1451" s="20" t="s">
        <v>289</v>
      </c>
      <c r="F1451" s="20" t="s">
        <v>150</v>
      </c>
      <c r="G1451" s="20" t="s">
        <v>150</v>
      </c>
      <c r="I1451" s="20" t="s">
        <v>151</v>
      </c>
      <c r="J1451" s="20" t="s">
        <v>143</v>
      </c>
      <c r="K1451" s="20" t="s">
        <v>167</v>
      </c>
      <c r="Q1451" s="20">
        <v>16281.0</v>
      </c>
      <c r="R1451" s="20" t="s">
        <v>5029</v>
      </c>
      <c r="S1451" s="20" t="s">
        <v>5028</v>
      </c>
      <c r="T1451" s="20" t="s">
        <v>138</v>
      </c>
    </row>
    <row r="1452" ht="14.25" customHeight="1">
      <c r="A1452" s="20" t="s">
        <v>5030</v>
      </c>
      <c r="B1452" s="20" t="s">
        <v>5031</v>
      </c>
      <c r="C1452" s="20" t="s">
        <v>159</v>
      </c>
      <c r="F1452" s="20" t="s">
        <v>150</v>
      </c>
      <c r="G1452" s="20" t="s">
        <v>150</v>
      </c>
      <c r="I1452" s="20" t="s">
        <v>151</v>
      </c>
      <c r="J1452" s="20" t="s">
        <v>143</v>
      </c>
      <c r="K1452" s="20" t="s">
        <v>167</v>
      </c>
      <c r="Q1452" s="20">
        <v>16001.0</v>
      </c>
      <c r="R1452" s="20" t="s">
        <v>5032</v>
      </c>
      <c r="S1452" s="20" t="s">
        <v>5031</v>
      </c>
      <c r="T1452" s="20" t="s">
        <v>138</v>
      </c>
    </row>
    <row r="1453" ht="14.25" customHeight="1">
      <c r="A1453" s="20" t="s">
        <v>5033</v>
      </c>
      <c r="B1453" s="20" t="s">
        <v>5034</v>
      </c>
      <c r="C1453" s="20" t="s">
        <v>818</v>
      </c>
      <c r="F1453" s="20" t="s">
        <v>17</v>
      </c>
      <c r="G1453" s="20" t="s">
        <v>17</v>
      </c>
      <c r="I1453" s="20" t="s">
        <v>88</v>
      </c>
      <c r="J1453" s="20" t="s">
        <v>143</v>
      </c>
      <c r="Q1453" s="20">
        <v>11954.0</v>
      </c>
      <c r="R1453" s="20" t="s">
        <v>5035</v>
      </c>
      <c r="S1453" s="20" t="s">
        <v>5034</v>
      </c>
      <c r="T1453" s="20" t="s">
        <v>138</v>
      </c>
    </row>
    <row r="1454" ht="14.25" customHeight="1">
      <c r="A1454" s="20" t="s">
        <v>5036</v>
      </c>
      <c r="B1454" s="20" t="s">
        <v>5037</v>
      </c>
      <c r="C1454" s="20" t="s">
        <v>5038</v>
      </c>
      <c r="F1454" s="20" t="s">
        <v>218</v>
      </c>
      <c r="G1454" s="20" t="s">
        <v>219</v>
      </c>
      <c r="I1454" s="20" t="s">
        <v>5039</v>
      </c>
      <c r="J1454" s="20" t="s">
        <v>186</v>
      </c>
      <c r="Q1454" s="20">
        <v>16103.0</v>
      </c>
      <c r="R1454" s="20" t="s">
        <v>5040</v>
      </c>
      <c r="S1454" s="20" t="s">
        <v>5037</v>
      </c>
      <c r="T1454" s="20" t="s">
        <v>138</v>
      </c>
      <c r="W1454" s="20" t="s">
        <v>146</v>
      </c>
    </row>
    <row r="1455" ht="14.25" customHeight="1">
      <c r="A1455" s="20" t="s">
        <v>5041</v>
      </c>
      <c r="B1455" s="20" t="s">
        <v>5042</v>
      </c>
      <c r="C1455" s="20" t="s">
        <v>5043</v>
      </c>
      <c r="F1455" s="20" t="s">
        <v>327</v>
      </c>
      <c r="G1455" s="20" t="s">
        <v>385</v>
      </c>
      <c r="H1455" s="20">
        <v>17594.0</v>
      </c>
      <c r="I1455" s="20" t="s">
        <v>598</v>
      </c>
      <c r="J1455" s="20" t="s">
        <v>143</v>
      </c>
      <c r="P1455" s="20" t="s">
        <v>5042</v>
      </c>
      <c r="Q1455" s="20">
        <v>17594.0</v>
      </c>
      <c r="R1455" s="20" t="s">
        <v>5044</v>
      </c>
      <c r="S1455" s="20" t="s">
        <v>5042</v>
      </c>
      <c r="T1455" s="20" t="s">
        <v>138</v>
      </c>
      <c r="W1455" s="20" t="s">
        <v>146</v>
      </c>
      <c r="X1455" s="20" t="s">
        <v>5045</v>
      </c>
    </row>
    <row r="1456" ht="14.25" customHeight="1">
      <c r="A1456" s="20" t="s">
        <v>5046</v>
      </c>
      <c r="B1456" s="20" t="s">
        <v>5047</v>
      </c>
      <c r="C1456" s="20" t="s">
        <v>2221</v>
      </c>
      <c r="F1456" s="20" t="s">
        <v>15</v>
      </c>
      <c r="G1456" s="20" t="s">
        <v>142</v>
      </c>
      <c r="I1456" s="20" t="s">
        <v>105</v>
      </c>
      <c r="J1456" s="20" t="s">
        <v>186</v>
      </c>
      <c r="Q1456" s="20">
        <v>12065.0</v>
      </c>
      <c r="R1456" s="20" t="s">
        <v>5048</v>
      </c>
      <c r="S1456" s="20" t="s">
        <v>5047</v>
      </c>
      <c r="T1456" s="20" t="s">
        <v>138</v>
      </c>
    </row>
    <row r="1457" ht="14.25" customHeight="1">
      <c r="A1457" s="20" t="s">
        <v>5049</v>
      </c>
      <c r="B1457" s="20" t="s">
        <v>5050</v>
      </c>
      <c r="C1457" s="20" t="s">
        <v>1305</v>
      </c>
      <c r="F1457" s="20" t="s">
        <v>16</v>
      </c>
      <c r="G1457" s="20" t="s">
        <v>202</v>
      </c>
      <c r="I1457" s="20" t="s">
        <v>1306</v>
      </c>
      <c r="J1457" s="20" t="s">
        <v>136</v>
      </c>
      <c r="Q1457" s="20">
        <v>16588.0</v>
      </c>
      <c r="R1457" s="20" t="s">
        <v>5051</v>
      </c>
      <c r="S1457" s="20" t="s">
        <v>5050</v>
      </c>
      <c r="T1457" s="20" t="s">
        <v>138</v>
      </c>
      <c r="W1457" s="20" t="s">
        <v>136</v>
      </c>
    </row>
    <row r="1458" ht="14.25" customHeight="1">
      <c r="A1458" s="20" t="s">
        <v>5052</v>
      </c>
      <c r="B1458" s="20" t="s">
        <v>5053</v>
      </c>
      <c r="C1458" s="20" t="s">
        <v>5054</v>
      </c>
      <c r="F1458" s="20" t="s">
        <v>15</v>
      </c>
      <c r="G1458" s="20" t="s">
        <v>135</v>
      </c>
      <c r="H1458" s="20">
        <v>16856.0</v>
      </c>
      <c r="I1458" s="20" t="s">
        <v>94</v>
      </c>
      <c r="J1458" s="20" t="s">
        <v>143</v>
      </c>
      <c r="Q1458" s="20">
        <v>16856.0</v>
      </c>
      <c r="R1458" s="20" t="s">
        <v>5055</v>
      </c>
      <c r="S1458" s="20" t="s">
        <v>5056</v>
      </c>
      <c r="T1458" s="20" t="s">
        <v>138</v>
      </c>
      <c r="W1458" s="20" t="s">
        <v>146</v>
      </c>
    </row>
    <row r="1459" ht="14.25" customHeight="1">
      <c r="A1459" s="20" t="s">
        <v>5057</v>
      </c>
      <c r="B1459" s="20" t="s">
        <v>5058</v>
      </c>
      <c r="C1459" s="20" t="s">
        <v>1305</v>
      </c>
      <c r="F1459" s="20" t="s">
        <v>16</v>
      </c>
      <c r="G1459" s="20" t="s">
        <v>202</v>
      </c>
      <c r="I1459" s="20" t="s">
        <v>1306</v>
      </c>
      <c r="J1459" s="20" t="s">
        <v>186</v>
      </c>
      <c r="Q1459" s="20">
        <v>11831.0</v>
      </c>
      <c r="R1459" s="20" t="s">
        <v>5059</v>
      </c>
      <c r="S1459" s="20" t="s">
        <v>5058</v>
      </c>
      <c r="T1459" s="20" t="s">
        <v>138</v>
      </c>
      <c r="W1459" s="20" t="s">
        <v>146</v>
      </c>
    </row>
    <row r="1460" ht="14.25" customHeight="1">
      <c r="A1460" s="20" t="s">
        <v>5060</v>
      </c>
      <c r="B1460" s="20" t="s">
        <v>5061</v>
      </c>
      <c r="C1460" s="20" t="s">
        <v>5062</v>
      </c>
      <c r="F1460" s="20" t="s">
        <v>17</v>
      </c>
      <c r="G1460" s="20" t="s">
        <v>17</v>
      </c>
      <c r="I1460" s="20" t="s">
        <v>88</v>
      </c>
      <c r="J1460" s="20" t="s">
        <v>143</v>
      </c>
      <c r="K1460" s="20" t="s">
        <v>187</v>
      </c>
      <c r="Q1460" s="20">
        <v>1381.0</v>
      </c>
      <c r="R1460" s="20" t="s">
        <v>5063</v>
      </c>
      <c r="S1460" s="20" t="s">
        <v>5061</v>
      </c>
      <c r="T1460" s="20" t="s">
        <v>138</v>
      </c>
      <c r="V1460" s="20" t="s">
        <v>189</v>
      </c>
      <c r="W1460" s="20" t="s">
        <v>261</v>
      </c>
    </row>
    <row r="1461" ht="14.25" customHeight="1">
      <c r="A1461" s="20" t="s">
        <v>5064</v>
      </c>
      <c r="B1461" s="20" t="s">
        <v>5065</v>
      </c>
      <c r="C1461" s="20" t="s">
        <v>637</v>
      </c>
      <c r="F1461" s="20" t="s">
        <v>16</v>
      </c>
      <c r="G1461" s="20" t="s">
        <v>638</v>
      </c>
      <c r="I1461" s="20" t="s">
        <v>639</v>
      </c>
      <c r="J1461" s="20" t="s">
        <v>143</v>
      </c>
      <c r="Q1461" s="20">
        <v>4084.0</v>
      </c>
      <c r="R1461" s="20" t="s">
        <v>5066</v>
      </c>
      <c r="S1461" s="20" t="s">
        <v>5065</v>
      </c>
      <c r="T1461" s="20" t="s">
        <v>138</v>
      </c>
    </row>
    <row r="1462" ht="14.25" customHeight="1">
      <c r="A1462" s="20" t="s">
        <v>5067</v>
      </c>
      <c r="B1462" s="20" t="s">
        <v>5068</v>
      </c>
      <c r="C1462" s="20" t="s">
        <v>235</v>
      </c>
      <c r="F1462" s="20" t="s">
        <v>15</v>
      </c>
      <c r="G1462" s="20" t="s">
        <v>142</v>
      </c>
      <c r="I1462" s="20" t="s">
        <v>105</v>
      </c>
      <c r="J1462" s="20" t="s">
        <v>143</v>
      </c>
      <c r="Q1462" s="20">
        <v>8550.0</v>
      </c>
      <c r="R1462" s="20" t="s">
        <v>5069</v>
      </c>
      <c r="S1462" s="20" t="s">
        <v>5068</v>
      </c>
      <c r="T1462" s="20" t="s">
        <v>138</v>
      </c>
    </row>
    <row r="1463" ht="14.25" customHeight="1">
      <c r="A1463" s="20" t="s">
        <v>5070</v>
      </c>
      <c r="B1463" s="20" t="s">
        <v>5071</v>
      </c>
      <c r="C1463" s="20" t="s">
        <v>1343</v>
      </c>
      <c r="F1463" s="20" t="s">
        <v>150</v>
      </c>
      <c r="G1463" s="20" t="s">
        <v>150</v>
      </c>
      <c r="I1463" s="20" t="s">
        <v>151</v>
      </c>
      <c r="J1463" s="20" t="s">
        <v>186</v>
      </c>
      <c r="Q1463" s="20">
        <v>11917.0</v>
      </c>
      <c r="R1463" s="20" t="s">
        <v>5072</v>
      </c>
      <c r="S1463" s="20" t="s">
        <v>5071</v>
      </c>
      <c r="T1463" s="20" t="s">
        <v>138</v>
      </c>
    </row>
    <row r="1464" ht="14.25" customHeight="1">
      <c r="A1464" s="20" t="s">
        <v>5073</v>
      </c>
      <c r="B1464" s="20" t="s">
        <v>5074</v>
      </c>
      <c r="C1464" s="20" t="s">
        <v>1343</v>
      </c>
      <c r="F1464" s="20" t="s">
        <v>150</v>
      </c>
      <c r="G1464" s="20" t="s">
        <v>150</v>
      </c>
      <c r="I1464" s="20" t="s">
        <v>151</v>
      </c>
      <c r="J1464" s="20" t="s">
        <v>186</v>
      </c>
      <c r="Q1464" s="20">
        <v>15230.0</v>
      </c>
      <c r="R1464" s="20" t="s">
        <v>5075</v>
      </c>
      <c r="S1464" s="20" t="s">
        <v>5074</v>
      </c>
      <c r="T1464" s="20" t="s">
        <v>138</v>
      </c>
    </row>
    <row r="1465" ht="14.25" customHeight="1">
      <c r="A1465" s="20" t="s">
        <v>5076</v>
      </c>
      <c r="B1465" s="20" t="s">
        <v>5077</v>
      </c>
      <c r="C1465" s="20" t="s">
        <v>4221</v>
      </c>
      <c r="F1465" s="20" t="s">
        <v>16</v>
      </c>
      <c r="G1465" s="20" t="s">
        <v>211</v>
      </c>
      <c r="I1465" s="20" t="s">
        <v>253</v>
      </c>
      <c r="J1465" s="20" t="s">
        <v>143</v>
      </c>
      <c r="Q1465" s="20">
        <v>16268.0</v>
      </c>
      <c r="R1465" s="20" t="s">
        <v>5078</v>
      </c>
      <c r="S1465" s="20" t="s">
        <v>5077</v>
      </c>
      <c r="T1465" s="20" t="s">
        <v>138</v>
      </c>
    </row>
    <row r="1466" ht="14.25" customHeight="1">
      <c r="A1466" s="20" t="s">
        <v>5079</v>
      </c>
      <c r="B1466" s="20" t="s">
        <v>5080</v>
      </c>
      <c r="C1466" s="20" t="s">
        <v>874</v>
      </c>
      <c r="F1466" s="20" t="s">
        <v>327</v>
      </c>
      <c r="G1466" s="20" t="s">
        <v>385</v>
      </c>
      <c r="I1466" s="20" t="s">
        <v>3626</v>
      </c>
      <c r="J1466" s="20" t="s">
        <v>136</v>
      </c>
      <c r="Q1466" s="20">
        <v>15063.0</v>
      </c>
      <c r="R1466" s="20" t="s">
        <v>5081</v>
      </c>
      <c r="S1466" s="20" t="s">
        <v>5080</v>
      </c>
      <c r="T1466" s="20" t="s">
        <v>138</v>
      </c>
      <c r="W1466" s="20" t="s">
        <v>136</v>
      </c>
    </row>
    <row r="1467" ht="14.25" customHeight="1">
      <c r="A1467" s="20" t="s">
        <v>5082</v>
      </c>
      <c r="B1467" s="20" t="s">
        <v>5083</v>
      </c>
      <c r="C1467" s="20" t="s">
        <v>694</v>
      </c>
      <c r="F1467" s="20" t="s">
        <v>16</v>
      </c>
      <c r="G1467" s="20" t="s">
        <v>202</v>
      </c>
      <c r="I1467" s="20" t="s">
        <v>87</v>
      </c>
      <c r="J1467" s="20" t="s">
        <v>143</v>
      </c>
      <c r="K1467" s="20" t="s">
        <v>167</v>
      </c>
      <c r="Q1467" s="20">
        <v>718.0</v>
      </c>
      <c r="R1467" s="20" t="s">
        <v>5084</v>
      </c>
      <c r="S1467" s="20" t="s">
        <v>5083</v>
      </c>
      <c r="T1467" s="20" t="s">
        <v>138</v>
      </c>
    </row>
    <row r="1468" ht="14.25" customHeight="1">
      <c r="A1468" s="20" t="s">
        <v>5085</v>
      </c>
      <c r="B1468" s="20" t="s">
        <v>5086</v>
      </c>
      <c r="C1468" s="20" t="s">
        <v>235</v>
      </c>
      <c r="F1468" s="20" t="s">
        <v>15</v>
      </c>
      <c r="G1468" s="20" t="s">
        <v>142</v>
      </c>
      <c r="I1468" s="20" t="s">
        <v>105</v>
      </c>
      <c r="J1468" s="20" t="s">
        <v>143</v>
      </c>
      <c r="Q1468" s="20">
        <v>15034.0</v>
      </c>
      <c r="R1468" s="20" t="s">
        <v>5087</v>
      </c>
      <c r="S1468" s="20" t="s">
        <v>5086</v>
      </c>
      <c r="T1468" s="20" t="s">
        <v>138</v>
      </c>
    </row>
    <row r="1469" ht="14.25" customHeight="1">
      <c r="A1469" s="20" t="s">
        <v>5088</v>
      </c>
      <c r="B1469" s="20" t="s">
        <v>5089</v>
      </c>
      <c r="C1469" s="20" t="s">
        <v>289</v>
      </c>
      <c r="F1469" s="20" t="s">
        <v>150</v>
      </c>
      <c r="G1469" s="20" t="s">
        <v>150</v>
      </c>
      <c r="I1469" s="20" t="s">
        <v>151</v>
      </c>
      <c r="J1469" s="20" t="s">
        <v>143</v>
      </c>
      <c r="Q1469" s="20">
        <v>13767.0</v>
      </c>
      <c r="R1469" s="20" t="s">
        <v>5090</v>
      </c>
      <c r="S1469" s="20" t="s">
        <v>5089</v>
      </c>
      <c r="T1469" s="20" t="s">
        <v>138</v>
      </c>
    </row>
    <row r="1470" ht="14.25" customHeight="1">
      <c r="A1470" s="20" t="s">
        <v>5091</v>
      </c>
      <c r="B1470" s="20" t="s">
        <v>5092</v>
      </c>
      <c r="C1470" s="20" t="s">
        <v>174</v>
      </c>
      <c r="F1470" s="20" t="s">
        <v>150</v>
      </c>
      <c r="G1470" s="20" t="s">
        <v>150</v>
      </c>
      <c r="I1470" s="20" t="s">
        <v>151</v>
      </c>
      <c r="J1470" s="20" t="s">
        <v>143</v>
      </c>
      <c r="Q1470" s="20">
        <v>2428.0</v>
      </c>
      <c r="R1470" s="20" t="s">
        <v>5093</v>
      </c>
      <c r="S1470" s="20" t="s">
        <v>5092</v>
      </c>
      <c r="T1470" s="20" t="s">
        <v>138</v>
      </c>
    </row>
    <row r="1471" ht="14.25" customHeight="1">
      <c r="A1471" s="20" t="s">
        <v>5094</v>
      </c>
      <c r="B1471" s="20" t="s">
        <v>5095</v>
      </c>
      <c r="C1471" s="20" t="s">
        <v>235</v>
      </c>
      <c r="F1471" s="20" t="s">
        <v>15</v>
      </c>
      <c r="G1471" s="20" t="s">
        <v>142</v>
      </c>
      <c r="I1471" s="20" t="s">
        <v>105</v>
      </c>
      <c r="J1471" s="20" t="s">
        <v>143</v>
      </c>
      <c r="Q1471" s="20">
        <v>9282.0</v>
      </c>
      <c r="R1471" s="20" t="s">
        <v>5096</v>
      </c>
      <c r="S1471" s="20" t="s">
        <v>5095</v>
      </c>
      <c r="T1471" s="20" t="s">
        <v>138</v>
      </c>
    </row>
    <row r="1472" ht="14.25" customHeight="1">
      <c r="A1472" s="20" t="s">
        <v>5097</v>
      </c>
      <c r="B1472" s="20" t="s">
        <v>5098</v>
      </c>
      <c r="C1472" s="20" t="s">
        <v>1200</v>
      </c>
      <c r="F1472" s="20" t="s">
        <v>327</v>
      </c>
      <c r="G1472" s="20" t="s">
        <v>385</v>
      </c>
      <c r="I1472" s="20" t="s">
        <v>1201</v>
      </c>
      <c r="J1472" s="20" t="s">
        <v>143</v>
      </c>
      <c r="Q1472" s="20">
        <v>8158.0</v>
      </c>
      <c r="R1472" s="20" t="s">
        <v>5099</v>
      </c>
      <c r="S1472" s="20" t="s">
        <v>5098</v>
      </c>
      <c r="T1472" s="20" t="s">
        <v>138</v>
      </c>
    </row>
    <row r="1473" ht="14.25" customHeight="1">
      <c r="A1473" s="20" t="s">
        <v>5100</v>
      </c>
      <c r="B1473" s="20" t="s">
        <v>5101</v>
      </c>
      <c r="C1473" s="20" t="s">
        <v>174</v>
      </c>
      <c r="F1473" s="20" t="s">
        <v>150</v>
      </c>
      <c r="G1473" s="20" t="s">
        <v>150</v>
      </c>
      <c r="I1473" s="20" t="s">
        <v>151</v>
      </c>
      <c r="J1473" s="20" t="s">
        <v>143</v>
      </c>
      <c r="Q1473" s="20">
        <v>11564.0</v>
      </c>
      <c r="R1473" s="20" t="s">
        <v>5102</v>
      </c>
      <c r="S1473" s="20" t="s">
        <v>5101</v>
      </c>
      <c r="T1473" s="20" t="s">
        <v>138</v>
      </c>
    </row>
    <row r="1474" ht="14.25" customHeight="1">
      <c r="A1474" s="20" t="s">
        <v>5103</v>
      </c>
      <c r="B1474" s="20" t="s">
        <v>5104</v>
      </c>
      <c r="C1474" s="20" t="s">
        <v>217</v>
      </c>
      <c r="F1474" s="20" t="s">
        <v>218</v>
      </c>
      <c r="G1474" s="20" t="s">
        <v>219</v>
      </c>
      <c r="I1474" s="20" t="s">
        <v>220</v>
      </c>
      <c r="J1474" s="20" t="s">
        <v>186</v>
      </c>
      <c r="Q1474" s="20">
        <v>14243.0</v>
      </c>
      <c r="R1474" s="20" t="s">
        <v>5105</v>
      </c>
      <c r="S1474" s="20" t="s">
        <v>5104</v>
      </c>
      <c r="T1474" s="20" t="s">
        <v>138</v>
      </c>
    </row>
    <row r="1475" ht="14.25" customHeight="1">
      <c r="A1475" s="20" t="s">
        <v>5106</v>
      </c>
      <c r="B1475" s="20" t="s">
        <v>5107</v>
      </c>
      <c r="C1475" s="20" t="s">
        <v>2221</v>
      </c>
      <c r="F1475" s="20" t="s">
        <v>15</v>
      </c>
      <c r="G1475" s="20" t="s">
        <v>142</v>
      </c>
      <c r="I1475" s="20" t="s">
        <v>105</v>
      </c>
      <c r="J1475" s="20" t="s">
        <v>186</v>
      </c>
      <c r="Q1475" s="20">
        <v>11913.0</v>
      </c>
      <c r="R1475" s="20" t="s">
        <v>5108</v>
      </c>
      <c r="S1475" s="20" t="s">
        <v>5107</v>
      </c>
      <c r="T1475" s="20" t="s">
        <v>138</v>
      </c>
    </row>
    <row r="1476" ht="14.25" customHeight="1">
      <c r="A1476" s="20" t="s">
        <v>5109</v>
      </c>
      <c r="B1476" s="20" t="s">
        <v>5110</v>
      </c>
      <c r="C1476" s="20" t="s">
        <v>235</v>
      </c>
      <c r="F1476" s="20" t="s">
        <v>15</v>
      </c>
      <c r="G1476" s="20" t="s">
        <v>142</v>
      </c>
      <c r="I1476" s="20" t="s">
        <v>105</v>
      </c>
      <c r="J1476" s="20" t="s">
        <v>143</v>
      </c>
      <c r="Q1476" s="20">
        <v>9201.0</v>
      </c>
      <c r="R1476" s="20" t="s">
        <v>5111</v>
      </c>
      <c r="S1476" s="20" t="s">
        <v>5110</v>
      </c>
      <c r="T1476" s="20" t="s">
        <v>138</v>
      </c>
    </row>
    <row r="1477" ht="14.25" customHeight="1">
      <c r="A1477" s="20" t="s">
        <v>5112</v>
      </c>
      <c r="B1477" s="20" t="s">
        <v>5113</v>
      </c>
      <c r="C1477" s="20" t="s">
        <v>5114</v>
      </c>
      <c r="F1477" s="20" t="s">
        <v>150</v>
      </c>
      <c r="G1477" s="20" t="s">
        <v>150</v>
      </c>
      <c r="H1477" s="20">
        <v>17237.0</v>
      </c>
      <c r="I1477" s="20" t="s">
        <v>151</v>
      </c>
      <c r="J1477" s="20" t="s">
        <v>136</v>
      </c>
      <c r="Q1477" s="20">
        <v>17237.0</v>
      </c>
      <c r="R1477" s="20" t="s">
        <v>5115</v>
      </c>
      <c r="S1477" s="20" t="s">
        <v>5113</v>
      </c>
      <c r="T1477" s="20" t="s">
        <v>138</v>
      </c>
      <c r="W1477" s="20" t="s">
        <v>136</v>
      </c>
    </row>
    <row r="1478" ht="14.25" customHeight="1">
      <c r="A1478" s="20" t="s">
        <v>5116</v>
      </c>
      <c r="B1478" s="20" t="s">
        <v>5117</v>
      </c>
      <c r="C1478" s="20" t="s">
        <v>5118</v>
      </c>
      <c r="F1478" s="20" t="s">
        <v>16</v>
      </c>
      <c r="G1478" s="20" t="s">
        <v>211</v>
      </c>
      <c r="H1478" s="20">
        <v>16645.0</v>
      </c>
      <c r="I1478" s="20" t="s">
        <v>1931</v>
      </c>
      <c r="J1478" s="20" t="s">
        <v>136</v>
      </c>
      <c r="L1478" s="20" t="s">
        <v>1931</v>
      </c>
      <c r="Q1478" s="20">
        <v>16645.0</v>
      </c>
      <c r="R1478" s="20" t="s">
        <v>5119</v>
      </c>
      <c r="S1478" s="20" t="s">
        <v>5117</v>
      </c>
      <c r="T1478" s="20" t="s">
        <v>138</v>
      </c>
      <c r="U1478" s="24">
        <v>44931.0</v>
      </c>
      <c r="W1478" s="20" t="s">
        <v>372</v>
      </c>
    </row>
    <row r="1479" ht="14.25" customHeight="1">
      <c r="A1479" s="20" t="s">
        <v>5120</v>
      </c>
      <c r="B1479" s="20" t="s">
        <v>5121</v>
      </c>
      <c r="C1479" s="20" t="s">
        <v>5122</v>
      </c>
      <c r="F1479" s="20" t="s">
        <v>17</v>
      </c>
      <c r="G1479" s="20" t="s">
        <v>17</v>
      </c>
      <c r="I1479" s="20" t="s">
        <v>88</v>
      </c>
      <c r="J1479" s="20" t="s">
        <v>186</v>
      </c>
      <c r="Q1479" s="20">
        <v>16476.0</v>
      </c>
      <c r="R1479" s="20" t="s">
        <v>5123</v>
      </c>
      <c r="S1479" s="20" t="s">
        <v>5121</v>
      </c>
      <c r="T1479" s="20" t="s">
        <v>138</v>
      </c>
    </row>
    <row r="1480" ht="14.25" customHeight="1">
      <c r="A1480" s="20" t="s">
        <v>5124</v>
      </c>
      <c r="B1480" s="20" t="s">
        <v>5125</v>
      </c>
      <c r="C1480" s="20" t="s">
        <v>651</v>
      </c>
      <c r="F1480" s="20" t="s">
        <v>327</v>
      </c>
      <c r="G1480" s="20" t="s">
        <v>5126</v>
      </c>
      <c r="H1480" s="20">
        <v>17669.0</v>
      </c>
      <c r="I1480" s="20" t="s">
        <v>5127</v>
      </c>
      <c r="J1480" s="20" t="s">
        <v>136</v>
      </c>
      <c r="P1480" s="20" t="s">
        <v>5125</v>
      </c>
      <c r="Q1480" s="20">
        <v>17669.0</v>
      </c>
      <c r="R1480" s="20" t="s">
        <v>5128</v>
      </c>
      <c r="S1480" s="20" t="s">
        <v>5125</v>
      </c>
      <c r="T1480" s="20" t="s">
        <v>138</v>
      </c>
      <c r="W1480" s="20" t="s">
        <v>136</v>
      </c>
    </row>
    <row r="1481" ht="14.25" customHeight="1">
      <c r="A1481" s="20" t="s">
        <v>5129</v>
      </c>
      <c r="B1481" s="20" t="s">
        <v>5130</v>
      </c>
      <c r="C1481" s="20" t="s">
        <v>610</v>
      </c>
      <c r="F1481" s="20" t="s">
        <v>327</v>
      </c>
      <c r="G1481" s="20" t="s">
        <v>385</v>
      </c>
      <c r="I1481" s="20" t="s">
        <v>492</v>
      </c>
      <c r="J1481" s="20" t="s">
        <v>186</v>
      </c>
      <c r="K1481" s="20" t="s">
        <v>187</v>
      </c>
      <c r="Q1481" s="20">
        <v>14896.0</v>
      </c>
      <c r="R1481" s="20" t="s">
        <v>5131</v>
      </c>
      <c r="S1481" s="20" t="s">
        <v>5130</v>
      </c>
      <c r="T1481" s="20" t="s">
        <v>138</v>
      </c>
      <c r="V1481" s="20" t="s">
        <v>189</v>
      </c>
      <c r="W1481" s="20" t="s">
        <v>261</v>
      </c>
    </row>
    <row r="1482" ht="14.25" customHeight="1">
      <c r="A1482" s="20" t="s">
        <v>5132</v>
      </c>
      <c r="B1482" s="20" t="s">
        <v>5133</v>
      </c>
      <c r="C1482" s="20" t="s">
        <v>2221</v>
      </c>
      <c r="F1482" s="20" t="s">
        <v>15</v>
      </c>
      <c r="G1482" s="20" t="s">
        <v>142</v>
      </c>
      <c r="I1482" s="20" t="s">
        <v>105</v>
      </c>
      <c r="J1482" s="20" t="s">
        <v>186</v>
      </c>
      <c r="Q1482" s="20">
        <v>13861.0</v>
      </c>
      <c r="R1482" s="20" t="s">
        <v>5134</v>
      </c>
      <c r="S1482" s="20" t="s">
        <v>5133</v>
      </c>
      <c r="T1482" s="20" t="s">
        <v>138</v>
      </c>
    </row>
    <row r="1483" ht="14.25" customHeight="1">
      <c r="A1483" s="20" t="s">
        <v>5135</v>
      </c>
      <c r="B1483" s="20" t="s">
        <v>5136</v>
      </c>
      <c r="C1483" s="20" t="s">
        <v>197</v>
      </c>
      <c r="F1483" s="20" t="s">
        <v>150</v>
      </c>
      <c r="G1483" s="20" t="s">
        <v>150</v>
      </c>
      <c r="I1483" s="20" t="s">
        <v>151</v>
      </c>
      <c r="J1483" s="20" t="s">
        <v>143</v>
      </c>
      <c r="Q1483" s="20">
        <v>12325.0</v>
      </c>
      <c r="R1483" s="20" t="s">
        <v>5137</v>
      </c>
      <c r="S1483" s="20" t="s">
        <v>5136</v>
      </c>
      <c r="T1483" s="20" t="s">
        <v>138</v>
      </c>
    </row>
    <row r="1484" ht="14.25" customHeight="1">
      <c r="A1484" s="20" t="s">
        <v>5138</v>
      </c>
      <c r="B1484" s="20" t="s">
        <v>5139</v>
      </c>
      <c r="C1484" s="20" t="s">
        <v>174</v>
      </c>
      <c r="F1484" s="20" t="s">
        <v>150</v>
      </c>
      <c r="G1484" s="20" t="s">
        <v>150</v>
      </c>
      <c r="I1484" s="20" t="s">
        <v>151</v>
      </c>
      <c r="J1484" s="20" t="s">
        <v>143</v>
      </c>
      <c r="Q1484" s="20">
        <v>2844.0</v>
      </c>
      <c r="R1484" s="20" t="s">
        <v>5140</v>
      </c>
      <c r="S1484" s="20" t="s">
        <v>5139</v>
      </c>
      <c r="T1484" s="20" t="s">
        <v>138</v>
      </c>
    </row>
    <row r="1485" ht="14.25" customHeight="1">
      <c r="A1485" s="20" t="s">
        <v>5141</v>
      </c>
      <c r="B1485" s="20" t="s">
        <v>5142</v>
      </c>
      <c r="C1485" s="20" t="s">
        <v>193</v>
      </c>
      <c r="F1485" s="20" t="s">
        <v>150</v>
      </c>
      <c r="G1485" s="20" t="s">
        <v>150</v>
      </c>
      <c r="I1485" s="20" t="s">
        <v>151</v>
      </c>
      <c r="J1485" s="20" t="s">
        <v>143</v>
      </c>
      <c r="Q1485" s="20">
        <v>12200.0</v>
      </c>
      <c r="R1485" s="20" t="s">
        <v>5143</v>
      </c>
      <c r="S1485" s="20" t="s">
        <v>5142</v>
      </c>
      <c r="T1485" s="20" t="s">
        <v>138</v>
      </c>
    </row>
    <row r="1486" ht="14.25" customHeight="1">
      <c r="A1486" s="20" t="s">
        <v>5144</v>
      </c>
      <c r="B1486" s="20" t="s">
        <v>5145</v>
      </c>
      <c r="C1486" s="20" t="s">
        <v>708</v>
      </c>
      <c r="F1486" s="20" t="s">
        <v>17</v>
      </c>
      <c r="G1486" s="20" t="s">
        <v>17</v>
      </c>
      <c r="I1486" s="20" t="s">
        <v>88</v>
      </c>
      <c r="J1486" s="20" t="s">
        <v>143</v>
      </c>
      <c r="Q1486" s="20">
        <v>15448.0</v>
      </c>
      <c r="R1486" s="20" t="s">
        <v>5146</v>
      </c>
      <c r="S1486" s="20" t="s">
        <v>5147</v>
      </c>
      <c r="T1486" s="20" t="s">
        <v>138</v>
      </c>
    </row>
    <row r="1487" ht="14.25" customHeight="1">
      <c r="A1487" s="20" t="s">
        <v>5148</v>
      </c>
      <c r="B1487" s="20" t="s">
        <v>5149</v>
      </c>
      <c r="C1487" s="20" t="s">
        <v>174</v>
      </c>
      <c r="F1487" s="20" t="s">
        <v>150</v>
      </c>
      <c r="G1487" s="20" t="s">
        <v>150</v>
      </c>
      <c r="I1487" s="20" t="s">
        <v>151</v>
      </c>
      <c r="J1487" s="20" t="s">
        <v>143</v>
      </c>
      <c r="Q1487" s="20">
        <v>15384.0</v>
      </c>
      <c r="R1487" s="20" t="s">
        <v>5150</v>
      </c>
      <c r="S1487" s="20" t="s">
        <v>5149</v>
      </c>
      <c r="T1487" s="20" t="s">
        <v>138</v>
      </c>
    </row>
    <row r="1488" ht="14.25" customHeight="1">
      <c r="A1488" s="20" t="s">
        <v>5151</v>
      </c>
      <c r="B1488" s="20" t="s">
        <v>5152</v>
      </c>
      <c r="C1488" s="20" t="s">
        <v>272</v>
      </c>
      <c r="F1488" s="20" t="s">
        <v>150</v>
      </c>
      <c r="G1488" s="20" t="s">
        <v>150</v>
      </c>
      <c r="I1488" s="20" t="s">
        <v>151</v>
      </c>
      <c r="J1488" s="20" t="s">
        <v>143</v>
      </c>
      <c r="Q1488" s="20">
        <v>11374.0</v>
      </c>
      <c r="R1488" s="20" t="s">
        <v>5153</v>
      </c>
      <c r="S1488" s="20" t="s">
        <v>5152</v>
      </c>
      <c r="T1488" s="20" t="s">
        <v>138</v>
      </c>
    </row>
    <row r="1489" ht="14.25" customHeight="1">
      <c r="A1489" s="20" t="s">
        <v>5154</v>
      </c>
      <c r="B1489" s="20" t="s">
        <v>5155</v>
      </c>
      <c r="C1489" s="20" t="s">
        <v>235</v>
      </c>
      <c r="F1489" s="20" t="s">
        <v>15</v>
      </c>
      <c r="G1489" s="20" t="s">
        <v>142</v>
      </c>
      <c r="I1489" s="20" t="s">
        <v>105</v>
      </c>
      <c r="J1489" s="20" t="s">
        <v>143</v>
      </c>
      <c r="Q1489" s="20">
        <v>4482.0</v>
      </c>
      <c r="R1489" s="20" t="s">
        <v>5156</v>
      </c>
      <c r="S1489" s="20" t="s">
        <v>5155</v>
      </c>
      <c r="T1489" s="20" t="s">
        <v>138</v>
      </c>
    </row>
    <row r="1490" ht="14.25" customHeight="1">
      <c r="A1490" s="20" t="s">
        <v>5157</v>
      </c>
      <c r="B1490" s="20" t="s">
        <v>5158</v>
      </c>
      <c r="C1490" s="20" t="s">
        <v>775</v>
      </c>
      <c r="F1490" s="20" t="s">
        <v>327</v>
      </c>
      <c r="G1490" s="20" t="s">
        <v>385</v>
      </c>
      <c r="I1490" s="20" t="s">
        <v>762</v>
      </c>
      <c r="J1490" s="20" t="s">
        <v>136</v>
      </c>
      <c r="Q1490" s="20">
        <v>4910.0</v>
      </c>
      <c r="R1490" s="20" t="s">
        <v>5159</v>
      </c>
      <c r="S1490" s="20" t="s">
        <v>5158</v>
      </c>
      <c r="T1490" s="20" t="s">
        <v>138</v>
      </c>
      <c r="W1490" s="20" t="s">
        <v>372</v>
      </c>
    </row>
    <row r="1491" ht="14.25" customHeight="1">
      <c r="A1491" s="20" t="s">
        <v>5160</v>
      </c>
      <c r="B1491" s="20" t="s">
        <v>5161</v>
      </c>
      <c r="C1491" s="20" t="s">
        <v>2094</v>
      </c>
      <c r="F1491" s="20" t="s">
        <v>15</v>
      </c>
      <c r="G1491" s="20" t="s">
        <v>142</v>
      </c>
      <c r="I1491" s="20" t="s">
        <v>105</v>
      </c>
      <c r="J1491" s="20" t="s">
        <v>143</v>
      </c>
      <c r="Q1491" s="20">
        <v>5750.0</v>
      </c>
      <c r="R1491" s="20" t="s">
        <v>5162</v>
      </c>
      <c r="S1491" s="20" t="s">
        <v>5161</v>
      </c>
      <c r="T1491" s="20" t="s">
        <v>138</v>
      </c>
    </row>
    <row r="1492" ht="14.25" customHeight="1">
      <c r="A1492" s="20" t="s">
        <v>5163</v>
      </c>
      <c r="B1492" s="20" t="s">
        <v>5164</v>
      </c>
      <c r="C1492" s="20" t="s">
        <v>3165</v>
      </c>
      <c r="F1492" s="20" t="s">
        <v>218</v>
      </c>
      <c r="G1492" s="20" t="s">
        <v>219</v>
      </c>
      <c r="H1492" s="20">
        <v>17642.0</v>
      </c>
      <c r="I1492" s="20" t="s">
        <v>355</v>
      </c>
      <c r="J1492" s="20" t="s">
        <v>143</v>
      </c>
      <c r="Q1492" s="20">
        <v>17642.0</v>
      </c>
      <c r="R1492" s="20" t="s">
        <v>5165</v>
      </c>
      <c r="S1492" s="20" t="s">
        <v>5164</v>
      </c>
      <c r="T1492" s="20" t="s">
        <v>138</v>
      </c>
      <c r="W1492" s="20" t="s">
        <v>146</v>
      </c>
      <c r="X1492" s="20" t="s">
        <v>1292</v>
      </c>
    </row>
    <row r="1493" ht="14.25" customHeight="1">
      <c r="A1493" s="20" t="s">
        <v>5166</v>
      </c>
      <c r="B1493" s="20" t="s">
        <v>5167</v>
      </c>
      <c r="C1493" s="20" t="s">
        <v>5168</v>
      </c>
      <c r="F1493" s="20" t="s">
        <v>16</v>
      </c>
      <c r="G1493" s="20" t="s">
        <v>211</v>
      </c>
      <c r="H1493" s="20">
        <v>17780.0</v>
      </c>
      <c r="I1493" s="20" t="s">
        <v>258</v>
      </c>
      <c r="J1493" s="20" t="s">
        <v>186</v>
      </c>
      <c r="P1493" s="20" t="s">
        <v>5167</v>
      </c>
      <c r="Q1493" s="20">
        <v>17780.0</v>
      </c>
      <c r="R1493" s="20" t="s">
        <v>5169</v>
      </c>
      <c r="S1493" s="20" t="s">
        <v>5167</v>
      </c>
      <c r="T1493" s="20" t="s">
        <v>138</v>
      </c>
      <c r="W1493" s="20" t="s">
        <v>146</v>
      </c>
      <c r="X1493" s="20" t="s">
        <v>1292</v>
      </c>
    </row>
    <row r="1494" ht="14.25" customHeight="1">
      <c r="A1494" s="20" t="s">
        <v>5170</v>
      </c>
      <c r="B1494" s="20" t="s">
        <v>5171</v>
      </c>
      <c r="C1494" s="20" t="s">
        <v>5172</v>
      </c>
      <c r="F1494" s="20" t="s">
        <v>17</v>
      </c>
      <c r="G1494" s="20" t="s">
        <v>17</v>
      </c>
      <c r="H1494" s="20">
        <v>17781.0</v>
      </c>
      <c r="I1494" s="20" t="s">
        <v>88</v>
      </c>
      <c r="J1494" s="20" t="s">
        <v>186</v>
      </c>
      <c r="P1494" s="20" t="s">
        <v>5171</v>
      </c>
      <c r="Q1494" s="20">
        <v>17781.0</v>
      </c>
      <c r="R1494" s="20" t="s">
        <v>5173</v>
      </c>
      <c r="S1494" s="20" t="s">
        <v>5171</v>
      </c>
      <c r="T1494" s="20" t="s">
        <v>138</v>
      </c>
      <c r="W1494" s="20" t="s">
        <v>261</v>
      </c>
    </row>
    <row r="1495" ht="14.25" customHeight="1">
      <c r="A1495" s="20" t="s">
        <v>5174</v>
      </c>
      <c r="B1495" s="20" t="s">
        <v>5175</v>
      </c>
      <c r="C1495" s="20" t="s">
        <v>680</v>
      </c>
      <c r="F1495" s="20" t="s">
        <v>15</v>
      </c>
      <c r="G1495" s="20" t="s">
        <v>142</v>
      </c>
      <c r="I1495" s="20" t="s">
        <v>105</v>
      </c>
      <c r="J1495" s="20" t="s">
        <v>143</v>
      </c>
      <c r="Q1495" s="20">
        <v>16656.0</v>
      </c>
      <c r="R1495" s="20" t="s">
        <v>5176</v>
      </c>
      <c r="S1495" s="20" t="s">
        <v>5175</v>
      </c>
      <c r="T1495" s="20" t="s">
        <v>138</v>
      </c>
    </row>
    <row r="1496" ht="14.25" customHeight="1">
      <c r="A1496" s="20" t="s">
        <v>5177</v>
      </c>
      <c r="B1496" s="20" t="s">
        <v>5178</v>
      </c>
      <c r="C1496" s="20" t="s">
        <v>5179</v>
      </c>
      <c r="F1496" s="20" t="s">
        <v>327</v>
      </c>
      <c r="G1496" s="20" t="s">
        <v>385</v>
      </c>
      <c r="I1496" s="20" t="s">
        <v>5180</v>
      </c>
      <c r="J1496" s="20" t="s">
        <v>136</v>
      </c>
      <c r="Q1496" s="20">
        <v>16760.0</v>
      </c>
      <c r="R1496" s="20" t="s">
        <v>5181</v>
      </c>
      <c r="S1496" s="20" t="s">
        <v>5178</v>
      </c>
      <c r="T1496" s="20" t="s">
        <v>138</v>
      </c>
      <c r="W1496" s="20" t="s">
        <v>372</v>
      </c>
    </row>
    <row r="1497" ht="14.25" customHeight="1">
      <c r="A1497" s="20" t="s">
        <v>5182</v>
      </c>
      <c r="B1497" s="20" t="s">
        <v>5183</v>
      </c>
      <c r="C1497" s="20" t="s">
        <v>5184</v>
      </c>
      <c r="F1497" s="20" t="s">
        <v>16</v>
      </c>
      <c r="G1497" s="20" t="s">
        <v>202</v>
      </c>
      <c r="I1497" s="20" t="s">
        <v>87</v>
      </c>
      <c r="J1497" s="20" t="s">
        <v>143</v>
      </c>
      <c r="Q1497" s="20">
        <v>9318.0</v>
      </c>
      <c r="R1497" s="20" t="s">
        <v>5185</v>
      </c>
      <c r="S1497" s="20" t="s">
        <v>5183</v>
      </c>
      <c r="T1497" s="20" t="s">
        <v>138</v>
      </c>
      <c r="W1497" s="20" t="s">
        <v>146</v>
      </c>
    </row>
    <row r="1498" ht="14.25" customHeight="1">
      <c r="A1498" s="20" t="s">
        <v>5186</v>
      </c>
      <c r="B1498" s="20" t="s">
        <v>5187</v>
      </c>
      <c r="C1498" s="20" t="s">
        <v>1806</v>
      </c>
      <c r="F1498" s="20" t="s">
        <v>16</v>
      </c>
      <c r="G1498" s="20" t="s">
        <v>638</v>
      </c>
      <c r="I1498" s="20" t="s">
        <v>814</v>
      </c>
      <c r="J1498" s="20" t="s">
        <v>143</v>
      </c>
      <c r="K1498" s="20" t="s">
        <v>167</v>
      </c>
      <c r="Q1498" s="20">
        <v>729.0</v>
      </c>
      <c r="R1498" s="20" t="s">
        <v>5188</v>
      </c>
      <c r="S1498" s="20" t="s">
        <v>5187</v>
      </c>
      <c r="T1498" s="20" t="s">
        <v>138</v>
      </c>
    </row>
    <row r="1499" ht="14.25" customHeight="1">
      <c r="A1499" s="20" t="s">
        <v>5189</v>
      </c>
      <c r="B1499" s="20" t="s">
        <v>5190</v>
      </c>
      <c r="C1499" s="20" t="s">
        <v>1103</v>
      </c>
      <c r="F1499" s="20" t="s">
        <v>327</v>
      </c>
      <c r="G1499" s="20" t="s">
        <v>395</v>
      </c>
      <c r="I1499" s="20" t="s">
        <v>1104</v>
      </c>
      <c r="J1499" s="20" t="s">
        <v>143</v>
      </c>
      <c r="K1499" s="20" t="s">
        <v>167</v>
      </c>
      <c r="Q1499" s="20">
        <v>15427.0</v>
      </c>
      <c r="R1499" s="20" t="s">
        <v>5191</v>
      </c>
      <c r="S1499" s="20" t="s">
        <v>5190</v>
      </c>
      <c r="T1499" s="20" t="s">
        <v>138</v>
      </c>
    </row>
    <row r="1500" ht="14.25" customHeight="1">
      <c r="A1500" s="20" t="s">
        <v>5192</v>
      </c>
      <c r="B1500" s="20" t="s">
        <v>5193</v>
      </c>
      <c r="C1500" s="20" t="s">
        <v>369</v>
      </c>
      <c r="F1500" s="20" t="s">
        <v>218</v>
      </c>
      <c r="G1500" s="20" t="s">
        <v>219</v>
      </c>
      <c r="I1500" s="20" t="s">
        <v>370</v>
      </c>
      <c r="J1500" s="20" t="s">
        <v>143</v>
      </c>
      <c r="Q1500" s="20">
        <v>14373.0</v>
      </c>
      <c r="R1500" s="20" t="s">
        <v>5194</v>
      </c>
      <c r="S1500" s="20" t="s">
        <v>5193</v>
      </c>
      <c r="T1500" s="20" t="s">
        <v>138</v>
      </c>
    </row>
    <row r="1501" ht="14.25" customHeight="1">
      <c r="A1501" s="20" t="s">
        <v>5195</v>
      </c>
      <c r="B1501" s="20" t="s">
        <v>5196</v>
      </c>
      <c r="C1501" s="20" t="s">
        <v>496</v>
      </c>
      <c r="F1501" s="20" t="s">
        <v>218</v>
      </c>
      <c r="G1501" s="20" t="s">
        <v>219</v>
      </c>
      <c r="I1501" s="20" t="s">
        <v>2312</v>
      </c>
      <c r="J1501" s="20" t="s">
        <v>186</v>
      </c>
      <c r="Q1501" s="20">
        <v>6400.0</v>
      </c>
      <c r="R1501" s="20" t="s">
        <v>5197</v>
      </c>
      <c r="S1501" s="20" t="s">
        <v>5196</v>
      </c>
      <c r="T1501" s="20" t="s">
        <v>138</v>
      </c>
    </row>
    <row r="1502" ht="14.25" customHeight="1">
      <c r="A1502" s="20" t="s">
        <v>5198</v>
      </c>
      <c r="B1502" s="20" t="s">
        <v>5199</v>
      </c>
      <c r="C1502" s="20" t="s">
        <v>5200</v>
      </c>
      <c r="F1502" s="20" t="s">
        <v>16</v>
      </c>
      <c r="G1502" s="20" t="s">
        <v>638</v>
      </c>
      <c r="I1502" s="20" t="s">
        <v>4818</v>
      </c>
      <c r="J1502" s="20" t="s">
        <v>186</v>
      </c>
      <c r="Q1502" s="20">
        <v>7739.0</v>
      </c>
      <c r="R1502" s="20" t="s">
        <v>5201</v>
      </c>
      <c r="S1502" s="20" t="s">
        <v>5199</v>
      </c>
      <c r="T1502" s="20" t="s">
        <v>138</v>
      </c>
    </row>
    <row r="1503" ht="14.25" customHeight="1">
      <c r="A1503" s="20" t="s">
        <v>5202</v>
      </c>
      <c r="B1503" s="20" t="s">
        <v>5203</v>
      </c>
      <c r="C1503" s="20" t="s">
        <v>491</v>
      </c>
      <c r="F1503" s="20" t="s">
        <v>327</v>
      </c>
      <c r="G1503" s="20" t="s">
        <v>385</v>
      </c>
      <c r="I1503" s="20" t="s">
        <v>492</v>
      </c>
      <c r="J1503" s="20" t="s">
        <v>143</v>
      </c>
      <c r="Q1503" s="20">
        <v>15751.0</v>
      </c>
      <c r="R1503" s="20" t="s">
        <v>5204</v>
      </c>
      <c r="S1503" s="20" t="s">
        <v>5203</v>
      </c>
      <c r="T1503" s="20" t="s">
        <v>138</v>
      </c>
    </row>
    <row r="1504" ht="14.25" customHeight="1">
      <c r="A1504" s="20" t="s">
        <v>5205</v>
      </c>
      <c r="B1504" s="20" t="s">
        <v>5206</v>
      </c>
      <c r="C1504" s="20" t="s">
        <v>4232</v>
      </c>
      <c r="F1504" s="20" t="s">
        <v>327</v>
      </c>
      <c r="G1504" s="20" t="s">
        <v>385</v>
      </c>
      <c r="I1504" s="20" t="s">
        <v>5207</v>
      </c>
      <c r="J1504" s="20" t="s">
        <v>186</v>
      </c>
      <c r="K1504" s="20" t="s">
        <v>167</v>
      </c>
      <c r="Q1504" s="20">
        <v>1582.0</v>
      </c>
      <c r="R1504" s="20" t="s">
        <v>5208</v>
      </c>
      <c r="S1504" s="20" t="s">
        <v>5206</v>
      </c>
      <c r="T1504" s="20" t="s">
        <v>138</v>
      </c>
    </row>
    <row r="1505" ht="14.25" customHeight="1">
      <c r="A1505" s="20" t="s">
        <v>5209</v>
      </c>
      <c r="B1505" s="20" t="s">
        <v>5210</v>
      </c>
      <c r="C1505" s="20" t="s">
        <v>174</v>
      </c>
      <c r="F1505" s="20" t="s">
        <v>150</v>
      </c>
      <c r="G1505" s="20" t="s">
        <v>150</v>
      </c>
      <c r="I1505" s="20" t="s">
        <v>151</v>
      </c>
      <c r="J1505" s="20" t="s">
        <v>143</v>
      </c>
      <c r="Q1505" s="20">
        <v>734.0</v>
      </c>
      <c r="R1505" s="20" t="s">
        <v>5211</v>
      </c>
      <c r="S1505" s="20" t="s">
        <v>5210</v>
      </c>
      <c r="T1505" s="20" t="s">
        <v>138</v>
      </c>
    </row>
    <row r="1506" ht="14.25" customHeight="1">
      <c r="A1506" s="20" t="s">
        <v>5212</v>
      </c>
      <c r="B1506" s="20" t="s">
        <v>5213</v>
      </c>
      <c r="C1506" s="20" t="s">
        <v>163</v>
      </c>
      <c r="F1506" s="20" t="s">
        <v>150</v>
      </c>
      <c r="G1506" s="20" t="s">
        <v>150</v>
      </c>
      <c r="I1506" s="20" t="s">
        <v>151</v>
      </c>
      <c r="J1506" s="20" t="s">
        <v>143</v>
      </c>
      <c r="K1506" s="20" t="s">
        <v>213</v>
      </c>
      <c r="Q1506" s="20">
        <v>8574.0</v>
      </c>
      <c r="R1506" s="20" t="s">
        <v>5214</v>
      </c>
      <c r="S1506" s="20" t="s">
        <v>5213</v>
      </c>
      <c r="T1506" s="20" t="s">
        <v>138</v>
      </c>
      <c r="V1506" s="20" t="s">
        <v>189</v>
      </c>
      <c r="W1506" s="20" t="s">
        <v>146</v>
      </c>
    </row>
    <row r="1507" ht="14.25" customHeight="1">
      <c r="A1507" s="20" t="s">
        <v>5215</v>
      </c>
      <c r="B1507" s="20" t="s">
        <v>5216</v>
      </c>
      <c r="C1507" s="20" t="s">
        <v>446</v>
      </c>
      <c r="F1507" s="20" t="s">
        <v>16</v>
      </c>
      <c r="G1507" s="20" t="s">
        <v>202</v>
      </c>
      <c r="I1507" s="20" t="s">
        <v>87</v>
      </c>
      <c r="J1507" s="20" t="s">
        <v>186</v>
      </c>
      <c r="K1507" s="20" t="s">
        <v>213</v>
      </c>
      <c r="Q1507" s="20">
        <v>3614.0</v>
      </c>
      <c r="R1507" s="20" t="s">
        <v>5217</v>
      </c>
      <c r="S1507" s="20" t="s">
        <v>5216</v>
      </c>
      <c r="T1507" s="20" t="s">
        <v>138</v>
      </c>
      <c r="V1507" s="20" t="s">
        <v>260</v>
      </c>
      <c r="W1507" s="20" t="s">
        <v>146</v>
      </c>
    </row>
    <row r="1508" ht="14.25" customHeight="1">
      <c r="A1508" s="20" t="s">
        <v>5218</v>
      </c>
      <c r="B1508" s="20" t="s">
        <v>5219</v>
      </c>
      <c r="C1508" s="20" t="s">
        <v>2232</v>
      </c>
      <c r="F1508" s="20" t="s">
        <v>327</v>
      </c>
      <c r="G1508" s="20" t="s">
        <v>385</v>
      </c>
      <c r="I1508" s="20" t="s">
        <v>510</v>
      </c>
      <c r="J1508" s="20" t="s">
        <v>143</v>
      </c>
      <c r="K1508" s="20" t="s">
        <v>167</v>
      </c>
      <c r="Q1508" s="20">
        <v>9269.0</v>
      </c>
      <c r="R1508" s="20" t="s">
        <v>5220</v>
      </c>
      <c r="S1508" s="20" t="s">
        <v>5221</v>
      </c>
      <c r="T1508" s="20" t="s">
        <v>138</v>
      </c>
    </row>
    <row r="1509" ht="14.25" customHeight="1">
      <c r="A1509" s="20" t="s">
        <v>5222</v>
      </c>
      <c r="B1509" s="20" t="s">
        <v>5223</v>
      </c>
      <c r="C1509" s="20" t="s">
        <v>149</v>
      </c>
      <c r="F1509" s="20" t="s">
        <v>150</v>
      </c>
      <c r="G1509" s="20" t="s">
        <v>150</v>
      </c>
      <c r="I1509" s="20" t="s">
        <v>151</v>
      </c>
      <c r="J1509" s="20" t="s">
        <v>143</v>
      </c>
      <c r="Q1509" s="20">
        <v>15535.0</v>
      </c>
      <c r="R1509" s="20" t="s">
        <v>5224</v>
      </c>
      <c r="S1509" s="20" t="s">
        <v>5223</v>
      </c>
      <c r="T1509" s="20" t="s">
        <v>138</v>
      </c>
    </row>
    <row r="1510" ht="14.25" customHeight="1">
      <c r="A1510" s="20" t="s">
        <v>5225</v>
      </c>
      <c r="B1510" s="20" t="s">
        <v>5226</v>
      </c>
      <c r="C1510" s="20" t="s">
        <v>197</v>
      </c>
      <c r="F1510" s="20" t="s">
        <v>150</v>
      </c>
      <c r="G1510" s="20" t="s">
        <v>150</v>
      </c>
      <c r="I1510" s="20" t="s">
        <v>151</v>
      </c>
      <c r="J1510" s="20" t="s">
        <v>143</v>
      </c>
      <c r="Q1510" s="20">
        <v>13914.0</v>
      </c>
      <c r="R1510" s="20" t="s">
        <v>5227</v>
      </c>
      <c r="S1510" s="20" t="s">
        <v>5226</v>
      </c>
      <c r="T1510" s="20" t="s">
        <v>138</v>
      </c>
    </row>
    <row r="1511" ht="14.25" customHeight="1">
      <c r="A1511" s="20" t="s">
        <v>5228</v>
      </c>
      <c r="B1511" s="20" t="s">
        <v>5229</v>
      </c>
      <c r="C1511" s="20" t="s">
        <v>149</v>
      </c>
      <c r="F1511" s="20" t="s">
        <v>150</v>
      </c>
      <c r="G1511" s="20" t="s">
        <v>150</v>
      </c>
      <c r="I1511" s="20" t="s">
        <v>151</v>
      </c>
      <c r="J1511" s="20" t="s">
        <v>143</v>
      </c>
      <c r="Q1511" s="20">
        <v>3162.0</v>
      </c>
      <c r="R1511" s="20" t="s">
        <v>5230</v>
      </c>
      <c r="S1511" s="20" t="s">
        <v>5229</v>
      </c>
      <c r="T1511" s="20" t="s">
        <v>138</v>
      </c>
    </row>
    <row r="1512" ht="14.25" customHeight="1">
      <c r="A1512" s="20" t="s">
        <v>5231</v>
      </c>
      <c r="B1512" s="20" t="s">
        <v>5232</v>
      </c>
      <c r="C1512" s="20" t="s">
        <v>272</v>
      </c>
      <c r="F1512" s="20" t="s">
        <v>150</v>
      </c>
      <c r="G1512" s="20" t="s">
        <v>150</v>
      </c>
      <c r="I1512" s="20" t="s">
        <v>151</v>
      </c>
      <c r="J1512" s="20" t="s">
        <v>143</v>
      </c>
      <c r="Q1512" s="20">
        <v>3406.0</v>
      </c>
      <c r="R1512" s="20" t="s">
        <v>5233</v>
      </c>
      <c r="S1512" s="20" t="s">
        <v>5232</v>
      </c>
      <c r="T1512" s="20" t="s">
        <v>138</v>
      </c>
    </row>
    <row r="1513" ht="14.25" customHeight="1">
      <c r="A1513" s="20" t="s">
        <v>5234</v>
      </c>
      <c r="B1513" s="20" t="s">
        <v>5235</v>
      </c>
      <c r="C1513" s="20" t="s">
        <v>610</v>
      </c>
      <c r="F1513" s="20" t="s">
        <v>327</v>
      </c>
      <c r="G1513" s="20" t="s">
        <v>385</v>
      </c>
      <c r="I1513" s="20" t="s">
        <v>492</v>
      </c>
      <c r="J1513" s="20" t="s">
        <v>186</v>
      </c>
      <c r="K1513" s="20" t="s">
        <v>187</v>
      </c>
      <c r="Q1513" s="20">
        <v>8705.0</v>
      </c>
      <c r="R1513" s="20" t="s">
        <v>5236</v>
      </c>
      <c r="S1513" s="20" t="s">
        <v>5235</v>
      </c>
      <c r="T1513" s="20" t="s">
        <v>138</v>
      </c>
      <c r="W1513" s="20" t="s">
        <v>190</v>
      </c>
    </row>
    <row r="1514" ht="14.25" customHeight="1">
      <c r="A1514" s="20" t="s">
        <v>5237</v>
      </c>
      <c r="B1514" s="20" t="s">
        <v>5238</v>
      </c>
      <c r="C1514" s="20" t="s">
        <v>163</v>
      </c>
      <c r="F1514" s="20" t="s">
        <v>150</v>
      </c>
      <c r="G1514" s="20" t="s">
        <v>150</v>
      </c>
      <c r="I1514" s="20" t="s">
        <v>151</v>
      </c>
      <c r="J1514" s="20" t="s">
        <v>143</v>
      </c>
      <c r="Q1514" s="20">
        <v>2316.0</v>
      </c>
      <c r="R1514" s="20" t="s">
        <v>5239</v>
      </c>
      <c r="S1514" s="20" t="s">
        <v>5238</v>
      </c>
      <c r="T1514" s="20" t="s">
        <v>138</v>
      </c>
    </row>
    <row r="1515" ht="14.25" customHeight="1">
      <c r="A1515" s="20" t="s">
        <v>5240</v>
      </c>
      <c r="B1515" s="20" t="s">
        <v>5241</v>
      </c>
      <c r="C1515" s="20" t="s">
        <v>235</v>
      </c>
      <c r="F1515" s="20" t="s">
        <v>15</v>
      </c>
      <c r="G1515" s="20" t="s">
        <v>142</v>
      </c>
      <c r="I1515" s="20" t="s">
        <v>105</v>
      </c>
      <c r="J1515" s="20" t="s">
        <v>143</v>
      </c>
      <c r="Q1515" s="20">
        <v>9108.0</v>
      </c>
      <c r="R1515" s="20" t="s">
        <v>5242</v>
      </c>
      <c r="S1515" s="20" t="s">
        <v>5241</v>
      </c>
      <c r="T1515" s="20" t="s">
        <v>138</v>
      </c>
    </row>
    <row r="1516" ht="14.25" customHeight="1">
      <c r="A1516" s="20" t="s">
        <v>5243</v>
      </c>
      <c r="B1516" s="20" t="s">
        <v>5244</v>
      </c>
      <c r="C1516" s="20" t="s">
        <v>272</v>
      </c>
      <c r="F1516" s="20" t="s">
        <v>150</v>
      </c>
      <c r="G1516" s="20" t="s">
        <v>150</v>
      </c>
      <c r="I1516" s="20" t="s">
        <v>151</v>
      </c>
      <c r="J1516" s="20" t="s">
        <v>143</v>
      </c>
      <c r="K1516" s="20" t="s">
        <v>167</v>
      </c>
      <c r="Q1516" s="20">
        <v>6043.0</v>
      </c>
      <c r="R1516" s="20" t="s">
        <v>5245</v>
      </c>
      <c r="S1516" s="20" t="s">
        <v>5244</v>
      </c>
      <c r="T1516" s="20" t="s">
        <v>138</v>
      </c>
    </row>
    <row r="1517" ht="14.25" customHeight="1">
      <c r="A1517" s="20" t="s">
        <v>5246</v>
      </c>
      <c r="B1517" s="20" t="s">
        <v>5247</v>
      </c>
      <c r="C1517" s="20" t="s">
        <v>354</v>
      </c>
      <c r="F1517" s="20" t="s">
        <v>218</v>
      </c>
      <c r="G1517" s="20" t="s">
        <v>219</v>
      </c>
      <c r="I1517" s="20" t="s">
        <v>355</v>
      </c>
      <c r="J1517" s="20" t="s">
        <v>186</v>
      </c>
      <c r="Q1517" s="20">
        <v>4286.0</v>
      </c>
      <c r="R1517" s="20" t="s">
        <v>5248</v>
      </c>
      <c r="S1517" s="20" t="s">
        <v>5247</v>
      </c>
      <c r="T1517" s="20" t="s">
        <v>138</v>
      </c>
      <c r="W1517" s="20" t="s">
        <v>146</v>
      </c>
    </row>
    <row r="1518" ht="14.25" customHeight="1">
      <c r="A1518" s="20" t="s">
        <v>5249</v>
      </c>
      <c r="B1518" s="20" t="s">
        <v>5250</v>
      </c>
      <c r="C1518" s="20" t="s">
        <v>5251</v>
      </c>
      <c r="F1518" s="20" t="s">
        <v>218</v>
      </c>
      <c r="G1518" s="20" t="s">
        <v>219</v>
      </c>
      <c r="I1518" s="20" t="s">
        <v>360</v>
      </c>
      <c r="J1518" s="20" t="s">
        <v>186</v>
      </c>
      <c r="K1518" s="20" t="s">
        <v>167</v>
      </c>
      <c r="Q1518" s="20">
        <v>15015.0</v>
      </c>
      <c r="R1518" s="20" t="s">
        <v>5252</v>
      </c>
      <c r="S1518" s="20" t="s">
        <v>5250</v>
      </c>
      <c r="T1518" s="20" t="s">
        <v>138</v>
      </c>
      <c r="W1518" s="20" t="s">
        <v>146</v>
      </c>
    </row>
    <row r="1519" ht="14.25" customHeight="1">
      <c r="A1519" s="20" t="s">
        <v>5253</v>
      </c>
      <c r="B1519" s="20" t="s">
        <v>5254</v>
      </c>
      <c r="C1519" s="20" t="s">
        <v>235</v>
      </c>
      <c r="F1519" s="20" t="s">
        <v>15</v>
      </c>
      <c r="G1519" s="20" t="s">
        <v>142</v>
      </c>
      <c r="I1519" s="20" t="s">
        <v>105</v>
      </c>
      <c r="J1519" s="20" t="s">
        <v>143</v>
      </c>
      <c r="Q1519" s="20">
        <v>14663.0</v>
      </c>
      <c r="R1519" s="20" t="s">
        <v>5255</v>
      </c>
      <c r="S1519" s="20" t="s">
        <v>5254</v>
      </c>
      <c r="T1519" s="20" t="s">
        <v>138</v>
      </c>
    </row>
    <row r="1520" ht="14.25" customHeight="1">
      <c r="A1520" s="20" t="s">
        <v>5256</v>
      </c>
      <c r="B1520" s="20" t="s">
        <v>5257</v>
      </c>
      <c r="C1520" s="20" t="s">
        <v>272</v>
      </c>
      <c r="F1520" s="20" t="s">
        <v>150</v>
      </c>
      <c r="G1520" s="20" t="s">
        <v>150</v>
      </c>
      <c r="I1520" s="20" t="s">
        <v>151</v>
      </c>
      <c r="J1520" s="20" t="s">
        <v>143</v>
      </c>
      <c r="Q1520" s="20">
        <v>11113.0</v>
      </c>
      <c r="R1520" s="20" t="s">
        <v>5258</v>
      </c>
      <c r="S1520" s="20" t="s">
        <v>5257</v>
      </c>
      <c r="T1520" s="20" t="s">
        <v>138</v>
      </c>
    </row>
    <row r="1521" ht="14.25" customHeight="1">
      <c r="A1521" s="20" t="s">
        <v>5259</v>
      </c>
      <c r="B1521" s="20" t="s">
        <v>5260</v>
      </c>
      <c r="C1521" s="20" t="s">
        <v>5261</v>
      </c>
      <c r="F1521" s="20" t="s">
        <v>218</v>
      </c>
      <c r="G1521" s="20" t="s">
        <v>219</v>
      </c>
      <c r="H1521" s="20">
        <v>17544.0</v>
      </c>
      <c r="I1521" s="20" t="s">
        <v>360</v>
      </c>
      <c r="J1521" s="20" t="s">
        <v>143</v>
      </c>
      <c r="Q1521" s="20">
        <v>17544.0</v>
      </c>
      <c r="R1521" s="20" t="s">
        <v>5262</v>
      </c>
      <c r="S1521" s="20" t="s">
        <v>5260</v>
      </c>
      <c r="T1521" s="20" t="s">
        <v>138</v>
      </c>
      <c r="W1521" s="20" t="s">
        <v>146</v>
      </c>
      <c r="X1521" s="20" t="s">
        <v>1292</v>
      </c>
    </row>
    <row r="1522" ht="14.25" customHeight="1">
      <c r="A1522" s="20" t="s">
        <v>5263</v>
      </c>
      <c r="B1522" s="20" t="s">
        <v>5264</v>
      </c>
      <c r="C1522" s="20" t="s">
        <v>174</v>
      </c>
      <c r="F1522" s="20" t="s">
        <v>150</v>
      </c>
      <c r="G1522" s="20" t="s">
        <v>150</v>
      </c>
      <c r="I1522" s="20" t="s">
        <v>151</v>
      </c>
      <c r="J1522" s="20" t="s">
        <v>143</v>
      </c>
      <c r="Q1522" s="20">
        <v>16196.0</v>
      </c>
      <c r="R1522" s="20" t="s">
        <v>5265</v>
      </c>
      <c r="S1522" s="20" t="s">
        <v>5264</v>
      </c>
      <c r="T1522" s="20" t="s">
        <v>138</v>
      </c>
    </row>
    <row r="1523" ht="14.25" customHeight="1">
      <c r="A1523" s="20" t="s">
        <v>5266</v>
      </c>
      <c r="B1523" s="20" t="s">
        <v>5267</v>
      </c>
      <c r="C1523" s="20" t="s">
        <v>289</v>
      </c>
      <c r="F1523" s="20" t="s">
        <v>150</v>
      </c>
      <c r="G1523" s="20" t="s">
        <v>150</v>
      </c>
      <c r="I1523" s="20" t="s">
        <v>151</v>
      </c>
      <c r="J1523" s="20" t="s">
        <v>143</v>
      </c>
      <c r="Q1523" s="20">
        <v>4544.0</v>
      </c>
      <c r="R1523" s="20" t="s">
        <v>5268</v>
      </c>
      <c r="S1523" s="20" t="s">
        <v>5267</v>
      </c>
      <c r="T1523" s="20" t="s">
        <v>138</v>
      </c>
    </row>
    <row r="1524" ht="14.25" customHeight="1">
      <c r="A1524" s="20" t="s">
        <v>5269</v>
      </c>
      <c r="B1524" s="20" t="s">
        <v>5270</v>
      </c>
      <c r="C1524" s="20" t="s">
        <v>289</v>
      </c>
      <c r="F1524" s="20" t="s">
        <v>150</v>
      </c>
      <c r="G1524" s="20" t="s">
        <v>150</v>
      </c>
      <c r="I1524" s="20" t="s">
        <v>151</v>
      </c>
      <c r="J1524" s="20" t="s">
        <v>143</v>
      </c>
      <c r="K1524" s="20" t="s">
        <v>167</v>
      </c>
      <c r="Q1524" s="20">
        <v>742.0</v>
      </c>
      <c r="R1524" s="20" t="s">
        <v>5271</v>
      </c>
      <c r="S1524" s="20" t="s">
        <v>5270</v>
      </c>
      <c r="T1524" s="20" t="s">
        <v>138</v>
      </c>
      <c r="V1524" s="20" t="s">
        <v>260</v>
      </c>
    </row>
    <row r="1525" ht="14.25" customHeight="1">
      <c r="A1525" s="20" t="s">
        <v>5272</v>
      </c>
      <c r="B1525" s="20" t="s">
        <v>5273</v>
      </c>
      <c r="C1525" s="20" t="s">
        <v>3157</v>
      </c>
      <c r="F1525" s="20" t="s">
        <v>17</v>
      </c>
      <c r="G1525" s="20" t="s">
        <v>17</v>
      </c>
      <c r="I1525" s="20" t="s">
        <v>88</v>
      </c>
      <c r="J1525" s="20" t="s">
        <v>186</v>
      </c>
      <c r="K1525" s="20" t="s">
        <v>187</v>
      </c>
      <c r="Q1525" s="20">
        <v>4579.0</v>
      </c>
      <c r="R1525" s="20" t="s">
        <v>5274</v>
      </c>
      <c r="S1525" s="20" t="s">
        <v>5273</v>
      </c>
      <c r="T1525" s="20" t="s">
        <v>138</v>
      </c>
      <c r="V1525" s="20" t="s">
        <v>189</v>
      </c>
      <c r="W1525" s="20" t="s">
        <v>146</v>
      </c>
    </row>
    <row r="1526" ht="14.25" customHeight="1">
      <c r="A1526" s="20" t="s">
        <v>5275</v>
      </c>
      <c r="B1526" s="20" t="s">
        <v>5276</v>
      </c>
      <c r="C1526" s="20" t="s">
        <v>197</v>
      </c>
      <c r="F1526" s="20" t="s">
        <v>150</v>
      </c>
      <c r="G1526" s="20" t="s">
        <v>150</v>
      </c>
      <c r="I1526" s="20" t="s">
        <v>151</v>
      </c>
      <c r="J1526" s="20" t="s">
        <v>143</v>
      </c>
      <c r="Q1526" s="20">
        <v>4600.0</v>
      </c>
      <c r="R1526" s="20" t="s">
        <v>5277</v>
      </c>
      <c r="S1526" s="20" t="s">
        <v>5276</v>
      </c>
      <c r="T1526" s="20" t="s">
        <v>138</v>
      </c>
    </row>
    <row r="1527" ht="14.25" customHeight="1">
      <c r="A1527" s="20" t="s">
        <v>5278</v>
      </c>
      <c r="B1527" s="20" t="s">
        <v>5279</v>
      </c>
      <c r="C1527" s="20" t="s">
        <v>193</v>
      </c>
      <c r="F1527" s="20" t="s">
        <v>150</v>
      </c>
      <c r="G1527" s="20" t="s">
        <v>150</v>
      </c>
      <c r="I1527" s="20" t="s">
        <v>151</v>
      </c>
      <c r="J1527" s="20" t="s">
        <v>143</v>
      </c>
      <c r="Q1527" s="20">
        <v>5294.0</v>
      </c>
      <c r="R1527" s="20" t="s">
        <v>5280</v>
      </c>
      <c r="S1527" s="20" t="s">
        <v>5279</v>
      </c>
      <c r="T1527" s="20" t="s">
        <v>138</v>
      </c>
    </row>
    <row r="1528" ht="14.25" customHeight="1">
      <c r="A1528" s="20" t="s">
        <v>5281</v>
      </c>
      <c r="B1528" s="20" t="s">
        <v>5282</v>
      </c>
      <c r="C1528" s="20" t="s">
        <v>5283</v>
      </c>
      <c r="F1528" s="20" t="s">
        <v>16</v>
      </c>
      <c r="G1528" s="20" t="s">
        <v>638</v>
      </c>
      <c r="I1528" s="20" t="s">
        <v>1582</v>
      </c>
      <c r="J1528" s="20" t="s">
        <v>186</v>
      </c>
      <c r="Q1528" s="20">
        <v>1433.0</v>
      </c>
      <c r="R1528" s="20" t="s">
        <v>5284</v>
      </c>
      <c r="S1528" s="20" t="s">
        <v>5282</v>
      </c>
      <c r="T1528" s="20" t="s">
        <v>138</v>
      </c>
      <c r="W1528" s="20" t="s">
        <v>146</v>
      </c>
    </row>
    <row r="1529" ht="14.25" customHeight="1">
      <c r="A1529" s="20" t="s">
        <v>5285</v>
      </c>
      <c r="B1529" s="20" t="s">
        <v>5286</v>
      </c>
      <c r="C1529" s="20" t="s">
        <v>5283</v>
      </c>
      <c r="F1529" s="20" t="s">
        <v>16</v>
      </c>
      <c r="G1529" s="20" t="s">
        <v>638</v>
      </c>
      <c r="I1529" s="20" t="s">
        <v>1582</v>
      </c>
      <c r="J1529" s="20" t="s">
        <v>186</v>
      </c>
      <c r="Q1529" s="20">
        <v>12489.0</v>
      </c>
      <c r="R1529" s="20" t="s">
        <v>5287</v>
      </c>
      <c r="S1529" s="20" t="s">
        <v>5286</v>
      </c>
      <c r="T1529" s="20" t="s">
        <v>138</v>
      </c>
    </row>
    <row r="1530" ht="14.25" customHeight="1">
      <c r="A1530" s="20" t="s">
        <v>5288</v>
      </c>
      <c r="B1530" s="20" t="s">
        <v>5289</v>
      </c>
      <c r="C1530" s="20" t="s">
        <v>779</v>
      </c>
      <c r="F1530" s="20" t="s">
        <v>150</v>
      </c>
      <c r="G1530" s="20" t="s">
        <v>150</v>
      </c>
      <c r="I1530" s="20" t="s">
        <v>151</v>
      </c>
      <c r="J1530" s="20" t="s">
        <v>143</v>
      </c>
      <c r="Q1530" s="20">
        <v>10374.0</v>
      </c>
      <c r="R1530" s="20" t="s">
        <v>5290</v>
      </c>
      <c r="S1530" s="20" t="s">
        <v>5289</v>
      </c>
      <c r="T1530" s="20" t="s">
        <v>138</v>
      </c>
    </row>
    <row r="1531" ht="14.25" customHeight="1">
      <c r="A1531" s="20" t="s">
        <v>5291</v>
      </c>
      <c r="B1531" s="20" t="s">
        <v>5292</v>
      </c>
      <c r="C1531" s="20" t="s">
        <v>193</v>
      </c>
      <c r="F1531" s="20" t="s">
        <v>150</v>
      </c>
      <c r="G1531" s="20" t="s">
        <v>150</v>
      </c>
      <c r="I1531" s="20" t="s">
        <v>151</v>
      </c>
      <c r="J1531" s="20" t="s">
        <v>143</v>
      </c>
      <c r="K1531" s="20" t="s">
        <v>167</v>
      </c>
      <c r="Q1531" s="20">
        <v>3029.0</v>
      </c>
      <c r="R1531" s="20" t="s">
        <v>5293</v>
      </c>
      <c r="S1531" s="20" t="s">
        <v>5292</v>
      </c>
      <c r="T1531" s="20" t="s">
        <v>138</v>
      </c>
    </row>
    <row r="1532" ht="14.25" customHeight="1">
      <c r="A1532" s="20" t="s">
        <v>5294</v>
      </c>
      <c r="B1532" s="20" t="s">
        <v>5295</v>
      </c>
      <c r="C1532" s="20" t="s">
        <v>5038</v>
      </c>
      <c r="F1532" s="20" t="s">
        <v>218</v>
      </c>
      <c r="G1532" s="20" t="s">
        <v>219</v>
      </c>
      <c r="I1532" s="20" t="s">
        <v>5039</v>
      </c>
      <c r="J1532" s="20" t="s">
        <v>186</v>
      </c>
      <c r="Q1532" s="20">
        <v>14828.0</v>
      </c>
      <c r="R1532" s="20" t="s">
        <v>5296</v>
      </c>
      <c r="S1532" s="20" t="s">
        <v>5295</v>
      </c>
      <c r="T1532" s="20" t="s">
        <v>138</v>
      </c>
    </row>
    <row r="1533" ht="14.25" customHeight="1">
      <c r="A1533" s="20" t="s">
        <v>5297</v>
      </c>
      <c r="B1533" s="20" t="s">
        <v>5298</v>
      </c>
      <c r="C1533" s="20" t="s">
        <v>5038</v>
      </c>
      <c r="F1533" s="20" t="s">
        <v>218</v>
      </c>
      <c r="G1533" s="20" t="s">
        <v>219</v>
      </c>
      <c r="I1533" s="20" t="s">
        <v>5039</v>
      </c>
      <c r="J1533" s="20" t="s">
        <v>143</v>
      </c>
      <c r="Q1533" s="20">
        <v>9900.0</v>
      </c>
      <c r="R1533" s="20" t="s">
        <v>5299</v>
      </c>
      <c r="S1533" s="20" t="s">
        <v>5298</v>
      </c>
      <c r="T1533" s="20" t="s">
        <v>138</v>
      </c>
    </row>
    <row r="1534" ht="14.25" customHeight="1">
      <c r="A1534" s="20" t="s">
        <v>5300</v>
      </c>
      <c r="B1534" s="20" t="s">
        <v>5301</v>
      </c>
      <c r="C1534" s="20" t="s">
        <v>5038</v>
      </c>
      <c r="F1534" s="20" t="s">
        <v>218</v>
      </c>
      <c r="G1534" s="20" t="s">
        <v>219</v>
      </c>
      <c r="I1534" s="20" t="s">
        <v>5039</v>
      </c>
      <c r="J1534" s="20" t="s">
        <v>136</v>
      </c>
      <c r="Q1534" s="20">
        <v>14215.0</v>
      </c>
      <c r="R1534" s="20" t="s">
        <v>5302</v>
      </c>
      <c r="S1534" s="20" t="s">
        <v>5301</v>
      </c>
      <c r="T1534" s="20" t="s">
        <v>138</v>
      </c>
    </row>
    <row r="1535" ht="14.25" customHeight="1">
      <c r="A1535" s="20" t="s">
        <v>5303</v>
      </c>
      <c r="B1535" s="20" t="s">
        <v>5304</v>
      </c>
      <c r="C1535" s="20" t="s">
        <v>5038</v>
      </c>
      <c r="F1535" s="20" t="s">
        <v>218</v>
      </c>
      <c r="G1535" s="20" t="s">
        <v>219</v>
      </c>
      <c r="I1535" s="20" t="s">
        <v>5039</v>
      </c>
      <c r="J1535" s="20" t="s">
        <v>186</v>
      </c>
      <c r="Q1535" s="20">
        <v>13618.0</v>
      </c>
      <c r="R1535" s="20" t="s">
        <v>5305</v>
      </c>
      <c r="S1535" s="20" t="s">
        <v>5304</v>
      </c>
      <c r="T1535" s="20" t="s">
        <v>138</v>
      </c>
    </row>
    <row r="1536" ht="14.25" customHeight="1">
      <c r="A1536" s="20" t="s">
        <v>5306</v>
      </c>
      <c r="B1536" s="20" t="s">
        <v>5307</v>
      </c>
      <c r="C1536" s="20" t="s">
        <v>5038</v>
      </c>
      <c r="F1536" s="20" t="s">
        <v>218</v>
      </c>
      <c r="G1536" s="20" t="s">
        <v>219</v>
      </c>
      <c r="I1536" s="20" t="s">
        <v>5039</v>
      </c>
      <c r="J1536" s="20" t="s">
        <v>143</v>
      </c>
      <c r="Q1536" s="20">
        <v>9059.0</v>
      </c>
      <c r="R1536" s="20" t="s">
        <v>5308</v>
      </c>
      <c r="S1536" s="20" t="s">
        <v>5307</v>
      </c>
      <c r="T1536" s="20" t="s">
        <v>138</v>
      </c>
    </row>
    <row r="1537" ht="14.25" customHeight="1">
      <c r="A1537" s="20" t="s">
        <v>5309</v>
      </c>
      <c r="B1537" s="20" t="s">
        <v>5310</v>
      </c>
      <c r="C1537" s="20" t="s">
        <v>5311</v>
      </c>
      <c r="F1537" s="20" t="s">
        <v>218</v>
      </c>
      <c r="G1537" s="20" t="s">
        <v>219</v>
      </c>
      <c r="H1537" s="20">
        <v>15947.0</v>
      </c>
      <c r="I1537" s="20" t="s">
        <v>5039</v>
      </c>
      <c r="J1537" s="20" t="s">
        <v>186</v>
      </c>
      <c r="K1537" s="20" t="s">
        <v>213</v>
      </c>
      <c r="Q1537" s="20">
        <v>15947.0</v>
      </c>
      <c r="R1537" s="20" t="s">
        <v>5312</v>
      </c>
      <c r="S1537" s="20" t="s">
        <v>5313</v>
      </c>
      <c r="T1537" s="20" t="s">
        <v>138</v>
      </c>
      <c r="W1537" s="20" t="s">
        <v>146</v>
      </c>
    </row>
    <row r="1538" ht="14.25" customHeight="1">
      <c r="A1538" s="20" t="s">
        <v>5314</v>
      </c>
      <c r="B1538" s="20" t="s">
        <v>5315</v>
      </c>
      <c r="C1538" s="20" t="s">
        <v>5038</v>
      </c>
      <c r="F1538" s="20" t="s">
        <v>218</v>
      </c>
      <c r="G1538" s="20" t="s">
        <v>219</v>
      </c>
      <c r="I1538" s="20" t="s">
        <v>5039</v>
      </c>
      <c r="J1538" s="20" t="s">
        <v>136</v>
      </c>
      <c r="Q1538" s="20">
        <v>14133.0</v>
      </c>
      <c r="R1538" s="20" t="s">
        <v>5316</v>
      </c>
      <c r="S1538" s="20" t="s">
        <v>5315</v>
      </c>
      <c r="T1538" s="20" t="s">
        <v>138</v>
      </c>
    </row>
    <row r="1539" ht="14.25" customHeight="1">
      <c r="A1539" s="20" t="s">
        <v>5317</v>
      </c>
      <c r="B1539" s="20" t="s">
        <v>5318</v>
      </c>
      <c r="C1539" s="20" t="s">
        <v>5038</v>
      </c>
      <c r="F1539" s="20" t="s">
        <v>218</v>
      </c>
      <c r="G1539" s="20" t="s">
        <v>219</v>
      </c>
      <c r="I1539" s="20" t="s">
        <v>5039</v>
      </c>
      <c r="J1539" s="20" t="s">
        <v>136</v>
      </c>
      <c r="Q1539" s="20">
        <v>11816.0</v>
      </c>
      <c r="R1539" s="20" t="s">
        <v>5319</v>
      </c>
      <c r="S1539" s="20" t="s">
        <v>5318</v>
      </c>
      <c r="T1539" s="20" t="s">
        <v>138</v>
      </c>
    </row>
    <row r="1540" ht="14.25" customHeight="1">
      <c r="A1540" s="20" t="s">
        <v>5320</v>
      </c>
      <c r="B1540" s="20" t="s">
        <v>5321</v>
      </c>
      <c r="C1540" s="20" t="s">
        <v>5038</v>
      </c>
      <c r="F1540" s="20" t="s">
        <v>218</v>
      </c>
      <c r="G1540" s="20" t="s">
        <v>219</v>
      </c>
      <c r="I1540" s="20" t="s">
        <v>5039</v>
      </c>
      <c r="J1540" s="20" t="s">
        <v>136</v>
      </c>
      <c r="Q1540" s="20">
        <v>8164.0</v>
      </c>
      <c r="R1540" s="20" t="s">
        <v>5322</v>
      </c>
      <c r="S1540" s="20" t="s">
        <v>5321</v>
      </c>
      <c r="T1540" s="20" t="s">
        <v>138</v>
      </c>
    </row>
    <row r="1541" ht="14.25" customHeight="1">
      <c r="A1541" s="20" t="s">
        <v>5323</v>
      </c>
      <c r="B1541" s="20" t="s">
        <v>5324</v>
      </c>
      <c r="C1541" s="20" t="s">
        <v>5038</v>
      </c>
      <c r="F1541" s="20" t="s">
        <v>218</v>
      </c>
      <c r="G1541" s="20" t="s">
        <v>219</v>
      </c>
      <c r="I1541" s="20" t="s">
        <v>5039</v>
      </c>
      <c r="J1541" s="20" t="s">
        <v>186</v>
      </c>
      <c r="K1541" s="20" t="s">
        <v>167</v>
      </c>
      <c r="Q1541" s="20">
        <v>11919.0</v>
      </c>
      <c r="R1541" s="20" t="s">
        <v>5325</v>
      </c>
      <c r="S1541" s="20" t="s">
        <v>5324</v>
      </c>
      <c r="T1541" s="20" t="s">
        <v>138</v>
      </c>
    </row>
    <row r="1542" ht="14.25" customHeight="1">
      <c r="A1542" s="20" t="s">
        <v>5326</v>
      </c>
      <c r="B1542" s="20" t="s">
        <v>5327</v>
      </c>
      <c r="C1542" s="20" t="s">
        <v>5038</v>
      </c>
      <c r="F1542" s="20" t="s">
        <v>218</v>
      </c>
      <c r="G1542" s="20" t="s">
        <v>219</v>
      </c>
      <c r="I1542" s="20" t="s">
        <v>5039</v>
      </c>
      <c r="J1542" s="20" t="s">
        <v>186</v>
      </c>
      <c r="Q1542" s="20">
        <v>16159.0</v>
      </c>
      <c r="R1542" s="20" t="s">
        <v>5328</v>
      </c>
      <c r="S1542" s="20" t="s">
        <v>5327</v>
      </c>
      <c r="T1542" s="20" t="s">
        <v>138</v>
      </c>
    </row>
    <row r="1543" ht="14.25" customHeight="1">
      <c r="A1543" s="20" t="s">
        <v>5329</v>
      </c>
      <c r="B1543" s="20" t="s">
        <v>5330</v>
      </c>
      <c r="C1543" s="20" t="s">
        <v>5038</v>
      </c>
      <c r="F1543" s="20" t="s">
        <v>218</v>
      </c>
      <c r="G1543" s="20" t="s">
        <v>219</v>
      </c>
      <c r="I1543" s="20" t="s">
        <v>5039</v>
      </c>
      <c r="J1543" s="20" t="s">
        <v>186</v>
      </c>
      <c r="Q1543" s="20">
        <v>8789.0</v>
      </c>
      <c r="R1543" s="20" t="s">
        <v>5331</v>
      </c>
      <c r="S1543" s="20" t="s">
        <v>5330</v>
      </c>
      <c r="T1543" s="20" t="s">
        <v>138</v>
      </c>
    </row>
    <row r="1544" ht="14.25" customHeight="1">
      <c r="A1544" s="20" t="s">
        <v>5332</v>
      </c>
      <c r="B1544" s="20" t="s">
        <v>5333</v>
      </c>
      <c r="C1544" s="20" t="s">
        <v>5038</v>
      </c>
      <c r="F1544" s="20" t="s">
        <v>218</v>
      </c>
      <c r="G1544" s="20" t="s">
        <v>219</v>
      </c>
      <c r="I1544" s="20" t="s">
        <v>5039</v>
      </c>
      <c r="J1544" s="20" t="s">
        <v>186</v>
      </c>
      <c r="Q1544" s="20">
        <v>11843.0</v>
      </c>
      <c r="R1544" s="20" t="s">
        <v>5334</v>
      </c>
      <c r="S1544" s="20" t="s">
        <v>5333</v>
      </c>
      <c r="T1544" s="20" t="s">
        <v>138</v>
      </c>
    </row>
    <row r="1545" ht="14.25" customHeight="1">
      <c r="A1545" s="20" t="s">
        <v>5335</v>
      </c>
      <c r="B1545" s="20" t="s">
        <v>5336</v>
      </c>
      <c r="C1545" s="20" t="s">
        <v>5311</v>
      </c>
      <c r="F1545" s="20" t="s">
        <v>218</v>
      </c>
      <c r="G1545" s="20" t="s">
        <v>219</v>
      </c>
      <c r="H1545" s="20">
        <v>17566.0</v>
      </c>
      <c r="I1545" s="20" t="s">
        <v>5039</v>
      </c>
      <c r="J1545" s="20" t="s">
        <v>186</v>
      </c>
      <c r="O1545" s="20" t="s">
        <v>144</v>
      </c>
      <c r="Q1545" s="20">
        <v>17566.0</v>
      </c>
      <c r="R1545" s="20" t="s">
        <v>5337</v>
      </c>
      <c r="S1545" s="20" t="s">
        <v>5336</v>
      </c>
      <c r="T1545" s="20" t="s">
        <v>138</v>
      </c>
      <c r="W1545" s="20" t="s">
        <v>146</v>
      </c>
      <c r="X1545" s="20" t="s">
        <v>1292</v>
      </c>
    </row>
    <row r="1546" ht="14.25" customHeight="1">
      <c r="A1546" s="20" t="s">
        <v>5338</v>
      </c>
      <c r="B1546" s="20" t="s">
        <v>5339</v>
      </c>
      <c r="C1546" s="20" t="s">
        <v>5038</v>
      </c>
      <c r="F1546" s="20" t="s">
        <v>218</v>
      </c>
      <c r="G1546" s="20" t="s">
        <v>219</v>
      </c>
      <c r="I1546" s="20" t="s">
        <v>5039</v>
      </c>
      <c r="J1546" s="20" t="s">
        <v>143</v>
      </c>
      <c r="Q1546" s="20">
        <v>11885.0</v>
      </c>
      <c r="R1546" s="20" t="s">
        <v>5340</v>
      </c>
      <c r="S1546" s="20" t="s">
        <v>5339</v>
      </c>
      <c r="T1546" s="20" t="s">
        <v>138</v>
      </c>
    </row>
    <row r="1547" ht="14.25" customHeight="1">
      <c r="A1547" s="20" t="s">
        <v>5341</v>
      </c>
      <c r="B1547" s="20" t="s">
        <v>5342</v>
      </c>
      <c r="C1547" s="20" t="s">
        <v>5311</v>
      </c>
      <c r="F1547" s="20" t="s">
        <v>218</v>
      </c>
      <c r="G1547" s="20" t="s">
        <v>219</v>
      </c>
      <c r="H1547" s="20">
        <v>16926.0</v>
      </c>
      <c r="I1547" s="20" t="s">
        <v>5039</v>
      </c>
      <c r="J1547" s="20" t="s">
        <v>136</v>
      </c>
      <c r="L1547" s="20" t="s">
        <v>5039</v>
      </c>
      <c r="M1547" s="20" t="s">
        <v>5343</v>
      </c>
      <c r="O1547" s="20" t="s">
        <v>144</v>
      </c>
      <c r="Q1547" s="20">
        <v>16926.0</v>
      </c>
      <c r="R1547" s="20" t="s">
        <v>5344</v>
      </c>
      <c r="S1547" s="20" t="s">
        <v>5342</v>
      </c>
      <c r="T1547" s="20" t="s">
        <v>138</v>
      </c>
      <c r="W1547" s="20" t="s">
        <v>372</v>
      </c>
    </row>
    <row r="1548" ht="14.25" customHeight="1">
      <c r="A1548" s="20" t="s">
        <v>5345</v>
      </c>
      <c r="B1548" s="20" t="s">
        <v>5346</v>
      </c>
      <c r="C1548" s="20" t="s">
        <v>4036</v>
      </c>
      <c r="F1548" s="20" t="s">
        <v>327</v>
      </c>
      <c r="G1548" s="20" t="s">
        <v>395</v>
      </c>
      <c r="I1548" s="20" t="s">
        <v>396</v>
      </c>
      <c r="J1548" s="20" t="s">
        <v>186</v>
      </c>
      <c r="Q1548" s="20">
        <v>10199.0</v>
      </c>
      <c r="R1548" s="20" t="s">
        <v>5347</v>
      </c>
      <c r="S1548" s="20" t="s">
        <v>5346</v>
      </c>
      <c r="T1548" s="20" t="s">
        <v>138</v>
      </c>
    </row>
    <row r="1549" ht="14.25" customHeight="1">
      <c r="A1549" s="20" t="s">
        <v>5348</v>
      </c>
      <c r="B1549" s="20" t="s">
        <v>5349</v>
      </c>
      <c r="C1549" s="20" t="s">
        <v>149</v>
      </c>
      <c r="F1549" s="20" t="s">
        <v>150</v>
      </c>
      <c r="G1549" s="20" t="s">
        <v>150</v>
      </c>
      <c r="I1549" s="20" t="s">
        <v>151</v>
      </c>
      <c r="J1549" s="20" t="s">
        <v>143</v>
      </c>
      <c r="K1549" s="20" t="s">
        <v>213</v>
      </c>
      <c r="Q1549" s="20">
        <v>819.0</v>
      </c>
      <c r="R1549" s="20" t="s">
        <v>5350</v>
      </c>
      <c r="S1549" s="20" t="s">
        <v>5349</v>
      </c>
      <c r="T1549" s="20" t="s">
        <v>138</v>
      </c>
      <c r="W1549" s="20" t="s">
        <v>146</v>
      </c>
    </row>
    <row r="1550" ht="14.25" customHeight="1">
      <c r="A1550" s="20" t="s">
        <v>5351</v>
      </c>
      <c r="B1550" s="20" t="s">
        <v>5352</v>
      </c>
      <c r="C1550" s="20" t="s">
        <v>197</v>
      </c>
      <c r="F1550" s="20" t="s">
        <v>150</v>
      </c>
      <c r="G1550" s="20" t="s">
        <v>150</v>
      </c>
      <c r="I1550" s="20" t="s">
        <v>151</v>
      </c>
      <c r="J1550" s="20" t="s">
        <v>143</v>
      </c>
      <c r="Q1550" s="20">
        <v>8891.0</v>
      </c>
      <c r="R1550" s="20" t="s">
        <v>5353</v>
      </c>
      <c r="S1550" s="20" t="s">
        <v>5352</v>
      </c>
      <c r="T1550" s="20" t="s">
        <v>138</v>
      </c>
    </row>
    <row r="1551" ht="14.25" customHeight="1">
      <c r="A1551" s="20" t="s">
        <v>5354</v>
      </c>
      <c r="B1551" s="20" t="s">
        <v>5355</v>
      </c>
      <c r="C1551" s="20" t="s">
        <v>272</v>
      </c>
      <c r="F1551" s="20" t="s">
        <v>150</v>
      </c>
      <c r="G1551" s="20" t="s">
        <v>150</v>
      </c>
      <c r="I1551" s="20" t="s">
        <v>151</v>
      </c>
      <c r="J1551" s="20" t="s">
        <v>143</v>
      </c>
      <c r="Q1551" s="20">
        <v>11473.0</v>
      </c>
      <c r="R1551" s="20" t="s">
        <v>5356</v>
      </c>
      <c r="S1551" s="20" t="s">
        <v>5355</v>
      </c>
      <c r="T1551" s="20" t="s">
        <v>138</v>
      </c>
    </row>
    <row r="1552" ht="14.25" customHeight="1">
      <c r="A1552" s="20" t="s">
        <v>5357</v>
      </c>
      <c r="B1552" s="20" t="s">
        <v>5358</v>
      </c>
      <c r="C1552" s="20" t="s">
        <v>1096</v>
      </c>
      <c r="F1552" s="20" t="s">
        <v>16</v>
      </c>
      <c r="G1552" s="20" t="s">
        <v>638</v>
      </c>
      <c r="I1552" s="20" t="s">
        <v>814</v>
      </c>
      <c r="J1552" s="20" t="s">
        <v>143</v>
      </c>
      <c r="Q1552" s="20">
        <v>10487.0</v>
      </c>
      <c r="R1552" s="20" t="s">
        <v>5359</v>
      </c>
      <c r="S1552" s="20" t="s">
        <v>5358</v>
      </c>
      <c r="T1552" s="20" t="s">
        <v>388</v>
      </c>
      <c r="V1552" s="20" t="s">
        <v>189</v>
      </c>
      <c r="W1552" s="20" t="s">
        <v>146</v>
      </c>
    </row>
    <row r="1553" ht="14.25" customHeight="1">
      <c r="A1553" s="20" t="s">
        <v>5360</v>
      </c>
      <c r="B1553" s="20" t="s">
        <v>5361</v>
      </c>
      <c r="C1553" s="20" t="s">
        <v>5362</v>
      </c>
      <c r="F1553" s="20" t="s">
        <v>327</v>
      </c>
      <c r="G1553" s="20" t="s">
        <v>385</v>
      </c>
      <c r="I1553" s="20" t="s">
        <v>598</v>
      </c>
      <c r="J1553" s="20" t="s">
        <v>186</v>
      </c>
      <c r="Q1553" s="20">
        <v>16125.0</v>
      </c>
      <c r="R1553" s="20" t="s">
        <v>5363</v>
      </c>
      <c r="S1553" s="20" t="s">
        <v>5361</v>
      </c>
      <c r="T1553" s="20" t="s">
        <v>138</v>
      </c>
    </row>
    <row r="1554" ht="14.25" customHeight="1">
      <c r="A1554" s="20" t="s">
        <v>5364</v>
      </c>
      <c r="B1554" s="20" t="s">
        <v>5365</v>
      </c>
      <c r="C1554" s="20" t="s">
        <v>680</v>
      </c>
      <c r="F1554" s="20" t="s">
        <v>15</v>
      </c>
      <c r="G1554" s="20" t="s">
        <v>142</v>
      </c>
      <c r="I1554" s="20" t="s">
        <v>105</v>
      </c>
      <c r="J1554" s="20" t="s">
        <v>143</v>
      </c>
      <c r="Q1554" s="20">
        <v>14563.0</v>
      </c>
      <c r="R1554" s="20" t="s">
        <v>5366</v>
      </c>
      <c r="S1554" s="20" t="s">
        <v>5365</v>
      </c>
      <c r="T1554" s="20" t="s">
        <v>138</v>
      </c>
    </row>
    <row r="1555" ht="14.25" customHeight="1">
      <c r="A1555" s="20" t="s">
        <v>5367</v>
      </c>
      <c r="B1555" s="20" t="s">
        <v>5368</v>
      </c>
      <c r="C1555" s="20" t="s">
        <v>1581</v>
      </c>
      <c r="F1555" s="20" t="s">
        <v>16</v>
      </c>
      <c r="G1555" s="20" t="s">
        <v>638</v>
      </c>
      <c r="I1555" s="20" t="s">
        <v>1582</v>
      </c>
      <c r="J1555" s="20" t="s">
        <v>186</v>
      </c>
      <c r="K1555" s="20" t="s">
        <v>187</v>
      </c>
      <c r="Q1555" s="20">
        <v>1659.0</v>
      </c>
      <c r="R1555" s="20" t="s">
        <v>5369</v>
      </c>
      <c r="S1555" s="20" t="s">
        <v>5368</v>
      </c>
      <c r="T1555" s="20" t="s">
        <v>138</v>
      </c>
      <c r="V1555" s="20" t="s">
        <v>260</v>
      </c>
      <c r="W1555" s="20" t="s">
        <v>146</v>
      </c>
    </row>
    <row r="1556" ht="14.25" customHeight="1">
      <c r="A1556" s="20" t="s">
        <v>5370</v>
      </c>
      <c r="B1556" s="20" t="s">
        <v>5371</v>
      </c>
      <c r="C1556" s="20" t="s">
        <v>779</v>
      </c>
      <c r="F1556" s="20" t="s">
        <v>150</v>
      </c>
      <c r="G1556" s="20" t="s">
        <v>150</v>
      </c>
      <c r="I1556" s="20" t="s">
        <v>151</v>
      </c>
      <c r="J1556" s="20" t="s">
        <v>143</v>
      </c>
      <c r="Q1556" s="20">
        <v>15809.0</v>
      </c>
      <c r="R1556" s="20" t="s">
        <v>5372</v>
      </c>
      <c r="S1556" s="20" t="s">
        <v>5371</v>
      </c>
      <c r="T1556" s="20" t="s">
        <v>138</v>
      </c>
    </row>
    <row r="1557" ht="14.25" customHeight="1">
      <c r="A1557" s="20" t="s">
        <v>5373</v>
      </c>
      <c r="B1557" s="20" t="s">
        <v>5374</v>
      </c>
      <c r="C1557" s="20" t="s">
        <v>272</v>
      </c>
      <c r="F1557" s="20" t="s">
        <v>150</v>
      </c>
      <c r="G1557" s="20" t="s">
        <v>150</v>
      </c>
      <c r="I1557" s="20" t="s">
        <v>151</v>
      </c>
      <c r="J1557" s="20" t="s">
        <v>143</v>
      </c>
      <c r="Q1557" s="20">
        <v>3553.0</v>
      </c>
      <c r="R1557" s="20" t="s">
        <v>5375</v>
      </c>
      <c r="S1557" s="20" t="s">
        <v>5374</v>
      </c>
      <c r="T1557" s="20" t="s">
        <v>138</v>
      </c>
    </row>
    <row r="1558" ht="14.25" customHeight="1">
      <c r="A1558" s="20" t="s">
        <v>5376</v>
      </c>
      <c r="B1558" s="20" t="s">
        <v>5377</v>
      </c>
      <c r="C1558" s="20" t="s">
        <v>174</v>
      </c>
      <c r="F1558" s="20" t="s">
        <v>150</v>
      </c>
      <c r="G1558" s="20" t="s">
        <v>150</v>
      </c>
      <c r="I1558" s="20" t="s">
        <v>151</v>
      </c>
      <c r="J1558" s="20" t="s">
        <v>143</v>
      </c>
      <c r="Q1558" s="20">
        <v>11538.0</v>
      </c>
      <c r="R1558" s="20" t="s">
        <v>5378</v>
      </c>
      <c r="S1558" s="20" t="s">
        <v>5377</v>
      </c>
      <c r="T1558" s="20" t="s">
        <v>138</v>
      </c>
    </row>
    <row r="1559" ht="14.25" customHeight="1">
      <c r="A1559" s="20" t="s">
        <v>5379</v>
      </c>
      <c r="B1559" s="20" t="s">
        <v>5380</v>
      </c>
      <c r="C1559" s="20" t="s">
        <v>5381</v>
      </c>
      <c r="F1559" s="20" t="s">
        <v>150</v>
      </c>
      <c r="G1559" s="20" t="s">
        <v>150</v>
      </c>
      <c r="I1559" s="20" t="s">
        <v>151</v>
      </c>
      <c r="J1559" s="20" t="s">
        <v>143</v>
      </c>
      <c r="K1559" s="20" t="s">
        <v>213</v>
      </c>
      <c r="Q1559" s="20">
        <v>150.0</v>
      </c>
      <c r="R1559" s="20" t="s">
        <v>5382</v>
      </c>
      <c r="S1559" s="20" t="s">
        <v>5380</v>
      </c>
      <c r="T1559" s="20" t="s">
        <v>138</v>
      </c>
      <c r="V1559" s="20" t="s">
        <v>260</v>
      </c>
      <c r="W1559" s="20" t="s">
        <v>261</v>
      </c>
    </row>
    <row r="1560" ht="14.25" customHeight="1">
      <c r="A1560" s="20" t="s">
        <v>5383</v>
      </c>
      <c r="B1560" s="20" t="s">
        <v>5384</v>
      </c>
      <c r="C1560" s="20" t="s">
        <v>163</v>
      </c>
      <c r="F1560" s="20" t="s">
        <v>150</v>
      </c>
      <c r="G1560" s="20" t="s">
        <v>150</v>
      </c>
      <c r="I1560" s="20" t="s">
        <v>151</v>
      </c>
      <c r="J1560" s="20" t="s">
        <v>143</v>
      </c>
      <c r="Q1560" s="20">
        <v>749.0</v>
      </c>
      <c r="R1560" s="20" t="s">
        <v>5385</v>
      </c>
      <c r="S1560" s="20" t="s">
        <v>5384</v>
      </c>
      <c r="T1560" s="20" t="s">
        <v>138</v>
      </c>
    </row>
    <row r="1561" ht="14.25" customHeight="1">
      <c r="A1561" s="20" t="s">
        <v>5386</v>
      </c>
      <c r="B1561" s="20" t="s">
        <v>5387</v>
      </c>
      <c r="C1561" s="20" t="s">
        <v>149</v>
      </c>
      <c r="F1561" s="20" t="s">
        <v>150</v>
      </c>
      <c r="G1561" s="20" t="s">
        <v>150</v>
      </c>
      <c r="I1561" s="20" t="s">
        <v>151</v>
      </c>
      <c r="J1561" s="20" t="s">
        <v>143</v>
      </c>
      <c r="Q1561" s="20">
        <v>10442.0</v>
      </c>
      <c r="R1561" s="20" t="s">
        <v>5388</v>
      </c>
      <c r="S1561" s="20" t="s">
        <v>5387</v>
      </c>
      <c r="T1561" s="20" t="s">
        <v>138</v>
      </c>
    </row>
    <row r="1562" ht="14.25" customHeight="1">
      <c r="A1562" s="20" t="s">
        <v>5389</v>
      </c>
      <c r="B1562" s="20" t="s">
        <v>5390</v>
      </c>
      <c r="C1562" s="20" t="s">
        <v>5391</v>
      </c>
      <c r="F1562" s="20" t="s">
        <v>16</v>
      </c>
      <c r="G1562" s="20" t="s">
        <v>202</v>
      </c>
      <c r="H1562" s="20">
        <v>15442.0</v>
      </c>
      <c r="I1562" s="20" t="s">
        <v>203</v>
      </c>
      <c r="J1562" s="20" t="s">
        <v>143</v>
      </c>
      <c r="P1562" s="20" t="s">
        <v>5390</v>
      </c>
      <c r="Q1562" s="20">
        <v>15442.0</v>
      </c>
      <c r="R1562" s="20" t="s">
        <v>5392</v>
      </c>
      <c r="S1562" s="20" t="s">
        <v>5390</v>
      </c>
      <c r="T1562" s="20" t="s">
        <v>138</v>
      </c>
      <c r="W1562" s="20" t="s">
        <v>146</v>
      </c>
      <c r="X1562" s="20" t="s">
        <v>1292</v>
      </c>
    </row>
    <row r="1563" ht="14.25" customHeight="1">
      <c r="A1563" s="20" t="s">
        <v>5393</v>
      </c>
      <c r="B1563" s="20" t="s">
        <v>5394</v>
      </c>
      <c r="C1563" s="20" t="s">
        <v>4484</v>
      </c>
      <c r="F1563" s="20" t="s">
        <v>17</v>
      </c>
      <c r="G1563" s="20" t="s">
        <v>17</v>
      </c>
      <c r="I1563" s="20" t="s">
        <v>88</v>
      </c>
      <c r="J1563" s="20" t="s">
        <v>143</v>
      </c>
      <c r="K1563" s="20" t="s">
        <v>167</v>
      </c>
      <c r="Q1563" s="20">
        <v>2508.0</v>
      </c>
      <c r="R1563" s="20" t="s">
        <v>5395</v>
      </c>
      <c r="S1563" s="20" t="s">
        <v>5394</v>
      </c>
      <c r="T1563" s="20" t="s">
        <v>138</v>
      </c>
    </row>
    <row r="1564" ht="14.25" customHeight="1">
      <c r="A1564" s="20" t="s">
        <v>5396</v>
      </c>
      <c r="B1564" s="20" t="s">
        <v>5397</v>
      </c>
      <c r="C1564" s="20" t="s">
        <v>235</v>
      </c>
      <c r="F1564" s="20" t="s">
        <v>15</v>
      </c>
      <c r="G1564" s="20" t="s">
        <v>142</v>
      </c>
      <c r="I1564" s="20" t="s">
        <v>105</v>
      </c>
      <c r="J1564" s="20" t="s">
        <v>143</v>
      </c>
      <c r="Q1564" s="20">
        <v>9760.0</v>
      </c>
      <c r="R1564" s="20" t="s">
        <v>5398</v>
      </c>
      <c r="S1564" s="20" t="s">
        <v>5397</v>
      </c>
      <c r="T1564" s="20" t="s">
        <v>138</v>
      </c>
    </row>
    <row r="1565" ht="14.25" customHeight="1">
      <c r="A1565" s="20" t="s">
        <v>5399</v>
      </c>
      <c r="B1565" s="20" t="s">
        <v>5400</v>
      </c>
      <c r="C1565" s="20" t="s">
        <v>364</v>
      </c>
      <c r="F1565" s="20" t="s">
        <v>218</v>
      </c>
      <c r="G1565" s="20" t="s">
        <v>219</v>
      </c>
      <c r="I1565" s="20" t="s">
        <v>365</v>
      </c>
      <c r="J1565" s="20" t="s">
        <v>186</v>
      </c>
      <c r="K1565" s="20" t="s">
        <v>213</v>
      </c>
      <c r="Q1565" s="20">
        <v>751.0</v>
      </c>
      <c r="R1565" s="20" t="s">
        <v>5401</v>
      </c>
      <c r="S1565" s="20" t="s">
        <v>5400</v>
      </c>
      <c r="T1565" s="20" t="s">
        <v>138</v>
      </c>
      <c r="V1565" s="20" t="s">
        <v>189</v>
      </c>
      <c r="W1565" s="20" t="s">
        <v>146</v>
      </c>
    </row>
    <row r="1566" ht="14.25" customHeight="1">
      <c r="A1566" s="20" t="s">
        <v>5402</v>
      </c>
      <c r="B1566" s="20" t="s">
        <v>5403</v>
      </c>
      <c r="C1566" s="20" t="s">
        <v>5404</v>
      </c>
      <c r="F1566" s="20" t="s">
        <v>17</v>
      </c>
      <c r="G1566" s="20" t="s">
        <v>17</v>
      </c>
      <c r="I1566" s="20" t="s">
        <v>88</v>
      </c>
      <c r="J1566" s="20" t="s">
        <v>143</v>
      </c>
      <c r="L1566" s="20" t="s">
        <v>88</v>
      </c>
      <c r="O1566" s="20" t="s">
        <v>144</v>
      </c>
      <c r="Q1566" s="20">
        <v>16335.0</v>
      </c>
      <c r="R1566" s="20" t="s">
        <v>5405</v>
      </c>
      <c r="S1566" s="20" t="s">
        <v>5403</v>
      </c>
      <c r="T1566" s="20" t="s">
        <v>138</v>
      </c>
    </row>
    <row r="1567" ht="14.25" customHeight="1">
      <c r="A1567" s="20" t="s">
        <v>5406</v>
      </c>
      <c r="B1567" s="20" t="s">
        <v>5407</v>
      </c>
      <c r="C1567" s="20" t="s">
        <v>193</v>
      </c>
      <c r="F1567" s="20" t="s">
        <v>150</v>
      </c>
      <c r="G1567" s="20" t="s">
        <v>150</v>
      </c>
      <c r="I1567" s="20" t="s">
        <v>151</v>
      </c>
      <c r="J1567" s="20" t="s">
        <v>143</v>
      </c>
      <c r="Q1567" s="20">
        <v>9416.0</v>
      </c>
      <c r="R1567" s="20" t="s">
        <v>5408</v>
      </c>
      <c r="S1567" s="20" t="s">
        <v>5407</v>
      </c>
      <c r="T1567" s="20" t="s">
        <v>138</v>
      </c>
    </row>
    <row r="1568" ht="14.25" customHeight="1">
      <c r="A1568" s="20" t="s">
        <v>5409</v>
      </c>
      <c r="B1568" s="20" t="s">
        <v>5410</v>
      </c>
      <c r="C1568" s="20" t="s">
        <v>5411</v>
      </c>
      <c r="F1568" s="20" t="s">
        <v>327</v>
      </c>
      <c r="G1568" s="20" t="s">
        <v>328</v>
      </c>
      <c r="H1568" s="20">
        <v>17088.0</v>
      </c>
      <c r="I1568" s="20" t="s">
        <v>329</v>
      </c>
      <c r="J1568" s="20" t="s">
        <v>136</v>
      </c>
      <c r="Q1568" s="20">
        <v>17088.0</v>
      </c>
      <c r="R1568" s="20" t="s">
        <v>5412</v>
      </c>
      <c r="S1568" s="20" t="s">
        <v>5410</v>
      </c>
      <c r="T1568" s="20" t="s">
        <v>138</v>
      </c>
      <c r="W1568" s="20" t="s">
        <v>136</v>
      </c>
    </row>
    <row r="1569" ht="14.25" customHeight="1">
      <c r="A1569" s="20" t="s">
        <v>5413</v>
      </c>
      <c r="B1569" s="20" t="s">
        <v>5414</v>
      </c>
      <c r="C1569" s="20" t="s">
        <v>5415</v>
      </c>
      <c r="F1569" s="20" t="s">
        <v>15</v>
      </c>
      <c r="G1569" s="20" t="s">
        <v>142</v>
      </c>
      <c r="I1569" s="20" t="s">
        <v>105</v>
      </c>
      <c r="J1569" s="20" t="s">
        <v>143</v>
      </c>
      <c r="Q1569" s="20">
        <v>14285.0</v>
      </c>
      <c r="R1569" s="20" t="s">
        <v>5416</v>
      </c>
      <c r="S1569" s="20" t="s">
        <v>5414</v>
      </c>
      <c r="T1569" s="20" t="s">
        <v>138</v>
      </c>
    </row>
    <row r="1570" ht="14.25" customHeight="1">
      <c r="A1570" s="20" t="s">
        <v>5417</v>
      </c>
      <c r="B1570" s="20" t="s">
        <v>5418</v>
      </c>
      <c r="C1570" s="20" t="s">
        <v>5419</v>
      </c>
      <c r="F1570" s="20" t="s">
        <v>327</v>
      </c>
      <c r="G1570" s="20" t="s">
        <v>328</v>
      </c>
      <c r="H1570" s="20">
        <v>16793.0</v>
      </c>
      <c r="I1570" s="20" t="s">
        <v>329</v>
      </c>
      <c r="J1570" s="20" t="s">
        <v>136</v>
      </c>
      <c r="M1570" s="20" t="s">
        <v>5420</v>
      </c>
      <c r="Q1570" s="20">
        <v>16793.0</v>
      </c>
      <c r="R1570" s="20" t="s">
        <v>5421</v>
      </c>
      <c r="S1570" s="20" t="s">
        <v>5418</v>
      </c>
      <c r="T1570" s="20" t="s">
        <v>138</v>
      </c>
      <c r="W1570" s="20" t="s">
        <v>372</v>
      </c>
    </row>
    <row r="1571" ht="14.25" customHeight="1">
      <c r="A1571" s="20" t="s">
        <v>5422</v>
      </c>
      <c r="B1571" s="20" t="s">
        <v>5423</v>
      </c>
      <c r="C1571" s="20" t="s">
        <v>1501</v>
      </c>
      <c r="F1571" s="20" t="s">
        <v>15</v>
      </c>
      <c r="G1571" s="20" t="s">
        <v>142</v>
      </c>
      <c r="I1571" s="20" t="s">
        <v>105</v>
      </c>
      <c r="J1571" s="20" t="s">
        <v>186</v>
      </c>
      <c r="Q1571" s="20">
        <v>15038.0</v>
      </c>
      <c r="R1571" s="20" t="s">
        <v>5424</v>
      </c>
      <c r="S1571" s="20" t="s">
        <v>5423</v>
      </c>
      <c r="T1571" s="20" t="s">
        <v>138</v>
      </c>
    </row>
    <row r="1572" ht="14.25" customHeight="1">
      <c r="A1572" s="20" t="s">
        <v>5425</v>
      </c>
      <c r="B1572" s="20" t="s">
        <v>5426</v>
      </c>
      <c r="C1572" s="20" t="s">
        <v>1762</v>
      </c>
      <c r="F1572" s="20" t="s">
        <v>15</v>
      </c>
      <c r="G1572" s="20" t="s">
        <v>135</v>
      </c>
      <c r="I1572" s="20" t="s">
        <v>106</v>
      </c>
      <c r="J1572" s="20" t="s">
        <v>186</v>
      </c>
      <c r="K1572" s="20" t="s">
        <v>167</v>
      </c>
      <c r="Q1572" s="20">
        <v>755.0</v>
      </c>
      <c r="R1572" s="20" t="s">
        <v>5427</v>
      </c>
      <c r="S1572" s="20" t="s">
        <v>5426</v>
      </c>
      <c r="T1572" s="20" t="s">
        <v>138</v>
      </c>
    </row>
    <row r="1573" ht="14.25" customHeight="1">
      <c r="A1573" s="20" t="s">
        <v>5428</v>
      </c>
      <c r="B1573" s="20" t="s">
        <v>5429</v>
      </c>
      <c r="C1573" s="20" t="s">
        <v>289</v>
      </c>
      <c r="F1573" s="20" t="s">
        <v>150</v>
      </c>
      <c r="G1573" s="20" t="s">
        <v>150</v>
      </c>
      <c r="I1573" s="20" t="s">
        <v>151</v>
      </c>
      <c r="J1573" s="20" t="s">
        <v>143</v>
      </c>
      <c r="Q1573" s="20">
        <v>16340.0</v>
      </c>
      <c r="R1573" s="20" t="s">
        <v>5430</v>
      </c>
      <c r="S1573" s="20" t="s">
        <v>5429</v>
      </c>
      <c r="T1573" s="20" t="s">
        <v>138</v>
      </c>
    </row>
    <row r="1574" ht="14.25" customHeight="1">
      <c r="A1574" s="20" t="s">
        <v>5431</v>
      </c>
      <c r="B1574" s="20" t="s">
        <v>5432</v>
      </c>
      <c r="C1574" s="20" t="s">
        <v>252</v>
      </c>
      <c r="F1574" s="20" t="s">
        <v>16</v>
      </c>
      <c r="G1574" s="20" t="s">
        <v>211</v>
      </c>
      <c r="I1574" s="20" t="s">
        <v>253</v>
      </c>
      <c r="J1574" s="20" t="s">
        <v>143</v>
      </c>
      <c r="Q1574" s="20">
        <v>15630.0</v>
      </c>
      <c r="R1574" s="20" t="s">
        <v>5433</v>
      </c>
      <c r="S1574" s="20" t="s">
        <v>5432</v>
      </c>
      <c r="T1574" s="20" t="s">
        <v>138</v>
      </c>
    </row>
    <row r="1575" ht="14.25" customHeight="1">
      <c r="A1575" s="20" t="s">
        <v>5434</v>
      </c>
      <c r="B1575" s="20" t="s">
        <v>5435</v>
      </c>
      <c r="C1575" s="20" t="s">
        <v>786</v>
      </c>
      <c r="F1575" s="20" t="s">
        <v>16</v>
      </c>
      <c r="G1575" s="20" t="s">
        <v>202</v>
      </c>
      <c r="I1575" s="20" t="s">
        <v>203</v>
      </c>
      <c r="J1575" s="20" t="s">
        <v>143</v>
      </c>
      <c r="Q1575" s="20">
        <v>12062.0</v>
      </c>
      <c r="R1575" s="20" t="s">
        <v>5436</v>
      </c>
      <c r="S1575" s="20" t="s">
        <v>5435</v>
      </c>
      <c r="T1575" s="20" t="s">
        <v>138</v>
      </c>
    </row>
    <row r="1576" ht="14.25" customHeight="1">
      <c r="A1576" s="20" t="s">
        <v>5437</v>
      </c>
      <c r="B1576" s="20" t="s">
        <v>5438</v>
      </c>
      <c r="C1576" s="20" t="s">
        <v>159</v>
      </c>
      <c r="F1576" s="20" t="s">
        <v>150</v>
      </c>
      <c r="G1576" s="20" t="s">
        <v>150</v>
      </c>
      <c r="I1576" s="20" t="s">
        <v>151</v>
      </c>
      <c r="J1576" s="20" t="s">
        <v>143</v>
      </c>
      <c r="Q1576" s="20">
        <v>15516.0</v>
      </c>
      <c r="R1576" s="20" t="s">
        <v>5439</v>
      </c>
      <c r="S1576" s="20" t="s">
        <v>5438</v>
      </c>
      <c r="T1576" s="20" t="s">
        <v>138</v>
      </c>
    </row>
    <row r="1577" ht="14.25" customHeight="1">
      <c r="A1577" s="20" t="s">
        <v>5440</v>
      </c>
      <c r="B1577" s="20" t="s">
        <v>5441</v>
      </c>
      <c r="C1577" s="20" t="s">
        <v>163</v>
      </c>
      <c r="F1577" s="20" t="s">
        <v>150</v>
      </c>
      <c r="G1577" s="20" t="s">
        <v>150</v>
      </c>
      <c r="I1577" s="20" t="s">
        <v>151</v>
      </c>
      <c r="J1577" s="20" t="s">
        <v>143</v>
      </c>
      <c r="Q1577" s="20">
        <v>2033.0</v>
      </c>
      <c r="R1577" s="20" t="s">
        <v>5442</v>
      </c>
      <c r="S1577" s="20" t="s">
        <v>5441</v>
      </c>
      <c r="T1577" s="20" t="s">
        <v>138</v>
      </c>
    </row>
    <row r="1578" ht="14.25" customHeight="1">
      <c r="A1578" s="20" t="s">
        <v>5443</v>
      </c>
      <c r="B1578" s="20" t="s">
        <v>5444</v>
      </c>
      <c r="C1578" s="20" t="s">
        <v>235</v>
      </c>
      <c r="F1578" s="20" t="s">
        <v>15</v>
      </c>
      <c r="G1578" s="20" t="s">
        <v>142</v>
      </c>
      <c r="I1578" s="20" t="s">
        <v>105</v>
      </c>
      <c r="J1578" s="20" t="s">
        <v>143</v>
      </c>
      <c r="Q1578" s="20">
        <v>8641.0</v>
      </c>
      <c r="R1578" s="20" t="s">
        <v>5445</v>
      </c>
      <c r="S1578" s="20" t="s">
        <v>5444</v>
      </c>
      <c r="T1578" s="20" t="s">
        <v>138</v>
      </c>
    </row>
    <row r="1579" ht="14.25" customHeight="1">
      <c r="A1579" s="20" t="s">
        <v>5446</v>
      </c>
      <c r="B1579" s="20" t="s">
        <v>5447</v>
      </c>
      <c r="C1579" s="20" t="s">
        <v>5448</v>
      </c>
      <c r="F1579" s="20" t="s">
        <v>15</v>
      </c>
      <c r="G1579" s="20" t="s">
        <v>135</v>
      </c>
      <c r="H1579" s="20">
        <v>2471.0</v>
      </c>
      <c r="I1579" s="20" t="s">
        <v>93</v>
      </c>
      <c r="J1579" s="20" t="s">
        <v>186</v>
      </c>
      <c r="K1579" s="20" t="s">
        <v>167</v>
      </c>
      <c r="L1579" s="20" t="s">
        <v>93</v>
      </c>
      <c r="Q1579" s="20">
        <v>2471.0</v>
      </c>
      <c r="R1579" s="20" t="s">
        <v>5449</v>
      </c>
      <c r="S1579" s="20" t="s">
        <v>5447</v>
      </c>
      <c r="T1579" s="20" t="s">
        <v>138</v>
      </c>
      <c r="U1579" s="24">
        <v>44594.0</v>
      </c>
    </row>
    <row r="1580" ht="14.25" customHeight="1">
      <c r="A1580" s="20" t="s">
        <v>5450</v>
      </c>
      <c r="B1580" s="20" t="s">
        <v>5451</v>
      </c>
      <c r="C1580" s="20" t="s">
        <v>5452</v>
      </c>
      <c r="F1580" s="20" t="s">
        <v>17</v>
      </c>
      <c r="G1580" s="20" t="s">
        <v>17</v>
      </c>
      <c r="H1580" s="20">
        <v>14971.0</v>
      </c>
      <c r="I1580" s="20" t="s">
        <v>88</v>
      </c>
      <c r="J1580" s="20" t="s">
        <v>143</v>
      </c>
      <c r="K1580" s="20" t="s">
        <v>213</v>
      </c>
      <c r="L1580" s="20" t="s">
        <v>88</v>
      </c>
      <c r="M1580" s="20" t="s">
        <v>319</v>
      </c>
      <c r="Q1580" s="20">
        <v>14971.0</v>
      </c>
      <c r="R1580" s="20" t="s">
        <v>5453</v>
      </c>
      <c r="S1580" s="20" t="s">
        <v>5451</v>
      </c>
      <c r="T1580" s="20" t="s">
        <v>138</v>
      </c>
      <c r="V1580" s="20" t="s">
        <v>189</v>
      </c>
      <c r="W1580" s="20" t="s">
        <v>261</v>
      </c>
    </row>
    <row r="1581" ht="14.25" customHeight="1">
      <c r="A1581" s="20" t="s">
        <v>5454</v>
      </c>
      <c r="B1581" s="20" t="s">
        <v>5455</v>
      </c>
      <c r="C1581" s="20" t="s">
        <v>2267</v>
      </c>
      <c r="F1581" s="20" t="s">
        <v>327</v>
      </c>
      <c r="G1581" s="20" t="s">
        <v>385</v>
      </c>
      <c r="I1581" s="20" t="s">
        <v>2268</v>
      </c>
      <c r="J1581" s="20" t="s">
        <v>186</v>
      </c>
      <c r="Q1581" s="20">
        <v>14920.0</v>
      </c>
      <c r="R1581" s="20" t="s">
        <v>5456</v>
      </c>
      <c r="S1581" s="20" t="s">
        <v>5455</v>
      </c>
      <c r="T1581" s="20" t="s">
        <v>138</v>
      </c>
      <c r="W1581" s="20" t="s">
        <v>146</v>
      </c>
    </row>
    <row r="1582" ht="14.25" customHeight="1">
      <c r="A1582" s="20" t="s">
        <v>5457</v>
      </c>
      <c r="B1582" s="20" t="s">
        <v>5458</v>
      </c>
      <c r="C1582" s="20" t="s">
        <v>2855</v>
      </c>
      <c r="F1582" s="20" t="s">
        <v>15</v>
      </c>
      <c r="G1582" s="20" t="s">
        <v>135</v>
      </c>
      <c r="I1582" s="20" t="s">
        <v>100</v>
      </c>
      <c r="J1582" s="20" t="s">
        <v>143</v>
      </c>
      <c r="K1582" s="20" t="s">
        <v>167</v>
      </c>
      <c r="Q1582" s="20">
        <v>5273.0</v>
      </c>
      <c r="R1582" s="20" t="s">
        <v>5459</v>
      </c>
      <c r="S1582" s="20" t="s">
        <v>5458</v>
      </c>
      <c r="T1582" s="20" t="s">
        <v>138</v>
      </c>
    </row>
    <row r="1583" ht="14.25" customHeight="1">
      <c r="A1583" s="20" t="s">
        <v>5460</v>
      </c>
      <c r="B1583" s="20" t="s">
        <v>5461</v>
      </c>
      <c r="C1583" s="20" t="s">
        <v>1663</v>
      </c>
      <c r="F1583" s="20" t="s">
        <v>218</v>
      </c>
      <c r="G1583" s="20" t="s">
        <v>219</v>
      </c>
      <c r="H1583" s="20">
        <v>12264.0</v>
      </c>
      <c r="I1583" s="20" t="s">
        <v>360</v>
      </c>
      <c r="J1583" s="20" t="s">
        <v>143</v>
      </c>
      <c r="Q1583" s="20">
        <v>12264.0</v>
      </c>
      <c r="R1583" s="20" t="s">
        <v>5462</v>
      </c>
      <c r="S1583" s="20" t="s">
        <v>5461</v>
      </c>
      <c r="T1583" s="20" t="s">
        <v>138</v>
      </c>
    </row>
    <row r="1584" ht="14.25" customHeight="1">
      <c r="A1584" s="20" t="s">
        <v>5463</v>
      </c>
      <c r="B1584" s="20" t="s">
        <v>5464</v>
      </c>
      <c r="C1584" s="20" t="s">
        <v>5415</v>
      </c>
      <c r="F1584" s="20" t="s">
        <v>15</v>
      </c>
      <c r="G1584" s="20" t="s">
        <v>142</v>
      </c>
      <c r="I1584" s="20" t="s">
        <v>105</v>
      </c>
      <c r="J1584" s="20" t="s">
        <v>143</v>
      </c>
      <c r="Q1584" s="20">
        <v>13655.0</v>
      </c>
      <c r="R1584" s="20" t="s">
        <v>5465</v>
      </c>
      <c r="S1584" s="20" t="s">
        <v>5464</v>
      </c>
      <c r="T1584" s="20" t="s">
        <v>138</v>
      </c>
    </row>
    <row r="1585" ht="14.25" customHeight="1">
      <c r="A1585" s="20" t="s">
        <v>5466</v>
      </c>
      <c r="B1585" s="20" t="s">
        <v>5467</v>
      </c>
      <c r="C1585" s="20" t="s">
        <v>149</v>
      </c>
      <c r="F1585" s="20" t="s">
        <v>150</v>
      </c>
      <c r="G1585" s="20" t="s">
        <v>150</v>
      </c>
      <c r="I1585" s="20" t="s">
        <v>151</v>
      </c>
      <c r="J1585" s="20" t="s">
        <v>143</v>
      </c>
      <c r="Q1585" s="20">
        <v>16089.0</v>
      </c>
      <c r="R1585" s="20" t="s">
        <v>5468</v>
      </c>
      <c r="S1585" s="20" t="s">
        <v>5467</v>
      </c>
      <c r="T1585" s="20" t="s">
        <v>138</v>
      </c>
    </row>
    <row r="1586" ht="14.25" customHeight="1">
      <c r="A1586" s="20" t="s">
        <v>5469</v>
      </c>
      <c r="B1586" s="20" t="s">
        <v>5470</v>
      </c>
      <c r="C1586" s="20" t="s">
        <v>174</v>
      </c>
      <c r="F1586" s="20" t="s">
        <v>150</v>
      </c>
      <c r="G1586" s="20" t="s">
        <v>150</v>
      </c>
      <c r="I1586" s="20" t="s">
        <v>151</v>
      </c>
      <c r="J1586" s="20" t="s">
        <v>143</v>
      </c>
      <c r="Q1586" s="20">
        <v>4745.0</v>
      </c>
      <c r="R1586" s="20" t="s">
        <v>5471</v>
      </c>
      <c r="S1586" s="20" t="s">
        <v>5470</v>
      </c>
      <c r="T1586" s="20" t="s">
        <v>138</v>
      </c>
      <c r="W1586" s="20" t="s">
        <v>146</v>
      </c>
    </row>
    <row r="1587" ht="14.25" customHeight="1">
      <c r="A1587" s="20" t="s">
        <v>5472</v>
      </c>
      <c r="B1587" s="20" t="s">
        <v>5473</v>
      </c>
      <c r="C1587" s="20" t="s">
        <v>779</v>
      </c>
      <c r="F1587" s="20" t="s">
        <v>150</v>
      </c>
      <c r="G1587" s="20" t="s">
        <v>150</v>
      </c>
      <c r="I1587" s="20" t="s">
        <v>151</v>
      </c>
      <c r="J1587" s="20" t="s">
        <v>143</v>
      </c>
      <c r="K1587" s="20" t="s">
        <v>167</v>
      </c>
      <c r="Q1587" s="20">
        <v>3260.0</v>
      </c>
      <c r="R1587" s="20" t="s">
        <v>5474</v>
      </c>
      <c r="S1587" s="20" t="s">
        <v>5473</v>
      </c>
      <c r="T1587" s="20" t="s">
        <v>138</v>
      </c>
    </row>
    <row r="1588" ht="14.25" customHeight="1">
      <c r="A1588" s="20" t="s">
        <v>5475</v>
      </c>
      <c r="B1588" s="20" t="s">
        <v>5476</v>
      </c>
      <c r="C1588" s="20" t="s">
        <v>272</v>
      </c>
      <c r="F1588" s="20" t="s">
        <v>150</v>
      </c>
      <c r="G1588" s="20" t="s">
        <v>150</v>
      </c>
      <c r="I1588" s="20" t="s">
        <v>151</v>
      </c>
      <c r="J1588" s="20" t="s">
        <v>143</v>
      </c>
      <c r="Q1588" s="20">
        <v>16255.0</v>
      </c>
      <c r="R1588" s="20" t="s">
        <v>5477</v>
      </c>
      <c r="S1588" s="20" t="s">
        <v>5476</v>
      </c>
      <c r="T1588" s="20" t="s">
        <v>138</v>
      </c>
    </row>
    <row r="1589" ht="14.25" customHeight="1">
      <c r="A1589" s="20" t="s">
        <v>5478</v>
      </c>
      <c r="B1589" s="20" t="s">
        <v>5479</v>
      </c>
      <c r="C1589" s="20" t="s">
        <v>193</v>
      </c>
      <c r="F1589" s="20" t="s">
        <v>150</v>
      </c>
      <c r="G1589" s="20" t="s">
        <v>150</v>
      </c>
      <c r="I1589" s="20" t="s">
        <v>151</v>
      </c>
      <c r="J1589" s="20" t="s">
        <v>143</v>
      </c>
      <c r="Q1589" s="20">
        <v>10456.0</v>
      </c>
      <c r="R1589" s="20" t="s">
        <v>5480</v>
      </c>
      <c r="S1589" s="20" t="s">
        <v>5481</v>
      </c>
      <c r="T1589" s="20" t="s">
        <v>138</v>
      </c>
    </row>
    <row r="1590" ht="14.25" customHeight="1">
      <c r="A1590" s="20" t="s">
        <v>5482</v>
      </c>
      <c r="B1590" s="20" t="s">
        <v>5483</v>
      </c>
      <c r="C1590" s="20" t="s">
        <v>149</v>
      </c>
      <c r="F1590" s="20" t="s">
        <v>150</v>
      </c>
      <c r="G1590" s="20" t="s">
        <v>150</v>
      </c>
      <c r="I1590" s="20" t="s">
        <v>151</v>
      </c>
      <c r="J1590" s="20" t="s">
        <v>143</v>
      </c>
      <c r="Q1590" s="20">
        <v>11841.0</v>
      </c>
      <c r="R1590" s="20" t="s">
        <v>5484</v>
      </c>
      <c r="S1590" s="20" t="s">
        <v>5483</v>
      </c>
      <c r="T1590" s="20" t="s">
        <v>138</v>
      </c>
    </row>
    <row r="1591" ht="14.25" customHeight="1">
      <c r="A1591" s="20" t="s">
        <v>5485</v>
      </c>
      <c r="B1591" s="20" t="s">
        <v>5486</v>
      </c>
      <c r="C1591" s="20" t="s">
        <v>174</v>
      </c>
      <c r="F1591" s="20" t="s">
        <v>150</v>
      </c>
      <c r="G1591" s="20" t="s">
        <v>150</v>
      </c>
      <c r="I1591" s="20" t="s">
        <v>151</v>
      </c>
      <c r="J1591" s="20" t="s">
        <v>143</v>
      </c>
      <c r="Q1591" s="20">
        <v>8890.0</v>
      </c>
      <c r="R1591" s="20" t="s">
        <v>5487</v>
      </c>
      <c r="S1591" s="20" t="s">
        <v>5486</v>
      </c>
      <c r="T1591" s="20" t="s">
        <v>138</v>
      </c>
    </row>
    <row r="1592" ht="14.25" customHeight="1">
      <c r="A1592" s="20" t="s">
        <v>5488</v>
      </c>
      <c r="B1592" s="20" t="s">
        <v>5489</v>
      </c>
      <c r="C1592" s="20" t="s">
        <v>5490</v>
      </c>
      <c r="F1592" s="20" t="s">
        <v>150</v>
      </c>
      <c r="G1592" s="20" t="s">
        <v>150</v>
      </c>
      <c r="I1592" s="20" t="s">
        <v>151</v>
      </c>
      <c r="J1592" s="20" t="s">
        <v>143</v>
      </c>
      <c r="Q1592" s="20">
        <v>760.0</v>
      </c>
      <c r="R1592" s="20" t="s">
        <v>5491</v>
      </c>
      <c r="S1592" s="20" t="s">
        <v>5489</v>
      </c>
      <c r="T1592" s="20" t="s">
        <v>138</v>
      </c>
      <c r="W1592" s="20" t="s">
        <v>146</v>
      </c>
    </row>
    <row r="1593" ht="14.25" customHeight="1">
      <c r="A1593" s="20" t="s">
        <v>5492</v>
      </c>
      <c r="B1593" s="20" t="s">
        <v>5493</v>
      </c>
      <c r="C1593" s="20" t="s">
        <v>159</v>
      </c>
      <c r="F1593" s="20" t="s">
        <v>150</v>
      </c>
      <c r="G1593" s="20" t="s">
        <v>150</v>
      </c>
      <c r="I1593" s="20" t="s">
        <v>151</v>
      </c>
      <c r="J1593" s="20" t="s">
        <v>143</v>
      </c>
      <c r="Q1593" s="20">
        <v>7144.0</v>
      </c>
      <c r="R1593" s="20" t="s">
        <v>5494</v>
      </c>
      <c r="S1593" s="20" t="s">
        <v>5493</v>
      </c>
      <c r="T1593" s="20" t="s">
        <v>138</v>
      </c>
    </row>
    <row r="1594" ht="14.25" customHeight="1">
      <c r="A1594" s="20" t="s">
        <v>5495</v>
      </c>
      <c r="B1594" s="20" t="s">
        <v>5496</v>
      </c>
      <c r="C1594" s="20" t="s">
        <v>149</v>
      </c>
      <c r="F1594" s="20" t="s">
        <v>150</v>
      </c>
      <c r="G1594" s="20" t="s">
        <v>150</v>
      </c>
      <c r="I1594" s="20" t="s">
        <v>151</v>
      </c>
      <c r="J1594" s="20" t="s">
        <v>143</v>
      </c>
      <c r="Q1594" s="20">
        <v>15437.0</v>
      </c>
      <c r="R1594" s="20" t="s">
        <v>5497</v>
      </c>
      <c r="S1594" s="20" t="s">
        <v>5496</v>
      </c>
      <c r="T1594" s="20" t="s">
        <v>138</v>
      </c>
    </row>
    <row r="1595" ht="14.25" customHeight="1">
      <c r="A1595" s="20" t="s">
        <v>5498</v>
      </c>
      <c r="B1595" s="20" t="s">
        <v>5499</v>
      </c>
      <c r="C1595" s="20" t="s">
        <v>486</v>
      </c>
      <c r="F1595" s="20" t="s">
        <v>327</v>
      </c>
      <c r="G1595" s="20" t="s">
        <v>385</v>
      </c>
      <c r="I1595" s="20" t="s">
        <v>2350</v>
      </c>
      <c r="J1595" s="20" t="s">
        <v>186</v>
      </c>
      <c r="Q1595" s="20">
        <v>6065.0</v>
      </c>
      <c r="R1595" s="20" t="s">
        <v>5500</v>
      </c>
      <c r="S1595" s="20" t="s">
        <v>5499</v>
      </c>
      <c r="T1595" s="20" t="s">
        <v>138</v>
      </c>
      <c r="W1595" s="20" t="s">
        <v>146</v>
      </c>
    </row>
    <row r="1596" ht="14.25" customHeight="1">
      <c r="A1596" s="20" t="s">
        <v>5501</v>
      </c>
      <c r="B1596" s="20" t="s">
        <v>5502</v>
      </c>
      <c r="C1596" s="20" t="s">
        <v>197</v>
      </c>
      <c r="F1596" s="20" t="s">
        <v>150</v>
      </c>
      <c r="G1596" s="20" t="s">
        <v>150</v>
      </c>
      <c r="I1596" s="20" t="s">
        <v>151</v>
      </c>
      <c r="J1596" s="20" t="s">
        <v>143</v>
      </c>
      <c r="Q1596" s="20">
        <v>4142.0</v>
      </c>
      <c r="R1596" s="20" t="s">
        <v>5503</v>
      </c>
      <c r="S1596" s="20" t="s">
        <v>5502</v>
      </c>
      <c r="T1596" s="20" t="s">
        <v>138</v>
      </c>
    </row>
    <row r="1597" ht="14.25" customHeight="1">
      <c r="A1597" s="20" t="s">
        <v>5504</v>
      </c>
      <c r="B1597" s="20" t="s">
        <v>5505</v>
      </c>
      <c r="C1597" s="20" t="s">
        <v>633</v>
      </c>
      <c r="F1597" s="20" t="s">
        <v>15</v>
      </c>
      <c r="G1597" s="20" t="s">
        <v>135</v>
      </c>
      <c r="I1597" s="20" t="s">
        <v>99</v>
      </c>
      <c r="J1597" s="20" t="s">
        <v>186</v>
      </c>
      <c r="K1597" s="20" t="s">
        <v>213</v>
      </c>
      <c r="Q1597" s="20">
        <v>70.0</v>
      </c>
      <c r="R1597" s="20" t="s">
        <v>5506</v>
      </c>
      <c r="S1597" s="20" t="s">
        <v>5505</v>
      </c>
      <c r="T1597" s="20" t="s">
        <v>138</v>
      </c>
      <c r="W1597" s="20" t="s">
        <v>146</v>
      </c>
    </row>
    <row r="1598" ht="14.25" customHeight="1">
      <c r="A1598" s="20" t="s">
        <v>5507</v>
      </c>
      <c r="B1598" s="20" t="s">
        <v>5508</v>
      </c>
      <c r="C1598" s="20" t="s">
        <v>633</v>
      </c>
      <c r="F1598" s="20" t="s">
        <v>15</v>
      </c>
      <c r="G1598" s="20" t="s">
        <v>135</v>
      </c>
      <c r="I1598" s="20" t="s">
        <v>97</v>
      </c>
      <c r="J1598" s="20" t="s">
        <v>186</v>
      </c>
      <c r="K1598" s="20" t="s">
        <v>167</v>
      </c>
      <c r="Q1598" s="20">
        <v>64.0</v>
      </c>
      <c r="R1598" s="20" t="s">
        <v>5509</v>
      </c>
      <c r="S1598" s="20" t="s">
        <v>5508</v>
      </c>
      <c r="T1598" s="20" t="s">
        <v>138</v>
      </c>
    </row>
    <row r="1599" ht="14.25" customHeight="1">
      <c r="A1599" s="20" t="s">
        <v>5510</v>
      </c>
      <c r="B1599" s="20" t="s">
        <v>5511</v>
      </c>
      <c r="C1599" s="20" t="s">
        <v>289</v>
      </c>
      <c r="F1599" s="20" t="s">
        <v>150</v>
      </c>
      <c r="G1599" s="20" t="s">
        <v>150</v>
      </c>
      <c r="I1599" s="20" t="s">
        <v>151</v>
      </c>
      <c r="J1599" s="20" t="s">
        <v>143</v>
      </c>
      <c r="Q1599" s="20">
        <v>16033.0</v>
      </c>
      <c r="R1599" s="20" t="s">
        <v>5512</v>
      </c>
      <c r="S1599" s="20" t="s">
        <v>5511</v>
      </c>
      <c r="T1599" s="20" t="s">
        <v>138</v>
      </c>
    </row>
    <row r="1600" ht="14.25" customHeight="1">
      <c r="A1600" s="20" t="s">
        <v>5513</v>
      </c>
      <c r="B1600" s="20" t="s">
        <v>5514</v>
      </c>
      <c r="C1600" s="20" t="s">
        <v>4080</v>
      </c>
      <c r="F1600" s="20" t="s">
        <v>15</v>
      </c>
      <c r="G1600" s="20" t="s">
        <v>142</v>
      </c>
      <c r="I1600" s="20" t="s">
        <v>105</v>
      </c>
      <c r="J1600" s="20" t="s">
        <v>143</v>
      </c>
      <c r="Q1600" s="20">
        <v>8571.0</v>
      </c>
      <c r="R1600" s="20" t="s">
        <v>5515</v>
      </c>
      <c r="S1600" s="20" t="s">
        <v>5514</v>
      </c>
      <c r="T1600" s="20" t="s">
        <v>138</v>
      </c>
      <c r="W1600" s="20" t="s">
        <v>261</v>
      </c>
    </row>
    <row r="1601" ht="14.25" customHeight="1">
      <c r="A1601" s="20" t="s">
        <v>5516</v>
      </c>
      <c r="B1601" s="20" t="s">
        <v>5517</v>
      </c>
      <c r="C1601" s="20" t="s">
        <v>637</v>
      </c>
      <c r="F1601" s="20" t="s">
        <v>16</v>
      </c>
      <c r="G1601" s="20" t="s">
        <v>638</v>
      </c>
      <c r="I1601" s="20" t="s">
        <v>639</v>
      </c>
      <c r="J1601" s="20" t="s">
        <v>143</v>
      </c>
      <c r="K1601" s="20" t="s">
        <v>167</v>
      </c>
      <c r="Q1601" s="20">
        <v>14429.0</v>
      </c>
      <c r="R1601" s="20" t="s">
        <v>5518</v>
      </c>
      <c r="S1601" s="20" t="s">
        <v>5517</v>
      </c>
      <c r="T1601" s="20" t="s">
        <v>138</v>
      </c>
    </row>
    <row r="1602" ht="14.25" customHeight="1">
      <c r="A1602" s="20" t="s">
        <v>5519</v>
      </c>
      <c r="B1602" s="20" t="s">
        <v>5520</v>
      </c>
      <c r="C1602" s="20" t="s">
        <v>193</v>
      </c>
      <c r="F1602" s="20" t="s">
        <v>150</v>
      </c>
      <c r="G1602" s="20" t="s">
        <v>150</v>
      </c>
      <c r="I1602" s="20" t="s">
        <v>151</v>
      </c>
      <c r="J1602" s="20" t="s">
        <v>143</v>
      </c>
      <c r="Q1602" s="20">
        <v>2174.0</v>
      </c>
      <c r="R1602" s="20" t="s">
        <v>5521</v>
      </c>
      <c r="S1602" s="20" t="s">
        <v>5520</v>
      </c>
      <c r="T1602" s="20" t="s">
        <v>138</v>
      </c>
    </row>
    <row r="1603" ht="14.25" customHeight="1">
      <c r="A1603" s="20" t="s">
        <v>5522</v>
      </c>
      <c r="B1603" s="20" t="s">
        <v>5523</v>
      </c>
      <c r="C1603" s="20" t="s">
        <v>289</v>
      </c>
      <c r="F1603" s="20" t="s">
        <v>150</v>
      </c>
      <c r="G1603" s="20" t="s">
        <v>150</v>
      </c>
      <c r="I1603" s="20" t="s">
        <v>151</v>
      </c>
      <c r="J1603" s="20" t="s">
        <v>143</v>
      </c>
      <c r="Q1603" s="20">
        <v>8499.0</v>
      </c>
      <c r="R1603" s="20" t="s">
        <v>5524</v>
      </c>
      <c r="S1603" s="20" t="s">
        <v>5523</v>
      </c>
      <c r="T1603" s="20" t="s">
        <v>138</v>
      </c>
    </row>
    <row r="1604" ht="14.25" customHeight="1">
      <c r="A1604" s="20" t="s">
        <v>5525</v>
      </c>
      <c r="B1604" s="20" t="s">
        <v>5526</v>
      </c>
      <c r="C1604" s="20" t="s">
        <v>289</v>
      </c>
      <c r="F1604" s="20" t="s">
        <v>150</v>
      </c>
      <c r="G1604" s="20" t="s">
        <v>150</v>
      </c>
      <c r="I1604" s="20" t="s">
        <v>2024</v>
      </c>
      <c r="J1604" s="20" t="s">
        <v>143</v>
      </c>
      <c r="K1604" s="20" t="s">
        <v>167</v>
      </c>
      <c r="Q1604" s="20">
        <v>774.0</v>
      </c>
      <c r="R1604" s="20" t="s">
        <v>5527</v>
      </c>
      <c r="S1604" s="20" t="s">
        <v>5526</v>
      </c>
      <c r="T1604" s="20" t="s">
        <v>138</v>
      </c>
      <c r="V1604" s="20" t="s">
        <v>189</v>
      </c>
      <c r="W1604" s="20" t="s">
        <v>146</v>
      </c>
    </row>
    <row r="1605" ht="14.25" customHeight="1">
      <c r="A1605" s="20" t="s">
        <v>5528</v>
      </c>
      <c r="B1605" s="20" t="s">
        <v>5529</v>
      </c>
      <c r="C1605" s="20" t="s">
        <v>272</v>
      </c>
      <c r="F1605" s="20" t="s">
        <v>150</v>
      </c>
      <c r="G1605" s="20" t="s">
        <v>150</v>
      </c>
      <c r="I1605" s="20" t="s">
        <v>151</v>
      </c>
      <c r="J1605" s="20" t="s">
        <v>143</v>
      </c>
      <c r="K1605" s="20" t="s">
        <v>167</v>
      </c>
      <c r="Q1605" s="20">
        <v>13600.0</v>
      </c>
      <c r="R1605" s="20" t="s">
        <v>5530</v>
      </c>
      <c r="S1605" s="20" t="s">
        <v>5529</v>
      </c>
      <c r="T1605" s="20" t="s">
        <v>138</v>
      </c>
    </row>
    <row r="1606" ht="14.25" customHeight="1">
      <c r="A1606" s="20" t="s">
        <v>5531</v>
      </c>
      <c r="B1606" s="20" t="s">
        <v>5532</v>
      </c>
      <c r="C1606" s="20" t="s">
        <v>5533</v>
      </c>
      <c r="F1606" s="20" t="s">
        <v>17</v>
      </c>
      <c r="G1606" s="20" t="s">
        <v>17</v>
      </c>
      <c r="I1606" s="20" t="s">
        <v>88</v>
      </c>
      <c r="J1606" s="20" t="s">
        <v>143</v>
      </c>
      <c r="K1606" s="20" t="s">
        <v>167</v>
      </c>
      <c r="Q1606" s="20">
        <v>8532.0</v>
      </c>
      <c r="R1606" s="20" t="s">
        <v>5534</v>
      </c>
      <c r="S1606" s="20" t="s">
        <v>5532</v>
      </c>
      <c r="T1606" s="20" t="s">
        <v>138</v>
      </c>
    </row>
    <row r="1607" ht="14.25" customHeight="1">
      <c r="A1607" s="20" t="s">
        <v>5535</v>
      </c>
      <c r="B1607" s="20" t="s">
        <v>5536</v>
      </c>
      <c r="C1607" s="20" t="s">
        <v>201</v>
      </c>
      <c r="F1607" s="20" t="s">
        <v>16</v>
      </c>
      <c r="G1607" s="20" t="s">
        <v>202</v>
      </c>
      <c r="I1607" s="20" t="s">
        <v>203</v>
      </c>
      <c r="J1607" s="20" t="s">
        <v>143</v>
      </c>
      <c r="Q1607" s="20">
        <v>7887.0</v>
      </c>
      <c r="R1607" s="20" t="s">
        <v>5537</v>
      </c>
      <c r="S1607" s="20" t="s">
        <v>5536</v>
      </c>
      <c r="T1607" s="20" t="s">
        <v>138</v>
      </c>
    </row>
    <row r="1608" ht="14.25" customHeight="1">
      <c r="A1608" s="20" t="s">
        <v>5538</v>
      </c>
      <c r="B1608" s="20" t="s">
        <v>5539</v>
      </c>
      <c r="C1608" s="20" t="s">
        <v>1663</v>
      </c>
      <c r="F1608" s="20" t="s">
        <v>218</v>
      </c>
      <c r="G1608" s="20" t="s">
        <v>219</v>
      </c>
      <c r="H1608" s="20">
        <v>16991.0</v>
      </c>
      <c r="I1608" s="20" t="s">
        <v>360</v>
      </c>
      <c r="J1608" s="20" t="s">
        <v>186</v>
      </c>
      <c r="P1608" s="20" t="s">
        <v>5539</v>
      </c>
      <c r="Q1608" s="20">
        <v>16991.0</v>
      </c>
      <c r="R1608" s="20" t="s">
        <v>5540</v>
      </c>
      <c r="T1608" s="20" t="s">
        <v>138</v>
      </c>
    </row>
    <row r="1609" ht="14.25" customHeight="1">
      <c r="A1609" s="20" t="s">
        <v>5541</v>
      </c>
      <c r="B1609" s="20" t="s">
        <v>5542</v>
      </c>
      <c r="C1609" s="20" t="s">
        <v>5543</v>
      </c>
      <c r="F1609" s="20" t="s">
        <v>17</v>
      </c>
      <c r="G1609" s="20" t="s">
        <v>17</v>
      </c>
      <c r="I1609" s="20" t="s">
        <v>88</v>
      </c>
      <c r="J1609" s="20" t="s">
        <v>143</v>
      </c>
      <c r="Q1609" s="20">
        <v>14001.0</v>
      </c>
      <c r="R1609" s="20" t="s">
        <v>5544</v>
      </c>
      <c r="S1609" s="20" t="s">
        <v>5545</v>
      </c>
      <c r="T1609" s="20" t="s">
        <v>138</v>
      </c>
    </row>
    <row r="1610" ht="14.25" customHeight="1">
      <c r="A1610" s="20" t="s">
        <v>5546</v>
      </c>
      <c r="B1610" s="20" t="s">
        <v>5547</v>
      </c>
      <c r="C1610" s="20" t="s">
        <v>149</v>
      </c>
      <c r="F1610" s="20" t="s">
        <v>150</v>
      </c>
      <c r="G1610" s="20" t="s">
        <v>150</v>
      </c>
      <c r="I1610" s="20" t="s">
        <v>151</v>
      </c>
      <c r="J1610" s="20" t="s">
        <v>143</v>
      </c>
      <c r="Q1610" s="20">
        <v>16366.0</v>
      </c>
      <c r="R1610" s="20" t="s">
        <v>5548</v>
      </c>
      <c r="S1610" s="20" t="s">
        <v>5547</v>
      </c>
      <c r="T1610" s="20" t="s">
        <v>138</v>
      </c>
    </row>
    <row r="1611" ht="14.25" customHeight="1">
      <c r="A1611" s="20" t="s">
        <v>5549</v>
      </c>
      <c r="B1611" s="20" t="s">
        <v>5550</v>
      </c>
      <c r="C1611" s="20" t="s">
        <v>174</v>
      </c>
      <c r="F1611" s="20" t="s">
        <v>150</v>
      </c>
      <c r="G1611" s="20" t="s">
        <v>150</v>
      </c>
      <c r="I1611" s="20" t="s">
        <v>151</v>
      </c>
      <c r="J1611" s="20" t="s">
        <v>143</v>
      </c>
      <c r="Q1611" s="20">
        <v>15488.0</v>
      </c>
      <c r="R1611" s="20" t="s">
        <v>5551</v>
      </c>
      <c r="S1611" s="20" t="s">
        <v>5550</v>
      </c>
      <c r="T1611" s="20" t="s">
        <v>138</v>
      </c>
    </row>
    <row r="1612" ht="14.25" customHeight="1">
      <c r="A1612" s="20" t="s">
        <v>5552</v>
      </c>
      <c r="B1612" s="20" t="s">
        <v>5553</v>
      </c>
      <c r="C1612" s="20" t="s">
        <v>708</v>
      </c>
      <c r="F1612" s="20" t="s">
        <v>17</v>
      </c>
      <c r="G1612" s="20" t="s">
        <v>17</v>
      </c>
      <c r="I1612" s="20" t="s">
        <v>88</v>
      </c>
      <c r="J1612" s="20" t="s">
        <v>143</v>
      </c>
      <c r="Q1612" s="20">
        <v>6346.0</v>
      </c>
      <c r="R1612" s="20" t="s">
        <v>5554</v>
      </c>
      <c r="S1612" s="20" t="s">
        <v>5555</v>
      </c>
      <c r="T1612" s="20" t="s">
        <v>138</v>
      </c>
    </row>
    <row r="1613" ht="14.25" customHeight="1">
      <c r="A1613" s="20" t="s">
        <v>5556</v>
      </c>
      <c r="B1613" s="20" t="s">
        <v>5557</v>
      </c>
      <c r="C1613" s="20" t="s">
        <v>174</v>
      </c>
      <c r="F1613" s="20" t="s">
        <v>150</v>
      </c>
      <c r="G1613" s="20" t="s">
        <v>150</v>
      </c>
      <c r="I1613" s="20" t="s">
        <v>151</v>
      </c>
      <c r="J1613" s="20" t="s">
        <v>143</v>
      </c>
      <c r="K1613" s="20" t="s">
        <v>167</v>
      </c>
      <c r="Q1613" s="20">
        <v>783.0</v>
      </c>
      <c r="R1613" s="20" t="s">
        <v>5558</v>
      </c>
      <c r="S1613" s="20" t="s">
        <v>5557</v>
      </c>
      <c r="T1613" s="20" t="s">
        <v>138</v>
      </c>
    </row>
    <row r="1614" ht="14.25" customHeight="1">
      <c r="A1614" s="20" t="s">
        <v>5559</v>
      </c>
      <c r="B1614" s="20" t="s">
        <v>5560</v>
      </c>
      <c r="C1614" s="20" t="s">
        <v>2051</v>
      </c>
      <c r="F1614" s="20" t="s">
        <v>16</v>
      </c>
      <c r="G1614" s="20" t="s">
        <v>202</v>
      </c>
      <c r="I1614" s="20" t="s">
        <v>203</v>
      </c>
      <c r="J1614" s="20" t="s">
        <v>143</v>
      </c>
      <c r="K1614" s="20" t="s">
        <v>167</v>
      </c>
      <c r="Q1614" s="20">
        <v>2739.0</v>
      </c>
      <c r="R1614" s="20" t="s">
        <v>5561</v>
      </c>
      <c r="S1614" s="20" t="s">
        <v>5560</v>
      </c>
      <c r="T1614" s="20" t="s">
        <v>138</v>
      </c>
    </row>
    <row r="1615" ht="14.25" customHeight="1">
      <c r="A1615" s="20" t="s">
        <v>5562</v>
      </c>
      <c r="B1615" s="20" t="s">
        <v>5563</v>
      </c>
      <c r="C1615" s="20" t="s">
        <v>5564</v>
      </c>
      <c r="F1615" s="20" t="s">
        <v>17</v>
      </c>
      <c r="G1615" s="20" t="s">
        <v>17</v>
      </c>
      <c r="I1615" s="20" t="s">
        <v>88</v>
      </c>
      <c r="J1615" s="20" t="s">
        <v>143</v>
      </c>
      <c r="K1615" s="20" t="s">
        <v>213</v>
      </c>
      <c r="Q1615" s="20">
        <v>11472.0</v>
      </c>
      <c r="R1615" s="20" t="s">
        <v>5565</v>
      </c>
      <c r="S1615" s="20" t="s">
        <v>5563</v>
      </c>
      <c r="T1615" s="20" t="s">
        <v>138</v>
      </c>
      <c r="W1615" s="20" t="s">
        <v>146</v>
      </c>
    </row>
    <row r="1616" ht="14.25" customHeight="1">
      <c r="A1616" s="20" t="s">
        <v>5566</v>
      </c>
      <c r="B1616" s="20" t="s">
        <v>5567</v>
      </c>
      <c r="C1616" s="20" t="s">
        <v>174</v>
      </c>
      <c r="F1616" s="20" t="s">
        <v>150</v>
      </c>
      <c r="G1616" s="20" t="s">
        <v>150</v>
      </c>
      <c r="I1616" s="20" t="s">
        <v>151</v>
      </c>
      <c r="J1616" s="20" t="s">
        <v>143</v>
      </c>
      <c r="Q1616" s="20">
        <v>8154.0</v>
      </c>
      <c r="R1616" s="20" t="s">
        <v>5568</v>
      </c>
      <c r="S1616" s="20" t="s">
        <v>5567</v>
      </c>
      <c r="T1616" s="20" t="s">
        <v>138</v>
      </c>
    </row>
    <row r="1617" ht="14.25" customHeight="1">
      <c r="A1617" s="20" t="s">
        <v>5569</v>
      </c>
      <c r="B1617" s="20" t="s">
        <v>5570</v>
      </c>
      <c r="C1617" s="20" t="s">
        <v>651</v>
      </c>
      <c r="F1617" s="20" t="s">
        <v>327</v>
      </c>
      <c r="G1617" s="20" t="s">
        <v>395</v>
      </c>
      <c r="I1617" s="20" t="s">
        <v>5127</v>
      </c>
      <c r="J1617" s="20" t="s">
        <v>186</v>
      </c>
      <c r="K1617" s="20" t="s">
        <v>213</v>
      </c>
      <c r="Q1617" s="20">
        <v>719.0</v>
      </c>
      <c r="R1617" s="20" t="s">
        <v>5571</v>
      </c>
      <c r="S1617" s="20" t="s">
        <v>5570</v>
      </c>
      <c r="T1617" s="20" t="s">
        <v>138</v>
      </c>
      <c r="W1617" s="20" t="s">
        <v>146</v>
      </c>
    </row>
    <row r="1618" ht="14.25" customHeight="1">
      <c r="A1618" s="20" t="s">
        <v>5572</v>
      </c>
      <c r="B1618" s="20" t="s">
        <v>5573</v>
      </c>
      <c r="C1618" s="20" t="s">
        <v>149</v>
      </c>
      <c r="F1618" s="20" t="s">
        <v>150</v>
      </c>
      <c r="G1618" s="20" t="s">
        <v>150</v>
      </c>
      <c r="I1618" s="20" t="s">
        <v>151</v>
      </c>
      <c r="J1618" s="20" t="s">
        <v>143</v>
      </c>
      <c r="Q1618" s="20">
        <v>1464.0</v>
      </c>
      <c r="R1618" s="20" t="s">
        <v>5574</v>
      </c>
      <c r="S1618" s="20" t="s">
        <v>5573</v>
      </c>
      <c r="T1618" s="20" t="s">
        <v>138</v>
      </c>
    </row>
    <row r="1619" ht="14.25" customHeight="1">
      <c r="A1619" s="20" t="s">
        <v>5575</v>
      </c>
      <c r="B1619" s="20" t="s">
        <v>5576</v>
      </c>
      <c r="C1619" s="20" t="s">
        <v>928</v>
      </c>
      <c r="F1619" s="20" t="s">
        <v>327</v>
      </c>
      <c r="G1619" s="20" t="s">
        <v>328</v>
      </c>
      <c r="I1619" s="20" t="s">
        <v>5577</v>
      </c>
      <c r="J1619" s="20" t="s">
        <v>143</v>
      </c>
      <c r="Q1619" s="20">
        <v>12042.0</v>
      </c>
      <c r="R1619" s="20" t="s">
        <v>5578</v>
      </c>
      <c r="S1619" s="20" t="s">
        <v>5576</v>
      </c>
      <c r="T1619" s="20" t="s">
        <v>138</v>
      </c>
    </row>
    <row r="1620" ht="14.25" customHeight="1">
      <c r="A1620" s="20" t="s">
        <v>5579</v>
      </c>
      <c r="B1620" s="20" t="s">
        <v>5580</v>
      </c>
      <c r="C1620" s="20" t="s">
        <v>5581</v>
      </c>
      <c r="F1620" s="20" t="s">
        <v>15</v>
      </c>
      <c r="G1620" s="20" t="s">
        <v>135</v>
      </c>
      <c r="I1620" s="20" t="s">
        <v>94</v>
      </c>
      <c r="J1620" s="20" t="s">
        <v>186</v>
      </c>
      <c r="K1620" s="20" t="s">
        <v>187</v>
      </c>
      <c r="Q1620" s="20">
        <v>2730.0</v>
      </c>
      <c r="R1620" s="20" t="s">
        <v>5582</v>
      </c>
      <c r="S1620" s="20" t="s">
        <v>5580</v>
      </c>
      <c r="T1620" s="20" t="s">
        <v>138</v>
      </c>
      <c r="V1620" s="20" t="s">
        <v>260</v>
      </c>
      <c r="W1620" s="20" t="s">
        <v>261</v>
      </c>
    </row>
    <row r="1621" ht="14.25" customHeight="1">
      <c r="A1621" s="20" t="s">
        <v>5583</v>
      </c>
      <c r="B1621" s="20" t="s">
        <v>5584</v>
      </c>
      <c r="C1621" s="20" t="s">
        <v>193</v>
      </c>
      <c r="F1621" s="20" t="s">
        <v>150</v>
      </c>
      <c r="G1621" s="20" t="s">
        <v>150</v>
      </c>
      <c r="I1621" s="20" t="s">
        <v>151</v>
      </c>
      <c r="J1621" s="20" t="s">
        <v>143</v>
      </c>
      <c r="Q1621" s="20">
        <v>7080.0</v>
      </c>
      <c r="R1621" s="20" t="s">
        <v>5585</v>
      </c>
      <c r="S1621" s="20" t="s">
        <v>5584</v>
      </c>
      <c r="T1621" s="20" t="s">
        <v>138</v>
      </c>
    </row>
    <row r="1622" ht="14.25" customHeight="1">
      <c r="A1622" s="20" t="s">
        <v>5586</v>
      </c>
      <c r="B1622" s="20" t="s">
        <v>5587</v>
      </c>
      <c r="C1622" s="20" t="s">
        <v>928</v>
      </c>
      <c r="F1622" s="20" t="s">
        <v>327</v>
      </c>
      <c r="G1622" s="20" t="s">
        <v>328</v>
      </c>
      <c r="I1622" s="20" t="s">
        <v>329</v>
      </c>
      <c r="J1622" s="20" t="s">
        <v>143</v>
      </c>
      <c r="Q1622" s="20">
        <v>12039.0</v>
      </c>
      <c r="R1622" s="20" t="s">
        <v>5588</v>
      </c>
      <c r="S1622" s="20" t="s">
        <v>5587</v>
      </c>
      <c r="T1622" s="20" t="s">
        <v>138</v>
      </c>
    </row>
    <row r="1623" ht="14.25" customHeight="1">
      <c r="A1623" s="20" t="s">
        <v>5589</v>
      </c>
      <c r="B1623" s="20" t="s">
        <v>5590</v>
      </c>
      <c r="C1623" s="20" t="s">
        <v>159</v>
      </c>
      <c r="F1623" s="20" t="s">
        <v>150</v>
      </c>
      <c r="G1623" s="20" t="s">
        <v>150</v>
      </c>
      <c r="I1623" s="20" t="s">
        <v>151</v>
      </c>
      <c r="J1623" s="20" t="s">
        <v>143</v>
      </c>
      <c r="Q1623" s="20">
        <v>9006.0</v>
      </c>
      <c r="R1623" s="20" t="s">
        <v>5591</v>
      </c>
      <c r="S1623" s="20" t="s">
        <v>5590</v>
      </c>
      <c r="T1623" s="20" t="s">
        <v>138</v>
      </c>
    </row>
    <row r="1624" ht="14.25" customHeight="1">
      <c r="A1624" s="20" t="s">
        <v>5592</v>
      </c>
      <c r="B1624" s="20" t="s">
        <v>5593</v>
      </c>
      <c r="C1624" s="20" t="s">
        <v>587</v>
      </c>
      <c r="F1624" s="20" t="s">
        <v>150</v>
      </c>
      <c r="G1624" s="20" t="s">
        <v>150</v>
      </c>
      <c r="I1624" s="20" t="s">
        <v>151</v>
      </c>
      <c r="J1624" s="20" t="s">
        <v>143</v>
      </c>
      <c r="Q1624" s="20">
        <v>8704.0</v>
      </c>
      <c r="R1624" s="20" t="s">
        <v>5594</v>
      </c>
      <c r="S1624" s="20" t="s">
        <v>5593</v>
      </c>
      <c r="T1624" s="20" t="s">
        <v>138</v>
      </c>
      <c r="W1624" s="20" t="s">
        <v>146</v>
      </c>
    </row>
    <row r="1625" ht="14.25" customHeight="1">
      <c r="A1625" s="20" t="s">
        <v>5595</v>
      </c>
      <c r="B1625" s="20" t="s">
        <v>5596</v>
      </c>
      <c r="C1625" s="20" t="s">
        <v>201</v>
      </c>
      <c r="F1625" s="20" t="s">
        <v>16</v>
      </c>
      <c r="G1625" s="20" t="s">
        <v>202</v>
      </c>
      <c r="I1625" s="20" t="s">
        <v>203</v>
      </c>
      <c r="J1625" s="20" t="s">
        <v>143</v>
      </c>
      <c r="Q1625" s="20">
        <v>8929.0</v>
      </c>
      <c r="R1625" s="20" t="s">
        <v>5597</v>
      </c>
      <c r="S1625" s="20" t="s">
        <v>5596</v>
      </c>
      <c r="T1625" s="20" t="s">
        <v>138</v>
      </c>
    </row>
    <row r="1626" ht="14.25" customHeight="1">
      <c r="A1626" s="20" t="s">
        <v>5598</v>
      </c>
      <c r="B1626" s="20" t="s">
        <v>5599</v>
      </c>
      <c r="C1626" s="20" t="s">
        <v>446</v>
      </c>
      <c r="F1626" s="20" t="s">
        <v>16</v>
      </c>
      <c r="G1626" s="20" t="s">
        <v>202</v>
      </c>
      <c r="I1626" s="20" t="s">
        <v>87</v>
      </c>
      <c r="J1626" s="20" t="s">
        <v>143</v>
      </c>
      <c r="Q1626" s="20">
        <v>7182.0</v>
      </c>
      <c r="R1626" s="20" t="s">
        <v>5600</v>
      </c>
      <c r="S1626" s="20" t="s">
        <v>5599</v>
      </c>
      <c r="T1626" s="20" t="s">
        <v>138</v>
      </c>
    </row>
    <row r="1627" ht="14.25" customHeight="1">
      <c r="A1627" s="20" t="s">
        <v>5601</v>
      </c>
      <c r="B1627" s="20" t="s">
        <v>5602</v>
      </c>
      <c r="C1627" s="20" t="s">
        <v>289</v>
      </c>
      <c r="F1627" s="20" t="s">
        <v>150</v>
      </c>
      <c r="G1627" s="20" t="s">
        <v>150</v>
      </c>
      <c r="I1627" s="20" t="s">
        <v>151</v>
      </c>
      <c r="J1627" s="20" t="s">
        <v>143</v>
      </c>
      <c r="Q1627" s="20">
        <v>14714.0</v>
      </c>
      <c r="R1627" s="20" t="s">
        <v>5603</v>
      </c>
      <c r="S1627" s="20" t="s">
        <v>5602</v>
      </c>
      <c r="T1627" s="20" t="s">
        <v>138</v>
      </c>
    </row>
    <row r="1628" ht="14.25" customHeight="1">
      <c r="A1628" s="20" t="s">
        <v>5604</v>
      </c>
      <c r="B1628" s="20" t="s">
        <v>5605</v>
      </c>
      <c r="C1628" s="20" t="s">
        <v>159</v>
      </c>
      <c r="F1628" s="20" t="s">
        <v>150</v>
      </c>
      <c r="G1628" s="20" t="s">
        <v>150</v>
      </c>
      <c r="I1628" s="20" t="s">
        <v>151</v>
      </c>
      <c r="J1628" s="20" t="s">
        <v>143</v>
      </c>
      <c r="Q1628" s="20">
        <v>14929.0</v>
      </c>
      <c r="R1628" s="20" t="s">
        <v>5606</v>
      </c>
      <c r="S1628" s="20" t="s">
        <v>5605</v>
      </c>
      <c r="T1628" s="20" t="s">
        <v>138</v>
      </c>
    </row>
    <row r="1629" ht="14.25" customHeight="1">
      <c r="A1629" s="20" t="s">
        <v>5607</v>
      </c>
      <c r="B1629" s="20" t="s">
        <v>5608</v>
      </c>
      <c r="C1629" s="20" t="s">
        <v>163</v>
      </c>
      <c r="F1629" s="20" t="s">
        <v>150</v>
      </c>
      <c r="G1629" s="20" t="s">
        <v>150</v>
      </c>
      <c r="I1629" s="20" t="s">
        <v>151</v>
      </c>
      <c r="J1629" s="20" t="s">
        <v>143</v>
      </c>
      <c r="Q1629" s="20">
        <v>12150.0</v>
      </c>
      <c r="R1629" s="20" t="s">
        <v>5609</v>
      </c>
      <c r="S1629" s="20" t="s">
        <v>5608</v>
      </c>
      <c r="T1629" s="20" t="s">
        <v>138</v>
      </c>
    </row>
    <row r="1630" ht="14.25" customHeight="1">
      <c r="A1630" s="20" t="s">
        <v>5610</v>
      </c>
      <c r="B1630" s="20" t="s">
        <v>5611</v>
      </c>
      <c r="C1630" s="20" t="s">
        <v>174</v>
      </c>
      <c r="F1630" s="20" t="s">
        <v>150</v>
      </c>
      <c r="G1630" s="20" t="s">
        <v>150</v>
      </c>
      <c r="I1630" s="20" t="s">
        <v>151</v>
      </c>
      <c r="J1630" s="20" t="s">
        <v>143</v>
      </c>
      <c r="Q1630" s="20">
        <v>284.0</v>
      </c>
      <c r="R1630" s="20" t="s">
        <v>5612</v>
      </c>
      <c r="S1630" s="20" t="s">
        <v>5611</v>
      </c>
      <c r="T1630" s="20" t="s">
        <v>138</v>
      </c>
    </row>
    <row r="1631" ht="14.25" customHeight="1">
      <c r="A1631" s="20" t="s">
        <v>5613</v>
      </c>
      <c r="B1631" s="20" t="s">
        <v>5614</v>
      </c>
      <c r="C1631" s="20" t="s">
        <v>289</v>
      </c>
      <c r="F1631" s="20" t="s">
        <v>150</v>
      </c>
      <c r="G1631" s="20" t="s">
        <v>150</v>
      </c>
      <c r="I1631" s="20" t="s">
        <v>151</v>
      </c>
      <c r="J1631" s="20" t="s">
        <v>143</v>
      </c>
      <c r="Q1631" s="20">
        <v>15886.0</v>
      </c>
      <c r="R1631" s="20" t="s">
        <v>5615</v>
      </c>
      <c r="S1631" s="20" t="s">
        <v>5614</v>
      </c>
      <c r="T1631" s="20" t="s">
        <v>138</v>
      </c>
    </row>
    <row r="1632" ht="14.25" customHeight="1">
      <c r="A1632" s="20" t="s">
        <v>5616</v>
      </c>
      <c r="B1632" s="20" t="s">
        <v>5617</v>
      </c>
      <c r="C1632" s="20" t="s">
        <v>486</v>
      </c>
      <c r="F1632" s="20" t="s">
        <v>327</v>
      </c>
      <c r="G1632" s="20" t="s">
        <v>385</v>
      </c>
      <c r="I1632" s="20" t="s">
        <v>2350</v>
      </c>
      <c r="J1632" s="20" t="s">
        <v>186</v>
      </c>
      <c r="K1632" s="20" t="s">
        <v>213</v>
      </c>
      <c r="Q1632" s="20">
        <v>4119.0</v>
      </c>
      <c r="R1632" s="20" t="s">
        <v>5618</v>
      </c>
      <c r="S1632" s="20" t="s">
        <v>5617</v>
      </c>
      <c r="T1632" s="20" t="s">
        <v>138</v>
      </c>
      <c r="W1632" s="20" t="s">
        <v>146</v>
      </c>
    </row>
    <row r="1633" ht="14.25" customHeight="1">
      <c r="A1633" s="20" t="s">
        <v>5619</v>
      </c>
      <c r="B1633" s="20" t="s">
        <v>5620</v>
      </c>
      <c r="C1633" s="20" t="s">
        <v>5621</v>
      </c>
      <c r="F1633" s="20" t="s">
        <v>150</v>
      </c>
      <c r="G1633" s="20" t="s">
        <v>150</v>
      </c>
      <c r="I1633" s="20" t="s">
        <v>151</v>
      </c>
      <c r="J1633" s="20" t="s">
        <v>143</v>
      </c>
      <c r="K1633" s="20" t="s">
        <v>213</v>
      </c>
      <c r="L1633" s="20" t="s">
        <v>151</v>
      </c>
      <c r="Q1633" s="20">
        <v>454.0</v>
      </c>
      <c r="R1633" s="20" t="s">
        <v>5622</v>
      </c>
      <c r="S1633" s="20" t="s">
        <v>5620</v>
      </c>
      <c r="T1633" s="20" t="s">
        <v>138</v>
      </c>
      <c r="V1633" s="20" t="s">
        <v>189</v>
      </c>
      <c r="W1633" s="20" t="s">
        <v>146</v>
      </c>
    </row>
    <row r="1634" ht="14.25" customHeight="1">
      <c r="A1634" s="20" t="s">
        <v>5623</v>
      </c>
      <c r="B1634" s="20" t="s">
        <v>5624</v>
      </c>
      <c r="C1634" s="20" t="s">
        <v>193</v>
      </c>
      <c r="F1634" s="20" t="s">
        <v>150</v>
      </c>
      <c r="G1634" s="20" t="s">
        <v>150</v>
      </c>
      <c r="I1634" s="20" t="s">
        <v>151</v>
      </c>
      <c r="J1634" s="20" t="s">
        <v>143</v>
      </c>
      <c r="Q1634" s="20">
        <v>4731.0</v>
      </c>
      <c r="R1634" s="20" t="s">
        <v>5625</v>
      </c>
      <c r="S1634" s="20" t="s">
        <v>5624</v>
      </c>
      <c r="T1634" s="20" t="s">
        <v>138</v>
      </c>
    </row>
    <row r="1635" ht="14.25" customHeight="1">
      <c r="A1635" s="20" t="s">
        <v>5626</v>
      </c>
      <c r="B1635" s="20" t="s">
        <v>5627</v>
      </c>
      <c r="C1635" s="20" t="s">
        <v>197</v>
      </c>
      <c r="F1635" s="20" t="s">
        <v>150</v>
      </c>
      <c r="G1635" s="20" t="s">
        <v>150</v>
      </c>
      <c r="I1635" s="20" t="s">
        <v>151</v>
      </c>
      <c r="J1635" s="20" t="s">
        <v>143</v>
      </c>
      <c r="Q1635" s="20">
        <v>4519.0</v>
      </c>
      <c r="R1635" s="20" t="s">
        <v>5628</v>
      </c>
      <c r="S1635" s="20" t="s">
        <v>5627</v>
      </c>
      <c r="T1635" s="20" t="s">
        <v>138</v>
      </c>
    </row>
    <row r="1636" ht="14.25" customHeight="1">
      <c r="A1636" s="20" t="s">
        <v>5629</v>
      </c>
      <c r="B1636" s="20" t="s">
        <v>5630</v>
      </c>
      <c r="C1636" s="20" t="s">
        <v>272</v>
      </c>
      <c r="F1636" s="20" t="s">
        <v>150</v>
      </c>
      <c r="G1636" s="20" t="s">
        <v>150</v>
      </c>
      <c r="I1636" s="20" t="s">
        <v>151</v>
      </c>
      <c r="J1636" s="20" t="s">
        <v>143</v>
      </c>
      <c r="Q1636" s="20">
        <v>796.0</v>
      </c>
      <c r="R1636" s="20" t="s">
        <v>5631</v>
      </c>
      <c r="S1636" s="20" t="s">
        <v>5630</v>
      </c>
      <c r="T1636" s="20" t="s">
        <v>138</v>
      </c>
    </row>
    <row r="1637" ht="14.25" customHeight="1">
      <c r="A1637" s="20" t="s">
        <v>5632</v>
      </c>
      <c r="B1637" s="20" t="s">
        <v>5633</v>
      </c>
      <c r="C1637" s="20" t="s">
        <v>197</v>
      </c>
      <c r="F1637" s="20" t="s">
        <v>150</v>
      </c>
      <c r="G1637" s="20" t="s">
        <v>150</v>
      </c>
      <c r="I1637" s="20" t="s">
        <v>151</v>
      </c>
      <c r="J1637" s="20" t="s">
        <v>143</v>
      </c>
      <c r="Q1637" s="20">
        <v>798.0</v>
      </c>
      <c r="R1637" s="20" t="s">
        <v>5634</v>
      </c>
      <c r="S1637" s="20" t="s">
        <v>5633</v>
      </c>
      <c r="T1637" s="20" t="s">
        <v>138</v>
      </c>
    </row>
    <row r="1638" ht="14.25" customHeight="1">
      <c r="A1638" s="20" t="s">
        <v>5635</v>
      </c>
      <c r="B1638" s="20" t="s">
        <v>5636</v>
      </c>
      <c r="C1638" s="20" t="s">
        <v>874</v>
      </c>
      <c r="F1638" s="20" t="s">
        <v>327</v>
      </c>
      <c r="G1638" s="20" t="s">
        <v>385</v>
      </c>
      <c r="I1638" s="20" t="s">
        <v>875</v>
      </c>
      <c r="J1638" s="20" t="s">
        <v>143</v>
      </c>
      <c r="K1638" s="20" t="s">
        <v>167</v>
      </c>
      <c r="Q1638" s="20">
        <v>15052.0</v>
      </c>
      <c r="R1638" s="20" t="s">
        <v>5637</v>
      </c>
      <c r="S1638" s="20" t="s">
        <v>5636</v>
      </c>
      <c r="T1638" s="20" t="s">
        <v>138</v>
      </c>
    </row>
    <row r="1639" ht="14.25" customHeight="1">
      <c r="A1639" s="20" t="s">
        <v>5638</v>
      </c>
      <c r="B1639" s="20" t="s">
        <v>5639</v>
      </c>
      <c r="C1639" s="20" t="s">
        <v>491</v>
      </c>
      <c r="F1639" s="20" t="s">
        <v>327</v>
      </c>
      <c r="G1639" s="20" t="s">
        <v>385</v>
      </c>
      <c r="I1639" s="20" t="s">
        <v>492</v>
      </c>
      <c r="J1639" s="20" t="s">
        <v>143</v>
      </c>
      <c r="Q1639" s="20">
        <v>14713.0</v>
      </c>
      <c r="R1639" s="20" t="s">
        <v>5640</v>
      </c>
      <c r="S1639" s="20" t="s">
        <v>5639</v>
      </c>
      <c r="T1639" s="20" t="s">
        <v>138</v>
      </c>
    </row>
    <row r="1640" ht="14.25" customHeight="1">
      <c r="A1640" s="20" t="s">
        <v>5641</v>
      </c>
      <c r="B1640" s="20" t="s">
        <v>5642</v>
      </c>
      <c r="C1640" s="20" t="s">
        <v>193</v>
      </c>
      <c r="F1640" s="20" t="s">
        <v>150</v>
      </c>
      <c r="G1640" s="20" t="s">
        <v>150</v>
      </c>
      <c r="I1640" s="20" t="s">
        <v>151</v>
      </c>
      <c r="J1640" s="20" t="s">
        <v>143</v>
      </c>
      <c r="Q1640" s="20">
        <v>10672.0</v>
      </c>
      <c r="R1640" s="20" t="s">
        <v>5643</v>
      </c>
      <c r="S1640" s="20" t="s">
        <v>5642</v>
      </c>
      <c r="T1640" s="20" t="s">
        <v>138</v>
      </c>
    </row>
    <row r="1641" ht="14.25" customHeight="1">
      <c r="A1641" s="20" t="s">
        <v>5644</v>
      </c>
      <c r="B1641" s="20" t="s">
        <v>5645</v>
      </c>
      <c r="C1641" s="20" t="s">
        <v>193</v>
      </c>
      <c r="F1641" s="20" t="s">
        <v>150</v>
      </c>
      <c r="G1641" s="20" t="s">
        <v>150</v>
      </c>
      <c r="I1641" s="20" t="s">
        <v>151</v>
      </c>
      <c r="J1641" s="20" t="s">
        <v>143</v>
      </c>
      <c r="K1641" s="20" t="s">
        <v>167</v>
      </c>
      <c r="Q1641" s="20">
        <v>15892.0</v>
      </c>
      <c r="R1641" s="20" t="s">
        <v>5646</v>
      </c>
      <c r="S1641" s="20" t="s">
        <v>5645</v>
      </c>
      <c r="T1641" s="20" t="s">
        <v>138</v>
      </c>
    </row>
    <row r="1642" ht="14.25" customHeight="1">
      <c r="A1642" s="20" t="s">
        <v>5647</v>
      </c>
      <c r="B1642" s="20" t="s">
        <v>5648</v>
      </c>
      <c r="C1642" s="20" t="s">
        <v>149</v>
      </c>
      <c r="F1642" s="20" t="s">
        <v>150</v>
      </c>
      <c r="G1642" s="20" t="s">
        <v>150</v>
      </c>
      <c r="I1642" s="20" t="s">
        <v>151</v>
      </c>
      <c r="J1642" s="20" t="s">
        <v>143</v>
      </c>
      <c r="Q1642" s="20">
        <v>16233.0</v>
      </c>
      <c r="R1642" s="20" t="s">
        <v>5649</v>
      </c>
      <c r="S1642" s="20" t="s">
        <v>5648</v>
      </c>
      <c r="T1642" s="20" t="s">
        <v>138</v>
      </c>
    </row>
    <row r="1643" ht="14.25" customHeight="1">
      <c r="A1643" s="20" t="s">
        <v>5650</v>
      </c>
      <c r="B1643" s="20" t="s">
        <v>5651</v>
      </c>
      <c r="C1643" s="20" t="s">
        <v>3165</v>
      </c>
      <c r="F1643" s="20" t="s">
        <v>218</v>
      </c>
      <c r="G1643" s="20" t="s">
        <v>219</v>
      </c>
      <c r="H1643" s="20">
        <v>15994.0</v>
      </c>
      <c r="I1643" s="20" t="s">
        <v>355</v>
      </c>
      <c r="J1643" s="20" t="s">
        <v>186</v>
      </c>
      <c r="K1643" s="20" t="s">
        <v>213</v>
      </c>
      <c r="L1643" s="20" t="s">
        <v>355</v>
      </c>
      <c r="M1643" s="20" t="s">
        <v>319</v>
      </c>
      <c r="Q1643" s="20">
        <v>15994.0</v>
      </c>
      <c r="R1643" s="20" t="s">
        <v>5652</v>
      </c>
      <c r="S1643" s="20" t="s">
        <v>5651</v>
      </c>
      <c r="T1643" s="20" t="s">
        <v>138</v>
      </c>
      <c r="U1643" s="24">
        <v>44900.0</v>
      </c>
      <c r="W1643" s="20" t="s">
        <v>146</v>
      </c>
    </row>
    <row r="1644" ht="14.25" customHeight="1">
      <c r="A1644" s="20" t="s">
        <v>5653</v>
      </c>
      <c r="B1644" s="20" t="s">
        <v>5654</v>
      </c>
      <c r="C1644" s="20" t="s">
        <v>1659</v>
      </c>
      <c r="F1644" s="20" t="s">
        <v>15</v>
      </c>
      <c r="G1644" s="20" t="s">
        <v>135</v>
      </c>
      <c r="I1644" s="20" t="s">
        <v>93</v>
      </c>
      <c r="J1644" s="20" t="s">
        <v>136</v>
      </c>
      <c r="Q1644" s="20">
        <v>4665.0</v>
      </c>
      <c r="R1644" s="20" t="s">
        <v>5655</v>
      </c>
      <c r="S1644" s="20" t="s">
        <v>5654</v>
      </c>
      <c r="T1644" s="20" t="s">
        <v>138</v>
      </c>
    </row>
    <row r="1645" ht="14.25" customHeight="1">
      <c r="A1645" s="20" t="s">
        <v>5656</v>
      </c>
      <c r="B1645" s="20" t="s">
        <v>5657</v>
      </c>
      <c r="C1645" s="20" t="s">
        <v>818</v>
      </c>
      <c r="F1645" s="20" t="s">
        <v>17</v>
      </c>
      <c r="G1645" s="20" t="s">
        <v>17</v>
      </c>
      <c r="I1645" s="20" t="s">
        <v>88</v>
      </c>
      <c r="J1645" s="20" t="s">
        <v>143</v>
      </c>
      <c r="Q1645" s="20">
        <v>9374.0</v>
      </c>
      <c r="R1645" s="20" t="s">
        <v>5658</v>
      </c>
      <c r="S1645" s="20" t="s">
        <v>5657</v>
      </c>
      <c r="T1645" s="20" t="s">
        <v>138</v>
      </c>
    </row>
    <row r="1646" ht="14.25" customHeight="1">
      <c r="A1646" s="20" t="s">
        <v>5659</v>
      </c>
      <c r="B1646" s="20" t="s">
        <v>5660</v>
      </c>
      <c r="C1646" s="20" t="s">
        <v>272</v>
      </c>
      <c r="F1646" s="20" t="s">
        <v>150</v>
      </c>
      <c r="G1646" s="20" t="s">
        <v>150</v>
      </c>
      <c r="I1646" s="20" t="s">
        <v>151</v>
      </c>
      <c r="J1646" s="20" t="s">
        <v>143</v>
      </c>
      <c r="Q1646" s="20">
        <v>801.0</v>
      </c>
      <c r="R1646" s="20" t="s">
        <v>5661</v>
      </c>
      <c r="S1646" s="20" t="s">
        <v>5660</v>
      </c>
      <c r="T1646" s="20" t="s">
        <v>138</v>
      </c>
    </row>
    <row r="1647" ht="14.25" customHeight="1">
      <c r="A1647" s="20" t="s">
        <v>5662</v>
      </c>
      <c r="B1647" s="20" t="s">
        <v>5663</v>
      </c>
      <c r="C1647" s="20" t="s">
        <v>243</v>
      </c>
      <c r="F1647" s="20" t="s">
        <v>17</v>
      </c>
      <c r="G1647" s="20" t="s">
        <v>17</v>
      </c>
      <c r="I1647" s="20" t="s">
        <v>88</v>
      </c>
      <c r="J1647" s="20" t="s">
        <v>143</v>
      </c>
      <c r="Q1647" s="20">
        <v>1872.0</v>
      </c>
      <c r="R1647" s="20" t="s">
        <v>5664</v>
      </c>
      <c r="S1647" s="20" t="s">
        <v>5663</v>
      </c>
      <c r="T1647" s="20" t="s">
        <v>138</v>
      </c>
    </row>
    <row r="1648" ht="14.25" customHeight="1">
      <c r="A1648" s="20" t="s">
        <v>5665</v>
      </c>
      <c r="B1648" s="20" t="s">
        <v>5666</v>
      </c>
      <c r="C1648" s="20" t="s">
        <v>818</v>
      </c>
      <c r="F1648" s="20" t="s">
        <v>17</v>
      </c>
      <c r="G1648" s="20" t="s">
        <v>17</v>
      </c>
      <c r="I1648" s="20" t="s">
        <v>88</v>
      </c>
      <c r="J1648" s="20" t="s">
        <v>143</v>
      </c>
      <c r="K1648" s="20" t="s">
        <v>167</v>
      </c>
      <c r="Q1648" s="20">
        <v>810.0</v>
      </c>
      <c r="R1648" s="20" t="s">
        <v>5667</v>
      </c>
      <c r="S1648" s="20" t="s">
        <v>5668</v>
      </c>
      <c r="T1648" s="20" t="s">
        <v>138</v>
      </c>
    </row>
    <row r="1649" ht="14.25" customHeight="1">
      <c r="A1649" s="20" t="s">
        <v>5669</v>
      </c>
      <c r="B1649" s="20" t="s">
        <v>5670</v>
      </c>
      <c r="C1649" s="20" t="s">
        <v>818</v>
      </c>
      <c r="F1649" s="20" t="s">
        <v>17</v>
      </c>
      <c r="G1649" s="20" t="s">
        <v>17</v>
      </c>
      <c r="I1649" s="20" t="s">
        <v>88</v>
      </c>
      <c r="J1649" s="20" t="s">
        <v>143</v>
      </c>
      <c r="K1649" s="20" t="s">
        <v>167</v>
      </c>
      <c r="Q1649" s="20">
        <v>6907.0</v>
      </c>
      <c r="R1649" s="20" t="s">
        <v>5671</v>
      </c>
      <c r="S1649" s="20" t="s">
        <v>5670</v>
      </c>
      <c r="T1649" s="20" t="s">
        <v>138</v>
      </c>
    </row>
    <row r="1650" ht="14.25" customHeight="1">
      <c r="A1650" s="20" t="s">
        <v>5672</v>
      </c>
      <c r="B1650" s="20" t="s">
        <v>5673</v>
      </c>
      <c r="C1650" s="20" t="s">
        <v>2565</v>
      </c>
      <c r="F1650" s="20" t="s">
        <v>327</v>
      </c>
      <c r="G1650" s="20" t="s">
        <v>385</v>
      </c>
      <c r="I1650" s="20" t="s">
        <v>598</v>
      </c>
      <c r="J1650" s="20" t="s">
        <v>143</v>
      </c>
      <c r="Q1650" s="20">
        <v>9532.0</v>
      </c>
      <c r="R1650" s="20" t="s">
        <v>5674</v>
      </c>
      <c r="S1650" s="20" t="s">
        <v>5673</v>
      </c>
      <c r="T1650" s="20" t="s">
        <v>138</v>
      </c>
    </row>
    <row r="1651" ht="14.25" customHeight="1">
      <c r="A1651" s="20" t="s">
        <v>5675</v>
      </c>
      <c r="B1651" s="20" t="s">
        <v>5676</v>
      </c>
      <c r="C1651" s="20" t="s">
        <v>235</v>
      </c>
      <c r="F1651" s="20" t="s">
        <v>15</v>
      </c>
      <c r="G1651" s="20" t="s">
        <v>142</v>
      </c>
      <c r="I1651" s="20" t="s">
        <v>105</v>
      </c>
      <c r="J1651" s="20" t="s">
        <v>143</v>
      </c>
      <c r="Q1651" s="20">
        <v>5375.0</v>
      </c>
      <c r="R1651" s="20" t="s">
        <v>5677</v>
      </c>
      <c r="S1651" s="20" t="s">
        <v>5676</v>
      </c>
      <c r="T1651" s="20" t="s">
        <v>138</v>
      </c>
    </row>
    <row r="1652" ht="14.25" customHeight="1">
      <c r="A1652" s="20" t="s">
        <v>5678</v>
      </c>
      <c r="B1652" s="20" t="s">
        <v>5679</v>
      </c>
      <c r="C1652" s="20" t="s">
        <v>174</v>
      </c>
      <c r="F1652" s="20" t="s">
        <v>150</v>
      </c>
      <c r="G1652" s="20" t="s">
        <v>150</v>
      </c>
      <c r="I1652" s="20" t="s">
        <v>151</v>
      </c>
      <c r="J1652" s="20" t="s">
        <v>143</v>
      </c>
      <c r="K1652" s="20" t="s">
        <v>167</v>
      </c>
      <c r="Q1652" s="20">
        <v>6156.0</v>
      </c>
      <c r="R1652" s="20" t="s">
        <v>5680</v>
      </c>
      <c r="S1652" s="20" t="s">
        <v>5679</v>
      </c>
      <c r="T1652" s="20" t="s">
        <v>138</v>
      </c>
    </row>
    <row r="1653" ht="14.25" customHeight="1">
      <c r="A1653" s="20" t="s">
        <v>5681</v>
      </c>
      <c r="B1653" s="20" t="s">
        <v>5682</v>
      </c>
      <c r="C1653" s="20" t="s">
        <v>272</v>
      </c>
      <c r="F1653" s="20" t="s">
        <v>150</v>
      </c>
      <c r="G1653" s="20" t="s">
        <v>150</v>
      </c>
      <c r="I1653" s="20" t="s">
        <v>151</v>
      </c>
      <c r="J1653" s="20" t="s">
        <v>143</v>
      </c>
      <c r="K1653" s="20" t="s">
        <v>167</v>
      </c>
      <c r="Q1653" s="20">
        <v>811.0</v>
      </c>
      <c r="R1653" s="20" t="s">
        <v>5683</v>
      </c>
      <c r="S1653" s="20" t="s">
        <v>5682</v>
      </c>
      <c r="T1653" s="20" t="s">
        <v>138</v>
      </c>
    </row>
    <row r="1654" ht="14.25" customHeight="1">
      <c r="A1654" s="20" t="s">
        <v>5684</v>
      </c>
      <c r="B1654" s="20" t="s">
        <v>5685</v>
      </c>
      <c r="C1654" s="20" t="s">
        <v>174</v>
      </c>
      <c r="F1654" s="20" t="s">
        <v>150</v>
      </c>
      <c r="G1654" s="20" t="s">
        <v>150</v>
      </c>
      <c r="I1654" s="20" t="s">
        <v>151</v>
      </c>
      <c r="J1654" s="20" t="s">
        <v>143</v>
      </c>
      <c r="Q1654" s="20">
        <v>2128.0</v>
      </c>
      <c r="R1654" s="20" t="s">
        <v>5686</v>
      </c>
      <c r="S1654" s="20" t="s">
        <v>5685</v>
      </c>
      <c r="T1654" s="20" t="s">
        <v>138</v>
      </c>
    </row>
    <row r="1655" ht="14.25" customHeight="1">
      <c r="A1655" s="20" t="s">
        <v>5687</v>
      </c>
      <c r="B1655" s="20" t="s">
        <v>5688</v>
      </c>
      <c r="C1655" s="20" t="s">
        <v>201</v>
      </c>
      <c r="F1655" s="20" t="s">
        <v>16</v>
      </c>
      <c r="G1655" s="20" t="s">
        <v>202</v>
      </c>
      <c r="I1655" s="20" t="s">
        <v>203</v>
      </c>
      <c r="J1655" s="20" t="s">
        <v>143</v>
      </c>
      <c r="Q1655" s="20">
        <v>8486.0</v>
      </c>
      <c r="R1655" s="20" t="s">
        <v>5689</v>
      </c>
      <c r="S1655" s="20" t="s">
        <v>5688</v>
      </c>
      <c r="T1655" s="20" t="s">
        <v>138</v>
      </c>
    </row>
    <row r="1656" ht="14.25" customHeight="1">
      <c r="A1656" s="20" t="s">
        <v>5690</v>
      </c>
      <c r="B1656" s="20" t="s">
        <v>5691</v>
      </c>
      <c r="C1656" s="20" t="s">
        <v>5692</v>
      </c>
      <c r="F1656" s="20" t="s">
        <v>15</v>
      </c>
      <c r="G1656" s="20" t="s">
        <v>135</v>
      </c>
      <c r="H1656" s="20">
        <v>17267.0</v>
      </c>
      <c r="I1656" s="20" t="s">
        <v>96</v>
      </c>
      <c r="J1656" s="20" t="s">
        <v>186</v>
      </c>
      <c r="Q1656" s="20">
        <v>17267.0</v>
      </c>
      <c r="R1656" s="20" t="s">
        <v>5693</v>
      </c>
      <c r="S1656" s="20" t="s">
        <v>5694</v>
      </c>
      <c r="T1656" s="20" t="s">
        <v>138</v>
      </c>
    </row>
    <row r="1657" ht="14.25" customHeight="1">
      <c r="A1657" s="20" t="s">
        <v>5695</v>
      </c>
      <c r="B1657" s="20" t="s">
        <v>5696</v>
      </c>
      <c r="C1657" s="20" t="s">
        <v>5697</v>
      </c>
      <c r="E1657" s="20" t="s">
        <v>5698</v>
      </c>
      <c r="F1657" s="20" t="s">
        <v>15</v>
      </c>
      <c r="G1657" s="20" t="s">
        <v>135</v>
      </c>
      <c r="H1657" s="20">
        <v>16831.0</v>
      </c>
      <c r="I1657" s="20" t="s">
        <v>102</v>
      </c>
      <c r="J1657" s="20" t="s">
        <v>186</v>
      </c>
      <c r="L1657" s="20" t="s">
        <v>102</v>
      </c>
      <c r="M1657" s="20" t="s">
        <v>5699</v>
      </c>
      <c r="Q1657" s="20">
        <v>16831.0</v>
      </c>
      <c r="R1657" s="20" t="s">
        <v>5700</v>
      </c>
      <c r="S1657" s="20" t="s">
        <v>5701</v>
      </c>
      <c r="T1657" s="20" t="s">
        <v>138</v>
      </c>
      <c r="W1657" s="20" t="s">
        <v>146</v>
      </c>
    </row>
    <row r="1658" ht="14.25" customHeight="1">
      <c r="A1658" s="20" t="s">
        <v>5702</v>
      </c>
      <c r="B1658" s="20" t="s">
        <v>5703</v>
      </c>
      <c r="C1658" s="20" t="s">
        <v>5704</v>
      </c>
      <c r="F1658" s="20" t="s">
        <v>15</v>
      </c>
      <c r="G1658" s="20" t="s">
        <v>135</v>
      </c>
      <c r="H1658" s="20">
        <v>17246.0</v>
      </c>
      <c r="I1658" s="20" t="s">
        <v>95</v>
      </c>
      <c r="J1658" s="20" t="s">
        <v>186</v>
      </c>
      <c r="Q1658" s="20">
        <v>17246.0</v>
      </c>
      <c r="R1658" s="20" t="s">
        <v>5705</v>
      </c>
      <c r="S1658" s="20" t="s">
        <v>5706</v>
      </c>
      <c r="T1658" s="20" t="s">
        <v>138</v>
      </c>
      <c r="W1658" s="20" t="s">
        <v>146</v>
      </c>
    </row>
    <row r="1659" ht="14.25" customHeight="1">
      <c r="A1659" s="20" t="s">
        <v>5707</v>
      </c>
      <c r="B1659" s="20" t="s">
        <v>5708</v>
      </c>
      <c r="C1659" s="20" t="s">
        <v>4232</v>
      </c>
      <c r="F1659" s="20" t="s">
        <v>327</v>
      </c>
      <c r="G1659" s="20" t="s">
        <v>385</v>
      </c>
      <c r="I1659" s="20" t="s">
        <v>5709</v>
      </c>
      <c r="J1659" s="20" t="s">
        <v>186</v>
      </c>
      <c r="K1659" s="20" t="s">
        <v>167</v>
      </c>
      <c r="Q1659" s="20">
        <v>8568.0</v>
      </c>
      <c r="R1659" s="20" t="s">
        <v>5710</v>
      </c>
      <c r="S1659" s="20" t="s">
        <v>5708</v>
      </c>
      <c r="T1659" s="20" t="s">
        <v>138</v>
      </c>
    </row>
    <row r="1660" ht="14.25" customHeight="1">
      <c r="A1660" s="20" t="s">
        <v>5711</v>
      </c>
      <c r="B1660" s="20" t="s">
        <v>5712</v>
      </c>
      <c r="C1660" s="20" t="s">
        <v>174</v>
      </c>
      <c r="F1660" s="20" t="s">
        <v>150</v>
      </c>
      <c r="G1660" s="20" t="s">
        <v>150</v>
      </c>
      <c r="I1660" s="20" t="s">
        <v>151</v>
      </c>
      <c r="J1660" s="20" t="s">
        <v>143</v>
      </c>
      <c r="Q1660" s="20">
        <v>9459.0</v>
      </c>
      <c r="R1660" s="20" t="s">
        <v>5713</v>
      </c>
      <c r="S1660" s="20" t="s">
        <v>5712</v>
      </c>
      <c r="T1660" s="20" t="s">
        <v>138</v>
      </c>
    </row>
    <row r="1661" ht="14.25" customHeight="1">
      <c r="A1661" s="20" t="s">
        <v>5714</v>
      </c>
      <c r="B1661" s="20" t="s">
        <v>5715</v>
      </c>
      <c r="C1661" s="20" t="s">
        <v>235</v>
      </c>
      <c r="F1661" s="20" t="s">
        <v>15</v>
      </c>
      <c r="G1661" s="20" t="s">
        <v>142</v>
      </c>
      <c r="I1661" s="20" t="s">
        <v>105</v>
      </c>
      <c r="J1661" s="20" t="s">
        <v>143</v>
      </c>
      <c r="Q1661" s="20">
        <v>10161.0</v>
      </c>
      <c r="R1661" s="20" t="s">
        <v>5716</v>
      </c>
      <c r="S1661" s="20" t="s">
        <v>5715</v>
      </c>
      <c r="T1661" s="20" t="s">
        <v>138</v>
      </c>
    </row>
    <row r="1662" ht="14.25" customHeight="1">
      <c r="A1662" s="20" t="s">
        <v>5717</v>
      </c>
      <c r="B1662" s="20" t="s">
        <v>5718</v>
      </c>
      <c r="C1662" s="20" t="s">
        <v>2565</v>
      </c>
      <c r="F1662" s="20" t="s">
        <v>327</v>
      </c>
      <c r="G1662" s="20" t="s">
        <v>385</v>
      </c>
      <c r="I1662" s="20" t="s">
        <v>598</v>
      </c>
      <c r="J1662" s="20" t="s">
        <v>136</v>
      </c>
      <c r="Q1662" s="20">
        <v>14357.0</v>
      </c>
      <c r="R1662" s="20" t="s">
        <v>5719</v>
      </c>
      <c r="S1662" s="20" t="s">
        <v>5718</v>
      </c>
      <c r="T1662" s="20" t="s">
        <v>138</v>
      </c>
      <c r="W1662" s="20" t="s">
        <v>372</v>
      </c>
    </row>
    <row r="1663" ht="14.25" customHeight="1">
      <c r="A1663" s="20" t="s">
        <v>5720</v>
      </c>
      <c r="B1663" s="20" t="s">
        <v>5721</v>
      </c>
      <c r="C1663" s="20" t="s">
        <v>806</v>
      </c>
      <c r="F1663" s="20" t="s">
        <v>15</v>
      </c>
      <c r="G1663" s="20" t="s">
        <v>142</v>
      </c>
      <c r="I1663" s="20" t="s">
        <v>105</v>
      </c>
      <c r="J1663" s="20" t="s">
        <v>143</v>
      </c>
      <c r="Q1663" s="20">
        <v>5873.0</v>
      </c>
      <c r="R1663" s="20" t="s">
        <v>5722</v>
      </c>
      <c r="S1663" s="20" t="s">
        <v>5721</v>
      </c>
      <c r="T1663" s="20" t="s">
        <v>138</v>
      </c>
    </row>
    <row r="1664" ht="14.25" customHeight="1">
      <c r="A1664" s="20" t="s">
        <v>5723</v>
      </c>
      <c r="B1664" s="20" t="s">
        <v>5724</v>
      </c>
      <c r="C1664" s="20" t="s">
        <v>1806</v>
      </c>
      <c r="F1664" s="20" t="s">
        <v>16</v>
      </c>
      <c r="G1664" s="20" t="s">
        <v>638</v>
      </c>
      <c r="I1664" s="20" t="s">
        <v>814</v>
      </c>
      <c r="J1664" s="20" t="s">
        <v>143</v>
      </c>
      <c r="K1664" s="20" t="s">
        <v>167</v>
      </c>
      <c r="Q1664" s="20">
        <v>820.0</v>
      </c>
      <c r="R1664" s="20" t="s">
        <v>5725</v>
      </c>
      <c r="S1664" s="20" t="s">
        <v>5724</v>
      </c>
      <c r="T1664" s="20" t="s">
        <v>138</v>
      </c>
    </row>
    <row r="1665" ht="14.25" customHeight="1">
      <c r="A1665" s="20" t="s">
        <v>5726</v>
      </c>
      <c r="B1665" s="20" t="s">
        <v>5727</v>
      </c>
      <c r="C1665" s="20" t="s">
        <v>1430</v>
      </c>
      <c r="F1665" s="20" t="s">
        <v>16</v>
      </c>
      <c r="G1665" s="20" t="s">
        <v>211</v>
      </c>
      <c r="I1665" s="20" t="s">
        <v>212</v>
      </c>
      <c r="J1665" s="20" t="s">
        <v>186</v>
      </c>
      <c r="Q1665" s="20">
        <v>14207.0</v>
      </c>
      <c r="R1665" s="20" t="s">
        <v>5728</v>
      </c>
      <c r="S1665" s="20" t="s">
        <v>5727</v>
      </c>
      <c r="T1665" s="20" t="s">
        <v>138</v>
      </c>
    </row>
    <row r="1666" ht="14.25" customHeight="1">
      <c r="A1666" s="20" t="s">
        <v>5729</v>
      </c>
      <c r="B1666" s="20" t="s">
        <v>5730</v>
      </c>
      <c r="C1666" s="20" t="s">
        <v>149</v>
      </c>
      <c r="F1666" s="20" t="s">
        <v>150</v>
      </c>
      <c r="G1666" s="20" t="s">
        <v>150</v>
      </c>
      <c r="I1666" s="20" t="s">
        <v>151</v>
      </c>
      <c r="J1666" s="20" t="s">
        <v>143</v>
      </c>
      <c r="K1666" s="20" t="s">
        <v>213</v>
      </c>
      <c r="Q1666" s="20">
        <v>2809.0</v>
      </c>
      <c r="R1666" s="20" t="s">
        <v>5731</v>
      </c>
      <c r="S1666" s="20" t="s">
        <v>5730</v>
      </c>
      <c r="T1666" s="20" t="s">
        <v>138</v>
      </c>
      <c r="V1666" s="20" t="s">
        <v>189</v>
      </c>
      <c r="W1666" s="20" t="s">
        <v>146</v>
      </c>
    </row>
    <row r="1667" ht="14.25" customHeight="1">
      <c r="A1667" s="20" t="s">
        <v>5732</v>
      </c>
      <c r="B1667" s="20" t="s">
        <v>5733</v>
      </c>
      <c r="C1667" s="20" t="s">
        <v>1103</v>
      </c>
      <c r="F1667" s="20" t="s">
        <v>327</v>
      </c>
      <c r="G1667" s="20" t="s">
        <v>395</v>
      </c>
      <c r="I1667" s="20" t="s">
        <v>1104</v>
      </c>
      <c r="J1667" s="20" t="s">
        <v>143</v>
      </c>
      <c r="Q1667" s="20">
        <v>15121.0</v>
      </c>
      <c r="R1667" s="20" t="s">
        <v>5734</v>
      </c>
      <c r="S1667" s="20" t="s">
        <v>5733</v>
      </c>
      <c r="T1667" s="20" t="s">
        <v>138</v>
      </c>
    </row>
    <row r="1668" ht="14.25" customHeight="1">
      <c r="A1668" s="20" t="s">
        <v>5735</v>
      </c>
      <c r="B1668" s="20" t="s">
        <v>5736</v>
      </c>
      <c r="C1668" s="20" t="s">
        <v>235</v>
      </c>
      <c r="F1668" s="20" t="s">
        <v>15</v>
      </c>
      <c r="G1668" s="20" t="s">
        <v>142</v>
      </c>
      <c r="I1668" s="20" t="s">
        <v>105</v>
      </c>
      <c r="J1668" s="20" t="s">
        <v>143</v>
      </c>
      <c r="Q1668" s="20">
        <v>12099.0</v>
      </c>
      <c r="R1668" s="20" t="s">
        <v>5737</v>
      </c>
      <c r="S1668" s="20" t="s">
        <v>5736</v>
      </c>
      <c r="T1668" s="20" t="s">
        <v>138</v>
      </c>
    </row>
    <row r="1669" ht="14.25" customHeight="1">
      <c r="A1669" s="20" t="s">
        <v>5738</v>
      </c>
      <c r="B1669" s="20" t="s">
        <v>5739</v>
      </c>
      <c r="C1669" s="20" t="s">
        <v>289</v>
      </c>
      <c r="F1669" s="20" t="s">
        <v>150</v>
      </c>
      <c r="G1669" s="20" t="s">
        <v>150</v>
      </c>
      <c r="I1669" s="20" t="s">
        <v>151</v>
      </c>
      <c r="J1669" s="20" t="s">
        <v>143</v>
      </c>
      <c r="Q1669" s="20">
        <v>13960.0</v>
      </c>
      <c r="R1669" s="20" t="s">
        <v>5740</v>
      </c>
      <c r="S1669" s="20" t="s">
        <v>5739</v>
      </c>
      <c r="T1669" s="20" t="s">
        <v>138</v>
      </c>
    </row>
    <row r="1670" ht="14.25" customHeight="1">
      <c r="A1670" s="20" t="s">
        <v>5741</v>
      </c>
      <c r="B1670" s="20" t="s">
        <v>5742</v>
      </c>
      <c r="C1670" s="20" t="s">
        <v>193</v>
      </c>
      <c r="F1670" s="20" t="s">
        <v>150</v>
      </c>
      <c r="G1670" s="20" t="s">
        <v>150</v>
      </c>
      <c r="I1670" s="20" t="s">
        <v>151</v>
      </c>
      <c r="J1670" s="20" t="s">
        <v>143</v>
      </c>
      <c r="Q1670" s="20">
        <v>13930.0</v>
      </c>
      <c r="R1670" s="20" t="s">
        <v>5743</v>
      </c>
      <c r="S1670" s="20" t="s">
        <v>5742</v>
      </c>
      <c r="T1670" s="20" t="s">
        <v>138</v>
      </c>
    </row>
    <row r="1671" ht="14.25" customHeight="1">
      <c r="A1671" s="20" t="s">
        <v>5744</v>
      </c>
      <c r="B1671" s="20" t="s">
        <v>5745</v>
      </c>
      <c r="C1671" s="20" t="s">
        <v>272</v>
      </c>
      <c r="F1671" s="20" t="s">
        <v>150</v>
      </c>
      <c r="G1671" s="20" t="s">
        <v>150</v>
      </c>
      <c r="I1671" s="20" t="s">
        <v>151</v>
      </c>
      <c r="J1671" s="20" t="s">
        <v>143</v>
      </c>
      <c r="Q1671" s="20">
        <v>2129.0</v>
      </c>
      <c r="R1671" s="20" t="s">
        <v>5746</v>
      </c>
      <c r="S1671" s="20" t="s">
        <v>5745</v>
      </c>
      <c r="T1671" s="20" t="s">
        <v>138</v>
      </c>
    </row>
    <row r="1672" ht="14.25" customHeight="1">
      <c r="A1672" s="20" t="s">
        <v>5747</v>
      </c>
      <c r="B1672" s="20" t="s">
        <v>5748</v>
      </c>
      <c r="C1672" s="20" t="s">
        <v>1305</v>
      </c>
      <c r="F1672" s="20" t="s">
        <v>16</v>
      </c>
      <c r="G1672" s="20" t="s">
        <v>202</v>
      </c>
      <c r="I1672" s="20" t="s">
        <v>3368</v>
      </c>
      <c r="J1672" s="20" t="s">
        <v>143</v>
      </c>
      <c r="Q1672" s="20">
        <v>15018.0</v>
      </c>
      <c r="R1672" s="20" t="s">
        <v>5749</v>
      </c>
      <c r="S1672" s="20" t="s">
        <v>5748</v>
      </c>
      <c r="T1672" s="20" t="s">
        <v>138</v>
      </c>
      <c r="W1672" s="20" t="s">
        <v>146</v>
      </c>
    </row>
    <row r="1673" ht="14.25" customHeight="1">
      <c r="A1673" s="20" t="s">
        <v>5750</v>
      </c>
      <c r="B1673" s="20" t="s">
        <v>5751</v>
      </c>
      <c r="C1673" s="20" t="s">
        <v>1680</v>
      </c>
      <c r="F1673" s="20" t="s">
        <v>327</v>
      </c>
      <c r="G1673" s="20" t="s">
        <v>385</v>
      </c>
      <c r="I1673" s="20" t="s">
        <v>5752</v>
      </c>
      <c r="J1673" s="20" t="s">
        <v>143</v>
      </c>
      <c r="K1673" s="20" t="s">
        <v>167</v>
      </c>
      <c r="Q1673" s="20">
        <v>254.0</v>
      </c>
      <c r="R1673" s="20" t="s">
        <v>5753</v>
      </c>
      <c r="S1673" s="20" t="s">
        <v>5751</v>
      </c>
      <c r="T1673" s="20" t="s">
        <v>138</v>
      </c>
    </row>
    <row r="1674" ht="14.25" customHeight="1">
      <c r="A1674" s="20" t="s">
        <v>5754</v>
      </c>
      <c r="B1674" s="20" t="s">
        <v>5755</v>
      </c>
      <c r="C1674" s="20" t="s">
        <v>779</v>
      </c>
      <c r="F1674" s="20" t="s">
        <v>150</v>
      </c>
      <c r="G1674" s="20" t="s">
        <v>150</v>
      </c>
      <c r="I1674" s="20" t="s">
        <v>151</v>
      </c>
      <c r="J1674" s="20" t="s">
        <v>143</v>
      </c>
      <c r="Q1674" s="20">
        <v>16316.0</v>
      </c>
      <c r="R1674" s="20" t="s">
        <v>5756</v>
      </c>
      <c r="S1674" s="20" t="s">
        <v>5755</v>
      </c>
      <c r="T1674" s="20" t="s">
        <v>138</v>
      </c>
    </row>
    <row r="1675" ht="14.25" customHeight="1">
      <c r="A1675" s="20" t="s">
        <v>5757</v>
      </c>
      <c r="B1675" s="20" t="s">
        <v>5758</v>
      </c>
      <c r="C1675" s="20" t="s">
        <v>761</v>
      </c>
      <c r="F1675" s="20" t="s">
        <v>327</v>
      </c>
      <c r="G1675" s="20" t="s">
        <v>385</v>
      </c>
      <c r="I1675" s="20" t="s">
        <v>762</v>
      </c>
      <c r="J1675" s="20" t="s">
        <v>186</v>
      </c>
      <c r="K1675" s="20" t="s">
        <v>167</v>
      </c>
      <c r="Q1675" s="20">
        <v>15866.0</v>
      </c>
      <c r="R1675" s="20" t="s">
        <v>5759</v>
      </c>
      <c r="S1675" s="20" t="s">
        <v>5758</v>
      </c>
      <c r="T1675" s="20" t="s">
        <v>138</v>
      </c>
      <c r="W1675" s="20" t="s">
        <v>146</v>
      </c>
    </row>
    <row r="1676" ht="14.25" customHeight="1">
      <c r="A1676" s="20" t="s">
        <v>5760</v>
      </c>
      <c r="B1676" s="20" t="s">
        <v>5761</v>
      </c>
      <c r="C1676" s="20" t="s">
        <v>5762</v>
      </c>
      <c r="F1676" s="20" t="s">
        <v>150</v>
      </c>
      <c r="G1676" s="20" t="s">
        <v>150</v>
      </c>
      <c r="I1676" s="20" t="s">
        <v>151</v>
      </c>
      <c r="J1676" s="20" t="s">
        <v>136</v>
      </c>
      <c r="Q1676" s="20">
        <v>14045.0</v>
      </c>
      <c r="R1676" s="20" t="s">
        <v>5763</v>
      </c>
      <c r="S1676" s="20" t="s">
        <v>5761</v>
      </c>
      <c r="T1676" s="20" t="s">
        <v>138</v>
      </c>
    </row>
    <row r="1677" ht="14.25" customHeight="1">
      <c r="A1677" s="20" t="s">
        <v>5764</v>
      </c>
      <c r="B1677" s="20" t="s">
        <v>5765</v>
      </c>
      <c r="C1677" s="20" t="s">
        <v>193</v>
      </c>
      <c r="F1677" s="20" t="s">
        <v>150</v>
      </c>
      <c r="G1677" s="20" t="s">
        <v>150</v>
      </c>
      <c r="I1677" s="20" t="s">
        <v>151</v>
      </c>
      <c r="J1677" s="20" t="s">
        <v>143</v>
      </c>
      <c r="Q1677" s="20">
        <v>11116.0</v>
      </c>
      <c r="R1677" s="20" t="s">
        <v>5766</v>
      </c>
      <c r="S1677" s="20" t="s">
        <v>5765</v>
      </c>
      <c r="T1677" s="20" t="s">
        <v>138</v>
      </c>
    </row>
    <row r="1678" ht="14.25" customHeight="1">
      <c r="A1678" s="20" t="s">
        <v>5767</v>
      </c>
      <c r="B1678" s="20" t="s">
        <v>5768</v>
      </c>
      <c r="C1678" s="20" t="s">
        <v>5769</v>
      </c>
      <c r="F1678" s="20" t="s">
        <v>16</v>
      </c>
      <c r="G1678" s="20" t="s">
        <v>638</v>
      </c>
      <c r="I1678" s="20" t="s">
        <v>1582</v>
      </c>
      <c r="J1678" s="20" t="s">
        <v>186</v>
      </c>
      <c r="K1678" s="20" t="s">
        <v>213</v>
      </c>
      <c r="Q1678" s="20">
        <v>8535.0</v>
      </c>
      <c r="R1678" s="20" t="s">
        <v>5770</v>
      </c>
      <c r="S1678" s="20" t="s">
        <v>5768</v>
      </c>
      <c r="T1678" s="20" t="s">
        <v>138</v>
      </c>
      <c r="W1678" s="20" t="s">
        <v>146</v>
      </c>
    </row>
    <row r="1679" ht="14.25" customHeight="1">
      <c r="A1679" s="20" t="s">
        <v>5771</v>
      </c>
      <c r="B1679" s="20" t="s">
        <v>5772</v>
      </c>
      <c r="C1679" s="20" t="s">
        <v>174</v>
      </c>
      <c r="F1679" s="20" t="s">
        <v>150</v>
      </c>
      <c r="G1679" s="20" t="s">
        <v>150</v>
      </c>
      <c r="I1679" s="20" t="s">
        <v>151</v>
      </c>
      <c r="J1679" s="20" t="s">
        <v>143</v>
      </c>
      <c r="Q1679" s="20">
        <v>11832.0</v>
      </c>
      <c r="R1679" s="20" t="s">
        <v>5773</v>
      </c>
      <c r="S1679" s="20" t="s">
        <v>5772</v>
      </c>
      <c r="T1679" s="20" t="s">
        <v>138</v>
      </c>
    </row>
    <row r="1680" ht="14.25" customHeight="1">
      <c r="A1680" s="20" t="s">
        <v>5774</v>
      </c>
      <c r="B1680" s="20" t="s">
        <v>5775</v>
      </c>
      <c r="C1680" s="20" t="s">
        <v>163</v>
      </c>
      <c r="F1680" s="20" t="s">
        <v>150</v>
      </c>
      <c r="G1680" s="20" t="s">
        <v>150</v>
      </c>
      <c r="I1680" s="20" t="s">
        <v>151</v>
      </c>
      <c r="J1680" s="20" t="s">
        <v>143</v>
      </c>
      <c r="Q1680" s="20">
        <v>10619.0</v>
      </c>
      <c r="R1680" s="20" t="s">
        <v>5776</v>
      </c>
      <c r="S1680" s="20" t="s">
        <v>5775</v>
      </c>
      <c r="T1680" s="20" t="s">
        <v>138</v>
      </c>
    </row>
    <row r="1681" ht="14.25" customHeight="1">
      <c r="A1681" s="20" t="s">
        <v>5777</v>
      </c>
      <c r="B1681" s="20" t="s">
        <v>5778</v>
      </c>
      <c r="C1681" s="20" t="s">
        <v>159</v>
      </c>
      <c r="F1681" s="20" t="s">
        <v>150</v>
      </c>
      <c r="G1681" s="20" t="s">
        <v>150</v>
      </c>
      <c r="I1681" s="20" t="s">
        <v>151</v>
      </c>
      <c r="J1681" s="20" t="s">
        <v>143</v>
      </c>
      <c r="Q1681" s="20">
        <v>14695.0</v>
      </c>
      <c r="R1681" s="20" t="s">
        <v>5779</v>
      </c>
      <c r="S1681" s="20" t="s">
        <v>5778</v>
      </c>
      <c r="T1681" s="20" t="s">
        <v>138</v>
      </c>
    </row>
    <row r="1682" ht="14.25" customHeight="1">
      <c r="A1682" s="20" t="s">
        <v>5780</v>
      </c>
      <c r="B1682" s="20" t="s">
        <v>5781</v>
      </c>
      <c r="C1682" s="20" t="s">
        <v>624</v>
      </c>
      <c r="F1682" s="20" t="s">
        <v>16</v>
      </c>
      <c r="G1682" s="20" t="s">
        <v>202</v>
      </c>
      <c r="I1682" s="20" t="s">
        <v>203</v>
      </c>
      <c r="J1682" s="20" t="s">
        <v>143</v>
      </c>
      <c r="Q1682" s="20">
        <v>15736.0</v>
      </c>
      <c r="R1682" s="20" t="s">
        <v>5782</v>
      </c>
      <c r="S1682" s="20" t="s">
        <v>5781</v>
      </c>
      <c r="T1682" s="20" t="s">
        <v>138</v>
      </c>
    </row>
    <row r="1683" ht="14.25" customHeight="1">
      <c r="A1683" s="20" t="s">
        <v>5783</v>
      </c>
      <c r="B1683" s="20" t="s">
        <v>5784</v>
      </c>
      <c r="C1683" s="20" t="s">
        <v>606</v>
      </c>
      <c r="F1683" s="20" t="s">
        <v>327</v>
      </c>
      <c r="G1683" s="20" t="s">
        <v>385</v>
      </c>
      <c r="I1683" s="20" t="s">
        <v>598</v>
      </c>
      <c r="J1683" s="20" t="s">
        <v>143</v>
      </c>
      <c r="K1683" s="20" t="s">
        <v>213</v>
      </c>
      <c r="Q1683" s="20">
        <v>10465.0</v>
      </c>
      <c r="R1683" s="20" t="s">
        <v>5785</v>
      </c>
      <c r="S1683" s="20" t="s">
        <v>5786</v>
      </c>
      <c r="T1683" s="20" t="s">
        <v>138</v>
      </c>
      <c r="V1683" s="20" t="s">
        <v>260</v>
      </c>
      <c r="W1683" s="20" t="s">
        <v>146</v>
      </c>
    </row>
    <row r="1684" ht="14.25" customHeight="1">
      <c r="A1684" s="20" t="s">
        <v>5787</v>
      </c>
      <c r="B1684" s="20" t="s">
        <v>5788</v>
      </c>
      <c r="C1684" s="20" t="s">
        <v>369</v>
      </c>
      <c r="F1684" s="20" t="s">
        <v>218</v>
      </c>
      <c r="G1684" s="20" t="s">
        <v>219</v>
      </c>
      <c r="H1684" s="20">
        <v>16975.0</v>
      </c>
      <c r="I1684" s="20" t="s">
        <v>370</v>
      </c>
      <c r="J1684" s="20" t="s">
        <v>143</v>
      </c>
      <c r="P1684" s="20" t="s">
        <v>5788</v>
      </c>
      <c r="Q1684" s="20">
        <v>16975.0</v>
      </c>
      <c r="R1684" s="20" t="s">
        <v>5789</v>
      </c>
      <c r="S1684" s="20" t="s">
        <v>5788</v>
      </c>
      <c r="T1684" s="20" t="s">
        <v>138</v>
      </c>
      <c r="W1684" s="20" t="s">
        <v>146</v>
      </c>
    </row>
    <row r="1685" ht="14.25" customHeight="1">
      <c r="A1685" s="20" t="s">
        <v>5790</v>
      </c>
      <c r="B1685" s="20" t="s">
        <v>5791</v>
      </c>
      <c r="C1685" s="20" t="s">
        <v>235</v>
      </c>
      <c r="F1685" s="20" t="s">
        <v>15</v>
      </c>
      <c r="G1685" s="20" t="s">
        <v>142</v>
      </c>
      <c r="I1685" s="20" t="s">
        <v>105</v>
      </c>
      <c r="J1685" s="20" t="s">
        <v>186</v>
      </c>
      <c r="Q1685" s="20">
        <v>9463.0</v>
      </c>
      <c r="R1685" s="20" t="s">
        <v>5792</v>
      </c>
      <c r="S1685" s="20" t="s">
        <v>5791</v>
      </c>
      <c r="T1685" s="20" t="s">
        <v>138</v>
      </c>
    </row>
    <row r="1686" ht="14.25" customHeight="1">
      <c r="A1686" s="20" t="s">
        <v>5793</v>
      </c>
      <c r="B1686" s="20" t="s">
        <v>5794</v>
      </c>
      <c r="C1686" s="20" t="s">
        <v>806</v>
      </c>
      <c r="F1686" s="20" t="s">
        <v>15</v>
      </c>
      <c r="G1686" s="20" t="s">
        <v>142</v>
      </c>
      <c r="I1686" s="20" t="s">
        <v>105</v>
      </c>
      <c r="J1686" s="20" t="s">
        <v>143</v>
      </c>
      <c r="Q1686" s="20">
        <v>11752.0</v>
      </c>
      <c r="R1686" s="20" t="s">
        <v>5795</v>
      </c>
      <c r="S1686" s="20" t="s">
        <v>5796</v>
      </c>
      <c r="T1686" s="20" t="s">
        <v>138</v>
      </c>
    </row>
    <row r="1687" ht="14.25" customHeight="1">
      <c r="A1687" s="20" t="s">
        <v>5797</v>
      </c>
      <c r="B1687" s="20" t="s">
        <v>5798</v>
      </c>
      <c r="C1687" s="20" t="s">
        <v>272</v>
      </c>
      <c r="F1687" s="20" t="s">
        <v>150</v>
      </c>
      <c r="G1687" s="20" t="s">
        <v>150</v>
      </c>
      <c r="I1687" s="20" t="s">
        <v>151</v>
      </c>
      <c r="J1687" s="20" t="s">
        <v>143</v>
      </c>
      <c r="Q1687" s="20">
        <v>11059.0</v>
      </c>
      <c r="R1687" s="20" t="s">
        <v>5799</v>
      </c>
      <c r="S1687" s="20" t="s">
        <v>5798</v>
      </c>
      <c r="T1687" s="20" t="s">
        <v>138</v>
      </c>
    </row>
    <row r="1688" ht="14.25" customHeight="1">
      <c r="A1688" s="20" t="s">
        <v>5800</v>
      </c>
      <c r="B1688" s="20" t="s">
        <v>5798</v>
      </c>
      <c r="C1688" s="20" t="s">
        <v>163</v>
      </c>
      <c r="F1688" s="20" t="s">
        <v>150</v>
      </c>
      <c r="G1688" s="20" t="s">
        <v>150</v>
      </c>
      <c r="I1688" s="20" t="s">
        <v>151</v>
      </c>
      <c r="J1688" s="20" t="s">
        <v>143</v>
      </c>
      <c r="Q1688" s="20">
        <v>11516.0</v>
      </c>
      <c r="R1688" s="20" t="s">
        <v>5801</v>
      </c>
      <c r="S1688" s="20" t="s">
        <v>5798</v>
      </c>
      <c r="T1688" s="20" t="s">
        <v>138</v>
      </c>
    </row>
    <row r="1689" ht="14.25" customHeight="1">
      <c r="A1689" s="20" t="s">
        <v>5802</v>
      </c>
      <c r="B1689" s="20" t="s">
        <v>5803</v>
      </c>
      <c r="C1689" s="20" t="s">
        <v>4472</v>
      </c>
      <c r="F1689" s="20" t="s">
        <v>17</v>
      </c>
      <c r="G1689" s="20" t="s">
        <v>17</v>
      </c>
      <c r="H1689" s="20">
        <v>25.0</v>
      </c>
      <c r="I1689" s="20" t="s">
        <v>88</v>
      </c>
      <c r="J1689" s="20" t="s">
        <v>143</v>
      </c>
      <c r="K1689" s="20" t="s">
        <v>213</v>
      </c>
      <c r="L1689" s="20" t="s">
        <v>88</v>
      </c>
      <c r="M1689" s="20" t="s">
        <v>1588</v>
      </c>
      <c r="O1689" s="20" t="s">
        <v>144</v>
      </c>
      <c r="Q1689" s="20">
        <v>25.0</v>
      </c>
      <c r="R1689" s="20" t="s">
        <v>5804</v>
      </c>
      <c r="S1689" s="20" t="s">
        <v>5805</v>
      </c>
      <c r="T1689" s="20" t="s">
        <v>138</v>
      </c>
      <c r="W1689" s="20" t="s">
        <v>146</v>
      </c>
    </row>
    <row r="1690" ht="14.25" customHeight="1">
      <c r="A1690" s="20" t="s">
        <v>5806</v>
      </c>
      <c r="B1690" s="20" t="s">
        <v>5807</v>
      </c>
      <c r="C1690" s="20" t="s">
        <v>193</v>
      </c>
      <c r="F1690" s="20" t="s">
        <v>150</v>
      </c>
      <c r="G1690" s="20" t="s">
        <v>150</v>
      </c>
      <c r="I1690" s="20" t="s">
        <v>151</v>
      </c>
      <c r="J1690" s="20" t="s">
        <v>143</v>
      </c>
      <c r="Q1690" s="20">
        <v>14169.0</v>
      </c>
      <c r="R1690" s="20" t="s">
        <v>5808</v>
      </c>
      <c r="S1690" s="20" t="s">
        <v>5807</v>
      </c>
      <c r="T1690" s="20" t="s">
        <v>138</v>
      </c>
    </row>
    <row r="1691" ht="14.25" customHeight="1">
      <c r="A1691" s="20" t="s">
        <v>5809</v>
      </c>
      <c r="B1691" s="20" t="s">
        <v>5810</v>
      </c>
      <c r="C1691" s="20" t="s">
        <v>272</v>
      </c>
      <c r="F1691" s="20" t="s">
        <v>150</v>
      </c>
      <c r="G1691" s="20" t="s">
        <v>150</v>
      </c>
      <c r="I1691" s="20" t="s">
        <v>151</v>
      </c>
      <c r="J1691" s="20" t="s">
        <v>143</v>
      </c>
      <c r="Q1691" s="20">
        <v>4106.0</v>
      </c>
      <c r="R1691" s="20" t="s">
        <v>5811</v>
      </c>
      <c r="S1691" s="20" t="s">
        <v>5812</v>
      </c>
      <c r="T1691" s="20" t="s">
        <v>138</v>
      </c>
    </row>
    <row r="1692" ht="14.25" customHeight="1">
      <c r="A1692" s="20" t="s">
        <v>5813</v>
      </c>
      <c r="B1692" s="20" t="s">
        <v>5814</v>
      </c>
      <c r="C1692" s="20" t="s">
        <v>289</v>
      </c>
      <c r="F1692" s="20" t="s">
        <v>150</v>
      </c>
      <c r="G1692" s="20" t="s">
        <v>150</v>
      </c>
      <c r="I1692" s="20" t="s">
        <v>151</v>
      </c>
      <c r="J1692" s="20" t="s">
        <v>143</v>
      </c>
      <c r="K1692" s="20" t="s">
        <v>213</v>
      </c>
      <c r="Q1692" s="20">
        <v>183.0</v>
      </c>
      <c r="R1692" s="20" t="s">
        <v>5815</v>
      </c>
      <c r="S1692" s="20" t="s">
        <v>5814</v>
      </c>
      <c r="T1692" s="20" t="s">
        <v>388</v>
      </c>
      <c r="V1692" s="20" t="s">
        <v>189</v>
      </c>
      <c r="W1692" s="20" t="s">
        <v>146</v>
      </c>
    </row>
    <row r="1693" ht="14.25" customHeight="1">
      <c r="A1693" s="20" t="s">
        <v>5816</v>
      </c>
      <c r="B1693" s="20" t="s">
        <v>5817</v>
      </c>
      <c r="C1693" s="20" t="s">
        <v>3303</v>
      </c>
      <c r="F1693" s="20" t="s">
        <v>327</v>
      </c>
      <c r="G1693" s="20" t="s">
        <v>385</v>
      </c>
      <c r="I1693" s="20" t="s">
        <v>598</v>
      </c>
      <c r="J1693" s="20" t="s">
        <v>143</v>
      </c>
      <c r="Q1693" s="20">
        <v>14059.0</v>
      </c>
      <c r="R1693" s="20" t="s">
        <v>5818</v>
      </c>
      <c r="S1693" s="20" t="s">
        <v>5817</v>
      </c>
      <c r="T1693" s="20" t="s">
        <v>138</v>
      </c>
    </row>
    <row r="1694" ht="14.25" customHeight="1">
      <c r="A1694" s="20" t="s">
        <v>5819</v>
      </c>
      <c r="B1694" s="20" t="s">
        <v>5820</v>
      </c>
      <c r="C1694" s="20" t="s">
        <v>197</v>
      </c>
      <c r="F1694" s="20" t="s">
        <v>150</v>
      </c>
      <c r="G1694" s="20" t="s">
        <v>150</v>
      </c>
      <c r="I1694" s="20" t="s">
        <v>151</v>
      </c>
      <c r="J1694" s="20" t="s">
        <v>143</v>
      </c>
      <c r="K1694" s="20" t="s">
        <v>167</v>
      </c>
      <c r="Q1694" s="20">
        <v>837.0</v>
      </c>
      <c r="R1694" s="20" t="s">
        <v>5821</v>
      </c>
      <c r="S1694" s="20" t="s">
        <v>5820</v>
      </c>
      <c r="T1694" s="20" t="s">
        <v>138</v>
      </c>
    </row>
    <row r="1695" ht="14.25" customHeight="1">
      <c r="A1695" s="20" t="s">
        <v>5822</v>
      </c>
      <c r="B1695" s="20" t="s">
        <v>5823</v>
      </c>
      <c r="C1695" s="20" t="s">
        <v>369</v>
      </c>
      <c r="F1695" s="20" t="s">
        <v>218</v>
      </c>
      <c r="G1695" s="20" t="s">
        <v>219</v>
      </c>
      <c r="I1695" s="20" t="s">
        <v>370</v>
      </c>
      <c r="J1695" s="20" t="s">
        <v>186</v>
      </c>
      <c r="Q1695" s="20">
        <v>10600.0</v>
      </c>
      <c r="R1695" s="20" t="s">
        <v>5824</v>
      </c>
      <c r="S1695" s="20" t="s">
        <v>5823</v>
      </c>
      <c r="T1695" s="20" t="s">
        <v>138</v>
      </c>
    </row>
    <row r="1696" ht="14.25" customHeight="1">
      <c r="A1696" s="20" t="s">
        <v>5825</v>
      </c>
      <c r="B1696" s="20" t="s">
        <v>5826</v>
      </c>
      <c r="C1696" s="20" t="s">
        <v>369</v>
      </c>
      <c r="F1696" s="20" t="s">
        <v>218</v>
      </c>
      <c r="G1696" s="20" t="s">
        <v>219</v>
      </c>
      <c r="I1696" s="20" t="s">
        <v>370</v>
      </c>
      <c r="J1696" s="20" t="s">
        <v>186</v>
      </c>
      <c r="K1696" s="20" t="s">
        <v>187</v>
      </c>
      <c r="Q1696" s="20">
        <v>13673.0</v>
      </c>
      <c r="R1696" s="20" t="s">
        <v>5827</v>
      </c>
      <c r="S1696" s="20" t="s">
        <v>5826</v>
      </c>
      <c r="T1696" s="20" t="s">
        <v>138</v>
      </c>
      <c r="W1696" s="20" t="s">
        <v>146</v>
      </c>
    </row>
    <row r="1697" ht="14.25" customHeight="1">
      <c r="A1697" s="20" t="s">
        <v>5828</v>
      </c>
      <c r="B1697" s="20" t="s">
        <v>5829</v>
      </c>
      <c r="C1697" s="20" t="s">
        <v>779</v>
      </c>
      <c r="F1697" s="20" t="s">
        <v>150</v>
      </c>
      <c r="G1697" s="20" t="s">
        <v>150</v>
      </c>
      <c r="I1697" s="20" t="s">
        <v>151</v>
      </c>
      <c r="J1697" s="20" t="s">
        <v>143</v>
      </c>
      <c r="Q1697" s="20">
        <v>1804.0</v>
      </c>
      <c r="R1697" s="20" t="s">
        <v>5830</v>
      </c>
      <c r="S1697" s="20" t="s">
        <v>5829</v>
      </c>
      <c r="T1697" s="20" t="s">
        <v>138</v>
      </c>
    </row>
    <row r="1698" ht="14.25" customHeight="1">
      <c r="A1698" s="20" t="s">
        <v>5831</v>
      </c>
      <c r="B1698" s="20" t="s">
        <v>5832</v>
      </c>
      <c r="C1698" s="20" t="s">
        <v>5833</v>
      </c>
      <c r="F1698" s="20" t="s">
        <v>16</v>
      </c>
      <c r="G1698" s="20" t="s">
        <v>202</v>
      </c>
      <c r="I1698" s="20" t="s">
        <v>2397</v>
      </c>
      <c r="J1698" s="20" t="s">
        <v>143</v>
      </c>
      <c r="Q1698" s="20">
        <v>14255.0</v>
      </c>
      <c r="R1698" s="20" t="s">
        <v>5834</v>
      </c>
      <c r="S1698" s="20" t="s">
        <v>5832</v>
      </c>
      <c r="T1698" s="20" t="s">
        <v>138</v>
      </c>
    </row>
    <row r="1699" ht="14.25" customHeight="1">
      <c r="A1699" s="20" t="s">
        <v>5835</v>
      </c>
      <c r="B1699" s="20" t="s">
        <v>5836</v>
      </c>
      <c r="C1699" s="20" t="s">
        <v>174</v>
      </c>
      <c r="F1699" s="20" t="s">
        <v>150</v>
      </c>
      <c r="G1699" s="20" t="s">
        <v>150</v>
      </c>
      <c r="I1699" s="20" t="s">
        <v>151</v>
      </c>
      <c r="J1699" s="20" t="s">
        <v>143</v>
      </c>
      <c r="Q1699" s="20">
        <v>9460.0</v>
      </c>
      <c r="R1699" s="20" t="s">
        <v>5837</v>
      </c>
      <c r="S1699" s="20" t="s">
        <v>5836</v>
      </c>
      <c r="T1699" s="20" t="s">
        <v>138</v>
      </c>
    </row>
    <row r="1700" ht="14.25" customHeight="1">
      <c r="A1700" s="20" t="s">
        <v>5838</v>
      </c>
      <c r="B1700" s="20" t="s">
        <v>5839</v>
      </c>
      <c r="C1700" s="20" t="s">
        <v>197</v>
      </c>
      <c r="F1700" s="20" t="s">
        <v>150</v>
      </c>
      <c r="G1700" s="20" t="s">
        <v>150</v>
      </c>
      <c r="I1700" s="20" t="s">
        <v>151</v>
      </c>
      <c r="J1700" s="20" t="s">
        <v>143</v>
      </c>
      <c r="K1700" s="20" t="s">
        <v>213</v>
      </c>
      <c r="Q1700" s="20">
        <v>4105.0</v>
      </c>
      <c r="R1700" s="20" t="s">
        <v>5840</v>
      </c>
      <c r="S1700" s="20" t="s">
        <v>5839</v>
      </c>
      <c r="T1700" s="20" t="s">
        <v>138</v>
      </c>
      <c r="W1700" s="20" t="s">
        <v>146</v>
      </c>
    </row>
    <row r="1701" ht="14.25" customHeight="1">
      <c r="A1701" s="20" t="s">
        <v>5841</v>
      </c>
      <c r="B1701" s="20" t="s">
        <v>5842</v>
      </c>
      <c r="C1701" s="20" t="s">
        <v>272</v>
      </c>
      <c r="F1701" s="20" t="s">
        <v>150</v>
      </c>
      <c r="G1701" s="20" t="s">
        <v>150</v>
      </c>
      <c r="I1701" s="20" t="s">
        <v>151</v>
      </c>
      <c r="J1701" s="20" t="s">
        <v>143</v>
      </c>
      <c r="K1701" s="20" t="s">
        <v>167</v>
      </c>
      <c r="Q1701" s="20">
        <v>15337.0</v>
      </c>
      <c r="R1701" s="20" t="s">
        <v>5843</v>
      </c>
      <c r="S1701" s="20" t="s">
        <v>5842</v>
      </c>
      <c r="T1701" s="20" t="s">
        <v>138</v>
      </c>
    </row>
    <row r="1702" ht="14.25" customHeight="1">
      <c r="A1702" s="20" t="s">
        <v>5844</v>
      </c>
      <c r="B1702" s="20" t="s">
        <v>5845</v>
      </c>
      <c r="C1702" s="20" t="s">
        <v>624</v>
      </c>
      <c r="F1702" s="20" t="s">
        <v>16</v>
      </c>
      <c r="G1702" s="20" t="s">
        <v>202</v>
      </c>
      <c r="I1702" s="20" t="s">
        <v>203</v>
      </c>
      <c r="J1702" s="20" t="s">
        <v>143</v>
      </c>
      <c r="Q1702" s="20">
        <v>11580.0</v>
      </c>
      <c r="R1702" s="20" t="s">
        <v>5846</v>
      </c>
      <c r="S1702" s="20" t="s">
        <v>5845</v>
      </c>
      <c r="T1702" s="20" t="s">
        <v>138</v>
      </c>
      <c r="W1702" s="20" t="s">
        <v>261</v>
      </c>
    </row>
    <row r="1703" ht="14.25" customHeight="1">
      <c r="A1703" s="20" t="s">
        <v>5847</v>
      </c>
      <c r="B1703" s="20" t="s">
        <v>5848</v>
      </c>
      <c r="C1703" s="20" t="s">
        <v>818</v>
      </c>
      <c r="F1703" s="20" t="s">
        <v>17</v>
      </c>
      <c r="G1703" s="20" t="s">
        <v>17</v>
      </c>
      <c r="I1703" s="20" t="s">
        <v>88</v>
      </c>
      <c r="J1703" s="20" t="s">
        <v>143</v>
      </c>
      <c r="Q1703" s="20">
        <v>3528.0</v>
      </c>
      <c r="R1703" s="20" t="s">
        <v>5849</v>
      </c>
      <c r="S1703" s="20" t="s">
        <v>5848</v>
      </c>
      <c r="T1703" s="20" t="s">
        <v>138</v>
      </c>
    </row>
    <row r="1704" ht="14.25" customHeight="1">
      <c r="A1704" s="20" t="s">
        <v>5850</v>
      </c>
      <c r="B1704" s="20" t="s">
        <v>5851</v>
      </c>
      <c r="C1704" s="20" t="s">
        <v>2267</v>
      </c>
      <c r="F1704" s="20" t="s">
        <v>327</v>
      </c>
      <c r="G1704" s="20" t="s">
        <v>385</v>
      </c>
      <c r="I1704" s="20" t="s">
        <v>2268</v>
      </c>
      <c r="J1704" s="20" t="s">
        <v>186</v>
      </c>
      <c r="K1704" s="20" t="s">
        <v>187</v>
      </c>
      <c r="Q1704" s="20">
        <v>843.0</v>
      </c>
      <c r="R1704" s="20" t="s">
        <v>5852</v>
      </c>
      <c r="S1704" s="20" t="s">
        <v>5853</v>
      </c>
      <c r="T1704" s="20" t="s">
        <v>138</v>
      </c>
      <c r="W1704" s="20" t="s">
        <v>190</v>
      </c>
    </row>
    <row r="1705" ht="14.25" customHeight="1">
      <c r="A1705" s="20" t="s">
        <v>5854</v>
      </c>
      <c r="B1705" s="20" t="s">
        <v>5855</v>
      </c>
      <c r="C1705" s="20" t="s">
        <v>5856</v>
      </c>
      <c r="F1705" s="20" t="s">
        <v>16</v>
      </c>
      <c r="G1705" s="20" t="s">
        <v>202</v>
      </c>
      <c r="H1705" s="20">
        <v>2036.0</v>
      </c>
      <c r="I1705" s="20" t="s">
        <v>87</v>
      </c>
      <c r="J1705" s="20" t="s">
        <v>143</v>
      </c>
      <c r="P1705" s="20" t="s">
        <v>5855</v>
      </c>
      <c r="Q1705" s="20">
        <v>2036.0</v>
      </c>
      <c r="R1705" s="20" t="s">
        <v>5857</v>
      </c>
      <c r="S1705" s="20" t="s">
        <v>5855</v>
      </c>
      <c r="T1705" s="20" t="s">
        <v>138</v>
      </c>
      <c r="W1705" s="20" t="s">
        <v>146</v>
      </c>
    </row>
    <row r="1706" ht="14.25" customHeight="1">
      <c r="A1706" s="20" t="s">
        <v>5858</v>
      </c>
      <c r="B1706" s="20" t="s">
        <v>5859</v>
      </c>
      <c r="C1706" s="20" t="s">
        <v>446</v>
      </c>
      <c r="F1706" s="20" t="s">
        <v>16</v>
      </c>
      <c r="G1706" s="20" t="s">
        <v>202</v>
      </c>
      <c r="I1706" s="20" t="s">
        <v>87</v>
      </c>
      <c r="J1706" s="20" t="s">
        <v>143</v>
      </c>
      <c r="K1706" s="20" t="s">
        <v>167</v>
      </c>
      <c r="Q1706" s="20">
        <v>11873.0</v>
      </c>
      <c r="R1706" s="20" t="s">
        <v>5860</v>
      </c>
      <c r="S1706" s="20" t="s">
        <v>5859</v>
      </c>
      <c r="T1706" s="20" t="s">
        <v>138</v>
      </c>
    </row>
    <row r="1707" ht="14.25" customHeight="1">
      <c r="A1707" s="20" t="s">
        <v>5861</v>
      </c>
      <c r="B1707" s="20" t="s">
        <v>5862</v>
      </c>
      <c r="C1707" s="20" t="s">
        <v>197</v>
      </c>
      <c r="F1707" s="20" t="s">
        <v>150</v>
      </c>
      <c r="G1707" s="20" t="s">
        <v>150</v>
      </c>
      <c r="I1707" s="20" t="s">
        <v>151</v>
      </c>
      <c r="J1707" s="20" t="s">
        <v>143</v>
      </c>
      <c r="K1707" s="20" t="s">
        <v>167</v>
      </c>
      <c r="Q1707" s="20">
        <v>4365.0</v>
      </c>
      <c r="R1707" s="20" t="s">
        <v>5863</v>
      </c>
      <c r="S1707" s="20" t="s">
        <v>5862</v>
      </c>
      <c r="T1707" s="20" t="s">
        <v>138</v>
      </c>
    </row>
    <row r="1708" ht="14.25" customHeight="1">
      <c r="A1708" s="20" t="s">
        <v>5864</v>
      </c>
      <c r="B1708" s="20" t="s">
        <v>5865</v>
      </c>
      <c r="C1708" s="20" t="s">
        <v>197</v>
      </c>
      <c r="F1708" s="20" t="s">
        <v>150</v>
      </c>
      <c r="G1708" s="20" t="s">
        <v>150</v>
      </c>
      <c r="I1708" s="20" t="s">
        <v>151</v>
      </c>
      <c r="J1708" s="20" t="s">
        <v>143</v>
      </c>
      <c r="Q1708" s="20">
        <v>15066.0</v>
      </c>
      <c r="R1708" s="20" t="s">
        <v>5866</v>
      </c>
      <c r="S1708" s="20" t="s">
        <v>5865</v>
      </c>
      <c r="T1708" s="20" t="s">
        <v>138</v>
      </c>
    </row>
    <row r="1709" ht="14.25" customHeight="1">
      <c r="A1709" s="20" t="s">
        <v>5867</v>
      </c>
      <c r="B1709" s="20" t="s">
        <v>5868</v>
      </c>
      <c r="C1709" s="20" t="s">
        <v>201</v>
      </c>
      <c r="F1709" s="20" t="s">
        <v>16</v>
      </c>
      <c r="G1709" s="20" t="s">
        <v>202</v>
      </c>
      <c r="I1709" s="20" t="s">
        <v>203</v>
      </c>
      <c r="J1709" s="20" t="s">
        <v>143</v>
      </c>
      <c r="K1709" s="20" t="s">
        <v>167</v>
      </c>
      <c r="Q1709" s="20">
        <v>9084.0</v>
      </c>
      <c r="R1709" s="20" t="s">
        <v>5869</v>
      </c>
      <c r="S1709" s="20" t="s">
        <v>5868</v>
      </c>
      <c r="T1709" s="20" t="s">
        <v>138</v>
      </c>
    </row>
    <row r="1710" ht="14.25" customHeight="1">
      <c r="A1710" s="20" t="s">
        <v>5870</v>
      </c>
      <c r="B1710" s="20" t="s">
        <v>5871</v>
      </c>
      <c r="C1710" s="20" t="s">
        <v>2051</v>
      </c>
      <c r="F1710" s="20" t="s">
        <v>16</v>
      </c>
      <c r="G1710" s="20" t="s">
        <v>202</v>
      </c>
      <c r="I1710" s="20" t="s">
        <v>203</v>
      </c>
      <c r="J1710" s="20" t="s">
        <v>143</v>
      </c>
      <c r="K1710" s="20" t="s">
        <v>167</v>
      </c>
      <c r="Q1710" s="20">
        <v>1519.0</v>
      </c>
      <c r="R1710" s="20" t="s">
        <v>5872</v>
      </c>
      <c r="S1710" s="20" t="s">
        <v>5871</v>
      </c>
      <c r="T1710" s="20" t="s">
        <v>138</v>
      </c>
    </row>
    <row r="1711" ht="14.25" customHeight="1">
      <c r="A1711" s="20" t="s">
        <v>5873</v>
      </c>
      <c r="B1711" s="20" t="s">
        <v>5874</v>
      </c>
      <c r="C1711" s="20" t="s">
        <v>1762</v>
      </c>
      <c r="F1711" s="20" t="s">
        <v>15</v>
      </c>
      <c r="G1711" s="20" t="s">
        <v>135</v>
      </c>
      <c r="I1711" s="20" t="s">
        <v>95</v>
      </c>
      <c r="J1711" s="20" t="s">
        <v>186</v>
      </c>
      <c r="Q1711" s="20">
        <v>10829.0</v>
      </c>
      <c r="R1711" s="20" t="s">
        <v>5875</v>
      </c>
      <c r="S1711" s="20" t="s">
        <v>5874</v>
      </c>
      <c r="T1711" s="20" t="s">
        <v>138</v>
      </c>
    </row>
    <row r="1712" ht="14.25" customHeight="1">
      <c r="A1712" s="20" t="s">
        <v>5876</v>
      </c>
      <c r="B1712" s="20" t="s">
        <v>5877</v>
      </c>
      <c r="C1712" s="20" t="s">
        <v>5878</v>
      </c>
      <c r="F1712" s="20" t="s">
        <v>17</v>
      </c>
      <c r="G1712" s="20" t="s">
        <v>17</v>
      </c>
      <c r="I1712" s="20" t="s">
        <v>88</v>
      </c>
      <c r="J1712" s="20" t="s">
        <v>143</v>
      </c>
      <c r="Q1712" s="20">
        <v>9114.0</v>
      </c>
      <c r="R1712" s="20" t="s">
        <v>5879</v>
      </c>
      <c r="S1712" s="20" t="s">
        <v>5877</v>
      </c>
      <c r="T1712" s="20" t="s">
        <v>138</v>
      </c>
    </row>
    <row r="1713" ht="14.25" customHeight="1">
      <c r="A1713" s="20" t="s">
        <v>5880</v>
      </c>
      <c r="B1713" s="20" t="s">
        <v>5881</v>
      </c>
      <c r="C1713" s="20" t="s">
        <v>5882</v>
      </c>
      <c r="F1713" s="20" t="s">
        <v>17</v>
      </c>
      <c r="G1713" s="20" t="s">
        <v>17</v>
      </c>
      <c r="I1713" s="20" t="s">
        <v>88</v>
      </c>
      <c r="J1713" s="20" t="s">
        <v>143</v>
      </c>
      <c r="K1713" s="20" t="s">
        <v>213</v>
      </c>
      <c r="Q1713" s="20">
        <v>851.0</v>
      </c>
      <c r="R1713" s="20" t="s">
        <v>5883</v>
      </c>
      <c r="S1713" s="20" t="s">
        <v>5881</v>
      </c>
      <c r="T1713" s="20" t="s">
        <v>138</v>
      </c>
      <c r="V1713" s="20" t="s">
        <v>189</v>
      </c>
      <c r="W1713" s="20" t="s">
        <v>146</v>
      </c>
    </row>
    <row r="1714" ht="14.25" customHeight="1">
      <c r="A1714" s="20" t="s">
        <v>5884</v>
      </c>
      <c r="B1714" s="20" t="s">
        <v>5885</v>
      </c>
      <c r="C1714" s="20" t="s">
        <v>680</v>
      </c>
      <c r="F1714" s="20" t="s">
        <v>15</v>
      </c>
      <c r="G1714" s="20" t="s">
        <v>142</v>
      </c>
      <c r="I1714" s="20" t="s">
        <v>105</v>
      </c>
      <c r="J1714" s="20" t="s">
        <v>143</v>
      </c>
      <c r="Q1714" s="20">
        <v>14117.0</v>
      </c>
      <c r="R1714" s="20" t="s">
        <v>5886</v>
      </c>
      <c r="S1714" s="20" t="s">
        <v>5885</v>
      </c>
      <c r="T1714" s="20" t="s">
        <v>138</v>
      </c>
    </row>
    <row r="1715" ht="14.25" customHeight="1">
      <c r="A1715" s="20" t="s">
        <v>5887</v>
      </c>
      <c r="B1715" s="20" t="s">
        <v>5888</v>
      </c>
      <c r="C1715" s="20" t="s">
        <v>1115</v>
      </c>
      <c r="F1715" s="20" t="s">
        <v>15</v>
      </c>
      <c r="G1715" s="20" t="s">
        <v>142</v>
      </c>
      <c r="I1715" s="20" t="s">
        <v>105</v>
      </c>
      <c r="J1715" s="20" t="s">
        <v>143</v>
      </c>
      <c r="Q1715" s="20">
        <v>11633.0</v>
      </c>
      <c r="R1715" s="20" t="s">
        <v>5889</v>
      </c>
      <c r="S1715" s="20" t="s">
        <v>5888</v>
      </c>
      <c r="T1715" s="20" t="s">
        <v>138</v>
      </c>
      <c r="W1715" s="20" t="s">
        <v>146</v>
      </c>
    </row>
    <row r="1716" ht="14.25" customHeight="1">
      <c r="A1716" s="20" t="s">
        <v>5890</v>
      </c>
      <c r="B1716" s="20" t="s">
        <v>5891</v>
      </c>
      <c r="C1716" s="20" t="s">
        <v>1200</v>
      </c>
      <c r="F1716" s="20" t="s">
        <v>327</v>
      </c>
      <c r="G1716" s="20" t="s">
        <v>385</v>
      </c>
      <c r="I1716" s="20" t="s">
        <v>1201</v>
      </c>
      <c r="J1716" s="20" t="s">
        <v>143</v>
      </c>
      <c r="Q1716" s="20">
        <v>11017.0</v>
      </c>
      <c r="R1716" s="20" t="s">
        <v>5892</v>
      </c>
      <c r="S1716" s="20" t="s">
        <v>5891</v>
      </c>
      <c r="T1716" s="20" t="s">
        <v>138</v>
      </c>
    </row>
    <row r="1717" ht="14.25" customHeight="1">
      <c r="A1717" s="20" t="s">
        <v>5893</v>
      </c>
      <c r="B1717" s="20" t="s">
        <v>5894</v>
      </c>
      <c r="C1717" s="20" t="s">
        <v>5895</v>
      </c>
      <c r="F1717" s="20" t="s">
        <v>15</v>
      </c>
      <c r="G1717" s="20" t="s">
        <v>142</v>
      </c>
      <c r="I1717" s="20" t="s">
        <v>105</v>
      </c>
      <c r="J1717" s="20" t="s">
        <v>143</v>
      </c>
      <c r="Q1717" s="20">
        <v>5380.0</v>
      </c>
      <c r="R1717" s="20" t="s">
        <v>5896</v>
      </c>
      <c r="S1717" s="20" t="s">
        <v>5894</v>
      </c>
      <c r="T1717" s="20" t="s">
        <v>138</v>
      </c>
      <c r="W1717" s="20" t="s">
        <v>146</v>
      </c>
    </row>
    <row r="1718" ht="14.25" customHeight="1">
      <c r="A1718" s="20" t="s">
        <v>5897</v>
      </c>
      <c r="B1718" s="20" t="s">
        <v>5898</v>
      </c>
      <c r="C1718" s="20" t="s">
        <v>680</v>
      </c>
      <c r="F1718" s="20" t="s">
        <v>15</v>
      </c>
      <c r="G1718" s="20" t="s">
        <v>142</v>
      </c>
      <c r="I1718" s="20" t="s">
        <v>105</v>
      </c>
      <c r="J1718" s="20" t="s">
        <v>143</v>
      </c>
      <c r="Q1718" s="20">
        <v>15330.0</v>
      </c>
      <c r="R1718" s="20" t="s">
        <v>5899</v>
      </c>
      <c r="S1718" s="20" t="s">
        <v>5898</v>
      </c>
      <c r="T1718" s="20" t="s">
        <v>138</v>
      </c>
    </row>
    <row r="1719" ht="14.25" customHeight="1">
      <c r="A1719" s="20" t="s">
        <v>5900</v>
      </c>
      <c r="B1719" s="20" t="s">
        <v>5901</v>
      </c>
      <c r="C1719" s="20" t="s">
        <v>201</v>
      </c>
      <c r="F1719" s="20" t="s">
        <v>16</v>
      </c>
      <c r="G1719" s="20" t="s">
        <v>202</v>
      </c>
      <c r="I1719" s="20" t="s">
        <v>203</v>
      </c>
      <c r="J1719" s="20" t="s">
        <v>143</v>
      </c>
      <c r="Q1719" s="20">
        <v>8939.0</v>
      </c>
      <c r="R1719" s="20" t="s">
        <v>5902</v>
      </c>
      <c r="S1719" s="20" t="s">
        <v>5901</v>
      </c>
      <c r="T1719" s="20" t="s">
        <v>138</v>
      </c>
    </row>
    <row r="1720" ht="14.25" customHeight="1">
      <c r="A1720" s="20" t="s">
        <v>5903</v>
      </c>
      <c r="B1720" s="20" t="s">
        <v>5904</v>
      </c>
      <c r="C1720" s="20" t="s">
        <v>163</v>
      </c>
      <c r="F1720" s="20" t="s">
        <v>150</v>
      </c>
      <c r="G1720" s="20" t="s">
        <v>150</v>
      </c>
      <c r="I1720" s="20" t="s">
        <v>151</v>
      </c>
      <c r="J1720" s="20" t="s">
        <v>143</v>
      </c>
      <c r="Q1720" s="20">
        <v>15295.0</v>
      </c>
      <c r="R1720" s="20" t="s">
        <v>5905</v>
      </c>
      <c r="S1720" s="20" t="s">
        <v>5904</v>
      </c>
      <c r="T1720" s="20" t="s">
        <v>138</v>
      </c>
    </row>
    <row r="1721" ht="14.25" customHeight="1">
      <c r="A1721" s="20" t="s">
        <v>5906</v>
      </c>
      <c r="B1721" s="20" t="s">
        <v>5907</v>
      </c>
      <c r="C1721" s="20" t="s">
        <v>197</v>
      </c>
      <c r="F1721" s="20" t="s">
        <v>150</v>
      </c>
      <c r="G1721" s="20" t="s">
        <v>150</v>
      </c>
      <c r="I1721" s="20" t="s">
        <v>151</v>
      </c>
      <c r="J1721" s="20" t="s">
        <v>143</v>
      </c>
      <c r="K1721" s="20" t="s">
        <v>167</v>
      </c>
      <c r="Q1721" s="20">
        <v>13599.0</v>
      </c>
      <c r="R1721" s="20" t="s">
        <v>5908</v>
      </c>
      <c r="S1721" s="20" t="s">
        <v>5907</v>
      </c>
      <c r="T1721" s="20" t="s">
        <v>138</v>
      </c>
      <c r="V1721" s="20" t="s">
        <v>189</v>
      </c>
      <c r="W1721" s="20" t="s">
        <v>146</v>
      </c>
    </row>
    <row r="1722" ht="14.25" customHeight="1">
      <c r="A1722" s="20" t="s">
        <v>5909</v>
      </c>
      <c r="B1722" s="20" t="s">
        <v>5910</v>
      </c>
      <c r="C1722" s="20" t="s">
        <v>289</v>
      </c>
      <c r="F1722" s="20" t="s">
        <v>150</v>
      </c>
      <c r="G1722" s="20" t="s">
        <v>150</v>
      </c>
      <c r="I1722" s="20" t="s">
        <v>151</v>
      </c>
      <c r="J1722" s="20" t="s">
        <v>143</v>
      </c>
      <c r="Q1722" s="20">
        <v>852.0</v>
      </c>
      <c r="R1722" s="20" t="s">
        <v>5911</v>
      </c>
      <c r="S1722" s="20" t="s">
        <v>5910</v>
      </c>
      <c r="T1722" s="20" t="s">
        <v>138</v>
      </c>
    </row>
    <row r="1723" ht="14.25" customHeight="1">
      <c r="A1723" s="20" t="s">
        <v>5912</v>
      </c>
      <c r="B1723" s="20" t="s">
        <v>5913</v>
      </c>
      <c r="C1723" s="20" t="s">
        <v>272</v>
      </c>
      <c r="F1723" s="20" t="s">
        <v>150</v>
      </c>
      <c r="G1723" s="20" t="s">
        <v>150</v>
      </c>
      <c r="I1723" s="20" t="s">
        <v>151</v>
      </c>
      <c r="J1723" s="20" t="s">
        <v>143</v>
      </c>
      <c r="Q1723" s="20">
        <v>14856.0</v>
      </c>
      <c r="R1723" s="20" t="s">
        <v>5914</v>
      </c>
      <c r="S1723" s="20" t="s">
        <v>5913</v>
      </c>
      <c r="T1723" s="20" t="s">
        <v>138</v>
      </c>
    </row>
    <row r="1724" ht="14.25" customHeight="1">
      <c r="A1724" s="20" t="s">
        <v>5915</v>
      </c>
      <c r="B1724" s="20" t="s">
        <v>5916</v>
      </c>
      <c r="C1724" s="20" t="s">
        <v>3143</v>
      </c>
      <c r="F1724" s="20" t="s">
        <v>150</v>
      </c>
      <c r="G1724" s="20" t="s">
        <v>150</v>
      </c>
      <c r="H1724" s="20">
        <v>6162.0</v>
      </c>
      <c r="I1724" s="20" t="s">
        <v>151</v>
      </c>
      <c r="J1724" s="20" t="s">
        <v>143</v>
      </c>
      <c r="Q1724" s="20">
        <v>6162.0</v>
      </c>
      <c r="R1724" s="20" t="s">
        <v>5917</v>
      </c>
      <c r="S1724" s="20" t="s">
        <v>5918</v>
      </c>
      <c r="T1724" s="20" t="s">
        <v>138</v>
      </c>
      <c r="W1724" s="20" t="s">
        <v>146</v>
      </c>
    </row>
    <row r="1725" ht="14.25" customHeight="1">
      <c r="A1725" s="20" t="s">
        <v>5919</v>
      </c>
      <c r="B1725" s="20" t="s">
        <v>5920</v>
      </c>
      <c r="C1725" s="20" t="s">
        <v>159</v>
      </c>
      <c r="F1725" s="20" t="s">
        <v>150</v>
      </c>
      <c r="G1725" s="20" t="s">
        <v>150</v>
      </c>
      <c r="I1725" s="20" t="s">
        <v>151</v>
      </c>
      <c r="J1725" s="20" t="s">
        <v>143</v>
      </c>
      <c r="Q1725" s="20">
        <v>853.0</v>
      </c>
      <c r="R1725" s="20" t="s">
        <v>5921</v>
      </c>
      <c r="S1725" s="20" t="s">
        <v>5920</v>
      </c>
      <c r="T1725" s="20" t="s">
        <v>138</v>
      </c>
    </row>
    <row r="1726" ht="14.25" customHeight="1">
      <c r="A1726" s="20" t="s">
        <v>5922</v>
      </c>
      <c r="B1726" s="20" t="s">
        <v>5923</v>
      </c>
      <c r="C1726" s="20" t="s">
        <v>486</v>
      </c>
      <c r="F1726" s="20" t="s">
        <v>327</v>
      </c>
      <c r="G1726" s="20" t="s">
        <v>385</v>
      </c>
      <c r="I1726" s="20" t="s">
        <v>2350</v>
      </c>
      <c r="J1726" s="20" t="s">
        <v>186</v>
      </c>
      <c r="Q1726" s="20">
        <v>10253.0</v>
      </c>
      <c r="R1726" s="20" t="s">
        <v>5924</v>
      </c>
      <c r="S1726" s="20" t="s">
        <v>5923</v>
      </c>
      <c r="T1726" s="20" t="s">
        <v>138</v>
      </c>
    </row>
    <row r="1727" ht="14.25" customHeight="1">
      <c r="A1727" s="20" t="s">
        <v>5925</v>
      </c>
      <c r="B1727" s="20" t="s">
        <v>5926</v>
      </c>
      <c r="C1727" s="20" t="s">
        <v>5927</v>
      </c>
      <c r="F1727" s="20" t="s">
        <v>16</v>
      </c>
      <c r="G1727" s="20" t="s">
        <v>202</v>
      </c>
      <c r="H1727" s="20">
        <v>15825.0</v>
      </c>
      <c r="I1727" s="20" t="s">
        <v>87</v>
      </c>
      <c r="J1727" s="20" t="s">
        <v>143</v>
      </c>
      <c r="L1727" s="20" t="s">
        <v>87</v>
      </c>
      <c r="Q1727" s="20">
        <v>15825.0</v>
      </c>
      <c r="R1727" s="20" t="s">
        <v>5928</v>
      </c>
      <c r="T1727" s="20" t="s">
        <v>138</v>
      </c>
    </row>
    <row r="1728" ht="14.25" customHeight="1">
      <c r="A1728" s="20" t="s">
        <v>5929</v>
      </c>
      <c r="B1728" s="20" t="s">
        <v>5930</v>
      </c>
      <c r="C1728" s="20" t="s">
        <v>1343</v>
      </c>
      <c r="F1728" s="20" t="s">
        <v>150</v>
      </c>
      <c r="G1728" s="20" t="s">
        <v>150</v>
      </c>
      <c r="I1728" s="20" t="s">
        <v>151</v>
      </c>
      <c r="J1728" s="20" t="s">
        <v>186</v>
      </c>
      <c r="Q1728" s="20">
        <v>2803.0</v>
      </c>
      <c r="R1728" s="20" t="s">
        <v>5931</v>
      </c>
      <c r="S1728" s="20" t="s">
        <v>5930</v>
      </c>
      <c r="T1728" s="20" t="s">
        <v>138</v>
      </c>
    </row>
    <row r="1729" ht="14.25" customHeight="1">
      <c r="A1729" s="20" t="s">
        <v>5932</v>
      </c>
      <c r="B1729" s="20" t="s">
        <v>5933</v>
      </c>
      <c r="C1729" s="20" t="s">
        <v>1343</v>
      </c>
      <c r="F1729" s="20" t="s">
        <v>150</v>
      </c>
      <c r="G1729" s="20" t="s">
        <v>150</v>
      </c>
      <c r="I1729" s="20" t="s">
        <v>151</v>
      </c>
      <c r="J1729" s="20" t="s">
        <v>186</v>
      </c>
      <c r="Q1729" s="20">
        <v>448.0</v>
      </c>
      <c r="R1729" s="20" t="s">
        <v>5934</v>
      </c>
      <c r="S1729" s="20" t="s">
        <v>5933</v>
      </c>
      <c r="T1729" s="20" t="s">
        <v>138</v>
      </c>
    </row>
    <row r="1730" ht="14.25" customHeight="1">
      <c r="A1730" s="20" t="s">
        <v>5935</v>
      </c>
      <c r="B1730" s="20" t="s">
        <v>5936</v>
      </c>
      <c r="C1730" s="20" t="s">
        <v>1343</v>
      </c>
      <c r="F1730" s="20" t="s">
        <v>150</v>
      </c>
      <c r="G1730" s="20" t="s">
        <v>150</v>
      </c>
      <c r="I1730" s="20" t="s">
        <v>151</v>
      </c>
      <c r="J1730" s="20" t="s">
        <v>186</v>
      </c>
      <c r="Q1730" s="20">
        <v>15233.0</v>
      </c>
      <c r="R1730" s="20" t="s">
        <v>5937</v>
      </c>
      <c r="S1730" s="20" t="s">
        <v>5936</v>
      </c>
      <c r="T1730" s="20" t="s">
        <v>138</v>
      </c>
    </row>
    <row r="1731" ht="14.25" customHeight="1">
      <c r="A1731" s="20" t="s">
        <v>5938</v>
      </c>
      <c r="B1731" s="20" t="s">
        <v>5939</v>
      </c>
      <c r="C1731" s="20" t="s">
        <v>163</v>
      </c>
      <c r="F1731" s="20" t="s">
        <v>150</v>
      </c>
      <c r="G1731" s="20" t="s">
        <v>150</v>
      </c>
      <c r="I1731" s="20" t="s">
        <v>151</v>
      </c>
      <c r="J1731" s="20" t="s">
        <v>143</v>
      </c>
      <c r="Q1731" s="20">
        <v>2436.0</v>
      </c>
      <c r="R1731" s="20" t="s">
        <v>5940</v>
      </c>
      <c r="S1731" s="20" t="s">
        <v>5939</v>
      </c>
      <c r="T1731" s="20" t="s">
        <v>138</v>
      </c>
    </row>
    <row r="1732" ht="14.25" customHeight="1">
      <c r="A1732" s="20" t="s">
        <v>5941</v>
      </c>
      <c r="B1732" s="20" t="s">
        <v>5942</v>
      </c>
      <c r="C1732" s="20" t="s">
        <v>5762</v>
      </c>
      <c r="F1732" s="20" t="s">
        <v>150</v>
      </c>
      <c r="G1732" s="20" t="s">
        <v>150</v>
      </c>
      <c r="I1732" s="20" t="s">
        <v>151</v>
      </c>
      <c r="J1732" s="20" t="s">
        <v>136</v>
      </c>
      <c r="Q1732" s="20">
        <v>16084.0</v>
      </c>
      <c r="R1732" s="20" t="s">
        <v>5943</v>
      </c>
      <c r="S1732" s="20" t="s">
        <v>5942</v>
      </c>
      <c r="T1732" s="20" t="s">
        <v>138</v>
      </c>
    </row>
    <row r="1733" ht="14.25" customHeight="1">
      <c r="A1733" s="20" t="s">
        <v>5944</v>
      </c>
      <c r="B1733" s="20" t="s">
        <v>5945</v>
      </c>
      <c r="C1733" s="20" t="s">
        <v>1158</v>
      </c>
      <c r="F1733" s="20" t="s">
        <v>218</v>
      </c>
      <c r="G1733" s="20" t="s">
        <v>219</v>
      </c>
      <c r="I1733" s="20" t="s">
        <v>1159</v>
      </c>
      <c r="J1733" s="20" t="s">
        <v>186</v>
      </c>
      <c r="Q1733" s="20">
        <v>8825.0</v>
      </c>
      <c r="R1733" s="20" t="s">
        <v>5946</v>
      </c>
      <c r="S1733" s="20" t="s">
        <v>5945</v>
      </c>
      <c r="T1733" s="20" t="s">
        <v>138</v>
      </c>
    </row>
    <row r="1734" ht="14.25" customHeight="1">
      <c r="A1734" s="20" t="s">
        <v>5947</v>
      </c>
      <c r="B1734" s="20" t="s">
        <v>5948</v>
      </c>
      <c r="C1734" s="20" t="s">
        <v>5949</v>
      </c>
      <c r="F1734" s="20" t="s">
        <v>16</v>
      </c>
      <c r="G1734" s="20" t="s">
        <v>211</v>
      </c>
      <c r="I1734" s="20" t="s">
        <v>258</v>
      </c>
      <c r="J1734" s="20" t="s">
        <v>136</v>
      </c>
      <c r="Q1734" s="20">
        <v>13668.0</v>
      </c>
      <c r="R1734" s="20" t="s">
        <v>5950</v>
      </c>
      <c r="S1734" s="20" t="s">
        <v>5948</v>
      </c>
      <c r="T1734" s="20" t="s">
        <v>138</v>
      </c>
      <c r="W1734" s="20" t="s">
        <v>136</v>
      </c>
    </row>
    <row r="1735" ht="14.25" customHeight="1">
      <c r="A1735" s="20" t="s">
        <v>5951</v>
      </c>
      <c r="B1735" s="20" t="s">
        <v>5952</v>
      </c>
      <c r="C1735" s="20" t="s">
        <v>235</v>
      </c>
      <c r="F1735" s="20" t="s">
        <v>15</v>
      </c>
      <c r="G1735" s="20" t="s">
        <v>142</v>
      </c>
      <c r="I1735" s="20" t="s">
        <v>105</v>
      </c>
      <c r="J1735" s="20" t="s">
        <v>143</v>
      </c>
      <c r="Q1735" s="20">
        <v>10264.0</v>
      </c>
      <c r="R1735" s="20" t="s">
        <v>5953</v>
      </c>
      <c r="S1735" s="20" t="s">
        <v>5952</v>
      </c>
      <c r="T1735" s="20" t="s">
        <v>138</v>
      </c>
    </row>
    <row r="1736" ht="14.25" customHeight="1">
      <c r="A1736" s="20" t="s">
        <v>5954</v>
      </c>
      <c r="B1736" s="20" t="s">
        <v>5955</v>
      </c>
      <c r="C1736" s="20" t="s">
        <v>193</v>
      </c>
      <c r="F1736" s="20" t="s">
        <v>150</v>
      </c>
      <c r="G1736" s="20" t="s">
        <v>150</v>
      </c>
      <c r="I1736" s="20" t="s">
        <v>151</v>
      </c>
      <c r="J1736" s="20" t="s">
        <v>143</v>
      </c>
      <c r="Q1736" s="20">
        <v>5061.0</v>
      </c>
      <c r="R1736" s="20" t="s">
        <v>5956</v>
      </c>
      <c r="S1736" s="20" t="s">
        <v>5955</v>
      </c>
      <c r="T1736" s="20" t="s">
        <v>138</v>
      </c>
    </row>
    <row r="1737" ht="14.25" customHeight="1">
      <c r="A1737" s="20" t="s">
        <v>5957</v>
      </c>
      <c r="B1737" s="20" t="s">
        <v>5958</v>
      </c>
      <c r="C1737" s="20" t="s">
        <v>149</v>
      </c>
      <c r="F1737" s="20" t="s">
        <v>150</v>
      </c>
      <c r="G1737" s="20" t="s">
        <v>150</v>
      </c>
      <c r="I1737" s="20" t="s">
        <v>151</v>
      </c>
      <c r="J1737" s="20" t="s">
        <v>143</v>
      </c>
      <c r="Q1737" s="20">
        <v>14225.0</v>
      </c>
      <c r="R1737" s="20" t="s">
        <v>5959</v>
      </c>
      <c r="S1737" s="20" t="s">
        <v>5958</v>
      </c>
      <c r="T1737" s="20" t="s">
        <v>138</v>
      </c>
    </row>
    <row r="1738" ht="14.25" customHeight="1">
      <c r="A1738" s="20" t="s">
        <v>5960</v>
      </c>
      <c r="B1738" s="20" t="s">
        <v>5961</v>
      </c>
      <c r="C1738" s="20" t="s">
        <v>1806</v>
      </c>
      <c r="F1738" s="20" t="s">
        <v>16</v>
      </c>
      <c r="G1738" s="20" t="s">
        <v>638</v>
      </c>
      <c r="I1738" s="20" t="s">
        <v>814</v>
      </c>
      <c r="J1738" s="20" t="s">
        <v>136</v>
      </c>
      <c r="Q1738" s="20">
        <v>11607.0</v>
      </c>
      <c r="R1738" s="20" t="s">
        <v>5962</v>
      </c>
      <c r="S1738" s="20" t="s">
        <v>5961</v>
      </c>
      <c r="T1738" s="20" t="s">
        <v>138</v>
      </c>
      <c r="W1738" s="20" t="s">
        <v>372</v>
      </c>
    </row>
    <row r="1739" ht="14.25" customHeight="1">
      <c r="A1739" s="20" t="s">
        <v>5963</v>
      </c>
      <c r="B1739" s="20" t="s">
        <v>5964</v>
      </c>
      <c r="C1739" s="20" t="s">
        <v>1144</v>
      </c>
      <c r="F1739" s="20" t="s">
        <v>150</v>
      </c>
      <c r="G1739" s="20" t="s">
        <v>150</v>
      </c>
      <c r="I1739" s="20" t="s">
        <v>151</v>
      </c>
      <c r="J1739" s="20" t="s">
        <v>186</v>
      </c>
      <c r="Q1739" s="20">
        <v>864.0</v>
      </c>
      <c r="R1739" s="20" t="s">
        <v>5965</v>
      </c>
      <c r="S1739" s="20" t="s">
        <v>5964</v>
      </c>
      <c r="T1739" s="20" t="s">
        <v>138</v>
      </c>
    </row>
    <row r="1740" ht="14.25" customHeight="1">
      <c r="A1740" s="20" t="s">
        <v>5966</v>
      </c>
      <c r="B1740" s="20" t="s">
        <v>5967</v>
      </c>
      <c r="C1740" s="20" t="s">
        <v>5968</v>
      </c>
      <c r="F1740" s="20" t="s">
        <v>150</v>
      </c>
      <c r="G1740" s="20" t="s">
        <v>150</v>
      </c>
      <c r="I1740" s="20" t="s">
        <v>151</v>
      </c>
      <c r="J1740" s="20" t="s">
        <v>143</v>
      </c>
      <c r="Q1740" s="20">
        <v>10991.0</v>
      </c>
      <c r="R1740" s="20" t="s">
        <v>5969</v>
      </c>
      <c r="S1740" s="20" t="s">
        <v>5967</v>
      </c>
      <c r="T1740" s="20" t="s">
        <v>138</v>
      </c>
      <c r="W1740" s="20" t="s">
        <v>146</v>
      </c>
    </row>
    <row r="1741" ht="14.25" customHeight="1">
      <c r="A1741" s="20" t="s">
        <v>5970</v>
      </c>
      <c r="B1741" s="20" t="s">
        <v>5971</v>
      </c>
      <c r="C1741" s="20" t="s">
        <v>201</v>
      </c>
      <c r="F1741" s="20" t="s">
        <v>16</v>
      </c>
      <c r="G1741" s="20" t="s">
        <v>202</v>
      </c>
      <c r="I1741" s="20" t="s">
        <v>203</v>
      </c>
      <c r="J1741" s="20" t="s">
        <v>143</v>
      </c>
      <c r="Q1741" s="20">
        <v>8469.0</v>
      </c>
      <c r="R1741" s="20" t="s">
        <v>5972</v>
      </c>
      <c r="S1741" s="20" t="s">
        <v>5971</v>
      </c>
      <c r="T1741" s="20" t="s">
        <v>138</v>
      </c>
    </row>
    <row r="1742" ht="14.25" customHeight="1">
      <c r="A1742" s="20" t="s">
        <v>5973</v>
      </c>
      <c r="B1742" s="20" t="s">
        <v>5974</v>
      </c>
      <c r="C1742" s="20" t="s">
        <v>272</v>
      </c>
      <c r="F1742" s="20" t="s">
        <v>150</v>
      </c>
      <c r="G1742" s="20" t="s">
        <v>150</v>
      </c>
      <c r="I1742" s="20" t="s">
        <v>151</v>
      </c>
      <c r="J1742" s="20" t="s">
        <v>143</v>
      </c>
      <c r="Q1742" s="20">
        <v>15887.0</v>
      </c>
      <c r="R1742" s="20" t="s">
        <v>5975</v>
      </c>
      <c r="S1742" s="20" t="s">
        <v>5974</v>
      </c>
      <c r="T1742" s="20" t="s">
        <v>138</v>
      </c>
    </row>
    <row r="1743" ht="14.25" customHeight="1">
      <c r="A1743" s="20" t="s">
        <v>5976</v>
      </c>
      <c r="B1743" s="20" t="s">
        <v>5977</v>
      </c>
      <c r="C1743" s="20" t="s">
        <v>3795</v>
      </c>
      <c r="F1743" s="20" t="s">
        <v>15</v>
      </c>
      <c r="G1743" s="20" t="s">
        <v>135</v>
      </c>
      <c r="H1743" s="20">
        <v>16039.0</v>
      </c>
      <c r="I1743" s="20" t="s">
        <v>94</v>
      </c>
      <c r="J1743" s="20" t="s">
        <v>143</v>
      </c>
      <c r="Q1743" s="20">
        <v>16039.0</v>
      </c>
      <c r="R1743" s="20" t="s">
        <v>5978</v>
      </c>
      <c r="S1743" s="20" t="s">
        <v>5977</v>
      </c>
      <c r="T1743" s="20" t="s">
        <v>138</v>
      </c>
    </row>
    <row r="1744" ht="14.25" customHeight="1">
      <c r="A1744" s="20" t="s">
        <v>5979</v>
      </c>
      <c r="B1744" s="20" t="s">
        <v>5980</v>
      </c>
      <c r="C1744" s="20" t="s">
        <v>2826</v>
      </c>
      <c r="F1744" s="20" t="s">
        <v>327</v>
      </c>
      <c r="G1744" s="20" t="s">
        <v>385</v>
      </c>
      <c r="I1744" s="20" t="s">
        <v>2827</v>
      </c>
      <c r="J1744" s="20" t="s">
        <v>186</v>
      </c>
      <c r="Q1744" s="20">
        <v>4354.0</v>
      </c>
      <c r="R1744" s="20" t="s">
        <v>5981</v>
      </c>
      <c r="S1744" s="20" t="s">
        <v>5980</v>
      </c>
      <c r="T1744" s="20" t="s">
        <v>138</v>
      </c>
    </row>
    <row r="1745" ht="14.25" customHeight="1">
      <c r="A1745" s="20" t="s">
        <v>5982</v>
      </c>
      <c r="B1745" s="20" t="s">
        <v>5983</v>
      </c>
      <c r="C1745" s="20" t="s">
        <v>174</v>
      </c>
      <c r="F1745" s="20" t="s">
        <v>150</v>
      </c>
      <c r="G1745" s="20" t="s">
        <v>150</v>
      </c>
      <c r="I1745" s="20" t="s">
        <v>151</v>
      </c>
      <c r="J1745" s="20" t="s">
        <v>143</v>
      </c>
      <c r="Q1745" s="20">
        <v>14731.0</v>
      </c>
      <c r="R1745" s="20" t="s">
        <v>5984</v>
      </c>
      <c r="S1745" s="20" t="s">
        <v>5983</v>
      </c>
      <c r="T1745" s="20" t="s">
        <v>138</v>
      </c>
    </row>
    <row r="1746" ht="14.25" customHeight="1">
      <c r="A1746" s="20" t="s">
        <v>5985</v>
      </c>
      <c r="B1746" s="20" t="s">
        <v>5986</v>
      </c>
      <c r="C1746" s="20" t="s">
        <v>775</v>
      </c>
      <c r="F1746" s="20" t="s">
        <v>327</v>
      </c>
      <c r="G1746" s="20" t="s">
        <v>385</v>
      </c>
      <c r="I1746" s="20" t="s">
        <v>762</v>
      </c>
      <c r="J1746" s="20" t="s">
        <v>186</v>
      </c>
      <c r="K1746" s="20" t="s">
        <v>167</v>
      </c>
      <c r="Q1746" s="20">
        <v>15660.0</v>
      </c>
      <c r="R1746" s="20" t="s">
        <v>5987</v>
      </c>
      <c r="S1746" s="20" t="s">
        <v>5986</v>
      </c>
      <c r="T1746" s="20" t="s">
        <v>138</v>
      </c>
    </row>
    <row r="1747" ht="14.25" customHeight="1">
      <c r="A1747" s="20" t="s">
        <v>5988</v>
      </c>
      <c r="B1747" s="20" t="s">
        <v>5989</v>
      </c>
      <c r="C1747" s="20" t="s">
        <v>1680</v>
      </c>
      <c r="F1747" s="20" t="s">
        <v>327</v>
      </c>
      <c r="G1747" s="20" t="s">
        <v>385</v>
      </c>
      <c r="I1747" s="20" t="s">
        <v>5180</v>
      </c>
      <c r="J1747" s="20" t="s">
        <v>186</v>
      </c>
      <c r="K1747" s="20" t="s">
        <v>213</v>
      </c>
      <c r="Q1747" s="20">
        <v>3719.0</v>
      </c>
      <c r="R1747" s="20" t="s">
        <v>5990</v>
      </c>
      <c r="S1747" s="20" t="s">
        <v>5989</v>
      </c>
      <c r="T1747" s="20" t="s">
        <v>138</v>
      </c>
      <c r="W1747" s="20" t="s">
        <v>146</v>
      </c>
    </row>
    <row r="1748" ht="14.25" customHeight="1">
      <c r="A1748" s="20" t="s">
        <v>5991</v>
      </c>
      <c r="B1748" s="20" t="s">
        <v>5992</v>
      </c>
      <c r="C1748" s="20" t="s">
        <v>5993</v>
      </c>
      <c r="F1748" s="20" t="s">
        <v>15</v>
      </c>
      <c r="G1748" s="20" t="s">
        <v>135</v>
      </c>
      <c r="I1748" s="20" t="s">
        <v>96</v>
      </c>
      <c r="J1748" s="20" t="s">
        <v>136</v>
      </c>
      <c r="L1748" s="20" t="s">
        <v>96</v>
      </c>
      <c r="Q1748" s="20">
        <v>10201.0</v>
      </c>
      <c r="R1748" s="20" t="s">
        <v>5994</v>
      </c>
      <c r="S1748" s="20" t="s">
        <v>5992</v>
      </c>
      <c r="T1748" s="20" t="s">
        <v>138</v>
      </c>
    </row>
    <row r="1749" ht="14.25" customHeight="1">
      <c r="A1749" s="20" t="s">
        <v>5995</v>
      </c>
      <c r="B1749" s="20" t="s">
        <v>5996</v>
      </c>
      <c r="C1749" s="20" t="s">
        <v>5997</v>
      </c>
      <c r="F1749" s="20" t="s">
        <v>16</v>
      </c>
      <c r="G1749" s="20" t="s">
        <v>202</v>
      </c>
      <c r="I1749" s="20" t="s">
        <v>203</v>
      </c>
      <c r="J1749" s="20" t="s">
        <v>143</v>
      </c>
      <c r="K1749" s="20" t="s">
        <v>213</v>
      </c>
      <c r="L1749" s="20" t="s">
        <v>203</v>
      </c>
      <c r="Q1749" s="20">
        <v>16834.0</v>
      </c>
      <c r="R1749" s="20" t="s">
        <v>5998</v>
      </c>
      <c r="S1749" s="20" t="s">
        <v>5996</v>
      </c>
      <c r="T1749" s="20" t="s">
        <v>138</v>
      </c>
      <c r="V1749" s="20" t="s">
        <v>189</v>
      </c>
      <c r="W1749" s="20" t="s">
        <v>146</v>
      </c>
    </row>
    <row r="1750" ht="14.25" customHeight="1">
      <c r="A1750" s="20" t="s">
        <v>5999</v>
      </c>
      <c r="B1750" s="20" t="s">
        <v>6000</v>
      </c>
      <c r="C1750" s="20" t="s">
        <v>178</v>
      </c>
      <c r="F1750" s="20" t="s">
        <v>150</v>
      </c>
      <c r="G1750" s="20" t="s">
        <v>150</v>
      </c>
      <c r="I1750" s="20" t="s">
        <v>151</v>
      </c>
      <c r="J1750" s="20" t="s">
        <v>143</v>
      </c>
      <c r="Q1750" s="20">
        <v>16443.0</v>
      </c>
      <c r="R1750" s="20" t="s">
        <v>6001</v>
      </c>
      <c r="S1750" s="20" t="s">
        <v>6000</v>
      </c>
      <c r="T1750" s="20" t="s">
        <v>138</v>
      </c>
    </row>
    <row r="1751" ht="14.25" customHeight="1">
      <c r="A1751" s="20" t="s">
        <v>6002</v>
      </c>
      <c r="B1751" s="20" t="s">
        <v>6003</v>
      </c>
      <c r="C1751" s="20" t="s">
        <v>1096</v>
      </c>
      <c r="F1751" s="20" t="s">
        <v>16</v>
      </c>
      <c r="G1751" s="20" t="s">
        <v>638</v>
      </c>
      <c r="I1751" s="20" t="s">
        <v>814</v>
      </c>
      <c r="J1751" s="20" t="s">
        <v>143</v>
      </c>
      <c r="K1751" s="20" t="s">
        <v>213</v>
      </c>
      <c r="Q1751" s="20">
        <v>870.0</v>
      </c>
      <c r="R1751" s="20" t="s">
        <v>6004</v>
      </c>
      <c r="S1751" s="20" t="s">
        <v>6005</v>
      </c>
      <c r="T1751" s="20" t="s">
        <v>138</v>
      </c>
      <c r="W1751" s="20" t="s">
        <v>146</v>
      </c>
    </row>
    <row r="1752" ht="14.25" customHeight="1">
      <c r="A1752" s="20" t="s">
        <v>6006</v>
      </c>
      <c r="B1752" s="20" t="s">
        <v>6007</v>
      </c>
      <c r="C1752" s="20" t="s">
        <v>1096</v>
      </c>
      <c r="F1752" s="20" t="s">
        <v>16</v>
      </c>
      <c r="G1752" s="20" t="s">
        <v>638</v>
      </c>
      <c r="I1752" s="20" t="s">
        <v>814</v>
      </c>
      <c r="J1752" s="20" t="s">
        <v>143</v>
      </c>
      <c r="Q1752" s="20">
        <v>892.0</v>
      </c>
      <c r="R1752" s="20" t="s">
        <v>6008</v>
      </c>
      <c r="S1752" s="20" t="s">
        <v>6009</v>
      </c>
      <c r="T1752" s="20" t="s">
        <v>138</v>
      </c>
      <c r="W1752" s="20" t="s">
        <v>146</v>
      </c>
    </row>
    <row r="1753" ht="14.25" customHeight="1">
      <c r="A1753" s="20" t="s">
        <v>6010</v>
      </c>
      <c r="B1753" s="20" t="s">
        <v>6011</v>
      </c>
      <c r="C1753" s="20" t="s">
        <v>3303</v>
      </c>
      <c r="F1753" s="20" t="s">
        <v>327</v>
      </c>
      <c r="G1753" s="20" t="s">
        <v>385</v>
      </c>
      <c r="I1753" s="20" t="s">
        <v>598</v>
      </c>
      <c r="J1753" s="20" t="s">
        <v>143</v>
      </c>
      <c r="Q1753" s="20">
        <v>14337.0</v>
      </c>
      <c r="R1753" s="20" t="s">
        <v>6012</v>
      </c>
      <c r="S1753" s="20" t="s">
        <v>6011</v>
      </c>
      <c r="T1753" s="20" t="s">
        <v>138</v>
      </c>
    </row>
    <row r="1754" ht="14.25" customHeight="1">
      <c r="A1754" s="20" t="s">
        <v>6013</v>
      </c>
      <c r="B1754" s="20" t="s">
        <v>6014</v>
      </c>
      <c r="C1754" s="20" t="s">
        <v>6015</v>
      </c>
      <c r="F1754" s="20" t="s">
        <v>16</v>
      </c>
      <c r="G1754" s="20" t="s">
        <v>211</v>
      </c>
      <c r="I1754" s="20" t="s">
        <v>6016</v>
      </c>
      <c r="J1754" s="20" t="s">
        <v>143</v>
      </c>
      <c r="Q1754" s="20">
        <v>1529.0</v>
      </c>
      <c r="R1754" s="20" t="s">
        <v>6017</v>
      </c>
      <c r="S1754" s="20" t="s">
        <v>6014</v>
      </c>
      <c r="T1754" s="20" t="s">
        <v>138</v>
      </c>
    </row>
    <row r="1755" ht="14.25" customHeight="1">
      <c r="A1755" s="20" t="s">
        <v>6018</v>
      </c>
      <c r="B1755" s="20" t="s">
        <v>6019</v>
      </c>
      <c r="C1755" s="20" t="s">
        <v>4472</v>
      </c>
      <c r="F1755" s="20" t="s">
        <v>17</v>
      </c>
      <c r="G1755" s="20" t="s">
        <v>17</v>
      </c>
      <c r="H1755" s="20">
        <v>706.0</v>
      </c>
      <c r="I1755" s="20" t="s">
        <v>88</v>
      </c>
      <c r="J1755" s="20" t="s">
        <v>186</v>
      </c>
      <c r="K1755" s="20" t="s">
        <v>187</v>
      </c>
      <c r="L1755" s="20" t="s">
        <v>88</v>
      </c>
      <c r="O1755" s="20" t="s">
        <v>144</v>
      </c>
      <c r="Q1755" s="20">
        <v>706.0</v>
      </c>
      <c r="R1755" s="20" t="s">
        <v>6020</v>
      </c>
      <c r="S1755" s="20" t="s">
        <v>6021</v>
      </c>
      <c r="T1755" s="20" t="s">
        <v>138</v>
      </c>
      <c r="V1755" s="20" t="s">
        <v>189</v>
      </c>
      <c r="W1755" s="20" t="s">
        <v>261</v>
      </c>
    </row>
    <row r="1756" ht="14.25" customHeight="1">
      <c r="A1756" s="20" t="s">
        <v>6022</v>
      </c>
      <c r="B1756" s="20" t="s">
        <v>6023</v>
      </c>
      <c r="C1756" s="20" t="s">
        <v>6024</v>
      </c>
      <c r="F1756" s="20" t="s">
        <v>17</v>
      </c>
      <c r="G1756" s="20" t="s">
        <v>17</v>
      </c>
      <c r="I1756" s="20" t="s">
        <v>88</v>
      </c>
      <c r="J1756" s="20" t="s">
        <v>143</v>
      </c>
      <c r="Q1756" s="20">
        <v>10375.0</v>
      </c>
      <c r="R1756" s="20" t="s">
        <v>6025</v>
      </c>
      <c r="S1756" s="20" t="s">
        <v>6023</v>
      </c>
      <c r="T1756" s="20" t="s">
        <v>138</v>
      </c>
    </row>
    <row r="1757" ht="14.25" customHeight="1">
      <c r="A1757" s="20" t="s">
        <v>6026</v>
      </c>
      <c r="B1757" s="20" t="s">
        <v>6027</v>
      </c>
      <c r="C1757" s="20" t="s">
        <v>174</v>
      </c>
      <c r="F1757" s="20" t="s">
        <v>150</v>
      </c>
      <c r="G1757" s="20" t="s">
        <v>150</v>
      </c>
      <c r="I1757" s="20" t="s">
        <v>151</v>
      </c>
      <c r="J1757" s="20" t="s">
        <v>143</v>
      </c>
      <c r="Q1757" s="20">
        <v>10510.0</v>
      </c>
      <c r="R1757" s="20" t="s">
        <v>6028</v>
      </c>
      <c r="S1757" s="20" t="s">
        <v>6029</v>
      </c>
      <c r="T1757" s="20" t="s">
        <v>138</v>
      </c>
      <c r="W1757" s="20" t="s">
        <v>146</v>
      </c>
    </row>
    <row r="1758" ht="14.25" customHeight="1">
      <c r="A1758" s="20" t="s">
        <v>6030</v>
      </c>
      <c r="B1758" s="20" t="s">
        <v>6031</v>
      </c>
      <c r="C1758" s="20" t="s">
        <v>6032</v>
      </c>
      <c r="F1758" s="20" t="s">
        <v>17</v>
      </c>
      <c r="G1758" s="20" t="s">
        <v>17</v>
      </c>
      <c r="H1758" s="20">
        <v>313.0</v>
      </c>
      <c r="I1758" s="20" t="s">
        <v>88</v>
      </c>
      <c r="J1758" s="20" t="s">
        <v>186</v>
      </c>
      <c r="K1758" s="20" t="s">
        <v>187</v>
      </c>
      <c r="L1758" s="20" t="s">
        <v>88</v>
      </c>
      <c r="O1758" s="20" t="s">
        <v>144</v>
      </c>
      <c r="Q1758" s="20">
        <v>313.0</v>
      </c>
      <c r="R1758" s="20" t="s">
        <v>6033</v>
      </c>
      <c r="S1758" s="20" t="s">
        <v>6034</v>
      </c>
      <c r="T1758" s="20" t="s">
        <v>138</v>
      </c>
      <c r="V1758" s="20" t="s">
        <v>189</v>
      </c>
      <c r="W1758" s="20" t="s">
        <v>190</v>
      </c>
    </row>
    <row r="1759" ht="14.25" customHeight="1">
      <c r="A1759" s="20" t="s">
        <v>6035</v>
      </c>
      <c r="B1759" s="20" t="s">
        <v>6036</v>
      </c>
      <c r="C1759" s="20" t="s">
        <v>3922</v>
      </c>
      <c r="F1759" s="20" t="s">
        <v>16</v>
      </c>
      <c r="G1759" s="20" t="s">
        <v>638</v>
      </c>
      <c r="I1759" s="20" t="s">
        <v>639</v>
      </c>
      <c r="J1759" s="20" t="s">
        <v>143</v>
      </c>
      <c r="K1759" s="20" t="s">
        <v>213</v>
      </c>
      <c r="Q1759" s="20">
        <v>6290.0</v>
      </c>
      <c r="R1759" s="20" t="s">
        <v>6037</v>
      </c>
      <c r="S1759" s="20" t="s">
        <v>6036</v>
      </c>
      <c r="T1759" s="20" t="s">
        <v>138</v>
      </c>
      <c r="W1759" s="20" t="s">
        <v>146</v>
      </c>
    </row>
    <row r="1760" ht="14.25" customHeight="1">
      <c r="A1760" s="20" t="s">
        <v>6038</v>
      </c>
      <c r="B1760" s="20" t="s">
        <v>6039</v>
      </c>
      <c r="C1760" s="20" t="s">
        <v>193</v>
      </c>
      <c r="F1760" s="20" t="s">
        <v>150</v>
      </c>
      <c r="G1760" s="20" t="s">
        <v>150</v>
      </c>
      <c r="I1760" s="20" t="s">
        <v>151</v>
      </c>
      <c r="J1760" s="20" t="s">
        <v>143</v>
      </c>
      <c r="Q1760" s="20">
        <v>9418.0</v>
      </c>
      <c r="R1760" s="20" t="s">
        <v>6040</v>
      </c>
      <c r="S1760" s="20" t="s">
        <v>6039</v>
      </c>
      <c r="T1760" s="20" t="s">
        <v>138</v>
      </c>
    </row>
    <row r="1761" ht="14.25" customHeight="1">
      <c r="A1761" s="20" t="s">
        <v>6041</v>
      </c>
      <c r="B1761" s="20" t="s">
        <v>6042</v>
      </c>
      <c r="C1761" s="20" t="s">
        <v>163</v>
      </c>
      <c r="F1761" s="20" t="s">
        <v>150</v>
      </c>
      <c r="G1761" s="20" t="s">
        <v>150</v>
      </c>
      <c r="I1761" s="20" t="s">
        <v>151</v>
      </c>
      <c r="J1761" s="20" t="s">
        <v>143</v>
      </c>
      <c r="Q1761" s="20">
        <v>14735.0</v>
      </c>
      <c r="R1761" s="20" t="s">
        <v>6043</v>
      </c>
      <c r="S1761" s="20" t="s">
        <v>6042</v>
      </c>
      <c r="T1761" s="20" t="s">
        <v>138</v>
      </c>
    </row>
    <row r="1762" ht="14.25" customHeight="1">
      <c r="A1762" s="20" t="s">
        <v>6044</v>
      </c>
      <c r="B1762" s="20" t="s">
        <v>6045</v>
      </c>
      <c r="C1762" s="20" t="s">
        <v>364</v>
      </c>
      <c r="F1762" s="20" t="s">
        <v>218</v>
      </c>
      <c r="G1762" s="20" t="s">
        <v>219</v>
      </c>
      <c r="I1762" s="20" t="s">
        <v>365</v>
      </c>
      <c r="J1762" s="20" t="s">
        <v>136</v>
      </c>
      <c r="Q1762" s="20">
        <v>10601.0</v>
      </c>
      <c r="R1762" s="20" t="s">
        <v>6046</v>
      </c>
      <c r="S1762" s="20" t="s">
        <v>6045</v>
      </c>
      <c r="T1762" s="20" t="s">
        <v>138</v>
      </c>
    </row>
    <row r="1763" ht="14.25" customHeight="1">
      <c r="A1763" s="20" t="s">
        <v>6047</v>
      </c>
      <c r="B1763" s="20" t="s">
        <v>6048</v>
      </c>
      <c r="C1763" s="20" t="s">
        <v>1103</v>
      </c>
      <c r="F1763" s="20" t="s">
        <v>327</v>
      </c>
      <c r="G1763" s="20" t="s">
        <v>395</v>
      </c>
      <c r="I1763" s="20" t="s">
        <v>1104</v>
      </c>
      <c r="J1763" s="20" t="s">
        <v>143</v>
      </c>
      <c r="K1763" s="20" t="s">
        <v>167</v>
      </c>
      <c r="Q1763" s="20">
        <v>5036.0</v>
      </c>
      <c r="R1763" s="20" t="s">
        <v>6049</v>
      </c>
      <c r="S1763" s="20" t="s">
        <v>6048</v>
      </c>
      <c r="T1763" s="20" t="s">
        <v>138</v>
      </c>
    </row>
    <row r="1764" ht="14.25" customHeight="1">
      <c r="A1764" s="20" t="s">
        <v>6050</v>
      </c>
      <c r="B1764" s="20" t="s">
        <v>6051</v>
      </c>
      <c r="C1764" s="20" t="s">
        <v>289</v>
      </c>
      <c r="F1764" s="20" t="s">
        <v>150</v>
      </c>
      <c r="G1764" s="20" t="s">
        <v>150</v>
      </c>
      <c r="I1764" s="20" t="s">
        <v>151</v>
      </c>
      <c r="J1764" s="20" t="s">
        <v>143</v>
      </c>
      <c r="Q1764" s="20">
        <v>9234.0</v>
      </c>
      <c r="R1764" s="20" t="s">
        <v>6052</v>
      </c>
      <c r="S1764" s="20" t="s">
        <v>6051</v>
      </c>
      <c r="T1764" s="20" t="s">
        <v>138</v>
      </c>
    </row>
    <row r="1765" ht="14.25" customHeight="1">
      <c r="A1765" s="20" t="s">
        <v>6053</v>
      </c>
      <c r="B1765" s="20" t="s">
        <v>6054</v>
      </c>
      <c r="C1765" s="20" t="s">
        <v>149</v>
      </c>
      <c r="F1765" s="20" t="s">
        <v>150</v>
      </c>
      <c r="G1765" s="20" t="s">
        <v>150</v>
      </c>
      <c r="I1765" s="20" t="s">
        <v>151</v>
      </c>
      <c r="J1765" s="20" t="s">
        <v>143</v>
      </c>
      <c r="Q1765" s="20">
        <v>14935.0</v>
      </c>
      <c r="R1765" s="20" t="s">
        <v>6055</v>
      </c>
      <c r="S1765" s="20" t="s">
        <v>6054</v>
      </c>
      <c r="T1765" s="20" t="s">
        <v>138</v>
      </c>
    </row>
    <row r="1766" ht="14.25" customHeight="1">
      <c r="A1766" s="20" t="s">
        <v>6056</v>
      </c>
      <c r="B1766" s="20" t="s">
        <v>6057</v>
      </c>
      <c r="C1766" s="20" t="s">
        <v>779</v>
      </c>
      <c r="F1766" s="20" t="s">
        <v>150</v>
      </c>
      <c r="G1766" s="20" t="s">
        <v>150</v>
      </c>
      <c r="I1766" s="20" t="s">
        <v>151</v>
      </c>
      <c r="J1766" s="20" t="s">
        <v>143</v>
      </c>
      <c r="Q1766" s="20">
        <v>16347.0</v>
      </c>
      <c r="R1766" s="20" t="s">
        <v>6058</v>
      </c>
      <c r="S1766" s="20" t="s">
        <v>6057</v>
      </c>
      <c r="T1766" s="20" t="s">
        <v>138</v>
      </c>
    </row>
    <row r="1767" ht="14.25" customHeight="1">
      <c r="A1767" s="20" t="s">
        <v>6059</v>
      </c>
      <c r="B1767" s="20" t="s">
        <v>6060</v>
      </c>
      <c r="C1767" s="20" t="s">
        <v>818</v>
      </c>
      <c r="F1767" s="20" t="s">
        <v>17</v>
      </c>
      <c r="G1767" s="20" t="s">
        <v>17</v>
      </c>
      <c r="I1767" s="20" t="s">
        <v>88</v>
      </c>
      <c r="J1767" s="20" t="s">
        <v>143</v>
      </c>
      <c r="Q1767" s="20">
        <v>2260.0</v>
      </c>
      <c r="R1767" s="20" t="s">
        <v>6061</v>
      </c>
      <c r="S1767" s="20" t="s">
        <v>6060</v>
      </c>
      <c r="T1767" s="20" t="s">
        <v>138</v>
      </c>
    </row>
    <row r="1768" ht="14.25" customHeight="1">
      <c r="A1768" s="20" t="s">
        <v>6062</v>
      </c>
      <c r="B1768" s="20" t="s">
        <v>6063</v>
      </c>
      <c r="C1768" s="20" t="s">
        <v>680</v>
      </c>
      <c r="F1768" s="20" t="s">
        <v>15</v>
      </c>
      <c r="G1768" s="20" t="s">
        <v>142</v>
      </c>
      <c r="I1768" s="20" t="s">
        <v>105</v>
      </c>
      <c r="J1768" s="20" t="s">
        <v>143</v>
      </c>
      <c r="Q1768" s="20">
        <v>13607.0</v>
      </c>
      <c r="R1768" s="20" t="s">
        <v>6064</v>
      </c>
      <c r="S1768" s="20" t="s">
        <v>6063</v>
      </c>
      <c r="T1768" s="20" t="s">
        <v>138</v>
      </c>
    </row>
    <row r="1769" ht="14.25" customHeight="1">
      <c r="A1769" s="20" t="s">
        <v>6065</v>
      </c>
      <c r="B1769" s="20" t="s">
        <v>6066</v>
      </c>
      <c r="C1769" s="20" t="s">
        <v>369</v>
      </c>
      <c r="F1769" s="20" t="s">
        <v>218</v>
      </c>
      <c r="G1769" s="20" t="s">
        <v>219</v>
      </c>
      <c r="I1769" s="20" t="s">
        <v>370</v>
      </c>
      <c r="J1769" s="20" t="s">
        <v>186</v>
      </c>
      <c r="Q1769" s="20">
        <v>2633.0</v>
      </c>
      <c r="R1769" s="20" t="s">
        <v>6067</v>
      </c>
      <c r="S1769" s="20" t="s">
        <v>6066</v>
      </c>
      <c r="T1769" s="20" t="s">
        <v>138</v>
      </c>
      <c r="W1769" s="20" t="s">
        <v>190</v>
      </c>
    </row>
    <row r="1770" ht="14.25" customHeight="1">
      <c r="A1770" s="20" t="s">
        <v>6068</v>
      </c>
      <c r="B1770" s="20" t="s">
        <v>6069</v>
      </c>
      <c r="C1770" s="20" t="s">
        <v>217</v>
      </c>
      <c r="F1770" s="20" t="s">
        <v>218</v>
      </c>
      <c r="G1770" s="20" t="s">
        <v>219</v>
      </c>
      <c r="I1770" s="20" t="s">
        <v>220</v>
      </c>
      <c r="J1770" s="20" t="s">
        <v>186</v>
      </c>
      <c r="Q1770" s="20">
        <v>559.0</v>
      </c>
      <c r="R1770" s="20" t="s">
        <v>6070</v>
      </c>
      <c r="S1770" s="20" t="s">
        <v>6069</v>
      </c>
      <c r="T1770" s="20" t="s">
        <v>138</v>
      </c>
      <c r="W1770" s="20" t="s">
        <v>261</v>
      </c>
    </row>
    <row r="1771" ht="14.25" customHeight="1">
      <c r="A1771" s="20" t="s">
        <v>6071</v>
      </c>
      <c r="B1771" s="20" t="s">
        <v>6072</v>
      </c>
      <c r="C1771" s="20" t="s">
        <v>193</v>
      </c>
      <c r="F1771" s="20" t="s">
        <v>150</v>
      </c>
      <c r="G1771" s="20" t="s">
        <v>150</v>
      </c>
      <c r="I1771" s="20" t="s">
        <v>151</v>
      </c>
      <c r="J1771" s="20" t="s">
        <v>143</v>
      </c>
      <c r="Q1771" s="20">
        <v>4778.0</v>
      </c>
      <c r="R1771" s="20" t="s">
        <v>6073</v>
      </c>
      <c r="S1771" s="20" t="s">
        <v>6072</v>
      </c>
      <c r="T1771" s="20" t="s">
        <v>138</v>
      </c>
    </row>
    <row r="1772" ht="14.25" customHeight="1">
      <c r="A1772" s="20" t="s">
        <v>6074</v>
      </c>
      <c r="B1772" s="20" t="s">
        <v>6075</v>
      </c>
      <c r="C1772" s="20" t="s">
        <v>818</v>
      </c>
      <c r="F1772" s="20" t="s">
        <v>17</v>
      </c>
      <c r="G1772" s="20" t="s">
        <v>17</v>
      </c>
      <c r="I1772" s="20" t="s">
        <v>88</v>
      </c>
      <c r="J1772" s="20" t="s">
        <v>143</v>
      </c>
      <c r="K1772" s="20" t="s">
        <v>167</v>
      </c>
      <c r="Q1772" s="20">
        <v>802.0</v>
      </c>
      <c r="R1772" s="20" t="s">
        <v>6076</v>
      </c>
      <c r="S1772" s="20" t="s">
        <v>6075</v>
      </c>
      <c r="T1772" s="20" t="s">
        <v>138</v>
      </c>
    </row>
    <row r="1773" ht="14.25" customHeight="1">
      <c r="A1773" s="20" t="s">
        <v>6077</v>
      </c>
      <c r="B1773" s="20" t="s">
        <v>6078</v>
      </c>
      <c r="C1773" s="20" t="s">
        <v>163</v>
      </c>
      <c r="F1773" s="20" t="s">
        <v>150</v>
      </c>
      <c r="G1773" s="20" t="s">
        <v>150</v>
      </c>
      <c r="I1773" s="20" t="s">
        <v>151</v>
      </c>
      <c r="J1773" s="20" t="s">
        <v>143</v>
      </c>
      <c r="Q1773" s="20">
        <v>7780.0</v>
      </c>
      <c r="R1773" s="20" t="s">
        <v>6079</v>
      </c>
      <c r="S1773" s="20" t="s">
        <v>6078</v>
      </c>
      <c r="T1773" s="20" t="s">
        <v>138</v>
      </c>
    </row>
    <row r="1774" ht="14.25" customHeight="1">
      <c r="A1774" s="20" t="s">
        <v>6080</v>
      </c>
      <c r="B1774" s="20" t="s">
        <v>6081</v>
      </c>
      <c r="C1774" s="20" t="s">
        <v>347</v>
      </c>
      <c r="F1774" s="20" t="s">
        <v>15</v>
      </c>
      <c r="G1774" s="20" t="s">
        <v>135</v>
      </c>
      <c r="I1774" s="20" t="s">
        <v>93</v>
      </c>
      <c r="J1774" s="20" t="s">
        <v>143</v>
      </c>
      <c r="K1774" s="20" t="s">
        <v>167</v>
      </c>
      <c r="L1774" s="20" t="s">
        <v>93</v>
      </c>
      <c r="O1774" s="20" t="s">
        <v>144</v>
      </c>
      <c r="Q1774" s="20">
        <v>877.0</v>
      </c>
      <c r="R1774" s="20" t="s">
        <v>6082</v>
      </c>
      <c r="S1774" s="20" t="s">
        <v>6081</v>
      </c>
      <c r="T1774" s="20" t="s">
        <v>138</v>
      </c>
    </row>
    <row r="1775" ht="14.25" customHeight="1">
      <c r="A1775" s="20" t="s">
        <v>6083</v>
      </c>
      <c r="B1775" s="20" t="s">
        <v>6084</v>
      </c>
      <c r="C1775" s="20" t="s">
        <v>369</v>
      </c>
      <c r="F1775" s="20" t="s">
        <v>218</v>
      </c>
      <c r="G1775" s="20" t="s">
        <v>219</v>
      </c>
      <c r="I1775" s="20" t="s">
        <v>370</v>
      </c>
      <c r="J1775" s="20" t="s">
        <v>186</v>
      </c>
      <c r="Q1775" s="20">
        <v>10471.0</v>
      </c>
      <c r="R1775" s="20" t="s">
        <v>6085</v>
      </c>
      <c r="S1775" s="20" t="s">
        <v>6084</v>
      </c>
      <c r="T1775" s="20" t="s">
        <v>138</v>
      </c>
    </row>
    <row r="1776" ht="14.25" customHeight="1">
      <c r="A1776" s="20" t="s">
        <v>6086</v>
      </c>
      <c r="B1776" s="20" t="s">
        <v>6087</v>
      </c>
      <c r="C1776" s="20" t="s">
        <v>289</v>
      </c>
      <c r="F1776" s="20" t="s">
        <v>150</v>
      </c>
      <c r="G1776" s="20" t="s">
        <v>150</v>
      </c>
      <c r="I1776" s="20" t="s">
        <v>151</v>
      </c>
      <c r="J1776" s="20" t="s">
        <v>143</v>
      </c>
      <c r="K1776" s="20" t="s">
        <v>167</v>
      </c>
      <c r="Q1776" s="20">
        <v>879.0</v>
      </c>
      <c r="R1776" s="20" t="s">
        <v>6088</v>
      </c>
      <c r="S1776" s="20" t="s">
        <v>6087</v>
      </c>
      <c r="T1776" s="20" t="s">
        <v>138</v>
      </c>
    </row>
    <row r="1777" ht="14.25" customHeight="1">
      <c r="A1777" s="20" t="s">
        <v>6089</v>
      </c>
      <c r="B1777" s="20" t="s">
        <v>6090</v>
      </c>
      <c r="C1777" s="20" t="s">
        <v>1449</v>
      </c>
      <c r="F1777" s="20" t="s">
        <v>17</v>
      </c>
      <c r="G1777" s="20" t="s">
        <v>17</v>
      </c>
      <c r="H1777" s="20">
        <v>16496.0</v>
      </c>
      <c r="I1777" s="20" t="s">
        <v>88</v>
      </c>
      <c r="J1777" s="20" t="s">
        <v>143</v>
      </c>
      <c r="K1777" s="20" t="s">
        <v>167</v>
      </c>
      <c r="L1777" s="20" t="s">
        <v>88</v>
      </c>
      <c r="M1777" s="20" t="s">
        <v>319</v>
      </c>
      <c r="O1777" s="20" t="s">
        <v>144</v>
      </c>
      <c r="Q1777" s="20">
        <v>16496.0</v>
      </c>
      <c r="R1777" s="20" t="s">
        <v>6091</v>
      </c>
      <c r="S1777" s="20" t="s">
        <v>6090</v>
      </c>
      <c r="T1777" s="20" t="s">
        <v>138</v>
      </c>
      <c r="W1777" s="20" t="s">
        <v>146</v>
      </c>
    </row>
    <row r="1778" ht="14.25" customHeight="1">
      <c r="A1778" s="20" t="s">
        <v>6092</v>
      </c>
      <c r="B1778" s="20" t="s">
        <v>6093</v>
      </c>
      <c r="C1778" s="20" t="s">
        <v>6094</v>
      </c>
      <c r="F1778" s="20" t="s">
        <v>150</v>
      </c>
      <c r="G1778" s="20" t="s">
        <v>150</v>
      </c>
      <c r="I1778" s="20" t="s">
        <v>151</v>
      </c>
      <c r="J1778" s="20" t="s">
        <v>186</v>
      </c>
      <c r="K1778" s="20" t="s">
        <v>187</v>
      </c>
      <c r="Q1778" s="20">
        <v>578.0</v>
      </c>
      <c r="R1778" s="20" t="s">
        <v>6095</v>
      </c>
      <c r="S1778" s="20" t="s">
        <v>6093</v>
      </c>
      <c r="T1778" s="20" t="s">
        <v>138</v>
      </c>
      <c r="V1778" s="20" t="s">
        <v>260</v>
      </c>
      <c r="W1778" s="20" t="s">
        <v>190</v>
      </c>
    </row>
    <row r="1779" ht="14.25" customHeight="1">
      <c r="A1779" s="20" t="s">
        <v>6096</v>
      </c>
      <c r="B1779" s="20" t="s">
        <v>6097</v>
      </c>
      <c r="C1779" s="20" t="s">
        <v>193</v>
      </c>
      <c r="F1779" s="20" t="s">
        <v>150</v>
      </c>
      <c r="G1779" s="20" t="s">
        <v>150</v>
      </c>
      <c r="I1779" s="20" t="s">
        <v>151</v>
      </c>
      <c r="J1779" s="20" t="s">
        <v>143</v>
      </c>
      <c r="Q1779" s="20">
        <v>13591.0</v>
      </c>
      <c r="R1779" s="20" t="s">
        <v>6098</v>
      </c>
      <c r="S1779" s="20" t="s">
        <v>6097</v>
      </c>
      <c r="T1779" s="20" t="s">
        <v>138</v>
      </c>
    </row>
    <row r="1780" ht="14.25" customHeight="1">
      <c r="A1780" s="20" t="s">
        <v>6099</v>
      </c>
      <c r="B1780" s="20" t="s">
        <v>6100</v>
      </c>
      <c r="C1780" s="20" t="s">
        <v>197</v>
      </c>
      <c r="F1780" s="20" t="s">
        <v>150</v>
      </c>
      <c r="G1780" s="20" t="s">
        <v>150</v>
      </c>
      <c r="I1780" s="20" t="s">
        <v>151</v>
      </c>
      <c r="J1780" s="20" t="s">
        <v>143</v>
      </c>
      <c r="Q1780" s="20">
        <v>9503.0</v>
      </c>
      <c r="R1780" s="20" t="s">
        <v>6101</v>
      </c>
      <c r="S1780" s="20" t="s">
        <v>6100</v>
      </c>
      <c r="T1780" s="20" t="s">
        <v>138</v>
      </c>
    </row>
    <row r="1781" ht="14.25" customHeight="1">
      <c r="A1781" s="20" t="s">
        <v>6102</v>
      </c>
      <c r="B1781" s="20" t="s">
        <v>6103</v>
      </c>
      <c r="C1781" s="20" t="s">
        <v>174</v>
      </c>
      <c r="F1781" s="20" t="s">
        <v>150</v>
      </c>
      <c r="G1781" s="20" t="s">
        <v>150</v>
      </c>
      <c r="I1781" s="20" t="s">
        <v>151</v>
      </c>
      <c r="J1781" s="20" t="s">
        <v>143</v>
      </c>
      <c r="Q1781" s="20">
        <v>8830.0</v>
      </c>
      <c r="R1781" s="20" t="s">
        <v>6104</v>
      </c>
      <c r="S1781" s="20" t="s">
        <v>6103</v>
      </c>
      <c r="T1781" s="20" t="s">
        <v>138</v>
      </c>
    </row>
    <row r="1782" ht="14.25" customHeight="1">
      <c r="A1782" s="20" t="s">
        <v>6105</v>
      </c>
      <c r="B1782" s="20" t="s">
        <v>6106</v>
      </c>
      <c r="C1782" s="20" t="s">
        <v>1680</v>
      </c>
      <c r="F1782" s="20" t="s">
        <v>327</v>
      </c>
      <c r="G1782" s="20" t="s">
        <v>385</v>
      </c>
      <c r="I1782" s="20" t="s">
        <v>6107</v>
      </c>
      <c r="J1782" s="20" t="s">
        <v>143</v>
      </c>
      <c r="Q1782" s="20">
        <v>15159.0</v>
      </c>
      <c r="R1782" s="20" t="s">
        <v>6108</v>
      </c>
      <c r="S1782" s="20" t="s">
        <v>6106</v>
      </c>
      <c r="T1782" s="20" t="s">
        <v>138</v>
      </c>
    </row>
    <row r="1783" ht="14.25" customHeight="1">
      <c r="A1783" s="20" t="s">
        <v>6109</v>
      </c>
      <c r="B1783" s="20" t="s">
        <v>6110</v>
      </c>
      <c r="C1783" s="20" t="s">
        <v>6111</v>
      </c>
      <c r="F1783" s="20" t="s">
        <v>15</v>
      </c>
      <c r="G1783" s="20" t="s">
        <v>142</v>
      </c>
      <c r="H1783" s="20">
        <v>17390.0</v>
      </c>
      <c r="I1783" s="20" t="s">
        <v>105</v>
      </c>
      <c r="J1783" s="20" t="s">
        <v>143</v>
      </c>
      <c r="L1783" s="20" t="s">
        <v>105</v>
      </c>
      <c r="P1783" s="20" t="s">
        <v>6110</v>
      </c>
      <c r="Q1783" s="20">
        <v>17390.0</v>
      </c>
      <c r="R1783" s="20" t="s">
        <v>6112</v>
      </c>
      <c r="S1783" s="20" t="s">
        <v>6110</v>
      </c>
      <c r="T1783" s="20" t="s">
        <v>138</v>
      </c>
    </row>
    <row r="1784" ht="14.25" customHeight="1">
      <c r="A1784" s="20" t="s">
        <v>6113</v>
      </c>
      <c r="B1784" s="20" t="s">
        <v>6114</v>
      </c>
      <c r="C1784" s="20" t="s">
        <v>174</v>
      </c>
      <c r="F1784" s="20" t="s">
        <v>150</v>
      </c>
      <c r="G1784" s="20" t="s">
        <v>150</v>
      </c>
      <c r="I1784" s="20" t="s">
        <v>151</v>
      </c>
      <c r="J1784" s="20" t="s">
        <v>143</v>
      </c>
      <c r="K1784" s="20" t="s">
        <v>167</v>
      </c>
      <c r="Q1784" s="20">
        <v>887.0</v>
      </c>
      <c r="R1784" s="20" t="s">
        <v>6115</v>
      </c>
      <c r="S1784" s="20" t="s">
        <v>6114</v>
      </c>
      <c r="T1784" s="20" t="s">
        <v>138</v>
      </c>
    </row>
    <row r="1785" ht="14.25" customHeight="1">
      <c r="A1785" s="20" t="s">
        <v>6116</v>
      </c>
      <c r="B1785" s="20" t="s">
        <v>6117</v>
      </c>
      <c r="C1785" s="20" t="s">
        <v>174</v>
      </c>
      <c r="F1785" s="20" t="s">
        <v>150</v>
      </c>
      <c r="G1785" s="20" t="s">
        <v>150</v>
      </c>
      <c r="I1785" s="20" t="s">
        <v>151</v>
      </c>
      <c r="J1785" s="20" t="s">
        <v>143</v>
      </c>
      <c r="Q1785" s="20">
        <v>11115.0</v>
      </c>
      <c r="R1785" s="20" t="s">
        <v>6118</v>
      </c>
      <c r="S1785" s="20" t="s">
        <v>6117</v>
      </c>
      <c r="T1785" s="20" t="s">
        <v>138</v>
      </c>
    </row>
    <row r="1786" ht="14.25" customHeight="1">
      <c r="A1786" s="20" t="s">
        <v>6119</v>
      </c>
      <c r="B1786" s="20" t="s">
        <v>6120</v>
      </c>
      <c r="C1786" s="20" t="s">
        <v>174</v>
      </c>
      <c r="F1786" s="20" t="s">
        <v>150</v>
      </c>
      <c r="G1786" s="20" t="s">
        <v>150</v>
      </c>
      <c r="I1786" s="20" t="s">
        <v>151</v>
      </c>
      <c r="J1786" s="20" t="s">
        <v>143</v>
      </c>
      <c r="Q1786" s="20">
        <v>3217.0</v>
      </c>
      <c r="R1786" s="20" t="s">
        <v>6121</v>
      </c>
      <c r="S1786" s="20" t="s">
        <v>6120</v>
      </c>
      <c r="T1786" s="20" t="s">
        <v>138</v>
      </c>
    </row>
    <row r="1787" ht="14.25" customHeight="1">
      <c r="A1787" s="20" t="s">
        <v>6122</v>
      </c>
      <c r="B1787" s="20" t="s">
        <v>6123</v>
      </c>
      <c r="C1787" s="20" t="s">
        <v>197</v>
      </c>
      <c r="F1787" s="20" t="s">
        <v>150</v>
      </c>
      <c r="G1787" s="20" t="s">
        <v>150</v>
      </c>
      <c r="I1787" s="20" t="s">
        <v>151</v>
      </c>
      <c r="J1787" s="20" t="s">
        <v>143</v>
      </c>
      <c r="Q1787" s="20">
        <v>14742.0</v>
      </c>
      <c r="R1787" s="20" t="s">
        <v>6124</v>
      </c>
      <c r="S1787" s="20" t="s">
        <v>6123</v>
      </c>
      <c r="T1787" s="20" t="s">
        <v>138</v>
      </c>
    </row>
    <row r="1788" ht="14.25" customHeight="1">
      <c r="A1788" s="20" t="s">
        <v>6125</v>
      </c>
      <c r="B1788" s="20" t="s">
        <v>6126</v>
      </c>
      <c r="C1788" s="20" t="s">
        <v>1430</v>
      </c>
      <c r="F1788" s="20" t="s">
        <v>16</v>
      </c>
      <c r="G1788" s="20" t="s">
        <v>211</v>
      </c>
      <c r="I1788" s="20" t="s">
        <v>212</v>
      </c>
      <c r="J1788" s="20" t="s">
        <v>143</v>
      </c>
      <c r="K1788" s="20" t="s">
        <v>213</v>
      </c>
      <c r="Q1788" s="20">
        <v>1355.0</v>
      </c>
      <c r="R1788" s="20" t="s">
        <v>6127</v>
      </c>
      <c r="S1788" s="20" t="s">
        <v>6126</v>
      </c>
      <c r="T1788" s="20" t="s">
        <v>138</v>
      </c>
      <c r="V1788" s="20" t="s">
        <v>260</v>
      </c>
      <c r="W1788" s="20" t="s">
        <v>146</v>
      </c>
    </row>
    <row r="1789" ht="14.25" customHeight="1">
      <c r="A1789" s="20" t="s">
        <v>6128</v>
      </c>
      <c r="B1789" s="20" t="s">
        <v>6129</v>
      </c>
      <c r="C1789" s="20" t="s">
        <v>174</v>
      </c>
      <c r="F1789" s="20" t="s">
        <v>150</v>
      </c>
      <c r="G1789" s="20" t="s">
        <v>150</v>
      </c>
      <c r="I1789" s="20" t="s">
        <v>151</v>
      </c>
      <c r="J1789" s="20" t="s">
        <v>143</v>
      </c>
      <c r="K1789" s="20" t="s">
        <v>167</v>
      </c>
      <c r="Q1789" s="20">
        <v>5472.0</v>
      </c>
      <c r="R1789" s="20" t="s">
        <v>6130</v>
      </c>
      <c r="S1789" s="20" t="s">
        <v>6129</v>
      </c>
      <c r="T1789" s="20" t="s">
        <v>138</v>
      </c>
    </row>
    <row r="1790" ht="14.25" customHeight="1">
      <c r="A1790" s="20" t="s">
        <v>6131</v>
      </c>
      <c r="B1790" s="20" t="s">
        <v>6132</v>
      </c>
      <c r="C1790" s="20" t="s">
        <v>193</v>
      </c>
      <c r="F1790" s="20" t="s">
        <v>150</v>
      </c>
      <c r="G1790" s="20" t="s">
        <v>150</v>
      </c>
      <c r="I1790" s="20" t="s">
        <v>151</v>
      </c>
      <c r="J1790" s="20" t="s">
        <v>143</v>
      </c>
      <c r="Q1790" s="20">
        <v>12198.0</v>
      </c>
      <c r="R1790" s="20" t="s">
        <v>6133</v>
      </c>
      <c r="S1790" s="20" t="s">
        <v>6132</v>
      </c>
      <c r="T1790" s="20" t="s">
        <v>138</v>
      </c>
    </row>
    <row r="1791" ht="14.25" customHeight="1">
      <c r="A1791" s="20" t="s">
        <v>6134</v>
      </c>
      <c r="B1791" s="20" t="s">
        <v>6135</v>
      </c>
      <c r="C1791" s="20" t="s">
        <v>149</v>
      </c>
      <c r="F1791" s="20" t="s">
        <v>150</v>
      </c>
      <c r="G1791" s="20" t="s">
        <v>150</v>
      </c>
      <c r="I1791" s="20" t="s">
        <v>151</v>
      </c>
      <c r="J1791" s="20" t="s">
        <v>143</v>
      </c>
      <c r="K1791" s="20" t="s">
        <v>167</v>
      </c>
      <c r="Q1791" s="20">
        <v>3823.0</v>
      </c>
      <c r="R1791" s="20" t="s">
        <v>6136</v>
      </c>
      <c r="S1791" s="20" t="s">
        <v>6135</v>
      </c>
      <c r="T1791" s="20" t="s">
        <v>138</v>
      </c>
    </row>
    <row r="1792" ht="14.25" customHeight="1">
      <c r="A1792" s="20" t="s">
        <v>6137</v>
      </c>
      <c r="B1792" s="20" t="s">
        <v>6138</v>
      </c>
      <c r="C1792" s="20" t="s">
        <v>6139</v>
      </c>
      <c r="F1792" s="20" t="s">
        <v>16</v>
      </c>
      <c r="G1792" s="20" t="s">
        <v>638</v>
      </c>
      <c r="H1792" s="20">
        <v>17430.0</v>
      </c>
      <c r="I1792" s="20" t="s">
        <v>4818</v>
      </c>
      <c r="J1792" s="20" t="s">
        <v>143</v>
      </c>
      <c r="P1792" s="20" t="s">
        <v>6138</v>
      </c>
      <c r="Q1792" s="20">
        <v>17430.0</v>
      </c>
      <c r="R1792" s="20" t="s">
        <v>6140</v>
      </c>
      <c r="S1792" s="20" t="s">
        <v>6138</v>
      </c>
      <c r="T1792" s="20" t="s">
        <v>138</v>
      </c>
      <c r="W1792" s="20" t="s">
        <v>146</v>
      </c>
    </row>
    <row r="1793" ht="14.25" customHeight="1">
      <c r="A1793" s="20" t="s">
        <v>6141</v>
      </c>
      <c r="B1793" s="20" t="s">
        <v>6142</v>
      </c>
      <c r="C1793" s="20" t="s">
        <v>1355</v>
      </c>
      <c r="F1793" s="20" t="s">
        <v>16</v>
      </c>
      <c r="G1793" s="20" t="s">
        <v>211</v>
      </c>
      <c r="I1793" s="20" t="s">
        <v>212</v>
      </c>
      <c r="J1793" s="20" t="s">
        <v>186</v>
      </c>
      <c r="K1793" s="20" t="s">
        <v>187</v>
      </c>
      <c r="Q1793" s="20">
        <v>8652.0</v>
      </c>
      <c r="R1793" s="20" t="s">
        <v>6143</v>
      </c>
      <c r="S1793" s="20" t="s">
        <v>6142</v>
      </c>
      <c r="T1793" s="20" t="s">
        <v>138</v>
      </c>
      <c r="V1793" s="20" t="s">
        <v>260</v>
      </c>
      <c r="W1793" s="20" t="s">
        <v>146</v>
      </c>
    </row>
    <row r="1794" ht="14.25" customHeight="1">
      <c r="A1794" s="20" t="s">
        <v>6144</v>
      </c>
      <c r="B1794" s="20" t="s">
        <v>6145</v>
      </c>
      <c r="C1794" s="20" t="s">
        <v>1103</v>
      </c>
      <c r="F1794" s="20" t="s">
        <v>327</v>
      </c>
      <c r="G1794" s="20" t="s">
        <v>395</v>
      </c>
      <c r="I1794" s="20" t="s">
        <v>1104</v>
      </c>
      <c r="J1794" s="20" t="s">
        <v>143</v>
      </c>
      <c r="Q1794" s="20">
        <v>16420.0</v>
      </c>
      <c r="R1794" s="20" t="s">
        <v>6146</v>
      </c>
      <c r="S1794" s="20" t="s">
        <v>6145</v>
      </c>
      <c r="T1794" s="20" t="s">
        <v>138</v>
      </c>
    </row>
    <row r="1795" ht="14.25" customHeight="1">
      <c r="A1795" s="20" t="s">
        <v>6147</v>
      </c>
      <c r="B1795" s="20" t="s">
        <v>6148</v>
      </c>
      <c r="C1795" s="20" t="s">
        <v>818</v>
      </c>
      <c r="F1795" s="20" t="s">
        <v>17</v>
      </c>
      <c r="G1795" s="20" t="s">
        <v>17</v>
      </c>
      <c r="I1795" s="20" t="s">
        <v>88</v>
      </c>
      <c r="J1795" s="20" t="s">
        <v>143</v>
      </c>
      <c r="K1795" s="20" t="s">
        <v>167</v>
      </c>
      <c r="Q1795" s="20">
        <v>6198.0</v>
      </c>
      <c r="R1795" s="20" t="s">
        <v>6149</v>
      </c>
      <c r="S1795" s="20" t="s">
        <v>6148</v>
      </c>
      <c r="T1795" s="20" t="s">
        <v>138</v>
      </c>
    </row>
    <row r="1796" ht="14.25" customHeight="1">
      <c r="A1796" s="20" t="s">
        <v>6150</v>
      </c>
      <c r="B1796" s="20" t="s">
        <v>6151</v>
      </c>
      <c r="C1796" s="20" t="s">
        <v>3191</v>
      </c>
      <c r="F1796" s="20" t="s">
        <v>17</v>
      </c>
      <c r="G1796" s="20" t="s">
        <v>17</v>
      </c>
      <c r="I1796" s="20" t="s">
        <v>88</v>
      </c>
      <c r="J1796" s="20" t="s">
        <v>143</v>
      </c>
      <c r="K1796" s="20" t="s">
        <v>167</v>
      </c>
      <c r="Q1796" s="20">
        <v>3881.0</v>
      </c>
      <c r="R1796" s="20" t="s">
        <v>6152</v>
      </c>
      <c r="S1796" s="20" t="s">
        <v>6153</v>
      </c>
      <c r="T1796" s="20" t="s">
        <v>138</v>
      </c>
      <c r="W1796" s="20" t="s">
        <v>146</v>
      </c>
    </row>
    <row r="1797" ht="14.25" customHeight="1">
      <c r="A1797" s="20" t="s">
        <v>6154</v>
      </c>
      <c r="B1797" s="20" t="s">
        <v>6155</v>
      </c>
      <c r="C1797" s="20" t="s">
        <v>874</v>
      </c>
      <c r="F1797" s="20" t="s">
        <v>327</v>
      </c>
      <c r="G1797" s="20" t="s">
        <v>385</v>
      </c>
      <c r="I1797" s="20" t="s">
        <v>875</v>
      </c>
      <c r="J1797" s="20" t="s">
        <v>143</v>
      </c>
      <c r="K1797" s="20" t="s">
        <v>167</v>
      </c>
      <c r="Q1797" s="20">
        <v>10674.0</v>
      </c>
      <c r="R1797" s="20" t="s">
        <v>6156</v>
      </c>
      <c r="S1797" s="20" t="s">
        <v>6155</v>
      </c>
      <c r="T1797" s="20" t="s">
        <v>138</v>
      </c>
    </row>
    <row r="1798" ht="14.25" customHeight="1">
      <c r="A1798" s="20" t="s">
        <v>6157</v>
      </c>
      <c r="B1798" s="20" t="s">
        <v>6158</v>
      </c>
      <c r="C1798" s="20" t="s">
        <v>197</v>
      </c>
      <c r="F1798" s="20" t="s">
        <v>150</v>
      </c>
      <c r="G1798" s="20" t="s">
        <v>150</v>
      </c>
      <c r="I1798" s="20" t="s">
        <v>151</v>
      </c>
      <c r="J1798" s="20" t="s">
        <v>143</v>
      </c>
      <c r="Q1798" s="20">
        <v>15435.0</v>
      </c>
      <c r="R1798" s="20" t="s">
        <v>6159</v>
      </c>
      <c r="S1798" s="20" t="s">
        <v>6158</v>
      </c>
      <c r="T1798" s="20" t="s">
        <v>138</v>
      </c>
    </row>
    <row r="1799" ht="14.25" customHeight="1">
      <c r="A1799" s="20" t="s">
        <v>6160</v>
      </c>
      <c r="B1799" s="20" t="s">
        <v>6158</v>
      </c>
      <c r="C1799" s="20" t="s">
        <v>174</v>
      </c>
      <c r="F1799" s="20" t="s">
        <v>150</v>
      </c>
      <c r="G1799" s="20" t="s">
        <v>150</v>
      </c>
      <c r="I1799" s="20" t="s">
        <v>151</v>
      </c>
      <c r="J1799" s="20" t="s">
        <v>143</v>
      </c>
      <c r="Q1799" s="20">
        <v>14747.0</v>
      </c>
      <c r="R1799" s="20" t="s">
        <v>6161</v>
      </c>
      <c r="S1799" s="20" t="s">
        <v>6158</v>
      </c>
      <c r="T1799" s="20" t="s">
        <v>138</v>
      </c>
    </row>
    <row r="1800" ht="14.25" customHeight="1">
      <c r="A1800" s="20" t="s">
        <v>6162</v>
      </c>
      <c r="B1800" s="20" t="s">
        <v>6163</v>
      </c>
      <c r="C1800" s="20" t="s">
        <v>6164</v>
      </c>
      <c r="F1800" s="20" t="s">
        <v>327</v>
      </c>
      <c r="G1800" s="20" t="s">
        <v>328</v>
      </c>
      <c r="I1800" s="20" t="s">
        <v>329</v>
      </c>
      <c r="J1800" s="20" t="s">
        <v>136</v>
      </c>
      <c r="Q1800" s="20">
        <v>11183.0</v>
      </c>
      <c r="R1800" s="20" t="s">
        <v>6165</v>
      </c>
      <c r="S1800" s="20" t="s">
        <v>6163</v>
      </c>
      <c r="T1800" s="20" t="s">
        <v>138</v>
      </c>
      <c r="W1800" s="20" t="s">
        <v>136</v>
      </c>
    </row>
    <row r="1801" ht="14.25" customHeight="1">
      <c r="A1801" s="20" t="s">
        <v>6166</v>
      </c>
      <c r="B1801" s="20" t="s">
        <v>6167</v>
      </c>
      <c r="C1801" s="20" t="s">
        <v>174</v>
      </c>
      <c r="F1801" s="20" t="s">
        <v>150</v>
      </c>
      <c r="G1801" s="20" t="s">
        <v>150</v>
      </c>
      <c r="I1801" s="20" t="s">
        <v>151</v>
      </c>
      <c r="J1801" s="20" t="s">
        <v>143</v>
      </c>
      <c r="Q1801" s="20">
        <v>8829.0</v>
      </c>
      <c r="R1801" s="20" t="s">
        <v>6168</v>
      </c>
      <c r="S1801" s="20" t="s">
        <v>6167</v>
      </c>
      <c r="T1801" s="20" t="s">
        <v>138</v>
      </c>
    </row>
    <row r="1802" ht="14.25" customHeight="1">
      <c r="A1802" s="20" t="s">
        <v>6169</v>
      </c>
      <c r="B1802" s="20" t="s">
        <v>6170</v>
      </c>
      <c r="C1802" s="20" t="s">
        <v>163</v>
      </c>
      <c r="F1802" s="20" t="s">
        <v>150</v>
      </c>
      <c r="G1802" s="20" t="s">
        <v>150</v>
      </c>
      <c r="I1802" s="20" t="s">
        <v>151</v>
      </c>
      <c r="J1802" s="20" t="s">
        <v>143</v>
      </c>
      <c r="K1802" s="20" t="s">
        <v>167</v>
      </c>
      <c r="Q1802" s="20">
        <v>14766.0</v>
      </c>
      <c r="R1802" s="20" t="s">
        <v>6171</v>
      </c>
      <c r="S1802" s="20" t="s">
        <v>6170</v>
      </c>
      <c r="T1802" s="20" t="s">
        <v>138</v>
      </c>
    </row>
    <row r="1803" ht="14.25" customHeight="1">
      <c r="A1803" s="20" t="s">
        <v>6172</v>
      </c>
      <c r="B1803" s="20" t="s">
        <v>6173</v>
      </c>
      <c r="C1803" s="20" t="s">
        <v>1397</v>
      </c>
      <c r="F1803" s="20" t="s">
        <v>17</v>
      </c>
      <c r="G1803" s="20" t="s">
        <v>17</v>
      </c>
      <c r="I1803" s="20" t="s">
        <v>88</v>
      </c>
      <c r="J1803" s="20" t="s">
        <v>136</v>
      </c>
      <c r="Q1803" s="20">
        <v>14659.0</v>
      </c>
      <c r="R1803" s="20" t="s">
        <v>6174</v>
      </c>
      <c r="S1803" s="20" t="s">
        <v>6173</v>
      </c>
      <c r="T1803" s="20" t="s">
        <v>138</v>
      </c>
      <c r="W1803" s="20" t="s">
        <v>136</v>
      </c>
    </row>
    <row r="1804" ht="14.25" customHeight="1">
      <c r="A1804" s="20" t="s">
        <v>6175</v>
      </c>
      <c r="B1804" s="20" t="s">
        <v>6176</v>
      </c>
      <c r="C1804" s="20" t="s">
        <v>193</v>
      </c>
      <c r="F1804" s="20" t="s">
        <v>150</v>
      </c>
      <c r="G1804" s="20" t="s">
        <v>150</v>
      </c>
      <c r="I1804" s="20" t="s">
        <v>151</v>
      </c>
      <c r="J1804" s="20" t="s">
        <v>143</v>
      </c>
      <c r="Q1804" s="20">
        <v>11892.0</v>
      </c>
      <c r="R1804" s="20" t="s">
        <v>6177</v>
      </c>
      <c r="S1804" s="20" t="s">
        <v>6176</v>
      </c>
      <c r="T1804" s="20" t="s">
        <v>138</v>
      </c>
    </row>
    <row r="1805" ht="14.25" customHeight="1">
      <c r="A1805" s="20" t="s">
        <v>6178</v>
      </c>
      <c r="B1805" s="20" t="s">
        <v>6179</v>
      </c>
      <c r="C1805" s="20" t="s">
        <v>3303</v>
      </c>
      <c r="F1805" s="20" t="s">
        <v>327</v>
      </c>
      <c r="G1805" s="20" t="s">
        <v>385</v>
      </c>
      <c r="I1805" s="20" t="s">
        <v>598</v>
      </c>
      <c r="J1805" s="20" t="s">
        <v>143</v>
      </c>
      <c r="Q1805" s="20">
        <v>9556.0</v>
      </c>
      <c r="R1805" s="20" t="s">
        <v>6180</v>
      </c>
      <c r="S1805" s="20" t="s">
        <v>6179</v>
      </c>
      <c r="T1805" s="20" t="s">
        <v>138</v>
      </c>
    </row>
    <row r="1806" ht="14.25" customHeight="1">
      <c r="A1806" s="20" t="s">
        <v>6181</v>
      </c>
      <c r="B1806" s="20" t="s">
        <v>6182</v>
      </c>
      <c r="C1806" s="20" t="s">
        <v>174</v>
      </c>
      <c r="F1806" s="20" t="s">
        <v>150</v>
      </c>
      <c r="G1806" s="20" t="s">
        <v>150</v>
      </c>
      <c r="I1806" s="20" t="s">
        <v>151</v>
      </c>
      <c r="J1806" s="20" t="s">
        <v>143</v>
      </c>
      <c r="Q1806" s="20">
        <v>896.0</v>
      </c>
      <c r="R1806" s="20" t="s">
        <v>6183</v>
      </c>
      <c r="S1806" s="20" t="s">
        <v>6182</v>
      </c>
      <c r="T1806" s="20" t="s">
        <v>138</v>
      </c>
    </row>
    <row r="1807" ht="14.25" customHeight="1">
      <c r="A1807" s="20" t="s">
        <v>6184</v>
      </c>
      <c r="B1807" s="20" t="s">
        <v>6185</v>
      </c>
      <c r="C1807" s="20" t="s">
        <v>3157</v>
      </c>
      <c r="F1807" s="20" t="s">
        <v>17</v>
      </c>
      <c r="G1807" s="20" t="s">
        <v>17</v>
      </c>
      <c r="I1807" s="20" t="s">
        <v>88</v>
      </c>
      <c r="J1807" s="20" t="s">
        <v>143</v>
      </c>
      <c r="K1807" s="20" t="s">
        <v>213</v>
      </c>
      <c r="Q1807" s="20">
        <v>6048.0</v>
      </c>
      <c r="R1807" s="20" t="s">
        <v>6186</v>
      </c>
      <c r="S1807" s="20" t="s">
        <v>6185</v>
      </c>
      <c r="T1807" s="20" t="s">
        <v>138</v>
      </c>
      <c r="V1807" s="20" t="s">
        <v>189</v>
      </c>
      <c r="W1807" s="20" t="s">
        <v>146</v>
      </c>
    </row>
    <row r="1808" ht="14.25" customHeight="1">
      <c r="A1808" s="20" t="s">
        <v>6187</v>
      </c>
      <c r="B1808" s="20" t="s">
        <v>6188</v>
      </c>
      <c r="C1808" s="20" t="s">
        <v>1144</v>
      </c>
      <c r="F1808" s="20" t="s">
        <v>150</v>
      </c>
      <c r="G1808" s="20" t="s">
        <v>150</v>
      </c>
      <c r="I1808" s="20" t="s">
        <v>151</v>
      </c>
      <c r="J1808" s="20" t="s">
        <v>186</v>
      </c>
      <c r="Q1808" s="20">
        <v>8885.0</v>
      </c>
      <c r="R1808" s="20" t="s">
        <v>6189</v>
      </c>
      <c r="S1808" s="20" t="s">
        <v>6188</v>
      </c>
      <c r="T1808" s="20" t="s">
        <v>138</v>
      </c>
    </row>
    <row r="1809" ht="14.25" customHeight="1">
      <c r="A1809" s="20" t="s">
        <v>6190</v>
      </c>
      <c r="B1809" s="20" t="s">
        <v>6191</v>
      </c>
      <c r="C1809" s="20" t="s">
        <v>1144</v>
      </c>
      <c r="F1809" s="20" t="s">
        <v>150</v>
      </c>
      <c r="G1809" s="20" t="s">
        <v>150</v>
      </c>
      <c r="I1809" s="20" t="s">
        <v>151</v>
      </c>
      <c r="J1809" s="20" t="s">
        <v>186</v>
      </c>
      <c r="Q1809" s="20">
        <v>208.0</v>
      </c>
      <c r="R1809" s="20" t="s">
        <v>6192</v>
      </c>
      <c r="S1809" s="20" t="s">
        <v>6191</v>
      </c>
      <c r="T1809" s="20" t="s">
        <v>138</v>
      </c>
    </row>
    <row r="1810" ht="14.25" customHeight="1">
      <c r="A1810" s="20" t="s">
        <v>6193</v>
      </c>
      <c r="B1810" s="20" t="s">
        <v>6194</v>
      </c>
      <c r="C1810" s="20" t="s">
        <v>4484</v>
      </c>
      <c r="F1810" s="20" t="s">
        <v>17</v>
      </c>
      <c r="G1810" s="20" t="s">
        <v>17</v>
      </c>
      <c r="I1810" s="20" t="s">
        <v>88</v>
      </c>
      <c r="J1810" s="20" t="s">
        <v>143</v>
      </c>
      <c r="K1810" s="20" t="s">
        <v>167</v>
      </c>
      <c r="Q1810" s="20">
        <v>2578.0</v>
      </c>
      <c r="R1810" s="20" t="s">
        <v>6195</v>
      </c>
      <c r="S1810" s="20" t="s">
        <v>6194</v>
      </c>
      <c r="T1810" s="20" t="s">
        <v>138</v>
      </c>
    </row>
    <row r="1811" ht="14.25" customHeight="1">
      <c r="A1811" s="20" t="s">
        <v>6196</v>
      </c>
      <c r="B1811" s="20" t="s">
        <v>6197</v>
      </c>
      <c r="C1811" s="20" t="s">
        <v>235</v>
      </c>
      <c r="F1811" s="20" t="s">
        <v>15</v>
      </c>
      <c r="G1811" s="20" t="s">
        <v>142</v>
      </c>
      <c r="I1811" s="20" t="s">
        <v>105</v>
      </c>
      <c r="J1811" s="20" t="s">
        <v>143</v>
      </c>
      <c r="Q1811" s="20">
        <v>14111.0</v>
      </c>
      <c r="R1811" s="20" t="s">
        <v>6198</v>
      </c>
      <c r="S1811" s="20" t="s">
        <v>6197</v>
      </c>
      <c r="T1811" s="20" t="s">
        <v>138</v>
      </c>
    </row>
    <row r="1812" ht="14.25" customHeight="1">
      <c r="A1812" s="20" t="s">
        <v>6199</v>
      </c>
      <c r="B1812" s="20" t="s">
        <v>6200</v>
      </c>
      <c r="C1812" s="20" t="s">
        <v>5997</v>
      </c>
      <c r="F1812" s="20" t="s">
        <v>16</v>
      </c>
      <c r="G1812" s="20" t="s">
        <v>202</v>
      </c>
      <c r="H1812" s="20">
        <v>16490.0</v>
      </c>
      <c r="I1812" s="20" t="s">
        <v>203</v>
      </c>
      <c r="J1812" s="20" t="s">
        <v>143</v>
      </c>
      <c r="K1812" s="20" t="s">
        <v>167</v>
      </c>
      <c r="L1812" s="20" t="s">
        <v>203</v>
      </c>
      <c r="Q1812" s="20">
        <v>16490.0</v>
      </c>
      <c r="R1812" s="20" t="s">
        <v>6201</v>
      </c>
      <c r="S1812" s="20" t="s">
        <v>6200</v>
      </c>
      <c r="T1812" s="20" t="s">
        <v>138</v>
      </c>
      <c r="W1812" s="20" t="s">
        <v>146</v>
      </c>
    </row>
    <row r="1813" ht="14.25" customHeight="1">
      <c r="A1813" s="20" t="s">
        <v>6202</v>
      </c>
      <c r="B1813" s="20" t="s">
        <v>6203</v>
      </c>
      <c r="C1813" s="20" t="s">
        <v>289</v>
      </c>
      <c r="F1813" s="20" t="s">
        <v>150</v>
      </c>
      <c r="G1813" s="20" t="s">
        <v>150</v>
      </c>
      <c r="I1813" s="20" t="s">
        <v>151</v>
      </c>
      <c r="J1813" s="20" t="s">
        <v>143</v>
      </c>
      <c r="Q1813" s="20">
        <v>6804.0</v>
      </c>
      <c r="R1813" s="20" t="s">
        <v>6204</v>
      </c>
      <c r="S1813" s="20" t="s">
        <v>6203</v>
      </c>
      <c r="T1813" s="20" t="s">
        <v>138</v>
      </c>
    </row>
    <row r="1814" ht="14.25" customHeight="1">
      <c r="A1814" s="20" t="s">
        <v>6205</v>
      </c>
      <c r="B1814" s="20" t="s">
        <v>6206</v>
      </c>
      <c r="C1814" s="20" t="s">
        <v>174</v>
      </c>
      <c r="F1814" s="20" t="s">
        <v>150</v>
      </c>
      <c r="G1814" s="20" t="s">
        <v>150</v>
      </c>
      <c r="I1814" s="20" t="s">
        <v>151</v>
      </c>
      <c r="J1814" s="20" t="s">
        <v>143</v>
      </c>
      <c r="Q1814" s="20">
        <v>3192.0</v>
      </c>
      <c r="R1814" s="20" t="s">
        <v>6207</v>
      </c>
      <c r="S1814" s="20" t="s">
        <v>6206</v>
      </c>
      <c r="T1814" s="20" t="s">
        <v>138</v>
      </c>
    </row>
    <row r="1815" ht="14.25" customHeight="1">
      <c r="A1815" s="20" t="s">
        <v>6208</v>
      </c>
      <c r="B1815" s="20" t="s">
        <v>6209</v>
      </c>
      <c r="C1815" s="20" t="s">
        <v>174</v>
      </c>
      <c r="F1815" s="20" t="s">
        <v>150</v>
      </c>
      <c r="G1815" s="20" t="s">
        <v>150</v>
      </c>
      <c r="I1815" s="20" t="s">
        <v>151</v>
      </c>
      <c r="J1815" s="20" t="s">
        <v>143</v>
      </c>
      <c r="Q1815" s="20">
        <v>898.0</v>
      </c>
      <c r="R1815" s="20" t="s">
        <v>6210</v>
      </c>
      <c r="S1815" s="20" t="s">
        <v>6209</v>
      </c>
      <c r="T1815" s="20" t="s">
        <v>138</v>
      </c>
    </row>
    <row r="1816" ht="14.25" customHeight="1">
      <c r="A1816" s="20" t="s">
        <v>6211</v>
      </c>
      <c r="B1816" s="20" t="s">
        <v>6212</v>
      </c>
      <c r="C1816" s="20" t="s">
        <v>1103</v>
      </c>
      <c r="F1816" s="20" t="s">
        <v>327</v>
      </c>
      <c r="G1816" s="20" t="s">
        <v>395</v>
      </c>
      <c r="I1816" s="20" t="s">
        <v>1104</v>
      </c>
      <c r="J1816" s="20" t="s">
        <v>143</v>
      </c>
      <c r="Q1816" s="20">
        <v>15045.0</v>
      </c>
      <c r="R1816" s="20" t="s">
        <v>6213</v>
      </c>
      <c r="S1816" s="20" t="s">
        <v>6212</v>
      </c>
      <c r="T1816" s="20" t="s">
        <v>138</v>
      </c>
    </row>
    <row r="1817" ht="14.25" customHeight="1">
      <c r="A1817" s="20" t="s">
        <v>6214</v>
      </c>
      <c r="B1817" s="20" t="s">
        <v>6215</v>
      </c>
      <c r="C1817" s="20" t="s">
        <v>217</v>
      </c>
      <c r="F1817" s="20" t="s">
        <v>218</v>
      </c>
      <c r="G1817" s="20" t="s">
        <v>219</v>
      </c>
      <c r="I1817" s="20" t="s">
        <v>337</v>
      </c>
      <c r="J1817" s="20" t="s">
        <v>186</v>
      </c>
      <c r="K1817" s="20" t="s">
        <v>167</v>
      </c>
      <c r="Q1817" s="20">
        <v>3651.0</v>
      </c>
      <c r="R1817" s="20" t="s">
        <v>6216</v>
      </c>
      <c r="S1817" s="20" t="s">
        <v>6215</v>
      </c>
      <c r="T1817" s="20" t="s">
        <v>138</v>
      </c>
    </row>
    <row r="1818" ht="14.25" customHeight="1">
      <c r="A1818" s="20" t="s">
        <v>6217</v>
      </c>
      <c r="B1818" s="20" t="s">
        <v>6218</v>
      </c>
      <c r="C1818" s="20" t="s">
        <v>4221</v>
      </c>
      <c r="F1818" s="20" t="s">
        <v>16</v>
      </c>
      <c r="G1818" s="20" t="s">
        <v>211</v>
      </c>
      <c r="I1818" s="20" t="s">
        <v>253</v>
      </c>
      <c r="J1818" s="20" t="s">
        <v>186</v>
      </c>
      <c r="K1818" s="20" t="s">
        <v>187</v>
      </c>
      <c r="Q1818" s="20">
        <v>5733.0</v>
      </c>
      <c r="R1818" s="20" t="s">
        <v>6219</v>
      </c>
      <c r="S1818" s="20" t="s">
        <v>6218</v>
      </c>
      <c r="T1818" s="20" t="s">
        <v>138</v>
      </c>
      <c r="W1818" s="20" t="s">
        <v>261</v>
      </c>
    </row>
    <row r="1819" ht="14.25" customHeight="1">
      <c r="A1819" s="20" t="s">
        <v>6220</v>
      </c>
      <c r="B1819" s="20" t="s">
        <v>6221</v>
      </c>
      <c r="C1819" s="20" t="s">
        <v>818</v>
      </c>
      <c r="F1819" s="20" t="s">
        <v>17</v>
      </c>
      <c r="G1819" s="20" t="s">
        <v>17</v>
      </c>
      <c r="I1819" s="20" t="s">
        <v>88</v>
      </c>
      <c r="J1819" s="20" t="s">
        <v>143</v>
      </c>
      <c r="Q1819" s="20">
        <v>3873.0</v>
      </c>
      <c r="R1819" s="20" t="s">
        <v>6222</v>
      </c>
      <c r="S1819" s="20" t="s">
        <v>6221</v>
      </c>
      <c r="T1819" s="20" t="s">
        <v>138</v>
      </c>
    </row>
    <row r="1820" ht="14.25" customHeight="1">
      <c r="A1820" s="20" t="s">
        <v>6223</v>
      </c>
      <c r="B1820" s="20" t="s">
        <v>6224</v>
      </c>
      <c r="C1820" s="20" t="s">
        <v>486</v>
      </c>
      <c r="F1820" s="20" t="s">
        <v>327</v>
      </c>
      <c r="G1820" s="20" t="s">
        <v>385</v>
      </c>
      <c r="I1820" s="20" t="s">
        <v>2350</v>
      </c>
      <c r="J1820" s="20" t="s">
        <v>143</v>
      </c>
      <c r="Q1820" s="20">
        <v>11263.0</v>
      </c>
      <c r="R1820" s="20" t="s">
        <v>6225</v>
      </c>
      <c r="S1820" s="20" t="s">
        <v>6224</v>
      </c>
      <c r="T1820" s="20" t="s">
        <v>138</v>
      </c>
    </row>
    <row r="1821" ht="14.25" customHeight="1">
      <c r="A1821" s="20" t="s">
        <v>6226</v>
      </c>
      <c r="B1821" s="20" t="s">
        <v>6227</v>
      </c>
      <c r="C1821" s="20" t="s">
        <v>289</v>
      </c>
      <c r="F1821" s="20" t="s">
        <v>150</v>
      </c>
      <c r="G1821" s="20" t="s">
        <v>150</v>
      </c>
      <c r="I1821" s="20" t="s">
        <v>151</v>
      </c>
      <c r="J1821" s="20" t="s">
        <v>143</v>
      </c>
      <c r="Q1821" s="20">
        <v>10689.0</v>
      </c>
      <c r="R1821" s="20" t="s">
        <v>6228</v>
      </c>
      <c r="S1821" s="20" t="s">
        <v>6227</v>
      </c>
      <c r="T1821" s="20" t="s">
        <v>138</v>
      </c>
    </row>
    <row r="1822" ht="14.25" customHeight="1">
      <c r="A1822" s="20" t="s">
        <v>6229</v>
      </c>
      <c r="B1822" s="20" t="s">
        <v>6230</v>
      </c>
      <c r="C1822" s="20" t="s">
        <v>4479</v>
      </c>
      <c r="F1822" s="20" t="s">
        <v>16</v>
      </c>
      <c r="G1822" s="20" t="s">
        <v>211</v>
      </c>
      <c r="I1822" s="20" t="s">
        <v>4480</v>
      </c>
      <c r="J1822" s="20" t="s">
        <v>136</v>
      </c>
      <c r="K1822" s="20" t="s">
        <v>213</v>
      </c>
      <c r="Q1822" s="20">
        <v>15335.0</v>
      </c>
      <c r="R1822" s="20" t="s">
        <v>6231</v>
      </c>
      <c r="S1822" s="20" t="s">
        <v>6230</v>
      </c>
      <c r="T1822" s="20" t="s">
        <v>138</v>
      </c>
    </row>
    <row r="1823" ht="14.25" customHeight="1">
      <c r="A1823" s="20" t="s">
        <v>6232</v>
      </c>
      <c r="B1823" s="20" t="s">
        <v>6233</v>
      </c>
      <c r="C1823" s="20" t="s">
        <v>4800</v>
      </c>
      <c r="F1823" s="20" t="s">
        <v>327</v>
      </c>
      <c r="G1823" s="20" t="s">
        <v>395</v>
      </c>
      <c r="I1823" s="20" t="s">
        <v>644</v>
      </c>
      <c r="J1823" s="20" t="s">
        <v>186</v>
      </c>
      <c r="K1823" s="20" t="s">
        <v>167</v>
      </c>
      <c r="L1823" s="20" t="s">
        <v>644</v>
      </c>
      <c r="Q1823" s="20">
        <v>6234.0</v>
      </c>
      <c r="R1823" s="20" t="s">
        <v>6234</v>
      </c>
      <c r="S1823" s="20" t="s">
        <v>6233</v>
      </c>
      <c r="T1823" s="20" t="s">
        <v>138</v>
      </c>
    </row>
    <row r="1824" ht="14.25" customHeight="1">
      <c r="A1824" s="20" t="s">
        <v>6235</v>
      </c>
      <c r="B1824" s="20" t="s">
        <v>6236</v>
      </c>
      <c r="C1824" s="20" t="s">
        <v>235</v>
      </c>
      <c r="F1824" s="20" t="s">
        <v>15</v>
      </c>
      <c r="G1824" s="20" t="s">
        <v>142</v>
      </c>
      <c r="I1824" s="20" t="s">
        <v>105</v>
      </c>
      <c r="J1824" s="20" t="s">
        <v>143</v>
      </c>
      <c r="Q1824" s="20">
        <v>8880.0</v>
      </c>
      <c r="R1824" s="20" t="s">
        <v>6237</v>
      </c>
      <c r="S1824" s="20" t="s">
        <v>6236</v>
      </c>
      <c r="T1824" s="20" t="s">
        <v>138</v>
      </c>
    </row>
    <row r="1825" ht="14.25" customHeight="1">
      <c r="A1825" s="20" t="s">
        <v>6238</v>
      </c>
      <c r="B1825" s="20" t="s">
        <v>6239</v>
      </c>
      <c r="C1825" s="20" t="s">
        <v>6240</v>
      </c>
      <c r="F1825" s="20" t="s">
        <v>15</v>
      </c>
      <c r="G1825" s="20" t="s">
        <v>135</v>
      </c>
      <c r="H1825" s="20">
        <v>15918.0</v>
      </c>
      <c r="I1825" s="20" t="s">
        <v>94</v>
      </c>
      <c r="J1825" s="20" t="s">
        <v>136</v>
      </c>
      <c r="L1825" s="20" t="s">
        <v>94</v>
      </c>
      <c r="O1825" s="20" t="s">
        <v>144</v>
      </c>
      <c r="Q1825" s="20">
        <v>15918.0</v>
      </c>
      <c r="R1825" s="20" t="s">
        <v>6241</v>
      </c>
      <c r="S1825" s="20" t="s">
        <v>6239</v>
      </c>
      <c r="T1825" s="20" t="s">
        <v>138</v>
      </c>
      <c r="U1825" s="24">
        <v>44848.0</v>
      </c>
      <c r="W1825" s="20" t="s">
        <v>136</v>
      </c>
    </row>
    <row r="1826" ht="14.25" customHeight="1">
      <c r="A1826" s="20" t="s">
        <v>6242</v>
      </c>
      <c r="B1826" s="20" t="s">
        <v>6243</v>
      </c>
      <c r="C1826" s="20" t="s">
        <v>906</v>
      </c>
      <c r="F1826" s="20" t="s">
        <v>15</v>
      </c>
      <c r="G1826" s="20" t="s">
        <v>142</v>
      </c>
      <c r="I1826" s="20" t="s">
        <v>105</v>
      </c>
      <c r="J1826" s="20" t="s">
        <v>136</v>
      </c>
      <c r="Q1826" s="20">
        <v>15032.0</v>
      </c>
      <c r="R1826" s="20" t="s">
        <v>6244</v>
      </c>
      <c r="S1826" s="20" t="s">
        <v>6243</v>
      </c>
      <c r="T1826" s="20" t="s">
        <v>138</v>
      </c>
      <c r="W1826" s="20" t="s">
        <v>372</v>
      </c>
    </row>
    <row r="1827" ht="14.25" customHeight="1">
      <c r="A1827" s="20" t="s">
        <v>6245</v>
      </c>
      <c r="B1827" s="20" t="s">
        <v>6246</v>
      </c>
      <c r="C1827" s="20" t="s">
        <v>818</v>
      </c>
      <c r="F1827" s="20" t="s">
        <v>17</v>
      </c>
      <c r="G1827" s="20" t="s">
        <v>17</v>
      </c>
      <c r="I1827" s="20" t="s">
        <v>88</v>
      </c>
      <c r="J1827" s="20" t="s">
        <v>143</v>
      </c>
      <c r="Q1827" s="20">
        <v>903.0</v>
      </c>
      <c r="R1827" s="20" t="s">
        <v>6247</v>
      </c>
      <c r="S1827" s="20" t="s">
        <v>6246</v>
      </c>
      <c r="T1827" s="20" t="s">
        <v>138</v>
      </c>
    </row>
    <row r="1828" ht="14.25" customHeight="1">
      <c r="A1828" s="20" t="s">
        <v>6248</v>
      </c>
      <c r="B1828" s="20" t="s">
        <v>6249</v>
      </c>
      <c r="C1828" s="20" t="s">
        <v>4176</v>
      </c>
      <c r="F1828" s="20" t="s">
        <v>15</v>
      </c>
      <c r="G1828" s="20" t="s">
        <v>135</v>
      </c>
      <c r="H1828" s="20">
        <v>16777.0</v>
      </c>
      <c r="I1828" s="20" t="s">
        <v>94</v>
      </c>
      <c r="J1828" s="20" t="s">
        <v>136</v>
      </c>
      <c r="Q1828" s="20">
        <v>16777.0</v>
      </c>
      <c r="R1828" s="20" t="s">
        <v>6250</v>
      </c>
      <c r="S1828" s="20" t="s">
        <v>6249</v>
      </c>
      <c r="T1828" s="20" t="s">
        <v>138</v>
      </c>
      <c r="W1828" s="20" t="s">
        <v>136</v>
      </c>
    </row>
    <row r="1829" ht="14.25" customHeight="1">
      <c r="A1829" s="20" t="s">
        <v>6251</v>
      </c>
      <c r="B1829" s="20" t="s">
        <v>6252</v>
      </c>
      <c r="C1829" s="20" t="s">
        <v>197</v>
      </c>
      <c r="F1829" s="20" t="s">
        <v>150</v>
      </c>
      <c r="G1829" s="20" t="s">
        <v>150</v>
      </c>
      <c r="I1829" s="20" t="s">
        <v>151</v>
      </c>
      <c r="J1829" s="20" t="s">
        <v>143</v>
      </c>
      <c r="K1829" s="20" t="s">
        <v>213</v>
      </c>
      <c r="Q1829" s="20">
        <v>904.0</v>
      </c>
      <c r="R1829" s="20" t="s">
        <v>6253</v>
      </c>
      <c r="S1829" s="20" t="s">
        <v>6252</v>
      </c>
      <c r="T1829" s="20" t="s">
        <v>138</v>
      </c>
      <c r="V1829" s="20" t="s">
        <v>189</v>
      </c>
      <c r="W1829" s="20" t="s">
        <v>146</v>
      </c>
    </row>
    <row r="1830" ht="14.25" customHeight="1">
      <c r="A1830" s="20" t="s">
        <v>6254</v>
      </c>
      <c r="B1830" s="20" t="s">
        <v>6255</v>
      </c>
      <c r="C1830" s="20" t="s">
        <v>651</v>
      </c>
      <c r="F1830" s="20" t="s">
        <v>327</v>
      </c>
      <c r="G1830" s="20" t="s">
        <v>395</v>
      </c>
      <c r="I1830" s="20" t="s">
        <v>5127</v>
      </c>
      <c r="J1830" s="20" t="s">
        <v>136</v>
      </c>
      <c r="Q1830" s="20">
        <v>12015.0</v>
      </c>
      <c r="R1830" s="20" t="s">
        <v>6256</v>
      </c>
      <c r="S1830" s="20" t="s">
        <v>6255</v>
      </c>
      <c r="T1830" s="20" t="s">
        <v>138</v>
      </c>
      <c r="W1830" s="20" t="s">
        <v>136</v>
      </c>
    </row>
    <row r="1831" ht="14.25" customHeight="1">
      <c r="A1831" s="20" t="s">
        <v>6257</v>
      </c>
      <c r="B1831" s="20" t="s">
        <v>6258</v>
      </c>
      <c r="C1831" s="20" t="s">
        <v>6259</v>
      </c>
      <c r="F1831" s="20" t="s">
        <v>16</v>
      </c>
      <c r="G1831" s="20" t="s">
        <v>211</v>
      </c>
      <c r="I1831" s="20" t="s">
        <v>212</v>
      </c>
      <c r="J1831" s="20" t="s">
        <v>143</v>
      </c>
      <c r="K1831" s="20" t="s">
        <v>213</v>
      </c>
      <c r="Q1831" s="20">
        <v>4087.0</v>
      </c>
      <c r="R1831" s="20" t="s">
        <v>6260</v>
      </c>
      <c r="S1831" s="20" t="s">
        <v>6258</v>
      </c>
      <c r="T1831" s="20" t="s">
        <v>138</v>
      </c>
      <c r="W1831" s="20" t="s">
        <v>146</v>
      </c>
    </row>
    <row r="1832" ht="14.25" customHeight="1">
      <c r="A1832" s="20" t="s">
        <v>6261</v>
      </c>
      <c r="B1832" s="20" t="s">
        <v>6262</v>
      </c>
      <c r="C1832" s="20" t="s">
        <v>2565</v>
      </c>
      <c r="F1832" s="20" t="s">
        <v>327</v>
      </c>
      <c r="G1832" s="20" t="s">
        <v>385</v>
      </c>
      <c r="H1832" s="20">
        <v>17273.0</v>
      </c>
      <c r="I1832" s="20" t="s">
        <v>2245</v>
      </c>
      <c r="J1832" s="20" t="s">
        <v>136</v>
      </c>
      <c r="Q1832" s="20">
        <v>17273.0</v>
      </c>
      <c r="R1832" s="20" t="s">
        <v>6263</v>
      </c>
      <c r="S1832" s="20" t="s">
        <v>6262</v>
      </c>
      <c r="T1832" s="20" t="s">
        <v>138</v>
      </c>
      <c r="W1832" s="20" t="s">
        <v>372</v>
      </c>
    </row>
    <row r="1833" ht="14.25" customHeight="1">
      <c r="A1833" s="20" t="s">
        <v>6264</v>
      </c>
      <c r="B1833" s="20" t="s">
        <v>6265</v>
      </c>
      <c r="C1833" s="20" t="s">
        <v>6266</v>
      </c>
      <c r="F1833" s="20" t="s">
        <v>327</v>
      </c>
      <c r="G1833" s="20" t="s">
        <v>385</v>
      </c>
      <c r="H1833" s="20">
        <v>17274.0</v>
      </c>
      <c r="I1833" s="20" t="s">
        <v>492</v>
      </c>
      <c r="J1833" s="20" t="s">
        <v>136</v>
      </c>
      <c r="O1833" s="20" t="s">
        <v>6267</v>
      </c>
      <c r="Q1833" s="20">
        <v>17274.0</v>
      </c>
      <c r="R1833" s="20" t="s">
        <v>6268</v>
      </c>
      <c r="S1833" s="20" t="s">
        <v>6265</v>
      </c>
      <c r="T1833" s="20" t="s">
        <v>138</v>
      </c>
      <c r="W1833" s="20" t="s">
        <v>136</v>
      </c>
    </row>
    <row r="1834" ht="14.25" customHeight="1">
      <c r="A1834" s="20" t="s">
        <v>6269</v>
      </c>
      <c r="B1834" s="20" t="s">
        <v>6270</v>
      </c>
      <c r="C1834" s="20" t="s">
        <v>2565</v>
      </c>
      <c r="F1834" s="20" t="s">
        <v>327</v>
      </c>
      <c r="G1834" s="20" t="s">
        <v>385</v>
      </c>
      <c r="I1834" s="20" t="s">
        <v>598</v>
      </c>
      <c r="J1834" s="20" t="s">
        <v>136</v>
      </c>
      <c r="Q1834" s="20">
        <v>15601.0</v>
      </c>
      <c r="R1834" s="20" t="s">
        <v>6271</v>
      </c>
      <c r="S1834" s="20" t="s">
        <v>6270</v>
      </c>
      <c r="T1834" s="20" t="s">
        <v>138</v>
      </c>
      <c r="W1834" s="20" t="s">
        <v>372</v>
      </c>
    </row>
    <row r="1835" ht="14.25" customHeight="1">
      <c r="A1835" s="20" t="s">
        <v>6272</v>
      </c>
      <c r="B1835" s="20" t="s">
        <v>6273</v>
      </c>
      <c r="C1835" s="20" t="s">
        <v>6274</v>
      </c>
      <c r="F1835" s="20" t="s">
        <v>327</v>
      </c>
      <c r="G1835" s="20" t="s">
        <v>385</v>
      </c>
      <c r="H1835" s="20">
        <v>17275.0</v>
      </c>
      <c r="I1835" s="20" t="s">
        <v>4233</v>
      </c>
      <c r="J1835" s="20" t="s">
        <v>136</v>
      </c>
      <c r="Q1835" s="20">
        <v>17275.0</v>
      </c>
      <c r="R1835" s="20" t="s">
        <v>6275</v>
      </c>
      <c r="S1835" s="20" t="s">
        <v>6273</v>
      </c>
      <c r="T1835" s="20" t="s">
        <v>138</v>
      </c>
    </row>
    <row r="1836" ht="14.25" customHeight="1">
      <c r="A1836" s="20" t="s">
        <v>6276</v>
      </c>
      <c r="B1836" s="20" t="s">
        <v>6277</v>
      </c>
      <c r="C1836" s="20" t="s">
        <v>193</v>
      </c>
      <c r="F1836" s="20" t="s">
        <v>150</v>
      </c>
      <c r="G1836" s="20" t="s">
        <v>150</v>
      </c>
      <c r="I1836" s="20" t="s">
        <v>151</v>
      </c>
      <c r="J1836" s="20" t="s">
        <v>143</v>
      </c>
      <c r="Q1836" s="20">
        <v>15287.0</v>
      </c>
      <c r="R1836" s="20" t="s">
        <v>6278</v>
      </c>
      <c r="S1836" s="20" t="s">
        <v>6277</v>
      </c>
      <c r="T1836" s="20" t="s">
        <v>138</v>
      </c>
    </row>
    <row r="1837" ht="14.25" customHeight="1">
      <c r="A1837" s="20" t="s">
        <v>6279</v>
      </c>
      <c r="B1837" s="20" t="s">
        <v>6280</v>
      </c>
      <c r="C1837" s="20" t="s">
        <v>289</v>
      </c>
      <c r="F1837" s="20" t="s">
        <v>150</v>
      </c>
      <c r="G1837" s="20" t="s">
        <v>150</v>
      </c>
      <c r="I1837" s="20" t="s">
        <v>151</v>
      </c>
      <c r="J1837" s="20" t="s">
        <v>143</v>
      </c>
      <c r="Q1837" s="20">
        <v>906.0</v>
      </c>
      <c r="R1837" s="20" t="s">
        <v>6281</v>
      </c>
      <c r="S1837" s="20" t="s">
        <v>6280</v>
      </c>
      <c r="T1837" s="20" t="s">
        <v>138</v>
      </c>
    </row>
    <row r="1838" ht="14.25" customHeight="1">
      <c r="A1838" s="20" t="s">
        <v>6282</v>
      </c>
      <c r="B1838" s="20" t="s">
        <v>6283</v>
      </c>
      <c r="C1838" s="20" t="s">
        <v>193</v>
      </c>
      <c r="F1838" s="20" t="s">
        <v>150</v>
      </c>
      <c r="G1838" s="20" t="s">
        <v>150</v>
      </c>
      <c r="I1838" s="20" t="s">
        <v>151</v>
      </c>
      <c r="J1838" s="20" t="s">
        <v>143</v>
      </c>
      <c r="Q1838" s="20">
        <v>12326.0</v>
      </c>
      <c r="R1838" s="20" t="s">
        <v>6284</v>
      </c>
      <c r="S1838" s="20" t="s">
        <v>6283</v>
      </c>
      <c r="T1838" s="20" t="s">
        <v>138</v>
      </c>
    </row>
    <row r="1839" ht="14.25" customHeight="1">
      <c r="A1839" s="20" t="s">
        <v>6285</v>
      </c>
      <c r="B1839" s="20" t="s">
        <v>6286</v>
      </c>
      <c r="C1839" s="20" t="s">
        <v>197</v>
      </c>
      <c r="F1839" s="20" t="s">
        <v>150</v>
      </c>
      <c r="G1839" s="20" t="s">
        <v>150</v>
      </c>
      <c r="I1839" s="20" t="s">
        <v>151</v>
      </c>
      <c r="J1839" s="20" t="s">
        <v>143</v>
      </c>
      <c r="K1839" s="20" t="s">
        <v>167</v>
      </c>
      <c r="Q1839" s="20">
        <v>907.0</v>
      </c>
      <c r="R1839" s="20" t="s">
        <v>6287</v>
      </c>
      <c r="S1839" s="20" t="s">
        <v>6286</v>
      </c>
      <c r="T1839" s="20" t="s">
        <v>138</v>
      </c>
    </row>
    <row r="1840" ht="14.25" customHeight="1">
      <c r="A1840" s="20" t="s">
        <v>6288</v>
      </c>
      <c r="B1840" s="20" t="s">
        <v>6289</v>
      </c>
      <c r="C1840" s="20" t="s">
        <v>2051</v>
      </c>
      <c r="F1840" s="20" t="s">
        <v>16</v>
      </c>
      <c r="G1840" s="20" t="s">
        <v>202</v>
      </c>
      <c r="I1840" s="20" t="s">
        <v>203</v>
      </c>
      <c r="J1840" s="20" t="s">
        <v>143</v>
      </c>
      <c r="Q1840" s="20">
        <v>10450.0</v>
      </c>
      <c r="R1840" s="20" t="s">
        <v>6290</v>
      </c>
      <c r="S1840" s="20" t="s">
        <v>6289</v>
      </c>
      <c r="T1840" s="20" t="s">
        <v>138</v>
      </c>
      <c r="V1840" s="20" t="s">
        <v>260</v>
      </c>
      <c r="W1840" s="20" t="s">
        <v>146</v>
      </c>
    </row>
    <row r="1841" ht="14.25" customHeight="1">
      <c r="A1841" s="20" t="s">
        <v>6291</v>
      </c>
      <c r="B1841" s="20" t="s">
        <v>6292</v>
      </c>
      <c r="C1841" s="20" t="s">
        <v>178</v>
      </c>
      <c r="F1841" s="20" t="s">
        <v>150</v>
      </c>
      <c r="G1841" s="20" t="s">
        <v>150</v>
      </c>
      <c r="I1841" s="20" t="s">
        <v>151</v>
      </c>
      <c r="J1841" s="20" t="s">
        <v>143</v>
      </c>
      <c r="Q1841" s="20">
        <v>12215.0</v>
      </c>
      <c r="R1841" s="20" t="s">
        <v>6293</v>
      </c>
      <c r="S1841" s="20" t="s">
        <v>6292</v>
      </c>
      <c r="T1841" s="20" t="s">
        <v>138</v>
      </c>
    </row>
    <row r="1842" ht="14.25" customHeight="1">
      <c r="A1842" s="20" t="s">
        <v>6294</v>
      </c>
      <c r="B1842" s="20" t="s">
        <v>6295</v>
      </c>
      <c r="C1842" s="20" t="s">
        <v>874</v>
      </c>
      <c r="F1842" s="20" t="s">
        <v>327</v>
      </c>
      <c r="G1842" s="20" t="s">
        <v>385</v>
      </c>
      <c r="I1842" s="20" t="s">
        <v>875</v>
      </c>
      <c r="J1842" s="20" t="s">
        <v>143</v>
      </c>
      <c r="K1842" s="20" t="s">
        <v>167</v>
      </c>
      <c r="Q1842" s="20">
        <v>8661.0</v>
      </c>
      <c r="R1842" s="20" t="s">
        <v>6296</v>
      </c>
      <c r="S1842" s="20" t="s">
        <v>6295</v>
      </c>
      <c r="T1842" s="20" t="s">
        <v>138</v>
      </c>
    </row>
    <row r="1843" ht="14.25" customHeight="1">
      <c r="A1843" s="20" t="s">
        <v>6297</v>
      </c>
      <c r="B1843" s="20" t="s">
        <v>6298</v>
      </c>
      <c r="C1843" s="20" t="s">
        <v>779</v>
      </c>
      <c r="F1843" s="20" t="s">
        <v>150</v>
      </c>
      <c r="G1843" s="20" t="s">
        <v>150</v>
      </c>
      <c r="I1843" s="20" t="s">
        <v>151</v>
      </c>
      <c r="J1843" s="20" t="s">
        <v>143</v>
      </c>
      <c r="Q1843" s="20">
        <v>11830.0</v>
      </c>
      <c r="R1843" s="20" t="s">
        <v>6299</v>
      </c>
      <c r="S1843" s="20" t="s">
        <v>6298</v>
      </c>
      <c r="T1843" s="20" t="s">
        <v>138</v>
      </c>
    </row>
    <row r="1844" ht="14.25" customHeight="1">
      <c r="A1844" s="20" t="s">
        <v>6300</v>
      </c>
      <c r="B1844" s="20" t="s">
        <v>6301</v>
      </c>
      <c r="C1844" s="20" t="s">
        <v>1255</v>
      </c>
      <c r="F1844" s="20" t="s">
        <v>17</v>
      </c>
      <c r="G1844" s="20" t="s">
        <v>17</v>
      </c>
      <c r="H1844" s="20">
        <v>7742.0</v>
      </c>
      <c r="I1844" s="20" t="s">
        <v>88</v>
      </c>
      <c r="J1844" s="20" t="s">
        <v>186</v>
      </c>
      <c r="K1844" s="20" t="s">
        <v>187</v>
      </c>
      <c r="L1844" s="20" t="s">
        <v>88</v>
      </c>
      <c r="O1844" s="20" t="s">
        <v>144</v>
      </c>
      <c r="Q1844" s="20">
        <v>7742.0</v>
      </c>
      <c r="R1844" s="20" t="s">
        <v>6302</v>
      </c>
      <c r="S1844" s="20" t="s">
        <v>6301</v>
      </c>
      <c r="T1844" s="20" t="s">
        <v>138</v>
      </c>
      <c r="W1844" s="20" t="s">
        <v>261</v>
      </c>
    </row>
    <row r="1845" ht="14.25" customHeight="1">
      <c r="A1845" s="20" t="s">
        <v>6303</v>
      </c>
      <c r="B1845" s="20" t="s">
        <v>6304</v>
      </c>
      <c r="C1845" s="20" t="s">
        <v>446</v>
      </c>
      <c r="F1845" s="20" t="s">
        <v>16</v>
      </c>
      <c r="G1845" s="20" t="s">
        <v>202</v>
      </c>
      <c r="I1845" s="20" t="s">
        <v>87</v>
      </c>
      <c r="J1845" s="20" t="s">
        <v>186</v>
      </c>
      <c r="K1845" s="20" t="s">
        <v>187</v>
      </c>
      <c r="Q1845" s="20">
        <v>912.0</v>
      </c>
      <c r="R1845" s="20" t="s">
        <v>6305</v>
      </c>
      <c r="S1845" s="20" t="s">
        <v>6304</v>
      </c>
      <c r="T1845" s="20" t="s">
        <v>138</v>
      </c>
      <c r="W1845" s="20" t="s">
        <v>261</v>
      </c>
    </row>
    <row r="1846" ht="14.25" customHeight="1">
      <c r="A1846" s="20" t="s">
        <v>6306</v>
      </c>
      <c r="B1846" s="20" t="s">
        <v>6307</v>
      </c>
      <c r="C1846" s="20" t="s">
        <v>201</v>
      </c>
      <c r="F1846" s="20" t="s">
        <v>16</v>
      </c>
      <c r="G1846" s="20" t="s">
        <v>202</v>
      </c>
      <c r="I1846" s="20" t="s">
        <v>203</v>
      </c>
      <c r="J1846" s="20" t="s">
        <v>143</v>
      </c>
      <c r="Q1846" s="20">
        <v>7905.0</v>
      </c>
      <c r="R1846" s="20" t="s">
        <v>6308</v>
      </c>
      <c r="S1846" s="20" t="s">
        <v>6307</v>
      </c>
      <c r="T1846" s="20" t="s">
        <v>138</v>
      </c>
    </row>
    <row r="1847" ht="14.25" customHeight="1">
      <c r="A1847" s="20" t="s">
        <v>6309</v>
      </c>
      <c r="B1847" s="20" t="s">
        <v>6310</v>
      </c>
      <c r="C1847" s="20" t="s">
        <v>1581</v>
      </c>
      <c r="F1847" s="20" t="s">
        <v>16</v>
      </c>
      <c r="G1847" s="20" t="s">
        <v>638</v>
      </c>
      <c r="I1847" s="20" t="s">
        <v>1582</v>
      </c>
      <c r="J1847" s="20" t="s">
        <v>143</v>
      </c>
      <c r="K1847" s="20" t="s">
        <v>167</v>
      </c>
      <c r="Q1847" s="20">
        <v>10065.0</v>
      </c>
      <c r="R1847" s="20" t="s">
        <v>6311</v>
      </c>
      <c r="S1847" s="20" t="s">
        <v>6310</v>
      </c>
      <c r="T1847" s="20" t="s">
        <v>138</v>
      </c>
    </row>
    <row r="1848" ht="14.25" customHeight="1">
      <c r="A1848" s="20" t="s">
        <v>6312</v>
      </c>
      <c r="B1848" s="20" t="s">
        <v>6313</v>
      </c>
      <c r="C1848" s="20" t="s">
        <v>235</v>
      </c>
      <c r="F1848" s="20" t="s">
        <v>15</v>
      </c>
      <c r="G1848" s="20" t="s">
        <v>142</v>
      </c>
      <c r="I1848" s="20" t="s">
        <v>105</v>
      </c>
      <c r="J1848" s="20" t="s">
        <v>143</v>
      </c>
      <c r="Q1848" s="20">
        <v>8594.0</v>
      </c>
      <c r="R1848" s="20" t="s">
        <v>6314</v>
      </c>
      <c r="S1848" s="20" t="s">
        <v>6313</v>
      </c>
      <c r="T1848" s="20" t="s">
        <v>138</v>
      </c>
    </row>
    <row r="1849" ht="14.25" customHeight="1">
      <c r="A1849" s="20" t="s">
        <v>6315</v>
      </c>
      <c r="B1849" s="20" t="s">
        <v>6316</v>
      </c>
      <c r="C1849" s="20" t="s">
        <v>1505</v>
      </c>
      <c r="F1849" s="20" t="s">
        <v>15</v>
      </c>
      <c r="G1849" s="20" t="s">
        <v>135</v>
      </c>
      <c r="I1849" s="20" t="s">
        <v>98</v>
      </c>
      <c r="J1849" s="20" t="s">
        <v>186</v>
      </c>
      <c r="K1849" s="20" t="s">
        <v>213</v>
      </c>
      <c r="Q1849" s="20">
        <v>917.0</v>
      </c>
      <c r="R1849" s="20" t="s">
        <v>6317</v>
      </c>
      <c r="S1849" s="20" t="s">
        <v>6316</v>
      </c>
      <c r="T1849" s="20" t="s">
        <v>138</v>
      </c>
    </row>
    <row r="1850" ht="14.25" customHeight="1">
      <c r="A1850" s="20" t="s">
        <v>6318</v>
      </c>
      <c r="B1850" s="20" t="s">
        <v>6319</v>
      </c>
      <c r="C1850" s="20" t="s">
        <v>1505</v>
      </c>
      <c r="F1850" s="20" t="s">
        <v>15</v>
      </c>
      <c r="G1850" s="20" t="s">
        <v>135</v>
      </c>
      <c r="I1850" s="20" t="s">
        <v>96</v>
      </c>
      <c r="J1850" s="20" t="s">
        <v>136</v>
      </c>
      <c r="Q1850" s="20">
        <v>15042.0</v>
      </c>
      <c r="R1850" s="20" t="s">
        <v>6320</v>
      </c>
      <c r="S1850" s="20" t="s">
        <v>6319</v>
      </c>
      <c r="T1850" s="20" t="s">
        <v>138</v>
      </c>
    </row>
    <row r="1851" ht="14.25" customHeight="1">
      <c r="A1851" s="20" t="s">
        <v>6321</v>
      </c>
      <c r="B1851" s="20" t="s">
        <v>6322</v>
      </c>
      <c r="C1851" s="20" t="s">
        <v>364</v>
      </c>
      <c r="F1851" s="20" t="s">
        <v>218</v>
      </c>
      <c r="G1851" s="20" t="s">
        <v>219</v>
      </c>
      <c r="I1851" s="20" t="s">
        <v>365</v>
      </c>
      <c r="J1851" s="20" t="s">
        <v>186</v>
      </c>
      <c r="Q1851" s="20">
        <v>13651.0</v>
      </c>
      <c r="R1851" s="20" t="s">
        <v>6323</v>
      </c>
      <c r="S1851" s="20" t="s">
        <v>6322</v>
      </c>
      <c r="T1851" s="20" t="s">
        <v>138</v>
      </c>
    </row>
    <row r="1852" ht="14.25" customHeight="1">
      <c r="A1852" s="20" t="s">
        <v>6324</v>
      </c>
      <c r="B1852" s="20" t="s">
        <v>6325</v>
      </c>
      <c r="C1852" s="20" t="s">
        <v>1961</v>
      </c>
      <c r="F1852" s="20" t="s">
        <v>16</v>
      </c>
      <c r="G1852" s="20" t="s">
        <v>211</v>
      </c>
      <c r="H1852" s="20">
        <v>17912.0</v>
      </c>
      <c r="I1852" s="20" t="s">
        <v>1931</v>
      </c>
      <c r="J1852" s="20" t="s">
        <v>186</v>
      </c>
      <c r="L1852" s="20" t="s">
        <v>1931</v>
      </c>
      <c r="Q1852" s="20">
        <v>972.0</v>
      </c>
      <c r="R1852" s="20" t="s">
        <v>6326</v>
      </c>
      <c r="S1852" s="20" t="s">
        <v>6325</v>
      </c>
      <c r="T1852" s="20" t="s">
        <v>138</v>
      </c>
    </row>
    <row r="1853" ht="14.25" customHeight="1">
      <c r="A1853" s="20" t="s">
        <v>6327</v>
      </c>
      <c r="B1853" s="20" t="s">
        <v>6328</v>
      </c>
      <c r="C1853" s="20" t="s">
        <v>1126</v>
      </c>
      <c r="F1853" s="20" t="s">
        <v>15</v>
      </c>
      <c r="G1853" s="20" t="s">
        <v>135</v>
      </c>
      <c r="I1853" s="20" t="s">
        <v>107</v>
      </c>
      <c r="J1853" s="20" t="s">
        <v>186</v>
      </c>
      <c r="Q1853" s="20">
        <v>1954.0</v>
      </c>
      <c r="R1853" s="20" t="s">
        <v>6329</v>
      </c>
      <c r="S1853" s="20" t="s">
        <v>6328</v>
      </c>
      <c r="T1853" s="20" t="s">
        <v>138</v>
      </c>
    </row>
    <row r="1854" ht="14.25" customHeight="1">
      <c r="A1854" s="20" t="s">
        <v>6330</v>
      </c>
      <c r="B1854" s="20" t="s">
        <v>6331</v>
      </c>
      <c r="C1854" s="20" t="s">
        <v>149</v>
      </c>
      <c r="F1854" s="20" t="s">
        <v>150</v>
      </c>
      <c r="G1854" s="20" t="s">
        <v>150</v>
      </c>
      <c r="I1854" s="20" t="s">
        <v>151</v>
      </c>
      <c r="J1854" s="20" t="s">
        <v>143</v>
      </c>
      <c r="Q1854" s="20">
        <v>932.0</v>
      </c>
      <c r="R1854" s="20" t="s">
        <v>6332</v>
      </c>
      <c r="S1854" s="20" t="s">
        <v>6331</v>
      </c>
      <c r="T1854" s="20" t="s">
        <v>138</v>
      </c>
    </row>
    <row r="1855" ht="14.25" customHeight="1">
      <c r="A1855" s="20" t="s">
        <v>6333</v>
      </c>
      <c r="B1855" s="20" t="s">
        <v>6334</v>
      </c>
      <c r="C1855" s="20" t="s">
        <v>193</v>
      </c>
      <c r="F1855" s="20" t="s">
        <v>150</v>
      </c>
      <c r="G1855" s="20" t="s">
        <v>150</v>
      </c>
      <c r="I1855" s="20" t="s">
        <v>151</v>
      </c>
      <c r="J1855" s="20" t="s">
        <v>143</v>
      </c>
      <c r="Q1855" s="20">
        <v>9502.0</v>
      </c>
      <c r="R1855" s="20" t="s">
        <v>6335</v>
      </c>
      <c r="S1855" s="20" t="s">
        <v>6334</v>
      </c>
      <c r="T1855" s="20" t="s">
        <v>138</v>
      </c>
    </row>
    <row r="1856" ht="14.25" customHeight="1">
      <c r="A1856" s="20" t="s">
        <v>6336</v>
      </c>
      <c r="B1856" s="20" t="s">
        <v>6337</v>
      </c>
      <c r="C1856" s="20" t="s">
        <v>6338</v>
      </c>
      <c r="F1856" s="20" t="s">
        <v>327</v>
      </c>
      <c r="H1856" s="20">
        <v>18058.0</v>
      </c>
      <c r="I1856" s="20" t="s">
        <v>1201</v>
      </c>
      <c r="J1856" s="20" t="s">
        <v>143</v>
      </c>
      <c r="K1856" s="20" t="s">
        <v>187</v>
      </c>
      <c r="L1856" s="20" t="s">
        <v>1201</v>
      </c>
      <c r="P1856" s="20" t="s">
        <v>6337</v>
      </c>
      <c r="Q1856" s="20">
        <v>18058.0</v>
      </c>
      <c r="R1856" s="20" t="s">
        <v>6339</v>
      </c>
      <c r="S1856" s="20" t="s">
        <v>6337</v>
      </c>
      <c r="T1856" s="20" t="s">
        <v>138</v>
      </c>
      <c r="X1856" s="20" t="s">
        <v>1868</v>
      </c>
    </row>
    <row r="1857" ht="14.25" customHeight="1">
      <c r="A1857" s="20" t="s">
        <v>6340</v>
      </c>
      <c r="B1857" s="20" t="s">
        <v>6341</v>
      </c>
      <c r="C1857" s="20" t="s">
        <v>197</v>
      </c>
      <c r="F1857" s="20" t="s">
        <v>150</v>
      </c>
      <c r="G1857" s="20" t="s">
        <v>150</v>
      </c>
      <c r="I1857" s="20" t="s">
        <v>151</v>
      </c>
      <c r="J1857" s="20" t="s">
        <v>143</v>
      </c>
      <c r="Q1857" s="20">
        <v>7861.0</v>
      </c>
      <c r="R1857" s="20" t="s">
        <v>6342</v>
      </c>
      <c r="S1857" s="20" t="s">
        <v>6341</v>
      </c>
      <c r="T1857" s="20" t="s">
        <v>138</v>
      </c>
    </row>
    <row r="1858" ht="14.25" customHeight="1">
      <c r="A1858" s="20" t="s">
        <v>6343</v>
      </c>
      <c r="B1858" s="20" t="s">
        <v>6344</v>
      </c>
      <c r="C1858" s="20" t="s">
        <v>4479</v>
      </c>
      <c r="F1858" s="20" t="s">
        <v>16</v>
      </c>
      <c r="G1858" s="20" t="s">
        <v>211</v>
      </c>
      <c r="I1858" s="20" t="s">
        <v>4480</v>
      </c>
      <c r="J1858" s="20" t="s">
        <v>186</v>
      </c>
      <c r="K1858" s="20" t="s">
        <v>213</v>
      </c>
      <c r="Q1858" s="20">
        <v>1912.0</v>
      </c>
      <c r="R1858" s="20" t="s">
        <v>6345</v>
      </c>
      <c r="S1858" s="20" t="s">
        <v>6344</v>
      </c>
      <c r="T1858" s="20" t="s">
        <v>138</v>
      </c>
    </row>
    <row r="1859" ht="14.25" customHeight="1">
      <c r="A1859" s="20" t="s">
        <v>6346</v>
      </c>
      <c r="B1859" s="20" t="s">
        <v>6347</v>
      </c>
      <c r="C1859" s="20" t="s">
        <v>818</v>
      </c>
      <c r="F1859" s="20" t="s">
        <v>17</v>
      </c>
      <c r="G1859" s="20" t="s">
        <v>17</v>
      </c>
      <c r="I1859" s="20" t="s">
        <v>88</v>
      </c>
      <c r="J1859" s="20" t="s">
        <v>143</v>
      </c>
      <c r="K1859" s="20" t="s">
        <v>167</v>
      </c>
      <c r="Q1859" s="20">
        <v>974.0</v>
      </c>
      <c r="R1859" s="20" t="s">
        <v>6348</v>
      </c>
      <c r="S1859" s="20" t="s">
        <v>6347</v>
      </c>
      <c r="T1859" s="20" t="s">
        <v>138</v>
      </c>
    </row>
    <row r="1860" ht="14.25" customHeight="1">
      <c r="A1860" s="20" t="s">
        <v>6349</v>
      </c>
      <c r="B1860" s="20" t="s">
        <v>6350</v>
      </c>
      <c r="C1860" s="20" t="s">
        <v>806</v>
      </c>
      <c r="F1860" s="20" t="s">
        <v>15</v>
      </c>
      <c r="G1860" s="20" t="s">
        <v>142</v>
      </c>
      <c r="I1860" s="20" t="s">
        <v>105</v>
      </c>
      <c r="J1860" s="20" t="s">
        <v>143</v>
      </c>
      <c r="Q1860" s="20">
        <v>12119.0</v>
      </c>
      <c r="R1860" s="20" t="s">
        <v>6351</v>
      </c>
      <c r="S1860" s="20" t="s">
        <v>6350</v>
      </c>
      <c r="T1860" s="20" t="s">
        <v>138</v>
      </c>
      <c r="W1860" s="20" t="s">
        <v>146</v>
      </c>
    </row>
    <row r="1861" ht="14.25" customHeight="1">
      <c r="A1861" s="20" t="s">
        <v>6352</v>
      </c>
      <c r="B1861" s="20" t="s">
        <v>6353</v>
      </c>
      <c r="C1861" s="20" t="s">
        <v>149</v>
      </c>
      <c r="F1861" s="20" t="s">
        <v>150</v>
      </c>
      <c r="G1861" s="20" t="s">
        <v>150</v>
      </c>
      <c r="I1861" s="20" t="s">
        <v>151</v>
      </c>
      <c r="J1861" s="20" t="s">
        <v>143</v>
      </c>
      <c r="Q1861" s="20">
        <v>3404.0</v>
      </c>
      <c r="R1861" s="20" t="s">
        <v>6354</v>
      </c>
      <c r="S1861" s="20" t="s">
        <v>6353</v>
      </c>
      <c r="T1861" s="20" t="s">
        <v>138</v>
      </c>
    </row>
    <row r="1862" ht="14.25" customHeight="1">
      <c r="A1862" s="20" t="s">
        <v>6355</v>
      </c>
      <c r="B1862" s="20" t="s">
        <v>6356</v>
      </c>
      <c r="C1862" s="20" t="s">
        <v>289</v>
      </c>
      <c r="F1862" s="20" t="s">
        <v>150</v>
      </c>
      <c r="G1862" s="20" t="s">
        <v>150</v>
      </c>
      <c r="I1862" s="20" t="s">
        <v>151</v>
      </c>
      <c r="J1862" s="20" t="s">
        <v>143</v>
      </c>
      <c r="K1862" s="20" t="s">
        <v>167</v>
      </c>
      <c r="Q1862" s="20">
        <v>2649.0</v>
      </c>
      <c r="R1862" s="20" t="s">
        <v>6357</v>
      </c>
      <c r="S1862" s="20" t="s">
        <v>6356</v>
      </c>
      <c r="T1862" s="20" t="s">
        <v>138</v>
      </c>
    </row>
    <row r="1863" ht="14.25" customHeight="1">
      <c r="A1863" s="20" t="s">
        <v>6358</v>
      </c>
      <c r="B1863" s="20" t="s">
        <v>6359</v>
      </c>
      <c r="C1863" s="20" t="s">
        <v>149</v>
      </c>
      <c r="F1863" s="20" t="s">
        <v>150</v>
      </c>
      <c r="G1863" s="20" t="s">
        <v>150</v>
      </c>
      <c r="I1863" s="20" t="s">
        <v>151</v>
      </c>
      <c r="J1863" s="20" t="s">
        <v>143</v>
      </c>
      <c r="Q1863" s="20">
        <v>15815.0</v>
      </c>
      <c r="R1863" s="20" t="s">
        <v>6360</v>
      </c>
      <c r="S1863" s="20" t="s">
        <v>6359</v>
      </c>
      <c r="T1863" s="20" t="s">
        <v>138</v>
      </c>
    </row>
    <row r="1864" ht="14.25" customHeight="1">
      <c r="A1864" s="20" t="s">
        <v>6361</v>
      </c>
      <c r="B1864" s="20" t="s">
        <v>6362</v>
      </c>
      <c r="C1864" s="20" t="s">
        <v>235</v>
      </c>
      <c r="F1864" s="20" t="s">
        <v>15</v>
      </c>
      <c r="G1864" s="20" t="s">
        <v>142</v>
      </c>
      <c r="I1864" s="20" t="s">
        <v>105</v>
      </c>
      <c r="J1864" s="20" t="s">
        <v>143</v>
      </c>
      <c r="Q1864" s="20">
        <v>8968.0</v>
      </c>
      <c r="R1864" s="20" t="s">
        <v>6363</v>
      </c>
      <c r="S1864" s="20" t="s">
        <v>6362</v>
      </c>
      <c r="T1864" s="20" t="s">
        <v>138</v>
      </c>
    </row>
    <row r="1865" ht="14.25" customHeight="1">
      <c r="A1865" s="20" t="s">
        <v>6364</v>
      </c>
      <c r="B1865" s="20" t="s">
        <v>6365</v>
      </c>
      <c r="C1865" s="20" t="s">
        <v>801</v>
      </c>
      <c r="F1865" s="20" t="s">
        <v>218</v>
      </c>
      <c r="G1865" s="20" t="s">
        <v>219</v>
      </c>
      <c r="I1865" s="20" t="s">
        <v>802</v>
      </c>
      <c r="J1865" s="20" t="s">
        <v>186</v>
      </c>
      <c r="Q1865" s="20">
        <v>6469.0</v>
      </c>
      <c r="R1865" s="20" t="s">
        <v>6366</v>
      </c>
      <c r="S1865" s="20" t="s">
        <v>6365</v>
      </c>
      <c r="T1865" s="20" t="s">
        <v>138</v>
      </c>
    </row>
    <row r="1866" ht="14.25" customHeight="1">
      <c r="A1866" s="20" t="s">
        <v>6367</v>
      </c>
      <c r="B1866" s="20" t="s">
        <v>6368</v>
      </c>
      <c r="C1866" s="20" t="s">
        <v>5704</v>
      </c>
      <c r="F1866" s="20" t="s">
        <v>15</v>
      </c>
      <c r="G1866" s="20" t="s">
        <v>135</v>
      </c>
      <c r="H1866" s="20">
        <v>7621.0</v>
      </c>
      <c r="I1866" s="20" t="s">
        <v>106</v>
      </c>
      <c r="J1866" s="20" t="s">
        <v>186</v>
      </c>
      <c r="K1866" s="20" t="s">
        <v>213</v>
      </c>
      <c r="P1866" s="20" t="s">
        <v>6368</v>
      </c>
      <c r="Q1866" s="20">
        <v>7621.0</v>
      </c>
      <c r="R1866" s="20" t="s">
        <v>6369</v>
      </c>
      <c r="S1866" s="20" t="s">
        <v>6368</v>
      </c>
      <c r="T1866" s="20" t="s">
        <v>138</v>
      </c>
      <c r="X1866" s="20" t="s">
        <v>1292</v>
      </c>
    </row>
    <row r="1867" ht="14.25" customHeight="1">
      <c r="A1867" s="20" t="s">
        <v>6370</v>
      </c>
      <c r="B1867" s="20" t="s">
        <v>6371</v>
      </c>
      <c r="C1867" s="20" t="s">
        <v>1420</v>
      </c>
      <c r="F1867" s="20" t="s">
        <v>17</v>
      </c>
      <c r="G1867" s="20" t="s">
        <v>17</v>
      </c>
      <c r="I1867" s="20" t="s">
        <v>88</v>
      </c>
      <c r="J1867" s="20" t="s">
        <v>186</v>
      </c>
      <c r="K1867" s="20" t="s">
        <v>213</v>
      </c>
      <c r="Q1867" s="20">
        <v>533.0</v>
      </c>
      <c r="R1867" s="20" t="s">
        <v>6372</v>
      </c>
      <c r="S1867" s="20" t="s">
        <v>6373</v>
      </c>
      <c r="T1867" s="20" t="s">
        <v>138</v>
      </c>
      <c r="V1867" s="20" t="s">
        <v>260</v>
      </c>
      <c r="W1867" s="20" t="s">
        <v>146</v>
      </c>
    </row>
    <row r="1868" ht="14.25" customHeight="1">
      <c r="A1868" s="20" t="s">
        <v>6374</v>
      </c>
      <c r="B1868" s="20" t="s">
        <v>6375</v>
      </c>
      <c r="C1868" s="20" t="s">
        <v>818</v>
      </c>
      <c r="F1868" s="20" t="s">
        <v>17</v>
      </c>
      <c r="G1868" s="20" t="s">
        <v>17</v>
      </c>
      <c r="I1868" s="20" t="s">
        <v>88</v>
      </c>
      <c r="J1868" s="20" t="s">
        <v>143</v>
      </c>
      <c r="Q1868" s="20">
        <v>603.0</v>
      </c>
      <c r="R1868" s="20" t="s">
        <v>6376</v>
      </c>
      <c r="S1868" s="20" t="s">
        <v>6377</v>
      </c>
      <c r="T1868" s="20" t="s">
        <v>138</v>
      </c>
    </row>
    <row r="1869" ht="14.25" customHeight="1">
      <c r="A1869" s="20" t="s">
        <v>6378</v>
      </c>
      <c r="B1869" s="20" t="s">
        <v>6379</v>
      </c>
      <c r="C1869" s="20" t="s">
        <v>818</v>
      </c>
      <c r="F1869" s="20" t="s">
        <v>17</v>
      </c>
      <c r="G1869" s="20" t="s">
        <v>17</v>
      </c>
      <c r="I1869" s="20" t="s">
        <v>88</v>
      </c>
      <c r="J1869" s="20" t="s">
        <v>143</v>
      </c>
      <c r="K1869" s="20" t="s">
        <v>167</v>
      </c>
      <c r="Q1869" s="20">
        <v>2147.0</v>
      </c>
      <c r="R1869" s="20" t="s">
        <v>6380</v>
      </c>
      <c r="S1869" s="20" t="s">
        <v>6379</v>
      </c>
      <c r="T1869" s="20" t="s">
        <v>138</v>
      </c>
    </row>
    <row r="1870" ht="14.25" customHeight="1">
      <c r="A1870" s="20" t="s">
        <v>6381</v>
      </c>
      <c r="B1870" s="20" t="s">
        <v>6382</v>
      </c>
      <c r="C1870" s="20" t="s">
        <v>3157</v>
      </c>
      <c r="F1870" s="20" t="s">
        <v>17</v>
      </c>
      <c r="G1870" s="20" t="s">
        <v>17</v>
      </c>
      <c r="I1870" s="20" t="s">
        <v>88</v>
      </c>
      <c r="J1870" s="20" t="s">
        <v>143</v>
      </c>
      <c r="K1870" s="20" t="s">
        <v>167</v>
      </c>
      <c r="Q1870" s="20">
        <v>803.0</v>
      </c>
      <c r="R1870" s="20" t="s">
        <v>6383</v>
      </c>
      <c r="S1870" s="20" t="s">
        <v>6382</v>
      </c>
      <c r="T1870" s="20" t="s">
        <v>138</v>
      </c>
      <c r="W1870" s="20" t="s">
        <v>146</v>
      </c>
    </row>
    <row r="1871" ht="14.25" customHeight="1">
      <c r="A1871" s="20" t="s">
        <v>6384</v>
      </c>
      <c r="B1871" s="20" t="s">
        <v>6385</v>
      </c>
      <c r="C1871" s="20" t="s">
        <v>818</v>
      </c>
      <c r="F1871" s="20" t="s">
        <v>17</v>
      </c>
      <c r="G1871" s="20" t="s">
        <v>17</v>
      </c>
      <c r="I1871" s="20" t="s">
        <v>88</v>
      </c>
      <c r="J1871" s="20" t="s">
        <v>143</v>
      </c>
      <c r="Q1871" s="20">
        <v>804.0</v>
      </c>
      <c r="R1871" s="20" t="s">
        <v>6386</v>
      </c>
      <c r="S1871" s="20" t="s">
        <v>6385</v>
      </c>
      <c r="T1871" s="20" t="s">
        <v>138</v>
      </c>
    </row>
    <row r="1872" ht="14.25" customHeight="1">
      <c r="A1872" s="20" t="s">
        <v>6387</v>
      </c>
      <c r="B1872" s="20" t="s">
        <v>6388</v>
      </c>
      <c r="C1872" s="20" t="s">
        <v>6389</v>
      </c>
      <c r="F1872" s="20" t="s">
        <v>15</v>
      </c>
      <c r="G1872" s="20" t="s">
        <v>135</v>
      </c>
      <c r="H1872" s="20">
        <v>16149.0</v>
      </c>
      <c r="I1872" s="20" t="s">
        <v>93</v>
      </c>
      <c r="J1872" s="20" t="s">
        <v>186</v>
      </c>
      <c r="Q1872" s="20">
        <v>16149.0</v>
      </c>
      <c r="R1872" s="20" t="s">
        <v>6390</v>
      </c>
      <c r="S1872" s="20" t="s">
        <v>6388</v>
      </c>
      <c r="T1872" s="20" t="s">
        <v>138</v>
      </c>
    </row>
    <row r="1873" ht="14.25" customHeight="1">
      <c r="A1873" s="20" t="s">
        <v>6391</v>
      </c>
      <c r="B1873" s="20" t="s">
        <v>6392</v>
      </c>
      <c r="C1873" s="20" t="s">
        <v>6393</v>
      </c>
      <c r="F1873" s="20" t="s">
        <v>16</v>
      </c>
      <c r="G1873" s="20" t="s">
        <v>202</v>
      </c>
      <c r="I1873" s="20" t="s">
        <v>87</v>
      </c>
      <c r="J1873" s="20" t="s">
        <v>143</v>
      </c>
      <c r="K1873" s="20" t="s">
        <v>187</v>
      </c>
      <c r="Q1873" s="20">
        <v>3449.0</v>
      </c>
      <c r="R1873" s="20" t="s">
        <v>6394</v>
      </c>
      <c r="S1873" s="20" t="s">
        <v>6395</v>
      </c>
      <c r="T1873" s="20" t="s">
        <v>138</v>
      </c>
      <c r="W1873" s="20" t="s">
        <v>261</v>
      </c>
    </row>
    <row r="1874" ht="14.25" customHeight="1">
      <c r="A1874" s="20" t="s">
        <v>6396</v>
      </c>
      <c r="B1874" s="20" t="s">
        <v>6397</v>
      </c>
      <c r="C1874" s="20" t="s">
        <v>1676</v>
      </c>
      <c r="F1874" s="20" t="s">
        <v>16</v>
      </c>
      <c r="G1874" s="20" t="s">
        <v>202</v>
      </c>
      <c r="I1874" s="20" t="s">
        <v>203</v>
      </c>
      <c r="J1874" s="20" t="s">
        <v>143</v>
      </c>
      <c r="K1874" s="20" t="s">
        <v>167</v>
      </c>
      <c r="Q1874" s="20">
        <v>951.0</v>
      </c>
      <c r="R1874" s="20" t="s">
        <v>6398</v>
      </c>
      <c r="S1874" s="20" t="s">
        <v>6397</v>
      </c>
      <c r="T1874" s="20" t="s">
        <v>138</v>
      </c>
    </row>
    <row r="1875" ht="14.25" customHeight="1">
      <c r="A1875" s="20" t="s">
        <v>6399</v>
      </c>
      <c r="B1875" s="20" t="s">
        <v>6400</v>
      </c>
      <c r="C1875" s="20" t="s">
        <v>950</v>
      </c>
      <c r="F1875" s="20" t="s">
        <v>15</v>
      </c>
      <c r="G1875" s="20" t="s">
        <v>135</v>
      </c>
      <c r="I1875" s="20" t="s">
        <v>100</v>
      </c>
      <c r="J1875" s="20" t="s">
        <v>186</v>
      </c>
      <c r="K1875" s="20" t="s">
        <v>167</v>
      </c>
      <c r="Q1875" s="20">
        <v>6489.0</v>
      </c>
      <c r="R1875" s="20" t="s">
        <v>6401</v>
      </c>
      <c r="S1875" s="20" t="s">
        <v>6400</v>
      </c>
      <c r="T1875" s="20" t="s">
        <v>138</v>
      </c>
      <c r="W1875" s="20" t="s">
        <v>261</v>
      </c>
    </row>
    <row r="1876" ht="14.25" customHeight="1">
      <c r="A1876" s="20" t="s">
        <v>6402</v>
      </c>
      <c r="B1876" s="20" t="s">
        <v>6403</v>
      </c>
      <c r="C1876" s="20" t="s">
        <v>4800</v>
      </c>
      <c r="F1876" s="20" t="s">
        <v>327</v>
      </c>
      <c r="G1876" s="20" t="s">
        <v>395</v>
      </c>
      <c r="I1876" s="20" t="s">
        <v>4801</v>
      </c>
      <c r="J1876" s="20" t="s">
        <v>186</v>
      </c>
      <c r="K1876" s="20" t="s">
        <v>167</v>
      </c>
      <c r="L1876" s="20" t="s">
        <v>4801</v>
      </c>
      <c r="Q1876" s="20">
        <v>4494.0</v>
      </c>
      <c r="R1876" s="20" t="s">
        <v>6404</v>
      </c>
      <c r="S1876" s="20" t="s">
        <v>6403</v>
      </c>
      <c r="T1876" s="20" t="s">
        <v>138</v>
      </c>
    </row>
    <row r="1877" ht="14.25" customHeight="1">
      <c r="A1877" s="20" t="s">
        <v>6405</v>
      </c>
      <c r="B1877" s="20" t="s">
        <v>6406</v>
      </c>
      <c r="C1877" s="20" t="s">
        <v>818</v>
      </c>
      <c r="F1877" s="20" t="s">
        <v>17</v>
      </c>
      <c r="G1877" s="20" t="s">
        <v>17</v>
      </c>
      <c r="I1877" s="20" t="s">
        <v>88</v>
      </c>
      <c r="J1877" s="20" t="s">
        <v>143</v>
      </c>
      <c r="K1877" s="20" t="s">
        <v>167</v>
      </c>
      <c r="Q1877" s="20">
        <v>3501.0</v>
      </c>
      <c r="R1877" s="20" t="s">
        <v>6407</v>
      </c>
      <c r="S1877" s="20" t="s">
        <v>6406</v>
      </c>
      <c r="T1877" s="20" t="s">
        <v>138</v>
      </c>
    </row>
    <row r="1878" ht="14.25" customHeight="1">
      <c r="A1878" s="20" t="s">
        <v>6408</v>
      </c>
      <c r="B1878" s="20" t="s">
        <v>6409</v>
      </c>
      <c r="C1878" s="20" t="s">
        <v>651</v>
      </c>
      <c r="F1878" s="20" t="s">
        <v>327</v>
      </c>
      <c r="G1878" s="20" t="s">
        <v>395</v>
      </c>
      <c r="I1878" s="20" t="s">
        <v>6410</v>
      </c>
      <c r="J1878" s="20" t="s">
        <v>186</v>
      </c>
      <c r="K1878" s="20" t="s">
        <v>167</v>
      </c>
      <c r="Q1878" s="20">
        <v>6848.0</v>
      </c>
      <c r="R1878" s="20" t="s">
        <v>6411</v>
      </c>
      <c r="S1878" s="20" t="s">
        <v>6409</v>
      </c>
      <c r="T1878" s="20" t="s">
        <v>138</v>
      </c>
      <c r="V1878" s="20" t="s">
        <v>260</v>
      </c>
      <c r="W1878" s="20" t="s">
        <v>146</v>
      </c>
    </row>
    <row r="1879" ht="14.25" customHeight="1">
      <c r="A1879" s="20" t="s">
        <v>6412</v>
      </c>
      <c r="B1879" s="20" t="s">
        <v>6413</v>
      </c>
      <c r="C1879" s="20" t="s">
        <v>163</v>
      </c>
      <c r="F1879" s="20" t="s">
        <v>150</v>
      </c>
      <c r="G1879" s="20" t="s">
        <v>150</v>
      </c>
      <c r="I1879" s="20" t="s">
        <v>151</v>
      </c>
      <c r="J1879" s="20" t="s">
        <v>143</v>
      </c>
      <c r="Q1879" s="20">
        <v>1358.0</v>
      </c>
      <c r="R1879" s="20" t="s">
        <v>6414</v>
      </c>
      <c r="S1879" s="20" t="s">
        <v>6413</v>
      </c>
      <c r="T1879" s="20" t="s">
        <v>138</v>
      </c>
    </row>
    <row r="1880" ht="14.25" customHeight="1">
      <c r="A1880" s="20" t="s">
        <v>6415</v>
      </c>
      <c r="B1880" s="20" t="s">
        <v>6416</v>
      </c>
      <c r="C1880" s="20" t="s">
        <v>6417</v>
      </c>
      <c r="F1880" s="20" t="s">
        <v>218</v>
      </c>
      <c r="G1880" s="20" t="s">
        <v>219</v>
      </c>
      <c r="H1880" s="20">
        <v>6326.0</v>
      </c>
      <c r="I1880" s="20" t="s">
        <v>360</v>
      </c>
      <c r="J1880" s="20" t="s">
        <v>143</v>
      </c>
      <c r="P1880" s="20" t="s">
        <v>6416</v>
      </c>
      <c r="Q1880" s="20">
        <v>6326.0</v>
      </c>
      <c r="R1880" s="20" t="s">
        <v>6418</v>
      </c>
      <c r="S1880" s="20" t="s">
        <v>6419</v>
      </c>
      <c r="T1880" s="20" t="s">
        <v>138</v>
      </c>
      <c r="X1880" s="20" t="s">
        <v>1292</v>
      </c>
    </row>
    <row r="1881" ht="14.25" customHeight="1">
      <c r="A1881" s="20" t="s">
        <v>6420</v>
      </c>
      <c r="B1881" s="20" t="s">
        <v>6421</v>
      </c>
      <c r="C1881" s="20" t="s">
        <v>651</v>
      </c>
      <c r="F1881" s="20" t="s">
        <v>327</v>
      </c>
      <c r="G1881" s="20" t="s">
        <v>395</v>
      </c>
      <c r="I1881" s="20" t="s">
        <v>6422</v>
      </c>
      <c r="J1881" s="20" t="s">
        <v>186</v>
      </c>
      <c r="Q1881" s="20">
        <v>5685.0</v>
      </c>
      <c r="R1881" s="20" t="s">
        <v>6423</v>
      </c>
      <c r="S1881" s="20" t="s">
        <v>6424</v>
      </c>
      <c r="T1881" s="20" t="s">
        <v>138</v>
      </c>
    </row>
    <row r="1882" ht="14.25" customHeight="1">
      <c r="A1882" s="20" t="s">
        <v>6425</v>
      </c>
      <c r="B1882" s="20" t="s">
        <v>6426</v>
      </c>
      <c r="C1882" s="20" t="s">
        <v>2565</v>
      </c>
      <c r="F1882" s="20" t="s">
        <v>327</v>
      </c>
      <c r="G1882" s="20" t="s">
        <v>385</v>
      </c>
      <c r="I1882" s="20" t="s">
        <v>598</v>
      </c>
      <c r="J1882" s="20" t="s">
        <v>143</v>
      </c>
      <c r="Q1882" s="20">
        <v>9855.0</v>
      </c>
      <c r="R1882" s="20" t="s">
        <v>6427</v>
      </c>
      <c r="S1882" s="20" t="s">
        <v>6426</v>
      </c>
      <c r="T1882" s="20" t="s">
        <v>138</v>
      </c>
      <c r="W1882" s="20" t="s">
        <v>146</v>
      </c>
    </row>
    <row r="1883" ht="14.25" customHeight="1">
      <c r="A1883" s="20" t="s">
        <v>6428</v>
      </c>
      <c r="B1883" s="20" t="s">
        <v>6429</v>
      </c>
      <c r="C1883" s="20" t="s">
        <v>651</v>
      </c>
      <c r="F1883" s="20" t="s">
        <v>327</v>
      </c>
      <c r="G1883" s="20" t="s">
        <v>395</v>
      </c>
      <c r="I1883" s="20" t="s">
        <v>6430</v>
      </c>
      <c r="J1883" s="20" t="s">
        <v>143</v>
      </c>
      <c r="Q1883" s="20">
        <v>16264.0</v>
      </c>
      <c r="R1883" s="20" t="s">
        <v>6431</v>
      </c>
      <c r="S1883" s="20" t="s">
        <v>6429</v>
      </c>
      <c r="T1883" s="20" t="s">
        <v>138</v>
      </c>
    </row>
    <row r="1884" ht="14.25" customHeight="1">
      <c r="A1884" s="20" t="s">
        <v>6432</v>
      </c>
      <c r="B1884" s="20" t="s">
        <v>6433</v>
      </c>
      <c r="C1884" s="20" t="s">
        <v>5769</v>
      </c>
      <c r="F1884" s="20" t="s">
        <v>16</v>
      </c>
      <c r="G1884" s="20" t="s">
        <v>638</v>
      </c>
      <c r="I1884" s="20" t="s">
        <v>1582</v>
      </c>
      <c r="J1884" s="20" t="s">
        <v>186</v>
      </c>
      <c r="K1884" s="20" t="s">
        <v>187</v>
      </c>
      <c r="Q1884" s="20">
        <v>2811.0</v>
      </c>
      <c r="R1884" s="20" t="s">
        <v>6434</v>
      </c>
      <c r="S1884" s="20" t="s">
        <v>6433</v>
      </c>
      <c r="T1884" s="20" t="s">
        <v>138</v>
      </c>
      <c r="W1884" s="20" t="s">
        <v>190</v>
      </c>
    </row>
    <row r="1885" ht="14.25" customHeight="1">
      <c r="A1885" s="20" t="s">
        <v>6435</v>
      </c>
      <c r="B1885" s="20" t="s">
        <v>6436</v>
      </c>
      <c r="C1885" s="20" t="s">
        <v>6437</v>
      </c>
      <c r="F1885" s="20" t="s">
        <v>17</v>
      </c>
      <c r="G1885" s="20" t="s">
        <v>17</v>
      </c>
      <c r="I1885" s="20" t="s">
        <v>88</v>
      </c>
      <c r="J1885" s="20" t="s">
        <v>143</v>
      </c>
      <c r="Q1885" s="20">
        <v>1783.0</v>
      </c>
      <c r="R1885" s="20" t="s">
        <v>6438</v>
      </c>
      <c r="S1885" s="20" t="s">
        <v>6436</v>
      </c>
      <c r="T1885" s="20" t="s">
        <v>138</v>
      </c>
      <c r="W1885" s="20" t="s">
        <v>146</v>
      </c>
    </row>
    <row r="1886" ht="14.25" customHeight="1">
      <c r="A1886" s="20" t="s">
        <v>6439</v>
      </c>
      <c r="B1886" s="20" t="s">
        <v>6440</v>
      </c>
      <c r="C1886" s="20" t="s">
        <v>1740</v>
      </c>
      <c r="F1886" s="20" t="s">
        <v>16</v>
      </c>
      <c r="G1886" s="20" t="s">
        <v>638</v>
      </c>
      <c r="I1886" s="20" t="s">
        <v>814</v>
      </c>
      <c r="J1886" s="20" t="s">
        <v>143</v>
      </c>
      <c r="Q1886" s="20">
        <v>15766.0</v>
      </c>
      <c r="R1886" s="20" t="s">
        <v>6441</v>
      </c>
      <c r="S1886" s="20" t="s">
        <v>6440</v>
      </c>
      <c r="T1886" s="20" t="s">
        <v>138</v>
      </c>
    </row>
    <row r="1887" ht="14.25" customHeight="1">
      <c r="A1887" s="20" t="s">
        <v>6442</v>
      </c>
      <c r="B1887" s="20" t="s">
        <v>6443</v>
      </c>
      <c r="C1887" s="20" t="s">
        <v>163</v>
      </c>
      <c r="F1887" s="20" t="s">
        <v>150</v>
      </c>
      <c r="G1887" s="20" t="s">
        <v>150</v>
      </c>
      <c r="I1887" s="20" t="s">
        <v>151</v>
      </c>
      <c r="J1887" s="20" t="s">
        <v>143</v>
      </c>
      <c r="Q1887" s="20">
        <v>955.0</v>
      </c>
      <c r="R1887" s="20" t="s">
        <v>6444</v>
      </c>
      <c r="S1887" s="20" t="s">
        <v>6443</v>
      </c>
      <c r="T1887" s="20" t="s">
        <v>138</v>
      </c>
    </row>
    <row r="1888" ht="14.25" customHeight="1">
      <c r="A1888" s="20" t="s">
        <v>6445</v>
      </c>
      <c r="B1888" s="20" t="s">
        <v>6446</v>
      </c>
      <c r="C1888" s="20" t="s">
        <v>149</v>
      </c>
      <c r="F1888" s="20" t="s">
        <v>150</v>
      </c>
      <c r="G1888" s="20" t="s">
        <v>150</v>
      </c>
      <c r="I1888" s="20" t="s">
        <v>151</v>
      </c>
      <c r="J1888" s="20" t="s">
        <v>143</v>
      </c>
      <c r="Q1888" s="20">
        <v>14857.0</v>
      </c>
      <c r="R1888" s="20" t="s">
        <v>6447</v>
      </c>
      <c r="S1888" s="20" t="s">
        <v>6446</v>
      </c>
      <c r="T1888" s="20" t="s">
        <v>138</v>
      </c>
    </row>
    <row r="1889" ht="14.25" customHeight="1">
      <c r="A1889" s="20" t="s">
        <v>6448</v>
      </c>
      <c r="B1889" s="20" t="s">
        <v>6449</v>
      </c>
      <c r="C1889" s="20" t="s">
        <v>159</v>
      </c>
      <c r="F1889" s="20" t="s">
        <v>150</v>
      </c>
      <c r="G1889" s="20" t="s">
        <v>150</v>
      </c>
      <c r="I1889" s="20" t="s">
        <v>151</v>
      </c>
      <c r="J1889" s="20" t="s">
        <v>143</v>
      </c>
      <c r="Q1889" s="20">
        <v>953.0</v>
      </c>
      <c r="R1889" s="20" t="s">
        <v>6450</v>
      </c>
      <c r="S1889" s="20" t="s">
        <v>6449</v>
      </c>
      <c r="T1889" s="20" t="s">
        <v>138</v>
      </c>
    </row>
    <row r="1890" ht="14.25" customHeight="1">
      <c r="A1890" s="20" t="s">
        <v>6451</v>
      </c>
      <c r="B1890" s="20" t="s">
        <v>6452</v>
      </c>
      <c r="C1890" s="20" t="s">
        <v>384</v>
      </c>
      <c r="F1890" s="20" t="s">
        <v>327</v>
      </c>
      <c r="G1890" s="20" t="s">
        <v>385</v>
      </c>
      <c r="I1890" s="20" t="s">
        <v>386</v>
      </c>
      <c r="J1890" s="20" t="s">
        <v>143</v>
      </c>
      <c r="Q1890" s="20">
        <v>11680.0</v>
      </c>
      <c r="R1890" s="20" t="s">
        <v>6453</v>
      </c>
      <c r="S1890" s="20" t="s">
        <v>6452</v>
      </c>
      <c r="T1890" s="20" t="s">
        <v>138</v>
      </c>
    </row>
    <row r="1891" ht="14.25" customHeight="1">
      <c r="A1891" s="20" t="s">
        <v>6454</v>
      </c>
      <c r="B1891" s="20" t="s">
        <v>6455</v>
      </c>
      <c r="C1891" s="20" t="s">
        <v>606</v>
      </c>
      <c r="F1891" s="20" t="s">
        <v>327</v>
      </c>
      <c r="G1891" s="20" t="s">
        <v>385</v>
      </c>
      <c r="I1891" s="20" t="s">
        <v>598</v>
      </c>
      <c r="J1891" s="20" t="s">
        <v>143</v>
      </c>
      <c r="K1891" s="20" t="s">
        <v>167</v>
      </c>
      <c r="Q1891" s="20">
        <v>5433.0</v>
      </c>
      <c r="R1891" s="20" t="s">
        <v>6456</v>
      </c>
      <c r="S1891" s="20" t="s">
        <v>6457</v>
      </c>
      <c r="T1891" s="20" t="s">
        <v>138</v>
      </c>
      <c r="W1891" s="20" t="s">
        <v>146</v>
      </c>
    </row>
    <row r="1892" ht="14.25" customHeight="1">
      <c r="A1892" s="20" t="s">
        <v>6458</v>
      </c>
      <c r="B1892" s="20" t="s">
        <v>6459</v>
      </c>
      <c r="C1892" s="20" t="s">
        <v>1305</v>
      </c>
      <c r="F1892" s="20" t="s">
        <v>16</v>
      </c>
      <c r="G1892" s="20" t="s">
        <v>202</v>
      </c>
      <c r="I1892" s="20" t="s">
        <v>1306</v>
      </c>
      <c r="J1892" s="20" t="s">
        <v>143</v>
      </c>
      <c r="Q1892" s="20">
        <v>12007.0</v>
      </c>
      <c r="R1892" s="20" t="s">
        <v>6460</v>
      </c>
      <c r="S1892" s="20" t="s">
        <v>6459</v>
      </c>
      <c r="T1892" s="20" t="s">
        <v>138</v>
      </c>
    </row>
    <row r="1893" ht="14.25" customHeight="1">
      <c r="A1893" s="20" t="s">
        <v>6461</v>
      </c>
      <c r="B1893" s="20" t="s">
        <v>6462</v>
      </c>
      <c r="C1893" s="20" t="s">
        <v>1416</v>
      </c>
      <c r="F1893" s="20" t="s">
        <v>17</v>
      </c>
      <c r="G1893" s="20" t="s">
        <v>17</v>
      </c>
      <c r="I1893" s="20" t="s">
        <v>88</v>
      </c>
      <c r="J1893" s="20" t="s">
        <v>186</v>
      </c>
      <c r="K1893" s="20" t="s">
        <v>187</v>
      </c>
      <c r="Q1893" s="20">
        <v>959.0</v>
      </c>
      <c r="R1893" s="20" t="s">
        <v>6463</v>
      </c>
      <c r="S1893" s="20" t="s">
        <v>6462</v>
      </c>
      <c r="T1893" s="20" t="s">
        <v>138</v>
      </c>
      <c r="V1893" s="20" t="s">
        <v>189</v>
      </c>
      <c r="W1893" s="20" t="s">
        <v>261</v>
      </c>
    </row>
    <row r="1894" ht="14.25" customHeight="1">
      <c r="A1894" s="20" t="s">
        <v>6464</v>
      </c>
      <c r="B1894" s="20" t="s">
        <v>6465</v>
      </c>
      <c r="C1894" s="20" t="s">
        <v>1416</v>
      </c>
      <c r="F1894" s="20" t="s">
        <v>17</v>
      </c>
      <c r="G1894" s="20" t="s">
        <v>17</v>
      </c>
      <c r="I1894" s="20" t="s">
        <v>88</v>
      </c>
      <c r="J1894" s="20" t="s">
        <v>186</v>
      </c>
      <c r="K1894" s="20" t="s">
        <v>187</v>
      </c>
      <c r="Q1894" s="20">
        <v>961.0</v>
      </c>
      <c r="R1894" s="20" t="s">
        <v>6466</v>
      </c>
      <c r="S1894" s="20" t="s">
        <v>6465</v>
      </c>
      <c r="T1894" s="20" t="s">
        <v>138</v>
      </c>
      <c r="W1894" s="20" t="s">
        <v>261</v>
      </c>
    </row>
    <row r="1895" ht="14.25" customHeight="1">
      <c r="A1895" s="20" t="s">
        <v>6467</v>
      </c>
      <c r="B1895" s="20" t="s">
        <v>6468</v>
      </c>
      <c r="C1895" s="20" t="s">
        <v>354</v>
      </c>
      <c r="F1895" s="20" t="s">
        <v>218</v>
      </c>
      <c r="G1895" s="20" t="s">
        <v>219</v>
      </c>
      <c r="I1895" s="20" t="s">
        <v>355</v>
      </c>
      <c r="J1895" s="20" t="s">
        <v>186</v>
      </c>
      <c r="K1895" s="20" t="s">
        <v>213</v>
      </c>
      <c r="Q1895" s="20">
        <v>10637.0</v>
      </c>
      <c r="R1895" s="20" t="s">
        <v>6469</v>
      </c>
      <c r="S1895" s="20" t="s">
        <v>6468</v>
      </c>
      <c r="T1895" s="20" t="s">
        <v>138</v>
      </c>
      <c r="W1895" s="20" t="s">
        <v>146</v>
      </c>
    </row>
    <row r="1896" ht="14.25" customHeight="1">
      <c r="A1896" s="20" t="s">
        <v>6470</v>
      </c>
      <c r="B1896" s="20" t="s">
        <v>6471</v>
      </c>
      <c r="C1896" s="20" t="s">
        <v>818</v>
      </c>
      <c r="F1896" s="20" t="s">
        <v>17</v>
      </c>
      <c r="G1896" s="20" t="s">
        <v>17</v>
      </c>
      <c r="I1896" s="20" t="s">
        <v>88</v>
      </c>
      <c r="J1896" s="20" t="s">
        <v>143</v>
      </c>
      <c r="K1896" s="20" t="s">
        <v>167</v>
      </c>
      <c r="Q1896" s="20">
        <v>9127.0</v>
      </c>
      <c r="R1896" s="20" t="s">
        <v>6472</v>
      </c>
      <c r="S1896" s="20" t="s">
        <v>6471</v>
      </c>
      <c r="T1896" s="20" t="s">
        <v>138</v>
      </c>
    </row>
    <row r="1897" ht="14.25" customHeight="1">
      <c r="A1897" s="20" t="s">
        <v>6473</v>
      </c>
      <c r="B1897" s="20" t="s">
        <v>6474</v>
      </c>
      <c r="C1897" s="20" t="s">
        <v>272</v>
      </c>
      <c r="F1897" s="20" t="s">
        <v>16</v>
      </c>
      <c r="G1897" s="20" t="s">
        <v>202</v>
      </c>
      <c r="I1897" s="20" t="s">
        <v>2397</v>
      </c>
      <c r="J1897" s="20" t="s">
        <v>143</v>
      </c>
      <c r="Q1897" s="20">
        <v>965.0</v>
      </c>
      <c r="R1897" s="20" t="s">
        <v>6475</v>
      </c>
      <c r="S1897" s="20" t="s">
        <v>6474</v>
      </c>
      <c r="T1897" s="20" t="s">
        <v>138</v>
      </c>
    </row>
    <row r="1898" ht="14.25" customHeight="1">
      <c r="A1898" s="20" t="s">
        <v>6476</v>
      </c>
      <c r="B1898" s="20" t="s">
        <v>6477</v>
      </c>
      <c r="C1898" s="20" t="s">
        <v>174</v>
      </c>
      <c r="F1898" s="20" t="s">
        <v>150</v>
      </c>
      <c r="G1898" s="20" t="s">
        <v>150</v>
      </c>
      <c r="I1898" s="20" t="s">
        <v>151</v>
      </c>
      <c r="J1898" s="20" t="s">
        <v>143</v>
      </c>
      <c r="K1898" s="20" t="s">
        <v>167</v>
      </c>
      <c r="Q1898" s="20">
        <v>272.0</v>
      </c>
      <c r="R1898" s="20" t="s">
        <v>6478</v>
      </c>
      <c r="S1898" s="20" t="s">
        <v>6477</v>
      </c>
      <c r="T1898" s="20" t="s">
        <v>138</v>
      </c>
    </row>
    <row r="1899" ht="14.25" customHeight="1">
      <c r="A1899" s="20" t="s">
        <v>6479</v>
      </c>
      <c r="B1899" s="20" t="s">
        <v>6480</v>
      </c>
      <c r="C1899" s="20" t="s">
        <v>289</v>
      </c>
      <c r="F1899" s="20" t="s">
        <v>150</v>
      </c>
      <c r="G1899" s="20" t="s">
        <v>150</v>
      </c>
      <c r="I1899" s="20" t="s">
        <v>2024</v>
      </c>
      <c r="J1899" s="20" t="s">
        <v>143</v>
      </c>
      <c r="K1899" s="20" t="s">
        <v>213</v>
      </c>
      <c r="Q1899" s="20">
        <v>1797.0</v>
      </c>
      <c r="R1899" s="20" t="s">
        <v>6481</v>
      </c>
      <c r="S1899" s="20" t="s">
        <v>6480</v>
      </c>
      <c r="T1899" s="20" t="s">
        <v>138</v>
      </c>
      <c r="V1899" s="20" t="s">
        <v>189</v>
      </c>
      <c r="W1899" s="20" t="s">
        <v>261</v>
      </c>
    </row>
    <row r="1900" ht="14.25" customHeight="1">
      <c r="A1900" s="20" t="s">
        <v>6482</v>
      </c>
      <c r="B1900" s="20" t="s">
        <v>6483</v>
      </c>
      <c r="C1900" s="20" t="s">
        <v>6484</v>
      </c>
      <c r="F1900" s="20" t="s">
        <v>16</v>
      </c>
      <c r="G1900" s="20" t="s">
        <v>638</v>
      </c>
      <c r="I1900" s="20" t="s">
        <v>4818</v>
      </c>
      <c r="J1900" s="20" t="s">
        <v>186</v>
      </c>
      <c r="K1900" s="20" t="s">
        <v>187</v>
      </c>
      <c r="Q1900" s="20">
        <v>979.0</v>
      </c>
      <c r="R1900" s="20" t="s">
        <v>6485</v>
      </c>
      <c r="S1900" s="20" t="s">
        <v>6483</v>
      </c>
      <c r="T1900" s="20" t="s">
        <v>138</v>
      </c>
      <c r="V1900" s="20" t="s">
        <v>260</v>
      </c>
      <c r="W1900" s="20" t="s">
        <v>261</v>
      </c>
    </row>
    <row r="1901" ht="14.25" customHeight="1">
      <c r="A1901" s="20" t="s">
        <v>6486</v>
      </c>
      <c r="B1901" s="20" t="s">
        <v>6487</v>
      </c>
      <c r="C1901" s="20" t="s">
        <v>1416</v>
      </c>
      <c r="F1901" s="20" t="s">
        <v>17</v>
      </c>
      <c r="G1901" s="20" t="s">
        <v>17</v>
      </c>
      <c r="I1901" s="20" t="s">
        <v>88</v>
      </c>
      <c r="J1901" s="20" t="s">
        <v>186</v>
      </c>
      <c r="K1901" s="20" t="s">
        <v>213</v>
      </c>
      <c r="Q1901" s="20">
        <v>968.0</v>
      </c>
      <c r="R1901" s="20" t="s">
        <v>6488</v>
      </c>
      <c r="S1901" s="20" t="s">
        <v>6487</v>
      </c>
      <c r="T1901" s="20" t="s">
        <v>138</v>
      </c>
      <c r="W1901" s="20" t="s">
        <v>146</v>
      </c>
    </row>
    <row r="1902" ht="14.25" customHeight="1">
      <c r="A1902" s="20" t="s">
        <v>6489</v>
      </c>
      <c r="B1902" s="20" t="s">
        <v>6490</v>
      </c>
      <c r="C1902" s="20" t="s">
        <v>1505</v>
      </c>
      <c r="F1902" s="20" t="s">
        <v>15</v>
      </c>
      <c r="G1902" s="20" t="s">
        <v>135</v>
      </c>
      <c r="I1902" s="20" t="s">
        <v>102</v>
      </c>
      <c r="J1902" s="20" t="s">
        <v>136</v>
      </c>
      <c r="Q1902" s="20">
        <v>14439.0</v>
      </c>
      <c r="R1902" s="20" t="s">
        <v>6491</v>
      </c>
      <c r="S1902" s="20" t="s">
        <v>6490</v>
      </c>
      <c r="T1902" s="20" t="s">
        <v>138</v>
      </c>
    </row>
    <row r="1903" ht="14.25" customHeight="1">
      <c r="A1903" s="20" t="s">
        <v>6492</v>
      </c>
      <c r="B1903" s="20" t="s">
        <v>6493</v>
      </c>
      <c r="C1903" s="20" t="s">
        <v>5381</v>
      </c>
      <c r="F1903" s="20" t="s">
        <v>150</v>
      </c>
      <c r="G1903" s="20" t="s">
        <v>150</v>
      </c>
      <c r="I1903" s="20" t="s">
        <v>151</v>
      </c>
      <c r="J1903" s="20" t="s">
        <v>143</v>
      </c>
      <c r="K1903" s="20" t="s">
        <v>213</v>
      </c>
      <c r="L1903" s="20" t="s">
        <v>151</v>
      </c>
      <c r="Q1903" s="20">
        <v>971.0</v>
      </c>
      <c r="R1903" s="20" t="s">
        <v>6494</v>
      </c>
      <c r="S1903" s="20" t="s">
        <v>6493</v>
      </c>
      <c r="T1903" s="20" t="s">
        <v>138</v>
      </c>
      <c r="W1903" s="20" t="s">
        <v>146</v>
      </c>
    </row>
    <row r="1904" ht="14.25" customHeight="1">
      <c r="A1904" s="20" t="s">
        <v>6495</v>
      </c>
      <c r="B1904" s="20" t="s">
        <v>6496</v>
      </c>
      <c r="C1904" s="20" t="s">
        <v>1420</v>
      </c>
      <c r="F1904" s="20" t="s">
        <v>17</v>
      </c>
      <c r="G1904" s="20" t="s">
        <v>17</v>
      </c>
      <c r="I1904" s="20" t="s">
        <v>88</v>
      </c>
      <c r="J1904" s="20" t="s">
        <v>143</v>
      </c>
      <c r="K1904" s="20" t="s">
        <v>187</v>
      </c>
      <c r="Q1904" s="20">
        <v>1886.0</v>
      </c>
      <c r="R1904" s="20" t="s">
        <v>6497</v>
      </c>
      <c r="S1904" s="20" t="s">
        <v>6496</v>
      </c>
      <c r="T1904" s="20" t="s">
        <v>138</v>
      </c>
      <c r="V1904" s="20" t="s">
        <v>189</v>
      </c>
      <c r="W1904" s="20" t="s">
        <v>261</v>
      </c>
    </row>
    <row r="1905" ht="14.25" customHeight="1">
      <c r="A1905" s="20" t="s">
        <v>6498</v>
      </c>
      <c r="B1905" s="20" t="s">
        <v>6499</v>
      </c>
      <c r="C1905" s="20" t="s">
        <v>235</v>
      </c>
      <c r="F1905" s="20" t="s">
        <v>15</v>
      </c>
      <c r="G1905" s="20" t="s">
        <v>142</v>
      </c>
      <c r="I1905" s="20" t="s">
        <v>105</v>
      </c>
      <c r="J1905" s="20" t="s">
        <v>143</v>
      </c>
      <c r="Q1905" s="20">
        <v>8990.0</v>
      </c>
      <c r="R1905" s="20" t="s">
        <v>6500</v>
      </c>
      <c r="S1905" s="20" t="s">
        <v>6499</v>
      </c>
      <c r="T1905" s="20" t="s">
        <v>138</v>
      </c>
    </row>
    <row r="1906" ht="14.25" customHeight="1">
      <c r="A1906" s="20" t="s">
        <v>6501</v>
      </c>
      <c r="B1906" s="20" t="s">
        <v>6502</v>
      </c>
      <c r="C1906" s="20" t="s">
        <v>818</v>
      </c>
      <c r="F1906" s="20" t="s">
        <v>17</v>
      </c>
      <c r="G1906" s="20" t="s">
        <v>17</v>
      </c>
      <c r="I1906" s="20" t="s">
        <v>88</v>
      </c>
      <c r="J1906" s="20" t="s">
        <v>143</v>
      </c>
      <c r="Q1906" s="20">
        <v>977.0</v>
      </c>
      <c r="R1906" s="20" t="s">
        <v>6503</v>
      </c>
      <c r="S1906" s="20" t="s">
        <v>6502</v>
      </c>
      <c r="T1906" s="20" t="s">
        <v>138</v>
      </c>
    </row>
    <row r="1907" ht="14.25" customHeight="1">
      <c r="A1907" s="20" t="s">
        <v>6504</v>
      </c>
      <c r="B1907" s="20" t="s">
        <v>6505</v>
      </c>
      <c r="C1907" s="20" t="s">
        <v>6506</v>
      </c>
      <c r="F1907" s="20" t="s">
        <v>16</v>
      </c>
      <c r="G1907" s="20" t="s">
        <v>202</v>
      </c>
      <c r="I1907" s="20" t="s">
        <v>87</v>
      </c>
      <c r="J1907" s="20" t="s">
        <v>143</v>
      </c>
      <c r="K1907" s="20" t="s">
        <v>167</v>
      </c>
      <c r="Q1907" s="20">
        <v>981.0</v>
      </c>
      <c r="R1907" s="20" t="s">
        <v>6507</v>
      </c>
      <c r="S1907" s="20" t="s">
        <v>6505</v>
      </c>
      <c r="T1907" s="20" t="s">
        <v>138</v>
      </c>
    </row>
    <row r="1908" ht="14.25" customHeight="1">
      <c r="A1908" s="20" t="s">
        <v>6508</v>
      </c>
      <c r="B1908" s="20" t="s">
        <v>6509</v>
      </c>
      <c r="C1908" s="20" t="s">
        <v>163</v>
      </c>
      <c r="F1908" s="20" t="s">
        <v>150</v>
      </c>
      <c r="G1908" s="20" t="s">
        <v>150</v>
      </c>
      <c r="I1908" s="20" t="s">
        <v>151</v>
      </c>
      <c r="J1908" s="20" t="s">
        <v>143</v>
      </c>
      <c r="Q1908" s="20">
        <v>16517.0</v>
      </c>
      <c r="R1908" s="20" t="s">
        <v>6510</v>
      </c>
      <c r="S1908" s="20" t="s">
        <v>6509</v>
      </c>
      <c r="T1908" s="20" t="s">
        <v>138</v>
      </c>
    </row>
    <row r="1909" ht="14.25" customHeight="1">
      <c r="A1909" s="20" t="s">
        <v>6511</v>
      </c>
      <c r="B1909" s="20" t="s">
        <v>6512</v>
      </c>
      <c r="C1909" s="20" t="s">
        <v>491</v>
      </c>
      <c r="F1909" s="20" t="s">
        <v>327</v>
      </c>
      <c r="G1909" s="20" t="s">
        <v>385</v>
      </c>
      <c r="I1909" s="20" t="s">
        <v>492</v>
      </c>
      <c r="J1909" s="20" t="s">
        <v>143</v>
      </c>
      <c r="Q1909" s="20">
        <v>11729.0</v>
      </c>
      <c r="R1909" s="20" t="s">
        <v>6513</v>
      </c>
      <c r="S1909" s="20" t="s">
        <v>6512</v>
      </c>
      <c r="T1909" s="20" t="s">
        <v>138</v>
      </c>
    </row>
    <row r="1910" ht="14.25" customHeight="1">
      <c r="A1910" s="20" t="s">
        <v>6514</v>
      </c>
      <c r="B1910" s="20" t="s">
        <v>6515</v>
      </c>
      <c r="C1910" s="20" t="s">
        <v>178</v>
      </c>
      <c r="F1910" s="20" t="s">
        <v>150</v>
      </c>
      <c r="G1910" s="20" t="s">
        <v>150</v>
      </c>
      <c r="I1910" s="20" t="s">
        <v>151</v>
      </c>
      <c r="J1910" s="20" t="s">
        <v>143</v>
      </c>
      <c r="Q1910" s="20">
        <v>624.0</v>
      </c>
      <c r="R1910" s="20" t="s">
        <v>6516</v>
      </c>
      <c r="S1910" s="20" t="s">
        <v>6515</v>
      </c>
      <c r="T1910" s="20" t="s">
        <v>138</v>
      </c>
    </row>
    <row r="1911" ht="14.25" customHeight="1">
      <c r="A1911" s="20" t="s">
        <v>6517</v>
      </c>
      <c r="B1911" s="20" t="s">
        <v>6518</v>
      </c>
      <c r="C1911" s="20" t="s">
        <v>243</v>
      </c>
      <c r="F1911" s="20" t="s">
        <v>17</v>
      </c>
      <c r="G1911" s="20" t="s">
        <v>17</v>
      </c>
      <c r="I1911" s="20" t="s">
        <v>88</v>
      </c>
      <c r="J1911" s="20" t="s">
        <v>143</v>
      </c>
      <c r="Q1911" s="20">
        <v>984.0</v>
      </c>
      <c r="R1911" s="20" t="s">
        <v>6519</v>
      </c>
      <c r="S1911" s="20" t="s">
        <v>6518</v>
      </c>
      <c r="T1911" s="20" t="s">
        <v>138</v>
      </c>
    </row>
    <row r="1912" ht="14.25" customHeight="1">
      <c r="A1912" s="20" t="s">
        <v>6520</v>
      </c>
      <c r="B1912" s="20" t="s">
        <v>6521</v>
      </c>
      <c r="C1912" s="20" t="s">
        <v>235</v>
      </c>
      <c r="F1912" s="20" t="s">
        <v>15</v>
      </c>
      <c r="G1912" s="20" t="s">
        <v>142</v>
      </c>
      <c r="I1912" s="20" t="s">
        <v>105</v>
      </c>
      <c r="J1912" s="20" t="s">
        <v>143</v>
      </c>
      <c r="Q1912" s="20">
        <v>6016.0</v>
      </c>
      <c r="R1912" s="20" t="s">
        <v>6522</v>
      </c>
      <c r="S1912" s="20" t="s">
        <v>6521</v>
      </c>
      <c r="T1912" s="20" t="s">
        <v>138</v>
      </c>
    </row>
    <row r="1913" ht="14.25" customHeight="1">
      <c r="A1913" s="20" t="s">
        <v>6523</v>
      </c>
      <c r="B1913" s="20" t="s">
        <v>6524</v>
      </c>
      <c r="C1913" s="20" t="s">
        <v>289</v>
      </c>
      <c r="F1913" s="20" t="s">
        <v>150</v>
      </c>
      <c r="G1913" s="20" t="s">
        <v>150</v>
      </c>
      <c r="I1913" s="20" t="s">
        <v>151</v>
      </c>
      <c r="J1913" s="20" t="s">
        <v>143</v>
      </c>
      <c r="Q1913" s="20">
        <v>15611.0</v>
      </c>
      <c r="R1913" s="20" t="s">
        <v>6525</v>
      </c>
      <c r="S1913" s="20" t="s">
        <v>6524</v>
      </c>
      <c r="T1913" s="20" t="s">
        <v>138</v>
      </c>
    </row>
    <row r="1914" ht="14.25" customHeight="1">
      <c r="A1914" s="20" t="s">
        <v>6526</v>
      </c>
      <c r="B1914" s="20" t="s">
        <v>6527</v>
      </c>
      <c r="C1914" s="20" t="s">
        <v>163</v>
      </c>
      <c r="F1914" s="20" t="s">
        <v>150</v>
      </c>
      <c r="G1914" s="20" t="s">
        <v>150</v>
      </c>
      <c r="I1914" s="20" t="s">
        <v>151</v>
      </c>
      <c r="J1914" s="20" t="s">
        <v>143</v>
      </c>
      <c r="Q1914" s="20">
        <v>10085.0</v>
      </c>
      <c r="R1914" s="20" t="s">
        <v>6528</v>
      </c>
      <c r="S1914" s="20" t="s">
        <v>6527</v>
      </c>
      <c r="T1914" s="20" t="s">
        <v>138</v>
      </c>
    </row>
    <row r="1915" ht="14.25" customHeight="1">
      <c r="A1915" s="20" t="s">
        <v>6529</v>
      </c>
      <c r="B1915" s="20" t="s">
        <v>6530</v>
      </c>
      <c r="C1915" s="20" t="s">
        <v>3109</v>
      </c>
      <c r="F1915" s="20" t="s">
        <v>17</v>
      </c>
      <c r="G1915" s="20" t="s">
        <v>17</v>
      </c>
      <c r="I1915" s="20" t="s">
        <v>88</v>
      </c>
      <c r="J1915" s="20" t="s">
        <v>143</v>
      </c>
      <c r="K1915" s="20" t="s">
        <v>167</v>
      </c>
      <c r="Q1915" s="20">
        <v>987.0</v>
      </c>
      <c r="R1915" s="20" t="s">
        <v>6531</v>
      </c>
      <c r="S1915" s="20" t="s">
        <v>6532</v>
      </c>
      <c r="T1915" s="20" t="s">
        <v>138</v>
      </c>
    </row>
    <row r="1916" ht="14.25" customHeight="1">
      <c r="A1916" s="20" t="s">
        <v>6533</v>
      </c>
      <c r="B1916" s="20" t="s">
        <v>6534</v>
      </c>
      <c r="C1916" s="20" t="s">
        <v>178</v>
      </c>
      <c r="F1916" s="20" t="s">
        <v>150</v>
      </c>
      <c r="G1916" s="20" t="s">
        <v>150</v>
      </c>
      <c r="I1916" s="20" t="s">
        <v>151</v>
      </c>
      <c r="J1916" s="20" t="s">
        <v>186</v>
      </c>
      <c r="Q1916" s="20">
        <v>10356.0</v>
      </c>
      <c r="R1916" s="20" t="s">
        <v>6535</v>
      </c>
      <c r="S1916" s="20" t="s">
        <v>6534</v>
      </c>
      <c r="T1916" s="20" t="s">
        <v>138</v>
      </c>
    </row>
    <row r="1917" ht="14.25" customHeight="1">
      <c r="A1917" s="20" t="s">
        <v>6536</v>
      </c>
      <c r="B1917" s="20" t="s">
        <v>6537</v>
      </c>
      <c r="C1917" s="20" t="s">
        <v>197</v>
      </c>
      <c r="F1917" s="20" t="s">
        <v>150</v>
      </c>
      <c r="G1917" s="20" t="s">
        <v>150</v>
      </c>
      <c r="I1917" s="20" t="s">
        <v>151</v>
      </c>
      <c r="J1917" s="20" t="s">
        <v>186</v>
      </c>
      <c r="Q1917" s="20">
        <v>10364.0</v>
      </c>
      <c r="R1917" s="20" t="s">
        <v>6538</v>
      </c>
      <c r="S1917" s="20" t="s">
        <v>6537</v>
      </c>
      <c r="T1917" s="20" t="s">
        <v>138</v>
      </c>
    </row>
    <row r="1918" ht="14.25" customHeight="1">
      <c r="A1918" s="20" t="s">
        <v>6539</v>
      </c>
      <c r="B1918" s="20" t="s">
        <v>6540</v>
      </c>
      <c r="C1918" s="20" t="s">
        <v>193</v>
      </c>
      <c r="F1918" s="20" t="s">
        <v>150</v>
      </c>
      <c r="G1918" s="20" t="s">
        <v>150</v>
      </c>
      <c r="I1918" s="20" t="s">
        <v>151</v>
      </c>
      <c r="J1918" s="20" t="s">
        <v>186</v>
      </c>
      <c r="Q1918" s="20">
        <v>10280.0</v>
      </c>
      <c r="R1918" s="20" t="s">
        <v>6541</v>
      </c>
      <c r="S1918" s="20" t="s">
        <v>6540</v>
      </c>
      <c r="T1918" s="20" t="s">
        <v>138</v>
      </c>
    </row>
    <row r="1919" ht="14.25" customHeight="1">
      <c r="A1919" s="20" t="s">
        <v>6542</v>
      </c>
      <c r="B1919" s="20" t="s">
        <v>6543</v>
      </c>
      <c r="C1919" s="20" t="s">
        <v>174</v>
      </c>
      <c r="F1919" s="20" t="s">
        <v>150</v>
      </c>
      <c r="G1919" s="20" t="s">
        <v>150</v>
      </c>
      <c r="I1919" s="20" t="s">
        <v>151</v>
      </c>
      <c r="J1919" s="20" t="s">
        <v>186</v>
      </c>
      <c r="Q1919" s="20">
        <v>10357.0</v>
      </c>
      <c r="R1919" s="20" t="s">
        <v>6544</v>
      </c>
      <c r="S1919" s="20" t="s">
        <v>6543</v>
      </c>
      <c r="T1919" s="20" t="s">
        <v>138</v>
      </c>
    </row>
    <row r="1920" ht="14.25" customHeight="1">
      <c r="A1920" s="20" t="s">
        <v>6545</v>
      </c>
      <c r="B1920" s="20" t="s">
        <v>6546</v>
      </c>
      <c r="C1920" s="20" t="s">
        <v>193</v>
      </c>
      <c r="F1920" s="20" t="s">
        <v>150</v>
      </c>
      <c r="G1920" s="20" t="s">
        <v>150</v>
      </c>
      <c r="I1920" s="20" t="s">
        <v>151</v>
      </c>
      <c r="J1920" s="20" t="s">
        <v>186</v>
      </c>
      <c r="Q1920" s="20">
        <v>10358.0</v>
      </c>
      <c r="R1920" s="20" t="s">
        <v>6547</v>
      </c>
      <c r="S1920" s="20" t="s">
        <v>6546</v>
      </c>
      <c r="T1920" s="20" t="s">
        <v>138</v>
      </c>
    </row>
    <row r="1921" ht="14.25" customHeight="1">
      <c r="A1921" s="20" t="s">
        <v>6548</v>
      </c>
      <c r="B1921" s="20" t="s">
        <v>6549</v>
      </c>
      <c r="C1921" s="20" t="s">
        <v>193</v>
      </c>
      <c r="F1921" s="20" t="s">
        <v>150</v>
      </c>
      <c r="G1921" s="20" t="s">
        <v>150</v>
      </c>
      <c r="I1921" s="20" t="s">
        <v>151</v>
      </c>
      <c r="J1921" s="20" t="s">
        <v>186</v>
      </c>
      <c r="Q1921" s="20">
        <v>10362.0</v>
      </c>
      <c r="R1921" s="20" t="s">
        <v>6550</v>
      </c>
      <c r="S1921" s="20" t="s">
        <v>6549</v>
      </c>
      <c r="T1921" s="20" t="s">
        <v>138</v>
      </c>
    </row>
    <row r="1922" ht="14.25" customHeight="1">
      <c r="A1922" s="20" t="s">
        <v>6551</v>
      </c>
      <c r="B1922" s="20" t="s">
        <v>6552</v>
      </c>
      <c r="C1922" s="20" t="s">
        <v>163</v>
      </c>
      <c r="F1922" s="20" t="s">
        <v>150</v>
      </c>
      <c r="G1922" s="20" t="s">
        <v>150</v>
      </c>
      <c r="I1922" s="20" t="s">
        <v>151</v>
      </c>
      <c r="J1922" s="20" t="s">
        <v>186</v>
      </c>
      <c r="Q1922" s="20">
        <v>10355.0</v>
      </c>
      <c r="R1922" s="20" t="s">
        <v>6553</v>
      </c>
      <c r="S1922" s="20" t="s">
        <v>6552</v>
      </c>
      <c r="T1922" s="20" t="s">
        <v>138</v>
      </c>
    </row>
    <row r="1923" ht="14.25" customHeight="1">
      <c r="A1923" s="20" t="s">
        <v>6554</v>
      </c>
      <c r="B1923" s="20" t="s">
        <v>6555</v>
      </c>
      <c r="C1923" s="20" t="s">
        <v>193</v>
      </c>
      <c r="F1923" s="20" t="s">
        <v>150</v>
      </c>
      <c r="G1923" s="20" t="s">
        <v>150</v>
      </c>
      <c r="I1923" s="20" t="s">
        <v>151</v>
      </c>
      <c r="J1923" s="20" t="s">
        <v>186</v>
      </c>
      <c r="Q1923" s="20">
        <v>10361.0</v>
      </c>
      <c r="R1923" s="20" t="s">
        <v>6556</v>
      </c>
      <c r="S1923" s="20" t="s">
        <v>6555</v>
      </c>
      <c r="T1923" s="20" t="s">
        <v>138</v>
      </c>
    </row>
    <row r="1924" ht="14.25" customHeight="1">
      <c r="A1924" s="20" t="s">
        <v>6557</v>
      </c>
      <c r="B1924" s="20" t="s">
        <v>6558</v>
      </c>
      <c r="C1924" s="20" t="s">
        <v>197</v>
      </c>
      <c r="F1924" s="20" t="s">
        <v>150</v>
      </c>
      <c r="G1924" s="20" t="s">
        <v>150</v>
      </c>
      <c r="I1924" s="20" t="s">
        <v>151</v>
      </c>
      <c r="J1924" s="20" t="s">
        <v>186</v>
      </c>
      <c r="Q1924" s="20">
        <v>10363.0</v>
      </c>
      <c r="R1924" s="20" t="s">
        <v>6559</v>
      </c>
      <c r="S1924" s="20" t="s">
        <v>6558</v>
      </c>
      <c r="T1924" s="20" t="s">
        <v>138</v>
      </c>
    </row>
    <row r="1925" ht="14.25" customHeight="1">
      <c r="A1925" s="20" t="s">
        <v>6560</v>
      </c>
      <c r="B1925" s="20" t="s">
        <v>6561</v>
      </c>
      <c r="C1925" s="20" t="s">
        <v>818</v>
      </c>
      <c r="F1925" s="20" t="s">
        <v>17</v>
      </c>
      <c r="G1925" s="20" t="s">
        <v>17</v>
      </c>
      <c r="I1925" s="20" t="s">
        <v>88</v>
      </c>
      <c r="J1925" s="20" t="s">
        <v>143</v>
      </c>
      <c r="K1925" s="20" t="s">
        <v>167</v>
      </c>
      <c r="Q1925" s="20">
        <v>3060.0</v>
      </c>
      <c r="R1925" s="20" t="s">
        <v>6562</v>
      </c>
      <c r="S1925" s="20" t="s">
        <v>6561</v>
      </c>
      <c r="T1925" s="20" t="s">
        <v>138</v>
      </c>
    </row>
    <row r="1926" ht="14.25" customHeight="1">
      <c r="A1926" s="20" t="s">
        <v>6563</v>
      </c>
      <c r="B1926" s="20" t="s">
        <v>6564</v>
      </c>
      <c r="C1926" s="20" t="s">
        <v>5002</v>
      </c>
      <c r="F1926" s="20" t="s">
        <v>150</v>
      </c>
      <c r="G1926" s="20" t="s">
        <v>150</v>
      </c>
      <c r="I1926" s="20" t="s">
        <v>151</v>
      </c>
      <c r="J1926" s="20" t="s">
        <v>186</v>
      </c>
      <c r="Q1926" s="20">
        <v>1607.0</v>
      </c>
      <c r="R1926" s="20" t="s">
        <v>6565</v>
      </c>
      <c r="S1926" s="20" t="s">
        <v>6566</v>
      </c>
      <c r="T1926" s="20" t="s">
        <v>138</v>
      </c>
    </row>
    <row r="1927" ht="14.25" customHeight="1">
      <c r="A1927" s="20" t="s">
        <v>6567</v>
      </c>
      <c r="B1927" s="20" t="s">
        <v>6568</v>
      </c>
      <c r="C1927" s="20" t="s">
        <v>5002</v>
      </c>
      <c r="F1927" s="20" t="s">
        <v>150</v>
      </c>
      <c r="G1927" s="20" t="s">
        <v>150</v>
      </c>
      <c r="I1927" s="20" t="s">
        <v>151</v>
      </c>
      <c r="J1927" s="20" t="s">
        <v>186</v>
      </c>
      <c r="Q1927" s="20">
        <v>11640.0</v>
      </c>
      <c r="R1927" s="20" t="s">
        <v>6569</v>
      </c>
      <c r="S1927" s="20" t="s">
        <v>6566</v>
      </c>
      <c r="T1927" s="20" t="s">
        <v>138</v>
      </c>
    </row>
    <row r="1928" ht="14.25" customHeight="1">
      <c r="A1928" s="20" t="s">
        <v>6570</v>
      </c>
      <c r="B1928" s="20" t="s">
        <v>6571</v>
      </c>
      <c r="C1928" s="20" t="s">
        <v>5002</v>
      </c>
      <c r="F1928" s="20" t="s">
        <v>150</v>
      </c>
      <c r="G1928" s="20" t="s">
        <v>150</v>
      </c>
      <c r="I1928" s="20" t="s">
        <v>151</v>
      </c>
      <c r="J1928" s="20" t="s">
        <v>186</v>
      </c>
      <c r="Q1928" s="20">
        <v>1777.0</v>
      </c>
      <c r="R1928" s="20" t="s">
        <v>6572</v>
      </c>
      <c r="S1928" s="20" t="s">
        <v>6571</v>
      </c>
      <c r="T1928" s="20" t="s">
        <v>138</v>
      </c>
    </row>
    <row r="1929" ht="14.25" customHeight="1">
      <c r="A1929" s="20" t="s">
        <v>6573</v>
      </c>
      <c r="B1929" s="20" t="s">
        <v>6574</v>
      </c>
      <c r="C1929" s="20" t="s">
        <v>1305</v>
      </c>
      <c r="F1929" s="20" t="s">
        <v>16</v>
      </c>
      <c r="G1929" s="20" t="s">
        <v>202</v>
      </c>
      <c r="I1929" s="20" t="s">
        <v>1306</v>
      </c>
      <c r="J1929" s="20" t="s">
        <v>143</v>
      </c>
      <c r="Q1929" s="20">
        <v>6845.0</v>
      </c>
      <c r="R1929" s="20" t="s">
        <v>6575</v>
      </c>
      <c r="S1929" s="20" t="s">
        <v>6576</v>
      </c>
      <c r="T1929" s="20" t="s">
        <v>138</v>
      </c>
    </row>
    <row r="1930" ht="14.25" customHeight="1">
      <c r="A1930" s="20" t="s">
        <v>6577</v>
      </c>
      <c r="B1930" s="20" t="s">
        <v>6578</v>
      </c>
      <c r="C1930" s="20" t="s">
        <v>159</v>
      </c>
      <c r="F1930" s="20" t="s">
        <v>150</v>
      </c>
      <c r="G1930" s="20" t="s">
        <v>150</v>
      </c>
      <c r="I1930" s="20" t="s">
        <v>151</v>
      </c>
      <c r="J1930" s="20" t="s">
        <v>143</v>
      </c>
      <c r="Q1930" s="20">
        <v>11649.0</v>
      </c>
      <c r="R1930" s="20" t="s">
        <v>6579</v>
      </c>
      <c r="S1930" s="20" t="s">
        <v>6578</v>
      </c>
      <c r="T1930" s="20" t="s">
        <v>138</v>
      </c>
    </row>
    <row r="1931" ht="14.25" customHeight="1">
      <c r="A1931" s="20" t="s">
        <v>6580</v>
      </c>
      <c r="B1931" s="20" t="s">
        <v>6581</v>
      </c>
      <c r="C1931" s="20" t="s">
        <v>478</v>
      </c>
      <c r="F1931" s="20" t="s">
        <v>218</v>
      </c>
      <c r="G1931" s="20" t="s">
        <v>219</v>
      </c>
      <c r="I1931" s="20" t="s">
        <v>360</v>
      </c>
      <c r="J1931" s="20" t="s">
        <v>186</v>
      </c>
      <c r="Q1931" s="20">
        <v>15849.0</v>
      </c>
      <c r="R1931" s="20" t="s">
        <v>6582</v>
      </c>
      <c r="S1931" s="20" t="s">
        <v>6581</v>
      </c>
      <c r="T1931" s="20" t="s">
        <v>138</v>
      </c>
    </row>
    <row r="1932" ht="14.25" customHeight="1">
      <c r="A1932" s="20" t="s">
        <v>6583</v>
      </c>
      <c r="B1932" s="20" t="s">
        <v>6584</v>
      </c>
      <c r="C1932" s="20" t="s">
        <v>818</v>
      </c>
      <c r="F1932" s="20" t="s">
        <v>17</v>
      </c>
      <c r="G1932" s="20" t="s">
        <v>17</v>
      </c>
      <c r="I1932" s="20" t="s">
        <v>88</v>
      </c>
      <c r="J1932" s="20" t="s">
        <v>143</v>
      </c>
      <c r="Q1932" s="20">
        <v>13812.0</v>
      </c>
      <c r="R1932" s="20" t="s">
        <v>6585</v>
      </c>
      <c r="S1932" s="20" t="s">
        <v>6584</v>
      </c>
      <c r="T1932" s="20" t="s">
        <v>138</v>
      </c>
      <c r="W1932" s="20" t="s">
        <v>146</v>
      </c>
    </row>
    <row r="1933" ht="14.25" customHeight="1">
      <c r="A1933" s="20" t="s">
        <v>6586</v>
      </c>
      <c r="B1933" s="20" t="s">
        <v>6587</v>
      </c>
      <c r="C1933" s="20" t="s">
        <v>197</v>
      </c>
      <c r="F1933" s="20" t="s">
        <v>150</v>
      </c>
      <c r="G1933" s="20" t="s">
        <v>150</v>
      </c>
      <c r="I1933" s="20" t="s">
        <v>151</v>
      </c>
      <c r="J1933" s="20" t="s">
        <v>143</v>
      </c>
      <c r="K1933" s="20" t="s">
        <v>213</v>
      </c>
      <c r="Q1933" s="20">
        <v>991.0</v>
      </c>
      <c r="R1933" s="20" t="s">
        <v>6588</v>
      </c>
      <c r="S1933" s="20" t="s">
        <v>6587</v>
      </c>
      <c r="T1933" s="20" t="s">
        <v>138</v>
      </c>
      <c r="V1933" s="20" t="s">
        <v>189</v>
      </c>
      <c r="W1933" s="20" t="s">
        <v>146</v>
      </c>
    </row>
    <row r="1934" ht="14.25" customHeight="1">
      <c r="A1934" s="20" t="s">
        <v>6589</v>
      </c>
      <c r="B1934" s="20" t="s">
        <v>6590</v>
      </c>
      <c r="C1934" s="20" t="s">
        <v>193</v>
      </c>
      <c r="F1934" s="20" t="s">
        <v>150</v>
      </c>
      <c r="G1934" s="20" t="s">
        <v>150</v>
      </c>
      <c r="I1934" s="20" t="s">
        <v>151</v>
      </c>
      <c r="J1934" s="20" t="s">
        <v>143</v>
      </c>
      <c r="Q1934" s="20">
        <v>5196.0</v>
      </c>
      <c r="R1934" s="20" t="s">
        <v>6591</v>
      </c>
      <c r="S1934" s="20" t="s">
        <v>6590</v>
      </c>
      <c r="T1934" s="20" t="s">
        <v>138</v>
      </c>
    </row>
    <row r="1935" ht="14.25" customHeight="1">
      <c r="A1935" s="20" t="s">
        <v>6592</v>
      </c>
      <c r="B1935" s="20" t="s">
        <v>6593</v>
      </c>
      <c r="C1935" s="20" t="s">
        <v>193</v>
      </c>
      <c r="F1935" s="20" t="s">
        <v>150</v>
      </c>
      <c r="G1935" s="20" t="s">
        <v>150</v>
      </c>
      <c r="I1935" s="20" t="s">
        <v>151</v>
      </c>
      <c r="J1935" s="20" t="s">
        <v>143</v>
      </c>
      <c r="Q1935" s="20">
        <v>4732.0</v>
      </c>
      <c r="R1935" s="20" t="s">
        <v>6594</v>
      </c>
      <c r="S1935" s="20" t="s">
        <v>6593</v>
      </c>
      <c r="T1935" s="20" t="s">
        <v>138</v>
      </c>
    </row>
    <row r="1936" ht="14.25" customHeight="1">
      <c r="A1936" s="20" t="s">
        <v>6595</v>
      </c>
      <c r="B1936" s="20" t="s">
        <v>6596</v>
      </c>
      <c r="C1936" s="20" t="s">
        <v>197</v>
      </c>
      <c r="F1936" s="20" t="s">
        <v>150</v>
      </c>
      <c r="G1936" s="20" t="s">
        <v>150</v>
      </c>
      <c r="I1936" s="20" t="s">
        <v>151</v>
      </c>
      <c r="J1936" s="20" t="s">
        <v>143</v>
      </c>
      <c r="Q1936" s="20">
        <v>16198.0</v>
      </c>
      <c r="R1936" s="20" t="s">
        <v>6597</v>
      </c>
      <c r="S1936" s="20" t="s">
        <v>6596</v>
      </c>
      <c r="T1936" s="20" t="s">
        <v>138</v>
      </c>
    </row>
    <row r="1937" ht="14.25" customHeight="1">
      <c r="A1937" s="20" t="s">
        <v>6598</v>
      </c>
      <c r="B1937" s="20" t="s">
        <v>6599</v>
      </c>
      <c r="C1937" s="20" t="s">
        <v>159</v>
      </c>
      <c r="F1937" s="20" t="s">
        <v>150</v>
      </c>
      <c r="G1937" s="20" t="s">
        <v>150</v>
      </c>
      <c r="I1937" s="20" t="s">
        <v>151</v>
      </c>
      <c r="J1937" s="20" t="s">
        <v>143</v>
      </c>
      <c r="Q1937" s="20">
        <v>11423.0</v>
      </c>
      <c r="R1937" s="20" t="s">
        <v>6600</v>
      </c>
      <c r="S1937" s="20" t="s">
        <v>6599</v>
      </c>
      <c r="T1937" s="20" t="s">
        <v>138</v>
      </c>
    </row>
    <row r="1938" ht="14.25" customHeight="1">
      <c r="A1938" s="20" t="s">
        <v>6601</v>
      </c>
      <c r="B1938" s="20" t="s">
        <v>6602</v>
      </c>
      <c r="C1938" s="20" t="s">
        <v>6603</v>
      </c>
      <c r="F1938" s="20" t="s">
        <v>17</v>
      </c>
      <c r="G1938" s="20" t="s">
        <v>17</v>
      </c>
      <c r="I1938" s="20" t="s">
        <v>88</v>
      </c>
      <c r="J1938" s="20" t="s">
        <v>143</v>
      </c>
      <c r="K1938" s="20" t="s">
        <v>213</v>
      </c>
      <c r="L1938" s="20" t="s">
        <v>88</v>
      </c>
      <c r="M1938" s="20" t="s">
        <v>6604</v>
      </c>
      <c r="O1938" s="20" t="s">
        <v>144</v>
      </c>
      <c r="Q1938" s="20">
        <v>3559.0</v>
      </c>
      <c r="R1938" s="20" t="s">
        <v>6605</v>
      </c>
      <c r="S1938" s="20" t="s">
        <v>6606</v>
      </c>
      <c r="T1938" s="20" t="s">
        <v>138</v>
      </c>
      <c r="W1938" s="20" t="s">
        <v>146</v>
      </c>
    </row>
    <row r="1939" ht="14.25" customHeight="1">
      <c r="A1939" s="20" t="s">
        <v>6607</v>
      </c>
      <c r="B1939" s="20" t="s">
        <v>6608</v>
      </c>
      <c r="C1939" s="20" t="s">
        <v>818</v>
      </c>
      <c r="F1939" s="20" t="s">
        <v>17</v>
      </c>
      <c r="G1939" s="20" t="s">
        <v>17</v>
      </c>
      <c r="I1939" s="20" t="s">
        <v>88</v>
      </c>
      <c r="J1939" s="20" t="s">
        <v>143</v>
      </c>
      <c r="Q1939" s="20">
        <v>2860.0</v>
      </c>
      <c r="R1939" s="20" t="s">
        <v>6609</v>
      </c>
      <c r="S1939" s="20" t="s">
        <v>6610</v>
      </c>
      <c r="T1939" s="20" t="s">
        <v>138</v>
      </c>
    </row>
    <row r="1940" ht="14.25" customHeight="1">
      <c r="A1940" s="20" t="s">
        <v>6611</v>
      </c>
      <c r="B1940" s="20" t="s">
        <v>6612</v>
      </c>
      <c r="C1940" s="20" t="s">
        <v>174</v>
      </c>
      <c r="F1940" s="20" t="s">
        <v>150</v>
      </c>
      <c r="G1940" s="20" t="s">
        <v>150</v>
      </c>
      <c r="I1940" s="20" t="s">
        <v>151</v>
      </c>
      <c r="J1940" s="20" t="s">
        <v>143</v>
      </c>
      <c r="Q1940" s="20">
        <v>12199.0</v>
      </c>
      <c r="R1940" s="20" t="s">
        <v>6613</v>
      </c>
      <c r="S1940" s="20" t="s">
        <v>6612</v>
      </c>
      <c r="T1940" s="20" t="s">
        <v>138</v>
      </c>
    </row>
    <row r="1941" ht="14.25" customHeight="1">
      <c r="A1941" s="20" t="s">
        <v>6614</v>
      </c>
      <c r="B1941" s="20" t="s">
        <v>6615</v>
      </c>
      <c r="C1941" s="20" t="s">
        <v>818</v>
      </c>
      <c r="F1941" s="20" t="s">
        <v>17</v>
      </c>
      <c r="G1941" s="20" t="s">
        <v>17</v>
      </c>
      <c r="I1941" s="20" t="s">
        <v>88</v>
      </c>
      <c r="J1941" s="20" t="s">
        <v>143</v>
      </c>
      <c r="K1941" s="20" t="s">
        <v>167</v>
      </c>
      <c r="Q1941" s="20">
        <v>6750.0</v>
      </c>
      <c r="R1941" s="20" t="s">
        <v>6616</v>
      </c>
      <c r="S1941" s="20" t="s">
        <v>6615</v>
      </c>
      <c r="T1941" s="20" t="s">
        <v>138</v>
      </c>
    </row>
    <row r="1942" ht="14.25" customHeight="1">
      <c r="A1942" s="20" t="s">
        <v>6617</v>
      </c>
      <c r="B1942" s="20" t="s">
        <v>6618</v>
      </c>
      <c r="C1942" s="20" t="s">
        <v>193</v>
      </c>
      <c r="F1942" s="20" t="s">
        <v>150</v>
      </c>
      <c r="G1942" s="20" t="s">
        <v>150</v>
      </c>
      <c r="I1942" s="20" t="s">
        <v>151</v>
      </c>
      <c r="J1942" s="20" t="s">
        <v>143</v>
      </c>
      <c r="Q1942" s="20">
        <v>15299.0</v>
      </c>
      <c r="R1942" s="20" t="s">
        <v>6619</v>
      </c>
      <c r="S1942" s="20" t="s">
        <v>6618</v>
      </c>
      <c r="T1942" s="20" t="s">
        <v>138</v>
      </c>
    </row>
    <row r="1943" ht="14.25" customHeight="1">
      <c r="A1943" s="20" t="s">
        <v>6620</v>
      </c>
      <c r="B1943" s="20" t="s">
        <v>6621</v>
      </c>
      <c r="C1943" s="20" t="s">
        <v>289</v>
      </c>
      <c r="F1943" s="20" t="s">
        <v>150</v>
      </c>
      <c r="G1943" s="20" t="s">
        <v>150</v>
      </c>
      <c r="I1943" s="20" t="s">
        <v>151</v>
      </c>
      <c r="J1943" s="20" t="s">
        <v>143</v>
      </c>
      <c r="K1943" s="20" t="s">
        <v>213</v>
      </c>
      <c r="Q1943" s="20">
        <v>999.0</v>
      </c>
      <c r="R1943" s="20" t="s">
        <v>6622</v>
      </c>
      <c r="S1943" s="20" t="s">
        <v>6621</v>
      </c>
      <c r="T1943" s="20" t="s">
        <v>138</v>
      </c>
      <c r="W1943" s="20" t="s">
        <v>146</v>
      </c>
    </row>
    <row r="1944" ht="14.25" customHeight="1">
      <c r="A1944" s="20" t="s">
        <v>6623</v>
      </c>
      <c r="B1944" s="20" t="s">
        <v>6624</v>
      </c>
      <c r="C1944" s="20" t="s">
        <v>496</v>
      </c>
      <c r="F1944" s="20" t="s">
        <v>218</v>
      </c>
      <c r="G1944" s="20" t="s">
        <v>219</v>
      </c>
      <c r="I1944" s="20" t="s">
        <v>497</v>
      </c>
      <c r="J1944" s="20" t="s">
        <v>186</v>
      </c>
      <c r="K1944" s="20" t="s">
        <v>167</v>
      </c>
      <c r="Q1944" s="20">
        <v>13680.0</v>
      </c>
      <c r="R1944" s="20" t="s">
        <v>6625</v>
      </c>
      <c r="S1944" s="20" t="s">
        <v>6624</v>
      </c>
      <c r="T1944" s="20" t="s">
        <v>138</v>
      </c>
    </row>
    <row r="1945" ht="14.25" customHeight="1">
      <c r="A1945" s="20" t="s">
        <v>6626</v>
      </c>
      <c r="B1945" s="20" t="s">
        <v>6627</v>
      </c>
      <c r="C1945" s="20" t="s">
        <v>1158</v>
      </c>
      <c r="F1945" s="20" t="s">
        <v>218</v>
      </c>
      <c r="G1945" s="20" t="s">
        <v>219</v>
      </c>
      <c r="I1945" s="20" t="s">
        <v>1159</v>
      </c>
      <c r="J1945" s="20" t="s">
        <v>186</v>
      </c>
      <c r="Q1945" s="20">
        <v>5728.0</v>
      </c>
      <c r="R1945" s="20" t="s">
        <v>6628</v>
      </c>
      <c r="S1945" s="20" t="s">
        <v>6627</v>
      </c>
      <c r="T1945" s="20" t="s">
        <v>138</v>
      </c>
    </row>
    <row r="1946" ht="14.25" customHeight="1">
      <c r="A1946" s="20" t="s">
        <v>6629</v>
      </c>
      <c r="B1946" s="20" t="s">
        <v>6630</v>
      </c>
      <c r="C1946" s="20" t="s">
        <v>163</v>
      </c>
      <c r="F1946" s="20" t="s">
        <v>150</v>
      </c>
      <c r="G1946" s="20" t="s">
        <v>150</v>
      </c>
      <c r="I1946" s="20" t="s">
        <v>151</v>
      </c>
      <c r="J1946" s="20" t="s">
        <v>143</v>
      </c>
      <c r="Q1946" s="20">
        <v>6221.0</v>
      </c>
      <c r="R1946" s="20" t="s">
        <v>6631</v>
      </c>
      <c r="S1946" s="20" t="s">
        <v>6630</v>
      </c>
      <c r="T1946" s="20" t="s">
        <v>138</v>
      </c>
    </row>
    <row r="1947" ht="14.25" customHeight="1">
      <c r="A1947" s="20" t="s">
        <v>6632</v>
      </c>
      <c r="B1947" s="20" t="s">
        <v>6633</v>
      </c>
      <c r="C1947" s="20" t="s">
        <v>272</v>
      </c>
      <c r="F1947" s="20" t="s">
        <v>150</v>
      </c>
      <c r="G1947" s="20" t="s">
        <v>150</v>
      </c>
      <c r="I1947" s="20" t="s">
        <v>151</v>
      </c>
      <c r="J1947" s="20" t="s">
        <v>143</v>
      </c>
      <c r="Q1947" s="20">
        <v>14823.0</v>
      </c>
      <c r="R1947" s="20" t="s">
        <v>6634</v>
      </c>
      <c r="S1947" s="20" t="s">
        <v>6633</v>
      </c>
      <c r="T1947" s="20" t="s">
        <v>138</v>
      </c>
    </row>
    <row r="1948" ht="14.25" customHeight="1">
      <c r="A1948" s="20" t="s">
        <v>6635</v>
      </c>
      <c r="B1948" s="20" t="s">
        <v>6636</v>
      </c>
      <c r="C1948" s="20" t="s">
        <v>478</v>
      </c>
      <c r="F1948" s="20" t="s">
        <v>218</v>
      </c>
      <c r="G1948" s="20" t="s">
        <v>219</v>
      </c>
      <c r="I1948" s="20" t="s">
        <v>360</v>
      </c>
      <c r="J1948" s="20" t="s">
        <v>186</v>
      </c>
      <c r="Q1948" s="20">
        <v>11560.0</v>
      </c>
      <c r="R1948" s="20" t="s">
        <v>6637</v>
      </c>
      <c r="S1948" s="20" t="s">
        <v>6636</v>
      </c>
      <c r="T1948" s="20" t="s">
        <v>138</v>
      </c>
    </row>
    <row r="1949" ht="14.25" customHeight="1">
      <c r="A1949" s="20" t="s">
        <v>6638</v>
      </c>
      <c r="B1949" s="20" t="s">
        <v>6639</v>
      </c>
      <c r="C1949" s="20" t="s">
        <v>159</v>
      </c>
      <c r="F1949" s="20" t="s">
        <v>150</v>
      </c>
      <c r="G1949" s="20" t="s">
        <v>150</v>
      </c>
      <c r="I1949" s="20" t="s">
        <v>151</v>
      </c>
      <c r="J1949" s="20" t="s">
        <v>143</v>
      </c>
      <c r="Q1949" s="20">
        <v>7804.0</v>
      </c>
      <c r="R1949" s="20" t="s">
        <v>6640</v>
      </c>
      <c r="S1949" s="20" t="s">
        <v>6639</v>
      </c>
      <c r="T1949" s="20" t="s">
        <v>138</v>
      </c>
    </row>
    <row r="1950" ht="14.25" customHeight="1">
      <c r="A1950" s="20" t="s">
        <v>6641</v>
      </c>
      <c r="B1950" s="20" t="s">
        <v>6642</v>
      </c>
      <c r="C1950" s="20" t="s">
        <v>606</v>
      </c>
      <c r="F1950" s="20" t="s">
        <v>327</v>
      </c>
      <c r="G1950" s="20" t="s">
        <v>385</v>
      </c>
      <c r="I1950" s="20" t="s">
        <v>598</v>
      </c>
      <c r="J1950" s="20" t="s">
        <v>143</v>
      </c>
      <c r="Q1950" s="20">
        <v>13949.0</v>
      </c>
      <c r="R1950" s="20" t="s">
        <v>6643</v>
      </c>
      <c r="S1950" s="20" t="s">
        <v>6642</v>
      </c>
      <c r="T1950" s="20" t="s">
        <v>138</v>
      </c>
    </row>
    <row r="1951" ht="14.25" customHeight="1">
      <c r="A1951" s="20" t="s">
        <v>6644</v>
      </c>
      <c r="B1951" s="20" t="s">
        <v>6645</v>
      </c>
      <c r="C1951" s="20" t="s">
        <v>235</v>
      </c>
      <c r="F1951" s="20" t="s">
        <v>15</v>
      </c>
      <c r="G1951" s="20" t="s">
        <v>142</v>
      </c>
      <c r="H1951" s="20">
        <v>5176.0</v>
      </c>
      <c r="I1951" s="20" t="s">
        <v>105</v>
      </c>
      <c r="J1951" s="20" t="s">
        <v>143</v>
      </c>
      <c r="P1951" s="20" t="s">
        <v>6645</v>
      </c>
      <c r="Q1951" s="20">
        <v>5176.0</v>
      </c>
      <c r="R1951" s="20" t="s">
        <v>6646</v>
      </c>
      <c r="S1951" s="20" t="s">
        <v>6647</v>
      </c>
      <c r="T1951" s="20" t="s">
        <v>138</v>
      </c>
      <c r="W1951" s="20" t="s">
        <v>146</v>
      </c>
    </row>
    <row r="1952" ht="14.25" customHeight="1">
      <c r="A1952" s="20" t="s">
        <v>6648</v>
      </c>
      <c r="B1952" s="20" t="s">
        <v>6649</v>
      </c>
      <c r="C1952" s="20" t="s">
        <v>354</v>
      </c>
      <c r="F1952" s="20" t="s">
        <v>218</v>
      </c>
      <c r="G1952" s="20" t="s">
        <v>219</v>
      </c>
      <c r="I1952" s="20" t="s">
        <v>355</v>
      </c>
      <c r="J1952" s="20" t="s">
        <v>136</v>
      </c>
      <c r="Q1952" s="20">
        <v>15362.0</v>
      </c>
      <c r="R1952" s="20" t="s">
        <v>6650</v>
      </c>
      <c r="S1952" s="20" t="s">
        <v>6649</v>
      </c>
      <c r="T1952" s="20" t="s">
        <v>138</v>
      </c>
    </row>
    <row r="1953" ht="14.25" customHeight="1">
      <c r="A1953" s="20" t="s">
        <v>6651</v>
      </c>
      <c r="B1953" s="20" t="s">
        <v>6652</v>
      </c>
      <c r="C1953" s="20" t="s">
        <v>1115</v>
      </c>
      <c r="F1953" s="20" t="s">
        <v>15</v>
      </c>
      <c r="G1953" s="20" t="s">
        <v>142</v>
      </c>
      <c r="I1953" s="20" t="s">
        <v>105</v>
      </c>
      <c r="J1953" s="20" t="s">
        <v>136</v>
      </c>
      <c r="Q1953" s="20">
        <v>11530.0</v>
      </c>
      <c r="R1953" s="20" t="s">
        <v>6653</v>
      </c>
      <c r="S1953" s="20" t="s">
        <v>6652</v>
      </c>
      <c r="T1953" s="20" t="s">
        <v>138</v>
      </c>
      <c r="W1953" s="20" t="s">
        <v>136</v>
      </c>
    </row>
    <row r="1954" ht="14.25" customHeight="1">
      <c r="A1954" s="20" t="s">
        <v>6654</v>
      </c>
      <c r="B1954" s="20" t="s">
        <v>6655</v>
      </c>
      <c r="C1954" s="20" t="s">
        <v>289</v>
      </c>
      <c r="F1954" s="20" t="s">
        <v>150</v>
      </c>
      <c r="G1954" s="20" t="s">
        <v>150</v>
      </c>
      <c r="I1954" s="20" t="s">
        <v>151</v>
      </c>
      <c r="J1954" s="20" t="s">
        <v>143</v>
      </c>
      <c r="Q1954" s="20">
        <v>6101.0</v>
      </c>
      <c r="R1954" s="20" t="s">
        <v>6656</v>
      </c>
      <c r="S1954" s="20" t="s">
        <v>6655</v>
      </c>
      <c r="T1954" s="20" t="s">
        <v>138</v>
      </c>
    </row>
    <row r="1955" ht="14.25" customHeight="1">
      <c r="A1955" s="20" t="s">
        <v>6657</v>
      </c>
      <c r="B1955" s="20" t="s">
        <v>6658</v>
      </c>
      <c r="C1955" s="20" t="s">
        <v>801</v>
      </c>
      <c r="F1955" s="20" t="s">
        <v>218</v>
      </c>
      <c r="G1955" s="20" t="s">
        <v>219</v>
      </c>
      <c r="I1955" s="20" t="s">
        <v>802</v>
      </c>
      <c r="J1955" s="20" t="s">
        <v>186</v>
      </c>
      <c r="K1955" s="20" t="s">
        <v>187</v>
      </c>
      <c r="Q1955" s="20">
        <v>4072.0</v>
      </c>
      <c r="R1955" s="20" t="s">
        <v>6659</v>
      </c>
      <c r="S1955" s="20" t="s">
        <v>6658</v>
      </c>
      <c r="T1955" s="20" t="s">
        <v>138</v>
      </c>
      <c r="V1955" s="20" t="s">
        <v>260</v>
      </c>
      <c r="W1955" s="20" t="s">
        <v>190</v>
      </c>
    </row>
    <row r="1956" ht="14.25" customHeight="1">
      <c r="A1956" s="20" t="s">
        <v>6660</v>
      </c>
      <c r="B1956" s="20" t="s">
        <v>6661</v>
      </c>
      <c r="C1956" s="20" t="s">
        <v>4176</v>
      </c>
      <c r="F1956" s="20" t="s">
        <v>15</v>
      </c>
      <c r="G1956" s="20" t="s">
        <v>135</v>
      </c>
      <c r="H1956" s="20">
        <v>17637.0</v>
      </c>
      <c r="I1956" s="20" t="s">
        <v>94</v>
      </c>
      <c r="J1956" s="20" t="s">
        <v>143</v>
      </c>
      <c r="K1956" s="20" t="s">
        <v>213</v>
      </c>
      <c r="L1956" s="20" t="s">
        <v>94</v>
      </c>
      <c r="P1956" s="20" t="s">
        <v>6661</v>
      </c>
      <c r="Q1956" s="20">
        <v>17637.0</v>
      </c>
      <c r="R1956" s="20" t="s">
        <v>6662</v>
      </c>
      <c r="S1956" s="20" t="s">
        <v>6661</v>
      </c>
      <c r="T1956" s="20" t="s">
        <v>138</v>
      </c>
      <c r="U1956" s="24">
        <v>45646.0</v>
      </c>
      <c r="W1956" s="20" t="s">
        <v>146</v>
      </c>
    </row>
    <row r="1957" ht="14.25" customHeight="1">
      <c r="A1957" s="20" t="s">
        <v>6663</v>
      </c>
      <c r="B1957" s="20" t="s">
        <v>6664</v>
      </c>
      <c r="C1957" s="20" t="s">
        <v>779</v>
      </c>
      <c r="F1957" s="20" t="s">
        <v>150</v>
      </c>
      <c r="G1957" s="20" t="s">
        <v>150</v>
      </c>
      <c r="I1957" s="20" t="s">
        <v>151</v>
      </c>
      <c r="J1957" s="20" t="s">
        <v>143</v>
      </c>
      <c r="Q1957" s="20">
        <v>15165.0</v>
      </c>
      <c r="R1957" s="20" t="s">
        <v>6665</v>
      </c>
      <c r="S1957" s="20" t="s">
        <v>6664</v>
      </c>
      <c r="T1957" s="20" t="s">
        <v>138</v>
      </c>
    </row>
    <row r="1958" ht="14.25" customHeight="1">
      <c r="A1958" s="20" t="s">
        <v>6666</v>
      </c>
      <c r="B1958" s="20" t="s">
        <v>6667</v>
      </c>
      <c r="C1958" s="20" t="s">
        <v>252</v>
      </c>
      <c r="F1958" s="20" t="s">
        <v>16</v>
      </c>
      <c r="G1958" s="20" t="s">
        <v>211</v>
      </c>
      <c r="I1958" s="20" t="s">
        <v>253</v>
      </c>
      <c r="J1958" s="20" t="s">
        <v>136</v>
      </c>
      <c r="Q1958" s="20">
        <v>14780.0</v>
      </c>
      <c r="R1958" s="20" t="s">
        <v>6668</v>
      </c>
      <c r="S1958" s="20" t="s">
        <v>6667</v>
      </c>
      <c r="T1958" s="20" t="s">
        <v>138</v>
      </c>
    </row>
    <row r="1959" ht="14.25" customHeight="1">
      <c r="A1959" s="20" t="s">
        <v>6669</v>
      </c>
      <c r="B1959" s="20" t="s">
        <v>6670</v>
      </c>
      <c r="C1959" s="20" t="s">
        <v>364</v>
      </c>
      <c r="F1959" s="20" t="s">
        <v>218</v>
      </c>
      <c r="G1959" s="20" t="s">
        <v>219</v>
      </c>
      <c r="I1959" s="20" t="s">
        <v>365</v>
      </c>
      <c r="J1959" s="20" t="s">
        <v>186</v>
      </c>
      <c r="K1959" s="20" t="s">
        <v>213</v>
      </c>
      <c r="Q1959" s="20">
        <v>750.0</v>
      </c>
      <c r="R1959" s="20" t="s">
        <v>6671</v>
      </c>
      <c r="S1959" s="20" t="s">
        <v>6670</v>
      </c>
      <c r="T1959" s="20" t="s">
        <v>138</v>
      </c>
      <c r="W1959" s="20" t="s">
        <v>146</v>
      </c>
    </row>
    <row r="1960" ht="14.25" customHeight="1">
      <c r="A1960" s="20" t="s">
        <v>6672</v>
      </c>
      <c r="B1960" s="20" t="s">
        <v>6673</v>
      </c>
      <c r="C1960" s="20" t="s">
        <v>1115</v>
      </c>
      <c r="F1960" s="20" t="s">
        <v>15</v>
      </c>
      <c r="G1960" s="20" t="s">
        <v>142</v>
      </c>
      <c r="H1960" s="20">
        <v>16914.0</v>
      </c>
      <c r="I1960" s="20" t="s">
        <v>105</v>
      </c>
      <c r="J1960" s="20" t="s">
        <v>143</v>
      </c>
      <c r="P1960" s="20" t="s">
        <v>6673</v>
      </c>
      <c r="Q1960" s="20">
        <v>16914.0</v>
      </c>
      <c r="R1960" s="20" t="s">
        <v>6674</v>
      </c>
      <c r="S1960" s="20" t="s">
        <v>6673</v>
      </c>
      <c r="T1960" s="20" t="s">
        <v>138</v>
      </c>
      <c r="W1960" s="20" t="s">
        <v>146</v>
      </c>
    </row>
    <row r="1961" ht="14.25" customHeight="1">
      <c r="A1961" s="20" t="s">
        <v>6675</v>
      </c>
      <c r="B1961" s="20" t="s">
        <v>6676</v>
      </c>
      <c r="C1961" s="20" t="s">
        <v>3109</v>
      </c>
      <c r="F1961" s="20" t="s">
        <v>17</v>
      </c>
      <c r="G1961" s="20" t="s">
        <v>17</v>
      </c>
      <c r="I1961" s="20" t="s">
        <v>88</v>
      </c>
      <c r="J1961" s="20" t="s">
        <v>143</v>
      </c>
      <c r="Q1961" s="20">
        <v>14948.0</v>
      </c>
      <c r="R1961" s="20" t="s">
        <v>6677</v>
      </c>
      <c r="S1961" s="20" t="s">
        <v>6676</v>
      </c>
      <c r="T1961" s="20" t="s">
        <v>138</v>
      </c>
    </row>
    <row r="1962" ht="14.25" customHeight="1">
      <c r="A1962" s="20" t="s">
        <v>6678</v>
      </c>
      <c r="B1962" s="20" t="s">
        <v>6679</v>
      </c>
      <c r="C1962" s="20" t="s">
        <v>2490</v>
      </c>
      <c r="F1962" s="20" t="s">
        <v>16</v>
      </c>
      <c r="G1962" s="20" t="s">
        <v>638</v>
      </c>
      <c r="H1962" s="20">
        <v>17495.0</v>
      </c>
      <c r="I1962" s="20" t="s">
        <v>814</v>
      </c>
      <c r="J1962" s="20" t="s">
        <v>143</v>
      </c>
      <c r="P1962" s="20" t="s">
        <v>6679</v>
      </c>
      <c r="Q1962" s="20">
        <v>17495.0</v>
      </c>
      <c r="R1962" s="20" t="s">
        <v>6680</v>
      </c>
      <c r="S1962" s="20" t="s">
        <v>6679</v>
      </c>
      <c r="T1962" s="20" t="s">
        <v>138</v>
      </c>
    </row>
    <row r="1963" ht="14.25" customHeight="1">
      <c r="A1963" s="20" t="s">
        <v>6681</v>
      </c>
      <c r="B1963" s="20" t="s">
        <v>6682</v>
      </c>
      <c r="C1963" s="20" t="s">
        <v>5381</v>
      </c>
      <c r="F1963" s="20" t="s">
        <v>150</v>
      </c>
      <c r="G1963" s="20" t="s">
        <v>150</v>
      </c>
      <c r="I1963" s="20" t="s">
        <v>151</v>
      </c>
      <c r="J1963" s="20" t="s">
        <v>143</v>
      </c>
      <c r="K1963" s="20" t="s">
        <v>213</v>
      </c>
      <c r="L1963" s="20" t="s">
        <v>151</v>
      </c>
      <c r="Q1963" s="20">
        <v>973.0</v>
      </c>
      <c r="R1963" s="20" t="s">
        <v>6683</v>
      </c>
      <c r="S1963" s="20" t="s">
        <v>6682</v>
      </c>
      <c r="T1963" s="20" t="s">
        <v>138</v>
      </c>
      <c r="V1963" s="20" t="s">
        <v>260</v>
      </c>
      <c r="W1963" s="20" t="s">
        <v>146</v>
      </c>
    </row>
    <row r="1964" ht="14.25" customHeight="1">
      <c r="A1964" s="20" t="s">
        <v>6684</v>
      </c>
      <c r="B1964" s="20" t="s">
        <v>6685</v>
      </c>
      <c r="C1964" s="20" t="s">
        <v>1305</v>
      </c>
      <c r="F1964" s="20" t="s">
        <v>16</v>
      </c>
      <c r="G1964" s="20" t="s">
        <v>202</v>
      </c>
      <c r="I1964" s="20" t="s">
        <v>1306</v>
      </c>
      <c r="J1964" s="20" t="s">
        <v>143</v>
      </c>
      <c r="K1964" s="20" t="s">
        <v>167</v>
      </c>
      <c r="Q1964" s="20">
        <v>6159.0</v>
      </c>
      <c r="R1964" s="20" t="s">
        <v>6686</v>
      </c>
      <c r="S1964" s="20" t="s">
        <v>6685</v>
      </c>
      <c r="T1964" s="20" t="s">
        <v>138</v>
      </c>
    </row>
    <row r="1965" ht="14.25" customHeight="1">
      <c r="A1965" s="20" t="s">
        <v>6687</v>
      </c>
      <c r="B1965" s="20" t="s">
        <v>6688</v>
      </c>
      <c r="C1965" s="20" t="s">
        <v>193</v>
      </c>
      <c r="F1965" s="20" t="s">
        <v>150</v>
      </c>
      <c r="G1965" s="20" t="s">
        <v>150</v>
      </c>
      <c r="I1965" s="20" t="s">
        <v>151</v>
      </c>
      <c r="J1965" s="20" t="s">
        <v>143</v>
      </c>
      <c r="Q1965" s="20">
        <v>1009.0</v>
      </c>
      <c r="R1965" s="20" t="s">
        <v>6689</v>
      </c>
      <c r="S1965" s="20" t="s">
        <v>6688</v>
      </c>
      <c r="T1965" s="20" t="s">
        <v>138</v>
      </c>
    </row>
    <row r="1966" ht="14.25" customHeight="1">
      <c r="A1966" s="20" t="s">
        <v>6690</v>
      </c>
      <c r="B1966" s="20" t="s">
        <v>6691</v>
      </c>
      <c r="C1966" s="20" t="s">
        <v>252</v>
      </c>
      <c r="F1966" s="20" t="s">
        <v>16</v>
      </c>
      <c r="G1966" s="20" t="s">
        <v>211</v>
      </c>
      <c r="I1966" s="20" t="s">
        <v>253</v>
      </c>
      <c r="J1966" s="20" t="s">
        <v>186</v>
      </c>
      <c r="Q1966" s="20">
        <v>5473.0</v>
      </c>
      <c r="R1966" s="20" t="s">
        <v>6692</v>
      </c>
      <c r="S1966" s="20" t="s">
        <v>6691</v>
      </c>
      <c r="T1966" s="20" t="s">
        <v>138</v>
      </c>
    </row>
    <row r="1967" ht="14.25" customHeight="1">
      <c r="A1967" s="20" t="s">
        <v>6693</v>
      </c>
      <c r="B1967" s="20" t="s">
        <v>6694</v>
      </c>
      <c r="C1967" s="20" t="s">
        <v>6695</v>
      </c>
      <c r="F1967" s="20" t="s">
        <v>218</v>
      </c>
      <c r="G1967" s="20" t="s">
        <v>219</v>
      </c>
      <c r="H1967" s="20">
        <v>17643.0</v>
      </c>
      <c r="I1967" s="20" t="s">
        <v>497</v>
      </c>
      <c r="J1967" s="20" t="s">
        <v>186</v>
      </c>
      <c r="P1967" s="20" t="s">
        <v>6694</v>
      </c>
      <c r="Q1967" s="20">
        <v>17643.0</v>
      </c>
      <c r="R1967" s="20" t="s">
        <v>6696</v>
      </c>
      <c r="S1967" s="20" t="s">
        <v>6694</v>
      </c>
      <c r="T1967" s="20" t="s">
        <v>138</v>
      </c>
      <c r="W1967" s="20" t="s">
        <v>146</v>
      </c>
      <c r="X1967" s="20" t="s">
        <v>1292</v>
      </c>
    </row>
    <row r="1968" ht="14.25" customHeight="1">
      <c r="A1968" s="20" t="s">
        <v>6697</v>
      </c>
      <c r="B1968" s="20" t="s">
        <v>6698</v>
      </c>
      <c r="C1968" s="20" t="s">
        <v>486</v>
      </c>
      <c r="F1968" s="20" t="s">
        <v>327</v>
      </c>
      <c r="G1968" s="20" t="s">
        <v>385</v>
      </c>
      <c r="I1968" s="20" t="s">
        <v>487</v>
      </c>
      <c r="J1968" s="20" t="s">
        <v>143</v>
      </c>
      <c r="Q1968" s="20">
        <v>13722.0</v>
      </c>
      <c r="R1968" s="20" t="s">
        <v>6699</v>
      </c>
      <c r="S1968" s="20" t="s">
        <v>6698</v>
      </c>
      <c r="T1968" s="20" t="s">
        <v>138</v>
      </c>
    </row>
    <row r="1969" ht="14.25" customHeight="1">
      <c r="A1969" s="20" t="s">
        <v>6700</v>
      </c>
      <c r="B1969" s="20" t="s">
        <v>6701</v>
      </c>
      <c r="C1969" s="20" t="s">
        <v>6702</v>
      </c>
      <c r="F1969" s="20" t="s">
        <v>327</v>
      </c>
      <c r="G1969" s="20" t="s">
        <v>385</v>
      </c>
      <c r="I1969" s="20" t="s">
        <v>598</v>
      </c>
      <c r="J1969" s="20" t="s">
        <v>186</v>
      </c>
      <c r="K1969" s="20" t="s">
        <v>213</v>
      </c>
      <c r="Q1969" s="20">
        <v>11376.0</v>
      </c>
      <c r="R1969" s="20" t="s">
        <v>6703</v>
      </c>
      <c r="S1969" s="20" t="s">
        <v>6701</v>
      </c>
      <c r="T1969" s="20" t="s">
        <v>138</v>
      </c>
    </row>
    <row r="1970" ht="14.25" customHeight="1">
      <c r="A1970" s="20" t="s">
        <v>6704</v>
      </c>
      <c r="B1970" s="20" t="s">
        <v>6705</v>
      </c>
      <c r="C1970" s="20" t="s">
        <v>235</v>
      </c>
      <c r="F1970" s="20" t="s">
        <v>15</v>
      </c>
      <c r="G1970" s="20" t="s">
        <v>142</v>
      </c>
      <c r="I1970" s="20" t="s">
        <v>105</v>
      </c>
      <c r="J1970" s="20" t="s">
        <v>143</v>
      </c>
      <c r="Q1970" s="20">
        <v>5177.0</v>
      </c>
      <c r="R1970" s="20" t="s">
        <v>6706</v>
      </c>
      <c r="S1970" s="20" t="s">
        <v>6705</v>
      </c>
      <c r="T1970" s="20" t="s">
        <v>138</v>
      </c>
    </row>
    <row r="1971" ht="14.25" customHeight="1">
      <c r="A1971" s="20" t="s">
        <v>6707</v>
      </c>
      <c r="B1971" s="20" t="s">
        <v>6708</v>
      </c>
      <c r="C1971" s="20" t="s">
        <v>5895</v>
      </c>
      <c r="F1971" s="20" t="s">
        <v>15</v>
      </c>
      <c r="G1971" s="20" t="s">
        <v>142</v>
      </c>
      <c r="I1971" s="20" t="s">
        <v>105</v>
      </c>
      <c r="J1971" s="20" t="s">
        <v>143</v>
      </c>
      <c r="Q1971" s="20">
        <v>8899.0</v>
      </c>
      <c r="R1971" s="20" t="s">
        <v>6709</v>
      </c>
      <c r="S1971" s="20" t="s">
        <v>6708</v>
      </c>
      <c r="T1971" s="20" t="s">
        <v>138</v>
      </c>
      <c r="W1971" s="20" t="s">
        <v>261</v>
      </c>
    </row>
    <row r="1972" ht="14.25" customHeight="1">
      <c r="A1972" s="20" t="s">
        <v>6710</v>
      </c>
      <c r="B1972" s="20" t="s">
        <v>6711</v>
      </c>
      <c r="C1972" s="20" t="s">
        <v>252</v>
      </c>
      <c r="F1972" s="20" t="s">
        <v>16</v>
      </c>
      <c r="G1972" s="20" t="s">
        <v>211</v>
      </c>
      <c r="I1972" s="20" t="s">
        <v>253</v>
      </c>
      <c r="J1972" s="20" t="s">
        <v>143</v>
      </c>
      <c r="Q1972" s="20">
        <v>16461.0</v>
      </c>
      <c r="R1972" s="20" t="s">
        <v>6712</v>
      </c>
      <c r="S1972" s="20" t="s">
        <v>6711</v>
      </c>
      <c r="T1972" s="20" t="s">
        <v>138</v>
      </c>
    </row>
    <row r="1973" ht="14.25" customHeight="1">
      <c r="A1973" s="20" t="s">
        <v>6713</v>
      </c>
      <c r="B1973" s="20" t="s">
        <v>6714</v>
      </c>
      <c r="C1973" s="20" t="s">
        <v>496</v>
      </c>
      <c r="F1973" s="20" t="s">
        <v>218</v>
      </c>
      <c r="G1973" s="20" t="s">
        <v>219</v>
      </c>
      <c r="I1973" s="20" t="s">
        <v>497</v>
      </c>
      <c r="J1973" s="20" t="s">
        <v>186</v>
      </c>
      <c r="Q1973" s="20">
        <v>5303.0</v>
      </c>
      <c r="R1973" s="20" t="s">
        <v>6715</v>
      </c>
      <c r="S1973" s="20" t="s">
        <v>6714</v>
      </c>
      <c r="T1973" s="20" t="s">
        <v>138</v>
      </c>
    </row>
    <row r="1974" ht="14.25" customHeight="1">
      <c r="A1974" s="20" t="s">
        <v>6716</v>
      </c>
      <c r="B1974" s="20" t="s">
        <v>6717</v>
      </c>
      <c r="C1974" s="20" t="s">
        <v>6718</v>
      </c>
      <c r="F1974" s="20" t="s">
        <v>16</v>
      </c>
      <c r="G1974" s="20" t="s">
        <v>211</v>
      </c>
      <c r="I1974" s="20" t="s">
        <v>6719</v>
      </c>
      <c r="J1974" s="20" t="s">
        <v>143</v>
      </c>
      <c r="Q1974" s="20">
        <v>7008.0</v>
      </c>
      <c r="R1974" s="20" t="s">
        <v>6720</v>
      </c>
      <c r="S1974" s="20" t="s">
        <v>6717</v>
      </c>
      <c r="T1974" s="20" t="s">
        <v>138</v>
      </c>
      <c r="V1974" s="20" t="s">
        <v>189</v>
      </c>
      <c r="W1974" s="20" t="s">
        <v>146</v>
      </c>
    </row>
    <row r="1975" ht="14.25" customHeight="1">
      <c r="A1975" s="20" t="s">
        <v>6721</v>
      </c>
      <c r="B1975" s="20" t="s">
        <v>6722</v>
      </c>
      <c r="C1975" s="20" t="s">
        <v>501</v>
      </c>
      <c r="F1975" s="20" t="s">
        <v>16</v>
      </c>
      <c r="G1975" s="20" t="s">
        <v>211</v>
      </c>
      <c r="I1975" s="20" t="s">
        <v>6723</v>
      </c>
      <c r="J1975" s="20" t="s">
        <v>186</v>
      </c>
      <c r="Q1975" s="20">
        <v>3774.0</v>
      </c>
      <c r="R1975" s="20" t="s">
        <v>6724</v>
      </c>
      <c r="S1975" s="20" t="s">
        <v>6722</v>
      </c>
      <c r="T1975" s="20" t="s">
        <v>138</v>
      </c>
    </row>
    <row r="1976" ht="14.25" customHeight="1">
      <c r="A1976" s="20" t="s">
        <v>6725</v>
      </c>
      <c r="B1976" s="20" t="s">
        <v>6726</v>
      </c>
      <c r="C1976" s="20" t="s">
        <v>637</v>
      </c>
      <c r="F1976" s="20" t="s">
        <v>16</v>
      </c>
      <c r="G1976" s="20" t="s">
        <v>638</v>
      </c>
      <c r="I1976" s="20" t="s">
        <v>639</v>
      </c>
      <c r="J1976" s="20" t="s">
        <v>136</v>
      </c>
      <c r="Q1976" s="20">
        <v>15888.0</v>
      </c>
      <c r="R1976" s="20" t="s">
        <v>6727</v>
      </c>
      <c r="S1976" s="20" t="s">
        <v>6726</v>
      </c>
      <c r="T1976" s="20" t="s">
        <v>138</v>
      </c>
    </row>
    <row r="1977" ht="14.25" customHeight="1">
      <c r="A1977" s="20" t="s">
        <v>6728</v>
      </c>
      <c r="B1977" s="20" t="s">
        <v>6729</v>
      </c>
      <c r="C1977" s="20" t="s">
        <v>818</v>
      </c>
      <c r="F1977" s="20" t="s">
        <v>17</v>
      </c>
      <c r="G1977" s="20" t="s">
        <v>17</v>
      </c>
      <c r="I1977" s="20" t="s">
        <v>88</v>
      </c>
      <c r="J1977" s="20" t="s">
        <v>143</v>
      </c>
      <c r="Q1977" s="20">
        <v>5344.0</v>
      </c>
      <c r="R1977" s="20" t="s">
        <v>6730</v>
      </c>
      <c r="S1977" s="20" t="s">
        <v>6729</v>
      </c>
      <c r="T1977" s="20" t="s">
        <v>138</v>
      </c>
    </row>
    <row r="1978" ht="14.25" customHeight="1">
      <c r="A1978" s="20" t="s">
        <v>6731</v>
      </c>
      <c r="B1978" s="20" t="s">
        <v>6732</v>
      </c>
      <c r="C1978" s="20" t="s">
        <v>6733</v>
      </c>
      <c r="F1978" s="20" t="s">
        <v>16</v>
      </c>
      <c r="G1978" s="20" t="s">
        <v>211</v>
      </c>
      <c r="H1978" s="20">
        <v>3021.0</v>
      </c>
      <c r="I1978" s="20" t="s">
        <v>212</v>
      </c>
      <c r="J1978" s="20" t="s">
        <v>186</v>
      </c>
      <c r="K1978" s="20" t="s">
        <v>187</v>
      </c>
      <c r="L1978" s="20" t="s">
        <v>212</v>
      </c>
      <c r="Q1978" s="20">
        <v>3021.0</v>
      </c>
      <c r="R1978" s="20" t="s">
        <v>6734</v>
      </c>
      <c r="S1978" s="20" t="s">
        <v>6732</v>
      </c>
      <c r="T1978" s="20" t="s">
        <v>138</v>
      </c>
      <c r="V1978" s="20" t="s">
        <v>189</v>
      </c>
      <c r="W1978" s="20" t="s">
        <v>261</v>
      </c>
    </row>
    <row r="1979" ht="14.25" customHeight="1">
      <c r="A1979" s="20" t="s">
        <v>6735</v>
      </c>
      <c r="B1979" s="20" t="s">
        <v>6736</v>
      </c>
      <c r="C1979" s="20" t="s">
        <v>182</v>
      </c>
      <c r="F1979" s="20" t="s">
        <v>15</v>
      </c>
      <c r="G1979" s="20" t="s">
        <v>135</v>
      </c>
      <c r="H1979" s="20">
        <v>13913.0</v>
      </c>
      <c r="I1979" s="20" t="s">
        <v>93</v>
      </c>
      <c r="J1979" s="20" t="s">
        <v>136</v>
      </c>
      <c r="L1979" s="20" t="s">
        <v>93</v>
      </c>
      <c r="Q1979" s="20">
        <v>13913.0</v>
      </c>
      <c r="R1979" s="20" t="s">
        <v>6737</v>
      </c>
      <c r="S1979" s="20" t="s">
        <v>6736</v>
      </c>
      <c r="T1979" s="20" t="s">
        <v>138</v>
      </c>
    </row>
    <row r="1980" ht="14.25" customHeight="1">
      <c r="A1980" s="20" t="s">
        <v>6738</v>
      </c>
      <c r="B1980" s="20" t="s">
        <v>6739</v>
      </c>
      <c r="C1980" s="20" t="s">
        <v>149</v>
      </c>
      <c r="F1980" s="20" t="s">
        <v>150</v>
      </c>
      <c r="G1980" s="20" t="s">
        <v>150</v>
      </c>
      <c r="I1980" s="20" t="s">
        <v>151</v>
      </c>
      <c r="J1980" s="20" t="s">
        <v>143</v>
      </c>
      <c r="Q1980" s="20">
        <v>16631.0</v>
      </c>
      <c r="R1980" s="20" t="s">
        <v>6740</v>
      </c>
      <c r="S1980" s="20" t="s">
        <v>6739</v>
      </c>
      <c r="T1980" s="20" t="s">
        <v>138</v>
      </c>
    </row>
    <row r="1981" ht="14.25" customHeight="1">
      <c r="A1981" s="20" t="s">
        <v>6741</v>
      </c>
      <c r="B1981" s="20" t="s">
        <v>6742</v>
      </c>
      <c r="C1981" s="20" t="s">
        <v>197</v>
      </c>
      <c r="F1981" s="20" t="s">
        <v>150</v>
      </c>
      <c r="G1981" s="20" t="s">
        <v>150</v>
      </c>
      <c r="I1981" s="20" t="s">
        <v>151</v>
      </c>
      <c r="J1981" s="20" t="s">
        <v>143</v>
      </c>
      <c r="K1981" s="20" t="s">
        <v>167</v>
      </c>
      <c r="Q1981" s="20">
        <v>11799.0</v>
      </c>
      <c r="R1981" s="20" t="s">
        <v>6743</v>
      </c>
      <c r="S1981" s="20" t="s">
        <v>6742</v>
      </c>
      <c r="T1981" s="20" t="s">
        <v>138</v>
      </c>
    </row>
    <row r="1982" ht="14.25" customHeight="1">
      <c r="A1982" s="20" t="s">
        <v>6744</v>
      </c>
      <c r="B1982" s="20" t="s">
        <v>6745</v>
      </c>
      <c r="C1982" s="20" t="s">
        <v>651</v>
      </c>
      <c r="F1982" s="20" t="s">
        <v>327</v>
      </c>
      <c r="G1982" s="20" t="s">
        <v>395</v>
      </c>
      <c r="I1982" s="20" t="s">
        <v>6422</v>
      </c>
      <c r="J1982" s="20" t="s">
        <v>186</v>
      </c>
      <c r="K1982" s="20" t="s">
        <v>167</v>
      </c>
      <c r="Q1982" s="20">
        <v>7007.0</v>
      </c>
      <c r="R1982" s="20" t="s">
        <v>6746</v>
      </c>
      <c r="S1982" s="20" t="s">
        <v>6745</v>
      </c>
      <c r="T1982" s="20" t="s">
        <v>138</v>
      </c>
    </row>
    <row r="1983" ht="14.25" customHeight="1">
      <c r="A1983" s="20" t="s">
        <v>6747</v>
      </c>
      <c r="B1983" s="20" t="s">
        <v>6748</v>
      </c>
      <c r="C1983" s="20" t="s">
        <v>680</v>
      </c>
      <c r="F1983" s="20" t="s">
        <v>15</v>
      </c>
      <c r="G1983" s="20" t="s">
        <v>142</v>
      </c>
      <c r="I1983" s="20" t="s">
        <v>105</v>
      </c>
      <c r="J1983" s="20" t="s">
        <v>143</v>
      </c>
      <c r="Q1983" s="20">
        <v>10128.0</v>
      </c>
      <c r="R1983" s="20" t="s">
        <v>6749</v>
      </c>
      <c r="S1983" s="20" t="s">
        <v>6748</v>
      </c>
      <c r="T1983" s="20" t="s">
        <v>138</v>
      </c>
    </row>
    <row r="1984" ht="14.25" customHeight="1">
      <c r="A1984" s="20" t="s">
        <v>6750</v>
      </c>
      <c r="B1984" s="20" t="s">
        <v>6751</v>
      </c>
      <c r="C1984" s="20" t="s">
        <v>491</v>
      </c>
      <c r="F1984" s="20" t="s">
        <v>327</v>
      </c>
      <c r="G1984" s="20" t="s">
        <v>385</v>
      </c>
      <c r="I1984" s="20" t="s">
        <v>492</v>
      </c>
      <c r="J1984" s="20" t="s">
        <v>143</v>
      </c>
      <c r="Q1984" s="20">
        <v>15843.0</v>
      </c>
      <c r="R1984" s="20" t="s">
        <v>6752</v>
      </c>
      <c r="S1984" s="20" t="s">
        <v>6751</v>
      </c>
      <c r="T1984" s="20" t="s">
        <v>138</v>
      </c>
    </row>
    <row r="1985" ht="14.25" customHeight="1">
      <c r="A1985" s="20" t="s">
        <v>6753</v>
      </c>
      <c r="B1985" s="20" t="s">
        <v>6754</v>
      </c>
      <c r="C1985" s="20" t="s">
        <v>149</v>
      </c>
      <c r="F1985" s="20" t="s">
        <v>150</v>
      </c>
      <c r="G1985" s="20" t="s">
        <v>150</v>
      </c>
      <c r="I1985" s="20" t="s">
        <v>151</v>
      </c>
      <c r="J1985" s="20" t="s">
        <v>143</v>
      </c>
      <c r="Q1985" s="20">
        <v>4271.0</v>
      </c>
      <c r="R1985" s="20" t="s">
        <v>6755</v>
      </c>
      <c r="S1985" s="20" t="s">
        <v>6754</v>
      </c>
      <c r="T1985" s="20" t="s">
        <v>138</v>
      </c>
    </row>
    <row r="1986" ht="14.25" customHeight="1">
      <c r="A1986" s="20" t="s">
        <v>6756</v>
      </c>
      <c r="B1986" s="20" t="s">
        <v>6757</v>
      </c>
      <c r="C1986" s="20" t="s">
        <v>159</v>
      </c>
      <c r="F1986" s="20" t="s">
        <v>150</v>
      </c>
      <c r="G1986" s="20" t="s">
        <v>150</v>
      </c>
      <c r="I1986" s="20" t="s">
        <v>151</v>
      </c>
      <c r="J1986" s="20" t="s">
        <v>143</v>
      </c>
      <c r="Q1986" s="20">
        <v>9321.0</v>
      </c>
      <c r="R1986" s="20" t="s">
        <v>6758</v>
      </c>
      <c r="S1986" s="20" t="s">
        <v>6757</v>
      </c>
      <c r="T1986" s="20" t="s">
        <v>138</v>
      </c>
    </row>
    <row r="1987" ht="14.25" customHeight="1">
      <c r="A1987" s="20" t="s">
        <v>6759</v>
      </c>
      <c r="B1987" s="20" t="s">
        <v>6760</v>
      </c>
      <c r="C1987" s="20" t="s">
        <v>182</v>
      </c>
      <c r="F1987" s="20" t="s">
        <v>15</v>
      </c>
      <c r="G1987" s="20" t="s">
        <v>135</v>
      </c>
      <c r="I1987" s="20" t="s">
        <v>93</v>
      </c>
      <c r="J1987" s="20" t="s">
        <v>143</v>
      </c>
      <c r="K1987" s="20" t="s">
        <v>167</v>
      </c>
      <c r="Q1987" s="20">
        <v>3935.0</v>
      </c>
      <c r="R1987" s="20" t="s">
        <v>6761</v>
      </c>
      <c r="S1987" s="20" t="s">
        <v>6760</v>
      </c>
      <c r="T1987" s="20" t="s">
        <v>138</v>
      </c>
    </row>
    <row r="1988" ht="14.25" customHeight="1">
      <c r="A1988" s="20" t="s">
        <v>6762</v>
      </c>
      <c r="B1988" s="20" t="s">
        <v>6763</v>
      </c>
      <c r="C1988" s="20" t="s">
        <v>1158</v>
      </c>
      <c r="F1988" s="20" t="s">
        <v>218</v>
      </c>
      <c r="G1988" s="20" t="s">
        <v>219</v>
      </c>
      <c r="I1988" s="20" t="s">
        <v>1159</v>
      </c>
      <c r="J1988" s="20" t="s">
        <v>136</v>
      </c>
      <c r="Q1988" s="20">
        <v>4184.0</v>
      </c>
      <c r="R1988" s="20" t="s">
        <v>6764</v>
      </c>
      <c r="S1988" s="20" t="s">
        <v>6763</v>
      </c>
      <c r="T1988" s="20" t="s">
        <v>138</v>
      </c>
    </row>
    <row r="1989" ht="14.25" customHeight="1">
      <c r="A1989" s="20" t="s">
        <v>6765</v>
      </c>
      <c r="B1989" s="20" t="s">
        <v>6766</v>
      </c>
      <c r="C1989" s="20" t="s">
        <v>1305</v>
      </c>
      <c r="F1989" s="20" t="s">
        <v>16</v>
      </c>
      <c r="G1989" s="20" t="s">
        <v>202</v>
      </c>
      <c r="I1989" s="20" t="s">
        <v>3368</v>
      </c>
      <c r="J1989" s="20" t="s">
        <v>143</v>
      </c>
      <c r="Q1989" s="20">
        <v>16690.0</v>
      </c>
      <c r="R1989" s="20" t="s">
        <v>6767</v>
      </c>
      <c r="S1989" s="20" t="s">
        <v>6766</v>
      </c>
      <c r="T1989" s="20" t="s">
        <v>138</v>
      </c>
    </row>
    <row r="1990" ht="14.25" customHeight="1">
      <c r="A1990" s="20" t="s">
        <v>6768</v>
      </c>
      <c r="B1990" s="20" t="s">
        <v>6769</v>
      </c>
      <c r="C1990" s="20" t="s">
        <v>3191</v>
      </c>
      <c r="F1990" s="20" t="s">
        <v>17</v>
      </c>
      <c r="G1990" s="20" t="s">
        <v>17</v>
      </c>
      <c r="I1990" s="20" t="s">
        <v>88</v>
      </c>
      <c r="J1990" s="20" t="s">
        <v>143</v>
      </c>
      <c r="K1990" s="20" t="s">
        <v>213</v>
      </c>
      <c r="Q1990" s="20">
        <v>5102.0</v>
      </c>
      <c r="R1990" s="20" t="s">
        <v>6770</v>
      </c>
      <c r="S1990" s="20" t="s">
        <v>6769</v>
      </c>
      <c r="T1990" s="20" t="s">
        <v>138</v>
      </c>
      <c r="V1990" s="20" t="s">
        <v>189</v>
      </c>
      <c r="W1990" s="20" t="s">
        <v>146</v>
      </c>
    </row>
    <row r="1991" ht="14.25" customHeight="1">
      <c r="A1991" s="20" t="s">
        <v>6771</v>
      </c>
      <c r="B1991" s="20" t="s">
        <v>6772</v>
      </c>
      <c r="C1991" s="20" t="s">
        <v>149</v>
      </c>
      <c r="F1991" s="20" t="s">
        <v>150</v>
      </c>
      <c r="G1991" s="20" t="s">
        <v>150</v>
      </c>
      <c r="I1991" s="20" t="s">
        <v>151</v>
      </c>
      <c r="J1991" s="20" t="s">
        <v>143</v>
      </c>
      <c r="Q1991" s="20">
        <v>13601.0</v>
      </c>
      <c r="R1991" s="20" t="s">
        <v>6773</v>
      </c>
      <c r="S1991" s="20" t="s">
        <v>6772</v>
      </c>
      <c r="T1991" s="20" t="s">
        <v>138</v>
      </c>
    </row>
    <row r="1992" ht="14.25" customHeight="1">
      <c r="A1992" s="20" t="s">
        <v>6774</v>
      </c>
      <c r="B1992" s="20" t="s">
        <v>6775</v>
      </c>
      <c r="C1992" s="20" t="s">
        <v>478</v>
      </c>
      <c r="F1992" s="20" t="s">
        <v>218</v>
      </c>
      <c r="G1992" s="20" t="s">
        <v>219</v>
      </c>
      <c r="I1992" s="20" t="s">
        <v>360</v>
      </c>
      <c r="J1992" s="20" t="s">
        <v>186</v>
      </c>
      <c r="Q1992" s="20">
        <v>14683.0</v>
      </c>
      <c r="R1992" s="20" t="s">
        <v>6776</v>
      </c>
      <c r="S1992" s="20" t="s">
        <v>6775</v>
      </c>
      <c r="T1992" s="20" t="s">
        <v>138</v>
      </c>
      <c r="W1992" s="20" t="s">
        <v>146</v>
      </c>
    </row>
    <row r="1993" ht="14.25" customHeight="1">
      <c r="A1993" s="20" t="s">
        <v>6777</v>
      </c>
      <c r="B1993" s="20" t="s">
        <v>6778</v>
      </c>
      <c r="C1993" s="20" t="s">
        <v>1126</v>
      </c>
      <c r="F1993" s="20" t="s">
        <v>15</v>
      </c>
      <c r="G1993" s="20" t="s">
        <v>135</v>
      </c>
      <c r="I1993" s="20" t="s">
        <v>96</v>
      </c>
      <c r="J1993" s="20" t="s">
        <v>186</v>
      </c>
      <c r="Q1993" s="20">
        <v>13667.0</v>
      </c>
      <c r="R1993" s="20" t="s">
        <v>6779</v>
      </c>
      <c r="S1993" s="20" t="s">
        <v>6778</v>
      </c>
      <c r="T1993" s="20" t="s">
        <v>138</v>
      </c>
    </row>
    <row r="1994" ht="14.25" customHeight="1">
      <c r="A1994" s="20" t="s">
        <v>6780</v>
      </c>
      <c r="B1994" s="20" t="s">
        <v>6781</v>
      </c>
      <c r="C1994" s="20" t="s">
        <v>178</v>
      </c>
      <c r="F1994" s="20" t="s">
        <v>150</v>
      </c>
      <c r="G1994" s="20" t="s">
        <v>150</v>
      </c>
      <c r="I1994" s="20" t="s">
        <v>151</v>
      </c>
      <c r="J1994" s="20" t="s">
        <v>143</v>
      </c>
      <c r="K1994" s="20" t="s">
        <v>167</v>
      </c>
      <c r="Q1994" s="20">
        <v>3531.0</v>
      </c>
      <c r="R1994" s="20" t="s">
        <v>6782</v>
      </c>
      <c r="S1994" s="20" t="s">
        <v>6781</v>
      </c>
      <c r="T1994" s="20" t="s">
        <v>138</v>
      </c>
    </row>
    <row r="1995" ht="14.25" customHeight="1">
      <c r="A1995" s="20" t="s">
        <v>6783</v>
      </c>
      <c r="B1995" s="20" t="s">
        <v>6784</v>
      </c>
      <c r="C1995" s="20" t="s">
        <v>285</v>
      </c>
      <c r="F1995" s="20" t="s">
        <v>15</v>
      </c>
      <c r="G1995" s="20" t="s">
        <v>142</v>
      </c>
      <c r="I1995" s="20" t="s">
        <v>105</v>
      </c>
      <c r="J1995" s="20" t="s">
        <v>143</v>
      </c>
      <c r="Q1995" s="20">
        <v>14428.0</v>
      </c>
      <c r="R1995" s="20" t="s">
        <v>6785</v>
      </c>
      <c r="S1995" s="20" t="s">
        <v>6784</v>
      </c>
      <c r="T1995" s="20" t="s">
        <v>138</v>
      </c>
      <c r="W1995" s="20" t="s">
        <v>146</v>
      </c>
    </row>
    <row r="1996" ht="14.25" customHeight="1">
      <c r="A1996" s="20" t="s">
        <v>6786</v>
      </c>
      <c r="B1996" s="20" t="s">
        <v>6787</v>
      </c>
      <c r="C1996" s="20" t="s">
        <v>818</v>
      </c>
      <c r="F1996" s="20" t="s">
        <v>17</v>
      </c>
      <c r="G1996" s="20" t="s">
        <v>17</v>
      </c>
      <c r="I1996" s="20" t="s">
        <v>88</v>
      </c>
      <c r="J1996" s="20" t="s">
        <v>143</v>
      </c>
      <c r="K1996" s="20" t="s">
        <v>167</v>
      </c>
      <c r="Q1996" s="20">
        <v>15462.0</v>
      </c>
      <c r="R1996" s="20" t="s">
        <v>6788</v>
      </c>
      <c r="S1996" s="20" t="s">
        <v>6789</v>
      </c>
      <c r="T1996" s="20" t="s">
        <v>138</v>
      </c>
    </row>
    <row r="1997" ht="14.25" customHeight="1">
      <c r="A1997" s="20" t="s">
        <v>6790</v>
      </c>
      <c r="B1997" s="20" t="s">
        <v>6791</v>
      </c>
      <c r="C1997" s="20" t="s">
        <v>786</v>
      </c>
      <c r="F1997" s="20" t="s">
        <v>16</v>
      </c>
      <c r="G1997" s="20" t="s">
        <v>202</v>
      </c>
      <c r="I1997" s="20" t="s">
        <v>203</v>
      </c>
      <c r="J1997" s="20" t="s">
        <v>136</v>
      </c>
      <c r="L1997" s="20" t="s">
        <v>203</v>
      </c>
      <c r="Q1997" s="20">
        <v>403.0</v>
      </c>
      <c r="R1997" s="20" t="s">
        <v>6792</v>
      </c>
      <c r="S1997" s="20" t="s">
        <v>6791</v>
      </c>
      <c r="T1997" s="20" t="s">
        <v>138</v>
      </c>
      <c r="W1997" s="20" t="s">
        <v>372</v>
      </c>
    </row>
    <row r="1998" ht="14.25" customHeight="1">
      <c r="A1998" s="20" t="s">
        <v>6793</v>
      </c>
      <c r="B1998" s="20" t="s">
        <v>6794</v>
      </c>
      <c r="C1998" s="20" t="s">
        <v>149</v>
      </c>
      <c r="F1998" s="20" t="s">
        <v>150</v>
      </c>
      <c r="G1998" s="20" t="s">
        <v>150</v>
      </c>
      <c r="I1998" s="20" t="s">
        <v>151</v>
      </c>
      <c r="J1998" s="20" t="s">
        <v>143</v>
      </c>
      <c r="Q1998" s="20">
        <v>15354.0</v>
      </c>
      <c r="R1998" s="20" t="s">
        <v>6795</v>
      </c>
      <c r="S1998" s="20" t="s">
        <v>6794</v>
      </c>
      <c r="T1998" s="20" t="s">
        <v>138</v>
      </c>
    </row>
    <row r="1999" ht="14.25" customHeight="1">
      <c r="A1999" s="20" t="s">
        <v>6796</v>
      </c>
      <c r="B1999" s="20" t="s">
        <v>6797</v>
      </c>
      <c r="C1999" s="20" t="s">
        <v>6798</v>
      </c>
      <c r="F1999" s="20" t="s">
        <v>16</v>
      </c>
      <c r="G1999" s="20" t="s">
        <v>202</v>
      </c>
      <c r="H1999" s="20">
        <v>17851.0</v>
      </c>
      <c r="I1999" s="20" t="s">
        <v>1306</v>
      </c>
      <c r="J1999" s="20" t="s">
        <v>136</v>
      </c>
      <c r="P1999" s="20" t="s">
        <v>6797</v>
      </c>
      <c r="Q1999" s="20">
        <v>17851.0</v>
      </c>
      <c r="R1999" s="20" t="s">
        <v>6799</v>
      </c>
      <c r="S1999" s="20" t="s">
        <v>6800</v>
      </c>
      <c r="T1999" s="20" t="s">
        <v>138</v>
      </c>
      <c r="W1999" s="20" t="s">
        <v>136</v>
      </c>
    </row>
    <row r="2000" ht="14.25" customHeight="1">
      <c r="A2000" s="20" t="s">
        <v>6801</v>
      </c>
      <c r="B2000" s="20" t="s">
        <v>6802</v>
      </c>
      <c r="C2000" s="20" t="s">
        <v>193</v>
      </c>
      <c r="F2000" s="20" t="s">
        <v>150</v>
      </c>
      <c r="G2000" s="20" t="s">
        <v>150</v>
      </c>
      <c r="I2000" s="20" t="s">
        <v>151</v>
      </c>
      <c r="J2000" s="20" t="s">
        <v>143</v>
      </c>
      <c r="Q2000" s="20">
        <v>7053.0</v>
      </c>
      <c r="R2000" s="20" t="s">
        <v>6803</v>
      </c>
      <c r="S2000" s="20" t="s">
        <v>6802</v>
      </c>
      <c r="T2000" s="20" t="s">
        <v>138</v>
      </c>
    </row>
    <row r="2001" ht="14.25" customHeight="1">
      <c r="A2001" s="20" t="s">
        <v>6804</v>
      </c>
      <c r="B2001" s="20" t="s">
        <v>6805</v>
      </c>
      <c r="C2001" s="20" t="s">
        <v>174</v>
      </c>
      <c r="F2001" s="20" t="s">
        <v>150</v>
      </c>
      <c r="G2001" s="20" t="s">
        <v>150</v>
      </c>
      <c r="I2001" s="20" t="s">
        <v>151</v>
      </c>
      <c r="J2001" s="20" t="s">
        <v>143</v>
      </c>
      <c r="Q2001" s="20">
        <v>15288.0</v>
      </c>
      <c r="R2001" s="20" t="s">
        <v>6806</v>
      </c>
      <c r="S2001" s="20" t="s">
        <v>6805</v>
      </c>
      <c r="T2001" s="20" t="s">
        <v>138</v>
      </c>
    </row>
    <row r="2002" ht="14.25" customHeight="1">
      <c r="A2002" s="20" t="s">
        <v>6807</v>
      </c>
      <c r="B2002" s="20" t="s">
        <v>6808</v>
      </c>
      <c r="C2002" s="20" t="s">
        <v>248</v>
      </c>
      <c r="F2002" s="20" t="s">
        <v>16</v>
      </c>
      <c r="G2002" s="20" t="s">
        <v>211</v>
      </c>
      <c r="I2002" s="20" t="s">
        <v>212</v>
      </c>
      <c r="J2002" s="20" t="s">
        <v>143</v>
      </c>
      <c r="K2002" s="20" t="s">
        <v>213</v>
      </c>
      <c r="Q2002" s="20">
        <v>15195.0</v>
      </c>
      <c r="R2002" s="20" t="s">
        <v>6809</v>
      </c>
      <c r="S2002" s="20" t="s">
        <v>6808</v>
      </c>
      <c r="T2002" s="20" t="s">
        <v>138</v>
      </c>
    </row>
    <row r="2003" ht="14.25" customHeight="1">
      <c r="A2003" s="20" t="s">
        <v>6810</v>
      </c>
      <c r="B2003" s="20" t="s">
        <v>6811</v>
      </c>
      <c r="C2003" s="20" t="s">
        <v>6812</v>
      </c>
      <c r="F2003" s="20" t="s">
        <v>17</v>
      </c>
      <c r="G2003" s="20" t="s">
        <v>17</v>
      </c>
      <c r="I2003" s="20" t="s">
        <v>88</v>
      </c>
      <c r="J2003" s="20" t="s">
        <v>136</v>
      </c>
      <c r="Q2003" s="20">
        <v>15480.0</v>
      </c>
      <c r="R2003" s="20" t="s">
        <v>6813</v>
      </c>
      <c r="S2003" s="20" t="s">
        <v>6811</v>
      </c>
      <c r="T2003" s="20" t="s">
        <v>138</v>
      </c>
    </row>
    <row r="2004" ht="14.25" customHeight="1">
      <c r="A2004" s="20" t="s">
        <v>6814</v>
      </c>
      <c r="B2004" s="20" t="s">
        <v>6815</v>
      </c>
      <c r="C2004" s="20" t="s">
        <v>193</v>
      </c>
      <c r="F2004" s="20" t="s">
        <v>150</v>
      </c>
      <c r="G2004" s="20" t="s">
        <v>150</v>
      </c>
      <c r="I2004" s="20" t="s">
        <v>151</v>
      </c>
      <c r="J2004" s="20" t="s">
        <v>143</v>
      </c>
      <c r="Q2004" s="20">
        <v>10291.0</v>
      </c>
      <c r="R2004" s="20" t="s">
        <v>6816</v>
      </c>
      <c r="S2004" s="20" t="s">
        <v>6815</v>
      </c>
      <c r="T2004" s="20" t="s">
        <v>138</v>
      </c>
    </row>
    <row r="2005" ht="14.25" customHeight="1">
      <c r="A2005" s="20" t="s">
        <v>6817</v>
      </c>
      <c r="B2005" s="20" t="s">
        <v>6818</v>
      </c>
      <c r="C2005" s="20" t="s">
        <v>482</v>
      </c>
      <c r="F2005" s="20" t="s">
        <v>15</v>
      </c>
      <c r="G2005" s="20" t="s">
        <v>142</v>
      </c>
      <c r="I2005" s="20" t="s">
        <v>105</v>
      </c>
      <c r="J2005" s="20" t="s">
        <v>143</v>
      </c>
      <c r="Q2005" s="20">
        <v>6527.0</v>
      </c>
      <c r="R2005" s="20" t="s">
        <v>6819</v>
      </c>
      <c r="S2005" s="20" t="s">
        <v>6818</v>
      </c>
      <c r="T2005" s="20" t="s">
        <v>138</v>
      </c>
    </row>
    <row r="2006" ht="14.25" customHeight="1">
      <c r="A2006" s="20" t="s">
        <v>6820</v>
      </c>
      <c r="B2006" s="20" t="s">
        <v>6821</v>
      </c>
      <c r="C2006" s="20" t="s">
        <v>182</v>
      </c>
      <c r="F2006" s="20" t="s">
        <v>15</v>
      </c>
      <c r="G2006" s="20" t="s">
        <v>135</v>
      </c>
      <c r="I2006" s="20" t="s">
        <v>93</v>
      </c>
      <c r="J2006" s="20" t="s">
        <v>136</v>
      </c>
      <c r="Q2006" s="20">
        <v>16486.0</v>
      </c>
      <c r="R2006" s="20" t="s">
        <v>6822</v>
      </c>
      <c r="S2006" s="20" t="s">
        <v>6821</v>
      </c>
      <c r="T2006" s="20" t="s">
        <v>138</v>
      </c>
    </row>
    <row r="2007" ht="14.25" customHeight="1">
      <c r="A2007" s="20" t="s">
        <v>6823</v>
      </c>
      <c r="B2007" s="20" t="s">
        <v>6824</v>
      </c>
      <c r="C2007" s="20" t="s">
        <v>906</v>
      </c>
      <c r="F2007" s="20" t="s">
        <v>15</v>
      </c>
      <c r="G2007" s="20" t="s">
        <v>142</v>
      </c>
      <c r="I2007" s="20" t="s">
        <v>105</v>
      </c>
      <c r="J2007" s="20" t="s">
        <v>136</v>
      </c>
      <c r="Q2007" s="20">
        <v>16053.0</v>
      </c>
      <c r="R2007" s="20" t="s">
        <v>6825</v>
      </c>
      <c r="S2007" s="20" t="s">
        <v>6824</v>
      </c>
      <c r="T2007" s="20" t="s">
        <v>138</v>
      </c>
    </row>
    <row r="2008" ht="14.25" customHeight="1">
      <c r="A2008" s="20" t="s">
        <v>6826</v>
      </c>
      <c r="B2008" s="20" t="s">
        <v>6827</v>
      </c>
      <c r="C2008" s="20" t="s">
        <v>174</v>
      </c>
      <c r="F2008" s="20" t="s">
        <v>150</v>
      </c>
      <c r="G2008" s="20" t="s">
        <v>150</v>
      </c>
      <c r="I2008" s="20" t="s">
        <v>151</v>
      </c>
      <c r="J2008" s="20" t="s">
        <v>143</v>
      </c>
      <c r="Q2008" s="20">
        <v>14734.0</v>
      </c>
      <c r="R2008" s="20" t="s">
        <v>6828</v>
      </c>
      <c r="S2008" s="20" t="s">
        <v>6827</v>
      </c>
      <c r="T2008" s="20" t="s">
        <v>138</v>
      </c>
    </row>
    <row r="2009" ht="14.25" customHeight="1">
      <c r="A2009" s="20" t="s">
        <v>6829</v>
      </c>
      <c r="B2009" s="20" t="s">
        <v>6830</v>
      </c>
      <c r="C2009" s="20" t="s">
        <v>193</v>
      </c>
      <c r="F2009" s="20" t="s">
        <v>150</v>
      </c>
      <c r="G2009" s="20" t="s">
        <v>150</v>
      </c>
      <c r="I2009" s="20" t="s">
        <v>151</v>
      </c>
      <c r="J2009" s="20" t="s">
        <v>143</v>
      </c>
      <c r="Q2009" s="20">
        <v>214.0</v>
      </c>
      <c r="R2009" s="20" t="s">
        <v>6831</v>
      </c>
      <c r="S2009" s="20" t="s">
        <v>6830</v>
      </c>
      <c r="T2009" s="20" t="s">
        <v>138</v>
      </c>
    </row>
    <row r="2010" ht="14.25" customHeight="1">
      <c r="A2010" s="20" t="s">
        <v>6832</v>
      </c>
      <c r="B2010" s="20" t="s">
        <v>6833</v>
      </c>
      <c r="C2010" s="20" t="s">
        <v>1314</v>
      </c>
      <c r="F2010" s="20" t="s">
        <v>16</v>
      </c>
      <c r="G2010" s="20" t="s">
        <v>211</v>
      </c>
      <c r="I2010" s="20" t="s">
        <v>258</v>
      </c>
      <c r="J2010" s="20" t="s">
        <v>143</v>
      </c>
      <c r="Q2010" s="20">
        <v>5679.0</v>
      </c>
      <c r="R2010" s="20" t="s">
        <v>6834</v>
      </c>
      <c r="S2010" s="20" t="s">
        <v>6833</v>
      </c>
      <c r="T2010" s="20" t="s">
        <v>138</v>
      </c>
    </row>
    <row r="2011" ht="14.25" customHeight="1">
      <c r="A2011" s="20" t="s">
        <v>6835</v>
      </c>
      <c r="B2011" s="20" t="s">
        <v>6836</v>
      </c>
      <c r="C2011" s="20" t="s">
        <v>478</v>
      </c>
      <c r="F2011" s="20" t="s">
        <v>218</v>
      </c>
      <c r="G2011" s="20" t="s">
        <v>219</v>
      </c>
      <c r="I2011" s="20" t="s">
        <v>360</v>
      </c>
      <c r="J2011" s="20" t="s">
        <v>136</v>
      </c>
      <c r="Q2011" s="20">
        <v>2304.0</v>
      </c>
      <c r="R2011" s="20" t="s">
        <v>6837</v>
      </c>
      <c r="S2011" s="20" t="s">
        <v>6836</v>
      </c>
      <c r="T2011" s="20" t="s">
        <v>138</v>
      </c>
      <c r="W2011" s="20" t="s">
        <v>136</v>
      </c>
    </row>
    <row r="2012" ht="14.25" customHeight="1">
      <c r="A2012" s="20" t="s">
        <v>6838</v>
      </c>
      <c r="B2012" s="20" t="s">
        <v>6839</v>
      </c>
      <c r="C2012" s="20" t="s">
        <v>394</v>
      </c>
      <c r="F2012" s="20" t="s">
        <v>327</v>
      </c>
      <c r="G2012" s="20" t="s">
        <v>395</v>
      </c>
      <c r="I2012" s="20" t="s">
        <v>6840</v>
      </c>
      <c r="J2012" s="20" t="s">
        <v>143</v>
      </c>
      <c r="K2012" s="20" t="s">
        <v>213</v>
      </c>
      <c r="Q2012" s="20">
        <v>3286.0</v>
      </c>
      <c r="R2012" s="20" t="s">
        <v>6841</v>
      </c>
      <c r="S2012" s="20" t="s">
        <v>6839</v>
      </c>
      <c r="T2012" s="20" t="s">
        <v>138</v>
      </c>
    </row>
    <row r="2013" ht="14.25" customHeight="1">
      <c r="A2013" s="20" t="s">
        <v>6842</v>
      </c>
      <c r="B2013" s="20" t="s">
        <v>6843</v>
      </c>
      <c r="C2013" s="20" t="s">
        <v>289</v>
      </c>
      <c r="F2013" s="20" t="s">
        <v>150</v>
      </c>
      <c r="G2013" s="20" t="s">
        <v>150</v>
      </c>
      <c r="I2013" s="20" t="s">
        <v>151</v>
      </c>
      <c r="J2013" s="20" t="s">
        <v>143</v>
      </c>
      <c r="Q2013" s="20">
        <v>2265.0</v>
      </c>
      <c r="R2013" s="20" t="s">
        <v>6844</v>
      </c>
      <c r="S2013" s="20" t="s">
        <v>6843</v>
      </c>
      <c r="T2013" s="20" t="s">
        <v>138</v>
      </c>
    </row>
    <row r="2014" ht="14.25" customHeight="1">
      <c r="A2014" s="20" t="s">
        <v>6845</v>
      </c>
      <c r="B2014" s="20" t="s">
        <v>6846</v>
      </c>
      <c r="C2014" s="20" t="s">
        <v>174</v>
      </c>
      <c r="F2014" s="20" t="s">
        <v>150</v>
      </c>
      <c r="G2014" s="20" t="s">
        <v>150</v>
      </c>
      <c r="I2014" s="20" t="s">
        <v>151</v>
      </c>
      <c r="J2014" s="20" t="s">
        <v>143</v>
      </c>
      <c r="Q2014" s="20">
        <v>16720.0</v>
      </c>
      <c r="R2014" s="20" t="s">
        <v>6847</v>
      </c>
      <c r="S2014" s="20" t="s">
        <v>6846</v>
      </c>
      <c r="T2014" s="20" t="s">
        <v>138</v>
      </c>
    </row>
    <row r="2015" ht="14.25" customHeight="1">
      <c r="A2015" s="20" t="s">
        <v>6848</v>
      </c>
      <c r="B2015" s="20" t="s">
        <v>6849</v>
      </c>
      <c r="C2015" s="20" t="s">
        <v>243</v>
      </c>
      <c r="F2015" s="20" t="s">
        <v>17</v>
      </c>
      <c r="G2015" s="20" t="s">
        <v>17</v>
      </c>
      <c r="I2015" s="20" t="s">
        <v>88</v>
      </c>
      <c r="J2015" s="20" t="s">
        <v>143</v>
      </c>
      <c r="Q2015" s="20">
        <v>15717.0</v>
      </c>
      <c r="R2015" s="20" t="s">
        <v>6850</v>
      </c>
      <c r="S2015" s="20" t="s">
        <v>6849</v>
      </c>
      <c r="T2015" s="20" t="s">
        <v>138</v>
      </c>
    </row>
    <row r="2016" ht="14.25" customHeight="1">
      <c r="A2016" s="20" t="s">
        <v>6851</v>
      </c>
      <c r="B2016" s="20" t="s">
        <v>6852</v>
      </c>
      <c r="C2016" s="20" t="s">
        <v>193</v>
      </c>
      <c r="F2016" s="20" t="s">
        <v>150</v>
      </c>
      <c r="G2016" s="20" t="s">
        <v>150</v>
      </c>
      <c r="I2016" s="20" t="s">
        <v>151</v>
      </c>
      <c r="J2016" s="20" t="s">
        <v>143</v>
      </c>
      <c r="Q2016" s="20">
        <v>9833.0</v>
      </c>
      <c r="R2016" s="20" t="s">
        <v>6853</v>
      </c>
      <c r="S2016" s="20" t="s">
        <v>6852</v>
      </c>
      <c r="T2016" s="20" t="s">
        <v>138</v>
      </c>
    </row>
    <row r="2017" ht="14.25" customHeight="1">
      <c r="A2017" s="20" t="s">
        <v>6854</v>
      </c>
      <c r="B2017" s="20" t="s">
        <v>6855</v>
      </c>
      <c r="C2017" s="20" t="s">
        <v>779</v>
      </c>
      <c r="F2017" s="20" t="s">
        <v>150</v>
      </c>
      <c r="G2017" s="20" t="s">
        <v>150</v>
      </c>
      <c r="I2017" s="20" t="s">
        <v>151</v>
      </c>
      <c r="J2017" s="20" t="s">
        <v>143</v>
      </c>
      <c r="Q2017" s="20">
        <v>16040.0</v>
      </c>
      <c r="R2017" s="20" t="s">
        <v>6856</v>
      </c>
      <c r="S2017" s="20" t="s">
        <v>6855</v>
      </c>
      <c r="T2017" s="20" t="s">
        <v>138</v>
      </c>
    </row>
    <row r="2018" ht="14.25" customHeight="1">
      <c r="A2018" s="20" t="s">
        <v>6857</v>
      </c>
      <c r="B2018" s="20" t="s">
        <v>6858</v>
      </c>
      <c r="C2018" s="20" t="s">
        <v>818</v>
      </c>
      <c r="F2018" s="20" t="s">
        <v>17</v>
      </c>
      <c r="G2018" s="20" t="s">
        <v>17</v>
      </c>
      <c r="I2018" s="20" t="s">
        <v>88</v>
      </c>
      <c r="J2018" s="20" t="s">
        <v>143</v>
      </c>
      <c r="Q2018" s="20">
        <v>10728.0</v>
      </c>
      <c r="R2018" s="20" t="s">
        <v>6859</v>
      </c>
      <c r="S2018" s="20" t="s">
        <v>6858</v>
      </c>
      <c r="T2018" s="20" t="s">
        <v>138</v>
      </c>
    </row>
    <row r="2019" ht="14.25" customHeight="1">
      <c r="A2019" s="20" t="s">
        <v>6860</v>
      </c>
      <c r="B2019" s="20" t="s">
        <v>6861</v>
      </c>
      <c r="C2019" s="20" t="s">
        <v>1073</v>
      </c>
      <c r="F2019" s="20" t="s">
        <v>150</v>
      </c>
      <c r="G2019" s="20" t="s">
        <v>150</v>
      </c>
      <c r="I2019" s="20" t="s">
        <v>151</v>
      </c>
      <c r="J2019" s="20" t="s">
        <v>186</v>
      </c>
      <c r="K2019" s="20" t="s">
        <v>187</v>
      </c>
      <c r="Q2019" s="20">
        <v>1648.0</v>
      </c>
      <c r="R2019" s="20" t="s">
        <v>6862</v>
      </c>
      <c r="S2019" s="20" t="s">
        <v>6863</v>
      </c>
      <c r="T2019" s="20" t="s">
        <v>138</v>
      </c>
      <c r="V2019" s="20" t="s">
        <v>260</v>
      </c>
      <c r="W2019" s="20" t="s">
        <v>190</v>
      </c>
    </row>
    <row r="2020" ht="14.25" customHeight="1">
      <c r="A2020" s="20" t="s">
        <v>6864</v>
      </c>
      <c r="B2020" s="20" t="s">
        <v>6865</v>
      </c>
      <c r="C2020" s="20" t="s">
        <v>496</v>
      </c>
      <c r="F2020" s="20" t="s">
        <v>218</v>
      </c>
      <c r="G2020" s="20" t="s">
        <v>219</v>
      </c>
      <c r="I2020" s="20" t="s">
        <v>497</v>
      </c>
      <c r="J2020" s="20" t="s">
        <v>186</v>
      </c>
      <c r="Q2020" s="20">
        <v>4252.0</v>
      </c>
      <c r="R2020" s="20" t="s">
        <v>6866</v>
      </c>
      <c r="S2020" s="20" t="s">
        <v>6865</v>
      </c>
      <c r="T2020" s="20" t="s">
        <v>138</v>
      </c>
    </row>
    <row r="2021" ht="14.25" customHeight="1">
      <c r="A2021" s="20" t="s">
        <v>6867</v>
      </c>
      <c r="B2021" s="20" t="s">
        <v>6868</v>
      </c>
      <c r="C2021" s="20" t="s">
        <v>159</v>
      </c>
      <c r="F2021" s="20" t="s">
        <v>150</v>
      </c>
      <c r="G2021" s="20" t="s">
        <v>150</v>
      </c>
      <c r="I2021" s="20" t="s">
        <v>151</v>
      </c>
      <c r="J2021" s="20" t="s">
        <v>143</v>
      </c>
      <c r="Q2021" s="20">
        <v>15022.0</v>
      </c>
      <c r="R2021" s="20" t="s">
        <v>6869</v>
      </c>
      <c r="S2021" s="20" t="s">
        <v>6868</v>
      </c>
      <c r="T2021" s="20" t="s">
        <v>138</v>
      </c>
    </row>
    <row r="2022" ht="14.25" customHeight="1">
      <c r="A2022" s="20" t="s">
        <v>6870</v>
      </c>
      <c r="B2022" s="20" t="s">
        <v>6871</v>
      </c>
      <c r="C2022" s="20" t="s">
        <v>159</v>
      </c>
      <c r="F2022" s="20" t="s">
        <v>150</v>
      </c>
      <c r="G2022" s="20" t="s">
        <v>150</v>
      </c>
      <c r="I2022" s="20" t="s">
        <v>151</v>
      </c>
      <c r="J2022" s="20" t="s">
        <v>143</v>
      </c>
      <c r="Q2022" s="20">
        <v>9764.0</v>
      </c>
      <c r="R2022" s="20" t="s">
        <v>6872</v>
      </c>
      <c r="S2022" s="20" t="s">
        <v>6871</v>
      </c>
      <c r="T2022" s="20" t="s">
        <v>138</v>
      </c>
    </row>
    <row r="2023" ht="14.25" customHeight="1">
      <c r="A2023" s="20" t="s">
        <v>6873</v>
      </c>
      <c r="B2023" s="20" t="s">
        <v>6874</v>
      </c>
      <c r="C2023" s="20" t="s">
        <v>1305</v>
      </c>
      <c r="F2023" s="20" t="s">
        <v>16</v>
      </c>
      <c r="G2023" s="20" t="s">
        <v>202</v>
      </c>
      <c r="I2023" s="20" t="s">
        <v>1306</v>
      </c>
      <c r="J2023" s="20" t="s">
        <v>143</v>
      </c>
      <c r="Q2023" s="20">
        <v>9868.0</v>
      </c>
      <c r="R2023" s="20" t="s">
        <v>6875</v>
      </c>
      <c r="S2023" s="20" t="s">
        <v>6876</v>
      </c>
      <c r="T2023" s="20" t="s">
        <v>138</v>
      </c>
    </row>
    <row r="2024" ht="14.25" customHeight="1">
      <c r="A2024" s="20" t="s">
        <v>6877</v>
      </c>
      <c r="B2024" s="20" t="s">
        <v>6878</v>
      </c>
      <c r="C2024" s="20" t="s">
        <v>1269</v>
      </c>
      <c r="F2024" s="20" t="s">
        <v>218</v>
      </c>
      <c r="G2024" s="20" t="s">
        <v>219</v>
      </c>
      <c r="I2024" s="20" t="s">
        <v>314</v>
      </c>
      <c r="J2024" s="20" t="s">
        <v>186</v>
      </c>
      <c r="Q2024" s="20">
        <v>14499.0</v>
      </c>
      <c r="R2024" s="20" t="s">
        <v>6879</v>
      </c>
      <c r="S2024" s="20" t="s">
        <v>6878</v>
      </c>
      <c r="T2024" s="20" t="s">
        <v>138</v>
      </c>
    </row>
    <row r="2025" ht="14.25" customHeight="1">
      <c r="A2025" s="20" t="s">
        <v>6880</v>
      </c>
      <c r="B2025" s="20" t="s">
        <v>6881</v>
      </c>
      <c r="C2025" s="20" t="s">
        <v>928</v>
      </c>
      <c r="F2025" s="20" t="s">
        <v>327</v>
      </c>
      <c r="G2025" s="20" t="s">
        <v>328</v>
      </c>
      <c r="I2025" s="20" t="s">
        <v>329</v>
      </c>
      <c r="J2025" s="20" t="s">
        <v>143</v>
      </c>
      <c r="K2025" s="20" t="s">
        <v>167</v>
      </c>
      <c r="Q2025" s="20">
        <v>5812.0</v>
      </c>
      <c r="R2025" s="20" t="s">
        <v>6882</v>
      </c>
      <c r="S2025" s="20" t="s">
        <v>6881</v>
      </c>
      <c r="T2025" s="20" t="s">
        <v>138</v>
      </c>
    </row>
    <row r="2026" ht="14.25" customHeight="1">
      <c r="A2026" s="20" t="s">
        <v>6883</v>
      </c>
      <c r="B2026" s="20" t="s">
        <v>6884</v>
      </c>
      <c r="C2026" s="20" t="s">
        <v>149</v>
      </c>
      <c r="F2026" s="20" t="s">
        <v>150</v>
      </c>
      <c r="G2026" s="20" t="s">
        <v>150</v>
      </c>
      <c r="I2026" s="20" t="s">
        <v>151</v>
      </c>
      <c r="J2026" s="20" t="s">
        <v>143</v>
      </c>
      <c r="Q2026" s="20">
        <v>11246.0</v>
      </c>
      <c r="R2026" s="20" t="s">
        <v>6885</v>
      </c>
      <c r="S2026" s="20" t="s">
        <v>6884</v>
      </c>
      <c r="T2026" s="20" t="s">
        <v>138</v>
      </c>
    </row>
    <row r="2027" ht="14.25" customHeight="1">
      <c r="A2027" s="20" t="s">
        <v>6886</v>
      </c>
      <c r="B2027" s="20" t="s">
        <v>6887</v>
      </c>
      <c r="C2027" s="20" t="s">
        <v>149</v>
      </c>
      <c r="F2027" s="20" t="s">
        <v>150</v>
      </c>
      <c r="G2027" s="20" t="s">
        <v>150</v>
      </c>
      <c r="I2027" s="20" t="s">
        <v>151</v>
      </c>
      <c r="J2027" s="20" t="s">
        <v>143</v>
      </c>
      <c r="K2027" s="20" t="s">
        <v>167</v>
      </c>
      <c r="Q2027" s="20">
        <v>9826.0</v>
      </c>
      <c r="R2027" s="20" t="s">
        <v>6888</v>
      </c>
      <c r="S2027" s="20" t="s">
        <v>6887</v>
      </c>
      <c r="T2027" s="20" t="s">
        <v>138</v>
      </c>
    </row>
    <row r="2028" ht="14.25" customHeight="1">
      <c r="A2028" s="20" t="s">
        <v>6889</v>
      </c>
      <c r="B2028" s="20" t="s">
        <v>6890</v>
      </c>
      <c r="C2028" s="20" t="s">
        <v>174</v>
      </c>
      <c r="F2028" s="20" t="s">
        <v>150</v>
      </c>
      <c r="G2028" s="20" t="s">
        <v>150</v>
      </c>
      <c r="I2028" s="20" t="s">
        <v>151</v>
      </c>
      <c r="J2028" s="20" t="s">
        <v>143</v>
      </c>
      <c r="Q2028" s="20">
        <v>10964.0</v>
      </c>
      <c r="R2028" s="20" t="s">
        <v>6891</v>
      </c>
      <c r="S2028" s="20" t="s">
        <v>6890</v>
      </c>
      <c r="T2028" s="20" t="s">
        <v>138</v>
      </c>
    </row>
    <row r="2029" ht="14.25" customHeight="1">
      <c r="A2029" s="20" t="s">
        <v>6892</v>
      </c>
      <c r="B2029" s="20" t="s">
        <v>6893</v>
      </c>
      <c r="C2029" s="20" t="s">
        <v>1314</v>
      </c>
      <c r="F2029" s="20" t="s">
        <v>16</v>
      </c>
      <c r="G2029" s="20" t="s">
        <v>211</v>
      </c>
      <c r="I2029" s="20" t="s">
        <v>258</v>
      </c>
      <c r="J2029" s="20" t="s">
        <v>136</v>
      </c>
      <c r="Q2029" s="20">
        <v>3475.0</v>
      </c>
      <c r="R2029" s="20" t="s">
        <v>6894</v>
      </c>
      <c r="S2029" s="20" t="s">
        <v>6893</v>
      </c>
      <c r="T2029" s="20" t="s">
        <v>138</v>
      </c>
      <c r="W2029" s="20" t="s">
        <v>136</v>
      </c>
    </row>
    <row r="2030" ht="14.25" customHeight="1">
      <c r="A2030" s="20" t="s">
        <v>6895</v>
      </c>
      <c r="B2030" s="20" t="s">
        <v>6896</v>
      </c>
      <c r="C2030" s="20" t="s">
        <v>217</v>
      </c>
      <c r="F2030" s="20" t="s">
        <v>218</v>
      </c>
      <c r="G2030" s="20" t="s">
        <v>219</v>
      </c>
      <c r="I2030" s="20" t="s">
        <v>220</v>
      </c>
      <c r="J2030" s="20" t="s">
        <v>186</v>
      </c>
      <c r="K2030" s="20" t="s">
        <v>213</v>
      </c>
      <c r="Q2030" s="20">
        <v>11658.0</v>
      </c>
      <c r="R2030" s="20" t="s">
        <v>6897</v>
      </c>
      <c r="S2030" s="20" t="s">
        <v>6896</v>
      </c>
      <c r="T2030" s="20" t="s">
        <v>138</v>
      </c>
      <c r="W2030" s="20" t="s">
        <v>146</v>
      </c>
    </row>
    <row r="2031" ht="14.25" customHeight="1">
      <c r="A2031" s="20" t="s">
        <v>6898</v>
      </c>
      <c r="B2031" s="20" t="s">
        <v>6899</v>
      </c>
      <c r="C2031" s="20" t="s">
        <v>6900</v>
      </c>
      <c r="F2031" s="20" t="s">
        <v>218</v>
      </c>
      <c r="G2031" s="20" t="s">
        <v>219</v>
      </c>
      <c r="H2031" s="20">
        <v>1737.0</v>
      </c>
      <c r="I2031" s="20" t="s">
        <v>360</v>
      </c>
      <c r="J2031" s="20" t="s">
        <v>186</v>
      </c>
      <c r="K2031" s="20" t="s">
        <v>187</v>
      </c>
      <c r="Q2031" s="20">
        <v>1737.0</v>
      </c>
      <c r="R2031" s="20" t="s">
        <v>6901</v>
      </c>
      <c r="S2031" s="20" t="s">
        <v>6899</v>
      </c>
      <c r="T2031" s="20" t="s">
        <v>138</v>
      </c>
      <c r="U2031" s="24">
        <v>44756.0</v>
      </c>
      <c r="W2031" s="20" t="s">
        <v>261</v>
      </c>
    </row>
    <row r="2032" ht="14.25" customHeight="1">
      <c r="A2032" s="20" t="s">
        <v>6902</v>
      </c>
      <c r="B2032" s="20" t="s">
        <v>6903</v>
      </c>
      <c r="C2032" s="20" t="s">
        <v>486</v>
      </c>
      <c r="F2032" s="20" t="s">
        <v>327</v>
      </c>
      <c r="G2032" s="20" t="s">
        <v>385</v>
      </c>
      <c r="I2032" s="20" t="s">
        <v>487</v>
      </c>
      <c r="J2032" s="20" t="s">
        <v>143</v>
      </c>
      <c r="Q2032" s="20">
        <v>15085.0</v>
      </c>
      <c r="R2032" s="20" t="s">
        <v>6904</v>
      </c>
      <c r="S2032" s="20" t="s">
        <v>6903</v>
      </c>
      <c r="T2032" s="20" t="s">
        <v>138</v>
      </c>
    </row>
    <row r="2033" ht="14.25" customHeight="1">
      <c r="A2033" s="20" t="s">
        <v>6905</v>
      </c>
      <c r="B2033" s="20" t="s">
        <v>6906</v>
      </c>
      <c r="C2033" s="20" t="s">
        <v>174</v>
      </c>
      <c r="F2033" s="20" t="s">
        <v>150</v>
      </c>
      <c r="G2033" s="20" t="s">
        <v>150</v>
      </c>
      <c r="I2033" s="20" t="s">
        <v>151</v>
      </c>
      <c r="J2033" s="20" t="s">
        <v>143</v>
      </c>
      <c r="Q2033" s="20">
        <v>3025.0</v>
      </c>
      <c r="R2033" s="20" t="s">
        <v>6907</v>
      </c>
      <c r="S2033" s="20" t="s">
        <v>6906</v>
      </c>
      <c r="T2033" s="20" t="s">
        <v>138</v>
      </c>
    </row>
    <row r="2034" ht="14.25" customHeight="1">
      <c r="A2034" s="20" t="s">
        <v>6908</v>
      </c>
      <c r="B2034" s="20" t="s">
        <v>6909</v>
      </c>
      <c r="C2034" s="20" t="s">
        <v>6910</v>
      </c>
      <c r="F2034" s="20" t="s">
        <v>327</v>
      </c>
      <c r="G2034" s="20" t="s">
        <v>385</v>
      </c>
      <c r="I2034" s="20" t="s">
        <v>762</v>
      </c>
      <c r="J2034" s="20" t="s">
        <v>143</v>
      </c>
      <c r="K2034" s="20" t="s">
        <v>167</v>
      </c>
      <c r="Q2034" s="20">
        <v>9836.0</v>
      </c>
      <c r="R2034" s="20" t="s">
        <v>6911</v>
      </c>
      <c r="S2034" s="20" t="s">
        <v>6909</v>
      </c>
      <c r="T2034" s="20" t="s">
        <v>138</v>
      </c>
    </row>
    <row r="2035" ht="14.25" customHeight="1">
      <c r="A2035" s="20" t="s">
        <v>6912</v>
      </c>
      <c r="B2035" s="20" t="s">
        <v>6913</v>
      </c>
      <c r="C2035" s="20" t="s">
        <v>869</v>
      </c>
      <c r="F2035" s="20" t="s">
        <v>327</v>
      </c>
      <c r="G2035" s="20" t="s">
        <v>328</v>
      </c>
      <c r="I2035" s="20" t="s">
        <v>870</v>
      </c>
      <c r="J2035" s="20" t="s">
        <v>186</v>
      </c>
      <c r="K2035" s="20" t="s">
        <v>167</v>
      </c>
      <c r="Q2035" s="20">
        <v>13764.0</v>
      </c>
      <c r="R2035" s="20" t="s">
        <v>6914</v>
      </c>
      <c r="S2035" s="20" t="s">
        <v>6913</v>
      </c>
      <c r="T2035" s="20" t="s">
        <v>138</v>
      </c>
    </row>
    <row r="2036" ht="14.25" customHeight="1">
      <c r="A2036" s="20" t="s">
        <v>6915</v>
      </c>
      <c r="B2036" s="20" t="s">
        <v>6916</v>
      </c>
      <c r="C2036" s="20" t="s">
        <v>182</v>
      </c>
      <c r="F2036" s="20" t="s">
        <v>15</v>
      </c>
      <c r="G2036" s="20" t="s">
        <v>135</v>
      </c>
      <c r="H2036" s="20">
        <v>1048.0</v>
      </c>
      <c r="I2036" s="20" t="s">
        <v>93</v>
      </c>
      <c r="J2036" s="20" t="s">
        <v>186</v>
      </c>
      <c r="K2036" s="20" t="s">
        <v>213</v>
      </c>
      <c r="L2036" s="20" t="s">
        <v>93</v>
      </c>
      <c r="O2036" s="20" t="s">
        <v>144</v>
      </c>
      <c r="Q2036" s="20">
        <v>1048.0</v>
      </c>
      <c r="R2036" s="20" t="s">
        <v>6917</v>
      </c>
      <c r="S2036" s="20" t="s">
        <v>6916</v>
      </c>
      <c r="T2036" s="20" t="s">
        <v>138</v>
      </c>
      <c r="V2036" s="20" t="s">
        <v>260</v>
      </c>
      <c r="W2036" s="20" t="s">
        <v>261</v>
      </c>
    </row>
    <row r="2037" ht="14.25" customHeight="1">
      <c r="A2037" s="20" t="s">
        <v>6918</v>
      </c>
      <c r="B2037" s="20" t="s">
        <v>6919</v>
      </c>
      <c r="C2037" s="20" t="s">
        <v>197</v>
      </c>
      <c r="F2037" s="20" t="s">
        <v>150</v>
      </c>
      <c r="G2037" s="20" t="s">
        <v>150</v>
      </c>
      <c r="I2037" s="20" t="s">
        <v>151</v>
      </c>
      <c r="J2037" s="20" t="s">
        <v>143</v>
      </c>
      <c r="Q2037" s="20">
        <v>9195.0</v>
      </c>
      <c r="R2037" s="20" t="s">
        <v>6920</v>
      </c>
      <c r="S2037" s="20" t="s">
        <v>6919</v>
      </c>
      <c r="T2037" s="20" t="s">
        <v>138</v>
      </c>
    </row>
    <row r="2038" ht="14.25" customHeight="1">
      <c r="A2038" s="20" t="s">
        <v>6921</v>
      </c>
      <c r="B2038" s="20" t="s">
        <v>6922</v>
      </c>
      <c r="C2038" s="20" t="s">
        <v>193</v>
      </c>
      <c r="F2038" s="20" t="s">
        <v>150</v>
      </c>
      <c r="G2038" s="20" t="s">
        <v>150</v>
      </c>
      <c r="I2038" s="20" t="s">
        <v>151</v>
      </c>
      <c r="J2038" s="20" t="s">
        <v>143</v>
      </c>
      <c r="Q2038" s="20">
        <v>11424.0</v>
      </c>
      <c r="R2038" s="20" t="s">
        <v>6923</v>
      </c>
      <c r="S2038" s="20" t="s">
        <v>6922</v>
      </c>
      <c r="T2038" s="20" t="s">
        <v>138</v>
      </c>
    </row>
    <row r="2039" ht="14.25" customHeight="1">
      <c r="A2039" s="20" t="s">
        <v>6924</v>
      </c>
      <c r="B2039" s="20" t="s">
        <v>6925</v>
      </c>
      <c r="C2039" s="20" t="s">
        <v>818</v>
      </c>
      <c r="F2039" s="20" t="s">
        <v>17</v>
      </c>
      <c r="G2039" s="20" t="s">
        <v>17</v>
      </c>
      <c r="I2039" s="20" t="s">
        <v>88</v>
      </c>
      <c r="J2039" s="20" t="s">
        <v>143</v>
      </c>
      <c r="Q2039" s="20">
        <v>15539.0</v>
      </c>
      <c r="R2039" s="20" t="s">
        <v>6926</v>
      </c>
      <c r="S2039" s="20" t="s">
        <v>6927</v>
      </c>
      <c r="T2039" s="20" t="s">
        <v>138</v>
      </c>
    </row>
    <row r="2040" ht="14.25" customHeight="1">
      <c r="A2040" s="20" t="s">
        <v>6928</v>
      </c>
      <c r="B2040" s="20" t="s">
        <v>6929</v>
      </c>
      <c r="C2040" s="20" t="s">
        <v>1103</v>
      </c>
      <c r="F2040" s="20" t="s">
        <v>327</v>
      </c>
      <c r="G2040" s="20" t="s">
        <v>395</v>
      </c>
      <c r="I2040" s="20" t="s">
        <v>1104</v>
      </c>
      <c r="J2040" s="20" t="s">
        <v>143</v>
      </c>
      <c r="Q2040" s="20">
        <v>11234.0</v>
      </c>
      <c r="R2040" s="20" t="s">
        <v>6930</v>
      </c>
      <c r="S2040" s="20" t="s">
        <v>6929</v>
      </c>
      <c r="T2040" s="20" t="s">
        <v>138</v>
      </c>
    </row>
    <row r="2041" ht="14.25" customHeight="1">
      <c r="A2041" s="20" t="s">
        <v>6931</v>
      </c>
      <c r="B2041" s="20" t="s">
        <v>6932</v>
      </c>
      <c r="C2041" s="20" t="s">
        <v>1416</v>
      </c>
      <c r="F2041" s="20" t="s">
        <v>17</v>
      </c>
      <c r="G2041" s="20" t="s">
        <v>17</v>
      </c>
      <c r="I2041" s="20" t="s">
        <v>88</v>
      </c>
      <c r="J2041" s="20" t="s">
        <v>143</v>
      </c>
      <c r="K2041" s="20" t="s">
        <v>167</v>
      </c>
      <c r="Q2041" s="20">
        <v>1052.0</v>
      </c>
      <c r="R2041" s="20" t="s">
        <v>6933</v>
      </c>
      <c r="S2041" s="20" t="s">
        <v>6932</v>
      </c>
      <c r="T2041" s="20" t="s">
        <v>138</v>
      </c>
    </row>
    <row r="2042" ht="14.25" customHeight="1">
      <c r="A2042" s="20" t="s">
        <v>6934</v>
      </c>
      <c r="B2042" s="20" t="s">
        <v>6935</v>
      </c>
      <c r="C2042" s="20" t="s">
        <v>1559</v>
      </c>
      <c r="F2042" s="20" t="s">
        <v>16</v>
      </c>
      <c r="G2042" s="20" t="s">
        <v>202</v>
      </c>
      <c r="I2042" s="20" t="s">
        <v>87</v>
      </c>
      <c r="J2042" s="20" t="s">
        <v>186</v>
      </c>
      <c r="Q2042" s="20">
        <v>13706.0</v>
      </c>
      <c r="R2042" s="20" t="s">
        <v>6936</v>
      </c>
      <c r="S2042" s="20" t="s">
        <v>6935</v>
      </c>
      <c r="T2042" s="20" t="s">
        <v>138</v>
      </c>
    </row>
    <row r="2043" ht="14.25" customHeight="1">
      <c r="A2043" s="20" t="s">
        <v>6937</v>
      </c>
      <c r="B2043" s="20" t="s">
        <v>6938</v>
      </c>
      <c r="C2043" s="20" t="s">
        <v>1305</v>
      </c>
      <c r="F2043" s="20" t="s">
        <v>16</v>
      </c>
      <c r="G2043" s="20" t="s">
        <v>202</v>
      </c>
      <c r="I2043" s="20" t="s">
        <v>1306</v>
      </c>
      <c r="J2043" s="20" t="s">
        <v>186</v>
      </c>
      <c r="K2043" s="20" t="s">
        <v>213</v>
      </c>
      <c r="Q2043" s="20">
        <v>82.0</v>
      </c>
      <c r="R2043" s="20" t="s">
        <v>6939</v>
      </c>
      <c r="S2043" s="20" t="s">
        <v>6938</v>
      </c>
      <c r="T2043" s="20" t="s">
        <v>138</v>
      </c>
      <c r="W2043" s="20" t="s">
        <v>146</v>
      </c>
    </row>
    <row r="2044" ht="14.25" customHeight="1">
      <c r="A2044" s="20" t="s">
        <v>6940</v>
      </c>
      <c r="B2044" s="20" t="s">
        <v>6941</v>
      </c>
      <c r="C2044" s="20" t="s">
        <v>1103</v>
      </c>
      <c r="F2044" s="20" t="s">
        <v>327</v>
      </c>
      <c r="G2044" s="20" t="s">
        <v>395</v>
      </c>
      <c r="I2044" s="20" t="s">
        <v>1104</v>
      </c>
      <c r="J2044" s="20" t="s">
        <v>143</v>
      </c>
      <c r="Q2044" s="20">
        <v>2576.0</v>
      </c>
      <c r="R2044" s="20" t="s">
        <v>6942</v>
      </c>
      <c r="S2044" s="20" t="s">
        <v>6941</v>
      </c>
      <c r="T2044" s="20" t="s">
        <v>138</v>
      </c>
    </row>
    <row r="2045" ht="14.25" customHeight="1">
      <c r="A2045" s="20" t="s">
        <v>6943</v>
      </c>
      <c r="B2045" s="20" t="s">
        <v>6944</v>
      </c>
      <c r="C2045" s="20" t="s">
        <v>6945</v>
      </c>
      <c r="F2045" s="20" t="s">
        <v>218</v>
      </c>
      <c r="G2045" s="20" t="s">
        <v>219</v>
      </c>
      <c r="H2045" s="20">
        <v>15035.0</v>
      </c>
      <c r="I2045" s="20" t="s">
        <v>360</v>
      </c>
      <c r="J2045" s="20" t="s">
        <v>136</v>
      </c>
      <c r="Q2045" s="20">
        <v>15035.0</v>
      </c>
      <c r="R2045" s="20" t="s">
        <v>6946</v>
      </c>
      <c r="S2045" s="20" t="s">
        <v>6944</v>
      </c>
      <c r="T2045" s="20" t="s">
        <v>138</v>
      </c>
      <c r="U2045" s="24">
        <v>45105.0</v>
      </c>
      <c r="W2045" s="20" t="s">
        <v>136</v>
      </c>
    </row>
    <row r="2046" ht="14.25" customHeight="1">
      <c r="A2046" s="20" t="s">
        <v>6947</v>
      </c>
      <c r="B2046" s="20" t="s">
        <v>6948</v>
      </c>
      <c r="C2046" s="20" t="s">
        <v>239</v>
      </c>
      <c r="F2046" s="20" t="s">
        <v>17</v>
      </c>
      <c r="G2046" s="20" t="s">
        <v>17</v>
      </c>
      <c r="I2046" s="20" t="s">
        <v>88</v>
      </c>
      <c r="J2046" s="20" t="s">
        <v>143</v>
      </c>
      <c r="Q2046" s="20">
        <v>5917.0</v>
      </c>
      <c r="R2046" s="20" t="s">
        <v>6949</v>
      </c>
      <c r="S2046" s="20" t="s">
        <v>6948</v>
      </c>
      <c r="T2046" s="20" t="s">
        <v>138</v>
      </c>
    </row>
    <row r="2047" ht="14.25" customHeight="1">
      <c r="A2047" s="20" t="s">
        <v>6950</v>
      </c>
      <c r="B2047" s="20" t="s">
        <v>6951</v>
      </c>
      <c r="C2047" s="20" t="s">
        <v>818</v>
      </c>
      <c r="F2047" s="20" t="s">
        <v>17</v>
      </c>
      <c r="G2047" s="20" t="s">
        <v>17</v>
      </c>
      <c r="I2047" s="20" t="s">
        <v>88</v>
      </c>
      <c r="J2047" s="20" t="s">
        <v>143</v>
      </c>
      <c r="Q2047" s="20">
        <v>3107.0</v>
      </c>
      <c r="R2047" s="20" t="s">
        <v>6952</v>
      </c>
      <c r="S2047" s="20" t="s">
        <v>6951</v>
      </c>
      <c r="T2047" s="20" t="s">
        <v>138</v>
      </c>
    </row>
    <row r="2048" ht="14.25" customHeight="1">
      <c r="A2048" s="20" t="s">
        <v>6953</v>
      </c>
      <c r="B2048" s="20" t="s">
        <v>6954</v>
      </c>
      <c r="C2048" s="20" t="s">
        <v>193</v>
      </c>
      <c r="F2048" s="20" t="s">
        <v>150</v>
      </c>
      <c r="G2048" s="20" t="s">
        <v>150</v>
      </c>
      <c r="I2048" s="20" t="s">
        <v>151</v>
      </c>
      <c r="J2048" s="20" t="s">
        <v>143</v>
      </c>
      <c r="K2048" s="20" t="s">
        <v>167</v>
      </c>
      <c r="Q2048" s="20">
        <v>12644.0</v>
      </c>
      <c r="R2048" s="20" t="s">
        <v>6955</v>
      </c>
      <c r="S2048" s="20" t="s">
        <v>6954</v>
      </c>
      <c r="T2048" s="20" t="s">
        <v>138</v>
      </c>
    </row>
    <row r="2049" ht="14.25" customHeight="1">
      <c r="A2049" s="20" t="s">
        <v>6956</v>
      </c>
      <c r="B2049" s="20" t="s">
        <v>6957</v>
      </c>
      <c r="C2049" s="20" t="s">
        <v>6958</v>
      </c>
      <c r="F2049" s="20" t="s">
        <v>16</v>
      </c>
      <c r="G2049" s="20" t="s">
        <v>638</v>
      </c>
      <c r="I2049" s="20" t="s">
        <v>1077</v>
      </c>
      <c r="J2049" s="20" t="s">
        <v>143</v>
      </c>
      <c r="K2049" s="20" t="s">
        <v>167</v>
      </c>
      <c r="Q2049" s="20">
        <v>12328.0</v>
      </c>
      <c r="R2049" s="20" t="s">
        <v>6959</v>
      </c>
      <c r="S2049" s="20" t="s">
        <v>6957</v>
      </c>
      <c r="T2049" s="20" t="s">
        <v>138</v>
      </c>
    </row>
    <row r="2050" ht="14.25" customHeight="1">
      <c r="A2050" s="20" t="s">
        <v>6960</v>
      </c>
      <c r="B2050" s="20" t="s">
        <v>6961</v>
      </c>
      <c r="C2050" s="20" t="s">
        <v>6962</v>
      </c>
      <c r="F2050" s="20" t="s">
        <v>16</v>
      </c>
      <c r="G2050" s="20" t="s">
        <v>638</v>
      </c>
      <c r="H2050" s="20">
        <v>17668.0</v>
      </c>
      <c r="I2050" s="20" t="s">
        <v>814</v>
      </c>
      <c r="J2050" s="20" t="s">
        <v>136</v>
      </c>
      <c r="P2050" s="20" t="s">
        <v>6961</v>
      </c>
      <c r="Q2050" s="20">
        <v>17668.0</v>
      </c>
      <c r="R2050" s="20" t="s">
        <v>6963</v>
      </c>
      <c r="S2050" s="20" t="s">
        <v>6961</v>
      </c>
      <c r="T2050" s="20" t="s">
        <v>138</v>
      </c>
      <c r="W2050" s="20" t="s">
        <v>136</v>
      </c>
    </row>
    <row r="2051" ht="14.25" customHeight="1">
      <c r="A2051" s="20" t="s">
        <v>6964</v>
      </c>
      <c r="B2051" s="20" t="s">
        <v>6965</v>
      </c>
      <c r="C2051" s="20" t="s">
        <v>197</v>
      </c>
      <c r="F2051" s="20" t="s">
        <v>150</v>
      </c>
      <c r="G2051" s="20" t="s">
        <v>150</v>
      </c>
      <c r="I2051" s="20" t="s">
        <v>151</v>
      </c>
      <c r="J2051" s="20" t="s">
        <v>143</v>
      </c>
      <c r="Q2051" s="20">
        <v>15280.0</v>
      </c>
      <c r="R2051" s="20" t="s">
        <v>6966</v>
      </c>
      <c r="S2051" s="20" t="s">
        <v>6965</v>
      </c>
      <c r="T2051" s="20" t="s">
        <v>138</v>
      </c>
    </row>
    <row r="2052" ht="14.25" customHeight="1">
      <c r="A2052" s="20" t="s">
        <v>6967</v>
      </c>
      <c r="B2052" s="20" t="s">
        <v>6968</v>
      </c>
      <c r="C2052" s="20" t="s">
        <v>149</v>
      </c>
      <c r="F2052" s="20" t="s">
        <v>150</v>
      </c>
      <c r="G2052" s="20" t="s">
        <v>150</v>
      </c>
      <c r="I2052" s="20" t="s">
        <v>151</v>
      </c>
      <c r="J2052" s="20" t="s">
        <v>143</v>
      </c>
      <c r="Q2052" s="20">
        <v>15683.0</v>
      </c>
      <c r="R2052" s="20" t="s">
        <v>6969</v>
      </c>
      <c r="S2052" s="20" t="s">
        <v>6968</v>
      </c>
      <c r="T2052" s="20" t="s">
        <v>138</v>
      </c>
    </row>
    <row r="2053" ht="14.25" customHeight="1">
      <c r="A2053" s="20" t="s">
        <v>6970</v>
      </c>
      <c r="B2053" s="20" t="s">
        <v>6971</v>
      </c>
      <c r="C2053" s="20" t="s">
        <v>178</v>
      </c>
      <c r="F2053" s="20" t="s">
        <v>150</v>
      </c>
      <c r="G2053" s="20" t="s">
        <v>150</v>
      </c>
      <c r="I2053" s="20" t="s">
        <v>151</v>
      </c>
      <c r="J2053" s="20" t="s">
        <v>143</v>
      </c>
      <c r="Q2053" s="20">
        <v>15788.0</v>
      </c>
      <c r="R2053" s="20" t="s">
        <v>6972</v>
      </c>
      <c r="S2053" s="20" t="s">
        <v>6971</v>
      </c>
      <c r="T2053" s="20" t="s">
        <v>138</v>
      </c>
    </row>
    <row r="2054" ht="14.25" customHeight="1">
      <c r="A2054" s="20" t="s">
        <v>6973</v>
      </c>
      <c r="B2054" s="20" t="s">
        <v>6974</v>
      </c>
      <c r="C2054" s="20" t="s">
        <v>149</v>
      </c>
      <c r="F2054" s="20" t="s">
        <v>150</v>
      </c>
      <c r="G2054" s="20" t="s">
        <v>150</v>
      </c>
      <c r="I2054" s="20" t="s">
        <v>151</v>
      </c>
      <c r="J2054" s="20" t="s">
        <v>143</v>
      </c>
      <c r="Q2054" s="20">
        <v>9196.0</v>
      </c>
      <c r="R2054" s="20" t="s">
        <v>6975</v>
      </c>
      <c r="S2054" s="20" t="s">
        <v>6974</v>
      </c>
      <c r="T2054" s="20" t="s">
        <v>138</v>
      </c>
    </row>
    <row r="2055" ht="14.25" customHeight="1">
      <c r="A2055" s="20" t="s">
        <v>6976</v>
      </c>
      <c r="B2055" s="20" t="s">
        <v>6977</v>
      </c>
      <c r="C2055" s="20" t="s">
        <v>174</v>
      </c>
      <c r="F2055" s="20" t="s">
        <v>150</v>
      </c>
      <c r="G2055" s="20" t="s">
        <v>150</v>
      </c>
      <c r="I2055" s="20" t="s">
        <v>151</v>
      </c>
      <c r="J2055" s="20" t="s">
        <v>143</v>
      </c>
      <c r="K2055" s="20" t="s">
        <v>167</v>
      </c>
      <c r="Q2055" s="20">
        <v>12473.0</v>
      </c>
      <c r="R2055" s="20" t="s">
        <v>6978</v>
      </c>
      <c r="S2055" s="20" t="s">
        <v>6977</v>
      </c>
      <c r="T2055" s="20" t="s">
        <v>138</v>
      </c>
    </row>
    <row r="2056" ht="14.25" customHeight="1">
      <c r="A2056" s="20" t="s">
        <v>6979</v>
      </c>
      <c r="B2056" s="20" t="s">
        <v>6980</v>
      </c>
      <c r="C2056" s="20" t="s">
        <v>1269</v>
      </c>
      <c r="F2056" s="20" t="s">
        <v>218</v>
      </c>
      <c r="G2056" s="20" t="s">
        <v>219</v>
      </c>
      <c r="I2056" s="20" t="s">
        <v>314</v>
      </c>
      <c r="J2056" s="20" t="s">
        <v>186</v>
      </c>
      <c r="K2056" s="20" t="s">
        <v>167</v>
      </c>
      <c r="Q2056" s="20">
        <v>15995.0</v>
      </c>
      <c r="R2056" s="20" t="s">
        <v>1319</v>
      </c>
      <c r="S2056" s="20" t="s">
        <v>1317</v>
      </c>
      <c r="T2056" s="20" t="s">
        <v>138</v>
      </c>
    </row>
    <row r="2057" ht="14.25" customHeight="1">
      <c r="A2057" s="20" t="s">
        <v>6981</v>
      </c>
      <c r="B2057" s="20" t="s">
        <v>6982</v>
      </c>
      <c r="C2057" s="20" t="s">
        <v>182</v>
      </c>
      <c r="F2057" s="20" t="s">
        <v>15</v>
      </c>
      <c r="G2057" s="20" t="s">
        <v>135</v>
      </c>
      <c r="I2057" s="20" t="s">
        <v>93</v>
      </c>
      <c r="J2057" s="20" t="s">
        <v>143</v>
      </c>
      <c r="Q2057" s="20">
        <v>15636.0</v>
      </c>
      <c r="R2057" s="20" t="s">
        <v>6983</v>
      </c>
      <c r="S2057" s="20" t="s">
        <v>6982</v>
      </c>
      <c r="T2057" s="20" t="s">
        <v>138</v>
      </c>
    </row>
    <row r="2058" ht="14.25" customHeight="1">
      <c r="A2058" s="20" t="s">
        <v>6984</v>
      </c>
      <c r="B2058" s="20" t="s">
        <v>6985</v>
      </c>
      <c r="C2058" s="20" t="s">
        <v>1740</v>
      </c>
      <c r="F2058" s="20" t="s">
        <v>16</v>
      </c>
      <c r="G2058" s="20" t="s">
        <v>638</v>
      </c>
      <c r="I2058" s="20" t="s">
        <v>814</v>
      </c>
      <c r="J2058" s="20" t="s">
        <v>143</v>
      </c>
      <c r="Q2058" s="20">
        <v>9847.0</v>
      </c>
      <c r="R2058" s="20" t="s">
        <v>6986</v>
      </c>
      <c r="S2058" s="20" t="s">
        <v>6985</v>
      </c>
      <c r="T2058" s="20" t="s">
        <v>138</v>
      </c>
    </row>
    <row r="2059" ht="14.25" customHeight="1">
      <c r="A2059" s="20" t="s">
        <v>6987</v>
      </c>
      <c r="B2059" s="20" t="s">
        <v>6988</v>
      </c>
      <c r="C2059" s="20" t="s">
        <v>193</v>
      </c>
      <c r="F2059" s="20" t="s">
        <v>150</v>
      </c>
      <c r="G2059" s="20" t="s">
        <v>150</v>
      </c>
      <c r="I2059" s="20" t="s">
        <v>151</v>
      </c>
      <c r="J2059" s="20" t="s">
        <v>143</v>
      </c>
      <c r="Q2059" s="20">
        <v>14023.0</v>
      </c>
      <c r="R2059" s="20" t="s">
        <v>6989</v>
      </c>
      <c r="S2059" s="20" t="s">
        <v>6988</v>
      </c>
      <c r="T2059" s="20" t="s">
        <v>138</v>
      </c>
    </row>
    <row r="2060" ht="14.25" customHeight="1">
      <c r="A2060" s="20" t="s">
        <v>6990</v>
      </c>
      <c r="B2060" s="20" t="s">
        <v>6991</v>
      </c>
      <c r="C2060" s="20" t="s">
        <v>651</v>
      </c>
      <c r="F2060" s="20" t="s">
        <v>327</v>
      </c>
      <c r="G2060" s="20" t="s">
        <v>395</v>
      </c>
      <c r="I2060" s="20" t="s">
        <v>5127</v>
      </c>
      <c r="J2060" s="20" t="s">
        <v>143</v>
      </c>
      <c r="Q2060" s="20">
        <v>10990.0</v>
      </c>
      <c r="R2060" s="20" t="s">
        <v>6992</v>
      </c>
      <c r="S2060" s="20" t="s">
        <v>6991</v>
      </c>
      <c r="T2060" s="20" t="s">
        <v>138</v>
      </c>
    </row>
    <row r="2061" ht="14.25" customHeight="1">
      <c r="A2061" s="20" t="s">
        <v>6993</v>
      </c>
      <c r="B2061" s="20" t="s">
        <v>6994</v>
      </c>
      <c r="C2061" s="20" t="s">
        <v>163</v>
      </c>
      <c r="F2061" s="20" t="s">
        <v>150</v>
      </c>
      <c r="G2061" s="20" t="s">
        <v>150</v>
      </c>
      <c r="I2061" s="20" t="s">
        <v>151</v>
      </c>
      <c r="J2061" s="20" t="s">
        <v>143</v>
      </c>
      <c r="Q2061" s="20">
        <v>10825.0</v>
      </c>
      <c r="R2061" s="20" t="s">
        <v>6995</v>
      </c>
      <c r="S2061" s="20" t="s">
        <v>6994</v>
      </c>
      <c r="T2061" s="20" t="s">
        <v>138</v>
      </c>
    </row>
    <row r="2062" ht="14.25" customHeight="1">
      <c r="A2062" s="20" t="s">
        <v>6996</v>
      </c>
      <c r="B2062" s="20" t="s">
        <v>6997</v>
      </c>
      <c r="C2062" s="20" t="s">
        <v>149</v>
      </c>
      <c r="F2062" s="20" t="s">
        <v>150</v>
      </c>
      <c r="G2062" s="20" t="s">
        <v>150</v>
      </c>
      <c r="I2062" s="20" t="s">
        <v>151</v>
      </c>
      <c r="J2062" s="20" t="s">
        <v>143</v>
      </c>
      <c r="Q2062" s="20">
        <v>15023.0</v>
      </c>
      <c r="R2062" s="20" t="s">
        <v>6998</v>
      </c>
      <c r="S2062" s="20" t="s">
        <v>6997</v>
      </c>
      <c r="T2062" s="20" t="s">
        <v>138</v>
      </c>
    </row>
    <row r="2063" ht="14.25" customHeight="1">
      <c r="A2063" s="20" t="s">
        <v>6999</v>
      </c>
      <c r="B2063" s="20" t="s">
        <v>7000</v>
      </c>
      <c r="C2063" s="20" t="s">
        <v>4800</v>
      </c>
      <c r="F2063" s="20" t="s">
        <v>327</v>
      </c>
      <c r="G2063" s="20" t="s">
        <v>395</v>
      </c>
      <c r="I2063" s="20" t="s">
        <v>4801</v>
      </c>
      <c r="J2063" s="20" t="s">
        <v>186</v>
      </c>
      <c r="K2063" s="20" t="s">
        <v>213</v>
      </c>
      <c r="L2063" s="20" t="s">
        <v>4801</v>
      </c>
      <c r="Q2063" s="20">
        <v>2487.0</v>
      </c>
      <c r="R2063" s="20" t="s">
        <v>7001</v>
      </c>
      <c r="S2063" s="20" t="s">
        <v>7000</v>
      </c>
      <c r="T2063" s="20" t="s">
        <v>138</v>
      </c>
      <c r="V2063" s="20" t="s">
        <v>189</v>
      </c>
      <c r="W2063" s="20" t="s">
        <v>146</v>
      </c>
    </row>
    <row r="2064" ht="14.25" customHeight="1">
      <c r="A2064" s="20" t="s">
        <v>7002</v>
      </c>
      <c r="B2064" s="20" t="s">
        <v>7003</v>
      </c>
      <c r="C2064" s="20" t="s">
        <v>7004</v>
      </c>
      <c r="F2064" s="20" t="s">
        <v>16</v>
      </c>
      <c r="G2064" s="20" t="s">
        <v>638</v>
      </c>
      <c r="H2064" s="20">
        <v>15494.0</v>
      </c>
      <c r="I2064" s="20" t="s">
        <v>639</v>
      </c>
      <c r="J2064" s="20" t="s">
        <v>186</v>
      </c>
      <c r="Q2064" s="20">
        <v>15494.0</v>
      </c>
      <c r="R2064" s="20" t="s">
        <v>7005</v>
      </c>
      <c r="S2064" s="20" t="s">
        <v>7003</v>
      </c>
      <c r="T2064" s="20" t="s">
        <v>138</v>
      </c>
      <c r="U2064" s="24">
        <v>44729.0</v>
      </c>
      <c r="W2064" s="20" t="s">
        <v>146</v>
      </c>
    </row>
    <row r="2065" ht="14.25" customHeight="1">
      <c r="A2065" s="20" t="s">
        <v>7006</v>
      </c>
      <c r="B2065" s="20" t="s">
        <v>7007</v>
      </c>
      <c r="C2065" s="20" t="s">
        <v>149</v>
      </c>
      <c r="F2065" s="20" t="s">
        <v>150</v>
      </c>
      <c r="G2065" s="20" t="s">
        <v>150</v>
      </c>
      <c r="I2065" s="20" t="s">
        <v>151</v>
      </c>
      <c r="J2065" s="20" t="s">
        <v>143</v>
      </c>
      <c r="K2065" s="20" t="s">
        <v>167</v>
      </c>
      <c r="Q2065" s="20">
        <v>11082.0</v>
      </c>
      <c r="R2065" s="20" t="s">
        <v>7008</v>
      </c>
      <c r="S2065" s="20" t="s">
        <v>7007</v>
      </c>
      <c r="T2065" s="20" t="s">
        <v>138</v>
      </c>
    </row>
    <row r="2066" ht="14.25" customHeight="1">
      <c r="A2066" s="20" t="s">
        <v>7009</v>
      </c>
      <c r="B2066" s="20" t="s">
        <v>7010</v>
      </c>
      <c r="C2066" s="20" t="s">
        <v>174</v>
      </c>
      <c r="F2066" s="20" t="s">
        <v>150</v>
      </c>
      <c r="G2066" s="20" t="s">
        <v>150</v>
      </c>
      <c r="I2066" s="20" t="s">
        <v>151</v>
      </c>
      <c r="J2066" s="20" t="s">
        <v>143</v>
      </c>
      <c r="Q2066" s="20">
        <v>5469.0</v>
      </c>
      <c r="R2066" s="20" t="s">
        <v>7011</v>
      </c>
      <c r="S2066" s="20" t="s">
        <v>7010</v>
      </c>
      <c r="T2066" s="20" t="s">
        <v>138</v>
      </c>
    </row>
    <row r="2067" ht="14.25" customHeight="1">
      <c r="A2067" s="20" t="s">
        <v>7012</v>
      </c>
      <c r="B2067" s="20" t="s">
        <v>7013</v>
      </c>
      <c r="C2067" s="20" t="s">
        <v>394</v>
      </c>
      <c r="F2067" s="20" t="s">
        <v>327</v>
      </c>
      <c r="G2067" s="20" t="s">
        <v>395</v>
      </c>
      <c r="I2067" s="20" t="s">
        <v>396</v>
      </c>
      <c r="J2067" s="20" t="s">
        <v>143</v>
      </c>
      <c r="Q2067" s="20">
        <v>14868.0</v>
      </c>
      <c r="R2067" s="20" t="s">
        <v>7014</v>
      </c>
      <c r="S2067" s="20" t="s">
        <v>7015</v>
      </c>
      <c r="T2067" s="20" t="s">
        <v>138</v>
      </c>
    </row>
    <row r="2068" ht="14.25" customHeight="1">
      <c r="A2068" s="20" t="s">
        <v>7016</v>
      </c>
      <c r="B2068" s="20" t="s">
        <v>7017</v>
      </c>
      <c r="C2068" s="20" t="s">
        <v>1397</v>
      </c>
      <c r="F2068" s="20" t="s">
        <v>17</v>
      </c>
      <c r="G2068" s="20" t="s">
        <v>17</v>
      </c>
      <c r="I2068" s="20" t="s">
        <v>88</v>
      </c>
      <c r="J2068" s="20" t="s">
        <v>143</v>
      </c>
      <c r="Q2068" s="20">
        <v>606.0</v>
      </c>
      <c r="R2068" s="20" t="s">
        <v>7018</v>
      </c>
      <c r="S2068" s="20" t="s">
        <v>7017</v>
      </c>
      <c r="T2068" s="20" t="s">
        <v>138</v>
      </c>
    </row>
    <row r="2069" ht="14.25" customHeight="1">
      <c r="A2069" s="20" t="s">
        <v>7019</v>
      </c>
      <c r="B2069" s="20" t="s">
        <v>7020</v>
      </c>
      <c r="C2069" s="20" t="s">
        <v>326</v>
      </c>
      <c r="F2069" s="20" t="s">
        <v>327</v>
      </c>
      <c r="G2069" s="20" t="s">
        <v>328</v>
      </c>
      <c r="I2069" s="20" t="s">
        <v>329</v>
      </c>
      <c r="J2069" s="20" t="s">
        <v>186</v>
      </c>
      <c r="Q2069" s="20">
        <v>9216.0</v>
      </c>
      <c r="R2069" s="20" t="s">
        <v>7021</v>
      </c>
      <c r="S2069" s="20" t="s">
        <v>7020</v>
      </c>
      <c r="T2069" s="20" t="s">
        <v>138</v>
      </c>
      <c r="W2069" s="20" t="s">
        <v>146</v>
      </c>
    </row>
    <row r="2070" ht="14.25" customHeight="1">
      <c r="A2070" s="20" t="s">
        <v>7022</v>
      </c>
      <c r="B2070" s="20" t="s">
        <v>7023</v>
      </c>
      <c r="C2070" s="20" t="s">
        <v>938</v>
      </c>
      <c r="F2070" s="20" t="s">
        <v>327</v>
      </c>
      <c r="G2070" s="20" t="s">
        <v>385</v>
      </c>
      <c r="I2070" s="20" t="s">
        <v>2245</v>
      </c>
      <c r="J2070" s="20" t="s">
        <v>186</v>
      </c>
      <c r="K2070" s="20" t="s">
        <v>167</v>
      </c>
      <c r="Q2070" s="20">
        <v>7130.0</v>
      </c>
      <c r="R2070" s="20" t="s">
        <v>7024</v>
      </c>
      <c r="S2070" s="20" t="s">
        <v>7023</v>
      </c>
      <c r="T2070" s="20" t="s">
        <v>138</v>
      </c>
    </row>
    <row r="2071" ht="14.25" customHeight="1">
      <c r="A2071" s="20" t="s">
        <v>7025</v>
      </c>
      <c r="B2071" s="20" t="s">
        <v>7023</v>
      </c>
      <c r="C2071" s="20" t="s">
        <v>938</v>
      </c>
      <c r="F2071" s="20" t="s">
        <v>327</v>
      </c>
      <c r="G2071" s="20" t="s">
        <v>385</v>
      </c>
      <c r="I2071" s="20" t="s">
        <v>2245</v>
      </c>
      <c r="J2071" s="20" t="s">
        <v>186</v>
      </c>
      <c r="Q2071" s="20">
        <v>13935.0</v>
      </c>
      <c r="R2071" s="20" t="s">
        <v>7026</v>
      </c>
      <c r="S2071" s="20" t="s">
        <v>7023</v>
      </c>
      <c r="T2071" s="20" t="s">
        <v>138</v>
      </c>
    </row>
    <row r="2072" ht="14.25" customHeight="1">
      <c r="A2072" s="20" t="s">
        <v>7027</v>
      </c>
      <c r="B2072" s="20" t="s">
        <v>7028</v>
      </c>
      <c r="C2072" s="20" t="s">
        <v>7029</v>
      </c>
      <c r="F2072" s="20" t="s">
        <v>16</v>
      </c>
      <c r="G2072" s="20" t="s">
        <v>211</v>
      </c>
      <c r="I2072" s="20" t="s">
        <v>212</v>
      </c>
      <c r="J2072" s="20" t="s">
        <v>186</v>
      </c>
      <c r="K2072" s="20" t="s">
        <v>213</v>
      </c>
      <c r="Q2072" s="20">
        <v>1341.0</v>
      </c>
      <c r="R2072" s="20" t="s">
        <v>7030</v>
      </c>
      <c r="S2072" s="20" t="s">
        <v>7028</v>
      </c>
      <c r="T2072" s="20" t="s">
        <v>138</v>
      </c>
      <c r="V2072" s="20" t="s">
        <v>260</v>
      </c>
      <c r="W2072" s="20" t="s">
        <v>146</v>
      </c>
    </row>
    <row r="2073" ht="14.25" customHeight="1">
      <c r="A2073" s="20" t="s">
        <v>7031</v>
      </c>
      <c r="B2073" s="20" t="s">
        <v>7032</v>
      </c>
      <c r="C2073" s="20" t="s">
        <v>3165</v>
      </c>
      <c r="F2073" s="20" t="s">
        <v>218</v>
      </c>
      <c r="G2073" s="20" t="s">
        <v>219</v>
      </c>
      <c r="H2073" s="20">
        <v>17641.0</v>
      </c>
      <c r="I2073" s="20" t="s">
        <v>355</v>
      </c>
    </row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</sheetData>
  <autoFilter ref="$A$1:$X$2109">
    <sortState ref="A1:X2109">
      <sortCondition ref="F1:F2109"/>
      <sortCondition ref="I1:I2109"/>
    </sortState>
  </autoFilter>
  <hyperlinks>
    <hyperlink r:id="rId1" ref="B481"/>
    <hyperlink r:id="rId2" ref="S481"/>
    <hyperlink r:id="rId3" ref="B927"/>
    <hyperlink r:id="rId4" ref="S927"/>
    <hyperlink r:id="rId5" ref="B1077"/>
    <hyperlink r:id="rId6" ref="S1077"/>
    <hyperlink r:id="rId7" ref="B1126"/>
    <hyperlink r:id="rId8" ref="S1126"/>
    <hyperlink r:id="rId9" ref="B1234"/>
    <hyperlink r:id="rId10" ref="S1234"/>
  </hyperlinks>
  <printOptions/>
  <pageMargins bottom="0.75" footer="0.0" header="0.0" left="0.7" right="0.7" top="0.75"/>
  <pageSetup orientation="landscape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1.14"/>
    <col customWidth="1" min="5" max="5" width="37.71"/>
    <col customWidth="1" min="6" max="7" width="18.14"/>
    <col customWidth="1" min="8" max="8" width="25.43"/>
    <col customWidth="1" min="9" max="9" width="22.43"/>
    <col customWidth="1" min="10" max="10" width="20.14"/>
    <col customWidth="1" min="11" max="12" width="18.14"/>
    <col customWidth="1" min="13" max="13" width="25.43"/>
    <col customWidth="1" min="14" max="14" width="22.43"/>
    <col customWidth="1" min="15" max="15" width="20.14"/>
    <col customWidth="1" min="16" max="17" width="18.14"/>
    <col customWidth="1" min="18" max="18" width="25.43"/>
    <col customWidth="1" min="19" max="19" width="22.43"/>
    <col customWidth="1" min="20" max="20" width="20.14"/>
    <col customWidth="1" min="21" max="22" width="18.14"/>
    <col customWidth="1" min="23" max="23" width="25.43"/>
    <col customWidth="1" min="24" max="24" width="22.43"/>
    <col customWidth="1" min="25" max="25" width="20.14"/>
    <col customWidth="1" min="26" max="27" width="18.14"/>
    <col customWidth="1" min="28" max="28" width="25.43"/>
    <col customWidth="1" min="29" max="29" width="22.43"/>
    <col customWidth="1" min="30" max="30" width="20.14"/>
    <col customWidth="1" min="31" max="32" width="18.14"/>
    <col customWidth="1" min="33" max="33" width="25.43"/>
  </cols>
  <sheetData>
    <row r="1" ht="14.25" customHeight="1">
      <c r="A1" s="27" t="s">
        <v>7033</v>
      </c>
      <c r="B1" s="27" t="s">
        <v>7034</v>
      </c>
      <c r="C1" s="27" t="s">
        <v>7035</v>
      </c>
      <c r="D1" s="27" t="s">
        <v>7036</v>
      </c>
      <c r="E1" s="27" t="s">
        <v>7037</v>
      </c>
      <c r="F1" s="27" t="s">
        <v>7038</v>
      </c>
      <c r="G1" s="27" t="s">
        <v>7039</v>
      </c>
      <c r="H1" s="27" t="s">
        <v>7040</v>
      </c>
      <c r="I1" s="27" t="s">
        <v>7036</v>
      </c>
      <c r="J1" s="27" t="s">
        <v>7037</v>
      </c>
      <c r="K1" s="27" t="s">
        <v>7038</v>
      </c>
      <c r="L1" s="27" t="s">
        <v>7039</v>
      </c>
      <c r="M1" s="27" t="s">
        <v>7040</v>
      </c>
      <c r="N1" s="27" t="s">
        <v>7036</v>
      </c>
      <c r="O1" s="27" t="s">
        <v>7037</v>
      </c>
      <c r="P1" s="27" t="s">
        <v>7038</v>
      </c>
      <c r="Q1" s="27" t="s">
        <v>7039</v>
      </c>
      <c r="R1" s="27" t="s">
        <v>7040</v>
      </c>
      <c r="S1" s="27" t="s">
        <v>7036</v>
      </c>
      <c r="T1" s="27" t="s">
        <v>7037</v>
      </c>
      <c r="U1" s="27" t="s">
        <v>7038</v>
      </c>
      <c r="V1" s="27" t="s">
        <v>7039</v>
      </c>
      <c r="W1" s="27" t="s">
        <v>7040</v>
      </c>
      <c r="X1" s="27" t="s">
        <v>7036</v>
      </c>
      <c r="Y1" s="27" t="s">
        <v>7037</v>
      </c>
      <c r="Z1" s="27" t="s">
        <v>7038</v>
      </c>
      <c r="AA1" s="27" t="s">
        <v>7039</v>
      </c>
      <c r="AB1" s="27" t="s">
        <v>7040</v>
      </c>
      <c r="AC1" s="27" t="s">
        <v>7036</v>
      </c>
      <c r="AD1" s="27" t="s">
        <v>7037</v>
      </c>
      <c r="AE1" s="27" t="s">
        <v>7038</v>
      </c>
      <c r="AF1" s="27" t="s">
        <v>7039</v>
      </c>
      <c r="AG1" s="27" t="s">
        <v>7040</v>
      </c>
    </row>
    <row r="2" ht="14.25" customHeight="1">
      <c r="A2" s="28" t="s">
        <v>1706</v>
      </c>
      <c r="B2" s="29" t="s">
        <v>1707</v>
      </c>
      <c r="C2" s="29" t="s">
        <v>7041</v>
      </c>
      <c r="D2" s="30">
        <v>45658.0</v>
      </c>
      <c r="E2" s="30">
        <v>46022.0</v>
      </c>
      <c r="F2" s="31">
        <v>1.0</v>
      </c>
      <c r="G2" s="31">
        <v>1.0</v>
      </c>
      <c r="H2" s="32" t="s">
        <v>7042</v>
      </c>
      <c r="I2" s="30">
        <v>46023.0</v>
      </c>
      <c r="J2" s="30">
        <v>46387.0</v>
      </c>
      <c r="K2" s="31">
        <v>0.0</v>
      </c>
      <c r="L2" s="31">
        <v>1.0</v>
      </c>
      <c r="M2" s="32" t="s">
        <v>7043</v>
      </c>
      <c r="N2" s="30">
        <v>46388.0</v>
      </c>
      <c r="O2" s="30">
        <v>46752.0</v>
      </c>
      <c r="P2" s="31">
        <v>0.0</v>
      </c>
      <c r="Q2" s="31">
        <v>1.0</v>
      </c>
      <c r="R2" s="32" t="s">
        <v>7043</v>
      </c>
      <c r="S2" s="30">
        <v>46753.0</v>
      </c>
      <c r="T2" s="30">
        <v>47118.0</v>
      </c>
      <c r="U2" s="31">
        <v>0.0</v>
      </c>
      <c r="V2" s="31">
        <v>1.0</v>
      </c>
      <c r="W2" s="32" t="s">
        <v>7043</v>
      </c>
      <c r="X2" s="30">
        <v>47119.0</v>
      </c>
      <c r="Y2" s="30">
        <v>47483.0</v>
      </c>
      <c r="Z2" s="31">
        <v>0.0</v>
      </c>
      <c r="AA2" s="31">
        <v>1.0</v>
      </c>
      <c r="AB2" s="32" t="s">
        <v>7043</v>
      </c>
      <c r="AC2" s="30">
        <v>47484.0</v>
      </c>
      <c r="AD2" s="30">
        <v>47848.0</v>
      </c>
      <c r="AE2" s="31">
        <v>0.0</v>
      </c>
      <c r="AF2" s="31">
        <v>1.0</v>
      </c>
      <c r="AG2" s="32" t="s">
        <v>7043</v>
      </c>
    </row>
    <row r="3" ht="14.25" customHeight="1">
      <c r="A3" s="28" t="s">
        <v>2007</v>
      </c>
      <c r="B3" s="29" t="s">
        <v>2004</v>
      </c>
      <c r="C3" s="29" t="s">
        <v>7041</v>
      </c>
      <c r="D3" s="30">
        <v>45658.0</v>
      </c>
      <c r="E3" s="30">
        <v>46022.0</v>
      </c>
      <c r="F3" s="31">
        <v>1.0</v>
      </c>
      <c r="G3" s="31">
        <v>1.0</v>
      </c>
      <c r="H3" s="32" t="s">
        <v>7042</v>
      </c>
      <c r="I3" s="30">
        <v>46023.0</v>
      </c>
      <c r="J3" s="30">
        <v>46387.0</v>
      </c>
      <c r="K3" s="31">
        <v>0.0</v>
      </c>
      <c r="L3" s="31">
        <v>1.0</v>
      </c>
      <c r="M3" s="32" t="s">
        <v>7043</v>
      </c>
      <c r="N3" s="30">
        <v>46388.0</v>
      </c>
      <c r="O3" s="30">
        <v>46752.0</v>
      </c>
      <c r="P3" s="31">
        <v>0.0</v>
      </c>
      <c r="Q3" s="31">
        <v>1.0</v>
      </c>
      <c r="R3" s="32" t="s">
        <v>7043</v>
      </c>
      <c r="S3" s="30">
        <v>46753.0</v>
      </c>
      <c r="T3" s="30">
        <v>47118.0</v>
      </c>
      <c r="U3" s="31">
        <v>0.0</v>
      </c>
      <c r="V3" s="31">
        <v>1.0</v>
      </c>
      <c r="W3" s="32" t="s">
        <v>7043</v>
      </c>
      <c r="X3" s="30">
        <v>47119.0</v>
      </c>
      <c r="Y3" s="30">
        <v>47483.0</v>
      </c>
      <c r="Z3" s="31">
        <v>0.0</v>
      </c>
      <c r="AA3" s="31">
        <v>1.0</v>
      </c>
      <c r="AB3" s="32" t="s">
        <v>7043</v>
      </c>
      <c r="AC3" s="30">
        <v>47484.0</v>
      </c>
      <c r="AD3" s="30">
        <v>47848.0</v>
      </c>
      <c r="AE3" s="31">
        <v>0.0</v>
      </c>
      <c r="AF3" s="31">
        <v>1.0</v>
      </c>
      <c r="AG3" s="32" t="s">
        <v>7043</v>
      </c>
    </row>
    <row r="4" ht="14.25" customHeight="1">
      <c r="A4" s="28" t="s">
        <v>331</v>
      </c>
      <c r="B4" s="29" t="s">
        <v>332</v>
      </c>
      <c r="C4" s="29" t="s">
        <v>7041</v>
      </c>
      <c r="D4" s="30">
        <v>45658.0</v>
      </c>
      <c r="E4" s="30">
        <v>46022.0</v>
      </c>
      <c r="F4" s="31">
        <v>0.0</v>
      </c>
      <c r="G4" s="31">
        <v>1.0</v>
      </c>
      <c r="H4" s="32" t="s">
        <v>7043</v>
      </c>
      <c r="I4" s="30">
        <v>46023.0</v>
      </c>
      <c r="J4" s="30">
        <v>46387.0</v>
      </c>
      <c r="K4" s="31">
        <v>0.0</v>
      </c>
      <c r="L4" s="31">
        <v>1.0</v>
      </c>
      <c r="M4" s="32" t="s">
        <v>7043</v>
      </c>
      <c r="N4" s="30">
        <v>46388.0</v>
      </c>
      <c r="O4" s="30">
        <v>46752.0</v>
      </c>
      <c r="P4" s="31">
        <v>0.0</v>
      </c>
      <c r="Q4" s="31">
        <v>1.0</v>
      </c>
      <c r="R4" s="32" t="s">
        <v>7043</v>
      </c>
      <c r="S4" s="30">
        <v>46753.0</v>
      </c>
      <c r="T4" s="30">
        <v>47118.0</v>
      </c>
      <c r="U4" s="31">
        <v>0.0</v>
      </c>
      <c r="V4" s="31">
        <v>1.0</v>
      </c>
      <c r="W4" s="32" t="s">
        <v>7043</v>
      </c>
      <c r="X4" s="30">
        <v>47119.0</v>
      </c>
      <c r="Y4" s="30">
        <v>47483.0</v>
      </c>
      <c r="Z4" s="31">
        <v>0.0</v>
      </c>
      <c r="AA4" s="31">
        <v>1.0</v>
      </c>
      <c r="AB4" s="32" t="s">
        <v>7043</v>
      </c>
      <c r="AC4" s="30">
        <v>47484.0</v>
      </c>
      <c r="AD4" s="30">
        <v>47848.0</v>
      </c>
      <c r="AE4" s="31">
        <v>0.0</v>
      </c>
      <c r="AF4" s="31">
        <v>1.0</v>
      </c>
      <c r="AG4" s="32" t="s">
        <v>7043</v>
      </c>
    </row>
    <row r="5" ht="14.25" customHeight="1">
      <c r="A5" s="28" t="s">
        <v>5850</v>
      </c>
      <c r="B5" s="29" t="s">
        <v>5851</v>
      </c>
      <c r="C5" s="29" t="s">
        <v>7041</v>
      </c>
      <c r="D5" s="30">
        <v>45658.0</v>
      </c>
      <c r="E5" s="30">
        <v>46022.0</v>
      </c>
      <c r="F5" s="31">
        <v>0.0</v>
      </c>
      <c r="G5" s="31">
        <v>1.0</v>
      </c>
      <c r="H5" s="32" t="s">
        <v>7043</v>
      </c>
      <c r="I5" s="30">
        <v>46023.0</v>
      </c>
      <c r="J5" s="30">
        <v>46387.0</v>
      </c>
      <c r="K5" s="31">
        <v>0.0</v>
      </c>
      <c r="L5" s="31">
        <v>1.0</v>
      </c>
      <c r="M5" s="32" t="s">
        <v>7043</v>
      </c>
      <c r="N5" s="30">
        <v>46388.0</v>
      </c>
      <c r="O5" s="30">
        <v>46752.0</v>
      </c>
      <c r="P5" s="31">
        <v>0.0</v>
      </c>
      <c r="Q5" s="31">
        <v>1.0</v>
      </c>
      <c r="R5" s="32" t="s">
        <v>7043</v>
      </c>
      <c r="S5" s="30">
        <v>46753.0</v>
      </c>
      <c r="T5" s="30">
        <v>47118.0</v>
      </c>
      <c r="U5" s="31">
        <v>0.0</v>
      </c>
      <c r="V5" s="31">
        <v>1.0</v>
      </c>
      <c r="W5" s="32" t="s">
        <v>7043</v>
      </c>
      <c r="X5" s="30">
        <v>47119.0</v>
      </c>
      <c r="Y5" s="30">
        <v>47483.0</v>
      </c>
      <c r="Z5" s="31">
        <v>0.0</v>
      </c>
      <c r="AA5" s="31">
        <v>1.0</v>
      </c>
      <c r="AB5" s="32" t="s">
        <v>7043</v>
      </c>
      <c r="AC5" s="30">
        <v>47484.0</v>
      </c>
      <c r="AD5" s="30">
        <v>47848.0</v>
      </c>
      <c r="AE5" s="31">
        <v>0.0</v>
      </c>
      <c r="AF5" s="31">
        <v>1.0</v>
      </c>
      <c r="AG5" s="32" t="s">
        <v>7043</v>
      </c>
    </row>
    <row r="6" ht="14.25" customHeight="1">
      <c r="A6" s="28" t="s">
        <v>255</v>
      </c>
      <c r="B6" s="29" t="s">
        <v>256</v>
      </c>
      <c r="C6" s="29" t="s">
        <v>7041</v>
      </c>
      <c r="D6" s="30">
        <v>45658.0</v>
      </c>
      <c r="E6" s="30">
        <v>46022.0</v>
      </c>
      <c r="F6" s="31">
        <v>0.0</v>
      </c>
      <c r="G6" s="31">
        <v>1.0</v>
      </c>
      <c r="H6" s="32" t="s">
        <v>7043</v>
      </c>
      <c r="I6" s="30">
        <v>46023.0</v>
      </c>
      <c r="J6" s="30">
        <v>46387.0</v>
      </c>
      <c r="K6" s="31">
        <v>0.0</v>
      </c>
      <c r="L6" s="31">
        <v>1.0</v>
      </c>
      <c r="M6" s="32" t="s">
        <v>7043</v>
      </c>
      <c r="N6" s="30">
        <v>46388.0</v>
      </c>
      <c r="O6" s="30">
        <v>46752.0</v>
      </c>
      <c r="P6" s="31">
        <v>0.0</v>
      </c>
      <c r="Q6" s="31">
        <v>1.0</v>
      </c>
      <c r="R6" s="32" t="s">
        <v>7043</v>
      </c>
      <c r="S6" s="30">
        <v>46753.0</v>
      </c>
      <c r="T6" s="30">
        <v>47118.0</v>
      </c>
      <c r="U6" s="31">
        <v>0.0</v>
      </c>
      <c r="V6" s="31">
        <v>1.0</v>
      </c>
      <c r="W6" s="32" t="s">
        <v>7043</v>
      </c>
      <c r="X6" s="30">
        <v>47119.0</v>
      </c>
      <c r="Y6" s="30">
        <v>47483.0</v>
      </c>
      <c r="Z6" s="31">
        <v>0.0</v>
      </c>
      <c r="AA6" s="31">
        <v>1.0</v>
      </c>
      <c r="AB6" s="32" t="s">
        <v>7043</v>
      </c>
      <c r="AC6" s="30">
        <v>47484.0</v>
      </c>
      <c r="AD6" s="30">
        <v>47848.0</v>
      </c>
      <c r="AE6" s="31">
        <v>0.0</v>
      </c>
      <c r="AF6" s="31">
        <v>1.0</v>
      </c>
      <c r="AG6" s="32" t="s">
        <v>7043</v>
      </c>
    </row>
    <row r="7" ht="14.25" customHeight="1">
      <c r="A7" s="28" t="s">
        <v>2000</v>
      </c>
      <c r="B7" s="29" t="s">
        <v>2001</v>
      </c>
      <c r="C7" s="29" t="s">
        <v>7041</v>
      </c>
      <c r="D7" s="30">
        <v>45658.0</v>
      </c>
      <c r="E7" s="30">
        <v>46022.0</v>
      </c>
      <c r="F7" s="31">
        <v>1.0</v>
      </c>
      <c r="G7" s="31">
        <v>1.0</v>
      </c>
      <c r="H7" s="32" t="s">
        <v>7042</v>
      </c>
      <c r="I7" s="30">
        <v>46023.0</v>
      </c>
      <c r="J7" s="30">
        <v>46387.0</v>
      </c>
      <c r="K7" s="31">
        <v>0.0</v>
      </c>
      <c r="L7" s="31">
        <v>1.0</v>
      </c>
      <c r="M7" s="32" t="s">
        <v>7043</v>
      </c>
      <c r="N7" s="30">
        <v>46388.0</v>
      </c>
      <c r="O7" s="30">
        <v>46752.0</v>
      </c>
      <c r="P7" s="31">
        <v>0.0</v>
      </c>
      <c r="Q7" s="31">
        <v>1.0</v>
      </c>
      <c r="R7" s="32" t="s">
        <v>7043</v>
      </c>
      <c r="S7" s="30">
        <v>46753.0</v>
      </c>
      <c r="T7" s="30">
        <v>47118.0</v>
      </c>
      <c r="U7" s="31">
        <v>0.0</v>
      </c>
      <c r="V7" s="31">
        <v>1.0</v>
      </c>
      <c r="W7" s="32" t="s">
        <v>7043</v>
      </c>
      <c r="X7" s="30">
        <v>47119.0</v>
      </c>
      <c r="Y7" s="30">
        <v>47483.0</v>
      </c>
      <c r="Z7" s="31">
        <v>0.0</v>
      </c>
      <c r="AA7" s="31">
        <v>1.0</v>
      </c>
      <c r="AB7" s="32" t="s">
        <v>7043</v>
      </c>
      <c r="AC7" s="30">
        <v>47484.0</v>
      </c>
      <c r="AD7" s="30">
        <v>47848.0</v>
      </c>
      <c r="AE7" s="31">
        <v>0.0</v>
      </c>
      <c r="AF7" s="31">
        <v>1.0</v>
      </c>
      <c r="AG7" s="32" t="s">
        <v>7043</v>
      </c>
    </row>
    <row r="8" ht="14.25" customHeight="1">
      <c r="A8" s="28" t="s">
        <v>184</v>
      </c>
      <c r="B8" s="29" t="s">
        <v>185</v>
      </c>
      <c r="C8" s="29" t="s">
        <v>7041</v>
      </c>
      <c r="D8" s="30">
        <v>45658.0</v>
      </c>
      <c r="E8" s="30">
        <v>46022.0</v>
      </c>
      <c r="F8" s="31">
        <v>1.0</v>
      </c>
      <c r="G8" s="31">
        <v>1.0</v>
      </c>
      <c r="H8" s="32" t="s">
        <v>7042</v>
      </c>
      <c r="I8" s="30">
        <v>46023.0</v>
      </c>
      <c r="J8" s="30">
        <v>46387.0</v>
      </c>
      <c r="K8" s="31">
        <v>0.0</v>
      </c>
      <c r="L8" s="31">
        <v>1.0</v>
      </c>
      <c r="M8" s="32" t="s">
        <v>7043</v>
      </c>
      <c r="N8" s="30">
        <v>46388.0</v>
      </c>
      <c r="O8" s="30">
        <v>46752.0</v>
      </c>
      <c r="P8" s="31">
        <v>0.0</v>
      </c>
      <c r="Q8" s="31">
        <v>1.0</v>
      </c>
      <c r="R8" s="32" t="s">
        <v>7043</v>
      </c>
      <c r="S8" s="30">
        <v>46753.0</v>
      </c>
      <c r="T8" s="30">
        <v>47118.0</v>
      </c>
      <c r="U8" s="31">
        <v>0.0</v>
      </c>
      <c r="V8" s="31">
        <v>1.0</v>
      </c>
      <c r="W8" s="32" t="s">
        <v>7043</v>
      </c>
      <c r="X8" s="30">
        <v>47119.0</v>
      </c>
      <c r="Y8" s="30">
        <v>47483.0</v>
      </c>
      <c r="Z8" s="31">
        <v>0.0</v>
      </c>
      <c r="AA8" s="31">
        <v>1.0</v>
      </c>
      <c r="AB8" s="32" t="s">
        <v>7043</v>
      </c>
      <c r="AC8" s="30">
        <v>47484.0</v>
      </c>
      <c r="AD8" s="30">
        <v>47848.0</v>
      </c>
      <c r="AE8" s="31">
        <v>0.0</v>
      </c>
      <c r="AF8" s="31">
        <v>1.0</v>
      </c>
      <c r="AG8" s="32" t="s">
        <v>7043</v>
      </c>
    </row>
    <row r="9" ht="14.25" customHeight="1">
      <c r="A9" s="28" t="s">
        <v>595</v>
      </c>
      <c r="B9" s="29" t="s">
        <v>596</v>
      </c>
      <c r="C9" s="29" t="s">
        <v>7041</v>
      </c>
      <c r="D9" s="30">
        <v>45658.0</v>
      </c>
      <c r="E9" s="30">
        <v>46022.0</v>
      </c>
      <c r="F9" s="31">
        <v>0.0</v>
      </c>
      <c r="G9" s="31">
        <v>1.0</v>
      </c>
      <c r="H9" s="32" t="s">
        <v>7043</v>
      </c>
      <c r="I9" s="30">
        <v>46023.0</v>
      </c>
      <c r="J9" s="30">
        <v>46387.0</v>
      </c>
      <c r="K9" s="31">
        <v>0.0</v>
      </c>
      <c r="L9" s="31">
        <v>1.0</v>
      </c>
      <c r="M9" s="32" t="s">
        <v>7043</v>
      </c>
      <c r="N9" s="30">
        <v>46388.0</v>
      </c>
      <c r="O9" s="30">
        <v>46752.0</v>
      </c>
      <c r="P9" s="31">
        <v>0.0</v>
      </c>
      <c r="Q9" s="31">
        <v>1.0</v>
      </c>
      <c r="R9" s="32" t="s">
        <v>7043</v>
      </c>
      <c r="S9" s="30">
        <v>46753.0</v>
      </c>
      <c r="T9" s="30">
        <v>47118.0</v>
      </c>
      <c r="U9" s="31">
        <v>0.0</v>
      </c>
      <c r="V9" s="31">
        <v>1.0</v>
      </c>
      <c r="W9" s="32" t="s">
        <v>7043</v>
      </c>
      <c r="X9" s="30">
        <v>47119.0</v>
      </c>
      <c r="Y9" s="30">
        <v>47483.0</v>
      </c>
      <c r="Z9" s="31">
        <v>0.0</v>
      </c>
      <c r="AA9" s="31">
        <v>1.0</v>
      </c>
      <c r="AB9" s="32" t="s">
        <v>7043</v>
      </c>
      <c r="AC9" s="30">
        <v>47484.0</v>
      </c>
      <c r="AD9" s="30">
        <v>47848.0</v>
      </c>
      <c r="AE9" s="31">
        <v>0.0</v>
      </c>
      <c r="AF9" s="31">
        <v>1.0</v>
      </c>
      <c r="AG9" s="32" t="s">
        <v>7043</v>
      </c>
    </row>
    <row r="10" ht="14.25" customHeight="1">
      <c r="A10" s="28" t="s">
        <v>3406</v>
      </c>
      <c r="B10" s="29" t="s">
        <v>3407</v>
      </c>
      <c r="C10" s="29" t="s">
        <v>7041</v>
      </c>
      <c r="D10" s="30">
        <v>45658.0</v>
      </c>
      <c r="E10" s="30">
        <v>46022.0</v>
      </c>
      <c r="F10" s="31">
        <v>1.0</v>
      </c>
      <c r="G10" s="31">
        <v>1.0</v>
      </c>
      <c r="H10" s="32" t="s">
        <v>7042</v>
      </c>
      <c r="I10" s="30">
        <v>46023.0</v>
      </c>
      <c r="J10" s="30">
        <v>46387.0</v>
      </c>
      <c r="K10" s="31">
        <v>0.0</v>
      </c>
      <c r="L10" s="31">
        <v>1.0</v>
      </c>
      <c r="M10" s="32" t="s">
        <v>7043</v>
      </c>
      <c r="N10" s="30">
        <v>46388.0</v>
      </c>
      <c r="O10" s="30">
        <v>46752.0</v>
      </c>
      <c r="P10" s="31">
        <v>0.0</v>
      </c>
      <c r="Q10" s="31">
        <v>1.0</v>
      </c>
      <c r="R10" s="32" t="s">
        <v>7043</v>
      </c>
      <c r="S10" s="30">
        <v>46753.0</v>
      </c>
      <c r="T10" s="30">
        <v>47118.0</v>
      </c>
      <c r="U10" s="31">
        <v>0.0</v>
      </c>
      <c r="V10" s="31">
        <v>1.0</v>
      </c>
      <c r="W10" s="32" t="s">
        <v>7043</v>
      </c>
      <c r="X10" s="30">
        <v>47119.0</v>
      </c>
      <c r="Y10" s="30">
        <v>47483.0</v>
      </c>
      <c r="Z10" s="31">
        <v>0.0</v>
      </c>
      <c r="AA10" s="31">
        <v>1.0</v>
      </c>
      <c r="AB10" s="32" t="s">
        <v>7043</v>
      </c>
      <c r="AC10" s="30">
        <v>47484.0</v>
      </c>
      <c r="AD10" s="30">
        <v>47848.0</v>
      </c>
      <c r="AE10" s="31">
        <v>0.0</v>
      </c>
      <c r="AF10" s="31">
        <v>1.0</v>
      </c>
      <c r="AG10" s="32" t="s">
        <v>7043</v>
      </c>
    </row>
    <row r="11" ht="14.25" customHeight="1">
      <c r="A11" s="28" t="s">
        <v>6657</v>
      </c>
      <c r="B11" s="29" t="s">
        <v>6658</v>
      </c>
      <c r="C11" s="29" t="s">
        <v>7041</v>
      </c>
      <c r="D11" s="30">
        <v>45658.0</v>
      </c>
      <c r="E11" s="30">
        <v>46022.0</v>
      </c>
      <c r="F11" s="31">
        <v>1.0</v>
      </c>
      <c r="G11" s="31">
        <v>1.0</v>
      </c>
      <c r="H11" s="32" t="s">
        <v>7042</v>
      </c>
      <c r="I11" s="30">
        <v>46023.0</v>
      </c>
      <c r="J11" s="30">
        <v>46387.0</v>
      </c>
      <c r="K11" s="31">
        <v>0.0</v>
      </c>
      <c r="L11" s="31">
        <v>1.0</v>
      </c>
      <c r="M11" s="32" t="s">
        <v>7043</v>
      </c>
      <c r="N11" s="30">
        <v>46388.0</v>
      </c>
      <c r="O11" s="30">
        <v>46752.0</v>
      </c>
      <c r="P11" s="31">
        <v>0.0</v>
      </c>
      <c r="Q11" s="31">
        <v>1.0</v>
      </c>
      <c r="R11" s="32" t="s">
        <v>7043</v>
      </c>
      <c r="S11" s="30">
        <v>46753.0</v>
      </c>
      <c r="T11" s="30">
        <v>47118.0</v>
      </c>
      <c r="U11" s="31">
        <v>0.0</v>
      </c>
      <c r="V11" s="31">
        <v>1.0</v>
      </c>
      <c r="W11" s="32" t="s">
        <v>7043</v>
      </c>
      <c r="X11" s="30">
        <v>47119.0</v>
      </c>
      <c r="Y11" s="30">
        <v>47483.0</v>
      </c>
      <c r="Z11" s="31">
        <v>0.0</v>
      </c>
      <c r="AA11" s="31">
        <v>1.0</v>
      </c>
      <c r="AB11" s="32" t="s">
        <v>7043</v>
      </c>
      <c r="AC11" s="30">
        <v>47484.0</v>
      </c>
      <c r="AD11" s="30">
        <v>47848.0</v>
      </c>
      <c r="AE11" s="31">
        <v>0.0</v>
      </c>
      <c r="AF11" s="31">
        <v>1.0</v>
      </c>
      <c r="AG11" s="32" t="s">
        <v>7043</v>
      </c>
    </row>
    <row r="12" ht="14.25" customHeight="1">
      <c r="A12" s="28" t="s">
        <v>3203</v>
      </c>
      <c r="B12" s="29" t="s">
        <v>3204</v>
      </c>
      <c r="C12" s="29" t="s">
        <v>7041</v>
      </c>
      <c r="D12" s="30">
        <v>45658.0</v>
      </c>
      <c r="E12" s="30">
        <v>46022.0</v>
      </c>
      <c r="F12" s="31">
        <v>0.0</v>
      </c>
      <c r="G12" s="31">
        <v>1.0</v>
      </c>
      <c r="H12" s="32" t="s">
        <v>7043</v>
      </c>
      <c r="I12" s="30">
        <v>46023.0</v>
      </c>
      <c r="J12" s="30">
        <v>46387.0</v>
      </c>
      <c r="K12" s="31">
        <v>0.0</v>
      </c>
      <c r="L12" s="31">
        <v>1.0</v>
      </c>
      <c r="M12" s="32" t="s">
        <v>7043</v>
      </c>
      <c r="N12" s="30">
        <v>46388.0</v>
      </c>
      <c r="O12" s="30">
        <v>46752.0</v>
      </c>
      <c r="P12" s="31">
        <v>0.0</v>
      </c>
      <c r="Q12" s="31">
        <v>1.0</v>
      </c>
      <c r="R12" s="32" t="s">
        <v>7043</v>
      </c>
      <c r="S12" s="30">
        <v>46753.0</v>
      </c>
      <c r="T12" s="30">
        <v>47118.0</v>
      </c>
      <c r="U12" s="31">
        <v>0.0</v>
      </c>
      <c r="V12" s="31">
        <v>1.0</v>
      </c>
      <c r="W12" s="32" t="s">
        <v>7043</v>
      </c>
      <c r="X12" s="30">
        <v>47119.0</v>
      </c>
      <c r="Y12" s="30">
        <v>47483.0</v>
      </c>
      <c r="Z12" s="31">
        <v>0.0</v>
      </c>
      <c r="AA12" s="31">
        <v>1.0</v>
      </c>
      <c r="AB12" s="32" t="s">
        <v>7043</v>
      </c>
      <c r="AC12" s="30">
        <v>47484.0</v>
      </c>
      <c r="AD12" s="30">
        <v>47848.0</v>
      </c>
      <c r="AE12" s="31">
        <v>0.0</v>
      </c>
      <c r="AF12" s="31">
        <v>1.0</v>
      </c>
      <c r="AG12" s="32" t="s">
        <v>7043</v>
      </c>
    </row>
    <row r="13" ht="14.25" customHeight="1">
      <c r="A13" s="28" t="s">
        <v>6092</v>
      </c>
      <c r="B13" s="29" t="s">
        <v>6093</v>
      </c>
      <c r="C13" s="29" t="s">
        <v>7041</v>
      </c>
      <c r="D13" s="30">
        <v>45658.0</v>
      </c>
      <c r="E13" s="30">
        <v>46022.0</v>
      </c>
      <c r="F13" s="31">
        <v>0.0</v>
      </c>
      <c r="G13" s="31">
        <v>1.0</v>
      </c>
      <c r="H13" s="32" t="s">
        <v>7043</v>
      </c>
      <c r="I13" s="30">
        <v>46023.0</v>
      </c>
      <c r="J13" s="30">
        <v>46387.0</v>
      </c>
      <c r="K13" s="31">
        <v>0.0</v>
      </c>
      <c r="L13" s="31">
        <v>1.0</v>
      </c>
      <c r="M13" s="32" t="s">
        <v>7043</v>
      </c>
      <c r="N13" s="30">
        <v>46388.0</v>
      </c>
      <c r="O13" s="30">
        <v>46752.0</v>
      </c>
      <c r="P13" s="31">
        <v>0.0</v>
      </c>
      <c r="Q13" s="31">
        <v>1.0</v>
      </c>
      <c r="R13" s="32" t="s">
        <v>7043</v>
      </c>
      <c r="S13" s="30">
        <v>46753.0</v>
      </c>
      <c r="T13" s="30">
        <v>47118.0</v>
      </c>
      <c r="U13" s="31">
        <v>0.0</v>
      </c>
      <c r="V13" s="31">
        <v>1.0</v>
      </c>
      <c r="W13" s="32" t="s">
        <v>7043</v>
      </c>
      <c r="X13" s="30">
        <v>47119.0</v>
      </c>
      <c r="Y13" s="30">
        <v>47483.0</v>
      </c>
      <c r="Z13" s="31">
        <v>0.0</v>
      </c>
      <c r="AA13" s="31">
        <v>1.0</v>
      </c>
      <c r="AB13" s="32" t="s">
        <v>7043</v>
      </c>
      <c r="AC13" s="30">
        <v>47484.0</v>
      </c>
      <c r="AD13" s="30">
        <v>47848.0</v>
      </c>
      <c r="AE13" s="31">
        <v>0.0</v>
      </c>
      <c r="AF13" s="31">
        <v>1.0</v>
      </c>
      <c r="AG13" s="32" t="s">
        <v>7043</v>
      </c>
    </row>
    <row r="14" ht="14.25" customHeight="1">
      <c r="A14" s="28" t="s">
        <v>6432</v>
      </c>
      <c r="B14" s="29" t="s">
        <v>6433</v>
      </c>
      <c r="C14" s="29" t="s">
        <v>7041</v>
      </c>
      <c r="D14" s="30">
        <v>45658.0</v>
      </c>
      <c r="E14" s="30">
        <v>46022.0</v>
      </c>
      <c r="F14" s="31">
        <v>1.0</v>
      </c>
      <c r="G14" s="31">
        <v>1.0</v>
      </c>
      <c r="H14" s="33" t="s">
        <v>7042</v>
      </c>
      <c r="I14" s="30">
        <v>46023.0</v>
      </c>
      <c r="J14" s="30">
        <v>46387.0</v>
      </c>
      <c r="K14" s="31">
        <v>0.0</v>
      </c>
      <c r="L14" s="31">
        <v>1.0</v>
      </c>
      <c r="M14" s="32" t="s">
        <v>7043</v>
      </c>
      <c r="N14" s="30">
        <v>46388.0</v>
      </c>
      <c r="O14" s="30">
        <v>46752.0</v>
      </c>
      <c r="P14" s="31">
        <v>0.0</v>
      </c>
      <c r="Q14" s="31">
        <v>1.0</v>
      </c>
      <c r="R14" s="32" t="s">
        <v>7043</v>
      </c>
      <c r="S14" s="30">
        <v>46753.0</v>
      </c>
      <c r="T14" s="30">
        <v>47118.0</v>
      </c>
      <c r="U14" s="31">
        <v>0.0</v>
      </c>
      <c r="V14" s="31">
        <v>1.0</v>
      </c>
      <c r="W14" s="32" t="s">
        <v>7043</v>
      </c>
      <c r="X14" s="30">
        <v>47119.0</v>
      </c>
      <c r="Y14" s="30">
        <v>47483.0</v>
      </c>
      <c r="Z14" s="31">
        <v>0.0</v>
      </c>
      <c r="AA14" s="31">
        <v>1.0</v>
      </c>
      <c r="AB14" s="32" t="s">
        <v>7043</v>
      </c>
      <c r="AC14" s="30">
        <v>47484.0</v>
      </c>
      <c r="AD14" s="30">
        <v>47848.0</v>
      </c>
      <c r="AE14" s="31">
        <v>0.0</v>
      </c>
      <c r="AF14" s="31">
        <v>1.0</v>
      </c>
      <c r="AG14" s="32" t="s">
        <v>7043</v>
      </c>
    </row>
    <row r="15" ht="14.25" customHeight="1">
      <c r="A15" s="28" t="s">
        <v>1833</v>
      </c>
      <c r="B15" s="29" t="s">
        <v>1834</v>
      </c>
      <c r="C15" s="29" t="s">
        <v>7041</v>
      </c>
      <c r="D15" s="30">
        <v>45658.0</v>
      </c>
      <c r="E15" s="30">
        <v>46022.0</v>
      </c>
      <c r="F15" s="31">
        <v>1.0</v>
      </c>
      <c r="G15" s="31">
        <v>1.0</v>
      </c>
      <c r="H15" s="33" t="s">
        <v>7042</v>
      </c>
      <c r="I15" s="30">
        <v>46023.0</v>
      </c>
      <c r="J15" s="30">
        <v>46387.0</v>
      </c>
      <c r="K15" s="31">
        <v>0.0</v>
      </c>
      <c r="L15" s="31">
        <v>1.0</v>
      </c>
      <c r="M15" s="32" t="s">
        <v>7043</v>
      </c>
      <c r="N15" s="30">
        <v>46388.0</v>
      </c>
      <c r="O15" s="30">
        <v>46752.0</v>
      </c>
      <c r="P15" s="31">
        <v>0.0</v>
      </c>
      <c r="Q15" s="31">
        <v>1.0</v>
      </c>
      <c r="R15" s="32" t="s">
        <v>7043</v>
      </c>
      <c r="S15" s="30">
        <v>46753.0</v>
      </c>
      <c r="T15" s="30">
        <v>47118.0</v>
      </c>
      <c r="U15" s="31">
        <v>0.0</v>
      </c>
      <c r="V15" s="31">
        <v>1.0</v>
      </c>
      <c r="W15" s="32" t="s">
        <v>7043</v>
      </c>
      <c r="X15" s="30">
        <v>47119.0</v>
      </c>
      <c r="Y15" s="30">
        <v>47483.0</v>
      </c>
      <c r="Z15" s="31">
        <v>0.0</v>
      </c>
      <c r="AA15" s="31">
        <v>1.0</v>
      </c>
      <c r="AB15" s="32" t="s">
        <v>7043</v>
      </c>
      <c r="AC15" s="30">
        <v>47484.0</v>
      </c>
      <c r="AD15" s="30">
        <v>47848.0</v>
      </c>
      <c r="AE15" s="31">
        <v>0.0</v>
      </c>
      <c r="AF15" s="31">
        <v>1.0</v>
      </c>
      <c r="AG15" s="32" t="s">
        <v>7043</v>
      </c>
    </row>
    <row r="16" ht="14.25" customHeight="1">
      <c r="A16" s="28" t="s">
        <v>2647</v>
      </c>
      <c r="B16" s="29" t="s">
        <v>2648</v>
      </c>
      <c r="C16" s="29" t="s">
        <v>7041</v>
      </c>
      <c r="D16" s="30">
        <v>45658.0</v>
      </c>
      <c r="E16" s="30">
        <v>46022.0</v>
      </c>
      <c r="F16" s="31">
        <v>0.0</v>
      </c>
      <c r="G16" s="31">
        <v>1.0</v>
      </c>
      <c r="H16" s="32" t="s">
        <v>7043</v>
      </c>
      <c r="I16" s="30">
        <v>46023.0</v>
      </c>
      <c r="J16" s="30">
        <v>46387.0</v>
      </c>
      <c r="K16" s="31">
        <v>0.0</v>
      </c>
      <c r="L16" s="31">
        <v>1.0</v>
      </c>
      <c r="M16" s="32" t="s">
        <v>7043</v>
      </c>
      <c r="N16" s="30">
        <v>46388.0</v>
      </c>
      <c r="O16" s="30">
        <v>46752.0</v>
      </c>
      <c r="P16" s="31">
        <v>0.0</v>
      </c>
      <c r="Q16" s="31">
        <v>1.0</v>
      </c>
      <c r="R16" s="32" t="s">
        <v>7043</v>
      </c>
      <c r="S16" s="30">
        <v>46753.0</v>
      </c>
      <c r="T16" s="30">
        <v>47118.0</v>
      </c>
      <c r="U16" s="31">
        <v>0.0</v>
      </c>
      <c r="V16" s="31">
        <v>1.0</v>
      </c>
      <c r="W16" s="32" t="s">
        <v>7043</v>
      </c>
      <c r="X16" s="30">
        <v>47119.0</v>
      </c>
      <c r="Y16" s="30">
        <v>47483.0</v>
      </c>
      <c r="Z16" s="31">
        <v>0.0</v>
      </c>
      <c r="AA16" s="31">
        <v>1.0</v>
      </c>
      <c r="AB16" s="32" t="s">
        <v>7043</v>
      </c>
      <c r="AC16" s="30">
        <v>47484.0</v>
      </c>
      <c r="AD16" s="30">
        <v>47848.0</v>
      </c>
      <c r="AE16" s="31">
        <v>0.0</v>
      </c>
      <c r="AF16" s="31">
        <v>1.0</v>
      </c>
      <c r="AG16" s="32" t="s">
        <v>7043</v>
      </c>
    </row>
    <row r="17" ht="14.25" customHeight="1">
      <c r="A17" s="28" t="s">
        <v>3123</v>
      </c>
      <c r="B17" s="29" t="s">
        <v>3124</v>
      </c>
      <c r="C17" s="29" t="s">
        <v>7041</v>
      </c>
      <c r="D17" s="30">
        <v>45658.0</v>
      </c>
      <c r="E17" s="30">
        <v>46022.0</v>
      </c>
      <c r="F17" s="31">
        <v>1.0</v>
      </c>
      <c r="G17" s="31">
        <v>1.0</v>
      </c>
      <c r="H17" s="32" t="s">
        <v>7042</v>
      </c>
      <c r="I17" s="30">
        <v>46023.0</v>
      </c>
      <c r="J17" s="30">
        <v>46387.0</v>
      </c>
      <c r="K17" s="31">
        <v>0.0</v>
      </c>
      <c r="L17" s="31">
        <v>1.0</v>
      </c>
      <c r="M17" s="32" t="s">
        <v>7043</v>
      </c>
      <c r="N17" s="30">
        <v>46388.0</v>
      </c>
      <c r="O17" s="30">
        <v>46752.0</v>
      </c>
      <c r="P17" s="31">
        <v>0.0</v>
      </c>
      <c r="Q17" s="31">
        <v>1.0</v>
      </c>
      <c r="R17" s="32" t="s">
        <v>7043</v>
      </c>
      <c r="S17" s="30">
        <v>46753.0</v>
      </c>
      <c r="T17" s="30">
        <v>47118.0</v>
      </c>
      <c r="U17" s="31">
        <v>0.0</v>
      </c>
      <c r="V17" s="31">
        <v>1.0</v>
      </c>
      <c r="W17" s="32" t="s">
        <v>7043</v>
      </c>
      <c r="X17" s="30">
        <v>47119.0</v>
      </c>
      <c r="Y17" s="30">
        <v>47483.0</v>
      </c>
      <c r="Z17" s="31">
        <v>0.0</v>
      </c>
      <c r="AA17" s="31">
        <v>1.0</v>
      </c>
      <c r="AB17" s="32" t="s">
        <v>7043</v>
      </c>
      <c r="AC17" s="30">
        <v>47484.0</v>
      </c>
      <c r="AD17" s="30">
        <v>47848.0</v>
      </c>
      <c r="AE17" s="31">
        <v>0.0</v>
      </c>
      <c r="AF17" s="31">
        <v>1.0</v>
      </c>
      <c r="AG17" s="32" t="s">
        <v>7043</v>
      </c>
    </row>
    <row r="18" ht="14.25" customHeight="1">
      <c r="A18" s="28" t="s">
        <v>4794</v>
      </c>
      <c r="B18" s="29" t="s">
        <v>4795</v>
      </c>
      <c r="C18" s="29" t="s">
        <v>7041</v>
      </c>
      <c r="D18" s="30">
        <v>45658.0</v>
      </c>
      <c r="E18" s="30">
        <v>46022.0</v>
      </c>
      <c r="F18" s="31">
        <v>1.0</v>
      </c>
      <c r="G18" s="31">
        <v>1.0</v>
      </c>
      <c r="H18" s="33" t="s">
        <v>7042</v>
      </c>
      <c r="I18" s="30">
        <v>46023.0</v>
      </c>
      <c r="J18" s="30">
        <v>46387.0</v>
      </c>
      <c r="K18" s="31">
        <v>0.0</v>
      </c>
      <c r="L18" s="31">
        <v>1.0</v>
      </c>
      <c r="M18" s="32" t="s">
        <v>7043</v>
      </c>
      <c r="N18" s="30">
        <v>46388.0</v>
      </c>
      <c r="O18" s="30">
        <v>46752.0</v>
      </c>
      <c r="P18" s="31">
        <v>0.0</v>
      </c>
      <c r="Q18" s="31">
        <v>1.0</v>
      </c>
      <c r="R18" s="32" t="s">
        <v>7043</v>
      </c>
      <c r="S18" s="30">
        <v>46753.0</v>
      </c>
      <c r="T18" s="30">
        <v>47118.0</v>
      </c>
      <c r="U18" s="31">
        <v>0.0</v>
      </c>
      <c r="V18" s="31">
        <v>1.0</v>
      </c>
      <c r="W18" s="32" t="s">
        <v>7043</v>
      </c>
      <c r="X18" s="30">
        <v>47119.0</v>
      </c>
      <c r="Y18" s="30">
        <v>47483.0</v>
      </c>
      <c r="Z18" s="31">
        <v>0.0</v>
      </c>
      <c r="AA18" s="31">
        <v>1.0</v>
      </c>
      <c r="AB18" s="32" t="s">
        <v>7043</v>
      </c>
      <c r="AC18" s="30">
        <v>47484.0</v>
      </c>
      <c r="AD18" s="30">
        <v>47848.0</v>
      </c>
      <c r="AE18" s="31">
        <v>0.0</v>
      </c>
      <c r="AF18" s="31">
        <v>1.0</v>
      </c>
      <c r="AG18" s="32" t="s">
        <v>7043</v>
      </c>
    </row>
    <row r="19" ht="14.25" customHeight="1">
      <c r="A19" s="28" t="s">
        <v>5579</v>
      </c>
      <c r="B19" s="29" t="s">
        <v>5580</v>
      </c>
      <c r="C19" s="29" t="s">
        <v>7041</v>
      </c>
      <c r="D19" s="30">
        <v>45658.0</v>
      </c>
      <c r="E19" s="30">
        <v>46022.0</v>
      </c>
      <c r="F19" s="31">
        <v>0.0</v>
      </c>
      <c r="G19" s="31">
        <v>1.0</v>
      </c>
      <c r="H19" s="32" t="s">
        <v>7043</v>
      </c>
      <c r="I19" s="30">
        <v>46023.0</v>
      </c>
      <c r="J19" s="30">
        <v>46387.0</v>
      </c>
      <c r="K19" s="31">
        <v>0.0</v>
      </c>
      <c r="L19" s="31">
        <v>1.0</v>
      </c>
      <c r="M19" s="32" t="s">
        <v>7043</v>
      </c>
      <c r="N19" s="30">
        <v>46388.0</v>
      </c>
      <c r="O19" s="30">
        <v>46752.0</v>
      </c>
      <c r="P19" s="31">
        <v>0.0</v>
      </c>
      <c r="Q19" s="31">
        <v>1.0</v>
      </c>
      <c r="R19" s="32" t="s">
        <v>7043</v>
      </c>
      <c r="S19" s="30">
        <v>46753.0</v>
      </c>
      <c r="T19" s="30">
        <v>47118.0</v>
      </c>
      <c r="U19" s="31">
        <v>0.0</v>
      </c>
      <c r="V19" s="31">
        <v>1.0</v>
      </c>
      <c r="W19" s="32" t="s">
        <v>7043</v>
      </c>
      <c r="X19" s="30">
        <v>47119.0</v>
      </c>
      <c r="Y19" s="30">
        <v>47483.0</v>
      </c>
      <c r="Z19" s="31">
        <v>0.0</v>
      </c>
      <c r="AA19" s="31">
        <v>1.0</v>
      </c>
      <c r="AB19" s="32" t="s">
        <v>7043</v>
      </c>
      <c r="AC19" s="30">
        <v>47484.0</v>
      </c>
      <c r="AD19" s="30">
        <v>47848.0</v>
      </c>
      <c r="AE19" s="31">
        <v>0.0</v>
      </c>
      <c r="AF19" s="31">
        <v>1.0</v>
      </c>
      <c r="AG19" s="32" t="s">
        <v>7043</v>
      </c>
    </row>
    <row r="20" ht="14.25" customHeight="1">
      <c r="A20" s="28" t="s">
        <v>6391</v>
      </c>
      <c r="B20" s="29" t="s">
        <v>6392</v>
      </c>
      <c r="C20" s="29" t="s">
        <v>7041</v>
      </c>
      <c r="D20" s="30">
        <v>45658.0</v>
      </c>
      <c r="E20" s="30">
        <v>46022.0</v>
      </c>
      <c r="F20" s="31">
        <v>0.0</v>
      </c>
      <c r="G20" s="31">
        <v>1.0</v>
      </c>
      <c r="H20" s="32" t="s">
        <v>7043</v>
      </c>
      <c r="I20" s="30">
        <v>46023.0</v>
      </c>
      <c r="J20" s="30">
        <v>46387.0</v>
      </c>
      <c r="K20" s="31">
        <v>0.0</v>
      </c>
      <c r="L20" s="31">
        <v>1.0</v>
      </c>
      <c r="M20" s="32" t="s">
        <v>7043</v>
      </c>
      <c r="N20" s="30">
        <v>46388.0</v>
      </c>
      <c r="O20" s="30">
        <v>46752.0</v>
      </c>
      <c r="P20" s="31">
        <v>0.0</v>
      </c>
      <c r="Q20" s="31">
        <v>1.0</v>
      </c>
      <c r="R20" s="32" t="s">
        <v>7043</v>
      </c>
      <c r="S20" s="30">
        <v>46753.0</v>
      </c>
      <c r="T20" s="30">
        <v>47118.0</v>
      </c>
      <c r="U20" s="31">
        <v>0.0</v>
      </c>
      <c r="V20" s="31">
        <v>1.0</v>
      </c>
      <c r="W20" s="32" t="s">
        <v>7043</v>
      </c>
      <c r="X20" s="30">
        <v>47119.0</v>
      </c>
      <c r="Y20" s="30">
        <v>47483.0</v>
      </c>
      <c r="Z20" s="31">
        <v>0.0</v>
      </c>
      <c r="AA20" s="31">
        <v>1.0</v>
      </c>
      <c r="AB20" s="32" t="s">
        <v>7043</v>
      </c>
      <c r="AC20" s="30">
        <v>47484.0</v>
      </c>
      <c r="AD20" s="30">
        <v>47848.0</v>
      </c>
      <c r="AE20" s="31">
        <v>0.0</v>
      </c>
      <c r="AF20" s="31">
        <v>1.0</v>
      </c>
      <c r="AG20" s="32" t="s">
        <v>7043</v>
      </c>
    </row>
    <row r="21" ht="14.25" customHeight="1">
      <c r="A21" s="28" t="s">
        <v>4078</v>
      </c>
      <c r="B21" s="29" t="s">
        <v>4079</v>
      </c>
      <c r="C21" s="29" t="s">
        <v>7041</v>
      </c>
      <c r="D21" s="30">
        <v>45658.0</v>
      </c>
      <c r="E21" s="30">
        <v>46022.0</v>
      </c>
      <c r="F21" s="31">
        <v>1.0</v>
      </c>
      <c r="G21" s="31">
        <v>1.0</v>
      </c>
      <c r="H21" s="32" t="s">
        <v>7042</v>
      </c>
      <c r="I21" s="30">
        <v>46023.0</v>
      </c>
      <c r="J21" s="30">
        <v>46387.0</v>
      </c>
      <c r="K21" s="31">
        <v>0.0</v>
      </c>
      <c r="L21" s="31">
        <v>1.0</v>
      </c>
      <c r="M21" s="32" t="s">
        <v>7043</v>
      </c>
      <c r="N21" s="30">
        <v>46388.0</v>
      </c>
      <c r="O21" s="30">
        <v>46752.0</v>
      </c>
      <c r="P21" s="31">
        <v>0.0</v>
      </c>
      <c r="Q21" s="31">
        <v>1.0</v>
      </c>
      <c r="R21" s="32" t="s">
        <v>7043</v>
      </c>
      <c r="S21" s="30">
        <v>46753.0</v>
      </c>
      <c r="T21" s="30">
        <v>47118.0</v>
      </c>
      <c r="U21" s="31">
        <v>0.0</v>
      </c>
      <c r="V21" s="31">
        <v>1.0</v>
      </c>
      <c r="W21" s="32" t="s">
        <v>7043</v>
      </c>
      <c r="X21" s="30">
        <v>47119.0</v>
      </c>
      <c r="Y21" s="30">
        <v>47483.0</v>
      </c>
      <c r="Z21" s="31">
        <v>0.0</v>
      </c>
      <c r="AA21" s="31">
        <v>1.0</v>
      </c>
      <c r="AB21" s="32" t="s">
        <v>7043</v>
      </c>
      <c r="AC21" s="30">
        <v>47484.0</v>
      </c>
      <c r="AD21" s="30">
        <v>47848.0</v>
      </c>
      <c r="AE21" s="31">
        <v>0.0</v>
      </c>
      <c r="AF21" s="31">
        <v>1.0</v>
      </c>
      <c r="AG21" s="32" t="s">
        <v>7043</v>
      </c>
    </row>
    <row r="22" ht="14.25" customHeight="1">
      <c r="A22" s="28" t="s">
        <v>4505</v>
      </c>
      <c r="B22" s="29" t="s">
        <v>4506</v>
      </c>
      <c r="C22" s="29" t="s">
        <v>7041</v>
      </c>
      <c r="D22" s="30">
        <v>45658.0</v>
      </c>
      <c r="E22" s="30">
        <v>46022.0</v>
      </c>
      <c r="F22" s="31">
        <v>1.0</v>
      </c>
      <c r="G22" s="31">
        <v>1.0</v>
      </c>
      <c r="H22" s="32" t="s">
        <v>7042</v>
      </c>
      <c r="I22" s="30">
        <v>46023.0</v>
      </c>
      <c r="J22" s="30">
        <v>46387.0</v>
      </c>
      <c r="K22" s="31">
        <v>0.0</v>
      </c>
      <c r="L22" s="31">
        <v>1.0</v>
      </c>
      <c r="M22" s="32" t="s">
        <v>7043</v>
      </c>
      <c r="N22" s="30">
        <v>46388.0</v>
      </c>
      <c r="O22" s="30">
        <v>46752.0</v>
      </c>
      <c r="P22" s="31">
        <v>0.0</v>
      </c>
      <c r="Q22" s="31">
        <v>1.0</v>
      </c>
      <c r="R22" s="32" t="s">
        <v>7043</v>
      </c>
      <c r="S22" s="30">
        <v>46753.0</v>
      </c>
      <c r="T22" s="30">
        <v>47118.0</v>
      </c>
      <c r="U22" s="31">
        <v>0.0</v>
      </c>
      <c r="V22" s="31">
        <v>1.0</v>
      </c>
      <c r="W22" s="32" t="s">
        <v>7043</v>
      </c>
      <c r="X22" s="30">
        <v>47119.0</v>
      </c>
      <c r="Y22" s="30">
        <v>47483.0</v>
      </c>
      <c r="Z22" s="31">
        <v>0.0</v>
      </c>
      <c r="AA22" s="31">
        <v>1.0</v>
      </c>
      <c r="AB22" s="32" t="s">
        <v>7043</v>
      </c>
      <c r="AC22" s="30">
        <v>47484.0</v>
      </c>
      <c r="AD22" s="30">
        <v>47848.0</v>
      </c>
      <c r="AE22" s="31">
        <v>0.0</v>
      </c>
      <c r="AF22" s="31">
        <v>1.0</v>
      </c>
      <c r="AG22" s="32" t="s">
        <v>7043</v>
      </c>
    </row>
    <row r="23" ht="14.25" customHeight="1">
      <c r="A23" s="28" t="s">
        <v>5234</v>
      </c>
      <c r="B23" s="29" t="s">
        <v>5235</v>
      </c>
      <c r="C23" s="29" t="s">
        <v>7041</v>
      </c>
      <c r="D23" s="30">
        <v>45658.0</v>
      </c>
      <c r="E23" s="30">
        <v>46022.0</v>
      </c>
      <c r="F23" s="31">
        <v>0.0</v>
      </c>
      <c r="G23" s="31">
        <v>1.0</v>
      </c>
      <c r="H23" s="32" t="s">
        <v>7043</v>
      </c>
      <c r="I23" s="30">
        <v>46023.0</v>
      </c>
      <c r="J23" s="30">
        <v>46387.0</v>
      </c>
      <c r="K23" s="31">
        <v>0.0</v>
      </c>
      <c r="L23" s="31">
        <v>1.0</v>
      </c>
      <c r="M23" s="32" t="s">
        <v>7043</v>
      </c>
      <c r="N23" s="30">
        <v>46388.0</v>
      </c>
      <c r="O23" s="30">
        <v>46752.0</v>
      </c>
      <c r="P23" s="31">
        <v>0.0</v>
      </c>
      <c r="Q23" s="31">
        <v>1.0</v>
      </c>
      <c r="R23" s="32" t="s">
        <v>7043</v>
      </c>
      <c r="S23" s="30">
        <v>46753.0</v>
      </c>
      <c r="T23" s="30">
        <v>47118.0</v>
      </c>
      <c r="U23" s="31">
        <v>0.0</v>
      </c>
      <c r="V23" s="31">
        <v>1.0</v>
      </c>
      <c r="W23" s="32" t="s">
        <v>7043</v>
      </c>
      <c r="X23" s="30">
        <v>47119.0</v>
      </c>
      <c r="Y23" s="30">
        <v>47483.0</v>
      </c>
      <c r="Z23" s="31">
        <v>0.0</v>
      </c>
      <c r="AA23" s="31">
        <v>1.0</v>
      </c>
      <c r="AB23" s="32" t="s">
        <v>7043</v>
      </c>
      <c r="AC23" s="30">
        <v>47484.0</v>
      </c>
      <c r="AD23" s="30">
        <v>47848.0</v>
      </c>
      <c r="AE23" s="31">
        <v>0.0</v>
      </c>
      <c r="AF23" s="31">
        <v>1.0</v>
      </c>
      <c r="AG23" s="32" t="s">
        <v>7043</v>
      </c>
    </row>
    <row r="24" ht="14.25" customHeight="1">
      <c r="A24" s="28" t="s">
        <v>6030</v>
      </c>
      <c r="B24" s="29" t="s">
        <v>6031</v>
      </c>
      <c r="C24" s="29" t="s">
        <v>7041</v>
      </c>
      <c r="D24" s="30">
        <v>45658.0</v>
      </c>
      <c r="E24" s="30">
        <v>46022.0</v>
      </c>
      <c r="F24" s="31">
        <v>1.0</v>
      </c>
      <c r="G24" s="31">
        <v>1.0</v>
      </c>
      <c r="H24" s="32" t="s">
        <v>7042</v>
      </c>
      <c r="I24" s="30">
        <v>46023.0</v>
      </c>
      <c r="J24" s="30">
        <v>46387.0</v>
      </c>
      <c r="K24" s="31">
        <v>0.0</v>
      </c>
      <c r="L24" s="31">
        <v>1.0</v>
      </c>
      <c r="M24" s="32" t="s">
        <v>7043</v>
      </c>
      <c r="N24" s="30">
        <v>46388.0</v>
      </c>
      <c r="O24" s="30">
        <v>46752.0</v>
      </c>
      <c r="P24" s="31">
        <v>0.0</v>
      </c>
      <c r="Q24" s="31">
        <v>1.0</v>
      </c>
      <c r="R24" s="32" t="s">
        <v>7043</v>
      </c>
      <c r="S24" s="30">
        <v>46753.0</v>
      </c>
      <c r="T24" s="30">
        <v>47118.0</v>
      </c>
      <c r="U24" s="31">
        <v>0.0</v>
      </c>
      <c r="V24" s="31">
        <v>1.0</v>
      </c>
      <c r="W24" s="32" t="s">
        <v>7043</v>
      </c>
      <c r="X24" s="30">
        <v>47119.0</v>
      </c>
      <c r="Y24" s="30">
        <v>47483.0</v>
      </c>
      <c r="Z24" s="31">
        <v>0.0</v>
      </c>
      <c r="AA24" s="31">
        <v>1.0</v>
      </c>
      <c r="AB24" s="32" t="s">
        <v>7043</v>
      </c>
      <c r="AC24" s="30">
        <v>47484.0</v>
      </c>
      <c r="AD24" s="30">
        <v>47848.0</v>
      </c>
      <c r="AE24" s="31">
        <v>0.0</v>
      </c>
      <c r="AF24" s="31">
        <v>1.0</v>
      </c>
      <c r="AG24" s="32" t="s">
        <v>7043</v>
      </c>
    </row>
    <row r="25" ht="14.25" customHeight="1">
      <c r="A25" s="28" t="s">
        <v>6774</v>
      </c>
      <c r="B25" s="29" t="s">
        <v>6775</v>
      </c>
      <c r="C25" s="29" t="s">
        <v>7041</v>
      </c>
      <c r="D25" s="30">
        <v>45658.0</v>
      </c>
      <c r="E25" s="30">
        <v>46022.0</v>
      </c>
      <c r="F25" s="31">
        <v>0.0</v>
      </c>
      <c r="G25" s="31">
        <v>1.0</v>
      </c>
      <c r="H25" s="32" t="s">
        <v>7043</v>
      </c>
      <c r="I25" s="30">
        <v>46023.0</v>
      </c>
      <c r="J25" s="30">
        <v>46387.0</v>
      </c>
      <c r="K25" s="31">
        <v>0.0</v>
      </c>
      <c r="L25" s="31">
        <v>1.0</v>
      </c>
      <c r="M25" s="32" t="s">
        <v>7043</v>
      </c>
      <c r="N25" s="30">
        <v>46388.0</v>
      </c>
      <c r="O25" s="30">
        <v>46752.0</v>
      </c>
      <c r="P25" s="31">
        <v>0.0</v>
      </c>
      <c r="Q25" s="31">
        <v>1.0</v>
      </c>
      <c r="R25" s="32" t="s">
        <v>7043</v>
      </c>
      <c r="S25" s="30">
        <v>46753.0</v>
      </c>
      <c r="T25" s="30">
        <v>47118.0</v>
      </c>
      <c r="U25" s="31">
        <v>0.0</v>
      </c>
      <c r="V25" s="31">
        <v>1.0</v>
      </c>
      <c r="W25" s="32" t="s">
        <v>7043</v>
      </c>
      <c r="X25" s="30">
        <v>47119.0</v>
      </c>
      <c r="Y25" s="30">
        <v>47483.0</v>
      </c>
      <c r="Z25" s="31">
        <v>0.0</v>
      </c>
      <c r="AA25" s="31">
        <v>1.0</v>
      </c>
      <c r="AB25" s="32" t="s">
        <v>7043</v>
      </c>
      <c r="AC25" s="30">
        <v>47484.0</v>
      </c>
      <c r="AD25" s="30">
        <v>47848.0</v>
      </c>
      <c r="AE25" s="31">
        <v>0.0</v>
      </c>
      <c r="AF25" s="31">
        <v>1.0</v>
      </c>
      <c r="AG25" s="32" t="s">
        <v>7043</v>
      </c>
    </row>
    <row r="26" ht="14.25" customHeight="1">
      <c r="A26" s="28" t="s">
        <v>6860</v>
      </c>
      <c r="B26" s="29" t="s">
        <v>6861</v>
      </c>
      <c r="C26" s="29" t="s">
        <v>7041</v>
      </c>
      <c r="D26" s="30">
        <v>45658.0</v>
      </c>
      <c r="E26" s="30">
        <v>46022.0</v>
      </c>
      <c r="F26" s="31">
        <v>0.0</v>
      </c>
      <c r="G26" s="31">
        <v>1.0</v>
      </c>
      <c r="H26" s="32" t="s">
        <v>7043</v>
      </c>
      <c r="I26" s="30">
        <v>46023.0</v>
      </c>
      <c r="J26" s="30">
        <v>46387.0</v>
      </c>
      <c r="K26" s="31">
        <v>0.0</v>
      </c>
      <c r="L26" s="31">
        <v>1.0</v>
      </c>
      <c r="M26" s="32" t="s">
        <v>7043</v>
      </c>
      <c r="N26" s="30">
        <v>46388.0</v>
      </c>
      <c r="O26" s="30">
        <v>46752.0</v>
      </c>
      <c r="P26" s="31">
        <v>0.0</v>
      </c>
      <c r="Q26" s="31">
        <v>1.0</v>
      </c>
      <c r="R26" s="32" t="s">
        <v>7043</v>
      </c>
      <c r="S26" s="30">
        <v>46753.0</v>
      </c>
      <c r="T26" s="30">
        <v>47118.0</v>
      </c>
      <c r="U26" s="31">
        <v>0.0</v>
      </c>
      <c r="V26" s="31">
        <v>1.0</v>
      </c>
      <c r="W26" s="32" t="s">
        <v>7043</v>
      </c>
      <c r="X26" s="30">
        <v>47119.0</v>
      </c>
      <c r="Y26" s="30">
        <v>47483.0</v>
      </c>
      <c r="Z26" s="31">
        <v>0.0</v>
      </c>
      <c r="AA26" s="31">
        <v>1.0</v>
      </c>
      <c r="AB26" s="32" t="s">
        <v>7043</v>
      </c>
      <c r="AC26" s="30">
        <v>47484.0</v>
      </c>
      <c r="AD26" s="30">
        <v>47848.0</v>
      </c>
      <c r="AE26" s="31">
        <v>0.0</v>
      </c>
      <c r="AF26" s="31">
        <v>1.0</v>
      </c>
      <c r="AG26" s="32" t="s">
        <v>7043</v>
      </c>
    </row>
    <row r="27" ht="14.25" customHeight="1">
      <c r="A27" s="28" t="s">
        <v>4875</v>
      </c>
      <c r="B27" s="29" t="s">
        <v>4876</v>
      </c>
      <c r="C27" s="29" t="s">
        <v>7041</v>
      </c>
      <c r="D27" s="30">
        <v>45658.0</v>
      </c>
      <c r="E27" s="30">
        <v>46022.0</v>
      </c>
      <c r="F27" s="31">
        <v>0.0</v>
      </c>
      <c r="G27" s="31">
        <v>1.0</v>
      </c>
      <c r="H27" s="32" t="s">
        <v>7043</v>
      </c>
      <c r="I27" s="30">
        <v>46023.0</v>
      </c>
      <c r="J27" s="30">
        <v>46387.0</v>
      </c>
      <c r="K27" s="31">
        <v>0.0</v>
      </c>
      <c r="L27" s="31">
        <v>1.0</v>
      </c>
      <c r="M27" s="32" t="s">
        <v>7043</v>
      </c>
      <c r="N27" s="30">
        <v>46388.0</v>
      </c>
      <c r="O27" s="30">
        <v>46752.0</v>
      </c>
      <c r="P27" s="31">
        <v>0.0</v>
      </c>
      <c r="Q27" s="31">
        <v>1.0</v>
      </c>
      <c r="R27" s="32" t="s">
        <v>7043</v>
      </c>
      <c r="S27" s="30">
        <v>46753.0</v>
      </c>
      <c r="T27" s="30">
        <v>47118.0</v>
      </c>
      <c r="U27" s="31">
        <v>0.0</v>
      </c>
      <c r="V27" s="31">
        <v>1.0</v>
      </c>
      <c r="W27" s="32" t="s">
        <v>7043</v>
      </c>
      <c r="X27" s="30">
        <v>47119.0</v>
      </c>
      <c r="Y27" s="30">
        <v>47483.0</v>
      </c>
      <c r="Z27" s="31">
        <v>0.0</v>
      </c>
      <c r="AA27" s="31">
        <v>1.0</v>
      </c>
      <c r="AB27" s="32" t="s">
        <v>7043</v>
      </c>
      <c r="AC27" s="30">
        <v>47484.0</v>
      </c>
      <c r="AD27" s="30">
        <v>47848.0</v>
      </c>
      <c r="AE27" s="31">
        <v>0.0</v>
      </c>
      <c r="AF27" s="31">
        <v>1.0</v>
      </c>
      <c r="AG27" s="32" t="s">
        <v>7043</v>
      </c>
    </row>
    <row r="28" ht="14.25" customHeight="1">
      <c r="A28" s="28" t="s">
        <v>3966</v>
      </c>
      <c r="B28" s="29" t="s">
        <v>3967</v>
      </c>
      <c r="C28" s="29" t="s">
        <v>7041</v>
      </c>
      <c r="D28" s="30">
        <v>45658.0</v>
      </c>
      <c r="E28" s="30">
        <v>46022.0</v>
      </c>
      <c r="F28" s="31">
        <v>1.0</v>
      </c>
      <c r="G28" s="31">
        <v>1.0</v>
      </c>
      <c r="H28" s="32" t="s">
        <v>7042</v>
      </c>
      <c r="I28" s="30">
        <v>46023.0</v>
      </c>
      <c r="J28" s="30">
        <v>46387.0</v>
      </c>
      <c r="K28" s="31">
        <v>0.0</v>
      </c>
      <c r="L28" s="31">
        <v>1.0</v>
      </c>
      <c r="M28" s="32" t="s">
        <v>7043</v>
      </c>
      <c r="N28" s="30">
        <v>46388.0</v>
      </c>
      <c r="O28" s="30">
        <v>46752.0</v>
      </c>
      <c r="P28" s="31">
        <v>0.0</v>
      </c>
      <c r="Q28" s="31">
        <v>1.0</v>
      </c>
      <c r="R28" s="32" t="s">
        <v>7043</v>
      </c>
      <c r="S28" s="30">
        <v>46753.0</v>
      </c>
      <c r="T28" s="30">
        <v>47118.0</v>
      </c>
      <c r="U28" s="31">
        <v>0.0</v>
      </c>
      <c r="V28" s="31">
        <v>1.0</v>
      </c>
      <c r="W28" s="32" t="s">
        <v>7043</v>
      </c>
      <c r="X28" s="30">
        <v>47119.0</v>
      </c>
      <c r="Y28" s="30">
        <v>47483.0</v>
      </c>
      <c r="Z28" s="31">
        <v>0.0</v>
      </c>
      <c r="AA28" s="31">
        <v>1.0</v>
      </c>
      <c r="AB28" s="32" t="s">
        <v>7043</v>
      </c>
      <c r="AC28" s="30">
        <v>47484.0</v>
      </c>
      <c r="AD28" s="30">
        <v>47848.0</v>
      </c>
      <c r="AE28" s="31">
        <v>0.0</v>
      </c>
      <c r="AF28" s="31">
        <v>1.0</v>
      </c>
      <c r="AG28" s="32" t="s">
        <v>7043</v>
      </c>
    </row>
    <row r="29" ht="14.25" customHeight="1">
      <c r="A29" s="28" t="s">
        <v>6065</v>
      </c>
      <c r="B29" s="29" t="s">
        <v>6066</v>
      </c>
      <c r="C29" s="29" t="s">
        <v>7041</v>
      </c>
      <c r="D29" s="30">
        <v>45658.0</v>
      </c>
      <c r="E29" s="30">
        <v>46022.0</v>
      </c>
      <c r="F29" s="31">
        <v>1.0</v>
      </c>
      <c r="G29" s="31">
        <v>1.0</v>
      </c>
      <c r="H29" s="32" t="s">
        <v>7042</v>
      </c>
      <c r="I29" s="30">
        <v>46023.0</v>
      </c>
      <c r="J29" s="30">
        <v>46387.0</v>
      </c>
      <c r="K29" s="31">
        <v>0.0</v>
      </c>
      <c r="L29" s="31">
        <v>1.0</v>
      </c>
      <c r="M29" s="32" t="s">
        <v>7043</v>
      </c>
      <c r="N29" s="30">
        <v>46388.0</v>
      </c>
      <c r="O29" s="30">
        <v>46752.0</v>
      </c>
      <c r="P29" s="31">
        <v>0.0</v>
      </c>
      <c r="Q29" s="31">
        <v>1.0</v>
      </c>
      <c r="R29" s="32" t="s">
        <v>7043</v>
      </c>
      <c r="S29" s="30">
        <v>46753.0</v>
      </c>
      <c r="T29" s="30">
        <v>47118.0</v>
      </c>
      <c r="U29" s="31">
        <v>0.0</v>
      </c>
      <c r="V29" s="31">
        <v>1.0</v>
      </c>
      <c r="W29" s="32" t="s">
        <v>7043</v>
      </c>
      <c r="X29" s="30">
        <v>47119.0</v>
      </c>
      <c r="Y29" s="30">
        <v>47483.0</v>
      </c>
      <c r="Z29" s="31">
        <v>0.0</v>
      </c>
      <c r="AA29" s="31">
        <v>1.0</v>
      </c>
      <c r="AB29" s="32" t="s">
        <v>7043</v>
      </c>
      <c r="AC29" s="30">
        <v>47484.0</v>
      </c>
      <c r="AD29" s="30">
        <v>47848.0</v>
      </c>
      <c r="AE29" s="31">
        <v>0.0</v>
      </c>
      <c r="AF29" s="31">
        <v>1.0</v>
      </c>
      <c r="AG29" s="32" t="s">
        <v>7043</v>
      </c>
    </row>
    <row r="30" ht="14.25" customHeight="1">
      <c r="A30" s="28" t="s">
        <v>6660</v>
      </c>
      <c r="B30" s="29" t="s">
        <v>6661</v>
      </c>
      <c r="C30" s="29" t="s">
        <v>7044</v>
      </c>
      <c r="D30" s="30">
        <v>45658.0</v>
      </c>
      <c r="E30" s="30">
        <v>46022.0</v>
      </c>
      <c r="F30" s="31">
        <v>0.0</v>
      </c>
      <c r="G30" s="31">
        <v>1.0</v>
      </c>
      <c r="H30" s="32" t="s">
        <v>7043</v>
      </c>
      <c r="I30" s="30">
        <v>46023.0</v>
      </c>
      <c r="J30" s="30">
        <v>46387.0</v>
      </c>
      <c r="K30" s="31">
        <v>0.0</v>
      </c>
      <c r="L30" s="31">
        <v>1.0</v>
      </c>
      <c r="M30" s="32" t="s">
        <v>7043</v>
      </c>
      <c r="N30" s="30">
        <v>46388.0</v>
      </c>
      <c r="O30" s="30">
        <v>46752.0</v>
      </c>
      <c r="P30" s="31">
        <v>0.0</v>
      </c>
      <c r="Q30" s="31">
        <v>1.0</v>
      </c>
      <c r="R30" s="32" t="s">
        <v>7043</v>
      </c>
      <c r="S30" s="30">
        <v>46753.0</v>
      </c>
      <c r="T30" s="30">
        <v>47118.0</v>
      </c>
      <c r="U30" s="31">
        <v>0.0</v>
      </c>
      <c r="V30" s="31">
        <v>1.0</v>
      </c>
      <c r="W30" s="32" t="s">
        <v>7043</v>
      </c>
      <c r="X30" s="30">
        <v>47119.0</v>
      </c>
      <c r="Y30" s="30">
        <v>47483.0</v>
      </c>
      <c r="Z30" s="31">
        <v>0.0</v>
      </c>
      <c r="AA30" s="31">
        <v>1.0</v>
      </c>
      <c r="AB30" s="32" t="s">
        <v>7043</v>
      </c>
      <c r="AC30" s="30">
        <v>47484.0</v>
      </c>
      <c r="AD30" s="30">
        <v>47848.0</v>
      </c>
      <c r="AE30" s="31">
        <v>0.0</v>
      </c>
      <c r="AF30" s="31">
        <v>1.0</v>
      </c>
      <c r="AG30" s="32" t="s">
        <v>7043</v>
      </c>
    </row>
    <row r="31" ht="14.25" customHeight="1">
      <c r="A31" s="28" t="s">
        <v>4783</v>
      </c>
      <c r="B31" s="29" t="s">
        <v>4784</v>
      </c>
      <c r="C31" s="29" t="s">
        <v>7041</v>
      </c>
      <c r="D31" s="30">
        <v>45658.0</v>
      </c>
      <c r="E31" s="30">
        <v>46022.0</v>
      </c>
      <c r="F31" s="31">
        <v>0.0</v>
      </c>
      <c r="G31" s="31">
        <v>1.0</v>
      </c>
      <c r="H31" s="32" t="s">
        <v>7043</v>
      </c>
      <c r="I31" s="30">
        <v>46023.0</v>
      </c>
      <c r="J31" s="30">
        <v>46387.0</v>
      </c>
      <c r="K31" s="31">
        <v>0.0</v>
      </c>
      <c r="L31" s="31">
        <v>1.0</v>
      </c>
      <c r="M31" s="32" t="s">
        <v>7043</v>
      </c>
      <c r="N31" s="30">
        <v>46388.0</v>
      </c>
      <c r="O31" s="30">
        <v>46752.0</v>
      </c>
      <c r="P31" s="31">
        <v>0.0</v>
      </c>
      <c r="Q31" s="31">
        <v>1.0</v>
      </c>
      <c r="R31" s="32" t="s">
        <v>7043</v>
      </c>
      <c r="S31" s="30">
        <v>46753.0</v>
      </c>
      <c r="T31" s="30">
        <v>47118.0</v>
      </c>
      <c r="U31" s="31">
        <v>0.0</v>
      </c>
      <c r="V31" s="31">
        <v>1.0</v>
      </c>
      <c r="W31" s="32" t="s">
        <v>7043</v>
      </c>
      <c r="X31" s="30">
        <v>47119.0</v>
      </c>
      <c r="Y31" s="30">
        <v>47483.0</v>
      </c>
      <c r="Z31" s="31">
        <v>0.0</v>
      </c>
      <c r="AA31" s="31">
        <v>1.0</v>
      </c>
      <c r="AB31" s="32" t="s">
        <v>7043</v>
      </c>
      <c r="AC31" s="30">
        <v>47484.0</v>
      </c>
      <c r="AD31" s="30">
        <v>47848.0</v>
      </c>
      <c r="AE31" s="31">
        <v>0.0</v>
      </c>
      <c r="AF31" s="31">
        <v>1.0</v>
      </c>
      <c r="AG31" s="32" t="s">
        <v>7043</v>
      </c>
    </row>
    <row r="32" ht="14.25" customHeight="1">
      <c r="A32" s="28" t="s">
        <v>4845</v>
      </c>
      <c r="B32" s="29" t="s">
        <v>4846</v>
      </c>
      <c r="C32" s="29" t="s">
        <v>7041</v>
      </c>
      <c r="D32" s="30">
        <v>45658.0</v>
      </c>
      <c r="E32" s="30">
        <v>46022.0</v>
      </c>
      <c r="F32" s="31">
        <v>1.0</v>
      </c>
      <c r="G32" s="31">
        <v>1.0</v>
      </c>
      <c r="H32" s="33" t="s">
        <v>7042</v>
      </c>
      <c r="I32" s="30">
        <v>46023.0</v>
      </c>
      <c r="J32" s="30">
        <v>46387.0</v>
      </c>
      <c r="K32" s="31">
        <v>0.0</v>
      </c>
      <c r="L32" s="31">
        <v>1.0</v>
      </c>
      <c r="M32" s="32" t="s">
        <v>7043</v>
      </c>
      <c r="N32" s="30">
        <v>46388.0</v>
      </c>
      <c r="O32" s="30">
        <v>46752.0</v>
      </c>
      <c r="P32" s="31">
        <v>0.0</v>
      </c>
      <c r="Q32" s="31">
        <v>1.0</v>
      </c>
      <c r="R32" s="32" t="s">
        <v>7043</v>
      </c>
      <c r="S32" s="30">
        <v>46753.0</v>
      </c>
      <c r="T32" s="30">
        <v>47118.0</v>
      </c>
      <c r="U32" s="31">
        <v>0.0</v>
      </c>
      <c r="V32" s="31">
        <v>1.0</v>
      </c>
      <c r="W32" s="32" t="s">
        <v>7043</v>
      </c>
      <c r="X32" s="30">
        <v>47119.0</v>
      </c>
      <c r="Y32" s="30">
        <v>47483.0</v>
      </c>
      <c r="Z32" s="31">
        <v>0.0</v>
      </c>
      <c r="AA32" s="31">
        <v>1.0</v>
      </c>
      <c r="AB32" s="32" t="s">
        <v>7043</v>
      </c>
      <c r="AC32" s="30">
        <v>47484.0</v>
      </c>
      <c r="AD32" s="30">
        <v>47848.0</v>
      </c>
      <c r="AE32" s="31">
        <v>0.0</v>
      </c>
      <c r="AF32" s="31">
        <v>1.0</v>
      </c>
      <c r="AG32" s="32" t="s">
        <v>7043</v>
      </c>
    </row>
    <row r="33" ht="14.25" customHeight="1">
      <c r="A33" s="28" t="s">
        <v>4788</v>
      </c>
      <c r="B33" s="29" t="s">
        <v>4789</v>
      </c>
      <c r="C33" s="29" t="s">
        <v>7041</v>
      </c>
      <c r="D33" s="30">
        <v>45658.0</v>
      </c>
      <c r="E33" s="30">
        <v>46022.0</v>
      </c>
      <c r="F33" s="31">
        <v>0.0</v>
      </c>
      <c r="G33" s="31">
        <v>1.0</v>
      </c>
      <c r="H33" s="32" t="s">
        <v>7043</v>
      </c>
      <c r="I33" s="30">
        <v>46023.0</v>
      </c>
      <c r="J33" s="30">
        <v>46387.0</v>
      </c>
      <c r="K33" s="31">
        <v>0.0</v>
      </c>
      <c r="L33" s="31">
        <v>1.0</v>
      </c>
      <c r="M33" s="32" t="s">
        <v>7043</v>
      </c>
      <c r="N33" s="30">
        <v>46388.0</v>
      </c>
      <c r="O33" s="30">
        <v>46752.0</v>
      </c>
      <c r="P33" s="31">
        <v>0.0</v>
      </c>
      <c r="Q33" s="31">
        <v>1.0</v>
      </c>
      <c r="R33" s="32" t="s">
        <v>7043</v>
      </c>
      <c r="S33" s="30">
        <v>46753.0</v>
      </c>
      <c r="T33" s="30">
        <v>47118.0</v>
      </c>
      <c r="U33" s="31">
        <v>0.0</v>
      </c>
      <c r="V33" s="31">
        <v>1.0</v>
      </c>
      <c r="W33" s="32" t="s">
        <v>7043</v>
      </c>
      <c r="X33" s="30">
        <v>47119.0</v>
      </c>
      <c r="Y33" s="30">
        <v>47483.0</v>
      </c>
      <c r="Z33" s="31">
        <v>0.0</v>
      </c>
      <c r="AA33" s="31">
        <v>1.0</v>
      </c>
      <c r="AB33" s="32" t="s">
        <v>7043</v>
      </c>
      <c r="AC33" s="30">
        <v>47484.0</v>
      </c>
      <c r="AD33" s="30">
        <v>47848.0</v>
      </c>
      <c r="AE33" s="31">
        <v>0.0</v>
      </c>
      <c r="AF33" s="31">
        <v>1.0</v>
      </c>
      <c r="AG33" s="32" t="s">
        <v>7043</v>
      </c>
    </row>
    <row r="34" ht="14.25" customHeight="1">
      <c r="A34" s="28" t="s">
        <v>4849</v>
      </c>
      <c r="B34" s="29" t="s">
        <v>4850</v>
      </c>
      <c r="C34" s="29" t="s">
        <v>7041</v>
      </c>
      <c r="D34" s="30">
        <v>45658.0</v>
      </c>
      <c r="E34" s="30">
        <v>46022.0</v>
      </c>
      <c r="F34" s="31">
        <v>0.0</v>
      </c>
      <c r="G34" s="31">
        <v>1.0</v>
      </c>
      <c r="H34" s="32" t="s">
        <v>7043</v>
      </c>
      <c r="I34" s="30">
        <v>46023.0</v>
      </c>
      <c r="J34" s="30">
        <v>46387.0</v>
      </c>
      <c r="K34" s="31">
        <v>0.0</v>
      </c>
      <c r="L34" s="31">
        <v>1.0</v>
      </c>
      <c r="M34" s="32" t="s">
        <v>7043</v>
      </c>
      <c r="N34" s="30">
        <v>46388.0</v>
      </c>
      <c r="O34" s="30">
        <v>46752.0</v>
      </c>
      <c r="P34" s="31">
        <v>0.0</v>
      </c>
      <c r="Q34" s="31">
        <v>1.0</v>
      </c>
      <c r="R34" s="32" t="s">
        <v>7043</v>
      </c>
      <c r="S34" s="30">
        <v>46753.0</v>
      </c>
      <c r="T34" s="30">
        <v>47118.0</v>
      </c>
      <c r="U34" s="31">
        <v>0.0</v>
      </c>
      <c r="V34" s="31">
        <v>1.0</v>
      </c>
      <c r="W34" s="32" t="s">
        <v>7043</v>
      </c>
      <c r="X34" s="30">
        <v>47119.0</v>
      </c>
      <c r="Y34" s="30">
        <v>47483.0</v>
      </c>
      <c r="Z34" s="31">
        <v>0.0</v>
      </c>
      <c r="AA34" s="31">
        <v>1.0</v>
      </c>
      <c r="AB34" s="32" t="s">
        <v>7043</v>
      </c>
      <c r="AC34" s="30">
        <v>47484.0</v>
      </c>
      <c r="AD34" s="30">
        <v>47848.0</v>
      </c>
      <c r="AE34" s="31">
        <v>0.0</v>
      </c>
      <c r="AF34" s="31">
        <v>1.0</v>
      </c>
      <c r="AG34" s="32" t="s">
        <v>7043</v>
      </c>
    </row>
    <row r="35" ht="14.25" customHeight="1">
      <c r="A35" s="28" t="s">
        <v>4838</v>
      </c>
      <c r="B35" s="29" t="s">
        <v>4839</v>
      </c>
      <c r="C35" s="29" t="s">
        <v>7041</v>
      </c>
      <c r="D35" s="30">
        <v>45658.0</v>
      </c>
      <c r="E35" s="30">
        <v>46022.0</v>
      </c>
      <c r="F35" s="31">
        <v>0.0</v>
      </c>
      <c r="G35" s="31">
        <v>1.0</v>
      </c>
      <c r="H35" s="32" t="s">
        <v>7043</v>
      </c>
      <c r="I35" s="30">
        <v>46023.0</v>
      </c>
      <c r="J35" s="30">
        <v>46387.0</v>
      </c>
      <c r="K35" s="31">
        <v>0.0</v>
      </c>
      <c r="L35" s="31">
        <v>1.0</v>
      </c>
      <c r="M35" s="32" t="s">
        <v>7043</v>
      </c>
      <c r="N35" s="30">
        <v>46388.0</v>
      </c>
      <c r="O35" s="30">
        <v>46752.0</v>
      </c>
      <c r="P35" s="31">
        <v>0.0</v>
      </c>
      <c r="Q35" s="31">
        <v>1.0</v>
      </c>
      <c r="R35" s="32" t="s">
        <v>7043</v>
      </c>
      <c r="S35" s="30">
        <v>46753.0</v>
      </c>
      <c r="T35" s="30">
        <v>47118.0</v>
      </c>
      <c r="U35" s="31">
        <v>0.0</v>
      </c>
      <c r="V35" s="31">
        <v>1.0</v>
      </c>
      <c r="W35" s="32" t="s">
        <v>7043</v>
      </c>
      <c r="X35" s="30">
        <v>47119.0</v>
      </c>
      <c r="Y35" s="30">
        <v>47483.0</v>
      </c>
      <c r="Z35" s="31">
        <v>0.0</v>
      </c>
      <c r="AA35" s="31">
        <v>1.0</v>
      </c>
      <c r="AB35" s="32" t="s">
        <v>7043</v>
      </c>
      <c r="AC35" s="30">
        <v>47484.0</v>
      </c>
      <c r="AD35" s="30">
        <v>47848.0</v>
      </c>
      <c r="AE35" s="31">
        <v>0.0</v>
      </c>
      <c r="AF35" s="31">
        <v>1.0</v>
      </c>
      <c r="AG35" s="32" t="s">
        <v>7043</v>
      </c>
    </row>
    <row r="36" ht="14.25" customHeight="1">
      <c r="A36" s="28" t="s">
        <v>2137</v>
      </c>
      <c r="B36" s="29" t="s">
        <v>2138</v>
      </c>
      <c r="C36" s="29" t="s">
        <v>7041</v>
      </c>
      <c r="D36" s="30">
        <v>45658.0</v>
      </c>
      <c r="E36" s="30">
        <v>46022.0</v>
      </c>
      <c r="F36" s="31">
        <v>0.0</v>
      </c>
      <c r="G36" s="31">
        <v>1.0</v>
      </c>
      <c r="H36" s="32" t="s">
        <v>7043</v>
      </c>
      <c r="I36" s="30">
        <v>46023.0</v>
      </c>
      <c r="J36" s="30">
        <v>46387.0</v>
      </c>
      <c r="K36" s="31">
        <v>0.0</v>
      </c>
      <c r="L36" s="31">
        <v>1.0</v>
      </c>
      <c r="M36" s="32" t="s">
        <v>7043</v>
      </c>
      <c r="N36" s="30">
        <v>46388.0</v>
      </c>
      <c r="O36" s="30">
        <v>46752.0</v>
      </c>
      <c r="P36" s="31">
        <v>0.0</v>
      </c>
      <c r="Q36" s="31">
        <v>1.0</v>
      </c>
      <c r="R36" s="32" t="s">
        <v>7043</v>
      </c>
      <c r="S36" s="30">
        <v>46753.0</v>
      </c>
      <c r="T36" s="30">
        <v>47118.0</v>
      </c>
      <c r="U36" s="31">
        <v>0.0</v>
      </c>
      <c r="V36" s="31">
        <v>1.0</v>
      </c>
      <c r="W36" s="32" t="s">
        <v>7043</v>
      </c>
      <c r="X36" s="30">
        <v>47119.0</v>
      </c>
      <c r="Y36" s="30">
        <v>47483.0</v>
      </c>
      <c r="Z36" s="31">
        <v>0.0</v>
      </c>
      <c r="AA36" s="31">
        <v>1.0</v>
      </c>
      <c r="AB36" s="32" t="s">
        <v>7043</v>
      </c>
      <c r="AC36" s="30">
        <v>47484.0</v>
      </c>
      <c r="AD36" s="30">
        <v>47848.0</v>
      </c>
      <c r="AE36" s="31">
        <v>0.0</v>
      </c>
      <c r="AF36" s="31">
        <v>1.0</v>
      </c>
      <c r="AG36" s="32" t="s">
        <v>7043</v>
      </c>
    </row>
    <row r="37" ht="14.25" customHeight="1">
      <c r="A37" s="28" t="s">
        <v>1956</v>
      </c>
      <c r="B37" s="29" t="s">
        <v>1957</v>
      </c>
      <c r="C37" s="29" t="s">
        <v>7041</v>
      </c>
      <c r="D37" s="30">
        <v>45658.0</v>
      </c>
      <c r="E37" s="30">
        <v>46022.0</v>
      </c>
      <c r="F37" s="31">
        <v>1.0</v>
      </c>
      <c r="G37" s="31">
        <v>1.0</v>
      </c>
      <c r="H37" s="32" t="s">
        <v>7042</v>
      </c>
      <c r="I37" s="30">
        <v>46023.0</v>
      </c>
      <c r="J37" s="30">
        <v>46387.0</v>
      </c>
      <c r="K37" s="31">
        <v>0.0</v>
      </c>
      <c r="L37" s="31">
        <v>1.0</v>
      </c>
      <c r="M37" s="32" t="s">
        <v>7043</v>
      </c>
      <c r="N37" s="30">
        <v>46388.0</v>
      </c>
      <c r="O37" s="30">
        <v>46752.0</v>
      </c>
      <c r="P37" s="31">
        <v>0.0</v>
      </c>
      <c r="Q37" s="31">
        <v>1.0</v>
      </c>
      <c r="R37" s="32" t="s">
        <v>7043</v>
      </c>
      <c r="S37" s="30">
        <v>46753.0</v>
      </c>
      <c r="T37" s="30">
        <v>47118.0</v>
      </c>
      <c r="U37" s="31">
        <v>0.0</v>
      </c>
      <c r="V37" s="31">
        <v>1.0</v>
      </c>
      <c r="W37" s="32" t="s">
        <v>7043</v>
      </c>
      <c r="X37" s="30">
        <v>47119.0</v>
      </c>
      <c r="Y37" s="30">
        <v>47483.0</v>
      </c>
      <c r="Z37" s="31">
        <v>0.0</v>
      </c>
      <c r="AA37" s="31">
        <v>1.0</v>
      </c>
      <c r="AB37" s="32" t="s">
        <v>7043</v>
      </c>
      <c r="AC37" s="30">
        <v>47484.0</v>
      </c>
      <c r="AD37" s="30">
        <v>47848.0</v>
      </c>
      <c r="AE37" s="31">
        <v>0.0</v>
      </c>
      <c r="AF37" s="31">
        <v>1.0</v>
      </c>
      <c r="AG37" s="32" t="s">
        <v>7043</v>
      </c>
    </row>
    <row r="38" ht="14.25" customHeight="1">
      <c r="A38" s="28" t="s">
        <v>1124</v>
      </c>
      <c r="B38" s="29" t="s">
        <v>1125</v>
      </c>
      <c r="C38" s="29" t="s">
        <v>7041</v>
      </c>
      <c r="D38" s="30">
        <v>45658.0</v>
      </c>
      <c r="E38" s="30">
        <v>46022.0</v>
      </c>
      <c r="F38" s="31">
        <v>0.0</v>
      </c>
      <c r="G38" s="31">
        <v>1.0</v>
      </c>
      <c r="H38" s="32" t="s">
        <v>7043</v>
      </c>
      <c r="I38" s="30">
        <v>46023.0</v>
      </c>
      <c r="J38" s="30">
        <v>46387.0</v>
      </c>
      <c r="K38" s="31">
        <v>0.0</v>
      </c>
      <c r="L38" s="31">
        <v>1.0</v>
      </c>
      <c r="M38" s="32" t="s">
        <v>7043</v>
      </c>
      <c r="N38" s="30">
        <v>46388.0</v>
      </c>
      <c r="O38" s="30">
        <v>46752.0</v>
      </c>
      <c r="P38" s="31">
        <v>0.0</v>
      </c>
      <c r="Q38" s="31">
        <v>1.0</v>
      </c>
      <c r="R38" s="32" t="s">
        <v>7043</v>
      </c>
      <c r="S38" s="30">
        <v>46753.0</v>
      </c>
      <c r="T38" s="30">
        <v>47118.0</v>
      </c>
      <c r="U38" s="31">
        <v>0.0</v>
      </c>
      <c r="V38" s="31">
        <v>1.0</v>
      </c>
      <c r="W38" s="32" t="s">
        <v>7043</v>
      </c>
      <c r="X38" s="30">
        <v>47119.0</v>
      </c>
      <c r="Y38" s="30">
        <v>47483.0</v>
      </c>
      <c r="Z38" s="31">
        <v>0.0</v>
      </c>
      <c r="AA38" s="31">
        <v>1.0</v>
      </c>
      <c r="AB38" s="32" t="s">
        <v>7043</v>
      </c>
      <c r="AC38" s="30">
        <v>47484.0</v>
      </c>
      <c r="AD38" s="30">
        <v>47848.0</v>
      </c>
      <c r="AE38" s="31">
        <v>0.0</v>
      </c>
      <c r="AF38" s="31">
        <v>1.0</v>
      </c>
      <c r="AG38" s="32" t="s">
        <v>7043</v>
      </c>
    </row>
    <row r="39" ht="14.25" customHeight="1">
      <c r="A39" s="28" t="s">
        <v>4981</v>
      </c>
      <c r="B39" s="29" t="s">
        <v>4982</v>
      </c>
      <c r="C39" s="29" t="s">
        <v>7041</v>
      </c>
      <c r="D39" s="30">
        <v>45658.0</v>
      </c>
      <c r="E39" s="30">
        <v>46022.0</v>
      </c>
      <c r="F39" s="31">
        <v>0.0</v>
      </c>
      <c r="G39" s="31">
        <v>1.0</v>
      </c>
      <c r="H39" s="32" t="s">
        <v>7043</v>
      </c>
      <c r="I39" s="30">
        <v>46023.0</v>
      </c>
      <c r="J39" s="30">
        <v>46387.0</v>
      </c>
      <c r="K39" s="31">
        <v>0.0</v>
      </c>
      <c r="L39" s="31">
        <v>1.0</v>
      </c>
      <c r="M39" s="32" t="s">
        <v>7043</v>
      </c>
      <c r="N39" s="30">
        <v>46388.0</v>
      </c>
      <c r="O39" s="30">
        <v>46752.0</v>
      </c>
      <c r="P39" s="31">
        <v>0.0</v>
      </c>
      <c r="Q39" s="31">
        <v>1.0</v>
      </c>
      <c r="R39" s="32" t="s">
        <v>7043</v>
      </c>
      <c r="S39" s="30">
        <v>46753.0</v>
      </c>
      <c r="T39" s="30">
        <v>47118.0</v>
      </c>
      <c r="U39" s="31">
        <v>0.0</v>
      </c>
      <c r="V39" s="31">
        <v>1.0</v>
      </c>
      <c r="W39" s="32" t="s">
        <v>7043</v>
      </c>
      <c r="X39" s="30">
        <v>47119.0</v>
      </c>
      <c r="Y39" s="30">
        <v>47483.0</v>
      </c>
      <c r="Z39" s="31">
        <v>0.0</v>
      </c>
      <c r="AA39" s="31">
        <v>1.0</v>
      </c>
      <c r="AB39" s="32" t="s">
        <v>7043</v>
      </c>
      <c r="AC39" s="30">
        <v>47484.0</v>
      </c>
      <c r="AD39" s="30">
        <v>47848.0</v>
      </c>
      <c r="AE39" s="31">
        <v>0.0</v>
      </c>
      <c r="AF39" s="31">
        <v>1.0</v>
      </c>
      <c r="AG39" s="32" t="s">
        <v>7043</v>
      </c>
    </row>
    <row r="40" ht="14.25" customHeight="1">
      <c r="A40" s="28" t="s">
        <v>5513</v>
      </c>
      <c r="B40" s="29" t="s">
        <v>5514</v>
      </c>
      <c r="C40" s="29" t="s">
        <v>7041</v>
      </c>
      <c r="D40" s="30">
        <v>45658.0</v>
      </c>
      <c r="E40" s="30">
        <v>46022.0</v>
      </c>
      <c r="F40" s="31">
        <v>1.0</v>
      </c>
      <c r="G40" s="31">
        <v>1.0</v>
      </c>
      <c r="H40" s="32" t="s">
        <v>7042</v>
      </c>
      <c r="I40" s="30">
        <v>46023.0</v>
      </c>
      <c r="J40" s="30">
        <v>46387.0</v>
      </c>
      <c r="K40" s="31">
        <v>0.0</v>
      </c>
      <c r="L40" s="31">
        <v>1.0</v>
      </c>
      <c r="M40" s="32" t="s">
        <v>7043</v>
      </c>
      <c r="N40" s="30">
        <v>46388.0</v>
      </c>
      <c r="O40" s="30">
        <v>46752.0</v>
      </c>
      <c r="P40" s="31">
        <v>0.0</v>
      </c>
      <c r="Q40" s="31">
        <v>1.0</v>
      </c>
      <c r="R40" s="32" t="s">
        <v>7043</v>
      </c>
      <c r="S40" s="30">
        <v>46753.0</v>
      </c>
      <c r="T40" s="30">
        <v>47118.0</v>
      </c>
      <c r="U40" s="31">
        <v>0.0</v>
      </c>
      <c r="V40" s="31">
        <v>1.0</v>
      </c>
      <c r="W40" s="32" t="s">
        <v>7043</v>
      </c>
      <c r="X40" s="30">
        <v>47119.0</v>
      </c>
      <c r="Y40" s="30">
        <v>47483.0</v>
      </c>
      <c r="Z40" s="31">
        <v>0.0</v>
      </c>
      <c r="AA40" s="31">
        <v>1.0</v>
      </c>
      <c r="AB40" s="32" t="s">
        <v>7043</v>
      </c>
      <c r="AC40" s="30">
        <v>47484.0</v>
      </c>
      <c r="AD40" s="30">
        <v>47848.0</v>
      </c>
      <c r="AE40" s="31">
        <v>0.0</v>
      </c>
      <c r="AF40" s="31">
        <v>1.0</v>
      </c>
      <c r="AG40" s="32" t="s">
        <v>7043</v>
      </c>
    </row>
    <row r="41" ht="14.25" customHeight="1">
      <c r="A41" s="28" t="s">
        <v>654</v>
      </c>
      <c r="B41" s="29" t="s">
        <v>655</v>
      </c>
      <c r="C41" s="29" t="s">
        <v>7041</v>
      </c>
      <c r="D41" s="30">
        <v>45658.0</v>
      </c>
      <c r="E41" s="30">
        <v>46022.0</v>
      </c>
      <c r="F41" s="31">
        <v>1.0</v>
      </c>
      <c r="G41" s="31">
        <v>1.0</v>
      </c>
      <c r="H41" s="32" t="s">
        <v>7042</v>
      </c>
      <c r="I41" s="30">
        <v>46023.0</v>
      </c>
      <c r="J41" s="30">
        <v>46387.0</v>
      </c>
      <c r="K41" s="31">
        <v>0.0</v>
      </c>
      <c r="L41" s="31">
        <v>1.0</v>
      </c>
      <c r="M41" s="32" t="s">
        <v>7043</v>
      </c>
      <c r="N41" s="30">
        <v>46388.0</v>
      </c>
      <c r="O41" s="30">
        <v>46752.0</v>
      </c>
      <c r="P41" s="31">
        <v>0.0</v>
      </c>
      <c r="Q41" s="31">
        <v>1.0</v>
      </c>
      <c r="R41" s="32" t="s">
        <v>7043</v>
      </c>
      <c r="S41" s="30">
        <v>46753.0</v>
      </c>
      <c r="T41" s="30">
        <v>47118.0</v>
      </c>
      <c r="U41" s="31">
        <v>0.0</v>
      </c>
      <c r="V41" s="31">
        <v>1.0</v>
      </c>
      <c r="W41" s="32" t="s">
        <v>7043</v>
      </c>
      <c r="X41" s="30">
        <v>47119.0</v>
      </c>
      <c r="Y41" s="30">
        <v>47483.0</v>
      </c>
      <c r="Z41" s="31">
        <v>0.0</v>
      </c>
      <c r="AA41" s="31">
        <v>1.0</v>
      </c>
      <c r="AB41" s="32" t="s">
        <v>7043</v>
      </c>
      <c r="AC41" s="30">
        <v>47484.0</v>
      </c>
      <c r="AD41" s="30">
        <v>47848.0</v>
      </c>
      <c r="AE41" s="31">
        <v>0.0</v>
      </c>
      <c r="AF41" s="31">
        <v>1.0</v>
      </c>
      <c r="AG41" s="32" t="s">
        <v>7043</v>
      </c>
    </row>
    <row r="42" ht="14.25" customHeight="1">
      <c r="A42" s="28" t="s">
        <v>6915</v>
      </c>
      <c r="B42" s="29" t="s">
        <v>6916</v>
      </c>
      <c r="C42" s="29" t="s">
        <v>7041</v>
      </c>
      <c r="D42" s="30">
        <v>45658.0</v>
      </c>
      <c r="E42" s="30">
        <v>46022.0</v>
      </c>
      <c r="F42" s="31">
        <v>1.0</v>
      </c>
      <c r="G42" s="31">
        <v>1.0</v>
      </c>
      <c r="H42" s="32" t="s">
        <v>7042</v>
      </c>
      <c r="I42" s="30">
        <v>46023.0</v>
      </c>
      <c r="J42" s="30">
        <v>46387.0</v>
      </c>
      <c r="K42" s="31">
        <v>0.0</v>
      </c>
      <c r="L42" s="31">
        <v>1.0</v>
      </c>
      <c r="M42" s="32" t="s">
        <v>7043</v>
      </c>
      <c r="N42" s="30">
        <v>46388.0</v>
      </c>
      <c r="O42" s="30">
        <v>46752.0</v>
      </c>
      <c r="P42" s="31">
        <v>0.0</v>
      </c>
      <c r="Q42" s="31">
        <v>1.0</v>
      </c>
      <c r="R42" s="32" t="s">
        <v>7043</v>
      </c>
      <c r="S42" s="30">
        <v>46753.0</v>
      </c>
      <c r="T42" s="30">
        <v>47118.0</v>
      </c>
      <c r="U42" s="31">
        <v>0.0</v>
      </c>
      <c r="V42" s="31">
        <v>1.0</v>
      </c>
      <c r="W42" s="32" t="s">
        <v>7043</v>
      </c>
      <c r="X42" s="30">
        <v>47119.0</v>
      </c>
      <c r="Y42" s="30">
        <v>47483.0</v>
      </c>
      <c r="Z42" s="31">
        <v>0.0</v>
      </c>
      <c r="AA42" s="31">
        <v>1.0</v>
      </c>
      <c r="AB42" s="32" t="s">
        <v>7043</v>
      </c>
      <c r="AC42" s="30">
        <v>47484.0</v>
      </c>
      <c r="AD42" s="30">
        <v>47848.0</v>
      </c>
      <c r="AE42" s="31">
        <v>0.0</v>
      </c>
      <c r="AF42" s="31">
        <v>1.0</v>
      </c>
      <c r="AG42" s="32" t="s">
        <v>7043</v>
      </c>
    </row>
    <row r="43" ht="14.25" customHeight="1">
      <c r="A43" s="28" t="s">
        <v>463</v>
      </c>
      <c r="B43" s="29" t="s">
        <v>464</v>
      </c>
      <c r="C43" s="29" t="s">
        <v>7041</v>
      </c>
      <c r="D43" s="30">
        <v>45658.0</v>
      </c>
      <c r="E43" s="30">
        <v>46022.0</v>
      </c>
      <c r="F43" s="31">
        <v>0.0</v>
      </c>
      <c r="G43" s="31">
        <v>1.0</v>
      </c>
      <c r="H43" s="32" t="s">
        <v>7043</v>
      </c>
      <c r="I43" s="30">
        <v>46023.0</v>
      </c>
      <c r="J43" s="30">
        <v>46387.0</v>
      </c>
      <c r="K43" s="31">
        <v>0.0</v>
      </c>
      <c r="L43" s="31">
        <v>1.0</v>
      </c>
      <c r="M43" s="32" t="s">
        <v>7043</v>
      </c>
      <c r="N43" s="30">
        <v>46388.0</v>
      </c>
      <c r="O43" s="30">
        <v>46752.0</v>
      </c>
      <c r="P43" s="31">
        <v>0.0</v>
      </c>
      <c r="Q43" s="31">
        <v>1.0</v>
      </c>
      <c r="R43" s="32" t="s">
        <v>7043</v>
      </c>
      <c r="S43" s="30">
        <v>46753.0</v>
      </c>
      <c r="T43" s="30">
        <v>47118.0</v>
      </c>
      <c r="U43" s="31">
        <v>0.0</v>
      </c>
      <c r="V43" s="31">
        <v>1.0</v>
      </c>
      <c r="W43" s="32" t="s">
        <v>7043</v>
      </c>
      <c r="X43" s="30">
        <v>47119.0</v>
      </c>
      <c r="Y43" s="30">
        <v>47483.0</v>
      </c>
      <c r="Z43" s="31">
        <v>0.0</v>
      </c>
      <c r="AA43" s="31">
        <v>1.0</v>
      </c>
      <c r="AB43" s="32" t="s">
        <v>7043</v>
      </c>
      <c r="AC43" s="30">
        <v>47484.0</v>
      </c>
      <c r="AD43" s="30">
        <v>47848.0</v>
      </c>
      <c r="AE43" s="31">
        <v>0.0</v>
      </c>
      <c r="AF43" s="31">
        <v>1.0</v>
      </c>
      <c r="AG43" s="32" t="s">
        <v>7043</v>
      </c>
    </row>
    <row r="44" ht="14.25" customHeight="1">
      <c r="A44" s="28" t="s">
        <v>4326</v>
      </c>
      <c r="B44" s="29" t="s">
        <v>4327</v>
      </c>
      <c r="C44" s="29" t="s">
        <v>7041</v>
      </c>
      <c r="D44" s="30">
        <v>45658.0</v>
      </c>
      <c r="E44" s="30">
        <v>46022.0</v>
      </c>
      <c r="F44" s="31">
        <v>0.0</v>
      </c>
      <c r="G44" s="31">
        <v>1.0</v>
      </c>
      <c r="H44" s="32" t="s">
        <v>7043</v>
      </c>
      <c r="I44" s="30">
        <v>46023.0</v>
      </c>
      <c r="J44" s="30">
        <v>46387.0</v>
      </c>
      <c r="K44" s="31">
        <v>0.0</v>
      </c>
      <c r="L44" s="31">
        <v>1.0</v>
      </c>
      <c r="M44" s="32" t="s">
        <v>7043</v>
      </c>
      <c r="N44" s="30">
        <v>46388.0</v>
      </c>
      <c r="O44" s="30">
        <v>46752.0</v>
      </c>
      <c r="P44" s="31">
        <v>0.0</v>
      </c>
      <c r="Q44" s="31">
        <v>1.0</v>
      </c>
      <c r="R44" s="32" t="s">
        <v>7043</v>
      </c>
      <c r="S44" s="30">
        <v>46753.0</v>
      </c>
      <c r="T44" s="30">
        <v>47118.0</v>
      </c>
      <c r="U44" s="31">
        <v>0.0</v>
      </c>
      <c r="V44" s="31">
        <v>1.0</v>
      </c>
      <c r="W44" s="32" t="s">
        <v>7043</v>
      </c>
      <c r="X44" s="30">
        <v>47119.0</v>
      </c>
      <c r="Y44" s="30">
        <v>47483.0</v>
      </c>
      <c r="Z44" s="31">
        <v>0.0</v>
      </c>
      <c r="AA44" s="31">
        <v>1.0</v>
      </c>
      <c r="AB44" s="32" t="s">
        <v>7043</v>
      </c>
      <c r="AC44" s="30">
        <v>47484.0</v>
      </c>
      <c r="AD44" s="30">
        <v>47848.0</v>
      </c>
      <c r="AE44" s="31">
        <v>0.0</v>
      </c>
      <c r="AF44" s="31">
        <v>1.0</v>
      </c>
      <c r="AG44" s="32" t="s">
        <v>7043</v>
      </c>
    </row>
    <row r="45" ht="14.25" customHeight="1">
      <c r="A45" s="28" t="s">
        <v>2853</v>
      </c>
      <c r="B45" s="29" t="s">
        <v>2854</v>
      </c>
      <c r="C45" s="29" t="s">
        <v>7041</v>
      </c>
      <c r="D45" s="30">
        <v>45658.0</v>
      </c>
      <c r="E45" s="30">
        <v>46022.0</v>
      </c>
      <c r="F45" s="31">
        <v>0.0</v>
      </c>
      <c r="G45" s="31">
        <v>1.0</v>
      </c>
      <c r="H45" s="32" t="s">
        <v>7043</v>
      </c>
      <c r="I45" s="30">
        <v>46023.0</v>
      </c>
      <c r="J45" s="30">
        <v>46387.0</v>
      </c>
      <c r="K45" s="31">
        <v>0.0</v>
      </c>
      <c r="L45" s="31">
        <v>1.0</v>
      </c>
      <c r="M45" s="32" t="s">
        <v>7043</v>
      </c>
      <c r="N45" s="30">
        <v>46388.0</v>
      </c>
      <c r="O45" s="30">
        <v>46752.0</v>
      </c>
      <c r="P45" s="31">
        <v>0.0</v>
      </c>
      <c r="Q45" s="31">
        <v>1.0</v>
      </c>
      <c r="R45" s="32" t="s">
        <v>7043</v>
      </c>
      <c r="S45" s="30">
        <v>46753.0</v>
      </c>
      <c r="T45" s="30">
        <v>47118.0</v>
      </c>
      <c r="U45" s="31">
        <v>0.0</v>
      </c>
      <c r="V45" s="31">
        <v>1.0</v>
      </c>
      <c r="W45" s="32" t="s">
        <v>7043</v>
      </c>
      <c r="X45" s="30">
        <v>47119.0</v>
      </c>
      <c r="Y45" s="30">
        <v>47483.0</v>
      </c>
      <c r="Z45" s="31">
        <v>0.0</v>
      </c>
      <c r="AA45" s="31">
        <v>1.0</v>
      </c>
      <c r="AB45" s="32" t="s">
        <v>7043</v>
      </c>
      <c r="AC45" s="30">
        <v>47484.0</v>
      </c>
      <c r="AD45" s="30">
        <v>47848.0</v>
      </c>
      <c r="AE45" s="31">
        <v>0.0</v>
      </c>
      <c r="AF45" s="31">
        <v>1.0</v>
      </c>
      <c r="AG45" s="32" t="s">
        <v>7043</v>
      </c>
    </row>
    <row r="46" ht="14.25" customHeight="1">
      <c r="A46" s="28" t="s">
        <v>2092</v>
      </c>
      <c r="B46" s="29" t="s">
        <v>2093</v>
      </c>
      <c r="C46" s="29" t="s">
        <v>7041</v>
      </c>
      <c r="D46" s="30">
        <v>45658.0</v>
      </c>
      <c r="E46" s="30">
        <v>46022.0</v>
      </c>
      <c r="F46" s="31">
        <v>0.0</v>
      </c>
      <c r="G46" s="31">
        <v>1.0</v>
      </c>
      <c r="H46" s="32" t="s">
        <v>7043</v>
      </c>
      <c r="I46" s="30">
        <v>46023.0</v>
      </c>
      <c r="J46" s="30">
        <v>46387.0</v>
      </c>
      <c r="K46" s="31">
        <v>0.0</v>
      </c>
      <c r="L46" s="31">
        <v>1.0</v>
      </c>
      <c r="M46" s="32" t="s">
        <v>7043</v>
      </c>
      <c r="N46" s="30">
        <v>46388.0</v>
      </c>
      <c r="O46" s="30">
        <v>46752.0</v>
      </c>
      <c r="P46" s="31">
        <v>0.0</v>
      </c>
      <c r="Q46" s="31">
        <v>1.0</v>
      </c>
      <c r="R46" s="32" t="s">
        <v>7043</v>
      </c>
      <c r="S46" s="30">
        <v>46753.0</v>
      </c>
      <c r="T46" s="30">
        <v>47118.0</v>
      </c>
      <c r="U46" s="31">
        <v>0.0</v>
      </c>
      <c r="V46" s="31">
        <v>1.0</v>
      </c>
      <c r="W46" s="32" t="s">
        <v>7043</v>
      </c>
      <c r="X46" s="30">
        <v>47119.0</v>
      </c>
      <c r="Y46" s="30">
        <v>47483.0</v>
      </c>
      <c r="Z46" s="31">
        <v>0.0</v>
      </c>
      <c r="AA46" s="31">
        <v>1.0</v>
      </c>
      <c r="AB46" s="32" t="s">
        <v>7043</v>
      </c>
      <c r="AC46" s="30">
        <v>47484.0</v>
      </c>
      <c r="AD46" s="30">
        <v>47848.0</v>
      </c>
      <c r="AE46" s="31">
        <v>0.0</v>
      </c>
      <c r="AF46" s="31">
        <v>1.0</v>
      </c>
      <c r="AG46" s="32" t="s">
        <v>7043</v>
      </c>
    </row>
    <row r="47" ht="14.25" customHeight="1">
      <c r="A47" s="28" t="s">
        <v>6898</v>
      </c>
      <c r="B47" s="29" t="s">
        <v>6899</v>
      </c>
      <c r="C47" s="29" t="s">
        <v>7041</v>
      </c>
      <c r="D47" s="30">
        <v>45658.0</v>
      </c>
      <c r="E47" s="30">
        <v>46022.0</v>
      </c>
      <c r="F47" s="31">
        <v>0.0</v>
      </c>
      <c r="G47" s="31">
        <v>1.0</v>
      </c>
      <c r="H47" s="32" t="s">
        <v>7043</v>
      </c>
      <c r="I47" s="30">
        <v>46023.0</v>
      </c>
      <c r="J47" s="30">
        <v>46387.0</v>
      </c>
      <c r="K47" s="31">
        <v>0.0</v>
      </c>
      <c r="L47" s="31">
        <v>1.0</v>
      </c>
      <c r="M47" s="32" t="s">
        <v>7043</v>
      </c>
      <c r="N47" s="30">
        <v>46388.0</v>
      </c>
      <c r="O47" s="30">
        <v>46752.0</v>
      </c>
      <c r="P47" s="31">
        <v>0.0</v>
      </c>
      <c r="Q47" s="31">
        <v>1.0</v>
      </c>
      <c r="R47" s="32" t="s">
        <v>7043</v>
      </c>
      <c r="S47" s="30">
        <v>46753.0</v>
      </c>
      <c r="T47" s="30">
        <v>47118.0</v>
      </c>
      <c r="U47" s="31">
        <v>0.0</v>
      </c>
      <c r="V47" s="31">
        <v>1.0</v>
      </c>
      <c r="W47" s="32" t="s">
        <v>7043</v>
      </c>
      <c r="X47" s="30">
        <v>47119.0</v>
      </c>
      <c r="Y47" s="30">
        <v>47483.0</v>
      </c>
      <c r="Z47" s="31">
        <v>0.0</v>
      </c>
      <c r="AA47" s="31">
        <v>1.0</v>
      </c>
      <c r="AB47" s="32" t="s">
        <v>7043</v>
      </c>
      <c r="AC47" s="30">
        <v>47484.0</v>
      </c>
      <c r="AD47" s="30">
        <v>47848.0</v>
      </c>
      <c r="AE47" s="31">
        <v>0.0</v>
      </c>
      <c r="AF47" s="31">
        <v>1.0</v>
      </c>
      <c r="AG47" s="32" t="s">
        <v>7043</v>
      </c>
    </row>
    <row r="48" ht="14.25" customHeight="1">
      <c r="A48" s="28" t="s">
        <v>4448</v>
      </c>
      <c r="B48" s="29" t="s">
        <v>4449</v>
      </c>
      <c r="C48" s="29" t="s">
        <v>7041</v>
      </c>
      <c r="D48" s="30">
        <v>45658.0</v>
      </c>
      <c r="E48" s="30">
        <v>46022.0</v>
      </c>
      <c r="F48" s="31">
        <v>0.0</v>
      </c>
      <c r="G48" s="31">
        <v>1.0</v>
      </c>
      <c r="H48" s="32" t="s">
        <v>7043</v>
      </c>
      <c r="I48" s="30">
        <v>46023.0</v>
      </c>
      <c r="J48" s="30">
        <v>46387.0</v>
      </c>
      <c r="K48" s="31">
        <v>0.0</v>
      </c>
      <c r="L48" s="31">
        <v>1.0</v>
      </c>
      <c r="M48" s="32" t="s">
        <v>7043</v>
      </c>
      <c r="N48" s="30">
        <v>46388.0</v>
      </c>
      <c r="O48" s="30">
        <v>46752.0</v>
      </c>
      <c r="P48" s="31">
        <v>0.0</v>
      </c>
      <c r="Q48" s="31">
        <v>1.0</v>
      </c>
      <c r="R48" s="32" t="s">
        <v>7043</v>
      </c>
      <c r="S48" s="30">
        <v>46753.0</v>
      </c>
      <c r="T48" s="30">
        <v>47118.0</v>
      </c>
      <c r="U48" s="31">
        <v>0.0</v>
      </c>
      <c r="V48" s="31">
        <v>1.0</v>
      </c>
      <c r="W48" s="32" t="s">
        <v>7043</v>
      </c>
      <c r="X48" s="30">
        <v>47119.0</v>
      </c>
      <c r="Y48" s="30">
        <v>47483.0</v>
      </c>
      <c r="Z48" s="31">
        <v>0.0</v>
      </c>
      <c r="AA48" s="31">
        <v>1.0</v>
      </c>
      <c r="AB48" s="32" t="s">
        <v>7043</v>
      </c>
      <c r="AC48" s="30">
        <v>47484.0</v>
      </c>
      <c r="AD48" s="30">
        <v>47848.0</v>
      </c>
      <c r="AE48" s="31">
        <v>0.0</v>
      </c>
      <c r="AF48" s="31">
        <v>1.0</v>
      </c>
      <c r="AG48" s="32" t="s">
        <v>7043</v>
      </c>
    </row>
    <row r="49" ht="14.25" customHeight="1">
      <c r="A49" s="28" t="s">
        <v>1156</v>
      </c>
      <c r="B49" s="29" t="s">
        <v>1157</v>
      </c>
      <c r="C49" s="29" t="s">
        <v>7041</v>
      </c>
      <c r="D49" s="30">
        <v>45658.0</v>
      </c>
      <c r="E49" s="30">
        <v>46022.0</v>
      </c>
      <c r="F49" s="31">
        <v>0.0</v>
      </c>
      <c r="G49" s="31">
        <v>1.0</v>
      </c>
      <c r="H49" s="32" t="s">
        <v>7043</v>
      </c>
      <c r="I49" s="30">
        <v>46023.0</v>
      </c>
      <c r="J49" s="30">
        <v>46387.0</v>
      </c>
      <c r="K49" s="31">
        <v>0.0</v>
      </c>
      <c r="L49" s="31">
        <v>1.0</v>
      </c>
      <c r="M49" s="32" t="s">
        <v>7043</v>
      </c>
      <c r="N49" s="30">
        <v>46388.0</v>
      </c>
      <c r="O49" s="30">
        <v>46752.0</v>
      </c>
      <c r="P49" s="31">
        <v>0.0</v>
      </c>
      <c r="Q49" s="31">
        <v>1.0</v>
      </c>
      <c r="R49" s="32" t="s">
        <v>7043</v>
      </c>
      <c r="S49" s="30">
        <v>46753.0</v>
      </c>
      <c r="T49" s="30">
        <v>47118.0</v>
      </c>
      <c r="U49" s="31">
        <v>0.0</v>
      </c>
      <c r="V49" s="31">
        <v>1.0</v>
      </c>
      <c r="W49" s="32" t="s">
        <v>7043</v>
      </c>
      <c r="X49" s="30">
        <v>47119.0</v>
      </c>
      <c r="Y49" s="30">
        <v>47483.0</v>
      </c>
      <c r="Z49" s="31">
        <v>0.0</v>
      </c>
      <c r="AA49" s="31">
        <v>1.0</v>
      </c>
      <c r="AB49" s="32" t="s">
        <v>7043</v>
      </c>
      <c r="AC49" s="30">
        <v>47484.0</v>
      </c>
      <c r="AD49" s="30">
        <v>47848.0</v>
      </c>
      <c r="AE49" s="31">
        <v>0.0</v>
      </c>
      <c r="AF49" s="31">
        <v>1.0</v>
      </c>
      <c r="AG49" s="32" t="s">
        <v>7043</v>
      </c>
    </row>
    <row r="50" ht="14.25" customHeight="1">
      <c r="A50" s="28" t="s">
        <v>1267</v>
      </c>
      <c r="B50" s="29" t="s">
        <v>1268</v>
      </c>
      <c r="C50" s="29" t="s">
        <v>7041</v>
      </c>
      <c r="D50" s="30">
        <v>45658.0</v>
      </c>
      <c r="E50" s="30">
        <v>46022.0</v>
      </c>
      <c r="F50" s="31">
        <v>1.0</v>
      </c>
      <c r="G50" s="31">
        <v>1.0</v>
      </c>
      <c r="H50" s="32" t="s">
        <v>7042</v>
      </c>
      <c r="I50" s="30">
        <v>46023.0</v>
      </c>
      <c r="J50" s="30">
        <v>46387.0</v>
      </c>
      <c r="K50" s="31">
        <v>0.0</v>
      </c>
      <c r="L50" s="31">
        <v>1.0</v>
      </c>
      <c r="M50" s="32" t="s">
        <v>7043</v>
      </c>
      <c r="N50" s="30">
        <v>46388.0</v>
      </c>
      <c r="O50" s="30">
        <v>46752.0</v>
      </c>
      <c r="P50" s="31">
        <v>0.0</v>
      </c>
      <c r="Q50" s="31">
        <v>1.0</v>
      </c>
      <c r="R50" s="32" t="s">
        <v>7043</v>
      </c>
      <c r="S50" s="30">
        <v>46753.0</v>
      </c>
      <c r="T50" s="30">
        <v>47118.0</v>
      </c>
      <c r="U50" s="31">
        <v>0.0</v>
      </c>
      <c r="V50" s="31">
        <v>1.0</v>
      </c>
      <c r="W50" s="32" t="s">
        <v>7043</v>
      </c>
      <c r="X50" s="30">
        <v>47119.0</v>
      </c>
      <c r="Y50" s="30">
        <v>47483.0</v>
      </c>
      <c r="Z50" s="31">
        <v>0.0</v>
      </c>
      <c r="AA50" s="31">
        <v>1.0</v>
      </c>
      <c r="AB50" s="32" t="s">
        <v>7043</v>
      </c>
      <c r="AC50" s="30">
        <v>47484.0</v>
      </c>
      <c r="AD50" s="30">
        <v>47848.0</v>
      </c>
      <c r="AE50" s="31">
        <v>0.0</v>
      </c>
      <c r="AF50" s="31">
        <v>1.0</v>
      </c>
      <c r="AG50" s="32" t="s">
        <v>7043</v>
      </c>
    </row>
    <row r="51" ht="14.25" customHeight="1">
      <c r="A51" s="28" t="s">
        <v>5825</v>
      </c>
      <c r="B51" s="29" t="s">
        <v>5826</v>
      </c>
      <c r="C51" s="29" t="s">
        <v>7041</v>
      </c>
      <c r="D51" s="30">
        <v>45658.0</v>
      </c>
      <c r="E51" s="30">
        <v>46022.0</v>
      </c>
      <c r="F51" s="31">
        <v>0.0</v>
      </c>
      <c r="G51" s="31">
        <v>1.0</v>
      </c>
      <c r="H51" s="32" t="s">
        <v>7043</v>
      </c>
      <c r="I51" s="30">
        <v>46023.0</v>
      </c>
      <c r="J51" s="30">
        <v>46387.0</v>
      </c>
      <c r="K51" s="31">
        <v>0.0</v>
      </c>
      <c r="L51" s="31">
        <v>1.0</v>
      </c>
      <c r="M51" s="32" t="s">
        <v>7043</v>
      </c>
      <c r="N51" s="30">
        <v>46388.0</v>
      </c>
      <c r="O51" s="30">
        <v>46752.0</v>
      </c>
      <c r="P51" s="31">
        <v>0.0</v>
      </c>
      <c r="Q51" s="31">
        <v>1.0</v>
      </c>
      <c r="R51" s="32" t="s">
        <v>7043</v>
      </c>
      <c r="S51" s="30">
        <v>46753.0</v>
      </c>
      <c r="T51" s="30">
        <v>47118.0</v>
      </c>
      <c r="U51" s="31">
        <v>0.0</v>
      </c>
      <c r="V51" s="31">
        <v>1.0</v>
      </c>
      <c r="W51" s="32" t="s">
        <v>7043</v>
      </c>
      <c r="X51" s="30">
        <v>47119.0</v>
      </c>
      <c r="Y51" s="30">
        <v>47483.0</v>
      </c>
      <c r="Z51" s="31">
        <v>0.0</v>
      </c>
      <c r="AA51" s="31">
        <v>1.0</v>
      </c>
      <c r="AB51" s="32" t="s">
        <v>7043</v>
      </c>
      <c r="AC51" s="30">
        <v>47484.0</v>
      </c>
      <c r="AD51" s="30">
        <v>47848.0</v>
      </c>
      <c r="AE51" s="31">
        <v>0.0</v>
      </c>
      <c r="AF51" s="31">
        <v>1.0</v>
      </c>
      <c r="AG51" s="32" t="s">
        <v>7043</v>
      </c>
    </row>
    <row r="52" ht="14.25" customHeight="1">
      <c r="A52" s="28" t="s">
        <v>1561</v>
      </c>
      <c r="B52" s="29" t="s">
        <v>1562</v>
      </c>
      <c r="C52" s="29" t="s">
        <v>7041</v>
      </c>
      <c r="D52" s="30">
        <v>45658.0</v>
      </c>
      <c r="E52" s="30">
        <v>46022.0</v>
      </c>
      <c r="F52" s="31">
        <v>0.0</v>
      </c>
      <c r="G52" s="31">
        <v>1.0</v>
      </c>
      <c r="H52" s="32" t="s">
        <v>7043</v>
      </c>
      <c r="I52" s="30">
        <v>46023.0</v>
      </c>
      <c r="J52" s="30">
        <v>46387.0</v>
      </c>
      <c r="K52" s="31">
        <v>0.0</v>
      </c>
      <c r="L52" s="31">
        <v>1.0</v>
      </c>
      <c r="M52" s="32" t="s">
        <v>7043</v>
      </c>
      <c r="N52" s="30">
        <v>46388.0</v>
      </c>
      <c r="O52" s="30">
        <v>46752.0</v>
      </c>
      <c r="P52" s="31">
        <v>0.0</v>
      </c>
      <c r="Q52" s="31">
        <v>1.0</v>
      </c>
      <c r="R52" s="32" t="s">
        <v>7043</v>
      </c>
      <c r="S52" s="30">
        <v>46753.0</v>
      </c>
      <c r="T52" s="30">
        <v>47118.0</v>
      </c>
      <c r="U52" s="31">
        <v>0.0</v>
      </c>
      <c r="V52" s="31">
        <v>1.0</v>
      </c>
      <c r="W52" s="32" t="s">
        <v>7043</v>
      </c>
      <c r="X52" s="30">
        <v>47119.0</v>
      </c>
      <c r="Y52" s="30">
        <v>47483.0</v>
      </c>
      <c r="Z52" s="31">
        <v>0.0</v>
      </c>
      <c r="AA52" s="31">
        <v>1.0</v>
      </c>
      <c r="AB52" s="32" t="s">
        <v>7043</v>
      </c>
      <c r="AC52" s="30">
        <v>47484.0</v>
      </c>
      <c r="AD52" s="30">
        <v>47848.0</v>
      </c>
      <c r="AE52" s="31">
        <v>0.0</v>
      </c>
      <c r="AF52" s="31">
        <v>1.0</v>
      </c>
      <c r="AG52" s="32" t="s">
        <v>7043</v>
      </c>
    </row>
    <row r="53" ht="14.25" customHeight="1">
      <c r="A53" s="28" t="s">
        <v>5036</v>
      </c>
      <c r="B53" s="29" t="s">
        <v>5037</v>
      </c>
      <c r="C53" s="29" t="s">
        <v>7041</v>
      </c>
      <c r="D53" s="30">
        <v>45658.0</v>
      </c>
      <c r="E53" s="30">
        <v>46022.0</v>
      </c>
      <c r="F53" s="31">
        <v>0.0</v>
      </c>
      <c r="G53" s="31">
        <v>1.0</v>
      </c>
      <c r="H53" s="32" t="s">
        <v>7043</v>
      </c>
      <c r="I53" s="30">
        <v>46023.0</v>
      </c>
      <c r="J53" s="30">
        <v>46387.0</v>
      </c>
      <c r="K53" s="31">
        <v>0.0</v>
      </c>
      <c r="L53" s="31">
        <v>1.0</v>
      </c>
      <c r="M53" s="32" t="s">
        <v>7043</v>
      </c>
      <c r="N53" s="30">
        <v>46388.0</v>
      </c>
      <c r="O53" s="30">
        <v>46752.0</v>
      </c>
      <c r="P53" s="31">
        <v>0.0</v>
      </c>
      <c r="Q53" s="31">
        <v>1.0</v>
      </c>
      <c r="R53" s="32" t="s">
        <v>7043</v>
      </c>
      <c r="S53" s="30">
        <v>46753.0</v>
      </c>
      <c r="T53" s="30">
        <v>47118.0</v>
      </c>
      <c r="U53" s="31">
        <v>0.0</v>
      </c>
      <c r="V53" s="31">
        <v>1.0</v>
      </c>
      <c r="W53" s="32" t="s">
        <v>7043</v>
      </c>
      <c r="X53" s="30">
        <v>47119.0</v>
      </c>
      <c r="Y53" s="30">
        <v>47483.0</v>
      </c>
      <c r="Z53" s="31">
        <v>0.0</v>
      </c>
      <c r="AA53" s="31">
        <v>1.0</v>
      </c>
      <c r="AB53" s="32" t="s">
        <v>7043</v>
      </c>
      <c r="AC53" s="30">
        <v>47484.0</v>
      </c>
      <c r="AD53" s="30">
        <v>47848.0</v>
      </c>
      <c r="AE53" s="31">
        <v>0.0</v>
      </c>
      <c r="AF53" s="31">
        <v>1.0</v>
      </c>
      <c r="AG53" s="32" t="s">
        <v>7043</v>
      </c>
    </row>
    <row r="54" ht="14.25" customHeight="1">
      <c r="A54" s="28" t="s">
        <v>4958</v>
      </c>
      <c r="B54" s="29" t="s">
        <v>4959</v>
      </c>
      <c r="C54" s="29" t="s">
        <v>7041</v>
      </c>
      <c r="D54" s="30">
        <v>45658.0</v>
      </c>
      <c r="E54" s="30">
        <v>46022.0</v>
      </c>
      <c r="F54" s="31">
        <v>0.0</v>
      </c>
      <c r="G54" s="31">
        <v>1.0</v>
      </c>
      <c r="H54" s="32" t="s">
        <v>7043</v>
      </c>
      <c r="I54" s="30">
        <v>46023.0</v>
      </c>
      <c r="J54" s="30">
        <v>46387.0</v>
      </c>
      <c r="K54" s="31">
        <v>0.0</v>
      </c>
      <c r="L54" s="31">
        <v>1.0</v>
      </c>
      <c r="M54" s="32" t="s">
        <v>7043</v>
      </c>
      <c r="N54" s="30">
        <v>46388.0</v>
      </c>
      <c r="O54" s="30">
        <v>46752.0</v>
      </c>
      <c r="P54" s="31">
        <v>0.0</v>
      </c>
      <c r="Q54" s="31">
        <v>1.0</v>
      </c>
      <c r="R54" s="32" t="s">
        <v>7043</v>
      </c>
      <c r="S54" s="30">
        <v>46753.0</v>
      </c>
      <c r="T54" s="30">
        <v>47118.0</v>
      </c>
      <c r="U54" s="31">
        <v>0.0</v>
      </c>
      <c r="V54" s="31">
        <v>1.0</v>
      </c>
      <c r="W54" s="32" t="s">
        <v>7043</v>
      </c>
      <c r="X54" s="30">
        <v>47119.0</v>
      </c>
      <c r="Y54" s="30">
        <v>47483.0</v>
      </c>
      <c r="Z54" s="31">
        <v>0.0</v>
      </c>
      <c r="AA54" s="31">
        <v>1.0</v>
      </c>
      <c r="AB54" s="32" t="s">
        <v>7043</v>
      </c>
      <c r="AC54" s="30">
        <v>47484.0</v>
      </c>
      <c r="AD54" s="30">
        <v>47848.0</v>
      </c>
      <c r="AE54" s="31">
        <v>0.0</v>
      </c>
      <c r="AF54" s="31">
        <v>1.0</v>
      </c>
      <c r="AG54" s="32" t="s">
        <v>7043</v>
      </c>
    </row>
    <row r="55" ht="14.25" customHeight="1">
      <c r="A55" s="28" t="s">
        <v>1457</v>
      </c>
      <c r="B55" s="29" t="s">
        <v>1458</v>
      </c>
      <c r="C55" s="29" t="s">
        <v>7041</v>
      </c>
      <c r="D55" s="30">
        <v>45658.0</v>
      </c>
      <c r="E55" s="30">
        <v>46022.0</v>
      </c>
      <c r="F55" s="31">
        <v>0.0</v>
      </c>
      <c r="G55" s="31">
        <v>1.0</v>
      </c>
      <c r="H55" s="32" t="s">
        <v>7043</v>
      </c>
      <c r="I55" s="30">
        <v>46023.0</v>
      </c>
      <c r="J55" s="30">
        <v>46387.0</v>
      </c>
      <c r="K55" s="31">
        <v>0.0</v>
      </c>
      <c r="L55" s="31">
        <v>1.0</v>
      </c>
      <c r="M55" s="32" t="s">
        <v>7043</v>
      </c>
      <c r="N55" s="30">
        <v>46388.0</v>
      </c>
      <c r="O55" s="30">
        <v>46752.0</v>
      </c>
      <c r="P55" s="31">
        <v>0.0</v>
      </c>
      <c r="Q55" s="31">
        <v>1.0</v>
      </c>
      <c r="R55" s="32" t="s">
        <v>7043</v>
      </c>
      <c r="S55" s="30">
        <v>46753.0</v>
      </c>
      <c r="T55" s="30">
        <v>47118.0</v>
      </c>
      <c r="U55" s="31">
        <v>0.0</v>
      </c>
      <c r="V55" s="31">
        <v>1.0</v>
      </c>
      <c r="W55" s="32" t="s">
        <v>7043</v>
      </c>
      <c r="X55" s="30">
        <v>47119.0</v>
      </c>
      <c r="Y55" s="30">
        <v>47483.0</v>
      </c>
      <c r="Z55" s="31">
        <v>0.0</v>
      </c>
      <c r="AA55" s="31">
        <v>1.0</v>
      </c>
      <c r="AB55" s="32" t="s">
        <v>7043</v>
      </c>
      <c r="AC55" s="30">
        <v>47484.0</v>
      </c>
      <c r="AD55" s="30">
        <v>47848.0</v>
      </c>
      <c r="AE55" s="31">
        <v>0.0</v>
      </c>
      <c r="AF55" s="31">
        <v>1.0</v>
      </c>
      <c r="AG55" s="32" t="s">
        <v>7043</v>
      </c>
    </row>
    <row r="56" ht="14.25" customHeight="1">
      <c r="A56" s="28" t="s">
        <v>604</v>
      </c>
      <c r="B56" s="29" t="s">
        <v>605</v>
      </c>
      <c r="C56" s="29" t="s">
        <v>7041</v>
      </c>
      <c r="D56" s="30">
        <v>45658.0</v>
      </c>
      <c r="E56" s="30">
        <v>46022.0</v>
      </c>
      <c r="F56" s="31">
        <v>0.0</v>
      </c>
      <c r="G56" s="31">
        <v>1.0</v>
      </c>
      <c r="H56" s="32" t="s">
        <v>7043</v>
      </c>
      <c r="I56" s="30">
        <v>46023.0</v>
      </c>
      <c r="J56" s="30">
        <v>46387.0</v>
      </c>
      <c r="K56" s="31">
        <v>0.0</v>
      </c>
      <c r="L56" s="31">
        <v>1.0</v>
      </c>
      <c r="M56" s="32" t="s">
        <v>7043</v>
      </c>
      <c r="N56" s="30">
        <v>46388.0</v>
      </c>
      <c r="O56" s="30">
        <v>46752.0</v>
      </c>
      <c r="P56" s="31">
        <v>0.0</v>
      </c>
      <c r="Q56" s="31">
        <v>1.0</v>
      </c>
      <c r="R56" s="32" t="s">
        <v>7043</v>
      </c>
      <c r="S56" s="30">
        <v>46753.0</v>
      </c>
      <c r="T56" s="30">
        <v>47118.0</v>
      </c>
      <c r="U56" s="31">
        <v>0.0</v>
      </c>
      <c r="V56" s="31">
        <v>1.0</v>
      </c>
      <c r="W56" s="32" t="s">
        <v>7043</v>
      </c>
      <c r="X56" s="30">
        <v>47119.0</v>
      </c>
      <c r="Y56" s="30">
        <v>47483.0</v>
      </c>
      <c r="Z56" s="31">
        <v>0.0</v>
      </c>
      <c r="AA56" s="31">
        <v>1.0</v>
      </c>
      <c r="AB56" s="32" t="s">
        <v>7043</v>
      </c>
      <c r="AC56" s="30">
        <v>47484.0</v>
      </c>
      <c r="AD56" s="30">
        <v>47848.0</v>
      </c>
      <c r="AE56" s="31">
        <v>0.0</v>
      </c>
      <c r="AF56" s="31">
        <v>1.0</v>
      </c>
      <c r="AG56" s="32" t="s">
        <v>7043</v>
      </c>
    </row>
    <row r="57" ht="14.25" customHeight="1">
      <c r="A57" s="28" t="s">
        <v>5024</v>
      </c>
      <c r="B57" s="29" t="s">
        <v>5025</v>
      </c>
      <c r="C57" s="29" t="s">
        <v>7041</v>
      </c>
      <c r="D57" s="30">
        <v>45658.0</v>
      </c>
      <c r="E57" s="30">
        <v>46022.0</v>
      </c>
      <c r="F57" s="31">
        <v>0.0</v>
      </c>
      <c r="G57" s="31">
        <v>1.0</v>
      </c>
      <c r="H57" s="32" t="s">
        <v>7043</v>
      </c>
      <c r="I57" s="30">
        <v>46023.0</v>
      </c>
      <c r="J57" s="30">
        <v>46387.0</v>
      </c>
      <c r="K57" s="31">
        <v>0.0</v>
      </c>
      <c r="L57" s="31">
        <v>1.0</v>
      </c>
      <c r="M57" s="32" t="s">
        <v>7043</v>
      </c>
      <c r="N57" s="30">
        <v>46388.0</v>
      </c>
      <c r="O57" s="30">
        <v>46752.0</v>
      </c>
      <c r="P57" s="31">
        <v>0.0</v>
      </c>
      <c r="Q57" s="31">
        <v>1.0</v>
      </c>
      <c r="R57" s="32" t="s">
        <v>7043</v>
      </c>
      <c r="S57" s="30">
        <v>46753.0</v>
      </c>
      <c r="T57" s="30">
        <v>47118.0</v>
      </c>
      <c r="U57" s="31">
        <v>0.0</v>
      </c>
      <c r="V57" s="31">
        <v>1.0</v>
      </c>
      <c r="W57" s="32" t="s">
        <v>7043</v>
      </c>
      <c r="X57" s="30">
        <v>47119.0</v>
      </c>
      <c r="Y57" s="30">
        <v>47483.0</v>
      </c>
      <c r="Z57" s="31">
        <v>0.0</v>
      </c>
      <c r="AA57" s="31">
        <v>1.0</v>
      </c>
      <c r="AB57" s="32" t="s">
        <v>7043</v>
      </c>
      <c r="AC57" s="30">
        <v>47484.0</v>
      </c>
      <c r="AD57" s="30">
        <v>47848.0</v>
      </c>
      <c r="AE57" s="31">
        <v>0.0</v>
      </c>
      <c r="AF57" s="31">
        <v>1.0</v>
      </c>
      <c r="AG57" s="32" t="s">
        <v>7043</v>
      </c>
    </row>
    <row r="58" ht="14.25" customHeight="1">
      <c r="A58" s="28" t="s">
        <v>5129</v>
      </c>
      <c r="B58" s="29" t="s">
        <v>5130</v>
      </c>
      <c r="C58" s="29" t="s">
        <v>7041</v>
      </c>
      <c r="D58" s="30">
        <v>45658.0</v>
      </c>
      <c r="E58" s="30">
        <v>46022.0</v>
      </c>
      <c r="F58" s="31">
        <v>0.0</v>
      </c>
      <c r="G58" s="31">
        <v>1.0</v>
      </c>
      <c r="H58" s="32" t="s">
        <v>7043</v>
      </c>
      <c r="I58" s="30">
        <v>46023.0</v>
      </c>
      <c r="J58" s="30">
        <v>46387.0</v>
      </c>
      <c r="K58" s="31">
        <v>0.0</v>
      </c>
      <c r="L58" s="31">
        <v>1.0</v>
      </c>
      <c r="M58" s="32" t="s">
        <v>7043</v>
      </c>
      <c r="N58" s="30">
        <v>46388.0</v>
      </c>
      <c r="O58" s="30">
        <v>46752.0</v>
      </c>
      <c r="P58" s="31">
        <v>0.0</v>
      </c>
      <c r="Q58" s="31">
        <v>1.0</v>
      </c>
      <c r="R58" s="32" t="s">
        <v>7043</v>
      </c>
      <c r="S58" s="30">
        <v>46753.0</v>
      </c>
      <c r="T58" s="30">
        <v>47118.0</v>
      </c>
      <c r="U58" s="31">
        <v>0.0</v>
      </c>
      <c r="V58" s="31">
        <v>1.0</v>
      </c>
      <c r="W58" s="32" t="s">
        <v>7043</v>
      </c>
      <c r="X58" s="30">
        <v>47119.0</v>
      </c>
      <c r="Y58" s="30">
        <v>47483.0</v>
      </c>
      <c r="Z58" s="31">
        <v>0.0</v>
      </c>
      <c r="AA58" s="31">
        <v>1.0</v>
      </c>
      <c r="AB58" s="32" t="s">
        <v>7043</v>
      </c>
      <c r="AC58" s="30">
        <v>47484.0</v>
      </c>
      <c r="AD58" s="30">
        <v>47848.0</v>
      </c>
      <c r="AE58" s="31">
        <v>0.0</v>
      </c>
      <c r="AF58" s="31">
        <v>1.0</v>
      </c>
      <c r="AG58" s="32" t="s">
        <v>7043</v>
      </c>
    </row>
    <row r="59" ht="14.25" customHeight="1">
      <c r="A59" s="28" t="s">
        <v>4213</v>
      </c>
      <c r="B59" s="29" t="s">
        <v>4214</v>
      </c>
      <c r="C59" s="29" t="s">
        <v>7041</v>
      </c>
      <c r="D59" s="30">
        <v>45658.0</v>
      </c>
      <c r="E59" s="30">
        <v>46022.0</v>
      </c>
      <c r="F59" s="31">
        <v>0.0</v>
      </c>
      <c r="G59" s="31">
        <v>1.0</v>
      </c>
      <c r="H59" s="32" t="s">
        <v>7043</v>
      </c>
      <c r="I59" s="30">
        <v>46023.0</v>
      </c>
      <c r="J59" s="30">
        <v>46387.0</v>
      </c>
      <c r="K59" s="31">
        <v>0.0</v>
      </c>
      <c r="L59" s="31">
        <v>1.0</v>
      </c>
      <c r="M59" s="32" t="s">
        <v>7043</v>
      </c>
      <c r="N59" s="30">
        <v>46388.0</v>
      </c>
      <c r="O59" s="30">
        <v>46752.0</v>
      </c>
      <c r="P59" s="31">
        <v>0.0</v>
      </c>
      <c r="Q59" s="31">
        <v>1.0</v>
      </c>
      <c r="R59" s="32" t="s">
        <v>7043</v>
      </c>
      <c r="S59" s="30">
        <v>46753.0</v>
      </c>
      <c r="T59" s="30">
        <v>47118.0</v>
      </c>
      <c r="U59" s="31">
        <v>0.0</v>
      </c>
      <c r="V59" s="31">
        <v>1.0</v>
      </c>
      <c r="W59" s="32" t="s">
        <v>7043</v>
      </c>
      <c r="X59" s="30">
        <v>47119.0</v>
      </c>
      <c r="Y59" s="30">
        <v>47483.0</v>
      </c>
      <c r="Z59" s="31">
        <v>0.0</v>
      </c>
      <c r="AA59" s="31">
        <v>1.0</v>
      </c>
      <c r="AB59" s="32" t="s">
        <v>7043</v>
      </c>
      <c r="AC59" s="30">
        <v>47484.0</v>
      </c>
      <c r="AD59" s="30">
        <v>47848.0</v>
      </c>
      <c r="AE59" s="31">
        <v>0.0</v>
      </c>
      <c r="AF59" s="31">
        <v>1.0</v>
      </c>
      <c r="AG59" s="32" t="s">
        <v>7043</v>
      </c>
    </row>
    <row r="60" ht="14.25" customHeight="1">
      <c r="A60" s="28" t="s">
        <v>5988</v>
      </c>
      <c r="B60" s="29" t="s">
        <v>5989</v>
      </c>
      <c r="C60" s="29" t="s">
        <v>7041</v>
      </c>
      <c r="D60" s="30">
        <v>45658.0</v>
      </c>
      <c r="E60" s="30">
        <v>46022.0</v>
      </c>
      <c r="F60" s="31">
        <v>0.0</v>
      </c>
      <c r="G60" s="31">
        <v>1.0</v>
      </c>
      <c r="H60" s="32" t="s">
        <v>7043</v>
      </c>
      <c r="I60" s="30">
        <v>46023.0</v>
      </c>
      <c r="J60" s="30">
        <v>46387.0</v>
      </c>
      <c r="K60" s="31">
        <v>0.0</v>
      </c>
      <c r="L60" s="31">
        <v>1.0</v>
      </c>
      <c r="M60" s="32" t="s">
        <v>7043</v>
      </c>
      <c r="N60" s="30">
        <v>46388.0</v>
      </c>
      <c r="O60" s="30">
        <v>46752.0</v>
      </c>
      <c r="P60" s="31">
        <v>0.0</v>
      </c>
      <c r="Q60" s="31">
        <v>1.0</v>
      </c>
      <c r="R60" s="32" t="s">
        <v>7043</v>
      </c>
      <c r="S60" s="30">
        <v>46753.0</v>
      </c>
      <c r="T60" s="30">
        <v>47118.0</v>
      </c>
      <c r="U60" s="31">
        <v>0.0</v>
      </c>
      <c r="V60" s="31">
        <v>1.0</v>
      </c>
      <c r="W60" s="32" t="s">
        <v>7043</v>
      </c>
      <c r="X60" s="30">
        <v>47119.0</v>
      </c>
      <c r="Y60" s="30">
        <v>47483.0</v>
      </c>
      <c r="Z60" s="31">
        <v>0.0</v>
      </c>
      <c r="AA60" s="31">
        <v>1.0</v>
      </c>
      <c r="AB60" s="32" t="s">
        <v>7043</v>
      </c>
      <c r="AC60" s="30">
        <v>47484.0</v>
      </c>
      <c r="AD60" s="30">
        <v>47848.0</v>
      </c>
      <c r="AE60" s="31">
        <v>0.0</v>
      </c>
      <c r="AF60" s="31">
        <v>1.0</v>
      </c>
      <c r="AG60" s="32" t="s">
        <v>7043</v>
      </c>
    </row>
    <row r="61" ht="14.25" customHeight="1">
      <c r="A61" s="28" t="s">
        <v>5757</v>
      </c>
      <c r="B61" s="29" t="s">
        <v>5758</v>
      </c>
      <c r="C61" s="29" t="s">
        <v>7044</v>
      </c>
      <c r="D61" s="30">
        <v>45658.0</v>
      </c>
      <c r="E61" s="30">
        <v>46022.0</v>
      </c>
      <c r="F61" s="31">
        <v>0.0</v>
      </c>
      <c r="G61" s="31">
        <v>1.0</v>
      </c>
      <c r="H61" s="32" t="s">
        <v>7043</v>
      </c>
      <c r="I61" s="30">
        <v>46023.0</v>
      </c>
      <c r="J61" s="30">
        <v>46387.0</v>
      </c>
      <c r="K61" s="31">
        <v>0.0</v>
      </c>
      <c r="L61" s="31">
        <v>1.0</v>
      </c>
      <c r="M61" s="32" t="s">
        <v>7043</v>
      </c>
      <c r="N61" s="30">
        <v>46388.0</v>
      </c>
      <c r="O61" s="30">
        <v>46752.0</v>
      </c>
      <c r="P61" s="31">
        <v>0.0</v>
      </c>
      <c r="Q61" s="31">
        <v>1.0</v>
      </c>
      <c r="R61" s="32" t="s">
        <v>7043</v>
      </c>
      <c r="S61" s="30">
        <v>46753.0</v>
      </c>
      <c r="T61" s="30">
        <v>47118.0</v>
      </c>
      <c r="U61" s="31">
        <v>0.0</v>
      </c>
      <c r="V61" s="31">
        <v>1.0</v>
      </c>
      <c r="W61" s="32" t="s">
        <v>7043</v>
      </c>
      <c r="X61" s="30">
        <v>47119.0</v>
      </c>
      <c r="Y61" s="30">
        <v>47483.0</v>
      </c>
      <c r="Z61" s="31">
        <v>0.0</v>
      </c>
      <c r="AA61" s="31">
        <v>1.0</v>
      </c>
      <c r="AB61" s="32" t="s">
        <v>7043</v>
      </c>
      <c r="AC61" s="30">
        <v>47484.0</v>
      </c>
      <c r="AD61" s="30">
        <v>47848.0</v>
      </c>
      <c r="AE61" s="31">
        <v>0.0</v>
      </c>
      <c r="AF61" s="31">
        <v>1.0</v>
      </c>
      <c r="AG61" s="32" t="s">
        <v>7043</v>
      </c>
    </row>
    <row r="62" ht="14.25" customHeight="1">
      <c r="A62" s="28" t="s">
        <v>3503</v>
      </c>
      <c r="B62" s="29" t="s">
        <v>3504</v>
      </c>
      <c r="C62" s="29" t="s">
        <v>7041</v>
      </c>
      <c r="D62" s="30">
        <v>45658.0</v>
      </c>
      <c r="E62" s="30">
        <v>46022.0</v>
      </c>
      <c r="F62" s="31">
        <v>0.0</v>
      </c>
      <c r="G62" s="31">
        <v>1.0</v>
      </c>
      <c r="H62" s="32" t="s">
        <v>7043</v>
      </c>
      <c r="I62" s="30">
        <v>46023.0</v>
      </c>
      <c r="J62" s="30">
        <v>46387.0</v>
      </c>
      <c r="K62" s="31">
        <v>0.0</v>
      </c>
      <c r="L62" s="31">
        <v>1.0</v>
      </c>
      <c r="M62" s="32" t="s">
        <v>7043</v>
      </c>
      <c r="N62" s="30">
        <v>46388.0</v>
      </c>
      <c r="O62" s="30">
        <v>46752.0</v>
      </c>
      <c r="P62" s="31">
        <v>0.0</v>
      </c>
      <c r="Q62" s="31">
        <v>1.0</v>
      </c>
      <c r="R62" s="32" t="s">
        <v>7043</v>
      </c>
      <c r="S62" s="30">
        <v>46753.0</v>
      </c>
      <c r="T62" s="30">
        <v>47118.0</v>
      </c>
      <c r="U62" s="31">
        <v>0.0</v>
      </c>
      <c r="V62" s="31">
        <v>1.0</v>
      </c>
      <c r="W62" s="32" t="s">
        <v>7043</v>
      </c>
      <c r="X62" s="30">
        <v>47119.0</v>
      </c>
      <c r="Y62" s="30">
        <v>47483.0</v>
      </c>
      <c r="Z62" s="31">
        <v>0.0</v>
      </c>
      <c r="AA62" s="31">
        <v>1.0</v>
      </c>
      <c r="AB62" s="32" t="s">
        <v>7043</v>
      </c>
      <c r="AC62" s="30">
        <v>47484.0</v>
      </c>
      <c r="AD62" s="30">
        <v>47848.0</v>
      </c>
      <c r="AE62" s="31">
        <v>0.0</v>
      </c>
      <c r="AF62" s="31">
        <v>1.0</v>
      </c>
      <c r="AG62" s="32" t="s">
        <v>7043</v>
      </c>
    </row>
    <row r="63" ht="14.25" customHeight="1">
      <c r="A63" s="28" t="s">
        <v>5498</v>
      </c>
      <c r="B63" s="29" t="s">
        <v>5499</v>
      </c>
      <c r="C63" s="29" t="s">
        <v>7041</v>
      </c>
      <c r="D63" s="30">
        <v>45658.0</v>
      </c>
      <c r="E63" s="30">
        <v>46022.0</v>
      </c>
      <c r="F63" s="31">
        <v>0.0</v>
      </c>
      <c r="G63" s="31">
        <v>1.0</v>
      </c>
      <c r="H63" s="32" t="s">
        <v>7043</v>
      </c>
      <c r="I63" s="30">
        <v>46023.0</v>
      </c>
      <c r="J63" s="30">
        <v>46387.0</v>
      </c>
      <c r="K63" s="31">
        <v>0.0</v>
      </c>
      <c r="L63" s="31">
        <v>1.0</v>
      </c>
      <c r="M63" s="32" t="s">
        <v>7043</v>
      </c>
      <c r="N63" s="30">
        <v>46388.0</v>
      </c>
      <c r="O63" s="30">
        <v>46752.0</v>
      </c>
      <c r="P63" s="31">
        <v>0.0</v>
      </c>
      <c r="Q63" s="31">
        <v>1.0</v>
      </c>
      <c r="R63" s="32" t="s">
        <v>7043</v>
      </c>
      <c r="S63" s="30">
        <v>46753.0</v>
      </c>
      <c r="T63" s="30">
        <v>47118.0</v>
      </c>
      <c r="U63" s="31">
        <v>0.0</v>
      </c>
      <c r="V63" s="31">
        <v>1.0</v>
      </c>
      <c r="W63" s="32" t="s">
        <v>7043</v>
      </c>
      <c r="X63" s="30">
        <v>47119.0</v>
      </c>
      <c r="Y63" s="30">
        <v>47483.0</v>
      </c>
      <c r="Z63" s="31">
        <v>0.0</v>
      </c>
      <c r="AA63" s="31">
        <v>1.0</v>
      </c>
      <c r="AB63" s="32" t="s">
        <v>7043</v>
      </c>
      <c r="AC63" s="30">
        <v>47484.0</v>
      </c>
      <c r="AD63" s="30">
        <v>47848.0</v>
      </c>
      <c r="AE63" s="31">
        <v>0.0</v>
      </c>
      <c r="AF63" s="31">
        <v>1.0</v>
      </c>
      <c r="AG63" s="32" t="s">
        <v>7043</v>
      </c>
    </row>
    <row r="64" ht="14.25" customHeight="1">
      <c r="A64" s="28" t="s">
        <v>2928</v>
      </c>
      <c r="B64" s="29" t="s">
        <v>2929</v>
      </c>
      <c r="C64" s="29" t="s">
        <v>7041</v>
      </c>
      <c r="D64" s="30">
        <v>45658.0</v>
      </c>
      <c r="E64" s="30">
        <v>46022.0</v>
      </c>
      <c r="F64" s="31">
        <v>0.0</v>
      </c>
      <c r="G64" s="31">
        <v>1.0</v>
      </c>
      <c r="H64" s="32" t="s">
        <v>7043</v>
      </c>
      <c r="I64" s="30">
        <v>46023.0</v>
      </c>
      <c r="J64" s="30">
        <v>46387.0</v>
      </c>
      <c r="K64" s="31">
        <v>0.0</v>
      </c>
      <c r="L64" s="31">
        <v>1.0</v>
      </c>
      <c r="M64" s="32" t="s">
        <v>7043</v>
      </c>
      <c r="N64" s="30">
        <v>46388.0</v>
      </c>
      <c r="O64" s="30">
        <v>46752.0</v>
      </c>
      <c r="P64" s="31">
        <v>0.0</v>
      </c>
      <c r="Q64" s="31">
        <v>1.0</v>
      </c>
      <c r="R64" s="32" t="s">
        <v>7043</v>
      </c>
      <c r="S64" s="30">
        <v>46753.0</v>
      </c>
      <c r="T64" s="30">
        <v>47118.0</v>
      </c>
      <c r="U64" s="31">
        <v>0.0</v>
      </c>
      <c r="V64" s="31">
        <v>1.0</v>
      </c>
      <c r="W64" s="32" t="s">
        <v>7043</v>
      </c>
      <c r="X64" s="30">
        <v>47119.0</v>
      </c>
      <c r="Y64" s="30">
        <v>47483.0</v>
      </c>
      <c r="Z64" s="31">
        <v>0.0</v>
      </c>
      <c r="AA64" s="31">
        <v>1.0</v>
      </c>
      <c r="AB64" s="32" t="s">
        <v>7043</v>
      </c>
      <c r="AC64" s="30">
        <v>47484.0</v>
      </c>
      <c r="AD64" s="30">
        <v>47848.0</v>
      </c>
      <c r="AE64" s="31">
        <v>0.0</v>
      </c>
      <c r="AF64" s="31">
        <v>1.0</v>
      </c>
      <c r="AG64" s="32" t="s">
        <v>7043</v>
      </c>
    </row>
    <row r="65" ht="14.25" customHeight="1">
      <c r="A65" s="28" t="s">
        <v>3443</v>
      </c>
      <c r="B65" s="29" t="s">
        <v>3444</v>
      </c>
      <c r="C65" s="29" t="s">
        <v>7041</v>
      </c>
      <c r="D65" s="30">
        <v>45658.0</v>
      </c>
      <c r="E65" s="30">
        <v>46022.0</v>
      </c>
      <c r="F65" s="31">
        <v>0.0</v>
      </c>
      <c r="G65" s="31">
        <v>1.0</v>
      </c>
      <c r="H65" s="32" t="s">
        <v>7043</v>
      </c>
      <c r="I65" s="30">
        <v>46023.0</v>
      </c>
      <c r="J65" s="30">
        <v>46387.0</v>
      </c>
      <c r="K65" s="31">
        <v>0.0</v>
      </c>
      <c r="L65" s="31">
        <v>1.0</v>
      </c>
      <c r="M65" s="32" t="s">
        <v>7043</v>
      </c>
      <c r="N65" s="30">
        <v>46388.0</v>
      </c>
      <c r="O65" s="30">
        <v>46752.0</v>
      </c>
      <c r="P65" s="31">
        <v>0.0</v>
      </c>
      <c r="Q65" s="31">
        <v>1.0</v>
      </c>
      <c r="R65" s="32" t="s">
        <v>7043</v>
      </c>
      <c r="S65" s="30">
        <v>46753.0</v>
      </c>
      <c r="T65" s="30">
        <v>47118.0</v>
      </c>
      <c r="U65" s="31">
        <v>0.0</v>
      </c>
      <c r="V65" s="31">
        <v>1.0</v>
      </c>
      <c r="W65" s="32" t="s">
        <v>7043</v>
      </c>
      <c r="X65" s="30">
        <v>47119.0</v>
      </c>
      <c r="Y65" s="30">
        <v>47483.0</v>
      </c>
      <c r="Z65" s="31">
        <v>0.0</v>
      </c>
      <c r="AA65" s="31">
        <v>1.0</v>
      </c>
      <c r="AB65" s="32" t="s">
        <v>7043</v>
      </c>
      <c r="AC65" s="30">
        <v>47484.0</v>
      </c>
      <c r="AD65" s="30">
        <v>47848.0</v>
      </c>
      <c r="AE65" s="31">
        <v>0.0</v>
      </c>
      <c r="AF65" s="31">
        <v>1.0</v>
      </c>
      <c r="AG65" s="32" t="s">
        <v>7043</v>
      </c>
    </row>
    <row r="66" ht="14.25" customHeight="1">
      <c r="A66" s="28" t="s">
        <v>262</v>
      </c>
      <c r="B66" s="29" t="s">
        <v>263</v>
      </c>
      <c r="C66" s="29" t="s">
        <v>7041</v>
      </c>
      <c r="D66" s="30">
        <v>45658.0</v>
      </c>
      <c r="E66" s="30">
        <v>46022.0</v>
      </c>
      <c r="F66" s="31">
        <v>1.0</v>
      </c>
      <c r="G66" s="31">
        <v>1.0</v>
      </c>
      <c r="H66" s="33" t="s">
        <v>7042</v>
      </c>
      <c r="I66" s="30">
        <v>46023.0</v>
      </c>
      <c r="J66" s="30">
        <v>46387.0</v>
      </c>
      <c r="K66" s="31">
        <v>0.0</v>
      </c>
      <c r="L66" s="31">
        <v>1.0</v>
      </c>
      <c r="M66" s="32" t="s">
        <v>7043</v>
      </c>
      <c r="N66" s="30">
        <v>46388.0</v>
      </c>
      <c r="O66" s="30">
        <v>46752.0</v>
      </c>
      <c r="P66" s="31">
        <v>0.0</v>
      </c>
      <c r="Q66" s="31">
        <v>1.0</v>
      </c>
      <c r="R66" s="32" t="s">
        <v>7043</v>
      </c>
      <c r="S66" s="30">
        <v>46753.0</v>
      </c>
      <c r="T66" s="30">
        <v>47118.0</v>
      </c>
      <c r="U66" s="31">
        <v>0.0</v>
      </c>
      <c r="V66" s="31">
        <v>1.0</v>
      </c>
      <c r="W66" s="32" t="s">
        <v>7043</v>
      </c>
      <c r="X66" s="30">
        <v>47119.0</v>
      </c>
      <c r="Y66" s="30">
        <v>47483.0</v>
      </c>
      <c r="Z66" s="31">
        <v>0.0</v>
      </c>
      <c r="AA66" s="31">
        <v>1.0</v>
      </c>
      <c r="AB66" s="32" t="s">
        <v>7043</v>
      </c>
      <c r="AC66" s="30">
        <v>47484.0</v>
      </c>
      <c r="AD66" s="30">
        <v>47848.0</v>
      </c>
      <c r="AE66" s="31">
        <v>0.0</v>
      </c>
      <c r="AF66" s="31">
        <v>1.0</v>
      </c>
      <c r="AG66" s="32" t="s">
        <v>7043</v>
      </c>
    </row>
    <row r="67" ht="14.25" customHeight="1">
      <c r="A67" s="28" t="s">
        <v>1146</v>
      </c>
      <c r="B67" s="29" t="s">
        <v>1147</v>
      </c>
      <c r="C67" s="29" t="s">
        <v>7041</v>
      </c>
      <c r="D67" s="30">
        <v>45658.0</v>
      </c>
      <c r="E67" s="30">
        <v>46022.0</v>
      </c>
      <c r="F67" s="31">
        <v>0.0</v>
      </c>
      <c r="G67" s="31">
        <v>1.0</v>
      </c>
      <c r="H67" s="32" t="s">
        <v>7043</v>
      </c>
      <c r="I67" s="30">
        <v>46023.0</v>
      </c>
      <c r="J67" s="30">
        <v>46387.0</v>
      </c>
      <c r="K67" s="31">
        <v>0.0</v>
      </c>
      <c r="L67" s="31">
        <v>1.0</v>
      </c>
      <c r="M67" s="32" t="s">
        <v>7043</v>
      </c>
      <c r="N67" s="30">
        <v>46388.0</v>
      </c>
      <c r="O67" s="30">
        <v>46752.0</v>
      </c>
      <c r="P67" s="31">
        <v>0.0</v>
      </c>
      <c r="Q67" s="31">
        <v>1.0</v>
      </c>
      <c r="R67" s="32" t="s">
        <v>7043</v>
      </c>
      <c r="S67" s="30">
        <v>46753.0</v>
      </c>
      <c r="T67" s="30">
        <v>47118.0</v>
      </c>
      <c r="U67" s="31">
        <v>0.0</v>
      </c>
      <c r="V67" s="31">
        <v>1.0</v>
      </c>
      <c r="W67" s="32" t="s">
        <v>7043</v>
      </c>
      <c r="X67" s="30">
        <v>47119.0</v>
      </c>
      <c r="Y67" s="30">
        <v>47483.0</v>
      </c>
      <c r="Z67" s="31">
        <v>0.0</v>
      </c>
      <c r="AA67" s="31">
        <v>1.0</v>
      </c>
      <c r="AB67" s="32" t="s">
        <v>7043</v>
      </c>
      <c r="AC67" s="30">
        <v>47484.0</v>
      </c>
      <c r="AD67" s="30">
        <v>47848.0</v>
      </c>
      <c r="AE67" s="31">
        <v>0.0</v>
      </c>
      <c r="AF67" s="31">
        <v>1.0</v>
      </c>
      <c r="AG67" s="32" t="s">
        <v>7043</v>
      </c>
    </row>
    <row r="68" ht="14.25" customHeight="1">
      <c r="A68" s="28" t="s">
        <v>811</v>
      </c>
      <c r="B68" s="29" t="s">
        <v>812</v>
      </c>
      <c r="C68" s="29" t="s">
        <v>7041</v>
      </c>
      <c r="D68" s="30">
        <v>45658.0</v>
      </c>
      <c r="E68" s="30">
        <v>46022.0</v>
      </c>
      <c r="F68" s="31">
        <v>0.0</v>
      </c>
      <c r="G68" s="31">
        <v>1.0</v>
      </c>
      <c r="H68" s="32" t="s">
        <v>7043</v>
      </c>
      <c r="I68" s="30">
        <v>46023.0</v>
      </c>
      <c r="J68" s="30">
        <v>46387.0</v>
      </c>
      <c r="K68" s="31">
        <v>0.0</v>
      </c>
      <c r="L68" s="31">
        <v>1.0</v>
      </c>
      <c r="M68" s="32" t="s">
        <v>7043</v>
      </c>
      <c r="N68" s="30">
        <v>46388.0</v>
      </c>
      <c r="O68" s="30">
        <v>46752.0</v>
      </c>
      <c r="P68" s="31">
        <v>0.0</v>
      </c>
      <c r="Q68" s="31">
        <v>1.0</v>
      </c>
      <c r="R68" s="32" t="s">
        <v>7043</v>
      </c>
      <c r="S68" s="30">
        <v>46753.0</v>
      </c>
      <c r="T68" s="30">
        <v>47118.0</v>
      </c>
      <c r="U68" s="31">
        <v>0.0</v>
      </c>
      <c r="V68" s="31">
        <v>1.0</v>
      </c>
      <c r="W68" s="32" t="s">
        <v>7043</v>
      </c>
      <c r="X68" s="30">
        <v>47119.0</v>
      </c>
      <c r="Y68" s="30">
        <v>47483.0</v>
      </c>
      <c r="Z68" s="31">
        <v>0.0</v>
      </c>
      <c r="AA68" s="31">
        <v>1.0</v>
      </c>
      <c r="AB68" s="32" t="s">
        <v>7043</v>
      </c>
      <c r="AC68" s="30">
        <v>47484.0</v>
      </c>
      <c r="AD68" s="30">
        <v>47848.0</v>
      </c>
      <c r="AE68" s="31">
        <v>0.0</v>
      </c>
      <c r="AF68" s="31">
        <v>1.0</v>
      </c>
      <c r="AG68" s="32" t="s">
        <v>7043</v>
      </c>
    </row>
    <row r="69" ht="14.25" customHeight="1">
      <c r="A69" s="28" t="s">
        <v>622</v>
      </c>
      <c r="B69" s="29" t="s">
        <v>623</v>
      </c>
      <c r="C69" s="29" t="s">
        <v>7041</v>
      </c>
      <c r="D69" s="30">
        <v>45658.0</v>
      </c>
      <c r="E69" s="30">
        <v>46022.0</v>
      </c>
      <c r="F69" s="31">
        <v>1.0</v>
      </c>
      <c r="G69" s="31">
        <v>1.0</v>
      </c>
      <c r="H69" s="32" t="s">
        <v>7042</v>
      </c>
      <c r="I69" s="30">
        <v>46023.0</v>
      </c>
      <c r="J69" s="30">
        <v>46387.0</v>
      </c>
      <c r="K69" s="31">
        <v>0.0</v>
      </c>
      <c r="L69" s="31">
        <v>1.0</v>
      </c>
      <c r="M69" s="32" t="s">
        <v>7043</v>
      </c>
      <c r="N69" s="30">
        <v>46388.0</v>
      </c>
      <c r="O69" s="30">
        <v>46752.0</v>
      </c>
      <c r="P69" s="31">
        <v>0.0</v>
      </c>
      <c r="Q69" s="31">
        <v>1.0</v>
      </c>
      <c r="R69" s="32" t="s">
        <v>7043</v>
      </c>
      <c r="S69" s="30">
        <v>46753.0</v>
      </c>
      <c r="T69" s="30">
        <v>47118.0</v>
      </c>
      <c r="U69" s="31">
        <v>0.0</v>
      </c>
      <c r="V69" s="31">
        <v>1.0</v>
      </c>
      <c r="W69" s="32" t="s">
        <v>7043</v>
      </c>
      <c r="X69" s="30">
        <v>47119.0</v>
      </c>
      <c r="Y69" s="30">
        <v>47483.0</v>
      </c>
      <c r="Z69" s="31">
        <v>0.0</v>
      </c>
      <c r="AA69" s="31">
        <v>1.0</v>
      </c>
      <c r="AB69" s="32" t="s">
        <v>7043</v>
      </c>
      <c r="AC69" s="30">
        <v>47484.0</v>
      </c>
      <c r="AD69" s="30">
        <v>47848.0</v>
      </c>
      <c r="AE69" s="31">
        <v>0.0</v>
      </c>
      <c r="AF69" s="31">
        <v>1.0</v>
      </c>
      <c r="AG69" s="32" t="s">
        <v>7043</v>
      </c>
    </row>
    <row r="70" ht="14.25" customHeight="1">
      <c r="A70" s="28" t="s">
        <v>6482</v>
      </c>
      <c r="B70" s="29" t="s">
        <v>6483</v>
      </c>
      <c r="C70" s="29" t="s">
        <v>7041</v>
      </c>
      <c r="D70" s="30">
        <v>45658.0</v>
      </c>
      <c r="E70" s="30">
        <v>46022.0</v>
      </c>
      <c r="F70" s="31">
        <v>1.0</v>
      </c>
      <c r="G70" s="31">
        <v>1.0</v>
      </c>
      <c r="H70" s="32" t="s">
        <v>7042</v>
      </c>
      <c r="I70" s="30">
        <v>46023.0</v>
      </c>
      <c r="J70" s="30">
        <v>46387.0</v>
      </c>
      <c r="K70" s="31">
        <v>0.0</v>
      </c>
      <c r="L70" s="31">
        <v>1.0</v>
      </c>
      <c r="M70" s="32" t="s">
        <v>7043</v>
      </c>
      <c r="N70" s="30">
        <v>46388.0</v>
      </c>
      <c r="O70" s="30">
        <v>46752.0</v>
      </c>
      <c r="P70" s="31">
        <v>0.0</v>
      </c>
      <c r="Q70" s="31">
        <v>1.0</v>
      </c>
      <c r="R70" s="32" t="s">
        <v>7043</v>
      </c>
      <c r="S70" s="30">
        <v>46753.0</v>
      </c>
      <c r="T70" s="30">
        <v>47118.0</v>
      </c>
      <c r="U70" s="31">
        <v>0.0</v>
      </c>
      <c r="V70" s="31">
        <v>1.0</v>
      </c>
      <c r="W70" s="32" t="s">
        <v>7043</v>
      </c>
      <c r="X70" s="30">
        <v>47119.0</v>
      </c>
      <c r="Y70" s="30">
        <v>47483.0</v>
      </c>
      <c r="Z70" s="31">
        <v>0.0</v>
      </c>
      <c r="AA70" s="31">
        <v>1.0</v>
      </c>
      <c r="AB70" s="32" t="s">
        <v>7043</v>
      </c>
      <c r="AC70" s="30">
        <v>47484.0</v>
      </c>
      <c r="AD70" s="30">
        <v>47848.0</v>
      </c>
      <c r="AE70" s="31">
        <v>0.0</v>
      </c>
      <c r="AF70" s="31">
        <v>1.0</v>
      </c>
      <c r="AG70" s="32" t="s">
        <v>7043</v>
      </c>
    </row>
    <row r="71" ht="14.25" customHeight="1">
      <c r="A71" s="28" t="s">
        <v>6303</v>
      </c>
      <c r="B71" s="29" t="s">
        <v>6304</v>
      </c>
      <c r="C71" s="29" t="s">
        <v>7041</v>
      </c>
      <c r="D71" s="30">
        <v>45658.0</v>
      </c>
      <c r="E71" s="30">
        <v>46022.0</v>
      </c>
      <c r="F71" s="31">
        <v>1.0</v>
      </c>
      <c r="G71" s="31">
        <v>1.0</v>
      </c>
      <c r="H71" s="33" t="s">
        <v>7042</v>
      </c>
      <c r="I71" s="30">
        <v>46023.0</v>
      </c>
      <c r="J71" s="30">
        <v>46387.0</v>
      </c>
      <c r="K71" s="31">
        <v>0.0</v>
      </c>
      <c r="L71" s="31">
        <v>1.0</v>
      </c>
      <c r="M71" s="32" t="s">
        <v>7043</v>
      </c>
      <c r="N71" s="30">
        <v>46388.0</v>
      </c>
      <c r="O71" s="30">
        <v>46752.0</v>
      </c>
      <c r="P71" s="31">
        <v>0.0</v>
      </c>
      <c r="Q71" s="31">
        <v>1.0</v>
      </c>
      <c r="R71" s="32" t="s">
        <v>7043</v>
      </c>
      <c r="S71" s="30">
        <v>46753.0</v>
      </c>
      <c r="T71" s="30">
        <v>47118.0</v>
      </c>
      <c r="U71" s="31">
        <v>0.0</v>
      </c>
      <c r="V71" s="31">
        <v>1.0</v>
      </c>
      <c r="W71" s="32" t="s">
        <v>7043</v>
      </c>
      <c r="X71" s="30">
        <v>47119.0</v>
      </c>
      <c r="Y71" s="30">
        <v>47483.0</v>
      </c>
      <c r="Z71" s="31">
        <v>0.0</v>
      </c>
      <c r="AA71" s="31">
        <v>1.0</v>
      </c>
      <c r="AB71" s="32" t="s">
        <v>7043</v>
      </c>
      <c r="AC71" s="30">
        <v>47484.0</v>
      </c>
      <c r="AD71" s="30">
        <v>47848.0</v>
      </c>
      <c r="AE71" s="31">
        <v>0.0</v>
      </c>
      <c r="AF71" s="31">
        <v>1.0</v>
      </c>
      <c r="AG71" s="32" t="s">
        <v>7043</v>
      </c>
    </row>
    <row r="72" ht="14.25" customHeight="1">
      <c r="A72" s="28" t="s">
        <v>1674</v>
      </c>
      <c r="B72" s="29" t="s">
        <v>1675</v>
      </c>
      <c r="C72" s="29" t="s">
        <v>7041</v>
      </c>
      <c r="D72" s="30">
        <v>45658.0</v>
      </c>
      <c r="E72" s="30">
        <v>46022.0</v>
      </c>
      <c r="F72" s="31">
        <v>1.0</v>
      </c>
      <c r="G72" s="31">
        <v>1.0</v>
      </c>
      <c r="H72" s="33" t="s">
        <v>7042</v>
      </c>
      <c r="I72" s="30">
        <v>46023.0</v>
      </c>
      <c r="J72" s="30">
        <v>46387.0</v>
      </c>
      <c r="K72" s="31">
        <v>0.0</v>
      </c>
      <c r="L72" s="31">
        <v>1.0</v>
      </c>
      <c r="M72" s="32" t="s">
        <v>7043</v>
      </c>
      <c r="N72" s="30">
        <v>46388.0</v>
      </c>
      <c r="O72" s="30">
        <v>46752.0</v>
      </c>
      <c r="P72" s="31">
        <v>0.0</v>
      </c>
      <c r="Q72" s="31">
        <v>1.0</v>
      </c>
      <c r="R72" s="32" t="s">
        <v>7043</v>
      </c>
      <c r="S72" s="30">
        <v>46753.0</v>
      </c>
      <c r="T72" s="30">
        <v>47118.0</v>
      </c>
      <c r="U72" s="31">
        <v>0.0</v>
      </c>
      <c r="V72" s="31">
        <v>1.0</v>
      </c>
      <c r="W72" s="32" t="s">
        <v>7043</v>
      </c>
      <c r="X72" s="30">
        <v>47119.0</v>
      </c>
      <c r="Y72" s="30">
        <v>47483.0</v>
      </c>
      <c r="Z72" s="31">
        <v>0.0</v>
      </c>
      <c r="AA72" s="31">
        <v>1.0</v>
      </c>
      <c r="AB72" s="32" t="s">
        <v>7043</v>
      </c>
      <c r="AC72" s="30">
        <v>47484.0</v>
      </c>
      <c r="AD72" s="30">
        <v>47848.0</v>
      </c>
      <c r="AE72" s="31">
        <v>0.0</v>
      </c>
      <c r="AF72" s="31">
        <v>1.0</v>
      </c>
      <c r="AG72" s="32" t="s">
        <v>7043</v>
      </c>
    </row>
    <row r="73" ht="14.25" customHeight="1">
      <c r="A73" s="28" t="s">
        <v>6731</v>
      </c>
      <c r="B73" s="29" t="s">
        <v>6732</v>
      </c>
      <c r="C73" s="29" t="s">
        <v>7041</v>
      </c>
      <c r="D73" s="30">
        <v>45658.0</v>
      </c>
      <c r="E73" s="30">
        <v>46022.0</v>
      </c>
      <c r="F73" s="31">
        <v>1.0</v>
      </c>
      <c r="G73" s="31">
        <v>1.0</v>
      </c>
      <c r="H73" s="33" t="s">
        <v>7042</v>
      </c>
      <c r="I73" s="30">
        <v>46023.0</v>
      </c>
      <c r="J73" s="30">
        <v>46387.0</v>
      </c>
      <c r="K73" s="31">
        <v>0.0</v>
      </c>
      <c r="L73" s="31">
        <v>1.0</v>
      </c>
      <c r="M73" s="32" t="s">
        <v>7043</v>
      </c>
      <c r="N73" s="30">
        <v>46388.0</v>
      </c>
      <c r="O73" s="30">
        <v>46752.0</v>
      </c>
      <c r="P73" s="31">
        <v>0.0</v>
      </c>
      <c r="Q73" s="31">
        <v>1.0</v>
      </c>
      <c r="R73" s="32" t="s">
        <v>7043</v>
      </c>
      <c r="S73" s="30">
        <v>46753.0</v>
      </c>
      <c r="T73" s="30">
        <v>47118.0</v>
      </c>
      <c r="U73" s="31">
        <v>0.0</v>
      </c>
      <c r="V73" s="31">
        <v>1.0</v>
      </c>
      <c r="W73" s="32" t="s">
        <v>7043</v>
      </c>
      <c r="X73" s="30">
        <v>47119.0</v>
      </c>
      <c r="Y73" s="30">
        <v>47483.0</v>
      </c>
      <c r="Z73" s="31">
        <v>0.0</v>
      </c>
      <c r="AA73" s="31">
        <v>1.0</v>
      </c>
      <c r="AB73" s="32" t="s">
        <v>7043</v>
      </c>
      <c r="AC73" s="30">
        <v>47484.0</v>
      </c>
      <c r="AD73" s="30">
        <v>47848.0</v>
      </c>
      <c r="AE73" s="31">
        <v>0.0</v>
      </c>
      <c r="AF73" s="31">
        <v>1.0</v>
      </c>
      <c r="AG73" s="32" t="s">
        <v>7043</v>
      </c>
    </row>
    <row r="74" ht="14.25" customHeight="1">
      <c r="A74" s="28" t="s">
        <v>6217</v>
      </c>
      <c r="B74" s="29" t="s">
        <v>6218</v>
      </c>
      <c r="C74" s="29" t="s">
        <v>7041</v>
      </c>
      <c r="D74" s="30">
        <v>45658.0</v>
      </c>
      <c r="E74" s="30">
        <v>46022.0</v>
      </c>
      <c r="F74" s="31">
        <v>0.0</v>
      </c>
      <c r="G74" s="31">
        <v>1.0</v>
      </c>
      <c r="H74" s="32" t="s">
        <v>7043</v>
      </c>
      <c r="I74" s="30">
        <v>46023.0</v>
      </c>
      <c r="J74" s="30">
        <v>46387.0</v>
      </c>
      <c r="K74" s="31">
        <v>0.0</v>
      </c>
      <c r="L74" s="31">
        <v>1.0</v>
      </c>
      <c r="M74" s="32" t="s">
        <v>7043</v>
      </c>
      <c r="N74" s="30">
        <v>46388.0</v>
      </c>
      <c r="O74" s="30">
        <v>46752.0</v>
      </c>
      <c r="P74" s="31">
        <v>0.0</v>
      </c>
      <c r="Q74" s="31">
        <v>1.0</v>
      </c>
      <c r="R74" s="32" t="s">
        <v>7043</v>
      </c>
      <c r="S74" s="30">
        <v>46753.0</v>
      </c>
      <c r="T74" s="30">
        <v>47118.0</v>
      </c>
      <c r="U74" s="31">
        <v>0.0</v>
      </c>
      <c r="V74" s="31">
        <v>1.0</v>
      </c>
      <c r="W74" s="32" t="s">
        <v>7043</v>
      </c>
      <c r="X74" s="30">
        <v>47119.0</v>
      </c>
      <c r="Y74" s="30">
        <v>47483.0</v>
      </c>
      <c r="Z74" s="31">
        <v>0.0</v>
      </c>
      <c r="AA74" s="31">
        <v>1.0</v>
      </c>
      <c r="AB74" s="32" t="s">
        <v>7043</v>
      </c>
      <c r="AC74" s="30">
        <v>47484.0</v>
      </c>
      <c r="AD74" s="30">
        <v>47848.0</v>
      </c>
      <c r="AE74" s="31">
        <v>0.0</v>
      </c>
      <c r="AF74" s="31">
        <v>1.0</v>
      </c>
      <c r="AG74" s="32" t="s">
        <v>7043</v>
      </c>
    </row>
    <row r="75" ht="14.25" customHeight="1">
      <c r="A75" s="28" t="s">
        <v>6141</v>
      </c>
      <c r="B75" s="29" t="s">
        <v>6142</v>
      </c>
      <c r="C75" s="29" t="s">
        <v>7041</v>
      </c>
      <c r="D75" s="30">
        <v>45658.0</v>
      </c>
      <c r="E75" s="30">
        <v>46022.0</v>
      </c>
      <c r="F75" s="31">
        <v>0.0</v>
      </c>
      <c r="G75" s="31">
        <v>1.0</v>
      </c>
      <c r="H75" s="32" t="s">
        <v>7043</v>
      </c>
      <c r="I75" s="30">
        <v>46023.0</v>
      </c>
      <c r="J75" s="30">
        <v>46387.0</v>
      </c>
      <c r="K75" s="31">
        <v>0.0</v>
      </c>
      <c r="L75" s="31">
        <v>1.0</v>
      </c>
      <c r="M75" s="32" t="s">
        <v>7043</v>
      </c>
      <c r="N75" s="30">
        <v>46388.0</v>
      </c>
      <c r="O75" s="30">
        <v>46752.0</v>
      </c>
      <c r="P75" s="31">
        <v>0.0</v>
      </c>
      <c r="Q75" s="31">
        <v>1.0</v>
      </c>
      <c r="R75" s="32" t="s">
        <v>7043</v>
      </c>
      <c r="S75" s="30">
        <v>46753.0</v>
      </c>
      <c r="T75" s="30">
        <v>47118.0</v>
      </c>
      <c r="U75" s="31">
        <v>0.0</v>
      </c>
      <c r="V75" s="31">
        <v>1.0</v>
      </c>
      <c r="W75" s="32" t="s">
        <v>7043</v>
      </c>
      <c r="X75" s="30">
        <v>47119.0</v>
      </c>
      <c r="Y75" s="30">
        <v>47483.0</v>
      </c>
      <c r="Z75" s="31">
        <v>0.0</v>
      </c>
      <c r="AA75" s="31">
        <v>1.0</v>
      </c>
      <c r="AB75" s="32" t="s">
        <v>7043</v>
      </c>
      <c r="AC75" s="30">
        <v>47484.0</v>
      </c>
      <c r="AD75" s="30">
        <v>47848.0</v>
      </c>
      <c r="AE75" s="31">
        <v>0.0</v>
      </c>
      <c r="AF75" s="31">
        <v>1.0</v>
      </c>
      <c r="AG75" s="32" t="s">
        <v>7043</v>
      </c>
    </row>
    <row r="76" ht="14.25" customHeight="1">
      <c r="A76" s="28" t="s">
        <v>4711</v>
      </c>
      <c r="B76" s="29" t="s">
        <v>4712</v>
      </c>
      <c r="C76" s="29" t="s">
        <v>7041</v>
      </c>
      <c r="D76" s="30">
        <v>45658.0</v>
      </c>
      <c r="E76" s="30">
        <v>46022.0</v>
      </c>
      <c r="F76" s="31">
        <v>0.0</v>
      </c>
      <c r="G76" s="31">
        <v>1.0</v>
      </c>
      <c r="H76" s="32" t="s">
        <v>7043</v>
      </c>
      <c r="I76" s="30">
        <v>46023.0</v>
      </c>
      <c r="J76" s="30">
        <v>46387.0</v>
      </c>
      <c r="K76" s="31">
        <v>0.0</v>
      </c>
      <c r="L76" s="31">
        <v>1.0</v>
      </c>
      <c r="M76" s="32" t="s">
        <v>7043</v>
      </c>
      <c r="N76" s="30">
        <v>46388.0</v>
      </c>
      <c r="O76" s="30">
        <v>46752.0</v>
      </c>
      <c r="P76" s="31">
        <v>0.0</v>
      </c>
      <c r="Q76" s="31">
        <v>1.0</v>
      </c>
      <c r="R76" s="32" t="s">
        <v>7043</v>
      </c>
      <c r="S76" s="30">
        <v>46753.0</v>
      </c>
      <c r="T76" s="30">
        <v>47118.0</v>
      </c>
      <c r="U76" s="31">
        <v>0.0</v>
      </c>
      <c r="V76" s="31">
        <v>1.0</v>
      </c>
      <c r="W76" s="32" t="s">
        <v>7043</v>
      </c>
      <c r="X76" s="30">
        <v>47119.0</v>
      </c>
      <c r="Y76" s="30">
        <v>47483.0</v>
      </c>
      <c r="Z76" s="31">
        <v>0.0</v>
      </c>
      <c r="AA76" s="31">
        <v>1.0</v>
      </c>
      <c r="AB76" s="32" t="s">
        <v>7043</v>
      </c>
      <c r="AC76" s="30">
        <v>47484.0</v>
      </c>
      <c r="AD76" s="30">
        <v>47848.0</v>
      </c>
      <c r="AE76" s="31">
        <v>0.0</v>
      </c>
      <c r="AF76" s="31">
        <v>1.0</v>
      </c>
      <c r="AG76" s="32" t="s">
        <v>7043</v>
      </c>
    </row>
    <row r="77" ht="14.25" customHeight="1">
      <c r="A77" s="28" t="s">
        <v>5367</v>
      </c>
      <c r="B77" s="29" t="s">
        <v>5368</v>
      </c>
      <c r="C77" s="29" t="s">
        <v>7041</v>
      </c>
      <c r="D77" s="30">
        <v>45658.0</v>
      </c>
      <c r="E77" s="30">
        <v>46022.0</v>
      </c>
      <c r="F77" s="31">
        <v>0.0</v>
      </c>
      <c r="G77" s="31">
        <v>1.0</v>
      </c>
      <c r="H77" s="32" t="s">
        <v>7043</v>
      </c>
      <c r="I77" s="30">
        <v>46023.0</v>
      </c>
      <c r="J77" s="30">
        <v>46387.0</v>
      </c>
      <c r="K77" s="31">
        <v>0.0</v>
      </c>
      <c r="L77" s="31">
        <v>1.0</v>
      </c>
      <c r="M77" s="32" t="s">
        <v>7043</v>
      </c>
      <c r="N77" s="30">
        <v>46388.0</v>
      </c>
      <c r="O77" s="30">
        <v>46752.0</v>
      </c>
      <c r="P77" s="31">
        <v>0.0</v>
      </c>
      <c r="Q77" s="31">
        <v>1.0</v>
      </c>
      <c r="R77" s="32" t="s">
        <v>7043</v>
      </c>
      <c r="S77" s="30">
        <v>46753.0</v>
      </c>
      <c r="T77" s="30">
        <v>47118.0</v>
      </c>
      <c r="U77" s="31">
        <v>0.0</v>
      </c>
      <c r="V77" s="31">
        <v>1.0</v>
      </c>
      <c r="W77" s="32" t="s">
        <v>7043</v>
      </c>
      <c r="X77" s="30">
        <v>47119.0</v>
      </c>
      <c r="Y77" s="30">
        <v>47483.0</v>
      </c>
      <c r="Z77" s="31">
        <v>0.0</v>
      </c>
      <c r="AA77" s="31">
        <v>1.0</v>
      </c>
      <c r="AB77" s="32" t="s">
        <v>7043</v>
      </c>
      <c r="AC77" s="30">
        <v>47484.0</v>
      </c>
      <c r="AD77" s="30">
        <v>47848.0</v>
      </c>
      <c r="AE77" s="31">
        <v>0.0</v>
      </c>
      <c r="AF77" s="31">
        <v>1.0</v>
      </c>
      <c r="AG77" s="32" t="s">
        <v>7043</v>
      </c>
    </row>
    <row r="78" ht="14.25" customHeight="1">
      <c r="A78" s="28" t="s">
        <v>5281</v>
      </c>
      <c r="B78" s="29" t="s">
        <v>5282</v>
      </c>
      <c r="C78" s="29" t="s">
        <v>7041</v>
      </c>
      <c r="D78" s="30">
        <v>45658.0</v>
      </c>
      <c r="E78" s="30">
        <v>46022.0</v>
      </c>
      <c r="F78" s="31">
        <v>0.0</v>
      </c>
      <c r="G78" s="31">
        <v>1.0</v>
      </c>
      <c r="H78" s="32" t="s">
        <v>7043</v>
      </c>
      <c r="I78" s="30">
        <v>46023.0</v>
      </c>
      <c r="J78" s="30">
        <v>46387.0</v>
      </c>
      <c r="K78" s="31">
        <v>0.0</v>
      </c>
      <c r="L78" s="31">
        <v>1.0</v>
      </c>
      <c r="M78" s="32" t="s">
        <v>7043</v>
      </c>
      <c r="N78" s="30">
        <v>46388.0</v>
      </c>
      <c r="O78" s="30">
        <v>46752.0</v>
      </c>
      <c r="P78" s="31">
        <v>0.0</v>
      </c>
      <c r="Q78" s="31">
        <v>1.0</v>
      </c>
      <c r="R78" s="32" t="s">
        <v>7043</v>
      </c>
      <c r="S78" s="30">
        <v>46753.0</v>
      </c>
      <c r="T78" s="30">
        <v>47118.0</v>
      </c>
      <c r="U78" s="31">
        <v>0.0</v>
      </c>
      <c r="V78" s="31">
        <v>1.0</v>
      </c>
      <c r="W78" s="32" t="s">
        <v>7043</v>
      </c>
      <c r="X78" s="30">
        <v>47119.0</v>
      </c>
      <c r="Y78" s="30">
        <v>47483.0</v>
      </c>
      <c r="Z78" s="31">
        <v>0.0</v>
      </c>
      <c r="AA78" s="31">
        <v>1.0</v>
      </c>
      <c r="AB78" s="32" t="s">
        <v>7043</v>
      </c>
      <c r="AC78" s="30">
        <v>47484.0</v>
      </c>
      <c r="AD78" s="30">
        <v>47848.0</v>
      </c>
      <c r="AE78" s="31">
        <v>0.0</v>
      </c>
      <c r="AF78" s="31">
        <v>1.0</v>
      </c>
      <c r="AG78" s="32" t="s">
        <v>7043</v>
      </c>
    </row>
    <row r="79" ht="14.25" customHeight="1">
      <c r="A79" s="28" t="s">
        <v>898</v>
      </c>
      <c r="B79" s="29" t="s">
        <v>899</v>
      </c>
      <c r="C79" s="29" t="s">
        <v>7041</v>
      </c>
      <c r="D79" s="30">
        <v>45658.0</v>
      </c>
      <c r="E79" s="30">
        <v>46022.0</v>
      </c>
      <c r="F79" s="31">
        <v>0.0</v>
      </c>
      <c r="G79" s="31">
        <v>1.0</v>
      </c>
      <c r="H79" s="32" t="s">
        <v>7043</v>
      </c>
      <c r="I79" s="30">
        <v>46023.0</v>
      </c>
      <c r="J79" s="30">
        <v>46387.0</v>
      </c>
      <c r="K79" s="31">
        <v>0.0</v>
      </c>
      <c r="L79" s="31">
        <v>1.0</v>
      </c>
      <c r="M79" s="32" t="s">
        <v>7043</v>
      </c>
      <c r="N79" s="30">
        <v>46388.0</v>
      </c>
      <c r="O79" s="30">
        <v>46752.0</v>
      </c>
      <c r="P79" s="31">
        <v>0.0</v>
      </c>
      <c r="Q79" s="31">
        <v>1.0</v>
      </c>
      <c r="R79" s="32" t="s">
        <v>7043</v>
      </c>
      <c r="S79" s="30">
        <v>46753.0</v>
      </c>
      <c r="T79" s="30">
        <v>47118.0</v>
      </c>
      <c r="U79" s="31">
        <v>0.0</v>
      </c>
      <c r="V79" s="31">
        <v>1.0</v>
      </c>
      <c r="W79" s="32" t="s">
        <v>7043</v>
      </c>
      <c r="X79" s="30">
        <v>47119.0</v>
      </c>
      <c r="Y79" s="30">
        <v>47483.0</v>
      </c>
      <c r="Z79" s="31">
        <v>0.0</v>
      </c>
      <c r="AA79" s="31">
        <v>1.0</v>
      </c>
      <c r="AB79" s="32" t="s">
        <v>7043</v>
      </c>
      <c r="AC79" s="30">
        <v>47484.0</v>
      </c>
      <c r="AD79" s="30">
        <v>47848.0</v>
      </c>
      <c r="AE79" s="31">
        <v>0.0</v>
      </c>
      <c r="AF79" s="31">
        <v>1.0</v>
      </c>
      <c r="AG79" s="32" t="s">
        <v>7043</v>
      </c>
    </row>
    <row r="80" ht="14.25" customHeight="1">
      <c r="A80" s="28" t="s">
        <v>1840</v>
      </c>
      <c r="B80" s="34" t="s">
        <v>1841</v>
      </c>
      <c r="C80" s="29" t="s">
        <v>7044</v>
      </c>
      <c r="D80" s="30">
        <v>45658.0</v>
      </c>
      <c r="E80" s="30">
        <v>46022.0</v>
      </c>
      <c r="F80" s="31">
        <v>0.0</v>
      </c>
      <c r="G80" s="31">
        <v>1.0</v>
      </c>
      <c r="H80" s="32" t="s">
        <v>7043</v>
      </c>
      <c r="I80" s="30">
        <v>46023.0</v>
      </c>
      <c r="J80" s="30">
        <v>46387.0</v>
      </c>
      <c r="K80" s="31">
        <v>0.0</v>
      </c>
      <c r="L80" s="31">
        <v>1.0</v>
      </c>
      <c r="M80" s="32" t="s">
        <v>7043</v>
      </c>
      <c r="N80" s="30">
        <v>46388.0</v>
      </c>
      <c r="O80" s="30">
        <v>46752.0</v>
      </c>
      <c r="P80" s="31">
        <v>0.0</v>
      </c>
      <c r="Q80" s="31">
        <v>1.0</v>
      </c>
      <c r="R80" s="32" t="s">
        <v>7043</v>
      </c>
      <c r="S80" s="30">
        <v>46753.0</v>
      </c>
      <c r="T80" s="30">
        <v>47118.0</v>
      </c>
      <c r="U80" s="31">
        <v>0.0</v>
      </c>
      <c r="V80" s="31">
        <v>1.0</v>
      </c>
      <c r="W80" s="32" t="s">
        <v>7043</v>
      </c>
      <c r="X80" s="30">
        <v>47119.0</v>
      </c>
      <c r="Y80" s="30">
        <v>47483.0</v>
      </c>
      <c r="Z80" s="31">
        <v>0.0</v>
      </c>
      <c r="AA80" s="31">
        <v>1.0</v>
      </c>
      <c r="AB80" s="32" t="s">
        <v>7043</v>
      </c>
      <c r="AC80" s="30">
        <v>47484.0</v>
      </c>
      <c r="AD80" s="30">
        <v>47848.0</v>
      </c>
      <c r="AE80" s="31">
        <v>0.0</v>
      </c>
      <c r="AF80" s="31">
        <v>1.0</v>
      </c>
      <c r="AG80" s="32" t="s">
        <v>7043</v>
      </c>
    </row>
    <row r="81" ht="14.25" customHeight="1">
      <c r="A81" s="28" t="s">
        <v>5008</v>
      </c>
      <c r="B81" s="29" t="s">
        <v>5009</v>
      </c>
      <c r="C81" s="29" t="s">
        <v>7041</v>
      </c>
      <c r="D81" s="30">
        <v>45658.0</v>
      </c>
      <c r="E81" s="30">
        <v>46022.0</v>
      </c>
      <c r="F81" s="31">
        <v>0.0</v>
      </c>
      <c r="G81" s="31">
        <v>1.0</v>
      </c>
      <c r="H81" s="32" t="s">
        <v>7043</v>
      </c>
      <c r="I81" s="30">
        <v>46023.0</v>
      </c>
      <c r="J81" s="30">
        <v>46387.0</v>
      </c>
      <c r="K81" s="31">
        <v>0.0</v>
      </c>
      <c r="L81" s="31">
        <v>1.0</v>
      </c>
      <c r="M81" s="32" t="s">
        <v>7043</v>
      </c>
      <c r="N81" s="30">
        <v>46388.0</v>
      </c>
      <c r="O81" s="30">
        <v>46752.0</v>
      </c>
      <c r="P81" s="31">
        <v>0.0</v>
      </c>
      <c r="Q81" s="31">
        <v>1.0</v>
      </c>
      <c r="R81" s="32" t="s">
        <v>7043</v>
      </c>
      <c r="S81" s="30">
        <v>46753.0</v>
      </c>
      <c r="T81" s="30">
        <v>47118.0</v>
      </c>
      <c r="U81" s="31">
        <v>0.0</v>
      </c>
      <c r="V81" s="31">
        <v>1.0</v>
      </c>
      <c r="W81" s="32" t="s">
        <v>7043</v>
      </c>
      <c r="X81" s="30">
        <v>47119.0</v>
      </c>
      <c r="Y81" s="30">
        <v>47483.0</v>
      </c>
      <c r="Z81" s="31">
        <v>0.0</v>
      </c>
      <c r="AA81" s="31">
        <v>1.0</v>
      </c>
      <c r="AB81" s="32" t="s">
        <v>7043</v>
      </c>
      <c r="AC81" s="30">
        <v>47484.0</v>
      </c>
      <c r="AD81" s="30">
        <v>47848.0</v>
      </c>
      <c r="AE81" s="31">
        <v>0.0</v>
      </c>
      <c r="AF81" s="31">
        <v>1.0</v>
      </c>
      <c r="AG81" s="32" t="s">
        <v>7043</v>
      </c>
    </row>
    <row r="82" ht="14.25" customHeight="1">
      <c r="A82" s="28" t="s">
        <v>3336</v>
      </c>
      <c r="B82" s="29" t="s">
        <v>3337</v>
      </c>
      <c r="C82" s="29" t="s">
        <v>7041</v>
      </c>
      <c r="D82" s="30">
        <v>45658.0</v>
      </c>
      <c r="E82" s="30">
        <v>46022.0</v>
      </c>
      <c r="F82" s="31">
        <v>0.0</v>
      </c>
      <c r="G82" s="31">
        <v>1.0</v>
      </c>
      <c r="H82" s="32" t="s">
        <v>7043</v>
      </c>
      <c r="I82" s="30">
        <v>46023.0</v>
      </c>
      <c r="J82" s="30">
        <v>46387.0</v>
      </c>
      <c r="K82" s="31">
        <v>0.0</v>
      </c>
      <c r="L82" s="31">
        <v>1.0</v>
      </c>
      <c r="M82" s="32" t="s">
        <v>7043</v>
      </c>
      <c r="N82" s="30">
        <v>46388.0</v>
      </c>
      <c r="O82" s="30">
        <v>46752.0</v>
      </c>
      <c r="P82" s="31">
        <v>0.0</v>
      </c>
      <c r="Q82" s="31">
        <v>1.0</v>
      </c>
      <c r="R82" s="32" t="s">
        <v>7043</v>
      </c>
      <c r="S82" s="30">
        <v>46753.0</v>
      </c>
      <c r="T82" s="30">
        <v>47118.0</v>
      </c>
      <c r="U82" s="31">
        <v>0.0</v>
      </c>
      <c r="V82" s="31">
        <v>1.0</v>
      </c>
      <c r="W82" s="32" t="s">
        <v>7043</v>
      </c>
      <c r="X82" s="30">
        <v>47119.0</v>
      </c>
      <c r="Y82" s="30">
        <v>47483.0</v>
      </c>
      <c r="Z82" s="31">
        <v>0.0</v>
      </c>
      <c r="AA82" s="31">
        <v>1.0</v>
      </c>
      <c r="AB82" s="32" t="s">
        <v>7043</v>
      </c>
      <c r="AC82" s="30">
        <v>47484.0</v>
      </c>
      <c r="AD82" s="30">
        <v>47848.0</v>
      </c>
      <c r="AE82" s="31">
        <v>0.0</v>
      </c>
      <c r="AF82" s="31">
        <v>1.0</v>
      </c>
      <c r="AG82" s="32" t="s">
        <v>7043</v>
      </c>
    </row>
    <row r="83" ht="14.25" customHeight="1">
      <c r="A83" s="28" t="s">
        <v>4961</v>
      </c>
      <c r="B83" s="29" t="s">
        <v>4962</v>
      </c>
      <c r="C83" s="29" t="s">
        <v>7041</v>
      </c>
      <c r="D83" s="30">
        <v>45658.0</v>
      </c>
      <c r="E83" s="30">
        <v>46022.0</v>
      </c>
      <c r="F83" s="31">
        <v>1.0</v>
      </c>
      <c r="G83" s="31">
        <v>1.0</v>
      </c>
      <c r="H83" s="32" t="s">
        <v>7042</v>
      </c>
      <c r="I83" s="30">
        <v>46023.0</v>
      </c>
      <c r="J83" s="30">
        <v>46387.0</v>
      </c>
      <c r="K83" s="31">
        <v>0.0</v>
      </c>
      <c r="L83" s="31">
        <v>1.0</v>
      </c>
      <c r="M83" s="32" t="s">
        <v>7043</v>
      </c>
      <c r="N83" s="30">
        <v>46388.0</v>
      </c>
      <c r="O83" s="30">
        <v>46752.0</v>
      </c>
      <c r="P83" s="31">
        <v>0.0</v>
      </c>
      <c r="Q83" s="31">
        <v>1.0</v>
      </c>
      <c r="R83" s="32" t="s">
        <v>7043</v>
      </c>
      <c r="S83" s="30">
        <v>46753.0</v>
      </c>
      <c r="T83" s="30">
        <v>47118.0</v>
      </c>
      <c r="U83" s="31">
        <v>0.0</v>
      </c>
      <c r="V83" s="31">
        <v>1.0</v>
      </c>
      <c r="W83" s="32" t="s">
        <v>7043</v>
      </c>
      <c r="X83" s="30">
        <v>47119.0</v>
      </c>
      <c r="Y83" s="30">
        <v>47483.0</v>
      </c>
      <c r="Z83" s="31">
        <v>0.0</v>
      </c>
      <c r="AA83" s="31">
        <v>1.0</v>
      </c>
      <c r="AB83" s="32" t="s">
        <v>7043</v>
      </c>
      <c r="AC83" s="30">
        <v>47484.0</v>
      </c>
      <c r="AD83" s="30">
        <v>47848.0</v>
      </c>
      <c r="AE83" s="31">
        <v>0.0</v>
      </c>
      <c r="AF83" s="31">
        <v>1.0</v>
      </c>
      <c r="AG83" s="32" t="s">
        <v>7043</v>
      </c>
    </row>
    <row r="84" ht="14.25" customHeight="1">
      <c r="A84" s="28" t="s">
        <v>3173</v>
      </c>
      <c r="B84" s="29" t="s">
        <v>3174</v>
      </c>
      <c r="C84" s="29" t="s">
        <v>7041</v>
      </c>
      <c r="D84" s="30">
        <v>45658.0</v>
      </c>
      <c r="E84" s="30">
        <v>46022.0</v>
      </c>
      <c r="F84" s="31">
        <v>1.0</v>
      </c>
      <c r="G84" s="31">
        <v>1.0</v>
      </c>
      <c r="H84" s="33" t="s">
        <v>7042</v>
      </c>
      <c r="I84" s="30">
        <v>46023.0</v>
      </c>
      <c r="J84" s="30">
        <v>46387.0</v>
      </c>
      <c r="K84" s="31">
        <v>0.0</v>
      </c>
      <c r="L84" s="31">
        <v>1.0</v>
      </c>
      <c r="M84" s="32" t="s">
        <v>7043</v>
      </c>
      <c r="N84" s="30">
        <v>46388.0</v>
      </c>
      <c r="O84" s="30">
        <v>46752.0</v>
      </c>
      <c r="P84" s="31">
        <v>0.0</v>
      </c>
      <c r="Q84" s="31">
        <v>1.0</v>
      </c>
      <c r="R84" s="32" t="s">
        <v>7043</v>
      </c>
      <c r="S84" s="30">
        <v>46753.0</v>
      </c>
      <c r="T84" s="30">
        <v>47118.0</v>
      </c>
      <c r="U84" s="31">
        <v>0.0</v>
      </c>
      <c r="V84" s="31">
        <v>1.0</v>
      </c>
      <c r="W84" s="32" t="s">
        <v>7043</v>
      </c>
      <c r="X84" s="30">
        <v>47119.0</v>
      </c>
      <c r="Y84" s="30">
        <v>47483.0</v>
      </c>
      <c r="Z84" s="31">
        <v>0.0</v>
      </c>
      <c r="AA84" s="31">
        <v>1.0</v>
      </c>
      <c r="AB84" s="32" t="s">
        <v>7043</v>
      </c>
      <c r="AC84" s="30">
        <v>47484.0</v>
      </c>
      <c r="AD84" s="30">
        <v>47848.0</v>
      </c>
      <c r="AE84" s="31">
        <v>0.0</v>
      </c>
      <c r="AF84" s="31">
        <v>1.0</v>
      </c>
      <c r="AG84" s="32" t="s">
        <v>7043</v>
      </c>
    </row>
    <row r="85" ht="14.25" customHeight="1">
      <c r="A85" s="28" t="s">
        <v>2741</v>
      </c>
      <c r="B85" s="29" t="s">
        <v>2742</v>
      </c>
      <c r="C85" s="29" t="s">
        <v>7041</v>
      </c>
      <c r="D85" s="30">
        <v>45658.0</v>
      </c>
      <c r="E85" s="30">
        <v>46022.0</v>
      </c>
      <c r="F85" s="31">
        <v>0.0</v>
      </c>
      <c r="G85" s="31">
        <v>1.0</v>
      </c>
      <c r="H85" s="32" t="s">
        <v>7043</v>
      </c>
      <c r="I85" s="30">
        <v>46023.0</v>
      </c>
      <c r="J85" s="30">
        <v>46387.0</v>
      </c>
      <c r="K85" s="31">
        <v>0.0</v>
      </c>
      <c r="L85" s="31">
        <v>1.0</v>
      </c>
      <c r="M85" s="32" t="s">
        <v>7043</v>
      </c>
      <c r="N85" s="30">
        <v>46388.0</v>
      </c>
      <c r="O85" s="30">
        <v>46752.0</v>
      </c>
      <c r="P85" s="31">
        <v>0.0</v>
      </c>
      <c r="Q85" s="31">
        <v>1.0</v>
      </c>
      <c r="R85" s="32" t="s">
        <v>7043</v>
      </c>
      <c r="S85" s="30">
        <v>46753.0</v>
      </c>
      <c r="T85" s="30">
        <v>47118.0</v>
      </c>
      <c r="U85" s="31">
        <v>0.0</v>
      </c>
      <c r="V85" s="31">
        <v>1.0</v>
      </c>
      <c r="W85" s="32" t="s">
        <v>7043</v>
      </c>
      <c r="X85" s="30">
        <v>47119.0</v>
      </c>
      <c r="Y85" s="30">
        <v>47483.0</v>
      </c>
      <c r="Z85" s="31">
        <v>0.0</v>
      </c>
      <c r="AA85" s="31">
        <v>1.0</v>
      </c>
      <c r="AB85" s="32" t="s">
        <v>7043</v>
      </c>
      <c r="AC85" s="30">
        <v>47484.0</v>
      </c>
      <c r="AD85" s="30">
        <v>47848.0</v>
      </c>
      <c r="AE85" s="31">
        <v>0.0</v>
      </c>
      <c r="AF85" s="31">
        <v>1.0</v>
      </c>
      <c r="AG85" s="32" t="s">
        <v>7043</v>
      </c>
    </row>
    <row r="86" ht="14.25" customHeight="1">
      <c r="A86" s="28" t="s">
        <v>6026</v>
      </c>
      <c r="B86" s="29" t="s">
        <v>6027</v>
      </c>
      <c r="C86" s="29" t="s">
        <v>7041</v>
      </c>
      <c r="D86" s="30">
        <v>45658.0</v>
      </c>
      <c r="E86" s="30">
        <v>46022.0</v>
      </c>
      <c r="F86" s="31">
        <v>0.0</v>
      </c>
      <c r="G86" s="31">
        <v>1.0</v>
      </c>
      <c r="H86" s="32" t="s">
        <v>7043</v>
      </c>
      <c r="I86" s="30">
        <v>46023.0</v>
      </c>
      <c r="J86" s="30">
        <v>46387.0</v>
      </c>
      <c r="K86" s="31">
        <v>0.0</v>
      </c>
      <c r="L86" s="31">
        <v>1.0</v>
      </c>
      <c r="M86" s="32" t="s">
        <v>7043</v>
      </c>
      <c r="N86" s="30">
        <v>46388.0</v>
      </c>
      <c r="O86" s="30">
        <v>46752.0</v>
      </c>
      <c r="P86" s="31">
        <v>0.0</v>
      </c>
      <c r="Q86" s="31">
        <v>1.0</v>
      </c>
      <c r="R86" s="32" t="s">
        <v>7043</v>
      </c>
      <c r="S86" s="30">
        <v>46753.0</v>
      </c>
      <c r="T86" s="30">
        <v>47118.0</v>
      </c>
      <c r="U86" s="31">
        <v>0.0</v>
      </c>
      <c r="V86" s="31">
        <v>1.0</v>
      </c>
      <c r="W86" s="32" t="s">
        <v>7043</v>
      </c>
      <c r="X86" s="30">
        <v>47119.0</v>
      </c>
      <c r="Y86" s="30">
        <v>47483.0</v>
      </c>
      <c r="Z86" s="31">
        <v>0.0</v>
      </c>
      <c r="AA86" s="31">
        <v>1.0</v>
      </c>
      <c r="AB86" s="32" t="s">
        <v>7043</v>
      </c>
      <c r="AC86" s="30">
        <v>47484.0</v>
      </c>
      <c r="AD86" s="30">
        <v>47848.0</v>
      </c>
      <c r="AE86" s="31">
        <v>0.0</v>
      </c>
      <c r="AF86" s="31">
        <v>1.0</v>
      </c>
      <c r="AG86" s="32" t="s">
        <v>7043</v>
      </c>
    </row>
    <row r="87" ht="14.25" customHeight="1">
      <c r="A87" s="28" t="s">
        <v>3893</v>
      </c>
      <c r="B87" s="29" t="s">
        <v>3894</v>
      </c>
      <c r="C87" s="29" t="s">
        <v>7041</v>
      </c>
      <c r="D87" s="30">
        <v>45658.0</v>
      </c>
      <c r="E87" s="30">
        <v>46022.0</v>
      </c>
      <c r="F87" s="31">
        <v>0.0</v>
      </c>
      <c r="G87" s="31">
        <v>1.0</v>
      </c>
      <c r="H87" s="32" t="s">
        <v>7043</v>
      </c>
      <c r="I87" s="30">
        <v>46023.0</v>
      </c>
      <c r="J87" s="30">
        <v>46387.0</v>
      </c>
      <c r="K87" s="31">
        <v>0.0</v>
      </c>
      <c r="L87" s="31">
        <v>1.0</v>
      </c>
      <c r="M87" s="32" t="s">
        <v>7043</v>
      </c>
      <c r="N87" s="30">
        <v>46388.0</v>
      </c>
      <c r="O87" s="30">
        <v>46752.0</v>
      </c>
      <c r="P87" s="31">
        <v>0.0</v>
      </c>
      <c r="Q87" s="31">
        <v>1.0</v>
      </c>
      <c r="R87" s="32" t="s">
        <v>7043</v>
      </c>
      <c r="S87" s="30">
        <v>46753.0</v>
      </c>
      <c r="T87" s="30">
        <v>47118.0</v>
      </c>
      <c r="U87" s="31">
        <v>0.0</v>
      </c>
      <c r="V87" s="31">
        <v>1.0</v>
      </c>
      <c r="W87" s="32" t="s">
        <v>7043</v>
      </c>
      <c r="X87" s="30">
        <v>47119.0</v>
      </c>
      <c r="Y87" s="30">
        <v>47483.0</v>
      </c>
      <c r="Z87" s="31">
        <v>0.0</v>
      </c>
      <c r="AA87" s="31">
        <v>1.0</v>
      </c>
      <c r="AB87" s="32" t="s">
        <v>7043</v>
      </c>
      <c r="AC87" s="30">
        <v>47484.0</v>
      </c>
      <c r="AD87" s="30">
        <v>47848.0</v>
      </c>
      <c r="AE87" s="31">
        <v>0.0</v>
      </c>
      <c r="AF87" s="31">
        <v>1.0</v>
      </c>
      <c r="AG87" s="32" t="s">
        <v>7043</v>
      </c>
    </row>
    <row r="88" ht="14.25" customHeight="1">
      <c r="A88" s="28" t="s">
        <v>1366</v>
      </c>
      <c r="B88" s="29" t="s">
        <v>1367</v>
      </c>
      <c r="C88" s="29" t="s">
        <v>7041</v>
      </c>
      <c r="D88" s="30">
        <v>45658.0</v>
      </c>
      <c r="E88" s="30">
        <v>46022.0</v>
      </c>
      <c r="F88" s="31">
        <v>0.0</v>
      </c>
      <c r="G88" s="31">
        <v>1.0</v>
      </c>
      <c r="H88" s="32" t="s">
        <v>7043</v>
      </c>
      <c r="I88" s="30">
        <v>46023.0</v>
      </c>
      <c r="J88" s="30">
        <v>46387.0</v>
      </c>
      <c r="K88" s="31">
        <v>0.0</v>
      </c>
      <c r="L88" s="31">
        <v>1.0</v>
      </c>
      <c r="M88" s="32" t="s">
        <v>7043</v>
      </c>
      <c r="N88" s="30">
        <v>46388.0</v>
      </c>
      <c r="O88" s="30">
        <v>46752.0</v>
      </c>
      <c r="P88" s="31">
        <v>0.0</v>
      </c>
      <c r="Q88" s="31">
        <v>1.0</v>
      </c>
      <c r="R88" s="32" t="s">
        <v>7043</v>
      </c>
      <c r="S88" s="30">
        <v>46753.0</v>
      </c>
      <c r="T88" s="30">
        <v>47118.0</v>
      </c>
      <c r="U88" s="31">
        <v>0.0</v>
      </c>
      <c r="V88" s="31">
        <v>1.0</v>
      </c>
      <c r="W88" s="32" t="s">
        <v>7043</v>
      </c>
      <c r="X88" s="30">
        <v>47119.0</v>
      </c>
      <c r="Y88" s="30">
        <v>47483.0</v>
      </c>
      <c r="Z88" s="31">
        <v>0.0</v>
      </c>
      <c r="AA88" s="31">
        <v>1.0</v>
      </c>
      <c r="AB88" s="32" t="s">
        <v>7043</v>
      </c>
      <c r="AC88" s="30">
        <v>47484.0</v>
      </c>
      <c r="AD88" s="30">
        <v>47848.0</v>
      </c>
      <c r="AE88" s="31">
        <v>0.0</v>
      </c>
      <c r="AF88" s="31">
        <v>1.0</v>
      </c>
      <c r="AG88" s="32" t="s">
        <v>7043</v>
      </c>
    </row>
    <row r="89" ht="14.25" customHeight="1">
      <c r="A89" s="28" t="s">
        <v>6495</v>
      </c>
      <c r="B89" s="29" t="s">
        <v>6496</v>
      </c>
      <c r="C89" s="29" t="s">
        <v>7041</v>
      </c>
      <c r="D89" s="30">
        <v>45658.0</v>
      </c>
      <c r="E89" s="30">
        <v>46022.0</v>
      </c>
      <c r="F89" s="31">
        <v>1.0</v>
      </c>
      <c r="G89" s="31">
        <v>1.0</v>
      </c>
      <c r="H89" s="33" t="s">
        <v>7042</v>
      </c>
      <c r="I89" s="30">
        <v>46023.0</v>
      </c>
      <c r="J89" s="30">
        <v>46387.0</v>
      </c>
      <c r="K89" s="31">
        <v>0.0</v>
      </c>
      <c r="L89" s="31">
        <v>1.0</v>
      </c>
      <c r="M89" s="32" t="s">
        <v>7043</v>
      </c>
      <c r="N89" s="30">
        <v>46388.0</v>
      </c>
      <c r="O89" s="30">
        <v>46752.0</v>
      </c>
      <c r="P89" s="31">
        <v>0.0</v>
      </c>
      <c r="Q89" s="31">
        <v>1.0</v>
      </c>
      <c r="R89" s="32" t="s">
        <v>7043</v>
      </c>
      <c r="S89" s="30">
        <v>46753.0</v>
      </c>
      <c r="T89" s="30">
        <v>47118.0</v>
      </c>
      <c r="U89" s="31">
        <v>0.0</v>
      </c>
      <c r="V89" s="31">
        <v>1.0</v>
      </c>
      <c r="W89" s="32" t="s">
        <v>7043</v>
      </c>
      <c r="X89" s="30">
        <v>47119.0</v>
      </c>
      <c r="Y89" s="30">
        <v>47483.0</v>
      </c>
      <c r="Z89" s="31">
        <v>0.0</v>
      </c>
      <c r="AA89" s="31">
        <v>1.0</v>
      </c>
      <c r="AB89" s="32" t="s">
        <v>7043</v>
      </c>
      <c r="AC89" s="30">
        <v>47484.0</v>
      </c>
      <c r="AD89" s="30">
        <v>47848.0</v>
      </c>
      <c r="AE89" s="31">
        <v>0.0</v>
      </c>
      <c r="AF89" s="31">
        <v>1.0</v>
      </c>
      <c r="AG89" s="32" t="s">
        <v>7043</v>
      </c>
    </row>
    <row r="90" ht="14.25" customHeight="1">
      <c r="A90" s="28" t="s">
        <v>1873</v>
      </c>
      <c r="B90" s="29" t="s">
        <v>1874</v>
      </c>
      <c r="C90" s="29" t="s">
        <v>7041</v>
      </c>
      <c r="D90" s="30">
        <v>45658.0</v>
      </c>
      <c r="E90" s="30">
        <v>46022.0</v>
      </c>
      <c r="F90" s="31">
        <v>0.0</v>
      </c>
      <c r="G90" s="31">
        <v>1.0</v>
      </c>
      <c r="H90" s="32" t="s">
        <v>7043</v>
      </c>
      <c r="I90" s="30">
        <v>46023.0</v>
      </c>
      <c r="J90" s="30">
        <v>46387.0</v>
      </c>
      <c r="K90" s="31">
        <v>0.0</v>
      </c>
      <c r="L90" s="31">
        <v>1.0</v>
      </c>
      <c r="M90" s="32" t="s">
        <v>7043</v>
      </c>
      <c r="N90" s="30">
        <v>46388.0</v>
      </c>
      <c r="O90" s="30">
        <v>46752.0</v>
      </c>
      <c r="P90" s="31">
        <v>0.0</v>
      </c>
      <c r="Q90" s="31">
        <v>1.0</v>
      </c>
      <c r="R90" s="32" t="s">
        <v>7043</v>
      </c>
      <c r="S90" s="30">
        <v>46753.0</v>
      </c>
      <c r="T90" s="30">
        <v>47118.0</v>
      </c>
      <c r="U90" s="31">
        <v>0.0</v>
      </c>
      <c r="V90" s="31">
        <v>1.0</v>
      </c>
      <c r="W90" s="32" t="s">
        <v>7043</v>
      </c>
      <c r="X90" s="30">
        <v>47119.0</v>
      </c>
      <c r="Y90" s="30">
        <v>47483.0</v>
      </c>
      <c r="Z90" s="31">
        <v>0.0</v>
      </c>
      <c r="AA90" s="31">
        <v>1.0</v>
      </c>
      <c r="AB90" s="32" t="s">
        <v>7043</v>
      </c>
      <c r="AC90" s="30">
        <v>47484.0</v>
      </c>
      <c r="AD90" s="30">
        <v>47848.0</v>
      </c>
      <c r="AE90" s="31">
        <v>0.0</v>
      </c>
      <c r="AF90" s="31">
        <v>1.0</v>
      </c>
      <c r="AG90" s="32" t="s">
        <v>7043</v>
      </c>
    </row>
    <row r="91" ht="14.25" customHeight="1">
      <c r="A91" s="28" t="s">
        <v>1667</v>
      </c>
      <c r="B91" s="29" t="s">
        <v>1668</v>
      </c>
      <c r="C91" s="29" t="s">
        <v>7041</v>
      </c>
      <c r="D91" s="30">
        <v>45658.0</v>
      </c>
      <c r="E91" s="30">
        <v>46022.0</v>
      </c>
      <c r="F91" s="31">
        <v>1.0</v>
      </c>
      <c r="G91" s="31">
        <v>1.0</v>
      </c>
      <c r="H91" s="33" t="s">
        <v>7042</v>
      </c>
      <c r="I91" s="30">
        <v>46023.0</v>
      </c>
      <c r="J91" s="30">
        <v>46387.0</v>
      </c>
      <c r="K91" s="31">
        <v>0.0</v>
      </c>
      <c r="L91" s="31">
        <v>1.0</v>
      </c>
      <c r="M91" s="32" t="s">
        <v>7043</v>
      </c>
      <c r="N91" s="30">
        <v>46388.0</v>
      </c>
      <c r="O91" s="30">
        <v>46752.0</v>
      </c>
      <c r="P91" s="31">
        <v>0.0</v>
      </c>
      <c r="Q91" s="31">
        <v>1.0</v>
      </c>
      <c r="R91" s="32" t="s">
        <v>7043</v>
      </c>
      <c r="S91" s="30">
        <v>46753.0</v>
      </c>
      <c r="T91" s="30">
        <v>47118.0</v>
      </c>
      <c r="U91" s="31">
        <v>0.0</v>
      </c>
      <c r="V91" s="31">
        <v>1.0</v>
      </c>
      <c r="W91" s="32" t="s">
        <v>7043</v>
      </c>
      <c r="X91" s="30">
        <v>47119.0</v>
      </c>
      <c r="Y91" s="30">
        <v>47483.0</v>
      </c>
      <c r="Z91" s="31">
        <v>0.0</v>
      </c>
      <c r="AA91" s="31">
        <v>1.0</v>
      </c>
      <c r="AB91" s="32" t="s">
        <v>7043</v>
      </c>
      <c r="AC91" s="30">
        <v>47484.0</v>
      </c>
      <c r="AD91" s="30">
        <v>47848.0</v>
      </c>
      <c r="AE91" s="31">
        <v>0.0</v>
      </c>
      <c r="AF91" s="31">
        <v>1.0</v>
      </c>
      <c r="AG91" s="32" t="s">
        <v>7043</v>
      </c>
    </row>
    <row r="92" ht="14.25" customHeight="1">
      <c r="A92" s="28" t="s">
        <v>6018</v>
      </c>
      <c r="B92" s="29" t="s">
        <v>6019</v>
      </c>
      <c r="C92" s="29" t="s">
        <v>7041</v>
      </c>
      <c r="D92" s="30">
        <v>45658.0</v>
      </c>
      <c r="E92" s="30">
        <v>46022.0</v>
      </c>
      <c r="F92" s="31">
        <v>1.0</v>
      </c>
      <c r="G92" s="31">
        <v>1.0</v>
      </c>
      <c r="H92" s="33" t="s">
        <v>7042</v>
      </c>
      <c r="I92" s="30">
        <v>46023.0</v>
      </c>
      <c r="J92" s="30">
        <v>46387.0</v>
      </c>
      <c r="K92" s="31">
        <v>0.0</v>
      </c>
      <c r="L92" s="31">
        <v>1.0</v>
      </c>
      <c r="M92" s="32" t="s">
        <v>7043</v>
      </c>
      <c r="N92" s="30">
        <v>46388.0</v>
      </c>
      <c r="O92" s="30">
        <v>46752.0</v>
      </c>
      <c r="P92" s="31">
        <v>0.0</v>
      </c>
      <c r="Q92" s="31">
        <v>1.0</v>
      </c>
      <c r="R92" s="32" t="s">
        <v>7043</v>
      </c>
      <c r="S92" s="30">
        <v>46753.0</v>
      </c>
      <c r="T92" s="30">
        <v>47118.0</v>
      </c>
      <c r="U92" s="31">
        <v>0.0</v>
      </c>
      <c r="V92" s="31">
        <v>1.0</v>
      </c>
      <c r="W92" s="32" t="s">
        <v>7043</v>
      </c>
      <c r="X92" s="30">
        <v>47119.0</v>
      </c>
      <c r="Y92" s="30">
        <v>47483.0</v>
      </c>
      <c r="Z92" s="31">
        <v>0.0</v>
      </c>
      <c r="AA92" s="31">
        <v>1.0</v>
      </c>
      <c r="AB92" s="32" t="s">
        <v>7043</v>
      </c>
      <c r="AC92" s="30">
        <v>47484.0</v>
      </c>
      <c r="AD92" s="30">
        <v>47848.0</v>
      </c>
      <c r="AE92" s="31">
        <v>0.0</v>
      </c>
      <c r="AF92" s="31">
        <v>1.0</v>
      </c>
      <c r="AG92" s="32" t="s">
        <v>7043</v>
      </c>
    </row>
    <row r="93" ht="14.25" customHeight="1">
      <c r="A93" s="28" t="s">
        <v>3155</v>
      </c>
      <c r="B93" s="29" t="s">
        <v>3156</v>
      </c>
      <c r="C93" s="29" t="s">
        <v>7041</v>
      </c>
      <c r="D93" s="30">
        <v>45658.0</v>
      </c>
      <c r="E93" s="30">
        <v>46022.0</v>
      </c>
      <c r="F93" s="31">
        <v>1.0</v>
      </c>
      <c r="G93" s="31">
        <v>1.0</v>
      </c>
      <c r="H93" s="33" t="s">
        <v>7042</v>
      </c>
      <c r="I93" s="30">
        <v>46023.0</v>
      </c>
      <c r="J93" s="30">
        <v>46387.0</v>
      </c>
      <c r="K93" s="31">
        <v>0.0</v>
      </c>
      <c r="L93" s="31">
        <v>1.0</v>
      </c>
      <c r="M93" s="32" t="s">
        <v>7043</v>
      </c>
      <c r="N93" s="30">
        <v>46388.0</v>
      </c>
      <c r="O93" s="30">
        <v>46752.0</v>
      </c>
      <c r="P93" s="31">
        <v>0.0</v>
      </c>
      <c r="Q93" s="31">
        <v>1.0</v>
      </c>
      <c r="R93" s="32" t="s">
        <v>7043</v>
      </c>
      <c r="S93" s="30">
        <v>46753.0</v>
      </c>
      <c r="T93" s="30">
        <v>47118.0</v>
      </c>
      <c r="U93" s="31">
        <v>0.0</v>
      </c>
      <c r="V93" s="31">
        <v>1.0</v>
      </c>
      <c r="W93" s="32" t="s">
        <v>7043</v>
      </c>
      <c r="X93" s="30">
        <v>47119.0</v>
      </c>
      <c r="Y93" s="30">
        <v>47483.0</v>
      </c>
      <c r="Z93" s="31">
        <v>0.0</v>
      </c>
      <c r="AA93" s="31">
        <v>1.0</v>
      </c>
      <c r="AB93" s="32" t="s">
        <v>7043</v>
      </c>
      <c r="AC93" s="30">
        <v>47484.0</v>
      </c>
      <c r="AD93" s="30">
        <v>47848.0</v>
      </c>
      <c r="AE93" s="31">
        <v>0.0</v>
      </c>
      <c r="AF93" s="31">
        <v>1.0</v>
      </c>
      <c r="AG93" s="32" t="s">
        <v>7043</v>
      </c>
    </row>
    <row r="94" ht="14.25" customHeight="1">
      <c r="A94" s="28" t="s">
        <v>6461</v>
      </c>
      <c r="B94" s="29" t="s">
        <v>6462</v>
      </c>
      <c r="C94" s="29" t="s">
        <v>7041</v>
      </c>
      <c r="D94" s="30">
        <v>45658.0</v>
      </c>
      <c r="E94" s="30">
        <v>46022.0</v>
      </c>
      <c r="F94" s="31">
        <v>1.0</v>
      </c>
      <c r="G94" s="31">
        <v>1.0</v>
      </c>
      <c r="H94" s="33" t="s">
        <v>7042</v>
      </c>
      <c r="I94" s="30">
        <v>46023.0</v>
      </c>
      <c r="J94" s="30">
        <v>46387.0</v>
      </c>
      <c r="K94" s="31">
        <v>0.0</v>
      </c>
      <c r="L94" s="31">
        <v>1.0</v>
      </c>
      <c r="M94" s="32" t="s">
        <v>7043</v>
      </c>
      <c r="N94" s="30">
        <v>46388.0</v>
      </c>
      <c r="O94" s="30">
        <v>46752.0</v>
      </c>
      <c r="P94" s="31">
        <v>0.0</v>
      </c>
      <c r="Q94" s="31">
        <v>1.0</v>
      </c>
      <c r="R94" s="32" t="s">
        <v>7043</v>
      </c>
      <c r="S94" s="30">
        <v>46753.0</v>
      </c>
      <c r="T94" s="30">
        <v>47118.0</v>
      </c>
      <c r="U94" s="31">
        <v>0.0</v>
      </c>
      <c r="V94" s="31">
        <v>1.0</v>
      </c>
      <c r="W94" s="32" t="s">
        <v>7043</v>
      </c>
      <c r="X94" s="30">
        <v>47119.0</v>
      </c>
      <c r="Y94" s="30">
        <v>47483.0</v>
      </c>
      <c r="Z94" s="31">
        <v>0.0</v>
      </c>
      <c r="AA94" s="31">
        <v>1.0</v>
      </c>
      <c r="AB94" s="32" t="s">
        <v>7043</v>
      </c>
      <c r="AC94" s="30">
        <v>47484.0</v>
      </c>
      <c r="AD94" s="30">
        <v>47848.0</v>
      </c>
      <c r="AE94" s="31">
        <v>0.0</v>
      </c>
      <c r="AF94" s="31">
        <v>1.0</v>
      </c>
      <c r="AG94" s="32" t="s">
        <v>7043</v>
      </c>
    </row>
    <row r="95" ht="14.25" customHeight="1">
      <c r="A95" s="28" t="s">
        <v>6464</v>
      </c>
      <c r="B95" s="29" t="s">
        <v>6465</v>
      </c>
      <c r="C95" s="29" t="s">
        <v>7041</v>
      </c>
      <c r="D95" s="30">
        <v>45658.0</v>
      </c>
      <c r="E95" s="30">
        <v>46022.0</v>
      </c>
      <c r="F95" s="31">
        <v>1.0</v>
      </c>
      <c r="G95" s="31">
        <v>1.0</v>
      </c>
      <c r="H95" s="33" t="s">
        <v>7042</v>
      </c>
      <c r="I95" s="30">
        <v>46023.0</v>
      </c>
      <c r="J95" s="30">
        <v>46387.0</v>
      </c>
      <c r="K95" s="31">
        <v>0.0</v>
      </c>
      <c r="L95" s="31">
        <v>1.0</v>
      </c>
      <c r="M95" s="32" t="s">
        <v>7043</v>
      </c>
      <c r="N95" s="30">
        <v>46388.0</v>
      </c>
      <c r="O95" s="30">
        <v>46752.0</v>
      </c>
      <c r="P95" s="31">
        <v>0.0</v>
      </c>
      <c r="Q95" s="31">
        <v>1.0</v>
      </c>
      <c r="R95" s="32" t="s">
        <v>7043</v>
      </c>
      <c r="S95" s="30">
        <v>46753.0</v>
      </c>
      <c r="T95" s="30">
        <v>47118.0</v>
      </c>
      <c r="U95" s="31">
        <v>0.0</v>
      </c>
      <c r="V95" s="31">
        <v>1.0</v>
      </c>
      <c r="W95" s="32" t="s">
        <v>7043</v>
      </c>
      <c r="X95" s="30">
        <v>47119.0</v>
      </c>
      <c r="Y95" s="30">
        <v>47483.0</v>
      </c>
      <c r="Z95" s="31">
        <v>0.0</v>
      </c>
      <c r="AA95" s="31">
        <v>1.0</v>
      </c>
      <c r="AB95" s="32" t="s">
        <v>7043</v>
      </c>
      <c r="AC95" s="30">
        <v>47484.0</v>
      </c>
      <c r="AD95" s="30">
        <v>47848.0</v>
      </c>
      <c r="AE95" s="31">
        <v>0.0</v>
      </c>
      <c r="AF95" s="31">
        <v>1.0</v>
      </c>
      <c r="AG95" s="32" t="s">
        <v>7043</v>
      </c>
    </row>
    <row r="96" ht="14.25" customHeight="1">
      <c r="A96" s="28" t="s">
        <v>3234</v>
      </c>
      <c r="B96" s="29" t="s">
        <v>3235</v>
      </c>
      <c r="C96" s="29" t="s">
        <v>7041</v>
      </c>
      <c r="D96" s="30">
        <v>45658.0</v>
      </c>
      <c r="E96" s="30">
        <v>46022.0</v>
      </c>
      <c r="F96" s="31">
        <v>0.0</v>
      </c>
      <c r="G96" s="31">
        <v>1.0</v>
      </c>
      <c r="H96" s="32" t="s">
        <v>7043</v>
      </c>
      <c r="I96" s="30">
        <v>46023.0</v>
      </c>
      <c r="J96" s="30">
        <v>46387.0</v>
      </c>
      <c r="K96" s="31">
        <v>0.0</v>
      </c>
      <c r="L96" s="31">
        <v>1.0</v>
      </c>
      <c r="M96" s="32" t="s">
        <v>7043</v>
      </c>
      <c r="N96" s="30">
        <v>46388.0</v>
      </c>
      <c r="O96" s="30">
        <v>46752.0</v>
      </c>
      <c r="P96" s="31">
        <v>0.0</v>
      </c>
      <c r="Q96" s="31">
        <v>1.0</v>
      </c>
      <c r="R96" s="32" t="s">
        <v>7043</v>
      </c>
      <c r="S96" s="30">
        <v>46753.0</v>
      </c>
      <c r="T96" s="30">
        <v>47118.0</v>
      </c>
      <c r="U96" s="31">
        <v>0.0</v>
      </c>
      <c r="V96" s="31">
        <v>1.0</v>
      </c>
      <c r="W96" s="32" t="s">
        <v>7043</v>
      </c>
      <c r="X96" s="30">
        <v>47119.0</v>
      </c>
      <c r="Y96" s="30">
        <v>47483.0</v>
      </c>
      <c r="Z96" s="31">
        <v>0.0</v>
      </c>
      <c r="AA96" s="31">
        <v>1.0</v>
      </c>
      <c r="AB96" s="32" t="s">
        <v>7043</v>
      </c>
      <c r="AC96" s="30">
        <v>47484.0</v>
      </c>
      <c r="AD96" s="30">
        <v>47848.0</v>
      </c>
      <c r="AE96" s="31">
        <v>0.0</v>
      </c>
      <c r="AF96" s="31">
        <v>1.0</v>
      </c>
      <c r="AG96" s="32" t="s">
        <v>7043</v>
      </c>
    </row>
    <row r="97" ht="14.25" customHeight="1">
      <c r="A97" s="28" t="s">
        <v>2105</v>
      </c>
      <c r="B97" s="29" t="s">
        <v>2106</v>
      </c>
      <c r="C97" s="29" t="s">
        <v>7041</v>
      </c>
      <c r="D97" s="30">
        <v>45658.0</v>
      </c>
      <c r="E97" s="30">
        <v>46022.0</v>
      </c>
      <c r="F97" s="31">
        <v>0.0</v>
      </c>
      <c r="G97" s="31">
        <v>1.0</v>
      </c>
      <c r="H97" s="32" t="s">
        <v>7043</v>
      </c>
      <c r="I97" s="30">
        <v>46023.0</v>
      </c>
      <c r="J97" s="30">
        <v>46387.0</v>
      </c>
      <c r="K97" s="31">
        <v>0.0</v>
      </c>
      <c r="L97" s="31">
        <v>1.0</v>
      </c>
      <c r="M97" s="32" t="s">
        <v>7043</v>
      </c>
      <c r="N97" s="30">
        <v>46388.0</v>
      </c>
      <c r="O97" s="30">
        <v>46752.0</v>
      </c>
      <c r="P97" s="31">
        <v>0.0</v>
      </c>
      <c r="Q97" s="31">
        <v>1.0</v>
      </c>
      <c r="R97" s="32" t="s">
        <v>7043</v>
      </c>
      <c r="S97" s="30">
        <v>46753.0</v>
      </c>
      <c r="T97" s="30">
        <v>47118.0</v>
      </c>
      <c r="U97" s="31">
        <v>0.0</v>
      </c>
      <c r="V97" s="31">
        <v>1.0</v>
      </c>
      <c r="W97" s="32" t="s">
        <v>7043</v>
      </c>
      <c r="X97" s="30">
        <v>47119.0</v>
      </c>
      <c r="Y97" s="30">
        <v>47483.0</v>
      </c>
      <c r="Z97" s="31">
        <v>0.0</v>
      </c>
      <c r="AA97" s="31">
        <v>1.0</v>
      </c>
      <c r="AB97" s="32" t="s">
        <v>7043</v>
      </c>
      <c r="AC97" s="30">
        <v>47484.0</v>
      </c>
      <c r="AD97" s="30">
        <v>47848.0</v>
      </c>
      <c r="AE97" s="31">
        <v>0.0</v>
      </c>
      <c r="AF97" s="31">
        <v>1.0</v>
      </c>
      <c r="AG97" s="32" t="s">
        <v>7043</v>
      </c>
    </row>
    <row r="98" ht="14.25" customHeight="1">
      <c r="A98" s="28" t="s">
        <v>5272</v>
      </c>
      <c r="B98" s="29" t="s">
        <v>5273</v>
      </c>
      <c r="C98" s="29" t="s">
        <v>7041</v>
      </c>
      <c r="D98" s="30">
        <v>45658.0</v>
      </c>
      <c r="E98" s="30">
        <v>46022.0</v>
      </c>
      <c r="F98" s="31">
        <v>1.0</v>
      </c>
      <c r="G98" s="31">
        <v>1.0</v>
      </c>
      <c r="H98" s="33" t="s">
        <v>7042</v>
      </c>
      <c r="I98" s="30">
        <v>46023.0</v>
      </c>
      <c r="J98" s="30">
        <v>46387.0</v>
      </c>
      <c r="K98" s="31">
        <v>0.0</v>
      </c>
      <c r="L98" s="31">
        <v>1.0</v>
      </c>
      <c r="M98" s="32" t="s">
        <v>7043</v>
      </c>
      <c r="N98" s="30">
        <v>46388.0</v>
      </c>
      <c r="O98" s="30">
        <v>46752.0</v>
      </c>
      <c r="P98" s="31">
        <v>0.0</v>
      </c>
      <c r="Q98" s="31">
        <v>1.0</v>
      </c>
      <c r="R98" s="32" t="s">
        <v>7043</v>
      </c>
      <c r="S98" s="30">
        <v>46753.0</v>
      </c>
      <c r="T98" s="30">
        <v>47118.0</v>
      </c>
      <c r="U98" s="31">
        <v>0.0</v>
      </c>
      <c r="V98" s="31">
        <v>1.0</v>
      </c>
      <c r="W98" s="32" t="s">
        <v>7043</v>
      </c>
      <c r="X98" s="30">
        <v>47119.0</v>
      </c>
      <c r="Y98" s="30">
        <v>47483.0</v>
      </c>
      <c r="Z98" s="31">
        <v>0.0</v>
      </c>
      <c r="AA98" s="31">
        <v>1.0</v>
      </c>
      <c r="AB98" s="32" t="s">
        <v>7043</v>
      </c>
      <c r="AC98" s="30">
        <v>47484.0</v>
      </c>
      <c r="AD98" s="30">
        <v>47848.0</v>
      </c>
      <c r="AE98" s="31">
        <v>0.0</v>
      </c>
      <c r="AF98" s="31">
        <v>1.0</v>
      </c>
      <c r="AG98" s="32" t="s">
        <v>7043</v>
      </c>
    </row>
    <row r="99" ht="14.25" customHeight="1">
      <c r="A99" s="28" t="s">
        <v>6300</v>
      </c>
      <c r="B99" s="29" t="s">
        <v>6301</v>
      </c>
      <c r="C99" s="29" t="s">
        <v>7041</v>
      </c>
      <c r="D99" s="30">
        <v>45658.0</v>
      </c>
      <c r="E99" s="30">
        <v>46022.0</v>
      </c>
      <c r="F99" s="31">
        <v>1.0</v>
      </c>
      <c r="G99" s="31">
        <v>1.0</v>
      </c>
      <c r="H99" s="33" t="s">
        <v>7042</v>
      </c>
      <c r="I99" s="30">
        <v>46023.0</v>
      </c>
      <c r="J99" s="30">
        <v>46387.0</v>
      </c>
      <c r="K99" s="31">
        <v>0.0</v>
      </c>
      <c r="L99" s="31">
        <v>1.0</v>
      </c>
      <c r="M99" s="32" t="s">
        <v>7043</v>
      </c>
      <c r="N99" s="30">
        <v>46388.0</v>
      </c>
      <c r="O99" s="30">
        <v>46752.0</v>
      </c>
      <c r="P99" s="31">
        <v>0.0</v>
      </c>
      <c r="Q99" s="31">
        <v>1.0</v>
      </c>
      <c r="R99" s="32" t="s">
        <v>7043</v>
      </c>
      <c r="S99" s="30">
        <v>46753.0</v>
      </c>
      <c r="T99" s="30">
        <v>47118.0</v>
      </c>
      <c r="U99" s="31">
        <v>0.0</v>
      </c>
      <c r="V99" s="31">
        <v>1.0</v>
      </c>
      <c r="W99" s="32" t="s">
        <v>7043</v>
      </c>
      <c r="X99" s="30">
        <v>47119.0</v>
      </c>
      <c r="Y99" s="30">
        <v>47483.0</v>
      </c>
      <c r="Z99" s="31">
        <v>0.0</v>
      </c>
      <c r="AA99" s="31">
        <v>1.0</v>
      </c>
      <c r="AB99" s="32" t="s">
        <v>7043</v>
      </c>
      <c r="AC99" s="30">
        <v>47484.0</v>
      </c>
      <c r="AD99" s="30">
        <v>47848.0</v>
      </c>
      <c r="AE99" s="31">
        <v>0.0</v>
      </c>
      <c r="AF99" s="31">
        <v>1.0</v>
      </c>
      <c r="AG99" s="32" t="s">
        <v>7043</v>
      </c>
    </row>
    <row r="100" ht="14.25" customHeight="1">
      <c r="A100" s="28" t="s">
        <v>2608</v>
      </c>
      <c r="B100" s="29" t="s">
        <v>2609</v>
      </c>
      <c r="C100" s="29" t="s">
        <v>7041</v>
      </c>
      <c r="D100" s="30">
        <v>45658.0</v>
      </c>
      <c r="E100" s="30">
        <v>46022.0</v>
      </c>
      <c r="F100" s="31">
        <v>1.0</v>
      </c>
      <c r="G100" s="31">
        <v>1.0</v>
      </c>
      <c r="H100" s="33" t="s">
        <v>7042</v>
      </c>
      <c r="I100" s="30">
        <v>46023.0</v>
      </c>
      <c r="J100" s="30">
        <v>46387.0</v>
      </c>
      <c r="K100" s="31">
        <v>0.0</v>
      </c>
      <c r="L100" s="31">
        <v>1.0</v>
      </c>
      <c r="M100" s="32" t="s">
        <v>7043</v>
      </c>
      <c r="N100" s="30">
        <v>46388.0</v>
      </c>
      <c r="O100" s="30">
        <v>46752.0</v>
      </c>
      <c r="P100" s="31">
        <v>0.0</v>
      </c>
      <c r="Q100" s="31">
        <v>1.0</v>
      </c>
      <c r="R100" s="32" t="s">
        <v>7043</v>
      </c>
      <c r="S100" s="30">
        <v>46753.0</v>
      </c>
      <c r="T100" s="30">
        <v>47118.0</v>
      </c>
      <c r="U100" s="31">
        <v>0.0</v>
      </c>
      <c r="V100" s="31">
        <v>1.0</v>
      </c>
      <c r="W100" s="32" t="s">
        <v>7043</v>
      </c>
      <c r="X100" s="30">
        <v>47119.0</v>
      </c>
      <c r="Y100" s="30">
        <v>47483.0</v>
      </c>
      <c r="Z100" s="31">
        <v>0.0</v>
      </c>
      <c r="AA100" s="31">
        <v>1.0</v>
      </c>
      <c r="AB100" s="32" t="s">
        <v>7043</v>
      </c>
      <c r="AC100" s="30">
        <v>47484.0</v>
      </c>
      <c r="AD100" s="30">
        <v>47848.0</v>
      </c>
      <c r="AE100" s="31">
        <v>0.0</v>
      </c>
      <c r="AF100" s="31">
        <v>1.0</v>
      </c>
      <c r="AG100" s="32" t="s">
        <v>7043</v>
      </c>
    </row>
    <row r="101" ht="14.25" customHeight="1">
      <c r="A101" s="28" t="s">
        <v>5450</v>
      </c>
      <c r="B101" s="29" t="s">
        <v>5451</v>
      </c>
      <c r="C101" s="29" t="s">
        <v>7041</v>
      </c>
      <c r="D101" s="30">
        <v>45658.0</v>
      </c>
      <c r="E101" s="30">
        <v>46022.0</v>
      </c>
      <c r="F101" s="31">
        <v>1.0</v>
      </c>
      <c r="G101" s="31">
        <v>1.0</v>
      </c>
      <c r="H101" s="33" t="s">
        <v>7042</v>
      </c>
      <c r="I101" s="30">
        <v>46023.0</v>
      </c>
      <c r="J101" s="30">
        <v>46387.0</v>
      </c>
      <c r="K101" s="31">
        <v>0.0</v>
      </c>
      <c r="L101" s="31">
        <v>1.0</v>
      </c>
      <c r="M101" s="32" t="s">
        <v>7043</v>
      </c>
      <c r="N101" s="30">
        <v>46388.0</v>
      </c>
      <c r="O101" s="30">
        <v>46752.0</v>
      </c>
      <c r="P101" s="31">
        <v>0.0</v>
      </c>
      <c r="Q101" s="31">
        <v>1.0</v>
      </c>
      <c r="R101" s="32" t="s">
        <v>7043</v>
      </c>
      <c r="S101" s="30">
        <v>46753.0</v>
      </c>
      <c r="T101" s="30">
        <v>47118.0</v>
      </c>
      <c r="U101" s="31">
        <v>0.0</v>
      </c>
      <c r="V101" s="31">
        <v>1.0</v>
      </c>
      <c r="W101" s="32" t="s">
        <v>7043</v>
      </c>
      <c r="X101" s="30">
        <v>47119.0</v>
      </c>
      <c r="Y101" s="30">
        <v>47483.0</v>
      </c>
      <c r="Z101" s="31">
        <v>0.0</v>
      </c>
      <c r="AA101" s="31">
        <v>1.0</v>
      </c>
      <c r="AB101" s="32" t="s">
        <v>7043</v>
      </c>
      <c r="AC101" s="30">
        <v>47484.0</v>
      </c>
      <c r="AD101" s="30">
        <v>47848.0</v>
      </c>
      <c r="AE101" s="31">
        <v>0.0</v>
      </c>
      <c r="AF101" s="31">
        <v>1.0</v>
      </c>
      <c r="AG101" s="32" t="s">
        <v>7043</v>
      </c>
    </row>
    <row r="102" ht="14.25" customHeight="1">
      <c r="A102" s="28" t="s">
        <v>6583</v>
      </c>
      <c r="B102" s="29" t="s">
        <v>6584</v>
      </c>
      <c r="C102" s="29" t="s">
        <v>7041</v>
      </c>
      <c r="D102" s="30">
        <v>45658.0</v>
      </c>
      <c r="E102" s="30">
        <v>46022.0</v>
      </c>
      <c r="F102" s="31">
        <v>0.0</v>
      </c>
      <c r="G102" s="31">
        <v>1.0</v>
      </c>
      <c r="H102" s="32" t="s">
        <v>7043</v>
      </c>
      <c r="I102" s="30">
        <v>46023.0</v>
      </c>
      <c r="J102" s="30">
        <v>46387.0</v>
      </c>
      <c r="K102" s="31">
        <v>0.0</v>
      </c>
      <c r="L102" s="31">
        <v>1.0</v>
      </c>
      <c r="M102" s="32" t="s">
        <v>7043</v>
      </c>
      <c r="N102" s="30">
        <v>46388.0</v>
      </c>
      <c r="O102" s="30">
        <v>46752.0</v>
      </c>
      <c r="P102" s="31">
        <v>0.0</v>
      </c>
      <c r="Q102" s="31">
        <v>1.0</v>
      </c>
      <c r="R102" s="32" t="s">
        <v>7043</v>
      </c>
      <c r="S102" s="30">
        <v>46753.0</v>
      </c>
      <c r="T102" s="30">
        <v>47118.0</v>
      </c>
      <c r="U102" s="31">
        <v>0.0</v>
      </c>
      <c r="V102" s="31">
        <v>1.0</v>
      </c>
      <c r="W102" s="32" t="s">
        <v>7043</v>
      </c>
      <c r="X102" s="30">
        <v>47119.0</v>
      </c>
      <c r="Y102" s="30">
        <v>47483.0</v>
      </c>
      <c r="Z102" s="31">
        <v>0.0</v>
      </c>
      <c r="AA102" s="31">
        <v>1.0</v>
      </c>
      <c r="AB102" s="32" t="s">
        <v>7043</v>
      </c>
      <c r="AC102" s="30">
        <v>47484.0</v>
      </c>
      <c r="AD102" s="30">
        <v>47848.0</v>
      </c>
      <c r="AE102" s="31">
        <v>0.0</v>
      </c>
      <c r="AF102" s="31">
        <v>1.0</v>
      </c>
      <c r="AG102" s="32" t="s">
        <v>7043</v>
      </c>
    </row>
    <row r="103" ht="14.25" customHeight="1">
      <c r="A103" s="28" t="s">
        <v>6089</v>
      </c>
      <c r="B103" s="29" t="s">
        <v>6090</v>
      </c>
      <c r="C103" s="29" t="s">
        <v>7041</v>
      </c>
      <c r="D103" s="30">
        <v>45658.0</v>
      </c>
      <c r="E103" s="30">
        <v>46022.0</v>
      </c>
      <c r="F103" s="31">
        <v>0.0</v>
      </c>
      <c r="G103" s="31">
        <v>1.0</v>
      </c>
      <c r="H103" s="32" t="s">
        <v>7043</v>
      </c>
      <c r="I103" s="30">
        <v>46023.0</v>
      </c>
      <c r="J103" s="30">
        <v>46387.0</v>
      </c>
      <c r="K103" s="31">
        <v>0.0</v>
      </c>
      <c r="L103" s="31">
        <v>1.0</v>
      </c>
      <c r="M103" s="32" t="s">
        <v>7043</v>
      </c>
      <c r="N103" s="30">
        <v>46388.0</v>
      </c>
      <c r="O103" s="30">
        <v>46752.0</v>
      </c>
      <c r="P103" s="31">
        <v>0.0</v>
      </c>
      <c r="Q103" s="31">
        <v>1.0</v>
      </c>
      <c r="R103" s="32" t="s">
        <v>7043</v>
      </c>
      <c r="S103" s="30">
        <v>46753.0</v>
      </c>
      <c r="T103" s="30">
        <v>47118.0</v>
      </c>
      <c r="U103" s="31">
        <v>0.0</v>
      </c>
      <c r="V103" s="31">
        <v>1.0</v>
      </c>
      <c r="W103" s="32" t="s">
        <v>7043</v>
      </c>
      <c r="X103" s="30">
        <v>47119.0</v>
      </c>
      <c r="Y103" s="30">
        <v>47483.0</v>
      </c>
      <c r="Z103" s="31">
        <v>0.0</v>
      </c>
      <c r="AA103" s="31">
        <v>1.0</v>
      </c>
      <c r="AB103" s="32" t="s">
        <v>7043</v>
      </c>
      <c r="AC103" s="30">
        <v>47484.0</v>
      </c>
      <c r="AD103" s="30">
        <v>47848.0</v>
      </c>
      <c r="AE103" s="31">
        <v>0.0</v>
      </c>
      <c r="AF103" s="31">
        <v>1.0</v>
      </c>
      <c r="AG103" s="32" t="s">
        <v>7043</v>
      </c>
    </row>
    <row r="104" ht="14.25" customHeight="1">
      <c r="A104" s="28" t="s">
        <v>2234</v>
      </c>
      <c r="B104" s="29" t="s">
        <v>2235</v>
      </c>
      <c r="C104" s="29" t="s">
        <v>7041</v>
      </c>
      <c r="D104" s="30">
        <v>45658.0</v>
      </c>
      <c r="E104" s="30">
        <v>46022.0</v>
      </c>
      <c r="F104" s="31">
        <v>0.0</v>
      </c>
      <c r="G104" s="31">
        <v>1.0</v>
      </c>
      <c r="H104" s="32" t="s">
        <v>7043</v>
      </c>
      <c r="I104" s="30">
        <v>46023.0</v>
      </c>
      <c r="J104" s="30">
        <v>46387.0</v>
      </c>
      <c r="K104" s="31">
        <v>0.0</v>
      </c>
      <c r="L104" s="31">
        <v>1.0</v>
      </c>
      <c r="M104" s="32" t="s">
        <v>7043</v>
      </c>
      <c r="N104" s="30">
        <v>46388.0</v>
      </c>
      <c r="O104" s="30">
        <v>46752.0</v>
      </c>
      <c r="P104" s="31">
        <v>0.0</v>
      </c>
      <c r="Q104" s="31">
        <v>1.0</v>
      </c>
      <c r="R104" s="32" t="s">
        <v>7043</v>
      </c>
      <c r="S104" s="30">
        <v>46753.0</v>
      </c>
      <c r="T104" s="30">
        <v>47118.0</v>
      </c>
      <c r="U104" s="31">
        <v>0.0</v>
      </c>
      <c r="V104" s="31">
        <v>1.0</v>
      </c>
      <c r="W104" s="32" t="s">
        <v>7043</v>
      </c>
      <c r="X104" s="30">
        <v>47119.0</v>
      </c>
      <c r="Y104" s="30">
        <v>47483.0</v>
      </c>
      <c r="Z104" s="31">
        <v>0.0</v>
      </c>
      <c r="AA104" s="31">
        <v>1.0</v>
      </c>
      <c r="AB104" s="32" t="s">
        <v>7043</v>
      </c>
      <c r="AC104" s="30">
        <v>47484.0</v>
      </c>
      <c r="AD104" s="30">
        <v>47848.0</v>
      </c>
      <c r="AE104" s="31">
        <v>0.0</v>
      </c>
      <c r="AF104" s="31">
        <v>1.0</v>
      </c>
      <c r="AG104" s="32" t="s">
        <v>7043</v>
      </c>
    </row>
    <row r="105" ht="14.25" customHeight="1">
      <c r="A105" s="28" t="s">
        <v>2894</v>
      </c>
      <c r="B105" s="29" t="s">
        <v>2895</v>
      </c>
      <c r="C105" s="29" t="s">
        <v>7041</v>
      </c>
      <c r="D105" s="30">
        <v>45658.0</v>
      </c>
      <c r="E105" s="30">
        <v>46022.0</v>
      </c>
      <c r="F105" s="31">
        <v>1.0</v>
      </c>
      <c r="G105" s="31">
        <v>1.0</v>
      </c>
      <c r="H105" s="32" t="s">
        <v>7042</v>
      </c>
      <c r="I105" s="30">
        <v>46023.0</v>
      </c>
      <c r="J105" s="30">
        <v>46387.0</v>
      </c>
      <c r="K105" s="31">
        <v>0.0</v>
      </c>
      <c r="L105" s="31">
        <v>1.0</v>
      </c>
      <c r="M105" s="32" t="s">
        <v>7043</v>
      </c>
      <c r="N105" s="30">
        <v>46388.0</v>
      </c>
      <c r="O105" s="30">
        <v>46752.0</v>
      </c>
      <c r="P105" s="31">
        <v>0.0</v>
      </c>
      <c r="Q105" s="31">
        <v>1.0</v>
      </c>
      <c r="R105" s="32" t="s">
        <v>7043</v>
      </c>
      <c r="S105" s="30">
        <v>46753.0</v>
      </c>
      <c r="T105" s="30">
        <v>47118.0</v>
      </c>
      <c r="U105" s="31">
        <v>0.0</v>
      </c>
      <c r="V105" s="31">
        <v>1.0</v>
      </c>
      <c r="W105" s="32" t="s">
        <v>7043</v>
      </c>
      <c r="X105" s="30">
        <v>47119.0</v>
      </c>
      <c r="Y105" s="30">
        <v>47483.0</v>
      </c>
      <c r="Z105" s="31">
        <v>0.0</v>
      </c>
      <c r="AA105" s="31">
        <v>1.0</v>
      </c>
      <c r="AB105" s="32" t="s">
        <v>7043</v>
      </c>
      <c r="AC105" s="30">
        <v>47484.0</v>
      </c>
      <c r="AD105" s="30">
        <v>47848.0</v>
      </c>
      <c r="AE105" s="31">
        <v>0.0</v>
      </c>
      <c r="AF105" s="31">
        <v>1.0</v>
      </c>
      <c r="AG105" s="32" t="s">
        <v>7043</v>
      </c>
    </row>
    <row r="106" ht="14.25" customHeight="1">
      <c r="A106" s="28" t="s">
        <v>3881</v>
      </c>
      <c r="B106" s="29" t="s">
        <v>3882</v>
      </c>
      <c r="C106" s="29" t="s">
        <v>7041</v>
      </c>
      <c r="D106" s="30">
        <v>45658.0</v>
      </c>
      <c r="E106" s="30">
        <v>46022.0</v>
      </c>
      <c r="F106" s="31">
        <v>0.0</v>
      </c>
      <c r="G106" s="31">
        <v>1.0</v>
      </c>
      <c r="H106" s="32" t="s">
        <v>7043</v>
      </c>
      <c r="I106" s="30">
        <v>46023.0</v>
      </c>
      <c r="J106" s="30">
        <v>46387.0</v>
      </c>
      <c r="K106" s="31">
        <v>0.0</v>
      </c>
      <c r="L106" s="31">
        <v>1.0</v>
      </c>
      <c r="M106" s="32" t="s">
        <v>7043</v>
      </c>
      <c r="N106" s="30">
        <v>46388.0</v>
      </c>
      <c r="O106" s="30">
        <v>46752.0</v>
      </c>
      <c r="P106" s="31">
        <v>0.0</v>
      </c>
      <c r="Q106" s="31">
        <v>1.0</v>
      </c>
      <c r="R106" s="32" t="s">
        <v>7043</v>
      </c>
      <c r="S106" s="30">
        <v>46753.0</v>
      </c>
      <c r="T106" s="30">
        <v>47118.0</v>
      </c>
      <c r="U106" s="31">
        <v>0.0</v>
      </c>
      <c r="V106" s="31">
        <v>1.0</v>
      </c>
      <c r="W106" s="32" t="s">
        <v>7043</v>
      </c>
      <c r="X106" s="30">
        <v>47119.0</v>
      </c>
      <c r="Y106" s="30">
        <v>47483.0</v>
      </c>
      <c r="Z106" s="31">
        <v>0.0</v>
      </c>
      <c r="AA106" s="31">
        <v>1.0</v>
      </c>
      <c r="AB106" s="32" t="s">
        <v>7043</v>
      </c>
      <c r="AC106" s="30">
        <v>47484.0</v>
      </c>
      <c r="AD106" s="30">
        <v>47848.0</v>
      </c>
      <c r="AE106" s="31">
        <v>0.0</v>
      </c>
      <c r="AF106" s="31">
        <v>1.0</v>
      </c>
      <c r="AG106" s="32" t="s">
        <v>7043</v>
      </c>
    </row>
    <row r="107" ht="14.25" customHeight="1">
      <c r="A107" s="28" t="s">
        <v>5787</v>
      </c>
      <c r="B107" s="29" t="s">
        <v>5788</v>
      </c>
      <c r="C107" s="29" t="s">
        <v>7041</v>
      </c>
      <c r="D107" s="30">
        <v>45658.0</v>
      </c>
      <c r="E107" s="30">
        <v>46022.0</v>
      </c>
      <c r="F107" s="31">
        <v>0.0</v>
      </c>
      <c r="G107" s="31">
        <v>1.0</v>
      </c>
      <c r="H107" s="32" t="s">
        <v>7043</v>
      </c>
      <c r="I107" s="30">
        <v>46023.0</v>
      </c>
      <c r="J107" s="30">
        <v>46387.0</v>
      </c>
      <c r="K107" s="31">
        <v>0.0</v>
      </c>
      <c r="L107" s="31">
        <v>1.0</v>
      </c>
      <c r="M107" s="32" t="s">
        <v>7043</v>
      </c>
      <c r="N107" s="30">
        <v>46388.0</v>
      </c>
      <c r="O107" s="30">
        <v>46752.0</v>
      </c>
      <c r="P107" s="31">
        <v>0.0</v>
      </c>
      <c r="Q107" s="31">
        <v>1.0</v>
      </c>
      <c r="R107" s="32" t="s">
        <v>7043</v>
      </c>
      <c r="S107" s="30">
        <v>46753.0</v>
      </c>
      <c r="T107" s="30">
        <v>47118.0</v>
      </c>
      <c r="U107" s="31">
        <v>0.0</v>
      </c>
      <c r="V107" s="31">
        <v>1.0</v>
      </c>
      <c r="W107" s="32" t="s">
        <v>7043</v>
      </c>
      <c r="X107" s="30">
        <v>47119.0</v>
      </c>
      <c r="Y107" s="30">
        <v>47483.0</v>
      </c>
      <c r="Z107" s="31">
        <v>0.0</v>
      </c>
      <c r="AA107" s="31">
        <v>1.0</v>
      </c>
      <c r="AB107" s="32" t="s">
        <v>7043</v>
      </c>
      <c r="AC107" s="30">
        <v>47484.0</v>
      </c>
      <c r="AD107" s="30">
        <v>47848.0</v>
      </c>
      <c r="AE107" s="31">
        <v>0.0</v>
      </c>
      <c r="AF107" s="31">
        <v>1.0</v>
      </c>
      <c r="AG107" s="32" t="s">
        <v>7043</v>
      </c>
    </row>
    <row r="108" ht="14.25" customHeight="1">
      <c r="A108" s="28" t="s">
        <v>3459</v>
      </c>
      <c r="B108" s="29" t="s">
        <v>3460</v>
      </c>
      <c r="C108" s="29" t="s">
        <v>7041</v>
      </c>
      <c r="D108" s="30">
        <v>45658.0</v>
      </c>
      <c r="E108" s="30">
        <v>46022.0</v>
      </c>
      <c r="F108" s="31">
        <v>1.0</v>
      </c>
      <c r="G108" s="31">
        <v>1.0</v>
      </c>
      <c r="H108" s="32" t="s">
        <v>7042</v>
      </c>
      <c r="I108" s="30">
        <v>46023.0</v>
      </c>
      <c r="J108" s="30">
        <v>46387.0</v>
      </c>
      <c r="K108" s="31">
        <v>0.0</v>
      </c>
      <c r="L108" s="31">
        <v>1.0</v>
      </c>
      <c r="M108" s="32" t="s">
        <v>7043</v>
      </c>
      <c r="N108" s="30">
        <v>46388.0</v>
      </c>
      <c r="O108" s="30">
        <v>46752.0</v>
      </c>
      <c r="P108" s="31">
        <v>0.0</v>
      </c>
      <c r="Q108" s="31">
        <v>1.0</v>
      </c>
      <c r="R108" s="32" t="s">
        <v>7043</v>
      </c>
      <c r="S108" s="30">
        <v>46753.0</v>
      </c>
      <c r="T108" s="30">
        <v>47118.0</v>
      </c>
      <c r="U108" s="31">
        <v>0.0</v>
      </c>
      <c r="V108" s="31">
        <v>1.0</v>
      </c>
      <c r="W108" s="32" t="s">
        <v>7043</v>
      </c>
      <c r="X108" s="30">
        <v>47119.0</v>
      </c>
      <c r="Y108" s="30">
        <v>47483.0</v>
      </c>
      <c r="Z108" s="31">
        <v>0.0</v>
      </c>
      <c r="AA108" s="31">
        <v>1.0</v>
      </c>
      <c r="AB108" s="32" t="s">
        <v>7043</v>
      </c>
      <c r="AC108" s="30">
        <v>47484.0</v>
      </c>
      <c r="AD108" s="30">
        <v>47848.0</v>
      </c>
      <c r="AE108" s="31">
        <v>0.0</v>
      </c>
      <c r="AF108" s="31">
        <v>1.0</v>
      </c>
      <c r="AG108" s="32" t="s">
        <v>7043</v>
      </c>
    </row>
    <row r="109" ht="14.25" customHeight="1">
      <c r="A109" s="28" t="s">
        <v>2633</v>
      </c>
      <c r="B109" s="29" t="s">
        <v>2634</v>
      </c>
      <c r="C109" s="29" t="s">
        <v>7041</v>
      </c>
      <c r="D109" s="30">
        <v>45658.0</v>
      </c>
      <c r="E109" s="30">
        <v>46022.0</v>
      </c>
      <c r="F109" s="31">
        <v>1.0</v>
      </c>
      <c r="G109" s="31">
        <v>1.0</v>
      </c>
      <c r="H109" s="33" t="s">
        <v>7042</v>
      </c>
      <c r="I109" s="30">
        <v>46023.0</v>
      </c>
      <c r="J109" s="30">
        <v>46387.0</v>
      </c>
      <c r="K109" s="31">
        <v>0.0</v>
      </c>
      <c r="L109" s="31">
        <v>1.0</v>
      </c>
      <c r="M109" s="32" t="s">
        <v>7043</v>
      </c>
      <c r="N109" s="30">
        <v>46388.0</v>
      </c>
      <c r="O109" s="30">
        <v>46752.0</v>
      </c>
      <c r="P109" s="31">
        <v>0.0</v>
      </c>
      <c r="Q109" s="31">
        <v>1.0</v>
      </c>
      <c r="R109" s="32" t="s">
        <v>7043</v>
      </c>
      <c r="S109" s="30">
        <v>46753.0</v>
      </c>
      <c r="T109" s="30">
        <v>47118.0</v>
      </c>
      <c r="U109" s="31">
        <v>0.0</v>
      </c>
      <c r="V109" s="31">
        <v>1.0</v>
      </c>
      <c r="W109" s="32" t="s">
        <v>7043</v>
      </c>
      <c r="X109" s="30">
        <v>47119.0</v>
      </c>
      <c r="Y109" s="30">
        <v>47483.0</v>
      </c>
      <c r="Z109" s="31">
        <v>0.0</v>
      </c>
      <c r="AA109" s="31">
        <v>1.0</v>
      </c>
      <c r="AB109" s="32" t="s">
        <v>7043</v>
      </c>
      <c r="AC109" s="30">
        <v>47484.0</v>
      </c>
      <c r="AD109" s="30">
        <v>47848.0</v>
      </c>
      <c r="AE109" s="31">
        <v>0.0</v>
      </c>
      <c r="AF109" s="31">
        <v>1.0</v>
      </c>
      <c r="AG109" s="32" t="s">
        <v>7043</v>
      </c>
    </row>
    <row r="110" ht="14.25" customHeight="1">
      <c r="A110" s="28" t="s">
        <v>3684</v>
      </c>
      <c r="B110" s="29" t="s">
        <v>3685</v>
      </c>
      <c r="C110" s="29" t="s">
        <v>7041</v>
      </c>
      <c r="D110" s="30">
        <v>45658.0</v>
      </c>
      <c r="E110" s="30">
        <v>46022.0</v>
      </c>
      <c r="F110" s="31">
        <v>0.0</v>
      </c>
      <c r="G110" s="31">
        <v>1.0</v>
      </c>
      <c r="H110" s="32" t="s">
        <v>7043</v>
      </c>
      <c r="I110" s="30">
        <v>46023.0</v>
      </c>
      <c r="J110" s="30">
        <v>46387.0</v>
      </c>
      <c r="K110" s="31">
        <v>0.0</v>
      </c>
      <c r="L110" s="31">
        <v>1.0</v>
      </c>
      <c r="M110" s="32" t="s">
        <v>7043</v>
      </c>
      <c r="N110" s="30">
        <v>46388.0</v>
      </c>
      <c r="O110" s="30">
        <v>46752.0</v>
      </c>
      <c r="P110" s="31">
        <v>0.0</v>
      </c>
      <c r="Q110" s="31">
        <v>1.0</v>
      </c>
      <c r="R110" s="32" t="s">
        <v>7043</v>
      </c>
      <c r="S110" s="30">
        <v>46753.0</v>
      </c>
      <c r="T110" s="30">
        <v>47118.0</v>
      </c>
      <c r="U110" s="31">
        <v>0.0</v>
      </c>
      <c r="V110" s="31">
        <v>1.0</v>
      </c>
      <c r="W110" s="32" t="s">
        <v>7043</v>
      </c>
      <c r="X110" s="30">
        <v>47119.0</v>
      </c>
      <c r="Y110" s="30">
        <v>47483.0</v>
      </c>
      <c r="Z110" s="31">
        <v>0.0</v>
      </c>
      <c r="AA110" s="31">
        <v>1.0</v>
      </c>
      <c r="AB110" s="32" t="s">
        <v>7043</v>
      </c>
      <c r="AC110" s="30">
        <v>47484.0</v>
      </c>
      <c r="AD110" s="30">
        <v>47848.0</v>
      </c>
      <c r="AE110" s="31">
        <v>0.0</v>
      </c>
      <c r="AF110" s="31">
        <v>1.0</v>
      </c>
      <c r="AG110" s="32" t="s">
        <v>7043</v>
      </c>
    </row>
    <row r="111" ht="14.25" customHeight="1">
      <c r="A111" s="28" t="s">
        <v>948</v>
      </c>
      <c r="B111" s="29" t="s">
        <v>949</v>
      </c>
      <c r="C111" s="29" t="s">
        <v>7041</v>
      </c>
      <c r="D111" s="30">
        <v>45658.0</v>
      </c>
      <c r="E111" s="30">
        <v>46022.0</v>
      </c>
      <c r="F111" s="31">
        <v>0.0</v>
      </c>
      <c r="G111" s="31">
        <v>1.0</v>
      </c>
      <c r="H111" s="32" t="s">
        <v>7043</v>
      </c>
      <c r="I111" s="30">
        <v>46023.0</v>
      </c>
      <c r="J111" s="30">
        <v>46387.0</v>
      </c>
      <c r="K111" s="31">
        <v>0.0</v>
      </c>
      <c r="L111" s="31">
        <v>1.0</v>
      </c>
      <c r="M111" s="32" t="s">
        <v>7043</v>
      </c>
      <c r="N111" s="30">
        <v>46388.0</v>
      </c>
      <c r="O111" s="30">
        <v>46752.0</v>
      </c>
      <c r="P111" s="31">
        <v>0.0</v>
      </c>
      <c r="Q111" s="31">
        <v>1.0</v>
      </c>
      <c r="R111" s="32" t="s">
        <v>7043</v>
      </c>
      <c r="S111" s="30">
        <v>46753.0</v>
      </c>
      <c r="T111" s="30">
        <v>47118.0</v>
      </c>
      <c r="U111" s="31">
        <v>0.0</v>
      </c>
      <c r="V111" s="31">
        <v>1.0</v>
      </c>
      <c r="W111" s="32" t="s">
        <v>7043</v>
      </c>
      <c r="X111" s="30">
        <v>47119.0</v>
      </c>
      <c r="Y111" s="30">
        <v>47483.0</v>
      </c>
      <c r="Z111" s="31">
        <v>0.0</v>
      </c>
      <c r="AA111" s="31">
        <v>1.0</v>
      </c>
      <c r="AB111" s="32" t="s">
        <v>7043</v>
      </c>
      <c r="AC111" s="30">
        <v>47484.0</v>
      </c>
      <c r="AD111" s="30">
        <v>47848.0</v>
      </c>
      <c r="AE111" s="31">
        <v>0.0</v>
      </c>
      <c r="AF111" s="31">
        <v>1.0</v>
      </c>
      <c r="AG111" s="32" t="s">
        <v>7043</v>
      </c>
    </row>
    <row r="112" ht="14.25" customHeight="1">
      <c r="A112" s="28" t="s">
        <v>367</v>
      </c>
      <c r="B112" s="29" t="s">
        <v>368</v>
      </c>
      <c r="C112" s="29" t="s">
        <v>7041</v>
      </c>
      <c r="D112" s="30">
        <v>45658.0</v>
      </c>
      <c r="E112" s="30">
        <v>46022.0</v>
      </c>
      <c r="F112" s="31">
        <v>1.0</v>
      </c>
      <c r="G112" s="31">
        <v>1.0</v>
      </c>
      <c r="H112" s="33" t="s">
        <v>7042</v>
      </c>
      <c r="I112" s="30">
        <v>46023.0</v>
      </c>
      <c r="J112" s="30">
        <v>46387.0</v>
      </c>
      <c r="K112" s="31">
        <v>0.0</v>
      </c>
      <c r="L112" s="31">
        <v>1.0</v>
      </c>
      <c r="M112" s="32" t="s">
        <v>7043</v>
      </c>
      <c r="N112" s="30">
        <v>46388.0</v>
      </c>
      <c r="O112" s="30">
        <v>46752.0</v>
      </c>
      <c r="P112" s="31">
        <v>0.0</v>
      </c>
      <c r="Q112" s="31">
        <v>1.0</v>
      </c>
      <c r="R112" s="32" t="s">
        <v>7043</v>
      </c>
      <c r="S112" s="30">
        <v>46753.0</v>
      </c>
      <c r="T112" s="30">
        <v>47118.0</v>
      </c>
      <c r="U112" s="31">
        <v>0.0</v>
      </c>
      <c r="V112" s="31">
        <v>1.0</v>
      </c>
      <c r="W112" s="32" t="s">
        <v>7043</v>
      </c>
      <c r="X112" s="30">
        <v>47119.0</v>
      </c>
      <c r="Y112" s="30">
        <v>47483.0</v>
      </c>
      <c r="Z112" s="31">
        <v>0.0</v>
      </c>
      <c r="AA112" s="31">
        <v>1.0</v>
      </c>
      <c r="AB112" s="32" t="s">
        <v>7043</v>
      </c>
      <c r="AC112" s="30">
        <v>47484.0</v>
      </c>
      <c r="AD112" s="30">
        <v>47848.0</v>
      </c>
      <c r="AE112" s="31">
        <v>0.0</v>
      </c>
      <c r="AF112" s="31">
        <v>1.0</v>
      </c>
      <c r="AG112" s="32" t="s">
        <v>7043</v>
      </c>
    </row>
    <row r="113" ht="14.25" customHeight="1">
      <c r="A113" s="28" t="s">
        <v>904</v>
      </c>
      <c r="B113" s="29" t="s">
        <v>905</v>
      </c>
      <c r="C113" s="29" t="s">
        <v>7041</v>
      </c>
      <c r="D113" s="30">
        <v>45658.0</v>
      </c>
      <c r="E113" s="30">
        <v>46022.0</v>
      </c>
      <c r="F113" s="31">
        <v>0.0</v>
      </c>
      <c r="G113" s="31">
        <v>1.0</v>
      </c>
      <c r="H113" s="32" t="s">
        <v>7043</v>
      </c>
      <c r="I113" s="30">
        <v>46023.0</v>
      </c>
      <c r="J113" s="30">
        <v>46387.0</v>
      </c>
      <c r="K113" s="31">
        <v>0.0</v>
      </c>
      <c r="L113" s="31">
        <v>1.0</v>
      </c>
      <c r="M113" s="32" t="s">
        <v>7043</v>
      </c>
      <c r="N113" s="30">
        <v>46388.0</v>
      </c>
      <c r="O113" s="30">
        <v>46752.0</v>
      </c>
      <c r="P113" s="31">
        <v>0.0</v>
      </c>
      <c r="Q113" s="31">
        <v>1.0</v>
      </c>
      <c r="R113" s="32" t="s">
        <v>7043</v>
      </c>
      <c r="S113" s="30">
        <v>46753.0</v>
      </c>
      <c r="T113" s="30">
        <v>47118.0</v>
      </c>
      <c r="U113" s="31">
        <v>0.0</v>
      </c>
      <c r="V113" s="31">
        <v>1.0</v>
      </c>
      <c r="W113" s="32" t="s">
        <v>7043</v>
      </c>
      <c r="X113" s="30">
        <v>47119.0</v>
      </c>
      <c r="Y113" s="30">
        <v>47483.0</v>
      </c>
      <c r="Z113" s="31">
        <v>0.0</v>
      </c>
      <c r="AA113" s="31">
        <v>1.0</v>
      </c>
      <c r="AB113" s="32" t="s">
        <v>7043</v>
      </c>
      <c r="AC113" s="30">
        <v>47484.0</v>
      </c>
      <c r="AD113" s="30">
        <v>47848.0</v>
      </c>
      <c r="AE113" s="31">
        <v>0.0</v>
      </c>
      <c r="AF113" s="31">
        <v>1.0</v>
      </c>
      <c r="AG113" s="32" t="s">
        <v>7043</v>
      </c>
    </row>
    <row r="114" ht="14.25" customHeight="1">
      <c r="A114" s="28" t="s">
        <v>608</v>
      </c>
      <c r="B114" s="29" t="s">
        <v>609</v>
      </c>
      <c r="C114" s="29" t="s">
        <v>7041</v>
      </c>
      <c r="D114" s="30">
        <v>45658.0</v>
      </c>
      <c r="E114" s="30">
        <v>46022.0</v>
      </c>
      <c r="F114" s="31">
        <v>0.0</v>
      </c>
      <c r="G114" s="31">
        <v>1.0</v>
      </c>
      <c r="H114" s="32" t="s">
        <v>7043</v>
      </c>
      <c r="I114" s="30">
        <v>46023.0</v>
      </c>
      <c r="J114" s="30">
        <v>46387.0</v>
      </c>
      <c r="K114" s="31">
        <v>0.0</v>
      </c>
      <c r="L114" s="31">
        <v>1.0</v>
      </c>
      <c r="M114" s="32" t="s">
        <v>7043</v>
      </c>
      <c r="N114" s="30">
        <v>46388.0</v>
      </c>
      <c r="O114" s="30">
        <v>46752.0</v>
      </c>
      <c r="P114" s="31">
        <v>0.0</v>
      </c>
      <c r="Q114" s="31">
        <v>1.0</v>
      </c>
      <c r="R114" s="32" t="s">
        <v>7043</v>
      </c>
      <c r="S114" s="30">
        <v>46753.0</v>
      </c>
      <c r="T114" s="30">
        <v>47118.0</v>
      </c>
      <c r="U114" s="31">
        <v>0.0</v>
      </c>
      <c r="V114" s="31">
        <v>1.0</v>
      </c>
      <c r="W114" s="32" t="s">
        <v>7043</v>
      </c>
      <c r="X114" s="30">
        <v>47119.0</v>
      </c>
      <c r="Y114" s="30">
        <v>47483.0</v>
      </c>
      <c r="Z114" s="31">
        <v>0.0</v>
      </c>
      <c r="AA114" s="31">
        <v>1.0</v>
      </c>
      <c r="AB114" s="32" t="s">
        <v>7043</v>
      </c>
      <c r="AC114" s="30">
        <v>47484.0</v>
      </c>
      <c r="AD114" s="30">
        <v>47848.0</v>
      </c>
      <c r="AE114" s="31">
        <v>0.0</v>
      </c>
      <c r="AF114" s="31">
        <v>1.0</v>
      </c>
      <c r="AG114" s="32" t="s">
        <v>7043</v>
      </c>
    </row>
    <row r="115" ht="14.25" customHeight="1">
      <c r="A115" s="28" t="s">
        <v>3672</v>
      </c>
      <c r="B115" s="29" t="s">
        <v>3673</v>
      </c>
      <c r="C115" s="29" t="s">
        <v>7041</v>
      </c>
      <c r="D115" s="30">
        <v>45658.0</v>
      </c>
      <c r="E115" s="30">
        <v>46022.0</v>
      </c>
      <c r="F115" s="31">
        <v>0.0</v>
      </c>
      <c r="G115" s="31">
        <v>1.0</v>
      </c>
      <c r="H115" s="32" t="s">
        <v>7043</v>
      </c>
      <c r="I115" s="30">
        <v>46023.0</v>
      </c>
      <c r="J115" s="30">
        <v>46387.0</v>
      </c>
      <c r="K115" s="31">
        <v>0.0</v>
      </c>
      <c r="L115" s="31">
        <v>1.0</v>
      </c>
      <c r="M115" s="32" t="s">
        <v>7043</v>
      </c>
      <c r="N115" s="30">
        <v>46388.0</v>
      </c>
      <c r="O115" s="30">
        <v>46752.0</v>
      </c>
      <c r="P115" s="31">
        <v>0.0</v>
      </c>
      <c r="Q115" s="31">
        <v>1.0</v>
      </c>
      <c r="R115" s="32" t="s">
        <v>7043</v>
      </c>
      <c r="S115" s="30">
        <v>46753.0</v>
      </c>
      <c r="T115" s="30">
        <v>47118.0</v>
      </c>
      <c r="U115" s="31">
        <v>0.0</v>
      </c>
      <c r="V115" s="31">
        <v>1.0</v>
      </c>
      <c r="W115" s="32" t="s">
        <v>7043</v>
      </c>
      <c r="X115" s="30">
        <v>47119.0</v>
      </c>
      <c r="Y115" s="30">
        <v>47483.0</v>
      </c>
      <c r="Z115" s="31">
        <v>0.0</v>
      </c>
      <c r="AA115" s="31">
        <v>1.0</v>
      </c>
      <c r="AB115" s="32" t="s">
        <v>7043</v>
      </c>
      <c r="AC115" s="30">
        <v>47484.0</v>
      </c>
      <c r="AD115" s="30">
        <v>47848.0</v>
      </c>
      <c r="AE115" s="31">
        <v>0.0</v>
      </c>
      <c r="AF115" s="31">
        <v>1.0</v>
      </c>
      <c r="AG115" s="32" t="s">
        <v>7043</v>
      </c>
    </row>
    <row r="116" ht="14.25" customHeight="1">
      <c r="A116" s="28" t="s">
        <v>2654</v>
      </c>
      <c r="B116" s="29" t="s">
        <v>2655</v>
      </c>
      <c r="C116" s="29" t="s">
        <v>7041</v>
      </c>
      <c r="D116" s="30">
        <v>45658.0</v>
      </c>
      <c r="E116" s="30">
        <v>46022.0</v>
      </c>
      <c r="F116" s="31">
        <v>1.0</v>
      </c>
      <c r="G116" s="31">
        <v>1.0</v>
      </c>
      <c r="H116" s="33" t="s">
        <v>7042</v>
      </c>
      <c r="I116" s="30">
        <v>46023.0</v>
      </c>
      <c r="J116" s="30">
        <v>46387.0</v>
      </c>
      <c r="K116" s="31">
        <v>0.0</v>
      </c>
      <c r="L116" s="31">
        <v>1.0</v>
      </c>
      <c r="M116" s="32" t="s">
        <v>7043</v>
      </c>
      <c r="N116" s="30">
        <v>46388.0</v>
      </c>
      <c r="O116" s="30">
        <v>46752.0</v>
      </c>
      <c r="P116" s="31">
        <v>0.0</v>
      </c>
      <c r="Q116" s="31">
        <v>1.0</v>
      </c>
      <c r="R116" s="32" t="s">
        <v>7043</v>
      </c>
      <c r="S116" s="30">
        <v>46753.0</v>
      </c>
      <c r="T116" s="30">
        <v>47118.0</v>
      </c>
      <c r="U116" s="31">
        <v>0.0</v>
      </c>
      <c r="V116" s="31">
        <v>1.0</v>
      </c>
      <c r="W116" s="32" t="s">
        <v>7043</v>
      </c>
      <c r="X116" s="30">
        <v>47119.0</v>
      </c>
      <c r="Y116" s="30">
        <v>47483.0</v>
      </c>
      <c r="Z116" s="31">
        <v>0.0</v>
      </c>
      <c r="AA116" s="31">
        <v>1.0</v>
      </c>
      <c r="AB116" s="32" t="s">
        <v>7043</v>
      </c>
      <c r="AC116" s="30">
        <v>47484.0</v>
      </c>
      <c r="AD116" s="30">
        <v>47848.0</v>
      </c>
      <c r="AE116" s="31">
        <v>0.0</v>
      </c>
      <c r="AF116" s="31">
        <v>1.0</v>
      </c>
      <c r="AG116" s="32" t="s">
        <v>7043</v>
      </c>
    </row>
    <row r="117" ht="14.25" customHeight="1">
      <c r="A117" s="28" t="s">
        <v>6269</v>
      </c>
      <c r="B117" s="29" t="s">
        <v>6270</v>
      </c>
      <c r="C117" s="29" t="s">
        <v>7041</v>
      </c>
      <c r="D117" s="30">
        <v>45658.0</v>
      </c>
      <c r="E117" s="30">
        <v>46022.0</v>
      </c>
      <c r="F117" s="31">
        <v>0.0</v>
      </c>
      <c r="G117" s="31">
        <v>1.0</v>
      </c>
      <c r="H117" s="32" t="s">
        <v>7043</v>
      </c>
      <c r="I117" s="30">
        <v>46023.0</v>
      </c>
      <c r="J117" s="30">
        <v>46387.0</v>
      </c>
      <c r="K117" s="31">
        <v>0.0</v>
      </c>
      <c r="L117" s="31">
        <v>1.0</v>
      </c>
      <c r="M117" s="32" t="s">
        <v>7043</v>
      </c>
      <c r="N117" s="30">
        <v>46388.0</v>
      </c>
      <c r="O117" s="30">
        <v>46752.0</v>
      </c>
      <c r="P117" s="31">
        <v>0.0</v>
      </c>
      <c r="Q117" s="31">
        <v>1.0</v>
      </c>
      <c r="R117" s="32" t="s">
        <v>7043</v>
      </c>
      <c r="S117" s="30">
        <v>46753.0</v>
      </c>
      <c r="T117" s="30">
        <v>47118.0</v>
      </c>
      <c r="U117" s="31">
        <v>0.0</v>
      </c>
      <c r="V117" s="31">
        <v>1.0</v>
      </c>
      <c r="W117" s="32" t="s">
        <v>7043</v>
      </c>
      <c r="X117" s="30">
        <v>47119.0</v>
      </c>
      <c r="Y117" s="30">
        <v>47483.0</v>
      </c>
      <c r="Z117" s="31">
        <v>0.0</v>
      </c>
      <c r="AA117" s="31">
        <v>1.0</v>
      </c>
      <c r="AB117" s="32" t="s">
        <v>7043</v>
      </c>
      <c r="AC117" s="30">
        <v>47484.0</v>
      </c>
      <c r="AD117" s="30">
        <v>47848.0</v>
      </c>
      <c r="AE117" s="31">
        <v>0.0</v>
      </c>
      <c r="AF117" s="31">
        <v>1.0</v>
      </c>
      <c r="AG117" s="32" t="s">
        <v>7043</v>
      </c>
    </row>
    <row r="118" ht="14.25" customHeight="1">
      <c r="A118" s="28" t="s">
        <v>702</v>
      </c>
      <c r="B118" s="29" t="s">
        <v>703</v>
      </c>
      <c r="C118" s="29" t="s">
        <v>7041</v>
      </c>
      <c r="D118" s="30">
        <v>45658.0</v>
      </c>
      <c r="E118" s="30">
        <v>46022.0</v>
      </c>
      <c r="F118" s="31">
        <v>0.0</v>
      </c>
      <c r="G118" s="31">
        <v>1.0</v>
      </c>
      <c r="H118" s="32" t="s">
        <v>7043</v>
      </c>
      <c r="I118" s="30">
        <v>46023.0</v>
      </c>
      <c r="J118" s="30">
        <v>46387.0</v>
      </c>
      <c r="K118" s="31">
        <v>0.0</v>
      </c>
      <c r="L118" s="31">
        <v>1.0</v>
      </c>
      <c r="M118" s="32" t="s">
        <v>7043</v>
      </c>
      <c r="N118" s="30">
        <v>46388.0</v>
      </c>
      <c r="O118" s="30">
        <v>46752.0</v>
      </c>
      <c r="P118" s="31">
        <v>0.0</v>
      </c>
      <c r="Q118" s="31">
        <v>1.0</v>
      </c>
      <c r="R118" s="32" t="s">
        <v>7043</v>
      </c>
      <c r="S118" s="30">
        <v>46753.0</v>
      </c>
      <c r="T118" s="30">
        <v>47118.0</v>
      </c>
      <c r="U118" s="31">
        <v>0.0</v>
      </c>
      <c r="V118" s="31">
        <v>1.0</v>
      </c>
      <c r="W118" s="32" t="s">
        <v>7043</v>
      </c>
      <c r="X118" s="30">
        <v>47119.0</v>
      </c>
      <c r="Y118" s="30">
        <v>47483.0</v>
      </c>
      <c r="Z118" s="31">
        <v>0.0</v>
      </c>
      <c r="AA118" s="31">
        <v>1.0</v>
      </c>
      <c r="AB118" s="32" t="s">
        <v>7043</v>
      </c>
      <c r="AC118" s="30">
        <v>47484.0</v>
      </c>
      <c r="AD118" s="30">
        <v>47848.0</v>
      </c>
      <c r="AE118" s="31">
        <v>0.0</v>
      </c>
      <c r="AF118" s="31">
        <v>1.0</v>
      </c>
      <c r="AG118" s="32" t="s">
        <v>7043</v>
      </c>
    </row>
    <row r="119" ht="14.25" customHeight="1">
      <c r="A119" s="28" t="s">
        <v>733</v>
      </c>
      <c r="B119" s="29" t="s">
        <v>734</v>
      </c>
      <c r="C119" s="29" t="s">
        <v>7041</v>
      </c>
      <c r="D119" s="30">
        <v>45658.0</v>
      </c>
      <c r="E119" s="30">
        <v>46022.0</v>
      </c>
      <c r="F119" s="31">
        <v>0.0</v>
      </c>
      <c r="G119" s="31">
        <v>1.0</v>
      </c>
      <c r="H119" s="32" t="s">
        <v>7043</v>
      </c>
      <c r="I119" s="30">
        <v>46023.0</v>
      </c>
      <c r="J119" s="30">
        <v>46387.0</v>
      </c>
      <c r="K119" s="31">
        <v>0.0</v>
      </c>
      <c r="L119" s="31">
        <v>1.0</v>
      </c>
      <c r="M119" s="32" t="s">
        <v>7043</v>
      </c>
      <c r="N119" s="30">
        <v>46388.0</v>
      </c>
      <c r="O119" s="30">
        <v>46752.0</v>
      </c>
      <c r="P119" s="31">
        <v>0.0</v>
      </c>
      <c r="Q119" s="31">
        <v>1.0</v>
      </c>
      <c r="R119" s="32" t="s">
        <v>7043</v>
      </c>
      <c r="S119" s="30">
        <v>46753.0</v>
      </c>
      <c r="T119" s="30">
        <v>47118.0</v>
      </c>
      <c r="U119" s="31">
        <v>0.0</v>
      </c>
      <c r="V119" s="31">
        <v>1.0</v>
      </c>
      <c r="W119" s="32" t="s">
        <v>7043</v>
      </c>
      <c r="X119" s="30">
        <v>47119.0</v>
      </c>
      <c r="Y119" s="30">
        <v>47483.0</v>
      </c>
      <c r="Z119" s="31">
        <v>0.0</v>
      </c>
      <c r="AA119" s="31">
        <v>1.0</v>
      </c>
      <c r="AB119" s="32" t="s">
        <v>7043</v>
      </c>
      <c r="AC119" s="30">
        <v>47484.0</v>
      </c>
      <c r="AD119" s="30">
        <v>47848.0</v>
      </c>
      <c r="AE119" s="31">
        <v>0.0</v>
      </c>
      <c r="AF119" s="31">
        <v>1.0</v>
      </c>
      <c r="AG119" s="32" t="s">
        <v>7043</v>
      </c>
    </row>
    <row r="120" ht="14.25" customHeight="1">
      <c r="A120" s="28" t="s">
        <v>3272</v>
      </c>
      <c r="B120" s="29" t="s">
        <v>3273</v>
      </c>
      <c r="C120" s="29" t="s">
        <v>7041</v>
      </c>
      <c r="D120" s="30">
        <v>45658.0</v>
      </c>
      <c r="E120" s="30">
        <v>46022.0</v>
      </c>
      <c r="F120" s="31">
        <v>0.0</v>
      </c>
      <c r="G120" s="31">
        <v>1.0</v>
      </c>
      <c r="H120" s="32" t="s">
        <v>7043</v>
      </c>
      <c r="I120" s="30">
        <v>46023.0</v>
      </c>
      <c r="J120" s="30">
        <v>46387.0</v>
      </c>
      <c r="K120" s="31">
        <v>0.0</v>
      </c>
      <c r="L120" s="31">
        <v>1.0</v>
      </c>
      <c r="M120" s="32" t="s">
        <v>7043</v>
      </c>
      <c r="N120" s="30">
        <v>46388.0</v>
      </c>
      <c r="O120" s="30">
        <v>46752.0</v>
      </c>
      <c r="P120" s="31">
        <v>0.0</v>
      </c>
      <c r="Q120" s="31">
        <v>1.0</v>
      </c>
      <c r="R120" s="32" t="s">
        <v>7043</v>
      </c>
      <c r="S120" s="30">
        <v>46753.0</v>
      </c>
      <c r="T120" s="30">
        <v>47118.0</v>
      </c>
      <c r="U120" s="31">
        <v>0.0</v>
      </c>
      <c r="V120" s="31">
        <v>1.0</v>
      </c>
      <c r="W120" s="32" t="s">
        <v>7043</v>
      </c>
      <c r="X120" s="30">
        <v>47119.0</v>
      </c>
      <c r="Y120" s="30">
        <v>47483.0</v>
      </c>
      <c r="Z120" s="31">
        <v>0.0</v>
      </c>
      <c r="AA120" s="31">
        <v>1.0</v>
      </c>
      <c r="AB120" s="32" t="s">
        <v>7043</v>
      </c>
      <c r="AC120" s="30">
        <v>47484.0</v>
      </c>
      <c r="AD120" s="30">
        <v>47848.0</v>
      </c>
      <c r="AE120" s="31">
        <v>0.0</v>
      </c>
      <c r="AF120" s="31">
        <v>1.0</v>
      </c>
      <c r="AG120" s="32" t="s">
        <v>7043</v>
      </c>
    </row>
    <row r="121" ht="14.25" customHeight="1">
      <c r="A121" s="28" t="s">
        <v>4002</v>
      </c>
      <c r="B121" s="29" t="s">
        <v>4003</v>
      </c>
      <c r="C121" s="29" t="s">
        <v>7041</v>
      </c>
      <c r="D121" s="30">
        <v>45658.0</v>
      </c>
      <c r="E121" s="30">
        <v>46022.0</v>
      </c>
      <c r="F121" s="31">
        <v>1.0</v>
      </c>
      <c r="G121" s="31">
        <v>1.0</v>
      </c>
      <c r="H121" s="33" t="s">
        <v>7042</v>
      </c>
      <c r="I121" s="30">
        <v>46023.0</v>
      </c>
      <c r="J121" s="30">
        <v>46387.0</v>
      </c>
      <c r="K121" s="31">
        <v>0.0</v>
      </c>
      <c r="L121" s="31">
        <v>1.0</v>
      </c>
      <c r="M121" s="32" t="s">
        <v>7043</v>
      </c>
      <c r="N121" s="30">
        <v>46388.0</v>
      </c>
      <c r="O121" s="30">
        <v>46752.0</v>
      </c>
      <c r="P121" s="31">
        <v>0.0</v>
      </c>
      <c r="Q121" s="31">
        <v>1.0</v>
      </c>
      <c r="R121" s="32" t="s">
        <v>7043</v>
      </c>
      <c r="S121" s="30">
        <v>46753.0</v>
      </c>
      <c r="T121" s="30">
        <v>47118.0</v>
      </c>
      <c r="U121" s="31">
        <v>0.0</v>
      </c>
      <c r="V121" s="31">
        <v>1.0</v>
      </c>
      <c r="W121" s="32" t="s">
        <v>7043</v>
      </c>
      <c r="X121" s="30">
        <v>47119.0</v>
      </c>
      <c r="Y121" s="30">
        <v>47483.0</v>
      </c>
      <c r="Z121" s="31">
        <v>0.0</v>
      </c>
      <c r="AA121" s="31">
        <v>1.0</v>
      </c>
      <c r="AB121" s="32" t="s">
        <v>7043</v>
      </c>
      <c r="AC121" s="30">
        <v>47484.0</v>
      </c>
      <c r="AD121" s="30">
        <v>47848.0</v>
      </c>
      <c r="AE121" s="31">
        <v>0.0</v>
      </c>
      <c r="AF121" s="31">
        <v>1.0</v>
      </c>
      <c r="AG121" s="32" t="s">
        <v>7043</v>
      </c>
    </row>
    <row r="122" ht="14.25" customHeight="1">
      <c r="A122" s="28" t="s">
        <v>6242</v>
      </c>
      <c r="B122" s="29" t="s">
        <v>6243</v>
      </c>
      <c r="C122" s="29" t="s">
        <v>7041</v>
      </c>
      <c r="D122" s="30">
        <v>45658.0</v>
      </c>
      <c r="E122" s="30">
        <v>46022.0</v>
      </c>
      <c r="F122" s="31">
        <v>0.0</v>
      </c>
      <c r="G122" s="31">
        <v>1.0</v>
      </c>
      <c r="H122" s="32" t="s">
        <v>7043</v>
      </c>
      <c r="I122" s="30">
        <v>46023.0</v>
      </c>
      <c r="J122" s="30">
        <v>46387.0</v>
      </c>
      <c r="K122" s="31">
        <v>0.0</v>
      </c>
      <c r="L122" s="31">
        <v>1.0</v>
      </c>
      <c r="M122" s="32" t="s">
        <v>7043</v>
      </c>
      <c r="N122" s="30">
        <v>46388.0</v>
      </c>
      <c r="O122" s="30">
        <v>46752.0</v>
      </c>
      <c r="P122" s="31">
        <v>0.0</v>
      </c>
      <c r="Q122" s="31">
        <v>1.0</v>
      </c>
      <c r="R122" s="32" t="s">
        <v>7043</v>
      </c>
      <c r="S122" s="30">
        <v>46753.0</v>
      </c>
      <c r="T122" s="30">
        <v>47118.0</v>
      </c>
      <c r="U122" s="31">
        <v>0.0</v>
      </c>
      <c r="V122" s="31">
        <v>1.0</v>
      </c>
      <c r="W122" s="32" t="s">
        <v>7043</v>
      </c>
      <c r="X122" s="30">
        <v>47119.0</v>
      </c>
      <c r="Y122" s="30">
        <v>47483.0</v>
      </c>
      <c r="Z122" s="31">
        <v>0.0</v>
      </c>
      <c r="AA122" s="31">
        <v>1.0</v>
      </c>
      <c r="AB122" s="32" t="s">
        <v>7043</v>
      </c>
      <c r="AC122" s="30">
        <v>47484.0</v>
      </c>
      <c r="AD122" s="30">
        <v>47848.0</v>
      </c>
      <c r="AE122" s="31">
        <v>0.0</v>
      </c>
      <c r="AF122" s="31">
        <v>1.0</v>
      </c>
      <c r="AG122" s="32" t="s">
        <v>7043</v>
      </c>
    </row>
    <row r="123" ht="14.25" customHeight="1">
      <c r="A123" s="28" t="s">
        <v>3916</v>
      </c>
      <c r="B123" s="29" t="s">
        <v>3917</v>
      </c>
      <c r="C123" s="29" t="s">
        <v>7041</v>
      </c>
      <c r="D123" s="30">
        <v>45658.0</v>
      </c>
      <c r="E123" s="30">
        <v>46022.0</v>
      </c>
      <c r="F123" s="31">
        <v>0.0</v>
      </c>
      <c r="G123" s="31">
        <v>1.0</v>
      </c>
      <c r="H123" s="32" t="s">
        <v>7043</v>
      </c>
      <c r="I123" s="30">
        <v>46023.0</v>
      </c>
      <c r="J123" s="30">
        <v>46387.0</v>
      </c>
      <c r="K123" s="31">
        <v>0.0</v>
      </c>
      <c r="L123" s="31">
        <v>1.0</v>
      </c>
      <c r="M123" s="32" t="s">
        <v>7043</v>
      </c>
      <c r="N123" s="30">
        <v>46388.0</v>
      </c>
      <c r="O123" s="30">
        <v>46752.0</v>
      </c>
      <c r="P123" s="31">
        <v>0.0</v>
      </c>
      <c r="Q123" s="31">
        <v>1.0</v>
      </c>
      <c r="R123" s="32" t="s">
        <v>7043</v>
      </c>
      <c r="S123" s="30">
        <v>46753.0</v>
      </c>
      <c r="T123" s="30">
        <v>47118.0</v>
      </c>
      <c r="U123" s="31">
        <v>0.0</v>
      </c>
      <c r="V123" s="31">
        <v>1.0</v>
      </c>
      <c r="W123" s="32" t="s">
        <v>7043</v>
      </c>
      <c r="X123" s="30">
        <v>47119.0</v>
      </c>
      <c r="Y123" s="30">
        <v>47483.0</v>
      </c>
      <c r="Z123" s="31">
        <v>0.0</v>
      </c>
      <c r="AA123" s="31">
        <v>1.0</v>
      </c>
      <c r="AB123" s="32" t="s">
        <v>7043</v>
      </c>
      <c r="AC123" s="30">
        <v>47484.0</v>
      </c>
      <c r="AD123" s="30">
        <v>47848.0</v>
      </c>
      <c r="AE123" s="31">
        <v>0.0</v>
      </c>
      <c r="AF123" s="31">
        <v>1.0</v>
      </c>
      <c r="AG123" s="32" t="s">
        <v>7043</v>
      </c>
    </row>
    <row r="124" ht="14.25" customHeight="1">
      <c r="A124" s="28" t="s">
        <v>4868</v>
      </c>
      <c r="B124" s="29" t="s">
        <v>4869</v>
      </c>
      <c r="C124" s="29" t="s">
        <v>7041</v>
      </c>
      <c r="D124" s="30">
        <v>45658.0</v>
      </c>
      <c r="E124" s="30">
        <v>46022.0</v>
      </c>
      <c r="F124" s="31">
        <v>0.0</v>
      </c>
      <c r="G124" s="31">
        <v>1.0</v>
      </c>
      <c r="H124" s="32" t="s">
        <v>7043</v>
      </c>
      <c r="I124" s="30">
        <v>46023.0</v>
      </c>
      <c r="J124" s="30">
        <v>46387.0</v>
      </c>
      <c r="K124" s="31">
        <v>0.0</v>
      </c>
      <c r="L124" s="31">
        <v>1.0</v>
      </c>
      <c r="M124" s="32" t="s">
        <v>7043</v>
      </c>
      <c r="N124" s="30">
        <v>46388.0</v>
      </c>
      <c r="O124" s="30">
        <v>46752.0</v>
      </c>
      <c r="P124" s="31">
        <v>0.0</v>
      </c>
      <c r="Q124" s="31">
        <v>1.0</v>
      </c>
      <c r="R124" s="32" t="s">
        <v>7043</v>
      </c>
      <c r="S124" s="30">
        <v>46753.0</v>
      </c>
      <c r="T124" s="30">
        <v>47118.0</v>
      </c>
      <c r="U124" s="31">
        <v>0.0</v>
      </c>
      <c r="V124" s="31">
        <v>1.0</v>
      </c>
      <c r="W124" s="32" t="s">
        <v>7043</v>
      </c>
      <c r="X124" s="30">
        <v>47119.0</v>
      </c>
      <c r="Y124" s="30">
        <v>47483.0</v>
      </c>
      <c r="Z124" s="31">
        <v>0.0</v>
      </c>
      <c r="AA124" s="31">
        <v>1.0</v>
      </c>
      <c r="AB124" s="32" t="s">
        <v>7043</v>
      </c>
      <c r="AC124" s="30">
        <v>47484.0</v>
      </c>
      <c r="AD124" s="30">
        <v>47848.0</v>
      </c>
      <c r="AE124" s="31">
        <v>0.0</v>
      </c>
      <c r="AF124" s="31">
        <v>1.0</v>
      </c>
      <c r="AG124" s="32" t="s">
        <v>7043</v>
      </c>
    </row>
    <row r="125" ht="14.25" customHeight="1">
      <c r="A125" s="28" t="s">
        <v>4125</v>
      </c>
      <c r="B125" s="29" t="s">
        <v>4126</v>
      </c>
      <c r="C125" s="29" t="s">
        <v>7041</v>
      </c>
      <c r="D125" s="30">
        <v>45658.0</v>
      </c>
      <c r="E125" s="30">
        <v>46022.0</v>
      </c>
      <c r="F125" s="31">
        <v>1.0</v>
      </c>
      <c r="G125" s="31">
        <v>1.0</v>
      </c>
      <c r="H125" s="32" t="s">
        <v>7042</v>
      </c>
      <c r="I125" s="30">
        <v>46023.0</v>
      </c>
      <c r="J125" s="30">
        <v>46387.0</v>
      </c>
      <c r="K125" s="31">
        <v>0.0</v>
      </c>
      <c r="L125" s="31">
        <v>1.0</v>
      </c>
      <c r="M125" s="32" t="s">
        <v>7043</v>
      </c>
      <c r="N125" s="30">
        <v>46388.0</v>
      </c>
      <c r="O125" s="30">
        <v>46752.0</v>
      </c>
      <c r="P125" s="31">
        <v>0.0</v>
      </c>
      <c r="Q125" s="31">
        <v>1.0</v>
      </c>
      <c r="R125" s="32" t="s">
        <v>7043</v>
      </c>
      <c r="S125" s="30">
        <v>46753.0</v>
      </c>
      <c r="T125" s="30">
        <v>47118.0</v>
      </c>
      <c r="U125" s="31">
        <v>0.0</v>
      </c>
      <c r="V125" s="31">
        <v>1.0</v>
      </c>
      <c r="W125" s="32" t="s">
        <v>7043</v>
      </c>
      <c r="X125" s="30">
        <v>47119.0</v>
      </c>
      <c r="Y125" s="30">
        <v>47483.0</v>
      </c>
      <c r="Z125" s="31">
        <v>0.0</v>
      </c>
      <c r="AA125" s="31">
        <v>1.0</v>
      </c>
      <c r="AB125" s="32" t="s">
        <v>7043</v>
      </c>
      <c r="AC125" s="30">
        <v>47484.0</v>
      </c>
      <c r="AD125" s="30">
        <v>47848.0</v>
      </c>
      <c r="AE125" s="31">
        <v>0.0</v>
      </c>
      <c r="AF125" s="31">
        <v>1.0</v>
      </c>
      <c r="AG125" s="32" t="s">
        <v>7043</v>
      </c>
    </row>
    <row r="126" ht="14.25" customHeight="1">
      <c r="A126" s="28" t="s">
        <v>3658</v>
      </c>
      <c r="B126" s="29" t="s">
        <v>3659</v>
      </c>
      <c r="C126" s="29" t="s">
        <v>7041</v>
      </c>
      <c r="D126" s="30">
        <v>45658.0</v>
      </c>
      <c r="E126" s="30">
        <v>46022.0</v>
      </c>
      <c r="F126" s="31">
        <v>1.0</v>
      </c>
      <c r="G126" s="31">
        <v>1.0</v>
      </c>
      <c r="H126" s="33" t="s">
        <v>7042</v>
      </c>
      <c r="I126" s="30">
        <v>46023.0</v>
      </c>
      <c r="J126" s="30">
        <v>46387.0</v>
      </c>
      <c r="K126" s="31">
        <v>0.0</v>
      </c>
      <c r="L126" s="31">
        <v>1.0</v>
      </c>
      <c r="M126" s="32" t="s">
        <v>7043</v>
      </c>
      <c r="N126" s="30">
        <v>46388.0</v>
      </c>
      <c r="O126" s="30">
        <v>46752.0</v>
      </c>
      <c r="P126" s="31">
        <v>0.0</v>
      </c>
      <c r="Q126" s="31">
        <v>1.0</v>
      </c>
      <c r="R126" s="32" t="s">
        <v>7043</v>
      </c>
      <c r="S126" s="30">
        <v>46753.0</v>
      </c>
      <c r="T126" s="30">
        <v>47118.0</v>
      </c>
      <c r="U126" s="31">
        <v>0.0</v>
      </c>
      <c r="V126" s="31">
        <v>1.0</v>
      </c>
      <c r="W126" s="32" t="s">
        <v>7043</v>
      </c>
      <c r="X126" s="30">
        <v>47119.0</v>
      </c>
      <c r="Y126" s="30">
        <v>47483.0</v>
      </c>
      <c r="Z126" s="31">
        <v>0.0</v>
      </c>
      <c r="AA126" s="31">
        <v>1.0</v>
      </c>
      <c r="AB126" s="32" t="s">
        <v>7043</v>
      </c>
      <c r="AC126" s="30">
        <v>47484.0</v>
      </c>
      <c r="AD126" s="30">
        <v>47848.0</v>
      </c>
      <c r="AE126" s="31">
        <v>0.0</v>
      </c>
      <c r="AF126" s="31">
        <v>1.0</v>
      </c>
      <c r="AG126" s="32" t="s">
        <v>7043</v>
      </c>
    </row>
    <row r="127" ht="14.25" customHeight="1">
      <c r="A127" s="28" t="s">
        <v>5960</v>
      </c>
      <c r="B127" s="29" t="s">
        <v>5961</v>
      </c>
      <c r="C127" s="29" t="s">
        <v>7041</v>
      </c>
      <c r="D127" s="30">
        <v>45658.0</v>
      </c>
      <c r="E127" s="30">
        <v>46022.0</v>
      </c>
      <c r="F127" s="31">
        <v>0.0</v>
      </c>
      <c r="G127" s="31">
        <v>1.0</v>
      </c>
      <c r="H127" s="32" t="s">
        <v>7043</v>
      </c>
      <c r="I127" s="30">
        <v>46023.0</v>
      </c>
      <c r="J127" s="30">
        <v>46387.0</v>
      </c>
      <c r="K127" s="31">
        <v>0.0</v>
      </c>
      <c r="L127" s="31">
        <v>1.0</v>
      </c>
      <c r="M127" s="32" t="s">
        <v>7043</v>
      </c>
      <c r="N127" s="30">
        <v>46388.0</v>
      </c>
      <c r="O127" s="30">
        <v>46752.0</v>
      </c>
      <c r="P127" s="31">
        <v>0.0</v>
      </c>
      <c r="Q127" s="31">
        <v>1.0</v>
      </c>
      <c r="R127" s="32" t="s">
        <v>7043</v>
      </c>
      <c r="S127" s="30">
        <v>46753.0</v>
      </c>
      <c r="T127" s="30">
        <v>47118.0</v>
      </c>
      <c r="U127" s="31">
        <v>0.0</v>
      </c>
      <c r="V127" s="31">
        <v>1.0</v>
      </c>
      <c r="W127" s="32" t="s">
        <v>7043</v>
      </c>
      <c r="X127" s="30">
        <v>47119.0</v>
      </c>
      <c r="Y127" s="30">
        <v>47483.0</v>
      </c>
      <c r="Z127" s="31">
        <v>0.0</v>
      </c>
      <c r="AA127" s="31">
        <v>1.0</v>
      </c>
      <c r="AB127" s="32" t="s">
        <v>7043</v>
      </c>
      <c r="AC127" s="30">
        <v>47484.0</v>
      </c>
      <c r="AD127" s="30">
        <v>47848.0</v>
      </c>
      <c r="AE127" s="31">
        <v>0.0</v>
      </c>
      <c r="AF127" s="31">
        <v>1.0</v>
      </c>
      <c r="AG127" s="32" t="s">
        <v>7043</v>
      </c>
    </row>
    <row r="128" ht="14.25" customHeight="1">
      <c r="A128" s="28" t="s">
        <v>2390</v>
      </c>
      <c r="B128" s="29" t="s">
        <v>2391</v>
      </c>
      <c r="C128" s="29" t="s">
        <v>7044</v>
      </c>
      <c r="D128" s="30">
        <v>45658.0</v>
      </c>
      <c r="E128" s="30">
        <v>46022.0</v>
      </c>
      <c r="F128" s="31">
        <v>0.0</v>
      </c>
      <c r="G128" s="31">
        <v>1.0</v>
      </c>
      <c r="H128" s="32" t="s">
        <v>7043</v>
      </c>
      <c r="I128" s="30">
        <v>46023.0</v>
      </c>
      <c r="J128" s="30">
        <v>46387.0</v>
      </c>
      <c r="K128" s="31">
        <v>0.0</v>
      </c>
      <c r="L128" s="31">
        <v>1.0</v>
      </c>
      <c r="M128" s="32" t="s">
        <v>7043</v>
      </c>
      <c r="N128" s="30">
        <v>46388.0</v>
      </c>
      <c r="O128" s="30">
        <v>46752.0</v>
      </c>
      <c r="P128" s="31">
        <v>0.0</v>
      </c>
      <c r="Q128" s="31">
        <v>1.0</v>
      </c>
      <c r="R128" s="32" t="s">
        <v>7043</v>
      </c>
      <c r="S128" s="30">
        <v>46753.0</v>
      </c>
      <c r="T128" s="30">
        <v>47118.0</v>
      </c>
      <c r="U128" s="31">
        <v>0.0</v>
      </c>
      <c r="V128" s="31">
        <v>1.0</v>
      </c>
      <c r="W128" s="32" t="s">
        <v>7043</v>
      </c>
      <c r="X128" s="30">
        <v>47119.0</v>
      </c>
      <c r="Y128" s="30">
        <v>47483.0</v>
      </c>
      <c r="Z128" s="31">
        <v>0.0</v>
      </c>
      <c r="AA128" s="31">
        <v>1.0</v>
      </c>
      <c r="AB128" s="32" t="s">
        <v>7043</v>
      </c>
      <c r="AC128" s="30">
        <v>47484.0</v>
      </c>
      <c r="AD128" s="30">
        <v>47848.0</v>
      </c>
      <c r="AE128" s="31">
        <v>0.0</v>
      </c>
      <c r="AF128" s="31">
        <v>1.0</v>
      </c>
      <c r="AG128" s="32" t="s">
        <v>7043</v>
      </c>
    </row>
    <row r="129" ht="14.25" customHeight="1">
      <c r="A129" s="28" t="s">
        <v>316</v>
      </c>
      <c r="B129" s="29" t="s">
        <v>317</v>
      </c>
      <c r="C129" s="29" t="s">
        <v>7044</v>
      </c>
      <c r="D129" s="30">
        <v>45658.0</v>
      </c>
      <c r="E129" s="30">
        <v>46022.0</v>
      </c>
      <c r="F129" s="31">
        <v>0.0</v>
      </c>
      <c r="G129" s="31">
        <v>1.0</v>
      </c>
      <c r="H129" s="32" t="s">
        <v>7043</v>
      </c>
      <c r="I129" s="30">
        <v>46023.0</v>
      </c>
      <c r="J129" s="30">
        <v>46387.0</v>
      </c>
      <c r="K129" s="31">
        <v>0.0</v>
      </c>
      <c r="L129" s="31">
        <v>1.0</v>
      </c>
      <c r="M129" s="32" t="s">
        <v>7043</v>
      </c>
      <c r="N129" s="30">
        <v>46388.0</v>
      </c>
      <c r="O129" s="30">
        <v>46752.0</v>
      </c>
      <c r="P129" s="31">
        <v>0.0</v>
      </c>
      <c r="Q129" s="31">
        <v>1.0</v>
      </c>
      <c r="R129" s="32" t="s">
        <v>7043</v>
      </c>
      <c r="S129" s="30">
        <v>46753.0</v>
      </c>
      <c r="T129" s="30">
        <v>47118.0</v>
      </c>
      <c r="U129" s="31">
        <v>0.0</v>
      </c>
      <c r="V129" s="31">
        <v>1.0</v>
      </c>
      <c r="W129" s="32" t="s">
        <v>7043</v>
      </c>
      <c r="X129" s="30">
        <v>47119.0</v>
      </c>
      <c r="Y129" s="30">
        <v>47483.0</v>
      </c>
      <c r="Z129" s="31">
        <v>0.0</v>
      </c>
      <c r="AA129" s="31">
        <v>1.0</v>
      </c>
      <c r="AB129" s="32" t="s">
        <v>7043</v>
      </c>
      <c r="AC129" s="30">
        <v>47484.0</v>
      </c>
      <c r="AD129" s="30">
        <v>47848.0</v>
      </c>
      <c r="AE129" s="31">
        <v>0.0</v>
      </c>
      <c r="AF129" s="31">
        <v>1.0</v>
      </c>
      <c r="AG129" s="32" t="s">
        <v>7043</v>
      </c>
    </row>
    <row r="130" ht="14.25" customHeight="1">
      <c r="A130" s="28" t="s">
        <v>585</v>
      </c>
      <c r="B130" s="29" t="s">
        <v>586</v>
      </c>
      <c r="C130" s="29" t="s">
        <v>7044</v>
      </c>
      <c r="D130" s="30">
        <v>45658.0</v>
      </c>
      <c r="E130" s="30">
        <v>46022.0</v>
      </c>
      <c r="F130" s="31">
        <v>0.0</v>
      </c>
      <c r="G130" s="31">
        <v>1.0</v>
      </c>
      <c r="H130" s="32" t="s">
        <v>7043</v>
      </c>
      <c r="I130" s="30">
        <v>46023.0</v>
      </c>
      <c r="J130" s="30">
        <v>46387.0</v>
      </c>
      <c r="K130" s="31">
        <v>0.0</v>
      </c>
      <c r="L130" s="31">
        <v>1.0</v>
      </c>
      <c r="M130" s="32" t="s">
        <v>7043</v>
      </c>
      <c r="N130" s="30">
        <v>46388.0</v>
      </c>
      <c r="O130" s="30">
        <v>46752.0</v>
      </c>
      <c r="P130" s="31">
        <v>0.0</v>
      </c>
      <c r="Q130" s="31">
        <v>1.0</v>
      </c>
      <c r="R130" s="32" t="s">
        <v>7043</v>
      </c>
      <c r="S130" s="30">
        <v>46753.0</v>
      </c>
      <c r="T130" s="30">
        <v>47118.0</v>
      </c>
      <c r="U130" s="31">
        <v>0.0</v>
      </c>
      <c r="V130" s="31">
        <v>1.0</v>
      </c>
      <c r="W130" s="32" t="s">
        <v>7043</v>
      </c>
      <c r="X130" s="30">
        <v>47119.0</v>
      </c>
      <c r="Y130" s="30">
        <v>47483.0</v>
      </c>
      <c r="Z130" s="31">
        <v>0.0</v>
      </c>
      <c r="AA130" s="31">
        <v>1.0</v>
      </c>
      <c r="AB130" s="32" t="s">
        <v>7043</v>
      </c>
      <c r="AC130" s="30">
        <v>47484.0</v>
      </c>
      <c r="AD130" s="30">
        <v>47848.0</v>
      </c>
      <c r="AE130" s="31">
        <v>0.0</v>
      </c>
      <c r="AF130" s="31">
        <v>1.0</v>
      </c>
      <c r="AG130" s="32" t="s">
        <v>7043</v>
      </c>
    </row>
    <row r="131" ht="14.25" customHeight="1">
      <c r="A131" s="28" t="s">
        <v>737</v>
      </c>
      <c r="B131" s="29" t="s">
        <v>738</v>
      </c>
      <c r="C131" s="29" t="s">
        <v>7041</v>
      </c>
      <c r="D131" s="30">
        <v>45658.0</v>
      </c>
      <c r="E131" s="30">
        <v>46022.0</v>
      </c>
      <c r="F131" s="31">
        <v>0.0</v>
      </c>
      <c r="G131" s="31">
        <v>1.0</v>
      </c>
      <c r="H131" s="32" t="s">
        <v>7043</v>
      </c>
      <c r="I131" s="30">
        <v>46023.0</v>
      </c>
      <c r="J131" s="30">
        <v>46387.0</v>
      </c>
      <c r="K131" s="31">
        <v>0.0</v>
      </c>
      <c r="L131" s="31">
        <v>1.0</v>
      </c>
      <c r="M131" s="32" t="s">
        <v>7043</v>
      </c>
      <c r="N131" s="30">
        <v>46388.0</v>
      </c>
      <c r="O131" s="30">
        <v>46752.0</v>
      </c>
      <c r="P131" s="31">
        <v>0.0</v>
      </c>
      <c r="Q131" s="31">
        <v>1.0</v>
      </c>
      <c r="R131" s="32" t="s">
        <v>7043</v>
      </c>
      <c r="S131" s="30">
        <v>46753.0</v>
      </c>
      <c r="T131" s="30">
        <v>47118.0</v>
      </c>
      <c r="U131" s="31">
        <v>0.0</v>
      </c>
      <c r="V131" s="31">
        <v>1.0</v>
      </c>
      <c r="W131" s="32" t="s">
        <v>7043</v>
      </c>
      <c r="X131" s="30">
        <v>47119.0</v>
      </c>
      <c r="Y131" s="30">
        <v>47483.0</v>
      </c>
      <c r="Z131" s="31">
        <v>0.0</v>
      </c>
      <c r="AA131" s="31">
        <v>1.0</v>
      </c>
      <c r="AB131" s="32" t="s">
        <v>7043</v>
      </c>
      <c r="AC131" s="30">
        <v>47484.0</v>
      </c>
      <c r="AD131" s="30">
        <v>47848.0</v>
      </c>
      <c r="AE131" s="31">
        <v>0.0</v>
      </c>
      <c r="AF131" s="31">
        <v>1.0</v>
      </c>
      <c r="AG131" s="32" t="s">
        <v>7043</v>
      </c>
    </row>
    <row r="132" ht="14.25" customHeight="1">
      <c r="A132" s="28" t="s">
        <v>827</v>
      </c>
      <c r="B132" s="29" t="s">
        <v>828</v>
      </c>
      <c r="C132" s="29" t="s">
        <v>7044</v>
      </c>
      <c r="D132" s="30">
        <v>45658.0</v>
      </c>
      <c r="E132" s="30">
        <v>46022.0</v>
      </c>
      <c r="F132" s="31">
        <v>0.0</v>
      </c>
      <c r="G132" s="31">
        <v>1.0</v>
      </c>
      <c r="H132" s="32" t="s">
        <v>7043</v>
      </c>
      <c r="I132" s="30">
        <v>46023.0</v>
      </c>
      <c r="J132" s="30">
        <v>46387.0</v>
      </c>
      <c r="K132" s="31">
        <v>0.0</v>
      </c>
      <c r="L132" s="31">
        <v>1.0</v>
      </c>
      <c r="M132" s="32" t="s">
        <v>7043</v>
      </c>
      <c r="N132" s="30">
        <v>46388.0</v>
      </c>
      <c r="O132" s="30">
        <v>46752.0</v>
      </c>
      <c r="P132" s="31">
        <v>0.0</v>
      </c>
      <c r="Q132" s="31">
        <v>1.0</v>
      </c>
      <c r="R132" s="32" t="s">
        <v>7043</v>
      </c>
      <c r="S132" s="30">
        <v>46753.0</v>
      </c>
      <c r="T132" s="30">
        <v>47118.0</v>
      </c>
      <c r="U132" s="31">
        <v>0.0</v>
      </c>
      <c r="V132" s="31">
        <v>1.0</v>
      </c>
      <c r="W132" s="32" t="s">
        <v>7043</v>
      </c>
      <c r="X132" s="30">
        <v>47119.0</v>
      </c>
      <c r="Y132" s="30">
        <v>47483.0</v>
      </c>
      <c r="Z132" s="31">
        <v>0.0</v>
      </c>
      <c r="AA132" s="31">
        <v>1.0</v>
      </c>
      <c r="AB132" s="32" t="s">
        <v>7043</v>
      </c>
      <c r="AC132" s="30">
        <v>47484.0</v>
      </c>
      <c r="AD132" s="30">
        <v>47848.0</v>
      </c>
      <c r="AE132" s="31">
        <v>0.0</v>
      </c>
      <c r="AF132" s="31">
        <v>1.0</v>
      </c>
      <c r="AG132" s="32" t="s">
        <v>7043</v>
      </c>
    </row>
    <row r="133" ht="14.25" customHeight="1">
      <c r="A133" s="28" t="s">
        <v>941</v>
      </c>
      <c r="B133" s="29" t="s">
        <v>942</v>
      </c>
      <c r="C133" s="29" t="s">
        <v>7044</v>
      </c>
      <c r="D133" s="30">
        <v>45658.0</v>
      </c>
      <c r="E133" s="30">
        <v>46022.0</v>
      </c>
      <c r="F133" s="31">
        <v>0.0</v>
      </c>
      <c r="G133" s="31">
        <v>1.0</v>
      </c>
      <c r="H133" s="32" t="s">
        <v>7043</v>
      </c>
      <c r="I133" s="30">
        <v>46023.0</v>
      </c>
      <c r="J133" s="30">
        <v>46387.0</v>
      </c>
      <c r="K133" s="31">
        <v>0.0</v>
      </c>
      <c r="L133" s="31">
        <v>1.0</v>
      </c>
      <c r="M133" s="32" t="s">
        <v>7043</v>
      </c>
      <c r="N133" s="30">
        <v>46388.0</v>
      </c>
      <c r="O133" s="30">
        <v>46752.0</v>
      </c>
      <c r="P133" s="31">
        <v>0.0</v>
      </c>
      <c r="Q133" s="31">
        <v>1.0</v>
      </c>
      <c r="R133" s="32" t="s">
        <v>7043</v>
      </c>
      <c r="S133" s="30">
        <v>46753.0</v>
      </c>
      <c r="T133" s="30">
        <v>47118.0</v>
      </c>
      <c r="U133" s="31">
        <v>0.0</v>
      </c>
      <c r="V133" s="31">
        <v>1.0</v>
      </c>
      <c r="W133" s="32" t="s">
        <v>7043</v>
      </c>
      <c r="X133" s="30">
        <v>47119.0</v>
      </c>
      <c r="Y133" s="30">
        <v>47483.0</v>
      </c>
      <c r="Z133" s="31">
        <v>0.0</v>
      </c>
      <c r="AA133" s="31">
        <v>1.0</v>
      </c>
      <c r="AB133" s="32" t="s">
        <v>7043</v>
      </c>
      <c r="AC133" s="30">
        <v>47484.0</v>
      </c>
      <c r="AD133" s="30">
        <v>47848.0</v>
      </c>
      <c r="AE133" s="31">
        <v>0.0</v>
      </c>
      <c r="AF133" s="31">
        <v>1.0</v>
      </c>
      <c r="AG133" s="32" t="s">
        <v>7043</v>
      </c>
    </row>
    <row r="134" ht="14.25" customHeight="1">
      <c r="A134" s="28" t="s">
        <v>1036</v>
      </c>
      <c r="B134" s="29" t="s">
        <v>1037</v>
      </c>
      <c r="C134" s="29" t="s">
        <v>7044</v>
      </c>
      <c r="D134" s="30">
        <v>45658.0</v>
      </c>
      <c r="E134" s="30">
        <v>46022.0</v>
      </c>
      <c r="F134" s="31">
        <v>0.0</v>
      </c>
      <c r="G134" s="31">
        <v>1.0</v>
      </c>
      <c r="H134" s="32" t="s">
        <v>7043</v>
      </c>
      <c r="I134" s="30">
        <v>46023.0</v>
      </c>
      <c r="J134" s="30">
        <v>46387.0</v>
      </c>
      <c r="K134" s="31">
        <v>0.0</v>
      </c>
      <c r="L134" s="31">
        <v>1.0</v>
      </c>
      <c r="M134" s="32" t="s">
        <v>7043</v>
      </c>
      <c r="N134" s="30">
        <v>46388.0</v>
      </c>
      <c r="O134" s="30">
        <v>46752.0</v>
      </c>
      <c r="P134" s="31">
        <v>0.0</v>
      </c>
      <c r="Q134" s="31">
        <v>1.0</v>
      </c>
      <c r="R134" s="32" t="s">
        <v>7043</v>
      </c>
      <c r="S134" s="30">
        <v>46753.0</v>
      </c>
      <c r="T134" s="30">
        <v>47118.0</v>
      </c>
      <c r="U134" s="31">
        <v>0.0</v>
      </c>
      <c r="V134" s="31">
        <v>1.0</v>
      </c>
      <c r="W134" s="32" t="s">
        <v>7043</v>
      </c>
      <c r="X134" s="30">
        <v>47119.0</v>
      </c>
      <c r="Y134" s="30">
        <v>47483.0</v>
      </c>
      <c r="Z134" s="31">
        <v>0.0</v>
      </c>
      <c r="AA134" s="31">
        <v>1.0</v>
      </c>
      <c r="AB134" s="32" t="s">
        <v>7043</v>
      </c>
      <c r="AC134" s="30">
        <v>47484.0</v>
      </c>
      <c r="AD134" s="30">
        <v>47848.0</v>
      </c>
      <c r="AE134" s="31">
        <v>0.0</v>
      </c>
      <c r="AF134" s="31">
        <v>1.0</v>
      </c>
      <c r="AG134" s="32" t="s">
        <v>7043</v>
      </c>
    </row>
    <row r="135" ht="14.25" customHeight="1">
      <c r="A135" s="28" t="s">
        <v>1057</v>
      </c>
      <c r="B135" s="29" t="s">
        <v>1058</v>
      </c>
      <c r="C135" s="29" t="s">
        <v>7041</v>
      </c>
      <c r="D135" s="30">
        <v>45658.0</v>
      </c>
      <c r="E135" s="30">
        <v>46022.0</v>
      </c>
      <c r="F135" s="31">
        <v>0.0</v>
      </c>
      <c r="G135" s="31">
        <v>1.0</v>
      </c>
      <c r="H135" s="32" t="s">
        <v>7043</v>
      </c>
      <c r="I135" s="30">
        <v>46023.0</v>
      </c>
      <c r="J135" s="30">
        <v>46387.0</v>
      </c>
      <c r="K135" s="31">
        <v>0.0</v>
      </c>
      <c r="L135" s="31">
        <v>1.0</v>
      </c>
      <c r="M135" s="32" t="s">
        <v>7043</v>
      </c>
      <c r="N135" s="30">
        <v>46388.0</v>
      </c>
      <c r="O135" s="30">
        <v>46752.0</v>
      </c>
      <c r="P135" s="31">
        <v>0.0</v>
      </c>
      <c r="Q135" s="31">
        <v>1.0</v>
      </c>
      <c r="R135" s="32" t="s">
        <v>7043</v>
      </c>
      <c r="S135" s="30">
        <v>46753.0</v>
      </c>
      <c r="T135" s="30">
        <v>47118.0</v>
      </c>
      <c r="U135" s="31">
        <v>0.0</v>
      </c>
      <c r="V135" s="31">
        <v>1.0</v>
      </c>
      <c r="W135" s="32" t="s">
        <v>7043</v>
      </c>
      <c r="X135" s="30">
        <v>47119.0</v>
      </c>
      <c r="Y135" s="30">
        <v>47483.0</v>
      </c>
      <c r="Z135" s="31">
        <v>0.0</v>
      </c>
      <c r="AA135" s="31">
        <v>1.0</v>
      </c>
      <c r="AB135" s="32" t="s">
        <v>7043</v>
      </c>
      <c r="AC135" s="30">
        <v>47484.0</v>
      </c>
      <c r="AD135" s="30">
        <v>47848.0</v>
      </c>
      <c r="AE135" s="31">
        <v>0.0</v>
      </c>
      <c r="AF135" s="31">
        <v>1.0</v>
      </c>
      <c r="AG135" s="32" t="s">
        <v>7043</v>
      </c>
    </row>
    <row r="136" ht="14.25" customHeight="1">
      <c r="A136" s="28" t="s">
        <v>1109</v>
      </c>
      <c r="B136" s="29" t="s">
        <v>1110</v>
      </c>
      <c r="C136" s="29" t="s">
        <v>7044</v>
      </c>
      <c r="D136" s="30">
        <v>45658.0</v>
      </c>
      <c r="E136" s="30">
        <v>46022.0</v>
      </c>
      <c r="F136" s="31">
        <v>0.0</v>
      </c>
      <c r="G136" s="31">
        <v>1.0</v>
      </c>
      <c r="H136" s="32" t="s">
        <v>7043</v>
      </c>
      <c r="I136" s="30">
        <v>46023.0</v>
      </c>
      <c r="J136" s="30">
        <v>46387.0</v>
      </c>
      <c r="K136" s="31">
        <v>0.0</v>
      </c>
      <c r="L136" s="31">
        <v>1.0</v>
      </c>
      <c r="M136" s="32" t="s">
        <v>7043</v>
      </c>
      <c r="N136" s="30">
        <v>46388.0</v>
      </c>
      <c r="O136" s="30">
        <v>46752.0</v>
      </c>
      <c r="P136" s="31">
        <v>0.0</v>
      </c>
      <c r="Q136" s="31">
        <v>1.0</v>
      </c>
      <c r="R136" s="32" t="s">
        <v>7043</v>
      </c>
      <c r="S136" s="30">
        <v>46753.0</v>
      </c>
      <c r="T136" s="30">
        <v>47118.0</v>
      </c>
      <c r="U136" s="31">
        <v>0.0</v>
      </c>
      <c r="V136" s="31">
        <v>1.0</v>
      </c>
      <c r="W136" s="32" t="s">
        <v>7043</v>
      </c>
      <c r="X136" s="30">
        <v>47119.0</v>
      </c>
      <c r="Y136" s="30">
        <v>47483.0</v>
      </c>
      <c r="Z136" s="31">
        <v>0.0</v>
      </c>
      <c r="AA136" s="31">
        <v>1.0</v>
      </c>
      <c r="AB136" s="32" t="s">
        <v>7043</v>
      </c>
      <c r="AC136" s="30">
        <v>47484.0</v>
      </c>
      <c r="AD136" s="30">
        <v>47848.0</v>
      </c>
      <c r="AE136" s="31">
        <v>0.0</v>
      </c>
      <c r="AF136" s="31">
        <v>1.0</v>
      </c>
      <c r="AG136" s="32" t="s">
        <v>7043</v>
      </c>
    </row>
    <row r="137" ht="14.25" customHeight="1">
      <c r="A137" s="28" t="s">
        <v>1174</v>
      </c>
      <c r="B137" s="29" t="s">
        <v>1175</v>
      </c>
      <c r="C137" s="29" t="s">
        <v>7044</v>
      </c>
      <c r="D137" s="30">
        <v>45658.0</v>
      </c>
      <c r="E137" s="30">
        <v>46022.0</v>
      </c>
      <c r="F137" s="31">
        <v>0.0</v>
      </c>
      <c r="G137" s="31">
        <v>1.0</v>
      </c>
      <c r="H137" s="32" t="s">
        <v>7043</v>
      </c>
      <c r="I137" s="30">
        <v>46023.0</v>
      </c>
      <c r="J137" s="30">
        <v>46387.0</v>
      </c>
      <c r="K137" s="31">
        <v>0.0</v>
      </c>
      <c r="L137" s="31">
        <v>1.0</v>
      </c>
      <c r="M137" s="32" t="s">
        <v>7043</v>
      </c>
      <c r="N137" s="30">
        <v>46388.0</v>
      </c>
      <c r="O137" s="30">
        <v>46752.0</v>
      </c>
      <c r="P137" s="31">
        <v>0.0</v>
      </c>
      <c r="Q137" s="31">
        <v>1.0</v>
      </c>
      <c r="R137" s="32" t="s">
        <v>7043</v>
      </c>
      <c r="S137" s="30">
        <v>46753.0</v>
      </c>
      <c r="T137" s="30">
        <v>47118.0</v>
      </c>
      <c r="U137" s="31">
        <v>0.0</v>
      </c>
      <c r="V137" s="31">
        <v>1.0</v>
      </c>
      <c r="W137" s="32" t="s">
        <v>7043</v>
      </c>
      <c r="X137" s="30">
        <v>47119.0</v>
      </c>
      <c r="Y137" s="30">
        <v>47483.0</v>
      </c>
      <c r="Z137" s="31">
        <v>0.0</v>
      </c>
      <c r="AA137" s="31">
        <v>1.0</v>
      </c>
      <c r="AB137" s="32" t="s">
        <v>7043</v>
      </c>
      <c r="AC137" s="30">
        <v>47484.0</v>
      </c>
      <c r="AD137" s="30">
        <v>47848.0</v>
      </c>
      <c r="AE137" s="31">
        <v>0.0</v>
      </c>
      <c r="AF137" s="31">
        <v>1.0</v>
      </c>
      <c r="AG137" s="32" t="s">
        <v>7043</v>
      </c>
    </row>
    <row r="138" ht="14.25" customHeight="1">
      <c r="A138" s="28" t="s">
        <v>1279</v>
      </c>
      <c r="B138" s="29" t="s">
        <v>1280</v>
      </c>
      <c r="C138" s="29" t="s">
        <v>7044</v>
      </c>
      <c r="D138" s="30">
        <v>45658.0</v>
      </c>
      <c r="E138" s="30">
        <v>46022.0</v>
      </c>
      <c r="F138" s="31">
        <v>0.0</v>
      </c>
      <c r="G138" s="31">
        <v>1.0</v>
      </c>
      <c r="H138" s="32" t="s">
        <v>7043</v>
      </c>
      <c r="I138" s="30">
        <v>46023.0</v>
      </c>
      <c r="J138" s="30">
        <v>46387.0</v>
      </c>
      <c r="K138" s="31">
        <v>0.0</v>
      </c>
      <c r="L138" s="31">
        <v>1.0</v>
      </c>
      <c r="M138" s="32" t="s">
        <v>7043</v>
      </c>
      <c r="N138" s="30">
        <v>46388.0</v>
      </c>
      <c r="O138" s="30">
        <v>46752.0</v>
      </c>
      <c r="P138" s="31">
        <v>0.0</v>
      </c>
      <c r="Q138" s="31">
        <v>1.0</v>
      </c>
      <c r="R138" s="32" t="s">
        <v>7043</v>
      </c>
      <c r="S138" s="30">
        <v>46753.0</v>
      </c>
      <c r="T138" s="30">
        <v>47118.0</v>
      </c>
      <c r="U138" s="31">
        <v>0.0</v>
      </c>
      <c r="V138" s="31">
        <v>1.0</v>
      </c>
      <c r="W138" s="32" t="s">
        <v>7043</v>
      </c>
      <c r="X138" s="30">
        <v>47119.0</v>
      </c>
      <c r="Y138" s="30">
        <v>47483.0</v>
      </c>
      <c r="Z138" s="31">
        <v>0.0</v>
      </c>
      <c r="AA138" s="31">
        <v>1.0</v>
      </c>
      <c r="AB138" s="32" t="s">
        <v>7043</v>
      </c>
      <c r="AC138" s="30">
        <v>47484.0</v>
      </c>
      <c r="AD138" s="30">
        <v>47848.0</v>
      </c>
      <c r="AE138" s="31">
        <v>0.0</v>
      </c>
      <c r="AF138" s="31">
        <v>1.0</v>
      </c>
      <c r="AG138" s="32" t="s">
        <v>7043</v>
      </c>
    </row>
    <row r="139" ht="14.25" customHeight="1">
      <c r="A139" s="28" t="s">
        <v>1288</v>
      </c>
      <c r="B139" s="29" t="s">
        <v>1289</v>
      </c>
      <c r="C139" s="29" t="s">
        <v>7044</v>
      </c>
      <c r="D139" s="30">
        <v>45658.0</v>
      </c>
      <c r="E139" s="30">
        <v>46022.0</v>
      </c>
      <c r="F139" s="31">
        <v>0.0</v>
      </c>
      <c r="G139" s="31">
        <v>1.0</v>
      </c>
      <c r="H139" s="32" t="s">
        <v>7043</v>
      </c>
      <c r="I139" s="30">
        <v>46023.0</v>
      </c>
      <c r="J139" s="30">
        <v>46387.0</v>
      </c>
      <c r="K139" s="31">
        <v>0.0</v>
      </c>
      <c r="L139" s="31">
        <v>1.0</v>
      </c>
      <c r="M139" s="32" t="s">
        <v>7043</v>
      </c>
      <c r="N139" s="30">
        <v>46388.0</v>
      </c>
      <c r="O139" s="30">
        <v>46752.0</v>
      </c>
      <c r="P139" s="31">
        <v>0.0</v>
      </c>
      <c r="Q139" s="31">
        <v>1.0</v>
      </c>
      <c r="R139" s="32" t="s">
        <v>7043</v>
      </c>
      <c r="S139" s="30">
        <v>46753.0</v>
      </c>
      <c r="T139" s="30">
        <v>47118.0</v>
      </c>
      <c r="U139" s="31">
        <v>0.0</v>
      </c>
      <c r="V139" s="31">
        <v>1.0</v>
      </c>
      <c r="W139" s="32" t="s">
        <v>7043</v>
      </c>
      <c r="X139" s="30">
        <v>47119.0</v>
      </c>
      <c r="Y139" s="30">
        <v>47483.0</v>
      </c>
      <c r="Z139" s="31">
        <v>0.0</v>
      </c>
      <c r="AA139" s="31">
        <v>1.0</v>
      </c>
      <c r="AB139" s="32" t="s">
        <v>7043</v>
      </c>
      <c r="AC139" s="30">
        <v>47484.0</v>
      </c>
      <c r="AD139" s="30">
        <v>47848.0</v>
      </c>
      <c r="AE139" s="31">
        <v>0.0</v>
      </c>
      <c r="AF139" s="31">
        <v>1.0</v>
      </c>
      <c r="AG139" s="32" t="s">
        <v>7043</v>
      </c>
    </row>
    <row r="140" ht="14.25" customHeight="1">
      <c r="A140" s="28" t="s">
        <v>1320</v>
      </c>
      <c r="B140" s="29" t="s">
        <v>1321</v>
      </c>
      <c r="C140" s="29" t="s">
        <v>7044</v>
      </c>
      <c r="D140" s="30">
        <v>45658.0</v>
      </c>
      <c r="E140" s="30">
        <v>46022.0</v>
      </c>
      <c r="F140" s="31">
        <v>0.0</v>
      </c>
      <c r="G140" s="31">
        <v>1.0</v>
      </c>
      <c r="H140" s="32" t="s">
        <v>7043</v>
      </c>
      <c r="I140" s="30">
        <v>46023.0</v>
      </c>
      <c r="J140" s="30">
        <v>46387.0</v>
      </c>
      <c r="K140" s="31">
        <v>0.0</v>
      </c>
      <c r="L140" s="31">
        <v>1.0</v>
      </c>
      <c r="M140" s="32" t="s">
        <v>7043</v>
      </c>
      <c r="N140" s="30">
        <v>46388.0</v>
      </c>
      <c r="O140" s="30">
        <v>46752.0</v>
      </c>
      <c r="P140" s="31">
        <v>0.0</v>
      </c>
      <c r="Q140" s="31">
        <v>1.0</v>
      </c>
      <c r="R140" s="32" t="s">
        <v>7043</v>
      </c>
      <c r="S140" s="30">
        <v>46753.0</v>
      </c>
      <c r="T140" s="30">
        <v>47118.0</v>
      </c>
      <c r="U140" s="31">
        <v>0.0</v>
      </c>
      <c r="V140" s="31">
        <v>1.0</v>
      </c>
      <c r="W140" s="32" t="s">
        <v>7043</v>
      </c>
      <c r="X140" s="30">
        <v>47119.0</v>
      </c>
      <c r="Y140" s="30">
        <v>47483.0</v>
      </c>
      <c r="Z140" s="31">
        <v>0.0</v>
      </c>
      <c r="AA140" s="31">
        <v>1.0</v>
      </c>
      <c r="AB140" s="32" t="s">
        <v>7043</v>
      </c>
      <c r="AC140" s="30">
        <v>47484.0</v>
      </c>
      <c r="AD140" s="30">
        <v>47848.0</v>
      </c>
      <c r="AE140" s="31">
        <v>0.0</v>
      </c>
      <c r="AF140" s="31">
        <v>1.0</v>
      </c>
      <c r="AG140" s="32" t="s">
        <v>7043</v>
      </c>
    </row>
    <row r="141" ht="14.25" customHeight="1">
      <c r="A141" s="28" t="s">
        <v>1447</v>
      </c>
      <c r="B141" s="29" t="s">
        <v>1448</v>
      </c>
      <c r="C141" s="29" t="s">
        <v>7041</v>
      </c>
      <c r="D141" s="30">
        <v>45658.0</v>
      </c>
      <c r="E141" s="30">
        <v>46022.0</v>
      </c>
      <c r="F141" s="31">
        <v>1.0</v>
      </c>
      <c r="G141" s="31">
        <v>1.0</v>
      </c>
      <c r="H141" s="33" t="s">
        <v>7042</v>
      </c>
      <c r="I141" s="30">
        <v>46023.0</v>
      </c>
      <c r="J141" s="30">
        <v>46387.0</v>
      </c>
      <c r="K141" s="31">
        <v>0.0</v>
      </c>
      <c r="L141" s="31">
        <v>1.0</v>
      </c>
      <c r="M141" s="32" t="s">
        <v>7043</v>
      </c>
      <c r="N141" s="30">
        <v>46388.0</v>
      </c>
      <c r="O141" s="30">
        <v>46752.0</v>
      </c>
      <c r="P141" s="31">
        <v>0.0</v>
      </c>
      <c r="Q141" s="31">
        <v>1.0</v>
      </c>
      <c r="R141" s="32" t="s">
        <v>7043</v>
      </c>
      <c r="S141" s="30">
        <v>46753.0</v>
      </c>
      <c r="T141" s="30">
        <v>47118.0</v>
      </c>
      <c r="U141" s="31">
        <v>0.0</v>
      </c>
      <c r="V141" s="31">
        <v>1.0</v>
      </c>
      <c r="W141" s="32" t="s">
        <v>7043</v>
      </c>
      <c r="X141" s="30">
        <v>47119.0</v>
      </c>
      <c r="Y141" s="30">
        <v>47483.0</v>
      </c>
      <c r="Z141" s="31">
        <v>0.0</v>
      </c>
      <c r="AA141" s="31">
        <v>1.0</v>
      </c>
      <c r="AB141" s="32" t="s">
        <v>7043</v>
      </c>
      <c r="AC141" s="30">
        <v>47484.0</v>
      </c>
      <c r="AD141" s="30">
        <v>47848.0</v>
      </c>
      <c r="AE141" s="31">
        <v>0.0</v>
      </c>
      <c r="AF141" s="31">
        <v>1.0</v>
      </c>
      <c r="AG141" s="32" t="s">
        <v>7043</v>
      </c>
    </row>
    <row r="142" ht="14.25" customHeight="1">
      <c r="A142" s="28" t="s">
        <v>1571</v>
      </c>
      <c r="B142" s="29" t="s">
        <v>1572</v>
      </c>
      <c r="C142" s="29" t="s">
        <v>7041</v>
      </c>
      <c r="D142" s="30">
        <v>45658.0</v>
      </c>
      <c r="E142" s="30">
        <v>46022.0</v>
      </c>
      <c r="F142" s="31">
        <v>0.0</v>
      </c>
      <c r="G142" s="31">
        <v>1.0</v>
      </c>
      <c r="H142" s="32" t="s">
        <v>7043</v>
      </c>
      <c r="I142" s="30">
        <v>46023.0</v>
      </c>
      <c r="J142" s="30">
        <v>46387.0</v>
      </c>
      <c r="K142" s="31">
        <v>0.0</v>
      </c>
      <c r="L142" s="31">
        <v>1.0</v>
      </c>
      <c r="M142" s="32" t="s">
        <v>7043</v>
      </c>
      <c r="N142" s="30">
        <v>46388.0</v>
      </c>
      <c r="O142" s="30">
        <v>46752.0</v>
      </c>
      <c r="P142" s="31">
        <v>0.0</v>
      </c>
      <c r="Q142" s="31">
        <v>1.0</v>
      </c>
      <c r="R142" s="32" t="s">
        <v>7043</v>
      </c>
      <c r="S142" s="30">
        <v>46753.0</v>
      </c>
      <c r="T142" s="30">
        <v>47118.0</v>
      </c>
      <c r="U142" s="31">
        <v>0.0</v>
      </c>
      <c r="V142" s="31">
        <v>1.0</v>
      </c>
      <c r="W142" s="32" t="s">
        <v>7043</v>
      </c>
      <c r="X142" s="30">
        <v>47119.0</v>
      </c>
      <c r="Y142" s="30">
        <v>47483.0</v>
      </c>
      <c r="Z142" s="31">
        <v>0.0</v>
      </c>
      <c r="AA142" s="31">
        <v>1.0</v>
      </c>
      <c r="AB142" s="32" t="s">
        <v>7043</v>
      </c>
      <c r="AC142" s="30">
        <v>47484.0</v>
      </c>
      <c r="AD142" s="30">
        <v>47848.0</v>
      </c>
      <c r="AE142" s="31">
        <v>0.0</v>
      </c>
      <c r="AF142" s="31">
        <v>1.0</v>
      </c>
      <c r="AG142" s="32" t="s">
        <v>7043</v>
      </c>
    </row>
    <row r="143" ht="14.25" customHeight="1">
      <c r="A143" s="28" t="s">
        <v>1605</v>
      </c>
      <c r="B143" s="29" t="s">
        <v>1606</v>
      </c>
      <c r="C143" s="29" t="s">
        <v>7044</v>
      </c>
      <c r="D143" s="30">
        <v>45658.0</v>
      </c>
      <c r="E143" s="30">
        <v>46022.0</v>
      </c>
      <c r="F143" s="31">
        <v>0.0</v>
      </c>
      <c r="G143" s="31">
        <v>1.0</v>
      </c>
      <c r="H143" s="32" t="s">
        <v>7043</v>
      </c>
      <c r="I143" s="30">
        <v>46023.0</v>
      </c>
      <c r="J143" s="30">
        <v>46387.0</v>
      </c>
      <c r="K143" s="31">
        <v>0.0</v>
      </c>
      <c r="L143" s="31">
        <v>1.0</v>
      </c>
      <c r="M143" s="32" t="s">
        <v>7043</v>
      </c>
      <c r="N143" s="30">
        <v>46388.0</v>
      </c>
      <c r="O143" s="30">
        <v>46752.0</v>
      </c>
      <c r="P143" s="31">
        <v>0.0</v>
      </c>
      <c r="Q143" s="31">
        <v>1.0</v>
      </c>
      <c r="R143" s="32" t="s">
        <v>7043</v>
      </c>
      <c r="S143" s="30">
        <v>46753.0</v>
      </c>
      <c r="T143" s="30">
        <v>47118.0</v>
      </c>
      <c r="U143" s="31">
        <v>0.0</v>
      </c>
      <c r="V143" s="31">
        <v>1.0</v>
      </c>
      <c r="W143" s="32" t="s">
        <v>7043</v>
      </c>
      <c r="X143" s="30">
        <v>47119.0</v>
      </c>
      <c r="Y143" s="30">
        <v>47483.0</v>
      </c>
      <c r="Z143" s="31">
        <v>0.0</v>
      </c>
      <c r="AA143" s="31">
        <v>1.0</v>
      </c>
      <c r="AB143" s="32" t="s">
        <v>7043</v>
      </c>
      <c r="AC143" s="30">
        <v>47484.0</v>
      </c>
      <c r="AD143" s="30">
        <v>47848.0</v>
      </c>
      <c r="AE143" s="31">
        <v>0.0</v>
      </c>
      <c r="AF143" s="31">
        <v>1.0</v>
      </c>
      <c r="AG143" s="32" t="s">
        <v>7043</v>
      </c>
    </row>
    <row r="144" ht="14.25" customHeight="1">
      <c r="A144" s="28" t="s">
        <v>1850</v>
      </c>
      <c r="B144" s="29" t="s">
        <v>1851</v>
      </c>
      <c r="C144" s="29" t="s">
        <v>7041</v>
      </c>
      <c r="D144" s="30">
        <v>45658.0</v>
      </c>
      <c r="E144" s="30">
        <v>46022.0</v>
      </c>
      <c r="F144" s="31">
        <v>0.0</v>
      </c>
      <c r="G144" s="31">
        <v>1.0</v>
      </c>
      <c r="H144" s="32" t="s">
        <v>7043</v>
      </c>
      <c r="I144" s="30">
        <v>46023.0</v>
      </c>
      <c r="J144" s="30">
        <v>46387.0</v>
      </c>
      <c r="K144" s="31">
        <v>0.0</v>
      </c>
      <c r="L144" s="31">
        <v>1.0</v>
      </c>
      <c r="M144" s="32" t="s">
        <v>7043</v>
      </c>
      <c r="N144" s="30">
        <v>46388.0</v>
      </c>
      <c r="O144" s="30">
        <v>46752.0</v>
      </c>
      <c r="P144" s="31">
        <v>0.0</v>
      </c>
      <c r="Q144" s="31">
        <v>1.0</v>
      </c>
      <c r="R144" s="32" t="s">
        <v>7043</v>
      </c>
      <c r="S144" s="30">
        <v>46753.0</v>
      </c>
      <c r="T144" s="30">
        <v>47118.0</v>
      </c>
      <c r="U144" s="31">
        <v>0.0</v>
      </c>
      <c r="V144" s="31">
        <v>1.0</v>
      </c>
      <c r="W144" s="32" t="s">
        <v>7043</v>
      </c>
      <c r="X144" s="30">
        <v>47119.0</v>
      </c>
      <c r="Y144" s="30">
        <v>47483.0</v>
      </c>
      <c r="Z144" s="31">
        <v>0.0</v>
      </c>
      <c r="AA144" s="31">
        <v>1.0</v>
      </c>
      <c r="AB144" s="32" t="s">
        <v>7043</v>
      </c>
      <c r="AC144" s="30">
        <v>47484.0</v>
      </c>
      <c r="AD144" s="30">
        <v>47848.0</v>
      </c>
      <c r="AE144" s="31">
        <v>0.0</v>
      </c>
      <c r="AF144" s="31">
        <v>1.0</v>
      </c>
      <c r="AG144" s="32" t="s">
        <v>7043</v>
      </c>
    </row>
    <row r="145" ht="14.25" customHeight="1">
      <c r="A145" s="28" t="s">
        <v>1928</v>
      </c>
      <c r="B145" s="29" t="s">
        <v>1929</v>
      </c>
      <c r="C145" s="29" t="s">
        <v>7044</v>
      </c>
      <c r="D145" s="30">
        <v>45658.0</v>
      </c>
      <c r="E145" s="30">
        <v>46022.0</v>
      </c>
      <c r="F145" s="31">
        <v>0.0</v>
      </c>
      <c r="G145" s="31">
        <v>1.0</v>
      </c>
      <c r="H145" s="32" t="s">
        <v>7043</v>
      </c>
      <c r="I145" s="30">
        <v>46023.0</v>
      </c>
      <c r="J145" s="30">
        <v>46387.0</v>
      </c>
      <c r="K145" s="31">
        <v>0.0</v>
      </c>
      <c r="L145" s="31">
        <v>1.0</v>
      </c>
      <c r="M145" s="32" t="s">
        <v>7043</v>
      </c>
      <c r="N145" s="30">
        <v>46388.0</v>
      </c>
      <c r="O145" s="30">
        <v>46752.0</v>
      </c>
      <c r="P145" s="31">
        <v>0.0</v>
      </c>
      <c r="Q145" s="31">
        <v>1.0</v>
      </c>
      <c r="R145" s="32" t="s">
        <v>7043</v>
      </c>
      <c r="S145" s="30">
        <v>46753.0</v>
      </c>
      <c r="T145" s="30">
        <v>47118.0</v>
      </c>
      <c r="U145" s="31">
        <v>0.0</v>
      </c>
      <c r="V145" s="31">
        <v>1.0</v>
      </c>
      <c r="W145" s="32" t="s">
        <v>7043</v>
      </c>
      <c r="X145" s="30">
        <v>47119.0</v>
      </c>
      <c r="Y145" s="30">
        <v>47483.0</v>
      </c>
      <c r="Z145" s="31">
        <v>0.0</v>
      </c>
      <c r="AA145" s="31">
        <v>1.0</v>
      </c>
      <c r="AB145" s="32" t="s">
        <v>7043</v>
      </c>
      <c r="AC145" s="30">
        <v>47484.0</v>
      </c>
      <c r="AD145" s="30">
        <v>47848.0</v>
      </c>
      <c r="AE145" s="31">
        <v>0.0</v>
      </c>
      <c r="AF145" s="31">
        <v>1.0</v>
      </c>
      <c r="AG145" s="32" t="s">
        <v>7043</v>
      </c>
    </row>
    <row r="146" ht="14.25" customHeight="1">
      <c r="A146" s="28" t="s">
        <v>1979</v>
      </c>
      <c r="B146" s="29" t="s">
        <v>1980</v>
      </c>
      <c r="C146" s="29" t="s">
        <v>7041</v>
      </c>
      <c r="D146" s="30">
        <v>45658.0</v>
      </c>
      <c r="E146" s="30">
        <v>46022.0</v>
      </c>
      <c r="F146" s="31">
        <v>0.0</v>
      </c>
      <c r="G146" s="31">
        <v>1.0</v>
      </c>
      <c r="H146" s="32" t="s">
        <v>7043</v>
      </c>
      <c r="I146" s="30">
        <v>46023.0</v>
      </c>
      <c r="J146" s="30">
        <v>46387.0</v>
      </c>
      <c r="K146" s="31">
        <v>0.0</v>
      </c>
      <c r="L146" s="31">
        <v>1.0</v>
      </c>
      <c r="M146" s="32" t="s">
        <v>7043</v>
      </c>
      <c r="N146" s="30">
        <v>46388.0</v>
      </c>
      <c r="O146" s="30">
        <v>46752.0</v>
      </c>
      <c r="P146" s="31">
        <v>0.0</v>
      </c>
      <c r="Q146" s="31">
        <v>1.0</v>
      </c>
      <c r="R146" s="32" t="s">
        <v>7043</v>
      </c>
      <c r="S146" s="30">
        <v>46753.0</v>
      </c>
      <c r="T146" s="30">
        <v>47118.0</v>
      </c>
      <c r="U146" s="31">
        <v>0.0</v>
      </c>
      <c r="V146" s="31">
        <v>1.0</v>
      </c>
      <c r="W146" s="32" t="s">
        <v>7043</v>
      </c>
      <c r="X146" s="30">
        <v>47119.0</v>
      </c>
      <c r="Y146" s="30">
        <v>47483.0</v>
      </c>
      <c r="Z146" s="31">
        <v>0.0</v>
      </c>
      <c r="AA146" s="31">
        <v>1.0</v>
      </c>
      <c r="AB146" s="32" t="s">
        <v>7043</v>
      </c>
      <c r="AC146" s="30">
        <v>47484.0</v>
      </c>
      <c r="AD146" s="30">
        <v>47848.0</v>
      </c>
      <c r="AE146" s="31">
        <v>0.0</v>
      </c>
      <c r="AF146" s="31">
        <v>1.0</v>
      </c>
      <c r="AG146" s="32" t="s">
        <v>7043</v>
      </c>
    </row>
    <row r="147" ht="14.25" customHeight="1">
      <c r="A147" s="28" t="s">
        <v>2158</v>
      </c>
      <c r="B147" s="29" t="s">
        <v>2159</v>
      </c>
      <c r="C147" s="29" t="s">
        <v>7044</v>
      </c>
      <c r="D147" s="30">
        <v>45658.0</v>
      </c>
      <c r="E147" s="30">
        <v>46022.0</v>
      </c>
      <c r="F147" s="31">
        <v>0.0</v>
      </c>
      <c r="G147" s="31">
        <v>1.0</v>
      </c>
      <c r="H147" s="32" t="s">
        <v>7043</v>
      </c>
      <c r="I147" s="30">
        <v>46023.0</v>
      </c>
      <c r="J147" s="30">
        <v>46387.0</v>
      </c>
      <c r="K147" s="31">
        <v>0.0</v>
      </c>
      <c r="L147" s="31">
        <v>1.0</v>
      </c>
      <c r="M147" s="32" t="s">
        <v>7043</v>
      </c>
      <c r="N147" s="30">
        <v>46388.0</v>
      </c>
      <c r="O147" s="30">
        <v>46752.0</v>
      </c>
      <c r="P147" s="31">
        <v>0.0</v>
      </c>
      <c r="Q147" s="31">
        <v>1.0</v>
      </c>
      <c r="R147" s="32" t="s">
        <v>7043</v>
      </c>
      <c r="S147" s="30">
        <v>46753.0</v>
      </c>
      <c r="T147" s="30">
        <v>47118.0</v>
      </c>
      <c r="U147" s="31">
        <v>0.0</v>
      </c>
      <c r="V147" s="31">
        <v>1.0</v>
      </c>
      <c r="W147" s="32" t="s">
        <v>7043</v>
      </c>
      <c r="X147" s="30">
        <v>47119.0</v>
      </c>
      <c r="Y147" s="30">
        <v>47483.0</v>
      </c>
      <c r="Z147" s="31">
        <v>0.0</v>
      </c>
      <c r="AA147" s="31">
        <v>1.0</v>
      </c>
      <c r="AB147" s="32" t="s">
        <v>7043</v>
      </c>
      <c r="AC147" s="30">
        <v>47484.0</v>
      </c>
      <c r="AD147" s="30">
        <v>47848.0</v>
      </c>
      <c r="AE147" s="31">
        <v>0.0</v>
      </c>
      <c r="AF147" s="31">
        <v>1.0</v>
      </c>
      <c r="AG147" s="32" t="s">
        <v>7043</v>
      </c>
    </row>
    <row r="148" ht="14.25" customHeight="1">
      <c r="A148" s="28" t="s">
        <v>2163</v>
      </c>
      <c r="B148" s="29" t="s">
        <v>2164</v>
      </c>
      <c r="C148" s="29" t="s">
        <v>7044</v>
      </c>
      <c r="D148" s="30">
        <v>45658.0</v>
      </c>
      <c r="E148" s="30">
        <v>46022.0</v>
      </c>
      <c r="F148" s="31">
        <v>1.0</v>
      </c>
      <c r="G148" s="31">
        <v>1.0</v>
      </c>
      <c r="H148" s="32" t="s">
        <v>7042</v>
      </c>
      <c r="I148" s="30">
        <v>46023.0</v>
      </c>
      <c r="J148" s="30">
        <v>46387.0</v>
      </c>
      <c r="K148" s="31">
        <v>0.0</v>
      </c>
      <c r="L148" s="31">
        <v>1.0</v>
      </c>
      <c r="M148" s="32" t="s">
        <v>7043</v>
      </c>
      <c r="N148" s="30">
        <v>46388.0</v>
      </c>
      <c r="O148" s="30">
        <v>46752.0</v>
      </c>
      <c r="P148" s="31">
        <v>0.0</v>
      </c>
      <c r="Q148" s="31">
        <v>1.0</v>
      </c>
      <c r="R148" s="32" t="s">
        <v>7043</v>
      </c>
      <c r="S148" s="30">
        <v>46753.0</v>
      </c>
      <c r="T148" s="30">
        <v>47118.0</v>
      </c>
      <c r="U148" s="31">
        <v>0.0</v>
      </c>
      <c r="V148" s="31">
        <v>1.0</v>
      </c>
      <c r="W148" s="32" t="s">
        <v>7043</v>
      </c>
      <c r="X148" s="30">
        <v>47119.0</v>
      </c>
      <c r="Y148" s="30">
        <v>47483.0</v>
      </c>
      <c r="Z148" s="31">
        <v>0.0</v>
      </c>
      <c r="AA148" s="31">
        <v>1.0</v>
      </c>
      <c r="AB148" s="32" t="s">
        <v>7043</v>
      </c>
      <c r="AC148" s="30">
        <v>47484.0</v>
      </c>
      <c r="AD148" s="30">
        <v>47848.0</v>
      </c>
      <c r="AE148" s="31">
        <v>0.0</v>
      </c>
      <c r="AF148" s="31">
        <v>1.0</v>
      </c>
      <c r="AG148" s="32" t="s">
        <v>7043</v>
      </c>
    </row>
    <row r="149" ht="14.25" customHeight="1">
      <c r="A149" s="28" t="s">
        <v>2167</v>
      </c>
      <c r="B149" s="29" t="s">
        <v>2168</v>
      </c>
      <c r="C149" s="29" t="s">
        <v>7044</v>
      </c>
      <c r="D149" s="30">
        <v>45658.0</v>
      </c>
      <c r="E149" s="30">
        <v>46022.0</v>
      </c>
      <c r="F149" s="31">
        <v>0.0</v>
      </c>
      <c r="G149" s="31">
        <v>1.0</v>
      </c>
      <c r="H149" s="32" t="s">
        <v>7043</v>
      </c>
      <c r="I149" s="30">
        <v>46023.0</v>
      </c>
      <c r="J149" s="30">
        <v>46387.0</v>
      </c>
      <c r="K149" s="31">
        <v>0.0</v>
      </c>
      <c r="L149" s="31">
        <v>1.0</v>
      </c>
      <c r="M149" s="32" t="s">
        <v>7043</v>
      </c>
      <c r="N149" s="30">
        <v>46388.0</v>
      </c>
      <c r="O149" s="30">
        <v>46752.0</v>
      </c>
      <c r="P149" s="31">
        <v>0.0</v>
      </c>
      <c r="Q149" s="31">
        <v>1.0</v>
      </c>
      <c r="R149" s="32" t="s">
        <v>7043</v>
      </c>
      <c r="S149" s="30">
        <v>46753.0</v>
      </c>
      <c r="T149" s="30">
        <v>47118.0</v>
      </c>
      <c r="U149" s="31">
        <v>0.0</v>
      </c>
      <c r="V149" s="31">
        <v>1.0</v>
      </c>
      <c r="W149" s="32" t="s">
        <v>7043</v>
      </c>
      <c r="X149" s="30">
        <v>47119.0</v>
      </c>
      <c r="Y149" s="30">
        <v>47483.0</v>
      </c>
      <c r="Z149" s="31">
        <v>0.0</v>
      </c>
      <c r="AA149" s="31">
        <v>1.0</v>
      </c>
      <c r="AB149" s="32" t="s">
        <v>7043</v>
      </c>
      <c r="AC149" s="30">
        <v>47484.0</v>
      </c>
      <c r="AD149" s="30">
        <v>47848.0</v>
      </c>
      <c r="AE149" s="31">
        <v>0.0</v>
      </c>
      <c r="AF149" s="31">
        <v>1.0</v>
      </c>
      <c r="AG149" s="32" t="s">
        <v>7043</v>
      </c>
    </row>
    <row r="150" ht="14.25" customHeight="1">
      <c r="A150" s="28" t="s">
        <v>2380</v>
      </c>
      <c r="B150" s="29" t="s">
        <v>2381</v>
      </c>
      <c r="C150" s="29" t="s">
        <v>7041</v>
      </c>
      <c r="D150" s="30">
        <v>45658.0</v>
      </c>
      <c r="E150" s="30">
        <v>46022.0</v>
      </c>
      <c r="F150" s="31">
        <v>0.0</v>
      </c>
      <c r="G150" s="31">
        <v>1.0</v>
      </c>
      <c r="H150" s="32" t="s">
        <v>7043</v>
      </c>
      <c r="I150" s="30">
        <v>46023.0</v>
      </c>
      <c r="J150" s="30">
        <v>46387.0</v>
      </c>
      <c r="K150" s="31">
        <v>0.0</v>
      </c>
      <c r="L150" s="31">
        <v>1.0</v>
      </c>
      <c r="M150" s="32" t="s">
        <v>7043</v>
      </c>
      <c r="N150" s="30">
        <v>46388.0</v>
      </c>
      <c r="O150" s="30">
        <v>46752.0</v>
      </c>
      <c r="P150" s="31">
        <v>0.0</v>
      </c>
      <c r="Q150" s="31">
        <v>1.0</v>
      </c>
      <c r="R150" s="32" t="s">
        <v>7043</v>
      </c>
      <c r="S150" s="30">
        <v>46753.0</v>
      </c>
      <c r="T150" s="30">
        <v>47118.0</v>
      </c>
      <c r="U150" s="31">
        <v>0.0</v>
      </c>
      <c r="V150" s="31">
        <v>1.0</v>
      </c>
      <c r="W150" s="32" t="s">
        <v>7043</v>
      </c>
      <c r="X150" s="30">
        <v>47119.0</v>
      </c>
      <c r="Y150" s="30">
        <v>47483.0</v>
      </c>
      <c r="Z150" s="31">
        <v>0.0</v>
      </c>
      <c r="AA150" s="31">
        <v>1.0</v>
      </c>
      <c r="AB150" s="32" t="s">
        <v>7043</v>
      </c>
      <c r="AC150" s="30">
        <v>47484.0</v>
      </c>
      <c r="AD150" s="30">
        <v>47848.0</v>
      </c>
      <c r="AE150" s="31">
        <v>0.0</v>
      </c>
      <c r="AF150" s="31">
        <v>1.0</v>
      </c>
      <c r="AG150" s="32" t="s">
        <v>7043</v>
      </c>
    </row>
    <row r="151" ht="14.25" customHeight="1">
      <c r="A151" s="28" t="s">
        <v>2423</v>
      </c>
      <c r="B151" s="29" t="s">
        <v>2424</v>
      </c>
      <c r="C151" s="29" t="s">
        <v>7041</v>
      </c>
      <c r="D151" s="30">
        <v>45658.0</v>
      </c>
      <c r="E151" s="30">
        <v>46022.0</v>
      </c>
      <c r="F151" s="31">
        <v>0.0</v>
      </c>
      <c r="G151" s="31">
        <v>1.0</v>
      </c>
      <c r="H151" s="32" t="s">
        <v>7043</v>
      </c>
      <c r="I151" s="30">
        <v>46023.0</v>
      </c>
      <c r="J151" s="30">
        <v>46387.0</v>
      </c>
      <c r="K151" s="31">
        <v>0.0</v>
      </c>
      <c r="L151" s="31">
        <v>1.0</v>
      </c>
      <c r="M151" s="32" t="s">
        <v>7043</v>
      </c>
      <c r="N151" s="30">
        <v>46388.0</v>
      </c>
      <c r="O151" s="30">
        <v>46752.0</v>
      </c>
      <c r="P151" s="31">
        <v>0.0</v>
      </c>
      <c r="Q151" s="31">
        <v>1.0</v>
      </c>
      <c r="R151" s="32" t="s">
        <v>7043</v>
      </c>
      <c r="S151" s="30">
        <v>46753.0</v>
      </c>
      <c r="T151" s="30">
        <v>47118.0</v>
      </c>
      <c r="U151" s="31">
        <v>0.0</v>
      </c>
      <c r="V151" s="31">
        <v>1.0</v>
      </c>
      <c r="W151" s="32" t="s">
        <v>7043</v>
      </c>
      <c r="X151" s="30">
        <v>47119.0</v>
      </c>
      <c r="Y151" s="30">
        <v>47483.0</v>
      </c>
      <c r="Z151" s="31">
        <v>0.0</v>
      </c>
      <c r="AA151" s="31">
        <v>1.0</v>
      </c>
      <c r="AB151" s="32" t="s">
        <v>7043</v>
      </c>
      <c r="AC151" s="30">
        <v>47484.0</v>
      </c>
      <c r="AD151" s="30">
        <v>47848.0</v>
      </c>
      <c r="AE151" s="31">
        <v>0.0</v>
      </c>
      <c r="AF151" s="31">
        <v>1.0</v>
      </c>
      <c r="AG151" s="32" t="s">
        <v>7043</v>
      </c>
    </row>
    <row r="152" ht="14.25" customHeight="1">
      <c r="A152" s="28" t="s">
        <v>2474</v>
      </c>
      <c r="B152" s="29" t="s">
        <v>2475</v>
      </c>
      <c r="C152" s="29" t="s">
        <v>7044</v>
      </c>
      <c r="D152" s="30">
        <v>45658.0</v>
      </c>
      <c r="E152" s="30">
        <v>46022.0</v>
      </c>
      <c r="F152" s="31">
        <v>0.0</v>
      </c>
      <c r="G152" s="31">
        <v>1.0</v>
      </c>
      <c r="H152" s="32" t="s">
        <v>7043</v>
      </c>
      <c r="I152" s="30">
        <v>46023.0</v>
      </c>
      <c r="J152" s="30">
        <v>46387.0</v>
      </c>
      <c r="K152" s="31">
        <v>0.0</v>
      </c>
      <c r="L152" s="31">
        <v>1.0</v>
      </c>
      <c r="M152" s="32" t="s">
        <v>7043</v>
      </c>
      <c r="N152" s="30">
        <v>46388.0</v>
      </c>
      <c r="O152" s="30">
        <v>46752.0</v>
      </c>
      <c r="P152" s="31">
        <v>0.0</v>
      </c>
      <c r="Q152" s="31">
        <v>1.0</v>
      </c>
      <c r="R152" s="32" t="s">
        <v>7043</v>
      </c>
      <c r="S152" s="30">
        <v>46753.0</v>
      </c>
      <c r="T152" s="30">
        <v>47118.0</v>
      </c>
      <c r="U152" s="31">
        <v>0.0</v>
      </c>
      <c r="V152" s="31">
        <v>1.0</v>
      </c>
      <c r="W152" s="32" t="s">
        <v>7043</v>
      </c>
      <c r="X152" s="30">
        <v>47119.0</v>
      </c>
      <c r="Y152" s="30">
        <v>47483.0</v>
      </c>
      <c r="Z152" s="31">
        <v>0.0</v>
      </c>
      <c r="AA152" s="31">
        <v>1.0</v>
      </c>
      <c r="AB152" s="32" t="s">
        <v>7043</v>
      </c>
      <c r="AC152" s="30">
        <v>47484.0</v>
      </c>
      <c r="AD152" s="30">
        <v>47848.0</v>
      </c>
      <c r="AE152" s="31">
        <v>0.0</v>
      </c>
      <c r="AF152" s="31">
        <v>1.0</v>
      </c>
      <c r="AG152" s="32" t="s">
        <v>7043</v>
      </c>
    </row>
    <row r="153" ht="14.25" customHeight="1">
      <c r="A153" s="28" t="s">
        <v>2492</v>
      </c>
      <c r="B153" s="29" t="s">
        <v>2493</v>
      </c>
      <c r="C153" s="29" t="s">
        <v>7041</v>
      </c>
      <c r="D153" s="30">
        <v>45658.0</v>
      </c>
      <c r="E153" s="30">
        <v>46022.0</v>
      </c>
      <c r="F153" s="31">
        <v>1.0</v>
      </c>
      <c r="G153" s="31">
        <v>1.0</v>
      </c>
      <c r="H153" s="32" t="s">
        <v>7042</v>
      </c>
      <c r="I153" s="30">
        <v>46023.0</v>
      </c>
      <c r="J153" s="30">
        <v>46387.0</v>
      </c>
      <c r="K153" s="31">
        <v>0.0</v>
      </c>
      <c r="L153" s="31">
        <v>1.0</v>
      </c>
      <c r="M153" s="32" t="s">
        <v>7043</v>
      </c>
      <c r="N153" s="30">
        <v>46388.0</v>
      </c>
      <c r="O153" s="30">
        <v>46752.0</v>
      </c>
      <c r="P153" s="31">
        <v>0.0</v>
      </c>
      <c r="Q153" s="31">
        <v>1.0</v>
      </c>
      <c r="R153" s="32" t="s">
        <v>7043</v>
      </c>
      <c r="S153" s="30">
        <v>46753.0</v>
      </c>
      <c r="T153" s="30">
        <v>47118.0</v>
      </c>
      <c r="U153" s="31">
        <v>0.0</v>
      </c>
      <c r="V153" s="31">
        <v>1.0</v>
      </c>
      <c r="W153" s="32" t="s">
        <v>7043</v>
      </c>
      <c r="X153" s="30">
        <v>47119.0</v>
      </c>
      <c r="Y153" s="30">
        <v>47483.0</v>
      </c>
      <c r="Z153" s="31">
        <v>0.0</v>
      </c>
      <c r="AA153" s="31">
        <v>1.0</v>
      </c>
      <c r="AB153" s="32" t="s">
        <v>7043</v>
      </c>
      <c r="AC153" s="30">
        <v>47484.0</v>
      </c>
      <c r="AD153" s="30">
        <v>47848.0</v>
      </c>
      <c r="AE153" s="31">
        <v>0.0</v>
      </c>
      <c r="AF153" s="31">
        <v>1.0</v>
      </c>
      <c r="AG153" s="32" t="s">
        <v>7043</v>
      </c>
    </row>
    <row r="154" ht="14.25" customHeight="1">
      <c r="A154" s="28" t="s">
        <v>2526</v>
      </c>
      <c r="B154" s="29" t="s">
        <v>2527</v>
      </c>
      <c r="C154" s="29" t="s">
        <v>7041</v>
      </c>
      <c r="D154" s="30">
        <v>45658.0</v>
      </c>
      <c r="E154" s="30">
        <v>46022.0</v>
      </c>
      <c r="F154" s="31">
        <v>0.0</v>
      </c>
      <c r="G154" s="31">
        <v>1.0</v>
      </c>
      <c r="H154" s="32" t="s">
        <v>7043</v>
      </c>
      <c r="I154" s="30">
        <v>46023.0</v>
      </c>
      <c r="J154" s="30">
        <v>46387.0</v>
      </c>
      <c r="K154" s="31">
        <v>0.0</v>
      </c>
      <c r="L154" s="31">
        <v>1.0</v>
      </c>
      <c r="M154" s="32" t="s">
        <v>7043</v>
      </c>
      <c r="N154" s="30">
        <v>46388.0</v>
      </c>
      <c r="O154" s="30">
        <v>46752.0</v>
      </c>
      <c r="P154" s="31">
        <v>0.0</v>
      </c>
      <c r="Q154" s="31">
        <v>1.0</v>
      </c>
      <c r="R154" s="32" t="s">
        <v>7043</v>
      </c>
      <c r="S154" s="30">
        <v>46753.0</v>
      </c>
      <c r="T154" s="30">
        <v>47118.0</v>
      </c>
      <c r="U154" s="31">
        <v>0.0</v>
      </c>
      <c r="V154" s="31">
        <v>1.0</v>
      </c>
      <c r="W154" s="32" t="s">
        <v>7043</v>
      </c>
      <c r="X154" s="30">
        <v>47119.0</v>
      </c>
      <c r="Y154" s="30">
        <v>47483.0</v>
      </c>
      <c r="Z154" s="31">
        <v>0.0</v>
      </c>
      <c r="AA154" s="31">
        <v>1.0</v>
      </c>
      <c r="AB154" s="32" t="s">
        <v>7043</v>
      </c>
      <c r="AC154" s="30">
        <v>47484.0</v>
      </c>
      <c r="AD154" s="30">
        <v>47848.0</v>
      </c>
      <c r="AE154" s="31">
        <v>0.0</v>
      </c>
      <c r="AF154" s="31">
        <v>1.0</v>
      </c>
      <c r="AG154" s="32" t="s">
        <v>7043</v>
      </c>
    </row>
    <row r="155" ht="14.25" customHeight="1">
      <c r="A155" s="28" t="s">
        <v>2636</v>
      </c>
      <c r="B155" s="29" t="s">
        <v>2637</v>
      </c>
      <c r="C155" s="29" t="s">
        <v>7041</v>
      </c>
      <c r="D155" s="30">
        <v>45658.0</v>
      </c>
      <c r="E155" s="30">
        <v>46022.0</v>
      </c>
      <c r="F155" s="31">
        <v>0.0</v>
      </c>
      <c r="G155" s="31">
        <v>1.0</v>
      </c>
      <c r="H155" s="32" t="s">
        <v>7043</v>
      </c>
      <c r="I155" s="30">
        <v>46023.0</v>
      </c>
      <c r="J155" s="30">
        <v>46387.0</v>
      </c>
      <c r="K155" s="31">
        <v>0.0</v>
      </c>
      <c r="L155" s="31">
        <v>1.0</v>
      </c>
      <c r="M155" s="32" t="s">
        <v>7043</v>
      </c>
      <c r="N155" s="30">
        <v>46388.0</v>
      </c>
      <c r="O155" s="30">
        <v>46752.0</v>
      </c>
      <c r="P155" s="31">
        <v>0.0</v>
      </c>
      <c r="Q155" s="31">
        <v>1.0</v>
      </c>
      <c r="R155" s="32" t="s">
        <v>7043</v>
      </c>
      <c r="S155" s="30">
        <v>46753.0</v>
      </c>
      <c r="T155" s="30">
        <v>47118.0</v>
      </c>
      <c r="U155" s="31">
        <v>0.0</v>
      </c>
      <c r="V155" s="31">
        <v>1.0</v>
      </c>
      <c r="W155" s="32" t="s">
        <v>7043</v>
      </c>
      <c r="X155" s="30">
        <v>47119.0</v>
      </c>
      <c r="Y155" s="30">
        <v>47483.0</v>
      </c>
      <c r="Z155" s="31">
        <v>0.0</v>
      </c>
      <c r="AA155" s="31">
        <v>1.0</v>
      </c>
      <c r="AB155" s="32" t="s">
        <v>7043</v>
      </c>
      <c r="AC155" s="30">
        <v>47484.0</v>
      </c>
      <c r="AD155" s="30">
        <v>47848.0</v>
      </c>
      <c r="AE155" s="31">
        <v>0.0</v>
      </c>
      <c r="AF155" s="31">
        <v>1.0</v>
      </c>
      <c r="AG155" s="32" t="s">
        <v>7043</v>
      </c>
    </row>
    <row r="156" ht="14.25" customHeight="1">
      <c r="A156" s="28" t="s">
        <v>2776</v>
      </c>
      <c r="B156" s="29" t="s">
        <v>2777</v>
      </c>
      <c r="C156" s="29" t="s">
        <v>7044</v>
      </c>
      <c r="D156" s="30">
        <v>45658.0</v>
      </c>
      <c r="E156" s="30">
        <v>46022.0</v>
      </c>
      <c r="F156" s="31">
        <v>0.0</v>
      </c>
      <c r="G156" s="31">
        <v>1.0</v>
      </c>
      <c r="H156" s="32" t="s">
        <v>7043</v>
      </c>
      <c r="I156" s="30">
        <v>46023.0</v>
      </c>
      <c r="J156" s="30">
        <v>46387.0</v>
      </c>
      <c r="K156" s="31">
        <v>0.0</v>
      </c>
      <c r="L156" s="31">
        <v>1.0</v>
      </c>
      <c r="M156" s="32" t="s">
        <v>7043</v>
      </c>
      <c r="N156" s="30">
        <v>46388.0</v>
      </c>
      <c r="O156" s="30">
        <v>46752.0</v>
      </c>
      <c r="P156" s="31">
        <v>0.0</v>
      </c>
      <c r="Q156" s="31">
        <v>1.0</v>
      </c>
      <c r="R156" s="32" t="s">
        <v>7043</v>
      </c>
      <c r="S156" s="30">
        <v>46753.0</v>
      </c>
      <c r="T156" s="30">
        <v>47118.0</v>
      </c>
      <c r="U156" s="31">
        <v>0.0</v>
      </c>
      <c r="V156" s="31">
        <v>1.0</v>
      </c>
      <c r="W156" s="32" t="s">
        <v>7043</v>
      </c>
      <c r="X156" s="30">
        <v>47119.0</v>
      </c>
      <c r="Y156" s="30">
        <v>47483.0</v>
      </c>
      <c r="Z156" s="31">
        <v>0.0</v>
      </c>
      <c r="AA156" s="31">
        <v>1.0</v>
      </c>
      <c r="AB156" s="32" t="s">
        <v>7043</v>
      </c>
      <c r="AC156" s="30">
        <v>47484.0</v>
      </c>
      <c r="AD156" s="30">
        <v>47848.0</v>
      </c>
      <c r="AE156" s="31">
        <v>0.0</v>
      </c>
      <c r="AF156" s="31">
        <v>1.0</v>
      </c>
      <c r="AG156" s="32" t="s">
        <v>7043</v>
      </c>
    </row>
    <row r="157" ht="14.25" customHeight="1">
      <c r="A157" s="28" t="s">
        <v>2794</v>
      </c>
      <c r="B157" s="29" t="s">
        <v>2795</v>
      </c>
      <c r="C157" s="29" t="s">
        <v>7044</v>
      </c>
      <c r="D157" s="30">
        <v>45658.0</v>
      </c>
      <c r="E157" s="30">
        <v>46022.0</v>
      </c>
      <c r="F157" s="31">
        <v>0.0</v>
      </c>
      <c r="G157" s="31">
        <v>1.0</v>
      </c>
      <c r="H157" s="32" t="s">
        <v>7043</v>
      </c>
      <c r="I157" s="30">
        <v>46023.0</v>
      </c>
      <c r="J157" s="30">
        <v>46387.0</v>
      </c>
      <c r="K157" s="31">
        <v>0.0</v>
      </c>
      <c r="L157" s="31">
        <v>1.0</v>
      </c>
      <c r="M157" s="32" t="s">
        <v>7043</v>
      </c>
      <c r="N157" s="30">
        <v>46388.0</v>
      </c>
      <c r="O157" s="30">
        <v>46752.0</v>
      </c>
      <c r="P157" s="31">
        <v>0.0</v>
      </c>
      <c r="Q157" s="31">
        <v>1.0</v>
      </c>
      <c r="R157" s="32" t="s">
        <v>7043</v>
      </c>
      <c r="S157" s="30">
        <v>46753.0</v>
      </c>
      <c r="T157" s="30">
        <v>47118.0</v>
      </c>
      <c r="U157" s="31">
        <v>0.0</v>
      </c>
      <c r="V157" s="31">
        <v>1.0</v>
      </c>
      <c r="W157" s="32" t="s">
        <v>7043</v>
      </c>
      <c r="X157" s="30">
        <v>47119.0</v>
      </c>
      <c r="Y157" s="30">
        <v>47483.0</v>
      </c>
      <c r="Z157" s="31">
        <v>0.0</v>
      </c>
      <c r="AA157" s="31">
        <v>1.0</v>
      </c>
      <c r="AB157" s="32" t="s">
        <v>7043</v>
      </c>
      <c r="AC157" s="30">
        <v>47484.0</v>
      </c>
      <c r="AD157" s="30">
        <v>47848.0</v>
      </c>
      <c r="AE157" s="31">
        <v>0.0</v>
      </c>
      <c r="AF157" s="31">
        <v>1.0</v>
      </c>
      <c r="AG157" s="32" t="s">
        <v>7043</v>
      </c>
    </row>
    <row r="158" ht="14.25" customHeight="1">
      <c r="A158" s="28" t="s">
        <v>2975</v>
      </c>
      <c r="B158" s="29" t="s">
        <v>2976</v>
      </c>
      <c r="C158" s="29" t="s">
        <v>7044</v>
      </c>
      <c r="D158" s="30">
        <v>45658.0</v>
      </c>
      <c r="E158" s="30">
        <v>46022.0</v>
      </c>
      <c r="F158" s="31">
        <v>0.0</v>
      </c>
      <c r="G158" s="31">
        <v>1.0</v>
      </c>
      <c r="H158" s="32" t="s">
        <v>7043</v>
      </c>
      <c r="I158" s="30">
        <v>46023.0</v>
      </c>
      <c r="J158" s="30">
        <v>46387.0</v>
      </c>
      <c r="K158" s="31">
        <v>0.0</v>
      </c>
      <c r="L158" s="31">
        <v>1.0</v>
      </c>
      <c r="M158" s="32" t="s">
        <v>7043</v>
      </c>
      <c r="N158" s="30">
        <v>46388.0</v>
      </c>
      <c r="O158" s="30">
        <v>46752.0</v>
      </c>
      <c r="P158" s="31">
        <v>0.0</v>
      </c>
      <c r="Q158" s="31">
        <v>1.0</v>
      </c>
      <c r="R158" s="32" t="s">
        <v>7043</v>
      </c>
      <c r="S158" s="30">
        <v>46753.0</v>
      </c>
      <c r="T158" s="30">
        <v>47118.0</v>
      </c>
      <c r="U158" s="31">
        <v>0.0</v>
      </c>
      <c r="V158" s="31">
        <v>1.0</v>
      </c>
      <c r="W158" s="32" t="s">
        <v>7043</v>
      </c>
      <c r="X158" s="30">
        <v>47119.0</v>
      </c>
      <c r="Y158" s="30">
        <v>47483.0</v>
      </c>
      <c r="Z158" s="31">
        <v>0.0</v>
      </c>
      <c r="AA158" s="31">
        <v>1.0</v>
      </c>
      <c r="AB158" s="32" t="s">
        <v>7043</v>
      </c>
      <c r="AC158" s="30">
        <v>47484.0</v>
      </c>
      <c r="AD158" s="30">
        <v>47848.0</v>
      </c>
      <c r="AE158" s="31">
        <v>0.0</v>
      </c>
      <c r="AF158" s="31">
        <v>1.0</v>
      </c>
      <c r="AG158" s="32" t="s">
        <v>7043</v>
      </c>
    </row>
    <row r="159" ht="14.25" customHeight="1">
      <c r="A159" s="28" t="s">
        <v>2978</v>
      </c>
      <c r="B159" s="29" t="s">
        <v>2979</v>
      </c>
      <c r="C159" s="29" t="s">
        <v>7041</v>
      </c>
      <c r="D159" s="30">
        <v>45658.0</v>
      </c>
      <c r="E159" s="30">
        <v>46022.0</v>
      </c>
      <c r="F159" s="31">
        <v>1.0</v>
      </c>
      <c r="G159" s="31">
        <v>1.0</v>
      </c>
      <c r="H159" s="33" t="s">
        <v>7042</v>
      </c>
      <c r="I159" s="30">
        <v>46023.0</v>
      </c>
      <c r="J159" s="30">
        <v>46387.0</v>
      </c>
      <c r="K159" s="31">
        <v>0.0</v>
      </c>
      <c r="L159" s="31">
        <v>1.0</v>
      </c>
      <c r="M159" s="32" t="s">
        <v>7043</v>
      </c>
      <c r="N159" s="30">
        <v>46388.0</v>
      </c>
      <c r="O159" s="30">
        <v>46752.0</v>
      </c>
      <c r="P159" s="31">
        <v>0.0</v>
      </c>
      <c r="Q159" s="31">
        <v>1.0</v>
      </c>
      <c r="R159" s="32" t="s">
        <v>7043</v>
      </c>
      <c r="S159" s="30">
        <v>46753.0</v>
      </c>
      <c r="T159" s="30">
        <v>47118.0</v>
      </c>
      <c r="U159" s="31">
        <v>0.0</v>
      </c>
      <c r="V159" s="31">
        <v>1.0</v>
      </c>
      <c r="W159" s="32" t="s">
        <v>7043</v>
      </c>
      <c r="X159" s="30">
        <v>47119.0</v>
      </c>
      <c r="Y159" s="30">
        <v>47483.0</v>
      </c>
      <c r="Z159" s="31">
        <v>0.0</v>
      </c>
      <c r="AA159" s="31">
        <v>1.0</v>
      </c>
      <c r="AB159" s="32" t="s">
        <v>7043</v>
      </c>
      <c r="AC159" s="30">
        <v>47484.0</v>
      </c>
      <c r="AD159" s="30">
        <v>47848.0</v>
      </c>
      <c r="AE159" s="31">
        <v>0.0</v>
      </c>
      <c r="AF159" s="31">
        <v>1.0</v>
      </c>
      <c r="AG159" s="32" t="s">
        <v>7043</v>
      </c>
    </row>
    <row r="160" ht="14.25" customHeight="1">
      <c r="A160" s="28" t="s">
        <v>2982</v>
      </c>
      <c r="B160" s="29" t="s">
        <v>2983</v>
      </c>
      <c r="C160" s="29" t="s">
        <v>7044</v>
      </c>
      <c r="D160" s="30">
        <v>45658.0</v>
      </c>
      <c r="E160" s="30">
        <v>46022.0</v>
      </c>
      <c r="F160" s="31">
        <v>0.0</v>
      </c>
      <c r="G160" s="31">
        <v>1.0</v>
      </c>
      <c r="H160" s="32" t="s">
        <v>7043</v>
      </c>
      <c r="I160" s="30">
        <v>46023.0</v>
      </c>
      <c r="J160" s="30">
        <v>46387.0</v>
      </c>
      <c r="K160" s="31">
        <v>0.0</v>
      </c>
      <c r="L160" s="31">
        <v>1.0</v>
      </c>
      <c r="M160" s="32" t="s">
        <v>7043</v>
      </c>
      <c r="N160" s="30">
        <v>46388.0</v>
      </c>
      <c r="O160" s="30">
        <v>46752.0</v>
      </c>
      <c r="P160" s="31">
        <v>0.0</v>
      </c>
      <c r="Q160" s="31">
        <v>1.0</v>
      </c>
      <c r="R160" s="32" t="s">
        <v>7043</v>
      </c>
      <c r="S160" s="30">
        <v>46753.0</v>
      </c>
      <c r="T160" s="30">
        <v>47118.0</v>
      </c>
      <c r="U160" s="31">
        <v>0.0</v>
      </c>
      <c r="V160" s="31">
        <v>1.0</v>
      </c>
      <c r="W160" s="32" t="s">
        <v>7043</v>
      </c>
      <c r="X160" s="30">
        <v>47119.0</v>
      </c>
      <c r="Y160" s="30">
        <v>47483.0</v>
      </c>
      <c r="Z160" s="31">
        <v>0.0</v>
      </c>
      <c r="AA160" s="31">
        <v>1.0</v>
      </c>
      <c r="AB160" s="32" t="s">
        <v>7043</v>
      </c>
      <c r="AC160" s="30">
        <v>47484.0</v>
      </c>
      <c r="AD160" s="30">
        <v>47848.0</v>
      </c>
      <c r="AE160" s="31">
        <v>0.0</v>
      </c>
      <c r="AF160" s="31">
        <v>1.0</v>
      </c>
      <c r="AG160" s="32" t="s">
        <v>7043</v>
      </c>
    </row>
    <row r="161" ht="14.25" customHeight="1">
      <c r="A161" s="28" t="s">
        <v>3112</v>
      </c>
      <c r="B161" s="29" t="s">
        <v>3113</v>
      </c>
      <c r="C161" s="29" t="s">
        <v>7041</v>
      </c>
      <c r="D161" s="30">
        <v>45658.0</v>
      </c>
      <c r="E161" s="30">
        <v>46022.0</v>
      </c>
      <c r="F161" s="31">
        <v>0.0</v>
      </c>
      <c r="G161" s="31">
        <v>1.0</v>
      </c>
      <c r="H161" s="32" t="s">
        <v>7043</v>
      </c>
      <c r="I161" s="30">
        <v>46023.0</v>
      </c>
      <c r="J161" s="30">
        <v>46387.0</v>
      </c>
      <c r="K161" s="31">
        <v>0.0</v>
      </c>
      <c r="L161" s="31">
        <v>1.0</v>
      </c>
      <c r="M161" s="32" t="s">
        <v>7043</v>
      </c>
      <c r="N161" s="30">
        <v>46388.0</v>
      </c>
      <c r="O161" s="30">
        <v>46752.0</v>
      </c>
      <c r="P161" s="31">
        <v>0.0</v>
      </c>
      <c r="Q161" s="31">
        <v>1.0</v>
      </c>
      <c r="R161" s="32" t="s">
        <v>7043</v>
      </c>
      <c r="S161" s="30">
        <v>46753.0</v>
      </c>
      <c r="T161" s="30">
        <v>47118.0</v>
      </c>
      <c r="U161" s="31">
        <v>0.0</v>
      </c>
      <c r="V161" s="31">
        <v>1.0</v>
      </c>
      <c r="W161" s="32" t="s">
        <v>7043</v>
      </c>
      <c r="X161" s="30">
        <v>47119.0</v>
      </c>
      <c r="Y161" s="30">
        <v>47483.0</v>
      </c>
      <c r="Z161" s="31">
        <v>0.0</v>
      </c>
      <c r="AA161" s="31">
        <v>1.0</v>
      </c>
      <c r="AB161" s="32" t="s">
        <v>7043</v>
      </c>
      <c r="AC161" s="30">
        <v>47484.0</v>
      </c>
      <c r="AD161" s="30">
        <v>47848.0</v>
      </c>
      <c r="AE161" s="31">
        <v>0.0</v>
      </c>
      <c r="AF161" s="31">
        <v>1.0</v>
      </c>
      <c r="AG161" s="32" t="s">
        <v>7043</v>
      </c>
    </row>
    <row r="162" ht="14.25" customHeight="1">
      <c r="A162" s="28" t="s">
        <v>3141</v>
      </c>
      <c r="B162" s="29" t="s">
        <v>3142</v>
      </c>
      <c r="C162" s="29" t="s">
        <v>7044</v>
      </c>
      <c r="D162" s="30">
        <v>45658.0</v>
      </c>
      <c r="E162" s="30">
        <v>46022.0</v>
      </c>
      <c r="F162" s="31">
        <v>0.0</v>
      </c>
      <c r="G162" s="31">
        <v>1.0</v>
      </c>
      <c r="H162" s="32" t="s">
        <v>7043</v>
      </c>
      <c r="I162" s="30">
        <v>46023.0</v>
      </c>
      <c r="J162" s="30">
        <v>46387.0</v>
      </c>
      <c r="K162" s="31">
        <v>0.0</v>
      </c>
      <c r="L162" s="31">
        <v>1.0</v>
      </c>
      <c r="M162" s="32" t="s">
        <v>7043</v>
      </c>
      <c r="N162" s="30">
        <v>46388.0</v>
      </c>
      <c r="O162" s="30">
        <v>46752.0</v>
      </c>
      <c r="P162" s="31">
        <v>0.0</v>
      </c>
      <c r="Q162" s="31">
        <v>1.0</v>
      </c>
      <c r="R162" s="32" t="s">
        <v>7043</v>
      </c>
      <c r="S162" s="30">
        <v>46753.0</v>
      </c>
      <c r="T162" s="30">
        <v>47118.0</v>
      </c>
      <c r="U162" s="31">
        <v>0.0</v>
      </c>
      <c r="V162" s="31">
        <v>1.0</v>
      </c>
      <c r="W162" s="32" t="s">
        <v>7043</v>
      </c>
      <c r="X162" s="30">
        <v>47119.0</v>
      </c>
      <c r="Y162" s="30">
        <v>47483.0</v>
      </c>
      <c r="Z162" s="31">
        <v>0.0</v>
      </c>
      <c r="AA162" s="31">
        <v>1.0</v>
      </c>
      <c r="AB162" s="32" t="s">
        <v>7043</v>
      </c>
      <c r="AC162" s="30">
        <v>47484.0</v>
      </c>
      <c r="AD162" s="30">
        <v>47848.0</v>
      </c>
      <c r="AE162" s="31">
        <v>0.0</v>
      </c>
      <c r="AF162" s="31">
        <v>1.0</v>
      </c>
      <c r="AG162" s="32" t="s">
        <v>7043</v>
      </c>
    </row>
    <row r="163" ht="14.25" customHeight="1">
      <c r="A163" s="28" t="s">
        <v>3163</v>
      </c>
      <c r="B163" s="29" t="s">
        <v>3164</v>
      </c>
      <c r="C163" s="29" t="s">
        <v>7044</v>
      </c>
      <c r="D163" s="30">
        <v>45658.0</v>
      </c>
      <c r="E163" s="30">
        <v>46022.0</v>
      </c>
      <c r="F163" s="31">
        <v>0.0</v>
      </c>
      <c r="G163" s="31">
        <v>1.0</v>
      </c>
      <c r="H163" s="32" t="s">
        <v>7043</v>
      </c>
      <c r="I163" s="30">
        <v>46023.0</v>
      </c>
      <c r="J163" s="30">
        <v>46387.0</v>
      </c>
      <c r="K163" s="31">
        <v>0.0</v>
      </c>
      <c r="L163" s="31">
        <v>1.0</v>
      </c>
      <c r="M163" s="32" t="s">
        <v>7043</v>
      </c>
      <c r="N163" s="30">
        <v>46388.0</v>
      </c>
      <c r="O163" s="30">
        <v>46752.0</v>
      </c>
      <c r="P163" s="31">
        <v>0.0</v>
      </c>
      <c r="Q163" s="31">
        <v>1.0</v>
      </c>
      <c r="R163" s="32" t="s">
        <v>7043</v>
      </c>
      <c r="S163" s="30">
        <v>46753.0</v>
      </c>
      <c r="T163" s="30">
        <v>47118.0</v>
      </c>
      <c r="U163" s="31">
        <v>0.0</v>
      </c>
      <c r="V163" s="31">
        <v>1.0</v>
      </c>
      <c r="W163" s="32" t="s">
        <v>7043</v>
      </c>
      <c r="X163" s="30">
        <v>47119.0</v>
      </c>
      <c r="Y163" s="30">
        <v>47483.0</v>
      </c>
      <c r="Z163" s="31">
        <v>0.0</v>
      </c>
      <c r="AA163" s="31">
        <v>1.0</v>
      </c>
      <c r="AB163" s="32" t="s">
        <v>7043</v>
      </c>
      <c r="AC163" s="30">
        <v>47484.0</v>
      </c>
      <c r="AD163" s="30">
        <v>47848.0</v>
      </c>
      <c r="AE163" s="31">
        <v>0.0</v>
      </c>
      <c r="AF163" s="31">
        <v>1.0</v>
      </c>
      <c r="AG163" s="32" t="s">
        <v>7043</v>
      </c>
    </row>
    <row r="164" ht="14.25" customHeight="1">
      <c r="A164" s="28" t="s">
        <v>3176</v>
      </c>
      <c r="B164" s="29" t="s">
        <v>3177</v>
      </c>
      <c r="C164" s="29" t="s">
        <v>7041</v>
      </c>
      <c r="D164" s="30">
        <v>45658.0</v>
      </c>
      <c r="E164" s="30">
        <v>46022.0</v>
      </c>
      <c r="F164" s="31">
        <v>0.0</v>
      </c>
      <c r="G164" s="31">
        <v>1.0</v>
      </c>
      <c r="H164" s="32" t="s">
        <v>7043</v>
      </c>
      <c r="I164" s="30">
        <v>46023.0</v>
      </c>
      <c r="J164" s="30">
        <v>46387.0</v>
      </c>
      <c r="K164" s="31">
        <v>0.0</v>
      </c>
      <c r="L164" s="31">
        <v>1.0</v>
      </c>
      <c r="M164" s="32" t="s">
        <v>7043</v>
      </c>
      <c r="N164" s="30">
        <v>46388.0</v>
      </c>
      <c r="O164" s="30">
        <v>46752.0</v>
      </c>
      <c r="P164" s="31">
        <v>0.0</v>
      </c>
      <c r="Q164" s="31">
        <v>1.0</v>
      </c>
      <c r="R164" s="32" t="s">
        <v>7043</v>
      </c>
      <c r="S164" s="30">
        <v>46753.0</v>
      </c>
      <c r="T164" s="30">
        <v>47118.0</v>
      </c>
      <c r="U164" s="31">
        <v>0.0</v>
      </c>
      <c r="V164" s="31">
        <v>1.0</v>
      </c>
      <c r="W164" s="32" t="s">
        <v>7043</v>
      </c>
      <c r="X164" s="30">
        <v>47119.0</v>
      </c>
      <c r="Y164" s="30">
        <v>47483.0</v>
      </c>
      <c r="Z164" s="31">
        <v>0.0</v>
      </c>
      <c r="AA164" s="31">
        <v>1.0</v>
      </c>
      <c r="AB164" s="32" t="s">
        <v>7043</v>
      </c>
      <c r="AC164" s="30">
        <v>47484.0</v>
      </c>
      <c r="AD164" s="30">
        <v>47848.0</v>
      </c>
      <c r="AE164" s="31">
        <v>0.0</v>
      </c>
      <c r="AF164" s="31">
        <v>1.0</v>
      </c>
      <c r="AG164" s="32" t="s">
        <v>7043</v>
      </c>
    </row>
    <row r="165" ht="14.25" customHeight="1">
      <c r="A165" s="28" t="s">
        <v>3268</v>
      </c>
      <c r="B165" s="29" t="s">
        <v>3269</v>
      </c>
      <c r="C165" s="29" t="s">
        <v>7041</v>
      </c>
      <c r="D165" s="30">
        <v>45658.0</v>
      </c>
      <c r="E165" s="30">
        <v>46022.0</v>
      </c>
      <c r="F165" s="31">
        <v>0.0</v>
      </c>
      <c r="G165" s="31">
        <v>1.0</v>
      </c>
      <c r="H165" s="32" t="s">
        <v>7043</v>
      </c>
      <c r="I165" s="30">
        <v>46023.0</v>
      </c>
      <c r="J165" s="30">
        <v>46387.0</v>
      </c>
      <c r="K165" s="31">
        <v>0.0</v>
      </c>
      <c r="L165" s="31">
        <v>1.0</v>
      </c>
      <c r="M165" s="32" t="s">
        <v>7043</v>
      </c>
      <c r="N165" s="30">
        <v>46388.0</v>
      </c>
      <c r="O165" s="30">
        <v>46752.0</v>
      </c>
      <c r="P165" s="31">
        <v>0.0</v>
      </c>
      <c r="Q165" s="31">
        <v>1.0</v>
      </c>
      <c r="R165" s="32" t="s">
        <v>7043</v>
      </c>
      <c r="S165" s="30">
        <v>46753.0</v>
      </c>
      <c r="T165" s="30">
        <v>47118.0</v>
      </c>
      <c r="U165" s="31">
        <v>0.0</v>
      </c>
      <c r="V165" s="31">
        <v>1.0</v>
      </c>
      <c r="W165" s="32" t="s">
        <v>7043</v>
      </c>
      <c r="X165" s="30">
        <v>47119.0</v>
      </c>
      <c r="Y165" s="30">
        <v>47483.0</v>
      </c>
      <c r="Z165" s="31">
        <v>0.0</v>
      </c>
      <c r="AA165" s="31">
        <v>1.0</v>
      </c>
      <c r="AB165" s="32" t="s">
        <v>7043</v>
      </c>
      <c r="AC165" s="30">
        <v>47484.0</v>
      </c>
      <c r="AD165" s="30">
        <v>47848.0</v>
      </c>
      <c r="AE165" s="31">
        <v>0.0</v>
      </c>
      <c r="AF165" s="31">
        <v>1.0</v>
      </c>
      <c r="AG165" s="32" t="s">
        <v>7043</v>
      </c>
    </row>
    <row r="166" ht="14.25" customHeight="1">
      <c r="A166" s="28" t="s">
        <v>3357</v>
      </c>
      <c r="B166" s="29" t="s">
        <v>3358</v>
      </c>
      <c r="C166" s="29" t="s">
        <v>7044</v>
      </c>
      <c r="D166" s="30">
        <v>45658.0</v>
      </c>
      <c r="E166" s="30">
        <v>46022.0</v>
      </c>
      <c r="F166" s="31">
        <v>0.0</v>
      </c>
      <c r="G166" s="31">
        <v>1.0</v>
      </c>
      <c r="H166" s="32" t="s">
        <v>7043</v>
      </c>
      <c r="I166" s="30">
        <v>46023.0</v>
      </c>
      <c r="J166" s="30">
        <v>46387.0</v>
      </c>
      <c r="K166" s="31">
        <v>0.0</v>
      </c>
      <c r="L166" s="31">
        <v>1.0</v>
      </c>
      <c r="M166" s="32" t="s">
        <v>7043</v>
      </c>
      <c r="N166" s="30">
        <v>46388.0</v>
      </c>
      <c r="O166" s="30">
        <v>46752.0</v>
      </c>
      <c r="P166" s="31">
        <v>0.0</v>
      </c>
      <c r="Q166" s="31">
        <v>1.0</v>
      </c>
      <c r="R166" s="32" t="s">
        <v>7043</v>
      </c>
      <c r="S166" s="30">
        <v>46753.0</v>
      </c>
      <c r="T166" s="30">
        <v>47118.0</v>
      </c>
      <c r="U166" s="31">
        <v>0.0</v>
      </c>
      <c r="V166" s="31">
        <v>1.0</v>
      </c>
      <c r="W166" s="32" t="s">
        <v>7043</v>
      </c>
      <c r="X166" s="30">
        <v>47119.0</v>
      </c>
      <c r="Y166" s="30">
        <v>47483.0</v>
      </c>
      <c r="Z166" s="31">
        <v>0.0</v>
      </c>
      <c r="AA166" s="31">
        <v>1.0</v>
      </c>
      <c r="AB166" s="32" t="s">
        <v>7043</v>
      </c>
      <c r="AC166" s="30">
        <v>47484.0</v>
      </c>
      <c r="AD166" s="30">
        <v>47848.0</v>
      </c>
      <c r="AE166" s="31">
        <v>0.0</v>
      </c>
      <c r="AF166" s="31">
        <v>1.0</v>
      </c>
      <c r="AG166" s="32" t="s">
        <v>7043</v>
      </c>
    </row>
    <row r="167" ht="14.25" customHeight="1">
      <c r="A167" s="28" t="s">
        <v>3392</v>
      </c>
      <c r="B167" s="29" t="s">
        <v>3393</v>
      </c>
      <c r="C167" s="29" t="s">
        <v>7041</v>
      </c>
      <c r="D167" s="30">
        <v>45658.0</v>
      </c>
      <c r="E167" s="30">
        <v>46022.0</v>
      </c>
      <c r="F167" s="31">
        <v>0.0</v>
      </c>
      <c r="G167" s="31">
        <v>1.0</v>
      </c>
      <c r="H167" s="32" t="s">
        <v>7043</v>
      </c>
      <c r="I167" s="30">
        <v>46023.0</v>
      </c>
      <c r="J167" s="30">
        <v>46387.0</v>
      </c>
      <c r="K167" s="31">
        <v>0.0</v>
      </c>
      <c r="L167" s="31">
        <v>1.0</v>
      </c>
      <c r="M167" s="32" t="s">
        <v>7043</v>
      </c>
      <c r="N167" s="30">
        <v>46388.0</v>
      </c>
      <c r="O167" s="30">
        <v>46752.0</v>
      </c>
      <c r="P167" s="31">
        <v>0.0</v>
      </c>
      <c r="Q167" s="31">
        <v>1.0</v>
      </c>
      <c r="R167" s="32" t="s">
        <v>7043</v>
      </c>
      <c r="S167" s="30">
        <v>46753.0</v>
      </c>
      <c r="T167" s="30">
        <v>47118.0</v>
      </c>
      <c r="U167" s="31">
        <v>0.0</v>
      </c>
      <c r="V167" s="31">
        <v>1.0</v>
      </c>
      <c r="W167" s="32" t="s">
        <v>7043</v>
      </c>
      <c r="X167" s="30">
        <v>47119.0</v>
      </c>
      <c r="Y167" s="30">
        <v>47483.0</v>
      </c>
      <c r="Z167" s="31">
        <v>0.0</v>
      </c>
      <c r="AA167" s="31">
        <v>1.0</v>
      </c>
      <c r="AB167" s="32" t="s">
        <v>7043</v>
      </c>
      <c r="AC167" s="30">
        <v>47484.0</v>
      </c>
      <c r="AD167" s="30">
        <v>47848.0</v>
      </c>
      <c r="AE167" s="31">
        <v>0.0</v>
      </c>
      <c r="AF167" s="31">
        <v>1.0</v>
      </c>
      <c r="AG167" s="32" t="s">
        <v>7043</v>
      </c>
    </row>
    <row r="168" ht="14.25" customHeight="1">
      <c r="A168" s="28" t="s">
        <v>3413</v>
      </c>
      <c r="B168" s="29" t="s">
        <v>3414</v>
      </c>
      <c r="C168" s="29" t="s">
        <v>7041</v>
      </c>
      <c r="D168" s="30">
        <v>45658.0</v>
      </c>
      <c r="E168" s="30">
        <v>46022.0</v>
      </c>
      <c r="F168" s="31">
        <v>0.0</v>
      </c>
      <c r="G168" s="31">
        <v>1.0</v>
      </c>
      <c r="H168" s="32" t="s">
        <v>7043</v>
      </c>
      <c r="I168" s="30">
        <v>46023.0</v>
      </c>
      <c r="J168" s="30">
        <v>46387.0</v>
      </c>
      <c r="K168" s="31">
        <v>0.0</v>
      </c>
      <c r="L168" s="31">
        <v>1.0</v>
      </c>
      <c r="M168" s="32" t="s">
        <v>7043</v>
      </c>
      <c r="N168" s="30">
        <v>46388.0</v>
      </c>
      <c r="O168" s="30">
        <v>46752.0</v>
      </c>
      <c r="P168" s="31">
        <v>0.0</v>
      </c>
      <c r="Q168" s="31">
        <v>1.0</v>
      </c>
      <c r="R168" s="32" t="s">
        <v>7043</v>
      </c>
      <c r="S168" s="30">
        <v>46753.0</v>
      </c>
      <c r="T168" s="30">
        <v>47118.0</v>
      </c>
      <c r="U168" s="31">
        <v>0.0</v>
      </c>
      <c r="V168" s="31">
        <v>1.0</v>
      </c>
      <c r="W168" s="32" t="s">
        <v>7043</v>
      </c>
      <c r="X168" s="30">
        <v>47119.0</v>
      </c>
      <c r="Y168" s="30">
        <v>47483.0</v>
      </c>
      <c r="Z168" s="31">
        <v>0.0</v>
      </c>
      <c r="AA168" s="31">
        <v>1.0</v>
      </c>
      <c r="AB168" s="32" t="s">
        <v>7043</v>
      </c>
      <c r="AC168" s="30">
        <v>47484.0</v>
      </c>
      <c r="AD168" s="30">
        <v>47848.0</v>
      </c>
      <c r="AE168" s="31">
        <v>0.0</v>
      </c>
      <c r="AF168" s="31">
        <v>1.0</v>
      </c>
      <c r="AG168" s="32" t="s">
        <v>7043</v>
      </c>
    </row>
    <row r="169" ht="14.25" customHeight="1">
      <c r="A169" s="28" t="s">
        <v>3564</v>
      </c>
      <c r="B169" s="29" t="s">
        <v>3565</v>
      </c>
      <c r="C169" s="29" t="s">
        <v>7044</v>
      </c>
      <c r="D169" s="30">
        <v>45658.0</v>
      </c>
      <c r="E169" s="30">
        <v>46022.0</v>
      </c>
      <c r="F169" s="31">
        <v>0.0</v>
      </c>
      <c r="G169" s="31">
        <v>1.0</v>
      </c>
      <c r="H169" s="32" t="s">
        <v>7043</v>
      </c>
      <c r="I169" s="30">
        <v>46023.0</v>
      </c>
      <c r="J169" s="30">
        <v>46387.0</v>
      </c>
      <c r="K169" s="31">
        <v>0.0</v>
      </c>
      <c r="L169" s="31">
        <v>1.0</v>
      </c>
      <c r="M169" s="32" t="s">
        <v>7043</v>
      </c>
      <c r="N169" s="30">
        <v>46388.0</v>
      </c>
      <c r="O169" s="30">
        <v>46752.0</v>
      </c>
      <c r="P169" s="31">
        <v>0.0</v>
      </c>
      <c r="Q169" s="31">
        <v>1.0</v>
      </c>
      <c r="R169" s="32" t="s">
        <v>7043</v>
      </c>
      <c r="S169" s="30">
        <v>46753.0</v>
      </c>
      <c r="T169" s="30">
        <v>47118.0</v>
      </c>
      <c r="U169" s="31">
        <v>0.0</v>
      </c>
      <c r="V169" s="31">
        <v>1.0</v>
      </c>
      <c r="W169" s="32" t="s">
        <v>7043</v>
      </c>
      <c r="X169" s="30">
        <v>47119.0</v>
      </c>
      <c r="Y169" s="30">
        <v>47483.0</v>
      </c>
      <c r="Z169" s="31">
        <v>0.0</v>
      </c>
      <c r="AA169" s="31">
        <v>1.0</v>
      </c>
      <c r="AB169" s="32" t="s">
        <v>7043</v>
      </c>
      <c r="AC169" s="30">
        <v>47484.0</v>
      </c>
      <c r="AD169" s="30">
        <v>47848.0</v>
      </c>
      <c r="AE169" s="31">
        <v>0.0</v>
      </c>
      <c r="AF169" s="31">
        <v>1.0</v>
      </c>
      <c r="AG169" s="32" t="s">
        <v>7043</v>
      </c>
    </row>
    <row r="170" ht="14.25" customHeight="1">
      <c r="A170" s="28" t="s">
        <v>3603</v>
      </c>
      <c r="B170" s="29" t="s">
        <v>3604</v>
      </c>
      <c r="C170" s="29" t="s">
        <v>7044</v>
      </c>
      <c r="D170" s="30">
        <v>45658.0</v>
      </c>
      <c r="E170" s="30">
        <v>46022.0</v>
      </c>
      <c r="F170" s="31">
        <v>0.0</v>
      </c>
      <c r="G170" s="31">
        <v>1.0</v>
      </c>
      <c r="H170" s="32" t="s">
        <v>7043</v>
      </c>
      <c r="I170" s="30">
        <v>46023.0</v>
      </c>
      <c r="J170" s="30">
        <v>46387.0</v>
      </c>
      <c r="K170" s="31">
        <v>0.0</v>
      </c>
      <c r="L170" s="31">
        <v>1.0</v>
      </c>
      <c r="M170" s="32" t="s">
        <v>7043</v>
      </c>
      <c r="N170" s="30">
        <v>46388.0</v>
      </c>
      <c r="O170" s="30">
        <v>46752.0</v>
      </c>
      <c r="P170" s="31">
        <v>0.0</v>
      </c>
      <c r="Q170" s="31">
        <v>1.0</v>
      </c>
      <c r="R170" s="32" t="s">
        <v>7043</v>
      </c>
      <c r="S170" s="30">
        <v>46753.0</v>
      </c>
      <c r="T170" s="30">
        <v>47118.0</v>
      </c>
      <c r="U170" s="31">
        <v>0.0</v>
      </c>
      <c r="V170" s="31">
        <v>1.0</v>
      </c>
      <c r="W170" s="32" t="s">
        <v>7043</v>
      </c>
      <c r="X170" s="30">
        <v>47119.0</v>
      </c>
      <c r="Y170" s="30">
        <v>47483.0</v>
      </c>
      <c r="Z170" s="31">
        <v>0.0</v>
      </c>
      <c r="AA170" s="31">
        <v>1.0</v>
      </c>
      <c r="AB170" s="32" t="s">
        <v>7043</v>
      </c>
      <c r="AC170" s="30">
        <v>47484.0</v>
      </c>
      <c r="AD170" s="30">
        <v>47848.0</v>
      </c>
      <c r="AE170" s="31">
        <v>0.0</v>
      </c>
      <c r="AF170" s="31">
        <v>1.0</v>
      </c>
      <c r="AG170" s="32" t="s">
        <v>7043</v>
      </c>
    </row>
    <row r="171" ht="14.25" customHeight="1">
      <c r="A171" s="28" t="s">
        <v>3877</v>
      </c>
      <c r="B171" s="29" t="s">
        <v>3878</v>
      </c>
      <c r="C171" s="29" t="s">
        <v>7041</v>
      </c>
      <c r="D171" s="30">
        <v>45658.0</v>
      </c>
      <c r="E171" s="30">
        <v>46022.0</v>
      </c>
      <c r="F171" s="31">
        <v>0.0</v>
      </c>
      <c r="G171" s="31">
        <v>1.0</v>
      </c>
      <c r="H171" s="32" t="s">
        <v>7043</v>
      </c>
      <c r="I171" s="30">
        <v>46023.0</v>
      </c>
      <c r="J171" s="30">
        <v>46387.0</v>
      </c>
      <c r="K171" s="31">
        <v>0.0</v>
      </c>
      <c r="L171" s="31">
        <v>1.0</v>
      </c>
      <c r="M171" s="32" t="s">
        <v>7043</v>
      </c>
      <c r="N171" s="30">
        <v>46388.0</v>
      </c>
      <c r="O171" s="30">
        <v>46752.0</v>
      </c>
      <c r="P171" s="31">
        <v>0.0</v>
      </c>
      <c r="Q171" s="31">
        <v>1.0</v>
      </c>
      <c r="R171" s="32" t="s">
        <v>7043</v>
      </c>
      <c r="S171" s="30">
        <v>46753.0</v>
      </c>
      <c r="T171" s="30">
        <v>47118.0</v>
      </c>
      <c r="U171" s="31">
        <v>0.0</v>
      </c>
      <c r="V171" s="31">
        <v>1.0</v>
      </c>
      <c r="W171" s="32" t="s">
        <v>7043</v>
      </c>
      <c r="X171" s="30">
        <v>47119.0</v>
      </c>
      <c r="Y171" s="30">
        <v>47483.0</v>
      </c>
      <c r="Z171" s="31">
        <v>0.0</v>
      </c>
      <c r="AA171" s="31">
        <v>1.0</v>
      </c>
      <c r="AB171" s="32" t="s">
        <v>7043</v>
      </c>
      <c r="AC171" s="30">
        <v>47484.0</v>
      </c>
      <c r="AD171" s="30">
        <v>47848.0</v>
      </c>
      <c r="AE171" s="31">
        <v>0.0</v>
      </c>
      <c r="AF171" s="31">
        <v>1.0</v>
      </c>
      <c r="AG171" s="32" t="s">
        <v>7043</v>
      </c>
    </row>
    <row r="172" ht="14.25" customHeight="1">
      <c r="A172" s="28" t="s">
        <v>3943</v>
      </c>
      <c r="B172" s="34" t="s">
        <v>3944</v>
      </c>
      <c r="C172" s="29" t="s">
        <v>7044</v>
      </c>
      <c r="D172" s="30">
        <v>45658.0</v>
      </c>
      <c r="E172" s="30">
        <v>46022.0</v>
      </c>
      <c r="F172" s="31">
        <v>0.0</v>
      </c>
      <c r="G172" s="31">
        <v>1.0</v>
      </c>
      <c r="H172" s="32" t="s">
        <v>7043</v>
      </c>
      <c r="I172" s="30">
        <v>46023.0</v>
      </c>
      <c r="J172" s="30">
        <v>46387.0</v>
      </c>
      <c r="K172" s="31">
        <v>0.0</v>
      </c>
      <c r="L172" s="31">
        <v>1.0</v>
      </c>
      <c r="M172" s="32" t="s">
        <v>7043</v>
      </c>
      <c r="N172" s="30">
        <v>46388.0</v>
      </c>
      <c r="O172" s="30">
        <v>46752.0</v>
      </c>
      <c r="P172" s="31">
        <v>0.0</v>
      </c>
      <c r="Q172" s="31">
        <v>1.0</v>
      </c>
      <c r="R172" s="32" t="s">
        <v>7043</v>
      </c>
      <c r="S172" s="30">
        <v>46753.0</v>
      </c>
      <c r="T172" s="30">
        <v>47118.0</v>
      </c>
      <c r="U172" s="31">
        <v>0.0</v>
      </c>
      <c r="V172" s="31">
        <v>1.0</v>
      </c>
      <c r="W172" s="32" t="s">
        <v>7043</v>
      </c>
      <c r="X172" s="30">
        <v>47119.0</v>
      </c>
      <c r="Y172" s="30">
        <v>47483.0</v>
      </c>
      <c r="Z172" s="31">
        <v>0.0</v>
      </c>
      <c r="AA172" s="31">
        <v>1.0</v>
      </c>
      <c r="AB172" s="32" t="s">
        <v>7043</v>
      </c>
      <c r="AC172" s="30">
        <v>47484.0</v>
      </c>
      <c r="AD172" s="30">
        <v>47848.0</v>
      </c>
      <c r="AE172" s="31">
        <v>0.0</v>
      </c>
      <c r="AF172" s="31">
        <v>1.0</v>
      </c>
      <c r="AG172" s="32" t="s">
        <v>7043</v>
      </c>
    </row>
    <row r="173" ht="14.25" customHeight="1">
      <c r="A173" s="28" t="s">
        <v>4011</v>
      </c>
      <c r="B173" s="29" t="s">
        <v>4012</v>
      </c>
      <c r="C173" s="29" t="s">
        <v>7041</v>
      </c>
      <c r="D173" s="30">
        <v>45658.0</v>
      </c>
      <c r="E173" s="30">
        <v>46022.0</v>
      </c>
      <c r="F173" s="31">
        <v>0.0</v>
      </c>
      <c r="G173" s="31">
        <v>1.0</v>
      </c>
      <c r="H173" s="32" t="s">
        <v>7043</v>
      </c>
      <c r="I173" s="30">
        <v>46023.0</v>
      </c>
      <c r="J173" s="30">
        <v>46387.0</v>
      </c>
      <c r="K173" s="31">
        <v>0.0</v>
      </c>
      <c r="L173" s="31">
        <v>1.0</v>
      </c>
      <c r="M173" s="32" t="s">
        <v>7043</v>
      </c>
      <c r="N173" s="30">
        <v>46388.0</v>
      </c>
      <c r="O173" s="30">
        <v>46752.0</v>
      </c>
      <c r="P173" s="31">
        <v>0.0</v>
      </c>
      <c r="Q173" s="31">
        <v>1.0</v>
      </c>
      <c r="R173" s="32" t="s">
        <v>7043</v>
      </c>
      <c r="S173" s="30">
        <v>46753.0</v>
      </c>
      <c r="T173" s="30">
        <v>47118.0</v>
      </c>
      <c r="U173" s="31">
        <v>0.0</v>
      </c>
      <c r="V173" s="31">
        <v>1.0</v>
      </c>
      <c r="W173" s="32" t="s">
        <v>7043</v>
      </c>
      <c r="X173" s="30">
        <v>47119.0</v>
      </c>
      <c r="Y173" s="30">
        <v>47483.0</v>
      </c>
      <c r="Z173" s="31">
        <v>0.0</v>
      </c>
      <c r="AA173" s="31">
        <v>1.0</v>
      </c>
      <c r="AB173" s="32" t="s">
        <v>7043</v>
      </c>
      <c r="AC173" s="30">
        <v>47484.0</v>
      </c>
      <c r="AD173" s="30">
        <v>47848.0</v>
      </c>
      <c r="AE173" s="31">
        <v>0.0</v>
      </c>
      <c r="AF173" s="31">
        <v>1.0</v>
      </c>
      <c r="AG173" s="32" t="s">
        <v>7043</v>
      </c>
    </row>
    <row r="174" ht="14.25" customHeight="1">
      <c r="A174" s="28" t="s">
        <v>4140</v>
      </c>
      <c r="B174" s="29" t="s">
        <v>4141</v>
      </c>
      <c r="C174" s="29" t="s">
        <v>7041</v>
      </c>
      <c r="D174" s="30">
        <v>45658.0</v>
      </c>
      <c r="E174" s="30">
        <v>46022.0</v>
      </c>
      <c r="F174" s="31">
        <v>0.0</v>
      </c>
      <c r="G174" s="31">
        <v>1.0</v>
      </c>
      <c r="H174" s="32" t="s">
        <v>7043</v>
      </c>
      <c r="I174" s="30">
        <v>46023.0</v>
      </c>
      <c r="J174" s="30">
        <v>46387.0</v>
      </c>
      <c r="K174" s="31">
        <v>0.0</v>
      </c>
      <c r="L174" s="31">
        <v>1.0</v>
      </c>
      <c r="M174" s="32" t="s">
        <v>7043</v>
      </c>
      <c r="N174" s="30">
        <v>46388.0</v>
      </c>
      <c r="O174" s="30">
        <v>46752.0</v>
      </c>
      <c r="P174" s="31">
        <v>0.0</v>
      </c>
      <c r="Q174" s="31">
        <v>1.0</v>
      </c>
      <c r="R174" s="32" t="s">
        <v>7043</v>
      </c>
      <c r="S174" s="30">
        <v>46753.0</v>
      </c>
      <c r="T174" s="30">
        <v>47118.0</v>
      </c>
      <c r="U174" s="31">
        <v>0.0</v>
      </c>
      <c r="V174" s="31">
        <v>1.0</v>
      </c>
      <c r="W174" s="32" t="s">
        <v>7043</v>
      </c>
      <c r="X174" s="30">
        <v>47119.0</v>
      </c>
      <c r="Y174" s="30">
        <v>47483.0</v>
      </c>
      <c r="Z174" s="31">
        <v>0.0</v>
      </c>
      <c r="AA174" s="31">
        <v>1.0</v>
      </c>
      <c r="AB174" s="32" t="s">
        <v>7043</v>
      </c>
      <c r="AC174" s="30">
        <v>47484.0</v>
      </c>
      <c r="AD174" s="30">
        <v>47848.0</v>
      </c>
      <c r="AE174" s="31">
        <v>0.0</v>
      </c>
      <c r="AF174" s="31">
        <v>1.0</v>
      </c>
      <c r="AG174" s="32" t="s">
        <v>7043</v>
      </c>
    </row>
    <row r="175" ht="14.25" customHeight="1">
      <c r="A175" s="28" t="s">
        <v>4197</v>
      </c>
      <c r="B175" s="29" t="s">
        <v>4198</v>
      </c>
      <c r="C175" s="29" t="s">
        <v>7044</v>
      </c>
      <c r="D175" s="30">
        <v>45658.0</v>
      </c>
      <c r="E175" s="30">
        <v>46022.0</v>
      </c>
      <c r="F175" s="31">
        <v>0.0</v>
      </c>
      <c r="G175" s="31">
        <v>1.0</v>
      </c>
      <c r="H175" s="32" t="s">
        <v>7043</v>
      </c>
      <c r="I175" s="30">
        <v>46023.0</v>
      </c>
      <c r="J175" s="30">
        <v>46387.0</v>
      </c>
      <c r="K175" s="31">
        <v>0.0</v>
      </c>
      <c r="L175" s="31">
        <v>1.0</v>
      </c>
      <c r="M175" s="32" t="s">
        <v>7043</v>
      </c>
      <c r="N175" s="30">
        <v>46388.0</v>
      </c>
      <c r="O175" s="30">
        <v>46752.0</v>
      </c>
      <c r="P175" s="31">
        <v>0.0</v>
      </c>
      <c r="Q175" s="31">
        <v>1.0</v>
      </c>
      <c r="R175" s="32" t="s">
        <v>7043</v>
      </c>
      <c r="S175" s="30">
        <v>46753.0</v>
      </c>
      <c r="T175" s="30">
        <v>47118.0</v>
      </c>
      <c r="U175" s="31">
        <v>0.0</v>
      </c>
      <c r="V175" s="31">
        <v>1.0</v>
      </c>
      <c r="W175" s="32" t="s">
        <v>7043</v>
      </c>
      <c r="X175" s="30">
        <v>47119.0</v>
      </c>
      <c r="Y175" s="30">
        <v>47483.0</v>
      </c>
      <c r="Z175" s="31">
        <v>0.0</v>
      </c>
      <c r="AA175" s="31">
        <v>1.0</v>
      </c>
      <c r="AB175" s="32" t="s">
        <v>7043</v>
      </c>
      <c r="AC175" s="30">
        <v>47484.0</v>
      </c>
      <c r="AD175" s="30">
        <v>47848.0</v>
      </c>
      <c r="AE175" s="31">
        <v>0.0</v>
      </c>
      <c r="AF175" s="31">
        <v>1.0</v>
      </c>
      <c r="AG175" s="32" t="s">
        <v>7043</v>
      </c>
    </row>
    <row r="176" ht="14.25" customHeight="1">
      <c r="A176" s="28" t="s">
        <v>4894</v>
      </c>
      <c r="B176" s="29" t="s">
        <v>4895</v>
      </c>
      <c r="C176" s="29" t="s">
        <v>7041</v>
      </c>
      <c r="D176" s="30">
        <v>45658.0</v>
      </c>
      <c r="E176" s="30">
        <v>46022.0</v>
      </c>
      <c r="F176" s="31">
        <v>0.0</v>
      </c>
      <c r="G176" s="31">
        <v>1.0</v>
      </c>
      <c r="H176" s="32" t="s">
        <v>7043</v>
      </c>
      <c r="I176" s="30">
        <v>46023.0</v>
      </c>
      <c r="J176" s="30">
        <v>46387.0</v>
      </c>
      <c r="K176" s="31">
        <v>0.0</v>
      </c>
      <c r="L176" s="31">
        <v>1.0</v>
      </c>
      <c r="M176" s="32" t="s">
        <v>7043</v>
      </c>
      <c r="N176" s="30">
        <v>46388.0</v>
      </c>
      <c r="O176" s="30">
        <v>46752.0</v>
      </c>
      <c r="P176" s="31">
        <v>0.0</v>
      </c>
      <c r="Q176" s="31">
        <v>1.0</v>
      </c>
      <c r="R176" s="32" t="s">
        <v>7043</v>
      </c>
      <c r="S176" s="30">
        <v>46753.0</v>
      </c>
      <c r="T176" s="30">
        <v>47118.0</v>
      </c>
      <c r="U176" s="31">
        <v>0.0</v>
      </c>
      <c r="V176" s="31">
        <v>1.0</v>
      </c>
      <c r="W176" s="32" t="s">
        <v>7043</v>
      </c>
      <c r="X176" s="30">
        <v>47119.0</v>
      </c>
      <c r="Y176" s="30">
        <v>47483.0</v>
      </c>
      <c r="Z176" s="31">
        <v>0.0</v>
      </c>
      <c r="AA176" s="31">
        <v>1.0</v>
      </c>
      <c r="AB176" s="32" t="s">
        <v>7043</v>
      </c>
      <c r="AC176" s="30">
        <v>47484.0</v>
      </c>
      <c r="AD176" s="30">
        <v>47848.0</v>
      </c>
      <c r="AE176" s="31">
        <v>0.0</v>
      </c>
      <c r="AF176" s="31">
        <v>1.0</v>
      </c>
      <c r="AG176" s="32" t="s">
        <v>7043</v>
      </c>
    </row>
    <row r="177" ht="14.25" customHeight="1">
      <c r="A177" s="28" t="s">
        <v>4904</v>
      </c>
      <c r="B177" s="29" t="s">
        <v>4905</v>
      </c>
      <c r="C177" s="29" t="s">
        <v>7044</v>
      </c>
      <c r="D177" s="30">
        <v>45658.0</v>
      </c>
      <c r="E177" s="30">
        <v>46022.0</v>
      </c>
      <c r="F177" s="31">
        <v>0.0</v>
      </c>
      <c r="G177" s="31">
        <v>1.0</v>
      </c>
      <c r="H177" s="32" t="s">
        <v>7043</v>
      </c>
      <c r="I177" s="30">
        <v>46023.0</v>
      </c>
      <c r="J177" s="30">
        <v>46387.0</v>
      </c>
      <c r="K177" s="31">
        <v>0.0</v>
      </c>
      <c r="L177" s="31">
        <v>1.0</v>
      </c>
      <c r="M177" s="32" t="s">
        <v>7043</v>
      </c>
      <c r="N177" s="30">
        <v>46388.0</v>
      </c>
      <c r="O177" s="30">
        <v>46752.0</v>
      </c>
      <c r="P177" s="31">
        <v>0.0</v>
      </c>
      <c r="Q177" s="31">
        <v>1.0</v>
      </c>
      <c r="R177" s="32" t="s">
        <v>7043</v>
      </c>
      <c r="S177" s="30">
        <v>46753.0</v>
      </c>
      <c r="T177" s="30">
        <v>47118.0</v>
      </c>
      <c r="U177" s="31">
        <v>0.0</v>
      </c>
      <c r="V177" s="31">
        <v>1.0</v>
      </c>
      <c r="W177" s="32" t="s">
        <v>7043</v>
      </c>
      <c r="X177" s="30">
        <v>47119.0</v>
      </c>
      <c r="Y177" s="30">
        <v>47483.0</v>
      </c>
      <c r="Z177" s="31">
        <v>0.0</v>
      </c>
      <c r="AA177" s="31">
        <v>1.0</v>
      </c>
      <c r="AB177" s="32" t="s">
        <v>7043</v>
      </c>
      <c r="AC177" s="30">
        <v>47484.0</v>
      </c>
      <c r="AD177" s="30">
        <v>47848.0</v>
      </c>
      <c r="AE177" s="31">
        <v>0.0</v>
      </c>
      <c r="AF177" s="31">
        <v>1.0</v>
      </c>
      <c r="AG177" s="32" t="s">
        <v>7043</v>
      </c>
    </row>
    <row r="178" ht="14.25" customHeight="1">
      <c r="A178" s="28" t="s">
        <v>5041</v>
      </c>
      <c r="B178" s="29" t="s">
        <v>5042</v>
      </c>
      <c r="C178" s="29" t="s">
        <v>7044</v>
      </c>
      <c r="D178" s="30">
        <v>45658.0</v>
      </c>
      <c r="E178" s="30">
        <v>46022.0</v>
      </c>
      <c r="F178" s="31">
        <v>0.0</v>
      </c>
      <c r="G178" s="31">
        <v>1.0</v>
      </c>
      <c r="H178" s="32" t="s">
        <v>7043</v>
      </c>
      <c r="I178" s="30">
        <v>46023.0</v>
      </c>
      <c r="J178" s="30">
        <v>46387.0</v>
      </c>
      <c r="K178" s="31">
        <v>0.0</v>
      </c>
      <c r="L178" s="31">
        <v>1.0</v>
      </c>
      <c r="M178" s="32" t="s">
        <v>7043</v>
      </c>
      <c r="N178" s="30">
        <v>46388.0</v>
      </c>
      <c r="O178" s="30">
        <v>46752.0</v>
      </c>
      <c r="P178" s="31">
        <v>0.0</v>
      </c>
      <c r="Q178" s="31">
        <v>1.0</v>
      </c>
      <c r="R178" s="32" t="s">
        <v>7043</v>
      </c>
      <c r="S178" s="30">
        <v>46753.0</v>
      </c>
      <c r="T178" s="30">
        <v>47118.0</v>
      </c>
      <c r="U178" s="31">
        <v>0.0</v>
      </c>
      <c r="V178" s="31">
        <v>1.0</v>
      </c>
      <c r="W178" s="32" t="s">
        <v>7043</v>
      </c>
      <c r="X178" s="30">
        <v>47119.0</v>
      </c>
      <c r="Y178" s="30">
        <v>47483.0</v>
      </c>
      <c r="Z178" s="31">
        <v>0.0</v>
      </c>
      <c r="AA178" s="31">
        <v>1.0</v>
      </c>
      <c r="AB178" s="32" t="s">
        <v>7043</v>
      </c>
      <c r="AC178" s="30">
        <v>47484.0</v>
      </c>
      <c r="AD178" s="30">
        <v>47848.0</v>
      </c>
      <c r="AE178" s="31">
        <v>0.0</v>
      </c>
      <c r="AF178" s="31">
        <v>1.0</v>
      </c>
      <c r="AG178" s="32" t="s">
        <v>7043</v>
      </c>
    </row>
    <row r="179" ht="14.25" customHeight="1">
      <c r="A179" s="28" t="s">
        <v>5052</v>
      </c>
      <c r="B179" s="29" t="s">
        <v>5053</v>
      </c>
      <c r="C179" s="29" t="s">
        <v>7041</v>
      </c>
      <c r="D179" s="30">
        <v>45658.0</v>
      </c>
      <c r="E179" s="30">
        <v>46022.0</v>
      </c>
      <c r="F179" s="31">
        <v>1.0</v>
      </c>
      <c r="G179" s="31">
        <v>1.0</v>
      </c>
      <c r="H179" s="33" t="s">
        <v>7042</v>
      </c>
      <c r="I179" s="30">
        <v>46023.0</v>
      </c>
      <c r="J179" s="30">
        <v>46387.0</v>
      </c>
      <c r="K179" s="31">
        <v>0.0</v>
      </c>
      <c r="L179" s="31">
        <v>1.0</v>
      </c>
      <c r="M179" s="32" t="s">
        <v>7043</v>
      </c>
      <c r="N179" s="30">
        <v>46388.0</v>
      </c>
      <c r="O179" s="30">
        <v>46752.0</v>
      </c>
      <c r="P179" s="31">
        <v>0.0</v>
      </c>
      <c r="Q179" s="31">
        <v>1.0</v>
      </c>
      <c r="R179" s="32" t="s">
        <v>7043</v>
      </c>
      <c r="S179" s="30">
        <v>46753.0</v>
      </c>
      <c r="T179" s="30">
        <v>47118.0</v>
      </c>
      <c r="U179" s="31">
        <v>0.0</v>
      </c>
      <c r="V179" s="31">
        <v>1.0</v>
      </c>
      <c r="W179" s="32" t="s">
        <v>7043</v>
      </c>
      <c r="X179" s="30">
        <v>47119.0</v>
      </c>
      <c r="Y179" s="30">
        <v>47483.0</v>
      </c>
      <c r="Z179" s="31">
        <v>0.0</v>
      </c>
      <c r="AA179" s="31">
        <v>1.0</v>
      </c>
      <c r="AB179" s="32" t="s">
        <v>7043</v>
      </c>
      <c r="AC179" s="30">
        <v>47484.0</v>
      </c>
      <c r="AD179" s="30">
        <v>47848.0</v>
      </c>
      <c r="AE179" s="31">
        <v>0.0</v>
      </c>
      <c r="AF179" s="31">
        <v>1.0</v>
      </c>
      <c r="AG179" s="32" t="s">
        <v>7043</v>
      </c>
    </row>
    <row r="180" ht="14.25" customHeight="1">
      <c r="A180" s="28" t="s">
        <v>5112</v>
      </c>
      <c r="B180" s="29" t="s">
        <v>5113</v>
      </c>
      <c r="C180" s="29" t="s">
        <v>7041</v>
      </c>
      <c r="D180" s="30">
        <v>45658.0</v>
      </c>
      <c r="E180" s="30">
        <v>46022.0</v>
      </c>
      <c r="F180" s="31">
        <v>0.0</v>
      </c>
      <c r="G180" s="31">
        <v>1.0</v>
      </c>
      <c r="H180" s="32" t="s">
        <v>7043</v>
      </c>
      <c r="I180" s="30">
        <v>46023.0</v>
      </c>
      <c r="J180" s="30">
        <v>46387.0</v>
      </c>
      <c r="K180" s="31">
        <v>0.0</v>
      </c>
      <c r="L180" s="31">
        <v>1.0</v>
      </c>
      <c r="M180" s="32" t="s">
        <v>7043</v>
      </c>
      <c r="N180" s="30">
        <v>46388.0</v>
      </c>
      <c r="O180" s="30">
        <v>46752.0</v>
      </c>
      <c r="P180" s="31">
        <v>0.0</v>
      </c>
      <c r="Q180" s="31">
        <v>1.0</v>
      </c>
      <c r="R180" s="32" t="s">
        <v>7043</v>
      </c>
      <c r="S180" s="30">
        <v>46753.0</v>
      </c>
      <c r="T180" s="30">
        <v>47118.0</v>
      </c>
      <c r="U180" s="31">
        <v>0.0</v>
      </c>
      <c r="V180" s="31">
        <v>1.0</v>
      </c>
      <c r="W180" s="32" t="s">
        <v>7043</v>
      </c>
      <c r="X180" s="30">
        <v>47119.0</v>
      </c>
      <c r="Y180" s="30">
        <v>47483.0</v>
      </c>
      <c r="Z180" s="31">
        <v>0.0</v>
      </c>
      <c r="AA180" s="31">
        <v>1.0</v>
      </c>
      <c r="AB180" s="32" t="s">
        <v>7043</v>
      </c>
      <c r="AC180" s="30">
        <v>47484.0</v>
      </c>
      <c r="AD180" s="30">
        <v>47848.0</v>
      </c>
      <c r="AE180" s="31">
        <v>0.0</v>
      </c>
      <c r="AF180" s="31">
        <v>1.0</v>
      </c>
      <c r="AG180" s="32" t="s">
        <v>7043</v>
      </c>
    </row>
    <row r="181" ht="14.25" customHeight="1">
      <c r="A181" s="28" t="s">
        <v>5163</v>
      </c>
      <c r="B181" s="29" t="s">
        <v>5164</v>
      </c>
      <c r="C181" s="29" t="s">
        <v>7041</v>
      </c>
      <c r="D181" s="30">
        <v>45658.0</v>
      </c>
      <c r="E181" s="30">
        <v>46022.0</v>
      </c>
      <c r="F181" s="31">
        <v>0.0</v>
      </c>
      <c r="G181" s="31">
        <v>1.0</v>
      </c>
      <c r="H181" s="32" t="s">
        <v>7043</v>
      </c>
      <c r="I181" s="30">
        <v>46023.0</v>
      </c>
      <c r="J181" s="30">
        <v>46387.0</v>
      </c>
      <c r="K181" s="31">
        <v>0.0</v>
      </c>
      <c r="L181" s="31">
        <v>1.0</v>
      </c>
      <c r="M181" s="32" t="s">
        <v>7043</v>
      </c>
      <c r="N181" s="30">
        <v>46388.0</v>
      </c>
      <c r="O181" s="30">
        <v>46752.0</v>
      </c>
      <c r="P181" s="31">
        <v>0.0</v>
      </c>
      <c r="Q181" s="31">
        <v>1.0</v>
      </c>
      <c r="R181" s="32" t="s">
        <v>7043</v>
      </c>
      <c r="S181" s="30">
        <v>46753.0</v>
      </c>
      <c r="T181" s="30">
        <v>47118.0</v>
      </c>
      <c r="U181" s="31">
        <v>0.0</v>
      </c>
      <c r="V181" s="31">
        <v>1.0</v>
      </c>
      <c r="W181" s="32" t="s">
        <v>7043</v>
      </c>
      <c r="X181" s="30">
        <v>47119.0</v>
      </c>
      <c r="Y181" s="30">
        <v>47483.0</v>
      </c>
      <c r="Z181" s="31">
        <v>0.0</v>
      </c>
      <c r="AA181" s="31">
        <v>1.0</v>
      </c>
      <c r="AB181" s="32" t="s">
        <v>7043</v>
      </c>
      <c r="AC181" s="30">
        <v>47484.0</v>
      </c>
      <c r="AD181" s="30">
        <v>47848.0</v>
      </c>
      <c r="AE181" s="31">
        <v>0.0</v>
      </c>
      <c r="AF181" s="31">
        <v>1.0</v>
      </c>
      <c r="AG181" s="32" t="s">
        <v>7043</v>
      </c>
    </row>
    <row r="182" ht="14.25" customHeight="1">
      <c r="A182" s="28" t="s">
        <v>5166</v>
      </c>
      <c r="B182" s="29" t="s">
        <v>5167</v>
      </c>
      <c r="C182" s="29" t="s">
        <v>7041</v>
      </c>
      <c r="D182" s="30">
        <v>45658.0</v>
      </c>
      <c r="E182" s="30">
        <v>46022.0</v>
      </c>
      <c r="F182" s="31">
        <v>1.0</v>
      </c>
      <c r="G182" s="31">
        <v>1.0</v>
      </c>
      <c r="H182" s="32" t="s">
        <v>7042</v>
      </c>
      <c r="I182" s="30">
        <v>46023.0</v>
      </c>
      <c r="J182" s="30">
        <v>46387.0</v>
      </c>
      <c r="K182" s="31">
        <v>0.0</v>
      </c>
      <c r="L182" s="31">
        <v>1.0</v>
      </c>
      <c r="M182" s="32" t="s">
        <v>7043</v>
      </c>
      <c r="N182" s="30">
        <v>46388.0</v>
      </c>
      <c r="O182" s="30">
        <v>46752.0</v>
      </c>
      <c r="P182" s="31">
        <v>0.0</v>
      </c>
      <c r="Q182" s="31">
        <v>1.0</v>
      </c>
      <c r="R182" s="32" t="s">
        <v>7043</v>
      </c>
      <c r="S182" s="30">
        <v>46753.0</v>
      </c>
      <c r="T182" s="30">
        <v>47118.0</v>
      </c>
      <c r="U182" s="31">
        <v>0.0</v>
      </c>
      <c r="V182" s="31">
        <v>1.0</v>
      </c>
      <c r="W182" s="32" t="s">
        <v>7043</v>
      </c>
      <c r="X182" s="30">
        <v>47119.0</v>
      </c>
      <c r="Y182" s="30">
        <v>47483.0</v>
      </c>
      <c r="Z182" s="31">
        <v>0.0</v>
      </c>
      <c r="AA182" s="31">
        <v>1.0</v>
      </c>
      <c r="AB182" s="32" t="s">
        <v>7043</v>
      </c>
      <c r="AC182" s="30">
        <v>47484.0</v>
      </c>
      <c r="AD182" s="30">
        <v>47848.0</v>
      </c>
      <c r="AE182" s="31">
        <v>0.0</v>
      </c>
      <c r="AF182" s="31">
        <v>1.0</v>
      </c>
      <c r="AG182" s="32" t="s">
        <v>7043</v>
      </c>
    </row>
    <row r="183" ht="14.25" customHeight="1">
      <c r="A183" s="28" t="s">
        <v>5177</v>
      </c>
      <c r="B183" s="29" t="s">
        <v>5178</v>
      </c>
      <c r="C183" s="29" t="s">
        <v>7041</v>
      </c>
      <c r="D183" s="30">
        <v>45658.0</v>
      </c>
      <c r="E183" s="30">
        <v>46022.0</v>
      </c>
      <c r="F183" s="31">
        <v>0.0</v>
      </c>
      <c r="G183" s="31">
        <v>1.0</v>
      </c>
      <c r="H183" s="32" t="s">
        <v>7043</v>
      </c>
      <c r="I183" s="30">
        <v>46023.0</v>
      </c>
      <c r="J183" s="30">
        <v>46387.0</v>
      </c>
      <c r="K183" s="31">
        <v>0.0</v>
      </c>
      <c r="L183" s="31">
        <v>1.0</v>
      </c>
      <c r="M183" s="32" t="s">
        <v>7043</v>
      </c>
      <c r="N183" s="30">
        <v>46388.0</v>
      </c>
      <c r="O183" s="30">
        <v>46752.0</v>
      </c>
      <c r="P183" s="31">
        <v>0.0</v>
      </c>
      <c r="Q183" s="31">
        <v>1.0</v>
      </c>
      <c r="R183" s="32" t="s">
        <v>7043</v>
      </c>
      <c r="S183" s="30">
        <v>46753.0</v>
      </c>
      <c r="T183" s="30">
        <v>47118.0</v>
      </c>
      <c r="U183" s="31">
        <v>0.0</v>
      </c>
      <c r="V183" s="31">
        <v>1.0</v>
      </c>
      <c r="W183" s="32" t="s">
        <v>7043</v>
      </c>
      <c r="X183" s="30">
        <v>47119.0</v>
      </c>
      <c r="Y183" s="30">
        <v>47483.0</v>
      </c>
      <c r="Z183" s="31">
        <v>0.0</v>
      </c>
      <c r="AA183" s="31">
        <v>1.0</v>
      </c>
      <c r="AB183" s="32" t="s">
        <v>7043</v>
      </c>
      <c r="AC183" s="30">
        <v>47484.0</v>
      </c>
      <c r="AD183" s="30">
        <v>47848.0</v>
      </c>
      <c r="AE183" s="31">
        <v>0.0</v>
      </c>
      <c r="AF183" s="31">
        <v>1.0</v>
      </c>
      <c r="AG183" s="32" t="s">
        <v>7043</v>
      </c>
    </row>
    <row r="184" ht="14.25" customHeight="1">
      <c r="A184" s="28" t="s">
        <v>5249</v>
      </c>
      <c r="B184" s="29" t="s">
        <v>5250</v>
      </c>
      <c r="C184" s="29" t="s">
        <v>7044</v>
      </c>
      <c r="D184" s="30">
        <v>45658.0</v>
      </c>
      <c r="E184" s="30">
        <v>46022.0</v>
      </c>
      <c r="F184" s="31">
        <v>0.0</v>
      </c>
      <c r="G184" s="31">
        <v>1.0</v>
      </c>
      <c r="H184" s="32" t="s">
        <v>7043</v>
      </c>
      <c r="I184" s="30">
        <v>46023.0</v>
      </c>
      <c r="J184" s="30">
        <v>46387.0</v>
      </c>
      <c r="K184" s="31">
        <v>0.0</v>
      </c>
      <c r="L184" s="31">
        <v>1.0</v>
      </c>
      <c r="M184" s="32" t="s">
        <v>7043</v>
      </c>
      <c r="N184" s="30">
        <v>46388.0</v>
      </c>
      <c r="O184" s="30">
        <v>46752.0</v>
      </c>
      <c r="P184" s="31">
        <v>0.0</v>
      </c>
      <c r="Q184" s="31">
        <v>1.0</v>
      </c>
      <c r="R184" s="32" t="s">
        <v>7043</v>
      </c>
      <c r="S184" s="30">
        <v>46753.0</v>
      </c>
      <c r="T184" s="30">
        <v>47118.0</v>
      </c>
      <c r="U184" s="31">
        <v>0.0</v>
      </c>
      <c r="V184" s="31">
        <v>1.0</v>
      </c>
      <c r="W184" s="32" t="s">
        <v>7043</v>
      </c>
      <c r="X184" s="30">
        <v>47119.0</v>
      </c>
      <c r="Y184" s="30">
        <v>47483.0</v>
      </c>
      <c r="Z184" s="31">
        <v>0.0</v>
      </c>
      <c r="AA184" s="31">
        <v>1.0</v>
      </c>
      <c r="AB184" s="32" t="s">
        <v>7043</v>
      </c>
      <c r="AC184" s="30">
        <v>47484.0</v>
      </c>
      <c r="AD184" s="30">
        <v>47848.0</v>
      </c>
      <c r="AE184" s="31">
        <v>0.0</v>
      </c>
      <c r="AF184" s="31">
        <v>1.0</v>
      </c>
      <c r="AG184" s="32" t="s">
        <v>7043</v>
      </c>
    </row>
    <row r="185" ht="14.25" customHeight="1">
      <c r="A185" s="28" t="s">
        <v>5309</v>
      </c>
      <c r="B185" s="29" t="s">
        <v>5310</v>
      </c>
      <c r="C185" s="29" t="s">
        <v>7041</v>
      </c>
      <c r="D185" s="30">
        <v>45658.0</v>
      </c>
      <c r="E185" s="30">
        <v>46022.0</v>
      </c>
      <c r="F185" s="31">
        <v>0.0</v>
      </c>
      <c r="G185" s="31">
        <v>1.0</v>
      </c>
      <c r="H185" s="32" t="s">
        <v>7043</v>
      </c>
      <c r="I185" s="30">
        <v>46023.0</v>
      </c>
      <c r="J185" s="30">
        <v>46387.0</v>
      </c>
      <c r="K185" s="31">
        <v>0.0</v>
      </c>
      <c r="L185" s="31">
        <v>1.0</v>
      </c>
      <c r="M185" s="32" t="s">
        <v>7043</v>
      </c>
      <c r="N185" s="30">
        <v>46388.0</v>
      </c>
      <c r="O185" s="30">
        <v>46752.0</v>
      </c>
      <c r="P185" s="31">
        <v>0.0</v>
      </c>
      <c r="Q185" s="31">
        <v>1.0</v>
      </c>
      <c r="R185" s="32" t="s">
        <v>7043</v>
      </c>
      <c r="S185" s="30">
        <v>46753.0</v>
      </c>
      <c r="T185" s="30">
        <v>47118.0</v>
      </c>
      <c r="U185" s="31">
        <v>0.0</v>
      </c>
      <c r="V185" s="31">
        <v>1.0</v>
      </c>
      <c r="W185" s="32" t="s">
        <v>7043</v>
      </c>
      <c r="X185" s="30">
        <v>47119.0</v>
      </c>
      <c r="Y185" s="30">
        <v>47483.0</v>
      </c>
      <c r="Z185" s="31">
        <v>0.0</v>
      </c>
      <c r="AA185" s="31">
        <v>1.0</v>
      </c>
      <c r="AB185" s="32" t="s">
        <v>7043</v>
      </c>
      <c r="AC185" s="30">
        <v>47484.0</v>
      </c>
      <c r="AD185" s="30">
        <v>47848.0</v>
      </c>
      <c r="AE185" s="31">
        <v>0.0</v>
      </c>
      <c r="AF185" s="31">
        <v>1.0</v>
      </c>
      <c r="AG185" s="32" t="s">
        <v>7043</v>
      </c>
    </row>
    <row r="186" ht="14.25" customHeight="1">
      <c r="A186" s="28" t="s">
        <v>5341</v>
      </c>
      <c r="B186" s="29" t="s">
        <v>5342</v>
      </c>
      <c r="C186" s="29" t="s">
        <v>7041</v>
      </c>
      <c r="D186" s="30">
        <v>45658.0</v>
      </c>
      <c r="E186" s="30">
        <v>46022.0</v>
      </c>
      <c r="F186" s="31">
        <v>0.0</v>
      </c>
      <c r="G186" s="31">
        <v>1.0</v>
      </c>
      <c r="H186" s="32" t="s">
        <v>7043</v>
      </c>
      <c r="I186" s="30">
        <v>46023.0</v>
      </c>
      <c r="J186" s="30">
        <v>46387.0</v>
      </c>
      <c r="K186" s="31">
        <v>0.0</v>
      </c>
      <c r="L186" s="31">
        <v>1.0</v>
      </c>
      <c r="M186" s="32" t="s">
        <v>7043</v>
      </c>
      <c r="N186" s="30">
        <v>46388.0</v>
      </c>
      <c r="O186" s="30">
        <v>46752.0</v>
      </c>
      <c r="P186" s="31">
        <v>0.0</v>
      </c>
      <c r="Q186" s="31">
        <v>1.0</v>
      </c>
      <c r="R186" s="32" t="s">
        <v>7043</v>
      </c>
      <c r="S186" s="30">
        <v>46753.0</v>
      </c>
      <c r="T186" s="30">
        <v>47118.0</v>
      </c>
      <c r="U186" s="31">
        <v>0.0</v>
      </c>
      <c r="V186" s="31">
        <v>1.0</v>
      </c>
      <c r="W186" s="32" t="s">
        <v>7043</v>
      </c>
      <c r="X186" s="30">
        <v>47119.0</v>
      </c>
      <c r="Y186" s="30">
        <v>47483.0</v>
      </c>
      <c r="Z186" s="31">
        <v>0.0</v>
      </c>
      <c r="AA186" s="31">
        <v>1.0</v>
      </c>
      <c r="AB186" s="32" t="s">
        <v>7043</v>
      </c>
      <c r="AC186" s="30">
        <v>47484.0</v>
      </c>
      <c r="AD186" s="30">
        <v>47848.0</v>
      </c>
      <c r="AE186" s="31">
        <v>0.0</v>
      </c>
      <c r="AF186" s="31">
        <v>1.0</v>
      </c>
      <c r="AG186" s="32" t="s">
        <v>7043</v>
      </c>
    </row>
    <row r="187" ht="14.25" customHeight="1">
      <c r="A187" s="28" t="s">
        <v>5417</v>
      </c>
      <c r="B187" s="29" t="s">
        <v>5418</v>
      </c>
      <c r="C187" s="29" t="s">
        <v>7041</v>
      </c>
      <c r="D187" s="30">
        <v>45658.0</v>
      </c>
      <c r="E187" s="30">
        <v>46022.0</v>
      </c>
      <c r="F187" s="31">
        <v>0.0</v>
      </c>
      <c r="G187" s="31">
        <v>1.0</v>
      </c>
      <c r="H187" s="32" t="s">
        <v>7043</v>
      </c>
      <c r="I187" s="30">
        <v>46023.0</v>
      </c>
      <c r="J187" s="30">
        <v>46387.0</v>
      </c>
      <c r="K187" s="31">
        <v>0.0</v>
      </c>
      <c r="L187" s="31">
        <v>1.0</v>
      </c>
      <c r="M187" s="32" t="s">
        <v>7043</v>
      </c>
      <c r="N187" s="30">
        <v>46388.0</v>
      </c>
      <c r="O187" s="30">
        <v>46752.0</v>
      </c>
      <c r="P187" s="31">
        <v>0.0</v>
      </c>
      <c r="Q187" s="31">
        <v>1.0</v>
      </c>
      <c r="R187" s="32" t="s">
        <v>7043</v>
      </c>
      <c r="S187" s="30">
        <v>46753.0</v>
      </c>
      <c r="T187" s="30">
        <v>47118.0</v>
      </c>
      <c r="U187" s="31">
        <v>0.0</v>
      </c>
      <c r="V187" s="31">
        <v>1.0</v>
      </c>
      <c r="W187" s="32" t="s">
        <v>7043</v>
      </c>
      <c r="X187" s="30">
        <v>47119.0</v>
      </c>
      <c r="Y187" s="30">
        <v>47483.0</v>
      </c>
      <c r="Z187" s="31">
        <v>0.0</v>
      </c>
      <c r="AA187" s="31">
        <v>1.0</v>
      </c>
      <c r="AB187" s="32" t="s">
        <v>7043</v>
      </c>
      <c r="AC187" s="30">
        <v>47484.0</v>
      </c>
      <c r="AD187" s="30">
        <v>47848.0</v>
      </c>
      <c r="AE187" s="31">
        <v>0.0</v>
      </c>
      <c r="AF187" s="31">
        <v>1.0</v>
      </c>
      <c r="AG187" s="32" t="s">
        <v>7043</v>
      </c>
    </row>
    <row r="188" ht="14.25" customHeight="1">
      <c r="A188" s="28" t="s">
        <v>5592</v>
      </c>
      <c r="B188" s="29" t="s">
        <v>5593</v>
      </c>
      <c r="C188" s="29" t="s">
        <v>7041</v>
      </c>
      <c r="D188" s="30">
        <v>45658.0</v>
      </c>
      <c r="E188" s="30">
        <v>46022.0</v>
      </c>
      <c r="F188" s="31">
        <v>0.0</v>
      </c>
      <c r="G188" s="31">
        <v>1.0</v>
      </c>
      <c r="H188" s="32" t="s">
        <v>7043</v>
      </c>
      <c r="I188" s="30">
        <v>46023.0</v>
      </c>
      <c r="J188" s="30">
        <v>46387.0</v>
      </c>
      <c r="K188" s="31">
        <v>0.0</v>
      </c>
      <c r="L188" s="31">
        <v>1.0</v>
      </c>
      <c r="M188" s="32" t="s">
        <v>7043</v>
      </c>
      <c r="N188" s="30">
        <v>46388.0</v>
      </c>
      <c r="O188" s="30">
        <v>46752.0</v>
      </c>
      <c r="P188" s="31">
        <v>0.0</v>
      </c>
      <c r="Q188" s="31">
        <v>1.0</v>
      </c>
      <c r="R188" s="32" t="s">
        <v>7043</v>
      </c>
      <c r="S188" s="30">
        <v>46753.0</v>
      </c>
      <c r="T188" s="30">
        <v>47118.0</v>
      </c>
      <c r="U188" s="31">
        <v>0.0</v>
      </c>
      <c r="V188" s="31">
        <v>1.0</v>
      </c>
      <c r="W188" s="32" t="s">
        <v>7043</v>
      </c>
      <c r="X188" s="30">
        <v>47119.0</v>
      </c>
      <c r="Y188" s="30">
        <v>47483.0</v>
      </c>
      <c r="Z188" s="31">
        <v>0.0</v>
      </c>
      <c r="AA188" s="31">
        <v>1.0</v>
      </c>
      <c r="AB188" s="32" t="s">
        <v>7043</v>
      </c>
      <c r="AC188" s="30">
        <v>47484.0</v>
      </c>
      <c r="AD188" s="30">
        <v>47848.0</v>
      </c>
      <c r="AE188" s="31">
        <v>0.0</v>
      </c>
      <c r="AF188" s="31">
        <v>1.0</v>
      </c>
      <c r="AG188" s="32" t="s">
        <v>7043</v>
      </c>
    </row>
    <row r="189" ht="14.25" customHeight="1">
      <c r="A189" s="28" t="s">
        <v>5650</v>
      </c>
      <c r="B189" s="29" t="s">
        <v>5651</v>
      </c>
      <c r="C189" s="29" t="s">
        <v>7041</v>
      </c>
      <c r="D189" s="30">
        <v>45658.0</v>
      </c>
      <c r="E189" s="30">
        <v>46022.0</v>
      </c>
      <c r="F189" s="31">
        <v>0.0</v>
      </c>
      <c r="G189" s="31">
        <v>1.0</v>
      </c>
      <c r="H189" s="32" t="s">
        <v>7043</v>
      </c>
      <c r="I189" s="30">
        <v>46023.0</v>
      </c>
      <c r="J189" s="30">
        <v>46387.0</v>
      </c>
      <c r="K189" s="31">
        <v>0.0</v>
      </c>
      <c r="L189" s="31">
        <v>1.0</v>
      </c>
      <c r="M189" s="32" t="s">
        <v>7043</v>
      </c>
      <c r="N189" s="30">
        <v>46388.0</v>
      </c>
      <c r="O189" s="30">
        <v>46752.0</v>
      </c>
      <c r="P189" s="31">
        <v>0.0</v>
      </c>
      <c r="Q189" s="31">
        <v>1.0</v>
      </c>
      <c r="R189" s="32" t="s">
        <v>7043</v>
      </c>
      <c r="S189" s="30">
        <v>46753.0</v>
      </c>
      <c r="T189" s="30">
        <v>47118.0</v>
      </c>
      <c r="U189" s="31">
        <v>0.0</v>
      </c>
      <c r="V189" s="31">
        <v>1.0</v>
      </c>
      <c r="W189" s="32" t="s">
        <v>7043</v>
      </c>
      <c r="X189" s="30">
        <v>47119.0</v>
      </c>
      <c r="Y189" s="30">
        <v>47483.0</v>
      </c>
      <c r="Z189" s="31">
        <v>0.0</v>
      </c>
      <c r="AA189" s="31">
        <v>1.0</v>
      </c>
      <c r="AB189" s="32" t="s">
        <v>7043</v>
      </c>
      <c r="AC189" s="30">
        <v>47484.0</v>
      </c>
      <c r="AD189" s="30">
        <v>47848.0</v>
      </c>
      <c r="AE189" s="31">
        <v>0.0</v>
      </c>
      <c r="AF189" s="31">
        <v>1.0</v>
      </c>
      <c r="AG189" s="32" t="s">
        <v>7043</v>
      </c>
    </row>
    <row r="190" ht="14.25" customHeight="1">
      <c r="A190" s="28" t="s">
        <v>5695</v>
      </c>
      <c r="B190" s="29" t="s">
        <v>5696</v>
      </c>
      <c r="C190" s="29" t="s">
        <v>7044</v>
      </c>
      <c r="D190" s="30">
        <v>45658.0</v>
      </c>
      <c r="E190" s="30">
        <v>46022.0</v>
      </c>
      <c r="F190" s="31">
        <v>0.0</v>
      </c>
      <c r="G190" s="31">
        <v>1.0</v>
      </c>
      <c r="H190" s="32" t="s">
        <v>7043</v>
      </c>
      <c r="I190" s="30">
        <v>46023.0</v>
      </c>
      <c r="J190" s="30">
        <v>46387.0</v>
      </c>
      <c r="K190" s="31">
        <v>0.0</v>
      </c>
      <c r="L190" s="31">
        <v>1.0</v>
      </c>
      <c r="M190" s="32" t="s">
        <v>7043</v>
      </c>
      <c r="N190" s="30">
        <v>46388.0</v>
      </c>
      <c r="O190" s="30">
        <v>46752.0</v>
      </c>
      <c r="P190" s="31">
        <v>0.0</v>
      </c>
      <c r="Q190" s="31">
        <v>1.0</v>
      </c>
      <c r="R190" s="32" t="s">
        <v>7043</v>
      </c>
      <c r="S190" s="30">
        <v>46753.0</v>
      </c>
      <c r="T190" s="30">
        <v>47118.0</v>
      </c>
      <c r="U190" s="31">
        <v>0.0</v>
      </c>
      <c r="V190" s="31">
        <v>1.0</v>
      </c>
      <c r="W190" s="32" t="s">
        <v>7043</v>
      </c>
      <c r="X190" s="30">
        <v>47119.0</v>
      </c>
      <c r="Y190" s="30">
        <v>47483.0</v>
      </c>
      <c r="Z190" s="31">
        <v>0.0</v>
      </c>
      <c r="AA190" s="31">
        <v>1.0</v>
      </c>
      <c r="AB190" s="32" t="s">
        <v>7043</v>
      </c>
      <c r="AC190" s="30">
        <v>47484.0</v>
      </c>
      <c r="AD190" s="30">
        <v>47848.0</v>
      </c>
      <c r="AE190" s="31">
        <v>0.0</v>
      </c>
      <c r="AF190" s="31">
        <v>1.0</v>
      </c>
      <c r="AG190" s="32" t="s">
        <v>7043</v>
      </c>
    </row>
    <row r="191" ht="14.25" customHeight="1">
      <c r="A191" s="28" t="s">
        <v>5702</v>
      </c>
      <c r="B191" s="29" t="s">
        <v>5703</v>
      </c>
      <c r="C191" s="29" t="s">
        <v>7044</v>
      </c>
      <c r="D191" s="30">
        <v>45658.0</v>
      </c>
      <c r="E191" s="30">
        <v>46022.0</v>
      </c>
      <c r="F191" s="31">
        <v>0.0</v>
      </c>
      <c r="G191" s="31">
        <v>1.0</v>
      </c>
      <c r="H191" s="32" t="s">
        <v>7043</v>
      </c>
      <c r="I191" s="30">
        <v>46023.0</v>
      </c>
      <c r="J191" s="30">
        <v>46387.0</v>
      </c>
      <c r="K191" s="31">
        <v>0.0</v>
      </c>
      <c r="L191" s="31">
        <v>1.0</v>
      </c>
      <c r="M191" s="32" t="s">
        <v>7043</v>
      </c>
      <c r="N191" s="30">
        <v>46388.0</v>
      </c>
      <c r="O191" s="30">
        <v>46752.0</v>
      </c>
      <c r="P191" s="31">
        <v>0.0</v>
      </c>
      <c r="Q191" s="31">
        <v>1.0</v>
      </c>
      <c r="R191" s="32" t="s">
        <v>7043</v>
      </c>
      <c r="S191" s="30">
        <v>46753.0</v>
      </c>
      <c r="T191" s="30">
        <v>47118.0</v>
      </c>
      <c r="U191" s="31">
        <v>0.0</v>
      </c>
      <c r="V191" s="31">
        <v>1.0</v>
      </c>
      <c r="W191" s="32" t="s">
        <v>7043</v>
      </c>
      <c r="X191" s="30">
        <v>47119.0</v>
      </c>
      <c r="Y191" s="30">
        <v>47483.0</v>
      </c>
      <c r="Z191" s="31">
        <v>0.0</v>
      </c>
      <c r="AA191" s="31">
        <v>1.0</v>
      </c>
      <c r="AB191" s="32" t="s">
        <v>7043</v>
      </c>
      <c r="AC191" s="30">
        <v>47484.0</v>
      </c>
      <c r="AD191" s="30">
        <v>47848.0</v>
      </c>
      <c r="AE191" s="31">
        <v>0.0</v>
      </c>
      <c r="AF191" s="31">
        <v>1.0</v>
      </c>
      <c r="AG191" s="32" t="s">
        <v>7043</v>
      </c>
    </row>
    <row r="192" ht="14.25" customHeight="1">
      <c r="A192" s="28" t="s">
        <v>5915</v>
      </c>
      <c r="B192" s="29" t="s">
        <v>5916</v>
      </c>
      <c r="C192" s="29" t="s">
        <v>7041</v>
      </c>
      <c r="D192" s="30">
        <v>45658.0</v>
      </c>
      <c r="E192" s="30">
        <v>46022.0</v>
      </c>
      <c r="F192" s="31">
        <v>0.0</v>
      </c>
      <c r="G192" s="31">
        <v>1.0</v>
      </c>
      <c r="H192" s="32" t="s">
        <v>7043</v>
      </c>
      <c r="I192" s="30">
        <v>46023.0</v>
      </c>
      <c r="J192" s="30">
        <v>46387.0</v>
      </c>
      <c r="K192" s="31">
        <v>0.0</v>
      </c>
      <c r="L192" s="31">
        <v>1.0</v>
      </c>
      <c r="M192" s="32" t="s">
        <v>7043</v>
      </c>
      <c r="N192" s="30">
        <v>46388.0</v>
      </c>
      <c r="O192" s="30">
        <v>46752.0</v>
      </c>
      <c r="P192" s="31">
        <v>0.0</v>
      </c>
      <c r="Q192" s="31">
        <v>1.0</v>
      </c>
      <c r="R192" s="32" t="s">
        <v>7043</v>
      </c>
      <c r="S192" s="30">
        <v>46753.0</v>
      </c>
      <c r="T192" s="30">
        <v>47118.0</v>
      </c>
      <c r="U192" s="31">
        <v>0.0</v>
      </c>
      <c r="V192" s="31">
        <v>1.0</v>
      </c>
      <c r="W192" s="32" t="s">
        <v>7043</v>
      </c>
      <c r="X192" s="30">
        <v>47119.0</v>
      </c>
      <c r="Y192" s="30">
        <v>47483.0</v>
      </c>
      <c r="Z192" s="31">
        <v>0.0</v>
      </c>
      <c r="AA192" s="31">
        <v>1.0</v>
      </c>
      <c r="AB192" s="32" t="s">
        <v>7043</v>
      </c>
      <c r="AC192" s="30">
        <v>47484.0</v>
      </c>
      <c r="AD192" s="30">
        <v>47848.0</v>
      </c>
      <c r="AE192" s="31">
        <v>0.0</v>
      </c>
      <c r="AF192" s="31">
        <v>1.0</v>
      </c>
      <c r="AG192" s="32" t="s">
        <v>7043</v>
      </c>
    </row>
    <row r="193" ht="14.25" customHeight="1">
      <c r="A193" s="28" t="s">
        <v>5995</v>
      </c>
      <c r="B193" s="29" t="s">
        <v>5996</v>
      </c>
      <c r="C193" s="29" t="s">
        <v>7041</v>
      </c>
      <c r="D193" s="30">
        <v>45658.0</v>
      </c>
      <c r="E193" s="30">
        <v>46022.0</v>
      </c>
      <c r="F193" s="31">
        <v>1.0</v>
      </c>
      <c r="G193" s="31">
        <v>1.0</v>
      </c>
      <c r="H193" s="33" t="s">
        <v>7042</v>
      </c>
      <c r="I193" s="30">
        <v>46023.0</v>
      </c>
      <c r="J193" s="30">
        <v>46387.0</v>
      </c>
      <c r="K193" s="31">
        <v>0.0</v>
      </c>
      <c r="L193" s="31">
        <v>1.0</v>
      </c>
      <c r="M193" s="32" t="s">
        <v>7043</v>
      </c>
      <c r="N193" s="30">
        <v>46388.0</v>
      </c>
      <c r="O193" s="30">
        <v>46752.0</v>
      </c>
      <c r="P193" s="31">
        <v>0.0</v>
      </c>
      <c r="Q193" s="31">
        <v>1.0</v>
      </c>
      <c r="R193" s="32" t="s">
        <v>7043</v>
      </c>
      <c r="S193" s="30">
        <v>46753.0</v>
      </c>
      <c r="T193" s="30">
        <v>47118.0</v>
      </c>
      <c r="U193" s="31">
        <v>0.0</v>
      </c>
      <c r="V193" s="31">
        <v>1.0</v>
      </c>
      <c r="W193" s="32" t="s">
        <v>7043</v>
      </c>
      <c r="X193" s="30">
        <v>47119.0</v>
      </c>
      <c r="Y193" s="30">
        <v>47483.0</v>
      </c>
      <c r="Z193" s="31">
        <v>0.0</v>
      </c>
      <c r="AA193" s="31">
        <v>1.0</v>
      </c>
      <c r="AB193" s="32" t="s">
        <v>7043</v>
      </c>
      <c r="AC193" s="30">
        <v>47484.0</v>
      </c>
      <c r="AD193" s="30">
        <v>47848.0</v>
      </c>
      <c r="AE193" s="31">
        <v>0.0</v>
      </c>
      <c r="AF193" s="31">
        <v>1.0</v>
      </c>
      <c r="AG193" s="32" t="s">
        <v>7043</v>
      </c>
    </row>
    <row r="194" ht="14.25" customHeight="1">
      <c r="A194" s="28" t="s">
        <v>6199</v>
      </c>
      <c r="B194" s="29" t="s">
        <v>6200</v>
      </c>
      <c r="C194" s="29" t="s">
        <v>7044</v>
      </c>
      <c r="D194" s="30">
        <v>45658.0</v>
      </c>
      <c r="E194" s="30">
        <v>46022.0</v>
      </c>
      <c r="F194" s="31">
        <v>0.0</v>
      </c>
      <c r="G194" s="31">
        <v>1.0</v>
      </c>
      <c r="H194" s="32" t="s">
        <v>7043</v>
      </c>
      <c r="I194" s="30">
        <v>46023.0</v>
      </c>
      <c r="J194" s="30">
        <v>46387.0</v>
      </c>
      <c r="K194" s="31">
        <v>0.0</v>
      </c>
      <c r="L194" s="31">
        <v>1.0</v>
      </c>
      <c r="M194" s="32" t="s">
        <v>7043</v>
      </c>
      <c r="N194" s="30">
        <v>46388.0</v>
      </c>
      <c r="O194" s="30">
        <v>46752.0</v>
      </c>
      <c r="P194" s="31">
        <v>0.0</v>
      </c>
      <c r="Q194" s="31">
        <v>1.0</v>
      </c>
      <c r="R194" s="32" t="s">
        <v>7043</v>
      </c>
      <c r="S194" s="30">
        <v>46753.0</v>
      </c>
      <c r="T194" s="30">
        <v>47118.0</v>
      </c>
      <c r="U194" s="31">
        <v>0.0</v>
      </c>
      <c r="V194" s="31">
        <v>1.0</v>
      </c>
      <c r="W194" s="32" t="s">
        <v>7043</v>
      </c>
      <c r="X194" s="30">
        <v>47119.0</v>
      </c>
      <c r="Y194" s="30">
        <v>47483.0</v>
      </c>
      <c r="Z194" s="31">
        <v>0.0</v>
      </c>
      <c r="AA194" s="31">
        <v>1.0</v>
      </c>
      <c r="AB194" s="32" t="s">
        <v>7043</v>
      </c>
      <c r="AC194" s="30">
        <v>47484.0</v>
      </c>
      <c r="AD194" s="30">
        <v>47848.0</v>
      </c>
      <c r="AE194" s="31">
        <v>0.0</v>
      </c>
      <c r="AF194" s="31">
        <v>1.0</v>
      </c>
      <c r="AG194" s="32" t="s">
        <v>7043</v>
      </c>
    </row>
    <row r="195" ht="14.25" customHeight="1">
      <c r="A195" s="28" t="s">
        <v>6238</v>
      </c>
      <c r="B195" s="29" t="s">
        <v>6239</v>
      </c>
      <c r="C195" s="29" t="s">
        <v>7041</v>
      </c>
      <c r="D195" s="30">
        <v>45658.0</v>
      </c>
      <c r="E195" s="30">
        <v>46022.0</v>
      </c>
      <c r="F195" s="31">
        <v>0.0</v>
      </c>
      <c r="G195" s="31">
        <v>1.0</v>
      </c>
      <c r="H195" s="32" t="s">
        <v>7043</v>
      </c>
      <c r="I195" s="30">
        <v>46023.0</v>
      </c>
      <c r="J195" s="30">
        <v>46387.0</v>
      </c>
      <c r="K195" s="31">
        <v>0.0</v>
      </c>
      <c r="L195" s="31">
        <v>1.0</v>
      </c>
      <c r="M195" s="32" t="s">
        <v>7043</v>
      </c>
      <c r="N195" s="30">
        <v>46388.0</v>
      </c>
      <c r="O195" s="30">
        <v>46752.0</v>
      </c>
      <c r="P195" s="31">
        <v>0.0</v>
      </c>
      <c r="Q195" s="31">
        <v>1.0</v>
      </c>
      <c r="R195" s="32" t="s">
        <v>7043</v>
      </c>
      <c r="S195" s="30">
        <v>46753.0</v>
      </c>
      <c r="T195" s="30">
        <v>47118.0</v>
      </c>
      <c r="U195" s="31">
        <v>0.0</v>
      </c>
      <c r="V195" s="31">
        <v>1.0</v>
      </c>
      <c r="W195" s="32" t="s">
        <v>7043</v>
      </c>
      <c r="X195" s="30">
        <v>47119.0</v>
      </c>
      <c r="Y195" s="30">
        <v>47483.0</v>
      </c>
      <c r="Z195" s="31">
        <v>0.0</v>
      </c>
      <c r="AA195" s="31">
        <v>1.0</v>
      </c>
      <c r="AB195" s="32" t="s">
        <v>7043</v>
      </c>
      <c r="AC195" s="30">
        <v>47484.0</v>
      </c>
      <c r="AD195" s="30">
        <v>47848.0</v>
      </c>
      <c r="AE195" s="31">
        <v>0.0</v>
      </c>
      <c r="AF195" s="31">
        <v>1.0</v>
      </c>
      <c r="AG195" s="32" t="s">
        <v>7043</v>
      </c>
    </row>
    <row r="196" ht="14.25" customHeight="1">
      <c r="A196" s="28" t="s">
        <v>6248</v>
      </c>
      <c r="B196" s="29" t="s">
        <v>6249</v>
      </c>
      <c r="C196" s="29" t="s">
        <v>7044</v>
      </c>
      <c r="D196" s="30">
        <v>45658.0</v>
      </c>
      <c r="E196" s="30">
        <v>46022.0</v>
      </c>
      <c r="F196" s="31">
        <v>0.0</v>
      </c>
      <c r="G196" s="31">
        <v>1.0</v>
      </c>
      <c r="H196" s="32" t="s">
        <v>7043</v>
      </c>
      <c r="I196" s="30">
        <v>46023.0</v>
      </c>
      <c r="J196" s="30">
        <v>46387.0</v>
      </c>
      <c r="K196" s="31">
        <v>0.0</v>
      </c>
      <c r="L196" s="31">
        <v>1.0</v>
      </c>
      <c r="M196" s="32" t="s">
        <v>7043</v>
      </c>
      <c r="N196" s="30">
        <v>46388.0</v>
      </c>
      <c r="O196" s="30">
        <v>46752.0</v>
      </c>
      <c r="P196" s="31">
        <v>0.0</v>
      </c>
      <c r="Q196" s="31">
        <v>1.0</v>
      </c>
      <c r="R196" s="32" t="s">
        <v>7043</v>
      </c>
      <c r="S196" s="30">
        <v>46753.0</v>
      </c>
      <c r="T196" s="30">
        <v>47118.0</v>
      </c>
      <c r="U196" s="31">
        <v>0.0</v>
      </c>
      <c r="V196" s="31">
        <v>1.0</v>
      </c>
      <c r="W196" s="32" t="s">
        <v>7043</v>
      </c>
      <c r="X196" s="30">
        <v>47119.0</v>
      </c>
      <c r="Y196" s="30">
        <v>47483.0</v>
      </c>
      <c r="Z196" s="31">
        <v>0.0</v>
      </c>
      <c r="AA196" s="31">
        <v>1.0</v>
      </c>
      <c r="AB196" s="32" t="s">
        <v>7043</v>
      </c>
      <c r="AC196" s="30">
        <v>47484.0</v>
      </c>
      <c r="AD196" s="30">
        <v>47848.0</v>
      </c>
      <c r="AE196" s="31">
        <v>0.0</v>
      </c>
      <c r="AF196" s="31">
        <v>1.0</v>
      </c>
      <c r="AG196" s="32" t="s">
        <v>7043</v>
      </c>
    </row>
    <row r="197" ht="14.25" customHeight="1">
      <c r="A197" s="28" t="s">
        <v>6435</v>
      </c>
      <c r="B197" s="29" t="s">
        <v>6436</v>
      </c>
      <c r="C197" s="29" t="s">
        <v>7044</v>
      </c>
      <c r="D197" s="30">
        <v>45658.0</v>
      </c>
      <c r="E197" s="30">
        <v>46022.0</v>
      </c>
      <c r="F197" s="31">
        <v>0.0</v>
      </c>
      <c r="G197" s="31">
        <v>1.0</v>
      </c>
      <c r="H197" s="32" t="s">
        <v>7043</v>
      </c>
      <c r="I197" s="30">
        <v>46023.0</v>
      </c>
      <c r="J197" s="30">
        <v>46387.0</v>
      </c>
      <c r="K197" s="31">
        <v>0.0</v>
      </c>
      <c r="L197" s="31">
        <v>1.0</v>
      </c>
      <c r="M197" s="32" t="s">
        <v>7043</v>
      </c>
      <c r="N197" s="30">
        <v>46388.0</v>
      </c>
      <c r="O197" s="30">
        <v>46752.0</v>
      </c>
      <c r="P197" s="31">
        <v>0.0</v>
      </c>
      <c r="Q197" s="31">
        <v>1.0</v>
      </c>
      <c r="R197" s="32" t="s">
        <v>7043</v>
      </c>
      <c r="S197" s="30">
        <v>46753.0</v>
      </c>
      <c r="T197" s="30">
        <v>47118.0</v>
      </c>
      <c r="U197" s="31">
        <v>0.0</v>
      </c>
      <c r="V197" s="31">
        <v>1.0</v>
      </c>
      <c r="W197" s="32" t="s">
        <v>7043</v>
      </c>
      <c r="X197" s="30">
        <v>47119.0</v>
      </c>
      <c r="Y197" s="30">
        <v>47483.0</v>
      </c>
      <c r="Z197" s="31">
        <v>0.0</v>
      </c>
      <c r="AA197" s="31">
        <v>1.0</v>
      </c>
      <c r="AB197" s="32" t="s">
        <v>7043</v>
      </c>
      <c r="AC197" s="30">
        <v>47484.0</v>
      </c>
      <c r="AD197" s="30">
        <v>47848.0</v>
      </c>
      <c r="AE197" s="31">
        <v>0.0</v>
      </c>
      <c r="AF197" s="31">
        <v>1.0</v>
      </c>
      <c r="AG197" s="32" t="s">
        <v>7043</v>
      </c>
    </row>
    <row r="198" ht="14.25" customHeight="1">
      <c r="A198" s="28" t="s">
        <v>6693</v>
      </c>
      <c r="B198" s="29" t="s">
        <v>6694</v>
      </c>
      <c r="C198" s="29" t="s">
        <v>7044</v>
      </c>
      <c r="D198" s="30">
        <v>45658.0</v>
      </c>
      <c r="E198" s="30">
        <v>46022.0</v>
      </c>
      <c r="F198" s="31">
        <v>0.0</v>
      </c>
      <c r="G198" s="31">
        <v>1.0</v>
      </c>
      <c r="H198" s="32" t="s">
        <v>7043</v>
      </c>
      <c r="I198" s="30">
        <v>46023.0</v>
      </c>
      <c r="J198" s="30">
        <v>46387.0</v>
      </c>
      <c r="K198" s="31">
        <v>0.0</v>
      </c>
      <c r="L198" s="31">
        <v>1.0</v>
      </c>
      <c r="M198" s="32" t="s">
        <v>7043</v>
      </c>
      <c r="N198" s="30">
        <v>46388.0</v>
      </c>
      <c r="O198" s="30">
        <v>46752.0</v>
      </c>
      <c r="P198" s="31">
        <v>0.0</v>
      </c>
      <c r="Q198" s="31">
        <v>1.0</v>
      </c>
      <c r="R198" s="32" t="s">
        <v>7043</v>
      </c>
      <c r="S198" s="30">
        <v>46753.0</v>
      </c>
      <c r="T198" s="30">
        <v>47118.0</v>
      </c>
      <c r="U198" s="31">
        <v>0.0</v>
      </c>
      <c r="V198" s="31">
        <v>1.0</v>
      </c>
      <c r="W198" s="32" t="s">
        <v>7043</v>
      </c>
      <c r="X198" s="30">
        <v>47119.0</v>
      </c>
      <c r="Y198" s="30">
        <v>47483.0</v>
      </c>
      <c r="Z198" s="31">
        <v>0.0</v>
      </c>
      <c r="AA198" s="31">
        <v>1.0</v>
      </c>
      <c r="AB198" s="32" t="s">
        <v>7043</v>
      </c>
      <c r="AC198" s="30">
        <v>47484.0</v>
      </c>
      <c r="AD198" s="30">
        <v>47848.0</v>
      </c>
      <c r="AE198" s="31">
        <v>0.0</v>
      </c>
      <c r="AF198" s="31">
        <v>1.0</v>
      </c>
      <c r="AG198" s="32" t="s">
        <v>7043</v>
      </c>
    </row>
    <row r="199" ht="14.25" customHeight="1">
      <c r="A199" s="28" t="s">
        <v>6716</v>
      </c>
      <c r="B199" s="29" t="s">
        <v>6717</v>
      </c>
      <c r="C199" s="29" t="s">
        <v>7041</v>
      </c>
      <c r="D199" s="30">
        <v>45658.0</v>
      </c>
      <c r="E199" s="30">
        <v>46022.0</v>
      </c>
      <c r="F199" s="31">
        <v>0.0</v>
      </c>
      <c r="G199" s="31">
        <v>1.0</v>
      </c>
      <c r="H199" s="32" t="s">
        <v>7043</v>
      </c>
      <c r="I199" s="30">
        <v>46023.0</v>
      </c>
      <c r="J199" s="30">
        <v>46387.0</v>
      </c>
      <c r="K199" s="31">
        <v>0.0</v>
      </c>
      <c r="L199" s="31">
        <v>1.0</v>
      </c>
      <c r="M199" s="32" t="s">
        <v>7043</v>
      </c>
      <c r="N199" s="30">
        <v>46388.0</v>
      </c>
      <c r="O199" s="30">
        <v>46752.0</v>
      </c>
      <c r="P199" s="31">
        <v>0.0</v>
      </c>
      <c r="Q199" s="31">
        <v>1.0</v>
      </c>
      <c r="R199" s="32" t="s">
        <v>7043</v>
      </c>
      <c r="S199" s="30">
        <v>46753.0</v>
      </c>
      <c r="T199" s="30">
        <v>47118.0</v>
      </c>
      <c r="U199" s="31">
        <v>0.0</v>
      </c>
      <c r="V199" s="31">
        <v>1.0</v>
      </c>
      <c r="W199" s="32" t="s">
        <v>7043</v>
      </c>
      <c r="X199" s="30">
        <v>47119.0</v>
      </c>
      <c r="Y199" s="30">
        <v>47483.0</v>
      </c>
      <c r="Z199" s="31">
        <v>0.0</v>
      </c>
      <c r="AA199" s="31">
        <v>1.0</v>
      </c>
      <c r="AB199" s="32" t="s">
        <v>7043</v>
      </c>
      <c r="AC199" s="30">
        <v>47484.0</v>
      </c>
      <c r="AD199" s="30">
        <v>47848.0</v>
      </c>
      <c r="AE199" s="31">
        <v>0.0</v>
      </c>
      <c r="AF199" s="31">
        <v>1.0</v>
      </c>
      <c r="AG199" s="32" t="s">
        <v>7043</v>
      </c>
    </row>
    <row r="200" ht="14.25" customHeight="1">
      <c r="A200" s="28" t="s">
        <v>6943</v>
      </c>
      <c r="B200" s="29" t="s">
        <v>6944</v>
      </c>
      <c r="C200" s="29" t="s">
        <v>7044</v>
      </c>
      <c r="D200" s="30">
        <v>45658.0</v>
      </c>
      <c r="E200" s="30">
        <v>46022.0</v>
      </c>
      <c r="F200" s="31">
        <v>0.0</v>
      </c>
      <c r="G200" s="31">
        <v>1.0</v>
      </c>
      <c r="H200" s="32" t="s">
        <v>7043</v>
      </c>
      <c r="I200" s="30">
        <v>46023.0</v>
      </c>
      <c r="J200" s="30">
        <v>46387.0</v>
      </c>
      <c r="K200" s="31">
        <v>0.0</v>
      </c>
      <c r="L200" s="31">
        <v>1.0</v>
      </c>
      <c r="M200" s="32" t="s">
        <v>7043</v>
      </c>
      <c r="N200" s="30">
        <v>46388.0</v>
      </c>
      <c r="O200" s="30">
        <v>46752.0</v>
      </c>
      <c r="P200" s="31">
        <v>0.0</v>
      </c>
      <c r="Q200" s="31">
        <v>1.0</v>
      </c>
      <c r="R200" s="32" t="s">
        <v>7043</v>
      </c>
      <c r="S200" s="30">
        <v>46753.0</v>
      </c>
      <c r="T200" s="30">
        <v>47118.0</v>
      </c>
      <c r="U200" s="31">
        <v>0.0</v>
      </c>
      <c r="V200" s="31">
        <v>1.0</v>
      </c>
      <c r="W200" s="32" t="s">
        <v>7043</v>
      </c>
      <c r="X200" s="30">
        <v>47119.0</v>
      </c>
      <c r="Y200" s="30">
        <v>47483.0</v>
      </c>
      <c r="Z200" s="31">
        <v>0.0</v>
      </c>
      <c r="AA200" s="31">
        <v>1.0</v>
      </c>
      <c r="AB200" s="32" t="s">
        <v>7043</v>
      </c>
      <c r="AC200" s="30">
        <v>47484.0</v>
      </c>
      <c r="AD200" s="30">
        <v>47848.0</v>
      </c>
      <c r="AE200" s="31">
        <v>0.0</v>
      </c>
      <c r="AF200" s="31">
        <v>1.0</v>
      </c>
      <c r="AG200" s="32" t="s">
        <v>7043</v>
      </c>
    </row>
    <row r="201" ht="14.25" customHeight="1">
      <c r="A201" s="28" t="s">
        <v>7002</v>
      </c>
      <c r="B201" s="29" t="s">
        <v>7003</v>
      </c>
      <c r="C201" s="29" t="s">
        <v>7041</v>
      </c>
      <c r="D201" s="30">
        <v>45658.0</v>
      </c>
      <c r="E201" s="30">
        <v>46022.0</v>
      </c>
      <c r="F201" s="31">
        <v>0.0</v>
      </c>
      <c r="G201" s="31">
        <v>1.0</v>
      </c>
      <c r="H201" s="32" t="s">
        <v>7043</v>
      </c>
      <c r="I201" s="30">
        <v>46023.0</v>
      </c>
      <c r="J201" s="30">
        <v>46387.0</v>
      </c>
      <c r="K201" s="31">
        <v>0.0</v>
      </c>
      <c r="L201" s="31">
        <v>1.0</v>
      </c>
      <c r="M201" s="32" t="s">
        <v>7043</v>
      </c>
      <c r="N201" s="30">
        <v>46388.0</v>
      </c>
      <c r="O201" s="30">
        <v>46752.0</v>
      </c>
      <c r="P201" s="31">
        <v>0.0</v>
      </c>
      <c r="Q201" s="31">
        <v>1.0</v>
      </c>
      <c r="R201" s="32" t="s">
        <v>7043</v>
      </c>
      <c r="S201" s="30">
        <v>46753.0</v>
      </c>
      <c r="T201" s="30">
        <v>47118.0</v>
      </c>
      <c r="U201" s="31">
        <v>0.0</v>
      </c>
      <c r="V201" s="31">
        <v>1.0</v>
      </c>
      <c r="W201" s="32" t="s">
        <v>7043</v>
      </c>
      <c r="X201" s="30">
        <v>47119.0</v>
      </c>
      <c r="Y201" s="30">
        <v>47483.0</v>
      </c>
      <c r="Z201" s="31">
        <v>0.0</v>
      </c>
      <c r="AA201" s="31">
        <v>1.0</v>
      </c>
      <c r="AB201" s="32" t="s">
        <v>7043</v>
      </c>
      <c r="AC201" s="30">
        <v>47484.0</v>
      </c>
      <c r="AD201" s="30">
        <v>47848.0</v>
      </c>
      <c r="AE201" s="31">
        <v>0.0</v>
      </c>
      <c r="AF201" s="31">
        <v>1.0</v>
      </c>
      <c r="AG201" s="32" t="s">
        <v>7043</v>
      </c>
    </row>
    <row r="202" ht="14.25" customHeight="1">
      <c r="A202" s="28" t="s">
        <v>7027</v>
      </c>
      <c r="B202" s="29" t="s">
        <v>7028</v>
      </c>
      <c r="C202" s="29" t="s">
        <v>7041</v>
      </c>
      <c r="D202" s="30">
        <v>45658.0</v>
      </c>
      <c r="E202" s="30">
        <v>46022.0</v>
      </c>
      <c r="F202" s="31">
        <v>0.0</v>
      </c>
      <c r="G202" s="31">
        <v>1.0</v>
      </c>
      <c r="H202" s="32" t="s">
        <v>7043</v>
      </c>
      <c r="I202" s="30">
        <v>46023.0</v>
      </c>
      <c r="J202" s="30">
        <v>46387.0</v>
      </c>
      <c r="K202" s="31">
        <v>0.0</v>
      </c>
      <c r="L202" s="31">
        <v>1.0</v>
      </c>
      <c r="M202" s="32" t="s">
        <v>7043</v>
      </c>
      <c r="N202" s="30">
        <v>46388.0</v>
      </c>
      <c r="O202" s="30">
        <v>46752.0</v>
      </c>
      <c r="P202" s="31">
        <v>0.0</v>
      </c>
      <c r="Q202" s="31">
        <v>1.0</v>
      </c>
      <c r="R202" s="32" t="s">
        <v>7043</v>
      </c>
      <c r="S202" s="30">
        <v>46753.0</v>
      </c>
      <c r="T202" s="30">
        <v>47118.0</v>
      </c>
      <c r="U202" s="31">
        <v>0.0</v>
      </c>
      <c r="V202" s="31">
        <v>1.0</v>
      </c>
      <c r="W202" s="32" t="s">
        <v>7043</v>
      </c>
      <c r="X202" s="30">
        <v>47119.0</v>
      </c>
      <c r="Y202" s="30">
        <v>47483.0</v>
      </c>
      <c r="Z202" s="31">
        <v>0.0</v>
      </c>
      <c r="AA202" s="31">
        <v>1.0</v>
      </c>
      <c r="AB202" s="32" t="s">
        <v>7043</v>
      </c>
      <c r="AC202" s="30">
        <v>47484.0</v>
      </c>
      <c r="AD202" s="30">
        <v>47848.0</v>
      </c>
      <c r="AE202" s="31">
        <v>0.0</v>
      </c>
      <c r="AF202" s="31">
        <v>1.0</v>
      </c>
      <c r="AG202" s="32" t="s">
        <v>7043</v>
      </c>
    </row>
    <row r="203" ht="14.25" customHeight="1">
      <c r="A203" s="28" t="s">
        <v>6681</v>
      </c>
      <c r="B203" s="29" t="s">
        <v>6682</v>
      </c>
      <c r="C203" s="29" t="s">
        <v>7041</v>
      </c>
      <c r="D203" s="30">
        <v>45658.0</v>
      </c>
      <c r="E203" s="30">
        <v>46022.0</v>
      </c>
      <c r="F203" s="31">
        <v>1.0</v>
      </c>
      <c r="G203" s="31">
        <v>1.0</v>
      </c>
      <c r="H203" s="32" t="s">
        <v>7042</v>
      </c>
      <c r="I203" s="30">
        <v>46023.0</v>
      </c>
      <c r="J203" s="30">
        <v>46387.0</v>
      </c>
      <c r="K203" s="31">
        <v>0.0</v>
      </c>
      <c r="L203" s="31">
        <v>1.0</v>
      </c>
      <c r="M203" s="32" t="s">
        <v>7043</v>
      </c>
      <c r="N203" s="30">
        <v>46388.0</v>
      </c>
      <c r="O203" s="30">
        <v>46752.0</v>
      </c>
      <c r="P203" s="31">
        <v>0.0</v>
      </c>
      <c r="Q203" s="31">
        <v>1.0</v>
      </c>
      <c r="R203" s="32" t="s">
        <v>7043</v>
      </c>
      <c r="S203" s="30">
        <v>46753.0</v>
      </c>
      <c r="T203" s="30">
        <v>47118.0</v>
      </c>
      <c r="U203" s="31">
        <v>0.0</v>
      </c>
      <c r="V203" s="31">
        <v>1.0</v>
      </c>
      <c r="W203" s="32" t="s">
        <v>7043</v>
      </c>
      <c r="X203" s="30">
        <v>47119.0</v>
      </c>
      <c r="Y203" s="30">
        <v>47483.0</v>
      </c>
      <c r="Z203" s="31">
        <v>0.0</v>
      </c>
      <c r="AA203" s="31">
        <v>1.0</v>
      </c>
      <c r="AB203" s="32" t="s">
        <v>7043</v>
      </c>
      <c r="AC203" s="30">
        <v>47484.0</v>
      </c>
      <c r="AD203" s="30">
        <v>47848.0</v>
      </c>
      <c r="AE203" s="31">
        <v>0.0</v>
      </c>
      <c r="AF203" s="31">
        <v>1.0</v>
      </c>
      <c r="AG203" s="32" t="s">
        <v>7043</v>
      </c>
    </row>
    <row r="204" ht="14.25" customHeight="1">
      <c r="A204" s="28" t="s">
        <v>6492</v>
      </c>
      <c r="B204" s="29" t="s">
        <v>6493</v>
      </c>
      <c r="C204" s="29" t="s">
        <v>7041</v>
      </c>
      <c r="D204" s="30">
        <v>45658.0</v>
      </c>
      <c r="E204" s="30">
        <v>46022.0</v>
      </c>
      <c r="F204" s="31">
        <v>1.0</v>
      </c>
      <c r="G204" s="31">
        <v>1.0</v>
      </c>
      <c r="H204" s="32" t="s">
        <v>7042</v>
      </c>
      <c r="I204" s="30">
        <v>46023.0</v>
      </c>
      <c r="J204" s="30">
        <v>46387.0</v>
      </c>
      <c r="K204" s="31">
        <v>0.0</v>
      </c>
      <c r="L204" s="31">
        <v>1.0</v>
      </c>
      <c r="M204" s="32" t="s">
        <v>7043</v>
      </c>
      <c r="N204" s="30">
        <v>46388.0</v>
      </c>
      <c r="O204" s="30">
        <v>46752.0</v>
      </c>
      <c r="P204" s="31">
        <v>0.0</v>
      </c>
      <c r="Q204" s="31">
        <v>1.0</v>
      </c>
      <c r="R204" s="32" t="s">
        <v>7043</v>
      </c>
      <c r="S204" s="30">
        <v>46753.0</v>
      </c>
      <c r="T204" s="30">
        <v>47118.0</v>
      </c>
      <c r="U204" s="31">
        <v>0.0</v>
      </c>
      <c r="V204" s="31">
        <v>1.0</v>
      </c>
      <c r="W204" s="32" t="s">
        <v>7043</v>
      </c>
      <c r="X204" s="30">
        <v>47119.0</v>
      </c>
      <c r="Y204" s="30">
        <v>47483.0</v>
      </c>
      <c r="Z204" s="31">
        <v>0.0</v>
      </c>
      <c r="AA204" s="31">
        <v>1.0</v>
      </c>
      <c r="AB204" s="32" t="s">
        <v>7043</v>
      </c>
      <c r="AC204" s="30">
        <v>47484.0</v>
      </c>
      <c r="AD204" s="30">
        <v>47848.0</v>
      </c>
      <c r="AE204" s="31">
        <v>0.0</v>
      </c>
      <c r="AF204" s="31">
        <v>1.0</v>
      </c>
      <c r="AG204" s="32" t="s">
        <v>7043</v>
      </c>
    </row>
    <row r="205" ht="14.25" customHeight="1">
      <c r="A205" s="28" t="s">
        <v>5379</v>
      </c>
      <c r="B205" s="29" t="s">
        <v>5380</v>
      </c>
      <c r="C205" s="29" t="s">
        <v>7041</v>
      </c>
      <c r="D205" s="30">
        <v>45658.0</v>
      </c>
      <c r="E205" s="30">
        <v>46022.0</v>
      </c>
      <c r="F205" s="31">
        <v>1.0</v>
      </c>
      <c r="G205" s="31">
        <v>1.0</v>
      </c>
      <c r="H205" s="32" t="s">
        <v>7042</v>
      </c>
      <c r="I205" s="30">
        <v>46023.0</v>
      </c>
      <c r="J205" s="30">
        <v>46387.0</v>
      </c>
      <c r="K205" s="31">
        <v>0.0</v>
      </c>
      <c r="L205" s="31">
        <v>1.0</v>
      </c>
      <c r="M205" s="32" t="s">
        <v>7043</v>
      </c>
      <c r="N205" s="30">
        <v>46388.0</v>
      </c>
      <c r="O205" s="30">
        <v>46752.0</v>
      </c>
      <c r="P205" s="31">
        <v>0.0</v>
      </c>
      <c r="Q205" s="31">
        <v>1.0</v>
      </c>
      <c r="R205" s="32" t="s">
        <v>7043</v>
      </c>
      <c r="S205" s="30">
        <v>46753.0</v>
      </c>
      <c r="T205" s="30">
        <v>47118.0</v>
      </c>
      <c r="U205" s="31">
        <v>0.0</v>
      </c>
      <c r="V205" s="31">
        <v>1.0</v>
      </c>
      <c r="W205" s="32" t="s">
        <v>7043</v>
      </c>
      <c r="X205" s="30">
        <v>47119.0</v>
      </c>
      <c r="Y205" s="30">
        <v>47483.0</v>
      </c>
      <c r="Z205" s="31">
        <v>0.0</v>
      </c>
      <c r="AA205" s="31">
        <v>1.0</v>
      </c>
      <c r="AB205" s="32" t="s">
        <v>7043</v>
      </c>
      <c r="AC205" s="30">
        <v>47484.0</v>
      </c>
      <c r="AD205" s="30">
        <v>47848.0</v>
      </c>
      <c r="AE205" s="31">
        <v>0.0</v>
      </c>
      <c r="AF205" s="31">
        <v>1.0</v>
      </c>
      <c r="AG205" s="32" t="s">
        <v>7043</v>
      </c>
    </row>
    <row r="206" ht="14.25" customHeight="1">
      <c r="A206" s="28" t="s">
        <v>2317</v>
      </c>
      <c r="B206" s="29" t="s">
        <v>2318</v>
      </c>
      <c r="C206" s="29" t="s">
        <v>7041</v>
      </c>
      <c r="D206" s="30">
        <v>45658.0</v>
      </c>
      <c r="E206" s="30">
        <v>46022.0</v>
      </c>
      <c r="F206" s="31">
        <v>1.0</v>
      </c>
      <c r="G206" s="31">
        <v>1.0</v>
      </c>
      <c r="H206" s="32" t="s">
        <v>7042</v>
      </c>
      <c r="I206" s="30">
        <v>46023.0</v>
      </c>
      <c r="J206" s="30">
        <v>46387.0</v>
      </c>
      <c r="K206" s="31">
        <v>0.0</v>
      </c>
      <c r="L206" s="31">
        <v>1.0</v>
      </c>
      <c r="M206" s="32" t="s">
        <v>7043</v>
      </c>
      <c r="N206" s="30">
        <v>46388.0</v>
      </c>
      <c r="O206" s="30">
        <v>46752.0</v>
      </c>
      <c r="P206" s="31">
        <v>0.0</v>
      </c>
      <c r="Q206" s="31">
        <v>1.0</v>
      </c>
      <c r="R206" s="32" t="s">
        <v>7043</v>
      </c>
      <c r="S206" s="30">
        <v>46753.0</v>
      </c>
      <c r="T206" s="30">
        <v>47118.0</v>
      </c>
      <c r="U206" s="31">
        <v>0.0</v>
      </c>
      <c r="V206" s="31">
        <v>1.0</v>
      </c>
      <c r="W206" s="32" t="s">
        <v>7043</v>
      </c>
      <c r="X206" s="30">
        <v>47119.0</v>
      </c>
      <c r="Y206" s="30">
        <v>47483.0</v>
      </c>
      <c r="Z206" s="31">
        <v>0.0</v>
      </c>
      <c r="AA206" s="31">
        <v>1.0</v>
      </c>
      <c r="AB206" s="32" t="s">
        <v>7043</v>
      </c>
      <c r="AC206" s="30">
        <v>47484.0</v>
      </c>
      <c r="AD206" s="30">
        <v>47848.0</v>
      </c>
      <c r="AE206" s="31">
        <v>0.0</v>
      </c>
      <c r="AF206" s="31">
        <v>1.0</v>
      </c>
      <c r="AG206" s="32" t="s">
        <v>7043</v>
      </c>
    </row>
    <row r="207" ht="14.25" customHeight="1">
      <c r="A207" s="28" t="s">
        <v>5619</v>
      </c>
      <c r="B207" s="29" t="s">
        <v>5620</v>
      </c>
      <c r="C207" s="29" t="s">
        <v>7041</v>
      </c>
      <c r="D207" s="30">
        <v>45658.0</v>
      </c>
      <c r="E207" s="30">
        <v>46022.0</v>
      </c>
      <c r="F207" s="31">
        <v>0.0</v>
      </c>
      <c r="G207" s="31">
        <v>1.0</v>
      </c>
      <c r="H207" s="32" t="s">
        <v>7043</v>
      </c>
      <c r="I207" s="30">
        <v>46023.0</v>
      </c>
      <c r="J207" s="30">
        <v>46387.0</v>
      </c>
      <c r="K207" s="31">
        <v>0.0</v>
      </c>
      <c r="L207" s="31">
        <v>1.0</v>
      </c>
      <c r="M207" s="32" t="s">
        <v>7043</v>
      </c>
      <c r="N207" s="30">
        <v>46388.0</v>
      </c>
      <c r="O207" s="30">
        <v>46752.0</v>
      </c>
      <c r="P207" s="31">
        <v>0.0</v>
      </c>
      <c r="Q207" s="31">
        <v>1.0</v>
      </c>
      <c r="R207" s="32" t="s">
        <v>7043</v>
      </c>
      <c r="S207" s="30">
        <v>46753.0</v>
      </c>
      <c r="T207" s="30">
        <v>47118.0</v>
      </c>
      <c r="U207" s="31">
        <v>0.0</v>
      </c>
      <c r="V207" s="31">
        <v>1.0</v>
      </c>
      <c r="W207" s="32" t="s">
        <v>7043</v>
      </c>
      <c r="X207" s="30">
        <v>47119.0</v>
      </c>
      <c r="Y207" s="30">
        <v>47483.0</v>
      </c>
      <c r="Z207" s="31">
        <v>0.0</v>
      </c>
      <c r="AA207" s="31">
        <v>1.0</v>
      </c>
      <c r="AB207" s="32" t="s">
        <v>7043</v>
      </c>
      <c r="AC207" s="30">
        <v>47484.0</v>
      </c>
      <c r="AD207" s="30">
        <v>47848.0</v>
      </c>
      <c r="AE207" s="31">
        <v>0.0</v>
      </c>
      <c r="AF207" s="31">
        <v>1.0</v>
      </c>
      <c r="AG207" s="32" t="s">
        <v>7043</v>
      </c>
    </row>
    <row r="208" ht="14.25" customHeight="1">
      <c r="A208" s="28" t="s">
        <v>3904</v>
      </c>
      <c r="B208" s="29" t="s">
        <v>3905</v>
      </c>
      <c r="C208" s="29" t="s">
        <v>7041</v>
      </c>
      <c r="D208" s="30">
        <v>45658.0</v>
      </c>
      <c r="E208" s="30">
        <v>46022.0</v>
      </c>
      <c r="F208" s="31">
        <v>1.0</v>
      </c>
      <c r="G208" s="31">
        <v>1.0</v>
      </c>
      <c r="H208" s="32" t="s">
        <v>7042</v>
      </c>
      <c r="I208" s="30">
        <v>46023.0</v>
      </c>
      <c r="J208" s="30">
        <v>46387.0</v>
      </c>
      <c r="K208" s="31">
        <v>0.0</v>
      </c>
      <c r="L208" s="31">
        <v>1.0</v>
      </c>
      <c r="M208" s="32" t="s">
        <v>7043</v>
      </c>
      <c r="N208" s="30">
        <v>46388.0</v>
      </c>
      <c r="O208" s="30">
        <v>46752.0</v>
      </c>
      <c r="P208" s="31">
        <v>0.0</v>
      </c>
      <c r="Q208" s="31">
        <v>1.0</v>
      </c>
      <c r="R208" s="32" t="s">
        <v>7043</v>
      </c>
      <c r="S208" s="30">
        <v>46753.0</v>
      </c>
      <c r="T208" s="30">
        <v>47118.0</v>
      </c>
      <c r="U208" s="31">
        <v>0.0</v>
      </c>
      <c r="V208" s="31">
        <v>1.0</v>
      </c>
      <c r="W208" s="32" t="s">
        <v>7043</v>
      </c>
      <c r="X208" s="30">
        <v>47119.0</v>
      </c>
      <c r="Y208" s="30">
        <v>47483.0</v>
      </c>
      <c r="Z208" s="31">
        <v>0.0</v>
      </c>
      <c r="AA208" s="31">
        <v>1.0</v>
      </c>
      <c r="AB208" s="32" t="s">
        <v>7043</v>
      </c>
      <c r="AC208" s="30">
        <v>47484.0</v>
      </c>
      <c r="AD208" s="30">
        <v>47848.0</v>
      </c>
      <c r="AE208" s="31">
        <v>0.0</v>
      </c>
      <c r="AF208" s="31">
        <v>1.0</v>
      </c>
      <c r="AG208" s="32" t="s">
        <v>7043</v>
      </c>
    </row>
    <row r="209" ht="14.25" customHeight="1">
      <c r="A209" s="28" t="s">
        <v>6620</v>
      </c>
      <c r="B209" s="29" t="s">
        <v>6621</v>
      </c>
      <c r="C209" s="29" t="s">
        <v>7041</v>
      </c>
      <c r="D209" s="30">
        <v>45658.0</v>
      </c>
      <c r="E209" s="30">
        <v>46022.0</v>
      </c>
      <c r="F209" s="31">
        <v>0.0</v>
      </c>
      <c r="G209" s="31">
        <v>1.0</v>
      </c>
      <c r="H209" s="32" t="s">
        <v>7043</v>
      </c>
      <c r="I209" s="30">
        <v>46023.0</v>
      </c>
      <c r="J209" s="30">
        <v>46387.0</v>
      </c>
      <c r="K209" s="31">
        <v>0.0</v>
      </c>
      <c r="L209" s="31">
        <v>1.0</v>
      </c>
      <c r="M209" s="32" t="s">
        <v>7043</v>
      </c>
      <c r="N209" s="30">
        <v>46388.0</v>
      </c>
      <c r="O209" s="30">
        <v>46752.0</v>
      </c>
      <c r="P209" s="31">
        <v>0.0</v>
      </c>
      <c r="Q209" s="31">
        <v>1.0</v>
      </c>
      <c r="R209" s="32" t="s">
        <v>7043</v>
      </c>
      <c r="S209" s="30">
        <v>46753.0</v>
      </c>
      <c r="T209" s="30">
        <v>47118.0</v>
      </c>
      <c r="U209" s="31">
        <v>0.0</v>
      </c>
      <c r="V209" s="31">
        <v>1.0</v>
      </c>
      <c r="W209" s="32" t="s">
        <v>7043</v>
      </c>
      <c r="X209" s="30">
        <v>47119.0</v>
      </c>
      <c r="Y209" s="30">
        <v>47483.0</v>
      </c>
      <c r="Z209" s="31">
        <v>0.0</v>
      </c>
      <c r="AA209" s="31">
        <v>1.0</v>
      </c>
      <c r="AB209" s="32" t="s">
        <v>7043</v>
      </c>
      <c r="AC209" s="30">
        <v>47484.0</v>
      </c>
      <c r="AD209" s="30">
        <v>47848.0</v>
      </c>
      <c r="AE209" s="31">
        <v>0.0</v>
      </c>
      <c r="AF209" s="31">
        <v>1.0</v>
      </c>
      <c r="AG209" s="32" t="s">
        <v>7043</v>
      </c>
    </row>
    <row r="210" ht="14.25" customHeight="1">
      <c r="A210" s="28" t="s">
        <v>6479</v>
      </c>
      <c r="B210" s="29" t="s">
        <v>6480</v>
      </c>
      <c r="C210" s="29" t="s">
        <v>7041</v>
      </c>
      <c r="D210" s="30">
        <v>45658.0</v>
      </c>
      <c r="E210" s="30">
        <v>46022.0</v>
      </c>
      <c r="F210" s="31">
        <v>0.0</v>
      </c>
      <c r="G210" s="31">
        <v>1.0</v>
      </c>
      <c r="H210" s="32" t="s">
        <v>7043</v>
      </c>
      <c r="I210" s="30">
        <v>46023.0</v>
      </c>
      <c r="J210" s="30">
        <v>46387.0</v>
      </c>
      <c r="K210" s="31">
        <v>0.0</v>
      </c>
      <c r="L210" s="31">
        <v>1.0</v>
      </c>
      <c r="M210" s="32" t="s">
        <v>7043</v>
      </c>
      <c r="N210" s="30">
        <v>46388.0</v>
      </c>
      <c r="O210" s="30">
        <v>46752.0</v>
      </c>
      <c r="P210" s="31">
        <v>0.0</v>
      </c>
      <c r="Q210" s="31">
        <v>1.0</v>
      </c>
      <c r="R210" s="32" t="s">
        <v>7043</v>
      </c>
      <c r="S210" s="30">
        <v>46753.0</v>
      </c>
      <c r="T210" s="30">
        <v>47118.0</v>
      </c>
      <c r="U210" s="31">
        <v>0.0</v>
      </c>
      <c r="V210" s="31">
        <v>1.0</v>
      </c>
      <c r="W210" s="32" t="s">
        <v>7043</v>
      </c>
      <c r="X210" s="30">
        <v>47119.0</v>
      </c>
      <c r="Y210" s="30">
        <v>47483.0</v>
      </c>
      <c r="Z210" s="31">
        <v>0.0</v>
      </c>
      <c r="AA210" s="31">
        <v>1.0</v>
      </c>
      <c r="AB210" s="32" t="s">
        <v>7043</v>
      </c>
      <c r="AC210" s="30">
        <v>47484.0</v>
      </c>
      <c r="AD210" s="30">
        <v>47848.0</v>
      </c>
      <c r="AE210" s="31">
        <v>0.0</v>
      </c>
      <c r="AF210" s="31">
        <v>1.0</v>
      </c>
      <c r="AG210" s="32" t="s">
        <v>7043</v>
      </c>
    </row>
    <row r="211" ht="14.25" customHeight="1">
      <c r="A211" s="28" t="s">
        <v>3264</v>
      </c>
      <c r="B211" s="29" t="s">
        <v>3265</v>
      </c>
      <c r="C211" s="29" t="s">
        <v>7041</v>
      </c>
      <c r="D211" s="30">
        <v>45658.0</v>
      </c>
      <c r="E211" s="30">
        <v>46022.0</v>
      </c>
      <c r="F211" s="31">
        <v>0.0</v>
      </c>
      <c r="G211" s="31">
        <v>1.0</v>
      </c>
      <c r="H211" s="32" t="s">
        <v>7043</v>
      </c>
      <c r="I211" s="30">
        <v>46023.0</v>
      </c>
      <c r="J211" s="30">
        <v>46387.0</v>
      </c>
      <c r="K211" s="31">
        <v>0.0</v>
      </c>
      <c r="L211" s="31">
        <v>1.0</v>
      </c>
      <c r="M211" s="32" t="s">
        <v>7043</v>
      </c>
      <c r="N211" s="30">
        <v>46388.0</v>
      </c>
      <c r="O211" s="30">
        <v>46752.0</v>
      </c>
      <c r="P211" s="31">
        <v>0.0</v>
      </c>
      <c r="Q211" s="31">
        <v>1.0</v>
      </c>
      <c r="R211" s="32" t="s">
        <v>7043</v>
      </c>
      <c r="S211" s="30">
        <v>46753.0</v>
      </c>
      <c r="T211" s="30">
        <v>47118.0</v>
      </c>
      <c r="U211" s="31">
        <v>0.0</v>
      </c>
      <c r="V211" s="31">
        <v>1.0</v>
      </c>
      <c r="W211" s="32" t="s">
        <v>7043</v>
      </c>
      <c r="X211" s="30">
        <v>47119.0</v>
      </c>
      <c r="Y211" s="30">
        <v>47483.0</v>
      </c>
      <c r="Z211" s="31">
        <v>0.0</v>
      </c>
      <c r="AA211" s="31">
        <v>1.0</v>
      </c>
      <c r="AB211" s="32" t="s">
        <v>7043</v>
      </c>
      <c r="AC211" s="30">
        <v>47484.0</v>
      </c>
      <c r="AD211" s="30">
        <v>47848.0</v>
      </c>
      <c r="AE211" s="31">
        <v>0.0</v>
      </c>
      <c r="AF211" s="31">
        <v>1.0</v>
      </c>
      <c r="AG211" s="32" t="s">
        <v>7043</v>
      </c>
    </row>
    <row r="212" ht="14.25" customHeight="1">
      <c r="A212" s="28" t="s">
        <v>3907</v>
      </c>
      <c r="B212" s="29" t="s">
        <v>3908</v>
      </c>
      <c r="C212" s="29" t="s">
        <v>7041</v>
      </c>
      <c r="D212" s="30">
        <v>45658.0</v>
      </c>
      <c r="E212" s="30">
        <v>46022.0</v>
      </c>
      <c r="F212" s="31">
        <v>1.0</v>
      </c>
      <c r="G212" s="31">
        <v>1.0</v>
      </c>
      <c r="H212" s="33" t="s">
        <v>7042</v>
      </c>
      <c r="I212" s="30">
        <v>46023.0</v>
      </c>
      <c r="J212" s="30">
        <v>46387.0</v>
      </c>
      <c r="K212" s="31">
        <v>0.0</v>
      </c>
      <c r="L212" s="31">
        <v>1.0</v>
      </c>
      <c r="M212" s="32" t="s">
        <v>7043</v>
      </c>
      <c r="N212" s="30">
        <v>46388.0</v>
      </c>
      <c r="O212" s="30">
        <v>46752.0</v>
      </c>
      <c r="P212" s="31">
        <v>0.0</v>
      </c>
      <c r="Q212" s="31">
        <v>1.0</v>
      </c>
      <c r="R212" s="32" t="s">
        <v>7043</v>
      </c>
      <c r="S212" s="30">
        <v>46753.0</v>
      </c>
      <c r="T212" s="30">
        <v>47118.0</v>
      </c>
      <c r="U212" s="31">
        <v>0.0</v>
      </c>
      <c r="V212" s="31">
        <v>1.0</v>
      </c>
      <c r="W212" s="32" t="s">
        <v>7043</v>
      </c>
      <c r="X212" s="30">
        <v>47119.0</v>
      </c>
      <c r="Y212" s="30">
        <v>47483.0</v>
      </c>
      <c r="Z212" s="31">
        <v>0.0</v>
      </c>
      <c r="AA212" s="31">
        <v>1.0</v>
      </c>
      <c r="AB212" s="32" t="s">
        <v>7043</v>
      </c>
      <c r="AC212" s="30">
        <v>47484.0</v>
      </c>
      <c r="AD212" s="30">
        <v>47848.0</v>
      </c>
      <c r="AE212" s="31">
        <v>0.0</v>
      </c>
      <c r="AF212" s="31">
        <v>1.0</v>
      </c>
      <c r="AG212" s="32" t="s">
        <v>7043</v>
      </c>
    </row>
    <row r="213" ht="14.25" customHeight="1">
      <c r="A213" s="28" t="s">
        <v>504</v>
      </c>
      <c r="B213" s="29" t="s">
        <v>505</v>
      </c>
      <c r="C213" s="29" t="s">
        <v>7041</v>
      </c>
      <c r="D213" s="30">
        <v>45658.0</v>
      </c>
      <c r="E213" s="30">
        <v>46022.0</v>
      </c>
      <c r="F213" s="31">
        <v>0.0</v>
      </c>
      <c r="G213" s="31">
        <v>1.0</v>
      </c>
      <c r="H213" s="32" t="s">
        <v>7043</v>
      </c>
      <c r="I213" s="30">
        <v>46023.0</v>
      </c>
      <c r="J213" s="30">
        <v>46387.0</v>
      </c>
      <c r="K213" s="31">
        <v>0.0</v>
      </c>
      <c r="L213" s="31">
        <v>1.0</v>
      </c>
      <c r="M213" s="32" t="s">
        <v>7043</v>
      </c>
      <c r="N213" s="30">
        <v>46388.0</v>
      </c>
      <c r="O213" s="30">
        <v>46752.0</v>
      </c>
      <c r="P213" s="31">
        <v>0.0</v>
      </c>
      <c r="Q213" s="31">
        <v>1.0</v>
      </c>
      <c r="R213" s="32" t="s">
        <v>7043</v>
      </c>
      <c r="S213" s="30">
        <v>46753.0</v>
      </c>
      <c r="T213" s="30">
        <v>47118.0</v>
      </c>
      <c r="U213" s="31">
        <v>0.0</v>
      </c>
      <c r="V213" s="31">
        <v>1.0</v>
      </c>
      <c r="W213" s="32" t="s">
        <v>7043</v>
      </c>
      <c r="X213" s="30">
        <v>47119.0</v>
      </c>
      <c r="Y213" s="30">
        <v>47483.0</v>
      </c>
      <c r="Z213" s="31">
        <v>0.0</v>
      </c>
      <c r="AA213" s="31">
        <v>1.0</v>
      </c>
      <c r="AB213" s="32" t="s">
        <v>7043</v>
      </c>
      <c r="AC213" s="30">
        <v>47484.0</v>
      </c>
      <c r="AD213" s="30">
        <v>47848.0</v>
      </c>
      <c r="AE213" s="31">
        <v>0.0</v>
      </c>
      <c r="AF213" s="31">
        <v>1.0</v>
      </c>
      <c r="AG213" s="32" t="s">
        <v>7043</v>
      </c>
    </row>
    <row r="214" ht="14.25" customHeight="1">
      <c r="A214" s="28" t="s">
        <v>507</v>
      </c>
      <c r="B214" s="29" t="s">
        <v>508</v>
      </c>
      <c r="C214" s="29" t="s">
        <v>7041</v>
      </c>
      <c r="D214" s="30">
        <v>45658.0</v>
      </c>
      <c r="E214" s="30">
        <v>46022.0</v>
      </c>
      <c r="F214" s="31">
        <v>1.0</v>
      </c>
      <c r="G214" s="31">
        <v>1.0</v>
      </c>
      <c r="H214" s="33" t="s">
        <v>7042</v>
      </c>
      <c r="I214" s="30">
        <v>46023.0</v>
      </c>
      <c r="J214" s="30">
        <v>46387.0</v>
      </c>
      <c r="K214" s="31">
        <v>0.0</v>
      </c>
      <c r="L214" s="31">
        <v>1.0</v>
      </c>
      <c r="M214" s="32" t="s">
        <v>7043</v>
      </c>
      <c r="N214" s="30">
        <v>46388.0</v>
      </c>
      <c r="O214" s="30">
        <v>46752.0</v>
      </c>
      <c r="P214" s="31">
        <v>0.0</v>
      </c>
      <c r="Q214" s="31">
        <v>1.0</v>
      </c>
      <c r="R214" s="32" t="s">
        <v>7043</v>
      </c>
      <c r="S214" s="30">
        <v>46753.0</v>
      </c>
      <c r="T214" s="30">
        <v>47118.0</v>
      </c>
      <c r="U214" s="31">
        <v>0.0</v>
      </c>
      <c r="V214" s="31">
        <v>1.0</v>
      </c>
      <c r="W214" s="32" t="s">
        <v>7043</v>
      </c>
      <c r="X214" s="30">
        <v>47119.0</v>
      </c>
      <c r="Y214" s="30">
        <v>47483.0</v>
      </c>
      <c r="Z214" s="31">
        <v>0.0</v>
      </c>
      <c r="AA214" s="31">
        <v>1.0</v>
      </c>
      <c r="AB214" s="32" t="s">
        <v>7043</v>
      </c>
      <c r="AC214" s="30">
        <v>47484.0</v>
      </c>
      <c r="AD214" s="30">
        <v>47848.0</v>
      </c>
      <c r="AE214" s="31">
        <v>0.0</v>
      </c>
      <c r="AF214" s="31">
        <v>1.0</v>
      </c>
      <c r="AG214" s="32" t="s">
        <v>7043</v>
      </c>
    </row>
    <row r="215" ht="14.25" customHeight="1">
      <c r="A215" s="28" t="s">
        <v>718</v>
      </c>
      <c r="B215" s="29" t="s">
        <v>719</v>
      </c>
      <c r="C215" s="29" t="s">
        <v>7041</v>
      </c>
      <c r="D215" s="30">
        <v>45658.0</v>
      </c>
      <c r="E215" s="30">
        <v>46022.0</v>
      </c>
      <c r="F215" s="31">
        <v>0.0</v>
      </c>
      <c r="G215" s="31">
        <v>1.0</v>
      </c>
      <c r="H215" s="32" t="s">
        <v>7043</v>
      </c>
      <c r="I215" s="30">
        <v>46023.0</v>
      </c>
      <c r="J215" s="30">
        <v>46387.0</v>
      </c>
      <c r="K215" s="31">
        <v>0.0</v>
      </c>
      <c r="L215" s="31">
        <v>1.0</v>
      </c>
      <c r="M215" s="32" t="s">
        <v>7043</v>
      </c>
      <c r="N215" s="30">
        <v>46388.0</v>
      </c>
      <c r="O215" s="30">
        <v>46752.0</v>
      </c>
      <c r="P215" s="31">
        <v>0.0</v>
      </c>
      <c r="Q215" s="31">
        <v>1.0</v>
      </c>
      <c r="R215" s="32" t="s">
        <v>7043</v>
      </c>
      <c r="S215" s="30">
        <v>46753.0</v>
      </c>
      <c r="T215" s="30">
        <v>47118.0</v>
      </c>
      <c r="U215" s="31">
        <v>0.0</v>
      </c>
      <c r="V215" s="31">
        <v>1.0</v>
      </c>
      <c r="W215" s="32" t="s">
        <v>7043</v>
      </c>
      <c r="X215" s="30">
        <v>47119.0</v>
      </c>
      <c r="Y215" s="30">
        <v>47483.0</v>
      </c>
      <c r="Z215" s="31">
        <v>0.0</v>
      </c>
      <c r="AA215" s="31">
        <v>1.0</v>
      </c>
      <c r="AB215" s="32" t="s">
        <v>7043</v>
      </c>
      <c r="AC215" s="30">
        <v>47484.0</v>
      </c>
      <c r="AD215" s="30">
        <v>47848.0</v>
      </c>
      <c r="AE215" s="31">
        <v>0.0</v>
      </c>
      <c r="AF215" s="31">
        <v>1.0</v>
      </c>
      <c r="AG215" s="32" t="s">
        <v>7043</v>
      </c>
    </row>
    <row r="216" ht="14.25" customHeight="1">
      <c r="A216" s="28" t="s">
        <v>759</v>
      </c>
      <c r="B216" s="29" t="s">
        <v>760</v>
      </c>
      <c r="C216" s="29" t="s">
        <v>7041</v>
      </c>
      <c r="D216" s="30">
        <v>45658.0</v>
      </c>
      <c r="E216" s="30">
        <v>46022.0</v>
      </c>
      <c r="F216" s="31">
        <v>0.0</v>
      </c>
      <c r="G216" s="31">
        <v>1.0</v>
      </c>
      <c r="H216" s="32" t="s">
        <v>7043</v>
      </c>
      <c r="I216" s="30">
        <v>46023.0</v>
      </c>
      <c r="J216" s="30">
        <v>46387.0</v>
      </c>
      <c r="K216" s="31">
        <v>0.0</v>
      </c>
      <c r="L216" s="31">
        <v>1.0</v>
      </c>
      <c r="M216" s="32" t="s">
        <v>7043</v>
      </c>
      <c r="N216" s="30">
        <v>46388.0</v>
      </c>
      <c r="O216" s="30">
        <v>46752.0</v>
      </c>
      <c r="P216" s="31">
        <v>0.0</v>
      </c>
      <c r="Q216" s="31">
        <v>1.0</v>
      </c>
      <c r="R216" s="32" t="s">
        <v>7043</v>
      </c>
      <c r="S216" s="30">
        <v>46753.0</v>
      </c>
      <c r="T216" s="30">
        <v>47118.0</v>
      </c>
      <c r="U216" s="31">
        <v>0.0</v>
      </c>
      <c r="V216" s="31">
        <v>1.0</v>
      </c>
      <c r="W216" s="32" t="s">
        <v>7043</v>
      </c>
      <c r="X216" s="30">
        <v>47119.0</v>
      </c>
      <c r="Y216" s="30">
        <v>47483.0</v>
      </c>
      <c r="Z216" s="31">
        <v>0.0</v>
      </c>
      <c r="AA216" s="31">
        <v>1.0</v>
      </c>
      <c r="AB216" s="32" t="s">
        <v>7043</v>
      </c>
      <c r="AC216" s="30">
        <v>47484.0</v>
      </c>
      <c r="AD216" s="30">
        <v>47848.0</v>
      </c>
      <c r="AE216" s="31">
        <v>0.0</v>
      </c>
      <c r="AF216" s="31">
        <v>1.0</v>
      </c>
      <c r="AG216" s="32" t="s">
        <v>7043</v>
      </c>
    </row>
    <row r="217" ht="14.25" customHeight="1">
      <c r="A217" s="28" t="s">
        <v>1271</v>
      </c>
      <c r="B217" s="29" t="s">
        <v>1272</v>
      </c>
      <c r="C217" s="29" t="s">
        <v>7041</v>
      </c>
      <c r="D217" s="30">
        <v>45658.0</v>
      </c>
      <c r="E217" s="30">
        <v>46022.0</v>
      </c>
      <c r="F217" s="31">
        <v>1.0</v>
      </c>
      <c r="G217" s="31">
        <v>1.0</v>
      </c>
      <c r="H217" s="33" t="s">
        <v>7042</v>
      </c>
      <c r="I217" s="30">
        <v>46023.0</v>
      </c>
      <c r="J217" s="30">
        <v>46387.0</v>
      </c>
      <c r="K217" s="31">
        <v>0.0</v>
      </c>
      <c r="L217" s="31">
        <v>1.0</v>
      </c>
      <c r="M217" s="32" t="s">
        <v>7043</v>
      </c>
      <c r="N217" s="30">
        <v>46388.0</v>
      </c>
      <c r="O217" s="30">
        <v>46752.0</v>
      </c>
      <c r="P217" s="31">
        <v>0.0</v>
      </c>
      <c r="Q217" s="31">
        <v>1.0</v>
      </c>
      <c r="R217" s="32" t="s">
        <v>7043</v>
      </c>
      <c r="S217" s="30">
        <v>46753.0</v>
      </c>
      <c r="T217" s="30">
        <v>47118.0</v>
      </c>
      <c r="U217" s="31">
        <v>0.0</v>
      </c>
      <c r="V217" s="31">
        <v>1.0</v>
      </c>
      <c r="W217" s="32" t="s">
        <v>7043</v>
      </c>
      <c r="X217" s="30">
        <v>47119.0</v>
      </c>
      <c r="Y217" s="30">
        <v>47483.0</v>
      </c>
      <c r="Z217" s="31">
        <v>0.0</v>
      </c>
      <c r="AA217" s="31">
        <v>1.0</v>
      </c>
      <c r="AB217" s="32" t="s">
        <v>7043</v>
      </c>
      <c r="AC217" s="30">
        <v>47484.0</v>
      </c>
      <c r="AD217" s="30">
        <v>47848.0</v>
      </c>
      <c r="AE217" s="31">
        <v>0.0</v>
      </c>
      <c r="AF217" s="31">
        <v>1.0</v>
      </c>
      <c r="AG217" s="32" t="s">
        <v>7043</v>
      </c>
    </row>
    <row r="218" ht="14.25" customHeight="1">
      <c r="A218" s="28" t="s">
        <v>1328</v>
      </c>
      <c r="B218" s="29" t="s">
        <v>1329</v>
      </c>
      <c r="C218" s="29" t="s">
        <v>7041</v>
      </c>
      <c r="D218" s="30">
        <v>45658.0</v>
      </c>
      <c r="E218" s="30">
        <v>46022.0</v>
      </c>
      <c r="F218" s="31">
        <v>0.0</v>
      </c>
      <c r="G218" s="31">
        <v>1.0</v>
      </c>
      <c r="H218" s="32" t="s">
        <v>7043</v>
      </c>
      <c r="I218" s="30">
        <v>46023.0</v>
      </c>
      <c r="J218" s="30">
        <v>46387.0</v>
      </c>
      <c r="K218" s="31">
        <v>0.0</v>
      </c>
      <c r="L218" s="31">
        <v>1.0</v>
      </c>
      <c r="M218" s="32" t="s">
        <v>7043</v>
      </c>
      <c r="N218" s="30">
        <v>46388.0</v>
      </c>
      <c r="O218" s="30">
        <v>46752.0</v>
      </c>
      <c r="P218" s="31">
        <v>0.0</v>
      </c>
      <c r="Q218" s="31">
        <v>1.0</v>
      </c>
      <c r="R218" s="32" t="s">
        <v>7043</v>
      </c>
      <c r="S218" s="30">
        <v>46753.0</v>
      </c>
      <c r="T218" s="30">
        <v>47118.0</v>
      </c>
      <c r="U218" s="31">
        <v>0.0</v>
      </c>
      <c r="V218" s="31">
        <v>1.0</v>
      </c>
      <c r="W218" s="32" t="s">
        <v>7043</v>
      </c>
      <c r="X218" s="30">
        <v>47119.0</v>
      </c>
      <c r="Y218" s="30">
        <v>47483.0</v>
      </c>
      <c r="Z218" s="31">
        <v>0.0</v>
      </c>
      <c r="AA218" s="31">
        <v>1.0</v>
      </c>
      <c r="AB218" s="32" t="s">
        <v>7043</v>
      </c>
      <c r="AC218" s="30">
        <v>47484.0</v>
      </c>
      <c r="AD218" s="30">
        <v>47848.0</v>
      </c>
      <c r="AE218" s="31">
        <v>0.0</v>
      </c>
      <c r="AF218" s="31">
        <v>1.0</v>
      </c>
      <c r="AG218" s="32" t="s">
        <v>7043</v>
      </c>
    </row>
    <row r="219" ht="14.25" customHeight="1">
      <c r="A219" s="28" t="s">
        <v>1437</v>
      </c>
      <c r="B219" s="29" t="s">
        <v>1438</v>
      </c>
      <c r="C219" s="29" t="s">
        <v>7041</v>
      </c>
      <c r="D219" s="30">
        <v>45658.0</v>
      </c>
      <c r="E219" s="30">
        <v>46022.0</v>
      </c>
      <c r="F219" s="31">
        <v>0.0</v>
      </c>
      <c r="G219" s="31">
        <v>1.0</v>
      </c>
      <c r="H219" s="32" t="s">
        <v>7043</v>
      </c>
      <c r="I219" s="30">
        <v>46023.0</v>
      </c>
      <c r="J219" s="30">
        <v>46387.0</v>
      </c>
      <c r="K219" s="31">
        <v>0.0</v>
      </c>
      <c r="L219" s="31">
        <v>1.0</v>
      </c>
      <c r="M219" s="32" t="s">
        <v>7043</v>
      </c>
      <c r="N219" s="30">
        <v>46388.0</v>
      </c>
      <c r="O219" s="30">
        <v>46752.0</v>
      </c>
      <c r="P219" s="31">
        <v>0.0</v>
      </c>
      <c r="Q219" s="31">
        <v>1.0</v>
      </c>
      <c r="R219" s="32" t="s">
        <v>7043</v>
      </c>
      <c r="S219" s="30">
        <v>46753.0</v>
      </c>
      <c r="T219" s="30">
        <v>47118.0</v>
      </c>
      <c r="U219" s="31">
        <v>0.0</v>
      </c>
      <c r="V219" s="31">
        <v>1.0</v>
      </c>
      <c r="W219" s="32" t="s">
        <v>7043</v>
      </c>
      <c r="X219" s="30">
        <v>47119.0</v>
      </c>
      <c r="Y219" s="30">
        <v>47483.0</v>
      </c>
      <c r="Z219" s="31">
        <v>0.0</v>
      </c>
      <c r="AA219" s="31">
        <v>1.0</v>
      </c>
      <c r="AB219" s="32" t="s">
        <v>7043</v>
      </c>
      <c r="AC219" s="30">
        <v>47484.0</v>
      </c>
      <c r="AD219" s="30">
        <v>47848.0</v>
      </c>
      <c r="AE219" s="31">
        <v>0.0</v>
      </c>
      <c r="AF219" s="31">
        <v>1.0</v>
      </c>
      <c r="AG219" s="32" t="s">
        <v>7043</v>
      </c>
    </row>
    <row r="220" ht="14.25" customHeight="1">
      <c r="A220" s="28" t="s">
        <v>1451</v>
      </c>
      <c r="B220" s="29" t="s">
        <v>1452</v>
      </c>
      <c r="C220" s="29" t="s">
        <v>7041</v>
      </c>
      <c r="D220" s="30">
        <v>45658.0</v>
      </c>
      <c r="E220" s="30">
        <v>46022.0</v>
      </c>
      <c r="F220" s="31">
        <v>0.0</v>
      </c>
      <c r="G220" s="31">
        <v>1.0</v>
      </c>
      <c r="H220" s="32" t="s">
        <v>7043</v>
      </c>
      <c r="I220" s="30">
        <v>46023.0</v>
      </c>
      <c r="J220" s="30">
        <v>46387.0</v>
      </c>
      <c r="K220" s="31">
        <v>0.0</v>
      </c>
      <c r="L220" s="31">
        <v>1.0</v>
      </c>
      <c r="M220" s="32" t="s">
        <v>7043</v>
      </c>
      <c r="N220" s="30">
        <v>46388.0</v>
      </c>
      <c r="O220" s="30">
        <v>46752.0</v>
      </c>
      <c r="P220" s="31">
        <v>0.0</v>
      </c>
      <c r="Q220" s="31">
        <v>1.0</v>
      </c>
      <c r="R220" s="32" t="s">
        <v>7043</v>
      </c>
      <c r="S220" s="30">
        <v>46753.0</v>
      </c>
      <c r="T220" s="30">
        <v>47118.0</v>
      </c>
      <c r="U220" s="31">
        <v>0.0</v>
      </c>
      <c r="V220" s="31">
        <v>1.0</v>
      </c>
      <c r="W220" s="32" t="s">
        <v>7043</v>
      </c>
      <c r="X220" s="30">
        <v>47119.0</v>
      </c>
      <c r="Y220" s="30">
        <v>47483.0</v>
      </c>
      <c r="Z220" s="31">
        <v>0.0</v>
      </c>
      <c r="AA220" s="31">
        <v>1.0</v>
      </c>
      <c r="AB220" s="32" t="s">
        <v>7043</v>
      </c>
      <c r="AC220" s="30">
        <v>47484.0</v>
      </c>
      <c r="AD220" s="30">
        <v>47848.0</v>
      </c>
      <c r="AE220" s="31">
        <v>0.0</v>
      </c>
      <c r="AF220" s="31">
        <v>1.0</v>
      </c>
      <c r="AG220" s="32" t="s">
        <v>7043</v>
      </c>
    </row>
    <row r="221" ht="14.25" customHeight="1">
      <c r="A221" s="28" t="s">
        <v>2262</v>
      </c>
      <c r="B221" s="29" t="s">
        <v>2263</v>
      </c>
      <c r="C221" s="29" t="s">
        <v>7041</v>
      </c>
      <c r="D221" s="30">
        <v>45658.0</v>
      </c>
      <c r="E221" s="30">
        <v>46022.0</v>
      </c>
      <c r="F221" s="31">
        <v>0.0</v>
      </c>
      <c r="G221" s="31">
        <v>1.0</v>
      </c>
      <c r="H221" s="32" t="s">
        <v>7043</v>
      </c>
      <c r="I221" s="30">
        <v>46023.0</v>
      </c>
      <c r="J221" s="30">
        <v>46387.0</v>
      </c>
      <c r="K221" s="31">
        <v>0.0</v>
      </c>
      <c r="L221" s="31">
        <v>1.0</v>
      </c>
      <c r="M221" s="32" t="s">
        <v>7043</v>
      </c>
      <c r="N221" s="30">
        <v>46388.0</v>
      </c>
      <c r="O221" s="30">
        <v>46752.0</v>
      </c>
      <c r="P221" s="31">
        <v>0.0</v>
      </c>
      <c r="Q221" s="31">
        <v>1.0</v>
      </c>
      <c r="R221" s="32" t="s">
        <v>7043</v>
      </c>
      <c r="S221" s="30">
        <v>46753.0</v>
      </c>
      <c r="T221" s="30">
        <v>47118.0</v>
      </c>
      <c r="U221" s="31">
        <v>0.0</v>
      </c>
      <c r="V221" s="31">
        <v>1.0</v>
      </c>
      <c r="W221" s="32" t="s">
        <v>7043</v>
      </c>
      <c r="X221" s="30">
        <v>47119.0</v>
      </c>
      <c r="Y221" s="30">
        <v>47483.0</v>
      </c>
      <c r="Z221" s="31">
        <v>0.0</v>
      </c>
      <c r="AA221" s="31">
        <v>1.0</v>
      </c>
      <c r="AB221" s="32" t="s">
        <v>7043</v>
      </c>
      <c r="AC221" s="30">
        <v>47484.0</v>
      </c>
      <c r="AD221" s="30">
        <v>47848.0</v>
      </c>
      <c r="AE221" s="31">
        <v>0.0</v>
      </c>
      <c r="AF221" s="31">
        <v>1.0</v>
      </c>
      <c r="AG221" s="32" t="s">
        <v>7043</v>
      </c>
    </row>
    <row r="222" ht="14.25" customHeight="1">
      <c r="A222" s="28" t="s">
        <v>2341</v>
      </c>
      <c r="B222" s="29" t="s">
        <v>2342</v>
      </c>
      <c r="C222" s="29" t="s">
        <v>7041</v>
      </c>
      <c r="D222" s="30">
        <v>45658.0</v>
      </c>
      <c r="E222" s="30">
        <v>46022.0</v>
      </c>
      <c r="F222" s="31">
        <v>0.0</v>
      </c>
      <c r="G222" s="31">
        <v>1.0</v>
      </c>
      <c r="H222" s="32" t="s">
        <v>7043</v>
      </c>
      <c r="I222" s="30">
        <v>46023.0</v>
      </c>
      <c r="J222" s="30">
        <v>46387.0</v>
      </c>
      <c r="K222" s="31">
        <v>0.0</v>
      </c>
      <c r="L222" s="31">
        <v>1.0</v>
      </c>
      <c r="M222" s="32" t="s">
        <v>7043</v>
      </c>
      <c r="N222" s="30">
        <v>46388.0</v>
      </c>
      <c r="O222" s="30">
        <v>46752.0</v>
      </c>
      <c r="P222" s="31">
        <v>0.0</v>
      </c>
      <c r="Q222" s="31">
        <v>1.0</v>
      </c>
      <c r="R222" s="32" t="s">
        <v>7043</v>
      </c>
      <c r="S222" s="30">
        <v>46753.0</v>
      </c>
      <c r="T222" s="30">
        <v>47118.0</v>
      </c>
      <c r="U222" s="31">
        <v>0.0</v>
      </c>
      <c r="V222" s="31">
        <v>1.0</v>
      </c>
      <c r="W222" s="32" t="s">
        <v>7043</v>
      </c>
      <c r="X222" s="30">
        <v>47119.0</v>
      </c>
      <c r="Y222" s="30">
        <v>47483.0</v>
      </c>
      <c r="Z222" s="31">
        <v>0.0</v>
      </c>
      <c r="AA222" s="31">
        <v>1.0</v>
      </c>
      <c r="AB222" s="32" t="s">
        <v>7043</v>
      </c>
      <c r="AC222" s="30">
        <v>47484.0</v>
      </c>
      <c r="AD222" s="30">
        <v>47848.0</v>
      </c>
      <c r="AE222" s="31">
        <v>0.0</v>
      </c>
      <c r="AF222" s="31">
        <v>1.0</v>
      </c>
      <c r="AG222" s="32" t="s">
        <v>7043</v>
      </c>
    </row>
    <row r="223" ht="14.25" customHeight="1">
      <c r="A223" s="28" t="s">
        <v>6790</v>
      </c>
      <c r="B223" s="29" t="s">
        <v>6791</v>
      </c>
      <c r="C223" s="29" t="s">
        <v>7041</v>
      </c>
      <c r="D223" s="30">
        <v>45658.0</v>
      </c>
      <c r="E223" s="30">
        <v>46022.0</v>
      </c>
      <c r="F223" s="31">
        <v>0.0</v>
      </c>
      <c r="G223" s="31">
        <v>1.0</v>
      </c>
      <c r="H223" s="32" t="s">
        <v>7043</v>
      </c>
      <c r="I223" s="30">
        <v>46023.0</v>
      </c>
      <c r="J223" s="30">
        <v>46387.0</v>
      </c>
      <c r="K223" s="31">
        <v>0.0</v>
      </c>
      <c r="L223" s="31">
        <v>1.0</v>
      </c>
      <c r="M223" s="32" t="s">
        <v>7043</v>
      </c>
      <c r="N223" s="30">
        <v>46388.0</v>
      </c>
      <c r="O223" s="30">
        <v>46752.0</v>
      </c>
      <c r="P223" s="31">
        <v>0.0</v>
      </c>
      <c r="Q223" s="31">
        <v>1.0</v>
      </c>
      <c r="R223" s="32" t="s">
        <v>7043</v>
      </c>
      <c r="S223" s="30">
        <v>46753.0</v>
      </c>
      <c r="T223" s="30">
        <v>47118.0</v>
      </c>
      <c r="U223" s="31">
        <v>0.0</v>
      </c>
      <c r="V223" s="31">
        <v>1.0</v>
      </c>
      <c r="W223" s="32" t="s">
        <v>7043</v>
      </c>
      <c r="X223" s="30">
        <v>47119.0</v>
      </c>
      <c r="Y223" s="30">
        <v>47483.0</v>
      </c>
      <c r="Z223" s="31">
        <v>0.0</v>
      </c>
      <c r="AA223" s="31">
        <v>1.0</v>
      </c>
      <c r="AB223" s="32" t="s">
        <v>7043</v>
      </c>
      <c r="AC223" s="30">
        <v>47484.0</v>
      </c>
      <c r="AD223" s="30">
        <v>47848.0</v>
      </c>
      <c r="AE223" s="31">
        <v>0.0</v>
      </c>
      <c r="AF223" s="31">
        <v>1.0</v>
      </c>
      <c r="AG223" s="32" t="s">
        <v>7043</v>
      </c>
    </row>
    <row r="224" ht="14.25" customHeight="1">
      <c r="A224" s="28" t="s">
        <v>2623</v>
      </c>
      <c r="B224" s="29" t="s">
        <v>2624</v>
      </c>
      <c r="C224" s="29" t="s">
        <v>7041</v>
      </c>
      <c r="D224" s="30">
        <v>45658.0</v>
      </c>
      <c r="E224" s="30">
        <v>46022.0</v>
      </c>
      <c r="F224" s="31">
        <v>0.0</v>
      </c>
      <c r="G224" s="31">
        <v>1.0</v>
      </c>
      <c r="H224" s="32" t="s">
        <v>7043</v>
      </c>
      <c r="I224" s="30">
        <v>46023.0</v>
      </c>
      <c r="J224" s="30">
        <v>46387.0</v>
      </c>
      <c r="K224" s="31">
        <v>0.0</v>
      </c>
      <c r="L224" s="31">
        <v>1.0</v>
      </c>
      <c r="M224" s="32" t="s">
        <v>7043</v>
      </c>
      <c r="N224" s="30">
        <v>46388.0</v>
      </c>
      <c r="O224" s="30">
        <v>46752.0</v>
      </c>
      <c r="P224" s="31">
        <v>0.0</v>
      </c>
      <c r="Q224" s="31">
        <v>1.0</v>
      </c>
      <c r="R224" s="32" t="s">
        <v>7043</v>
      </c>
      <c r="S224" s="30">
        <v>46753.0</v>
      </c>
      <c r="T224" s="30">
        <v>47118.0</v>
      </c>
      <c r="U224" s="31">
        <v>0.0</v>
      </c>
      <c r="V224" s="31">
        <v>1.0</v>
      </c>
      <c r="W224" s="32" t="s">
        <v>7043</v>
      </c>
      <c r="X224" s="30">
        <v>47119.0</v>
      </c>
      <c r="Y224" s="30">
        <v>47483.0</v>
      </c>
      <c r="Z224" s="31">
        <v>0.0</v>
      </c>
      <c r="AA224" s="31">
        <v>1.0</v>
      </c>
      <c r="AB224" s="32" t="s">
        <v>7043</v>
      </c>
      <c r="AC224" s="30">
        <v>47484.0</v>
      </c>
      <c r="AD224" s="30">
        <v>47848.0</v>
      </c>
      <c r="AE224" s="31">
        <v>0.0</v>
      </c>
      <c r="AF224" s="31">
        <v>1.0</v>
      </c>
      <c r="AG224" s="32" t="s">
        <v>7043</v>
      </c>
    </row>
    <row r="225" ht="14.25" customHeight="1">
      <c r="A225" s="28" t="s">
        <v>3762</v>
      </c>
      <c r="B225" s="29" t="s">
        <v>3763</v>
      </c>
      <c r="C225" s="29" t="s">
        <v>7041</v>
      </c>
      <c r="D225" s="30">
        <v>45658.0</v>
      </c>
      <c r="E225" s="30">
        <v>46022.0</v>
      </c>
      <c r="F225" s="31">
        <v>1.0</v>
      </c>
      <c r="G225" s="31">
        <v>1.0</v>
      </c>
      <c r="H225" s="33" t="s">
        <v>7042</v>
      </c>
      <c r="I225" s="30">
        <v>46023.0</v>
      </c>
      <c r="J225" s="30">
        <v>46387.0</v>
      </c>
      <c r="K225" s="31">
        <v>0.0</v>
      </c>
      <c r="L225" s="31">
        <v>1.0</v>
      </c>
      <c r="M225" s="32" t="s">
        <v>7043</v>
      </c>
      <c r="N225" s="30">
        <v>46388.0</v>
      </c>
      <c r="O225" s="30">
        <v>46752.0</v>
      </c>
      <c r="P225" s="31">
        <v>0.0</v>
      </c>
      <c r="Q225" s="31">
        <v>1.0</v>
      </c>
      <c r="R225" s="32" t="s">
        <v>7043</v>
      </c>
      <c r="S225" s="30">
        <v>46753.0</v>
      </c>
      <c r="T225" s="30">
        <v>47118.0</v>
      </c>
      <c r="U225" s="31">
        <v>0.0</v>
      </c>
      <c r="V225" s="31">
        <v>1.0</v>
      </c>
      <c r="W225" s="32" t="s">
        <v>7043</v>
      </c>
      <c r="X225" s="30">
        <v>47119.0</v>
      </c>
      <c r="Y225" s="30">
        <v>47483.0</v>
      </c>
      <c r="Z225" s="31">
        <v>0.0</v>
      </c>
      <c r="AA225" s="31">
        <v>1.0</v>
      </c>
      <c r="AB225" s="32" t="s">
        <v>7043</v>
      </c>
      <c r="AC225" s="30">
        <v>47484.0</v>
      </c>
      <c r="AD225" s="30">
        <v>47848.0</v>
      </c>
      <c r="AE225" s="31">
        <v>0.0</v>
      </c>
      <c r="AF225" s="31">
        <v>1.0</v>
      </c>
      <c r="AG225" s="32" t="s">
        <v>7043</v>
      </c>
    </row>
    <row r="226" ht="14.25" customHeight="1">
      <c r="A226" s="28" t="s">
        <v>4041</v>
      </c>
      <c r="B226" s="29" t="s">
        <v>4042</v>
      </c>
      <c r="C226" s="29" t="s">
        <v>7041</v>
      </c>
      <c r="D226" s="30">
        <v>45658.0</v>
      </c>
      <c r="E226" s="30">
        <v>46022.0</v>
      </c>
      <c r="F226" s="31">
        <v>0.0</v>
      </c>
      <c r="G226" s="31">
        <v>1.0</v>
      </c>
      <c r="H226" s="32" t="s">
        <v>7043</v>
      </c>
      <c r="I226" s="30">
        <v>46023.0</v>
      </c>
      <c r="J226" s="30">
        <v>46387.0</v>
      </c>
      <c r="K226" s="31">
        <v>0.0</v>
      </c>
      <c r="L226" s="31">
        <v>1.0</v>
      </c>
      <c r="M226" s="32" t="s">
        <v>7043</v>
      </c>
      <c r="N226" s="30">
        <v>46388.0</v>
      </c>
      <c r="O226" s="30">
        <v>46752.0</v>
      </c>
      <c r="P226" s="31">
        <v>0.0</v>
      </c>
      <c r="Q226" s="31">
        <v>1.0</v>
      </c>
      <c r="R226" s="32" t="s">
        <v>7043</v>
      </c>
      <c r="S226" s="30">
        <v>46753.0</v>
      </c>
      <c r="T226" s="30">
        <v>47118.0</v>
      </c>
      <c r="U226" s="31">
        <v>0.0</v>
      </c>
      <c r="V226" s="31">
        <v>1.0</v>
      </c>
      <c r="W226" s="32" t="s">
        <v>7043</v>
      </c>
      <c r="X226" s="30">
        <v>47119.0</v>
      </c>
      <c r="Y226" s="30">
        <v>47483.0</v>
      </c>
      <c r="Z226" s="31">
        <v>0.0</v>
      </c>
      <c r="AA226" s="31">
        <v>1.0</v>
      </c>
      <c r="AB226" s="32" t="s">
        <v>7043</v>
      </c>
      <c r="AC226" s="30">
        <v>47484.0</v>
      </c>
      <c r="AD226" s="30">
        <v>47848.0</v>
      </c>
      <c r="AE226" s="31">
        <v>0.0</v>
      </c>
      <c r="AF226" s="31">
        <v>1.0</v>
      </c>
      <c r="AG226" s="32" t="s">
        <v>7043</v>
      </c>
    </row>
    <row r="227" ht="14.25" customHeight="1">
      <c r="A227" s="28" t="s">
        <v>4397</v>
      </c>
      <c r="B227" s="29" t="s">
        <v>4398</v>
      </c>
      <c r="C227" s="29" t="s">
        <v>7041</v>
      </c>
      <c r="D227" s="30">
        <v>45658.0</v>
      </c>
      <c r="E227" s="30">
        <v>46022.0</v>
      </c>
      <c r="F227" s="31">
        <v>1.0</v>
      </c>
      <c r="G227" s="31">
        <v>1.0</v>
      </c>
      <c r="H227" s="33" t="s">
        <v>7042</v>
      </c>
      <c r="I227" s="30">
        <v>46023.0</v>
      </c>
      <c r="J227" s="30">
        <v>46387.0</v>
      </c>
      <c r="K227" s="31">
        <v>0.0</v>
      </c>
      <c r="L227" s="31">
        <v>1.0</v>
      </c>
      <c r="M227" s="32" t="s">
        <v>7043</v>
      </c>
      <c r="N227" s="30">
        <v>46388.0</v>
      </c>
      <c r="O227" s="30">
        <v>46752.0</v>
      </c>
      <c r="P227" s="31">
        <v>0.0</v>
      </c>
      <c r="Q227" s="31">
        <v>1.0</v>
      </c>
      <c r="R227" s="32" t="s">
        <v>7043</v>
      </c>
      <c r="S227" s="30">
        <v>46753.0</v>
      </c>
      <c r="T227" s="30">
        <v>47118.0</v>
      </c>
      <c r="U227" s="31">
        <v>0.0</v>
      </c>
      <c r="V227" s="31">
        <v>1.0</v>
      </c>
      <c r="W227" s="32" t="s">
        <v>7043</v>
      </c>
      <c r="X227" s="30">
        <v>47119.0</v>
      </c>
      <c r="Y227" s="30">
        <v>47483.0</v>
      </c>
      <c r="Z227" s="31">
        <v>0.0</v>
      </c>
      <c r="AA227" s="31">
        <v>1.0</v>
      </c>
      <c r="AB227" s="32" t="s">
        <v>7043</v>
      </c>
      <c r="AC227" s="30">
        <v>47484.0</v>
      </c>
      <c r="AD227" s="30">
        <v>47848.0</v>
      </c>
      <c r="AE227" s="31">
        <v>0.0</v>
      </c>
      <c r="AF227" s="31">
        <v>1.0</v>
      </c>
      <c r="AG227" s="32" t="s">
        <v>7043</v>
      </c>
    </row>
    <row r="228" ht="14.25" customHeight="1">
      <c r="A228" s="28" t="s">
        <v>4416</v>
      </c>
      <c r="B228" s="29" t="s">
        <v>4417</v>
      </c>
      <c r="C228" s="29" t="s">
        <v>7041</v>
      </c>
      <c r="D228" s="30">
        <v>45658.0</v>
      </c>
      <c r="E228" s="30">
        <v>46022.0</v>
      </c>
      <c r="F228" s="31">
        <v>1.0</v>
      </c>
      <c r="G228" s="31">
        <v>1.0</v>
      </c>
      <c r="H228" s="32" t="s">
        <v>7042</v>
      </c>
      <c r="I228" s="30">
        <v>46023.0</v>
      </c>
      <c r="J228" s="30">
        <v>46387.0</v>
      </c>
      <c r="K228" s="31">
        <v>0.0</v>
      </c>
      <c r="L228" s="31">
        <v>1.0</v>
      </c>
      <c r="M228" s="32" t="s">
        <v>7043</v>
      </c>
      <c r="N228" s="30">
        <v>46388.0</v>
      </c>
      <c r="O228" s="30">
        <v>46752.0</v>
      </c>
      <c r="P228" s="31">
        <v>0.0</v>
      </c>
      <c r="Q228" s="31">
        <v>1.0</v>
      </c>
      <c r="R228" s="32" t="s">
        <v>7043</v>
      </c>
      <c r="S228" s="30">
        <v>46753.0</v>
      </c>
      <c r="T228" s="30">
        <v>47118.0</v>
      </c>
      <c r="U228" s="31">
        <v>0.0</v>
      </c>
      <c r="V228" s="31">
        <v>1.0</v>
      </c>
      <c r="W228" s="32" t="s">
        <v>7043</v>
      </c>
      <c r="X228" s="30">
        <v>47119.0</v>
      </c>
      <c r="Y228" s="30">
        <v>47483.0</v>
      </c>
      <c r="Z228" s="31">
        <v>0.0</v>
      </c>
      <c r="AA228" s="31">
        <v>1.0</v>
      </c>
      <c r="AB228" s="32" t="s">
        <v>7043</v>
      </c>
      <c r="AC228" s="30">
        <v>47484.0</v>
      </c>
      <c r="AD228" s="30">
        <v>47848.0</v>
      </c>
      <c r="AE228" s="31">
        <v>0.0</v>
      </c>
      <c r="AF228" s="31">
        <v>1.0</v>
      </c>
      <c r="AG228" s="32" t="s">
        <v>7043</v>
      </c>
    </row>
    <row r="229" ht="14.25" customHeight="1">
      <c r="A229" s="28" t="s">
        <v>5004</v>
      </c>
      <c r="B229" s="29" t="s">
        <v>5005</v>
      </c>
      <c r="C229" s="29" t="s">
        <v>7041</v>
      </c>
      <c r="D229" s="30">
        <v>45658.0</v>
      </c>
      <c r="E229" s="30">
        <v>46022.0</v>
      </c>
      <c r="F229" s="31">
        <v>1.0</v>
      </c>
      <c r="G229" s="31">
        <v>1.0</v>
      </c>
      <c r="H229" s="32" t="s">
        <v>7042</v>
      </c>
      <c r="I229" s="30">
        <v>46023.0</v>
      </c>
      <c r="J229" s="30">
        <v>46387.0</v>
      </c>
      <c r="K229" s="31">
        <v>0.0</v>
      </c>
      <c r="L229" s="31">
        <v>1.0</v>
      </c>
      <c r="M229" s="32" t="s">
        <v>7043</v>
      </c>
      <c r="N229" s="30">
        <v>46388.0</v>
      </c>
      <c r="O229" s="30">
        <v>46752.0</v>
      </c>
      <c r="P229" s="31">
        <v>0.0</v>
      </c>
      <c r="Q229" s="31">
        <v>1.0</v>
      </c>
      <c r="R229" s="32" t="s">
        <v>7043</v>
      </c>
      <c r="S229" s="30">
        <v>46753.0</v>
      </c>
      <c r="T229" s="30">
        <v>47118.0</v>
      </c>
      <c r="U229" s="31">
        <v>0.0</v>
      </c>
      <c r="V229" s="31">
        <v>1.0</v>
      </c>
      <c r="W229" s="32" t="s">
        <v>7043</v>
      </c>
      <c r="X229" s="30">
        <v>47119.0</v>
      </c>
      <c r="Y229" s="30">
        <v>47483.0</v>
      </c>
      <c r="Z229" s="31">
        <v>0.0</v>
      </c>
      <c r="AA229" s="31">
        <v>1.0</v>
      </c>
      <c r="AB229" s="32" t="s">
        <v>7043</v>
      </c>
      <c r="AC229" s="30">
        <v>47484.0</v>
      </c>
      <c r="AD229" s="30">
        <v>47848.0</v>
      </c>
      <c r="AE229" s="31">
        <v>0.0</v>
      </c>
      <c r="AF229" s="31">
        <v>1.0</v>
      </c>
      <c r="AG229" s="32" t="s">
        <v>7043</v>
      </c>
    </row>
    <row r="230" ht="14.25" customHeight="1">
      <c r="A230" s="28" t="s">
        <v>5060</v>
      </c>
      <c r="B230" s="29" t="s">
        <v>5061</v>
      </c>
      <c r="C230" s="29" t="s">
        <v>7041</v>
      </c>
      <c r="D230" s="30">
        <v>45658.0</v>
      </c>
      <c r="E230" s="30">
        <v>46022.0</v>
      </c>
      <c r="F230" s="31">
        <v>1.0</v>
      </c>
      <c r="G230" s="31">
        <v>1.0</v>
      </c>
      <c r="H230" s="33" t="s">
        <v>7042</v>
      </c>
      <c r="I230" s="30">
        <v>46023.0</v>
      </c>
      <c r="J230" s="30">
        <v>46387.0</v>
      </c>
      <c r="K230" s="31">
        <v>0.0</v>
      </c>
      <c r="L230" s="31">
        <v>1.0</v>
      </c>
      <c r="M230" s="32" t="s">
        <v>7043</v>
      </c>
      <c r="N230" s="30">
        <v>46388.0</v>
      </c>
      <c r="O230" s="30">
        <v>46752.0</v>
      </c>
      <c r="P230" s="31">
        <v>0.0</v>
      </c>
      <c r="Q230" s="31">
        <v>1.0</v>
      </c>
      <c r="R230" s="32" t="s">
        <v>7043</v>
      </c>
      <c r="S230" s="30">
        <v>46753.0</v>
      </c>
      <c r="T230" s="30">
        <v>47118.0</v>
      </c>
      <c r="U230" s="31">
        <v>0.0</v>
      </c>
      <c r="V230" s="31">
        <v>1.0</v>
      </c>
      <c r="W230" s="32" t="s">
        <v>7043</v>
      </c>
      <c r="X230" s="30">
        <v>47119.0</v>
      </c>
      <c r="Y230" s="30">
        <v>47483.0</v>
      </c>
      <c r="Z230" s="31">
        <v>0.0</v>
      </c>
      <c r="AA230" s="31">
        <v>1.0</v>
      </c>
      <c r="AB230" s="32" t="s">
        <v>7043</v>
      </c>
      <c r="AC230" s="30">
        <v>47484.0</v>
      </c>
      <c r="AD230" s="30">
        <v>47848.0</v>
      </c>
      <c r="AE230" s="31">
        <v>0.0</v>
      </c>
      <c r="AF230" s="31">
        <v>1.0</v>
      </c>
      <c r="AG230" s="32" t="s">
        <v>7043</v>
      </c>
    </row>
    <row r="231" ht="14.25" customHeight="1">
      <c r="A231" s="28" t="s">
        <v>5116</v>
      </c>
      <c r="B231" s="29" t="s">
        <v>5117</v>
      </c>
      <c r="C231" s="29" t="s">
        <v>7041</v>
      </c>
      <c r="D231" s="30">
        <v>45658.0</v>
      </c>
      <c r="E231" s="30">
        <v>46022.0</v>
      </c>
      <c r="F231" s="31">
        <v>0.0</v>
      </c>
      <c r="G231" s="31">
        <v>1.0</v>
      </c>
      <c r="H231" s="32" t="s">
        <v>7043</v>
      </c>
      <c r="I231" s="30">
        <v>46023.0</v>
      </c>
      <c r="J231" s="30">
        <v>46387.0</v>
      </c>
      <c r="K231" s="31">
        <v>0.0</v>
      </c>
      <c r="L231" s="31">
        <v>1.0</v>
      </c>
      <c r="M231" s="32" t="s">
        <v>7043</v>
      </c>
      <c r="N231" s="30">
        <v>46388.0</v>
      </c>
      <c r="O231" s="30">
        <v>46752.0</v>
      </c>
      <c r="P231" s="31">
        <v>0.0</v>
      </c>
      <c r="Q231" s="31">
        <v>1.0</v>
      </c>
      <c r="R231" s="32" t="s">
        <v>7043</v>
      </c>
      <c r="S231" s="30">
        <v>46753.0</v>
      </c>
      <c r="T231" s="30">
        <v>47118.0</v>
      </c>
      <c r="U231" s="31">
        <v>0.0</v>
      </c>
      <c r="V231" s="31">
        <v>1.0</v>
      </c>
      <c r="W231" s="32" t="s">
        <v>7043</v>
      </c>
      <c r="X231" s="30">
        <v>47119.0</v>
      </c>
      <c r="Y231" s="30">
        <v>47483.0</v>
      </c>
      <c r="Z231" s="31">
        <v>0.0</v>
      </c>
      <c r="AA231" s="31">
        <v>1.0</v>
      </c>
      <c r="AB231" s="32" t="s">
        <v>7043</v>
      </c>
      <c r="AC231" s="30">
        <v>47484.0</v>
      </c>
      <c r="AD231" s="30">
        <v>47848.0</v>
      </c>
      <c r="AE231" s="31">
        <v>0.0</v>
      </c>
      <c r="AF231" s="31">
        <v>1.0</v>
      </c>
      <c r="AG231" s="32" t="s">
        <v>7043</v>
      </c>
    </row>
    <row r="232" ht="14.25" customHeight="1">
      <c r="A232" s="28" t="s">
        <v>5157</v>
      </c>
      <c r="B232" s="29" t="s">
        <v>5158</v>
      </c>
      <c r="C232" s="29" t="s">
        <v>7041</v>
      </c>
      <c r="D232" s="30">
        <v>45658.0</v>
      </c>
      <c r="E232" s="30">
        <v>46022.0</v>
      </c>
      <c r="F232" s="31">
        <v>0.0</v>
      </c>
      <c r="G232" s="31">
        <v>1.0</v>
      </c>
      <c r="H232" s="32" t="s">
        <v>7043</v>
      </c>
      <c r="I232" s="30">
        <v>46023.0</v>
      </c>
      <c r="J232" s="30">
        <v>46387.0</v>
      </c>
      <c r="K232" s="31">
        <v>0.0</v>
      </c>
      <c r="L232" s="31">
        <v>1.0</v>
      </c>
      <c r="M232" s="32" t="s">
        <v>7043</v>
      </c>
      <c r="N232" s="30">
        <v>46388.0</v>
      </c>
      <c r="O232" s="30">
        <v>46752.0</v>
      </c>
      <c r="P232" s="31">
        <v>0.0</v>
      </c>
      <c r="Q232" s="31">
        <v>1.0</v>
      </c>
      <c r="R232" s="32" t="s">
        <v>7043</v>
      </c>
      <c r="S232" s="30">
        <v>46753.0</v>
      </c>
      <c r="T232" s="30">
        <v>47118.0</v>
      </c>
      <c r="U232" s="31">
        <v>0.0</v>
      </c>
      <c r="V232" s="31">
        <v>1.0</v>
      </c>
      <c r="W232" s="32" t="s">
        <v>7043</v>
      </c>
      <c r="X232" s="30">
        <v>47119.0</v>
      </c>
      <c r="Y232" s="30">
        <v>47483.0</v>
      </c>
      <c r="Z232" s="31">
        <v>0.0</v>
      </c>
      <c r="AA232" s="31">
        <v>1.0</v>
      </c>
      <c r="AB232" s="32" t="s">
        <v>7043</v>
      </c>
      <c r="AC232" s="30">
        <v>47484.0</v>
      </c>
      <c r="AD232" s="30">
        <v>47848.0</v>
      </c>
      <c r="AE232" s="31">
        <v>0.0</v>
      </c>
      <c r="AF232" s="31">
        <v>1.0</v>
      </c>
      <c r="AG232" s="32" t="s">
        <v>7043</v>
      </c>
    </row>
    <row r="233" ht="14.25" customHeight="1">
      <c r="A233" s="28" t="s">
        <v>5717</v>
      </c>
      <c r="B233" s="29" t="s">
        <v>5718</v>
      </c>
      <c r="C233" s="29" t="s">
        <v>7041</v>
      </c>
      <c r="D233" s="30">
        <v>45658.0</v>
      </c>
      <c r="E233" s="30">
        <v>46022.0</v>
      </c>
      <c r="F233" s="31">
        <v>0.0</v>
      </c>
      <c r="G233" s="31">
        <v>1.0</v>
      </c>
      <c r="H233" s="32" t="s">
        <v>7043</v>
      </c>
      <c r="I233" s="30">
        <v>46023.0</v>
      </c>
      <c r="J233" s="30">
        <v>46387.0</v>
      </c>
      <c r="K233" s="31">
        <v>0.0</v>
      </c>
      <c r="L233" s="31">
        <v>1.0</v>
      </c>
      <c r="M233" s="32" t="s">
        <v>7043</v>
      </c>
      <c r="N233" s="30">
        <v>46388.0</v>
      </c>
      <c r="O233" s="30">
        <v>46752.0</v>
      </c>
      <c r="P233" s="31">
        <v>0.0</v>
      </c>
      <c r="Q233" s="31">
        <v>1.0</v>
      </c>
      <c r="R233" s="32" t="s">
        <v>7043</v>
      </c>
      <c r="S233" s="30">
        <v>46753.0</v>
      </c>
      <c r="T233" s="30">
        <v>47118.0</v>
      </c>
      <c r="U233" s="31">
        <v>0.0</v>
      </c>
      <c r="V233" s="31">
        <v>1.0</v>
      </c>
      <c r="W233" s="32" t="s">
        <v>7043</v>
      </c>
      <c r="X233" s="30">
        <v>47119.0</v>
      </c>
      <c r="Y233" s="30">
        <v>47483.0</v>
      </c>
      <c r="Z233" s="31">
        <v>0.0</v>
      </c>
      <c r="AA233" s="31">
        <v>1.0</v>
      </c>
      <c r="AB233" s="32" t="s">
        <v>7043</v>
      </c>
      <c r="AC233" s="30">
        <v>47484.0</v>
      </c>
      <c r="AD233" s="30">
        <v>47848.0</v>
      </c>
      <c r="AE233" s="31">
        <v>0.0</v>
      </c>
      <c r="AF233" s="31">
        <v>1.0</v>
      </c>
      <c r="AG233" s="32" t="s">
        <v>7043</v>
      </c>
    </row>
    <row r="234" ht="14.25" customHeight="1">
      <c r="A234" s="28" t="s">
        <v>6261</v>
      </c>
      <c r="B234" s="29" t="s">
        <v>6262</v>
      </c>
      <c r="C234" s="29" t="s">
        <v>7041</v>
      </c>
      <c r="D234" s="30">
        <v>45658.0</v>
      </c>
      <c r="E234" s="30">
        <v>46022.0</v>
      </c>
      <c r="F234" s="31">
        <v>0.0</v>
      </c>
      <c r="G234" s="31">
        <v>1.0</v>
      </c>
      <c r="H234" s="32" t="s">
        <v>7043</v>
      </c>
      <c r="I234" s="30">
        <v>46023.0</v>
      </c>
      <c r="J234" s="30">
        <v>46387.0</v>
      </c>
      <c r="K234" s="31">
        <v>0.0</v>
      </c>
      <c r="L234" s="31">
        <v>1.0</v>
      </c>
      <c r="M234" s="32" t="s">
        <v>7043</v>
      </c>
      <c r="N234" s="30">
        <v>46388.0</v>
      </c>
      <c r="O234" s="30">
        <v>46752.0</v>
      </c>
      <c r="P234" s="31">
        <v>0.0</v>
      </c>
      <c r="Q234" s="31">
        <v>1.0</v>
      </c>
      <c r="R234" s="32" t="s">
        <v>7043</v>
      </c>
      <c r="S234" s="30">
        <v>46753.0</v>
      </c>
      <c r="T234" s="30">
        <v>47118.0</v>
      </c>
      <c r="U234" s="31">
        <v>0.0</v>
      </c>
      <c r="V234" s="31">
        <v>1.0</v>
      </c>
      <c r="W234" s="32" t="s">
        <v>7043</v>
      </c>
      <c r="X234" s="30">
        <v>47119.0</v>
      </c>
      <c r="Y234" s="30">
        <v>47483.0</v>
      </c>
      <c r="Z234" s="31">
        <v>0.0</v>
      </c>
      <c r="AA234" s="31">
        <v>1.0</v>
      </c>
      <c r="AB234" s="32" t="s">
        <v>7043</v>
      </c>
      <c r="AC234" s="30">
        <v>47484.0</v>
      </c>
      <c r="AD234" s="30">
        <v>47848.0</v>
      </c>
      <c r="AE234" s="31">
        <v>0.0</v>
      </c>
      <c r="AF234" s="31">
        <v>1.0</v>
      </c>
      <c r="AG234" s="32" t="s">
        <v>7043</v>
      </c>
    </row>
    <row r="235" ht="14.25" customHeight="1">
      <c r="A235" s="28" t="s">
        <v>2471</v>
      </c>
      <c r="B235" s="29" t="s">
        <v>2472</v>
      </c>
      <c r="C235" s="29" t="s">
        <v>7044</v>
      </c>
      <c r="D235" s="30">
        <v>45658.0</v>
      </c>
      <c r="E235" s="30">
        <v>46022.0</v>
      </c>
      <c r="F235" s="31">
        <v>0.0</v>
      </c>
      <c r="G235" s="31">
        <v>1.0</v>
      </c>
      <c r="H235" s="32" t="s">
        <v>7043</v>
      </c>
      <c r="I235" s="30">
        <v>46023.0</v>
      </c>
      <c r="J235" s="30">
        <v>46387.0</v>
      </c>
      <c r="K235" s="31">
        <v>0.0</v>
      </c>
      <c r="L235" s="31">
        <v>1.0</v>
      </c>
      <c r="M235" s="32" t="s">
        <v>7043</v>
      </c>
      <c r="N235" s="30">
        <v>46388.0</v>
      </c>
      <c r="O235" s="30">
        <v>46752.0</v>
      </c>
      <c r="P235" s="31">
        <v>0.0</v>
      </c>
      <c r="Q235" s="31">
        <v>1.0</v>
      </c>
      <c r="R235" s="32" t="s">
        <v>7043</v>
      </c>
      <c r="S235" s="30">
        <v>46753.0</v>
      </c>
      <c r="T235" s="30">
        <v>47118.0</v>
      </c>
      <c r="U235" s="31">
        <v>0.0</v>
      </c>
      <c r="V235" s="31">
        <v>1.0</v>
      </c>
      <c r="W235" s="32" t="s">
        <v>7043</v>
      </c>
      <c r="X235" s="30">
        <v>47119.0</v>
      </c>
      <c r="Y235" s="30">
        <v>47483.0</v>
      </c>
      <c r="Z235" s="31">
        <v>0.0</v>
      </c>
      <c r="AA235" s="31">
        <v>1.0</v>
      </c>
      <c r="AB235" s="32" t="s">
        <v>7043</v>
      </c>
      <c r="AC235" s="30">
        <v>47484.0</v>
      </c>
      <c r="AD235" s="30">
        <v>47848.0</v>
      </c>
      <c r="AE235" s="31">
        <v>0.0</v>
      </c>
      <c r="AF235" s="31">
        <v>1.0</v>
      </c>
      <c r="AG235" s="32" t="s">
        <v>7043</v>
      </c>
    </row>
    <row r="236" ht="14.25" customHeight="1">
      <c r="A236" s="28" t="s">
        <v>1188</v>
      </c>
      <c r="B236" s="29" t="s">
        <v>1189</v>
      </c>
      <c r="C236" s="29" t="s">
        <v>7044</v>
      </c>
      <c r="D236" s="30">
        <v>45658.0</v>
      </c>
      <c r="E236" s="30">
        <v>46022.0</v>
      </c>
      <c r="F236" s="31">
        <v>0.0</v>
      </c>
      <c r="G236" s="31">
        <v>1.0</v>
      </c>
      <c r="H236" s="32" t="s">
        <v>7043</v>
      </c>
      <c r="I236" s="30">
        <v>46023.0</v>
      </c>
      <c r="J236" s="30">
        <v>46387.0</v>
      </c>
      <c r="K236" s="31">
        <v>0.0</v>
      </c>
      <c r="L236" s="31">
        <v>1.0</v>
      </c>
      <c r="M236" s="32" t="s">
        <v>7043</v>
      </c>
      <c r="N236" s="30">
        <v>46388.0</v>
      </c>
      <c r="O236" s="30">
        <v>46752.0</v>
      </c>
      <c r="P236" s="31">
        <v>0.0</v>
      </c>
      <c r="Q236" s="31">
        <v>1.0</v>
      </c>
      <c r="R236" s="32" t="s">
        <v>7043</v>
      </c>
      <c r="S236" s="30">
        <v>46753.0</v>
      </c>
      <c r="T236" s="30">
        <v>47118.0</v>
      </c>
      <c r="U236" s="31">
        <v>0.0</v>
      </c>
      <c r="V236" s="31">
        <v>1.0</v>
      </c>
      <c r="W236" s="32" t="s">
        <v>7043</v>
      </c>
      <c r="X236" s="30">
        <v>47119.0</v>
      </c>
      <c r="Y236" s="30">
        <v>47483.0</v>
      </c>
      <c r="Z236" s="31">
        <v>0.0</v>
      </c>
      <c r="AA236" s="31">
        <v>1.0</v>
      </c>
      <c r="AB236" s="32" t="s">
        <v>7043</v>
      </c>
      <c r="AC236" s="30">
        <v>47484.0</v>
      </c>
      <c r="AD236" s="30">
        <v>47848.0</v>
      </c>
      <c r="AE236" s="31">
        <v>0.0</v>
      </c>
      <c r="AF236" s="31">
        <v>1.0</v>
      </c>
      <c r="AG236" s="32" t="s">
        <v>7043</v>
      </c>
    </row>
    <row r="237" ht="14.25" customHeight="1">
      <c r="A237" s="28" t="s">
        <v>208</v>
      </c>
      <c r="B237" s="29" t="s">
        <v>209</v>
      </c>
      <c r="C237" s="29" t="s">
        <v>7041</v>
      </c>
      <c r="D237" s="30">
        <v>45658.0</v>
      </c>
      <c r="E237" s="30">
        <v>46022.0</v>
      </c>
      <c r="F237" s="31">
        <v>0.0</v>
      </c>
      <c r="G237" s="31">
        <v>1.0</v>
      </c>
      <c r="H237" s="32" t="s">
        <v>7043</v>
      </c>
      <c r="I237" s="30">
        <v>46023.0</v>
      </c>
      <c r="J237" s="30">
        <v>46387.0</v>
      </c>
      <c r="K237" s="31">
        <v>0.0</v>
      </c>
      <c r="L237" s="31">
        <v>1.0</v>
      </c>
      <c r="M237" s="32" t="s">
        <v>7043</v>
      </c>
      <c r="N237" s="30">
        <v>46388.0</v>
      </c>
      <c r="O237" s="30">
        <v>46752.0</v>
      </c>
      <c r="P237" s="31">
        <v>0.0</v>
      </c>
      <c r="Q237" s="31">
        <v>1.0</v>
      </c>
      <c r="R237" s="32" t="s">
        <v>7043</v>
      </c>
      <c r="S237" s="30">
        <v>46753.0</v>
      </c>
      <c r="T237" s="30">
        <v>47118.0</v>
      </c>
      <c r="U237" s="31">
        <v>0.0</v>
      </c>
      <c r="V237" s="31">
        <v>1.0</v>
      </c>
      <c r="W237" s="32" t="s">
        <v>7043</v>
      </c>
      <c r="X237" s="30">
        <v>47119.0</v>
      </c>
      <c r="Y237" s="30">
        <v>47483.0</v>
      </c>
      <c r="Z237" s="31">
        <v>0.0</v>
      </c>
      <c r="AA237" s="31">
        <v>1.0</v>
      </c>
      <c r="AB237" s="32" t="s">
        <v>7043</v>
      </c>
      <c r="AC237" s="30">
        <v>47484.0</v>
      </c>
      <c r="AD237" s="30">
        <v>47848.0</v>
      </c>
      <c r="AE237" s="31">
        <v>0.0</v>
      </c>
      <c r="AF237" s="31">
        <v>1.0</v>
      </c>
      <c r="AG237" s="32" t="s">
        <v>7043</v>
      </c>
    </row>
    <row r="238" ht="14.25" customHeight="1">
      <c r="A238" s="28" t="s">
        <v>237</v>
      </c>
      <c r="B238" s="29" t="s">
        <v>238</v>
      </c>
      <c r="C238" s="29" t="s">
        <v>7041</v>
      </c>
      <c r="D238" s="30">
        <v>45658.0</v>
      </c>
      <c r="E238" s="30">
        <v>46022.0</v>
      </c>
      <c r="F238" s="31">
        <v>1.0</v>
      </c>
      <c r="G238" s="31">
        <v>1.0</v>
      </c>
      <c r="H238" s="33" t="s">
        <v>7042</v>
      </c>
      <c r="I238" s="30">
        <v>46023.0</v>
      </c>
      <c r="J238" s="30">
        <v>46387.0</v>
      </c>
      <c r="K238" s="31">
        <v>0.0</v>
      </c>
      <c r="L238" s="31">
        <v>1.0</v>
      </c>
      <c r="M238" s="32" t="s">
        <v>7043</v>
      </c>
      <c r="N238" s="30">
        <v>46388.0</v>
      </c>
      <c r="O238" s="30">
        <v>46752.0</v>
      </c>
      <c r="P238" s="31">
        <v>0.0</v>
      </c>
      <c r="Q238" s="31">
        <v>1.0</v>
      </c>
      <c r="R238" s="32" t="s">
        <v>7043</v>
      </c>
      <c r="S238" s="30">
        <v>46753.0</v>
      </c>
      <c r="T238" s="30">
        <v>47118.0</v>
      </c>
      <c r="U238" s="31">
        <v>0.0</v>
      </c>
      <c r="V238" s="31">
        <v>1.0</v>
      </c>
      <c r="W238" s="32" t="s">
        <v>7043</v>
      </c>
      <c r="X238" s="30">
        <v>47119.0</v>
      </c>
      <c r="Y238" s="30">
        <v>47483.0</v>
      </c>
      <c r="Z238" s="31">
        <v>0.0</v>
      </c>
      <c r="AA238" s="31">
        <v>1.0</v>
      </c>
      <c r="AB238" s="32" t="s">
        <v>7043</v>
      </c>
      <c r="AC238" s="30">
        <v>47484.0</v>
      </c>
      <c r="AD238" s="30">
        <v>47848.0</v>
      </c>
      <c r="AE238" s="31">
        <v>0.0</v>
      </c>
      <c r="AF238" s="31">
        <v>1.0</v>
      </c>
      <c r="AG238" s="32" t="s">
        <v>7043</v>
      </c>
    </row>
    <row r="239" ht="14.25" customHeight="1">
      <c r="A239" s="28" t="s">
        <v>311</v>
      </c>
      <c r="B239" s="29" t="s">
        <v>312</v>
      </c>
      <c r="C239" s="29" t="s">
        <v>7041</v>
      </c>
      <c r="D239" s="30">
        <v>45658.0</v>
      </c>
      <c r="E239" s="30">
        <v>46022.0</v>
      </c>
      <c r="F239" s="31">
        <v>1.0</v>
      </c>
      <c r="G239" s="31">
        <v>1.0</v>
      </c>
      <c r="H239" s="32" t="s">
        <v>7042</v>
      </c>
      <c r="I239" s="30">
        <v>46023.0</v>
      </c>
      <c r="J239" s="30">
        <v>46387.0</v>
      </c>
      <c r="K239" s="31">
        <v>0.0</v>
      </c>
      <c r="L239" s="31">
        <v>1.0</v>
      </c>
      <c r="M239" s="32" t="s">
        <v>7043</v>
      </c>
      <c r="N239" s="30">
        <v>46388.0</v>
      </c>
      <c r="O239" s="30">
        <v>46752.0</v>
      </c>
      <c r="P239" s="31">
        <v>0.0</v>
      </c>
      <c r="Q239" s="31">
        <v>1.0</v>
      </c>
      <c r="R239" s="32" t="s">
        <v>7043</v>
      </c>
      <c r="S239" s="30">
        <v>46753.0</v>
      </c>
      <c r="T239" s="30">
        <v>47118.0</v>
      </c>
      <c r="U239" s="31">
        <v>0.0</v>
      </c>
      <c r="V239" s="31">
        <v>1.0</v>
      </c>
      <c r="W239" s="32" t="s">
        <v>7043</v>
      </c>
      <c r="X239" s="30">
        <v>47119.0</v>
      </c>
      <c r="Y239" s="30">
        <v>47483.0</v>
      </c>
      <c r="Z239" s="31">
        <v>0.0</v>
      </c>
      <c r="AA239" s="31">
        <v>1.0</v>
      </c>
      <c r="AB239" s="32" t="s">
        <v>7043</v>
      </c>
      <c r="AC239" s="30">
        <v>47484.0</v>
      </c>
      <c r="AD239" s="30">
        <v>47848.0</v>
      </c>
      <c r="AE239" s="31">
        <v>0.0</v>
      </c>
      <c r="AF239" s="31">
        <v>1.0</v>
      </c>
      <c r="AG239" s="32" t="s">
        <v>7043</v>
      </c>
    </row>
    <row r="240" ht="14.25" customHeight="1">
      <c r="A240" s="28" t="s">
        <v>283</v>
      </c>
      <c r="B240" s="29" t="s">
        <v>284</v>
      </c>
      <c r="C240" s="29" t="s">
        <v>7041</v>
      </c>
      <c r="D240" s="30">
        <v>45658.0</v>
      </c>
      <c r="E240" s="30">
        <v>46022.0</v>
      </c>
      <c r="F240" s="31">
        <v>0.0</v>
      </c>
      <c r="G240" s="31">
        <v>1.0</v>
      </c>
      <c r="H240" s="32" t="s">
        <v>7043</v>
      </c>
      <c r="I240" s="30">
        <v>46023.0</v>
      </c>
      <c r="J240" s="30">
        <v>46387.0</v>
      </c>
      <c r="K240" s="31">
        <v>0.0</v>
      </c>
      <c r="L240" s="31">
        <v>1.0</v>
      </c>
      <c r="M240" s="32" t="s">
        <v>7043</v>
      </c>
      <c r="N240" s="30">
        <v>46388.0</v>
      </c>
      <c r="O240" s="30">
        <v>46752.0</v>
      </c>
      <c r="P240" s="31">
        <v>0.0</v>
      </c>
      <c r="Q240" s="31">
        <v>1.0</v>
      </c>
      <c r="R240" s="32" t="s">
        <v>7043</v>
      </c>
      <c r="S240" s="30">
        <v>46753.0</v>
      </c>
      <c r="T240" s="30">
        <v>47118.0</v>
      </c>
      <c r="U240" s="31">
        <v>0.0</v>
      </c>
      <c r="V240" s="31">
        <v>1.0</v>
      </c>
      <c r="W240" s="32" t="s">
        <v>7043</v>
      </c>
      <c r="X240" s="30">
        <v>47119.0</v>
      </c>
      <c r="Y240" s="30">
        <v>47483.0</v>
      </c>
      <c r="Z240" s="31">
        <v>0.0</v>
      </c>
      <c r="AA240" s="31">
        <v>1.0</v>
      </c>
      <c r="AB240" s="32" t="s">
        <v>7043</v>
      </c>
      <c r="AC240" s="30">
        <v>47484.0</v>
      </c>
      <c r="AD240" s="30">
        <v>47848.0</v>
      </c>
      <c r="AE240" s="31">
        <v>0.0</v>
      </c>
      <c r="AF240" s="31">
        <v>1.0</v>
      </c>
      <c r="AG240" s="32" t="s">
        <v>7043</v>
      </c>
    </row>
    <row r="241" ht="14.25" customHeight="1">
      <c r="A241" s="28" t="s">
        <v>324</v>
      </c>
      <c r="B241" s="29" t="s">
        <v>325</v>
      </c>
      <c r="C241" s="29" t="s">
        <v>7041</v>
      </c>
      <c r="D241" s="30">
        <v>45658.0</v>
      </c>
      <c r="E241" s="30">
        <v>46022.0</v>
      </c>
      <c r="F241" s="31">
        <v>0.0</v>
      </c>
      <c r="G241" s="31">
        <v>1.0</v>
      </c>
      <c r="H241" s="32" t="s">
        <v>7043</v>
      </c>
      <c r="I241" s="30">
        <v>46023.0</v>
      </c>
      <c r="J241" s="30">
        <v>46387.0</v>
      </c>
      <c r="K241" s="31">
        <v>0.0</v>
      </c>
      <c r="L241" s="31">
        <v>1.0</v>
      </c>
      <c r="M241" s="32" t="s">
        <v>7043</v>
      </c>
      <c r="N241" s="30">
        <v>46388.0</v>
      </c>
      <c r="O241" s="30">
        <v>46752.0</v>
      </c>
      <c r="P241" s="31">
        <v>0.0</v>
      </c>
      <c r="Q241" s="31">
        <v>1.0</v>
      </c>
      <c r="R241" s="32" t="s">
        <v>7043</v>
      </c>
      <c r="S241" s="30">
        <v>46753.0</v>
      </c>
      <c r="T241" s="30">
        <v>47118.0</v>
      </c>
      <c r="U241" s="31">
        <v>0.0</v>
      </c>
      <c r="V241" s="31">
        <v>1.0</v>
      </c>
      <c r="W241" s="32" t="s">
        <v>7043</v>
      </c>
      <c r="X241" s="30">
        <v>47119.0</v>
      </c>
      <c r="Y241" s="30">
        <v>47483.0</v>
      </c>
      <c r="Z241" s="31">
        <v>0.0</v>
      </c>
      <c r="AA241" s="31">
        <v>1.0</v>
      </c>
      <c r="AB241" s="32" t="s">
        <v>7043</v>
      </c>
      <c r="AC241" s="30">
        <v>47484.0</v>
      </c>
      <c r="AD241" s="30">
        <v>47848.0</v>
      </c>
      <c r="AE241" s="31">
        <v>0.0</v>
      </c>
      <c r="AF241" s="31">
        <v>1.0</v>
      </c>
      <c r="AG241" s="32" t="s">
        <v>7043</v>
      </c>
    </row>
    <row r="242" ht="14.25" customHeight="1">
      <c r="A242" s="28" t="s">
        <v>335</v>
      </c>
      <c r="B242" s="29" t="s">
        <v>336</v>
      </c>
      <c r="C242" s="29" t="s">
        <v>7041</v>
      </c>
      <c r="D242" s="30">
        <v>45658.0</v>
      </c>
      <c r="E242" s="30">
        <v>46022.0</v>
      </c>
      <c r="F242" s="31">
        <v>0.0</v>
      </c>
      <c r="G242" s="31">
        <v>1.0</v>
      </c>
      <c r="H242" s="32" t="s">
        <v>7043</v>
      </c>
      <c r="I242" s="30">
        <v>46023.0</v>
      </c>
      <c r="J242" s="30">
        <v>46387.0</v>
      </c>
      <c r="K242" s="31">
        <v>0.0</v>
      </c>
      <c r="L242" s="31">
        <v>1.0</v>
      </c>
      <c r="M242" s="32" t="s">
        <v>7043</v>
      </c>
      <c r="N242" s="30">
        <v>46388.0</v>
      </c>
      <c r="O242" s="30">
        <v>46752.0</v>
      </c>
      <c r="P242" s="31">
        <v>0.0</v>
      </c>
      <c r="Q242" s="31">
        <v>1.0</v>
      </c>
      <c r="R242" s="32" t="s">
        <v>7043</v>
      </c>
      <c r="S242" s="30">
        <v>46753.0</v>
      </c>
      <c r="T242" s="30">
        <v>47118.0</v>
      </c>
      <c r="U242" s="31">
        <v>0.0</v>
      </c>
      <c r="V242" s="31">
        <v>1.0</v>
      </c>
      <c r="W242" s="32" t="s">
        <v>7043</v>
      </c>
      <c r="X242" s="30">
        <v>47119.0</v>
      </c>
      <c r="Y242" s="30">
        <v>47483.0</v>
      </c>
      <c r="Z242" s="31">
        <v>0.0</v>
      </c>
      <c r="AA242" s="31">
        <v>1.0</v>
      </c>
      <c r="AB242" s="32" t="s">
        <v>7043</v>
      </c>
      <c r="AC242" s="30">
        <v>47484.0</v>
      </c>
      <c r="AD242" s="30">
        <v>47848.0</v>
      </c>
      <c r="AE242" s="31">
        <v>0.0</v>
      </c>
      <c r="AF242" s="31">
        <v>1.0</v>
      </c>
      <c r="AG242" s="32" t="s">
        <v>7043</v>
      </c>
    </row>
    <row r="243" ht="14.25" customHeight="1">
      <c r="A243" s="28" t="s">
        <v>434</v>
      </c>
      <c r="B243" s="29" t="s">
        <v>435</v>
      </c>
      <c r="C243" s="29" t="s">
        <v>7041</v>
      </c>
      <c r="D243" s="30">
        <v>45658.0</v>
      </c>
      <c r="E243" s="30">
        <v>46022.0</v>
      </c>
      <c r="F243" s="31">
        <v>0.0</v>
      </c>
      <c r="G243" s="31">
        <v>1.0</v>
      </c>
      <c r="H243" s="32" t="s">
        <v>7043</v>
      </c>
      <c r="I243" s="30">
        <v>46023.0</v>
      </c>
      <c r="J243" s="30">
        <v>46387.0</v>
      </c>
      <c r="K243" s="31">
        <v>0.0</v>
      </c>
      <c r="L243" s="31">
        <v>1.0</v>
      </c>
      <c r="M243" s="32" t="s">
        <v>7043</v>
      </c>
      <c r="N243" s="30">
        <v>46388.0</v>
      </c>
      <c r="O243" s="30">
        <v>46752.0</v>
      </c>
      <c r="P243" s="31">
        <v>0.0</v>
      </c>
      <c r="Q243" s="31">
        <v>1.0</v>
      </c>
      <c r="R243" s="32" t="s">
        <v>7043</v>
      </c>
      <c r="S243" s="30">
        <v>46753.0</v>
      </c>
      <c r="T243" s="30">
        <v>47118.0</v>
      </c>
      <c r="U243" s="31">
        <v>0.0</v>
      </c>
      <c r="V243" s="31">
        <v>1.0</v>
      </c>
      <c r="W243" s="32" t="s">
        <v>7043</v>
      </c>
      <c r="X243" s="30">
        <v>47119.0</v>
      </c>
      <c r="Y243" s="30">
        <v>47483.0</v>
      </c>
      <c r="Z243" s="31">
        <v>0.0</v>
      </c>
      <c r="AA243" s="31">
        <v>1.0</v>
      </c>
      <c r="AB243" s="32" t="s">
        <v>7043</v>
      </c>
      <c r="AC243" s="30">
        <v>47484.0</v>
      </c>
      <c r="AD243" s="30">
        <v>47848.0</v>
      </c>
      <c r="AE243" s="31">
        <v>0.0</v>
      </c>
      <c r="AF243" s="31">
        <v>1.0</v>
      </c>
      <c r="AG243" s="32" t="s">
        <v>7043</v>
      </c>
    </row>
    <row r="244" ht="14.25" customHeight="1">
      <c r="A244" s="28" t="s">
        <v>499</v>
      </c>
      <c r="B244" s="29" t="s">
        <v>500</v>
      </c>
      <c r="C244" s="29" t="s">
        <v>7041</v>
      </c>
      <c r="D244" s="30">
        <v>45658.0</v>
      </c>
      <c r="E244" s="30">
        <v>46022.0</v>
      </c>
      <c r="F244" s="31">
        <v>0.0</v>
      </c>
      <c r="G244" s="31">
        <v>1.0</v>
      </c>
      <c r="H244" s="32" t="s">
        <v>7043</v>
      </c>
      <c r="I244" s="30">
        <v>46023.0</v>
      </c>
      <c r="J244" s="30">
        <v>46387.0</v>
      </c>
      <c r="K244" s="31">
        <v>0.0</v>
      </c>
      <c r="L244" s="31">
        <v>1.0</v>
      </c>
      <c r="M244" s="32" t="s">
        <v>7043</v>
      </c>
      <c r="N244" s="30">
        <v>46388.0</v>
      </c>
      <c r="O244" s="30">
        <v>46752.0</v>
      </c>
      <c r="P244" s="31">
        <v>0.0</v>
      </c>
      <c r="Q244" s="31">
        <v>1.0</v>
      </c>
      <c r="R244" s="32" t="s">
        <v>7043</v>
      </c>
      <c r="S244" s="30">
        <v>46753.0</v>
      </c>
      <c r="T244" s="30">
        <v>47118.0</v>
      </c>
      <c r="U244" s="31">
        <v>0.0</v>
      </c>
      <c r="V244" s="31">
        <v>1.0</v>
      </c>
      <c r="W244" s="32" t="s">
        <v>7043</v>
      </c>
      <c r="X244" s="30">
        <v>47119.0</v>
      </c>
      <c r="Y244" s="30">
        <v>47483.0</v>
      </c>
      <c r="Z244" s="31">
        <v>0.0</v>
      </c>
      <c r="AA244" s="31">
        <v>1.0</v>
      </c>
      <c r="AB244" s="32" t="s">
        <v>7043</v>
      </c>
      <c r="AC244" s="30">
        <v>47484.0</v>
      </c>
      <c r="AD244" s="30">
        <v>47848.0</v>
      </c>
      <c r="AE244" s="31">
        <v>0.0</v>
      </c>
      <c r="AF244" s="31">
        <v>1.0</v>
      </c>
      <c r="AG244" s="32" t="s">
        <v>7043</v>
      </c>
    </row>
    <row r="245" ht="14.25" customHeight="1">
      <c r="A245" s="28" t="s">
        <v>515</v>
      </c>
      <c r="B245" s="29" t="s">
        <v>516</v>
      </c>
      <c r="C245" s="29" t="s">
        <v>7041</v>
      </c>
      <c r="D245" s="30">
        <v>45658.0</v>
      </c>
      <c r="E245" s="30">
        <v>46022.0</v>
      </c>
      <c r="F245" s="31">
        <v>0.0</v>
      </c>
      <c r="G245" s="31">
        <v>1.0</v>
      </c>
      <c r="H245" s="32" t="s">
        <v>7043</v>
      </c>
      <c r="I245" s="30">
        <v>46023.0</v>
      </c>
      <c r="J245" s="30">
        <v>46387.0</v>
      </c>
      <c r="K245" s="31">
        <v>0.0</v>
      </c>
      <c r="L245" s="31">
        <v>1.0</v>
      </c>
      <c r="M245" s="32" t="s">
        <v>7043</v>
      </c>
      <c r="N245" s="30">
        <v>46388.0</v>
      </c>
      <c r="O245" s="30">
        <v>46752.0</v>
      </c>
      <c r="P245" s="31">
        <v>0.0</v>
      </c>
      <c r="Q245" s="31">
        <v>1.0</v>
      </c>
      <c r="R245" s="32" t="s">
        <v>7043</v>
      </c>
      <c r="S245" s="30">
        <v>46753.0</v>
      </c>
      <c r="T245" s="30">
        <v>47118.0</v>
      </c>
      <c r="U245" s="31">
        <v>0.0</v>
      </c>
      <c r="V245" s="31">
        <v>1.0</v>
      </c>
      <c r="W245" s="32" t="s">
        <v>7043</v>
      </c>
      <c r="X245" s="30">
        <v>47119.0</v>
      </c>
      <c r="Y245" s="30">
        <v>47483.0</v>
      </c>
      <c r="Z245" s="31">
        <v>0.0</v>
      </c>
      <c r="AA245" s="31">
        <v>1.0</v>
      </c>
      <c r="AB245" s="32" t="s">
        <v>7043</v>
      </c>
      <c r="AC245" s="30">
        <v>47484.0</v>
      </c>
      <c r="AD245" s="30">
        <v>47848.0</v>
      </c>
      <c r="AE245" s="31">
        <v>0.0</v>
      </c>
      <c r="AF245" s="31">
        <v>1.0</v>
      </c>
      <c r="AG245" s="32" t="s">
        <v>7043</v>
      </c>
    </row>
    <row r="246" ht="14.25" customHeight="1">
      <c r="A246" s="28" t="s">
        <v>626</v>
      </c>
      <c r="B246" s="29" t="s">
        <v>627</v>
      </c>
      <c r="C246" s="29" t="s">
        <v>7041</v>
      </c>
      <c r="D246" s="30">
        <v>45658.0</v>
      </c>
      <c r="E246" s="30">
        <v>46022.0</v>
      </c>
      <c r="F246" s="31">
        <v>1.0</v>
      </c>
      <c r="G246" s="31">
        <v>1.0</v>
      </c>
      <c r="H246" s="33" t="s">
        <v>7042</v>
      </c>
      <c r="I246" s="30">
        <v>46023.0</v>
      </c>
      <c r="J246" s="30">
        <v>46387.0</v>
      </c>
      <c r="K246" s="31">
        <v>0.0</v>
      </c>
      <c r="L246" s="31">
        <v>1.0</v>
      </c>
      <c r="M246" s="32" t="s">
        <v>7043</v>
      </c>
      <c r="N246" s="30">
        <v>46388.0</v>
      </c>
      <c r="O246" s="30">
        <v>46752.0</v>
      </c>
      <c r="P246" s="31">
        <v>0.0</v>
      </c>
      <c r="Q246" s="31">
        <v>1.0</v>
      </c>
      <c r="R246" s="32" t="s">
        <v>7043</v>
      </c>
      <c r="S246" s="30">
        <v>46753.0</v>
      </c>
      <c r="T246" s="30">
        <v>47118.0</v>
      </c>
      <c r="U246" s="31">
        <v>0.0</v>
      </c>
      <c r="V246" s="31">
        <v>1.0</v>
      </c>
      <c r="W246" s="32" t="s">
        <v>7043</v>
      </c>
      <c r="X246" s="30">
        <v>47119.0</v>
      </c>
      <c r="Y246" s="30">
        <v>47483.0</v>
      </c>
      <c r="Z246" s="31">
        <v>0.0</v>
      </c>
      <c r="AA246" s="31">
        <v>1.0</v>
      </c>
      <c r="AB246" s="32" t="s">
        <v>7043</v>
      </c>
      <c r="AC246" s="30">
        <v>47484.0</v>
      </c>
      <c r="AD246" s="30">
        <v>47848.0</v>
      </c>
      <c r="AE246" s="31">
        <v>0.0</v>
      </c>
      <c r="AF246" s="31">
        <v>1.0</v>
      </c>
      <c r="AG246" s="32" t="s">
        <v>7043</v>
      </c>
    </row>
    <row r="247" ht="14.25" customHeight="1">
      <c r="A247" s="28" t="s">
        <v>631</v>
      </c>
      <c r="B247" s="29" t="s">
        <v>632</v>
      </c>
      <c r="C247" s="29" t="s">
        <v>7041</v>
      </c>
      <c r="D247" s="30">
        <v>45658.0</v>
      </c>
      <c r="E247" s="30">
        <v>46022.0</v>
      </c>
      <c r="F247" s="31">
        <v>0.0</v>
      </c>
      <c r="G247" s="31">
        <v>1.0</v>
      </c>
      <c r="H247" s="32" t="s">
        <v>7043</v>
      </c>
      <c r="I247" s="30">
        <v>46023.0</v>
      </c>
      <c r="J247" s="30">
        <v>46387.0</v>
      </c>
      <c r="K247" s="31">
        <v>0.0</v>
      </c>
      <c r="L247" s="31">
        <v>1.0</v>
      </c>
      <c r="M247" s="32" t="s">
        <v>7043</v>
      </c>
      <c r="N247" s="30">
        <v>46388.0</v>
      </c>
      <c r="O247" s="30">
        <v>46752.0</v>
      </c>
      <c r="P247" s="31">
        <v>0.0</v>
      </c>
      <c r="Q247" s="31">
        <v>1.0</v>
      </c>
      <c r="R247" s="32" t="s">
        <v>7043</v>
      </c>
      <c r="S247" s="30">
        <v>46753.0</v>
      </c>
      <c r="T247" s="30">
        <v>47118.0</v>
      </c>
      <c r="U247" s="31">
        <v>0.0</v>
      </c>
      <c r="V247" s="31">
        <v>1.0</v>
      </c>
      <c r="W247" s="32" t="s">
        <v>7043</v>
      </c>
      <c r="X247" s="30">
        <v>47119.0</v>
      </c>
      <c r="Y247" s="30">
        <v>47483.0</v>
      </c>
      <c r="Z247" s="31">
        <v>0.0</v>
      </c>
      <c r="AA247" s="31">
        <v>1.0</v>
      </c>
      <c r="AB247" s="32" t="s">
        <v>7043</v>
      </c>
      <c r="AC247" s="30">
        <v>47484.0</v>
      </c>
      <c r="AD247" s="30">
        <v>47848.0</v>
      </c>
      <c r="AE247" s="31">
        <v>0.0</v>
      </c>
      <c r="AF247" s="31">
        <v>1.0</v>
      </c>
      <c r="AG247" s="32" t="s">
        <v>7043</v>
      </c>
    </row>
    <row r="248" ht="14.25" customHeight="1">
      <c r="A248" s="28" t="s">
        <v>635</v>
      </c>
      <c r="B248" s="29" t="s">
        <v>636</v>
      </c>
      <c r="C248" s="29" t="s">
        <v>7041</v>
      </c>
      <c r="D248" s="30">
        <v>45658.0</v>
      </c>
      <c r="E248" s="30">
        <v>46022.0</v>
      </c>
      <c r="F248" s="31">
        <v>1.0</v>
      </c>
      <c r="G248" s="31">
        <v>1.0</v>
      </c>
      <c r="H248" s="32" t="s">
        <v>7042</v>
      </c>
      <c r="I248" s="30">
        <v>46023.0</v>
      </c>
      <c r="J248" s="30">
        <v>46387.0</v>
      </c>
      <c r="K248" s="31">
        <v>0.0</v>
      </c>
      <c r="L248" s="31">
        <v>1.0</v>
      </c>
      <c r="M248" s="32" t="s">
        <v>7043</v>
      </c>
      <c r="N248" s="30">
        <v>46388.0</v>
      </c>
      <c r="O248" s="30">
        <v>46752.0</v>
      </c>
      <c r="P248" s="31">
        <v>0.0</v>
      </c>
      <c r="Q248" s="31">
        <v>1.0</v>
      </c>
      <c r="R248" s="32" t="s">
        <v>7043</v>
      </c>
      <c r="S248" s="30">
        <v>46753.0</v>
      </c>
      <c r="T248" s="30">
        <v>47118.0</v>
      </c>
      <c r="U248" s="31">
        <v>0.0</v>
      </c>
      <c r="V248" s="31">
        <v>1.0</v>
      </c>
      <c r="W248" s="32" t="s">
        <v>7043</v>
      </c>
      <c r="X248" s="30">
        <v>47119.0</v>
      </c>
      <c r="Y248" s="30">
        <v>47483.0</v>
      </c>
      <c r="Z248" s="31">
        <v>0.0</v>
      </c>
      <c r="AA248" s="31">
        <v>1.0</v>
      </c>
      <c r="AB248" s="32" t="s">
        <v>7043</v>
      </c>
      <c r="AC248" s="30">
        <v>47484.0</v>
      </c>
      <c r="AD248" s="30">
        <v>47848.0</v>
      </c>
      <c r="AE248" s="31">
        <v>0.0</v>
      </c>
      <c r="AF248" s="31">
        <v>1.0</v>
      </c>
      <c r="AG248" s="32" t="s">
        <v>7043</v>
      </c>
    </row>
    <row r="249" ht="14.25" customHeight="1">
      <c r="A249" s="28" t="s">
        <v>641</v>
      </c>
      <c r="B249" s="29" t="s">
        <v>642</v>
      </c>
      <c r="C249" s="29" t="s">
        <v>7041</v>
      </c>
      <c r="D249" s="30">
        <v>45658.0</v>
      </c>
      <c r="E249" s="30">
        <v>46022.0</v>
      </c>
      <c r="F249" s="31">
        <v>0.0</v>
      </c>
      <c r="G249" s="31">
        <v>1.0</v>
      </c>
      <c r="H249" s="32" t="s">
        <v>7043</v>
      </c>
      <c r="I249" s="30">
        <v>46023.0</v>
      </c>
      <c r="J249" s="30">
        <v>46387.0</v>
      </c>
      <c r="K249" s="31">
        <v>0.0</v>
      </c>
      <c r="L249" s="31">
        <v>1.0</v>
      </c>
      <c r="M249" s="32" t="s">
        <v>7043</v>
      </c>
      <c r="N249" s="30">
        <v>46388.0</v>
      </c>
      <c r="O249" s="30">
        <v>46752.0</v>
      </c>
      <c r="P249" s="31">
        <v>0.0</v>
      </c>
      <c r="Q249" s="31">
        <v>1.0</v>
      </c>
      <c r="R249" s="32" t="s">
        <v>7043</v>
      </c>
      <c r="S249" s="30">
        <v>46753.0</v>
      </c>
      <c r="T249" s="30">
        <v>47118.0</v>
      </c>
      <c r="U249" s="31">
        <v>0.0</v>
      </c>
      <c r="V249" s="31">
        <v>1.0</v>
      </c>
      <c r="W249" s="32" t="s">
        <v>7043</v>
      </c>
      <c r="X249" s="30">
        <v>47119.0</v>
      </c>
      <c r="Y249" s="30">
        <v>47483.0</v>
      </c>
      <c r="Z249" s="31">
        <v>0.0</v>
      </c>
      <c r="AA249" s="31">
        <v>1.0</v>
      </c>
      <c r="AB249" s="32" t="s">
        <v>7043</v>
      </c>
      <c r="AC249" s="30">
        <v>47484.0</v>
      </c>
      <c r="AD249" s="30">
        <v>47848.0</v>
      </c>
      <c r="AE249" s="31">
        <v>0.0</v>
      </c>
      <c r="AF249" s="31">
        <v>1.0</v>
      </c>
      <c r="AG249" s="32" t="s">
        <v>7043</v>
      </c>
    </row>
    <row r="250" ht="14.25" customHeight="1">
      <c r="A250" s="28" t="s">
        <v>649</v>
      </c>
      <c r="B250" s="29" t="s">
        <v>650</v>
      </c>
      <c r="C250" s="29" t="s">
        <v>7044</v>
      </c>
      <c r="D250" s="30">
        <v>45658.0</v>
      </c>
      <c r="E250" s="30">
        <v>46022.0</v>
      </c>
      <c r="F250" s="31">
        <v>0.0</v>
      </c>
      <c r="G250" s="31">
        <v>1.0</v>
      </c>
      <c r="H250" s="32" t="s">
        <v>7043</v>
      </c>
      <c r="I250" s="30">
        <v>46023.0</v>
      </c>
      <c r="J250" s="30">
        <v>46387.0</v>
      </c>
      <c r="K250" s="31">
        <v>0.0</v>
      </c>
      <c r="L250" s="31">
        <v>1.0</v>
      </c>
      <c r="M250" s="32" t="s">
        <v>7043</v>
      </c>
      <c r="N250" s="30">
        <v>46388.0</v>
      </c>
      <c r="O250" s="30">
        <v>46752.0</v>
      </c>
      <c r="P250" s="31">
        <v>0.0</v>
      </c>
      <c r="Q250" s="31">
        <v>1.0</v>
      </c>
      <c r="R250" s="32" t="s">
        <v>7043</v>
      </c>
      <c r="S250" s="30">
        <v>46753.0</v>
      </c>
      <c r="T250" s="30">
        <v>47118.0</v>
      </c>
      <c r="U250" s="31">
        <v>0.0</v>
      </c>
      <c r="V250" s="31">
        <v>1.0</v>
      </c>
      <c r="W250" s="32" t="s">
        <v>7043</v>
      </c>
      <c r="X250" s="30">
        <v>47119.0</v>
      </c>
      <c r="Y250" s="30">
        <v>47483.0</v>
      </c>
      <c r="Z250" s="31">
        <v>0.0</v>
      </c>
      <c r="AA250" s="31">
        <v>1.0</v>
      </c>
      <c r="AB250" s="32" t="s">
        <v>7043</v>
      </c>
      <c r="AC250" s="30">
        <v>47484.0</v>
      </c>
      <c r="AD250" s="30">
        <v>47848.0</v>
      </c>
      <c r="AE250" s="31">
        <v>0.0</v>
      </c>
      <c r="AF250" s="31">
        <v>1.0</v>
      </c>
      <c r="AG250" s="32" t="s">
        <v>7043</v>
      </c>
    </row>
    <row r="251" ht="14.25" customHeight="1">
      <c r="A251" s="28" t="s">
        <v>767</v>
      </c>
      <c r="B251" s="29" t="s">
        <v>768</v>
      </c>
      <c r="C251" s="29" t="s">
        <v>7041</v>
      </c>
      <c r="D251" s="30">
        <v>45658.0</v>
      </c>
      <c r="E251" s="30">
        <v>46022.0</v>
      </c>
      <c r="F251" s="31">
        <v>1.0</v>
      </c>
      <c r="G251" s="31">
        <v>1.0</v>
      </c>
      <c r="H251" s="32" t="s">
        <v>7042</v>
      </c>
      <c r="I251" s="30">
        <v>46023.0</v>
      </c>
      <c r="J251" s="30">
        <v>46387.0</v>
      </c>
      <c r="K251" s="31">
        <v>0.0</v>
      </c>
      <c r="L251" s="31">
        <v>1.0</v>
      </c>
      <c r="M251" s="32" t="s">
        <v>7043</v>
      </c>
      <c r="N251" s="30">
        <v>46388.0</v>
      </c>
      <c r="O251" s="30">
        <v>46752.0</v>
      </c>
      <c r="P251" s="31">
        <v>0.0</v>
      </c>
      <c r="Q251" s="31">
        <v>1.0</v>
      </c>
      <c r="R251" s="32" t="s">
        <v>7043</v>
      </c>
      <c r="S251" s="30">
        <v>46753.0</v>
      </c>
      <c r="T251" s="30">
        <v>47118.0</v>
      </c>
      <c r="U251" s="31">
        <v>0.0</v>
      </c>
      <c r="V251" s="31">
        <v>1.0</v>
      </c>
      <c r="W251" s="32" t="s">
        <v>7043</v>
      </c>
      <c r="X251" s="30">
        <v>47119.0</v>
      </c>
      <c r="Y251" s="30">
        <v>47483.0</v>
      </c>
      <c r="Z251" s="31">
        <v>0.0</v>
      </c>
      <c r="AA251" s="31">
        <v>1.0</v>
      </c>
      <c r="AB251" s="32" t="s">
        <v>7043</v>
      </c>
      <c r="AC251" s="30">
        <v>47484.0</v>
      </c>
      <c r="AD251" s="30">
        <v>47848.0</v>
      </c>
      <c r="AE251" s="31">
        <v>0.0</v>
      </c>
      <c r="AF251" s="31">
        <v>1.0</v>
      </c>
      <c r="AG251" s="32" t="s">
        <v>7043</v>
      </c>
    </row>
    <row r="252" ht="14.25" customHeight="1">
      <c r="A252" s="28" t="s">
        <v>791</v>
      </c>
      <c r="B252" s="29" t="s">
        <v>792</v>
      </c>
      <c r="C252" s="29" t="s">
        <v>7041</v>
      </c>
      <c r="D252" s="30">
        <v>45658.0</v>
      </c>
      <c r="E252" s="30">
        <v>46022.0</v>
      </c>
      <c r="F252" s="31">
        <v>1.0</v>
      </c>
      <c r="G252" s="31">
        <v>1.0</v>
      </c>
      <c r="H252" s="32" t="s">
        <v>7042</v>
      </c>
      <c r="I252" s="30">
        <v>46023.0</v>
      </c>
      <c r="J252" s="30">
        <v>46387.0</v>
      </c>
      <c r="K252" s="31">
        <v>0.0</v>
      </c>
      <c r="L252" s="31">
        <v>1.0</v>
      </c>
      <c r="M252" s="32" t="s">
        <v>7043</v>
      </c>
      <c r="N252" s="30">
        <v>46388.0</v>
      </c>
      <c r="O252" s="30">
        <v>46752.0</v>
      </c>
      <c r="P252" s="31">
        <v>0.0</v>
      </c>
      <c r="Q252" s="31">
        <v>1.0</v>
      </c>
      <c r="R252" s="32" t="s">
        <v>7043</v>
      </c>
      <c r="S252" s="30">
        <v>46753.0</v>
      </c>
      <c r="T252" s="30">
        <v>47118.0</v>
      </c>
      <c r="U252" s="31">
        <v>0.0</v>
      </c>
      <c r="V252" s="31">
        <v>1.0</v>
      </c>
      <c r="W252" s="32" t="s">
        <v>7043</v>
      </c>
      <c r="X252" s="30">
        <v>47119.0</v>
      </c>
      <c r="Y252" s="30">
        <v>47483.0</v>
      </c>
      <c r="Z252" s="31">
        <v>0.0</v>
      </c>
      <c r="AA252" s="31">
        <v>1.0</v>
      </c>
      <c r="AB252" s="32" t="s">
        <v>7043</v>
      </c>
      <c r="AC252" s="30">
        <v>47484.0</v>
      </c>
      <c r="AD252" s="30">
        <v>47848.0</v>
      </c>
      <c r="AE252" s="31">
        <v>0.0</v>
      </c>
      <c r="AF252" s="31">
        <v>1.0</v>
      </c>
      <c r="AG252" s="32" t="s">
        <v>7043</v>
      </c>
    </row>
    <row r="253" ht="14.25" customHeight="1">
      <c r="A253" s="28" t="s">
        <v>857</v>
      </c>
      <c r="B253" s="29" t="s">
        <v>858</v>
      </c>
      <c r="C253" s="29" t="s">
        <v>7041</v>
      </c>
      <c r="D253" s="30">
        <v>45658.0</v>
      </c>
      <c r="E253" s="30">
        <v>46022.0</v>
      </c>
      <c r="F253" s="31">
        <v>1.0</v>
      </c>
      <c r="G253" s="31">
        <v>1.0</v>
      </c>
      <c r="H253" s="32" t="s">
        <v>7042</v>
      </c>
      <c r="I253" s="30">
        <v>46023.0</v>
      </c>
      <c r="J253" s="30">
        <v>46387.0</v>
      </c>
      <c r="K253" s="31">
        <v>0.0</v>
      </c>
      <c r="L253" s="31">
        <v>1.0</v>
      </c>
      <c r="M253" s="32" t="s">
        <v>7043</v>
      </c>
      <c r="N253" s="30">
        <v>46388.0</v>
      </c>
      <c r="O253" s="30">
        <v>46752.0</v>
      </c>
      <c r="P253" s="31">
        <v>0.0</v>
      </c>
      <c r="Q253" s="31">
        <v>1.0</v>
      </c>
      <c r="R253" s="32" t="s">
        <v>7043</v>
      </c>
      <c r="S253" s="30">
        <v>46753.0</v>
      </c>
      <c r="T253" s="30">
        <v>47118.0</v>
      </c>
      <c r="U253" s="31">
        <v>0.0</v>
      </c>
      <c r="V253" s="31">
        <v>1.0</v>
      </c>
      <c r="W253" s="32" t="s">
        <v>7043</v>
      </c>
      <c r="X253" s="30">
        <v>47119.0</v>
      </c>
      <c r="Y253" s="30">
        <v>47483.0</v>
      </c>
      <c r="Z253" s="31">
        <v>0.0</v>
      </c>
      <c r="AA253" s="31">
        <v>1.0</v>
      </c>
      <c r="AB253" s="32" t="s">
        <v>7043</v>
      </c>
      <c r="AC253" s="30">
        <v>47484.0</v>
      </c>
      <c r="AD253" s="30">
        <v>47848.0</v>
      </c>
      <c r="AE253" s="31">
        <v>0.0</v>
      </c>
      <c r="AF253" s="31">
        <v>1.0</v>
      </c>
      <c r="AG253" s="32" t="s">
        <v>7043</v>
      </c>
    </row>
    <row r="254" ht="14.25" customHeight="1">
      <c r="A254" s="28" t="s">
        <v>936</v>
      </c>
      <c r="B254" s="29" t="s">
        <v>937</v>
      </c>
      <c r="C254" s="29" t="s">
        <v>7041</v>
      </c>
      <c r="D254" s="30">
        <v>45658.0</v>
      </c>
      <c r="E254" s="30">
        <v>46022.0</v>
      </c>
      <c r="F254" s="31">
        <v>1.0</v>
      </c>
      <c r="G254" s="31">
        <v>1.0</v>
      </c>
      <c r="H254" s="32" t="s">
        <v>7042</v>
      </c>
      <c r="I254" s="30">
        <v>46023.0</v>
      </c>
      <c r="J254" s="30">
        <v>46387.0</v>
      </c>
      <c r="K254" s="31">
        <v>0.0</v>
      </c>
      <c r="L254" s="31">
        <v>1.0</v>
      </c>
      <c r="M254" s="32" t="s">
        <v>7043</v>
      </c>
      <c r="N254" s="30">
        <v>46388.0</v>
      </c>
      <c r="O254" s="30">
        <v>46752.0</v>
      </c>
      <c r="P254" s="31">
        <v>0.0</v>
      </c>
      <c r="Q254" s="31">
        <v>1.0</v>
      </c>
      <c r="R254" s="32" t="s">
        <v>7043</v>
      </c>
      <c r="S254" s="30">
        <v>46753.0</v>
      </c>
      <c r="T254" s="30">
        <v>47118.0</v>
      </c>
      <c r="U254" s="31">
        <v>0.0</v>
      </c>
      <c r="V254" s="31">
        <v>1.0</v>
      </c>
      <c r="W254" s="32" t="s">
        <v>7043</v>
      </c>
      <c r="X254" s="30">
        <v>47119.0</v>
      </c>
      <c r="Y254" s="30">
        <v>47483.0</v>
      </c>
      <c r="Z254" s="31">
        <v>0.0</v>
      </c>
      <c r="AA254" s="31">
        <v>1.0</v>
      </c>
      <c r="AB254" s="32" t="s">
        <v>7043</v>
      </c>
      <c r="AC254" s="30">
        <v>47484.0</v>
      </c>
      <c r="AD254" s="30">
        <v>47848.0</v>
      </c>
      <c r="AE254" s="31">
        <v>0.0</v>
      </c>
      <c r="AF254" s="31">
        <v>1.0</v>
      </c>
      <c r="AG254" s="32" t="s">
        <v>7043</v>
      </c>
    </row>
    <row r="255" ht="14.25" customHeight="1">
      <c r="A255" s="28" t="s">
        <v>988</v>
      </c>
      <c r="B255" s="29" t="s">
        <v>989</v>
      </c>
      <c r="C255" s="29" t="s">
        <v>7041</v>
      </c>
      <c r="D255" s="30">
        <v>45658.0</v>
      </c>
      <c r="E255" s="30">
        <v>46022.0</v>
      </c>
      <c r="F255" s="31">
        <v>0.0</v>
      </c>
      <c r="G255" s="31">
        <v>1.0</v>
      </c>
      <c r="H255" s="32" t="s">
        <v>7043</v>
      </c>
      <c r="I255" s="30">
        <v>46023.0</v>
      </c>
      <c r="J255" s="30">
        <v>46387.0</v>
      </c>
      <c r="K255" s="31">
        <v>0.0</v>
      </c>
      <c r="L255" s="31">
        <v>1.0</v>
      </c>
      <c r="M255" s="32" t="s">
        <v>7043</v>
      </c>
      <c r="N255" s="30">
        <v>46388.0</v>
      </c>
      <c r="O255" s="30">
        <v>46752.0</v>
      </c>
      <c r="P255" s="31">
        <v>0.0</v>
      </c>
      <c r="Q255" s="31">
        <v>1.0</v>
      </c>
      <c r="R255" s="32" t="s">
        <v>7043</v>
      </c>
      <c r="S255" s="30">
        <v>46753.0</v>
      </c>
      <c r="T255" s="30">
        <v>47118.0</v>
      </c>
      <c r="U255" s="31">
        <v>0.0</v>
      </c>
      <c r="V255" s="31">
        <v>1.0</v>
      </c>
      <c r="W255" s="32" t="s">
        <v>7043</v>
      </c>
      <c r="X255" s="30">
        <v>47119.0</v>
      </c>
      <c r="Y255" s="30">
        <v>47483.0</v>
      </c>
      <c r="Z255" s="31">
        <v>0.0</v>
      </c>
      <c r="AA255" s="31">
        <v>1.0</v>
      </c>
      <c r="AB255" s="32" t="s">
        <v>7043</v>
      </c>
      <c r="AC255" s="30">
        <v>47484.0</v>
      </c>
      <c r="AD255" s="30">
        <v>47848.0</v>
      </c>
      <c r="AE255" s="31">
        <v>0.0</v>
      </c>
      <c r="AF255" s="31">
        <v>1.0</v>
      </c>
      <c r="AG255" s="32" t="s">
        <v>7043</v>
      </c>
    </row>
    <row r="256" ht="14.25" customHeight="1">
      <c r="A256" s="28" t="s">
        <v>1031</v>
      </c>
      <c r="B256" s="29" t="s">
        <v>1032</v>
      </c>
      <c r="C256" s="29" t="s">
        <v>7041</v>
      </c>
      <c r="D256" s="30">
        <v>45658.0</v>
      </c>
      <c r="E256" s="30">
        <v>46022.0</v>
      </c>
      <c r="F256" s="31">
        <v>0.0</v>
      </c>
      <c r="G256" s="31">
        <v>1.0</v>
      </c>
      <c r="H256" s="32" t="s">
        <v>7043</v>
      </c>
      <c r="I256" s="30">
        <v>46023.0</v>
      </c>
      <c r="J256" s="30">
        <v>46387.0</v>
      </c>
      <c r="K256" s="31">
        <v>0.0</v>
      </c>
      <c r="L256" s="31">
        <v>1.0</v>
      </c>
      <c r="M256" s="32" t="s">
        <v>7043</v>
      </c>
      <c r="N256" s="30">
        <v>46388.0</v>
      </c>
      <c r="O256" s="30">
        <v>46752.0</v>
      </c>
      <c r="P256" s="31">
        <v>0.0</v>
      </c>
      <c r="Q256" s="31">
        <v>1.0</v>
      </c>
      <c r="R256" s="32" t="s">
        <v>7043</v>
      </c>
      <c r="S256" s="30">
        <v>46753.0</v>
      </c>
      <c r="T256" s="30">
        <v>47118.0</v>
      </c>
      <c r="U256" s="31">
        <v>0.0</v>
      </c>
      <c r="V256" s="31">
        <v>1.0</v>
      </c>
      <c r="W256" s="32" t="s">
        <v>7043</v>
      </c>
      <c r="X256" s="30">
        <v>47119.0</v>
      </c>
      <c r="Y256" s="30">
        <v>47483.0</v>
      </c>
      <c r="Z256" s="31">
        <v>0.0</v>
      </c>
      <c r="AA256" s="31">
        <v>1.0</v>
      </c>
      <c r="AB256" s="32" t="s">
        <v>7043</v>
      </c>
      <c r="AC256" s="30">
        <v>47484.0</v>
      </c>
      <c r="AD256" s="30">
        <v>47848.0</v>
      </c>
      <c r="AE256" s="31">
        <v>0.0</v>
      </c>
      <c r="AF256" s="31">
        <v>1.0</v>
      </c>
      <c r="AG256" s="32" t="s">
        <v>7043</v>
      </c>
    </row>
    <row r="257" ht="14.25" customHeight="1">
      <c r="A257" s="28" t="s">
        <v>1094</v>
      </c>
      <c r="B257" s="29" t="s">
        <v>1095</v>
      </c>
      <c r="C257" s="29" t="s">
        <v>7041</v>
      </c>
      <c r="D257" s="30">
        <v>45658.0</v>
      </c>
      <c r="E257" s="30">
        <v>46022.0</v>
      </c>
      <c r="F257" s="31">
        <v>0.0</v>
      </c>
      <c r="G257" s="31">
        <v>1.0</v>
      </c>
      <c r="H257" s="32" t="s">
        <v>7043</v>
      </c>
      <c r="I257" s="30">
        <v>46023.0</v>
      </c>
      <c r="J257" s="30">
        <v>46387.0</v>
      </c>
      <c r="K257" s="31">
        <v>0.0</v>
      </c>
      <c r="L257" s="31">
        <v>1.0</v>
      </c>
      <c r="M257" s="32" t="s">
        <v>7043</v>
      </c>
      <c r="N257" s="30">
        <v>46388.0</v>
      </c>
      <c r="O257" s="30">
        <v>46752.0</v>
      </c>
      <c r="P257" s="31">
        <v>0.0</v>
      </c>
      <c r="Q257" s="31">
        <v>1.0</v>
      </c>
      <c r="R257" s="32" t="s">
        <v>7043</v>
      </c>
      <c r="S257" s="30">
        <v>46753.0</v>
      </c>
      <c r="T257" s="30">
        <v>47118.0</v>
      </c>
      <c r="U257" s="31">
        <v>0.0</v>
      </c>
      <c r="V257" s="31">
        <v>1.0</v>
      </c>
      <c r="W257" s="32" t="s">
        <v>7043</v>
      </c>
      <c r="X257" s="30">
        <v>47119.0</v>
      </c>
      <c r="Y257" s="30">
        <v>47483.0</v>
      </c>
      <c r="Z257" s="31">
        <v>0.0</v>
      </c>
      <c r="AA257" s="31">
        <v>1.0</v>
      </c>
      <c r="AB257" s="32" t="s">
        <v>7043</v>
      </c>
      <c r="AC257" s="30">
        <v>47484.0</v>
      </c>
      <c r="AD257" s="30">
        <v>47848.0</v>
      </c>
      <c r="AE257" s="31">
        <v>0.0</v>
      </c>
      <c r="AF257" s="31">
        <v>1.0</v>
      </c>
      <c r="AG257" s="32" t="s">
        <v>7043</v>
      </c>
    </row>
    <row r="258" ht="14.25" customHeight="1">
      <c r="A258" s="28" t="s">
        <v>1253</v>
      </c>
      <c r="B258" s="29" t="s">
        <v>1254</v>
      </c>
      <c r="C258" s="29" t="s">
        <v>7041</v>
      </c>
      <c r="D258" s="30">
        <v>45658.0</v>
      </c>
      <c r="E258" s="30">
        <v>46022.0</v>
      </c>
      <c r="F258" s="31">
        <v>1.0</v>
      </c>
      <c r="G258" s="31">
        <v>1.0</v>
      </c>
      <c r="H258" s="33" t="s">
        <v>7042</v>
      </c>
      <c r="I258" s="30">
        <v>46023.0</v>
      </c>
      <c r="J258" s="30">
        <v>46387.0</v>
      </c>
      <c r="K258" s="31">
        <v>0.0</v>
      </c>
      <c r="L258" s="31">
        <v>1.0</v>
      </c>
      <c r="M258" s="32" t="s">
        <v>7043</v>
      </c>
      <c r="N258" s="30">
        <v>46388.0</v>
      </c>
      <c r="O258" s="30">
        <v>46752.0</v>
      </c>
      <c r="P258" s="31">
        <v>0.0</v>
      </c>
      <c r="Q258" s="31">
        <v>1.0</v>
      </c>
      <c r="R258" s="32" t="s">
        <v>7043</v>
      </c>
      <c r="S258" s="30">
        <v>46753.0</v>
      </c>
      <c r="T258" s="30">
        <v>47118.0</v>
      </c>
      <c r="U258" s="31">
        <v>0.0</v>
      </c>
      <c r="V258" s="31">
        <v>1.0</v>
      </c>
      <c r="W258" s="32" t="s">
        <v>7043</v>
      </c>
      <c r="X258" s="30">
        <v>47119.0</v>
      </c>
      <c r="Y258" s="30">
        <v>47483.0</v>
      </c>
      <c r="Z258" s="31">
        <v>0.0</v>
      </c>
      <c r="AA258" s="31">
        <v>1.0</v>
      </c>
      <c r="AB258" s="32" t="s">
        <v>7043</v>
      </c>
      <c r="AC258" s="30">
        <v>47484.0</v>
      </c>
      <c r="AD258" s="30">
        <v>47848.0</v>
      </c>
      <c r="AE258" s="31">
        <v>0.0</v>
      </c>
      <c r="AF258" s="31">
        <v>1.0</v>
      </c>
      <c r="AG258" s="32" t="s">
        <v>7043</v>
      </c>
    </row>
    <row r="259" ht="14.25" customHeight="1">
      <c r="A259" s="28" t="s">
        <v>1312</v>
      </c>
      <c r="B259" s="29" t="s">
        <v>1313</v>
      </c>
      <c r="C259" s="29" t="s">
        <v>7041</v>
      </c>
      <c r="D259" s="30">
        <v>45658.0</v>
      </c>
      <c r="E259" s="30">
        <v>46022.0</v>
      </c>
      <c r="F259" s="31">
        <v>0.0</v>
      </c>
      <c r="G259" s="31">
        <v>1.0</v>
      </c>
      <c r="H259" s="32" t="s">
        <v>7043</v>
      </c>
      <c r="I259" s="30">
        <v>46023.0</v>
      </c>
      <c r="J259" s="30">
        <v>46387.0</v>
      </c>
      <c r="K259" s="31">
        <v>0.0</v>
      </c>
      <c r="L259" s="31">
        <v>1.0</v>
      </c>
      <c r="M259" s="32" t="s">
        <v>7043</v>
      </c>
      <c r="N259" s="30">
        <v>46388.0</v>
      </c>
      <c r="O259" s="30">
        <v>46752.0</v>
      </c>
      <c r="P259" s="31">
        <v>0.0</v>
      </c>
      <c r="Q259" s="31">
        <v>1.0</v>
      </c>
      <c r="R259" s="32" t="s">
        <v>7043</v>
      </c>
      <c r="S259" s="30">
        <v>46753.0</v>
      </c>
      <c r="T259" s="30">
        <v>47118.0</v>
      </c>
      <c r="U259" s="31">
        <v>0.0</v>
      </c>
      <c r="V259" s="31">
        <v>1.0</v>
      </c>
      <c r="W259" s="32" t="s">
        <v>7043</v>
      </c>
      <c r="X259" s="30">
        <v>47119.0</v>
      </c>
      <c r="Y259" s="30">
        <v>47483.0</v>
      </c>
      <c r="Z259" s="31">
        <v>0.0</v>
      </c>
      <c r="AA259" s="31">
        <v>1.0</v>
      </c>
      <c r="AB259" s="32" t="s">
        <v>7043</v>
      </c>
      <c r="AC259" s="30">
        <v>47484.0</v>
      </c>
      <c r="AD259" s="30">
        <v>47848.0</v>
      </c>
      <c r="AE259" s="31">
        <v>0.0</v>
      </c>
      <c r="AF259" s="31">
        <v>1.0</v>
      </c>
      <c r="AG259" s="32" t="s">
        <v>7043</v>
      </c>
    </row>
    <row r="260" ht="14.25" customHeight="1">
      <c r="A260" s="28" t="s">
        <v>1353</v>
      </c>
      <c r="B260" s="29" t="s">
        <v>1354</v>
      </c>
      <c r="C260" s="29" t="s">
        <v>7041</v>
      </c>
      <c r="D260" s="30">
        <v>45658.0</v>
      </c>
      <c r="E260" s="30">
        <v>46022.0</v>
      </c>
      <c r="F260" s="31">
        <v>0.0</v>
      </c>
      <c r="G260" s="31">
        <v>1.0</v>
      </c>
      <c r="H260" s="32" t="s">
        <v>7043</v>
      </c>
      <c r="I260" s="30">
        <v>46023.0</v>
      </c>
      <c r="J260" s="30">
        <v>46387.0</v>
      </c>
      <c r="K260" s="31">
        <v>0.0</v>
      </c>
      <c r="L260" s="31">
        <v>1.0</v>
      </c>
      <c r="M260" s="32" t="s">
        <v>7043</v>
      </c>
      <c r="N260" s="30">
        <v>46388.0</v>
      </c>
      <c r="O260" s="30">
        <v>46752.0</v>
      </c>
      <c r="P260" s="31">
        <v>0.0</v>
      </c>
      <c r="Q260" s="31">
        <v>1.0</v>
      </c>
      <c r="R260" s="32" t="s">
        <v>7043</v>
      </c>
      <c r="S260" s="30">
        <v>46753.0</v>
      </c>
      <c r="T260" s="30">
        <v>47118.0</v>
      </c>
      <c r="U260" s="31">
        <v>0.0</v>
      </c>
      <c r="V260" s="31">
        <v>1.0</v>
      </c>
      <c r="W260" s="32" t="s">
        <v>7043</v>
      </c>
      <c r="X260" s="30">
        <v>47119.0</v>
      </c>
      <c r="Y260" s="30">
        <v>47483.0</v>
      </c>
      <c r="Z260" s="31">
        <v>0.0</v>
      </c>
      <c r="AA260" s="31">
        <v>1.0</v>
      </c>
      <c r="AB260" s="32" t="s">
        <v>7043</v>
      </c>
      <c r="AC260" s="30">
        <v>47484.0</v>
      </c>
      <c r="AD260" s="30">
        <v>47848.0</v>
      </c>
      <c r="AE260" s="31">
        <v>0.0</v>
      </c>
      <c r="AF260" s="31">
        <v>1.0</v>
      </c>
      <c r="AG260" s="32" t="s">
        <v>7043</v>
      </c>
    </row>
    <row r="261" ht="14.25" customHeight="1">
      <c r="A261" s="28" t="s">
        <v>1414</v>
      </c>
      <c r="B261" s="29" t="s">
        <v>1415</v>
      </c>
      <c r="C261" s="29" t="s">
        <v>7041</v>
      </c>
      <c r="D261" s="30">
        <v>45658.0</v>
      </c>
      <c r="E261" s="30">
        <v>46022.0</v>
      </c>
      <c r="F261" s="31">
        <v>1.0</v>
      </c>
      <c r="G261" s="31">
        <v>1.0</v>
      </c>
      <c r="H261" s="33" t="s">
        <v>7042</v>
      </c>
      <c r="I261" s="30">
        <v>46023.0</v>
      </c>
      <c r="J261" s="30">
        <v>46387.0</v>
      </c>
      <c r="K261" s="31">
        <v>0.0</v>
      </c>
      <c r="L261" s="31">
        <v>1.0</v>
      </c>
      <c r="M261" s="32" t="s">
        <v>7043</v>
      </c>
      <c r="N261" s="30">
        <v>46388.0</v>
      </c>
      <c r="O261" s="30">
        <v>46752.0</v>
      </c>
      <c r="P261" s="31">
        <v>0.0</v>
      </c>
      <c r="Q261" s="31">
        <v>1.0</v>
      </c>
      <c r="R261" s="32" t="s">
        <v>7043</v>
      </c>
      <c r="S261" s="30">
        <v>46753.0</v>
      </c>
      <c r="T261" s="30">
        <v>47118.0</v>
      </c>
      <c r="U261" s="31">
        <v>0.0</v>
      </c>
      <c r="V261" s="31">
        <v>1.0</v>
      </c>
      <c r="W261" s="32" t="s">
        <v>7043</v>
      </c>
      <c r="X261" s="30">
        <v>47119.0</v>
      </c>
      <c r="Y261" s="30">
        <v>47483.0</v>
      </c>
      <c r="Z261" s="31">
        <v>0.0</v>
      </c>
      <c r="AA261" s="31">
        <v>1.0</v>
      </c>
      <c r="AB261" s="32" t="s">
        <v>7043</v>
      </c>
      <c r="AC261" s="30">
        <v>47484.0</v>
      </c>
      <c r="AD261" s="30">
        <v>47848.0</v>
      </c>
      <c r="AE261" s="31">
        <v>0.0</v>
      </c>
      <c r="AF261" s="31">
        <v>1.0</v>
      </c>
      <c r="AG261" s="32" t="s">
        <v>7043</v>
      </c>
    </row>
    <row r="262" ht="14.25" customHeight="1">
      <c r="A262" s="28" t="s">
        <v>1418</v>
      </c>
      <c r="B262" s="29" t="s">
        <v>1419</v>
      </c>
      <c r="C262" s="29" t="s">
        <v>7041</v>
      </c>
      <c r="D262" s="30">
        <v>45658.0</v>
      </c>
      <c r="E262" s="30">
        <v>46022.0</v>
      </c>
      <c r="F262" s="31">
        <v>1.0</v>
      </c>
      <c r="G262" s="31">
        <v>1.0</v>
      </c>
      <c r="H262" s="33" t="s">
        <v>7042</v>
      </c>
      <c r="I262" s="30">
        <v>46023.0</v>
      </c>
      <c r="J262" s="30">
        <v>46387.0</v>
      </c>
      <c r="K262" s="31">
        <v>0.0</v>
      </c>
      <c r="L262" s="31">
        <v>1.0</v>
      </c>
      <c r="M262" s="32" t="s">
        <v>7043</v>
      </c>
      <c r="N262" s="30">
        <v>46388.0</v>
      </c>
      <c r="O262" s="30">
        <v>46752.0</v>
      </c>
      <c r="P262" s="31">
        <v>0.0</v>
      </c>
      <c r="Q262" s="31">
        <v>1.0</v>
      </c>
      <c r="R262" s="32" t="s">
        <v>7043</v>
      </c>
      <c r="S262" s="30">
        <v>46753.0</v>
      </c>
      <c r="T262" s="30">
        <v>47118.0</v>
      </c>
      <c r="U262" s="31">
        <v>0.0</v>
      </c>
      <c r="V262" s="31">
        <v>1.0</v>
      </c>
      <c r="W262" s="32" t="s">
        <v>7043</v>
      </c>
      <c r="X262" s="30">
        <v>47119.0</v>
      </c>
      <c r="Y262" s="30">
        <v>47483.0</v>
      </c>
      <c r="Z262" s="31">
        <v>0.0</v>
      </c>
      <c r="AA262" s="31">
        <v>1.0</v>
      </c>
      <c r="AB262" s="32" t="s">
        <v>7043</v>
      </c>
      <c r="AC262" s="30">
        <v>47484.0</v>
      </c>
      <c r="AD262" s="30">
        <v>47848.0</v>
      </c>
      <c r="AE262" s="31">
        <v>0.0</v>
      </c>
      <c r="AF262" s="31">
        <v>1.0</v>
      </c>
      <c r="AG262" s="32" t="s">
        <v>7043</v>
      </c>
    </row>
    <row r="263" ht="14.25" customHeight="1">
      <c r="A263" s="28" t="s">
        <v>1422</v>
      </c>
      <c r="B263" s="29" t="s">
        <v>1423</v>
      </c>
      <c r="C263" s="29" t="s">
        <v>7041</v>
      </c>
      <c r="D263" s="30">
        <v>45658.0</v>
      </c>
      <c r="E263" s="30">
        <v>46022.0</v>
      </c>
      <c r="F263" s="31">
        <v>0.0</v>
      </c>
      <c r="G263" s="31">
        <v>1.0</v>
      </c>
      <c r="H263" s="32" t="s">
        <v>7043</v>
      </c>
      <c r="I263" s="30">
        <v>46023.0</v>
      </c>
      <c r="J263" s="30">
        <v>46387.0</v>
      </c>
      <c r="K263" s="31">
        <v>0.0</v>
      </c>
      <c r="L263" s="31">
        <v>1.0</v>
      </c>
      <c r="M263" s="32" t="s">
        <v>7043</v>
      </c>
      <c r="N263" s="30">
        <v>46388.0</v>
      </c>
      <c r="O263" s="30">
        <v>46752.0</v>
      </c>
      <c r="P263" s="31">
        <v>0.0</v>
      </c>
      <c r="Q263" s="31">
        <v>1.0</v>
      </c>
      <c r="R263" s="32" t="s">
        <v>7043</v>
      </c>
      <c r="S263" s="30">
        <v>46753.0</v>
      </c>
      <c r="T263" s="30">
        <v>47118.0</v>
      </c>
      <c r="U263" s="31">
        <v>0.0</v>
      </c>
      <c r="V263" s="31">
        <v>1.0</v>
      </c>
      <c r="W263" s="32" t="s">
        <v>7043</v>
      </c>
      <c r="X263" s="30">
        <v>47119.0</v>
      </c>
      <c r="Y263" s="30">
        <v>47483.0</v>
      </c>
      <c r="Z263" s="31">
        <v>0.0</v>
      </c>
      <c r="AA263" s="31">
        <v>1.0</v>
      </c>
      <c r="AB263" s="32" t="s">
        <v>7043</v>
      </c>
      <c r="AC263" s="30">
        <v>47484.0</v>
      </c>
      <c r="AD263" s="30">
        <v>47848.0</v>
      </c>
      <c r="AE263" s="31">
        <v>0.0</v>
      </c>
      <c r="AF263" s="31">
        <v>1.0</v>
      </c>
      <c r="AG263" s="32" t="s">
        <v>7043</v>
      </c>
    </row>
    <row r="264" ht="14.25" customHeight="1">
      <c r="A264" s="28" t="s">
        <v>1425</v>
      </c>
      <c r="B264" s="29" t="s">
        <v>1426</v>
      </c>
      <c r="C264" s="29" t="s">
        <v>7041</v>
      </c>
      <c r="D264" s="30">
        <v>45658.0</v>
      </c>
      <c r="E264" s="30">
        <v>46022.0</v>
      </c>
      <c r="F264" s="31">
        <v>0.0</v>
      </c>
      <c r="G264" s="31">
        <v>1.0</v>
      </c>
      <c r="H264" s="32" t="s">
        <v>7043</v>
      </c>
      <c r="I264" s="30">
        <v>46023.0</v>
      </c>
      <c r="J264" s="30">
        <v>46387.0</v>
      </c>
      <c r="K264" s="31">
        <v>0.0</v>
      </c>
      <c r="L264" s="31">
        <v>1.0</v>
      </c>
      <c r="M264" s="32" t="s">
        <v>7043</v>
      </c>
      <c r="N264" s="30">
        <v>46388.0</v>
      </c>
      <c r="O264" s="30">
        <v>46752.0</v>
      </c>
      <c r="P264" s="31">
        <v>0.0</v>
      </c>
      <c r="Q264" s="31">
        <v>1.0</v>
      </c>
      <c r="R264" s="32" t="s">
        <v>7043</v>
      </c>
      <c r="S264" s="30">
        <v>46753.0</v>
      </c>
      <c r="T264" s="30">
        <v>47118.0</v>
      </c>
      <c r="U264" s="31">
        <v>0.0</v>
      </c>
      <c r="V264" s="31">
        <v>1.0</v>
      </c>
      <c r="W264" s="32" t="s">
        <v>7043</v>
      </c>
      <c r="X264" s="30">
        <v>47119.0</v>
      </c>
      <c r="Y264" s="30">
        <v>47483.0</v>
      </c>
      <c r="Z264" s="31">
        <v>0.0</v>
      </c>
      <c r="AA264" s="31">
        <v>1.0</v>
      </c>
      <c r="AB264" s="32" t="s">
        <v>7043</v>
      </c>
      <c r="AC264" s="30">
        <v>47484.0</v>
      </c>
      <c r="AD264" s="30">
        <v>47848.0</v>
      </c>
      <c r="AE264" s="31">
        <v>0.0</v>
      </c>
      <c r="AF264" s="31">
        <v>1.0</v>
      </c>
      <c r="AG264" s="32" t="s">
        <v>7043</v>
      </c>
    </row>
    <row r="265" ht="14.25" customHeight="1">
      <c r="A265" s="28" t="s">
        <v>1428</v>
      </c>
      <c r="B265" s="29" t="s">
        <v>1429</v>
      </c>
      <c r="C265" s="29" t="s">
        <v>7041</v>
      </c>
      <c r="D265" s="30">
        <v>45658.0</v>
      </c>
      <c r="E265" s="30">
        <v>46022.0</v>
      </c>
      <c r="F265" s="31">
        <v>0.0</v>
      </c>
      <c r="G265" s="31">
        <v>1.0</v>
      </c>
      <c r="H265" s="32" t="s">
        <v>7043</v>
      </c>
      <c r="I265" s="30">
        <v>46023.0</v>
      </c>
      <c r="J265" s="30">
        <v>46387.0</v>
      </c>
      <c r="K265" s="31">
        <v>0.0</v>
      </c>
      <c r="L265" s="31">
        <v>1.0</v>
      </c>
      <c r="M265" s="32" t="s">
        <v>7043</v>
      </c>
      <c r="N265" s="30">
        <v>46388.0</v>
      </c>
      <c r="O265" s="30">
        <v>46752.0</v>
      </c>
      <c r="P265" s="31">
        <v>0.0</v>
      </c>
      <c r="Q265" s="31">
        <v>1.0</v>
      </c>
      <c r="R265" s="32" t="s">
        <v>7043</v>
      </c>
      <c r="S265" s="30">
        <v>46753.0</v>
      </c>
      <c r="T265" s="30">
        <v>47118.0</v>
      </c>
      <c r="U265" s="31">
        <v>0.0</v>
      </c>
      <c r="V265" s="31">
        <v>1.0</v>
      </c>
      <c r="W265" s="32" t="s">
        <v>7043</v>
      </c>
      <c r="X265" s="30">
        <v>47119.0</v>
      </c>
      <c r="Y265" s="30">
        <v>47483.0</v>
      </c>
      <c r="Z265" s="31">
        <v>0.0</v>
      </c>
      <c r="AA265" s="31">
        <v>1.0</v>
      </c>
      <c r="AB265" s="32" t="s">
        <v>7043</v>
      </c>
      <c r="AC265" s="30">
        <v>47484.0</v>
      </c>
      <c r="AD265" s="30">
        <v>47848.0</v>
      </c>
      <c r="AE265" s="31">
        <v>0.0</v>
      </c>
      <c r="AF265" s="31">
        <v>1.0</v>
      </c>
      <c r="AG265" s="32" t="s">
        <v>7043</v>
      </c>
    </row>
    <row r="266" ht="14.25" customHeight="1">
      <c r="A266" s="28" t="s">
        <v>1480</v>
      </c>
      <c r="B266" s="29" t="s">
        <v>1481</v>
      </c>
      <c r="C266" s="29" t="s">
        <v>7041</v>
      </c>
      <c r="D266" s="30">
        <v>45658.0</v>
      </c>
      <c r="E266" s="30">
        <v>46022.0</v>
      </c>
      <c r="F266" s="31">
        <v>1.0</v>
      </c>
      <c r="G266" s="31">
        <v>1.0</v>
      </c>
      <c r="H266" s="32" t="s">
        <v>7042</v>
      </c>
      <c r="I266" s="30">
        <v>46023.0</v>
      </c>
      <c r="J266" s="30">
        <v>46387.0</v>
      </c>
      <c r="K266" s="31">
        <v>0.0</v>
      </c>
      <c r="L266" s="31">
        <v>1.0</v>
      </c>
      <c r="M266" s="32" t="s">
        <v>7043</v>
      </c>
      <c r="N266" s="30">
        <v>46388.0</v>
      </c>
      <c r="O266" s="30">
        <v>46752.0</v>
      </c>
      <c r="P266" s="31">
        <v>0.0</v>
      </c>
      <c r="Q266" s="31">
        <v>1.0</v>
      </c>
      <c r="R266" s="32" t="s">
        <v>7043</v>
      </c>
      <c r="S266" s="30">
        <v>46753.0</v>
      </c>
      <c r="T266" s="30">
        <v>47118.0</v>
      </c>
      <c r="U266" s="31">
        <v>0.0</v>
      </c>
      <c r="V266" s="31">
        <v>1.0</v>
      </c>
      <c r="W266" s="32" t="s">
        <v>7043</v>
      </c>
      <c r="X266" s="30">
        <v>47119.0</v>
      </c>
      <c r="Y266" s="30">
        <v>47483.0</v>
      </c>
      <c r="Z266" s="31">
        <v>0.0</v>
      </c>
      <c r="AA266" s="31">
        <v>1.0</v>
      </c>
      <c r="AB266" s="32" t="s">
        <v>7043</v>
      </c>
      <c r="AC266" s="30">
        <v>47484.0</v>
      </c>
      <c r="AD266" s="30">
        <v>47848.0</v>
      </c>
      <c r="AE266" s="31">
        <v>0.0</v>
      </c>
      <c r="AF266" s="31">
        <v>1.0</v>
      </c>
      <c r="AG266" s="32" t="s">
        <v>7043</v>
      </c>
    </row>
    <row r="267" ht="14.25" customHeight="1">
      <c r="A267" s="28" t="s">
        <v>1602</v>
      </c>
      <c r="B267" s="29" t="s">
        <v>1603</v>
      </c>
      <c r="C267" s="29" t="s">
        <v>7041</v>
      </c>
      <c r="D267" s="30">
        <v>45658.0</v>
      </c>
      <c r="E267" s="30">
        <v>46022.0</v>
      </c>
      <c r="F267" s="31">
        <v>0.0</v>
      </c>
      <c r="G267" s="31">
        <v>1.0</v>
      </c>
      <c r="H267" s="32" t="s">
        <v>7043</v>
      </c>
      <c r="I267" s="30">
        <v>46023.0</v>
      </c>
      <c r="J267" s="30">
        <v>46387.0</v>
      </c>
      <c r="K267" s="31">
        <v>0.0</v>
      </c>
      <c r="L267" s="31">
        <v>1.0</v>
      </c>
      <c r="M267" s="32" t="s">
        <v>7043</v>
      </c>
      <c r="N267" s="30">
        <v>46388.0</v>
      </c>
      <c r="O267" s="30">
        <v>46752.0</v>
      </c>
      <c r="P267" s="31">
        <v>0.0</v>
      </c>
      <c r="Q267" s="31">
        <v>1.0</v>
      </c>
      <c r="R267" s="32" t="s">
        <v>7043</v>
      </c>
      <c r="S267" s="30">
        <v>46753.0</v>
      </c>
      <c r="T267" s="30">
        <v>47118.0</v>
      </c>
      <c r="U267" s="31">
        <v>0.0</v>
      </c>
      <c r="V267" s="31">
        <v>1.0</v>
      </c>
      <c r="W267" s="32" t="s">
        <v>7043</v>
      </c>
      <c r="X267" s="30">
        <v>47119.0</v>
      </c>
      <c r="Y267" s="30">
        <v>47483.0</v>
      </c>
      <c r="Z267" s="31">
        <v>0.0</v>
      </c>
      <c r="AA267" s="31">
        <v>1.0</v>
      </c>
      <c r="AB267" s="32" t="s">
        <v>7043</v>
      </c>
      <c r="AC267" s="30">
        <v>47484.0</v>
      </c>
      <c r="AD267" s="30">
        <v>47848.0</v>
      </c>
      <c r="AE267" s="31">
        <v>0.0</v>
      </c>
      <c r="AF267" s="31">
        <v>1.0</v>
      </c>
      <c r="AG267" s="32" t="s">
        <v>7043</v>
      </c>
    </row>
    <row r="268" ht="14.25" customHeight="1">
      <c r="A268" s="28" t="s">
        <v>1689</v>
      </c>
      <c r="B268" s="29" t="s">
        <v>1690</v>
      </c>
      <c r="C268" s="29" t="s">
        <v>7041</v>
      </c>
      <c r="D268" s="30">
        <v>45658.0</v>
      </c>
      <c r="E268" s="30">
        <v>46022.0</v>
      </c>
      <c r="F268" s="31">
        <v>1.0</v>
      </c>
      <c r="G268" s="31">
        <v>1.0</v>
      </c>
      <c r="H268" s="32" t="s">
        <v>7042</v>
      </c>
      <c r="I268" s="30">
        <v>46023.0</v>
      </c>
      <c r="J268" s="30">
        <v>46387.0</v>
      </c>
      <c r="K268" s="31">
        <v>0.0</v>
      </c>
      <c r="L268" s="31">
        <v>1.0</v>
      </c>
      <c r="M268" s="32" t="s">
        <v>7043</v>
      </c>
      <c r="N268" s="30">
        <v>46388.0</v>
      </c>
      <c r="O268" s="30">
        <v>46752.0</v>
      </c>
      <c r="P268" s="31">
        <v>0.0</v>
      </c>
      <c r="Q268" s="31">
        <v>1.0</v>
      </c>
      <c r="R268" s="32" t="s">
        <v>7043</v>
      </c>
      <c r="S268" s="30">
        <v>46753.0</v>
      </c>
      <c r="T268" s="30">
        <v>47118.0</v>
      </c>
      <c r="U268" s="31">
        <v>0.0</v>
      </c>
      <c r="V268" s="31">
        <v>1.0</v>
      </c>
      <c r="W268" s="32" t="s">
        <v>7043</v>
      </c>
      <c r="X268" s="30">
        <v>47119.0</v>
      </c>
      <c r="Y268" s="30">
        <v>47483.0</v>
      </c>
      <c r="Z268" s="31">
        <v>0.0</v>
      </c>
      <c r="AA268" s="31">
        <v>1.0</v>
      </c>
      <c r="AB268" s="32" t="s">
        <v>7043</v>
      </c>
      <c r="AC268" s="30">
        <v>47484.0</v>
      </c>
      <c r="AD268" s="30">
        <v>47848.0</v>
      </c>
      <c r="AE268" s="31">
        <v>0.0</v>
      </c>
      <c r="AF268" s="31">
        <v>1.0</v>
      </c>
      <c r="AG268" s="32" t="s">
        <v>7043</v>
      </c>
    </row>
    <row r="269" ht="14.25" customHeight="1">
      <c r="A269" s="28" t="s">
        <v>1699</v>
      </c>
      <c r="B269" s="29" t="s">
        <v>1700</v>
      </c>
      <c r="C269" s="29" t="s">
        <v>7041</v>
      </c>
      <c r="D269" s="30">
        <v>45658.0</v>
      </c>
      <c r="E269" s="30">
        <v>46022.0</v>
      </c>
      <c r="F269" s="31">
        <v>0.0</v>
      </c>
      <c r="G269" s="31">
        <v>1.0</v>
      </c>
      <c r="H269" s="32" t="s">
        <v>7043</v>
      </c>
      <c r="I269" s="30">
        <v>46023.0</v>
      </c>
      <c r="J269" s="30">
        <v>46387.0</v>
      </c>
      <c r="K269" s="31">
        <v>0.0</v>
      </c>
      <c r="L269" s="31">
        <v>1.0</v>
      </c>
      <c r="M269" s="32" t="s">
        <v>7043</v>
      </c>
      <c r="N269" s="30">
        <v>46388.0</v>
      </c>
      <c r="O269" s="30">
        <v>46752.0</v>
      </c>
      <c r="P269" s="31">
        <v>0.0</v>
      </c>
      <c r="Q269" s="31">
        <v>1.0</v>
      </c>
      <c r="R269" s="32" t="s">
        <v>7043</v>
      </c>
      <c r="S269" s="30">
        <v>46753.0</v>
      </c>
      <c r="T269" s="30">
        <v>47118.0</v>
      </c>
      <c r="U269" s="31">
        <v>0.0</v>
      </c>
      <c r="V269" s="31">
        <v>1.0</v>
      </c>
      <c r="W269" s="32" t="s">
        <v>7043</v>
      </c>
      <c r="X269" s="30">
        <v>47119.0</v>
      </c>
      <c r="Y269" s="30">
        <v>47483.0</v>
      </c>
      <c r="Z269" s="31">
        <v>0.0</v>
      </c>
      <c r="AA269" s="31">
        <v>1.0</v>
      </c>
      <c r="AB269" s="32" t="s">
        <v>7043</v>
      </c>
      <c r="AC269" s="30">
        <v>47484.0</v>
      </c>
      <c r="AD269" s="30">
        <v>47848.0</v>
      </c>
      <c r="AE269" s="31">
        <v>0.0</v>
      </c>
      <c r="AF269" s="31">
        <v>1.0</v>
      </c>
      <c r="AG269" s="32" t="s">
        <v>7043</v>
      </c>
    </row>
    <row r="270" ht="14.25" customHeight="1">
      <c r="A270" s="28" t="s">
        <v>1751</v>
      </c>
      <c r="B270" s="29" t="s">
        <v>1752</v>
      </c>
      <c r="C270" s="29" t="s">
        <v>7041</v>
      </c>
      <c r="D270" s="30">
        <v>45658.0</v>
      </c>
      <c r="E270" s="30">
        <v>46022.0</v>
      </c>
      <c r="F270" s="31">
        <v>1.0</v>
      </c>
      <c r="G270" s="31">
        <v>1.0</v>
      </c>
      <c r="H270" s="33" t="s">
        <v>7042</v>
      </c>
      <c r="I270" s="30">
        <v>46023.0</v>
      </c>
      <c r="J270" s="30">
        <v>46387.0</v>
      </c>
      <c r="K270" s="31">
        <v>0.0</v>
      </c>
      <c r="L270" s="31">
        <v>1.0</v>
      </c>
      <c r="M270" s="32" t="s">
        <v>7043</v>
      </c>
      <c r="N270" s="30">
        <v>46388.0</v>
      </c>
      <c r="O270" s="30">
        <v>46752.0</v>
      </c>
      <c r="P270" s="31">
        <v>0.0</v>
      </c>
      <c r="Q270" s="31">
        <v>1.0</v>
      </c>
      <c r="R270" s="32" t="s">
        <v>7043</v>
      </c>
      <c r="S270" s="30">
        <v>46753.0</v>
      </c>
      <c r="T270" s="30">
        <v>47118.0</v>
      </c>
      <c r="U270" s="31">
        <v>0.0</v>
      </c>
      <c r="V270" s="31">
        <v>1.0</v>
      </c>
      <c r="W270" s="32" t="s">
        <v>7043</v>
      </c>
      <c r="X270" s="30">
        <v>47119.0</v>
      </c>
      <c r="Y270" s="30">
        <v>47483.0</v>
      </c>
      <c r="Z270" s="31">
        <v>0.0</v>
      </c>
      <c r="AA270" s="31">
        <v>1.0</v>
      </c>
      <c r="AB270" s="32" t="s">
        <v>7043</v>
      </c>
      <c r="AC270" s="30">
        <v>47484.0</v>
      </c>
      <c r="AD270" s="30">
        <v>47848.0</v>
      </c>
      <c r="AE270" s="31">
        <v>0.0</v>
      </c>
      <c r="AF270" s="31">
        <v>1.0</v>
      </c>
      <c r="AG270" s="32" t="s">
        <v>7043</v>
      </c>
    </row>
    <row r="271" ht="14.25" customHeight="1">
      <c r="A271" s="28" t="s">
        <v>1792</v>
      </c>
      <c r="B271" s="29" t="s">
        <v>1793</v>
      </c>
      <c r="C271" s="29" t="s">
        <v>7041</v>
      </c>
      <c r="D271" s="30">
        <v>45658.0</v>
      </c>
      <c r="E271" s="30">
        <v>46022.0</v>
      </c>
      <c r="F271" s="31">
        <v>0.0</v>
      </c>
      <c r="G271" s="31">
        <v>1.0</v>
      </c>
      <c r="H271" s="32" t="s">
        <v>7043</v>
      </c>
      <c r="I271" s="30">
        <v>46023.0</v>
      </c>
      <c r="J271" s="30">
        <v>46387.0</v>
      </c>
      <c r="K271" s="31">
        <v>0.0</v>
      </c>
      <c r="L271" s="31">
        <v>1.0</v>
      </c>
      <c r="M271" s="32" t="s">
        <v>7043</v>
      </c>
      <c r="N271" s="30">
        <v>46388.0</v>
      </c>
      <c r="O271" s="30">
        <v>46752.0</v>
      </c>
      <c r="P271" s="31">
        <v>0.0</v>
      </c>
      <c r="Q271" s="31">
        <v>1.0</v>
      </c>
      <c r="R271" s="32" t="s">
        <v>7043</v>
      </c>
      <c r="S271" s="30">
        <v>46753.0</v>
      </c>
      <c r="T271" s="30">
        <v>47118.0</v>
      </c>
      <c r="U271" s="31">
        <v>0.0</v>
      </c>
      <c r="V271" s="31">
        <v>1.0</v>
      </c>
      <c r="W271" s="32" t="s">
        <v>7043</v>
      </c>
      <c r="X271" s="30">
        <v>47119.0</v>
      </c>
      <c r="Y271" s="30">
        <v>47483.0</v>
      </c>
      <c r="Z271" s="31">
        <v>0.0</v>
      </c>
      <c r="AA271" s="31">
        <v>1.0</v>
      </c>
      <c r="AB271" s="32" t="s">
        <v>7043</v>
      </c>
      <c r="AC271" s="30">
        <v>47484.0</v>
      </c>
      <c r="AD271" s="30">
        <v>47848.0</v>
      </c>
      <c r="AE271" s="31">
        <v>0.0</v>
      </c>
      <c r="AF271" s="31">
        <v>1.0</v>
      </c>
      <c r="AG271" s="32" t="s">
        <v>7043</v>
      </c>
    </row>
    <row r="272" ht="14.25" customHeight="1">
      <c r="A272" s="28" t="s">
        <v>1811</v>
      </c>
      <c r="B272" s="29" t="s">
        <v>1812</v>
      </c>
      <c r="C272" s="29" t="s">
        <v>7041</v>
      </c>
      <c r="D272" s="30">
        <v>45658.0</v>
      </c>
      <c r="E272" s="30">
        <v>46022.0</v>
      </c>
      <c r="F272" s="31">
        <v>0.0</v>
      </c>
      <c r="G272" s="31">
        <v>1.0</v>
      </c>
      <c r="H272" s="32" t="s">
        <v>7043</v>
      </c>
      <c r="I272" s="30">
        <v>46023.0</v>
      </c>
      <c r="J272" s="30">
        <v>46387.0</v>
      </c>
      <c r="K272" s="31">
        <v>0.0</v>
      </c>
      <c r="L272" s="31">
        <v>1.0</v>
      </c>
      <c r="M272" s="32" t="s">
        <v>7043</v>
      </c>
      <c r="N272" s="30">
        <v>46388.0</v>
      </c>
      <c r="O272" s="30">
        <v>46752.0</v>
      </c>
      <c r="P272" s="31">
        <v>0.0</v>
      </c>
      <c r="Q272" s="31">
        <v>1.0</v>
      </c>
      <c r="R272" s="32" t="s">
        <v>7043</v>
      </c>
      <c r="S272" s="30">
        <v>46753.0</v>
      </c>
      <c r="T272" s="30">
        <v>47118.0</v>
      </c>
      <c r="U272" s="31">
        <v>0.0</v>
      </c>
      <c r="V272" s="31">
        <v>1.0</v>
      </c>
      <c r="W272" s="32" t="s">
        <v>7043</v>
      </c>
      <c r="X272" s="30">
        <v>47119.0</v>
      </c>
      <c r="Y272" s="30">
        <v>47483.0</v>
      </c>
      <c r="Z272" s="31">
        <v>0.0</v>
      </c>
      <c r="AA272" s="31">
        <v>1.0</v>
      </c>
      <c r="AB272" s="32" t="s">
        <v>7043</v>
      </c>
      <c r="AC272" s="30">
        <v>47484.0</v>
      </c>
      <c r="AD272" s="30">
        <v>47848.0</v>
      </c>
      <c r="AE272" s="31">
        <v>0.0</v>
      </c>
      <c r="AF272" s="31">
        <v>1.0</v>
      </c>
      <c r="AG272" s="32" t="s">
        <v>7043</v>
      </c>
    </row>
    <row r="273" ht="14.25" customHeight="1">
      <c r="A273" s="28" t="s">
        <v>1899</v>
      </c>
      <c r="B273" s="29" t="s">
        <v>1900</v>
      </c>
      <c r="C273" s="29" t="s">
        <v>7041</v>
      </c>
      <c r="D273" s="30">
        <v>45658.0</v>
      </c>
      <c r="E273" s="30">
        <v>46022.0</v>
      </c>
      <c r="F273" s="31">
        <v>1.0</v>
      </c>
      <c r="G273" s="31">
        <v>1.0</v>
      </c>
      <c r="H273" s="33" t="s">
        <v>7042</v>
      </c>
      <c r="I273" s="30">
        <v>46023.0</v>
      </c>
      <c r="J273" s="30">
        <v>46387.0</v>
      </c>
      <c r="K273" s="31">
        <v>0.0</v>
      </c>
      <c r="L273" s="31">
        <v>1.0</v>
      </c>
      <c r="M273" s="32" t="s">
        <v>7043</v>
      </c>
      <c r="N273" s="30">
        <v>46388.0</v>
      </c>
      <c r="O273" s="30">
        <v>46752.0</v>
      </c>
      <c r="P273" s="31">
        <v>0.0</v>
      </c>
      <c r="Q273" s="31">
        <v>1.0</v>
      </c>
      <c r="R273" s="32" t="s">
        <v>7043</v>
      </c>
      <c r="S273" s="30">
        <v>46753.0</v>
      </c>
      <c r="T273" s="30">
        <v>47118.0</v>
      </c>
      <c r="U273" s="31">
        <v>0.0</v>
      </c>
      <c r="V273" s="31">
        <v>1.0</v>
      </c>
      <c r="W273" s="32" t="s">
        <v>7043</v>
      </c>
      <c r="X273" s="30">
        <v>47119.0</v>
      </c>
      <c r="Y273" s="30">
        <v>47483.0</v>
      </c>
      <c r="Z273" s="31">
        <v>0.0</v>
      </c>
      <c r="AA273" s="31">
        <v>1.0</v>
      </c>
      <c r="AB273" s="32" t="s">
        <v>7043</v>
      </c>
      <c r="AC273" s="30">
        <v>47484.0</v>
      </c>
      <c r="AD273" s="30">
        <v>47848.0</v>
      </c>
      <c r="AE273" s="31">
        <v>0.0</v>
      </c>
      <c r="AF273" s="31">
        <v>1.0</v>
      </c>
      <c r="AG273" s="32" t="s">
        <v>7043</v>
      </c>
    </row>
    <row r="274" ht="14.25" customHeight="1">
      <c r="A274" s="28" t="s">
        <v>1933</v>
      </c>
      <c r="B274" s="29" t="s">
        <v>1934</v>
      </c>
      <c r="C274" s="29" t="s">
        <v>7041</v>
      </c>
      <c r="D274" s="30">
        <v>45658.0</v>
      </c>
      <c r="E274" s="30">
        <v>46022.0</v>
      </c>
      <c r="F274" s="31">
        <v>0.0</v>
      </c>
      <c r="G274" s="31">
        <v>1.0</v>
      </c>
      <c r="H274" s="32" t="s">
        <v>7043</v>
      </c>
      <c r="I274" s="30">
        <v>46023.0</v>
      </c>
      <c r="J274" s="30">
        <v>46387.0</v>
      </c>
      <c r="K274" s="31">
        <v>0.0</v>
      </c>
      <c r="L274" s="31">
        <v>1.0</v>
      </c>
      <c r="M274" s="32" t="s">
        <v>7043</v>
      </c>
      <c r="N274" s="30">
        <v>46388.0</v>
      </c>
      <c r="O274" s="30">
        <v>46752.0</v>
      </c>
      <c r="P274" s="31">
        <v>0.0</v>
      </c>
      <c r="Q274" s="31">
        <v>1.0</v>
      </c>
      <c r="R274" s="32" t="s">
        <v>7043</v>
      </c>
      <c r="S274" s="30">
        <v>46753.0</v>
      </c>
      <c r="T274" s="30">
        <v>47118.0</v>
      </c>
      <c r="U274" s="31">
        <v>0.0</v>
      </c>
      <c r="V274" s="31">
        <v>1.0</v>
      </c>
      <c r="W274" s="32" t="s">
        <v>7043</v>
      </c>
      <c r="X274" s="30">
        <v>47119.0</v>
      </c>
      <c r="Y274" s="30">
        <v>47483.0</v>
      </c>
      <c r="Z274" s="31">
        <v>0.0</v>
      </c>
      <c r="AA274" s="31">
        <v>1.0</v>
      </c>
      <c r="AB274" s="32" t="s">
        <v>7043</v>
      </c>
      <c r="AC274" s="30">
        <v>47484.0</v>
      </c>
      <c r="AD274" s="30">
        <v>47848.0</v>
      </c>
      <c r="AE274" s="31">
        <v>0.0</v>
      </c>
      <c r="AF274" s="31">
        <v>1.0</v>
      </c>
      <c r="AG274" s="32" t="s">
        <v>7043</v>
      </c>
    </row>
    <row r="275" ht="14.25" customHeight="1">
      <c r="A275" s="28" t="s">
        <v>1987</v>
      </c>
      <c r="B275" s="29" t="s">
        <v>1988</v>
      </c>
      <c r="C275" s="29" t="s">
        <v>7041</v>
      </c>
      <c r="D275" s="30">
        <v>45658.0</v>
      </c>
      <c r="E275" s="30">
        <v>46022.0</v>
      </c>
      <c r="F275" s="31">
        <v>0.0</v>
      </c>
      <c r="G275" s="31">
        <v>1.0</v>
      </c>
      <c r="H275" s="32" t="s">
        <v>7043</v>
      </c>
      <c r="I275" s="30">
        <v>46023.0</v>
      </c>
      <c r="J275" s="30">
        <v>46387.0</v>
      </c>
      <c r="K275" s="31">
        <v>0.0</v>
      </c>
      <c r="L275" s="31">
        <v>1.0</v>
      </c>
      <c r="M275" s="32" t="s">
        <v>7043</v>
      </c>
      <c r="N275" s="30">
        <v>46388.0</v>
      </c>
      <c r="O275" s="30">
        <v>46752.0</v>
      </c>
      <c r="P275" s="31">
        <v>0.0</v>
      </c>
      <c r="Q275" s="31">
        <v>1.0</v>
      </c>
      <c r="R275" s="32" t="s">
        <v>7043</v>
      </c>
      <c r="S275" s="30">
        <v>46753.0</v>
      </c>
      <c r="T275" s="30">
        <v>47118.0</v>
      </c>
      <c r="U275" s="31">
        <v>0.0</v>
      </c>
      <c r="V275" s="31">
        <v>1.0</v>
      </c>
      <c r="W275" s="32" t="s">
        <v>7043</v>
      </c>
      <c r="X275" s="30">
        <v>47119.0</v>
      </c>
      <c r="Y275" s="30">
        <v>47483.0</v>
      </c>
      <c r="Z275" s="31">
        <v>0.0</v>
      </c>
      <c r="AA275" s="31">
        <v>1.0</v>
      </c>
      <c r="AB275" s="32" t="s">
        <v>7043</v>
      </c>
      <c r="AC275" s="30">
        <v>47484.0</v>
      </c>
      <c r="AD275" s="30">
        <v>47848.0</v>
      </c>
      <c r="AE275" s="31">
        <v>0.0</v>
      </c>
      <c r="AF275" s="31">
        <v>1.0</v>
      </c>
      <c r="AG275" s="32" t="s">
        <v>7043</v>
      </c>
    </row>
    <row r="276" ht="14.25" customHeight="1">
      <c r="A276" s="28" t="s">
        <v>2089</v>
      </c>
      <c r="B276" s="29" t="s">
        <v>2090</v>
      </c>
      <c r="C276" s="29" t="s">
        <v>7041</v>
      </c>
      <c r="D276" s="30">
        <v>45658.0</v>
      </c>
      <c r="E276" s="30">
        <v>46022.0</v>
      </c>
      <c r="F276" s="31">
        <v>0.0</v>
      </c>
      <c r="G276" s="31">
        <v>1.0</v>
      </c>
      <c r="H276" s="32" t="s">
        <v>7043</v>
      </c>
      <c r="I276" s="30">
        <v>46023.0</v>
      </c>
      <c r="J276" s="30">
        <v>46387.0</v>
      </c>
      <c r="K276" s="31">
        <v>0.0</v>
      </c>
      <c r="L276" s="31">
        <v>1.0</v>
      </c>
      <c r="M276" s="32" t="s">
        <v>7043</v>
      </c>
      <c r="N276" s="30">
        <v>46388.0</v>
      </c>
      <c r="O276" s="30">
        <v>46752.0</v>
      </c>
      <c r="P276" s="31">
        <v>0.0</v>
      </c>
      <c r="Q276" s="31">
        <v>1.0</v>
      </c>
      <c r="R276" s="32" t="s">
        <v>7043</v>
      </c>
      <c r="S276" s="30">
        <v>46753.0</v>
      </c>
      <c r="T276" s="30">
        <v>47118.0</v>
      </c>
      <c r="U276" s="31">
        <v>0.0</v>
      </c>
      <c r="V276" s="31">
        <v>1.0</v>
      </c>
      <c r="W276" s="32" t="s">
        <v>7043</v>
      </c>
      <c r="X276" s="30">
        <v>47119.0</v>
      </c>
      <c r="Y276" s="30">
        <v>47483.0</v>
      </c>
      <c r="Z276" s="31">
        <v>0.0</v>
      </c>
      <c r="AA276" s="31">
        <v>1.0</v>
      </c>
      <c r="AB276" s="32" t="s">
        <v>7043</v>
      </c>
      <c r="AC276" s="30">
        <v>47484.0</v>
      </c>
      <c r="AD276" s="30">
        <v>47848.0</v>
      </c>
      <c r="AE276" s="31">
        <v>0.0</v>
      </c>
      <c r="AF276" s="31">
        <v>1.0</v>
      </c>
      <c r="AG276" s="32" t="s">
        <v>7043</v>
      </c>
    </row>
    <row r="277" ht="14.25" customHeight="1">
      <c r="A277" s="28" t="s">
        <v>2173</v>
      </c>
      <c r="B277" s="29" t="s">
        <v>2174</v>
      </c>
      <c r="C277" s="29" t="s">
        <v>7041</v>
      </c>
      <c r="D277" s="30">
        <v>45658.0</v>
      </c>
      <c r="E277" s="30">
        <v>46022.0</v>
      </c>
      <c r="F277" s="31">
        <v>0.0</v>
      </c>
      <c r="G277" s="31">
        <v>1.0</v>
      </c>
      <c r="H277" s="32" t="s">
        <v>7043</v>
      </c>
      <c r="I277" s="30">
        <v>46023.0</v>
      </c>
      <c r="J277" s="30">
        <v>46387.0</v>
      </c>
      <c r="K277" s="31">
        <v>0.0</v>
      </c>
      <c r="L277" s="31">
        <v>1.0</v>
      </c>
      <c r="M277" s="32" t="s">
        <v>7043</v>
      </c>
      <c r="N277" s="30">
        <v>46388.0</v>
      </c>
      <c r="O277" s="30">
        <v>46752.0</v>
      </c>
      <c r="P277" s="31">
        <v>0.0</v>
      </c>
      <c r="Q277" s="31">
        <v>1.0</v>
      </c>
      <c r="R277" s="32" t="s">
        <v>7043</v>
      </c>
      <c r="S277" s="30">
        <v>46753.0</v>
      </c>
      <c r="T277" s="30">
        <v>47118.0</v>
      </c>
      <c r="U277" s="31">
        <v>0.0</v>
      </c>
      <c r="V277" s="31">
        <v>1.0</v>
      </c>
      <c r="W277" s="32" t="s">
        <v>7043</v>
      </c>
      <c r="X277" s="30">
        <v>47119.0</v>
      </c>
      <c r="Y277" s="30">
        <v>47483.0</v>
      </c>
      <c r="Z277" s="31">
        <v>0.0</v>
      </c>
      <c r="AA277" s="31">
        <v>1.0</v>
      </c>
      <c r="AB277" s="32" t="s">
        <v>7043</v>
      </c>
      <c r="AC277" s="30">
        <v>47484.0</v>
      </c>
      <c r="AD277" s="30">
        <v>47848.0</v>
      </c>
      <c r="AE277" s="31">
        <v>0.0</v>
      </c>
      <c r="AF277" s="31">
        <v>1.0</v>
      </c>
      <c r="AG277" s="32" t="s">
        <v>7043</v>
      </c>
    </row>
    <row r="278" ht="14.25" customHeight="1">
      <c r="A278" s="28" t="s">
        <v>2256</v>
      </c>
      <c r="B278" s="29" t="s">
        <v>2257</v>
      </c>
      <c r="C278" s="29" t="s">
        <v>7041</v>
      </c>
      <c r="D278" s="30">
        <v>45658.0</v>
      </c>
      <c r="E278" s="30">
        <v>46022.0</v>
      </c>
      <c r="F278" s="31">
        <v>0.0</v>
      </c>
      <c r="G278" s="31">
        <v>1.0</v>
      </c>
      <c r="H278" s="32" t="s">
        <v>7043</v>
      </c>
      <c r="I278" s="30">
        <v>46023.0</v>
      </c>
      <c r="J278" s="30">
        <v>46387.0</v>
      </c>
      <c r="K278" s="31">
        <v>0.0</v>
      </c>
      <c r="L278" s="31">
        <v>1.0</v>
      </c>
      <c r="M278" s="32" t="s">
        <v>7043</v>
      </c>
      <c r="N278" s="30">
        <v>46388.0</v>
      </c>
      <c r="O278" s="30">
        <v>46752.0</v>
      </c>
      <c r="P278" s="31">
        <v>0.0</v>
      </c>
      <c r="Q278" s="31">
        <v>1.0</v>
      </c>
      <c r="R278" s="32" t="s">
        <v>7043</v>
      </c>
      <c r="S278" s="30">
        <v>46753.0</v>
      </c>
      <c r="T278" s="30">
        <v>47118.0</v>
      </c>
      <c r="U278" s="31">
        <v>0.0</v>
      </c>
      <c r="V278" s="31">
        <v>1.0</v>
      </c>
      <c r="W278" s="32" t="s">
        <v>7043</v>
      </c>
      <c r="X278" s="30">
        <v>47119.0</v>
      </c>
      <c r="Y278" s="30">
        <v>47483.0</v>
      </c>
      <c r="Z278" s="31">
        <v>0.0</v>
      </c>
      <c r="AA278" s="31">
        <v>1.0</v>
      </c>
      <c r="AB278" s="32" t="s">
        <v>7043</v>
      </c>
      <c r="AC278" s="30">
        <v>47484.0</v>
      </c>
      <c r="AD278" s="30">
        <v>47848.0</v>
      </c>
      <c r="AE278" s="31">
        <v>0.0</v>
      </c>
      <c r="AF278" s="31">
        <v>1.0</v>
      </c>
      <c r="AG278" s="32" t="s">
        <v>7043</v>
      </c>
    </row>
    <row r="279" ht="14.25" customHeight="1">
      <c r="A279" s="28" t="s">
        <v>2265</v>
      </c>
      <c r="B279" s="29" t="s">
        <v>2266</v>
      </c>
      <c r="C279" s="29" t="s">
        <v>7041</v>
      </c>
      <c r="D279" s="30">
        <v>45658.0</v>
      </c>
      <c r="E279" s="30">
        <v>46022.0</v>
      </c>
      <c r="F279" s="31">
        <v>0.0</v>
      </c>
      <c r="G279" s="31">
        <v>1.0</v>
      </c>
      <c r="H279" s="32" t="s">
        <v>7043</v>
      </c>
      <c r="I279" s="30">
        <v>46023.0</v>
      </c>
      <c r="J279" s="30">
        <v>46387.0</v>
      </c>
      <c r="K279" s="31">
        <v>0.0</v>
      </c>
      <c r="L279" s="31">
        <v>1.0</v>
      </c>
      <c r="M279" s="32" t="s">
        <v>7043</v>
      </c>
      <c r="N279" s="30">
        <v>46388.0</v>
      </c>
      <c r="O279" s="30">
        <v>46752.0</v>
      </c>
      <c r="P279" s="31">
        <v>0.0</v>
      </c>
      <c r="Q279" s="31">
        <v>1.0</v>
      </c>
      <c r="R279" s="32" t="s">
        <v>7043</v>
      </c>
      <c r="S279" s="30">
        <v>46753.0</v>
      </c>
      <c r="T279" s="30">
        <v>47118.0</v>
      </c>
      <c r="U279" s="31">
        <v>0.0</v>
      </c>
      <c r="V279" s="31">
        <v>1.0</v>
      </c>
      <c r="W279" s="32" t="s">
        <v>7043</v>
      </c>
      <c r="X279" s="30">
        <v>47119.0</v>
      </c>
      <c r="Y279" s="30">
        <v>47483.0</v>
      </c>
      <c r="Z279" s="31">
        <v>0.0</v>
      </c>
      <c r="AA279" s="31">
        <v>1.0</v>
      </c>
      <c r="AB279" s="32" t="s">
        <v>7043</v>
      </c>
      <c r="AC279" s="30">
        <v>47484.0</v>
      </c>
      <c r="AD279" s="30">
        <v>47848.0</v>
      </c>
      <c r="AE279" s="31">
        <v>0.0</v>
      </c>
      <c r="AF279" s="31">
        <v>1.0</v>
      </c>
      <c r="AG279" s="32" t="s">
        <v>7043</v>
      </c>
    </row>
    <row r="280" ht="14.25" customHeight="1">
      <c r="A280" s="28" t="s">
        <v>2523</v>
      </c>
      <c r="B280" s="29" t="s">
        <v>2524</v>
      </c>
      <c r="C280" s="29" t="s">
        <v>7041</v>
      </c>
      <c r="D280" s="30">
        <v>45658.0</v>
      </c>
      <c r="E280" s="30">
        <v>46022.0</v>
      </c>
      <c r="F280" s="31">
        <v>1.0</v>
      </c>
      <c r="G280" s="31">
        <v>1.0</v>
      </c>
      <c r="H280" s="33" t="s">
        <v>7042</v>
      </c>
      <c r="I280" s="30">
        <v>46023.0</v>
      </c>
      <c r="J280" s="30">
        <v>46387.0</v>
      </c>
      <c r="K280" s="31">
        <v>0.0</v>
      </c>
      <c r="L280" s="31">
        <v>1.0</v>
      </c>
      <c r="M280" s="32" t="s">
        <v>7043</v>
      </c>
      <c r="N280" s="30">
        <v>46388.0</v>
      </c>
      <c r="O280" s="30">
        <v>46752.0</v>
      </c>
      <c r="P280" s="31">
        <v>0.0</v>
      </c>
      <c r="Q280" s="31">
        <v>1.0</v>
      </c>
      <c r="R280" s="32" t="s">
        <v>7043</v>
      </c>
      <c r="S280" s="30">
        <v>46753.0</v>
      </c>
      <c r="T280" s="30">
        <v>47118.0</v>
      </c>
      <c r="U280" s="31">
        <v>0.0</v>
      </c>
      <c r="V280" s="31">
        <v>1.0</v>
      </c>
      <c r="W280" s="32" t="s">
        <v>7043</v>
      </c>
      <c r="X280" s="30">
        <v>47119.0</v>
      </c>
      <c r="Y280" s="30">
        <v>47483.0</v>
      </c>
      <c r="Z280" s="31">
        <v>0.0</v>
      </c>
      <c r="AA280" s="31">
        <v>1.0</v>
      </c>
      <c r="AB280" s="32" t="s">
        <v>7043</v>
      </c>
      <c r="AC280" s="30">
        <v>47484.0</v>
      </c>
      <c r="AD280" s="30">
        <v>47848.0</v>
      </c>
      <c r="AE280" s="31">
        <v>0.0</v>
      </c>
      <c r="AF280" s="31">
        <v>1.0</v>
      </c>
      <c r="AG280" s="32" t="s">
        <v>7043</v>
      </c>
    </row>
    <row r="281" ht="14.25" customHeight="1">
      <c r="A281" s="28" t="s">
        <v>2541</v>
      </c>
      <c r="B281" s="29" t="s">
        <v>2542</v>
      </c>
      <c r="C281" s="29" t="s">
        <v>7041</v>
      </c>
      <c r="D281" s="30">
        <v>45658.0</v>
      </c>
      <c r="E281" s="30">
        <v>46022.0</v>
      </c>
      <c r="F281" s="31">
        <v>1.0</v>
      </c>
      <c r="G281" s="31">
        <v>1.0</v>
      </c>
      <c r="H281" s="33" t="s">
        <v>7042</v>
      </c>
      <c r="I281" s="30">
        <v>46023.0</v>
      </c>
      <c r="J281" s="30">
        <v>46387.0</v>
      </c>
      <c r="K281" s="31">
        <v>0.0</v>
      </c>
      <c r="L281" s="31">
        <v>1.0</v>
      </c>
      <c r="M281" s="32" t="s">
        <v>7043</v>
      </c>
      <c r="N281" s="30">
        <v>46388.0</v>
      </c>
      <c r="O281" s="30">
        <v>46752.0</v>
      </c>
      <c r="P281" s="31">
        <v>0.0</v>
      </c>
      <c r="Q281" s="31">
        <v>1.0</v>
      </c>
      <c r="R281" s="32" t="s">
        <v>7043</v>
      </c>
      <c r="S281" s="30">
        <v>46753.0</v>
      </c>
      <c r="T281" s="30">
        <v>47118.0</v>
      </c>
      <c r="U281" s="31">
        <v>0.0</v>
      </c>
      <c r="V281" s="31">
        <v>1.0</v>
      </c>
      <c r="W281" s="32" t="s">
        <v>7043</v>
      </c>
      <c r="X281" s="30">
        <v>47119.0</v>
      </c>
      <c r="Y281" s="30">
        <v>47483.0</v>
      </c>
      <c r="Z281" s="31">
        <v>0.0</v>
      </c>
      <c r="AA281" s="31">
        <v>1.0</v>
      </c>
      <c r="AB281" s="32" t="s">
        <v>7043</v>
      </c>
      <c r="AC281" s="30">
        <v>47484.0</v>
      </c>
      <c r="AD281" s="30">
        <v>47848.0</v>
      </c>
      <c r="AE281" s="31">
        <v>0.0</v>
      </c>
      <c r="AF281" s="31">
        <v>1.0</v>
      </c>
      <c r="AG281" s="32" t="s">
        <v>7043</v>
      </c>
    </row>
    <row r="282" ht="14.25" customHeight="1">
      <c r="A282" s="28" t="s">
        <v>2553</v>
      </c>
      <c r="B282" s="29" t="s">
        <v>2554</v>
      </c>
      <c r="C282" s="29" t="s">
        <v>7041</v>
      </c>
      <c r="D282" s="30">
        <v>45658.0</v>
      </c>
      <c r="E282" s="30">
        <v>46022.0</v>
      </c>
      <c r="F282" s="31">
        <v>0.0</v>
      </c>
      <c r="G282" s="31">
        <v>1.0</v>
      </c>
      <c r="H282" s="32" t="s">
        <v>7043</v>
      </c>
      <c r="I282" s="30">
        <v>46023.0</v>
      </c>
      <c r="J282" s="30">
        <v>46387.0</v>
      </c>
      <c r="K282" s="31">
        <v>0.0</v>
      </c>
      <c r="L282" s="31">
        <v>1.0</v>
      </c>
      <c r="M282" s="32" t="s">
        <v>7043</v>
      </c>
      <c r="N282" s="30">
        <v>46388.0</v>
      </c>
      <c r="O282" s="30">
        <v>46752.0</v>
      </c>
      <c r="P282" s="31">
        <v>0.0</v>
      </c>
      <c r="Q282" s="31">
        <v>1.0</v>
      </c>
      <c r="R282" s="32" t="s">
        <v>7043</v>
      </c>
      <c r="S282" s="30">
        <v>46753.0</v>
      </c>
      <c r="T282" s="30">
        <v>47118.0</v>
      </c>
      <c r="U282" s="31">
        <v>0.0</v>
      </c>
      <c r="V282" s="31">
        <v>1.0</v>
      </c>
      <c r="W282" s="32" t="s">
        <v>7043</v>
      </c>
      <c r="X282" s="30">
        <v>47119.0</v>
      </c>
      <c r="Y282" s="30">
        <v>47483.0</v>
      </c>
      <c r="Z282" s="31">
        <v>0.0</v>
      </c>
      <c r="AA282" s="31">
        <v>1.0</v>
      </c>
      <c r="AB282" s="32" t="s">
        <v>7043</v>
      </c>
      <c r="AC282" s="30">
        <v>47484.0</v>
      </c>
      <c r="AD282" s="30">
        <v>47848.0</v>
      </c>
      <c r="AE282" s="31">
        <v>0.0</v>
      </c>
      <c r="AF282" s="31">
        <v>1.0</v>
      </c>
      <c r="AG282" s="32" t="s">
        <v>7043</v>
      </c>
    </row>
    <row r="283" ht="14.25" customHeight="1">
      <c r="A283" s="28" t="s">
        <v>2574</v>
      </c>
      <c r="B283" s="29" t="s">
        <v>2575</v>
      </c>
      <c r="C283" s="29" t="s">
        <v>7041</v>
      </c>
      <c r="D283" s="30">
        <v>45658.0</v>
      </c>
      <c r="E283" s="30">
        <v>46022.0</v>
      </c>
      <c r="F283" s="31">
        <v>0.0</v>
      </c>
      <c r="G283" s="31">
        <v>1.0</v>
      </c>
      <c r="H283" s="32" t="s">
        <v>7043</v>
      </c>
      <c r="I283" s="30">
        <v>46023.0</v>
      </c>
      <c r="J283" s="30">
        <v>46387.0</v>
      </c>
      <c r="K283" s="31">
        <v>0.0</v>
      </c>
      <c r="L283" s="31">
        <v>1.0</v>
      </c>
      <c r="M283" s="32" t="s">
        <v>7043</v>
      </c>
      <c r="N283" s="30">
        <v>46388.0</v>
      </c>
      <c r="O283" s="30">
        <v>46752.0</v>
      </c>
      <c r="P283" s="31">
        <v>0.0</v>
      </c>
      <c r="Q283" s="31">
        <v>1.0</v>
      </c>
      <c r="R283" s="32" t="s">
        <v>7043</v>
      </c>
      <c r="S283" s="30">
        <v>46753.0</v>
      </c>
      <c r="T283" s="30">
        <v>47118.0</v>
      </c>
      <c r="U283" s="31">
        <v>0.0</v>
      </c>
      <c r="V283" s="31">
        <v>1.0</v>
      </c>
      <c r="W283" s="32" t="s">
        <v>7043</v>
      </c>
      <c r="X283" s="30">
        <v>47119.0</v>
      </c>
      <c r="Y283" s="30">
        <v>47483.0</v>
      </c>
      <c r="Z283" s="31">
        <v>0.0</v>
      </c>
      <c r="AA283" s="31">
        <v>1.0</v>
      </c>
      <c r="AB283" s="32" t="s">
        <v>7043</v>
      </c>
      <c r="AC283" s="30">
        <v>47484.0</v>
      </c>
      <c r="AD283" s="30">
        <v>47848.0</v>
      </c>
      <c r="AE283" s="31">
        <v>0.0</v>
      </c>
      <c r="AF283" s="31">
        <v>1.0</v>
      </c>
      <c r="AG283" s="32" t="s">
        <v>7043</v>
      </c>
    </row>
    <row r="284" ht="14.25" customHeight="1">
      <c r="A284" s="28" t="s">
        <v>2592</v>
      </c>
      <c r="B284" s="29" t="s">
        <v>2593</v>
      </c>
      <c r="C284" s="29" t="s">
        <v>7041</v>
      </c>
      <c r="D284" s="30">
        <v>45658.0</v>
      </c>
      <c r="E284" s="30">
        <v>46022.0</v>
      </c>
      <c r="F284" s="31">
        <v>1.0</v>
      </c>
      <c r="G284" s="31">
        <v>1.0</v>
      </c>
      <c r="H284" s="33" t="s">
        <v>7042</v>
      </c>
      <c r="I284" s="30">
        <v>46023.0</v>
      </c>
      <c r="J284" s="30">
        <v>46387.0</v>
      </c>
      <c r="K284" s="31">
        <v>0.0</v>
      </c>
      <c r="L284" s="31">
        <v>1.0</v>
      </c>
      <c r="M284" s="32" t="s">
        <v>7043</v>
      </c>
      <c r="N284" s="30">
        <v>46388.0</v>
      </c>
      <c r="O284" s="30">
        <v>46752.0</v>
      </c>
      <c r="P284" s="31">
        <v>0.0</v>
      </c>
      <c r="Q284" s="31">
        <v>1.0</v>
      </c>
      <c r="R284" s="32" t="s">
        <v>7043</v>
      </c>
      <c r="S284" s="30">
        <v>46753.0</v>
      </c>
      <c r="T284" s="30">
        <v>47118.0</v>
      </c>
      <c r="U284" s="31">
        <v>0.0</v>
      </c>
      <c r="V284" s="31">
        <v>1.0</v>
      </c>
      <c r="W284" s="32" t="s">
        <v>7043</v>
      </c>
      <c r="X284" s="30">
        <v>47119.0</v>
      </c>
      <c r="Y284" s="30">
        <v>47483.0</v>
      </c>
      <c r="Z284" s="31">
        <v>0.0</v>
      </c>
      <c r="AA284" s="31">
        <v>1.0</v>
      </c>
      <c r="AB284" s="32" t="s">
        <v>7043</v>
      </c>
      <c r="AC284" s="30">
        <v>47484.0</v>
      </c>
      <c r="AD284" s="30">
        <v>47848.0</v>
      </c>
      <c r="AE284" s="31">
        <v>0.0</v>
      </c>
      <c r="AF284" s="31">
        <v>1.0</v>
      </c>
      <c r="AG284" s="32" t="s">
        <v>7043</v>
      </c>
    </row>
    <row r="285" ht="14.25" customHeight="1">
      <c r="A285" s="28" t="s">
        <v>2595</v>
      </c>
      <c r="B285" s="29" t="s">
        <v>2596</v>
      </c>
      <c r="C285" s="29" t="s">
        <v>7041</v>
      </c>
      <c r="D285" s="30">
        <v>45658.0</v>
      </c>
      <c r="E285" s="30">
        <v>46022.0</v>
      </c>
      <c r="F285" s="31">
        <v>0.0</v>
      </c>
      <c r="G285" s="31">
        <v>1.0</v>
      </c>
      <c r="H285" s="32" t="s">
        <v>7043</v>
      </c>
      <c r="I285" s="30">
        <v>46023.0</v>
      </c>
      <c r="J285" s="30">
        <v>46387.0</v>
      </c>
      <c r="K285" s="31">
        <v>0.0</v>
      </c>
      <c r="L285" s="31">
        <v>1.0</v>
      </c>
      <c r="M285" s="32" t="s">
        <v>7043</v>
      </c>
      <c r="N285" s="30">
        <v>46388.0</v>
      </c>
      <c r="O285" s="30">
        <v>46752.0</v>
      </c>
      <c r="P285" s="31">
        <v>0.0</v>
      </c>
      <c r="Q285" s="31">
        <v>1.0</v>
      </c>
      <c r="R285" s="32" t="s">
        <v>7043</v>
      </c>
      <c r="S285" s="30">
        <v>46753.0</v>
      </c>
      <c r="T285" s="30">
        <v>47118.0</v>
      </c>
      <c r="U285" s="31">
        <v>0.0</v>
      </c>
      <c r="V285" s="31">
        <v>1.0</v>
      </c>
      <c r="W285" s="32" t="s">
        <v>7043</v>
      </c>
      <c r="X285" s="30">
        <v>47119.0</v>
      </c>
      <c r="Y285" s="30">
        <v>47483.0</v>
      </c>
      <c r="Z285" s="31">
        <v>0.0</v>
      </c>
      <c r="AA285" s="31">
        <v>1.0</v>
      </c>
      <c r="AB285" s="32" t="s">
        <v>7043</v>
      </c>
      <c r="AC285" s="30">
        <v>47484.0</v>
      </c>
      <c r="AD285" s="30">
        <v>47848.0</v>
      </c>
      <c r="AE285" s="31">
        <v>0.0</v>
      </c>
      <c r="AF285" s="31">
        <v>1.0</v>
      </c>
      <c r="AG285" s="32" t="s">
        <v>7043</v>
      </c>
    </row>
    <row r="286" ht="14.25" customHeight="1">
      <c r="A286" s="28" t="s">
        <v>2620</v>
      </c>
      <c r="B286" s="29" t="s">
        <v>2621</v>
      </c>
      <c r="C286" s="29" t="s">
        <v>7041</v>
      </c>
      <c r="D286" s="30">
        <v>45658.0</v>
      </c>
      <c r="E286" s="30">
        <v>46022.0</v>
      </c>
      <c r="F286" s="31">
        <v>0.0</v>
      </c>
      <c r="G286" s="31">
        <v>1.0</v>
      </c>
      <c r="H286" s="32" t="s">
        <v>7043</v>
      </c>
      <c r="I286" s="30">
        <v>46023.0</v>
      </c>
      <c r="J286" s="30">
        <v>46387.0</v>
      </c>
      <c r="K286" s="31">
        <v>0.0</v>
      </c>
      <c r="L286" s="31">
        <v>1.0</v>
      </c>
      <c r="M286" s="32" t="s">
        <v>7043</v>
      </c>
      <c r="N286" s="30">
        <v>46388.0</v>
      </c>
      <c r="O286" s="30">
        <v>46752.0</v>
      </c>
      <c r="P286" s="31">
        <v>0.0</v>
      </c>
      <c r="Q286" s="31">
        <v>1.0</v>
      </c>
      <c r="R286" s="32" t="s">
        <v>7043</v>
      </c>
      <c r="S286" s="30">
        <v>46753.0</v>
      </c>
      <c r="T286" s="30">
        <v>47118.0</v>
      </c>
      <c r="U286" s="31">
        <v>0.0</v>
      </c>
      <c r="V286" s="31">
        <v>1.0</v>
      </c>
      <c r="W286" s="32" t="s">
        <v>7043</v>
      </c>
      <c r="X286" s="30">
        <v>47119.0</v>
      </c>
      <c r="Y286" s="30">
        <v>47483.0</v>
      </c>
      <c r="Z286" s="31">
        <v>0.0</v>
      </c>
      <c r="AA286" s="31">
        <v>1.0</v>
      </c>
      <c r="AB286" s="32" t="s">
        <v>7043</v>
      </c>
      <c r="AC286" s="30">
        <v>47484.0</v>
      </c>
      <c r="AD286" s="30">
        <v>47848.0</v>
      </c>
      <c r="AE286" s="31">
        <v>0.0</v>
      </c>
      <c r="AF286" s="31">
        <v>1.0</v>
      </c>
      <c r="AG286" s="32" t="s">
        <v>7043</v>
      </c>
    </row>
    <row r="287" ht="14.25" customHeight="1">
      <c r="A287" s="28" t="s">
        <v>2709</v>
      </c>
      <c r="B287" s="29" t="s">
        <v>2710</v>
      </c>
      <c r="C287" s="29" t="s">
        <v>7041</v>
      </c>
      <c r="D287" s="30">
        <v>45658.0</v>
      </c>
      <c r="E287" s="30">
        <v>46022.0</v>
      </c>
      <c r="F287" s="31">
        <v>0.0</v>
      </c>
      <c r="G287" s="31">
        <v>1.0</v>
      </c>
      <c r="H287" s="32" t="s">
        <v>7043</v>
      </c>
      <c r="I287" s="30">
        <v>46023.0</v>
      </c>
      <c r="J287" s="30">
        <v>46387.0</v>
      </c>
      <c r="K287" s="31">
        <v>0.0</v>
      </c>
      <c r="L287" s="31">
        <v>1.0</v>
      </c>
      <c r="M287" s="32" t="s">
        <v>7043</v>
      </c>
      <c r="N287" s="30">
        <v>46388.0</v>
      </c>
      <c r="O287" s="30">
        <v>46752.0</v>
      </c>
      <c r="P287" s="31">
        <v>0.0</v>
      </c>
      <c r="Q287" s="31">
        <v>1.0</v>
      </c>
      <c r="R287" s="32" t="s">
        <v>7043</v>
      </c>
      <c r="S287" s="30">
        <v>46753.0</v>
      </c>
      <c r="T287" s="30">
        <v>47118.0</v>
      </c>
      <c r="U287" s="31">
        <v>0.0</v>
      </c>
      <c r="V287" s="31">
        <v>1.0</v>
      </c>
      <c r="W287" s="32" t="s">
        <v>7043</v>
      </c>
      <c r="X287" s="30">
        <v>47119.0</v>
      </c>
      <c r="Y287" s="30">
        <v>47483.0</v>
      </c>
      <c r="Z287" s="31">
        <v>0.0</v>
      </c>
      <c r="AA287" s="31">
        <v>1.0</v>
      </c>
      <c r="AB287" s="32" t="s">
        <v>7043</v>
      </c>
      <c r="AC287" s="30">
        <v>47484.0</v>
      </c>
      <c r="AD287" s="30">
        <v>47848.0</v>
      </c>
      <c r="AE287" s="31">
        <v>0.0</v>
      </c>
      <c r="AF287" s="31">
        <v>1.0</v>
      </c>
      <c r="AG287" s="32" t="s">
        <v>7043</v>
      </c>
    </row>
    <row r="288" ht="14.25" customHeight="1">
      <c r="A288" s="28" t="s">
        <v>2781</v>
      </c>
      <c r="B288" s="29" t="s">
        <v>2782</v>
      </c>
      <c r="C288" s="29" t="s">
        <v>7041</v>
      </c>
      <c r="D288" s="30">
        <v>45658.0</v>
      </c>
      <c r="E288" s="30">
        <v>46022.0</v>
      </c>
      <c r="F288" s="31">
        <v>0.0</v>
      </c>
      <c r="G288" s="31">
        <v>1.0</v>
      </c>
      <c r="H288" s="32" t="s">
        <v>7043</v>
      </c>
      <c r="I288" s="30">
        <v>46023.0</v>
      </c>
      <c r="J288" s="30">
        <v>46387.0</v>
      </c>
      <c r="K288" s="31">
        <v>0.0</v>
      </c>
      <c r="L288" s="31">
        <v>1.0</v>
      </c>
      <c r="M288" s="32" t="s">
        <v>7043</v>
      </c>
      <c r="N288" s="30">
        <v>46388.0</v>
      </c>
      <c r="O288" s="30">
        <v>46752.0</v>
      </c>
      <c r="P288" s="31">
        <v>0.0</v>
      </c>
      <c r="Q288" s="31">
        <v>1.0</v>
      </c>
      <c r="R288" s="32" t="s">
        <v>7043</v>
      </c>
      <c r="S288" s="30">
        <v>46753.0</v>
      </c>
      <c r="T288" s="30">
        <v>47118.0</v>
      </c>
      <c r="U288" s="31">
        <v>0.0</v>
      </c>
      <c r="V288" s="31">
        <v>1.0</v>
      </c>
      <c r="W288" s="32" t="s">
        <v>7043</v>
      </c>
      <c r="X288" s="30">
        <v>47119.0</v>
      </c>
      <c r="Y288" s="30">
        <v>47483.0</v>
      </c>
      <c r="Z288" s="31">
        <v>0.0</v>
      </c>
      <c r="AA288" s="31">
        <v>1.0</v>
      </c>
      <c r="AB288" s="32" t="s">
        <v>7043</v>
      </c>
      <c r="AC288" s="30">
        <v>47484.0</v>
      </c>
      <c r="AD288" s="30">
        <v>47848.0</v>
      </c>
      <c r="AE288" s="31">
        <v>0.0</v>
      </c>
      <c r="AF288" s="31">
        <v>1.0</v>
      </c>
      <c r="AG288" s="32" t="s">
        <v>7043</v>
      </c>
    </row>
    <row r="289" ht="14.25" customHeight="1">
      <c r="A289" s="28" t="s">
        <v>2948</v>
      </c>
      <c r="B289" s="29" t="s">
        <v>2949</v>
      </c>
      <c r="C289" s="29" t="s">
        <v>7041</v>
      </c>
      <c r="D289" s="30">
        <v>45658.0</v>
      </c>
      <c r="E289" s="30">
        <v>46022.0</v>
      </c>
      <c r="F289" s="31">
        <v>1.0</v>
      </c>
      <c r="G289" s="31">
        <v>1.0</v>
      </c>
      <c r="H289" s="33" t="s">
        <v>7042</v>
      </c>
      <c r="I289" s="30">
        <v>46023.0</v>
      </c>
      <c r="J289" s="30">
        <v>46387.0</v>
      </c>
      <c r="K289" s="31">
        <v>0.0</v>
      </c>
      <c r="L289" s="31">
        <v>1.0</v>
      </c>
      <c r="M289" s="32" t="s">
        <v>7043</v>
      </c>
      <c r="N289" s="30">
        <v>46388.0</v>
      </c>
      <c r="O289" s="30">
        <v>46752.0</v>
      </c>
      <c r="P289" s="31">
        <v>0.0</v>
      </c>
      <c r="Q289" s="31">
        <v>1.0</v>
      </c>
      <c r="R289" s="32" t="s">
        <v>7043</v>
      </c>
      <c r="S289" s="30">
        <v>46753.0</v>
      </c>
      <c r="T289" s="30">
        <v>47118.0</v>
      </c>
      <c r="U289" s="31">
        <v>0.0</v>
      </c>
      <c r="V289" s="31">
        <v>1.0</v>
      </c>
      <c r="W289" s="32" t="s">
        <v>7043</v>
      </c>
      <c r="X289" s="30">
        <v>47119.0</v>
      </c>
      <c r="Y289" s="30">
        <v>47483.0</v>
      </c>
      <c r="Z289" s="31">
        <v>0.0</v>
      </c>
      <c r="AA289" s="31">
        <v>1.0</v>
      </c>
      <c r="AB289" s="32" t="s">
        <v>7043</v>
      </c>
      <c r="AC289" s="30">
        <v>47484.0</v>
      </c>
      <c r="AD289" s="30">
        <v>47848.0</v>
      </c>
      <c r="AE289" s="31">
        <v>0.0</v>
      </c>
      <c r="AF289" s="31">
        <v>1.0</v>
      </c>
      <c r="AG289" s="32" t="s">
        <v>7043</v>
      </c>
    </row>
    <row r="290" ht="14.25" customHeight="1">
      <c r="A290" s="28" t="s">
        <v>2957</v>
      </c>
      <c r="B290" s="29" t="s">
        <v>2958</v>
      </c>
      <c r="C290" s="29" t="s">
        <v>7041</v>
      </c>
      <c r="D290" s="30">
        <v>45658.0</v>
      </c>
      <c r="E290" s="30">
        <v>46022.0</v>
      </c>
      <c r="F290" s="31">
        <v>1.0</v>
      </c>
      <c r="G290" s="31">
        <v>1.0</v>
      </c>
      <c r="H290" s="33" t="s">
        <v>7042</v>
      </c>
      <c r="I290" s="30">
        <v>46023.0</v>
      </c>
      <c r="J290" s="30">
        <v>46387.0</v>
      </c>
      <c r="K290" s="31">
        <v>0.0</v>
      </c>
      <c r="L290" s="31">
        <v>1.0</v>
      </c>
      <c r="M290" s="32" t="s">
        <v>7043</v>
      </c>
      <c r="N290" s="30">
        <v>46388.0</v>
      </c>
      <c r="O290" s="30">
        <v>46752.0</v>
      </c>
      <c r="P290" s="31">
        <v>0.0</v>
      </c>
      <c r="Q290" s="31">
        <v>1.0</v>
      </c>
      <c r="R290" s="32" t="s">
        <v>7043</v>
      </c>
      <c r="S290" s="30">
        <v>46753.0</v>
      </c>
      <c r="T290" s="30">
        <v>47118.0</v>
      </c>
      <c r="U290" s="31">
        <v>0.0</v>
      </c>
      <c r="V290" s="31">
        <v>1.0</v>
      </c>
      <c r="W290" s="32" t="s">
        <v>7043</v>
      </c>
      <c r="X290" s="30">
        <v>47119.0</v>
      </c>
      <c r="Y290" s="30">
        <v>47483.0</v>
      </c>
      <c r="Z290" s="31">
        <v>0.0</v>
      </c>
      <c r="AA290" s="31">
        <v>1.0</v>
      </c>
      <c r="AB290" s="32" t="s">
        <v>7043</v>
      </c>
      <c r="AC290" s="30">
        <v>47484.0</v>
      </c>
      <c r="AD290" s="30">
        <v>47848.0</v>
      </c>
      <c r="AE290" s="31">
        <v>0.0</v>
      </c>
      <c r="AF290" s="31">
        <v>1.0</v>
      </c>
      <c r="AG290" s="32" t="s">
        <v>7043</v>
      </c>
    </row>
    <row r="291" ht="14.25" customHeight="1">
      <c r="A291" s="28" t="s">
        <v>3189</v>
      </c>
      <c r="B291" s="29" t="s">
        <v>3190</v>
      </c>
      <c r="C291" s="29" t="s">
        <v>7041</v>
      </c>
      <c r="D291" s="30">
        <v>45658.0</v>
      </c>
      <c r="E291" s="30">
        <v>46022.0</v>
      </c>
      <c r="F291" s="31">
        <v>1.0</v>
      </c>
      <c r="G291" s="31">
        <v>1.0</v>
      </c>
      <c r="H291" s="33" t="s">
        <v>7042</v>
      </c>
      <c r="I291" s="30">
        <v>46023.0</v>
      </c>
      <c r="J291" s="30">
        <v>46387.0</v>
      </c>
      <c r="K291" s="31">
        <v>0.0</v>
      </c>
      <c r="L291" s="31">
        <v>1.0</v>
      </c>
      <c r="M291" s="32" t="s">
        <v>7043</v>
      </c>
      <c r="N291" s="30">
        <v>46388.0</v>
      </c>
      <c r="O291" s="30">
        <v>46752.0</v>
      </c>
      <c r="P291" s="31">
        <v>0.0</v>
      </c>
      <c r="Q291" s="31">
        <v>1.0</v>
      </c>
      <c r="R291" s="32" t="s">
        <v>7043</v>
      </c>
      <c r="S291" s="30">
        <v>46753.0</v>
      </c>
      <c r="T291" s="30">
        <v>47118.0</v>
      </c>
      <c r="U291" s="31">
        <v>0.0</v>
      </c>
      <c r="V291" s="31">
        <v>1.0</v>
      </c>
      <c r="W291" s="32" t="s">
        <v>7043</v>
      </c>
      <c r="X291" s="30">
        <v>47119.0</v>
      </c>
      <c r="Y291" s="30">
        <v>47483.0</v>
      </c>
      <c r="Z291" s="31">
        <v>0.0</v>
      </c>
      <c r="AA291" s="31">
        <v>1.0</v>
      </c>
      <c r="AB291" s="32" t="s">
        <v>7043</v>
      </c>
      <c r="AC291" s="30">
        <v>47484.0</v>
      </c>
      <c r="AD291" s="30">
        <v>47848.0</v>
      </c>
      <c r="AE291" s="31">
        <v>0.0</v>
      </c>
      <c r="AF291" s="31">
        <v>1.0</v>
      </c>
      <c r="AG291" s="32" t="s">
        <v>7043</v>
      </c>
    </row>
    <row r="292" ht="14.25" customHeight="1">
      <c r="A292" s="28" t="s">
        <v>3291</v>
      </c>
      <c r="B292" s="29" t="s">
        <v>3292</v>
      </c>
      <c r="C292" s="29" t="s">
        <v>7041</v>
      </c>
      <c r="D292" s="30">
        <v>45658.0</v>
      </c>
      <c r="E292" s="30">
        <v>46022.0</v>
      </c>
      <c r="F292" s="31">
        <v>0.0</v>
      </c>
      <c r="G292" s="31">
        <v>1.0</v>
      </c>
      <c r="H292" s="32" t="s">
        <v>7043</v>
      </c>
      <c r="I292" s="30">
        <v>46023.0</v>
      </c>
      <c r="J292" s="30">
        <v>46387.0</v>
      </c>
      <c r="K292" s="31">
        <v>0.0</v>
      </c>
      <c r="L292" s="31">
        <v>1.0</v>
      </c>
      <c r="M292" s="32" t="s">
        <v>7043</v>
      </c>
      <c r="N292" s="30">
        <v>46388.0</v>
      </c>
      <c r="O292" s="30">
        <v>46752.0</v>
      </c>
      <c r="P292" s="31">
        <v>0.0</v>
      </c>
      <c r="Q292" s="31">
        <v>1.0</v>
      </c>
      <c r="R292" s="32" t="s">
        <v>7043</v>
      </c>
      <c r="S292" s="30">
        <v>46753.0</v>
      </c>
      <c r="T292" s="30">
        <v>47118.0</v>
      </c>
      <c r="U292" s="31">
        <v>0.0</v>
      </c>
      <c r="V292" s="31">
        <v>1.0</v>
      </c>
      <c r="W292" s="32" t="s">
        <v>7043</v>
      </c>
      <c r="X292" s="30">
        <v>47119.0</v>
      </c>
      <c r="Y292" s="30">
        <v>47483.0</v>
      </c>
      <c r="Z292" s="31">
        <v>0.0</v>
      </c>
      <c r="AA292" s="31">
        <v>1.0</v>
      </c>
      <c r="AB292" s="32" t="s">
        <v>7043</v>
      </c>
      <c r="AC292" s="30">
        <v>47484.0</v>
      </c>
      <c r="AD292" s="30">
        <v>47848.0</v>
      </c>
      <c r="AE292" s="31">
        <v>0.0</v>
      </c>
      <c r="AF292" s="31">
        <v>1.0</v>
      </c>
      <c r="AG292" s="32" t="s">
        <v>7043</v>
      </c>
    </row>
    <row r="293" ht="14.25" customHeight="1">
      <c r="A293" s="28" t="s">
        <v>3326</v>
      </c>
      <c r="B293" s="29" t="s">
        <v>3327</v>
      </c>
      <c r="C293" s="29" t="s">
        <v>7041</v>
      </c>
      <c r="D293" s="30">
        <v>45658.0</v>
      </c>
      <c r="E293" s="30">
        <v>46022.0</v>
      </c>
      <c r="F293" s="31">
        <v>0.0</v>
      </c>
      <c r="G293" s="31">
        <v>1.0</v>
      </c>
      <c r="H293" s="32" t="s">
        <v>7043</v>
      </c>
      <c r="I293" s="30">
        <v>46023.0</v>
      </c>
      <c r="J293" s="30">
        <v>46387.0</v>
      </c>
      <c r="K293" s="31">
        <v>0.0</v>
      </c>
      <c r="L293" s="31">
        <v>1.0</v>
      </c>
      <c r="M293" s="32" t="s">
        <v>7043</v>
      </c>
      <c r="N293" s="30">
        <v>46388.0</v>
      </c>
      <c r="O293" s="30">
        <v>46752.0</v>
      </c>
      <c r="P293" s="31">
        <v>0.0</v>
      </c>
      <c r="Q293" s="31">
        <v>1.0</v>
      </c>
      <c r="R293" s="32" t="s">
        <v>7043</v>
      </c>
      <c r="S293" s="30">
        <v>46753.0</v>
      </c>
      <c r="T293" s="30">
        <v>47118.0</v>
      </c>
      <c r="U293" s="31">
        <v>0.0</v>
      </c>
      <c r="V293" s="31">
        <v>1.0</v>
      </c>
      <c r="W293" s="32" t="s">
        <v>7043</v>
      </c>
      <c r="X293" s="30">
        <v>47119.0</v>
      </c>
      <c r="Y293" s="30">
        <v>47483.0</v>
      </c>
      <c r="Z293" s="31">
        <v>0.0</v>
      </c>
      <c r="AA293" s="31">
        <v>1.0</v>
      </c>
      <c r="AB293" s="32" t="s">
        <v>7043</v>
      </c>
      <c r="AC293" s="30">
        <v>47484.0</v>
      </c>
      <c r="AD293" s="30">
        <v>47848.0</v>
      </c>
      <c r="AE293" s="31">
        <v>0.0</v>
      </c>
      <c r="AF293" s="31">
        <v>1.0</v>
      </c>
      <c r="AG293" s="32" t="s">
        <v>7043</v>
      </c>
    </row>
    <row r="294" ht="14.25" customHeight="1">
      <c r="A294" s="28" t="s">
        <v>3396</v>
      </c>
      <c r="B294" s="29" t="s">
        <v>3397</v>
      </c>
      <c r="C294" s="29" t="s">
        <v>7041</v>
      </c>
      <c r="D294" s="30">
        <v>45658.0</v>
      </c>
      <c r="E294" s="30">
        <v>46022.0</v>
      </c>
      <c r="F294" s="31">
        <v>0.0</v>
      </c>
      <c r="G294" s="31">
        <v>1.0</v>
      </c>
      <c r="H294" s="32" t="s">
        <v>7043</v>
      </c>
      <c r="I294" s="30">
        <v>46023.0</v>
      </c>
      <c r="J294" s="30">
        <v>46387.0</v>
      </c>
      <c r="K294" s="31">
        <v>0.0</v>
      </c>
      <c r="L294" s="31">
        <v>1.0</v>
      </c>
      <c r="M294" s="32" t="s">
        <v>7043</v>
      </c>
      <c r="N294" s="30">
        <v>46388.0</v>
      </c>
      <c r="O294" s="30">
        <v>46752.0</v>
      </c>
      <c r="P294" s="31">
        <v>0.0</v>
      </c>
      <c r="Q294" s="31">
        <v>1.0</v>
      </c>
      <c r="R294" s="32" t="s">
        <v>7043</v>
      </c>
      <c r="S294" s="30">
        <v>46753.0</v>
      </c>
      <c r="T294" s="30">
        <v>47118.0</v>
      </c>
      <c r="U294" s="31">
        <v>0.0</v>
      </c>
      <c r="V294" s="31">
        <v>1.0</v>
      </c>
      <c r="W294" s="32" t="s">
        <v>7043</v>
      </c>
      <c r="X294" s="30">
        <v>47119.0</v>
      </c>
      <c r="Y294" s="30">
        <v>47483.0</v>
      </c>
      <c r="Z294" s="31">
        <v>0.0</v>
      </c>
      <c r="AA294" s="31">
        <v>1.0</v>
      </c>
      <c r="AB294" s="32" t="s">
        <v>7043</v>
      </c>
      <c r="AC294" s="30">
        <v>47484.0</v>
      </c>
      <c r="AD294" s="30">
        <v>47848.0</v>
      </c>
      <c r="AE294" s="31">
        <v>0.0</v>
      </c>
      <c r="AF294" s="31">
        <v>1.0</v>
      </c>
      <c r="AG294" s="32" t="s">
        <v>7043</v>
      </c>
    </row>
    <row r="295" ht="14.25" customHeight="1">
      <c r="A295" s="28" t="s">
        <v>3403</v>
      </c>
      <c r="B295" s="29" t="s">
        <v>3404</v>
      </c>
      <c r="C295" s="29" t="s">
        <v>7041</v>
      </c>
      <c r="D295" s="30">
        <v>45658.0</v>
      </c>
      <c r="E295" s="30">
        <v>46022.0</v>
      </c>
      <c r="F295" s="31">
        <v>0.0</v>
      </c>
      <c r="G295" s="31">
        <v>1.0</v>
      </c>
      <c r="H295" s="32" t="s">
        <v>7043</v>
      </c>
      <c r="I295" s="30">
        <v>46023.0</v>
      </c>
      <c r="J295" s="30">
        <v>46387.0</v>
      </c>
      <c r="K295" s="31">
        <v>0.0</v>
      </c>
      <c r="L295" s="31">
        <v>1.0</v>
      </c>
      <c r="M295" s="32" t="s">
        <v>7043</v>
      </c>
      <c r="N295" s="30">
        <v>46388.0</v>
      </c>
      <c r="O295" s="30">
        <v>46752.0</v>
      </c>
      <c r="P295" s="31">
        <v>0.0</v>
      </c>
      <c r="Q295" s="31">
        <v>1.0</v>
      </c>
      <c r="R295" s="32" t="s">
        <v>7043</v>
      </c>
      <c r="S295" s="30">
        <v>46753.0</v>
      </c>
      <c r="T295" s="30">
        <v>47118.0</v>
      </c>
      <c r="U295" s="31">
        <v>0.0</v>
      </c>
      <c r="V295" s="31">
        <v>1.0</v>
      </c>
      <c r="W295" s="32" t="s">
        <v>7043</v>
      </c>
      <c r="X295" s="30">
        <v>47119.0</v>
      </c>
      <c r="Y295" s="30">
        <v>47483.0</v>
      </c>
      <c r="Z295" s="31">
        <v>0.0</v>
      </c>
      <c r="AA295" s="31">
        <v>1.0</v>
      </c>
      <c r="AB295" s="32" t="s">
        <v>7043</v>
      </c>
      <c r="AC295" s="30">
        <v>47484.0</v>
      </c>
      <c r="AD295" s="30">
        <v>47848.0</v>
      </c>
      <c r="AE295" s="31">
        <v>0.0</v>
      </c>
      <c r="AF295" s="31">
        <v>1.0</v>
      </c>
      <c r="AG295" s="32" t="s">
        <v>7043</v>
      </c>
    </row>
    <row r="296" ht="14.25" customHeight="1">
      <c r="A296" s="28" t="s">
        <v>3469</v>
      </c>
      <c r="B296" s="29" t="s">
        <v>3470</v>
      </c>
      <c r="C296" s="29" t="s">
        <v>7041</v>
      </c>
      <c r="D296" s="30">
        <v>45658.0</v>
      </c>
      <c r="E296" s="30">
        <v>46022.0</v>
      </c>
      <c r="F296" s="31">
        <v>0.0</v>
      </c>
      <c r="G296" s="31">
        <v>1.0</v>
      </c>
      <c r="H296" s="32" t="s">
        <v>7043</v>
      </c>
      <c r="I296" s="30">
        <v>46023.0</v>
      </c>
      <c r="J296" s="30">
        <v>46387.0</v>
      </c>
      <c r="K296" s="31">
        <v>0.0</v>
      </c>
      <c r="L296" s="31">
        <v>1.0</v>
      </c>
      <c r="M296" s="32" t="s">
        <v>7043</v>
      </c>
      <c r="N296" s="30">
        <v>46388.0</v>
      </c>
      <c r="O296" s="30">
        <v>46752.0</v>
      </c>
      <c r="P296" s="31">
        <v>0.0</v>
      </c>
      <c r="Q296" s="31">
        <v>1.0</v>
      </c>
      <c r="R296" s="32" t="s">
        <v>7043</v>
      </c>
      <c r="S296" s="30">
        <v>46753.0</v>
      </c>
      <c r="T296" s="30">
        <v>47118.0</v>
      </c>
      <c r="U296" s="31">
        <v>0.0</v>
      </c>
      <c r="V296" s="31">
        <v>1.0</v>
      </c>
      <c r="W296" s="32" t="s">
        <v>7043</v>
      </c>
      <c r="X296" s="30">
        <v>47119.0</v>
      </c>
      <c r="Y296" s="30">
        <v>47483.0</v>
      </c>
      <c r="Z296" s="31">
        <v>0.0</v>
      </c>
      <c r="AA296" s="31">
        <v>1.0</v>
      </c>
      <c r="AB296" s="32" t="s">
        <v>7043</v>
      </c>
      <c r="AC296" s="30">
        <v>47484.0</v>
      </c>
      <c r="AD296" s="30">
        <v>47848.0</v>
      </c>
      <c r="AE296" s="31">
        <v>0.0</v>
      </c>
      <c r="AF296" s="31">
        <v>1.0</v>
      </c>
      <c r="AG296" s="32" t="s">
        <v>7043</v>
      </c>
    </row>
    <row r="297" ht="14.25" customHeight="1">
      <c r="A297" s="28" t="s">
        <v>3543</v>
      </c>
      <c r="B297" s="29" t="s">
        <v>3544</v>
      </c>
      <c r="C297" s="29" t="s">
        <v>7041</v>
      </c>
      <c r="D297" s="30">
        <v>45658.0</v>
      </c>
      <c r="E297" s="30">
        <v>46022.0</v>
      </c>
      <c r="F297" s="31">
        <v>0.0</v>
      </c>
      <c r="G297" s="31">
        <v>1.0</v>
      </c>
      <c r="H297" s="32" t="s">
        <v>7043</v>
      </c>
      <c r="I297" s="30">
        <v>46023.0</v>
      </c>
      <c r="J297" s="30">
        <v>46387.0</v>
      </c>
      <c r="K297" s="31">
        <v>0.0</v>
      </c>
      <c r="L297" s="31">
        <v>1.0</v>
      </c>
      <c r="M297" s="32" t="s">
        <v>7043</v>
      </c>
      <c r="N297" s="30">
        <v>46388.0</v>
      </c>
      <c r="O297" s="30">
        <v>46752.0</v>
      </c>
      <c r="P297" s="31">
        <v>0.0</v>
      </c>
      <c r="Q297" s="31">
        <v>1.0</v>
      </c>
      <c r="R297" s="32" t="s">
        <v>7043</v>
      </c>
      <c r="S297" s="30">
        <v>46753.0</v>
      </c>
      <c r="T297" s="30">
        <v>47118.0</v>
      </c>
      <c r="U297" s="31">
        <v>0.0</v>
      </c>
      <c r="V297" s="31">
        <v>1.0</v>
      </c>
      <c r="W297" s="32" t="s">
        <v>7043</v>
      </c>
      <c r="X297" s="30">
        <v>47119.0</v>
      </c>
      <c r="Y297" s="30">
        <v>47483.0</v>
      </c>
      <c r="Z297" s="31">
        <v>0.0</v>
      </c>
      <c r="AA297" s="31">
        <v>1.0</v>
      </c>
      <c r="AB297" s="32" t="s">
        <v>7043</v>
      </c>
      <c r="AC297" s="30">
        <v>47484.0</v>
      </c>
      <c r="AD297" s="30">
        <v>47848.0</v>
      </c>
      <c r="AE297" s="31">
        <v>0.0</v>
      </c>
      <c r="AF297" s="31">
        <v>1.0</v>
      </c>
      <c r="AG297" s="32" t="s">
        <v>7043</v>
      </c>
    </row>
    <row r="298" ht="14.25" customHeight="1">
      <c r="A298" s="28" t="s">
        <v>3555</v>
      </c>
      <c r="B298" s="29" t="s">
        <v>3556</v>
      </c>
      <c r="C298" s="29" t="s">
        <v>7041</v>
      </c>
      <c r="D298" s="30">
        <v>45658.0</v>
      </c>
      <c r="E298" s="30">
        <v>46022.0</v>
      </c>
      <c r="F298" s="31">
        <v>0.0</v>
      </c>
      <c r="G298" s="31">
        <v>1.0</v>
      </c>
      <c r="H298" s="32" t="s">
        <v>7043</v>
      </c>
      <c r="I298" s="30">
        <v>46023.0</v>
      </c>
      <c r="J298" s="30">
        <v>46387.0</v>
      </c>
      <c r="K298" s="31">
        <v>0.0</v>
      </c>
      <c r="L298" s="31">
        <v>1.0</v>
      </c>
      <c r="M298" s="32" t="s">
        <v>7043</v>
      </c>
      <c r="N298" s="30">
        <v>46388.0</v>
      </c>
      <c r="O298" s="30">
        <v>46752.0</v>
      </c>
      <c r="P298" s="31">
        <v>0.0</v>
      </c>
      <c r="Q298" s="31">
        <v>1.0</v>
      </c>
      <c r="R298" s="32" t="s">
        <v>7043</v>
      </c>
      <c r="S298" s="30">
        <v>46753.0</v>
      </c>
      <c r="T298" s="30">
        <v>47118.0</v>
      </c>
      <c r="U298" s="31">
        <v>0.0</v>
      </c>
      <c r="V298" s="31">
        <v>1.0</v>
      </c>
      <c r="W298" s="32" t="s">
        <v>7043</v>
      </c>
      <c r="X298" s="30">
        <v>47119.0</v>
      </c>
      <c r="Y298" s="30">
        <v>47483.0</v>
      </c>
      <c r="Z298" s="31">
        <v>0.0</v>
      </c>
      <c r="AA298" s="31">
        <v>1.0</v>
      </c>
      <c r="AB298" s="32" t="s">
        <v>7043</v>
      </c>
      <c r="AC298" s="30">
        <v>47484.0</v>
      </c>
      <c r="AD298" s="30">
        <v>47848.0</v>
      </c>
      <c r="AE298" s="31">
        <v>0.0</v>
      </c>
      <c r="AF298" s="31">
        <v>1.0</v>
      </c>
      <c r="AG298" s="32" t="s">
        <v>7043</v>
      </c>
    </row>
    <row r="299" ht="14.25" customHeight="1">
      <c r="A299" s="28" t="s">
        <v>3572</v>
      </c>
      <c r="B299" s="29" t="s">
        <v>3573</v>
      </c>
      <c r="C299" s="29" t="s">
        <v>7041</v>
      </c>
      <c r="D299" s="30">
        <v>45658.0</v>
      </c>
      <c r="E299" s="30">
        <v>46022.0</v>
      </c>
      <c r="F299" s="31">
        <v>0.0</v>
      </c>
      <c r="G299" s="31">
        <v>1.0</v>
      </c>
      <c r="H299" s="32" t="s">
        <v>7043</v>
      </c>
      <c r="I299" s="30">
        <v>46023.0</v>
      </c>
      <c r="J299" s="30">
        <v>46387.0</v>
      </c>
      <c r="K299" s="31">
        <v>0.0</v>
      </c>
      <c r="L299" s="31">
        <v>1.0</v>
      </c>
      <c r="M299" s="32" t="s">
        <v>7043</v>
      </c>
      <c r="N299" s="30">
        <v>46388.0</v>
      </c>
      <c r="O299" s="30">
        <v>46752.0</v>
      </c>
      <c r="P299" s="31">
        <v>0.0</v>
      </c>
      <c r="Q299" s="31">
        <v>1.0</v>
      </c>
      <c r="R299" s="32" t="s">
        <v>7043</v>
      </c>
      <c r="S299" s="30">
        <v>46753.0</v>
      </c>
      <c r="T299" s="30">
        <v>47118.0</v>
      </c>
      <c r="U299" s="31">
        <v>0.0</v>
      </c>
      <c r="V299" s="31">
        <v>1.0</v>
      </c>
      <c r="W299" s="32" t="s">
        <v>7043</v>
      </c>
      <c r="X299" s="30">
        <v>47119.0</v>
      </c>
      <c r="Y299" s="30">
        <v>47483.0</v>
      </c>
      <c r="Z299" s="31">
        <v>0.0</v>
      </c>
      <c r="AA299" s="31">
        <v>1.0</v>
      </c>
      <c r="AB299" s="32" t="s">
        <v>7043</v>
      </c>
      <c r="AC299" s="30">
        <v>47484.0</v>
      </c>
      <c r="AD299" s="30">
        <v>47848.0</v>
      </c>
      <c r="AE299" s="31">
        <v>0.0</v>
      </c>
      <c r="AF299" s="31">
        <v>1.0</v>
      </c>
      <c r="AG299" s="32" t="s">
        <v>7043</v>
      </c>
    </row>
    <row r="300" ht="14.25" customHeight="1">
      <c r="A300" s="28" t="s">
        <v>3618</v>
      </c>
      <c r="B300" s="29" t="s">
        <v>3619</v>
      </c>
      <c r="C300" s="29" t="s">
        <v>7041</v>
      </c>
      <c r="D300" s="30">
        <v>45658.0</v>
      </c>
      <c r="E300" s="30">
        <v>46022.0</v>
      </c>
      <c r="F300" s="31">
        <v>0.0</v>
      </c>
      <c r="G300" s="31">
        <v>1.0</v>
      </c>
      <c r="H300" s="32" t="s">
        <v>7043</v>
      </c>
      <c r="I300" s="30">
        <v>46023.0</v>
      </c>
      <c r="J300" s="30">
        <v>46387.0</v>
      </c>
      <c r="K300" s="31">
        <v>0.0</v>
      </c>
      <c r="L300" s="31">
        <v>1.0</v>
      </c>
      <c r="M300" s="32" t="s">
        <v>7043</v>
      </c>
      <c r="N300" s="30">
        <v>46388.0</v>
      </c>
      <c r="O300" s="30">
        <v>46752.0</v>
      </c>
      <c r="P300" s="31">
        <v>0.0</v>
      </c>
      <c r="Q300" s="31">
        <v>1.0</v>
      </c>
      <c r="R300" s="32" t="s">
        <v>7043</v>
      </c>
      <c r="S300" s="30">
        <v>46753.0</v>
      </c>
      <c r="T300" s="30">
        <v>47118.0</v>
      </c>
      <c r="U300" s="31">
        <v>0.0</v>
      </c>
      <c r="V300" s="31">
        <v>1.0</v>
      </c>
      <c r="W300" s="32" t="s">
        <v>7043</v>
      </c>
      <c r="X300" s="30">
        <v>47119.0</v>
      </c>
      <c r="Y300" s="30">
        <v>47483.0</v>
      </c>
      <c r="Z300" s="31">
        <v>0.0</v>
      </c>
      <c r="AA300" s="31">
        <v>1.0</v>
      </c>
      <c r="AB300" s="32" t="s">
        <v>7043</v>
      </c>
      <c r="AC300" s="30">
        <v>47484.0</v>
      </c>
      <c r="AD300" s="30">
        <v>47848.0</v>
      </c>
      <c r="AE300" s="31">
        <v>0.0</v>
      </c>
      <c r="AF300" s="31">
        <v>1.0</v>
      </c>
      <c r="AG300" s="32" t="s">
        <v>7043</v>
      </c>
    </row>
    <row r="301" ht="14.25" customHeight="1">
      <c r="A301" s="28" t="s">
        <v>3637</v>
      </c>
      <c r="B301" s="29" t="s">
        <v>3638</v>
      </c>
      <c r="C301" s="29" t="s">
        <v>7041</v>
      </c>
      <c r="D301" s="30">
        <v>45658.0</v>
      </c>
      <c r="E301" s="30">
        <v>46022.0</v>
      </c>
      <c r="F301" s="31">
        <v>0.0</v>
      </c>
      <c r="G301" s="31">
        <v>1.0</v>
      </c>
      <c r="H301" s="32" t="s">
        <v>7043</v>
      </c>
      <c r="I301" s="30">
        <v>46023.0</v>
      </c>
      <c r="J301" s="30">
        <v>46387.0</v>
      </c>
      <c r="K301" s="31">
        <v>0.0</v>
      </c>
      <c r="L301" s="31">
        <v>1.0</v>
      </c>
      <c r="M301" s="32" t="s">
        <v>7043</v>
      </c>
      <c r="N301" s="30">
        <v>46388.0</v>
      </c>
      <c r="O301" s="30">
        <v>46752.0</v>
      </c>
      <c r="P301" s="31">
        <v>0.0</v>
      </c>
      <c r="Q301" s="31">
        <v>1.0</v>
      </c>
      <c r="R301" s="32" t="s">
        <v>7043</v>
      </c>
      <c r="S301" s="30">
        <v>46753.0</v>
      </c>
      <c r="T301" s="30">
        <v>47118.0</v>
      </c>
      <c r="U301" s="31">
        <v>0.0</v>
      </c>
      <c r="V301" s="31">
        <v>1.0</v>
      </c>
      <c r="W301" s="32" t="s">
        <v>7043</v>
      </c>
      <c r="X301" s="30">
        <v>47119.0</v>
      </c>
      <c r="Y301" s="30">
        <v>47483.0</v>
      </c>
      <c r="Z301" s="31">
        <v>0.0</v>
      </c>
      <c r="AA301" s="31">
        <v>1.0</v>
      </c>
      <c r="AB301" s="32" t="s">
        <v>7043</v>
      </c>
      <c r="AC301" s="30">
        <v>47484.0</v>
      </c>
      <c r="AD301" s="30">
        <v>47848.0</v>
      </c>
      <c r="AE301" s="31">
        <v>0.0</v>
      </c>
      <c r="AF301" s="31">
        <v>1.0</v>
      </c>
      <c r="AG301" s="32" t="s">
        <v>7043</v>
      </c>
    </row>
    <row r="302" ht="14.25" customHeight="1">
      <c r="A302" s="28" t="s">
        <v>3703</v>
      </c>
      <c r="B302" s="29" t="s">
        <v>3704</v>
      </c>
      <c r="C302" s="29" t="s">
        <v>7041</v>
      </c>
      <c r="D302" s="30">
        <v>45658.0</v>
      </c>
      <c r="E302" s="30">
        <v>46022.0</v>
      </c>
      <c r="F302" s="31">
        <v>0.0</v>
      </c>
      <c r="G302" s="31">
        <v>1.0</v>
      </c>
      <c r="H302" s="32" t="s">
        <v>7043</v>
      </c>
      <c r="I302" s="30">
        <v>46023.0</v>
      </c>
      <c r="J302" s="30">
        <v>46387.0</v>
      </c>
      <c r="K302" s="31">
        <v>0.0</v>
      </c>
      <c r="L302" s="31">
        <v>1.0</v>
      </c>
      <c r="M302" s="32" t="s">
        <v>7043</v>
      </c>
      <c r="N302" s="30">
        <v>46388.0</v>
      </c>
      <c r="O302" s="30">
        <v>46752.0</v>
      </c>
      <c r="P302" s="31">
        <v>0.0</v>
      </c>
      <c r="Q302" s="31">
        <v>1.0</v>
      </c>
      <c r="R302" s="32" t="s">
        <v>7043</v>
      </c>
      <c r="S302" s="30">
        <v>46753.0</v>
      </c>
      <c r="T302" s="30">
        <v>47118.0</v>
      </c>
      <c r="U302" s="31">
        <v>0.0</v>
      </c>
      <c r="V302" s="31">
        <v>1.0</v>
      </c>
      <c r="W302" s="32" t="s">
        <v>7043</v>
      </c>
      <c r="X302" s="30">
        <v>47119.0</v>
      </c>
      <c r="Y302" s="30">
        <v>47483.0</v>
      </c>
      <c r="Z302" s="31">
        <v>0.0</v>
      </c>
      <c r="AA302" s="31">
        <v>1.0</v>
      </c>
      <c r="AB302" s="32" t="s">
        <v>7043</v>
      </c>
      <c r="AC302" s="30">
        <v>47484.0</v>
      </c>
      <c r="AD302" s="30">
        <v>47848.0</v>
      </c>
      <c r="AE302" s="31">
        <v>0.0</v>
      </c>
      <c r="AF302" s="31">
        <v>1.0</v>
      </c>
      <c r="AG302" s="32" t="s">
        <v>7043</v>
      </c>
    </row>
    <row r="303" ht="14.25" customHeight="1">
      <c r="A303" s="28" t="s">
        <v>3709</v>
      </c>
      <c r="B303" s="29" t="s">
        <v>3710</v>
      </c>
      <c r="C303" s="29" t="s">
        <v>7041</v>
      </c>
      <c r="D303" s="30">
        <v>45658.0</v>
      </c>
      <c r="E303" s="30">
        <v>46022.0</v>
      </c>
      <c r="F303" s="31">
        <v>1.0</v>
      </c>
      <c r="G303" s="31">
        <v>1.0</v>
      </c>
      <c r="H303" s="32" t="s">
        <v>7042</v>
      </c>
      <c r="I303" s="30">
        <v>46023.0</v>
      </c>
      <c r="J303" s="30">
        <v>46387.0</v>
      </c>
      <c r="K303" s="31">
        <v>0.0</v>
      </c>
      <c r="L303" s="31">
        <v>1.0</v>
      </c>
      <c r="M303" s="32" t="s">
        <v>7043</v>
      </c>
      <c r="N303" s="30">
        <v>46388.0</v>
      </c>
      <c r="O303" s="30">
        <v>46752.0</v>
      </c>
      <c r="P303" s="31">
        <v>0.0</v>
      </c>
      <c r="Q303" s="31">
        <v>1.0</v>
      </c>
      <c r="R303" s="32" t="s">
        <v>7043</v>
      </c>
      <c r="S303" s="30">
        <v>46753.0</v>
      </c>
      <c r="T303" s="30">
        <v>47118.0</v>
      </c>
      <c r="U303" s="31">
        <v>0.0</v>
      </c>
      <c r="V303" s="31">
        <v>1.0</v>
      </c>
      <c r="W303" s="32" t="s">
        <v>7043</v>
      </c>
      <c r="X303" s="30">
        <v>47119.0</v>
      </c>
      <c r="Y303" s="30">
        <v>47483.0</v>
      </c>
      <c r="Z303" s="31">
        <v>0.0</v>
      </c>
      <c r="AA303" s="31">
        <v>1.0</v>
      </c>
      <c r="AB303" s="32" t="s">
        <v>7043</v>
      </c>
      <c r="AC303" s="30">
        <v>47484.0</v>
      </c>
      <c r="AD303" s="30">
        <v>47848.0</v>
      </c>
      <c r="AE303" s="31">
        <v>0.0</v>
      </c>
      <c r="AF303" s="31">
        <v>1.0</v>
      </c>
      <c r="AG303" s="32" t="s">
        <v>7043</v>
      </c>
    </row>
    <row r="304" ht="14.25" customHeight="1">
      <c r="A304" s="28" t="s">
        <v>3730</v>
      </c>
      <c r="B304" s="29" t="s">
        <v>3731</v>
      </c>
      <c r="C304" s="29" t="s">
        <v>7041</v>
      </c>
      <c r="D304" s="30">
        <v>45658.0</v>
      </c>
      <c r="E304" s="30">
        <v>46022.0</v>
      </c>
      <c r="F304" s="31">
        <v>0.0</v>
      </c>
      <c r="G304" s="31">
        <v>1.0</v>
      </c>
      <c r="H304" s="32" t="s">
        <v>7043</v>
      </c>
      <c r="I304" s="30">
        <v>46023.0</v>
      </c>
      <c r="J304" s="30">
        <v>46387.0</v>
      </c>
      <c r="K304" s="31">
        <v>0.0</v>
      </c>
      <c r="L304" s="31">
        <v>1.0</v>
      </c>
      <c r="M304" s="32" t="s">
        <v>7043</v>
      </c>
      <c r="N304" s="30">
        <v>46388.0</v>
      </c>
      <c r="O304" s="30">
        <v>46752.0</v>
      </c>
      <c r="P304" s="31">
        <v>0.0</v>
      </c>
      <c r="Q304" s="31">
        <v>1.0</v>
      </c>
      <c r="R304" s="32" t="s">
        <v>7043</v>
      </c>
      <c r="S304" s="30">
        <v>46753.0</v>
      </c>
      <c r="T304" s="30">
        <v>47118.0</v>
      </c>
      <c r="U304" s="31">
        <v>0.0</v>
      </c>
      <c r="V304" s="31">
        <v>1.0</v>
      </c>
      <c r="W304" s="32" t="s">
        <v>7043</v>
      </c>
      <c r="X304" s="30">
        <v>47119.0</v>
      </c>
      <c r="Y304" s="30">
        <v>47483.0</v>
      </c>
      <c r="Z304" s="31">
        <v>0.0</v>
      </c>
      <c r="AA304" s="31">
        <v>1.0</v>
      </c>
      <c r="AB304" s="32" t="s">
        <v>7043</v>
      </c>
      <c r="AC304" s="30">
        <v>47484.0</v>
      </c>
      <c r="AD304" s="30">
        <v>47848.0</v>
      </c>
      <c r="AE304" s="31">
        <v>0.0</v>
      </c>
      <c r="AF304" s="31">
        <v>1.0</v>
      </c>
      <c r="AG304" s="32" t="s">
        <v>7043</v>
      </c>
    </row>
    <row r="305" ht="14.25" customHeight="1">
      <c r="A305" s="28" t="s">
        <v>3733</v>
      </c>
      <c r="B305" s="29" t="s">
        <v>3734</v>
      </c>
      <c r="C305" s="29" t="s">
        <v>7041</v>
      </c>
      <c r="D305" s="30">
        <v>45658.0</v>
      </c>
      <c r="E305" s="30">
        <v>46022.0</v>
      </c>
      <c r="F305" s="31">
        <v>1.0</v>
      </c>
      <c r="G305" s="31">
        <v>1.0</v>
      </c>
      <c r="H305" s="33" t="s">
        <v>7042</v>
      </c>
      <c r="I305" s="30">
        <v>46023.0</v>
      </c>
      <c r="J305" s="30">
        <v>46387.0</v>
      </c>
      <c r="K305" s="31">
        <v>0.0</v>
      </c>
      <c r="L305" s="31">
        <v>1.0</v>
      </c>
      <c r="M305" s="32" t="s">
        <v>7043</v>
      </c>
      <c r="N305" s="30">
        <v>46388.0</v>
      </c>
      <c r="O305" s="30">
        <v>46752.0</v>
      </c>
      <c r="P305" s="31">
        <v>0.0</v>
      </c>
      <c r="Q305" s="31">
        <v>1.0</v>
      </c>
      <c r="R305" s="32" t="s">
        <v>7043</v>
      </c>
      <c r="S305" s="30">
        <v>46753.0</v>
      </c>
      <c r="T305" s="30">
        <v>47118.0</v>
      </c>
      <c r="U305" s="31">
        <v>0.0</v>
      </c>
      <c r="V305" s="31">
        <v>1.0</v>
      </c>
      <c r="W305" s="32" t="s">
        <v>7043</v>
      </c>
      <c r="X305" s="30">
        <v>47119.0</v>
      </c>
      <c r="Y305" s="30">
        <v>47483.0</v>
      </c>
      <c r="Z305" s="31">
        <v>0.0</v>
      </c>
      <c r="AA305" s="31">
        <v>1.0</v>
      </c>
      <c r="AB305" s="32" t="s">
        <v>7043</v>
      </c>
      <c r="AC305" s="30">
        <v>47484.0</v>
      </c>
      <c r="AD305" s="30">
        <v>47848.0</v>
      </c>
      <c r="AE305" s="31">
        <v>0.0</v>
      </c>
      <c r="AF305" s="31">
        <v>1.0</v>
      </c>
      <c r="AG305" s="32" t="s">
        <v>7043</v>
      </c>
    </row>
    <row r="306" ht="14.25" customHeight="1">
      <c r="A306" s="28" t="s">
        <v>3746</v>
      </c>
      <c r="B306" s="29" t="s">
        <v>3747</v>
      </c>
      <c r="C306" s="29" t="s">
        <v>7041</v>
      </c>
      <c r="D306" s="30">
        <v>45658.0</v>
      </c>
      <c r="E306" s="30">
        <v>46022.0</v>
      </c>
      <c r="F306" s="31">
        <v>0.0</v>
      </c>
      <c r="G306" s="31">
        <v>1.0</v>
      </c>
      <c r="H306" s="32" t="s">
        <v>7043</v>
      </c>
      <c r="I306" s="30">
        <v>46023.0</v>
      </c>
      <c r="J306" s="30">
        <v>46387.0</v>
      </c>
      <c r="K306" s="31">
        <v>0.0</v>
      </c>
      <c r="L306" s="31">
        <v>1.0</v>
      </c>
      <c r="M306" s="32" t="s">
        <v>7043</v>
      </c>
      <c r="N306" s="30">
        <v>46388.0</v>
      </c>
      <c r="O306" s="30">
        <v>46752.0</v>
      </c>
      <c r="P306" s="31">
        <v>0.0</v>
      </c>
      <c r="Q306" s="31">
        <v>1.0</v>
      </c>
      <c r="R306" s="32" t="s">
        <v>7043</v>
      </c>
      <c r="S306" s="30">
        <v>46753.0</v>
      </c>
      <c r="T306" s="30">
        <v>47118.0</v>
      </c>
      <c r="U306" s="31">
        <v>0.0</v>
      </c>
      <c r="V306" s="31">
        <v>1.0</v>
      </c>
      <c r="W306" s="32" t="s">
        <v>7043</v>
      </c>
      <c r="X306" s="30">
        <v>47119.0</v>
      </c>
      <c r="Y306" s="30">
        <v>47483.0</v>
      </c>
      <c r="Z306" s="31">
        <v>0.0</v>
      </c>
      <c r="AA306" s="31">
        <v>1.0</v>
      </c>
      <c r="AB306" s="32" t="s">
        <v>7043</v>
      </c>
      <c r="AC306" s="30">
        <v>47484.0</v>
      </c>
      <c r="AD306" s="30">
        <v>47848.0</v>
      </c>
      <c r="AE306" s="31">
        <v>0.0</v>
      </c>
      <c r="AF306" s="31">
        <v>1.0</v>
      </c>
      <c r="AG306" s="32" t="s">
        <v>7043</v>
      </c>
    </row>
    <row r="307" ht="14.25" customHeight="1">
      <c r="A307" s="28" t="s">
        <v>3765</v>
      </c>
      <c r="B307" s="29" t="s">
        <v>3766</v>
      </c>
      <c r="C307" s="29" t="s">
        <v>7041</v>
      </c>
      <c r="D307" s="30">
        <v>45658.0</v>
      </c>
      <c r="E307" s="30">
        <v>46022.0</v>
      </c>
      <c r="F307" s="31">
        <v>0.0</v>
      </c>
      <c r="G307" s="31">
        <v>1.0</v>
      </c>
      <c r="H307" s="32" t="s">
        <v>7043</v>
      </c>
      <c r="I307" s="30">
        <v>46023.0</v>
      </c>
      <c r="J307" s="30">
        <v>46387.0</v>
      </c>
      <c r="K307" s="31">
        <v>0.0</v>
      </c>
      <c r="L307" s="31">
        <v>1.0</v>
      </c>
      <c r="M307" s="32" t="s">
        <v>7043</v>
      </c>
      <c r="N307" s="30">
        <v>46388.0</v>
      </c>
      <c r="O307" s="30">
        <v>46752.0</v>
      </c>
      <c r="P307" s="31">
        <v>0.0</v>
      </c>
      <c r="Q307" s="31">
        <v>1.0</v>
      </c>
      <c r="R307" s="32" t="s">
        <v>7043</v>
      </c>
      <c r="S307" s="30">
        <v>46753.0</v>
      </c>
      <c r="T307" s="30">
        <v>47118.0</v>
      </c>
      <c r="U307" s="31">
        <v>0.0</v>
      </c>
      <c r="V307" s="31">
        <v>1.0</v>
      </c>
      <c r="W307" s="32" t="s">
        <v>7043</v>
      </c>
      <c r="X307" s="30">
        <v>47119.0</v>
      </c>
      <c r="Y307" s="30">
        <v>47483.0</v>
      </c>
      <c r="Z307" s="31">
        <v>0.0</v>
      </c>
      <c r="AA307" s="31">
        <v>1.0</v>
      </c>
      <c r="AB307" s="32" t="s">
        <v>7043</v>
      </c>
      <c r="AC307" s="30">
        <v>47484.0</v>
      </c>
      <c r="AD307" s="30">
        <v>47848.0</v>
      </c>
      <c r="AE307" s="31">
        <v>0.0</v>
      </c>
      <c r="AF307" s="31">
        <v>1.0</v>
      </c>
      <c r="AG307" s="32" t="s">
        <v>7043</v>
      </c>
    </row>
    <row r="308" ht="14.25" customHeight="1">
      <c r="A308" s="28" t="s">
        <v>3768</v>
      </c>
      <c r="B308" s="29" t="s">
        <v>3769</v>
      </c>
      <c r="C308" s="29" t="s">
        <v>7041</v>
      </c>
      <c r="D308" s="30">
        <v>45658.0</v>
      </c>
      <c r="E308" s="30">
        <v>46022.0</v>
      </c>
      <c r="F308" s="31">
        <v>0.0</v>
      </c>
      <c r="G308" s="31">
        <v>1.0</v>
      </c>
      <c r="H308" s="32" t="s">
        <v>7043</v>
      </c>
      <c r="I308" s="30">
        <v>46023.0</v>
      </c>
      <c r="J308" s="30">
        <v>46387.0</v>
      </c>
      <c r="K308" s="31">
        <v>0.0</v>
      </c>
      <c r="L308" s="31">
        <v>1.0</v>
      </c>
      <c r="M308" s="32" t="s">
        <v>7043</v>
      </c>
      <c r="N308" s="30">
        <v>46388.0</v>
      </c>
      <c r="O308" s="30">
        <v>46752.0</v>
      </c>
      <c r="P308" s="31">
        <v>0.0</v>
      </c>
      <c r="Q308" s="31">
        <v>1.0</v>
      </c>
      <c r="R308" s="32" t="s">
        <v>7043</v>
      </c>
      <c r="S308" s="30">
        <v>46753.0</v>
      </c>
      <c r="T308" s="30">
        <v>47118.0</v>
      </c>
      <c r="U308" s="31">
        <v>0.0</v>
      </c>
      <c r="V308" s="31">
        <v>1.0</v>
      </c>
      <c r="W308" s="32" t="s">
        <v>7043</v>
      </c>
      <c r="X308" s="30">
        <v>47119.0</v>
      </c>
      <c r="Y308" s="30">
        <v>47483.0</v>
      </c>
      <c r="Z308" s="31">
        <v>0.0</v>
      </c>
      <c r="AA308" s="31">
        <v>1.0</v>
      </c>
      <c r="AB308" s="32" t="s">
        <v>7043</v>
      </c>
      <c r="AC308" s="30">
        <v>47484.0</v>
      </c>
      <c r="AD308" s="30">
        <v>47848.0</v>
      </c>
      <c r="AE308" s="31">
        <v>0.0</v>
      </c>
      <c r="AF308" s="31">
        <v>1.0</v>
      </c>
      <c r="AG308" s="32" t="s">
        <v>7043</v>
      </c>
    </row>
    <row r="309" ht="14.25" customHeight="1">
      <c r="A309" s="28" t="s">
        <v>3890</v>
      </c>
      <c r="B309" s="29" t="s">
        <v>3891</v>
      </c>
      <c r="C309" s="29" t="s">
        <v>7041</v>
      </c>
      <c r="D309" s="30">
        <v>45658.0</v>
      </c>
      <c r="E309" s="30">
        <v>46022.0</v>
      </c>
      <c r="F309" s="31">
        <v>0.0</v>
      </c>
      <c r="G309" s="31">
        <v>1.0</v>
      </c>
      <c r="H309" s="32" t="s">
        <v>7043</v>
      </c>
      <c r="I309" s="30">
        <v>46023.0</v>
      </c>
      <c r="J309" s="30">
        <v>46387.0</v>
      </c>
      <c r="K309" s="31">
        <v>0.0</v>
      </c>
      <c r="L309" s="31">
        <v>1.0</v>
      </c>
      <c r="M309" s="32" t="s">
        <v>7043</v>
      </c>
      <c r="N309" s="30">
        <v>46388.0</v>
      </c>
      <c r="O309" s="30">
        <v>46752.0</v>
      </c>
      <c r="P309" s="31">
        <v>0.0</v>
      </c>
      <c r="Q309" s="31">
        <v>1.0</v>
      </c>
      <c r="R309" s="32" t="s">
        <v>7043</v>
      </c>
      <c r="S309" s="30">
        <v>46753.0</v>
      </c>
      <c r="T309" s="30">
        <v>47118.0</v>
      </c>
      <c r="U309" s="31">
        <v>0.0</v>
      </c>
      <c r="V309" s="31">
        <v>1.0</v>
      </c>
      <c r="W309" s="32" t="s">
        <v>7043</v>
      </c>
      <c r="X309" s="30">
        <v>47119.0</v>
      </c>
      <c r="Y309" s="30">
        <v>47483.0</v>
      </c>
      <c r="Z309" s="31">
        <v>0.0</v>
      </c>
      <c r="AA309" s="31">
        <v>1.0</v>
      </c>
      <c r="AB309" s="32" t="s">
        <v>7043</v>
      </c>
      <c r="AC309" s="30">
        <v>47484.0</v>
      </c>
      <c r="AD309" s="30">
        <v>47848.0</v>
      </c>
      <c r="AE309" s="31">
        <v>0.0</v>
      </c>
      <c r="AF309" s="31">
        <v>1.0</v>
      </c>
      <c r="AG309" s="32" t="s">
        <v>7043</v>
      </c>
    </row>
    <row r="310" ht="14.25" customHeight="1">
      <c r="A310" s="28" t="s">
        <v>3920</v>
      </c>
      <c r="B310" s="29" t="s">
        <v>3921</v>
      </c>
      <c r="C310" s="29" t="s">
        <v>7041</v>
      </c>
      <c r="D310" s="30">
        <v>45658.0</v>
      </c>
      <c r="E310" s="30">
        <v>46022.0</v>
      </c>
      <c r="F310" s="31">
        <v>1.0</v>
      </c>
      <c r="G310" s="31">
        <v>1.0</v>
      </c>
      <c r="H310" s="33" t="s">
        <v>7042</v>
      </c>
      <c r="I310" s="30">
        <v>46023.0</v>
      </c>
      <c r="J310" s="30">
        <v>46387.0</v>
      </c>
      <c r="K310" s="31">
        <v>0.0</v>
      </c>
      <c r="L310" s="31">
        <v>1.0</v>
      </c>
      <c r="M310" s="32" t="s">
        <v>7043</v>
      </c>
      <c r="N310" s="30">
        <v>46388.0</v>
      </c>
      <c r="O310" s="30">
        <v>46752.0</v>
      </c>
      <c r="P310" s="31">
        <v>0.0</v>
      </c>
      <c r="Q310" s="31">
        <v>1.0</v>
      </c>
      <c r="R310" s="32" t="s">
        <v>7043</v>
      </c>
      <c r="S310" s="30">
        <v>46753.0</v>
      </c>
      <c r="T310" s="30">
        <v>47118.0</v>
      </c>
      <c r="U310" s="31">
        <v>0.0</v>
      </c>
      <c r="V310" s="31">
        <v>1.0</v>
      </c>
      <c r="W310" s="32" t="s">
        <v>7043</v>
      </c>
      <c r="X310" s="30">
        <v>47119.0</v>
      </c>
      <c r="Y310" s="30">
        <v>47483.0</v>
      </c>
      <c r="Z310" s="31">
        <v>0.0</v>
      </c>
      <c r="AA310" s="31">
        <v>1.0</v>
      </c>
      <c r="AB310" s="32" t="s">
        <v>7043</v>
      </c>
      <c r="AC310" s="30">
        <v>47484.0</v>
      </c>
      <c r="AD310" s="30">
        <v>47848.0</v>
      </c>
      <c r="AE310" s="31">
        <v>0.0</v>
      </c>
      <c r="AF310" s="31">
        <v>1.0</v>
      </c>
      <c r="AG310" s="32" t="s">
        <v>7043</v>
      </c>
    </row>
    <row r="311" ht="14.25" customHeight="1">
      <c r="A311" s="28" t="s">
        <v>4045</v>
      </c>
      <c r="B311" s="29" t="s">
        <v>4046</v>
      </c>
      <c r="C311" s="29" t="s">
        <v>7041</v>
      </c>
      <c r="D311" s="30">
        <v>45658.0</v>
      </c>
      <c r="E311" s="30">
        <v>46022.0</v>
      </c>
      <c r="F311" s="31">
        <v>0.0</v>
      </c>
      <c r="G311" s="31">
        <v>1.0</v>
      </c>
      <c r="H311" s="32" t="s">
        <v>7043</v>
      </c>
      <c r="I311" s="30">
        <v>46023.0</v>
      </c>
      <c r="J311" s="30">
        <v>46387.0</v>
      </c>
      <c r="K311" s="31">
        <v>0.0</v>
      </c>
      <c r="L311" s="31">
        <v>1.0</v>
      </c>
      <c r="M311" s="32" t="s">
        <v>7043</v>
      </c>
      <c r="N311" s="30">
        <v>46388.0</v>
      </c>
      <c r="O311" s="30">
        <v>46752.0</v>
      </c>
      <c r="P311" s="31">
        <v>0.0</v>
      </c>
      <c r="Q311" s="31">
        <v>1.0</v>
      </c>
      <c r="R311" s="32" t="s">
        <v>7043</v>
      </c>
      <c r="S311" s="30">
        <v>46753.0</v>
      </c>
      <c r="T311" s="30">
        <v>47118.0</v>
      </c>
      <c r="U311" s="31">
        <v>0.0</v>
      </c>
      <c r="V311" s="31">
        <v>1.0</v>
      </c>
      <c r="W311" s="32" t="s">
        <v>7043</v>
      </c>
      <c r="X311" s="30">
        <v>47119.0</v>
      </c>
      <c r="Y311" s="30">
        <v>47483.0</v>
      </c>
      <c r="Z311" s="31">
        <v>0.0</v>
      </c>
      <c r="AA311" s="31">
        <v>1.0</v>
      </c>
      <c r="AB311" s="32" t="s">
        <v>7043</v>
      </c>
      <c r="AC311" s="30">
        <v>47484.0</v>
      </c>
      <c r="AD311" s="30">
        <v>47848.0</v>
      </c>
      <c r="AE311" s="31">
        <v>0.0</v>
      </c>
      <c r="AF311" s="31">
        <v>1.0</v>
      </c>
      <c r="AG311" s="32" t="s">
        <v>7043</v>
      </c>
    </row>
    <row r="312" ht="14.25" customHeight="1">
      <c r="A312" s="28" t="s">
        <v>3979</v>
      </c>
      <c r="B312" s="29" t="s">
        <v>3980</v>
      </c>
      <c r="C312" s="29" t="s">
        <v>7041</v>
      </c>
      <c r="D312" s="30">
        <v>45658.0</v>
      </c>
      <c r="E312" s="30">
        <v>46022.0</v>
      </c>
      <c r="F312" s="31">
        <v>0.0</v>
      </c>
      <c r="G312" s="31">
        <v>1.0</v>
      </c>
      <c r="H312" s="32" t="s">
        <v>7043</v>
      </c>
      <c r="I312" s="30">
        <v>46023.0</v>
      </c>
      <c r="J312" s="30">
        <v>46387.0</v>
      </c>
      <c r="K312" s="31">
        <v>0.0</v>
      </c>
      <c r="L312" s="31">
        <v>1.0</v>
      </c>
      <c r="M312" s="32" t="s">
        <v>7043</v>
      </c>
      <c r="N312" s="30">
        <v>46388.0</v>
      </c>
      <c r="O312" s="30">
        <v>46752.0</v>
      </c>
      <c r="P312" s="31">
        <v>0.0</v>
      </c>
      <c r="Q312" s="31">
        <v>1.0</v>
      </c>
      <c r="R312" s="32" t="s">
        <v>7043</v>
      </c>
      <c r="S312" s="30">
        <v>46753.0</v>
      </c>
      <c r="T312" s="30">
        <v>47118.0</v>
      </c>
      <c r="U312" s="31">
        <v>0.0</v>
      </c>
      <c r="V312" s="31">
        <v>1.0</v>
      </c>
      <c r="W312" s="32" t="s">
        <v>7043</v>
      </c>
      <c r="X312" s="30">
        <v>47119.0</v>
      </c>
      <c r="Y312" s="30">
        <v>47483.0</v>
      </c>
      <c r="Z312" s="31">
        <v>0.0</v>
      </c>
      <c r="AA312" s="31">
        <v>1.0</v>
      </c>
      <c r="AB312" s="32" t="s">
        <v>7043</v>
      </c>
      <c r="AC312" s="30">
        <v>47484.0</v>
      </c>
      <c r="AD312" s="30">
        <v>47848.0</v>
      </c>
      <c r="AE312" s="31">
        <v>0.0</v>
      </c>
      <c r="AF312" s="31">
        <v>1.0</v>
      </c>
      <c r="AG312" s="32" t="s">
        <v>7043</v>
      </c>
    </row>
    <row r="313" ht="14.25" customHeight="1">
      <c r="A313" s="28" t="s">
        <v>4019</v>
      </c>
      <c r="B313" s="29" t="s">
        <v>4020</v>
      </c>
      <c r="C313" s="29" t="s">
        <v>7041</v>
      </c>
      <c r="D313" s="30">
        <v>45658.0</v>
      </c>
      <c r="E313" s="30">
        <v>46022.0</v>
      </c>
      <c r="F313" s="31">
        <v>0.0</v>
      </c>
      <c r="G313" s="31">
        <v>1.0</v>
      </c>
      <c r="H313" s="32" t="s">
        <v>7043</v>
      </c>
      <c r="I313" s="30">
        <v>46023.0</v>
      </c>
      <c r="J313" s="30">
        <v>46387.0</v>
      </c>
      <c r="K313" s="31">
        <v>0.0</v>
      </c>
      <c r="L313" s="31">
        <v>1.0</v>
      </c>
      <c r="M313" s="32" t="s">
        <v>7043</v>
      </c>
      <c r="N313" s="30">
        <v>46388.0</v>
      </c>
      <c r="O313" s="30">
        <v>46752.0</v>
      </c>
      <c r="P313" s="31">
        <v>0.0</v>
      </c>
      <c r="Q313" s="31">
        <v>1.0</v>
      </c>
      <c r="R313" s="32" t="s">
        <v>7043</v>
      </c>
      <c r="S313" s="30">
        <v>46753.0</v>
      </c>
      <c r="T313" s="30">
        <v>47118.0</v>
      </c>
      <c r="U313" s="31">
        <v>0.0</v>
      </c>
      <c r="V313" s="31">
        <v>1.0</v>
      </c>
      <c r="W313" s="32" t="s">
        <v>7043</v>
      </c>
      <c r="X313" s="30">
        <v>47119.0</v>
      </c>
      <c r="Y313" s="30">
        <v>47483.0</v>
      </c>
      <c r="Z313" s="31">
        <v>0.0</v>
      </c>
      <c r="AA313" s="31">
        <v>1.0</v>
      </c>
      <c r="AB313" s="32" t="s">
        <v>7043</v>
      </c>
      <c r="AC313" s="30">
        <v>47484.0</v>
      </c>
      <c r="AD313" s="30">
        <v>47848.0</v>
      </c>
      <c r="AE313" s="31">
        <v>0.0</v>
      </c>
      <c r="AF313" s="31">
        <v>1.0</v>
      </c>
      <c r="AG313" s="32" t="s">
        <v>7043</v>
      </c>
    </row>
    <row r="314" ht="14.25" customHeight="1">
      <c r="A314" s="28" t="s">
        <v>4101</v>
      </c>
      <c r="B314" s="29" t="s">
        <v>4102</v>
      </c>
      <c r="C314" s="29" t="s">
        <v>7041</v>
      </c>
      <c r="D314" s="30">
        <v>45658.0</v>
      </c>
      <c r="E314" s="30">
        <v>46022.0</v>
      </c>
      <c r="F314" s="31">
        <v>0.0</v>
      </c>
      <c r="G314" s="31">
        <v>1.0</v>
      </c>
      <c r="H314" s="32" t="s">
        <v>7043</v>
      </c>
      <c r="I314" s="30">
        <v>46023.0</v>
      </c>
      <c r="J314" s="30">
        <v>46387.0</v>
      </c>
      <c r="K314" s="31">
        <v>0.0</v>
      </c>
      <c r="L314" s="31">
        <v>1.0</v>
      </c>
      <c r="M314" s="32" t="s">
        <v>7043</v>
      </c>
      <c r="N314" s="30">
        <v>46388.0</v>
      </c>
      <c r="O314" s="30">
        <v>46752.0</v>
      </c>
      <c r="P314" s="31">
        <v>0.0</v>
      </c>
      <c r="Q314" s="31">
        <v>1.0</v>
      </c>
      <c r="R314" s="32" t="s">
        <v>7043</v>
      </c>
      <c r="S314" s="30">
        <v>46753.0</v>
      </c>
      <c r="T314" s="30">
        <v>47118.0</v>
      </c>
      <c r="U314" s="31">
        <v>0.0</v>
      </c>
      <c r="V314" s="31">
        <v>1.0</v>
      </c>
      <c r="W314" s="32" t="s">
        <v>7043</v>
      </c>
      <c r="X314" s="30">
        <v>47119.0</v>
      </c>
      <c r="Y314" s="30">
        <v>47483.0</v>
      </c>
      <c r="Z314" s="31">
        <v>0.0</v>
      </c>
      <c r="AA314" s="31">
        <v>1.0</v>
      </c>
      <c r="AB314" s="32" t="s">
        <v>7043</v>
      </c>
      <c r="AC314" s="30">
        <v>47484.0</v>
      </c>
      <c r="AD314" s="30">
        <v>47848.0</v>
      </c>
      <c r="AE314" s="31">
        <v>0.0</v>
      </c>
      <c r="AF314" s="31">
        <v>1.0</v>
      </c>
      <c r="AG314" s="32" t="s">
        <v>7043</v>
      </c>
    </row>
    <row r="315" ht="14.25" customHeight="1">
      <c r="A315" s="28" t="s">
        <v>4184</v>
      </c>
      <c r="B315" s="29" t="s">
        <v>4185</v>
      </c>
      <c r="C315" s="29" t="s">
        <v>7041</v>
      </c>
      <c r="D315" s="30">
        <v>45658.0</v>
      </c>
      <c r="E315" s="30">
        <v>46022.0</v>
      </c>
      <c r="F315" s="31">
        <v>0.0</v>
      </c>
      <c r="G315" s="31">
        <v>1.0</v>
      </c>
      <c r="H315" s="32" t="s">
        <v>7043</v>
      </c>
      <c r="I315" s="30">
        <v>46023.0</v>
      </c>
      <c r="J315" s="30">
        <v>46387.0</v>
      </c>
      <c r="K315" s="31">
        <v>0.0</v>
      </c>
      <c r="L315" s="31">
        <v>1.0</v>
      </c>
      <c r="M315" s="32" t="s">
        <v>7043</v>
      </c>
      <c r="N315" s="30">
        <v>46388.0</v>
      </c>
      <c r="O315" s="30">
        <v>46752.0</v>
      </c>
      <c r="P315" s="31">
        <v>0.0</v>
      </c>
      <c r="Q315" s="31">
        <v>1.0</v>
      </c>
      <c r="R315" s="32" t="s">
        <v>7043</v>
      </c>
      <c r="S315" s="30">
        <v>46753.0</v>
      </c>
      <c r="T315" s="30">
        <v>47118.0</v>
      </c>
      <c r="U315" s="31">
        <v>0.0</v>
      </c>
      <c r="V315" s="31">
        <v>1.0</v>
      </c>
      <c r="W315" s="32" t="s">
        <v>7043</v>
      </c>
      <c r="X315" s="30">
        <v>47119.0</v>
      </c>
      <c r="Y315" s="30">
        <v>47483.0</v>
      </c>
      <c r="Z315" s="31">
        <v>0.0</v>
      </c>
      <c r="AA315" s="31">
        <v>1.0</v>
      </c>
      <c r="AB315" s="32" t="s">
        <v>7043</v>
      </c>
      <c r="AC315" s="30">
        <v>47484.0</v>
      </c>
      <c r="AD315" s="30">
        <v>47848.0</v>
      </c>
      <c r="AE315" s="31">
        <v>0.0</v>
      </c>
      <c r="AF315" s="31">
        <v>1.0</v>
      </c>
      <c r="AG315" s="32" t="s">
        <v>7043</v>
      </c>
    </row>
    <row r="316" ht="14.25" customHeight="1">
      <c r="A316" s="28" t="s">
        <v>4201</v>
      </c>
      <c r="B316" s="29" t="s">
        <v>4202</v>
      </c>
      <c r="C316" s="29" t="s">
        <v>7041</v>
      </c>
      <c r="D316" s="30">
        <v>45658.0</v>
      </c>
      <c r="E316" s="30">
        <v>46022.0</v>
      </c>
      <c r="F316" s="31">
        <v>0.0</v>
      </c>
      <c r="G316" s="31">
        <v>1.0</v>
      </c>
      <c r="H316" s="32" t="s">
        <v>7043</v>
      </c>
      <c r="I316" s="30">
        <v>46023.0</v>
      </c>
      <c r="J316" s="30">
        <v>46387.0</v>
      </c>
      <c r="K316" s="31">
        <v>0.0</v>
      </c>
      <c r="L316" s="31">
        <v>1.0</v>
      </c>
      <c r="M316" s="32" t="s">
        <v>7043</v>
      </c>
      <c r="N316" s="30">
        <v>46388.0</v>
      </c>
      <c r="O316" s="30">
        <v>46752.0</v>
      </c>
      <c r="P316" s="31">
        <v>0.0</v>
      </c>
      <c r="Q316" s="31">
        <v>1.0</v>
      </c>
      <c r="R316" s="32" t="s">
        <v>7043</v>
      </c>
      <c r="S316" s="30">
        <v>46753.0</v>
      </c>
      <c r="T316" s="30">
        <v>47118.0</v>
      </c>
      <c r="U316" s="31">
        <v>0.0</v>
      </c>
      <c r="V316" s="31">
        <v>1.0</v>
      </c>
      <c r="W316" s="32" t="s">
        <v>7043</v>
      </c>
      <c r="X316" s="30">
        <v>47119.0</v>
      </c>
      <c r="Y316" s="30">
        <v>47483.0</v>
      </c>
      <c r="Z316" s="31">
        <v>0.0</v>
      </c>
      <c r="AA316" s="31">
        <v>1.0</v>
      </c>
      <c r="AB316" s="32" t="s">
        <v>7043</v>
      </c>
      <c r="AC316" s="30">
        <v>47484.0</v>
      </c>
      <c r="AD316" s="30">
        <v>47848.0</v>
      </c>
      <c r="AE316" s="31">
        <v>0.0</v>
      </c>
      <c r="AF316" s="31">
        <v>1.0</v>
      </c>
      <c r="AG316" s="32" t="s">
        <v>7043</v>
      </c>
    </row>
    <row r="317" ht="14.25" customHeight="1">
      <c r="A317" s="28" t="s">
        <v>4259</v>
      </c>
      <c r="B317" s="29" t="s">
        <v>4260</v>
      </c>
      <c r="C317" s="29" t="s">
        <v>7041</v>
      </c>
      <c r="D317" s="30">
        <v>45658.0</v>
      </c>
      <c r="E317" s="30">
        <v>46022.0</v>
      </c>
      <c r="F317" s="31">
        <v>0.0</v>
      </c>
      <c r="G317" s="31">
        <v>1.0</v>
      </c>
      <c r="H317" s="32" t="s">
        <v>7043</v>
      </c>
      <c r="I317" s="30">
        <v>46023.0</v>
      </c>
      <c r="J317" s="30">
        <v>46387.0</v>
      </c>
      <c r="K317" s="31">
        <v>0.0</v>
      </c>
      <c r="L317" s="31">
        <v>1.0</v>
      </c>
      <c r="M317" s="32" t="s">
        <v>7043</v>
      </c>
      <c r="N317" s="30">
        <v>46388.0</v>
      </c>
      <c r="O317" s="30">
        <v>46752.0</v>
      </c>
      <c r="P317" s="31">
        <v>0.0</v>
      </c>
      <c r="Q317" s="31">
        <v>1.0</v>
      </c>
      <c r="R317" s="32" t="s">
        <v>7043</v>
      </c>
      <c r="S317" s="30">
        <v>46753.0</v>
      </c>
      <c r="T317" s="30">
        <v>47118.0</v>
      </c>
      <c r="U317" s="31">
        <v>0.0</v>
      </c>
      <c r="V317" s="31">
        <v>1.0</v>
      </c>
      <c r="W317" s="32" t="s">
        <v>7043</v>
      </c>
      <c r="X317" s="30">
        <v>47119.0</v>
      </c>
      <c r="Y317" s="30">
        <v>47483.0</v>
      </c>
      <c r="Z317" s="31">
        <v>0.0</v>
      </c>
      <c r="AA317" s="31">
        <v>1.0</v>
      </c>
      <c r="AB317" s="32" t="s">
        <v>7043</v>
      </c>
      <c r="AC317" s="30">
        <v>47484.0</v>
      </c>
      <c r="AD317" s="30">
        <v>47848.0</v>
      </c>
      <c r="AE317" s="31">
        <v>0.0</v>
      </c>
      <c r="AF317" s="31">
        <v>1.0</v>
      </c>
      <c r="AG317" s="32" t="s">
        <v>7043</v>
      </c>
    </row>
    <row r="318" ht="14.25" customHeight="1">
      <c r="A318" s="28" t="s">
        <v>4390</v>
      </c>
      <c r="B318" s="29" t="s">
        <v>4391</v>
      </c>
      <c r="C318" s="29" t="s">
        <v>7041</v>
      </c>
      <c r="D318" s="30">
        <v>45658.0</v>
      </c>
      <c r="E318" s="30">
        <v>46022.0</v>
      </c>
      <c r="F318" s="31">
        <v>1.0</v>
      </c>
      <c r="G318" s="31">
        <v>1.0</v>
      </c>
      <c r="H318" s="33" t="s">
        <v>7042</v>
      </c>
      <c r="I318" s="30">
        <v>46023.0</v>
      </c>
      <c r="J318" s="30">
        <v>46387.0</v>
      </c>
      <c r="K318" s="31">
        <v>0.0</v>
      </c>
      <c r="L318" s="31">
        <v>1.0</v>
      </c>
      <c r="M318" s="32" t="s">
        <v>7043</v>
      </c>
      <c r="N318" s="30">
        <v>46388.0</v>
      </c>
      <c r="O318" s="30">
        <v>46752.0</v>
      </c>
      <c r="P318" s="31">
        <v>0.0</v>
      </c>
      <c r="Q318" s="31">
        <v>1.0</v>
      </c>
      <c r="R318" s="32" t="s">
        <v>7043</v>
      </c>
      <c r="S318" s="30">
        <v>46753.0</v>
      </c>
      <c r="T318" s="30">
        <v>47118.0</v>
      </c>
      <c r="U318" s="31">
        <v>0.0</v>
      </c>
      <c r="V318" s="31">
        <v>1.0</v>
      </c>
      <c r="W318" s="32" t="s">
        <v>7043</v>
      </c>
      <c r="X318" s="30">
        <v>47119.0</v>
      </c>
      <c r="Y318" s="30">
        <v>47483.0</v>
      </c>
      <c r="Z318" s="31">
        <v>0.0</v>
      </c>
      <c r="AA318" s="31">
        <v>1.0</v>
      </c>
      <c r="AB318" s="32" t="s">
        <v>7043</v>
      </c>
      <c r="AC318" s="30">
        <v>47484.0</v>
      </c>
      <c r="AD318" s="30">
        <v>47848.0</v>
      </c>
      <c r="AE318" s="31">
        <v>0.0</v>
      </c>
      <c r="AF318" s="31">
        <v>1.0</v>
      </c>
      <c r="AG318" s="32" t="s">
        <v>7043</v>
      </c>
    </row>
    <row r="319" ht="14.25" customHeight="1">
      <c r="A319" s="28" t="s">
        <v>4404</v>
      </c>
      <c r="B319" s="29" t="s">
        <v>4405</v>
      </c>
      <c r="C319" s="29" t="s">
        <v>7041</v>
      </c>
      <c r="D319" s="30">
        <v>45658.0</v>
      </c>
      <c r="E319" s="30">
        <v>46022.0</v>
      </c>
      <c r="F319" s="31">
        <v>0.0</v>
      </c>
      <c r="G319" s="31">
        <v>1.0</v>
      </c>
      <c r="H319" s="32" t="s">
        <v>7043</v>
      </c>
      <c r="I319" s="30">
        <v>46023.0</v>
      </c>
      <c r="J319" s="30">
        <v>46387.0</v>
      </c>
      <c r="K319" s="31">
        <v>0.0</v>
      </c>
      <c r="L319" s="31">
        <v>1.0</v>
      </c>
      <c r="M319" s="32" t="s">
        <v>7043</v>
      </c>
      <c r="N319" s="30">
        <v>46388.0</v>
      </c>
      <c r="O319" s="30">
        <v>46752.0</v>
      </c>
      <c r="P319" s="31">
        <v>0.0</v>
      </c>
      <c r="Q319" s="31">
        <v>1.0</v>
      </c>
      <c r="R319" s="32" t="s">
        <v>7043</v>
      </c>
      <c r="S319" s="30">
        <v>46753.0</v>
      </c>
      <c r="T319" s="30">
        <v>47118.0</v>
      </c>
      <c r="U319" s="31">
        <v>0.0</v>
      </c>
      <c r="V319" s="31">
        <v>1.0</v>
      </c>
      <c r="W319" s="32" t="s">
        <v>7043</v>
      </c>
      <c r="X319" s="30">
        <v>47119.0</v>
      </c>
      <c r="Y319" s="30">
        <v>47483.0</v>
      </c>
      <c r="Z319" s="31">
        <v>0.0</v>
      </c>
      <c r="AA319" s="31">
        <v>1.0</v>
      </c>
      <c r="AB319" s="32" t="s">
        <v>7043</v>
      </c>
      <c r="AC319" s="30">
        <v>47484.0</v>
      </c>
      <c r="AD319" s="30">
        <v>47848.0</v>
      </c>
      <c r="AE319" s="31">
        <v>0.0</v>
      </c>
      <c r="AF319" s="31">
        <v>1.0</v>
      </c>
      <c r="AG319" s="32" t="s">
        <v>7043</v>
      </c>
    </row>
    <row r="320" ht="14.25" customHeight="1">
      <c r="A320" s="28" t="s">
        <v>4419</v>
      </c>
      <c r="B320" s="29" t="s">
        <v>4420</v>
      </c>
      <c r="C320" s="29" t="s">
        <v>7041</v>
      </c>
      <c r="D320" s="30">
        <v>45658.0</v>
      </c>
      <c r="E320" s="30">
        <v>46022.0</v>
      </c>
      <c r="F320" s="31">
        <v>0.0</v>
      </c>
      <c r="G320" s="31">
        <v>1.0</v>
      </c>
      <c r="H320" s="32" t="s">
        <v>7043</v>
      </c>
      <c r="I320" s="30">
        <v>46023.0</v>
      </c>
      <c r="J320" s="30">
        <v>46387.0</v>
      </c>
      <c r="K320" s="31">
        <v>0.0</v>
      </c>
      <c r="L320" s="31">
        <v>1.0</v>
      </c>
      <c r="M320" s="32" t="s">
        <v>7043</v>
      </c>
      <c r="N320" s="30">
        <v>46388.0</v>
      </c>
      <c r="O320" s="30">
        <v>46752.0</v>
      </c>
      <c r="P320" s="31">
        <v>0.0</v>
      </c>
      <c r="Q320" s="31">
        <v>1.0</v>
      </c>
      <c r="R320" s="32" t="s">
        <v>7043</v>
      </c>
      <c r="S320" s="30">
        <v>46753.0</v>
      </c>
      <c r="T320" s="30">
        <v>47118.0</v>
      </c>
      <c r="U320" s="31">
        <v>0.0</v>
      </c>
      <c r="V320" s="31">
        <v>1.0</v>
      </c>
      <c r="W320" s="32" t="s">
        <v>7043</v>
      </c>
      <c r="X320" s="30">
        <v>47119.0</v>
      </c>
      <c r="Y320" s="30">
        <v>47483.0</v>
      </c>
      <c r="Z320" s="31">
        <v>0.0</v>
      </c>
      <c r="AA320" s="31">
        <v>1.0</v>
      </c>
      <c r="AB320" s="32" t="s">
        <v>7043</v>
      </c>
      <c r="AC320" s="30">
        <v>47484.0</v>
      </c>
      <c r="AD320" s="30">
        <v>47848.0</v>
      </c>
      <c r="AE320" s="31">
        <v>0.0</v>
      </c>
      <c r="AF320" s="31">
        <v>1.0</v>
      </c>
      <c r="AG320" s="32" t="s">
        <v>7043</v>
      </c>
    </row>
    <row r="321" ht="14.25" customHeight="1">
      <c r="A321" s="28" t="s">
        <v>4423</v>
      </c>
      <c r="B321" s="29" t="s">
        <v>4424</v>
      </c>
      <c r="C321" s="29" t="s">
        <v>7041</v>
      </c>
      <c r="D321" s="30">
        <v>45658.0</v>
      </c>
      <c r="E321" s="30">
        <v>46022.0</v>
      </c>
      <c r="F321" s="31">
        <v>1.0</v>
      </c>
      <c r="G321" s="31">
        <v>1.0</v>
      </c>
      <c r="H321" s="33" t="s">
        <v>7042</v>
      </c>
      <c r="I321" s="30">
        <v>46023.0</v>
      </c>
      <c r="J321" s="30">
        <v>46387.0</v>
      </c>
      <c r="K321" s="31">
        <v>0.0</v>
      </c>
      <c r="L321" s="31">
        <v>1.0</v>
      </c>
      <c r="M321" s="32" t="s">
        <v>7043</v>
      </c>
      <c r="N321" s="30">
        <v>46388.0</v>
      </c>
      <c r="O321" s="30">
        <v>46752.0</v>
      </c>
      <c r="P321" s="31">
        <v>0.0</v>
      </c>
      <c r="Q321" s="31">
        <v>1.0</v>
      </c>
      <c r="R321" s="32" t="s">
        <v>7043</v>
      </c>
      <c r="S321" s="30">
        <v>46753.0</v>
      </c>
      <c r="T321" s="30">
        <v>47118.0</v>
      </c>
      <c r="U321" s="31">
        <v>0.0</v>
      </c>
      <c r="V321" s="31">
        <v>1.0</v>
      </c>
      <c r="W321" s="32" t="s">
        <v>7043</v>
      </c>
      <c r="X321" s="30">
        <v>47119.0</v>
      </c>
      <c r="Y321" s="30">
        <v>47483.0</v>
      </c>
      <c r="Z321" s="31">
        <v>0.0</v>
      </c>
      <c r="AA321" s="31">
        <v>1.0</v>
      </c>
      <c r="AB321" s="32" t="s">
        <v>7043</v>
      </c>
      <c r="AC321" s="30">
        <v>47484.0</v>
      </c>
      <c r="AD321" s="30">
        <v>47848.0</v>
      </c>
      <c r="AE321" s="31">
        <v>0.0</v>
      </c>
      <c r="AF321" s="31">
        <v>1.0</v>
      </c>
      <c r="AG321" s="32" t="s">
        <v>7043</v>
      </c>
    </row>
    <row r="322" ht="14.25" customHeight="1">
      <c r="A322" s="28" t="s">
        <v>4435</v>
      </c>
      <c r="B322" s="29" t="s">
        <v>4436</v>
      </c>
      <c r="C322" s="29" t="s">
        <v>7041</v>
      </c>
      <c r="D322" s="30">
        <v>45658.0</v>
      </c>
      <c r="E322" s="30">
        <v>46022.0</v>
      </c>
      <c r="F322" s="31">
        <v>0.0</v>
      </c>
      <c r="G322" s="31">
        <v>1.0</v>
      </c>
      <c r="H322" s="32" t="s">
        <v>7043</v>
      </c>
      <c r="I322" s="30">
        <v>46023.0</v>
      </c>
      <c r="J322" s="30">
        <v>46387.0</v>
      </c>
      <c r="K322" s="31">
        <v>0.0</v>
      </c>
      <c r="L322" s="31">
        <v>1.0</v>
      </c>
      <c r="M322" s="32" t="s">
        <v>7043</v>
      </c>
      <c r="N322" s="30">
        <v>46388.0</v>
      </c>
      <c r="O322" s="30">
        <v>46752.0</v>
      </c>
      <c r="P322" s="31">
        <v>0.0</v>
      </c>
      <c r="Q322" s="31">
        <v>1.0</v>
      </c>
      <c r="R322" s="32" t="s">
        <v>7043</v>
      </c>
      <c r="S322" s="30">
        <v>46753.0</v>
      </c>
      <c r="T322" s="30">
        <v>47118.0</v>
      </c>
      <c r="U322" s="31">
        <v>0.0</v>
      </c>
      <c r="V322" s="31">
        <v>1.0</v>
      </c>
      <c r="W322" s="32" t="s">
        <v>7043</v>
      </c>
      <c r="X322" s="30">
        <v>47119.0</v>
      </c>
      <c r="Y322" s="30">
        <v>47483.0</v>
      </c>
      <c r="Z322" s="31">
        <v>0.0</v>
      </c>
      <c r="AA322" s="31">
        <v>1.0</v>
      </c>
      <c r="AB322" s="32" t="s">
        <v>7043</v>
      </c>
      <c r="AC322" s="30">
        <v>47484.0</v>
      </c>
      <c r="AD322" s="30">
        <v>47848.0</v>
      </c>
      <c r="AE322" s="31">
        <v>0.0</v>
      </c>
      <c r="AF322" s="31">
        <v>1.0</v>
      </c>
      <c r="AG322" s="32" t="s">
        <v>7043</v>
      </c>
    </row>
    <row r="323" ht="14.25" customHeight="1">
      <c r="A323" s="28" t="s">
        <v>4470</v>
      </c>
      <c r="B323" s="29" t="s">
        <v>4471</v>
      </c>
      <c r="C323" s="29" t="s">
        <v>7041</v>
      </c>
      <c r="D323" s="30">
        <v>45658.0</v>
      </c>
      <c r="E323" s="30">
        <v>46022.0</v>
      </c>
      <c r="F323" s="31">
        <v>0.0</v>
      </c>
      <c r="G323" s="31">
        <v>1.0</v>
      </c>
      <c r="H323" s="32" t="s">
        <v>7043</v>
      </c>
      <c r="I323" s="30">
        <v>46023.0</v>
      </c>
      <c r="J323" s="30">
        <v>46387.0</v>
      </c>
      <c r="K323" s="31">
        <v>0.0</v>
      </c>
      <c r="L323" s="31">
        <v>1.0</v>
      </c>
      <c r="M323" s="32" t="s">
        <v>7043</v>
      </c>
      <c r="N323" s="30">
        <v>46388.0</v>
      </c>
      <c r="O323" s="30">
        <v>46752.0</v>
      </c>
      <c r="P323" s="31">
        <v>0.0</v>
      </c>
      <c r="Q323" s="31">
        <v>1.0</v>
      </c>
      <c r="R323" s="32" t="s">
        <v>7043</v>
      </c>
      <c r="S323" s="30">
        <v>46753.0</v>
      </c>
      <c r="T323" s="30">
        <v>47118.0</v>
      </c>
      <c r="U323" s="31">
        <v>0.0</v>
      </c>
      <c r="V323" s="31">
        <v>1.0</v>
      </c>
      <c r="W323" s="32" t="s">
        <v>7043</v>
      </c>
      <c r="X323" s="30">
        <v>47119.0</v>
      </c>
      <c r="Y323" s="30">
        <v>47483.0</v>
      </c>
      <c r="Z323" s="31">
        <v>0.0</v>
      </c>
      <c r="AA323" s="31">
        <v>1.0</v>
      </c>
      <c r="AB323" s="32" t="s">
        <v>7043</v>
      </c>
      <c r="AC323" s="30">
        <v>47484.0</v>
      </c>
      <c r="AD323" s="30">
        <v>47848.0</v>
      </c>
      <c r="AE323" s="31">
        <v>0.0</v>
      </c>
      <c r="AF323" s="31">
        <v>1.0</v>
      </c>
      <c r="AG323" s="32" t="s">
        <v>7043</v>
      </c>
    </row>
    <row r="324" ht="14.25" customHeight="1">
      <c r="A324" s="28" t="s">
        <v>4474</v>
      </c>
      <c r="B324" s="29" t="s">
        <v>4475</v>
      </c>
      <c r="C324" s="29" t="s">
        <v>7041</v>
      </c>
      <c r="D324" s="30">
        <v>45658.0</v>
      </c>
      <c r="E324" s="30">
        <v>46022.0</v>
      </c>
      <c r="F324" s="31">
        <v>0.0</v>
      </c>
      <c r="G324" s="31">
        <v>1.0</v>
      </c>
      <c r="H324" s="32" t="s">
        <v>7043</v>
      </c>
      <c r="I324" s="30">
        <v>46023.0</v>
      </c>
      <c r="J324" s="30">
        <v>46387.0</v>
      </c>
      <c r="K324" s="31">
        <v>0.0</v>
      </c>
      <c r="L324" s="31">
        <v>1.0</v>
      </c>
      <c r="M324" s="32" t="s">
        <v>7043</v>
      </c>
      <c r="N324" s="30">
        <v>46388.0</v>
      </c>
      <c r="O324" s="30">
        <v>46752.0</v>
      </c>
      <c r="P324" s="31">
        <v>0.0</v>
      </c>
      <c r="Q324" s="31">
        <v>1.0</v>
      </c>
      <c r="R324" s="32" t="s">
        <v>7043</v>
      </c>
      <c r="S324" s="30">
        <v>46753.0</v>
      </c>
      <c r="T324" s="30">
        <v>47118.0</v>
      </c>
      <c r="U324" s="31">
        <v>0.0</v>
      </c>
      <c r="V324" s="31">
        <v>1.0</v>
      </c>
      <c r="W324" s="32" t="s">
        <v>7043</v>
      </c>
      <c r="X324" s="30">
        <v>47119.0</v>
      </c>
      <c r="Y324" s="30">
        <v>47483.0</v>
      </c>
      <c r="Z324" s="31">
        <v>0.0</v>
      </c>
      <c r="AA324" s="31">
        <v>1.0</v>
      </c>
      <c r="AB324" s="32" t="s">
        <v>7043</v>
      </c>
      <c r="AC324" s="30">
        <v>47484.0</v>
      </c>
      <c r="AD324" s="30">
        <v>47848.0</v>
      </c>
      <c r="AE324" s="31">
        <v>0.0</v>
      </c>
      <c r="AF324" s="31">
        <v>1.0</v>
      </c>
      <c r="AG324" s="32" t="s">
        <v>7043</v>
      </c>
    </row>
    <row r="325" ht="14.25" customHeight="1">
      <c r="A325" s="28" t="s">
        <v>4705</v>
      </c>
      <c r="B325" s="29" t="s">
        <v>4706</v>
      </c>
      <c r="C325" s="29" t="s">
        <v>7041</v>
      </c>
      <c r="D325" s="30">
        <v>45658.0</v>
      </c>
      <c r="E325" s="30">
        <v>46022.0</v>
      </c>
      <c r="F325" s="31">
        <v>1.0</v>
      </c>
      <c r="G325" s="31">
        <v>1.0</v>
      </c>
      <c r="H325" s="32" t="s">
        <v>7042</v>
      </c>
      <c r="I325" s="30">
        <v>46023.0</v>
      </c>
      <c r="J325" s="30">
        <v>46387.0</v>
      </c>
      <c r="K325" s="31">
        <v>0.0</v>
      </c>
      <c r="L325" s="31">
        <v>1.0</v>
      </c>
      <c r="M325" s="32" t="s">
        <v>7043</v>
      </c>
      <c r="N325" s="30">
        <v>46388.0</v>
      </c>
      <c r="O325" s="30">
        <v>46752.0</v>
      </c>
      <c r="P325" s="31">
        <v>0.0</v>
      </c>
      <c r="Q325" s="31">
        <v>1.0</v>
      </c>
      <c r="R325" s="32" t="s">
        <v>7043</v>
      </c>
      <c r="S325" s="30">
        <v>46753.0</v>
      </c>
      <c r="T325" s="30">
        <v>47118.0</v>
      </c>
      <c r="U325" s="31">
        <v>0.0</v>
      </c>
      <c r="V325" s="31">
        <v>1.0</v>
      </c>
      <c r="W325" s="32" t="s">
        <v>7043</v>
      </c>
      <c r="X325" s="30">
        <v>47119.0</v>
      </c>
      <c r="Y325" s="30">
        <v>47483.0</v>
      </c>
      <c r="Z325" s="31">
        <v>0.0</v>
      </c>
      <c r="AA325" s="31">
        <v>1.0</v>
      </c>
      <c r="AB325" s="32" t="s">
        <v>7043</v>
      </c>
      <c r="AC325" s="30">
        <v>47484.0</v>
      </c>
      <c r="AD325" s="30">
        <v>47848.0</v>
      </c>
      <c r="AE325" s="31">
        <v>0.0</v>
      </c>
      <c r="AF325" s="31">
        <v>1.0</v>
      </c>
      <c r="AG325" s="32" t="s">
        <v>7043</v>
      </c>
    </row>
    <row r="326" ht="14.25" customHeight="1">
      <c r="A326" s="28" t="s">
        <v>4806</v>
      </c>
      <c r="B326" s="29" t="s">
        <v>4807</v>
      </c>
      <c r="C326" s="29" t="s">
        <v>7041</v>
      </c>
      <c r="D326" s="30">
        <v>45658.0</v>
      </c>
      <c r="E326" s="30">
        <v>46022.0</v>
      </c>
      <c r="F326" s="31">
        <v>0.0</v>
      </c>
      <c r="G326" s="31">
        <v>1.0</v>
      </c>
      <c r="H326" s="32" t="s">
        <v>7043</v>
      </c>
      <c r="I326" s="30">
        <v>46023.0</v>
      </c>
      <c r="J326" s="30">
        <v>46387.0</v>
      </c>
      <c r="K326" s="31">
        <v>0.0</v>
      </c>
      <c r="L326" s="31">
        <v>1.0</v>
      </c>
      <c r="M326" s="32" t="s">
        <v>7043</v>
      </c>
      <c r="N326" s="30">
        <v>46388.0</v>
      </c>
      <c r="O326" s="30">
        <v>46752.0</v>
      </c>
      <c r="P326" s="31">
        <v>0.0</v>
      </c>
      <c r="Q326" s="31">
        <v>1.0</v>
      </c>
      <c r="R326" s="32" t="s">
        <v>7043</v>
      </c>
      <c r="S326" s="30">
        <v>46753.0</v>
      </c>
      <c r="T326" s="30">
        <v>47118.0</v>
      </c>
      <c r="U326" s="31">
        <v>0.0</v>
      </c>
      <c r="V326" s="31">
        <v>1.0</v>
      </c>
      <c r="W326" s="32" t="s">
        <v>7043</v>
      </c>
      <c r="X326" s="30">
        <v>47119.0</v>
      </c>
      <c r="Y326" s="30">
        <v>47483.0</v>
      </c>
      <c r="Z326" s="31">
        <v>0.0</v>
      </c>
      <c r="AA326" s="31">
        <v>1.0</v>
      </c>
      <c r="AB326" s="32" t="s">
        <v>7043</v>
      </c>
      <c r="AC326" s="30">
        <v>47484.0</v>
      </c>
      <c r="AD326" s="30">
        <v>47848.0</v>
      </c>
      <c r="AE326" s="31">
        <v>0.0</v>
      </c>
      <c r="AF326" s="31">
        <v>1.0</v>
      </c>
      <c r="AG326" s="32" t="s">
        <v>7043</v>
      </c>
    </row>
    <row r="327" ht="14.25" customHeight="1">
      <c r="A327" s="28" t="s">
        <v>4841</v>
      </c>
      <c r="B327" s="29" t="s">
        <v>4842</v>
      </c>
      <c r="C327" s="29" t="s">
        <v>7041</v>
      </c>
      <c r="D327" s="30">
        <v>45658.0</v>
      </c>
      <c r="E327" s="30">
        <v>46022.0</v>
      </c>
      <c r="F327" s="31">
        <v>0.0</v>
      </c>
      <c r="G327" s="31">
        <v>1.0</v>
      </c>
      <c r="H327" s="32" t="s">
        <v>7043</v>
      </c>
      <c r="I327" s="30">
        <v>46023.0</v>
      </c>
      <c r="J327" s="30">
        <v>46387.0</v>
      </c>
      <c r="K327" s="31">
        <v>0.0</v>
      </c>
      <c r="L327" s="31">
        <v>1.0</v>
      </c>
      <c r="M327" s="32" t="s">
        <v>7043</v>
      </c>
      <c r="N327" s="30">
        <v>46388.0</v>
      </c>
      <c r="O327" s="30">
        <v>46752.0</v>
      </c>
      <c r="P327" s="31">
        <v>0.0</v>
      </c>
      <c r="Q327" s="31">
        <v>1.0</v>
      </c>
      <c r="R327" s="32" t="s">
        <v>7043</v>
      </c>
      <c r="S327" s="30">
        <v>46753.0</v>
      </c>
      <c r="T327" s="30">
        <v>47118.0</v>
      </c>
      <c r="U327" s="31">
        <v>0.0</v>
      </c>
      <c r="V327" s="31">
        <v>1.0</v>
      </c>
      <c r="W327" s="32" t="s">
        <v>7043</v>
      </c>
      <c r="X327" s="30">
        <v>47119.0</v>
      </c>
      <c r="Y327" s="30">
        <v>47483.0</v>
      </c>
      <c r="Z327" s="31">
        <v>0.0</v>
      </c>
      <c r="AA327" s="31">
        <v>1.0</v>
      </c>
      <c r="AB327" s="32" t="s">
        <v>7043</v>
      </c>
      <c r="AC327" s="30">
        <v>47484.0</v>
      </c>
      <c r="AD327" s="30">
        <v>47848.0</v>
      </c>
      <c r="AE327" s="31">
        <v>0.0</v>
      </c>
      <c r="AF327" s="31">
        <v>1.0</v>
      </c>
      <c r="AG327" s="32" t="s">
        <v>7043</v>
      </c>
    </row>
    <row r="328" ht="14.25" customHeight="1">
      <c r="A328" s="28" t="s">
        <v>4916</v>
      </c>
      <c r="B328" s="29" t="s">
        <v>4917</v>
      </c>
      <c r="C328" s="29" t="s">
        <v>7041</v>
      </c>
      <c r="D328" s="30">
        <v>45658.0</v>
      </c>
      <c r="E328" s="30">
        <v>46022.0</v>
      </c>
      <c r="F328" s="31">
        <v>0.0</v>
      </c>
      <c r="G328" s="31">
        <v>1.0</v>
      </c>
      <c r="H328" s="32" t="s">
        <v>7043</v>
      </c>
      <c r="I328" s="30">
        <v>46023.0</v>
      </c>
      <c r="J328" s="30">
        <v>46387.0</v>
      </c>
      <c r="K328" s="31">
        <v>0.0</v>
      </c>
      <c r="L328" s="31">
        <v>1.0</v>
      </c>
      <c r="M328" s="32" t="s">
        <v>7043</v>
      </c>
      <c r="N328" s="30">
        <v>46388.0</v>
      </c>
      <c r="O328" s="30">
        <v>46752.0</v>
      </c>
      <c r="P328" s="31">
        <v>0.0</v>
      </c>
      <c r="Q328" s="31">
        <v>1.0</v>
      </c>
      <c r="R328" s="32" t="s">
        <v>7043</v>
      </c>
      <c r="S328" s="30">
        <v>46753.0</v>
      </c>
      <c r="T328" s="30">
        <v>47118.0</v>
      </c>
      <c r="U328" s="31">
        <v>0.0</v>
      </c>
      <c r="V328" s="31">
        <v>1.0</v>
      </c>
      <c r="W328" s="32" t="s">
        <v>7043</v>
      </c>
      <c r="X328" s="30">
        <v>47119.0</v>
      </c>
      <c r="Y328" s="30">
        <v>47483.0</v>
      </c>
      <c r="Z328" s="31">
        <v>0.0</v>
      </c>
      <c r="AA328" s="31">
        <v>1.0</v>
      </c>
      <c r="AB328" s="32" t="s">
        <v>7043</v>
      </c>
      <c r="AC328" s="30">
        <v>47484.0</v>
      </c>
      <c r="AD328" s="30">
        <v>47848.0</v>
      </c>
      <c r="AE328" s="31">
        <v>0.0</v>
      </c>
      <c r="AF328" s="31">
        <v>1.0</v>
      </c>
      <c r="AG328" s="32" t="s">
        <v>7043</v>
      </c>
    </row>
    <row r="329" ht="14.25" customHeight="1">
      <c r="A329" s="28" t="s">
        <v>4925</v>
      </c>
      <c r="B329" s="29" t="s">
        <v>4926</v>
      </c>
      <c r="C329" s="29" t="s">
        <v>7041</v>
      </c>
      <c r="D329" s="30">
        <v>45658.0</v>
      </c>
      <c r="E329" s="30">
        <v>46022.0</v>
      </c>
      <c r="F329" s="31">
        <v>0.0</v>
      </c>
      <c r="G329" s="31">
        <v>1.0</v>
      </c>
      <c r="H329" s="32" t="s">
        <v>7043</v>
      </c>
      <c r="I329" s="30">
        <v>46023.0</v>
      </c>
      <c r="J329" s="30">
        <v>46387.0</v>
      </c>
      <c r="K329" s="31">
        <v>0.0</v>
      </c>
      <c r="L329" s="31">
        <v>1.0</v>
      </c>
      <c r="M329" s="32" t="s">
        <v>7043</v>
      </c>
      <c r="N329" s="30">
        <v>46388.0</v>
      </c>
      <c r="O329" s="30">
        <v>46752.0</v>
      </c>
      <c r="P329" s="31">
        <v>0.0</v>
      </c>
      <c r="Q329" s="31">
        <v>1.0</v>
      </c>
      <c r="R329" s="32" t="s">
        <v>7043</v>
      </c>
      <c r="S329" s="30">
        <v>46753.0</v>
      </c>
      <c r="T329" s="30">
        <v>47118.0</v>
      </c>
      <c r="U329" s="31">
        <v>0.0</v>
      </c>
      <c r="V329" s="31">
        <v>1.0</v>
      </c>
      <c r="W329" s="32" t="s">
        <v>7043</v>
      </c>
      <c r="X329" s="30">
        <v>47119.0</v>
      </c>
      <c r="Y329" s="30">
        <v>47483.0</v>
      </c>
      <c r="Z329" s="31">
        <v>0.0</v>
      </c>
      <c r="AA329" s="31">
        <v>1.0</v>
      </c>
      <c r="AB329" s="32" t="s">
        <v>7043</v>
      </c>
      <c r="AC329" s="30">
        <v>47484.0</v>
      </c>
      <c r="AD329" s="30">
        <v>47848.0</v>
      </c>
      <c r="AE329" s="31">
        <v>0.0</v>
      </c>
      <c r="AF329" s="31">
        <v>1.0</v>
      </c>
      <c r="AG329" s="32" t="s">
        <v>7043</v>
      </c>
    </row>
    <row r="330" ht="14.25" customHeight="1">
      <c r="A330" s="28" t="s">
        <v>5057</v>
      </c>
      <c r="B330" s="29" t="s">
        <v>5058</v>
      </c>
      <c r="C330" s="29" t="s">
        <v>7041</v>
      </c>
      <c r="D330" s="30">
        <v>45658.0</v>
      </c>
      <c r="E330" s="30">
        <v>46022.0</v>
      </c>
      <c r="F330" s="31">
        <v>0.0</v>
      </c>
      <c r="G330" s="31">
        <v>1.0</v>
      </c>
      <c r="H330" s="32" t="s">
        <v>7043</v>
      </c>
      <c r="I330" s="30">
        <v>46023.0</v>
      </c>
      <c r="J330" s="30">
        <v>46387.0</v>
      </c>
      <c r="K330" s="31">
        <v>0.0</v>
      </c>
      <c r="L330" s="31">
        <v>1.0</v>
      </c>
      <c r="M330" s="32" t="s">
        <v>7043</v>
      </c>
      <c r="N330" s="30">
        <v>46388.0</v>
      </c>
      <c r="O330" s="30">
        <v>46752.0</v>
      </c>
      <c r="P330" s="31">
        <v>0.0</v>
      </c>
      <c r="Q330" s="31">
        <v>1.0</v>
      </c>
      <c r="R330" s="32" t="s">
        <v>7043</v>
      </c>
      <c r="S330" s="30">
        <v>46753.0</v>
      </c>
      <c r="T330" s="30">
        <v>47118.0</v>
      </c>
      <c r="U330" s="31">
        <v>0.0</v>
      </c>
      <c r="V330" s="31">
        <v>1.0</v>
      </c>
      <c r="W330" s="32" t="s">
        <v>7043</v>
      </c>
      <c r="X330" s="30">
        <v>47119.0</v>
      </c>
      <c r="Y330" s="30">
        <v>47483.0</v>
      </c>
      <c r="Z330" s="31">
        <v>0.0</v>
      </c>
      <c r="AA330" s="31">
        <v>1.0</v>
      </c>
      <c r="AB330" s="32" t="s">
        <v>7043</v>
      </c>
      <c r="AC330" s="30">
        <v>47484.0</v>
      </c>
      <c r="AD330" s="30">
        <v>47848.0</v>
      </c>
      <c r="AE330" s="31">
        <v>0.0</v>
      </c>
      <c r="AF330" s="31">
        <v>1.0</v>
      </c>
      <c r="AG330" s="32" t="s">
        <v>7043</v>
      </c>
    </row>
    <row r="331" ht="14.25" customHeight="1">
      <c r="A331" s="28" t="s">
        <v>5079</v>
      </c>
      <c r="B331" s="29" t="s">
        <v>5080</v>
      </c>
      <c r="C331" s="29" t="s">
        <v>7041</v>
      </c>
      <c r="D331" s="30">
        <v>45658.0</v>
      </c>
      <c r="E331" s="30">
        <v>46022.0</v>
      </c>
      <c r="F331" s="31">
        <v>0.0</v>
      </c>
      <c r="G331" s="31">
        <v>1.0</v>
      </c>
      <c r="H331" s="32" t="s">
        <v>7043</v>
      </c>
      <c r="I331" s="30">
        <v>46023.0</v>
      </c>
      <c r="J331" s="30">
        <v>46387.0</v>
      </c>
      <c r="K331" s="31">
        <v>0.0</v>
      </c>
      <c r="L331" s="31">
        <v>1.0</v>
      </c>
      <c r="M331" s="32" t="s">
        <v>7043</v>
      </c>
      <c r="N331" s="30">
        <v>46388.0</v>
      </c>
      <c r="O331" s="30">
        <v>46752.0</v>
      </c>
      <c r="P331" s="31">
        <v>0.0</v>
      </c>
      <c r="Q331" s="31">
        <v>1.0</v>
      </c>
      <c r="R331" s="32" t="s">
        <v>7043</v>
      </c>
      <c r="S331" s="30">
        <v>46753.0</v>
      </c>
      <c r="T331" s="30">
        <v>47118.0</v>
      </c>
      <c r="U331" s="31">
        <v>0.0</v>
      </c>
      <c r="V331" s="31">
        <v>1.0</v>
      </c>
      <c r="W331" s="32" t="s">
        <v>7043</v>
      </c>
      <c r="X331" s="30">
        <v>47119.0</v>
      </c>
      <c r="Y331" s="30">
        <v>47483.0</v>
      </c>
      <c r="Z331" s="31">
        <v>0.0</v>
      </c>
      <c r="AA331" s="31">
        <v>1.0</v>
      </c>
      <c r="AB331" s="32" t="s">
        <v>7043</v>
      </c>
      <c r="AC331" s="30">
        <v>47484.0</v>
      </c>
      <c r="AD331" s="30">
        <v>47848.0</v>
      </c>
      <c r="AE331" s="31">
        <v>0.0</v>
      </c>
      <c r="AF331" s="31">
        <v>1.0</v>
      </c>
      <c r="AG331" s="32" t="s">
        <v>7043</v>
      </c>
    </row>
    <row r="332" ht="14.25" customHeight="1">
      <c r="A332" s="28" t="s">
        <v>5182</v>
      </c>
      <c r="B332" s="29" t="s">
        <v>5183</v>
      </c>
      <c r="C332" s="29" t="s">
        <v>7041</v>
      </c>
      <c r="D332" s="30">
        <v>45658.0</v>
      </c>
      <c r="E332" s="30">
        <v>46022.0</v>
      </c>
      <c r="F332" s="31">
        <v>1.0</v>
      </c>
      <c r="G332" s="31">
        <v>1.0</v>
      </c>
      <c r="H332" s="32" t="s">
        <v>7042</v>
      </c>
      <c r="I332" s="30">
        <v>46023.0</v>
      </c>
      <c r="J332" s="30">
        <v>46387.0</v>
      </c>
      <c r="K332" s="31">
        <v>0.0</v>
      </c>
      <c r="L332" s="31">
        <v>1.0</v>
      </c>
      <c r="M332" s="32" t="s">
        <v>7043</v>
      </c>
      <c r="N332" s="30">
        <v>46388.0</v>
      </c>
      <c r="O332" s="30">
        <v>46752.0</v>
      </c>
      <c r="P332" s="31">
        <v>0.0</v>
      </c>
      <c r="Q332" s="31">
        <v>1.0</v>
      </c>
      <c r="R332" s="32" t="s">
        <v>7043</v>
      </c>
      <c r="S332" s="30">
        <v>46753.0</v>
      </c>
      <c r="T332" s="30">
        <v>47118.0</v>
      </c>
      <c r="U332" s="31">
        <v>0.0</v>
      </c>
      <c r="V332" s="31">
        <v>1.0</v>
      </c>
      <c r="W332" s="32" t="s">
        <v>7043</v>
      </c>
      <c r="X332" s="30">
        <v>47119.0</v>
      </c>
      <c r="Y332" s="30">
        <v>47483.0</v>
      </c>
      <c r="Z332" s="31">
        <v>0.0</v>
      </c>
      <c r="AA332" s="31">
        <v>1.0</v>
      </c>
      <c r="AB332" s="32" t="s">
        <v>7043</v>
      </c>
      <c r="AC332" s="30">
        <v>47484.0</v>
      </c>
      <c r="AD332" s="30">
        <v>47848.0</v>
      </c>
      <c r="AE332" s="31">
        <v>0.0</v>
      </c>
      <c r="AF332" s="31">
        <v>1.0</v>
      </c>
      <c r="AG332" s="32" t="s">
        <v>7043</v>
      </c>
    </row>
    <row r="333" ht="14.25" customHeight="1">
      <c r="A333" s="28" t="s">
        <v>5215</v>
      </c>
      <c r="B333" s="29" t="s">
        <v>5216</v>
      </c>
      <c r="C333" s="29" t="s">
        <v>7041</v>
      </c>
      <c r="D333" s="30">
        <v>45658.0</v>
      </c>
      <c r="E333" s="30">
        <v>46022.0</v>
      </c>
      <c r="F333" s="31">
        <v>1.0</v>
      </c>
      <c r="G333" s="31">
        <v>1.0</v>
      </c>
      <c r="H333" s="33" t="s">
        <v>7042</v>
      </c>
      <c r="I333" s="30">
        <v>46023.0</v>
      </c>
      <c r="J333" s="30">
        <v>46387.0</v>
      </c>
      <c r="K333" s="31">
        <v>0.0</v>
      </c>
      <c r="L333" s="31">
        <v>1.0</v>
      </c>
      <c r="M333" s="32" t="s">
        <v>7043</v>
      </c>
      <c r="N333" s="30">
        <v>46388.0</v>
      </c>
      <c r="O333" s="30">
        <v>46752.0</v>
      </c>
      <c r="P333" s="31">
        <v>0.0</v>
      </c>
      <c r="Q333" s="31">
        <v>1.0</v>
      </c>
      <c r="R333" s="32" t="s">
        <v>7043</v>
      </c>
      <c r="S333" s="30">
        <v>46753.0</v>
      </c>
      <c r="T333" s="30">
        <v>47118.0</v>
      </c>
      <c r="U333" s="31">
        <v>0.0</v>
      </c>
      <c r="V333" s="31">
        <v>1.0</v>
      </c>
      <c r="W333" s="32" t="s">
        <v>7043</v>
      </c>
      <c r="X333" s="30">
        <v>47119.0</v>
      </c>
      <c r="Y333" s="30">
        <v>47483.0</v>
      </c>
      <c r="Z333" s="31">
        <v>0.0</v>
      </c>
      <c r="AA333" s="31">
        <v>1.0</v>
      </c>
      <c r="AB333" s="32" t="s">
        <v>7043</v>
      </c>
      <c r="AC333" s="30">
        <v>47484.0</v>
      </c>
      <c r="AD333" s="30">
        <v>47848.0</v>
      </c>
      <c r="AE333" s="31">
        <v>0.0</v>
      </c>
      <c r="AF333" s="31">
        <v>1.0</v>
      </c>
      <c r="AG333" s="32" t="s">
        <v>7043</v>
      </c>
    </row>
    <row r="334" ht="14.25" customHeight="1">
      <c r="A334" s="28" t="s">
        <v>5348</v>
      </c>
      <c r="B334" s="29" t="s">
        <v>5349</v>
      </c>
      <c r="C334" s="29" t="s">
        <v>7041</v>
      </c>
      <c r="D334" s="30">
        <v>45658.0</v>
      </c>
      <c r="E334" s="30">
        <v>46022.0</v>
      </c>
      <c r="F334" s="31">
        <v>0.0</v>
      </c>
      <c r="G334" s="31">
        <v>1.0</v>
      </c>
      <c r="H334" s="32" t="s">
        <v>7043</v>
      </c>
      <c r="I334" s="30">
        <v>46023.0</v>
      </c>
      <c r="J334" s="30">
        <v>46387.0</v>
      </c>
      <c r="K334" s="31">
        <v>0.0</v>
      </c>
      <c r="L334" s="31">
        <v>1.0</v>
      </c>
      <c r="M334" s="32" t="s">
        <v>7043</v>
      </c>
      <c r="N334" s="30">
        <v>46388.0</v>
      </c>
      <c r="O334" s="30">
        <v>46752.0</v>
      </c>
      <c r="P334" s="31">
        <v>0.0</v>
      </c>
      <c r="Q334" s="31">
        <v>1.0</v>
      </c>
      <c r="R334" s="32" t="s">
        <v>7043</v>
      </c>
      <c r="S334" s="30">
        <v>46753.0</v>
      </c>
      <c r="T334" s="30">
        <v>47118.0</v>
      </c>
      <c r="U334" s="31">
        <v>0.0</v>
      </c>
      <c r="V334" s="31">
        <v>1.0</v>
      </c>
      <c r="W334" s="32" t="s">
        <v>7043</v>
      </c>
      <c r="X334" s="30">
        <v>47119.0</v>
      </c>
      <c r="Y334" s="30">
        <v>47483.0</v>
      </c>
      <c r="Z334" s="31">
        <v>0.0</v>
      </c>
      <c r="AA334" s="31">
        <v>1.0</v>
      </c>
      <c r="AB334" s="32" t="s">
        <v>7043</v>
      </c>
      <c r="AC334" s="30">
        <v>47484.0</v>
      </c>
      <c r="AD334" s="30">
        <v>47848.0</v>
      </c>
      <c r="AE334" s="31">
        <v>0.0</v>
      </c>
      <c r="AF334" s="31">
        <v>1.0</v>
      </c>
      <c r="AG334" s="32" t="s">
        <v>7043</v>
      </c>
    </row>
    <row r="335" ht="14.25" customHeight="1">
      <c r="A335" s="28" t="s">
        <v>5357</v>
      </c>
      <c r="B335" s="29" t="s">
        <v>5358</v>
      </c>
      <c r="C335" s="29" t="s">
        <v>7044</v>
      </c>
      <c r="D335" s="30">
        <v>45658.0</v>
      </c>
      <c r="E335" s="30">
        <v>46022.0</v>
      </c>
      <c r="F335" s="31">
        <v>0.0</v>
      </c>
      <c r="G335" s="31">
        <v>1.0</v>
      </c>
      <c r="H335" s="32" t="s">
        <v>7043</v>
      </c>
      <c r="I335" s="30">
        <v>46023.0</v>
      </c>
      <c r="J335" s="30">
        <v>46387.0</v>
      </c>
      <c r="K335" s="31">
        <v>0.0</v>
      </c>
      <c r="L335" s="31">
        <v>1.0</v>
      </c>
      <c r="M335" s="32" t="s">
        <v>7043</v>
      </c>
      <c r="N335" s="30">
        <v>46388.0</v>
      </c>
      <c r="O335" s="30">
        <v>46752.0</v>
      </c>
      <c r="P335" s="31">
        <v>0.0</v>
      </c>
      <c r="Q335" s="31">
        <v>1.0</v>
      </c>
      <c r="R335" s="32" t="s">
        <v>7043</v>
      </c>
      <c r="S335" s="30">
        <v>46753.0</v>
      </c>
      <c r="T335" s="30">
        <v>47118.0</v>
      </c>
      <c r="U335" s="31">
        <v>0.0</v>
      </c>
      <c r="V335" s="31">
        <v>1.0</v>
      </c>
      <c r="W335" s="32" t="s">
        <v>7043</v>
      </c>
      <c r="X335" s="30">
        <v>47119.0</v>
      </c>
      <c r="Y335" s="30">
        <v>47483.0</v>
      </c>
      <c r="Z335" s="31">
        <v>0.0</v>
      </c>
      <c r="AA335" s="31">
        <v>1.0</v>
      </c>
      <c r="AB335" s="32" t="s">
        <v>7043</v>
      </c>
      <c r="AC335" s="30">
        <v>47484.0</v>
      </c>
      <c r="AD335" s="30">
        <v>47848.0</v>
      </c>
      <c r="AE335" s="31">
        <v>0.0</v>
      </c>
      <c r="AF335" s="31">
        <v>1.0</v>
      </c>
      <c r="AG335" s="32" t="s">
        <v>7043</v>
      </c>
    </row>
    <row r="336" ht="14.25" customHeight="1">
      <c r="A336" s="28" t="s">
        <v>5399</v>
      </c>
      <c r="B336" s="29" t="s">
        <v>5400</v>
      </c>
      <c r="C336" s="29" t="s">
        <v>7041</v>
      </c>
      <c r="D336" s="30">
        <v>45658.0</v>
      </c>
      <c r="E336" s="30">
        <v>46022.0</v>
      </c>
      <c r="F336" s="31">
        <v>0.0</v>
      </c>
      <c r="G336" s="31">
        <v>1.0</v>
      </c>
      <c r="H336" s="32" t="s">
        <v>7043</v>
      </c>
      <c r="I336" s="30">
        <v>46023.0</v>
      </c>
      <c r="J336" s="30">
        <v>46387.0</v>
      </c>
      <c r="K336" s="31">
        <v>0.0</v>
      </c>
      <c r="L336" s="31">
        <v>1.0</v>
      </c>
      <c r="M336" s="32" t="s">
        <v>7043</v>
      </c>
      <c r="N336" s="30">
        <v>46388.0</v>
      </c>
      <c r="O336" s="30">
        <v>46752.0</v>
      </c>
      <c r="P336" s="31">
        <v>0.0</v>
      </c>
      <c r="Q336" s="31">
        <v>1.0</v>
      </c>
      <c r="R336" s="32" t="s">
        <v>7043</v>
      </c>
      <c r="S336" s="30">
        <v>46753.0</v>
      </c>
      <c r="T336" s="30">
        <v>47118.0</v>
      </c>
      <c r="U336" s="31">
        <v>0.0</v>
      </c>
      <c r="V336" s="31">
        <v>1.0</v>
      </c>
      <c r="W336" s="32" t="s">
        <v>7043</v>
      </c>
      <c r="X336" s="30">
        <v>47119.0</v>
      </c>
      <c r="Y336" s="30">
        <v>47483.0</v>
      </c>
      <c r="Z336" s="31">
        <v>0.0</v>
      </c>
      <c r="AA336" s="31">
        <v>1.0</v>
      </c>
      <c r="AB336" s="32" t="s">
        <v>7043</v>
      </c>
      <c r="AC336" s="30">
        <v>47484.0</v>
      </c>
      <c r="AD336" s="30">
        <v>47848.0</v>
      </c>
      <c r="AE336" s="31">
        <v>0.0</v>
      </c>
      <c r="AF336" s="31">
        <v>1.0</v>
      </c>
      <c r="AG336" s="32" t="s">
        <v>7043</v>
      </c>
    </row>
    <row r="337" ht="14.25" customHeight="1">
      <c r="A337" s="28" t="s">
        <v>5454</v>
      </c>
      <c r="B337" s="29" t="s">
        <v>5455</v>
      </c>
      <c r="C337" s="29" t="s">
        <v>7041</v>
      </c>
      <c r="D337" s="30">
        <v>45658.0</v>
      </c>
      <c r="E337" s="30">
        <v>46022.0</v>
      </c>
      <c r="F337" s="31">
        <v>0.0</v>
      </c>
      <c r="G337" s="31">
        <v>1.0</v>
      </c>
      <c r="H337" s="32" t="s">
        <v>7043</v>
      </c>
      <c r="I337" s="30">
        <v>46023.0</v>
      </c>
      <c r="J337" s="30">
        <v>46387.0</v>
      </c>
      <c r="K337" s="31">
        <v>0.0</v>
      </c>
      <c r="L337" s="31">
        <v>1.0</v>
      </c>
      <c r="M337" s="32" t="s">
        <v>7043</v>
      </c>
      <c r="N337" s="30">
        <v>46388.0</v>
      </c>
      <c r="O337" s="30">
        <v>46752.0</v>
      </c>
      <c r="P337" s="31">
        <v>0.0</v>
      </c>
      <c r="Q337" s="31">
        <v>1.0</v>
      </c>
      <c r="R337" s="32" t="s">
        <v>7043</v>
      </c>
      <c r="S337" s="30">
        <v>46753.0</v>
      </c>
      <c r="T337" s="30">
        <v>47118.0</v>
      </c>
      <c r="U337" s="31">
        <v>0.0</v>
      </c>
      <c r="V337" s="31">
        <v>1.0</v>
      </c>
      <c r="W337" s="32" t="s">
        <v>7043</v>
      </c>
      <c r="X337" s="30">
        <v>47119.0</v>
      </c>
      <c r="Y337" s="30">
        <v>47483.0</v>
      </c>
      <c r="Z337" s="31">
        <v>0.0</v>
      </c>
      <c r="AA337" s="31">
        <v>1.0</v>
      </c>
      <c r="AB337" s="32" t="s">
        <v>7043</v>
      </c>
      <c r="AC337" s="30">
        <v>47484.0</v>
      </c>
      <c r="AD337" s="30">
        <v>47848.0</v>
      </c>
      <c r="AE337" s="31">
        <v>0.0</v>
      </c>
      <c r="AF337" s="31">
        <v>1.0</v>
      </c>
      <c r="AG337" s="32" t="s">
        <v>7043</v>
      </c>
    </row>
    <row r="338" ht="14.25" customHeight="1">
      <c r="A338" s="28" t="s">
        <v>5504</v>
      </c>
      <c r="B338" s="29" t="s">
        <v>5505</v>
      </c>
      <c r="C338" s="29" t="s">
        <v>7041</v>
      </c>
      <c r="D338" s="30">
        <v>45658.0</v>
      </c>
      <c r="E338" s="30">
        <v>46022.0</v>
      </c>
      <c r="F338" s="31">
        <v>0.0</v>
      </c>
      <c r="G338" s="31">
        <v>1.0</v>
      </c>
      <c r="H338" s="32" t="s">
        <v>7043</v>
      </c>
      <c r="I338" s="30">
        <v>46023.0</v>
      </c>
      <c r="J338" s="30">
        <v>46387.0</v>
      </c>
      <c r="K338" s="31">
        <v>0.0</v>
      </c>
      <c r="L338" s="31">
        <v>1.0</v>
      </c>
      <c r="M338" s="32" t="s">
        <v>7043</v>
      </c>
      <c r="N338" s="30">
        <v>46388.0</v>
      </c>
      <c r="O338" s="30">
        <v>46752.0</v>
      </c>
      <c r="P338" s="31">
        <v>0.0</v>
      </c>
      <c r="Q338" s="31">
        <v>1.0</v>
      </c>
      <c r="R338" s="32" t="s">
        <v>7043</v>
      </c>
      <c r="S338" s="30">
        <v>46753.0</v>
      </c>
      <c r="T338" s="30">
        <v>47118.0</v>
      </c>
      <c r="U338" s="31">
        <v>0.0</v>
      </c>
      <c r="V338" s="31">
        <v>1.0</v>
      </c>
      <c r="W338" s="32" t="s">
        <v>7043</v>
      </c>
      <c r="X338" s="30">
        <v>47119.0</v>
      </c>
      <c r="Y338" s="30">
        <v>47483.0</v>
      </c>
      <c r="Z338" s="31">
        <v>0.0</v>
      </c>
      <c r="AA338" s="31">
        <v>1.0</v>
      </c>
      <c r="AB338" s="32" t="s">
        <v>7043</v>
      </c>
      <c r="AC338" s="30">
        <v>47484.0</v>
      </c>
      <c r="AD338" s="30">
        <v>47848.0</v>
      </c>
      <c r="AE338" s="31">
        <v>0.0</v>
      </c>
      <c r="AF338" s="31">
        <v>1.0</v>
      </c>
      <c r="AG338" s="32" t="s">
        <v>7043</v>
      </c>
    </row>
    <row r="339" ht="14.25" customHeight="1">
      <c r="A339" s="28" t="s">
        <v>5569</v>
      </c>
      <c r="B339" s="29" t="s">
        <v>5570</v>
      </c>
      <c r="C339" s="29" t="s">
        <v>7041</v>
      </c>
      <c r="D339" s="30">
        <v>45658.0</v>
      </c>
      <c r="E339" s="30">
        <v>46022.0</v>
      </c>
      <c r="F339" s="31">
        <v>0.0</v>
      </c>
      <c r="G339" s="31">
        <v>1.0</v>
      </c>
      <c r="H339" s="32" t="s">
        <v>7043</v>
      </c>
      <c r="I339" s="30">
        <v>46023.0</v>
      </c>
      <c r="J339" s="30">
        <v>46387.0</v>
      </c>
      <c r="K339" s="31">
        <v>0.0</v>
      </c>
      <c r="L339" s="31">
        <v>1.0</v>
      </c>
      <c r="M339" s="32" t="s">
        <v>7043</v>
      </c>
      <c r="N339" s="30">
        <v>46388.0</v>
      </c>
      <c r="O339" s="30">
        <v>46752.0</v>
      </c>
      <c r="P339" s="31">
        <v>0.0</v>
      </c>
      <c r="Q339" s="31">
        <v>1.0</v>
      </c>
      <c r="R339" s="32" t="s">
        <v>7043</v>
      </c>
      <c r="S339" s="30">
        <v>46753.0</v>
      </c>
      <c r="T339" s="30">
        <v>47118.0</v>
      </c>
      <c r="U339" s="31">
        <v>0.0</v>
      </c>
      <c r="V339" s="31">
        <v>1.0</v>
      </c>
      <c r="W339" s="32" t="s">
        <v>7043</v>
      </c>
      <c r="X339" s="30">
        <v>47119.0</v>
      </c>
      <c r="Y339" s="30">
        <v>47483.0</v>
      </c>
      <c r="Z339" s="31">
        <v>0.0</v>
      </c>
      <c r="AA339" s="31">
        <v>1.0</v>
      </c>
      <c r="AB339" s="32" t="s">
        <v>7043</v>
      </c>
      <c r="AC339" s="30">
        <v>47484.0</v>
      </c>
      <c r="AD339" s="30">
        <v>47848.0</v>
      </c>
      <c r="AE339" s="31">
        <v>0.0</v>
      </c>
      <c r="AF339" s="31">
        <v>1.0</v>
      </c>
      <c r="AG339" s="32" t="s">
        <v>7043</v>
      </c>
    </row>
    <row r="340" ht="14.25" customHeight="1">
      <c r="A340" s="28" t="s">
        <v>5616</v>
      </c>
      <c r="B340" s="29" t="s">
        <v>5617</v>
      </c>
      <c r="C340" s="29" t="s">
        <v>7041</v>
      </c>
      <c r="D340" s="30">
        <v>45658.0</v>
      </c>
      <c r="E340" s="30">
        <v>46022.0</v>
      </c>
      <c r="F340" s="31">
        <v>0.0</v>
      </c>
      <c r="G340" s="31">
        <v>1.0</v>
      </c>
      <c r="H340" s="32" t="s">
        <v>7043</v>
      </c>
      <c r="I340" s="30">
        <v>46023.0</v>
      </c>
      <c r="J340" s="30">
        <v>46387.0</v>
      </c>
      <c r="K340" s="31">
        <v>0.0</v>
      </c>
      <c r="L340" s="31">
        <v>1.0</v>
      </c>
      <c r="M340" s="32" t="s">
        <v>7043</v>
      </c>
      <c r="N340" s="30">
        <v>46388.0</v>
      </c>
      <c r="O340" s="30">
        <v>46752.0</v>
      </c>
      <c r="P340" s="31">
        <v>0.0</v>
      </c>
      <c r="Q340" s="31">
        <v>1.0</v>
      </c>
      <c r="R340" s="32" t="s">
        <v>7043</v>
      </c>
      <c r="S340" s="30">
        <v>46753.0</v>
      </c>
      <c r="T340" s="30">
        <v>47118.0</v>
      </c>
      <c r="U340" s="31">
        <v>0.0</v>
      </c>
      <c r="V340" s="31">
        <v>1.0</v>
      </c>
      <c r="W340" s="32" t="s">
        <v>7043</v>
      </c>
      <c r="X340" s="30">
        <v>47119.0</v>
      </c>
      <c r="Y340" s="30">
        <v>47483.0</v>
      </c>
      <c r="Z340" s="31">
        <v>0.0</v>
      </c>
      <c r="AA340" s="31">
        <v>1.0</v>
      </c>
      <c r="AB340" s="32" t="s">
        <v>7043</v>
      </c>
      <c r="AC340" s="30">
        <v>47484.0</v>
      </c>
      <c r="AD340" s="30">
        <v>47848.0</v>
      </c>
      <c r="AE340" s="31">
        <v>0.0</v>
      </c>
      <c r="AF340" s="31">
        <v>1.0</v>
      </c>
      <c r="AG340" s="32" t="s">
        <v>7043</v>
      </c>
    </row>
    <row r="341" ht="14.25" customHeight="1">
      <c r="A341" s="28" t="s">
        <v>1884</v>
      </c>
      <c r="B341" s="29" t="s">
        <v>1885</v>
      </c>
      <c r="C341" s="29" t="s">
        <v>7041</v>
      </c>
      <c r="D341" s="30">
        <v>45658.0</v>
      </c>
      <c r="E341" s="30">
        <v>46022.0</v>
      </c>
      <c r="F341" s="31">
        <v>0.0</v>
      </c>
      <c r="G341" s="31">
        <v>1.0</v>
      </c>
      <c r="H341" s="32" t="s">
        <v>7043</v>
      </c>
      <c r="I341" s="30">
        <v>46023.0</v>
      </c>
      <c r="J341" s="30">
        <v>46387.0</v>
      </c>
      <c r="K341" s="31">
        <v>0.0</v>
      </c>
      <c r="L341" s="31">
        <v>1.0</v>
      </c>
      <c r="M341" s="32" t="s">
        <v>7043</v>
      </c>
      <c r="N341" s="30">
        <v>46388.0</v>
      </c>
      <c r="O341" s="30">
        <v>46752.0</v>
      </c>
      <c r="P341" s="31">
        <v>0.0</v>
      </c>
      <c r="Q341" s="31">
        <v>1.0</v>
      </c>
      <c r="R341" s="32" t="s">
        <v>7043</v>
      </c>
      <c r="S341" s="30">
        <v>46753.0</v>
      </c>
      <c r="T341" s="30">
        <v>47118.0</v>
      </c>
      <c r="U341" s="31">
        <v>0.0</v>
      </c>
      <c r="V341" s="31">
        <v>1.0</v>
      </c>
      <c r="W341" s="32" t="s">
        <v>7043</v>
      </c>
      <c r="X341" s="30">
        <v>47119.0</v>
      </c>
      <c r="Y341" s="30">
        <v>47483.0</v>
      </c>
      <c r="Z341" s="31">
        <v>0.0</v>
      </c>
      <c r="AA341" s="31">
        <v>1.0</v>
      </c>
      <c r="AB341" s="32" t="s">
        <v>7043</v>
      </c>
      <c r="AC341" s="30">
        <v>47484.0</v>
      </c>
      <c r="AD341" s="30">
        <v>47848.0</v>
      </c>
      <c r="AE341" s="31">
        <v>0.0</v>
      </c>
      <c r="AF341" s="31">
        <v>1.0</v>
      </c>
      <c r="AG341" s="32" t="s">
        <v>7043</v>
      </c>
    </row>
    <row r="342" ht="14.25" customHeight="1">
      <c r="A342" s="28" t="s">
        <v>5729</v>
      </c>
      <c r="B342" s="29" t="s">
        <v>5730</v>
      </c>
      <c r="C342" s="29" t="s">
        <v>7041</v>
      </c>
      <c r="D342" s="30">
        <v>45658.0</v>
      </c>
      <c r="E342" s="30">
        <v>46022.0</v>
      </c>
      <c r="F342" s="31">
        <v>0.0</v>
      </c>
      <c r="G342" s="31">
        <v>1.0</v>
      </c>
      <c r="H342" s="32" t="s">
        <v>7043</v>
      </c>
      <c r="I342" s="30">
        <v>46023.0</v>
      </c>
      <c r="J342" s="30">
        <v>46387.0</v>
      </c>
      <c r="K342" s="31">
        <v>0.0</v>
      </c>
      <c r="L342" s="31">
        <v>1.0</v>
      </c>
      <c r="M342" s="32" t="s">
        <v>7043</v>
      </c>
      <c r="N342" s="30">
        <v>46388.0</v>
      </c>
      <c r="O342" s="30">
        <v>46752.0</v>
      </c>
      <c r="P342" s="31">
        <v>0.0</v>
      </c>
      <c r="Q342" s="31">
        <v>1.0</v>
      </c>
      <c r="R342" s="32" t="s">
        <v>7043</v>
      </c>
      <c r="S342" s="30">
        <v>46753.0</v>
      </c>
      <c r="T342" s="30">
        <v>47118.0</v>
      </c>
      <c r="U342" s="31">
        <v>0.0</v>
      </c>
      <c r="V342" s="31">
        <v>1.0</v>
      </c>
      <c r="W342" s="32" t="s">
        <v>7043</v>
      </c>
      <c r="X342" s="30">
        <v>47119.0</v>
      </c>
      <c r="Y342" s="30">
        <v>47483.0</v>
      </c>
      <c r="Z342" s="31">
        <v>0.0</v>
      </c>
      <c r="AA342" s="31">
        <v>1.0</v>
      </c>
      <c r="AB342" s="32" t="s">
        <v>7043</v>
      </c>
      <c r="AC342" s="30">
        <v>47484.0</v>
      </c>
      <c r="AD342" s="30">
        <v>47848.0</v>
      </c>
      <c r="AE342" s="31">
        <v>0.0</v>
      </c>
      <c r="AF342" s="31">
        <v>1.0</v>
      </c>
      <c r="AG342" s="32" t="s">
        <v>7043</v>
      </c>
    </row>
    <row r="343" ht="14.25" customHeight="1">
      <c r="A343" s="28" t="s">
        <v>5767</v>
      </c>
      <c r="B343" s="29" t="s">
        <v>5768</v>
      </c>
      <c r="C343" s="29" t="s">
        <v>7041</v>
      </c>
      <c r="D343" s="30">
        <v>45658.0</v>
      </c>
      <c r="E343" s="30">
        <v>46022.0</v>
      </c>
      <c r="F343" s="31">
        <v>0.0</v>
      </c>
      <c r="G343" s="31">
        <v>1.0</v>
      </c>
      <c r="H343" s="32" t="s">
        <v>7043</v>
      </c>
      <c r="I343" s="30">
        <v>46023.0</v>
      </c>
      <c r="J343" s="30">
        <v>46387.0</v>
      </c>
      <c r="K343" s="31">
        <v>0.0</v>
      </c>
      <c r="L343" s="31">
        <v>1.0</v>
      </c>
      <c r="M343" s="32" t="s">
        <v>7043</v>
      </c>
      <c r="N343" s="30">
        <v>46388.0</v>
      </c>
      <c r="O343" s="30">
        <v>46752.0</v>
      </c>
      <c r="P343" s="31">
        <v>0.0</v>
      </c>
      <c r="Q343" s="31">
        <v>1.0</v>
      </c>
      <c r="R343" s="32" t="s">
        <v>7043</v>
      </c>
      <c r="S343" s="30">
        <v>46753.0</v>
      </c>
      <c r="T343" s="30">
        <v>47118.0</v>
      </c>
      <c r="U343" s="31">
        <v>0.0</v>
      </c>
      <c r="V343" s="31">
        <v>1.0</v>
      </c>
      <c r="W343" s="32" t="s">
        <v>7043</v>
      </c>
      <c r="X343" s="30">
        <v>47119.0</v>
      </c>
      <c r="Y343" s="30">
        <v>47483.0</v>
      </c>
      <c r="Z343" s="31">
        <v>0.0</v>
      </c>
      <c r="AA343" s="31">
        <v>1.0</v>
      </c>
      <c r="AB343" s="32" t="s">
        <v>7043</v>
      </c>
      <c r="AC343" s="30">
        <v>47484.0</v>
      </c>
      <c r="AD343" s="30">
        <v>47848.0</v>
      </c>
      <c r="AE343" s="31">
        <v>0.0</v>
      </c>
      <c r="AF343" s="31">
        <v>1.0</v>
      </c>
      <c r="AG343" s="32" t="s">
        <v>7043</v>
      </c>
    </row>
    <row r="344" ht="14.25" customHeight="1">
      <c r="A344" s="28" t="s">
        <v>5783</v>
      </c>
      <c r="B344" s="29" t="s">
        <v>5784</v>
      </c>
      <c r="C344" s="29" t="s">
        <v>7041</v>
      </c>
      <c r="D344" s="30">
        <v>45658.0</v>
      </c>
      <c r="E344" s="30">
        <v>46022.0</v>
      </c>
      <c r="F344" s="31">
        <v>0.0</v>
      </c>
      <c r="G344" s="31">
        <v>1.0</v>
      </c>
      <c r="H344" s="32" t="s">
        <v>7043</v>
      </c>
      <c r="I344" s="30">
        <v>46023.0</v>
      </c>
      <c r="J344" s="30">
        <v>46387.0</v>
      </c>
      <c r="K344" s="31">
        <v>0.0</v>
      </c>
      <c r="L344" s="31">
        <v>1.0</v>
      </c>
      <c r="M344" s="32" t="s">
        <v>7043</v>
      </c>
      <c r="N344" s="30">
        <v>46388.0</v>
      </c>
      <c r="O344" s="30">
        <v>46752.0</v>
      </c>
      <c r="P344" s="31">
        <v>0.0</v>
      </c>
      <c r="Q344" s="31">
        <v>1.0</v>
      </c>
      <c r="R344" s="32" t="s">
        <v>7043</v>
      </c>
      <c r="S344" s="30">
        <v>46753.0</v>
      </c>
      <c r="T344" s="30">
        <v>47118.0</v>
      </c>
      <c r="U344" s="31">
        <v>0.0</v>
      </c>
      <c r="V344" s="31">
        <v>1.0</v>
      </c>
      <c r="W344" s="32" t="s">
        <v>7043</v>
      </c>
      <c r="X344" s="30">
        <v>47119.0</v>
      </c>
      <c r="Y344" s="30">
        <v>47483.0</v>
      </c>
      <c r="Z344" s="31">
        <v>0.0</v>
      </c>
      <c r="AA344" s="31">
        <v>1.0</v>
      </c>
      <c r="AB344" s="32" t="s">
        <v>7043</v>
      </c>
      <c r="AC344" s="30">
        <v>47484.0</v>
      </c>
      <c r="AD344" s="30">
        <v>47848.0</v>
      </c>
      <c r="AE344" s="31">
        <v>0.0</v>
      </c>
      <c r="AF344" s="31">
        <v>1.0</v>
      </c>
      <c r="AG344" s="32" t="s">
        <v>7043</v>
      </c>
    </row>
    <row r="345" ht="14.25" customHeight="1">
      <c r="A345" s="28" t="s">
        <v>5802</v>
      </c>
      <c r="B345" s="29" t="s">
        <v>5803</v>
      </c>
      <c r="C345" s="29" t="s">
        <v>7041</v>
      </c>
      <c r="D345" s="30">
        <v>45658.0</v>
      </c>
      <c r="E345" s="30">
        <v>46022.0</v>
      </c>
      <c r="F345" s="31">
        <v>1.0</v>
      </c>
      <c r="G345" s="31">
        <v>1.0</v>
      </c>
      <c r="H345" s="33" t="s">
        <v>7042</v>
      </c>
      <c r="I345" s="30">
        <v>46023.0</v>
      </c>
      <c r="J345" s="30">
        <v>46387.0</v>
      </c>
      <c r="K345" s="31">
        <v>0.0</v>
      </c>
      <c r="L345" s="31">
        <v>1.0</v>
      </c>
      <c r="M345" s="32" t="s">
        <v>7043</v>
      </c>
      <c r="N345" s="30">
        <v>46388.0</v>
      </c>
      <c r="O345" s="30">
        <v>46752.0</v>
      </c>
      <c r="P345" s="31">
        <v>0.0</v>
      </c>
      <c r="Q345" s="31">
        <v>1.0</v>
      </c>
      <c r="R345" s="32" t="s">
        <v>7043</v>
      </c>
      <c r="S345" s="30">
        <v>46753.0</v>
      </c>
      <c r="T345" s="30">
        <v>47118.0</v>
      </c>
      <c r="U345" s="31">
        <v>0.0</v>
      </c>
      <c r="V345" s="31">
        <v>1.0</v>
      </c>
      <c r="W345" s="32" t="s">
        <v>7043</v>
      </c>
      <c r="X345" s="30">
        <v>47119.0</v>
      </c>
      <c r="Y345" s="30">
        <v>47483.0</v>
      </c>
      <c r="Z345" s="31">
        <v>0.0</v>
      </c>
      <c r="AA345" s="31">
        <v>1.0</v>
      </c>
      <c r="AB345" s="32" t="s">
        <v>7043</v>
      </c>
      <c r="AC345" s="30">
        <v>47484.0</v>
      </c>
      <c r="AD345" s="30">
        <v>47848.0</v>
      </c>
      <c r="AE345" s="31">
        <v>0.0</v>
      </c>
      <c r="AF345" s="31">
        <v>1.0</v>
      </c>
      <c r="AG345" s="32" t="s">
        <v>7043</v>
      </c>
    </row>
    <row r="346" ht="14.25" customHeight="1">
      <c r="A346" s="28" t="s">
        <v>5813</v>
      </c>
      <c r="B346" s="29" t="s">
        <v>5814</v>
      </c>
      <c r="C346" s="29" t="s">
        <v>7044</v>
      </c>
      <c r="D346" s="30">
        <v>45658.0</v>
      </c>
      <c r="E346" s="30">
        <v>46022.0</v>
      </c>
      <c r="F346" s="31">
        <v>0.0</v>
      </c>
      <c r="G346" s="31">
        <v>1.0</v>
      </c>
      <c r="H346" s="32" t="s">
        <v>7043</v>
      </c>
      <c r="I346" s="30">
        <v>46023.0</v>
      </c>
      <c r="J346" s="30">
        <v>46387.0</v>
      </c>
      <c r="K346" s="31">
        <v>0.0</v>
      </c>
      <c r="L346" s="31">
        <v>1.0</v>
      </c>
      <c r="M346" s="32" t="s">
        <v>7043</v>
      </c>
      <c r="N346" s="30">
        <v>46388.0</v>
      </c>
      <c r="O346" s="30">
        <v>46752.0</v>
      </c>
      <c r="P346" s="31">
        <v>0.0</v>
      </c>
      <c r="Q346" s="31">
        <v>1.0</v>
      </c>
      <c r="R346" s="32" t="s">
        <v>7043</v>
      </c>
      <c r="S346" s="30">
        <v>46753.0</v>
      </c>
      <c r="T346" s="30">
        <v>47118.0</v>
      </c>
      <c r="U346" s="31">
        <v>0.0</v>
      </c>
      <c r="V346" s="31">
        <v>1.0</v>
      </c>
      <c r="W346" s="32" t="s">
        <v>7043</v>
      </c>
      <c r="X346" s="30">
        <v>47119.0</v>
      </c>
      <c r="Y346" s="30">
        <v>47483.0</v>
      </c>
      <c r="Z346" s="31">
        <v>0.0</v>
      </c>
      <c r="AA346" s="31">
        <v>1.0</v>
      </c>
      <c r="AB346" s="32" t="s">
        <v>7043</v>
      </c>
      <c r="AC346" s="30">
        <v>47484.0</v>
      </c>
      <c r="AD346" s="30">
        <v>47848.0</v>
      </c>
      <c r="AE346" s="31">
        <v>0.0</v>
      </c>
      <c r="AF346" s="31">
        <v>1.0</v>
      </c>
      <c r="AG346" s="32" t="s">
        <v>7043</v>
      </c>
    </row>
    <row r="347" ht="14.25" customHeight="1">
      <c r="A347" s="28" t="s">
        <v>5838</v>
      </c>
      <c r="B347" s="29" t="s">
        <v>5839</v>
      </c>
      <c r="C347" s="29" t="s">
        <v>7041</v>
      </c>
      <c r="D347" s="30">
        <v>45658.0</v>
      </c>
      <c r="E347" s="30">
        <v>46022.0</v>
      </c>
      <c r="F347" s="31">
        <v>0.0</v>
      </c>
      <c r="G347" s="31">
        <v>1.0</v>
      </c>
      <c r="H347" s="32" t="s">
        <v>7043</v>
      </c>
      <c r="I347" s="30">
        <v>46023.0</v>
      </c>
      <c r="J347" s="30">
        <v>46387.0</v>
      </c>
      <c r="K347" s="31">
        <v>0.0</v>
      </c>
      <c r="L347" s="31">
        <v>1.0</v>
      </c>
      <c r="M347" s="32" t="s">
        <v>7043</v>
      </c>
      <c r="N347" s="30">
        <v>46388.0</v>
      </c>
      <c r="O347" s="30">
        <v>46752.0</v>
      </c>
      <c r="P347" s="31">
        <v>0.0</v>
      </c>
      <c r="Q347" s="31">
        <v>1.0</v>
      </c>
      <c r="R347" s="32" t="s">
        <v>7043</v>
      </c>
      <c r="S347" s="30">
        <v>46753.0</v>
      </c>
      <c r="T347" s="30">
        <v>47118.0</v>
      </c>
      <c r="U347" s="31">
        <v>0.0</v>
      </c>
      <c r="V347" s="31">
        <v>1.0</v>
      </c>
      <c r="W347" s="32" t="s">
        <v>7043</v>
      </c>
      <c r="X347" s="30">
        <v>47119.0</v>
      </c>
      <c r="Y347" s="30">
        <v>47483.0</v>
      </c>
      <c r="Z347" s="31">
        <v>0.0</v>
      </c>
      <c r="AA347" s="31">
        <v>1.0</v>
      </c>
      <c r="AB347" s="32" t="s">
        <v>7043</v>
      </c>
      <c r="AC347" s="30">
        <v>47484.0</v>
      </c>
      <c r="AD347" s="30">
        <v>47848.0</v>
      </c>
      <c r="AE347" s="31">
        <v>0.0</v>
      </c>
      <c r="AF347" s="31">
        <v>1.0</v>
      </c>
      <c r="AG347" s="32" t="s">
        <v>7043</v>
      </c>
    </row>
    <row r="348" ht="14.25" customHeight="1">
      <c r="A348" s="28" t="s">
        <v>5880</v>
      </c>
      <c r="B348" s="29" t="s">
        <v>5881</v>
      </c>
      <c r="C348" s="29" t="s">
        <v>7041</v>
      </c>
      <c r="D348" s="30">
        <v>45658.0</v>
      </c>
      <c r="E348" s="30">
        <v>46022.0</v>
      </c>
      <c r="F348" s="31">
        <v>1.0</v>
      </c>
      <c r="G348" s="31">
        <v>1.0</v>
      </c>
      <c r="H348" s="33" t="s">
        <v>7042</v>
      </c>
      <c r="I348" s="30">
        <v>46023.0</v>
      </c>
      <c r="J348" s="30">
        <v>46387.0</v>
      </c>
      <c r="K348" s="31">
        <v>0.0</v>
      </c>
      <c r="L348" s="31">
        <v>1.0</v>
      </c>
      <c r="M348" s="32" t="s">
        <v>7043</v>
      </c>
      <c r="N348" s="30">
        <v>46388.0</v>
      </c>
      <c r="O348" s="30">
        <v>46752.0</v>
      </c>
      <c r="P348" s="31">
        <v>0.0</v>
      </c>
      <c r="Q348" s="31">
        <v>1.0</v>
      </c>
      <c r="R348" s="32" t="s">
        <v>7043</v>
      </c>
      <c r="S348" s="30">
        <v>46753.0</v>
      </c>
      <c r="T348" s="30">
        <v>47118.0</v>
      </c>
      <c r="U348" s="31">
        <v>0.0</v>
      </c>
      <c r="V348" s="31">
        <v>1.0</v>
      </c>
      <c r="W348" s="32" t="s">
        <v>7043</v>
      </c>
      <c r="X348" s="30">
        <v>47119.0</v>
      </c>
      <c r="Y348" s="30">
        <v>47483.0</v>
      </c>
      <c r="Z348" s="31">
        <v>0.0</v>
      </c>
      <c r="AA348" s="31">
        <v>1.0</v>
      </c>
      <c r="AB348" s="32" t="s">
        <v>7043</v>
      </c>
      <c r="AC348" s="30">
        <v>47484.0</v>
      </c>
      <c r="AD348" s="30">
        <v>47848.0</v>
      </c>
      <c r="AE348" s="31">
        <v>0.0</v>
      </c>
      <c r="AF348" s="31">
        <v>1.0</v>
      </c>
      <c r="AG348" s="32" t="s">
        <v>7043</v>
      </c>
    </row>
    <row r="349" ht="14.25" customHeight="1">
      <c r="A349" s="28" t="s">
        <v>5893</v>
      </c>
      <c r="B349" s="29" t="s">
        <v>5894</v>
      </c>
      <c r="C349" s="29" t="s">
        <v>7041</v>
      </c>
      <c r="D349" s="30">
        <v>45658.0</v>
      </c>
      <c r="E349" s="30">
        <v>46022.0</v>
      </c>
      <c r="F349" s="31">
        <v>0.0</v>
      </c>
      <c r="G349" s="31">
        <v>1.0</v>
      </c>
      <c r="H349" s="32" t="s">
        <v>7043</v>
      </c>
      <c r="I349" s="30">
        <v>46023.0</v>
      </c>
      <c r="J349" s="30">
        <v>46387.0</v>
      </c>
      <c r="K349" s="31">
        <v>0.0</v>
      </c>
      <c r="L349" s="31">
        <v>1.0</v>
      </c>
      <c r="M349" s="32" t="s">
        <v>7043</v>
      </c>
      <c r="N349" s="30">
        <v>46388.0</v>
      </c>
      <c r="O349" s="30">
        <v>46752.0</v>
      </c>
      <c r="P349" s="31">
        <v>0.0</v>
      </c>
      <c r="Q349" s="31">
        <v>1.0</v>
      </c>
      <c r="R349" s="32" t="s">
        <v>7043</v>
      </c>
      <c r="S349" s="30">
        <v>46753.0</v>
      </c>
      <c r="T349" s="30">
        <v>47118.0</v>
      </c>
      <c r="U349" s="31">
        <v>0.0</v>
      </c>
      <c r="V349" s="31">
        <v>1.0</v>
      </c>
      <c r="W349" s="32" t="s">
        <v>7043</v>
      </c>
      <c r="X349" s="30">
        <v>47119.0</v>
      </c>
      <c r="Y349" s="30">
        <v>47483.0</v>
      </c>
      <c r="Z349" s="31">
        <v>0.0</v>
      </c>
      <c r="AA349" s="31">
        <v>1.0</v>
      </c>
      <c r="AB349" s="32" t="s">
        <v>7043</v>
      </c>
      <c r="AC349" s="30">
        <v>47484.0</v>
      </c>
      <c r="AD349" s="30">
        <v>47848.0</v>
      </c>
      <c r="AE349" s="31">
        <v>0.0</v>
      </c>
      <c r="AF349" s="31">
        <v>1.0</v>
      </c>
      <c r="AG349" s="32" t="s">
        <v>7043</v>
      </c>
    </row>
    <row r="350" ht="14.25" customHeight="1">
      <c r="A350" s="28" t="s">
        <v>6006</v>
      </c>
      <c r="B350" s="29" t="s">
        <v>6007</v>
      </c>
      <c r="C350" s="29" t="s">
        <v>7041</v>
      </c>
      <c r="D350" s="30">
        <v>45658.0</v>
      </c>
      <c r="E350" s="30">
        <v>46022.0</v>
      </c>
      <c r="F350" s="31">
        <v>0.0</v>
      </c>
      <c r="G350" s="31">
        <v>1.0</v>
      </c>
      <c r="H350" s="32" t="s">
        <v>7043</v>
      </c>
      <c r="I350" s="30">
        <v>46023.0</v>
      </c>
      <c r="J350" s="30">
        <v>46387.0</v>
      </c>
      <c r="K350" s="31">
        <v>0.0</v>
      </c>
      <c r="L350" s="31">
        <v>1.0</v>
      </c>
      <c r="M350" s="32" t="s">
        <v>7043</v>
      </c>
      <c r="N350" s="30">
        <v>46388.0</v>
      </c>
      <c r="O350" s="30">
        <v>46752.0</v>
      </c>
      <c r="P350" s="31">
        <v>0.0</v>
      </c>
      <c r="Q350" s="31">
        <v>1.0</v>
      </c>
      <c r="R350" s="32" t="s">
        <v>7043</v>
      </c>
      <c r="S350" s="30">
        <v>46753.0</v>
      </c>
      <c r="T350" s="30">
        <v>47118.0</v>
      </c>
      <c r="U350" s="31">
        <v>0.0</v>
      </c>
      <c r="V350" s="31">
        <v>1.0</v>
      </c>
      <c r="W350" s="32" t="s">
        <v>7043</v>
      </c>
      <c r="X350" s="30">
        <v>47119.0</v>
      </c>
      <c r="Y350" s="30">
        <v>47483.0</v>
      </c>
      <c r="Z350" s="31">
        <v>0.0</v>
      </c>
      <c r="AA350" s="31">
        <v>1.0</v>
      </c>
      <c r="AB350" s="32" t="s">
        <v>7043</v>
      </c>
      <c r="AC350" s="30">
        <v>47484.0</v>
      </c>
      <c r="AD350" s="30">
        <v>47848.0</v>
      </c>
      <c r="AE350" s="31">
        <v>0.0</v>
      </c>
      <c r="AF350" s="31">
        <v>1.0</v>
      </c>
      <c r="AG350" s="32" t="s">
        <v>7043</v>
      </c>
    </row>
    <row r="351" ht="14.25" customHeight="1">
      <c r="A351" s="28" t="s">
        <v>6035</v>
      </c>
      <c r="B351" s="29" t="s">
        <v>6036</v>
      </c>
      <c r="C351" s="29" t="s">
        <v>7041</v>
      </c>
      <c r="D351" s="30">
        <v>45658.0</v>
      </c>
      <c r="E351" s="30">
        <v>46022.0</v>
      </c>
      <c r="F351" s="31">
        <v>0.0</v>
      </c>
      <c r="G351" s="31">
        <v>1.0</v>
      </c>
      <c r="H351" s="32" t="s">
        <v>7043</v>
      </c>
      <c r="I351" s="30">
        <v>46023.0</v>
      </c>
      <c r="J351" s="30">
        <v>46387.0</v>
      </c>
      <c r="K351" s="31">
        <v>0.0</v>
      </c>
      <c r="L351" s="31">
        <v>1.0</v>
      </c>
      <c r="M351" s="32" t="s">
        <v>7043</v>
      </c>
      <c r="N351" s="30">
        <v>46388.0</v>
      </c>
      <c r="O351" s="30">
        <v>46752.0</v>
      </c>
      <c r="P351" s="31">
        <v>0.0</v>
      </c>
      <c r="Q351" s="31">
        <v>1.0</v>
      </c>
      <c r="R351" s="32" t="s">
        <v>7043</v>
      </c>
      <c r="S351" s="30">
        <v>46753.0</v>
      </c>
      <c r="T351" s="30">
        <v>47118.0</v>
      </c>
      <c r="U351" s="31">
        <v>0.0</v>
      </c>
      <c r="V351" s="31">
        <v>1.0</v>
      </c>
      <c r="W351" s="32" t="s">
        <v>7043</v>
      </c>
      <c r="X351" s="30">
        <v>47119.0</v>
      </c>
      <c r="Y351" s="30">
        <v>47483.0</v>
      </c>
      <c r="Z351" s="31">
        <v>0.0</v>
      </c>
      <c r="AA351" s="31">
        <v>1.0</v>
      </c>
      <c r="AB351" s="32" t="s">
        <v>7043</v>
      </c>
      <c r="AC351" s="30">
        <v>47484.0</v>
      </c>
      <c r="AD351" s="30">
        <v>47848.0</v>
      </c>
      <c r="AE351" s="31">
        <v>0.0</v>
      </c>
      <c r="AF351" s="31">
        <v>1.0</v>
      </c>
      <c r="AG351" s="32" t="s">
        <v>7043</v>
      </c>
    </row>
    <row r="352" ht="14.25" customHeight="1">
      <c r="A352" s="28" t="s">
        <v>6068</v>
      </c>
      <c r="B352" s="29" t="s">
        <v>6069</v>
      </c>
      <c r="C352" s="29" t="s">
        <v>7041</v>
      </c>
      <c r="D352" s="30">
        <v>45658.0</v>
      </c>
      <c r="E352" s="30">
        <v>46022.0</v>
      </c>
      <c r="F352" s="31">
        <v>0.0</v>
      </c>
      <c r="G352" s="31">
        <v>1.0</v>
      </c>
      <c r="H352" s="32" t="s">
        <v>7043</v>
      </c>
      <c r="I352" s="30">
        <v>46023.0</v>
      </c>
      <c r="J352" s="30">
        <v>46387.0</v>
      </c>
      <c r="K352" s="31">
        <v>0.0</v>
      </c>
      <c r="L352" s="31">
        <v>1.0</v>
      </c>
      <c r="M352" s="32" t="s">
        <v>7043</v>
      </c>
      <c r="N352" s="30">
        <v>46388.0</v>
      </c>
      <c r="O352" s="30">
        <v>46752.0</v>
      </c>
      <c r="P352" s="31">
        <v>0.0</v>
      </c>
      <c r="Q352" s="31">
        <v>1.0</v>
      </c>
      <c r="R352" s="32" t="s">
        <v>7043</v>
      </c>
      <c r="S352" s="30">
        <v>46753.0</v>
      </c>
      <c r="T352" s="30">
        <v>47118.0</v>
      </c>
      <c r="U352" s="31">
        <v>0.0</v>
      </c>
      <c r="V352" s="31">
        <v>1.0</v>
      </c>
      <c r="W352" s="32" t="s">
        <v>7043</v>
      </c>
      <c r="X352" s="30">
        <v>47119.0</v>
      </c>
      <c r="Y352" s="30">
        <v>47483.0</v>
      </c>
      <c r="Z352" s="31">
        <v>0.0</v>
      </c>
      <c r="AA352" s="31">
        <v>1.0</v>
      </c>
      <c r="AB352" s="32" t="s">
        <v>7043</v>
      </c>
      <c r="AC352" s="30">
        <v>47484.0</v>
      </c>
      <c r="AD352" s="30">
        <v>47848.0</v>
      </c>
      <c r="AE352" s="31">
        <v>0.0</v>
      </c>
      <c r="AF352" s="31">
        <v>1.0</v>
      </c>
      <c r="AG352" s="32" t="s">
        <v>7043</v>
      </c>
    </row>
    <row r="353" ht="14.25" customHeight="1">
      <c r="A353" s="28" t="s">
        <v>6125</v>
      </c>
      <c r="B353" s="29" t="s">
        <v>6126</v>
      </c>
      <c r="C353" s="29" t="s">
        <v>7041</v>
      </c>
      <c r="D353" s="30">
        <v>45658.0</v>
      </c>
      <c r="E353" s="30">
        <v>46022.0</v>
      </c>
      <c r="F353" s="31">
        <v>0.0</v>
      </c>
      <c r="G353" s="31">
        <v>1.0</v>
      </c>
      <c r="H353" s="32" t="s">
        <v>7043</v>
      </c>
      <c r="I353" s="30">
        <v>46023.0</v>
      </c>
      <c r="J353" s="30">
        <v>46387.0</v>
      </c>
      <c r="K353" s="31">
        <v>0.0</v>
      </c>
      <c r="L353" s="31">
        <v>1.0</v>
      </c>
      <c r="M353" s="32" t="s">
        <v>7043</v>
      </c>
      <c r="N353" s="30">
        <v>46388.0</v>
      </c>
      <c r="O353" s="30">
        <v>46752.0</v>
      </c>
      <c r="P353" s="31">
        <v>0.0</v>
      </c>
      <c r="Q353" s="31">
        <v>1.0</v>
      </c>
      <c r="R353" s="32" t="s">
        <v>7043</v>
      </c>
      <c r="S353" s="30">
        <v>46753.0</v>
      </c>
      <c r="T353" s="30">
        <v>47118.0</v>
      </c>
      <c r="U353" s="31">
        <v>0.0</v>
      </c>
      <c r="V353" s="31">
        <v>1.0</v>
      </c>
      <c r="W353" s="32" t="s">
        <v>7043</v>
      </c>
      <c r="X353" s="30">
        <v>47119.0</v>
      </c>
      <c r="Y353" s="30">
        <v>47483.0</v>
      </c>
      <c r="Z353" s="31">
        <v>0.0</v>
      </c>
      <c r="AA353" s="31">
        <v>1.0</v>
      </c>
      <c r="AB353" s="32" t="s">
        <v>7043</v>
      </c>
      <c r="AC353" s="30">
        <v>47484.0</v>
      </c>
      <c r="AD353" s="30">
        <v>47848.0</v>
      </c>
      <c r="AE353" s="31">
        <v>0.0</v>
      </c>
      <c r="AF353" s="31">
        <v>1.0</v>
      </c>
      <c r="AG353" s="32" t="s">
        <v>7043</v>
      </c>
    </row>
    <row r="354" ht="14.25" customHeight="1">
      <c r="A354" s="28" t="s">
        <v>6184</v>
      </c>
      <c r="B354" s="29" t="s">
        <v>6185</v>
      </c>
      <c r="C354" s="29" t="s">
        <v>7041</v>
      </c>
      <c r="D354" s="30">
        <v>45658.0</v>
      </c>
      <c r="E354" s="30">
        <v>46022.0</v>
      </c>
      <c r="F354" s="31">
        <v>1.0</v>
      </c>
      <c r="G354" s="31">
        <v>1.0</v>
      </c>
      <c r="H354" s="33" t="s">
        <v>7042</v>
      </c>
      <c r="I354" s="30">
        <v>46023.0</v>
      </c>
      <c r="J354" s="30">
        <v>46387.0</v>
      </c>
      <c r="K354" s="31">
        <v>0.0</v>
      </c>
      <c r="L354" s="31">
        <v>1.0</v>
      </c>
      <c r="M354" s="32" t="s">
        <v>7043</v>
      </c>
      <c r="N354" s="30">
        <v>46388.0</v>
      </c>
      <c r="O354" s="30">
        <v>46752.0</v>
      </c>
      <c r="P354" s="31">
        <v>0.0</v>
      </c>
      <c r="Q354" s="31">
        <v>1.0</v>
      </c>
      <c r="R354" s="32" t="s">
        <v>7043</v>
      </c>
      <c r="S354" s="30">
        <v>46753.0</v>
      </c>
      <c r="T354" s="30">
        <v>47118.0</v>
      </c>
      <c r="U354" s="31">
        <v>0.0</v>
      </c>
      <c r="V354" s="31">
        <v>1.0</v>
      </c>
      <c r="W354" s="32" t="s">
        <v>7043</v>
      </c>
      <c r="X354" s="30">
        <v>47119.0</v>
      </c>
      <c r="Y354" s="30">
        <v>47483.0</v>
      </c>
      <c r="Z354" s="31">
        <v>0.0</v>
      </c>
      <c r="AA354" s="31">
        <v>1.0</v>
      </c>
      <c r="AB354" s="32" t="s">
        <v>7043</v>
      </c>
      <c r="AC354" s="30">
        <v>47484.0</v>
      </c>
      <c r="AD354" s="30">
        <v>47848.0</v>
      </c>
      <c r="AE354" s="31">
        <v>0.0</v>
      </c>
      <c r="AF354" s="31">
        <v>1.0</v>
      </c>
      <c r="AG354" s="32" t="s">
        <v>7043</v>
      </c>
    </row>
    <row r="355" ht="14.25" customHeight="1">
      <c r="A355" s="28" t="s">
        <v>6251</v>
      </c>
      <c r="B355" s="29" t="s">
        <v>6252</v>
      </c>
      <c r="C355" s="29" t="s">
        <v>7041</v>
      </c>
      <c r="D355" s="30">
        <v>45658.0</v>
      </c>
      <c r="E355" s="30">
        <v>46022.0</v>
      </c>
      <c r="F355" s="31">
        <v>0.0</v>
      </c>
      <c r="G355" s="31">
        <v>1.0</v>
      </c>
      <c r="H355" s="32" t="s">
        <v>7043</v>
      </c>
      <c r="I355" s="30">
        <v>46023.0</v>
      </c>
      <c r="J355" s="30">
        <v>46387.0</v>
      </c>
      <c r="K355" s="31">
        <v>0.0</v>
      </c>
      <c r="L355" s="31">
        <v>1.0</v>
      </c>
      <c r="M355" s="32" t="s">
        <v>7043</v>
      </c>
      <c r="N355" s="30">
        <v>46388.0</v>
      </c>
      <c r="O355" s="30">
        <v>46752.0</v>
      </c>
      <c r="P355" s="31">
        <v>0.0</v>
      </c>
      <c r="Q355" s="31">
        <v>1.0</v>
      </c>
      <c r="R355" s="32" t="s">
        <v>7043</v>
      </c>
      <c r="S355" s="30">
        <v>46753.0</v>
      </c>
      <c r="T355" s="30">
        <v>47118.0</v>
      </c>
      <c r="U355" s="31">
        <v>0.0</v>
      </c>
      <c r="V355" s="31">
        <v>1.0</v>
      </c>
      <c r="W355" s="32" t="s">
        <v>7043</v>
      </c>
      <c r="X355" s="30">
        <v>47119.0</v>
      </c>
      <c r="Y355" s="30">
        <v>47483.0</v>
      </c>
      <c r="Z355" s="31">
        <v>0.0</v>
      </c>
      <c r="AA355" s="31">
        <v>1.0</v>
      </c>
      <c r="AB355" s="32" t="s">
        <v>7043</v>
      </c>
      <c r="AC355" s="30">
        <v>47484.0</v>
      </c>
      <c r="AD355" s="30">
        <v>47848.0</v>
      </c>
      <c r="AE355" s="31">
        <v>0.0</v>
      </c>
      <c r="AF355" s="31">
        <v>1.0</v>
      </c>
      <c r="AG355" s="32" t="s">
        <v>7043</v>
      </c>
    </row>
    <row r="356" ht="14.25" customHeight="1">
      <c r="A356" s="28" t="s">
        <v>6254</v>
      </c>
      <c r="B356" s="29" t="s">
        <v>6255</v>
      </c>
      <c r="C356" s="29" t="s">
        <v>7041</v>
      </c>
      <c r="D356" s="30">
        <v>45658.0</v>
      </c>
      <c r="E356" s="30">
        <v>46022.0</v>
      </c>
      <c r="F356" s="31">
        <v>0.0</v>
      </c>
      <c r="G356" s="31">
        <v>1.0</v>
      </c>
      <c r="H356" s="32" t="s">
        <v>7043</v>
      </c>
      <c r="I356" s="30">
        <v>46023.0</v>
      </c>
      <c r="J356" s="30">
        <v>46387.0</v>
      </c>
      <c r="K356" s="31">
        <v>0.0</v>
      </c>
      <c r="L356" s="31">
        <v>1.0</v>
      </c>
      <c r="M356" s="32" t="s">
        <v>7043</v>
      </c>
      <c r="N356" s="30">
        <v>46388.0</v>
      </c>
      <c r="O356" s="30">
        <v>46752.0</v>
      </c>
      <c r="P356" s="31">
        <v>0.0</v>
      </c>
      <c r="Q356" s="31">
        <v>1.0</v>
      </c>
      <c r="R356" s="32" t="s">
        <v>7043</v>
      </c>
      <c r="S356" s="30">
        <v>46753.0</v>
      </c>
      <c r="T356" s="30">
        <v>47118.0</v>
      </c>
      <c r="U356" s="31">
        <v>0.0</v>
      </c>
      <c r="V356" s="31">
        <v>1.0</v>
      </c>
      <c r="W356" s="32" t="s">
        <v>7043</v>
      </c>
      <c r="X356" s="30">
        <v>47119.0</v>
      </c>
      <c r="Y356" s="30">
        <v>47483.0</v>
      </c>
      <c r="Z356" s="31">
        <v>0.0</v>
      </c>
      <c r="AA356" s="31">
        <v>1.0</v>
      </c>
      <c r="AB356" s="32" t="s">
        <v>7043</v>
      </c>
      <c r="AC356" s="30">
        <v>47484.0</v>
      </c>
      <c r="AD356" s="30">
        <v>47848.0</v>
      </c>
      <c r="AE356" s="31">
        <v>0.0</v>
      </c>
      <c r="AF356" s="31">
        <v>1.0</v>
      </c>
      <c r="AG356" s="32" t="s">
        <v>7043</v>
      </c>
    </row>
    <row r="357" ht="14.25" customHeight="1">
      <c r="A357" s="28" t="s">
        <v>6257</v>
      </c>
      <c r="B357" s="29" t="s">
        <v>6258</v>
      </c>
      <c r="C357" s="29" t="s">
        <v>7041</v>
      </c>
      <c r="D357" s="30">
        <v>45658.0</v>
      </c>
      <c r="E357" s="30">
        <v>46022.0</v>
      </c>
      <c r="F357" s="31">
        <v>0.0</v>
      </c>
      <c r="G357" s="31">
        <v>1.0</v>
      </c>
      <c r="H357" s="32" t="s">
        <v>7043</v>
      </c>
      <c r="I357" s="30">
        <v>46023.0</v>
      </c>
      <c r="J357" s="30">
        <v>46387.0</v>
      </c>
      <c r="K357" s="31">
        <v>0.0</v>
      </c>
      <c r="L357" s="31">
        <v>1.0</v>
      </c>
      <c r="M357" s="32" t="s">
        <v>7043</v>
      </c>
      <c r="N357" s="30">
        <v>46388.0</v>
      </c>
      <c r="O357" s="30">
        <v>46752.0</v>
      </c>
      <c r="P357" s="31">
        <v>0.0</v>
      </c>
      <c r="Q357" s="31">
        <v>1.0</v>
      </c>
      <c r="R357" s="32" t="s">
        <v>7043</v>
      </c>
      <c r="S357" s="30">
        <v>46753.0</v>
      </c>
      <c r="T357" s="30">
        <v>47118.0</v>
      </c>
      <c r="U357" s="31">
        <v>0.0</v>
      </c>
      <c r="V357" s="31">
        <v>1.0</v>
      </c>
      <c r="W357" s="32" t="s">
        <v>7043</v>
      </c>
      <c r="X357" s="30">
        <v>47119.0</v>
      </c>
      <c r="Y357" s="30">
        <v>47483.0</v>
      </c>
      <c r="Z357" s="31">
        <v>0.0</v>
      </c>
      <c r="AA357" s="31">
        <v>1.0</v>
      </c>
      <c r="AB357" s="32" t="s">
        <v>7043</v>
      </c>
      <c r="AC357" s="30">
        <v>47484.0</v>
      </c>
      <c r="AD357" s="30">
        <v>47848.0</v>
      </c>
      <c r="AE357" s="31">
        <v>0.0</v>
      </c>
      <c r="AF357" s="31">
        <v>1.0</v>
      </c>
      <c r="AG357" s="32" t="s">
        <v>7043</v>
      </c>
    </row>
    <row r="358" ht="14.25" customHeight="1">
      <c r="A358" s="28" t="s">
        <v>6264</v>
      </c>
      <c r="B358" s="29" t="s">
        <v>6265</v>
      </c>
      <c r="C358" s="29" t="s">
        <v>7041</v>
      </c>
      <c r="D358" s="30">
        <v>45658.0</v>
      </c>
      <c r="E358" s="30">
        <v>46022.0</v>
      </c>
      <c r="F358" s="31">
        <v>0.0</v>
      </c>
      <c r="G358" s="31">
        <v>1.0</v>
      </c>
      <c r="H358" s="32" t="s">
        <v>7043</v>
      </c>
      <c r="I358" s="30">
        <v>46023.0</v>
      </c>
      <c r="J358" s="30">
        <v>46387.0</v>
      </c>
      <c r="K358" s="31">
        <v>0.0</v>
      </c>
      <c r="L358" s="31">
        <v>1.0</v>
      </c>
      <c r="M358" s="32" t="s">
        <v>7043</v>
      </c>
      <c r="N358" s="30">
        <v>46388.0</v>
      </c>
      <c r="O358" s="30">
        <v>46752.0</v>
      </c>
      <c r="P358" s="31">
        <v>0.0</v>
      </c>
      <c r="Q358" s="31">
        <v>1.0</v>
      </c>
      <c r="R358" s="32" t="s">
        <v>7043</v>
      </c>
      <c r="S358" s="30">
        <v>46753.0</v>
      </c>
      <c r="T358" s="30">
        <v>47118.0</v>
      </c>
      <c r="U358" s="31">
        <v>0.0</v>
      </c>
      <c r="V358" s="31">
        <v>1.0</v>
      </c>
      <c r="W358" s="32" t="s">
        <v>7043</v>
      </c>
      <c r="X358" s="30">
        <v>47119.0</v>
      </c>
      <c r="Y358" s="30">
        <v>47483.0</v>
      </c>
      <c r="Z358" s="31">
        <v>0.0</v>
      </c>
      <c r="AA358" s="31">
        <v>1.0</v>
      </c>
      <c r="AB358" s="32" t="s">
        <v>7043</v>
      </c>
      <c r="AC358" s="30">
        <v>47484.0</v>
      </c>
      <c r="AD358" s="30">
        <v>47848.0</v>
      </c>
      <c r="AE358" s="31">
        <v>0.0</v>
      </c>
      <c r="AF358" s="31">
        <v>1.0</v>
      </c>
      <c r="AG358" s="32" t="s">
        <v>7043</v>
      </c>
    </row>
    <row r="359" ht="14.25" customHeight="1">
      <c r="A359" s="28" t="s">
        <v>6288</v>
      </c>
      <c r="B359" s="29" t="s">
        <v>6289</v>
      </c>
      <c r="C359" s="29" t="s">
        <v>7041</v>
      </c>
      <c r="D359" s="30">
        <v>45658.0</v>
      </c>
      <c r="E359" s="30">
        <v>46022.0</v>
      </c>
      <c r="F359" s="31">
        <v>1.0</v>
      </c>
      <c r="G359" s="31">
        <v>1.0</v>
      </c>
      <c r="H359" s="33" t="s">
        <v>7042</v>
      </c>
      <c r="I359" s="30">
        <v>46023.0</v>
      </c>
      <c r="J359" s="30">
        <v>46387.0</v>
      </c>
      <c r="K359" s="31">
        <v>0.0</v>
      </c>
      <c r="L359" s="31">
        <v>1.0</v>
      </c>
      <c r="M359" s="32" t="s">
        <v>7043</v>
      </c>
      <c r="N359" s="30">
        <v>46388.0</v>
      </c>
      <c r="O359" s="30">
        <v>46752.0</v>
      </c>
      <c r="P359" s="31">
        <v>0.0</v>
      </c>
      <c r="Q359" s="31">
        <v>1.0</v>
      </c>
      <c r="R359" s="32" t="s">
        <v>7043</v>
      </c>
      <c r="S359" s="30">
        <v>46753.0</v>
      </c>
      <c r="T359" s="30">
        <v>47118.0</v>
      </c>
      <c r="U359" s="31">
        <v>0.0</v>
      </c>
      <c r="V359" s="31">
        <v>1.0</v>
      </c>
      <c r="W359" s="32" t="s">
        <v>7043</v>
      </c>
      <c r="X359" s="30">
        <v>47119.0</v>
      </c>
      <c r="Y359" s="30">
        <v>47483.0</v>
      </c>
      <c r="Z359" s="31">
        <v>0.0</v>
      </c>
      <c r="AA359" s="31">
        <v>1.0</v>
      </c>
      <c r="AB359" s="32" t="s">
        <v>7043</v>
      </c>
      <c r="AC359" s="30">
        <v>47484.0</v>
      </c>
      <c r="AD359" s="30">
        <v>47848.0</v>
      </c>
      <c r="AE359" s="31">
        <v>0.0</v>
      </c>
      <c r="AF359" s="31">
        <v>1.0</v>
      </c>
      <c r="AG359" s="32" t="s">
        <v>7043</v>
      </c>
    </row>
    <row r="360" ht="14.25" customHeight="1">
      <c r="A360" s="28" t="s">
        <v>6370</v>
      </c>
      <c r="B360" s="29" t="s">
        <v>6371</v>
      </c>
      <c r="C360" s="29" t="s">
        <v>7041</v>
      </c>
      <c r="D360" s="30">
        <v>45658.0</v>
      </c>
      <c r="E360" s="30">
        <v>46022.0</v>
      </c>
      <c r="F360" s="31">
        <v>1.0</v>
      </c>
      <c r="G360" s="31">
        <v>1.0</v>
      </c>
      <c r="H360" s="33" t="s">
        <v>7042</v>
      </c>
      <c r="I360" s="30">
        <v>46023.0</v>
      </c>
      <c r="J360" s="30">
        <v>46387.0</v>
      </c>
      <c r="K360" s="31">
        <v>0.0</v>
      </c>
      <c r="L360" s="31">
        <v>1.0</v>
      </c>
      <c r="M360" s="32" t="s">
        <v>7043</v>
      </c>
      <c r="N360" s="30">
        <v>46388.0</v>
      </c>
      <c r="O360" s="30">
        <v>46752.0</v>
      </c>
      <c r="P360" s="31">
        <v>0.0</v>
      </c>
      <c r="Q360" s="31">
        <v>1.0</v>
      </c>
      <c r="R360" s="32" t="s">
        <v>7043</v>
      </c>
      <c r="S360" s="30">
        <v>46753.0</v>
      </c>
      <c r="T360" s="30">
        <v>47118.0</v>
      </c>
      <c r="U360" s="31">
        <v>0.0</v>
      </c>
      <c r="V360" s="31">
        <v>1.0</v>
      </c>
      <c r="W360" s="32" t="s">
        <v>7043</v>
      </c>
      <c r="X360" s="30">
        <v>47119.0</v>
      </c>
      <c r="Y360" s="30">
        <v>47483.0</v>
      </c>
      <c r="Z360" s="31">
        <v>0.0</v>
      </c>
      <c r="AA360" s="31">
        <v>1.0</v>
      </c>
      <c r="AB360" s="32" t="s">
        <v>7043</v>
      </c>
      <c r="AC360" s="30">
        <v>47484.0</v>
      </c>
      <c r="AD360" s="30">
        <v>47848.0</v>
      </c>
      <c r="AE360" s="31">
        <v>0.0</v>
      </c>
      <c r="AF360" s="31">
        <v>1.0</v>
      </c>
      <c r="AG360" s="32" t="s">
        <v>7043</v>
      </c>
    </row>
    <row r="361" ht="14.25" customHeight="1">
      <c r="A361" s="28" t="s">
        <v>6425</v>
      </c>
      <c r="B361" s="29" t="s">
        <v>6426</v>
      </c>
      <c r="C361" s="29" t="s">
        <v>7041</v>
      </c>
      <c r="D361" s="30">
        <v>45658.0</v>
      </c>
      <c r="E361" s="30">
        <v>46022.0</v>
      </c>
      <c r="F361" s="31">
        <v>0.0</v>
      </c>
      <c r="G361" s="31">
        <v>1.0</v>
      </c>
      <c r="H361" s="32" t="s">
        <v>7043</v>
      </c>
      <c r="I361" s="30">
        <v>46023.0</v>
      </c>
      <c r="J361" s="30">
        <v>46387.0</v>
      </c>
      <c r="K361" s="31">
        <v>0.0</v>
      </c>
      <c r="L361" s="31">
        <v>1.0</v>
      </c>
      <c r="M361" s="32" t="s">
        <v>7043</v>
      </c>
      <c r="N361" s="30">
        <v>46388.0</v>
      </c>
      <c r="O361" s="30">
        <v>46752.0</v>
      </c>
      <c r="P361" s="31">
        <v>0.0</v>
      </c>
      <c r="Q361" s="31">
        <v>1.0</v>
      </c>
      <c r="R361" s="32" t="s">
        <v>7043</v>
      </c>
      <c r="S361" s="30">
        <v>46753.0</v>
      </c>
      <c r="T361" s="30">
        <v>47118.0</v>
      </c>
      <c r="U361" s="31">
        <v>0.0</v>
      </c>
      <c r="V361" s="31">
        <v>1.0</v>
      </c>
      <c r="W361" s="32" t="s">
        <v>7043</v>
      </c>
      <c r="X361" s="30">
        <v>47119.0</v>
      </c>
      <c r="Y361" s="30">
        <v>47483.0</v>
      </c>
      <c r="Z361" s="31">
        <v>0.0</v>
      </c>
      <c r="AA361" s="31">
        <v>1.0</v>
      </c>
      <c r="AB361" s="32" t="s">
        <v>7043</v>
      </c>
      <c r="AC361" s="30">
        <v>47484.0</v>
      </c>
      <c r="AD361" s="30">
        <v>47848.0</v>
      </c>
      <c r="AE361" s="31">
        <v>0.0</v>
      </c>
      <c r="AF361" s="31">
        <v>1.0</v>
      </c>
      <c r="AG361" s="32" t="s">
        <v>7043</v>
      </c>
    </row>
    <row r="362" ht="14.25" customHeight="1">
      <c r="A362" s="28" t="s">
        <v>6454</v>
      </c>
      <c r="B362" s="29" t="s">
        <v>6455</v>
      </c>
      <c r="C362" s="29" t="s">
        <v>7041</v>
      </c>
      <c r="D362" s="30">
        <v>45658.0</v>
      </c>
      <c r="E362" s="30">
        <v>46022.0</v>
      </c>
      <c r="F362" s="31">
        <v>0.0</v>
      </c>
      <c r="G362" s="31">
        <v>1.0</v>
      </c>
      <c r="H362" s="32" t="s">
        <v>7043</v>
      </c>
      <c r="I362" s="30">
        <v>46023.0</v>
      </c>
      <c r="J362" s="30">
        <v>46387.0</v>
      </c>
      <c r="K362" s="31">
        <v>0.0</v>
      </c>
      <c r="L362" s="31">
        <v>1.0</v>
      </c>
      <c r="M362" s="32" t="s">
        <v>7043</v>
      </c>
      <c r="N362" s="30">
        <v>46388.0</v>
      </c>
      <c r="O362" s="30">
        <v>46752.0</v>
      </c>
      <c r="P362" s="31">
        <v>0.0</v>
      </c>
      <c r="Q362" s="31">
        <v>1.0</v>
      </c>
      <c r="R362" s="32" t="s">
        <v>7043</v>
      </c>
      <c r="S362" s="30">
        <v>46753.0</v>
      </c>
      <c r="T362" s="30">
        <v>47118.0</v>
      </c>
      <c r="U362" s="31">
        <v>0.0</v>
      </c>
      <c r="V362" s="31">
        <v>1.0</v>
      </c>
      <c r="W362" s="32" t="s">
        <v>7043</v>
      </c>
      <c r="X362" s="30">
        <v>47119.0</v>
      </c>
      <c r="Y362" s="30">
        <v>47483.0</v>
      </c>
      <c r="Z362" s="31">
        <v>0.0</v>
      </c>
      <c r="AA362" s="31">
        <v>1.0</v>
      </c>
      <c r="AB362" s="32" t="s">
        <v>7043</v>
      </c>
      <c r="AC362" s="30">
        <v>47484.0</v>
      </c>
      <c r="AD362" s="30">
        <v>47848.0</v>
      </c>
      <c r="AE362" s="31">
        <v>0.0</v>
      </c>
      <c r="AF362" s="31">
        <v>1.0</v>
      </c>
      <c r="AG362" s="32" t="s">
        <v>7043</v>
      </c>
    </row>
    <row r="363" ht="14.25" customHeight="1">
      <c r="A363" s="28" t="s">
        <v>6467</v>
      </c>
      <c r="B363" s="29" t="s">
        <v>6468</v>
      </c>
      <c r="C363" s="29" t="s">
        <v>7041</v>
      </c>
      <c r="D363" s="30">
        <v>45658.0</v>
      </c>
      <c r="E363" s="30">
        <v>46022.0</v>
      </c>
      <c r="F363" s="31">
        <v>0.0</v>
      </c>
      <c r="G363" s="31">
        <v>1.0</v>
      </c>
      <c r="H363" s="32" t="s">
        <v>7043</v>
      </c>
      <c r="I363" s="30">
        <v>46023.0</v>
      </c>
      <c r="J363" s="30">
        <v>46387.0</v>
      </c>
      <c r="K363" s="31">
        <v>0.0</v>
      </c>
      <c r="L363" s="31">
        <v>1.0</v>
      </c>
      <c r="M363" s="32" t="s">
        <v>7043</v>
      </c>
      <c r="N363" s="30">
        <v>46388.0</v>
      </c>
      <c r="O363" s="30">
        <v>46752.0</v>
      </c>
      <c r="P363" s="31">
        <v>0.0</v>
      </c>
      <c r="Q363" s="31">
        <v>1.0</v>
      </c>
      <c r="R363" s="32" t="s">
        <v>7043</v>
      </c>
      <c r="S363" s="30">
        <v>46753.0</v>
      </c>
      <c r="T363" s="30">
        <v>47118.0</v>
      </c>
      <c r="U363" s="31">
        <v>0.0</v>
      </c>
      <c r="V363" s="31">
        <v>1.0</v>
      </c>
      <c r="W363" s="32" t="s">
        <v>7043</v>
      </c>
      <c r="X363" s="30">
        <v>47119.0</v>
      </c>
      <c r="Y363" s="30">
        <v>47483.0</v>
      </c>
      <c r="Z363" s="31">
        <v>0.0</v>
      </c>
      <c r="AA363" s="31">
        <v>1.0</v>
      </c>
      <c r="AB363" s="32" t="s">
        <v>7043</v>
      </c>
      <c r="AC363" s="30">
        <v>47484.0</v>
      </c>
      <c r="AD363" s="30">
        <v>47848.0</v>
      </c>
      <c r="AE363" s="31">
        <v>0.0</v>
      </c>
      <c r="AF363" s="31">
        <v>1.0</v>
      </c>
      <c r="AG363" s="32" t="s">
        <v>7043</v>
      </c>
    </row>
    <row r="364" ht="14.25" customHeight="1">
      <c r="A364" s="28" t="s">
        <v>6486</v>
      </c>
      <c r="B364" s="29" t="s">
        <v>6487</v>
      </c>
      <c r="C364" s="29" t="s">
        <v>7041</v>
      </c>
      <c r="D364" s="30">
        <v>45658.0</v>
      </c>
      <c r="E364" s="30">
        <v>46022.0</v>
      </c>
      <c r="F364" s="31">
        <v>1.0</v>
      </c>
      <c r="G364" s="31">
        <v>1.0</v>
      </c>
      <c r="H364" s="33" t="s">
        <v>7042</v>
      </c>
      <c r="I364" s="30">
        <v>46023.0</v>
      </c>
      <c r="J364" s="30">
        <v>46387.0</v>
      </c>
      <c r="K364" s="31">
        <v>0.0</v>
      </c>
      <c r="L364" s="31">
        <v>1.0</v>
      </c>
      <c r="M364" s="32" t="s">
        <v>7043</v>
      </c>
      <c r="N364" s="30">
        <v>46388.0</v>
      </c>
      <c r="O364" s="30">
        <v>46752.0</v>
      </c>
      <c r="P364" s="31">
        <v>0.0</v>
      </c>
      <c r="Q364" s="31">
        <v>1.0</v>
      </c>
      <c r="R364" s="32" t="s">
        <v>7043</v>
      </c>
      <c r="S364" s="30">
        <v>46753.0</v>
      </c>
      <c r="T364" s="30">
        <v>47118.0</v>
      </c>
      <c r="U364" s="31">
        <v>0.0</v>
      </c>
      <c r="V364" s="31">
        <v>1.0</v>
      </c>
      <c r="W364" s="32" t="s">
        <v>7043</v>
      </c>
      <c r="X364" s="30">
        <v>47119.0</v>
      </c>
      <c r="Y364" s="30">
        <v>47483.0</v>
      </c>
      <c r="Z364" s="31">
        <v>0.0</v>
      </c>
      <c r="AA364" s="31">
        <v>1.0</v>
      </c>
      <c r="AB364" s="32" t="s">
        <v>7043</v>
      </c>
      <c r="AC364" s="30">
        <v>47484.0</v>
      </c>
      <c r="AD364" s="30">
        <v>47848.0</v>
      </c>
      <c r="AE364" s="31">
        <v>0.0</v>
      </c>
      <c r="AF364" s="31">
        <v>1.0</v>
      </c>
      <c r="AG364" s="32" t="s">
        <v>7043</v>
      </c>
    </row>
    <row r="365" ht="14.25" customHeight="1">
      <c r="A365" s="28" t="s">
        <v>6586</v>
      </c>
      <c r="B365" s="29" t="s">
        <v>6587</v>
      </c>
      <c r="C365" s="29" t="s">
        <v>7041</v>
      </c>
      <c r="D365" s="30">
        <v>45658.0</v>
      </c>
      <c r="E365" s="30">
        <v>46022.0</v>
      </c>
      <c r="F365" s="31">
        <v>0.0</v>
      </c>
      <c r="G365" s="31">
        <v>1.0</v>
      </c>
      <c r="H365" s="32" t="s">
        <v>7043</v>
      </c>
      <c r="I365" s="30">
        <v>46023.0</v>
      </c>
      <c r="J365" s="30">
        <v>46387.0</v>
      </c>
      <c r="K365" s="31">
        <v>0.0</v>
      </c>
      <c r="L365" s="31">
        <v>1.0</v>
      </c>
      <c r="M365" s="32" t="s">
        <v>7043</v>
      </c>
      <c r="N365" s="30">
        <v>46388.0</v>
      </c>
      <c r="O365" s="30">
        <v>46752.0</v>
      </c>
      <c r="P365" s="31">
        <v>0.0</v>
      </c>
      <c r="Q365" s="31">
        <v>1.0</v>
      </c>
      <c r="R365" s="32" t="s">
        <v>7043</v>
      </c>
      <c r="S365" s="30">
        <v>46753.0</v>
      </c>
      <c r="T365" s="30">
        <v>47118.0</v>
      </c>
      <c r="U365" s="31">
        <v>0.0</v>
      </c>
      <c r="V365" s="31">
        <v>1.0</v>
      </c>
      <c r="W365" s="32" t="s">
        <v>7043</v>
      </c>
      <c r="X365" s="30">
        <v>47119.0</v>
      </c>
      <c r="Y365" s="30">
        <v>47483.0</v>
      </c>
      <c r="Z365" s="31">
        <v>0.0</v>
      </c>
      <c r="AA365" s="31">
        <v>1.0</v>
      </c>
      <c r="AB365" s="32" t="s">
        <v>7043</v>
      </c>
      <c r="AC365" s="30">
        <v>47484.0</v>
      </c>
      <c r="AD365" s="30">
        <v>47848.0</v>
      </c>
      <c r="AE365" s="31">
        <v>0.0</v>
      </c>
      <c r="AF365" s="31">
        <v>1.0</v>
      </c>
      <c r="AG365" s="32" t="s">
        <v>7043</v>
      </c>
    </row>
    <row r="366" ht="14.25" customHeight="1">
      <c r="A366" s="28" t="s">
        <v>6601</v>
      </c>
      <c r="B366" s="29" t="s">
        <v>6602</v>
      </c>
      <c r="C366" s="29" t="s">
        <v>7041</v>
      </c>
      <c r="D366" s="30">
        <v>45658.0</v>
      </c>
      <c r="E366" s="30">
        <v>46022.0</v>
      </c>
      <c r="F366" s="31">
        <v>1.0</v>
      </c>
      <c r="G366" s="31">
        <v>1.0</v>
      </c>
      <c r="H366" s="33" t="s">
        <v>7042</v>
      </c>
      <c r="I366" s="30">
        <v>46023.0</v>
      </c>
      <c r="J366" s="30">
        <v>46387.0</v>
      </c>
      <c r="K366" s="31">
        <v>0.0</v>
      </c>
      <c r="L366" s="31">
        <v>1.0</v>
      </c>
      <c r="M366" s="32" t="s">
        <v>7043</v>
      </c>
      <c r="N366" s="30">
        <v>46388.0</v>
      </c>
      <c r="O366" s="30">
        <v>46752.0</v>
      </c>
      <c r="P366" s="31">
        <v>0.0</v>
      </c>
      <c r="Q366" s="31">
        <v>1.0</v>
      </c>
      <c r="R366" s="32" t="s">
        <v>7043</v>
      </c>
      <c r="S366" s="30">
        <v>46753.0</v>
      </c>
      <c r="T366" s="30">
        <v>47118.0</v>
      </c>
      <c r="U366" s="31">
        <v>0.0</v>
      </c>
      <c r="V366" s="31">
        <v>1.0</v>
      </c>
      <c r="W366" s="32" t="s">
        <v>7043</v>
      </c>
      <c r="X366" s="30">
        <v>47119.0</v>
      </c>
      <c r="Y366" s="30">
        <v>47483.0</v>
      </c>
      <c r="Z366" s="31">
        <v>0.0</v>
      </c>
      <c r="AA366" s="31">
        <v>1.0</v>
      </c>
      <c r="AB366" s="32" t="s">
        <v>7043</v>
      </c>
      <c r="AC366" s="30">
        <v>47484.0</v>
      </c>
      <c r="AD366" s="30">
        <v>47848.0</v>
      </c>
      <c r="AE366" s="31">
        <v>0.0</v>
      </c>
      <c r="AF366" s="31">
        <v>1.0</v>
      </c>
      <c r="AG366" s="32" t="s">
        <v>7043</v>
      </c>
    </row>
    <row r="367" ht="14.25" customHeight="1">
      <c r="A367" s="28" t="s">
        <v>6669</v>
      </c>
      <c r="B367" s="29" t="s">
        <v>6670</v>
      </c>
      <c r="C367" s="29" t="s">
        <v>7041</v>
      </c>
      <c r="D367" s="30">
        <v>45658.0</v>
      </c>
      <c r="E367" s="30">
        <v>46022.0</v>
      </c>
      <c r="F367" s="31">
        <v>0.0</v>
      </c>
      <c r="G367" s="31">
        <v>1.0</v>
      </c>
      <c r="H367" s="32" t="s">
        <v>7043</v>
      </c>
      <c r="I367" s="30">
        <v>46023.0</v>
      </c>
      <c r="J367" s="30">
        <v>46387.0</v>
      </c>
      <c r="K367" s="31">
        <v>0.0</v>
      </c>
      <c r="L367" s="31">
        <v>1.0</v>
      </c>
      <c r="M367" s="32" t="s">
        <v>7043</v>
      </c>
      <c r="N367" s="30">
        <v>46388.0</v>
      </c>
      <c r="O367" s="30">
        <v>46752.0</v>
      </c>
      <c r="P367" s="31">
        <v>0.0</v>
      </c>
      <c r="Q367" s="31">
        <v>1.0</v>
      </c>
      <c r="R367" s="32" t="s">
        <v>7043</v>
      </c>
      <c r="S367" s="30">
        <v>46753.0</v>
      </c>
      <c r="T367" s="30">
        <v>47118.0</v>
      </c>
      <c r="U367" s="31">
        <v>0.0</v>
      </c>
      <c r="V367" s="31">
        <v>1.0</v>
      </c>
      <c r="W367" s="32" t="s">
        <v>7043</v>
      </c>
      <c r="X367" s="30">
        <v>47119.0</v>
      </c>
      <c r="Y367" s="30">
        <v>47483.0</v>
      </c>
      <c r="Z367" s="31">
        <v>0.0</v>
      </c>
      <c r="AA367" s="31">
        <v>1.0</v>
      </c>
      <c r="AB367" s="32" t="s">
        <v>7043</v>
      </c>
      <c r="AC367" s="30">
        <v>47484.0</v>
      </c>
      <c r="AD367" s="30">
        <v>47848.0</v>
      </c>
      <c r="AE367" s="31">
        <v>0.0</v>
      </c>
      <c r="AF367" s="31">
        <v>1.0</v>
      </c>
      <c r="AG367" s="32" t="s">
        <v>7043</v>
      </c>
    </row>
    <row r="368" ht="14.25" customHeight="1">
      <c r="A368" s="28" t="s">
        <v>6707</v>
      </c>
      <c r="B368" s="29" t="s">
        <v>6708</v>
      </c>
      <c r="C368" s="29" t="s">
        <v>7041</v>
      </c>
      <c r="D368" s="30">
        <v>45658.0</v>
      </c>
      <c r="E368" s="30">
        <v>46022.0</v>
      </c>
      <c r="F368" s="31">
        <v>1.0</v>
      </c>
      <c r="G368" s="31">
        <v>1.0</v>
      </c>
      <c r="H368" s="32" t="s">
        <v>7042</v>
      </c>
      <c r="I368" s="30">
        <v>46023.0</v>
      </c>
      <c r="J368" s="30">
        <v>46387.0</v>
      </c>
      <c r="K368" s="31">
        <v>0.0</v>
      </c>
      <c r="L368" s="31">
        <v>1.0</v>
      </c>
      <c r="M368" s="32" t="s">
        <v>7043</v>
      </c>
      <c r="N368" s="30">
        <v>46388.0</v>
      </c>
      <c r="O368" s="30">
        <v>46752.0</v>
      </c>
      <c r="P368" s="31">
        <v>0.0</v>
      </c>
      <c r="Q368" s="31">
        <v>1.0</v>
      </c>
      <c r="R368" s="32" t="s">
        <v>7043</v>
      </c>
      <c r="S368" s="30">
        <v>46753.0</v>
      </c>
      <c r="T368" s="30">
        <v>47118.0</v>
      </c>
      <c r="U368" s="31">
        <v>0.0</v>
      </c>
      <c r="V368" s="31">
        <v>1.0</v>
      </c>
      <c r="W368" s="32" t="s">
        <v>7043</v>
      </c>
      <c r="X368" s="30">
        <v>47119.0</v>
      </c>
      <c r="Y368" s="30">
        <v>47483.0</v>
      </c>
      <c r="Z368" s="31">
        <v>0.0</v>
      </c>
      <c r="AA368" s="31">
        <v>1.0</v>
      </c>
      <c r="AB368" s="32" t="s">
        <v>7043</v>
      </c>
      <c r="AC368" s="30">
        <v>47484.0</v>
      </c>
      <c r="AD368" s="30">
        <v>47848.0</v>
      </c>
      <c r="AE368" s="31">
        <v>0.0</v>
      </c>
      <c r="AF368" s="31">
        <v>1.0</v>
      </c>
      <c r="AG368" s="32" t="s">
        <v>7043</v>
      </c>
    </row>
    <row r="369" ht="14.25" customHeight="1">
      <c r="A369" s="28" t="s">
        <v>6768</v>
      </c>
      <c r="B369" s="29" t="s">
        <v>6769</v>
      </c>
      <c r="C369" s="29" t="s">
        <v>7041</v>
      </c>
      <c r="D369" s="30">
        <v>45658.0</v>
      </c>
      <c r="E369" s="30">
        <v>46022.0</v>
      </c>
      <c r="F369" s="31">
        <v>1.0</v>
      </c>
      <c r="G369" s="31">
        <v>1.0</v>
      </c>
      <c r="H369" s="33" t="s">
        <v>7042</v>
      </c>
      <c r="I369" s="30">
        <v>46023.0</v>
      </c>
      <c r="J369" s="30">
        <v>46387.0</v>
      </c>
      <c r="K369" s="31">
        <v>0.0</v>
      </c>
      <c r="L369" s="31">
        <v>1.0</v>
      </c>
      <c r="M369" s="32" t="s">
        <v>7043</v>
      </c>
      <c r="N369" s="30">
        <v>46388.0</v>
      </c>
      <c r="O369" s="30">
        <v>46752.0</v>
      </c>
      <c r="P369" s="31">
        <v>0.0</v>
      </c>
      <c r="Q369" s="31">
        <v>1.0</v>
      </c>
      <c r="R369" s="32" t="s">
        <v>7043</v>
      </c>
      <c r="S369" s="30">
        <v>46753.0</v>
      </c>
      <c r="T369" s="30">
        <v>47118.0</v>
      </c>
      <c r="U369" s="31">
        <v>0.0</v>
      </c>
      <c r="V369" s="31">
        <v>1.0</v>
      </c>
      <c r="W369" s="32" t="s">
        <v>7043</v>
      </c>
      <c r="X369" s="30">
        <v>47119.0</v>
      </c>
      <c r="Y369" s="30">
        <v>47483.0</v>
      </c>
      <c r="Z369" s="31">
        <v>0.0</v>
      </c>
      <c r="AA369" s="31">
        <v>1.0</v>
      </c>
      <c r="AB369" s="32" t="s">
        <v>7043</v>
      </c>
      <c r="AC369" s="30">
        <v>47484.0</v>
      </c>
      <c r="AD369" s="30">
        <v>47848.0</v>
      </c>
      <c r="AE369" s="31">
        <v>0.0</v>
      </c>
      <c r="AF369" s="31">
        <v>1.0</v>
      </c>
      <c r="AG369" s="32" t="s">
        <v>7043</v>
      </c>
    </row>
    <row r="370" ht="14.25" customHeight="1">
      <c r="A370" s="28" t="s">
        <v>6835</v>
      </c>
      <c r="B370" s="29" t="s">
        <v>6836</v>
      </c>
      <c r="C370" s="29" t="s">
        <v>7041</v>
      </c>
      <c r="D370" s="30">
        <v>45658.0</v>
      </c>
      <c r="E370" s="30">
        <v>46022.0</v>
      </c>
      <c r="F370" s="31">
        <v>0.0</v>
      </c>
      <c r="G370" s="31">
        <v>1.0</v>
      </c>
      <c r="H370" s="32" t="s">
        <v>7043</v>
      </c>
      <c r="I370" s="30">
        <v>46023.0</v>
      </c>
      <c r="J370" s="30">
        <v>46387.0</v>
      </c>
      <c r="K370" s="31">
        <v>0.0</v>
      </c>
      <c r="L370" s="31">
        <v>1.0</v>
      </c>
      <c r="M370" s="32" t="s">
        <v>7043</v>
      </c>
      <c r="N370" s="30">
        <v>46388.0</v>
      </c>
      <c r="O370" s="30">
        <v>46752.0</v>
      </c>
      <c r="P370" s="31">
        <v>0.0</v>
      </c>
      <c r="Q370" s="31">
        <v>1.0</v>
      </c>
      <c r="R370" s="32" t="s">
        <v>7043</v>
      </c>
      <c r="S370" s="30">
        <v>46753.0</v>
      </c>
      <c r="T370" s="30">
        <v>47118.0</v>
      </c>
      <c r="U370" s="31">
        <v>0.0</v>
      </c>
      <c r="V370" s="31">
        <v>1.0</v>
      </c>
      <c r="W370" s="32" t="s">
        <v>7043</v>
      </c>
      <c r="X370" s="30">
        <v>47119.0</v>
      </c>
      <c r="Y370" s="30">
        <v>47483.0</v>
      </c>
      <c r="Z370" s="31">
        <v>0.0</v>
      </c>
      <c r="AA370" s="31">
        <v>1.0</v>
      </c>
      <c r="AB370" s="32" t="s">
        <v>7043</v>
      </c>
      <c r="AC370" s="30">
        <v>47484.0</v>
      </c>
      <c r="AD370" s="30">
        <v>47848.0</v>
      </c>
      <c r="AE370" s="31">
        <v>0.0</v>
      </c>
      <c r="AF370" s="31">
        <v>1.0</v>
      </c>
      <c r="AG370" s="32" t="s">
        <v>7043</v>
      </c>
    </row>
    <row r="371" ht="14.25" customHeight="1">
      <c r="A371" s="28" t="s">
        <v>6892</v>
      </c>
      <c r="B371" s="29" t="s">
        <v>6893</v>
      </c>
      <c r="C371" s="29" t="s">
        <v>7041</v>
      </c>
      <c r="D371" s="30">
        <v>45658.0</v>
      </c>
      <c r="E371" s="30">
        <v>46022.0</v>
      </c>
      <c r="F371" s="31">
        <v>0.0</v>
      </c>
      <c r="G371" s="31">
        <v>1.0</v>
      </c>
      <c r="H371" s="32" t="s">
        <v>7043</v>
      </c>
      <c r="I371" s="30">
        <v>46023.0</v>
      </c>
      <c r="J371" s="30">
        <v>46387.0</v>
      </c>
      <c r="K371" s="31">
        <v>0.0</v>
      </c>
      <c r="L371" s="31">
        <v>1.0</v>
      </c>
      <c r="M371" s="32" t="s">
        <v>7043</v>
      </c>
      <c r="N371" s="30">
        <v>46388.0</v>
      </c>
      <c r="O371" s="30">
        <v>46752.0</v>
      </c>
      <c r="P371" s="31">
        <v>0.0</v>
      </c>
      <c r="Q371" s="31">
        <v>1.0</v>
      </c>
      <c r="R371" s="32" t="s">
        <v>7043</v>
      </c>
      <c r="S371" s="30">
        <v>46753.0</v>
      </c>
      <c r="T371" s="30">
        <v>47118.0</v>
      </c>
      <c r="U371" s="31">
        <v>0.0</v>
      </c>
      <c r="V371" s="31">
        <v>1.0</v>
      </c>
      <c r="W371" s="32" t="s">
        <v>7043</v>
      </c>
      <c r="X371" s="30">
        <v>47119.0</v>
      </c>
      <c r="Y371" s="30">
        <v>47483.0</v>
      </c>
      <c r="Z371" s="31">
        <v>0.0</v>
      </c>
      <c r="AA371" s="31">
        <v>1.0</v>
      </c>
      <c r="AB371" s="32" t="s">
        <v>7043</v>
      </c>
      <c r="AC371" s="30">
        <v>47484.0</v>
      </c>
      <c r="AD371" s="30">
        <v>47848.0</v>
      </c>
      <c r="AE371" s="31">
        <v>0.0</v>
      </c>
      <c r="AF371" s="31">
        <v>1.0</v>
      </c>
      <c r="AG371" s="32" t="s">
        <v>7043</v>
      </c>
    </row>
    <row r="372" ht="14.25" customHeight="1">
      <c r="A372" s="28" t="s">
        <v>6895</v>
      </c>
      <c r="B372" s="29" t="s">
        <v>6896</v>
      </c>
      <c r="C372" s="29" t="s">
        <v>7041</v>
      </c>
      <c r="D372" s="30">
        <v>45658.0</v>
      </c>
      <c r="E372" s="30">
        <v>46022.0</v>
      </c>
      <c r="F372" s="31">
        <v>0.0</v>
      </c>
      <c r="G372" s="31">
        <v>1.0</v>
      </c>
      <c r="H372" s="32" t="s">
        <v>7043</v>
      </c>
      <c r="I372" s="30">
        <v>46023.0</v>
      </c>
      <c r="J372" s="30">
        <v>46387.0</v>
      </c>
      <c r="K372" s="31">
        <v>0.0</v>
      </c>
      <c r="L372" s="31">
        <v>1.0</v>
      </c>
      <c r="M372" s="32" t="s">
        <v>7043</v>
      </c>
      <c r="N372" s="30">
        <v>46388.0</v>
      </c>
      <c r="O372" s="30">
        <v>46752.0</v>
      </c>
      <c r="P372" s="31">
        <v>0.0</v>
      </c>
      <c r="Q372" s="31">
        <v>1.0</v>
      </c>
      <c r="R372" s="32" t="s">
        <v>7043</v>
      </c>
      <c r="S372" s="30">
        <v>46753.0</v>
      </c>
      <c r="T372" s="30">
        <v>47118.0</v>
      </c>
      <c r="U372" s="31">
        <v>0.0</v>
      </c>
      <c r="V372" s="31">
        <v>1.0</v>
      </c>
      <c r="W372" s="32" t="s">
        <v>7043</v>
      </c>
      <c r="X372" s="30">
        <v>47119.0</v>
      </c>
      <c r="Y372" s="30">
        <v>47483.0</v>
      </c>
      <c r="Z372" s="31">
        <v>0.0</v>
      </c>
      <c r="AA372" s="31">
        <v>1.0</v>
      </c>
      <c r="AB372" s="32" t="s">
        <v>7043</v>
      </c>
      <c r="AC372" s="30">
        <v>47484.0</v>
      </c>
      <c r="AD372" s="30">
        <v>47848.0</v>
      </c>
      <c r="AE372" s="31">
        <v>0.0</v>
      </c>
      <c r="AF372" s="31">
        <v>1.0</v>
      </c>
      <c r="AG372" s="32" t="s">
        <v>7043</v>
      </c>
    </row>
    <row r="373" ht="14.25" customHeight="1">
      <c r="A373" s="28" t="s">
        <v>6937</v>
      </c>
      <c r="B373" s="29" t="s">
        <v>6938</v>
      </c>
      <c r="C373" s="29" t="s">
        <v>7041</v>
      </c>
      <c r="D373" s="30">
        <v>45658.0</v>
      </c>
      <c r="E373" s="30">
        <v>46022.0</v>
      </c>
      <c r="F373" s="31">
        <v>0.0</v>
      </c>
      <c r="G373" s="31">
        <v>1.0</v>
      </c>
      <c r="H373" s="32" t="s">
        <v>7043</v>
      </c>
      <c r="I373" s="30">
        <v>46023.0</v>
      </c>
      <c r="J373" s="30">
        <v>46387.0</v>
      </c>
      <c r="K373" s="31">
        <v>0.0</v>
      </c>
      <c r="L373" s="31">
        <v>1.0</v>
      </c>
      <c r="M373" s="32" t="s">
        <v>7043</v>
      </c>
      <c r="N373" s="30">
        <v>46388.0</v>
      </c>
      <c r="O373" s="30">
        <v>46752.0</v>
      </c>
      <c r="P373" s="31">
        <v>0.0</v>
      </c>
      <c r="Q373" s="31">
        <v>1.0</v>
      </c>
      <c r="R373" s="32" t="s">
        <v>7043</v>
      </c>
      <c r="S373" s="30">
        <v>46753.0</v>
      </c>
      <c r="T373" s="30">
        <v>47118.0</v>
      </c>
      <c r="U373" s="31">
        <v>0.0</v>
      </c>
      <c r="V373" s="31">
        <v>1.0</v>
      </c>
      <c r="W373" s="32" t="s">
        <v>7043</v>
      </c>
      <c r="X373" s="30">
        <v>47119.0</v>
      </c>
      <c r="Y373" s="30">
        <v>47483.0</v>
      </c>
      <c r="Z373" s="31">
        <v>0.0</v>
      </c>
      <c r="AA373" s="31">
        <v>1.0</v>
      </c>
      <c r="AB373" s="32" t="s">
        <v>7043</v>
      </c>
      <c r="AC373" s="30">
        <v>47484.0</v>
      </c>
      <c r="AD373" s="30">
        <v>47848.0</v>
      </c>
      <c r="AE373" s="31">
        <v>0.0</v>
      </c>
      <c r="AF373" s="31">
        <v>1.0</v>
      </c>
      <c r="AG373" s="32" t="s">
        <v>7043</v>
      </c>
    </row>
    <row r="374" ht="14.25" customHeight="1">
      <c r="A374" s="28" t="s">
        <v>6999</v>
      </c>
      <c r="B374" s="29" t="s">
        <v>7000</v>
      </c>
      <c r="C374" s="29" t="s">
        <v>7041</v>
      </c>
      <c r="D374" s="30">
        <v>45658.0</v>
      </c>
      <c r="E374" s="30">
        <v>46022.0</v>
      </c>
      <c r="F374" s="31">
        <v>0.0</v>
      </c>
      <c r="G374" s="31">
        <v>1.0</v>
      </c>
      <c r="H374" s="32" t="s">
        <v>7043</v>
      </c>
      <c r="I374" s="30">
        <v>46023.0</v>
      </c>
      <c r="J374" s="30">
        <v>46387.0</v>
      </c>
      <c r="K374" s="31">
        <v>0.0</v>
      </c>
      <c r="L374" s="31">
        <v>1.0</v>
      </c>
      <c r="M374" s="32" t="s">
        <v>7043</v>
      </c>
      <c r="N374" s="30">
        <v>46388.0</v>
      </c>
      <c r="O374" s="30">
        <v>46752.0</v>
      </c>
      <c r="P374" s="31">
        <v>0.0</v>
      </c>
      <c r="Q374" s="31">
        <v>1.0</v>
      </c>
      <c r="R374" s="32" t="s">
        <v>7043</v>
      </c>
      <c r="S374" s="30">
        <v>46753.0</v>
      </c>
      <c r="T374" s="30">
        <v>47118.0</v>
      </c>
      <c r="U374" s="31">
        <v>0.0</v>
      </c>
      <c r="V374" s="31">
        <v>1.0</v>
      </c>
      <c r="W374" s="32" t="s">
        <v>7043</v>
      </c>
      <c r="X374" s="30">
        <v>47119.0</v>
      </c>
      <c r="Y374" s="30">
        <v>47483.0</v>
      </c>
      <c r="Z374" s="31">
        <v>0.0</v>
      </c>
      <c r="AA374" s="31">
        <v>1.0</v>
      </c>
      <c r="AB374" s="32" t="s">
        <v>7043</v>
      </c>
      <c r="AC374" s="30">
        <v>47484.0</v>
      </c>
      <c r="AD374" s="30">
        <v>47848.0</v>
      </c>
      <c r="AE374" s="31">
        <v>0.0</v>
      </c>
      <c r="AF374" s="31">
        <v>1.0</v>
      </c>
      <c r="AG374" s="32" t="s">
        <v>7043</v>
      </c>
    </row>
    <row r="375" ht="14.25" customHeight="1">
      <c r="A375" s="28" t="s">
        <v>7019</v>
      </c>
      <c r="B375" s="29" t="s">
        <v>7020</v>
      </c>
      <c r="C375" s="29" t="s">
        <v>7041</v>
      </c>
      <c r="D375" s="30">
        <v>45658.0</v>
      </c>
      <c r="E375" s="30">
        <v>46022.0</v>
      </c>
      <c r="F375" s="31">
        <v>0.0</v>
      </c>
      <c r="G375" s="31">
        <v>1.0</v>
      </c>
      <c r="H375" s="32" t="s">
        <v>7043</v>
      </c>
      <c r="I375" s="30">
        <v>46023.0</v>
      </c>
      <c r="J375" s="30">
        <v>46387.0</v>
      </c>
      <c r="K375" s="31">
        <v>0.0</v>
      </c>
      <c r="L375" s="31">
        <v>1.0</v>
      </c>
      <c r="M375" s="32" t="s">
        <v>7043</v>
      </c>
      <c r="N375" s="30">
        <v>46388.0</v>
      </c>
      <c r="O375" s="30">
        <v>46752.0</v>
      </c>
      <c r="P375" s="31">
        <v>0.0</v>
      </c>
      <c r="Q375" s="31">
        <v>1.0</v>
      </c>
      <c r="R375" s="32" t="s">
        <v>7043</v>
      </c>
      <c r="S375" s="30">
        <v>46753.0</v>
      </c>
      <c r="T375" s="30">
        <v>47118.0</v>
      </c>
      <c r="U375" s="31">
        <v>0.0</v>
      </c>
      <c r="V375" s="31">
        <v>1.0</v>
      </c>
      <c r="W375" s="32" t="s">
        <v>7043</v>
      </c>
      <c r="X375" s="30">
        <v>47119.0</v>
      </c>
      <c r="Y375" s="30">
        <v>47483.0</v>
      </c>
      <c r="Z375" s="31">
        <v>0.0</v>
      </c>
      <c r="AA375" s="31">
        <v>1.0</v>
      </c>
      <c r="AB375" s="32" t="s">
        <v>7043</v>
      </c>
      <c r="AC375" s="30">
        <v>47484.0</v>
      </c>
      <c r="AD375" s="30">
        <v>47848.0</v>
      </c>
      <c r="AE375" s="31">
        <v>0.0</v>
      </c>
      <c r="AF375" s="31">
        <v>1.0</v>
      </c>
      <c r="AG375" s="32" t="s">
        <v>7043</v>
      </c>
    </row>
    <row r="376" ht="14.25" customHeight="1">
      <c r="A376" s="28" t="s">
        <v>215</v>
      </c>
      <c r="B376" s="29" t="s">
        <v>216</v>
      </c>
      <c r="C376" s="29" t="s">
        <v>7041</v>
      </c>
      <c r="D376" s="30">
        <v>45658.0</v>
      </c>
      <c r="E376" s="30">
        <v>46022.0</v>
      </c>
      <c r="F376" s="31">
        <v>0.0</v>
      </c>
      <c r="G376" s="31">
        <v>1.0</v>
      </c>
      <c r="H376" s="32" t="s">
        <v>7043</v>
      </c>
      <c r="I376" s="30">
        <v>46023.0</v>
      </c>
      <c r="J376" s="30">
        <v>46387.0</v>
      </c>
      <c r="K376" s="31">
        <v>0.0</v>
      </c>
      <c r="L376" s="31">
        <v>1.0</v>
      </c>
      <c r="M376" s="32" t="s">
        <v>7043</v>
      </c>
      <c r="N376" s="30">
        <v>46388.0</v>
      </c>
      <c r="O376" s="30">
        <v>46752.0</v>
      </c>
      <c r="P376" s="31">
        <v>0.0</v>
      </c>
      <c r="Q376" s="31">
        <v>1.0</v>
      </c>
      <c r="R376" s="32" t="s">
        <v>7043</v>
      </c>
      <c r="S376" s="30">
        <v>46753.0</v>
      </c>
      <c r="T376" s="30">
        <v>47118.0</v>
      </c>
      <c r="U376" s="31">
        <v>0.0</v>
      </c>
      <c r="V376" s="31">
        <v>1.0</v>
      </c>
      <c r="W376" s="32" t="s">
        <v>7043</v>
      </c>
      <c r="X376" s="30">
        <v>47119.0</v>
      </c>
      <c r="Y376" s="30">
        <v>47483.0</v>
      </c>
      <c r="Z376" s="31">
        <v>0.0</v>
      </c>
      <c r="AA376" s="31">
        <v>1.0</v>
      </c>
      <c r="AB376" s="32" t="s">
        <v>7043</v>
      </c>
      <c r="AC376" s="30">
        <v>47484.0</v>
      </c>
      <c r="AD376" s="30">
        <v>47848.0</v>
      </c>
      <c r="AE376" s="31">
        <v>0.0</v>
      </c>
      <c r="AF376" s="31">
        <v>1.0</v>
      </c>
      <c r="AG376" s="32" t="s">
        <v>7043</v>
      </c>
    </row>
    <row r="377" ht="14.25" customHeight="1">
      <c r="A377" s="28" t="s">
        <v>4879</v>
      </c>
      <c r="B377" s="29" t="s">
        <v>4880</v>
      </c>
      <c r="C377" s="29" t="s">
        <v>7041</v>
      </c>
      <c r="D377" s="30">
        <v>45658.0</v>
      </c>
      <c r="E377" s="30">
        <v>46022.0</v>
      </c>
      <c r="F377" s="31">
        <v>0.0</v>
      </c>
      <c r="G377" s="31">
        <v>1.0</v>
      </c>
      <c r="H377" s="32" t="s">
        <v>7043</v>
      </c>
      <c r="I377" s="30">
        <v>46023.0</v>
      </c>
      <c r="J377" s="30">
        <v>46387.0</v>
      </c>
      <c r="K377" s="31">
        <v>0.0</v>
      </c>
      <c r="L377" s="31">
        <v>1.0</v>
      </c>
      <c r="M377" s="32" t="s">
        <v>7043</v>
      </c>
      <c r="N377" s="30">
        <v>46388.0</v>
      </c>
      <c r="O377" s="30">
        <v>46752.0</v>
      </c>
      <c r="P377" s="31">
        <v>0.0</v>
      </c>
      <c r="Q377" s="31">
        <v>1.0</v>
      </c>
      <c r="R377" s="32" t="s">
        <v>7043</v>
      </c>
      <c r="S377" s="30">
        <v>46753.0</v>
      </c>
      <c r="T377" s="30">
        <v>47118.0</v>
      </c>
      <c r="U377" s="31">
        <v>0.0</v>
      </c>
      <c r="V377" s="31">
        <v>1.0</v>
      </c>
      <c r="W377" s="32" t="s">
        <v>7043</v>
      </c>
      <c r="X377" s="30">
        <v>47119.0</v>
      </c>
      <c r="Y377" s="30">
        <v>47483.0</v>
      </c>
      <c r="Z377" s="31">
        <v>0.0</v>
      </c>
      <c r="AA377" s="31">
        <v>1.0</v>
      </c>
      <c r="AB377" s="32" t="s">
        <v>7043</v>
      </c>
      <c r="AC377" s="30">
        <v>47484.0</v>
      </c>
      <c r="AD377" s="30">
        <v>47848.0</v>
      </c>
      <c r="AE377" s="31">
        <v>0.0</v>
      </c>
      <c r="AF377" s="31">
        <v>1.0</v>
      </c>
      <c r="AG377" s="32" t="s">
        <v>7043</v>
      </c>
    </row>
    <row r="378" ht="14.25" customHeight="1">
      <c r="A378" s="28" t="s">
        <v>1477</v>
      </c>
      <c r="B378" s="29" t="s">
        <v>1478</v>
      </c>
      <c r="C378" s="29" t="s">
        <v>7044</v>
      </c>
      <c r="D378" s="30">
        <v>45658.0</v>
      </c>
      <c r="E378" s="30">
        <v>46022.0</v>
      </c>
      <c r="F378" s="31">
        <v>0.0</v>
      </c>
      <c r="G378" s="31">
        <v>1.0</v>
      </c>
      <c r="H378" s="32" t="s">
        <v>7043</v>
      </c>
      <c r="I378" s="30">
        <v>46023.0</v>
      </c>
      <c r="J378" s="30">
        <v>46387.0</v>
      </c>
      <c r="K378" s="31">
        <v>0.0</v>
      </c>
      <c r="L378" s="31">
        <v>1.0</v>
      </c>
      <c r="M378" s="32" t="s">
        <v>7043</v>
      </c>
      <c r="N378" s="30">
        <v>46388.0</v>
      </c>
      <c r="O378" s="30">
        <v>46752.0</v>
      </c>
      <c r="P378" s="31">
        <v>0.0</v>
      </c>
      <c r="Q378" s="31">
        <v>1.0</v>
      </c>
      <c r="R378" s="32" t="s">
        <v>7043</v>
      </c>
      <c r="S378" s="30">
        <v>46753.0</v>
      </c>
      <c r="T378" s="30">
        <v>47118.0</v>
      </c>
      <c r="U378" s="31">
        <v>0.0</v>
      </c>
      <c r="V378" s="31">
        <v>1.0</v>
      </c>
      <c r="W378" s="32" t="s">
        <v>7043</v>
      </c>
      <c r="X378" s="30">
        <v>47119.0</v>
      </c>
      <c r="Y378" s="30">
        <v>47483.0</v>
      </c>
      <c r="Z378" s="31">
        <v>0.0</v>
      </c>
      <c r="AA378" s="31">
        <v>1.0</v>
      </c>
      <c r="AB378" s="32" t="s">
        <v>7043</v>
      </c>
      <c r="AC378" s="30">
        <v>47484.0</v>
      </c>
      <c r="AD378" s="30">
        <v>47848.0</v>
      </c>
      <c r="AE378" s="31">
        <v>0.0</v>
      </c>
      <c r="AF378" s="31">
        <v>1.0</v>
      </c>
      <c r="AG378" s="32" t="s">
        <v>7043</v>
      </c>
    </row>
    <row r="379" ht="14.25" customHeight="1">
      <c r="A379" s="28" t="s">
        <v>3756</v>
      </c>
      <c r="B379" s="29" t="s">
        <v>3757</v>
      </c>
      <c r="C379" s="29" t="s">
        <v>7041</v>
      </c>
      <c r="D379" s="30">
        <v>45658.0</v>
      </c>
      <c r="E379" s="30">
        <v>46022.0</v>
      </c>
      <c r="F379" s="31">
        <v>0.0</v>
      </c>
      <c r="G379" s="31">
        <v>1.0</v>
      </c>
      <c r="H379" s="32" t="s">
        <v>7043</v>
      </c>
      <c r="I379" s="30">
        <v>46023.0</v>
      </c>
      <c r="J379" s="30">
        <v>46387.0</v>
      </c>
      <c r="K379" s="31">
        <v>0.0</v>
      </c>
      <c r="L379" s="31">
        <v>1.0</v>
      </c>
      <c r="M379" s="32" t="s">
        <v>7043</v>
      </c>
      <c r="N379" s="30">
        <v>46388.0</v>
      </c>
      <c r="O379" s="30">
        <v>46752.0</v>
      </c>
      <c r="P379" s="31">
        <v>0.0</v>
      </c>
      <c r="Q379" s="31">
        <v>1.0</v>
      </c>
      <c r="R379" s="32" t="s">
        <v>7043</v>
      </c>
      <c r="S379" s="30">
        <v>46753.0</v>
      </c>
      <c r="T379" s="30">
        <v>47118.0</v>
      </c>
      <c r="U379" s="31">
        <v>0.0</v>
      </c>
      <c r="V379" s="31">
        <v>1.0</v>
      </c>
      <c r="W379" s="32" t="s">
        <v>7043</v>
      </c>
      <c r="X379" s="30">
        <v>47119.0</v>
      </c>
      <c r="Y379" s="30">
        <v>47483.0</v>
      </c>
      <c r="Z379" s="31">
        <v>0.0</v>
      </c>
      <c r="AA379" s="31">
        <v>1.0</v>
      </c>
      <c r="AB379" s="32" t="s">
        <v>7043</v>
      </c>
      <c r="AC379" s="30">
        <v>47484.0</v>
      </c>
      <c r="AD379" s="30">
        <v>47848.0</v>
      </c>
      <c r="AE379" s="31">
        <v>0.0</v>
      </c>
      <c r="AF379" s="31">
        <v>1.0</v>
      </c>
      <c r="AG379" s="32" t="s">
        <v>7043</v>
      </c>
    </row>
    <row r="380" ht="14.25" customHeight="1">
      <c r="A380" s="28" t="s">
        <v>5259</v>
      </c>
      <c r="B380" s="29" t="s">
        <v>5260</v>
      </c>
      <c r="C380" s="29" t="s">
        <v>7041</v>
      </c>
      <c r="D380" s="30">
        <v>45658.0</v>
      </c>
      <c r="E380" s="30">
        <v>46022.0</v>
      </c>
      <c r="F380" s="31">
        <v>0.0</v>
      </c>
      <c r="G380" s="31">
        <v>1.0</v>
      </c>
      <c r="H380" s="32" t="s">
        <v>7043</v>
      </c>
      <c r="I380" s="30">
        <v>46023.0</v>
      </c>
      <c r="J380" s="30">
        <v>46387.0</v>
      </c>
      <c r="K380" s="31">
        <v>0.0</v>
      </c>
      <c r="L380" s="31">
        <v>1.0</v>
      </c>
      <c r="M380" s="32" t="s">
        <v>7043</v>
      </c>
      <c r="N380" s="30">
        <v>46388.0</v>
      </c>
      <c r="O380" s="30">
        <v>46752.0</v>
      </c>
      <c r="P380" s="31">
        <v>0.0</v>
      </c>
      <c r="Q380" s="31">
        <v>1.0</v>
      </c>
      <c r="R380" s="32" t="s">
        <v>7043</v>
      </c>
      <c r="S380" s="30">
        <v>46753.0</v>
      </c>
      <c r="T380" s="30">
        <v>47118.0</v>
      </c>
      <c r="U380" s="31">
        <v>0.0</v>
      </c>
      <c r="V380" s="31">
        <v>1.0</v>
      </c>
      <c r="W380" s="32" t="s">
        <v>7043</v>
      </c>
      <c r="X380" s="30">
        <v>47119.0</v>
      </c>
      <c r="Y380" s="30">
        <v>47483.0</v>
      </c>
      <c r="Z380" s="31">
        <v>0.0</v>
      </c>
      <c r="AA380" s="31">
        <v>1.0</v>
      </c>
      <c r="AB380" s="32" t="s">
        <v>7043</v>
      </c>
      <c r="AC380" s="30">
        <v>47484.0</v>
      </c>
      <c r="AD380" s="30">
        <v>47848.0</v>
      </c>
      <c r="AE380" s="31">
        <v>0.0</v>
      </c>
      <c r="AF380" s="31">
        <v>1.0</v>
      </c>
      <c r="AG380" s="32" t="s">
        <v>7043</v>
      </c>
    </row>
    <row r="381" ht="14.25" customHeight="1">
      <c r="A381" s="28" t="s">
        <v>5335</v>
      </c>
      <c r="B381" s="29" t="s">
        <v>5336</v>
      </c>
      <c r="C381" s="29" t="s">
        <v>7044</v>
      </c>
      <c r="D381" s="30">
        <v>45658.0</v>
      </c>
      <c r="E381" s="30">
        <v>46022.0</v>
      </c>
      <c r="F381" s="31">
        <v>0.0</v>
      </c>
      <c r="G381" s="31">
        <v>1.0</v>
      </c>
      <c r="H381" s="32" t="s">
        <v>7043</v>
      </c>
      <c r="I381" s="30">
        <v>46023.0</v>
      </c>
      <c r="J381" s="30">
        <v>46387.0</v>
      </c>
      <c r="K381" s="31">
        <v>0.0</v>
      </c>
      <c r="L381" s="31">
        <v>1.0</v>
      </c>
      <c r="M381" s="32" t="s">
        <v>7043</v>
      </c>
      <c r="N381" s="30">
        <v>46388.0</v>
      </c>
      <c r="O381" s="30">
        <v>46752.0</v>
      </c>
      <c r="P381" s="31">
        <v>0.0</v>
      </c>
      <c r="Q381" s="31">
        <v>1.0</v>
      </c>
      <c r="R381" s="32" t="s">
        <v>7043</v>
      </c>
      <c r="S381" s="30">
        <v>46753.0</v>
      </c>
      <c r="T381" s="30">
        <v>47118.0</v>
      </c>
      <c r="U381" s="31">
        <v>0.0</v>
      </c>
      <c r="V381" s="31">
        <v>1.0</v>
      </c>
      <c r="W381" s="32" t="s">
        <v>7043</v>
      </c>
      <c r="X381" s="30">
        <v>47119.0</v>
      </c>
      <c r="Y381" s="30">
        <v>47483.0</v>
      </c>
      <c r="Z381" s="31">
        <v>0.0</v>
      </c>
      <c r="AA381" s="31">
        <v>1.0</v>
      </c>
      <c r="AB381" s="32" t="s">
        <v>7043</v>
      </c>
      <c r="AC381" s="30">
        <v>47484.0</v>
      </c>
      <c r="AD381" s="30">
        <v>47848.0</v>
      </c>
      <c r="AE381" s="31">
        <v>0.0</v>
      </c>
      <c r="AF381" s="31">
        <v>1.0</v>
      </c>
      <c r="AG381" s="32" t="s">
        <v>7043</v>
      </c>
    </row>
    <row r="382" ht="14.25" customHeight="1">
      <c r="A382" s="28" t="s">
        <v>5389</v>
      </c>
      <c r="B382" s="29" t="s">
        <v>5390</v>
      </c>
      <c r="C382" s="29" t="s">
        <v>7041</v>
      </c>
      <c r="D382" s="30">
        <v>45658.0</v>
      </c>
      <c r="E382" s="30">
        <v>46022.0</v>
      </c>
      <c r="F382" s="31">
        <v>0.0</v>
      </c>
      <c r="G382" s="31">
        <v>1.0</v>
      </c>
      <c r="H382" s="32" t="s">
        <v>7043</v>
      </c>
      <c r="I382" s="30">
        <v>46023.0</v>
      </c>
      <c r="J382" s="30">
        <v>46387.0</v>
      </c>
      <c r="K382" s="31">
        <v>0.0</v>
      </c>
      <c r="L382" s="31">
        <v>1.0</v>
      </c>
      <c r="M382" s="32" t="s">
        <v>7043</v>
      </c>
      <c r="N382" s="30">
        <v>46388.0</v>
      </c>
      <c r="O382" s="30">
        <v>46752.0</v>
      </c>
      <c r="P382" s="31">
        <v>0.0</v>
      </c>
      <c r="Q382" s="31">
        <v>1.0</v>
      </c>
      <c r="R382" s="32" t="s">
        <v>7043</v>
      </c>
      <c r="S382" s="30">
        <v>46753.0</v>
      </c>
      <c r="T382" s="30">
        <v>47118.0</v>
      </c>
      <c r="U382" s="31">
        <v>0.0</v>
      </c>
      <c r="V382" s="31">
        <v>1.0</v>
      </c>
      <c r="W382" s="32" t="s">
        <v>7043</v>
      </c>
      <c r="X382" s="30">
        <v>47119.0</v>
      </c>
      <c r="Y382" s="30">
        <v>47483.0</v>
      </c>
      <c r="Z382" s="31">
        <v>0.0</v>
      </c>
      <c r="AA382" s="31">
        <v>1.0</v>
      </c>
      <c r="AB382" s="32" t="s">
        <v>7043</v>
      </c>
      <c r="AC382" s="30">
        <v>47484.0</v>
      </c>
      <c r="AD382" s="30">
        <v>47848.0</v>
      </c>
      <c r="AE382" s="31">
        <v>0.0</v>
      </c>
      <c r="AF382" s="31">
        <v>1.0</v>
      </c>
      <c r="AG382" s="32" t="s">
        <v>7043</v>
      </c>
    </row>
    <row r="383" ht="14.25" customHeight="1">
      <c r="A383" s="28" t="s">
        <v>1864</v>
      </c>
      <c r="B383" s="29" t="s">
        <v>1865</v>
      </c>
      <c r="C383" s="29" t="s">
        <v>7041</v>
      </c>
      <c r="D383" s="30">
        <v>45658.0</v>
      </c>
      <c r="E383" s="30">
        <v>46022.0</v>
      </c>
      <c r="F383" s="31">
        <v>0.0</v>
      </c>
      <c r="G383" s="31">
        <v>1.0</v>
      </c>
      <c r="H383" s="32" t="s">
        <v>7043</v>
      </c>
      <c r="I383" s="30">
        <v>46023.0</v>
      </c>
      <c r="J383" s="30">
        <v>46387.0</v>
      </c>
      <c r="K383" s="31">
        <v>0.0</v>
      </c>
      <c r="L383" s="31">
        <v>1.0</v>
      </c>
      <c r="M383" s="32" t="s">
        <v>7043</v>
      </c>
      <c r="N383" s="30">
        <v>46388.0</v>
      </c>
      <c r="O383" s="30">
        <v>46752.0</v>
      </c>
      <c r="P383" s="31">
        <v>0.0</v>
      </c>
      <c r="Q383" s="31">
        <v>1.0</v>
      </c>
      <c r="R383" s="32" t="s">
        <v>7043</v>
      </c>
      <c r="S383" s="30">
        <v>46753.0</v>
      </c>
      <c r="T383" s="30">
        <v>47118.0</v>
      </c>
      <c r="U383" s="31">
        <v>0.0</v>
      </c>
      <c r="V383" s="31">
        <v>1.0</v>
      </c>
      <c r="W383" s="32" t="s">
        <v>7043</v>
      </c>
      <c r="X383" s="30">
        <v>47119.0</v>
      </c>
      <c r="Y383" s="30">
        <v>47483.0</v>
      </c>
      <c r="Z383" s="31">
        <v>0.0</v>
      </c>
      <c r="AA383" s="31">
        <v>1.0</v>
      </c>
      <c r="AB383" s="32" t="s">
        <v>7043</v>
      </c>
      <c r="AC383" s="30">
        <v>47484.0</v>
      </c>
      <c r="AD383" s="30">
        <v>47848.0</v>
      </c>
      <c r="AE383" s="31">
        <v>0.0</v>
      </c>
      <c r="AF383" s="31">
        <v>1.0</v>
      </c>
      <c r="AG383" s="32" t="s">
        <v>7043</v>
      </c>
    </row>
    <row r="384" ht="14.25" customHeight="1">
      <c r="A384" s="28" t="s">
        <v>5844</v>
      </c>
      <c r="B384" s="29" t="s">
        <v>5845</v>
      </c>
      <c r="C384" s="29" t="s">
        <v>7041</v>
      </c>
      <c r="D384" s="30">
        <v>45658.0</v>
      </c>
      <c r="E384" s="30">
        <v>46022.0</v>
      </c>
      <c r="F384" s="31">
        <v>0.0</v>
      </c>
      <c r="G384" s="31">
        <v>1.0</v>
      </c>
      <c r="H384" s="32" t="s">
        <v>7043</v>
      </c>
      <c r="I384" s="30">
        <v>46023.0</v>
      </c>
      <c r="J384" s="30">
        <v>46387.0</v>
      </c>
      <c r="K384" s="31">
        <v>0.0</v>
      </c>
      <c r="L384" s="31">
        <v>1.0</v>
      </c>
      <c r="M384" s="32" t="s">
        <v>7043</v>
      </c>
      <c r="N384" s="30">
        <v>46388.0</v>
      </c>
      <c r="O384" s="30">
        <v>46752.0</v>
      </c>
      <c r="P384" s="31">
        <v>0.0</v>
      </c>
      <c r="Q384" s="31">
        <v>1.0</v>
      </c>
      <c r="R384" s="32" t="s">
        <v>7043</v>
      </c>
      <c r="S384" s="30">
        <v>46753.0</v>
      </c>
      <c r="T384" s="30">
        <v>47118.0</v>
      </c>
      <c r="U384" s="31">
        <v>0.0</v>
      </c>
      <c r="V384" s="31">
        <v>1.0</v>
      </c>
      <c r="W384" s="32" t="s">
        <v>7043</v>
      </c>
      <c r="X384" s="30">
        <v>47119.0</v>
      </c>
      <c r="Y384" s="30">
        <v>47483.0</v>
      </c>
      <c r="Z384" s="31">
        <v>0.0</v>
      </c>
      <c r="AA384" s="31">
        <v>1.0</v>
      </c>
      <c r="AB384" s="32" t="s">
        <v>7043</v>
      </c>
      <c r="AC384" s="30">
        <v>47484.0</v>
      </c>
      <c r="AD384" s="30">
        <v>47848.0</v>
      </c>
      <c r="AE384" s="31">
        <v>0.0</v>
      </c>
      <c r="AF384" s="31">
        <v>1.0</v>
      </c>
      <c r="AG384" s="32" t="s">
        <v>7043</v>
      </c>
    </row>
    <row r="385" ht="14.25" customHeight="1">
      <c r="A385" s="28" t="s">
        <v>4174</v>
      </c>
      <c r="B385" s="29" t="s">
        <v>4175</v>
      </c>
      <c r="C385" s="29" t="s">
        <v>7041</v>
      </c>
      <c r="D385" s="30">
        <v>45658.0</v>
      </c>
      <c r="E385" s="30">
        <v>46022.0</v>
      </c>
      <c r="F385" s="31">
        <v>1.0</v>
      </c>
      <c r="G385" s="31">
        <v>1.0</v>
      </c>
      <c r="H385" s="33" t="s">
        <v>7042</v>
      </c>
      <c r="I385" s="30">
        <v>46023.0</v>
      </c>
      <c r="J385" s="30">
        <v>46387.0</v>
      </c>
      <c r="K385" s="31">
        <v>0.0</v>
      </c>
      <c r="L385" s="31">
        <v>1.0</v>
      </c>
      <c r="M385" s="32" t="s">
        <v>7043</v>
      </c>
      <c r="N385" s="30">
        <v>46388.0</v>
      </c>
      <c r="O385" s="30">
        <v>46752.0</v>
      </c>
      <c r="P385" s="31">
        <v>0.0</v>
      </c>
      <c r="Q385" s="31">
        <v>1.0</v>
      </c>
      <c r="R385" s="32" t="s">
        <v>7043</v>
      </c>
      <c r="S385" s="30">
        <v>46753.0</v>
      </c>
      <c r="T385" s="30">
        <v>47118.0</v>
      </c>
      <c r="U385" s="31">
        <v>0.0</v>
      </c>
      <c r="V385" s="31">
        <v>1.0</v>
      </c>
      <c r="W385" s="32" t="s">
        <v>7043</v>
      </c>
      <c r="X385" s="30">
        <v>47119.0</v>
      </c>
      <c r="Y385" s="30">
        <v>47483.0</v>
      </c>
      <c r="Z385" s="31">
        <v>0.0</v>
      </c>
      <c r="AA385" s="31">
        <v>1.0</v>
      </c>
      <c r="AB385" s="32" t="s">
        <v>7043</v>
      </c>
      <c r="AC385" s="30">
        <v>47484.0</v>
      </c>
      <c r="AD385" s="30">
        <v>47848.0</v>
      </c>
      <c r="AE385" s="31">
        <v>0.0</v>
      </c>
      <c r="AF385" s="31">
        <v>1.0</v>
      </c>
      <c r="AG385" s="32" t="s">
        <v>7043</v>
      </c>
    </row>
    <row r="386" ht="14.25" customHeight="1">
      <c r="A386" s="28" t="s">
        <v>2869</v>
      </c>
      <c r="B386" s="29" t="s">
        <v>2870</v>
      </c>
      <c r="C386" s="29" t="s">
        <v>7044</v>
      </c>
      <c r="D386" s="30">
        <v>45658.0</v>
      </c>
      <c r="E386" s="30">
        <v>46022.0</v>
      </c>
      <c r="F386" s="31">
        <v>0.0</v>
      </c>
      <c r="G386" s="31">
        <v>1.0</v>
      </c>
      <c r="H386" s="32" t="s">
        <v>7043</v>
      </c>
      <c r="I386" s="30">
        <v>46023.0</v>
      </c>
      <c r="J386" s="30">
        <v>46387.0</v>
      </c>
      <c r="K386" s="31">
        <v>0.0</v>
      </c>
      <c r="L386" s="31">
        <v>1.0</v>
      </c>
      <c r="M386" s="32" t="s">
        <v>7043</v>
      </c>
      <c r="N386" s="30">
        <v>46388.0</v>
      </c>
      <c r="O386" s="30">
        <v>46752.0</v>
      </c>
      <c r="P386" s="31">
        <v>0.0</v>
      </c>
      <c r="Q386" s="31">
        <v>1.0</v>
      </c>
      <c r="R386" s="32" t="s">
        <v>7043</v>
      </c>
      <c r="S386" s="30">
        <v>46753.0</v>
      </c>
      <c r="T386" s="30">
        <v>47118.0</v>
      </c>
      <c r="U386" s="31">
        <v>0.0</v>
      </c>
      <c r="V386" s="31">
        <v>1.0</v>
      </c>
      <c r="W386" s="32" t="s">
        <v>7043</v>
      </c>
      <c r="X386" s="30">
        <v>47119.0</v>
      </c>
      <c r="Y386" s="30">
        <v>47483.0</v>
      </c>
      <c r="Z386" s="31">
        <v>0.0</v>
      </c>
      <c r="AA386" s="31">
        <v>1.0</v>
      </c>
      <c r="AB386" s="32" t="s">
        <v>7043</v>
      </c>
      <c r="AC386" s="30">
        <v>47484.0</v>
      </c>
      <c r="AD386" s="30">
        <v>47848.0</v>
      </c>
      <c r="AE386" s="31">
        <v>0.0</v>
      </c>
      <c r="AF386" s="31">
        <v>1.0</v>
      </c>
      <c r="AG386" s="32" t="s">
        <v>7043</v>
      </c>
    </row>
    <row r="387" ht="14.25" customHeight="1">
      <c r="A387" s="28" t="s">
        <v>6381</v>
      </c>
      <c r="B387" s="29" t="s">
        <v>6382</v>
      </c>
      <c r="C387" s="29" t="s">
        <v>7041</v>
      </c>
      <c r="D387" s="30">
        <v>45658.0</v>
      </c>
      <c r="E387" s="30">
        <v>46022.0</v>
      </c>
      <c r="F387" s="31">
        <v>1.0</v>
      </c>
      <c r="G387" s="31">
        <v>1.0</v>
      </c>
      <c r="H387" s="33" t="s">
        <v>7042</v>
      </c>
      <c r="I387" s="30">
        <v>46023.0</v>
      </c>
      <c r="J387" s="30">
        <v>46387.0</v>
      </c>
      <c r="K387" s="31">
        <v>0.0</v>
      </c>
      <c r="L387" s="31">
        <v>1.0</v>
      </c>
      <c r="M387" s="32" t="s">
        <v>7043</v>
      </c>
      <c r="N387" s="30">
        <v>46388.0</v>
      </c>
      <c r="O387" s="30">
        <v>46752.0</v>
      </c>
      <c r="P387" s="31">
        <v>0.0</v>
      </c>
      <c r="Q387" s="31">
        <v>1.0</v>
      </c>
      <c r="R387" s="32" t="s">
        <v>7043</v>
      </c>
      <c r="S387" s="30">
        <v>46753.0</v>
      </c>
      <c r="T387" s="30">
        <v>47118.0</v>
      </c>
      <c r="U387" s="31">
        <v>0.0</v>
      </c>
      <c r="V387" s="31">
        <v>1.0</v>
      </c>
      <c r="W387" s="32" t="s">
        <v>7043</v>
      </c>
      <c r="X387" s="30">
        <v>47119.0</v>
      </c>
      <c r="Y387" s="30">
        <v>47483.0</v>
      </c>
      <c r="Z387" s="31">
        <v>0.0</v>
      </c>
      <c r="AA387" s="31">
        <v>1.0</v>
      </c>
      <c r="AB387" s="32" t="s">
        <v>7043</v>
      </c>
      <c r="AC387" s="30">
        <v>47484.0</v>
      </c>
      <c r="AD387" s="30">
        <v>47848.0</v>
      </c>
      <c r="AE387" s="31">
        <v>0.0</v>
      </c>
      <c r="AF387" s="31">
        <v>1.0</v>
      </c>
      <c r="AG387" s="32" t="s">
        <v>7043</v>
      </c>
    </row>
    <row r="388" ht="14.25" customHeight="1">
      <c r="A388" s="28" t="s">
        <v>2045</v>
      </c>
      <c r="B388" s="29" t="s">
        <v>2046</v>
      </c>
      <c r="C388" s="29" t="s">
        <v>7041</v>
      </c>
      <c r="D388" s="30">
        <v>45658.0</v>
      </c>
      <c r="E388" s="30">
        <v>46022.0</v>
      </c>
      <c r="F388" s="31">
        <v>0.0</v>
      </c>
      <c r="G388" s="31">
        <v>1.0</v>
      </c>
      <c r="H388" s="32" t="s">
        <v>7043</v>
      </c>
      <c r="I388" s="30">
        <v>46023.0</v>
      </c>
      <c r="J388" s="30">
        <v>46387.0</v>
      </c>
      <c r="K388" s="31">
        <v>0.0</v>
      </c>
      <c r="L388" s="31">
        <v>1.0</v>
      </c>
      <c r="M388" s="32" t="s">
        <v>7043</v>
      </c>
      <c r="N388" s="30">
        <v>46388.0</v>
      </c>
      <c r="O388" s="30">
        <v>46752.0</v>
      </c>
      <c r="P388" s="31">
        <v>0.0</v>
      </c>
      <c r="Q388" s="31">
        <v>1.0</v>
      </c>
      <c r="R388" s="32" t="s">
        <v>7043</v>
      </c>
      <c r="S388" s="30">
        <v>46753.0</v>
      </c>
      <c r="T388" s="30">
        <v>47118.0</v>
      </c>
      <c r="U388" s="31">
        <v>0.0</v>
      </c>
      <c r="V388" s="31">
        <v>1.0</v>
      </c>
      <c r="W388" s="32" t="s">
        <v>7043</v>
      </c>
      <c r="X388" s="30">
        <v>47119.0</v>
      </c>
      <c r="Y388" s="30">
        <v>47483.0</v>
      </c>
      <c r="Z388" s="31">
        <v>0.0</v>
      </c>
      <c r="AA388" s="31">
        <v>1.0</v>
      </c>
      <c r="AB388" s="32" t="s">
        <v>7043</v>
      </c>
      <c r="AC388" s="30">
        <v>47484.0</v>
      </c>
      <c r="AD388" s="30">
        <v>47848.0</v>
      </c>
      <c r="AE388" s="31">
        <v>0.0</v>
      </c>
      <c r="AF388" s="31">
        <v>1.0</v>
      </c>
      <c r="AG388" s="32" t="s">
        <v>7043</v>
      </c>
    </row>
    <row r="389" ht="14.25" customHeight="1">
      <c r="A389" s="28" t="s">
        <v>4934</v>
      </c>
      <c r="B389" s="29" t="s">
        <v>4935</v>
      </c>
      <c r="C389" s="29" t="s">
        <v>7041</v>
      </c>
      <c r="D389" s="30">
        <v>45658.0</v>
      </c>
      <c r="E389" s="30">
        <v>46022.0</v>
      </c>
      <c r="F389" s="31">
        <v>1.0</v>
      </c>
      <c r="G389" s="31">
        <v>1.0</v>
      </c>
      <c r="H389" s="32" t="s">
        <v>7042</v>
      </c>
      <c r="I389" s="30">
        <v>46023.0</v>
      </c>
      <c r="J389" s="30">
        <v>46387.0</v>
      </c>
      <c r="K389" s="31">
        <v>0.0</v>
      </c>
      <c r="L389" s="31">
        <v>1.0</v>
      </c>
      <c r="M389" s="32" t="s">
        <v>7043</v>
      </c>
      <c r="N389" s="30">
        <v>46388.0</v>
      </c>
      <c r="O389" s="30">
        <v>46752.0</v>
      </c>
      <c r="P389" s="31">
        <v>0.0</v>
      </c>
      <c r="Q389" s="31">
        <v>1.0</v>
      </c>
      <c r="R389" s="32" t="s">
        <v>7043</v>
      </c>
      <c r="S389" s="30">
        <v>46753.0</v>
      </c>
      <c r="T389" s="30">
        <v>47118.0</v>
      </c>
      <c r="U389" s="31">
        <v>0.0</v>
      </c>
      <c r="V389" s="31">
        <v>1.0</v>
      </c>
      <c r="W389" s="32" t="s">
        <v>7043</v>
      </c>
      <c r="X389" s="30">
        <v>47119.0</v>
      </c>
      <c r="Y389" s="30">
        <v>47483.0</v>
      </c>
      <c r="Z389" s="31">
        <v>0.0</v>
      </c>
      <c r="AA389" s="31">
        <v>1.0</v>
      </c>
      <c r="AB389" s="32" t="s">
        <v>7043</v>
      </c>
      <c r="AC389" s="30">
        <v>47484.0</v>
      </c>
      <c r="AD389" s="30">
        <v>47848.0</v>
      </c>
      <c r="AE389" s="31">
        <v>0.0</v>
      </c>
      <c r="AF389" s="31">
        <v>1.0</v>
      </c>
      <c r="AG389" s="32" t="s">
        <v>7043</v>
      </c>
    </row>
    <row r="390" ht="14.25" customHeight="1">
      <c r="A390" s="28" t="s">
        <v>1386</v>
      </c>
      <c r="B390" s="29" t="s">
        <v>1387</v>
      </c>
      <c r="C390" s="29" t="s">
        <v>7044</v>
      </c>
      <c r="D390" s="30">
        <v>45658.0</v>
      </c>
      <c r="E390" s="30">
        <v>46022.0</v>
      </c>
      <c r="F390" s="31">
        <v>0.0</v>
      </c>
      <c r="G390" s="31">
        <v>1.0</v>
      </c>
      <c r="H390" s="32" t="s">
        <v>7043</v>
      </c>
      <c r="I390" s="30">
        <v>46023.0</v>
      </c>
      <c r="J390" s="30">
        <v>46387.0</v>
      </c>
      <c r="K390" s="31">
        <v>0.0</v>
      </c>
      <c r="L390" s="31">
        <v>1.0</v>
      </c>
      <c r="M390" s="32" t="s">
        <v>7043</v>
      </c>
      <c r="N390" s="30">
        <v>46388.0</v>
      </c>
      <c r="O390" s="30">
        <v>46752.0</v>
      </c>
      <c r="P390" s="31">
        <v>0.0</v>
      </c>
      <c r="Q390" s="31">
        <v>1.0</v>
      </c>
      <c r="R390" s="32" t="s">
        <v>7043</v>
      </c>
      <c r="S390" s="30">
        <v>46753.0</v>
      </c>
      <c r="T390" s="30">
        <v>47118.0</v>
      </c>
      <c r="U390" s="31">
        <v>0.0</v>
      </c>
      <c r="V390" s="31">
        <v>1.0</v>
      </c>
      <c r="W390" s="32" t="s">
        <v>7043</v>
      </c>
      <c r="X390" s="30">
        <v>47119.0</v>
      </c>
      <c r="Y390" s="30">
        <v>47483.0</v>
      </c>
      <c r="Z390" s="31">
        <v>0.0</v>
      </c>
      <c r="AA390" s="31">
        <v>1.0</v>
      </c>
      <c r="AB390" s="32" t="s">
        <v>7043</v>
      </c>
      <c r="AC390" s="30">
        <v>47484.0</v>
      </c>
      <c r="AD390" s="30">
        <v>47848.0</v>
      </c>
      <c r="AE390" s="31">
        <v>0.0</v>
      </c>
      <c r="AF390" s="31">
        <v>1.0</v>
      </c>
      <c r="AG390" s="32" t="s">
        <v>7043</v>
      </c>
    </row>
    <row r="391" ht="14.25" customHeight="1">
      <c r="A391" s="28" t="s">
        <v>2276</v>
      </c>
      <c r="B391" s="29" t="s">
        <v>2277</v>
      </c>
      <c r="C391" s="29" t="s">
        <v>7044</v>
      </c>
      <c r="D391" s="30">
        <v>45658.0</v>
      </c>
      <c r="E391" s="30">
        <v>46022.0</v>
      </c>
      <c r="F391" s="31">
        <v>0.0</v>
      </c>
      <c r="G391" s="31">
        <v>1.0</v>
      </c>
      <c r="H391" s="32" t="s">
        <v>7043</v>
      </c>
      <c r="I391" s="30">
        <v>46023.0</v>
      </c>
      <c r="J391" s="30">
        <v>46387.0</v>
      </c>
      <c r="K391" s="31">
        <v>0.0</v>
      </c>
      <c r="L391" s="31">
        <v>1.0</v>
      </c>
      <c r="M391" s="32" t="s">
        <v>7043</v>
      </c>
      <c r="N391" s="30">
        <v>46388.0</v>
      </c>
      <c r="O391" s="30">
        <v>46752.0</v>
      </c>
      <c r="P391" s="31">
        <v>0.0</v>
      </c>
      <c r="Q391" s="31">
        <v>1.0</v>
      </c>
      <c r="R391" s="32" t="s">
        <v>7043</v>
      </c>
      <c r="S391" s="30">
        <v>46753.0</v>
      </c>
      <c r="T391" s="30">
        <v>47118.0</v>
      </c>
      <c r="U391" s="31">
        <v>0.0</v>
      </c>
      <c r="V391" s="31">
        <v>1.0</v>
      </c>
      <c r="W391" s="32" t="s">
        <v>7043</v>
      </c>
      <c r="X391" s="30">
        <v>47119.0</v>
      </c>
      <c r="Y391" s="30">
        <v>47483.0</v>
      </c>
      <c r="Z391" s="31">
        <v>0.0</v>
      </c>
      <c r="AA391" s="31">
        <v>1.0</v>
      </c>
      <c r="AB391" s="32" t="s">
        <v>7043</v>
      </c>
      <c r="AC391" s="30">
        <v>47484.0</v>
      </c>
      <c r="AD391" s="30">
        <v>47848.0</v>
      </c>
      <c r="AE391" s="31">
        <v>0.0</v>
      </c>
      <c r="AF391" s="31">
        <v>1.0</v>
      </c>
      <c r="AG391" s="32" t="s">
        <v>7043</v>
      </c>
    </row>
    <row r="392" ht="14.25" customHeight="1">
      <c r="A392" s="28" t="s">
        <v>5747</v>
      </c>
      <c r="B392" s="29" t="s">
        <v>5748</v>
      </c>
      <c r="C392" s="29" t="s">
        <v>7044</v>
      </c>
      <c r="D392" s="30">
        <v>45658.0</v>
      </c>
      <c r="E392" s="30">
        <v>46022.0</v>
      </c>
      <c r="F392" s="31">
        <v>0.0</v>
      </c>
      <c r="G392" s="31">
        <v>1.0</v>
      </c>
      <c r="H392" s="32" t="s">
        <v>7043</v>
      </c>
      <c r="I392" s="30">
        <v>46023.0</v>
      </c>
      <c r="J392" s="30">
        <v>46387.0</v>
      </c>
      <c r="K392" s="31">
        <v>0.0</v>
      </c>
      <c r="L392" s="31">
        <v>1.0</v>
      </c>
      <c r="M392" s="32" t="s">
        <v>7043</v>
      </c>
      <c r="N392" s="30">
        <v>46388.0</v>
      </c>
      <c r="O392" s="30">
        <v>46752.0</v>
      </c>
      <c r="P392" s="31">
        <v>0.0</v>
      </c>
      <c r="Q392" s="31">
        <v>1.0</v>
      </c>
      <c r="R392" s="32" t="s">
        <v>7043</v>
      </c>
      <c r="S392" s="30">
        <v>46753.0</v>
      </c>
      <c r="T392" s="30">
        <v>47118.0</v>
      </c>
      <c r="U392" s="31">
        <v>0.0</v>
      </c>
      <c r="V392" s="31">
        <v>1.0</v>
      </c>
      <c r="W392" s="32" t="s">
        <v>7043</v>
      </c>
      <c r="X392" s="30">
        <v>47119.0</v>
      </c>
      <c r="Y392" s="30">
        <v>47483.0</v>
      </c>
      <c r="Z392" s="31">
        <v>0.0</v>
      </c>
      <c r="AA392" s="31">
        <v>1.0</v>
      </c>
      <c r="AB392" s="32" t="s">
        <v>7043</v>
      </c>
      <c r="AC392" s="30">
        <v>47484.0</v>
      </c>
      <c r="AD392" s="30">
        <v>47848.0</v>
      </c>
      <c r="AE392" s="31">
        <v>0.0</v>
      </c>
      <c r="AF392" s="31">
        <v>1.0</v>
      </c>
      <c r="AG392" s="32" t="s">
        <v>7043</v>
      </c>
    </row>
    <row r="393" ht="14.25" customHeight="1">
      <c r="A393" s="28" t="s">
        <v>3097</v>
      </c>
      <c r="B393" s="29" t="s">
        <v>3098</v>
      </c>
      <c r="C393" s="29" t="s">
        <v>7044</v>
      </c>
      <c r="D393" s="30">
        <v>45658.0</v>
      </c>
      <c r="E393" s="30">
        <v>46022.0</v>
      </c>
      <c r="F393" s="31">
        <v>0.0</v>
      </c>
      <c r="G393" s="31">
        <v>1.0</v>
      </c>
      <c r="H393" s="32" t="s">
        <v>7043</v>
      </c>
      <c r="I393" s="30">
        <v>46023.0</v>
      </c>
      <c r="J393" s="30">
        <v>46387.0</v>
      </c>
      <c r="K393" s="31">
        <v>0.0</v>
      </c>
      <c r="L393" s="31">
        <v>1.0</v>
      </c>
      <c r="M393" s="32" t="s">
        <v>7043</v>
      </c>
      <c r="N393" s="30">
        <v>46388.0</v>
      </c>
      <c r="O393" s="30">
        <v>46752.0</v>
      </c>
      <c r="P393" s="31">
        <v>0.0</v>
      </c>
      <c r="Q393" s="31">
        <v>1.0</v>
      </c>
      <c r="R393" s="32" t="s">
        <v>7043</v>
      </c>
      <c r="S393" s="30">
        <v>46753.0</v>
      </c>
      <c r="T393" s="30">
        <v>47118.0</v>
      </c>
      <c r="U393" s="31">
        <v>0.0</v>
      </c>
      <c r="V393" s="31">
        <v>1.0</v>
      </c>
      <c r="W393" s="32" t="s">
        <v>7043</v>
      </c>
      <c r="X393" s="30">
        <v>47119.0</v>
      </c>
      <c r="Y393" s="30">
        <v>47483.0</v>
      </c>
      <c r="Z393" s="31">
        <v>0.0</v>
      </c>
      <c r="AA393" s="31">
        <v>1.0</v>
      </c>
      <c r="AB393" s="32" t="s">
        <v>7043</v>
      </c>
      <c r="AC393" s="30">
        <v>47484.0</v>
      </c>
      <c r="AD393" s="30">
        <v>47848.0</v>
      </c>
      <c r="AE393" s="31">
        <v>0.0</v>
      </c>
      <c r="AF393" s="31">
        <v>1.0</v>
      </c>
      <c r="AG393" s="32" t="s">
        <v>7043</v>
      </c>
    </row>
    <row r="394" ht="14.25" customHeight="1">
      <c r="A394" s="28" t="s">
        <v>6796</v>
      </c>
      <c r="B394" s="29" t="s">
        <v>6797</v>
      </c>
      <c r="C394" s="29" t="s">
        <v>7041</v>
      </c>
      <c r="D394" s="30">
        <v>45658.0</v>
      </c>
      <c r="E394" s="30">
        <v>46022.0</v>
      </c>
      <c r="F394" s="31">
        <v>0.0</v>
      </c>
      <c r="G394" s="31">
        <v>1.0</v>
      </c>
      <c r="H394" s="32" t="s">
        <v>7043</v>
      </c>
      <c r="I394" s="30">
        <v>46023.0</v>
      </c>
      <c r="J394" s="30">
        <v>46387.0</v>
      </c>
      <c r="K394" s="31">
        <v>0.0</v>
      </c>
      <c r="L394" s="31">
        <v>1.0</v>
      </c>
      <c r="M394" s="32" t="s">
        <v>7043</v>
      </c>
      <c r="N394" s="30">
        <v>46388.0</v>
      </c>
      <c r="O394" s="30">
        <v>46752.0</v>
      </c>
      <c r="P394" s="31">
        <v>0.0</v>
      </c>
      <c r="Q394" s="31">
        <v>1.0</v>
      </c>
      <c r="R394" s="32" t="s">
        <v>7043</v>
      </c>
      <c r="S394" s="30">
        <v>46753.0</v>
      </c>
      <c r="T394" s="30">
        <v>47118.0</v>
      </c>
      <c r="U394" s="31">
        <v>0.0</v>
      </c>
      <c r="V394" s="31">
        <v>1.0</v>
      </c>
      <c r="W394" s="32" t="s">
        <v>7043</v>
      </c>
      <c r="X394" s="30">
        <v>47119.0</v>
      </c>
      <c r="Y394" s="30">
        <v>47483.0</v>
      </c>
      <c r="Z394" s="31">
        <v>0.0</v>
      </c>
      <c r="AA394" s="31">
        <v>1.0</v>
      </c>
      <c r="AB394" s="32" t="s">
        <v>7043</v>
      </c>
      <c r="AC394" s="30">
        <v>47484.0</v>
      </c>
      <c r="AD394" s="30">
        <v>47848.0</v>
      </c>
      <c r="AE394" s="31">
        <v>0.0</v>
      </c>
      <c r="AF394" s="31">
        <v>1.0</v>
      </c>
      <c r="AG394" s="32" t="s">
        <v>7043</v>
      </c>
    </row>
    <row r="395" ht="14.25" customHeight="1">
      <c r="A395" s="28" t="s">
        <v>5409</v>
      </c>
      <c r="B395" s="29" t="s">
        <v>5410</v>
      </c>
      <c r="C395" s="29" t="s">
        <v>7041</v>
      </c>
      <c r="D395" s="30">
        <v>45658.0</v>
      </c>
      <c r="E395" s="30">
        <v>46022.0</v>
      </c>
      <c r="F395" s="31">
        <v>0.0</v>
      </c>
      <c r="G395" s="31">
        <v>1.0</v>
      </c>
      <c r="H395" s="32" t="s">
        <v>7043</v>
      </c>
      <c r="I395" s="30">
        <v>46023.0</v>
      </c>
      <c r="J395" s="30">
        <v>46387.0</v>
      </c>
      <c r="K395" s="31">
        <v>0.0</v>
      </c>
      <c r="L395" s="31">
        <v>1.0</v>
      </c>
      <c r="M395" s="32" t="s">
        <v>7043</v>
      </c>
      <c r="N395" s="30">
        <v>46388.0</v>
      </c>
      <c r="O395" s="30">
        <v>46752.0</v>
      </c>
      <c r="P395" s="31">
        <v>0.0</v>
      </c>
      <c r="Q395" s="31">
        <v>1.0</v>
      </c>
      <c r="R395" s="32" t="s">
        <v>7043</v>
      </c>
      <c r="S395" s="30">
        <v>46753.0</v>
      </c>
      <c r="T395" s="30">
        <v>47118.0</v>
      </c>
      <c r="U395" s="31">
        <v>0.0</v>
      </c>
      <c r="V395" s="31">
        <v>1.0</v>
      </c>
      <c r="W395" s="32" t="s">
        <v>7043</v>
      </c>
      <c r="X395" s="30">
        <v>47119.0</v>
      </c>
      <c r="Y395" s="30">
        <v>47483.0</v>
      </c>
      <c r="Z395" s="31">
        <v>0.0</v>
      </c>
      <c r="AA395" s="31">
        <v>1.0</v>
      </c>
      <c r="AB395" s="32" t="s">
        <v>7043</v>
      </c>
      <c r="AC395" s="30">
        <v>47484.0</v>
      </c>
      <c r="AD395" s="30">
        <v>47848.0</v>
      </c>
      <c r="AE395" s="31">
        <v>0.0</v>
      </c>
      <c r="AF395" s="31">
        <v>1.0</v>
      </c>
      <c r="AG395" s="32" t="s">
        <v>7043</v>
      </c>
    </row>
    <row r="396" ht="14.25" customHeight="1">
      <c r="A396" s="28" t="s">
        <v>5854</v>
      </c>
      <c r="B396" s="29" t="s">
        <v>5855</v>
      </c>
      <c r="C396" s="29" t="s">
        <v>7041</v>
      </c>
      <c r="D396" s="30">
        <v>45658.0</v>
      </c>
      <c r="E396" s="30">
        <v>46022.0</v>
      </c>
      <c r="F396" s="31">
        <v>1.0</v>
      </c>
      <c r="G396" s="31">
        <v>1.0</v>
      </c>
      <c r="H396" s="33" t="s">
        <v>7042</v>
      </c>
      <c r="I396" s="30">
        <v>46023.0</v>
      </c>
      <c r="J396" s="30">
        <v>46387.0</v>
      </c>
      <c r="K396" s="31">
        <v>0.0</v>
      </c>
      <c r="L396" s="31">
        <v>1.0</v>
      </c>
      <c r="M396" s="32" t="s">
        <v>7043</v>
      </c>
      <c r="N396" s="30">
        <v>46388.0</v>
      </c>
      <c r="O396" s="30">
        <v>46752.0</v>
      </c>
      <c r="P396" s="31">
        <v>0.0</v>
      </c>
      <c r="Q396" s="31">
        <v>1.0</v>
      </c>
      <c r="R396" s="32" t="s">
        <v>7043</v>
      </c>
      <c r="S396" s="30">
        <v>46753.0</v>
      </c>
      <c r="T396" s="30">
        <v>47118.0</v>
      </c>
      <c r="U396" s="31">
        <v>0.0</v>
      </c>
      <c r="V396" s="31">
        <v>1.0</v>
      </c>
      <c r="W396" s="32" t="s">
        <v>7043</v>
      </c>
      <c r="X396" s="30">
        <v>47119.0</v>
      </c>
      <c r="Y396" s="30">
        <v>47483.0</v>
      </c>
      <c r="Z396" s="31">
        <v>0.0</v>
      </c>
      <c r="AA396" s="31">
        <v>1.0</v>
      </c>
      <c r="AB396" s="32" t="s">
        <v>7043</v>
      </c>
      <c r="AC396" s="30">
        <v>47484.0</v>
      </c>
      <c r="AD396" s="30">
        <v>47848.0</v>
      </c>
      <c r="AE396" s="31">
        <v>0.0</v>
      </c>
      <c r="AF396" s="31">
        <v>1.0</v>
      </c>
      <c r="AG396" s="32" t="s">
        <v>7043</v>
      </c>
    </row>
    <row r="397" ht="14.25" customHeight="1">
      <c r="A397" s="28" t="s">
        <v>444</v>
      </c>
      <c r="B397" s="29" t="s">
        <v>445</v>
      </c>
      <c r="C397" s="29" t="s">
        <v>7041</v>
      </c>
      <c r="D397" s="30">
        <v>45658.0</v>
      </c>
      <c r="E397" s="30">
        <v>46022.0</v>
      </c>
      <c r="F397" s="31">
        <v>1.0</v>
      </c>
      <c r="G397" s="31">
        <v>1.0</v>
      </c>
      <c r="H397" s="33" t="s">
        <v>7042</v>
      </c>
      <c r="I397" s="30">
        <v>46023.0</v>
      </c>
      <c r="J397" s="30">
        <v>46387.0</v>
      </c>
      <c r="K397" s="31">
        <v>0.0</v>
      </c>
      <c r="L397" s="31">
        <v>1.0</v>
      </c>
      <c r="M397" s="32" t="s">
        <v>7043</v>
      </c>
      <c r="N397" s="30">
        <v>46388.0</v>
      </c>
      <c r="O397" s="30">
        <v>46752.0</v>
      </c>
      <c r="P397" s="31">
        <v>0.0</v>
      </c>
      <c r="Q397" s="31">
        <v>1.0</v>
      </c>
      <c r="R397" s="32" t="s">
        <v>7043</v>
      </c>
      <c r="S397" s="30">
        <v>46753.0</v>
      </c>
      <c r="T397" s="30">
        <v>47118.0</v>
      </c>
      <c r="U397" s="31">
        <v>0.0</v>
      </c>
      <c r="V397" s="31">
        <v>1.0</v>
      </c>
      <c r="W397" s="32" t="s">
        <v>7043</v>
      </c>
      <c r="X397" s="30">
        <v>47119.0</v>
      </c>
      <c r="Y397" s="30">
        <v>47483.0</v>
      </c>
      <c r="Z397" s="31">
        <v>0.0</v>
      </c>
      <c r="AA397" s="31">
        <v>1.0</v>
      </c>
      <c r="AB397" s="32" t="s">
        <v>7043</v>
      </c>
      <c r="AC397" s="30">
        <v>47484.0</v>
      </c>
      <c r="AD397" s="30">
        <v>47848.0</v>
      </c>
      <c r="AE397" s="31">
        <v>0.0</v>
      </c>
      <c r="AF397" s="31">
        <v>1.0</v>
      </c>
      <c r="AG397" s="32" t="s">
        <v>7043</v>
      </c>
    </row>
    <row r="398" ht="14.25" customHeight="1">
      <c r="A398" s="28" t="s">
        <v>1516</v>
      </c>
      <c r="B398" s="29" t="s">
        <v>1517</v>
      </c>
      <c r="C398" s="29" t="s">
        <v>7041</v>
      </c>
      <c r="D398" s="30">
        <v>45658.0</v>
      </c>
      <c r="E398" s="30">
        <v>46022.0</v>
      </c>
      <c r="F398" s="31">
        <v>0.0</v>
      </c>
      <c r="G398" s="31">
        <v>1.0</v>
      </c>
      <c r="H398" s="32" t="s">
        <v>7043</v>
      </c>
      <c r="I398" s="30">
        <v>46023.0</v>
      </c>
      <c r="J398" s="30">
        <v>46387.0</v>
      </c>
      <c r="K398" s="31">
        <v>0.0</v>
      </c>
      <c r="L398" s="31">
        <v>1.0</v>
      </c>
      <c r="M398" s="32" t="s">
        <v>7043</v>
      </c>
      <c r="N398" s="30">
        <v>46388.0</v>
      </c>
      <c r="O398" s="30">
        <v>46752.0</v>
      </c>
      <c r="P398" s="31">
        <v>0.0</v>
      </c>
      <c r="Q398" s="31">
        <v>1.0</v>
      </c>
      <c r="R398" s="32" t="s">
        <v>7043</v>
      </c>
      <c r="S398" s="30">
        <v>46753.0</v>
      </c>
      <c r="T398" s="30">
        <v>47118.0</v>
      </c>
      <c r="U398" s="31">
        <v>0.0</v>
      </c>
      <c r="V398" s="31">
        <v>1.0</v>
      </c>
      <c r="W398" s="32" t="s">
        <v>7043</v>
      </c>
      <c r="X398" s="30">
        <v>47119.0</v>
      </c>
      <c r="Y398" s="30">
        <v>47483.0</v>
      </c>
      <c r="Z398" s="31">
        <v>0.0</v>
      </c>
      <c r="AA398" s="31">
        <v>1.0</v>
      </c>
      <c r="AB398" s="32" t="s">
        <v>7043</v>
      </c>
      <c r="AC398" s="30">
        <v>47484.0</v>
      </c>
      <c r="AD398" s="30">
        <v>47848.0</v>
      </c>
      <c r="AE398" s="31">
        <v>0.0</v>
      </c>
      <c r="AF398" s="31">
        <v>1.0</v>
      </c>
      <c r="AG398" s="32" t="s">
        <v>7043</v>
      </c>
    </row>
    <row r="399" ht="14.25" customHeight="1">
      <c r="A399" s="28" t="s">
        <v>153</v>
      </c>
      <c r="B399" s="29" t="s">
        <v>154</v>
      </c>
      <c r="C399" s="29" t="s">
        <v>7041</v>
      </c>
      <c r="D399" s="30">
        <v>45658.0</v>
      </c>
      <c r="E399" s="30">
        <v>46022.0</v>
      </c>
      <c r="F399" s="31">
        <v>0.0</v>
      </c>
      <c r="G399" s="31">
        <v>1.0</v>
      </c>
      <c r="H399" s="32" t="s">
        <v>7043</v>
      </c>
      <c r="I399" s="30">
        <v>46023.0</v>
      </c>
      <c r="J399" s="30">
        <v>46387.0</v>
      </c>
      <c r="K399" s="31">
        <v>0.0</v>
      </c>
      <c r="L399" s="31">
        <v>1.0</v>
      </c>
      <c r="M399" s="32" t="s">
        <v>7043</v>
      </c>
      <c r="N399" s="30">
        <v>46388.0</v>
      </c>
      <c r="O399" s="30">
        <v>46752.0</v>
      </c>
      <c r="P399" s="31">
        <v>0.0</v>
      </c>
      <c r="Q399" s="31">
        <v>1.0</v>
      </c>
      <c r="R399" s="32" t="s">
        <v>7043</v>
      </c>
      <c r="S399" s="30">
        <v>46753.0</v>
      </c>
      <c r="T399" s="30">
        <v>47118.0</v>
      </c>
      <c r="U399" s="31">
        <v>0.0</v>
      </c>
      <c r="V399" s="31">
        <v>1.0</v>
      </c>
      <c r="W399" s="32" t="s">
        <v>7043</v>
      </c>
      <c r="X399" s="30">
        <v>47119.0</v>
      </c>
      <c r="Y399" s="30">
        <v>47483.0</v>
      </c>
      <c r="Z399" s="31">
        <v>0.0</v>
      </c>
      <c r="AA399" s="31">
        <v>1.0</v>
      </c>
      <c r="AB399" s="32" t="s">
        <v>7043</v>
      </c>
      <c r="AC399" s="30">
        <v>47484.0</v>
      </c>
      <c r="AD399" s="30">
        <v>47848.0</v>
      </c>
      <c r="AE399" s="31">
        <v>0.0</v>
      </c>
      <c r="AF399" s="31">
        <v>1.0</v>
      </c>
      <c r="AG399" s="32" t="s">
        <v>7043</v>
      </c>
    </row>
    <row r="400" ht="14.25" customHeight="1">
      <c r="A400" s="28" t="s">
        <v>2678</v>
      </c>
      <c r="B400" s="29" t="s">
        <v>2679</v>
      </c>
      <c r="C400" s="29" t="s">
        <v>7041</v>
      </c>
      <c r="D400" s="30">
        <v>45658.0</v>
      </c>
      <c r="E400" s="30">
        <v>46022.0</v>
      </c>
      <c r="F400" s="31">
        <v>0.0</v>
      </c>
      <c r="G400" s="31">
        <v>1.0</v>
      </c>
      <c r="H400" s="32" t="s">
        <v>7043</v>
      </c>
      <c r="I400" s="30">
        <v>46023.0</v>
      </c>
      <c r="J400" s="30">
        <v>46387.0</v>
      </c>
      <c r="K400" s="31">
        <v>0.0</v>
      </c>
      <c r="L400" s="31">
        <v>1.0</v>
      </c>
      <c r="M400" s="32" t="s">
        <v>7043</v>
      </c>
      <c r="N400" s="30">
        <v>46388.0</v>
      </c>
      <c r="O400" s="30">
        <v>46752.0</v>
      </c>
      <c r="P400" s="31">
        <v>0.0</v>
      </c>
      <c r="Q400" s="31">
        <v>1.0</v>
      </c>
      <c r="R400" s="32" t="s">
        <v>7043</v>
      </c>
      <c r="S400" s="30">
        <v>46753.0</v>
      </c>
      <c r="T400" s="30">
        <v>47118.0</v>
      </c>
      <c r="U400" s="31">
        <v>0.0</v>
      </c>
      <c r="V400" s="31">
        <v>1.0</v>
      </c>
      <c r="W400" s="32" t="s">
        <v>7043</v>
      </c>
      <c r="X400" s="30">
        <v>47119.0</v>
      </c>
      <c r="Y400" s="30">
        <v>47483.0</v>
      </c>
      <c r="Z400" s="31">
        <v>0.0</v>
      </c>
      <c r="AA400" s="31">
        <v>1.0</v>
      </c>
      <c r="AB400" s="32" t="s">
        <v>7043</v>
      </c>
      <c r="AC400" s="30">
        <v>47484.0</v>
      </c>
      <c r="AD400" s="30">
        <v>47848.0</v>
      </c>
      <c r="AE400" s="31">
        <v>0.0</v>
      </c>
      <c r="AF400" s="31">
        <v>1.0</v>
      </c>
      <c r="AG400" s="32" t="s">
        <v>7043</v>
      </c>
    </row>
    <row r="401" ht="14.25" customHeight="1">
      <c r="A401" s="28" t="s">
        <v>3931</v>
      </c>
      <c r="B401" s="29" t="s">
        <v>3932</v>
      </c>
      <c r="C401" s="29" t="s">
        <v>7044</v>
      </c>
      <c r="D401" s="30">
        <v>45658.0</v>
      </c>
      <c r="E401" s="30">
        <v>46022.0</v>
      </c>
      <c r="F401" s="31">
        <v>0.0</v>
      </c>
      <c r="G401" s="31">
        <v>1.0</v>
      </c>
      <c r="H401" s="32" t="s">
        <v>7043</v>
      </c>
      <c r="I401" s="30">
        <v>46023.0</v>
      </c>
      <c r="J401" s="30">
        <v>46387.0</v>
      </c>
      <c r="K401" s="31">
        <v>0.0</v>
      </c>
      <c r="L401" s="31">
        <v>1.0</v>
      </c>
      <c r="M401" s="32" t="s">
        <v>7043</v>
      </c>
      <c r="N401" s="30">
        <v>46388.0</v>
      </c>
      <c r="O401" s="30">
        <v>46752.0</v>
      </c>
      <c r="P401" s="31">
        <v>0.0</v>
      </c>
      <c r="Q401" s="31">
        <v>1.0</v>
      </c>
      <c r="R401" s="32" t="s">
        <v>7043</v>
      </c>
      <c r="S401" s="30">
        <v>46753.0</v>
      </c>
      <c r="T401" s="30">
        <v>47118.0</v>
      </c>
      <c r="U401" s="31">
        <v>0.0</v>
      </c>
      <c r="V401" s="31">
        <v>1.0</v>
      </c>
      <c r="W401" s="32" t="s">
        <v>7043</v>
      </c>
      <c r="X401" s="30">
        <v>47119.0</v>
      </c>
      <c r="Y401" s="30">
        <v>47483.0</v>
      </c>
      <c r="Z401" s="31">
        <v>0.0</v>
      </c>
      <c r="AA401" s="31">
        <v>1.0</v>
      </c>
      <c r="AB401" s="32" t="s">
        <v>7043</v>
      </c>
      <c r="AC401" s="30">
        <v>47484.0</v>
      </c>
      <c r="AD401" s="30">
        <v>47848.0</v>
      </c>
      <c r="AE401" s="31">
        <v>0.0</v>
      </c>
      <c r="AF401" s="31">
        <v>1.0</v>
      </c>
      <c r="AG401" s="32" t="s">
        <v>7043</v>
      </c>
    </row>
    <row r="402" ht="14.25" customHeight="1">
      <c r="A402" s="28" t="s">
        <v>4949</v>
      </c>
      <c r="B402" s="29" t="s">
        <v>4950</v>
      </c>
      <c r="C402" s="29" t="s">
        <v>7044</v>
      </c>
      <c r="D402" s="30">
        <v>45658.0</v>
      </c>
      <c r="E402" s="30">
        <v>46022.0</v>
      </c>
      <c r="F402" s="31">
        <v>0.0</v>
      </c>
      <c r="G402" s="31">
        <v>1.0</v>
      </c>
      <c r="H402" s="32" t="s">
        <v>7043</v>
      </c>
      <c r="I402" s="30">
        <v>46023.0</v>
      </c>
      <c r="J402" s="30">
        <v>46387.0</v>
      </c>
      <c r="K402" s="31">
        <v>0.0</v>
      </c>
      <c r="L402" s="31">
        <v>1.0</v>
      </c>
      <c r="M402" s="32" t="s">
        <v>7043</v>
      </c>
      <c r="N402" s="30">
        <v>46388.0</v>
      </c>
      <c r="O402" s="30">
        <v>46752.0</v>
      </c>
      <c r="P402" s="31">
        <v>0.0</v>
      </c>
      <c r="Q402" s="31">
        <v>1.0</v>
      </c>
      <c r="R402" s="32" t="s">
        <v>7043</v>
      </c>
      <c r="S402" s="30">
        <v>46753.0</v>
      </c>
      <c r="T402" s="30">
        <v>47118.0</v>
      </c>
      <c r="U402" s="31">
        <v>0.0</v>
      </c>
      <c r="V402" s="31">
        <v>1.0</v>
      </c>
      <c r="W402" s="32" t="s">
        <v>7043</v>
      </c>
      <c r="X402" s="30">
        <v>47119.0</v>
      </c>
      <c r="Y402" s="30">
        <v>47483.0</v>
      </c>
      <c r="Z402" s="31">
        <v>0.0</v>
      </c>
      <c r="AA402" s="31">
        <v>1.0</v>
      </c>
      <c r="AB402" s="32" t="s">
        <v>7043</v>
      </c>
      <c r="AC402" s="30">
        <v>47484.0</v>
      </c>
      <c r="AD402" s="30">
        <v>47848.0</v>
      </c>
      <c r="AE402" s="31">
        <v>0.0</v>
      </c>
      <c r="AF402" s="31">
        <v>1.0</v>
      </c>
      <c r="AG402" s="32" t="s">
        <v>7043</v>
      </c>
    </row>
    <row r="403" ht="14.25" customHeight="1">
      <c r="A403" s="28" t="s">
        <v>4943</v>
      </c>
      <c r="B403" s="29" t="s">
        <v>4944</v>
      </c>
      <c r="C403" s="29" t="s">
        <v>7044</v>
      </c>
      <c r="D403" s="30">
        <v>45658.0</v>
      </c>
      <c r="E403" s="30">
        <v>46022.0</v>
      </c>
      <c r="F403" s="31">
        <v>0.0</v>
      </c>
      <c r="G403" s="31">
        <v>1.0</v>
      </c>
      <c r="H403" s="32" t="s">
        <v>7043</v>
      </c>
      <c r="I403" s="30">
        <v>46023.0</v>
      </c>
      <c r="J403" s="30">
        <v>46387.0</v>
      </c>
      <c r="K403" s="31">
        <v>0.0</v>
      </c>
      <c r="L403" s="31">
        <v>1.0</v>
      </c>
      <c r="M403" s="32" t="s">
        <v>7043</v>
      </c>
      <c r="N403" s="30">
        <v>46388.0</v>
      </c>
      <c r="O403" s="30">
        <v>46752.0</v>
      </c>
      <c r="P403" s="31">
        <v>0.0</v>
      </c>
      <c r="Q403" s="31">
        <v>1.0</v>
      </c>
      <c r="R403" s="32" t="s">
        <v>7043</v>
      </c>
      <c r="S403" s="30">
        <v>46753.0</v>
      </c>
      <c r="T403" s="30">
        <v>47118.0</v>
      </c>
      <c r="U403" s="31">
        <v>0.0</v>
      </c>
      <c r="V403" s="31">
        <v>1.0</v>
      </c>
      <c r="W403" s="32" t="s">
        <v>7043</v>
      </c>
      <c r="X403" s="30">
        <v>47119.0</v>
      </c>
      <c r="Y403" s="30">
        <v>47483.0</v>
      </c>
      <c r="Z403" s="31">
        <v>0.0</v>
      </c>
      <c r="AA403" s="31">
        <v>1.0</v>
      </c>
      <c r="AB403" s="32" t="s">
        <v>7043</v>
      </c>
      <c r="AC403" s="30">
        <v>47484.0</v>
      </c>
      <c r="AD403" s="30">
        <v>47848.0</v>
      </c>
      <c r="AE403" s="31">
        <v>0.0</v>
      </c>
      <c r="AF403" s="31">
        <v>1.0</v>
      </c>
      <c r="AG403" s="32" t="s">
        <v>7043</v>
      </c>
    </row>
    <row r="404" ht="14.25" customHeight="1">
      <c r="A404" s="28" t="s">
        <v>5906</v>
      </c>
      <c r="B404" s="29" t="s">
        <v>5907</v>
      </c>
      <c r="C404" s="29" t="s">
        <v>7044</v>
      </c>
      <c r="D404" s="30">
        <v>45658.0</v>
      </c>
      <c r="E404" s="30">
        <v>46022.0</v>
      </c>
      <c r="F404" s="31">
        <v>0.0</v>
      </c>
      <c r="G404" s="31">
        <v>1.0</v>
      </c>
      <c r="H404" s="32" t="s">
        <v>7043</v>
      </c>
      <c r="I404" s="30">
        <v>46023.0</v>
      </c>
      <c r="J404" s="30">
        <v>46387.0</v>
      </c>
      <c r="K404" s="31">
        <v>0.0</v>
      </c>
      <c r="L404" s="31">
        <v>1.0</v>
      </c>
      <c r="M404" s="32" t="s">
        <v>7043</v>
      </c>
      <c r="N404" s="30">
        <v>46388.0</v>
      </c>
      <c r="O404" s="30">
        <v>46752.0</v>
      </c>
      <c r="P404" s="31">
        <v>0.0</v>
      </c>
      <c r="Q404" s="31">
        <v>1.0</v>
      </c>
      <c r="R404" s="32" t="s">
        <v>7043</v>
      </c>
      <c r="S404" s="30">
        <v>46753.0</v>
      </c>
      <c r="T404" s="30">
        <v>47118.0</v>
      </c>
      <c r="U404" s="31">
        <v>0.0</v>
      </c>
      <c r="V404" s="31">
        <v>1.0</v>
      </c>
      <c r="W404" s="32" t="s">
        <v>7043</v>
      </c>
      <c r="X404" s="30">
        <v>47119.0</v>
      </c>
      <c r="Y404" s="30">
        <v>47483.0</v>
      </c>
      <c r="Z404" s="31">
        <v>0.0</v>
      </c>
      <c r="AA404" s="31">
        <v>1.0</v>
      </c>
      <c r="AB404" s="32" t="s">
        <v>7043</v>
      </c>
      <c r="AC404" s="30">
        <v>47484.0</v>
      </c>
      <c r="AD404" s="30">
        <v>47848.0</v>
      </c>
      <c r="AE404" s="31">
        <v>0.0</v>
      </c>
      <c r="AF404" s="31">
        <v>1.0</v>
      </c>
      <c r="AG404" s="32" t="s">
        <v>7043</v>
      </c>
    </row>
    <row r="405" ht="14.25" customHeight="1">
      <c r="A405" s="28" t="s">
        <v>5966</v>
      </c>
      <c r="B405" s="29" t="s">
        <v>5967</v>
      </c>
      <c r="C405" s="29" t="s">
        <v>7044</v>
      </c>
      <c r="D405" s="30">
        <v>45658.0</v>
      </c>
      <c r="E405" s="30">
        <v>46022.0</v>
      </c>
      <c r="F405" s="31">
        <v>0.0</v>
      </c>
      <c r="G405" s="31">
        <v>1.0</v>
      </c>
      <c r="H405" s="32" t="s">
        <v>7043</v>
      </c>
      <c r="I405" s="30">
        <v>46023.0</v>
      </c>
      <c r="J405" s="30">
        <v>46387.0</v>
      </c>
      <c r="K405" s="31">
        <v>0.0</v>
      </c>
      <c r="L405" s="31">
        <v>1.0</v>
      </c>
      <c r="M405" s="32" t="s">
        <v>7043</v>
      </c>
      <c r="N405" s="30">
        <v>46388.0</v>
      </c>
      <c r="O405" s="30">
        <v>46752.0</v>
      </c>
      <c r="P405" s="31">
        <v>0.0</v>
      </c>
      <c r="Q405" s="31">
        <v>1.0</v>
      </c>
      <c r="R405" s="32" t="s">
        <v>7043</v>
      </c>
      <c r="S405" s="30">
        <v>46753.0</v>
      </c>
      <c r="T405" s="30">
        <v>47118.0</v>
      </c>
      <c r="U405" s="31">
        <v>0.0</v>
      </c>
      <c r="V405" s="31">
        <v>1.0</v>
      </c>
      <c r="W405" s="32" t="s">
        <v>7043</v>
      </c>
      <c r="X405" s="30">
        <v>47119.0</v>
      </c>
      <c r="Y405" s="30">
        <v>47483.0</v>
      </c>
      <c r="Z405" s="31">
        <v>0.0</v>
      </c>
      <c r="AA405" s="31">
        <v>1.0</v>
      </c>
      <c r="AB405" s="32" t="s">
        <v>7043</v>
      </c>
      <c r="AC405" s="30">
        <v>47484.0</v>
      </c>
      <c r="AD405" s="30">
        <v>47848.0</v>
      </c>
      <c r="AE405" s="31">
        <v>0.0</v>
      </c>
      <c r="AF405" s="31">
        <v>1.0</v>
      </c>
      <c r="AG405" s="32" t="s">
        <v>7043</v>
      </c>
    </row>
    <row r="406" ht="14.25" customHeight="1">
      <c r="A406" s="28" t="s">
        <v>2243</v>
      </c>
      <c r="B406" s="29" t="s">
        <v>2244</v>
      </c>
      <c r="C406" s="29" t="s">
        <v>7041</v>
      </c>
      <c r="D406" s="30">
        <v>45658.0</v>
      </c>
      <c r="E406" s="30">
        <v>46022.0</v>
      </c>
      <c r="F406" s="31">
        <v>0.0</v>
      </c>
      <c r="G406" s="31">
        <v>1.0</v>
      </c>
      <c r="H406" s="32" t="s">
        <v>7043</v>
      </c>
      <c r="I406" s="30">
        <v>46023.0</v>
      </c>
      <c r="J406" s="30">
        <v>46387.0</v>
      </c>
      <c r="K406" s="31">
        <v>0.0</v>
      </c>
      <c r="L406" s="31">
        <v>1.0</v>
      </c>
      <c r="M406" s="32" t="s">
        <v>7043</v>
      </c>
      <c r="N406" s="30">
        <v>46388.0</v>
      </c>
      <c r="O406" s="30">
        <v>46752.0</v>
      </c>
      <c r="P406" s="31">
        <v>0.0</v>
      </c>
      <c r="Q406" s="31">
        <v>1.0</v>
      </c>
      <c r="R406" s="32" t="s">
        <v>7043</v>
      </c>
      <c r="S406" s="30">
        <v>46753.0</v>
      </c>
      <c r="T406" s="30">
        <v>47118.0</v>
      </c>
      <c r="U406" s="31">
        <v>0.0</v>
      </c>
      <c r="V406" s="31">
        <v>1.0</v>
      </c>
      <c r="W406" s="32" t="s">
        <v>7043</v>
      </c>
      <c r="X406" s="30">
        <v>47119.0</v>
      </c>
      <c r="Y406" s="30">
        <v>47483.0</v>
      </c>
      <c r="Z406" s="31">
        <v>0.0</v>
      </c>
      <c r="AA406" s="31">
        <v>1.0</v>
      </c>
      <c r="AB406" s="32" t="s">
        <v>7043</v>
      </c>
      <c r="AC406" s="30">
        <v>47484.0</v>
      </c>
      <c r="AD406" s="30">
        <v>47848.0</v>
      </c>
      <c r="AE406" s="31">
        <v>0.0</v>
      </c>
      <c r="AF406" s="31">
        <v>1.0</v>
      </c>
      <c r="AG406" s="32" t="s">
        <v>7043</v>
      </c>
    </row>
    <row r="407" ht="14.25" customHeight="1">
      <c r="A407" s="28" t="s">
        <v>2352</v>
      </c>
      <c r="B407" s="29" t="s">
        <v>2353</v>
      </c>
      <c r="C407" s="29" t="s">
        <v>7041</v>
      </c>
      <c r="D407" s="30">
        <v>45658.0</v>
      </c>
      <c r="E407" s="30">
        <v>46022.0</v>
      </c>
      <c r="F407" s="31">
        <v>0.0</v>
      </c>
      <c r="G407" s="31">
        <v>1.0</v>
      </c>
      <c r="H407" s="32" t="s">
        <v>7043</v>
      </c>
      <c r="I407" s="30">
        <v>46023.0</v>
      </c>
      <c r="J407" s="30">
        <v>46387.0</v>
      </c>
      <c r="K407" s="31">
        <v>0.0</v>
      </c>
      <c r="L407" s="31">
        <v>1.0</v>
      </c>
      <c r="M407" s="32" t="s">
        <v>7043</v>
      </c>
      <c r="N407" s="30">
        <v>46388.0</v>
      </c>
      <c r="O407" s="30">
        <v>46752.0</v>
      </c>
      <c r="P407" s="31">
        <v>0.0</v>
      </c>
      <c r="Q407" s="31">
        <v>1.0</v>
      </c>
      <c r="R407" s="32" t="s">
        <v>7043</v>
      </c>
      <c r="S407" s="30">
        <v>46753.0</v>
      </c>
      <c r="T407" s="30">
        <v>47118.0</v>
      </c>
      <c r="U407" s="31">
        <v>0.0</v>
      </c>
      <c r="V407" s="31">
        <v>1.0</v>
      </c>
      <c r="W407" s="32" t="s">
        <v>7043</v>
      </c>
      <c r="X407" s="30">
        <v>47119.0</v>
      </c>
      <c r="Y407" s="30">
        <v>47483.0</v>
      </c>
      <c r="Z407" s="31">
        <v>0.0</v>
      </c>
      <c r="AA407" s="31">
        <v>1.0</v>
      </c>
      <c r="AB407" s="32" t="s">
        <v>7043</v>
      </c>
      <c r="AC407" s="30">
        <v>47484.0</v>
      </c>
      <c r="AD407" s="30">
        <v>47848.0</v>
      </c>
      <c r="AE407" s="31">
        <v>0.0</v>
      </c>
      <c r="AF407" s="31">
        <v>1.0</v>
      </c>
      <c r="AG407" s="32" t="s">
        <v>7043</v>
      </c>
    </row>
    <row r="408" ht="14.25" customHeight="1">
      <c r="A408" s="28" t="s">
        <v>3771</v>
      </c>
      <c r="B408" s="29" t="s">
        <v>3772</v>
      </c>
      <c r="C408" s="29" t="s">
        <v>7041</v>
      </c>
      <c r="D408" s="30">
        <v>45658.0</v>
      </c>
      <c r="E408" s="30">
        <v>46022.0</v>
      </c>
      <c r="F408" s="31">
        <v>1.0</v>
      </c>
      <c r="G408" s="31">
        <v>1.0</v>
      </c>
      <c r="H408" s="32" t="s">
        <v>7042</v>
      </c>
      <c r="I408" s="30">
        <v>46023.0</v>
      </c>
      <c r="J408" s="30">
        <v>46387.0</v>
      </c>
      <c r="K408" s="31">
        <v>0.0</v>
      </c>
      <c r="L408" s="31">
        <v>1.0</v>
      </c>
      <c r="M408" s="32" t="s">
        <v>7043</v>
      </c>
      <c r="N408" s="30">
        <v>46388.0</v>
      </c>
      <c r="O408" s="30">
        <v>46752.0</v>
      </c>
      <c r="P408" s="31">
        <v>0.0</v>
      </c>
      <c r="Q408" s="31">
        <v>1.0</v>
      </c>
      <c r="R408" s="32" t="s">
        <v>7043</v>
      </c>
      <c r="S408" s="30">
        <v>46753.0</v>
      </c>
      <c r="T408" s="30">
        <v>47118.0</v>
      </c>
      <c r="U408" s="31">
        <v>0.0</v>
      </c>
      <c r="V408" s="31">
        <v>1.0</v>
      </c>
      <c r="W408" s="32" t="s">
        <v>7043</v>
      </c>
      <c r="X408" s="30">
        <v>47119.0</v>
      </c>
      <c r="Y408" s="30">
        <v>47483.0</v>
      </c>
      <c r="Z408" s="31">
        <v>0.0</v>
      </c>
      <c r="AA408" s="31">
        <v>1.0</v>
      </c>
      <c r="AB408" s="32" t="s">
        <v>7043</v>
      </c>
      <c r="AC408" s="30">
        <v>47484.0</v>
      </c>
      <c r="AD408" s="30">
        <v>47848.0</v>
      </c>
      <c r="AE408" s="31">
        <v>0.0</v>
      </c>
      <c r="AF408" s="31">
        <v>1.0</v>
      </c>
      <c r="AG408" s="32" t="s">
        <v>7043</v>
      </c>
    </row>
    <row r="409" ht="14.25" customHeight="1">
      <c r="A409" s="28" t="s">
        <v>3183</v>
      </c>
      <c r="B409" s="29" t="s">
        <v>3184</v>
      </c>
      <c r="C409" s="29" t="s">
        <v>7044</v>
      </c>
      <c r="D409" s="30">
        <v>45658.0</v>
      </c>
      <c r="E409" s="30">
        <v>46022.0</v>
      </c>
      <c r="F409" s="31">
        <v>0.0</v>
      </c>
      <c r="G409" s="31">
        <v>1.0</v>
      </c>
      <c r="H409" s="32" t="s">
        <v>7043</v>
      </c>
      <c r="I409" s="30">
        <v>46023.0</v>
      </c>
      <c r="J409" s="30">
        <v>46387.0</v>
      </c>
      <c r="K409" s="31">
        <v>0.0</v>
      </c>
      <c r="L409" s="31">
        <v>1.0</v>
      </c>
      <c r="M409" s="32" t="s">
        <v>7043</v>
      </c>
      <c r="N409" s="30">
        <v>46388.0</v>
      </c>
      <c r="O409" s="30">
        <v>46752.0</v>
      </c>
      <c r="P409" s="31">
        <v>0.0</v>
      </c>
      <c r="Q409" s="31">
        <v>1.0</v>
      </c>
      <c r="R409" s="32" t="s">
        <v>7043</v>
      </c>
      <c r="S409" s="30">
        <v>46753.0</v>
      </c>
      <c r="T409" s="30">
        <v>47118.0</v>
      </c>
      <c r="U409" s="31">
        <v>0.0</v>
      </c>
      <c r="V409" s="31">
        <v>1.0</v>
      </c>
      <c r="W409" s="32" t="s">
        <v>7043</v>
      </c>
      <c r="X409" s="30">
        <v>47119.0</v>
      </c>
      <c r="Y409" s="30">
        <v>47483.0</v>
      </c>
      <c r="Z409" s="31">
        <v>0.0</v>
      </c>
      <c r="AA409" s="31">
        <v>1.0</v>
      </c>
      <c r="AB409" s="32" t="s">
        <v>7043</v>
      </c>
      <c r="AC409" s="30">
        <v>47484.0</v>
      </c>
      <c r="AD409" s="30">
        <v>47848.0</v>
      </c>
      <c r="AE409" s="31">
        <v>0.0</v>
      </c>
      <c r="AF409" s="31">
        <v>1.0</v>
      </c>
      <c r="AG409" s="32" t="s">
        <v>7043</v>
      </c>
    </row>
    <row r="410" ht="14.25" customHeight="1">
      <c r="A410" s="28" t="s">
        <v>2304</v>
      </c>
      <c r="B410" s="29" t="s">
        <v>2305</v>
      </c>
      <c r="C410" s="29" t="s">
        <v>7041</v>
      </c>
      <c r="D410" s="30">
        <v>45658.0</v>
      </c>
      <c r="E410" s="30">
        <v>46022.0</v>
      </c>
      <c r="F410" s="31">
        <v>0.0</v>
      </c>
      <c r="G410" s="31">
        <v>1.0</v>
      </c>
      <c r="H410" s="32" t="s">
        <v>7043</v>
      </c>
      <c r="I410" s="30">
        <v>46023.0</v>
      </c>
      <c r="J410" s="30">
        <v>46387.0</v>
      </c>
      <c r="K410" s="31">
        <v>0.0</v>
      </c>
      <c r="L410" s="31">
        <v>1.0</v>
      </c>
      <c r="M410" s="32" t="s">
        <v>7043</v>
      </c>
      <c r="N410" s="30">
        <v>46388.0</v>
      </c>
      <c r="O410" s="30">
        <v>46752.0</v>
      </c>
      <c r="P410" s="31">
        <v>0.0</v>
      </c>
      <c r="Q410" s="31">
        <v>1.0</v>
      </c>
      <c r="R410" s="32" t="s">
        <v>7043</v>
      </c>
      <c r="S410" s="30">
        <v>46753.0</v>
      </c>
      <c r="T410" s="30">
        <v>47118.0</v>
      </c>
      <c r="U410" s="31">
        <v>0.0</v>
      </c>
      <c r="V410" s="31">
        <v>1.0</v>
      </c>
      <c r="W410" s="32" t="s">
        <v>7043</v>
      </c>
      <c r="X410" s="30">
        <v>47119.0</v>
      </c>
      <c r="Y410" s="30">
        <v>47483.0</v>
      </c>
      <c r="Z410" s="31">
        <v>0.0</v>
      </c>
      <c r="AA410" s="31">
        <v>1.0</v>
      </c>
      <c r="AB410" s="32" t="s">
        <v>7043</v>
      </c>
      <c r="AC410" s="30">
        <v>47484.0</v>
      </c>
      <c r="AD410" s="30">
        <v>47848.0</v>
      </c>
      <c r="AE410" s="31">
        <v>0.0</v>
      </c>
      <c r="AF410" s="31">
        <v>1.0</v>
      </c>
      <c r="AG410" s="32" t="s">
        <v>7043</v>
      </c>
    </row>
    <row r="411" ht="14.25" customHeight="1">
      <c r="A411" s="28" t="s">
        <v>4955</v>
      </c>
      <c r="B411" s="29" t="s">
        <v>4956</v>
      </c>
      <c r="C411" s="29" t="s">
        <v>7041</v>
      </c>
      <c r="D411" s="30">
        <v>45658.0</v>
      </c>
      <c r="E411" s="30">
        <v>46022.0</v>
      </c>
      <c r="F411" s="31">
        <v>0.0</v>
      </c>
      <c r="G411" s="31">
        <v>1.0</v>
      </c>
      <c r="H411" s="32" t="s">
        <v>7043</v>
      </c>
      <c r="I411" s="30">
        <v>46023.0</v>
      </c>
      <c r="J411" s="30">
        <v>46387.0</v>
      </c>
      <c r="K411" s="31">
        <v>0.0</v>
      </c>
      <c r="L411" s="31">
        <v>1.0</v>
      </c>
      <c r="M411" s="32" t="s">
        <v>7043</v>
      </c>
      <c r="N411" s="30">
        <v>46388.0</v>
      </c>
      <c r="O411" s="30">
        <v>46752.0</v>
      </c>
      <c r="P411" s="31">
        <v>0.0</v>
      </c>
      <c r="Q411" s="31">
        <v>1.0</v>
      </c>
      <c r="R411" s="32" t="s">
        <v>7043</v>
      </c>
      <c r="S411" s="30">
        <v>46753.0</v>
      </c>
      <c r="T411" s="30">
        <v>47118.0</v>
      </c>
      <c r="U411" s="31">
        <v>0.0</v>
      </c>
      <c r="V411" s="31">
        <v>1.0</v>
      </c>
      <c r="W411" s="32" t="s">
        <v>7043</v>
      </c>
      <c r="X411" s="30">
        <v>47119.0</v>
      </c>
      <c r="Y411" s="30">
        <v>47483.0</v>
      </c>
      <c r="Z411" s="31">
        <v>0.0</v>
      </c>
      <c r="AA411" s="31">
        <v>1.0</v>
      </c>
      <c r="AB411" s="32" t="s">
        <v>7043</v>
      </c>
      <c r="AC411" s="30">
        <v>47484.0</v>
      </c>
      <c r="AD411" s="30">
        <v>47848.0</v>
      </c>
      <c r="AE411" s="31">
        <v>0.0</v>
      </c>
      <c r="AF411" s="31">
        <v>1.0</v>
      </c>
      <c r="AG411" s="32" t="s">
        <v>7043</v>
      </c>
    </row>
    <row r="412" ht="14.25" customHeight="1">
      <c r="A412" s="28" t="s">
        <v>4426</v>
      </c>
      <c r="B412" s="29" t="s">
        <v>4427</v>
      </c>
      <c r="C412" s="29" t="s">
        <v>7041</v>
      </c>
      <c r="D412" s="30">
        <v>45658.0</v>
      </c>
      <c r="E412" s="30">
        <v>46022.0</v>
      </c>
      <c r="F412" s="31">
        <v>0.0</v>
      </c>
      <c r="G412" s="31">
        <v>1.0</v>
      </c>
      <c r="H412" s="32" t="s">
        <v>7043</v>
      </c>
      <c r="I412" s="30">
        <v>46023.0</v>
      </c>
      <c r="J412" s="30">
        <v>46387.0</v>
      </c>
      <c r="K412" s="31">
        <v>0.0</v>
      </c>
      <c r="L412" s="31">
        <v>1.0</v>
      </c>
      <c r="M412" s="32" t="s">
        <v>7043</v>
      </c>
      <c r="N412" s="30">
        <v>46388.0</v>
      </c>
      <c r="O412" s="30">
        <v>46752.0</v>
      </c>
      <c r="P412" s="31">
        <v>0.0</v>
      </c>
      <c r="Q412" s="31">
        <v>1.0</v>
      </c>
      <c r="R412" s="32" t="s">
        <v>7043</v>
      </c>
      <c r="S412" s="30">
        <v>46753.0</v>
      </c>
      <c r="T412" s="30">
        <v>47118.0</v>
      </c>
      <c r="U412" s="31">
        <v>0.0</v>
      </c>
      <c r="V412" s="31">
        <v>1.0</v>
      </c>
      <c r="W412" s="32" t="s">
        <v>7043</v>
      </c>
      <c r="X412" s="30">
        <v>47119.0</v>
      </c>
      <c r="Y412" s="30">
        <v>47483.0</v>
      </c>
      <c r="Z412" s="31">
        <v>0.0</v>
      </c>
      <c r="AA412" s="31">
        <v>1.0</v>
      </c>
      <c r="AB412" s="32" t="s">
        <v>7043</v>
      </c>
      <c r="AC412" s="30">
        <v>47484.0</v>
      </c>
      <c r="AD412" s="30">
        <v>47848.0</v>
      </c>
      <c r="AE412" s="31">
        <v>0.0</v>
      </c>
      <c r="AF412" s="31">
        <v>1.0</v>
      </c>
      <c r="AG412" s="32" t="s">
        <v>7043</v>
      </c>
    </row>
    <row r="413" ht="14.25" customHeight="1">
      <c r="A413" s="28" t="s">
        <v>1678</v>
      </c>
      <c r="B413" s="29" t="s">
        <v>1679</v>
      </c>
      <c r="C413" s="29" t="s">
        <v>7041</v>
      </c>
      <c r="D413" s="30">
        <v>45658.0</v>
      </c>
      <c r="E413" s="30">
        <v>46022.0</v>
      </c>
      <c r="F413" s="31">
        <v>0.0</v>
      </c>
      <c r="G413" s="31">
        <v>1.0</v>
      </c>
      <c r="H413" s="32" t="s">
        <v>7043</v>
      </c>
      <c r="I413" s="30">
        <v>46023.0</v>
      </c>
      <c r="J413" s="30">
        <v>46387.0</v>
      </c>
      <c r="K413" s="31">
        <v>0.0</v>
      </c>
      <c r="L413" s="31">
        <v>1.0</v>
      </c>
      <c r="M413" s="32" t="s">
        <v>7043</v>
      </c>
      <c r="N413" s="30">
        <v>46388.0</v>
      </c>
      <c r="O413" s="30">
        <v>46752.0</v>
      </c>
      <c r="P413" s="31">
        <v>0.0</v>
      </c>
      <c r="Q413" s="31">
        <v>1.0</v>
      </c>
      <c r="R413" s="32" t="s">
        <v>7043</v>
      </c>
      <c r="S413" s="30">
        <v>46753.0</v>
      </c>
      <c r="T413" s="30">
        <v>47118.0</v>
      </c>
      <c r="U413" s="31">
        <v>0.0</v>
      </c>
      <c r="V413" s="31">
        <v>1.0</v>
      </c>
      <c r="W413" s="32" t="s">
        <v>7043</v>
      </c>
      <c r="X413" s="30">
        <v>47119.0</v>
      </c>
      <c r="Y413" s="30">
        <v>47483.0</v>
      </c>
      <c r="Z413" s="31">
        <v>0.0</v>
      </c>
      <c r="AA413" s="31">
        <v>1.0</v>
      </c>
      <c r="AB413" s="32" t="s">
        <v>7043</v>
      </c>
      <c r="AC413" s="30">
        <v>47484.0</v>
      </c>
      <c r="AD413" s="30">
        <v>47848.0</v>
      </c>
      <c r="AE413" s="31">
        <v>0.0</v>
      </c>
      <c r="AF413" s="31">
        <v>1.0</v>
      </c>
      <c r="AG413" s="32" t="s">
        <v>7043</v>
      </c>
    </row>
    <row r="414" ht="14.25" customHeight="1">
      <c r="A414" s="28" t="s">
        <v>4235</v>
      </c>
      <c r="B414" s="29" t="s">
        <v>4236</v>
      </c>
      <c r="C414" s="29" t="s">
        <v>7041</v>
      </c>
      <c r="D414" s="30">
        <v>45658.0</v>
      </c>
      <c r="E414" s="30">
        <v>46022.0</v>
      </c>
      <c r="F414" s="31">
        <v>0.0</v>
      </c>
      <c r="G414" s="31">
        <v>1.0</v>
      </c>
      <c r="H414" s="32" t="s">
        <v>7043</v>
      </c>
      <c r="I414" s="30">
        <v>46023.0</v>
      </c>
      <c r="J414" s="30">
        <v>46387.0</v>
      </c>
      <c r="K414" s="31">
        <v>0.0</v>
      </c>
      <c r="L414" s="31">
        <v>1.0</v>
      </c>
      <c r="M414" s="32" t="s">
        <v>7043</v>
      </c>
      <c r="N414" s="30">
        <v>46388.0</v>
      </c>
      <c r="O414" s="30">
        <v>46752.0</v>
      </c>
      <c r="P414" s="31">
        <v>0.0</v>
      </c>
      <c r="Q414" s="31">
        <v>1.0</v>
      </c>
      <c r="R414" s="32" t="s">
        <v>7043</v>
      </c>
      <c r="S414" s="30">
        <v>46753.0</v>
      </c>
      <c r="T414" s="30">
        <v>47118.0</v>
      </c>
      <c r="U414" s="31">
        <v>0.0</v>
      </c>
      <c r="V414" s="31">
        <v>1.0</v>
      </c>
      <c r="W414" s="32" t="s">
        <v>7043</v>
      </c>
      <c r="X414" s="30">
        <v>47119.0</v>
      </c>
      <c r="Y414" s="30">
        <v>47483.0</v>
      </c>
      <c r="Z414" s="31">
        <v>0.0</v>
      </c>
      <c r="AA414" s="31">
        <v>1.0</v>
      </c>
      <c r="AB414" s="32" t="s">
        <v>7043</v>
      </c>
      <c r="AC414" s="30">
        <v>47484.0</v>
      </c>
      <c r="AD414" s="30">
        <v>47848.0</v>
      </c>
      <c r="AE414" s="31">
        <v>0.0</v>
      </c>
      <c r="AF414" s="31">
        <v>1.0</v>
      </c>
      <c r="AG414" s="32" t="s">
        <v>7043</v>
      </c>
    </row>
    <row r="415" ht="14.25" customHeight="1">
      <c r="A415" s="28" t="s">
        <v>5246</v>
      </c>
      <c r="B415" s="29" t="s">
        <v>5247</v>
      </c>
      <c r="C415" s="29" t="s">
        <v>7041</v>
      </c>
      <c r="D415" s="30">
        <v>45658.0</v>
      </c>
      <c r="E415" s="30">
        <v>46022.0</v>
      </c>
      <c r="F415" s="31">
        <v>0.0</v>
      </c>
      <c r="G415" s="31">
        <v>1.0</v>
      </c>
      <c r="H415" s="32" t="s">
        <v>7043</v>
      </c>
      <c r="I415" s="30">
        <v>46023.0</v>
      </c>
      <c r="J415" s="30">
        <v>46387.0</v>
      </c>
      <c r="K415" s="31">
        <v>0.0</v>
      </c>
      <c r="L415" s="31">
        <v>1.0</v>
      </c>
      <c r="M415" s="32" t="s">
        <v>7043</v>
      </c>
      <c r="N415" s="30">
        <v>46388.0</v>
      </c>
      <c r="O415" s="30">
        <v>46752.0</v>
      </c>
      <c r="P415" s="31">
        <v>0.0</v>
      </c>
      <c r="Q415" s="31">
        <v>1.0</v>
      </c>
      <c r="R415" s="32" t="s">
        <v>7043</v>
      </c>
      <c r="S415" s="30">
        <v>46753.0</v>
      </c>
      <c r="T415" s="30">
        <v>47118.0</v>
      </c>
      <c r="U415" s="31">
        <v>0.0</v>
      </c>
      <c r="V415" s="31">
        <v>1.0</v>
      </c>
      <c r="W415" s="32" t="s">
        <v>7043</v>
      </c>
      <c r="X415" s="30">
        <v>47119.0</v>
      </c>
      <c r="Y415" s="30">
        <v>47483.0</v>
      </c>
      <c r="Z415" s="31">
        <v>0.0</v>
      </c>
      <c r="AA415" s="31">
        <v>1.0</v>
      </c>
      <c r="AB415" s="32" t="s">
        <v>7043</v>
      </c>
      <c r="AC415" s="30">
        <v>47484.0</v>
      </c>
      <c r="AD415" s="30">
        <v>47848.0</v>
      </c>
      <c r="AE415" s="31">
        <v>0.0</v>
      </c>
      <c r="AF415" s="31">
        <v>1.0</v>
      </c>
      <c r="AG415" s="32" t="s">
        <v>7043</v>
      </c>
    </row>
    <row r="416" ht="14.25" customHeight="1">
      <c r="A416" s="28" t="s">
        <v>3320</v>
      </c>
      <c r="B416" s="29" t="s">
        <v>3321</v>
      </c>
      <c r="C416" s="29" t="s">
        <v>7041</v>
      </c>
      <c r="D416" s="30">
        <v>45658.0</v>
      </c>
      <c r="E416" s="30">
        <v>46022.0</v>
      </c>
      <c r="F416" s="31">
        <v>0.0</v>
      </c>
      <c r="G416" s="31">
        <v>1.0</v>
      </c>
      <c r="H416" s="32" t="s">
        <v>7043</v>
      </c>
      <c r="I416" s="30">
        <v>46023.0</v>
      </c>
      <c r="J416" s="30">
        <v>46387.0</v>
      </c>
      <c r="K416" s="31">
        <v>0.0</v>
      </c>
      <c r="L416" s="31">
        <v>1.0</v>
      </c>
      <c r="M416" s="32" t="s">
        <v>7043</v>
      </c>
      <c r="N416" s="30">
        <v>46388.0</v>
      </c>
      <c r="O416" s="30">
        <v>46752.0</v>
      </c>
      <c r="P416" s="31">
        <v>0.0</v>
      </c>
      <c r="Q416" s="31">
        <v>1.0</v>
      </c>
      <c r="R416" s="32" t="s">
        <v>7043</v>
      </c>
      <c r="S416" s="30">
        <v>46753.0</v>
      </c>
      <c r="T416" s="30">
        <v>47118.0</v>
      </c>
      <c r="U416" s="31">
        <v>0.0</v>
      </c>
      <c r="V416" s="31">
        <v>1.0</v>
      </c>
      <c r="W416" s="32" t="s">
        <v>7043</v>
      </c>
      <c r="X416" s="30">
        <v>47119.0</v>
      </c>
      <c r="Y416" s="30">
        <v>47483.0</v>
      </c>
      <c r="Z416" s="31">
        <v>0.0</v>
      </c>
      <c r="AA416" s="31">
        <v>1.0</v>
      </c>
      <c r="AB416" s="32" t="s">
        <v>7043</v>
      </c>
      <c r="AC416" s="30">
        <v>47484.0</v>
      </c>
      <c r="AD416" s="30">
        <v>47848.0</v>
      </c>
      <c r="AE416" s="31">
        <v>0.0</v>
      </c>
      <c r="AF416" s="31">
        <v>1.0</v>
      </c>
      <c r="AG416" s="32" t="s">
        <v>7043</v>
      </c>
    </row>
    <row r="417" ht="14.25" customHeight="1">
      <c r="A417" s="28" t="s">
        <v>3721</v>
      </c>
      <c r="B417" s="29" t="s">
        <v>3722</v>
      </c>
      <c r="C417" s="29" t="s">
        <v>7041</v>
      </c>
      <c r="D417" s="30">
        <v>45658.0</v>
      </c>
      <c r="E417" s="30">
        <v>46022.0</v>
      </c>
      <c r="F417" s="31">
        <v>0.0</v>
      </c>
      <c r="G417" s="31">
        <v>1.0</v>
      </c>
      <c r="H417" s="32" t="s">
        <v>7043</v>
      </c>
      <c r="I417" s="30">
        <v>46023.0</v>
      </c>
      <c r="J417" s="30">
        <v>46387.0</v>
      </c>
      <c r="K417" s="31">
        <v>0.0</v>
      </c>
      <c r="L417" s="31">
        <v>1.0</v>
      </c>
      <c r="M417" s="32" t="s">
        <v>7043</v>
      </c>
      <c r="N417" s="30">
        <v>46388.0</v>
      </c>
      <c r="O417" s="30">
        <v>46752.0</v>
      </c>
      <c r="P417" s="31">
        <v>0.0</v>
      </c>
      <c r="Q417" s="31">
        <v>1.0</v>
      </c>
      <c r="R417" s="32" t="s">
        <v>7043</v>
      </c>
      <c r="S417" s="30">
        <v>46753.0</v>
      </c>
      <c r="T417" s="30">
        <v>47118.0</v>
      </c>
      <c r="U417" s="31">
        <v>0.0</v>
      </c>
      <c r="V417" s="31">
        <v>1.0</v>
      </c>
      <c r="W417" s="32" t="s">
        <v>7043</v>
      </c>
      <c r="X417" s="30">
        <v>47119.0</v>
      </c>
      <c r="Y417" s="30">
        <v>47483.0</v>
      </c>
      <c r="Z417" s="31">
        <v>0.0</v>
      </c>
      <c r="AA417" s="31">
        <v>1.0</v>
      </c>
      <c r="AB417" s="32" t="s">
        <v>7043</v>
      </c>
      <c r="AC417" s="30">
        <v>47484.0</v>
      </c>
      <c r="AD417" s="30">
        <v>47848.0</v>
      </c>
      <c r="AE417" s="31">
        <v>0.0</v>
      </c>
      <c r="AF417" s="31">
        <v>1.0</v>
      </c>
      <c r="AG417" s="32" t="s">
        <v>7043</v>
      </c>
    </row>
    <row r="418" ht="14.25" customHeight="1">
      <c r="A418" s="28" t="s">
        <v>2811</v>
      </c>
      <c r="B418" s="29" t="s">
        <v>2812</v>
      </c>
      <c r="C418" s="29" t="s">
        <v>7041</v>
      </c>
      <c r="D418" s="30">
        <v>45658.0</v>
      </c>
      <c r="E418" s="30">
        <v>46022.0</v>
      </c>
      <c r="F418" s="31">
        <v>0.0</v>
      </c>
      <c r="G418" s="31">
        <v>1.0</v>
      </c>
      <c r="H418" s="32" t="s">
        <v>7043</v>
      </c>
      <c r="I418" s="30">
        <v>46023.0</v>
      </c>
      <c r="J418" s="30">
        <v>46387.0</v>
      </c>
      <c r="K418" s="31">
        <v>0.0</v>
      </c>
      <c r="L418" s="31">
        <v>1.0</v>
      </c>
      <c r="M418" s="32" t="s">
        <v>7043</v>
      </c>
      <c r="N418" s="30">
        <v>46388.0</v>
      </c>
      <c r="O418" s="30">
        <v>46752.0</v>
      </c>
      <c r="P418" s="31">
        <v>0.0</v>
      </c>
      <c r="Q418" s="31">
        <v>1.0</v>
      </c>
      <c r="R418" s="32" t="s">
        <v>7043</v>
      </c>
      <c r="S418" s="30">
        <v>46753.0</v>
      </c>
      <c r="T418" s="30">
        <v>47118.0</v>
      </c>
      <c r="U418" s="31">
        <v>0.0</v>
      </c>
      <c r="V418" s="31">
        <v>1.0</v>
      </c>
      <c r="W418" s="32" t="s">
        <v>7043</v>
      </c>
      <c r="X418" s="30">
        <v>47119.0</v>
      </c>
      <c r="Y418" s="30">
        <v>47483.0</v>
      </c>
      <c r="Z418" s="31">
        <v>0.0</v>
      </c>
      <c r="AA418" s="31">
        <v>1.0</v>
      </c>
      <c r="AB418" s="32" t="s">
        <v>7043</v>
      </c>
      <c r="AC418" s="30">
        <v>47484.0</v>
      </c>
      <c r="AD418" s="30">
        <v>47848.0</v>
      </c>
      <c r="AE418" s="31">
        <v>0.0</v>
      </c>
      <c r="AF418" s="31">
        <v>1.0</v>
      </c>
      <c r="AG418" s="32" t="s">
        <v>7043</v>
      </c>
    </row>
    <row r="419" ht="14.25" customHeight="1">
      <c r="A419" s="28" t="s">
        <v>2604</v>
      </c>
      <c r="B419" s="29" t="s">
        <v>2605</v>
      </c>
      <c r="C419" s="29" t="s">
        <v>7041</v>
      </c>
      <c r="D419" s="30">
        <v>45658.0</v>
      </c>
      <c r="E419" s="30">
        <v>46022.0</v>
      </c>
      <c r="F419" s="31">
        <v>0.0</v>
      </c>
      <c r="G419" s="31">
        <v>1.0</v>
      </c>
      <c r="H419" s="32" t="s">
        <v>7043</v>
      </c>
      <c r="I419" s="30">
        <v>46023.0</v>
      </c>
      <c r="J419" s="30">
        <v>46387.0</v>
      </c>
      <c r="K419" s="31">
        <v>0.0</v>
      </c>
      <c r="L419" s="31">
        <v>1.0</v>
      </c>
      <c r="M419" s="32" t="s">
        <v>7043</v>
      </c>
      <c r="N419" s="30">
        <v>46388.0</v>
      </c>
      <c r="O419" s="30">
        <v>46752.0</v>
      </c>
      <c r="P419" s="31">
        <v>0.0</v>
      </c>
      <c r="Q419" s="31">
        <v>1.0</v>
      </c>
      <c r="R419" s="32" t="s">
        <v>7043</v>
      </c>
      <c r="S419" s="30">
        <v>46753.0</v>
      </c>
      <c r="T419" s="30">
        <v>47118.0</v>
      </c>
      <c r="U419" s="31">
        <v>0.0</v>
      </c>
      <c r="V419" s="31">
        <v>1.0</v>
      </c>
      <c r="W419" s="32" t="s">
        <v>7043</v>
      </c>
      <c r="X419" s="30">
        <v>47119.0</v>
      </c>
      <c r="Y419" s="30">
        <v>47483.0</v>
      </c>
      <c r="Z419" s="31">
        <v>0.0</v>
      </c>
      <c r="AA419" s="31">
        <v>1.0</v>
      </c>
      <c r="AB419" s="32" t="s">
        <v>7043</v>
      </c>
      <c r="AC419" s="30">
        <v>47484.0</v>
      </c>
      <c r="AD419" s="30">
        <v>47848.0</v>
      </c>
      <c r="AE419" s="31">
        <v>0.0</v>
      </c>
      <c r="AF419" s="31">
        <v>1.0</v>
      </c>
      <c r="AG419" s="32" t="s">
        <v>7043</v>
      </c>
    </row>
    <row r="420" ht="14.25" customHeight="1">
      <c r="A420" s="28" t="s">
        <v>308</v>
      </c>
      <c r="B420" s="29" t="s">
        <v>309</v>
      </c>
      <c r="C420" s="29" t="s">
        <v>7044</v>
      </c>
      <c r="D420" s="30">
        <v>45658.0</v>
      </c>
      <c r="E420" s="30">
        <v>46022.0</v>
      </c>
      <c r="F420" s="31">
        <v>0.0</v>
      </c>
      <c r="G420" s="31">
        <v>1.0</v>
      </c>
      <c r="H420" s="32" t="s">
        <v>7043</v>
      </c>
      <c r="I420" s="30">
        <v>46023.0</v>
      </c>
      <c r="J420" s="30">
        <v>46387.0</v>
      </c>
      <c r="K420" s="31">
        <v>0.0</v>
      </c>
      <c r="L420" s="31">
        <v>1.0</v>
      </c>
      <c r="M420" s="32" t="s">
        <v>7043</v>
      </c>
      <c r="N420" s="30">
        <v>46388.0</v>
      </c>
      <c r="O420" s="30">
        <v>46752.0</v>
      </c>
      <c r="P420" s="31">
        <v>0.0</v>
      </c>
      <c r="Q420" s="31">
        <v>1.0</v>
      </c>
      <c r="R420" s="32" t="s">
        <v>7043</v>
      </c>
      <c r="S420" s="30">
        <v>46753.0</v>
      </c>
      <c r="T420" s="30">
        <v>47118.0</v>
      </c>
      <c r="U420" s="31">
        <v>0.0</v>
      </c>
      <c r="V420" s="31">
        <v>1.0</v>
      </c>
      <c r="W420" s="32" t="s">
        <v>7043</v>
      </c>
      <c r="X420" s="30">
        <v>47119.0</v>
      </c>
      <c r="Y420" s="30">
        <v>47483.0</v>
      </c>
      <c r="Z420" s="31">
        <v>0.0</v>
      </c>
      <c r="AA420" s="31">
        <v>1.0</v>
      </c>
      <c r="AB420" s="32" t="s">
        <v>7043</v>
      </c>
      <c r="AC420" s="30">
        <v>47484.0</v>
      </c>
      <c r="AD420" s="30">
        <v>47848.0</v>
      </c>
      <c r="AE420" s="31">
        <v>0.0</v>
      </c>
      <c r="AF420" s="31">
        <v>1.0</v>
      </c>
      <c r="AG420" s="32" t="s">
        <v>7043</v>
      </c>
    </row>
    <row r="421" ht="14.25" customHeight="1">
      <c r="A421" s="28" t="s">
        <v>6002</v>
      </c>
      <c r="B421" s="29" t="s">
        <v>6003</v>
      </c>
      <c r="C421" s="29" t="s">
        <v>7041</v>
      </c>
      <c r="D421" s="30">
        <v>45658.0</v>
      </c>
      <c r="E421" s="30">
        <v>46022.0</v>
      </c>
      <c r="F421" s="31">
        <v>0.0</v>
      </c>
      <c r="G421" s="31">
        <v>1.0</v>
      </c>
      <c r="H421" s="32" t="s">
        <v>7043</v>
      </c>
      <c r="I421" s="30">
        <v>46023.0</v>
      </c>
      <c r="J421" s="30">
        <v>46387.0</v>
      </c>
      <c r="K421" s="31">
        <v>0.0</v>
      </c>
      <c r="L421" s="31">
        <v>1.0</v>
      </c>
      <c r="M421" s="32" t="s">
        <v>7043</v>
      </c>
      <c r="N421" s="30">
        <v>46388.0</v>
      </c>
      <c r="O421" s="30">
        <v>46752.0</v>
      </c>
      <c r="P421" s="31">
        <v>0.0</v>
      </c>
      <c r="Q421" s="31">
        <v>1.0</v>
      </c>
      <c r="R421" s="32" t="s">
        <v>7043</v>
      </c>
      <c r="S421" s="30">
        <v>46753.0</v>
      </c>
      <c r="T421" s="30">
        <v>47118.0</v>
      </c>
      <c r="U421" s="31">
        <v>0.0</v>
      </c>
      <c r="V421" s="31">
        <v>1.0</v>
      </c>
      <c r="W421" s="32" t="s">
        <v>7043</v>
      </c>
      <c r="X421" s="30">
        <v>47119.0</v>
      </c>
      <c r="Y421" s="30">
        <v>47483.0</v>
      </c>
      <c r="Z421" s="31">
        <v>0.0</v>
      </c>
      <c r="AA421" s="31">
        <v>1.0</v>
      </c>
      <c r="AB421" s="32" t="s">
        <v>7043</v>
      </c>
      <c r="AC421" s="30">
        <v>47484.0</v>
      </c>
      <c r="AD421" s="30">
        <v>47848.0</v>
      </c>
      <c r="AE421" s="31">
        <v>0.0</v>
      </c>
      <c r="AF421" s="31">
        <v>1.0</v>
      </c>
      <c r="AG421" s="32" t="s">
        <v>7043</v>
      </c>
    </row>
    <row r="422" ht="14.25" customHeight="1">
      <c r="A422" s="28" t="s">
        <v>844</v>
      </c>
      <c r="B422" s="29" t="s">
        <v>845</v>
      </c>
      <c r="C422" s="29" t="s">
        <v>7044</v>
      </c>
      <c r="D422" s="30">
        <v>45658.0</v>
      </c>
      <c r="E422" s="30">
        <v>46022.0</v>
      </c>
      <c r="F422" s="31">
        <v>0.0</v>
      </c>
      <c r="G422" s="31">
        <v>1.0</v>
      </c>
      <c r="H422" s="32" t="s">
        <v>7043</v>
      </c>
      <c r="I422" s="30">
        <v>46023.0</v>
      </c>
      <c r="J422" s="30">
        <v>46387.0</v>
      </c>
      <c r="K422" s="31">
        <v>0.0</v>
      </c>
      <c r="L422" s="31">
        <v>1.0</v>
      </c>
      <c r="M422" s="32" t="s">
        <v>7043</v>
      </c>
      <c r="N422" s="30">
        <v>46388.0</v>
      </c>
      <c r="O422" s="30">
        <v>46752.0</v>
      </c>
      <c r="P422" s="31">
        <v>0.0</v>
      </c>
      <c r="Q422" s="31">
        <v>1.0</v>
      </c>
      <c r="R422" s="32" t="s">
        <v>7043</v>
      </c>
      <c r="S422" s="30">
        <v>46753.0</v>
      </c>
      <c r="T422" s="30">
        <v>47118.0</v>
      </c>
      <c r="U422" s="31">
        <v>0.0</v>
      </c>
      <c r="V422" s="31">
        <v>1.0</v>
      </c>
      <c r="W422" s="32" t="s">
        <v>7043</v>
      </c>
      <c r="X422" s="30">
        <v>47119.0</v>
      </c>
      <c r="Y422" s="30">
        <v>47483.0</v>
      </c>
      <c r="Z422" s="31">
        <v>0.0</v>
      </c>
      <c r="AA422" s="31">
        <v>1.0</v>
      </c>
      <c r="AB422" s="32" t="s">
        <v>7043</v>
      </c>
      <c r="AC422" s="30">
        <v>47484.0</v>
      </c>
      <c r="AD422" s="30">
        <v>47848.0</v>
      </c>
      <c r="AE422" s="31">
        <v>0.0</v>
      </c>
      <c r="AF422" s="31">
        <v>1.0</v>
      </c>
      <c r="AG422" s="32" t="s">
        <v>7043</v>
      </c>
    </row>
    <row r="423" ht="14.25" customHeight="1">
      <c r="A423" s="28" t="s">
        <v>6150</v>
      </c>
      <c r="B423" s="29" t="s">
        <v>6151</v>
      </c>
      <c r="C423" s="29" t="s">
        <v>7041</v>
      </c>
      <c r="D423" s="30">
        <v>45658.0</v>
      </c>
      <c r="E423" s="30">
        <v>46022.0</v>
      </c>
      <c r="F423" s="31">
        <v>1.0</v>
      </c>
      <c r="G423" s="31">
        <v>1.0</v>
      </c>
      <c r="H423" s="33" t="s">
        <v>7042</v>
      </c>
      <c r="I423" s="30">
        <v>46023.0</v>
      </c>
      <c r="J423" s="30">
        <v>46387.0</v>
      </c>
      <c r="K423" s="31">
        <v>0.0</v>
      </c>
      <c r="L423" s="31">
        <v>1.0</v>
      </c>
      <c r="M423" s="32" t="s">
        <v>7043</v>
      </c>
      <c r="N423" s="30">
        <v>46388.0</v>
      </c>
      <c r="O423" s="30">
        <v>46752.0</v>
      </c>
      <c r="P423" s="31">
        <v>0.0</v>
      </c>
      <c r="Q423" s="31">
        <v>1.0</v>
      </c>
      <c r="R423" s="32" t="s">
        <v>7043</v>
      </c>
      <c r="S423" s="30">
        <v>46753.0</v>
      </c>
      <c r="T423" s="30">
        <v>47118.0</v>
      </c>
      <c r="U423" s="31">
        <v>0.0</v>
      </c>
      <c r="V423" s="31">
        <v>1.0</v>
      </c>
      <c r="W423" s="32" t="s">
        <v>7043</v>
      </c>
      <c r="X423" s="30">
        <v>47119.0</v>
      </c>
      <c r="Y423" s="30">
        <v>47483.0</v>
      </c>
      <c r="Z423" s="31">
        <v>0.0</v>
      </c>
      <c r="AA423" s="31">
        <v>1.0</v>
      </c>
      <c r="AB423" s="32" t="s">
        <v>7043</v>
      </c>
      <c r="AC423" s="30">
        <v>47484.0</v>
      </c>
      <c r="AD423" s="30">
        <v>47848.0</v>
      </c>
      <c r="AE423" s="31">
        <v>0.0</v>
      </c>
      <c r="AF423" s="31">
        <v>1.0</v>
      </c>
      <c r="AG423" s="32" t="s">
        <v>7043</v>
      </c>
    </row>
    <row r="424" ht="14.25" customHeight="1">
      <c r="A424" s="28" t="s">
        <v>1641</v>
      </c>
      <c r="B424" s="29" t="s">
        <v>1642</v>
      </c>
      <c r="C424" s="29" t="s">
        <v>7041</v>
      </c>
      <c r="D424" s="30">
        <v>45658.0</v>
      </c>
      <c r="E424" s="30">
        <v>46022.0</v>
      </c>
      <c r="F424" s="31">
        <v>0.0</v>
      </c>
      <c r="G424" s="31">
        <v>1.0</v>
      </c>
      <c r="H424" s="32" t="s">
        <v>7043</v>
      </c>
      <c r="I424" s="30">
        <v>46023.0</v>
      </c>
      <c r="J424" s="30">
        <v>46387.0</v>
      </c>
      <c r="K424" s="31">
        <v>0.0</v>
      </c>
      <c r="L424" s="31">
        <v>1.0</v>
      </c>
      <c r="M424" s="32" t="s">
        <v>7043</v>
      </c>
      <c r="N424" s="30">
        <v>46388.0</v>
      </c>
      <c r="O424" s="30">
        <v>46752.0</v>
      </c>
      <c r="P424" s="31">
        <v>0.0</v>
      </c>
      <c r="Q424" s="31">
        <v>1.0</v>
      </c>
      <c r="R424" s="32" t="s">
        <v>7043</v>
      </c>
      <c r="S424" s="30">
        <v>46753.0</v>
      </c>
      <c r="T424" s="30">
        <v>47118.0</v>
      </c>
      <c r="U424" s="31">
        <v>0.0</v>
      </c>
      <c r="V424" s="31">
        <v>1.0</v>
      </c>
      <c r="W424" s="32" t="s">
        <v>7043</v>
      </c>
      <c r="X424" s="30">
        <v>47119.0</v>
      </c>
      <c r="Y424" s="30">
        <v>47483.0</v>
      </c>
      <c r="Z424" s="31">
        <v>0.0</v>
      </c>
      <c r="AA424" s="31">
        <v>1.0</v>
      </c>
      <c r="AB424" s="32" t="s">
        <v>7043</v>
      </c>
      <c r="AC424" s="30">
        <v>47484.0</v>
      </c>
      <c r="AD424" s="30">
        <v>47848.0</v>
      </c>
      <c r="AE424" s="31">
        <v>0.0</v>
      </c>
      <c r="AF424" s="31">
        <v>1.0</v>
      </c>
      <c r="AG424" s="32" t="s">
        <v>7043</v>
      </c>
    </row>
    <row r="425" ht="14.25" customHeight="1">
      <c r="A425" s="28" t="s">
        <v>5525</v>
      </c>
      <c r="B425" s="29" t="s">
        <v>5526</v>
      </c>
      <c r="C425" s="29" t="s">
        <v>7044</v>
      </c>
      <c r="D425" s="30">
        <v>45658.0</v>
      </c>
      <c r="E425" s="30">
        <v>46022.0</v>
      </c>
      <c r="F425" s="31">
        <v>0.0</v>
      </c>
      <c r="G425" s="31">
        <v>1.0</v>
      </c>
      <c r="H425" s="32" t="s">
        <v>7043</v>
      </c>
      <c r="I425" s="30">
        <v>46023.0</v>
      </c>
      <c r="J425" s="30">
        <v>46387.0</v>
      </c>
      <c r="K425" s="31">
        <v>0.0</v>
      </c>
      <c r="L425" s="31">
        <v>1.0</v>
      </c>
      <c r="M425" s="32" t="s">
        <v>7043</v>
      </c>
      <c r="N425" s="30">
        <v>46388.0</v>
      </c>
      <c r="O425" s="30">
        <v>46752.0</v>
      </c>
      <c r="P425" s="31">
        <v>0.0</v>
      </c>
      <c r="Q425" s="31">
        <v>1.0</v>
      </c>
      <c r="R425" s="32" t="s">
        <v>7043</v>
      </c>
      <c r="S425" s="30">
        <v>46753.0</v>
      </c>
      <c r="T425" s="30">
        <v>47118.0</v>
      </c>
      <c r="U425" s="31">
        <v>0.0</v>
      </c>
      <c r="V425" s="31">
        <v>1.0</v>
      </c>
      <c r="W425" s="32" t="s">
        <v>7043</v>
      </c>
      <c r="X425" s="30">
        <v>47119.0</v>
      </c>
      <c r="Y425" s="30">
        <v>47483.0</v>
      </c>
      <c r="Z425" s="31">
        <v>0.0</v>
      </c>
      <c r="AA425" s="31">
        <v>1.0</v>
      </c>
      <c r="AB425" s="32" t="s">
        <v>7043</v>
      </c>
      <c r="AC425" s="30">
        <v>47484.0</v>
      </c>
      <c r="AD425" s="30">
        <v>47848.0</v>
      </c>
      <c r="AE425" s="31">
        <v>0.0</v>
      </c>
      <c r="AF425" s="31">
        <v>1.0</v>
      </c>
      <c r="AG425" s="32" t="s">
        <v>7043</v>
      </c>
    </row>
    <row r="426" ht="14.25" customHeight="1">
      <c r="A426" s="28" t="s">
        <v>5212</v>
      </c>
      <c r="B426" s="29" t="s">
        <v>5213</v>
      </c>
      <c r="C426" s="29" t="s">
        <v>7044</v>
      </c>
      <c r="D426" s="30">
        <v>45658.0</v>
      </c>
      <c r="E426" s="30">
        <v>46022.0</v>
      </c>
      <c r="F426" s="31">
        <v>0.0</v>
      </c>
      <c r="G426" s="31">
        <v>1.0</v>
      </c>
      <c r="H426" s="32" t="s">
        <v>7043</v>
      </c>
      <c r="I426" s="30">
        <v>46023.0</v>
      </c>
      <c r="J426" s="30">
        <v>46387.0</v>
      </c>
      <c r="K426" s="31">
        <v>0.0</v>
      </c>
      <c r="L426" s="31">
        <v>1.0</v>
      </c>
      <c r="M426" s="32" t="s">
        <v>7043</v>
      </c>
      <c r="N426" s="30">
        <v>46388.0</v>
      </c>
      <c r="O426" s="30">
        <v>46752.0</v>
      </c>
      <c r="P426" s="31">
        <v>0.0</v>
      </c>
      <c r="Q426" s="31">
        <v>1.0</v>
      </c>
      <c r="R426" s="32" t="s">
        <v>7043</v>
      </c>
      <c r="S426" s="30">
        <v>46753.0</v>
      </c>
      <c r="T426" s="30">
        <v>47118.0</v>
      </c>
      <c r="U426" s="31">
        <v>0.0</v>
      </c>
      <c r="V426" s="31">
        <v>1.0</v>
      </c>
      <c r="W426" s="32" t="s">
        <v>7043</v>
      </c>
      <c r="X426" s="30">
        <v>47119.0</v>
      </c>
      <c r="Y426" s="30">
        <v>47483.0</v>
      </c>
      <c r="Z426" s="31">
        <v>0.0</v>
      </c>
      <c r="AA426" s="31">
        <v>1.0</v>
      </c>
      <c r="AB426" s="32" t="s">
        <v>7043</v>
      </c>
      <c r="AC426" s="30">
        <v>47484.0</v>
      </c>
      <c r="AD426" s="30">
        <v>47848.0</v>
      </c>
      <c r="AE426" s="31">
        <v>0.0</v>
      </c>
      <c r="AF426" s="31">
        <v>1.0</v>
      </c>
      <c r="AG426" s="32" t="s">
        <v>7043</v>
      </c>
    </row>
    <row r="427" ht="14.25" customHeight="1">
      <c r="A427" s="28" t="s">
        <v>3832</v>
      </c>
      <c r="B427" s="29" t="s">
        <v>3833</v>
      </c>
      <c r="C427" s="29" t="s">
        <v>7044</v>
      </c>
      <c r="D427" s="30">
        <v>45658.0</v>
      </c>
      <c r="E427" s="30">
        <v>46022.0</v>
      </c>
      <c r="F427" s="31">
        <v>0.0</v>
      </c>
      <c r="G427" s="31">
        <v>1.0</v>
      </c>
      <c r="H427" s="32" t="s">
        <v>7043</v>
      </c>
      <c r="I427" s="30">
        <v>46023.0</v>
      </c>
      <c r="J427" s="30">
        <v>46387.0</v>
      </c>
      <c r="K427" s="31">
        <v>0.0</v>
      </c>
      <c r="L427" s="31">
        <v>1.0</v>
      </c>
      <c r="M427" s="32" t="s">
        <v>7043</v>
      </c>
      <c r="N427" s="30">
        <v>46388.0</v>
      </c>
      <c r="O427" s="30">
        <v>46752.0</v>
      </c>
      <c r="P427" s="31">
        <v>0.0</v>
      </c>
      <c r="Q427" s="31">
        <v>1.0</v>
      </c>
      <c r="R427" s="32" t="s">
        <v>7043</v>
      </c>
      <c r="S427" s="30">
        <v>46753.0</v>
      </c>
      <c r="T427" s="30">
        <v>47118.0</v>
      </c>
      <c r="U427" s="31">
        <v>0.0</v>
      </c>
      <c r="V427" s="31">
        <v>1.0</v>
      </c>
      <c r="W427" s="32" t="s">
        <v>7043</v>
      </c>
      <c r="X427" s="30">
        <v>47119.0</v>
      </c>
      <c r="Y427" s="30">
        <v>47483.0</v>
      </c>
      <c r="Z427" s="31">
        <v>0.0</v>
      </c>
      <c r="AA427" s="31">
        <v>1.0</v>
      </c>
      <c r="AB427" s="32" t="s">
        <v>7043</v>
      </c>
      <c r="AC427" s="30">
        <v>47484.0</v>
      </c>
      <c r="AD427" s="30">
        <v>47848.0</v>
      </c>
      <c r="AE427" s="31">
        <v>0.0</v>
      </c>
      <c r="AF427" s="31">
        <v>1.0</v>
      </c>
      <c r="AG427" s="32" t="s">
        <v>7043</v>
      </c>
    </row>
    <row r="428" ht="14.25" customHeight="1">
      <c r="A428" s="28" t="s">
        <v>1695</v>
      </c>
      <c r="B428" s="29" t="s">
        <v>1696</v>
      </c>
      <c r="C428" s="29" t="s">
        <v>7044</v>
      </c>
      <c r="D428" s="30">
        <v>45658.0</v>
      </c>
      <c r="E428" s="30">
        <v>46022.0</v>
      </c>
      <c r="F428" s="31">
        <v>0.0</v>
      </c>
      <c r="G428" s="31">
        <v>1.0</v>
      </c>
      <c r="H428" s="32" t="s">
        <v>7043</v>
      </c>
      <c r="I428" s="30">
        <v>46023.0</v>
      </c>
      <c r="J428" s="30">
        <v>46387.0</v>
      </c>
      <c r="K428" s="31">
        <v>0.0</v>
      </c>
      <c r="L428" s="31">
        <v>1.0</v>
      </c>
      <c r="M428" s="32" t="s">
        <v>7043</v>
      </c>
      <c r="N428" s="30">
        <v>46388.0</v>
      </c>
      <c r="O428" s="30">
        <v>46752.0</v>
      </c>
      <c r="P428" s="31">
        <v>0.0</v>
      </c>
      <c r="Q428" s="31">
        <v>1.0</v>
      </c>
      <c r="R428" s="32" t="s">
        <v>7043</v>
      </c>
      <c r="S428" s="30">
        <v>46753.0</v>
      </c>
      <c r="T428" s="30">
        <v>47118.0</v>
      </c>
      <c r="U428" s="31">
        <v>0.0</v>
      </c>
      <c r="V428" s="31">
        <v>1.0</v>
      </c>
      <c r="W428" s="32" t="s">
        <v>7043</v>
      </c>
      <c r="X428" s="30">
        <v>47119.0</v>
      </c>
      <c r="Y428" s="30">
        <v>47483.0</v>
      </c>
      <c r="Z428" s="31">
        <v>0.0</v>
      </c>
      <c r="AA428" s="31">
        <v>1.0</v>
      </c>
      <c r="AB428" s="32" t="s">
        <v>7043</v>
      </c>
      <c r="AC428" s="30">
        <v>47484.0</v>
      </c>
      <c r="AD428" s="30">
        <v>47848.0</v>
      </c>
      <c r="AE428" s="31">
        <v>0.0</v>
      </c>
      <c r="AF428" s="31">
        <v>1.0</v>
      </c>
      <c r="AG428" s="32" t="s">
        <v>7043</v>
      </c>
    </row>
    <row r="429" ht="14.25" customHeight="1">
      <c r="A429" s="28" t="s">
        <v>1316</v>
      </c>
      <c r="B429" s="29" t="s">
        <v>1317</v>
      </c>
      <c r="C429" s="29" t="s">
        <v>7041</v>
      </c>
      <c r="D429" s="30">
        <v>45658.0</v>
      </c>
      <c r="E429" s="30">
        <v>46022.0</v>
      </c>
      <c r="F429" s="31">
        <v>0.0</v>
      </c>
      <c r="G429" s="31">
        <v>1.0</v>
      </c>
      <c r="H429" s="32" t="s">
        <v>7043</v>
      </c>
      <c r="I429" s="30">
        <v>46023.0</v>
      </c>
      <c r="J429" s="30">
        <v>46387.0</v>
      </c>
      <c r="K429" s="31">
        <v>0.0</v>
      </c>
      <c r="L429" s="31">
        <v>1.0</v>
      </c>
      <c r="M429" s="32" t="s">
        <v>7043</v>
      </c>
      <c r="N429" s="30">
        <v>46388.0</v>
      </c>
      <c r="O429" s="30">
        <v>46752.0</v>
      </c>
      <c r="P429" s="31">
        <v>0.0</v>
      </c>
      <c r="Q429" s="31">
        <v>1.0</v>
      </c>
      <c r="R429" s="32" t="s">
        <v>7043</v>
      </c>
      <c r="S429" s="30">
        <v>46753.0</v>
      </c>
      <c r="T429" s="30">
        <v>47118.0</v>
      </c>
      <c r="U429" s="31">
        <v>0.0</v>
      </c>
      <c r="V429" s="31">
        <v>1.0</v>
      </c>
      <c r="W429" s="32" t="s">
        <v>7043</v>
      </c>
      <c r="X429" s="30">
        <v>47119.0</v>
      </c>
      <c r="Y429" s="30">
        <v>47483.0</v>
      </c>
      <c r="Z429" s="31">
        <v>0.0</v>
      </c>
      <c r="AA429" s="31">
        <v>1.0</v>
      </c>
      <c r="AB429" s="32" t="s">
        <v>7043</v>
      </c>
      <c r="AC429" s="30">
        <v>47484.0</v>
      </c>
      <c r="AD429" s="30">
        <v>47848.0</v>
      </c>
      <c r="AE429" s="31">
        <v>0.0</v>
      </c>
      <c r="AF429" s="31">
        <v>1.0</v>
      </c>
      <c r="AG429" s="32" t="s">
        <v>7043</v>
      </c>
    </row>
    <row r="430" ht="14.25" customHeight="1">
      <c r="A430" s="28" t="s">
        <v>2215</v>
      </c>
      <c r="B430" s="29" t="s">
        <v>2216</v>
      </c>
      <c r="C430" s="29" t="s">
        <v>7041</v>
      </c>
      <c r="D430" s="30">
        <v>45658.0</v>
      </c>
      <c r="E430" s="30">
        <v>46022.0</v>
      </c>
      <c r="F430" s="31">
        <v>1.0</v>
      </c>
      <c r="G430" s="31">
        <v>1.0</v>
      </c>
      <c r="H430" s="32" t="s">
        <v>7042</v>
      </c>
      <c r="I430" s="30">
        <v>46023.0</v>
      </c>
      <c r="J430" s="30">
        <v>46387.0</v>
      </c>
      <c r="K430" s="31">
        <v>0.0</v>
      </c>
      <c r="L430" s="31">
        <v>1.0</v>
      </c>
      <c r="M430" s="32" t="s">
        <v>7043</v>
      </c>
      <c r="N430" s="30">
        <v>46388.0</v>
      </c>
      <c r="O430" s="30">
        <v>46752.0</v>
      </c>
      <c r="P430" s="31">
        <v>0.0</v>
      </c>
      <c r="Q430" s="31">
        <v>1.0</v>
      </c>
      <c r="R430" s="32" t="s">
        <v>7043</v>
      </c>
      <c r="S430" s="30">
        <v>46753.0</v>
      </c>
      <c r="T430" s="30">
        <v>47118.0</v>
      </c>
      <c r="U430" s="31">
        <v>0.0</v>
      </c>
      <c r="V430" s="31">
        <v>1.0</v>
      </c>
      <c r="W430" s="32" t="s">
        <v>7043</v>
      </c>
      <c r="X430" s="30">
        <v>47119.0</v>
      </c>
      <c r="Y430" s="30">
        <v>47483.0</v>
      </c>
      <c r="Z430" s="31">
        <v>0.0</v>
      </c>
      <c r="AA430" s="31">
        <v>1.0</v>
      </c>
      <c r="AB430" s="32" t="s">
        <v>7043</v>
      </c>
      <c r="AC430" s="30">
        <v>47484.0</v>
      </c>
      <c r="AD430" s="30">
        <v>47848.0</v>
      </c>
      <c r="AE430" s="31">
        <v>0.0</v>
      </c>
      <c r="AF430" s="31">
        <v>1.0</v>
      </c>
      <c r="AG430" s="32" t="s">
        <v>7043</v>
      </c>
    </row>
    <row r="431" ht="14.25" customHeight="1">
      <c r="A431" s="28" t="s">
        <v>2891</v>
      </c>
      <c r="B431" s="29" t="s">
        <v>2892</v>
      </c>
      <c r="C431" s="29" t="s">
        <v>7041</v>
      </c>
      <c r="D431" s="30">
        <v>45658.0</v>
      </c>
      <c r="E431" s="30">
        <v>46022.0</v>
      </c>
      <c r="F431" s="31">
        <v>0.0</v>
      </c>
      <c r="G431" s="31">
        <v>1.0</v>
      </c>
      <c r="H431" s="32" t="s">
        <v>7043</v>
      </c>
      <c r="I431" s="30">
        <v>46023.0</v>
      </c>
      <c r="J431" s="30">
        <v>46387.0</v>
      </c>
      <c r="K431" s="31">
        <v>0.0</v>
      </c>
      <c r="L431" s="31">
        <v>1.0</v>
      </c>
      <c r="M431" s="32" t="s">
        <v>7043</v>
      </c>
      <c r="N431" s="30">
        <v>46388.0</v>
      </c>
      <c r="O431" s="30">
        <v>46752.0</v>
      </c>
      <c r="P431" s="31">
        <v>0.0</v>
      </c>
      <c r="Q431" s="31">
        <v>1.0</v>
      </c>
      <c r="R431" s="32" t="s">
        <v>7043</v>
      </c>
      <c r="S431" s="30">
        <v>46753.0</v>
      </c>
      <c r="T431" s="30">
        <v>47118.0</v>
      </c>
      <c r="U431" s="31">
        <v>0.0</v>
      </c>
      <c r="V431" s="31">
        <v>1.0</v>
      </c>
      <c r="W431" s="32" t="s">
        <v>7043</v>
      </c>
      <c r="X431" s="30">
        <v>47119.0</v>
      </c>
      <c r="Y431" s="30">
        <v>47483.0</v>
      </c>
      <c r="Z431" s="31">
        <v>0.0</v>
      </c>
      <c r="AA431" s="31">
        <v>1.0</v>
      </c>
      <c r="AB431" s="32" t="s">
        <v>7043</v>
      </c>
      <c r="AC431" s="30">
        <v>47484.0</v>
      </c>
      <c r="AD431" s="30">
        <v>47848.0</v>
      </c>
      <c r="AE431" s="31">
        <v>0.0</v>
      </c>
      <c r="AF431" s="31">
        <v>1.0</v>
      </c>
      <c r="AG431" s="32" t="s">
        <v>7043</v>
      </c>
    </row>
    <row r="432" ht="14.25" customHeight="1">
      <c r="A432" s="28" t="s">
        <v>3219</v>
      </c>
      <c r="B432" s="29" t="s">
        <v>3220</v>
      </c>
      <c r="C432" s="29" t="s">
        <v>7041</v>
      </c>
      <c r="D432" s="30">
        <v>45658.0</v>
      </c>
      <c r="E432" s="30">
        <v>46022.0</v>
      </c>
      <c r="F432" s="31">
        <v>0.0</v>
      </c>
      <c r="G432" s="31">
        <v>1.0</v>
      </c>
      <c r="H432" s="32" t="s">
        <v>7043</v>
      </c>
      <c r="I432" s="30">
        <v>46023.0</v>
      </c>
      <c r="J432" s="30">
        <v>46387.0</v>
      </c>
      <c r="K432" s="31">
        <v>0.0</v>
      </c>
      <c r="L432" s="31">
        <v>1.0</v>
      </c>
      <c r="M432" s="32" t="s">
        <v>7043</v>
      </c>
      <c r="N432" s="30">
        <v>46388.0</v>
      </c>
      <c r="O432" s="30">
        <v>46752.0</v>
      </c>
      <c r="P432" s="31">
        <v>0.0</v>
      </c>
      <c r="Q432" s="31">
        <v>1.0</v>
      </c>
      <c r="R432" s="32" t="s">
        <v>7043</v>
      </c>
      <c r="S432" s="30">
        <v>46753.0</v>
      </c>
      <c r="T432" s="30">
        <v>47118.0</v>
      </c>
      <c r="U432" s="31">
        <v>0.0</v>
      </c>
      <c r="V432" s="31">
        <v>1.0</v>
      </c>
      <c r="W432" s="32" t="s">
        <v>7043</v>
      </c>
      <c r="X432" s="30">
        <v>47119.0</v>
      </c>
      <c r="Y432" s="30">
        <v>47483.0</v>
      </c>
      <c r="Z432" s="31">
        <v>0.0</v>
      </c>
      <c r="AA432" s="31">
        <v>1.0</v>
      </c>
      <c r="AB432" s="32" t="s">
        <v>7043</v>
      </c>
      <c r="AC432" s="30">
        <v>47484.0</v>
      </c>
      <c r="AD432" s="30">
        <v>47848.0</v>
      </c>
      <c r="AE432" s="31">
        <v>0.0</v>
      </c>
      <c r="AF432" s="31">
        <v>1.0</v>
      </c>
      <c r="AG432" s="32" t="s">
        <v>7043</v>
      </c>
    </row>
    <row r="433" ht="14.25" customHeight="1">
      <c r="A433" s="28" t="s">
        <v>3491</v>
      </c>
      <c r="B433" s="29" t="s">
        <v>3492</v>
      </c>
      <c r="C433" s="29" t="s">
        <v>7041</v>
      </c>
      <c r="D433" s="30">
        <v>45658.0</v>
      </c>
      <c r="E433" s="30">
        <v>46022.0</v>
      </c>
      <c r="F433" s="31">
        <v>0.0</v>
      </c>
      <c r="G433" s="31">
        <v>1.0</v>
      </c>
      <c r="H433" s="32" t="s">
        <v>7043</v>
      </c>
      <c r="I433" s="30">
        <v>46023.0</v>
      </c>
      <c r="J433" s="30">
        <v>46387.0</v>
      </c>
      <c r="K433" s="31">
        <v>0.0</v>
      </c>
      <c r="L433" s="31">
        <v>1.0</v>
      </c>
      <c r="M433" s="32" t="s">
        <v>7043</v>
      </c>
      <c r="N433" s="30">
        <v>46388.0</v>
      </c>
      <c r="O433" s="30">
        <v>46752.0</v>
      </c>
      <c r="P433" s="31">
        <v>0.0</v>
      </c>
      <c r="Q433" s="31">
        <v>1.0</v>
      </c>
      <c r="R433" s="32" t="s">
        <v>7043</v>
      </c>
      <c r="S433" s="30">
        <v>46753.0</v>
      </c>
      <c r="T433" s="30">
        <v>47118.0</v>
      </c>
      <c r="U433" s="31">
        <v>0.0</v>
      </c>
      <c r="V433" s="31">
        <v>1.0</v>
      </c>
      <c r="W433" s="32" t="s">
        <v>7043</v>
      </c>
      <c r="X433" s="30">
        <v>47119.0</v>
      </c>
      <c r="Y433" s="30">
        <v>47483.0</v>
      </c>
      <c r="Z433" s="31">
        <v>0.0</v>
      </c>
      <c r="AA433" s="31">
        <v>1.0</v>
      </c>
      <c r="AB433" s="32" t="s">
        <v>7043</v>
      </c>
      <c r="AC433" s="30">
        <v>47484.0</v>
      </c>
      <c r="AD433" s="30">
        <v>47848.0</v>
      </c>
      <c r="AE433" s="31">
        <v>0.0</v>
      </c>
      <c r="AF433" s="31">
        <v>1.0</v>
      </c>
      <c r="AG433" s="32" t="s">
        <v>7043</v>
      </c>
    </row>
    <row r="434" ht="14.25" customHeight="1">
      <c r="A434" s="28" t="s">
        <v>3649</v>
      </c>
      <c r="B434" s="29" t="s">
        <v>3650</v>
      </c>
      <c r="C434" s="29" t="s">
        <v>7041</v>
      </c>
      <c r="D434" s="30">
        <v>45658.0</v>
      </c>
      <c r="E434" s="30">
        <v>46022.0</v>
      </c>
      <c r="F434" s="31">
        <v>0.0</v>
      </c>
      <c r="G434" s="31">
        <v>1.0</v>
      </c>
      <c r="H434" s="32" t="s">
        <v>7043</v>
      </c>
      <c r="I434" s="30">
        <v>46023.0</v>
      </c>
      <c r="J434" s="30">
        <v>46387.0</v>
      </c>
      <c r="K434" s="31">
        <v>0.0</v>
      </c>
      <c r="L434" s="31">
        <v>1.0</v>
      </c>
      <c r="M434" s="32" t="s">
        <v>7043</v>
      </c>
      <c r="N434" s="30">
        <v>46388.0</v>
      </c>
      <c r="O434" s="30">
        <v>46752.0</v>
      </c>
      <c r="P434" s="31">
        <v>0.0</v>
      </c>
      <c r="Q434" s="31">
        <v>1.0</v>
      </c>
      <c r="R434" s="32" t="s">
        <v>7043</v>
      </c>
      <c r="S434" s="30">
        <v>46753.0</v>
      </c>
      <c r="T434" s="30">
        <v>47118.0</v>
      </c>
      <c r="U434" s="31">
        <v>0.0</v>
      </c>
      <c r="V434" s="31">
        <v>1.0</v>
      </c>
      <c r="W434" s="32" t="s">
        <v>7043</v>
      </c>
      <c r="X434" s="30">
        <v>47119.0</v>
      </c>
      <c r="Y434" s="30">
        <v>47483.0</v>
      </c>
      <c r="Z434" s="31">
        <v>0.0</v>
      </c>
      <c r="AA434" s="31">
        <v>1.0</v>
      </c>
      <c r="AB434" s="32" t="s">
        <v>7043</v>
      </c>
      <c r="AC434" s="30">
        <v>47484.0</v>
      </c>
      <c r="AD434" s="30">
        <v>47848.0</v>
      </c>
      <c r="AE434" s="31">
        <v>0.0</v>
      </c>
      <c r="AF434" s="31">
        <v>1.0</v>
      </c>
      <c r="AG434" s="32" t="s">
        <v>7043</v>
      </c>
    </row>
    <row r="435" ht="14.25" customHeight="1">
      <c r="A435" s="28" t="s">
        <v>6672</v>
      </c>
      <c r="B435" s="29" t="s">
        <v>6673</v>
      </c>
      <c r="C435" s="29" t="s">
        <v>7041</v>
      </c>
      <c r="D435" s="30">
        <v>45658.0</v>
      </c>
      <c r="E435" s="30">
        <v>46022.0</v>
      </c>
      <c r="F435" s="31">
        <v>0.0</v>
      </c>
      <c r="G435" s="31">
        <v>1.0</v>
      </c>
      <c r="H435" s="32" t="s">
        <v>7043</v>
      </c>
      <c r="I435" s="30">
        <v>46023.0</v>
      </c>
      <c r="J435" s="30">
        <v>46387.0</v>
      </c>
      <c r="K435" s="31">
        <v>0.0</v>
      </c>
      <c r="L435" s="31">
        <v>1.0</v>
      </c>
      <c r="M435" s="32" t="s">
        <v>7043</v>
      </c>
      <c r="N435" s="30">
        <v>46388.0</v>
      </c>
      <c r="O435" s="30">
        <v>46752.0</v>
      </c>
      <c r="P435" s="31">
        <v>0.0</v>
      </c>
      <c r="Q435" s="31">
        <v>1.0</v>
      </c>
      <c r="R435" s="32" t="s">
        <v>7043</v>
      </c>
      <c r="S435" s="30">
        <v>46753.0</v>
      </c>
      <c r="T435" s="30">
        <v>47118.0</v>
      </c>
      <c r="U435" s="31">
        <v>0.0</v>
      </c>
      <c r="V435" s="31">
        <v>1.0</v>
      </c>
      <c r="W435" s="32" t="s">
        <v>7043</v>
      </c>
      <c r="X435" s="30">
        <v>47119.0</v>
      </c>
      <c r="Y435" s="30">
        <v>47483.0</v>
      </c>
      <c r="Z435" s="31">
        <v>0.0</v>
      </c>
      <c r="AA435" s="31">
        <v>1.0</v>
      </c>
      <c r="AB435" s="32" t="s">
        <v>7043</v>
      </c>
      <c r="AC435" s="30">
        <v>47484.0</v>
      </c>
      <c r="AD435" s="30">
        <v>47848.0</v>
      </c>
      <c r="AE435" s="31">
        <v>0.0</v>
      </c>
      <c r="AF435" s="31">
        <v>1.0</v>
      </c>
      <c r="AG435" s="32" t="s">
        <v>7043</v>
      </c>
    </row>
    <row r="436" ht="14.25" customHeight="1">
      <c r="A436" s="28" t="s">
        <v>1117</v>
      </c>
      <c r="B436" s="29" t="s">
        <v>1118</v>
      </c>
      <c r="C436" s="29" t="s">
        <v>7044</v>
      </c>
      <c r="D436" s="30">
        <v>45658.0</v>
      </c>
      <c r="E436" s="30">
        <v>46022.0</v>
      </c>
      <c r="F436" s="31">
        <v>0.0</v>
      </c>
      <c r="G436" s="31">
        <v>1.0</v>
      </c>
      <c r="H436" s="32" t="s">
        <v>7043</v>
      </c>
      <c r="I436" s="30">
        <v>46023.0</v>
      </c>
      <c r="J436" s="30">
        <v>46387.0</v>
      </c>
      <c r="K436" s="31">
        <v>0.0</v>
      </c>
      <c r="L436" s="31">
        <v>1.0</v>
      </c>
      <c r="M436" s="32" t="s">
        <v>7043</v>
      </c>
      <c r="N436" s="30">
        <v>46388.0</v>
      </c>
      <c r="O436" s="30">
        <v>46752.0</v>
      </c>
      <c r="P436" s="31">
        <v>0.0</v>
      </c>
      <c r="Q436" s="31">
        <v>1.0</v>
      </c>
      <c r="R436" s="32" t="s">
        <v>7043</v>
      </c>
      <c r="S436" s="30">
        <v>46753.0</v>
      </c>
      <c r="T436" s="30">
        <v>47118.0</v>
      </c>
      <c r="U436" s="31">
        <v>0.0</v>
      </c>
      <c r="V436" s="31">
        <v>1.0</v>
      </c>
      <c r="W436" s="32" t="s">
        <v>7043</v>
      </c>
      <c r="X436" s="30">
        <v>47119.0</v>
      </c>
      <c r="Y436" s="30">
        <v>47483.0</v>
      </c>
      <c r="Z436" s="31">
        <v>0.0</v>
      </c>
      <c r="AA436" s="31">
        <v>1.0</v>
      </c>
      <c r="AB436" s="32" t="s">
        <v>7043</v>
      </c>
      <c r="AC436" s="30">
        <v>47484.0</v>
      </c>
      <c r="AD436" s="30">
        <v>47848.0</v>
      </c>
      <c r="AE436" s="31">
        <v>0.0</v>
      </c>
      <c r="AF436" s="31">
        <v>1.0</v>
      </c>
      <c r="AG436" s="32" t="s">
        <v>7043</v>
      </c>
    </row>
    <row r="437" ht="14.25" customHeight="1">
      <c r="A437" s="28" t="s">
        <v>4031</v>
      </c>
      <c r="B437" s="29" t="s">
        <v>4032</v>
      </c>
      <c r="C437" s="29" t="s">
        <v>7044</v>
      </c>
      <c r="D437" s="30">
        <v>45658.0</v>
      </c>
      <c r="E437" s="30">
        <v>46022.0</v>
      </c>
      <c r="F437" s="31">
        <v>0.0</v>
      </c>
      <c r="G437" s="31">
        <v>1.0</v>
      </c>
      <c r="H437" s="32" t="s">
        <v>7043</v>
      </c>
      <c r="I437" s="30">
        <v>46023.0</v>
      </c>
      <c r="J437" s="30">
        <v>46387.0</v>
      </c>
      <c r="K437" s="31">
        <v>0.0</v>
      </c>
      <c r="L437" s="31">
        <v>1.0</v>
      </c>
      <c r="M437" s="32" t="s">
        <v>7043</v>
      </c>
      <c r="N437" s="30">
        <v>46388.0</v>
      </c>
      <c r="O437" s="30">
        <v>46752.0</v>
      </c>
      <c r="P437" s="31">
        <v>0.0</v>
      </c>
      <c r="Q437" s="31">
        <v>1.0</v>
      </c>
      <c r="R437" s="32" t="s">
        <v>7043</v>
      </c>
      <c r="S437" s="30">
        <v>46753.0</v>
      </c>
      <c r="T437" s="30">
        <v>47118.0</v>
      </c>
      <c r="U437" s="31">
        <v>0.0</v>
      </c>
      <c r="V437" s="31">
        <v>1.0</v>
      </c>
      <c r="W437" s="32" t="s">
        <v>7043</v>
      </c>
      <c r="X437" s="30">
        <v>47119.0</v>
      </c>
      <c r="Y437" s="30">
        <v>47483.0</v>
      </c>
      <c r="Z437" s="31">
        <v>0.0</v>
      </c>
      <c r="AA437" s="31">
        <v>1.0</v>
      </c>
      <c r="AB437" s="32" t="s">
        <v>7043</v>
      </c>
      <c r="AC437" s="30">
        <v>47484.0</v>
      </c>
      <c r="AD437" s="30">
        <v>47848.0</v>
      </c>
      <c r="AE437" s="31">
        <v>0.0</v>
      </c>
      <c r="AF437" s="31">
        <v>1.0</v>
      </c>
      <c r="AG437" s="32" t="s">
        <v>7043</v>
      </c>
    </row>
    <row r="438" ht="14.25" customHeight="1">
      <c r="A438" s="28" t="s">
        <v>5887</v>
      </c>
      <c r="B438" s="29" t="s">
        <v>5888</v>
      </c>
      <c r="C438" s="29" t="s">
        <v>7041</v>
      </c>
      <c r="D438" s="30">
        <v>45658.0</v>
      </c>
      <c r="E438" s="30">
        <v>46022.0</v>
      </c>
      <c r="F438" s="31">
        <v>0.0</v>
      </c>
      <c r="G438" s="31">
        <v>1.0</v>
      </c>
      <c r="H438" s="32" t="s">
        <v>7043</v>
      </c>
      <c r="I438" s="30">
        <v>46023.0</v>
      </c>
      <c r="J438" s="30">
        <v>46387.0</v>
      </c>
      <c r="K438" s="31">
        <v>0.0</v>
      </c>
      <c r="L438" s="31">
        <v>1.0</v>
      </c>
      <c r="M438" s="32" t="s">
        <v>7043</v>
      </c>
      <c r="N438" s="30">
        <v>46388.0</v>
      </c>
      <c r="O438" s="30">
        <v>46752.0</v>
      </c>
      <c r="P438" s="31">
        <v>0.0</v>
      </c>
      <c r="Q438" s="31">
        <v>1.0</v>
      </c>
      <c r="R438" s="32" t="s">
        <v>7043</v>
      </c>
      <c r="S438" s="30">
        <v>46753.0</v>
      </c>
      <c r="T438" s="30">
        <v>47118.0</v>
      </c>
      <c r="U438" s="31">
        <v>0.0</v>
      </c>
      <c r="V438" s="31">
        <v>1.0</v>
      </c>
      <c r="W438" s="32" t="s">
        <v>7043</v>
      </c>
      <c r="X438" s="30">
        <v>47119.0</v>
      </c>
      <c r="Y438" s="30">
        <v>47483.0</v>
      </c>
      <c r="Z438" s="31">
        <v>0.0</v>
      </c>
      <c r="AA438" s="31">
        <v>1.0</v>
      </c>
      <c r="AB438" s="32" t="s">
        <v>7043</v>
      </c>
      <c r="AC438" s="30">
        <v>47484.0</v>
      </c>
      <c r="AD438" s="30">
        <v>47848.0</v>
      </c>
      <c r="AE438" s="31">
        <v>0.0</v>
      </c>
      <c r="AF438" s="31">
        <v>1.0</v>
      </c>
      <c r="AG438" s="32" t="s">
        <v>7043</v>
      </c>
    </row>
    <row r="439" ht="14.25" customHeight="1">
      <c r="A439" s="28" t="s">
        <v>6349</v>
      </c>
      <c r="B439" s="29" t="s">
        <v>6350</v>
      </c>
      <c r="C439" s="29" t="s">
        <v>7041</v>
      </c>
      <c r="D439" s="30">
        <v>45658.0</v>
      </c>
      <c r="E439" s="30">
        <v>46022.0</v>
      </c>
      <c r="F439" s="31">
        <v>0.0</v>
      </c>
      <c r="G439" s="31">
        <v>1.0</v>
      </c>
      <c r="H439" s="32" t="s">
        <v>7043</v>
      </c>
      <c r="I439" s="30">
        <v>46023.0</v>
      </c>
      <c r="J439" s="30">
        <v>46387.0</v>
      </c>
      <c r="K439" s="31">
        <v>0.0</v>
      </c>
      <c r="L439" s="31">
        <v>1.0</v>
      </c>
      <c r="M439" s="32" t="s">
        <v>7043</v>
      </c>
      <c r="N439" s="30">
        <v>46388.0</v>
      </c>
      <c r="O439" s="30">
        <v>46752.0</v>
      </c>
      <c r="P439" s="31">
        <v>0.0</v>
      </c>
      <c r="Q439" s="31">
        <v>1.0</v>
      </c>
      <c r="R439" s="32" t="s">
        <v>7043</v>
      </c>
      <c r="S439" s="30">
        <v>46753.0</v>
      </c>
      <c r="T439" s="30">
        <v>47118.0</v>
      </c>
      <c r="U439" s="31">
        <v>0.0</v>
      </c>
      <c r="V439" s="31">
        <v>1.0</v>
      </c>
      <c r="W439" s="32" t="s">
        <v>7043</v>
      </c>
      <c r="X439" s="30">
        <v>47119.0</v>
      </c>
      <c r="Y439" s="30">
        <v>47483.0</v>
      </c>
      <c r="Z439" s="31">
        <v>0.0</v>
      </c>
      <c r="AA439" s="31">
        <v>1.0</v>
      </c>
      <c r="AB439" s="32" t="s">
        <v>7043</v>
      </c>
      <c r="AC439" s="30">
        <v>47484.0</v>
      </c>
      <c r="AD439" s="30">
        <v>47848.0</v>
      </c>
      <c r="AE439" s="31">
        <v>0.0</v>
      </c>
      <c r="AF439" s="31">
        <v>1.0</v>
      </c>
      <c r="AG439" s="32" t="s">
        <v>7043</v>
      </c>
    </row>
    <row r="440" ht="14.25" customHeight="1">
      <c r="A440" s="28" t="s">
        <v>6644</v>
      </c>
      <c r="B440" s="29" t="s">
        <v>6645</v>
      </c>
      <c r="C440" s="29" t="s">
        <v>7041</v>
      </c>
      <c r="D440" s="30">
        <v>45658.0</v>
      </c>
      <c r="E440" s="30">
        <v>46022.0</v>
      </c>
      <c r="F440" s="31">
        <v>0.0</v>
      </c>
      <c r="G440" s="31">
        <v>1.0</v>
      </c>
      <c r="H440" s="32" t="s">
        <v>7043</v>
      </c>
      <c r="I440" s="30">
        <v>46023.0</v>
      </c>
      <c r="J440" s="30">
        <v>46387.0</v>
      </c>
      <c r="K440" s="31">
        <v>0.0</v>
      </c>
      <c r="L440" s="31">
        <v>1.0</v>
      </c>
      <c r="M440" s="32" t="s">
        <v>7043</v>
      </c>
      <c r="N440" s="30">
        <v>46388.0</v>
      </c>
      <c r="O440" s="30">
        <v>46752.0</v>
      </c>
      <c r="P440" s="31">
        <v>0.0</v>
      </c>
      <c r="Q440" s="31">
        <v>1.0</v>
      </c>
      <c r="R440" s="32" t="s">
        <v>7043</v>
      </c>
      <c r="S440" s="30">
        <v>46753.0</v>
      </c>
      <c r="T440" s="30">
        <v>47118.0</v>
      </c>
      <c r="U440" s="31">
        <v>0.0</v>
      </c>
      <c r="V440" s="31">
        <v>1.0</v>
      </c>
      <c r="W440" s="32" t="s">
        <v>7043</v>
      </c>
      <c r="X440" s="30">
        <v>47119.0</v>
      </c>
      <c r="Y440" s="30">
        <v>47483.0</v>
      </c>
      <c r="Z440" s="31">
        <v>0.0</v>
      </c>
      <c r="AA440" s="31">
        <v>1.0</v>
      </c>
      <c r="AB440" s="32" t="s">
        <v>7043</v>
      </c>
      <c r="AC440" s="30">
        <v>47484.0</v>
      </c>
      <c r="AD440" s="30">
        <v>47848.0</v>
      </c>
      <c r="AE440" s="31">
        <v>0.0</v>
      </c>
      <c r="AF440" s="31">
        <v>1.0</v>
      </c>
      <c r="AG440" s="32" t="s">
        <v>7043</v>
      </c>
    </row>
    <row r="441" ht="14.25" customHeight="1">
      <c r="A441" s="28" t="s">
        <v>6651</v>
      </c>
      <c r="B441" s="29" t="s">
        <v>6652</v>
      </c>
      <c r="C441" s="29" t="s">
        <v>7041</v>
      </c>
      <c r="D441" s="30">
        <v>45658.0</v>
      </c>
      <c r="E441" s="30">
        <v>46022.0</v>
      </c>
      <c r="F441" s="31">
        <v>0.0</v>
      </c>
      <c r="G441" s="31">
        <v>1.0</v>
      </c>
      <c r="H441" s="32" t="s">
        <v>7043</v>
      </c>
      <c r="I441" s="30">
        <v>46023.0</v>
      </c>
      <c r="J441" s="30">
        <v>46387.0</v>
      </c>
      <c r="K441" s="31">
        <v>0.0</v>
      </c>
      <c r="L441" s="31">
        <v>1.0</v>
      </c>
      <c r="M441" s="32" t="s">
        <v>7043</v>
      </c>
      <c r="N441" s="30">
        <v>46388.0</v>
      </c>
      <c r="O441" s="30">
        <v>46752.0</v>
      </c>
      <c r="P441" s="31">
        <v>0.0</v>
      </c>
      <c r="Q441" s="31">
        <v>1.0</v>
      </c>
      <c r="R441" s="32" t="s">
        <v>7043</v>
      </c>
      <c r="S441" s="30">
        <v>46753.0</v>
      </c>
      <c r="T441" s="30">
        <v>47118.0</v>
      </c>
      <c r="U441" s="31">
        <v>0.0</v>
      </c>
      <c r="V441" s="31">
        <v>1.0</v>
      </c>
      <c r="W441" s="32" t="s">
        <v>7043</v>
      </c>
      <c r="X441" s="30">
        <v>47119.0</v>
      </c>
      <c r="Y441" s="30">
        <v>47483.0</v>
      </c>
      <c r="Z441" s="31">
        <v>0.0</v>
      </c>
      <c r="AA441" s="31">
        <v>1.0</v>
      </c>
      <c r="AB441" s="32" t="s">
        <v>7043</v>
      </c>
      <c r="AC441" s="30">
        <v>47484.0</v>
      </c>
      <c r="AD441" s="30">
        <v>47848.0</v>
      </c>
      <c r="AE441" s="31">
        <v>0.0</v>
      </c>
      <c r="AF441" s="31">
        <v>1.0</v>
      </c>
      <c r="AG441" s="32" t="s">
        <v>7043</v>
      </c>
    </row>
    <row r="442" ht="14.25" customHeight="1">
      <c r="A442" s="28" t="s">
        <v>6783</v>
      </c>
      <c r="B442" s="29" t="s">
        <v>6784</v>
      </c>
      <c r="C442" s="29" t="s">
        <v>7041</v>
      </c>
      <c r="D442" s="30">
        <v>45658.0</v>
      </c>
      <c r="E442" s="30">
        <v>46022.0</v>
      </c>
      <c r="F442" s="31">
        <v>0.0</v>
      </c>
      <c r="G442" s="31">
        <v>1.0</v>
      </c>
      <c r="H442" s="32" t="s">
        <v>7043</v>
      </c>
      <c r="I442" s="30">
        <v>46023.0</v>
      </c>
      <c r="J442" s="30">
        <v>46387.0</v>
      </c>
      <c r="K442" s="31">
        <v>0.0</v>
      </c>
      <c r="L442" s="31">
        <v>1.0</v>
      </c>
      <c r="M442" s="32" t="s">
        <v>7043</v>
      </c>
      <c r="N442" s="30">
        <v>46388.0</v>
      </c>
      <c r="O442" s="30">
        <v>46752.0</v>
      </c>
      <c r="P442" s="31">
        <v>0.0</v>
      </c>
      <c r="Q442" s="31">
        <v>1.0</v>
      </c>
      <c r="R442" s="32" t="s">
        <v>7043</v>
      </c>
      <c r="S442" s="30">
        <v>46753.0</v>
      </c>
      <c r="T442" s="30">
        <v>47118.0</v>
      </c>
      <c r="U442" s="31">
        <v>0.0</v>
      </c>
      <c r="V442" s="31">
        <v>1.0</v>
      </c>
      <c r="W442" s="32" t="s">
        <v>7043</v>
      </c>
      <c r="X442" s="30">
        <v>47119.0</v>
      </c>
      <c r="Y442" s="30">
        <v>47483.0</v>
      </c>
      <c r="Z442" s="31">
        <v>0.0</v>
      </c>
      <c r="AA442" s="31">
        <v>1.0</v>
      </c>
      <c r="AB442" s="32" t="s">
        <v>7043</v>
      </c>
      <c r="AC442" s="30">
        <v>47484.0</v>
      </c>
      <c r="AD442" s="30">
        <v>47848.0</v>
      </c>
      <c r="AE442" s="31">
        <v>0.0</v>
      </c>
      <c r="AF442" s="31">
        <v>1.0</v>
      </c>
      <c r="AG442" s="32" t="s">
        <v>7043</v>
      </c>
    </row>
    <row r="443" ht="14.25" customHeight="1">
      <c r="A443" s="28" t="s">
        <v>139</v>
      </c>
      <c r="B443" s="29" t="s">
        <v>140</v>
      </c>
      <c r="C443" s="29" t="s">
        <v>7044</v>
      </c>
      <c r="D443" s="30">
        <v>45658.0</v>
      </c>
      <c r="E443" s="30">
        <v>46022.0</v>
      </c>
      <c r="F443" s="31">
        <v>0.0</v>
      </c>
      <c r="G443" s="31">
        <v>1.0</v>
      </c>
      <c r="H443" s="32" t="s">
        <v>7043</v>
      </c>
      <c r="I443" s="30">
        <v>46023.0</v>
      </c>
      <c r="J443" s="30">
        <v>46387.0</v>
      </c>
      <c r="K443" s="31">
        <v>0.0</v>
      </c>
      <c r="L443" s="31">
        <v>1.0</v>
      </c>
      <c r="M443" s="32" t="s">
        <v>7043</v>
      </c>
      <c r="N443" s="30">
        <v>46388.0</v>
      </c>
      <c r="O443" s="30">
        <v>46752.0</v>
      </c>
      <c r="P443" s="31">
        <v>0.0</v>
      </c>
      <c r="Q443" s="31">
        <v>1.0</v>
      </c>
      <c r="R443" s="32" t="s">
        <v>7043</v>
      </c>
      <c r="S443" s="30">
        <v>46753.0</v>
      </c>
      <c r="T443" s="30">
        <v>47118.0</v>
      </c>
      <c r="U443" s="31">
        <v>0.0</v>
      </c>
      <c r="V443" s="31">
        <v>1.0</v>
      </c>
      <c r="W443" s="32" t="s">
        <v>7043</v>
      </c>
      <c r="X443" s="30">
        <v>47119.0</v>
      </c>
      <c r="Y443" s="30">
        <v>47483.0</v>
      </c>
      <c r="Z443" s="31">
        <v>0.0</v>
      </c>
      <c r="AA443" s="31">
        <v>1.0</v>
      </c>
      <c r="AB443" s="32" t="s">
        <v>7043</v>
      </c>
      <c r="AC443" s="30">
        <v>47484.0</v>
      </c>
      <c r="AD443" s="30">
        <v>47848.0</v>
      </c>
      <c r="AE443" s="31">
        <v>0.0</v>
      </c>
      <c r="AF443" s="31">
        <v>1.0</v>
      </c>
      <c r="AG443" s="32" t="s">
        <v>7043</v>
      </c>
    </row>
    <row r="444" ht="14.25" customHeight="1">
      <c r="A444" s="28" t="s">
        <v>1113</v>
      </c>
      <c r="B444" s="29" t="s">
        <v>1114</v>
      </c>
      <c r="C444" s="29" t="s">
        <v>7041</v>
      </c>
      <c r="D444" s="30">
        <v>45658.0</v>
      </c>
      <c r="E444" s="30">
        <v>46022.0</v>
      </c>
      <c r="F444" s="31">
        <v>0.0</v>
      </c>
      <c r="G444" s="31">
        <v>1.0</v>
      </c>
      <c r="H444" s="32" t="s">
        <v>7043</v>
      </c>
      <c r="I444" s="30">
        <v>46023.0</v>
      </c>
      <c r="J444" s="30">
        <v>46387.0</v>
      </c>
      <c r="K444" s="31">
        <v>0.0</v>
      </c>
      <c r="L444" s="31">
        <v>1.0</v>
      </c>
      <c r="M444" s="32" t="s">
        <v>7043</v>
      </c>
      <c r="N444" s="30">
        <v>46388.0</v>
      </c>
      <c r="O444" s="30">
        <v>46752.0</v>
      </c>
      <c r="P444" s="31">
        <v>0.0</v>
      </c>
      <c r="Q444" s="31">
        <v>1.0</v>
      </c>
      <c r="R444" s="32" t="s">
        <v>7043</v>
      </c>
      <c r="S444" s="30">
        <v>46753.0</v>
      </c>
      <c r="T444" s="30">
        <v>47118.0</v>
      </c>
      <c r="U444" s="31">
        <v>0.0</v>
      </c>
      <c r="V444" s="31">
        <v>1.0</v>
      </c>
      <c r="W444" s="32" t="s">
        <v>7043</v>
      </c>
      <c r="X444" s="30">
        <v>47119.0</v>
      </c>
      <c r="Y444" s="30">
        <v>47483.0</v>
      </c>
      <c r="Z444" s="31">
        <v>0.0</v>
      </c>
      <c r="AA444" s="31">
        <v>1.0</v>
      </c>
      <c r="AB444" s="32" t="s">
        <v>7043</v>
      </c>
      <c r="AC444" s="30">
        <v>47484.0</v>
      </c>
      <c r="AD444" s="30">
        <v>47848.0</v>
      </c>
      <c r="AE444" s="31">
        <v>0.0</v>
      </c>
      <c r="AF444" s="31">
        <v>1.0</v>
      </c>
      <c r="AG444" s="32" t="s">
        <v>7043</v>
      </c>
    </row>
    <row r="445" ht="14.25" customHeight="1">
      <c r="A445" s="28" t="s">
        <v>1308</v>
      </c>
      <c r="B445" s="29" t="s">
        <v>1309</v>
      </c>
      <c r="C445" s="29" t="s">
        <v>7041</v>
      </c>
      <c r="D445" s="30">
        <v>45658.0</v>
      </c>
      <c r="E445" s="30">
        <v>46022.0</v>
      </c>
      <c r="F445" s="31">
        <v>1.0</v>
      </c>
      <c r="G445" s="31">
        <v>1.0</v>
      </c>
      <c r="H445" s="32" t="s">
        <v>7042</v>
      </c>
      <c r="I445" s="30">
        <v>46023.0</v>
      </c>
      <c r="J445" s="30">
        <v>46387.0</v>
      </c>
      <c r="K445" s="31">
        <v>0.0</v>
      </c>
      <c r="L445" s="31">
        <v>1.0</v>
      </c>
      <c r="M445" s="32" t="s">
        <v>7043</v>
      </c>
      <c r="N445" s="30">
        <v>46388.0</v>
      </c>
      <c r="O445" s="30">
        <v>46752.0</v>
      </c>
      <c r="P445" s="31">
        <v>0.0</v>
      </c>
      <c r="Q445" s="31">
        <v>1.0</v>
      </c>
      <c r="R445" s="32" t="s">
        <v>7043</v>
      </c>
      <c r="S445" s="30">
        <v>46753.0</v>
      </c>
      <c r="T445" s="30">
        <v>47118.0</v>
      </c>
      <c r="U445" s="31">
        <v>0.0</v>
      </c>
      <c r="V445" s="31">
        <v>1.0</v>
      </c>
      <c r="W445" s="32" t="s">
        <v>7043</v>
      </c>
      <c r="X445" s="30">
        <v>47119.0</v>
      </c>
      <c r="Y445" s="30">
        <v>47483.0</v>
      </c>
      <c r="Z445" s="31">
        <v>0.0</v>
      </c>
      <c r="AA445" s="31">
        <v>1.0</v>
      </c>
      <c r="AB445" s="32" t="s">
        <v>7043</v>
      </c>
      <c r="AC445" s="30">
        <v>47484.0</v>
      </c>
      <c r="AD445" s="30">
        <v>47848.0</v>
      </c>
      <c r="AE445" s="31">
        <v>0.0</v>
      </c>
      <c r="AF445" s="31">
        <v>1.0</v>
      </c>
      <c r="AG445" s="32" t="s">
        <v>7043</v>
      </c>
    </row>
    <row r="446" ht="14.25" customHeight="1">
      <c r="A446" s="28" t="s">
        <v>222</v>
      </c>
      <c r="B446" s="29" t="s">
        <v>223</v>
      </c>
      <c r="C446" s="29" t="s">
        <v>7044</v>
      </c>
      <c r="D446" s="30">
        <v>45658.0</v>
      </c>
      <c r="E446" s="30">
        <v>46022.0</v>
      </c>
      <c r="F446" s="31">
        <v>0.0</v>
      </c>
      <c r="G446" s="31">
        <v>1.0</v>
      </c>
      <c r="H446" s="32" t="s">
        <v>7043</v>
      </c>
      <c r="I446" s="30">
        <v>46023.0</v>
      </c>
      <c r="J446" s="30">
        <v>46387.0</v>
      </c>
      <c r="K446" s="31">
        <v>0.0</v>
      </c>
      <c r="L446" s="31">
        <v>1.0</v>
      </c>
      <c r="M446" s="32" t="s">
        <v>7043</v>
      </c>
      <c r="N446" s="30">
        <v>46388.0</v>
      </c>
      <c r="O446" s="30">
        <v>46752.0</v>
      </c>
      <c r="P446" s="31">
        <v>0.0</v>
      </c>
      <c r="Q446" s="31">
        <v>1.0</v>
      </c>
      <c r="R446" s="32" t="s">
        <v>7043</v>
      </c>
      <c r="S446" s="30">
        <v>46753.0</v>
      </c>
      <c r="T446" s="30">
        <v>47118.0</v>
      </c>
      <c r="U446" s="31">
        <v>0.0</v>
      </c>
      <c r="V446" s="31">
        <v>1.0</v>
      </c>
      <c r="W446" s="32" t="s">
        <v>7043</v>
      </c>
      <c r="X446" s="30">
        <v>47119.0</v>
      </c>
      <c r="Y446" s="30">
        <v>47483.0</v>
      </c>
      <c r="Z446" s="31">
        <v>0.0</v>
      </c>
      <c r="AA446" s="31">
        <v>1.0</v>
      </c>
      <c r="AB446" s="32" t="s">
        <v>7043</v>
      </c>
      <c r="AC446" s="30">
        <v>47484.0</v>
      </c>
      <c r="AD446" s="30">
        <v>47848.0</v>
      </c>
      <c r="AE446" s="31">
        <v>0.0</v>
      </c>
      <c r="AF446" s="31">
        <v>1.0</v>
      </c>
      <c r="AG446" s="32" t="s">
        <v>7043</v>
      </c>
    </row>
    <row r="447" ht="14.25" customHeight="1">
      <c r="A447" s="28" t="s">
        <v>4156</v>
      </c>
      <c r="B447" s="29" t="s">
        <v>4157</v>
      </c>
      <c r="C447" s="29" t="s">
        <v>7044</v>
      </c>
      <c r="D447" s="30">
        <v>45658.0</v>
      </c>
      <c r="E447" s="30">
        <v>46022.0</v>
      </c>
      <c r="F447" s="31">
        <v>0.0</v>
      </c>
      <c r="G447" s="31">
        <v>1.0</v>
      </c>
      <c r="H447" s="32" t="s">
        <v>7043</v>
      </c>
      <c r="I447" s="30">
        <v>46023.0</v>
      </c>
      <c r="J447" s="30">
        <v>46387.0</v>
      </c>
      <c r="K447" s="31">
        <v>0.0</v>
      </c>
      <c r="L447" s="31">
        <v>1.0</v>
      </c>
      <c r="M447" s="32" t="s">
        <v>7043</v>
      </c>
      <c r="N447" s="30">
        <v>46388.0</v>
      </c>
      <c r="O447" s="30">
        <v>46752.0</v>
      </c>
      <c r="P447" s="31">
        <v>0.0</v>
      </c>
      <c r="Q447" s="31">
        <v>1.0</v>
      </c>
      <c r="R447" s="32" t="s">
        <v>7043</v>
      </c>
      <c r="S447" s="30">
        <v>46753.0</v>
      </c>
      <c r="T447" s="30">
        <v>47118.0</v>
      </c>
      <c r="U447" s="31">
        <v>0.0</v>
      </c>
      <c r="V447" s="31">
        <v>1.0</v>
      </c>
      <c r="W447" s="32" t="s">
        <v>7043</v>
      </c>
      <c r="X447" s="30">
        <v>47119.0</v>
      </c>
      <c r="Y447" s="30">
        <v>47483.0</v>
      </c>
      <c r="Z447" s="31">
        <v>0.0</v>
      </c>
      <c r="AA447" s="31">
        <v>1.0</v>
      </c>
      <c r="AB447" s="32" t="s">
        <v>7043</v>
      </c>
      <c r="AC447" s="30">
        <v>47484.0</v>
      </c>
      <c r="AD447" s="30">
        <v>47848.0</v>
      </c>
      <c r="AE447" s="31">
        <v>0.0</v>
      </c>
      <c r="AF447" s="31">
        <v>1.0</v>
      </c>
      <c r="AG447" s="32" t="s">
        <v>7043</v>
      </c>
    </row>
    <row r="448" ht="14.25" customHeight="1">
      <c r="A448" s="28" t="s">
        <v>3844</v>
      </c>
      <c r="B448" s="29" t="s">
        <v>3845</v>
      </c>
      <c r="C448" s="29" t="s">
        <v>7044</v>
      </c>
      <c r="D448" s="30">
        <v>45658.0</v>
      </c>
      <c r="E448" s="30">
        <v>46022.0</v>
      </c>
      <c r="F448" s="31">
        <v>0.0</v>
      </c>
      <c r="G448" s="31">
        <v>1.0</v>
      </c>
      <c r="H448" s="32" t="s">
        <v>7043</v>
      </c>
      <c r="I448" s="30">
        <v>46023.0</v>
      </c>
      <c r="J448" s="30">
        <v>46387.0</v>
      </c>
      <c r="K448" s="31">
        <v>0.0</v>
      </c>
      <c r="L448" s="31">
        <v>1.0</v>
      </c>
      <c r="M448" s="32" t="s">
        <v>7043</v>
      </c>
      <c r="N448" s="30">
        <v>46388.0</v>
      </c>
      <c r="O448" s="30">
        <v>46752.0</v>
      </c>
      <c r="P448" s="31">
        <v>0.0</v>
      </c>
      <c r="Q448" s="31">
        <v>1.0</v>
      </c>
      <c r="R448" s="32" t="s">
        <v>7043</v>
      </c>
      <c r="S448" s="30">
        <v>46753.0</v>
      </c>
      <c r="T448" s="30">
        <v>47118.0</v>
      </c>
      <c r="U448" s="31">
        <v>0.0</v>
      </c>
      <c r="V448" s="31">
        <v>1.0</v>
      </c>
      <c r="W448" s="32" t="s">
        <v>7043</v>
      </c>
      <c r="X448" s="30">
        <v>47119.0</v>
      </c>
      <c r="Y448" s="30">
        <v>47483.0</v>
      </c>
      <c r="Z448" s="31">
        <v>0.0</v>
      </c>
      <c r="AA448" s="31">
        <v>1.0</v>
      </c>
      <c r="AB448" s="32" t="s">
        <v>7043</v>
      </c>
      <c r="AC448" s="30">
        <v>47484.0</v>
      </c>
      <c r="AD448" s="30">
        <v>47848.0</v>
      </c>
      <c r="AE448" s="31">
        <v>0.0</v>
      </c>
      <c r="AF448" s="31">
        <v>1.0</v>
      </c>
      <c r="AG448" s="32" t="s">
        <v>7043</v>
      </c>
    </row>
    <row r="449" ht="14.25" customHeight="1">
      <c r="A449" s="28" t="s">
        <v>6022</v>
      </c>
      <c r="B449" s="29" t="s">
        <v>6023</v>
      </c>
      <c r="C449" s="29" t="s">
        <v>7044</v>
      </c>
      <c r="D449" s="30">
        <v>45658.0</v>
      </c>
      <c r="E449" s="30">
        <v>46022.0</v>
      </c>
      <c r="F449" s="31">
        <v>0.0</v>
      </c>
      <c r="G449" s="31">
        <v>1.0</v>
      </c>
      <c r="H449" s="32" t="s">
        <v>7043</v>
      </c>
      <c r="I449" s="30">
        <v>46023.0</v>
      </c>
      <c r="J449" s="30">
        <v>46387.0</v>
      </c>
      <c r="K449" s="31">
        <v>0.0</v>
      </c>
      <c r="L449" s="31">
        <v>1.0</v>
      </c>
      <c r="M449" s="32" t="s">
        <v>7043</v>
      </c>
      <c r="N449" s="30">
        <v>46388.0</v>
      </c>
      <c r="O449" s="30">
        <v>46752.0</v>
      </c>
      <c r="P449" s="31">
        <v>0.0</v>
      </c>
      <c r="Q449" s="31">
        <v>1.0</v>
      </c>
      <c r="R449" s="32" t="s">
        <v>7043</v>
      </c>
      <c r="S449" s="30">
        <v>46753.0</v>
      </c>
      <c r="T449" s="30">
        <v>47118.0</v>
      </c>
      <c r="U449" s="31">
        <v>0.0</v>
      </c>
      <c r="V449" s="31">
        <v>1.0</v>
      </c>
      <c r="W449" s="32" t="s">
        <v>7043</v>
      </c>
      <c r="X449" s="30">
        <v>47119.0</v>
      </c>
      <c r="Y449" s="30">
        <v>47483.0</v>
      </c>
      <c r="Z449" s="31">
        <v>0.0</v>
      </c>
      <c r="AA449" s="31">
        <v>1.0</v>
      </c>
      <c r="AB449" s="32" t="s">
        <v>7043</v>
      </c>
      <c r="AC449" s="30">
        <v>47484.0</v>
      </c>
      <c r="AD449" s="30">
        <v>47848.0</v>
      </c>
      <c r="AE449" s="31">
        <v>0.0</v>
      </c>
      <c r="AF449" s="31">
        <v>1.0</v>
      </c>
      <c r="AG449" s="32" t="s">
        <v>7043</v>
      </c>
    </row>
    <row r="450" ht="14.25" customHeight="1">
      <c r="A450" s="28" t="s">
        <v>6960</v>
      </c>
      <c r="B450" s="29" t="s">
        <v>6961</v>
      </c>
      <c r="C450" s="29" t="s">
        <v>7041</v>
      </c>
      <c r="D450" s="30">
        <v>45658.0</v>
      </c>
      <c r="E450" s="30">
        <v>46022.0</v>
      </c>
      <c r="F450" s="31">
        <v>0.0</v>
      </c>
      <c r="G450" s="31">
        <v>1.0</v>
      </c>
      <c r="H450" s="35" t="s">
        <v>7045</v>
      </c>
      <c r="I450" s="30">
        <v>46023.0</v>
      </c>
      <c r="J450" s="30">
        <v>46387.0</v>
      </c>
      <c r="K450" s="31">
        <v>0.0</v>
      </c>
      <c r="L450" s="31">
        <v>1.0</v>
      </c>
      <c r="M450" s="35" t="s">
        <v>7045</v>
      </c>
      <c r="N450" s="30">
        <v>46388.0</v>
      </c>
      <c r="O450" s="30">
        <v>46752.0</v>
      </c>
      <c r="P450" s="31">
        <v>0.0</v>
      </c>
      <c r="Q450" s="31">
        <v>1.0</v>
      </c>
      <c r="R450" s="35" t="s">
        <v>7045</v>
      </c>
      <c r="S450" s="30">
        <v>46753.0</v>
      </c>
      <c r="T450" s="30">
        <v>47118.0</v>
      </c>
      <c r="U450" s="31">
        <v>0.0</v>
      </c>
      <c r="V450" s="31">
        <v>1.0</v>
      </c>
      <c r="W450" s="35" t="s">
        <v>7045</v>
      </c>
      <c r="X450" s="30">
        <v>47119.0</v>
      </c>
      <c r="Y450" s="30">
        <v>47483.0</v>
      </c>
      <c r="Z450" s="31">
        <v>0.0</v>
      </c>
      <c r="AA450" s="31">
        <v>1.0</v>
      </c>
      <c r="AB450" s="35" t="s">
        <v>7045</v>
      </c>
      <c r="AC450" s="30">
        <v>47484.0</v>
      </c>
      <c r="AD450" s="30">
        <v>47848.0</v>
      </c>
      <c r="AE450" s="31">
        <v>0.0</v>
      </c>
      <c r="AF450" s="31">
        <v>1.0</v>
      </c>
      <c r="AG450" s="35" t="s">
        <v>7045</v>
      </c>
    </row>
    <row r="451" ht="14.25" customHeight="1">
      <c r="A451" s="28" t="s">
        <v>955</v>
      </c>
      <c r="B451" s="29" t="s">
        <v>956</v>
      </c>
      <c r="C451" s="29" t="s">
        <v>7044</v>
      </c>
      <c r="D451" s="30">
        <v>45658.0</v>
      </c>
      <c r="E451" s="30">
        <v>46022.0</v>
      </c>
      <c r="F451" s="31">
        <v>0.0</v>
      </c>
      <c r="G451" s="31">
        <v>1.0</v>
      </c>
      <c r="H451" s="35" t="s">
        <v>7045</v>
      </c>
      <c r="I451" s="30">
        <v>46023.0</v>
      </c>
      <c r="J451" s="30">
        <v>46387.0</v>
      </c>
      <c r="K451" s="31">
        <v>0.0</v>
      </c>
      <c r="L451" s="31">
        <v>1.0</v>
      </c>
      <c r="M451" s="35" t="s">
        <v>7045</v>
      </c>
      <c r="N451" s="30">
        <v>46388.0</v>
      </c>
      <c r="O451" s="30">
        <v>46752.0</v>
      </c>
      <c r="P451" s="31">
        <v>0.0</v>
      </c>
      <c r="Q451" s="31">
        <v>1.0</v>
      </c>
      <c r="R451" s="35" t="s">
        <v>7045</v>
      </c>
      <c r="S451" s="30">
        <v>46753.0</v>
      </c>
      <c r="T451" s="30">
        <v>47118.0</v>
      </c>
      <c r="U451" s="31">
        <v>0.0</v>
      </c>
      <c r="V451" s="31">
        <v>1.0</v>
      </c>
      <c r="W451" s="35" t="s">
        <v>7045</v>
      </c>
      <c r="X451" s="30">
        <v>47119.0</v>
      </c>
      <c r="Y451" s="30">
        <v>47483.0</v>
      </c>
      <c r="Z451" s="31">
        <v>0.0</v>
      </c>
      <c r="AA451" s="31">
        <v>1.0</v>
      </c>
      <c r="AB451" s="35" t="s">
        <v>7045</v>
      </c>
      <c r="AC451" s="30">
        <v>47484.0</v>
      </c>
      <c r="AD451" s="30">
        <v>47848.0</v>
      </c>
      <c r="AE451" s="31">
        <v>0.0</v>
      </c>
      <c r="AF451" s="31">
        <v>1.0</v>
      </c>
      <c r="AG451" s="35" t="s">
        <v>7045</v>
      </c>
    </row>
    <row r="452" ht="14.25" customHeight="1">
      <c r="A452" s="28" t="s">
        <v>5488</v>
      </c>
      <c r="B452" s="29" t="s">
        <v>5489</v>
      </c>
      <c r="C452" s="29" t="s">
        <v>7044</v>
      </c>
      <c r="D452" s="30">
        <v>45658.0</v>
      </c>
      <c r="E452" s="30">
        <v>46022.0</v>
      </c>
      <c r="F452" s="31">
        <v>0.0</v>
      </c>
      <c r="G452" s="31">
        <v>1.0</v>
      </c>
      <c r="H452" s="35" t="s">
        <v>7045</v>
      </c>
      <c r="I452" s="30">
        <v>46023.0</v>
      </c>
      <c r="J452" s="30">
        <v>46387.0</v>
      </c>
      <c r="K452" s="31">
        <v>0.0</v>
      </c>
      <c r="L452" s="31">
        <v>1.0</v>
      </c>
      <c r="M452" s="35" t="s">
        <v>7045</v>
      </c>
      <c r="N452" s="30">
        <v>46388.0</v>
      </c>
      <c r="O452" s="30">
        <v>46752.0</v>
      </c>
      <c r="P452" s="31">
        <v>0.0</v>
      </c>
      <c r="Q452" s="31">
        <v>1.0</v>
      </c>
      <c r="R452" s="35" t="s">
        <v>7045</v>
      </c>
      <c r="S452" s="30">
        <v>46753.0</v>
      </c>
      <c r="T452" s="30">
        <v>47118.0</v>
      </c>
      <c r="U452" s="31">
        <v>0.0</v>
      </c>
      <c r="V452" s="31">
        <v>1.0</v>
      </c>
      <c r="W452" s="35" t="s">
        <v>7045</v>
      </c>
      <c r="X452" s="30">
        <v>47119.0</v>
      </c>
      <c r="Y452" s="30">
        <v>47483.0</v>
      </c>
      <c r="Z452" s="31">
        <v>0.0</v>
      </c>
      <c r="AA452" s="31">
        <v>1.0</v>
      </c>
      <c r="AB452" s="35" t="s">
        <v>7045</v>
      </c>
      <c r="AC452" s="30">
        <v>47484.0</v>
      </c>
      <c r="AD452" s="30">
        <v>47848.0</v>
      </c>
      <c r="AE452" s="31">
        <v>0.0</v>
      </c>
      <c r="AF452" s="31">
        <v>1.0</v>
      </c>
      <c r="AG452" s="35" t="s">
        <v>7045</v>
      </c>
    </row>
    <row r="453" ht="14.25" customHeight="1">
      <c r="A453" s="28" t="s">
        <v>3816</v>
      </c>
      <c r="B453" s="29" t="s">
        <v>3817</v>
      </c>
      <c r="C453" s="29" t="s">
        <v>7041</v>
      </c>
      <c r="D453" s="30">
        <v>45658.0</v>
      </c>
      <c r="E453" s="30">
        <v>46022.0</v>
      </c>
      <c r="F453" s="31">
        <v>1.0</v>
      </c>
      <c r="G453" s="31">
        <v>1.0</v>
      </c>
      <c r="H453" s="33" t="s">
        <v>7042</v>
      </c>
      <c r="I453" s="30">
        <v>46023.0</v>
      </c>
      <c r="J453" s="30">
        <v>46387.0</v>
      </c>
      <c r="K453" s="31">
        <v>0.0</v>
      </c>
      <c r="L453" s="31">
        <v>1.0</v>
      </c>
      <c r="M453" s="32" t="s">
        <v>7043</v>
      </c>
      <c r="N453" s="30">
        <v>46388.0</v>
      </c>
      <c r="O453" s="30">
        <v>46752.0</v>
      </c>
      <c r="P453" s="31">
        <v>0.0</v>
      </c>
      <c r="Q453" s="31">
        <v>1.0</v>
      </c>
      <c r="R453" s="32" t="s">
        <v>7043</v>
      </c>
      <c r="S453" s="30">
        <v>46753.0</v>
      </c>
      <c r="T453" s="30">
        <v>47118.0</v>
      </c>
      <c r="U453" s="31">
        <v>0.0</v>
      </c>
      <c r="V453" s="31">
        <v>1.0</v>
      </c>
      <c r="W453" s="32" t="s">
        <v>7043</v>
      </c>
      <c r="X453" s="30">
        <v>47119.0</v>
      </c>
      <c r="Y453" s="30">
        <v>47483.0</v>
      </c>
      <c r="Z453" s="31">
        <v>0.0</v>
      </c>
      <c r="AA453" s="31">
        <v>1.0</v>
      </c>
      <c r="AB453" s="32" t="s">
        <v>7043</v>
      </c>
      <c r="AC453" s="30">
        <v>47484.0</v>
      </c>
      <c r="AD453" s="30">
        <v>47848.0</v>
      </c>
      <c r="AE453" s="31">
        <v>0.0</v>
      </c>
      <c r="AF453" s="31">
        <v>1.0</v>
      </c>
      <c r="AG453" s="32" t="s">
        <v>7043</v>
      </c>
    </row>
    <row r="454" ht="14.25" customHeight="1">
      <c r="A454" s="28" t="s">
        <v>1595</v>
      </c>
      <c r="B454" s="29" t="s">
        <v>1596</v>
      </c>
      <c r="C454" s="29" t="s">
        <v>7041</v>
      </c>
      <c r="D454" s="30">
        <v>45658.0</v>
      </c>
      <c r="E454" s="30">
        <v>46022.0</v>
      </c>
      <c r="F454" s="31">
        <v>1.0</v>
      </c>
      <c r="G454" s="31">
        <v>1.0</v>
      </c>
      <c r="H454" s="33" t="s">
        <v>7042</v>
      </c>
      <c r="I454" s="30">
        <v>46023.0</v>
      </c>
      <c r="J454" s="30">
        <v>46387.0</v>
      </c>
      <c r="K454" s="31">
        <v>0.0</v>
      </c>
      <c r="L454" s="31">
        <v>1.0</v>
      </c>
      <c r="M454" s="32" t="s">
        <v>7043</v>
      </c>
      <c r="N454" s="30">
        <v>46388.0</v>
      </c>
      <c r="O454" s="30">
        <v>46752.0</v>
      </c>
      <c r="P454" s="31">
        <v>0.0</v>
      </c>
      <c r="Q454" s="31">
        <v>1.0</v>
      </c>
      <c r="R454" s="32" t="s">
        <v>7043</v>
      </c>
      <c r="S454" s="30">
        <v>46753.0</v>
      </c>
      <c r="T454" s="30">
        <v>47118.0</v>
      </c>
      <c r="U454" s="31">
        <v>0.0</v>
      </c>
      <c r="V454" s="31">
        <v>1.0</v>
      </c>
      <c r="W454" s="32" t="s">
        <v>7043</v>
      </c>
      <c r="X454" s="30">
        <v>47119.0</v>
      </c>
      <c r="Y454" s="30">
        <v>47483.0</v>
      </c>
      <c r="Z454" s="31">
        <v>0.0</v>
      </c>
      <c r="AA454" s="31">
        <v>1.0</v>
      </c>
      <c r="AB454" s="32" t="s">
        <v>7043</v>
      </c>
      <c r="AC454" s="30">
        <v>47484.0</v>
      </c>
      <c r="AD454" s="30">
        <v>47848.0</v>
      </c>
      <c r="AE454" s="31">
        <v>0.0</v>
      </c>
      <c r="AF454" s="31">
        <v>1.0</v>
      </c>
      <c r="AG454" s="32" t="s">
        <v>7043</v>
      </c>
    </row>
    <row r="455" ht="14.25" customHeight="1">
      <c r="A455" s="28" t="s">
        <v>2611</v>
      </c>
      <c r="B455" s="29" t="s">
        <v>2612</v>
      </c>
      <c r="C455" s="29" t="s">
        <v>7044</v>
      </c>
      <c r="D455" s="30">
        <v>45658.0</v>
      </c>
      <c r="E455" s="30">
        <v>46022.0</v>
      </c>
      <c r="F455" s="31">
        <v>0.0</v>
      </c>
      <c r="G455" s="31">
        <v>1.0</v>
      </c>
      <c r="H455" s="32" t="s">
        <v>7043</v>
      </c>
      <c r="I455" s="30">
        <v>46023.0</v>
      </c>
      <c r="J455" s="30">
        <v>46387.0</v>
      </c>
      <c r="K455" s="31">
        <v>0.0</v>
      </c>
      <c r="L455" s="31">
        <v>1.0</v>
      </c>
      <c r="M455" s="32" t="s">
        <v>7043</v>
      </c>
      <c r="N455" s="30">
        <v>46388.0</v>
      </c>
      <c r="O455" s="30">
        <v>46752.0</v>
      </c>
      <c r="P455" s="31">
        <v>0.0</v>
      </c>
      <c r="Q455" s="31">
        <v>1.0</v>
      </c>
      <c r="R455" s="32" t="s">
        <v>7043</v>
      </c>
      <c r="S455" s="30">
        <v>46753.0</v>
      </c>
      <c r="T455" s="30">
        <v>47118.0</v>
      </c>
      <c r="U455" s="31">
        <v>0.0</v>
      </c>
      <c r="V455" s="31">
        <v>1.0</v>
      </c>
      <c r="W455" s="32" t="s">
        <v>7043</v>
      </c>
      <c r="X455" s="30">
        <v>47119.0</v>
      </c>
      <c r="Y455" s="30">
        <v>47483.0</v>
      </c>
      <c r="Z455" s="31">
        <v>0.0</v>
      </c>
      <c r="AA455" s="31">
        <v>1.0</v>
      </c>
      <c r="AB455" s="32" t="s">
        <v>7043</v>
      </c>
      <c r="AC455" s="30">
        <v>47484.0</v>
      </c>
      <c r="AD455" s="30">
        <v>47848.0</v>
      </c>
      <c r="AE455" s="31">
        <v>0.0</v>
      </c>
      <c r="AF455" s="31">
        <v>1.0</v>
      </c>
      <c r="AG455" s="32" t="s">
        <v>7043</v>
      </c>
    </row>
    <row r="456" ht="14.25" customHeight="1">
      <c r="A456" s="28" t="s">
        <v>854</v>
      </c>
      <c r="B456" s="29" t="s">
        <v>855</v>
      </c>
      <c r="C456" s="29" t="s">
        <v>7044</v>
      </c>
      <c r="D456" s="30">
        <v>45658.0</v>
      </c>
      <c r="E456" s="30">
        <v>46022.0</v>
      </c>
      <c r="F456" s="31">
        <v>0.0</v>
      </c>
      <c r="G456" s="31">
        <v>1.0</v>
      </c>
      <c r="H456" s="35" t="s">
        <v>7045</v>
      </c>
      <c r="I456" s="30">
        <v>46023.0</v>
      </c>
      <c r="J456" s="30">
        <v>46387.0</v>
      </c>
      <c r="K456" s="31">
        <v>0.0</v>
      </c>
      <c r="L456" s="31">
        <v>1.0</v>
      </c>
      <c r="M456" s="35" t="s">
        <v>7045</v>
      </c>
      <c r="N456" s="30">
        <v>46388.0</v>
      </c>
      <c r="O456" s="30">
        <v>46752.0</v>
      </c>
      <c r="P456" s="31">
        <v>0.0</v>
      </c>
      <c r="Q456" s="31">
        <v>1.0</v>
      </c>
      <c r="R456" s="35" t="s">
        <v>7045</v>
      </c>
      <c r="S456" s="30">
        <v>46753.0</v>
      </c>
      <c r="T456" s="30">
        <v>47118.0</v>
      </c>
      <c r="U456" s="31">
        <v>0.0</v>
      </c>
      <c r="V456" s="31">
        <v>1.0</v>
      </c>
      <c r="W456" s="35" t="s">
        <v>7045</v>
      </c>
      <c r="X456" s="30">
        <v>47119.0</v>
      </c>
      <c r="Y456" s="30">
        <v>47483.0</v>
      </c>
      <c r="Z456" s="31">
        <v>0.0</v>
      </c>
      <c r="AA456" s="31">
        <v>1.0</v>
      </c>
      <c r="AB456" s="35" t="s">
        <v>7045</v>
      </c>
      <c r="AC456" s="30">
        <v>47484.0</v>
      </c>
      <c r="AD456" s="30">
        <v>47848.0</v>
      </c>
      <c r="AE456" s="31">
        <v>0.0</v>
      </c>
      <c r="AF456" s="31">
        <v>1.0</v>
      </c>
      <c r="AG456" s="35" t="s">
        <v>7045</v>
      </c>
    </row>
    <row r="457" ht="14.25" customHeight="1">
      <c r="A457" s="28" t="s">
        <v>5469</v>
      </c>
      <c r="B457" s="29" t="s">
        <v>5470</v>
      </c>
      <c r="C457" s="29" t="s">
        <v>7041</v>
      </c>
      <c r="D457" s="30">
        <v>45658.0</v>
      </c>
      <c r="E457" s="30">
        <v>46022.0</v>
      </c>
      <c r="F457" s="31">
        <v>0.0</v>
      </c>
      <c r="G457" s="31">
        <v>1.0</v>
      </c>
      <c r="H457" s="35" t="s">
        <v>7045</v>
      </c>
      <c r="I457" s="30">
        <v>46023.0</v>
      </c>
      <c r="J457" s="30">
        <v>46387.0</v>
      </c>
      <c r="K457" s="31">
        <v>0.0</v>
      </c>
      <c r="L457" s="31">
        <v>1.0</v>
      </c>
      <c r="M457" s="35" t="s">
        <v>7045</v>
      </c>
      <c r="N457" s="30">
        <v>46388.0</v>
      </c>
      <c r="O457" s="30">
        <v>46752.0</v>
      </c>
      <c r="P457" s="31">
        <v>0.0</v>
      </c>
      <c r="Q457" s="31">
        <v>1.0</v>
      </c>
      <c r="R457" s="35" t="s">
        <v>7045</v>
      </c>
      <c r="S457" s="30">
        <v>46753.0</v>
      </c>
      <c r="T457" s="30">
        <v>47118.0</v>
      </c>
      <c r="U457" s="31">
        <v>0.0</v>
      </c>
      <c r="V457" s="31">
        <v>1.0</v>
      </c>
      <c r="W457" s="35" t="s">
        <v>7045</v>
      </c>
      <c r="X457" s="30">
        <v>47119.0</v>
      </c>
      <c r="Y457" s="30">
        <v>47483.0</v>
      </c>
      <c r="Z457" s="31">
        <v>0.0</v>
      </c>
      <c r="AA457" s="31">
        <v>1.0</v>
      </c>
      <c r="AB457" s="35" t="s">
        <v>7045</v>
      </c>
      <c r="AC457" s="30">
        <v>47484.0</v>
      </c>
      <c r="AD457" s="30">
        <v>47848.0</v>
      </c>
      <c r="AE457" s="31">
        <v>0.0</v>
      </c>
      <c r="AF457" s="31">
        <v>1.0</v>
      </c>
      <c r="AG457" s="35" t="s">
        <v>7045</v>
      </c>
    </row>
    <row r="458" ht="14.25" customHeight="1">
      <c r="A458" s="28" t="s">
        <v>5562</v>
      </c>
      <c r="B458" s="29" t="s">
        <v>5563</v>
      </c>
      <c r="C458" s="29" t="s">
        <v>7041</v>
      </c>
      <c r="D458" s="30">
        <v>45658.0</v>
      </c>
      <c r="E458" s="30">
        <v>46022.0</v>
      </c>
      <c r="F458" s="31">
        <v>0.0</v>
      </c>
      <c r="G458" s="31">
        <v>1.0</v>
      </c>
      <c r="H458" s="35" t="s">
        <v>7045</v>
      </c>
      <c r="I458" s="30">
        <v>46023.0</v>
      </c>
      <c r="J458" s="30">
        <v>46387.0</v>
      </c>
      <c r="K458" s="31">
        <v>0.0</v>
      </c>
      <c r="L458" s="31">
        <v>1.0</v>
      </c>
      <c r="M458" s="35" t="s">
        <v>7045</v>
      </c>
      <c r="N458" s="30">
        <v>46388.0</v>
      </c>
      <c r="O458" s="30">
        <v>46752.0</v>
      </c>
      <c r="P458" s="31">
        <v>0.0</v>
      </c>
      <c r="Q458" s="31">
        <v>1.0</v>
      </c>
      <c r="R458" s="35" t="s">
        <v>7045</v>
      </c>
      <c r="S458" s="30">
        <v>46753.0</v>
      </c>
      <c r="T458" s="30">
        <v>47118.0</v>
      </c>
      <c r="U458" s="31">
        <v>0.0</v>
      </c>
      <c r="V458" s="31">
        <v>1.0</v>
      </c>
      <c r="W458" s="35" t="s">
        <v>7045</v>
      </c>
      <c r="X458" s="30">
        <v>47119.0</v>
      </c>
      <c r="Y458" s="30">
        <v>47483.0</v>
      </c>
      <c r="Z458" s="31">
        <v>0.0</v>
      </c>
      <c r="AA458" s="31">
        <v>1.0</v>
      </c>
      <c r="AB458" s="35" t="s">
        <v>7045</v>
      </c>
      <c r="AC458" s="30">
        <v>47484.0</v>
      </c>
      <c r="AD458" s="30">
        <v>47848.0</v>
      </c>
      <c r="AE458" s="31">
        <v>0.0</v>
      </c>
      <c r="AF458" s="31">
        <v>1.0</v>
      </c>
      <c r="AG458" s="35" t="s">
        <v>7045</v>
      </c>
    </row>
    <row r="459" ht="14.25" customHeight="1">
      <c r="A459" s="28" t="s">
        <v>6137</v>
      </c>
      <c r="B459" s="29" t="s">
        <v>6138</v>
      </c>
      <c r="C459" s="29" t="s">
        <v>7041</v>
      </c>
      <c r="D459" s="30">
        <v>45658.0</v>
      </c>
      <c r="E459" s="30">
        <v>46022.0</v>
      </c>
      <c r="F459" s="31">
        <v>0.0</v>
      </c>
      <c r="G459" s="31">
        <v>1.0</v>
      </c>
      <c r="H459" s="35" t="s">
        <v>7045</v>
      </c>
      <c r="I459" s="30">
        <v>46023.0</v>
      </c>
      <c r="J459" s="30">
        <v>46387.0</v>
      </c>
      <c r="K459" s="31">
        <v>0.0</v>
      </c>
      <c r="L459" s="31">
        <v>1.0</v>
      </c>
      <c r="M459" s="35" t="s">
        <v>7045</v>
      </c>
      <c r="N459" s="30">
        <v>46388.0</v>
      </c>
      <c r="O459" s="30">
        <v>46752.0</v>
      </c>
      <c r="P459" s="31">
        <v>0.0</v>
      </c>
      <c r="Q459" s="31">
        <v>1.0</v>
      </c>
      <c r="R459" s="35" t="s">
        <v>7045</v>
      </c>
      <c r="S459" s="30">
        <v>46753.0</v>
      </c>
      <c r="T459" s="30">
        <v>47118.0</v>
      </c>
      <c r="U459" s="31">
        <v>0.0</v>
      </c>
      <c r="V459" s="31">
        <v>1.0</v>
      </c>
      <c r="W459" s="35" t="s">
        <v>7045</v>
      </c>
      <c r="X459" s="30">
        <v>47119.0</v>
      </c>
      <c r="Y459" s="30">
        <v>47483.0</v>
      </c>
      <c r="Z459" s="31">
        <v>0.0</v>
      </c>
      <c r="AA459" s="31">
        <v>1.0</v>
      </c>
      <c r="AB459" s="35" t="s">
        <v>7045</v>
      </c>
      <c r="AC459" s="30">
        <v>47484.0</v>
      </c>
      <c r="AD459" s="30">
        <v>47848.0</v>
      </c>
      <c r="AE459" s="31">
        <v>0.0</v>
      </c>
      <c r="AF459" s="31">
        <v>1.0</v>
      </c>
      <c r="AG459" s="35" t="s">
        <v>7045</v>
      </c>
    </row>
    <row r="460" ht="14.25" customHeight="1">
      <c r="A460" s="28" t="s">
        <v>352</v>
      </c>
      <c r="B460" s="29" t="s">
        <v>353</v>
      </c>
      <c r="C460" s="29" t="s">
        <v>7041</v>
      </c>
      <c r="D460" s="30">
        <v>45658.0</v>
      </c>
      <c r="E460" s="30">
        <v>46022.0</v>
      </c>
      <c r="F460" s="31">
        <v>0.0</v>
      </c>
      <c r="G460" s="31">
        <v>1.0</v>
      </c>
      <c r="H460" s="35" t="s">
        <v>7045</v>
      </c>
      <c r="I460" s="30">
        <v>46023.0</v>
      </c>
      <c r="J460" s="30">
        <v>46387.0</v>
      </c>
      <c r="K460" s="31">
        <v>0.0</v>
      </c>
      <c r="L460" s="31">
        <v>1.0</v>
      </c>
      <c r="M460" s="35" t="s">
        <v>7045</v>
      </c>
      <c r="N460" s="30">
        <v>46388.0</v>
      </c>
      <c r="O460" s="30">
        <v>46752.0</v>
      </c>
      <c r="P460" s="31">
        <v>0.0</v>
      </c>
      <c r="Q460" s="31">
        <v>1.0</v>
      </c>
      <c r="R460" s="35" t="s">
        <v>7045</v>
      </c>
      <c r="S460" s="30">
        <v>46753.0</v>
      </c>
      <c r="T460" s="30">
        <v>47118.0</v>
      </c>
      <c r="U460" s="31">
        <v>0.0</v>
      </c>
      <c r="V460" s="31">
        <v>1.0</v>
      </c>
      <c r="W460" s="35" t="s">
        <v>7045</v>
      </c>
      <c r="X460" s="30">
        <v>47119.0</v>
      </c>
      <c r="Y460" s="30">
        <v>47483.0</v>
      </c>
      <c r="Z460" s="31">
        <v>0.0</v>
      </c>
      <c r="AA460" s="31">
        <v>1.0</v>
      </c>
      <c r="AB460" s="35" t="s">
        <v>7045</v>
      </c>
      <c r="AC460" s="30">
        <v>47484.0</v>
      </c>
      <c r="AD460" s="30">
        <v>47848.0</v>
      </c>
      <c r="AE460" s="31">
        <v>0.0</v>
      </c>
      <c r="AF460" s="31">
        <v>1.0</v>
      </c>
      <c r="AG460" s="35" t="s">
        <v>7045</v>
      </c>
    </row>
    <row r="461" ht="14.25" customHeight="1">
      <c r="A461" s="28" t="s">
        <v>5120</v>
      </c>
      <c r="B461" s="29" t="s">
        <v>5121</v>
      </c>
      <c r="C461" s="29" t="s">
        <v>7041</v>
      </c>
      <c r="D461" s="30">
        <v>45658.0</v>
      </c>
      <c r="E461" s="30">
        <v>46022.0</v>
      </c>
      <c r="F461" s="31">
        <v>0.0</v>
      </c>
      <c r="G461" s="31">
        <v>1.0</v>
      </c>
      <c r="H461" s="35" t="s">
        <v>7045</v>
      </c>
      <c r="I461" s="30">
        <v>46023.0</v>
      </c>
      <c r="J461" s="30">
        <v>46387.0</v>
      </c>
      <c r="K461" s="31">
        <v>0.0</v>
      </c>
      <c r="L461" s="31">
        <v>1.0</v>
      </c>
      <c r="M461" s="35" t="s">
        <v>7045</v>
      </c>
      <c r="N461" s="30">
        <v>46388.0</v>
      </c>
      <c r="O461" s="30">
        <v>46752.0</v>
      </c>
      <c r="P461" s="31">
        <v>0.0</v>
      </c>
      <c r="Q461" s="31">
        <v>1.0</v>
      </c>
      <c r="R461" s="35" t="s">
        <v>7045</v>
      </c>
      <c r="S461" s="30">
        <v>46753.0</v>
      </c>
      <c r="T461" s="30">
        <v>47118.0</v>
      </c>
      <c r="U461" s="31">
        <v>0.0</v>
      </c>
      <c r="V461" s="31">
        <v>1.0</v>
      </c>
      <c r="W461" s="35" t="s">
        <v>7045</v>
      </c>
      <c r="X461" s="30">
        <v>47119.0</v>
      </c>
      <c r="Y461" s="30">
        <v>47483.0</v>
      </c>
      <c r="Z461" s="31">
        <v>0.0</v>
      </c>
      <c r="AA461" s="31">
        <v>1.0</v>
      </c>
      <c r="AB461" s="35" t="s">
        <v>7045</v>
      </c>
      <c r="AC461" s="30">
        <v>47484.0</v>
      </c>
      <c r="AD461" s="30">
        <v>47848.0</v>
      </c>
      <c r="AE461" s="31">
        <v>0.0</v>
      </c>
      <c r="AF461" s="31">
        <v>1.0</v>
      </c>
      <c r="AG461" s="35" t="s">
        <v>7045</v>
      </c>
    </row>
    <row r="462" ht="14.25" customHeight="1">
      <c r="A462" s="28" t="s">
        <v>3873</v>
      </c>
      <c r="B462" s="29" t="s">
        <v>3874</v>
      </c>
      <c r="C462" s="29" t="s">
        <v>7041</v>
      </c>
      <c r="D462" s="30">
        <v>45658.0</v>
      </c>
      <c r="E462" s="30">
        <v>46022.0</v>
      </c>
      <c r="F462" s="31">
        <v>0.0</v>
      </c>
      <c r="G462" s="31">
        <v>1.0</v>
      </c>
      <c r="H462" s="35" t="s">
        <v>7045</v>
      </c>
      <c r="I462" s="30">
        <v>46023.0</v>
      </c>
      <c r="J462" s="30">
        <v>46387.0</v>
      </c>
      <c r="K462" s="31">
        <v>0.0</v>
      </c>
      <c r="L462" s="31">
        <v>1.0</v>
      </c>
      <c r="M462" s="35" t="s">
        <v>7045</v>
      </c>
      <c r="N462" s="30">
        <v>46388.0</v>
      </c>
      <c r="O462" s="30">
        <v>46752.0</v>
      </c>
      <c r="P462" s="31">
        <v>0.0</v>
      </c>
      <c r="Q462" s="31">
        <v>1.0</v>
      </c>
      <c r="R462" s="35" t="s">
        <v>7045</v>
      </c>
      <c r="S462" s="30">
        <v>46753.0</v>
      </c>
      <c r="T462" s="30">
        <v>47118.0</v>
      </c>
      <c r="U462" s="31">
        <v>0.0</v>
      </c>
      <c r="V462" s="31">
        <v>1.0</v>
      </c>
      <c r="W462" s="35" t="s">
        <v>7045</v>
      </c>
      <c r="X462" s="30">
        <v>47119.0</v>
      </c>
      <c r="Y462" s="30">
        <v>47483.0</v>
      </c>
      <c r="Z462" s="31">
        <v>0.0</v>
      </c>
      <c r="AA462" s="31">
        <v>1.0</v>
      </c>
      <c r="AB462" s="35" t="s">
        <v>7045</v>
      </c>
      <c r="AC462" s="30">
        <v>47484.0</v>
      </c>
      <c r="AD462" s="30">
        <v>47848.0</v>
      </c>
      <c r="AE462" s="31">
        <v>0.0</v>
      </c>
      <c r="AF462" s="31">
        <v>1.0</v>
      </c>
      <c r="AG462" s="35" t="s">
        <v>7045</v>
      </c>
    </row>
    <row r="463" ht="14.25" customHeight="1">
      <c r="A463" s="28" t="s">
        <v>2383</v>
      </c>
      <c r="B463" s="29" t="s">
        <v>2384</v>
      </c>
      <c r="C463" s="29" t="s">
        <v>7041</v>
      </c>
      <c r="D463" s="30">
        <v>45658.0</v>
      </c>
      <c r="E463" s="30">
        <v>46022.0</v>
      </c>
      <c r="F463" s="31">
        <v>0.0</v>
      </c>
      <c r="G463" s="31">
        <v>1.0</v>
      </c>
      <c r="H463" s="35" t="s">
        <v>7045</v>
      </c>
      <c r="I463" s="30">
        <v>46023.0</v>
      </c>
      <c r="J463" s="30">
        <v>46387.0</v>
      </c>
      <c r="K463" s="31">
        <v>0.0</v>
      </c>
      <c r="L463" s="31">
        <v>1.0</v>
      </c>
      <c r="M463" s="35" t="s">
        <v>7045</v>
      </c>
      <c r="N463" s="30">
        <v>46388.0</v>
      </c>
      <c r="O463" s="30">
        <v>46752.0</v>
      </c>
      <c r="P463" s="31">
        <v>0.0</v>
      </c>
      <c r="Q463" s="31">
        <v>1.0</v>
      </c>
      <c r="R463" s="35" t="s">
        <v>7045</v>
      </c>
      <c r="S463" s="30">
        <v>46753.0</v>
      </c>
      <c r="T463" s="30">
        <v>47118.0</v>
      </c>
      <c r="U463" s="31">
        <v>0.0</v>
      </c>
      <c r="V463" s="31">
        <v>1.0</v>
      </c>
      <c r="W463" s="35" t="s">
        <v>7045</v>
      </c>
      <c r="X463" s="30">
        <v>47119.0</v>
      </c>
      <c r="Y463" s="30">
        <v>47483.0</v>
      </c>
      <c r="Z463" s="31">
        <v>0.0</v>
      </c>
      <c r="AA463" s="31">
        <v>1.0</v>
      </c>
      <c r="AB463" s="35" t="s">
        <v>7045</v>
      </c>
      <c r="AC463" s="30">
        <v>47484.0</v>
      </c>
      <c r="AD463" s="30">
        <v>47848.0</v>
      </c>
      <c r="AE463" s="31">
        <v>0.0</v>
      </c>
      <c r="AF463" s="31">
        <v>1.0</v>
      </c>
      <c r="AG463" s="35" t="s">
        <v>7045</v>
      </c>
    </row>
    <row r="464" ht="14.25" customHeight="1">
      <c r="A464" s="28" t="s">
        <v>5170</v>
      </c>
      <c r="B464" s="29" t="s">
        <v>5171</v>
      </c>
      <c r="C464" s="29" t="s">
        <v>7041</v>
      </c>
      <c r="D464" s="30">
        <v>45658.0</v>
      </c>
      <c r="E464" s="30">
        <v>46022.0</v>
      </c>
      <c r="F464" s="31">
        <v>1.0</v>
      </c>
      <c r="G464" s="31">
        <v>1.0</v>
      </c>
      <c r="H464" s="33" t="s">
        <v>7042</v>
      </c>
      <c r="I464" s="30">
        <v>46023.0</v>
      </c>
      <c r="J464" s="30">
        <v>46387.0</v>
      </c>
      <c r="K464" s="31">
        <v>0.0</v>
      </c>
      <c r="L464" s="31">
        <v>1.0</v>
      </c>
      <c r="M464" s="32" t="s">
        <v>7043</v>
      </c>
      <c r="N464" s="30">
        <v>46388.0</v>
      </c>
      <c r="O464" s="30">
        <v>46752.0</v>
      </c>
      <c r="P464" s="31">
        <v>0.0</v>
      </c>
      <c r="Q464" s="31">
        <v>1.0</v>
      </c>
      <c r="R464" s="32" t="s">
        <v>7043</v>
      </c>
      <c r="S464" s="30">
        <v>46753.0</v>
      </c>
      <c r="T464" s="30">
        <v>47118.0</v>
      </c>
      <c r="U464" s="31">
        <v>0.0</v>
      </c>
      <c r="V464" s="31">
        <v>1.0</v>
      </c>
      <c r="W464" s="32" t="s">
        <v>7043</v>
      </c>
      <c r="X464" s="30">
        <v>47119.0</v>
      </c>
      <c r="Y464" s="30">
        <v>47483.0</v>
      </c>
      <c r="Z464" s="31">
        <v>0.0</v>
      </c>
      <c r="AA464" s="31">
        <v>1.0</v>
      </c>
      <c r="AB464" s="32" t="s">
        <v>7043</v>
      </c>
      <c r="AC464" s="30">
        <v>47484.0</v>
      </c>
      <c r="AD464" s="30">
        <v>47848.0</v>
      </c>
      <c r="AE464" s="31">
        <v>0.0</v>
      </c>
      <c r="AF464" s="31">
        <v>1.0</v>
      </c>
      <c r="AG464" s="32" t="s">
        <v>7043</v>
      </c>
    </row>
    <row r="465" ht="14.25" customHeight="1">
      <c r="A465" s="28" t="s">
        <v>799</v>
      </c>
      <c r="B465" s="29" t="s">
        <v>800</v>
      </c>
      <c r="C465" s="29" t="s">
        <v>7041</v>
      </c>
      <c r="D465" s="30">
        <v>45658.0</v>
      </c>
      <c r="E465" s="30">
        <v>46022.0</v>
      </c>
      <c r="F465" s="31">
        <v>0.0</v>
      </c>
      <c r="G465" s="31">
        <v>1.0</v>
      </c>
      <c r="H465" s="35" t="s">
        <v>7045</v>
      </c>
      <c r="I465" s="30">
        <v>46023.0</v>
      </c>
      <c r="J465" s="30">
        <v>46387.0</v>
      </c>
      <c r="K465" s="31">
        <v>0.0</v>
      </c>
      <c r="L465" s="31">
        <v>1.0</v>
      </c>
      <c r="M465" s="35" t="s">
        <v>7045</v>
      </c>
      <c r="N465" s="30">
        <v>46388.0</v>
      </c>
      <c r="O465" s="30">
        <v>46752.0</v>
      </c>
      <c r="P465" s="31">
        <v>0.0</v>
      </c>
      <c r="Q465" s="31">
        <v>1.0</v>
      </c>
      <c r="R465" s="35" t="s">
        <v>7045</v>
      </c>
      <c r="S465" s="30">
        <v>46753.0</v>
      </c>
      <c r="T465" s="30">
        <v>47118.0</v>
      </c>
      <c r="U465" s="31">
        <v>0.0</v>
      </c>
      <c r="V465" s="31">
        <v>1.0</v>
      </c>
      <c r="W465" s="35" t="s">
        <v>7045</v>
      </c>
      <c r="X465" s="30">
        <v>47119.0</v>
      </c>
      <c r="Y465" s="30">
        <v>47483.0</v>
      </c>
      <c r="Z465" s="31">
        <v>0.0</v>
      </c>
      <c r="AA465" s="31">
        <v>1.0</v>
      </c>
      <c r="AB465" s="35" t="s">
        <v>7045</v>
      </c>
      <c r="AC465" s="30">
        <v>47484.0</v>
      </c>
      <c r="AD465" s="30">
        <v>47848.0</v>
      </c>
      <c r="AE465" s="31">
        <v>0.0</v>
      </c>
      <c r="AF465" s="31">
        <v>1.0</v>
      </c>
      <c r="AG465" s="35" t="s">
        <v>7045</v>
      </c>
    </row>
    <row r="466" ht="14.25" customHeight="1">
      <c r="A466" s="28" t="s">
        <v>1732</v>
      </c>
      <c r="B466" s="29" t="s">
        <v>1733</v>
      </c>
      <c r="C466" s="29" t="s">
        <v>7041</v>
      </c>
      <c r="D466" s="30">
        <v>45658.0</v>
      </c>
      <c r="E466" s="30">
        <v>46022.0</v>
      </c>
      <c r="F466" s="31">
        <v>0.0</v>
      </c>
      <c r="G466" s="31">
        <v>1.0</v>
      </c>
      <c r="H466" s="35" t="s">
        <v>7045</v>
      </c>
      <c r="I466" s="30">
        <v>46023.0</v>
      </c>
      <c r="J466" s="30">
        <v>46387.0</v>
      </c>
      <c r="K466" s="31">
        <v>0.0</v>
      </c>
      <c r="L466" s="31">
        <v>1.0</v>
      </c>
      <c r="M466" s="35" t="s">
        <v>7045</v>
      </c>
      <c r="N466" s="30">
        <v>46388.0</v>
      </c>
      <c r="O466" s="30">
        <v>46752.0</v>
      </c>
      <c r="P466" s="31">
        <v>0.0</v>
      </c>
      <c r="Q466" s="31">
        <v>1.0</v>
      </c>
      <c r="R466" s="35" t="s">
        <v>7045</v>
      </c>
      <c r="S466" s="30">
        <v>46753.0</v>
      </c>
      <c r="T466" s="30">
        <v>47118.0</v>
      </c>
      <c r="U466" s="31">
        <v>0.0</v>
      </c>
      <c r="V466" s="31">
        <v>1.0</v>
      </c>
      <c r="W466" s="35" t="s">
        <v>7045</v>
      </c>
      <c r="X466" s="30">
        <v>47119.0</v>
      </c>
      <c r="Y466" s="30">
        <v>47483.0</v>
      </c>
      <c r="Z466" s="31">
        <v>0.0</v>
      </c>
      <c r="AA466" s="31">
        <v>1.0</v>
      </c>
      <c r="AB466" s="35" t="s">
        <v>7045</v>
      </c>
      <c r="AC466" s="30">
        <v>47484.0</v>
      </c>
      <c r="AD466" s="30">
        <v>47848.0</v>
      </c>
      <c r="AE466" s="31">
        <v>0.0</v>
      </c>
      <c r="AF466" s="31">
        <v>1.0</v>
      </c>
      <c r="AG466" s="35" t="s">
        <v>7045</v>
      </c>
    </row>
    <row r="467" ht="14.25" customHeight="1">
      <c r="A467" s="28" t="s">
        <v>6399</v>
      </c>
      <c r="B467" s="29" t="s">
        <v>6400</v>
      </c>
      <c r="C467" s="29" t="s">
        <v>7041</v>
      </c>
      <c r="D467" s="30">
        <v>45658.0</v>
      </c>
      <c r="E467" s="30">
        <v>46022.0</v>
      </c>
      <c r="F467" s="31">
        <v>0.0</v>
      </c>
      <c r="G467" s="31">
        <v>1.0</v>
      </c>
      <c r="H467" s="35" t="s">
        <v>7045</v>
      </c>
      <c r="I467" s="30">
        <v>46023.0</v>
      </c>
      <c r="J467" s="30">
        <v>46387.0</v>
      </c>
      <c r="K467" s="31">
        <v>0.0</v>
      </c>
      <c r="L467" s="31">
        <v>1.0</v>
      </c>
      <c r="M467" s="35" t="s">
        <v>7045</v>
      </c>
      <c r="N467" s="30">
        <v>46388.0</v>
      </c>
      <c r="O467" s="30">
        <v>46752.0</v>
      </c>
      <c r="P467" s="31">
        <v>0.0</v>
      </c>
      <c r="Q467" s="31">
        <v>1.0</v>
      </c>
      <c r="R467" s="35" t="s">
        <v>7045</v>
      </c>
      <c r="S467" s="30">
        <v>46753.0</v>
      </c>
      <c r="T467" s="30">
        <v>47118.0</v>
      </c>
      <c r="U467" s="31">
        <v>0.0</v>
      </c>
      <c r="V467" s="31">
        <v>1.0</v>
      </c>
      <c r="W467" s="35" t="s">
        <v>7045</v>
      </c>
      <c r="X467" s="30">
        <v>47119.0</v>
      </c>
      <c r="Y467" s="30">
        <v>47483.0</v>
      </c>
      <c r="Z467" s="31">
        <v>0.0</v>
      </c>
      <c r="AA467" s="31">
        <v>1.0</v>
      </c>
      <c r="AB467" s="35" t="s">
        <v>7045</v>
      </c>
      <c r="AC467" s="30">
        <v>47484.0</v>
      </c>
      <c r="AD467" s="30">
        <v>47848.0</v>
      </c>
      <c r="AE467" s="31">
        <v>0.0</v>
      </c>
      <c r="AF467" s="31">
        <v>1.0</v>
      </c>
      <c r="AG467" s="35" t="s">
        <v>7045</v>
      </c>
    </row>
    <row r="468" ht="14.25" customHeight="1">
      <c r="A468" s="28" t="s">
        <v>6162</v>
      </c>
      <c r="B468" s="29" t="s">
        <v>6163</v>
      </c>
      <c r="C468" s="29" t="s">
        <v>7041</v>
      </c>
      <c r="D468" s="30">
        <v>45658.0</v>
      </c>
      <c r="E468" s="30">
        <v>46022.0</v>
      </c>
      <c r="F468" s="31">
        <v>0.0</v>
      </c>
      <c r="G468" s="31">
        <v>1.0</v>
      </c>
      <c r="H468" s="35" t="s">
        <v>7045</v>
      </c>
      <c r="I468" s="30">
        <v>46023.0</v>
      </c>
      <c r="J468" s="30">
        <v>46387.0</v>
      </c>
      <c r="K468" s="31">
        <v>0.0</v>
      </c>
      <c r="L468" s="31">
        <v>1.0</v>
      </c>
      <c r="M468" s="35" t="s">
        <v>7045</v>
      </c>
      <c r="N468" s="30">
        <v>46388.0</v>
      </c>
      <c r="O468" s="30">
        <v>46752.0</v>
      </c>
      <c r="P468" s="31">
        <v>0.0</v>
      </c>
      <c r="Q468" s="31">
        <v>1.0</v>
      </c>
      <c r="R468" s="35" t="s">
        <v>7045</v>
      </c>
      <c r="S468" s="30">
        <v>46753.0</v>
      </c>
      <c r="T468" s="30">
        <v>47118.0</v>
      </c>
      <c r="U468" s="31">
        <v>0.0</v>
      </c>
      <c r="V468" s="31">
        <v>1.0</v>
      </c>
      <c r="W468" s="35" t="s">
        <v>7045</v>
      </c>
      <c r="X468" s="30">
        <v>47119.0</v>
      </c>
      <c r="Y468" s="30">
        <v>47483.0</v>
      </c>
      <c r="Z468" s="31">
        <v>0.0</v>
      </c>
      <c r="AA468" s="31">
        <v>1.0</v>
      </c>
      <c r="AB468" s="35" t="s">
        <v>7045</v>
      </c>
      <c r="AC468" s="30">
        <v>47484.0</v>
      </c>
      <c r="AD468" s="30">
        <v>47848.0</v>
      </c>
      <c r="AE468" s="31">
        <v>0.0</v>
      </c>
      <c r="AF468" s="31">
        <v>1.0</v>
      </c>
      <c r="AG468" s="35" t="s">
        <v>7045</v>
      </c>
    </row>
    <row r="469" ht="14.25" customHeight="1">
      <c r="A469" s="28" t="s">
        <v>6415</v>
      </c>
      <c r="B469" s="29" t="s">
        <v>6416</v>
      </c>
      <c r="C469" s="29" t="s">
        <v>7041</v>
      </c>
      <c r="D469" s="30">
        <v>45658.0</v>
      </c>
      <c r="E469" s="30">
        <v>46022.0</v>
      </c>
      <c r="F469" s="31">
        <v>0.0</v>
      </c>
      <c r="G469" s="31">
        <v>1.0</v>
      </c>
      <c r="H469" s="35" t="s">
        <v>7045</v>
      </c>
      <c r="I469" s="30">
        <v>46023.0</v>
      </c>
      <c r="J469" s="30">
        <v>46387.0</v>
      </c>
      <c r="K469" s="31">
        <v>0.0</v>
      </c>
      <c r="L469" s="31">
        <v>1.0</v>
      </c>
      <c r="M469" s="35" t="s">
        <v>7045</v>
      </c>
      <c r="N469" s="30">
        <v>46388.0</v>
      </c>
      <c r="O469" s="30">
        <v>46752.0</v>
      </c>
      <c r="P469" s="31">
        <v>0.0</v>
      </c>
      <c r="Q469" s="31">
        <v>1.0</v>
      </c>
      <c r="R469" s="35" t="s">
        <v>7045</v>
      </c>
      <c r="S469" s="30">
        <v>46753.0</v>
      </c>
      <c r="T469" s="30">
        <v>47118.0</v>
      </c>
      <c r="U469" s="31">
        <v>0.0</v>
      </c>
      <c r="V469" s="31">
        <v>1.0</v>
      </c>
      <c r="W469" s="35" t="s">
        <v>7045</v>
      </c>
      <c r="X469" s="30">
        <v>47119.0</v>
      </c>
      <c r="Y469" s="30">
        <v>47483.0</v>
      </c>
      <c r="Z469" s="31">
        <v>0.0</v>
      </c>
      <c r="AA469" s="31">
        <v>1.0</v>
      </c>
      <c r="AB469" s="35" t="s">
        <v>7045</v>
      </c>
      <c r="AC469" s="30">
        <v>47484.0</v>
      </c>
      <c r="AD469" s="30">
        <v>47848.0</v>
      </c>
      <c r="AE469" s="31">
        <v>0.0</v>
      </c>
      <c r="AF469" s="31">
        <v>1.0</v>
      </c>
      <c r="AG469" s="35" t="s">
        <v>7045</v>
      </c>
    </row>
    <row r="470" ht="14.25" customHeight="1">
      <c r="A470" s="28" t="s">
        <v>4432</v>
      </c>
      <c r="B470" s="29" t="s">
        <v>4433</v>
      </c>
      <c r="C470" s="29" t="s">
        <v>7041</v>
      </c>
      <c r="D470" s="30">
        <v>45658.0</v>
      </c>
      <c r="E470" s="30">
        <v>46022.0</v>
      </c>
      <c r="F470" s="31">
        <v>0.0</v>
      </c>
      <c r="G470" s="31">
        <v>1.0</v>
      </c>
      <c r="H470" s="35" t="s">
        <v>7045</v>
      </c>
      <c r="I470" s="30">
        <v>46023.0</v>
      </c>
      <c r="J470" s="30">
        <v>46387.0</v>
      </c>
      <c r="K470" s="31">
        <v>0.0</v>
      </c>
      <c r="L470" s="31">
        <v>1.0</v>
      </c>
      <c r="M470" s="35" t="s">
        <v>7045</v>
      </c>
      <c r="N470" s="30">
        <v>46388.0</v>
      </c>
      <c r="O470" s="30">
        <v>46752.0</v>
      </c>
      <c r="P470" s="31">
        <v>0.0</v>
      </c>
      <c r="Q470" s="31">
        <v>1.0</v>
      </c>
      <c r="R470" s="35" t="s">
        <v>7045</v>
      </c>
      <c r="S470" s="30">
        <v>46753.0</v>
      </c>
      <c r="T470" s="30">
        <v>47118.0</v>
      </c>
      <c r="U470" s="31">
        <v>0.0</v>
      </c>
      <c r="V470" s="31">
        <v>1.0</v>
      </c>
      <c r="W470" s="35" t="s">
        <v>7045</v>
      </c>
      <c r="X470" s="30">
        <v>47119.0</v>
      </c>
      <c r="Y470" s="30">
        <v>47483.0</v>
      </c>
      <c r="Z470" s="31">
        <v>0.0</v>
      </c>
      <c r="AA470" s="31">
        <v>1.0</v>
      </c>
      <c r="AB470" s="35" t="s">
        <v>7045</v>
      </c>
      <c r="AC470" s="30">
        <v>47484.0</v>
      </c>
      <c r="AD470" s="30">
        <v>47848.0</v>
      </c>
      <c r="AE470" s="31">
        <v>0.0</v>
      </c>
      <c r="AF470" s="31">
        <v>1.0</v>
      </c>
      <c r="AG470" s="35" t="s">
        <v>7045</v>
      </c>
    </row>
    <row r="471" ht="14.25" customHeight="1">
      <c r="A471" s="28" t="s">
        <v>2344</v>
      </c>
      <c r="B471" s="29" t="s">
        <v>2345</v>
      </c>
      <c r="C471" s="29" t="s">
        <v>7041</v>
      </c>
      <c r="D471" s="30">
        <v>45658.0</v>
      </c>
      <c r="E471" s="30">
        <v>46022.0</v>
      </c>
      <c r="F471" s="31">
        <v>0.0</v>
      </c>
      <c r="G471" s="31">
        <v>1.0</v>
      </c>
      <c r="H471" s="35" t="s">
        <v>7045</v>
      </c>
      <c r="I471" s="30">
        <v>46023.0</v>
      </c>
      <c r="J471" s="30">
        <v>46387.0</v>
      </c>
      <c r="K471" s="31">
        <v>0.0</v>
      </c>
      <c r="L471" s="31">
        <v>1.0</v>
      </c>
      <c r="M471" s="35" t="s">
        <v>7045</v>
      </c>
      <c r="N471" s="30">
        <v>46388.0</v>
      </c>
      <c r="O471" s="30">
        <v>46752.0</v>
      </c>
      <c r="P471" s="31">
        <v>0.0</v>
      </c>
      <c r="Q471" s="31">
        <v>1.0</v>
      </c>
      <c r="R471" s="35" t="s">
        <v>7045</v>
      </c>
      <c r="S471" s="30">
        <v>46753.0</v>
      </c>
      <c r="T471" s="30">
        <v>47118.0</v>
      </c>
      <c r="U471" s="31">
        <v>0.0</v>
      </c>
      <c r="V471" s="31">
        <v>1.0</v>
      </c>
      <c r="W471" s="35" t="s">
        <v>7045</v>
      </c>
      <c r="X471" s="30">
        <v>47119.0</v>
      </c>
      <c r="Y471" s="30">
        <v>47483.0</v>
      </c>
      <c r="Z471" s="31">
        <v>0.0</v>
      </c>
      <c r="AA471" s="31">
        <v>1.0</v>
      </c>
      <c r="AB471" s="35" t="s">
        <v>7045</v>
      </c>
      <c r="AC471" s="30">
        <v>47484.0</v>
      </c>
      <c r="AD471" s="30">
        <v>47848.0</v>
      </c>
      <c r="AE471" s="31">
        <v>0.0</v>
      </c>
      <c r="AF471" s="31">
        <v>1.0</v>
      </c>
      <c r="AG471" s="35" t="s">
        <v>7045</v>
      </c>
    </row>
    <row r="472" ht="14.25" customHeight="1">
      <c r="A472" s="28" t="s">
        <v>6931</v>
      </c>
      <c r="B472" s="29" t="s">
        <v>6932</v>
      </c>
      <c r="C472" s="29" t="s">
        <v>7041</v>
      </c>
      <c r="D472" s="30">
        <v>45658.0</v>
      </c>
      <c r="E472" s="30">
        <v>46022.0</v>
      </c>
      <c r="F472" s="31">
        <v>1.0</v>
      </c>
      <c r="G472" s="31">
        <v>1.0</v>
      </c>
      <c r="H472" s="33" t="s">
        <v>7042</v>
      </c>
      <c r="I472" s="30">
        <v>46023.0</v>
      </c>
      <c r="J472" s="30">
        <v>46387.0</v>
      </c>
      <c r="K472" s="31">
        <v>0.0</v>
      </c>
      <c r="L472" s="31">
        <v>1.0</v>
      </c>
      <c r="M472" s="32" t="s">
        <v>7043</v>
      </c>
      <c r="N472" s="30">
        <v>46388.0</v>
      </c>
      <c r="O472" s="30">
        <v>46752.0</v>
      </c>
      <c r="P472" s="31">
        <v>0.0</v>
      </c>
      <c r="Q472" s="31">
        <v>1.0</v>
      </c>
      <c r="R472" s="32" t="s">
        <v>7043</v>
      </c>
      <c r="S472" s="30">
        <v>46753.0</v>
      </c>
      <c r="T472" s="30">
        <v>47118.0</v>
      </c>
      <c r="U472" s="31">
        <v>0.0</v>
      </c>
      <c r="V472" s="31">
        <v>1.0</v>
      </c>
      <c r="W472" s="32" t="s">
        <v>7043</v>
      </c>
      <c r="X472" s="30">
        <v>47119.0</v>
      </c>
      <c r="Y472" s="30">
        <v>47483.0</v>
      </c>
      <c r="Z472" s="31">
        <v>0.0</v>
      </c>
      <c r="AA472" s="31">
        <v>1.0</v>
      </c>
      <c r="AB472" s="32" t="s">
        <v>7043</v>
      </c>
      <c r="AC472" s="30">
        <v>47484.0</v>
      </c>
      <c r="AD472" s="30">
        <v>47848.0</v>
      </c>
      <c r="AE472" s="31">
        <v>0.0</v>
      </c>
      <c r="AF472" s="31">
        <v>1.0</v>
      </c>
      <c r="AG472" s="32" t="s">
        <v>7043</v>
      </c>
    </row>
    <row r="473" ht="14.25" customHeight="1">
      <c r="A473" s="28" t="s">
        <v>1735</v>
      </c>
      <c r="B473" s="29" t="s">
        <v>1736</v>
      </c>
      <c r="C473" s="29" t="s">
        <v>7041</v>
      </c>
      <c r="D473" s="30">
        <v>45658.0</v>
      </c>
      <c r="E473" s="30">
        <v>46022.0</v>
      </c>
      <c r="F473" s="31">
        <v>0.0</v>
      </c>
      <c r="G473" s="31">
        <v>1.0</v>
      </c>
      <c r="H473" s="35" t="s">
        <v>7045</v>
      </c>
      <c r="I473" s="30">
        <v>46023.0</v>
      </c>
      <c r="J473" s="30">
        <v>46387.0</v>
      </c>
      <c r="K473" s="31">
        <v>0.0</v>
      </c>
      <c r="L473" s="31">
        <v>1.0</v>
      </c>
      <c r="M473" s="35" t="s">
        <v>7045</v>
      </c>
      <c r="N473" s="30">
        <v>46388.0</v>
      </c>
      <c r="O473" s="30">
        <v>46752.0</v>
      </c>
      <c r="P473" s="31">
        <v>0.0</v>
      </c>
      <c r="Q473" s="31">
        <v>1.0</v>
      </c>
      <c r="R473" s="35" t="s">
        <v>7045</v>
      </c>
      <c r="S473" s="30">
        <v>46753.0</v>
      </c>
      <c r="T473" s="30">
        <v>47118.0</v>
      </c>
      <c r="U473" s="31">
        <v>0.0</v>
      </c>
      <c r="V473" s="31">
        <v>1.0</v>
      </c>
      <c r="W473" s="35" t="s">
        <v>7045</v>
      </c>
      <c r="X473" s="30">
        <v>47119.0</v>
      </c>
      <c r="Y473" s="30">
        <v>47483.0</v>
      </c>
      <c r="Z473" s="31">
        <v>0.0</v>
      </c>
      <c r="AA473" s="31">
        <v>1.0</v>
      </c>
      <c r="AB473" s="35" t="s">
        <v>7045</v>
      </c>
      <c r="AC473" s="30">
        <v>47484.0</v>
      </c>
      <c r="AD473" s="30">
        <v>47848.0</v>
      </c>
      <c r="AE473" s="31">
        <v>0.0</v>
      </c>
      <c r="AF473" s="31">
        <v>1.0</v>
      </c>
      <c r="AG473" s="35" t="s">
        <v>7045</v>
      </c>
    </row>
    <row r="474" ht="14.25" customHeight="1">
      <c r="A474" s="28" t="s">
        <v>4038</v>
      </c>
      <c r="B474" s="29" t="s">
        <v>4039</v>
      </c>
      <c r="C474" s="29" t="s">
        <v>7041</v>
      </c>
      <c r="D474" s="30">
        <v>45658.0</v>
      </c>
      <c r="E474" s="30">
        <v>46022.0</v>
      </c>
      <c r="F474" s="31">
        <v>0.0</v>
      </c>
      <c r="G474" s="31">
        <v>1.0</v>
      </c>
      <c r="H474" s="35" t="s">
        <v>7045</v>
      </c>
      <c r="I474" s="30">
        <v>46023.0</v>
      </c>
      <c r="J474" s="30">
        <v>46387.0</v>
      </c>
      <c r="K474" s="31">
        <v>0.0</v>
      </c>
      <c r="L474" s="31">
        <v>1.0</v>
      </c>
      <c r="M474" s="35" t="s">
        <v>7045</v>
      </c>
      <c r="N474" s="30">
        <v>46388.0</v>
      </c>
      <c r="O474" s="30">
        <v>46752.0</v>
      </c>
      <c r="P474" s="31">
        <v>0.0</v>
      </c>
      <c r="Q474" s="31">
        <v>1.0</v>
      </c>
      <c r="R474" s="35" t="s">
        <v>7045</v>
      </c>
      <c r="S474" s="30">
        <v>46753.0</v>
      </c>
      <c r="T474" s="30">
        <v>47118.0</v>
      </c>
      <c r="U474" s="31">
        <v>0.0</v>
      </c>
      <c r="V474" s="31">
        <v>1.0</v>
      </c>
      <c r="W474" s="35" t="s">
        <v>7045</v>
      </c>
      <c r="X474" s="30">
        <v>47119.0</v>
      </c>
      <c r="Y474" s="30">
        <v>47483.0</v>
      </c>
      <c r="Z474" s="31">
        <v>0.0</v>
      </c>
      <c r="AA474" s="31">
        <v>1.0</v>
      </c>
      <c r="AB474" s="35" t="s">
        <v>7045</v>
      </c>
      <c r="AC474" s="30">
        <v>47484.0</v>
      </c>
      <c r="AD474" s="30">
        <v>47848.0</v>
      </c>
      <c r="AE474" s="31">
        <v>0.0</v>
      </c>
      <c r="AF474" s="31">
        <v>1.0</v>
      </c>
      <c r="AG474" s="35" t="s">
        <v>7045</v>
      </c>
    </row>
    <row r="475" ht="14.25" customHeight="1">
      <c r="A475" s="28" t="s">
        <v>5049</v>
      </c>
      <c r="B475" s="29" t="s">
        <v>5050</v>
      </c>
      <c r="C475" s="29" t="s">
        <v>7041</v>
      </c>
      <c r="D475" s="30">
        <v>45658.0</v>
      </c>
      <c r="E475" s="30">
        <v>46022.0</v>
      </c>
      <c r="F475" s="31">
        <v>0.0</v>
      </c>
      <c r="G475" s="31">
        <v>1.0</v>
      </c>
      <c r="H475" s="35" t="s">
        <v>7045</v>
      </c>
      <c r="I475" s="30">
        <v>46023.0</v>
      </c>
      <c r="J475" s="30">
        <v>46387.0</v>
      </c>
      <c r="K475" s="31">
        <v>0.0</v>
      </c>
      <c r="L475" s="31">
        <v>1.0</v>
      </c>
      <c r="M475" s="35" t="s">
        <v>7045</v>
      </c>
      <c r="N475" s="30">
        <v>46388.0</v>
      </c>
      <c r="O475" s="30">
        <v>46752.0</v>
      </c>
      <c r="P475" s="31">
        <v>0.0</v>
      </c>
      <c r="Q475" s="31">
        <v>1.0</v>
      </c>
      <c r="R475" s="35" t="s">
        <v>7045</v>
      </c>
      <c r="S475" s="30">
        <v>46753.0</v>
      </c>
      <c r="T475" s="30">
        <v>47118.0</v>
      </c>
      <c r="U475" s="31">
        <v>0.0</v>
      </c>
      <c r="V475" s="31">
        <v>1.0</v>
      </c>
      <c r="W475" s="35" t="s">
        <v>7045</v>
      </c>
      <c r="X475" s="30">
        <v>47119.0</v>
      </c>
      <c r="Y475" s="30">
        <v>47483.0</v>
      </c>
      <c r="Z475" s="31">
        <v>0.0</v>
      </c>
      <c r="AA475" s="31">
        <v>1.0</v>
      </c>
      <c r="AB475" s="35" t="s">
        <v>7045</v>
      </c>
      <c r="AC475" s="30">
        <v>47484.0</v>
      </c>
      <c r="AD475" s="30">
        <v>47848.0</v>
      </c>
      <c r="AE475" s="31">
        <v>0.0</v>
      </c>
      <c r="AF475" s="31">
        <v>1.0</v>
      </c>
      <c r="AG475" s="35" t="s">
        <v>7045</v>
      </c>
    </row>
    <row r="476" ht="14.25" customHeight="1">
      <c r="A476" s="28" t="s">
        <v>6172</v>
      </c>
      <c r="B476" s="29" t="s">
        <v>6173</v>
      </c>
      <c r="C476" s="29" t="s">
        <v>7041</v>
      </c>
      <c r="D476" s="30">
        <v>45658.0</v>
      </c>
      <c r="E476" s="30">
        <v>46022.0</v>
      </c>
      <c r="F476" s="31">
        <v>0.0</v>
      </c>
      <c r="G476" s="31">
        <v>1.0</v>
      </c>
      <c r="H476" s="35" t="s">
        <v>7045</v>
      </c>
      <c r="I476" s="30">
        <v>46023.0</v>
      </c>
      <c r="J476" s="30">
        <v>46387.0</v>
      </c>
      <c r="K476" s="31">
        <v>0.0</v>
      </c>
      <c r="L476" s="31">
        <v>1.0</v>
      </c>
      <c r="M476" s="35" t="s">
        <v>7045</v>
      </c>
      <c r="N476" s="30">
        <v>46388.0</v>
      </c>
      <c r="O476" s="30">
        <v>46752.0</v>
      </c>
      <c r="P476" s="31">
        <v>0.0</v>
      </c>
      <c r="Q476" s="31">
        <v>1.0</v>
      </c>
      <c r="R476" s="35" t="s">
        <v>7045</v>
      </c>
      <c r="S476" s="30">
        <v>46753.0</v>
      </c>
      <c r="T476" s="30">
        <v>47118.0</v>
      </c>
      <c r="U476" s="31">
        <v>0.0</v>
      </c>
      <c r="V476" s="31">
        <v>1.0</v>
      </c>
      <c r="W476" s="35" t="s">
        <v>7045</v>
      </c>
      <c r="X476" s="30">
        <v>47119.0</v>
      </c>
      <c r="Y476" s="30">
        <v>47483.0</v>
      </c>
      <c r="Z476" s="31">
        <v>0.0</v>
      </c>
      <c r="AA476" s="31">
        <v>1.0</v>
      </c>
      <c r="AB476" s="35" t="s">
        <v>7045</v>
      </c>
      <c r="AC476" s="30">
        <v>47484.0</v>
      </c>
      <c r="AD476" s="30">
        <v>47848.0</v>
      </c>
      <c r="AE476" s="31">
        <v>0.0</v>
      </c>
      <c r="AF476" s="31">
        <v>1.0</v>
      </c>
      <c r="AG476" s="35" t="s">
        <v>7045</v>
      </c>
    </row>
    <row r="477" ht="14.25" customHeight="1">
      <c r="A477" s="28" t="s">
        <v>5947</v>
      </c>
      <c r="B477" s="29" t="s">
        <v>5948</v>
      </c>
      <c r="C477" s="29" t="s">
        <v>7041</v>
      </c>
      <c r="D477" s="30">
        <v>45658.0</v>
      </c>
      <c r="E477" s="30">
        <v>46022.0</v>
      </c>
      <c r="F477" s="31">
        <v>0.0</v>
      </c>
      <c r="G477" s="31">
        <v>1.0</v>
      </c>
      <c r="H477" s="35" t="s">
        <v>7045</v>
      </c>
      <c r="I477" s="30">
        <v>46023.0</v>
      </c>
      <c r="J477" s="30">
        <v>46387.0</v>
      </c>
      <c r="K477" s="31">
        <v>0.0</v>
      </c>
      <c r="L477" s="31">
        <v>1.0</v>
      </c>
      <c r="M477" s="35" t="s">
        <v>7045</v>
      </c>
      <c r="N477" s="30">
        <v>46388.0</v>
      </c>
      <c r="O477" s="30">
        <v>46752.0</v>
      </c>
      <c r="P477" s="31">
        <v>0.0</v>
      </c>
      <c r="Q477" s="31">
        <v>1.0</v>
      </c>
      <c r="R477" s="35" t="s">
        <v>7045</v>
      </c>
      <c r="S477" s="30">
        <v>46753.0</v>
      </c>
      <c r="T477" s="30">
        <v>47118.0</v>
      </c>
      <c r="U477" s="31">
        <v>0.0</v>
      </c>
      <c r="V477" s="31">
        <v>1.0</v>
      </c>
      <c r="W477" s="35" t="s">
        <v>7045</v>
      </c>
      <c r="X477" s="30">
        <v>47119.0</v>
      </c>
      <c r="Y477" s="30">
        <v>47483.0</v>
      </c>
      <c r="Z477" s="31">
        <v>0.0</v>
      </c>
      <c r="AA477" s="31">
        <v>1.0</v>
      </c>
      <c r="AB477" s="35" t="s">
        <v>7045</v>
      </c>
      <c r="AC477" s="30">
        <v>47484.0</v>
      </c>
      <c r="AD477" s="30">
        <v>47848.0</v>
      </c>
      <c r="AE477" s="31">
        <v>0.0</v>
      </c>
      <c r="AF477" s="31">
        <v>1.0</v>
      </c>
      <c r="AG477" s="35" t="s">
        <v>7045</v>
      </c>
    </row>
    <row r="478" ht="14.25" customHeight="1">
      <c r="A478" s="28" t="s">
        <v>2833</v>
      </c>
      <c r="B478" s="29" t="s">
        <v>2834</v>
      </c>
      <c r="C478" s="29" t="s">
        <v>7044</v>
      </c>
      <c r="D478" s="30">
        <v>45658.0</v>
      </c>
      <c r="E478" s="30">
        <v>46022.0</v>
      </c>
      <c r="F478" s="31">
        <v>0.0</v>
      </c>
      <c r="G478" s="31">
        <v>1.0</v>
      </c>
      <c r="H478" s="35" t="s">
        <v>7045</v>
      </c>
      <c r="I478" s="30">
        <v>46023.0</v>
      </c>
      <c r="J478" s="30">
        <v>46387.0</v>
      </c>
      <c r="K478" s="31">
        <v>0.0</v>
      </c>
      <c r="L478" s="31">
        <v>1.0</v>
      </c>
      <c r="M478" s="35" t="s">
        <v>7045</v>
      </c>
      <c r="N478" s="30">
        <v>46388.0</v>
      </c>
      <c r="O478" s="30">
        <v>46752.0</v>
      </c>
      <c r="P478" s="31">
        <v>0.0</v>
      </c>
      <c r="Q478" s="31">
        <v>1.0</v>
      </c>
      <c r="R478" s="35" t="s">
        <v>7045</v>
      </c>
      <c r="S478" s="30">
        <v>46753.0</v>
      </c>
      <c r="T478" s="30">
        <v>47118.0</v>
      </c>
      <c r="U478" s="31">
        <v>0.0</v>
      </c>
      <c r="V478" s="31">
        <v>1.0</v>
      </c>
      <c r="W478" s="35" t="s">
        <v>7045</v>
      </c>
      <c r="X478" s="30">
        <v>47119.0</v>
      </c>
      <c r="Y478" s="30">
        <v>47483.0</v>
      </c>
      <c r="Z478" s="31">
        <v>0.0</v>
      </c>
      <c r="AA478" s="31">
        <v>1.0</v>
      </c>
      <c r="AB478" s="35" t="s">
        <v>7045</v>
      </c>
      <c r="AC478" s="30">
        <v>47484.0</v>
      </c>
      <c r="AD478" s="30">
        <v>47848.0</v>
      </c>
      <c r="AE478" s="31">
        <v>0.0</v>
      </c>
      <c r="AF478" s="31">
        <v>1.0</v>
      </c>
      <c r="AG478" s="35" t="s">
        <v>7045</v>
      </c>
    </row>
    <row r="479" ht="14.25" customHeight="1">
      <c r="A479" s="28" t="s">
        <v>551</v>
      </c>
      <c r="B479" s="29" t="s">
        <v>552</v>
      </c>
      <c r="C479" s="29" t="s">
        <v>7041</v>
      </c>
      <c r="D479" s="30">
        <v>45658.0</v>
      </c>
      <c r="E479" s="30">
        <v>46022.0</v>
      </c>
      <c r="F479" s="31">
        <v>1.0</v>
      </c>
      <c r="G479" s="31">
        <v>1.0</v>
      </c>
      <c r="H479" s="35" t="s">
        <v>7042</v>
      </c>
      <c r="I479" s="30">
        <v>46023.0</v>
      </c>
      <c r="J479" s="30">
        <v>46387.0</v>
      </c>
      <c r="K479" s="31">
        <v>0.0</v>
      </c>
      <c r="L479" s="31">
        <v>1.0</v>
      </c>
      <c r="M479" s="35" t="s">
        <v>7043</v>
      </c>
      <c r="N479" s="30">
        <v>46388.0</v>
      </c>
      <c r="O479" s="30">
        <v>46752.0</v>
      </c>
      <c r="P479" s="31">
        <v>0.0</v>
      </c>
      <c r="Q479" s="31">
        <v>1.0</v>
      </c>
      <c r="R479" s="35" t="s">
        <v>7043</v>
      </c>
      <c r="S479" s="30">
        <v>46753.0</v>
      </c>
      <c r="T479" s="30">
        <v>47118.0</v>
      </c>
      <c r="U479" s="31">
        <v>0.0</v>
      </c>
      <c r="V479" s="31">
        <v>1.0</v>
      </c>
      <c r="W479" s="35" t="s">
        <v>7043</v>
      </c>
      <c r="X479" s="30">
        <v>47119.0</v>
      </c>
      <c r="Y479" s="30">
        <v>47483.0</v>
      </c>
      <c r="Z479" s="31">
        <v>0.0</v>
      </c>
      <c r="AA479" s="31">
        <v>1.0</v>
      </c>
      <c r="AB479" s="35" t="s">
        <v>7043</v>
      </c>
      <c r="AC479" s="30">
        <v>47484.0</v>
      </c>
      <c r="AD479" s="30">
        <v>47848.0</v>
      </c>
      <c r="AE479" s="31">
        <v>0.0</v>
      </c>
      <c r="AF479" s="31">
        <v>1.0</v>
      </c>
      <c r="AG479" s="35" t="s">
        <v>7043</v>
      </c>
    </row>
    <row r="480" ht="14.25" customHeight="1">
      <c r="A480" s="28" t="s">
        <v>132</v>
      </c>
      <c r="B480" s="29" t="s">
        <v>133</v>
      </c>
      <c r="C480" s="29" t="s">
        <v>7041</v>
      </c>
      <c r="D480" s="30">
        <v>45658.0</v>
      </c>
      <c r="E480" s="30">
        <v>46022.0</v>
      </c>
      <c r="F480" s="31">
        <v>0.0</v>
      </c>
      <c r="G480" s="31">
        <v>1.0</v>
      </c>
      <c r="H480" s="35" t="s">
        <v>7045</v>
      </c>
      <c r="I480" s="30">
        <v>46023.0</v>
      </c>
      <c r="J480" s="30">
        <v>46387.0</v>
      </c>
      <c r="K480" s="31">
        <v>0.0</v>
      </c>
      <c r="L480" s="31">
        <v>1.0</v>
      </c>
      <c r="M480" s="35" t="s">
        <v>7045</v>
      </c>
      <c r="N480" s="30">
        <v>46388.0</v>
      </c>
      <c r="O480" s="30">
        <v>46752.0</v>
      </c>
      <c r="P480" s="31">
        <v>0.0</v>
      </c>
      <c r="Q480" s="31">
        <v>1.0</v>
      </c>
      <c r="R480" s="35" t="s">
        <v>7045</v>
      </c>
      <c r="S480" s="30">
        <v>46753.0</v>
      </c>
      <c r="T480" s="30">
        <v>47118.0</v>
      </c>
      <c r="U480" s="31">
        <v>0.0</v>
      </c>
      <c r="V480" s="31">
        <v>1.0</v>
      </c>
      <c r="W480" s="35" t="s">
        <v>7045</v>
      </c>
      <c r="X480" s="30">
        <v>47119.0</v>
      </c>
      <c r="Y480" s="30">
        <v>47483.0</v>
      </c>
      <c r="Z480" s="31">
        <v>0.0</v>
      </c>
      <c r="AA480" s="31">
        <v>1.0</v>
      </c>
      <c r="AB480" s="35" t="s">
        <v>7045</v>
      </c>
      <c r="AC480" s="30">
        <v>47484.0</v>
      </c>
      <c r="AD480" s="30">
        <v>47848.0</v>
      </c>
      <c r="AE480" s="31">
        <v>0.0</v>
      </c>
      <c r="AF480" s="31">
        <v>1.0</v>
      </c>
      <c r="AG480" s="35" t="s">
        <v>7045</v>
      </c>
    </row>
    <row r="481" ht="14.25" customHeight="1">
      <c r="A481" s="28" t="s">
        <v>5124</v>
      </c>
      <c r="B481" s="29" t="s">
        <v>5125</v>
      </c>
      <c r="C481" s="29" t="s">
        <v>7044</v>
      </c>
      <c r="D481" s="30">
        <v>45658.0</v>
      </c>
      <c r="E481" s="30">
        <v>46022.0</v>
      </c>
      <c r="F481" s="31">
        <v>0.0</v>
      </c>
      <c r="G481" s="31">
        <v>1.0</v>
      </c>
      <c r="H481" s="35" t="s">
        <v>7045</v>
      </c>
      <c r="I481" s="30">
        <v>46023.0</v>
      </c>
      <c r="J481" s="30">
        <v>46387.0</v>
      </c>
      <c r="K481" s="31">
        <v>0.0</v>
      </c>
      <c r="L481" s="31">
        <v>1.0</v>
      </c>
      <c r="M481" s="35" t="s">
        <v>7045</v>
      </c>
      <c r="N481" s="30">
        <v>46388.0</v>
      </c>
      <c r="O481" s="30">
        <v>46752.0</v>
      </c>
      <c r="P481" s="31">
        <v>0.0</v>
      </c>
      <c r="Q481" s="31">
        <v>1.0</v>
      </c>
      <c r="R481" s="35" t="s">
        <v>7045</v>
      </c>
      <c r="S481" s="30">
        <v>46753.0</v>
      </c>
      <c r="T481" s="30">
        <v>47118.0</v>
      </c>
      <c r="U481" s="31">
        <v>0.0</v>
      </c>
      <c r="V481" s="31">
        <v>1.0</v>
      </c>
      <c r="W481" s="35" t="s">
        <v>7045</v>
      </c>
      <c r="X481" s="30">
        <v>47119.0</v>
      </c>
      <c r="Y481" s="30">
        <v>47483.0</v>
      </c>
      <c r="Z481" s="31">
        <v>0.0</v>
      </c>
      <c r="AA481" s="31">
        <v>1.0</v>
      </c>
      <c r="AB481" s="35" t="s">
        <v>7045</v>
      </c>
      <c r="AC481" s="30">
        <v>47484.0</v>
      </c>
      <c r="AD481" s="30">
        <v>47848.0</v>
      </c>
      <c r="AE481" s="31">
        <v>0.0</v>
      </c>
      <c r="AF481" s="31">
        <v>1.0</v>
      </c>
      <c r="AG481" s="35" t="s">
        <v>7045</v>
      </c>
    </row>
    <row r="482" ht="14.25" customHeight="1">
      <c r="A482" s="28" t="s">
        <v>4988</v>
      </c>
      <c r="B482" s="29" t="s">
        <v>4989</v>
      </c>
      <c r="C482" s="29" t="s">
        <v>7041</v>
      </c>
      <c r="D482" s="30">
        <v>45658.0</v>
      </c>
      <c r="E482" s="30">
        <v>46022.0</v>
      </c>
      <c r="F482" s="31">
        <v>0.0</v>
      </c>
      <c r="G482" s="31">
        <v>1.0</v>
      </c>
      <c r="H482" s="35" t="s">
        <v>7045</v>
      </c>
      <c r="I482" s="30">
        <v>46023.0</v>
      </c>
      <c r="J482" s="30">
        <v>46387.0</v>
      </c>
      <c r="K482" s="31">
        <v>0.0</v>
      </c>
      <c r="L482" s="31">
        <v>1.0</v>
      </c>
      <c r="M482" s="35" t="s">
        <v>7045</v>
      </c>
      <c r="N482" s="30">
        <v>46388.0</v>
      </c>
      <c r="O482" s="30">
        <v>46752.0</v>
      </c>
      <c r="P482" s="31">
        <v>0.0</v>
      </c>
      <c r="Q482" s="31">
        <v>1.0</v>
      </c>
      <c r="R482" s="35" t="s">
        <v>7045</v>
      </c>
      <c r="S482" s="30">
        <v>46753.0</v>
      </c>
      <c r="T482" s="30">
        <v>47118.0</v>
      </c>
      <c r="U482" s="31">
        <v>0.0</v>
      </c>
      <c r="V482" s="31">
        <v>1.0</v>
      </c>
      <c r="W482" s="35" t="s">
        <v>7045</v>
      </c>
      <c r="X482" s="30">
        <v>47119.0</v>
      </c>
      <c r="Y482" s="30">
        <v>47483.0</v>
      </c>
      <c r="Z482" s="31">
        <v>0.0</v>
      </c>
      <c r="AA482" s="31">
        <v>1.0</v>
      </c>
      <c r="AB482" s="35" t="s">
        <v>7045</v>
      </c>
      <c r="AC482" s="30">
        <v>47484.0</v>
      </c>
      <c r="AD482" s="30">
        <v>47848.0</v>
      </c>
      <c r="AE482" s="31">
        <v>0.0</v>
      </c>
      <c r="AF482" s="31">
        <v>1.0</v>
      </c>
      <c r="AG482" s="35" t="s">
        <v>7045</v>
      </c>
    </row>
    <row r="483" ht="14.25" customHeight="1">
      <c r="A483" s="28" t="s">
        <v>867</v>
      </c>
      <c r="B483" s="29" t="s">
        <v>868</v>
      </c>
      <c r="C483" s="29" t="s">
        <v>7041</v>
      </c>
      <c r="D483" s="30">
        <v>45658.0</v>
      </c>
      <c r="E483" s="30">
        <v>46022.0</v>
      </c>
      <c r="F483" s="31">
        <v>0.0</v>
      </c>
      <c r="G483" s="31">
        <v>1.0</v>
      </c>
      <c r="H483" s="35" t="s">
        <v>7045</v>
      </c>
      <c r="I483" s="30">
        <v>46023.0</v>
      </c>
      <c r="J483" s="30">
        <v>46387.0</v>
      </c>
      <c r="K483" s="31">
        <v>0.0</v>
      </c>
      <c r="L483" s="31">
        <v>1.0</v>
      </c>
      <c r="M483" s="35" t="s">
        <v>7045</v>
      </c>
      <c r="N483" s="30">
        <v>46388.0</v>
      </c>
      <c r="O483" s="30">
        <v>46752.0</v>
      </c>
      <c r="P483" s="31">
        <v>0.0</v>
      </c>
      <c r="Q483" s="31">
        <v>1.0</v>
      </c>
      <c r="R483" s="35" t="s">
        <v>7045</v>
      </c>
      <c r="S483" s="30">
        <v>46753.0</v>
      </c>
      <c r="T483" s="30">
        <v>47118.0</v>
      </c>
      <c r="U483" s="31">
        <v>0.0</v>
      </c>
      <c r="V483" s="31">
        <v>1.0</v>
      </c>
      <c r="W483" s="35" t="s">
        <v>7045</v>
      </c>
      <c r="X483" s="30">
        <v>47119.0</v>
      </c>
      <c r="Y483" s="30">
        <v>47483.0</v>
      </c>
      <c r="Z483" s="31">
        <v>0.0</v>
      </c>
      <c r="AA483" s="31">
        <v>1.0</v>
      </c>
      <c r="AB483" s="35" t="s">
        <v>7045</v>
      </c>
      <c r="AC483" s="30">
        <v>47484.0</v>
      </c>
      <c r="AD483" s="30">
        <v>47848.0</v>
      </c>
      <c r="AE483" s="31">
        <v>0.0</v>
      </c>
      <c r="AF483" s="31">
        <v>1.0</v>
      </c>
      <c r="AG483" s="35" t="s">
        <v>7045</v>
      </c>
    </row>
    <row r="484" ht="14.25" customHeight="1">
      <c r="A484" s="28" t="s">
        <v>6912</v>
      </c>
      <c r="B484" s="29" t="s">
        <v>6913</v>
      </c>
      <c r="C484" s="29" t="s">
        <v>7041</v>
      </c>
      <c r="D484" s="30">
        <v>45658.0</v>
      </c>
      <c r="E484" s="30">
        <v>46022.0</v>
      </c>
      <c r="F484" s="31">
        <v>0.0</v>
      </c>
      <c r="G484" s="31">
        <v>1.0</v>
      </c>
      <c r="H484" s="35" t="s">
        <v>7045</v>
      </c>
      <c r="I484" s="30">
        <v>46023.0</v>
      </c>
      <c r="J484" s="30">
        <v>46387.0</v>
      </c>
      <c r="K484" s="31">
        <v>0.0</v>
      </c>
      <c r="L484" s="31">
        <v>1.0</v>
      </c>
      <c r="M484" s="35" t="s">
        <v>7045</v>
      </c>
      <c r="N484" s="30">
        <v>46388.0</v>
      </c>
      <c r="O484" s="30">
        <v>46752.0</v>
      </c>
      <c r="P484" s="31">
        <v>0.0</v>
      </c>
      <c r="Q484" s="31">
        <v>1.0</v>
      </c>
      <c r="R484" s="35" t="s">
        <v>7045</v>
      </c>
      <c r="S484" s="30">
        <v>46753.0</v>
      </c>
      <c r="T484" s="30">
        <v>47118.0</v>
      </c>
      <c r="U484" s="31">
        <v>0.0</v>
      </c>
      <c r="V484" s="31">
        <v>1.0</v>
      </c>
      <c r="W484" s="35" t="s">
        <v>7045</v>
      </c>
      <c r="X484" s="30">
        <v>47119.0</v>
      </c>
      <c r="Y484" s="30">
        <v>47483.0</v>
      </c>
      <c r="Z484" s="31">
        <v>0.0</v>
      </c>
      <c r="AA484" s="31">
        <v>1.0</v>
      </c>
      <c r="AB484" s="35" t="s">
        <v>7045</v>
      </c>
      <c r="AC484" s="30">
        <v>47484.0</v>
      </c>
      <c r="AD484" s="30">
        <v>47848.0</v>
      </c>
      <c r="AE484" s="31">
        <v>0.0</v>
      </c>
      <c r="AF484" s="31">
        <v>1.0</v>
      </c>
      <c r="AG484" s="35" t="s">
        <v>7045</v>
      </c>
    </row>
    <row r="485" ht="14.25" customHeight="1">
      <c r="A485" s="28" t="s">
        <v>1938</v>
      </c>
      <c r="B485" s="29" t="s">
        <v>1939</v>
      </c>
      <c r="C485" s="29" t="s">
        <v>7041</v>
      </c>
      <c r="D485" s="30">
        <v>45658.0</v>
      </c>
      <c r="E485" s="30">
        <v>46022.0</v>
      </c>
      <c r="F485" s="31">
        <v>0.0</v>
      </c>
      <c r="G485" s="31">
        <v>1.0</v>
      </c>
      <c r="H485" s="35" t="s">
        <v>7045</v>
      </c>
      <c r="I485" s="30">
        <v>46023.0</v>
      </c>
      <c r="J485" s="30">
        <v>46387.0</v>
      </c>
      <c r="K485" s="31">
        <v>0.0</v>
      </c>
      <c r="L485" s="31">
        <v>1.0</v>
      </c>
      <c r="M485" s="35" t="s">
        <v>7045</v>
      </c>
      <c r="N485" s="30">
        <v>46388.0</v>
      </c>
      <c r="O485" s="30">
        <v>46752.0</v>
      </c>
      <c r="P485" s="31">
        <v>0.0</v>
      </c>
      <c r="Q485" s="31">
        <v>1.0</v>
      </c>
      <c r="R485" s="35" t="s">
        <v>7045</v>
      </c>
      <c r="S485" s="30">
        <v>46753.0</v>
      </c>
      <c r="T485" s="30">
        <v>47118.0</v>
      </c>
      <c r="U485" s="31">
        <v>0.0</v>
      </c>
      <c r="V485" s="31">
        <v>1.0</v>
      </c>
      <c r="W485" s="35" t="s">
        <v>7045</v>
      </c>
      <c r="X485" s="30">
        <v>47119.0</v>
      </c>
      <c r="Y485" s="30">
        <v>47483.0</v>
      </c>
      <c r="Z485" s="31">
        <v>0.0</v>
      </c>
      <c r="AA485" s="31">
        <v>1.0</v>
      </c>
      <c r="AB485" s="35" t="s">
        <v>7045</v>
      </c>
      <c r="AC485" s="30">
        <v>47484.0</v>
      </c>
      <c r="AD485" s="30">
        <v>47848.0</v>
      </c>
      <c r="AE485" s="31">
        <v>0.0</v>
      </c>
      <c r="AF485" s="31">
        <v>1.0</v>
      </c>
      <c r="AG485" s="35" t="s">
        <v>7045</v>
      </c>
    </row>
    <row r="486" ht="14.25" customHeight="1">
      <c r="A486" s="28" t="s">
        <v>1218</v>
      </c>
      <c r="B486" s="29" t="s">
        <v>1219</v>
      </c>
      <c r="C486" s="29" t="s">
        <v>7041</v>
      </c>
      <c r="D486" s="30">
        <v>45658.0</v>
      </c>
      <c r="E486" s="30">
        <v>46022.0</v>
      </c>
      <c r="F486" s="31">
        <v>0.0</v>
      </c>
      <c r="G486" s="31">
        <v>1.0</v>
      </c>
      <c r="H486" s="35" t="s">
        <v>7045</v>
      </c>
      <c r="I486" s="30">
        <v>46023.0</v>
      </c>
      <c r="J486" s="30">
        <v>46387.0</v>
      </c>
      <c r="K486" s="31">
        <v>0.0</v>
      </c>
      <c r="L486" s="31">
        <v>1.0</v>
      </c>
      <c r="M486" s="35" t="s">
        <v>7045</v>
      </c>
      <c r="N486" s="30">
        <v>46388.0</v>
      </c>
      <c r="O486" s="30">
        <v>46752.0</v>
      </c>
      <c r="P486" s="31">
        <v>0.0</v>
      </c>
      <c r="Q486" s="31">
        <v>1.0</v>
      </c>
      <c r="R486" s="35" t="s">
        <v>7045</v>
      </c>
      <c r="S486" s="30">
        <v>46753.0</v>
      </c>
      <c r="T486" s="30">
        <v>47118.0</v>
      </c>
      <c r="U486" s="31">
        <v>0.0</v>
      </c>
      <c r="V486" s="31">
        <v>1.0</v>
      </c>
      <c r="W486" s="35" t="s">
        <v>7045</v>
      </c>
      <c r="X486" s="30">
        <v>47119.0</v>
      </c>
      <c r="Y486" s="30">
        <v>47483.0</v>
      </c>
      <c r="Z486" s="31">
        <v>0.0</v>
      </c>
      <c r="AA486" s="31">
        <v>1.0</v>
      </c>
      <c r="AB486" s="35" t="s">
        <v>7045</v>
      </c>
      <c r="AC486" s="30">
        <v>47484.0</v>
      </c>
      <c r="AD486" s="30">
        <v>47848.0</v>
      </c>
      <c r="AE486" s="31">
        <v>0.0</v>
      </c>
      <c r="AF486" s="31">
        <v>1.0</v>
      </c>
      <c r="AG486" s="35" t="s">
        <v>7045</v>
      </c>
    </row>
    <row r="487" ht="14.25" customHeight="1">
      <c r="A487" s="28" t="s">
        <v>2259</v>
      </c>
      <c r="B487" s="29" t="s">
        <v>2260</v>
      </c>
      <c r="C487" s="29" t="s">
        <v>7044</v>
      </c>
      <c r="D487" s="30">
        <v>45658.0</v>
      </c>
      <c r="E487" s="30">
        <v>46022.0</v>
      </c>
      <c r="F487" s="31">
        <v>0.0</v>
      </c>
      <c r="G487" s="31">
        <v>1.0</v>
      </c>
      <c r="H487" s="35" t="s">
        <v>7045</v>
      </c>
      <c r="I487" s="30">
        <v>46023.0</v>
      </c>
      <c r="J487" s="30">
        <v>46387.0</v>
      </c>
      <c r="K487" s="31">
        <v>0.0</v>
      </c>
      <c r="L487" s="31">
        <v>1.0</v>
      </c>
      <c r="M487" s="35" t="s">
        <v>7045</v>
      </c>
      <c r="N487" s="30">
        <v>46388.0</v>
      </c>
      <c r="O487" s="30">
        <v>46752.0</v>
      </c>
      <c r="P487" s="31">
        <v>0.0</v>
      </c>
      <c r="Q487" s="31">
        <v>1.0</v>
      </c>
      <c r="R487" s="35" t="s">
        <v>7045</v>
      </c>
      <c r="S487" s="30">
        <v>46753.0</v>
      </c>
      <c r="T487" s="30">
        <v>47118.0</v>
      </c>
      <c r="U487" s="31">
        <v>0.0</v>
      </c>
      <c r="V487" s="31">
        <v>1.0</v>
      </c>
      <c r="W487" s="35" t="s">
        <v>7045</v>
      </c>
      <c r="X487" s="30">
        <v>47119.0</v>
      </c>
      <c r="Y487" s="30">
        <v>47483.0</v>
      </c>
      <c r="Z487" s="31">
        <v>0.0</v>
      </c>
      <c r="AA487" s="31">
        <v>1.0</v>
      </c>
      <c r="AB487" s="35" t="s">
        <v>7045</v>
      </c>
      <c r="AC487" s="30">
        <v>47484.0</v>
      </c>
      <c r="AD487" s="30">
        <v>47848.0</v>
      </c>
      <c r="AE487" s="31">
        <v>0.0</v>
      </c>
      <c r="AF487" s="31">
        <v>1.0</v>
      </c>
      <c r="AG487" s="35" t="s">
        <v>7045</v>
      </c>
    </row>
    <row r="488" ht="14.25" customHeight="1">
      <c r="A488" s="28" t="s">
        <v>3246</v>
      </c>
      <c r="B488" s="29" t="s">
        <v>3247</v>
      </c>
      <c r="C488" s="29" t="s">
        <v>7044</v>
      </c>
      <c r="D488" s="30">
        <v>45658.0</v>
      </c>
      <c r="E488" s="30">
        <v>46022.0</v>
      </c>
      <c r="F488" s="31">
        <v>0.0</v>
      </c>
      <c r="G488" s="31">
        <v>1.0</v>
      </c>
      <c r="H488" s="35" t="s">
        <v>7045</v>
      </c>
      <c r="I488" s="30">
        <v>46023.0</v>
      </c>
      <c r="J488" s="30">
        <v>46387.0</v>
      </c>
      <c r="K488" s="31">
        <v>0.0</v>
      </c>
      <c r="L488" s="31">
        <v>1.0</v>
      </c>
      <c r="M488" s="35" t="s">
        <v>7045</v>
      </c>
      <c r="N488" s="30">
        <v>46388.0</v>
      </c>
      <c r="O488" s="30">
        <v>46752.0</v>
      </c>
      <c r="P488" s="31">
        <v>0.0</v>
      </c>
      <c r="Q488" s="31">
        <v>1.0</v>
      </c>
      <c r="R488" s="35" t="s">
        <v>7045</v>
      </c>
      <c r="S488" s="30">
        <v>46753.0</v>
      </c>
      <c r="T488" s="30">
        <v>47118.0</v>
      </c>
      <c r="U488" s="31">
        <v>0.0</v>
      </c>
      <c r="V488" s="31">
        <v>1.0</v>
      </c>
      <c r="W488" s="35" t="s">
        <v>7045</v>
      </c>
      <c r="X488" s="30">
        <v>47119.0</v>
      </c>
      <c r="Y488" s="30">
        <v>47483.0</v>
      </c>
      <c r="Z488" s="31">
        <v>0.0</v>
      </c>
      <c r="AA488" s="31">
        <v>1.0</v>
      </c>
      <c r="AB488" s="35" t="s">
        <v>7045</v>
      </c>
      <c r="AC488" s="30">
        <v>47484.0</v>
      </c>
      <c r="AD488" s="30">
        <v>47848.0</v>
      </c>
      <c r="AE488" s="31">
        <v>0.0</v>
      </c>
      <c r="AF488" s="31">
        <v>1.0</v>
      </c>
      <c r="AG488" s="35" t="s">
        <v>7045</v>
      </c>
    </row>
    <row r="489" ht="14.25" customHeight="1">
      <c r="A489" s="28" t="s">
        <v>321</v>
      </c>
      <c r="B489" s="29" t="s">
        <v>322</v>
      </c>
      <c r="C489" s="29" t="s">
        <v>7044</v>
      </c>
      <c r="D489" s="30">
        <v>45658.0</v>
      </c>
      <c r="E489" s="30">
        <v>46022.0</v>
      </c>
      <c r="F489" s="31">
        <v>0.0</v>
      </c>
      <c r="G489" s="31">
        <v>1.0</v>
      </c>
      <c r="H489" s="35" t="s">
        <v>7045</v>
      </c>
      <c r="I489" s="30">
        <v>46023.0</v>
      </c>
      <c r="J489" s="30">
        <v>46387.0</v>
      </c>
      <c r="K489" s="31">
        <v>0.0</v>
      </c>
      <c r="L489" s="31">
        <v>1.0</v>
      </c>
      <c r="M489" s="35" t="s">
        <v>7045</v>
      </c>
      <c r="N489" s="30">
        <v>46388.0</v>
      </c>
      <c r="O489" s="30">
        <v>46752.0</v>
      </c>
      <c r="P489" s="31">
        <v>0.0</v>
      </c>
      <c r="Q489" s="31">
        <v>1.0</v>
      </c>
      <c r="R489" s="35" t="s">
        <v>7045</v>
      </c>
      <c r="S489" s="30">
        <v>46753.0</v>
      </c>
      <c r="T489" s="30">
        <v>47118.0</v>
      </c>
      <c r="U489" s="31">
        <v>0.0</v>
      </c>
      <c r="V489" s="31">
        <v>1.0</v>
      </c>
      <c r="W489" s="35" t="s">
        <v>7045</v>
      </c>
      <c r="X489" s="30">
        <v>47119.0</v>
      </c>
      <c r="Y489" s="30">
        <v>47483.0</v>
      </c>
      <c r="Z489" s="31">
        <v>0.0</v>
      </c>
      <c r="AA489" s="31">
        <v>1.0</v>
      </c>
      <c r="AB489" s="35" t="s">
        <v>7045</v>
      </c>
      <c r="AC489" s="30">
        <v>47484.0</v>
      </c>
      <c r="AD489" s="30">
        <v>47848.0</v>
      </c>
      <c r="AE489" s="31">
        <v>0.0</v>
      </c>
      <c r="AF489" s="31">
        <v>1.0</v>
      </c>
      <c r="AG489" s="35" t="s">
        <v>7045</v>
      </c>
    </row>
    <row r="490" ht="14.25" customHeight="1">
      <c r="A490" s="28" t="s">
        <v>494</v>
      </c>
      <c r="B490" s="29" t="s">
        <v>495</v>
      </c>
      <c r="C490" s="29" t="s">
        <v>7044</v>
      </c>
      <c r="D490" s="30">
        <v>45658.0</v>
      </c>
      <c r="E490" s="30">
        <v>46022.0</v>
      </c>
      <c r="F490" s="31">
        <v>0.0</v>
      </c>
      <c r="G490" s="31">
        <v>1.0</v>
      </c>
      <c r="H490" s="35" t="s">
        <v>7045</v>
      </c>
      <c r="I490" s="30">
        <v>46023.0</v>
      </c>
      <c r="J490" s="30">
        <v>46387.0</v>
      </c>
      <c r="K490" s="31">
        <v>0.0</v>
      </c>
      <c r="L490" s="31">
        <v>1.0</v>
      </c>
      <c r="M490" s="35" t="s">
        <v>7045</v>
      </c>
      <c r="N490" s="30">
        <v>46388.0</v>
      </c>
      <c r="O490" s="30">
        <v>46752.0</v>
      </c>
      <c r="P490" s="31">
        <v>0.0</v>
      </c>
      <c r="Q490" s="31">
        <v>1.0</v>
      </c>
      <c r="R490" s="35" t="s">
        <v>7045</v>
      </c>
      <c r="S490" s="30">
        <v>46753.0</v>
      </c>
      <c r="T490" s="30">
        <v>47118.0</v>
      </c>
      <c r="U490" s="31">
        <v>0.0</v>
      </c>
      <c r="V490" s="31">
        <v>1.0</v>
      </c>
      <c r="W490" s="35" t="s">
        <v>7045</v>
      </c>
      <c r="X490" s="30">
        <v>47119.0</v>
      </c>
      <c r="Y490" s="30">
        <v>47483.0</v>
      </c>
      <c r="Z490" s="31">
        <v>0.0</v>
      </c>
      <c r="AA490" s="31">
        <v>1.0</v>
      </c>
      <c r="AB490" s="35" t="s">
        <v>7045</v>
      </c>
      <c r="AC490" s="30">
        <v>47484.0</v>
      </c>
      <c r="AD490" s="30">
        <v>47848.0</v>
      </c>
      <c r="AE490" s="31">
        <v>0.0</v>
      </c>
      <c r="AF490" s="31">
        <v>1.0</v>
      </c>
      <c r="AG490" s="35" t="s">
        <v>7045</v>
      </c>
    </row>
    <row r="491" ht="14.25" customHeight="1">
      <c r="A491" s="28" t="s">
        <v>1240</v>
      </c>
      <c r="B491" s="29" t="s">
        <v>1241</v>
      </c>
      <c r="C491" s="29" t="s">
        <v>7044</v>
      </c>
      <c r="D491" s="30">
        <v>45658.0</v>
      </c>
      <c r="E491" s="30">
        <v>46022.0</v>
      </c>
      <c r="F491" s="31">
        <v>0.0</v>
      </c>
      <c r="G491" s="31">
        <v>1.0</v>
      </c>
      <c r="H491" s="35" t="s">
        <v>7045</v>
      </c>
      <c r="I491" s="30">
        <v>46023.0</v>
      </c>
      <c r="J491" s="30">
        <v>46387.0</v>
      </c>
      <c r="K491" s="31">
        <v>0.0</v>
      </c>
      <c r="L491" s="31">
        <v>1.0</v>
      </c>
      <c r="M491" s="35" t="s">
        <v>7045</v>
      </c>
      <c r="N491" s="30">
        <v>46388.0</v>
      </c>
      <c r="O491" s="30">
        <v>46752.0</v>
      </c>
      <c r="P491" s="31">
        <v>0.0</v>
      </c>
      <c r="Q491" s="31">
        <v>1.0</v>
      </c>
      <c r="R491" s="35" t="s">
        <v>7045</v>
      </c>
      <c r="S491" s="30">
        <v>46753.0</v>
      </c>
      <c r="T491" s="30">
        <v>47118.0</v>
      </c>
      <c r="U491" s="31">
        <v>0.0</v>
      </c>
      <c r="V491" s="31">
        <v>1.0</v>
      </c>
      <c r="W491" s="35" t="s">
        <v>7045</v>
      </c>
      <c r="X491" s="30">
        <v>47119.0</v>
      </c>
      <c r="Y491" s="30">
        <v>47483.0</v>
      </c>
      <c r="Z491" s="31">
        <v>0.0</v>
      </c>
      <c r="AA491" s="31">
        <v>1.0</v>
      </c>
      <c r="AB491" s="35" t="s">
        <v>7045</v>
      </c>
      <c r="AC491" s="30">
        <v>47484.0</v>
      </c>
      <c r="AD491" s="30">
        <v>47848.0</v>
      </c>
      <c r="AE491" s="31">
        <v>0.0</v>
      </c>
      <c r="AF491" s="31">
        <v>1.0</v>
      </c>
      <c r="AG491" s="35" t="s">
        <v>7045</v>
      </c>
    </row>
    <row r="492" ht="14.25" customHeight="1">
      <c r="A492" s="28" t="s">
        <v>6864</v>
      </c>
      <c r="B492" s="29" t="s">
        <v>6865</v>
      </c>
      <c r="C492" s="29" t="s">
        <v>7044</v>
      </c>
      <c r="D492" s="30">
        <v>45658.0</v>
      </c>
      <c r="E492" s="30">
        <v>46022.0</v>
      </c>
      <c r="F492" s="31">
        <v>0.0</v>
      </c>
      <c r="G492" s="31">
        <v>1.0</v>
      </c>
      <c r="H492" s="35" t="s">
        <v>7045</v>
      </c>
      <c r="I492" s="30">
        <v>46023.0</v>
      </c>
      <c r="J492" s="30">
        <v>46387.0</v>
      </c>
      <c r="K492" s="31">
        <v>0.0</v>
      </c>
      <c r="L492" s="31">
        <v>1.0</v>
      </c>
      <c r="M492" s="35" t="s">
        <v>7045</v>
      </c>
      <c r="N492" s="30">
        <v>46388.0</v>
      </c>
      <c r="O492" s="30">
        <v>46752.0</v>
      </c>
      <c r="P492" s="31">
        <v>0.0</v>
      </c>
      <c r="Q492" s="31">
        <v>1.0</v>
      </c>
      <c r="R492" s="35" t="s">
        <v>7045</v>
      </c>
      <c r="S492" s="30">
        <v>46753.0</v>
      </c>
      <c r="T492" s="30">
        <v>47118.0</v>
      </c>
      <c r="U492" s="31">
        <v>0.0</v>
      </c>
      <c r="V492" s="31">
        <v>1.0</v>
      </c>
      <c r="W492" s="35" t="s">
        <v>7045</v>
      </c>
      <c r="X492" s="30">
        <v>47119.0</v>
      </c>
      <c r="Y492" s="30">
        <v>47483.0</v>
      </c>
      <c r="Z492" s="31">
        <v>0.0</v>
      </c>
      <c r="AA492" s="31">
        <v>1.0</v>
      </c>
      <c r="AB492" s="35" t="s">
        <v>7045</v>
      </c>
      <c r="AC492" s="30">
        <v>47484.0</v>
      </c>
      <c r="AD492" s="30">
        <v>47848.0</v>
      </c>
      <c r="AE492" s="31">
        <v>0.0</v>
      </c>
      <c r="AF492" s="31">
        <v>1.0</v>
      </c>
      <c r="AG492" s="35" t="s">
        <v>7045</v>
      </c>
    </row>
    <row r="493" ht="14.25" customHeight="1">
      <c r="A493" s="28" t="s">
        <v>6402</v>
      </c>
      <c r="B493" s="29" t="s">
        <v>6403</v>
      </c>
      <c r="C493" s="29" t="s">
        <v>7044</v>
      </c>
      <c r="D493" s="30">
        <v>45658.0</v>
      </c>
      <c r="E493" s="30">
        <v>46022.0</v>
      </c>
      <c r="F493" s="31">
        <v>0.0</v>
      </c>
      <c r="G493" s="31">
        <v>1.0</v>
      </c>
      <c r="H493" s="35" t="s">
        <v>7045</v>
      </c>
      <c r="I493" s="30">
        <v>46023.0</v>
      </c>
      <c r="J493" s="30">
        <v>46387.0</v>
      </c>
      <c r="K493" s="31">
        <v>0.0</v>
      </c>
      <c r="L493" s="31">
        <v>1.0</v>
      </c>
      <c r="M493" s="35" t="s">
        <v>7045</v>
      </c>
      <c r="N493" s="30">
        <v>46388.0</v>
      </c>
      <c r="O493" s="30">
        <v>46752.0</v>
      </c>
      <c r="P493" s="31">
        <v>0.0</v>
      </c>
      <c r="Q493" s="31">
        <v>1.0</v>
      </c>
      <c r="R493" s="35" t="s">
        <v>7045</v>
      </c>
      <c r="S493" s="30">
        <v>46753.0</v>
      </c>
      <c r="T493" s="30">
        <v>47118.0</v>
      </c>
      <c r="U493" s="31">
        <v>0.0</v>
      </c>
      <c r="V493" s="31">
        <v>1.0</v>
      </c>
      <c r="W493" s="35" t="s">
        <v>7045</v>
      </c>
      <c r="X493" s="30">
        <v>47119.0</v>
      </c>
      <c r="Y493" s="30">
        <v>47483.0</v>
      </c>
      <c r="Z493" s="31">
        <v>0.0</v>
      </c>
      <c r="AA493" s="31">
        <v>1.0</v>
      </c>
      <c r="AB493" s="35" t="s">
        <v>7045</v>
      </c>
      <c r="AC493" s="30">
        <v>47484.0</v>
      </c>
      <c r="AD493" s="30">
        <v>47848.0</v>
      </c>
      <c r="AE493" s="31">
        <v>0.0</v>
      </c>
      <c r="AF493" s="31">
        <v>1.0</v>
      </c>
      <c r="AG493" s="35" t="s">
        <v>7045</v>
      </c>
    </row>
    <row r="494" ht="14.25" customHeight="1">
      <c r="A494" s="28" t="s">
        <v>2719</v>
      </c>
      <c r="B494" s="29" t="s">
        <v>2720</v>
      </c>
      <c r="C494" s="29" t="s">
        <v>7044</v>
      </c>
      <c r="D494" s="30">
        <v>45658.0</v>
      </c>
      <c r="E494" s="30">
        <v>46022.0</v>
      </c>
      <c r="F494" s="31">
        <v>0.0</v>
      </c>
      <c r="G494" s="31">
        <v>1.0</v>
      </c>
      <c r="H494" s="35" t="s">
        <v>7045</v>
      </c>
      <c r="I494" s="30">
        <v>46023.0</v>
      </c>
      <c r="J494" s="30">
        <v>46387.0</v>
      </c>
      <c r="K494" s="31">
        <v>0.0</v>
      </c>
      <c r="L494" s="31">
        <v>1.0</v>
      </c>
      <c r="M494" s="35" t="s">
        <v>7045</v>
      </c>
      <c r="N494" s="30">
        <v>46388.0</v>
      </c>
      <c r="O494" s="30">
        <v>46752.0</v>
      </c>
      <c r="P494" s="31">
        <v>0.0</v>
      </c>
      <c r="Q494" s="31">
        <v>1.0</v>
      </c>
      <c r="R494" s="35" t="s">
        <v>7045</v>
      </c>
      <c r="S494" s="30">
        <v>46753.0</v>
      </c>
      <c r="T494" s="30">
        <v>47118.0</v>
      </c>
      <c r="U494" s="31">
        <v>0.0</v>
      </c>
      <c r="V494" s="31">
        <v>1.0</v>
      </c>
      <c r="W494" s="35" t="s">
        <v>7045</v>
      </c>
      <c r="X494" s="30">
        <v>47119.0</v>
      </c>
      <c r="Y494" s="30">
        <v>47483.0</v>
      </c>
      <c r="Z494" s="31">
        <v>0.0</v>
      </c>
      <c r="AA494" s="31">
        <v>1.0</v>
      </c>
      <c r="AB494" s="35" t="s">
        <v>7045</v>
      </c>
      <c r="AC494" s="30">
        <v>47484.0</v>
      </c>
      <c r="AD494" s="30">
        <v>47848.0</v>
      </c>
      <c r="AE494" s="31">
        <v>0.0</v>
      </c>
      <c r="AF494" s="31">
        <v>1.0</v>
      </c>
      <c r="AG494" s="35" t="s">
        <v>7045</v>
      </c>
    </row>
    <row r="495" ht="14.25" customHeight="1">
      <c r="A495" s="28" t="s">
        <v>2301</v>
      </c>
      <c r="B495" s="29" t="s">
        <v>2302</v>
      </c>
      <c r="C495" s="29" t="s">
        <v>7044</v>
      </c>
      <c r="D495" s="30">
        <v>45658.0</v>
      </c>
      <c r="E495" s="30">
        <v>46022.0</v>
      </c>
      <c r="F495" s="31">
        <v>0.0</v>
      </c>
      <c r="G495" s="31">
        <v>1.0</v>
      </c>
      <c r="H495" s="35" t="s">
        <v>7045</v>
      </c>
      <c r="I495" s="30">
        <v>46023.0</v>
      </c>
      <c r="J495" s="30">
        <v>46387.0</v>
      </c>
      <c r="K495" s="31">
        <v>0.0</v>
      </c>
      <c r="L495" s="31">
        <v>1.0</v>
      </c>
      <c r="M495" s="35" t="s">
        <v>7045</v>
      </c>
      <c r="N495" s="30">
        <v>46388.0</v>
      </c>
      <c r="O495" s="30">
        <v>46752.0</v>
      </c>
      <c r="P495" s="31">
        <v>0.0</v>
      </c>
      <c r="Q495" s="31">
        <v>1.0</v>
      </c>
      <c r="R495" s="35" t="s">
        <v>7045</v>
      </c>
      <c r="S495" s="30">
        <v>46753.0</v>
      </c>
      <c r="T495" s="30">
        <v>47118.0</v>
      </c>
      <c r="U495" s="31">
        <v>0.0</v>
      </c>
      <c r="V495" s="31">
        <v>1.0</v>
      </c>
      <c r="W495" s="35" t="s">
        <v>7045</v>
      </c>
      <c r="X495" s="30">
        <v>47119.0</v>
      </c>
      <c r="Y495" s="30">
        <v>47483.0</v>
      </c>
      <c r="Z495" s="31">
        <v>0.0</v>
      </c>
      <c r="AA495" s="31">
        <v>1.0</v>
      </c>
      <c r="AB495" s="35" t="s">
        <v>7045</v>
      </c>
      <c r="AC495" s="30">
        <v>47484.0</v>
      </c>
      <c r="AD495" s="30">
        <v>47848.0</v>
      </c>
      <c r="AE495" s="31">
        <v>0.0</v>
      </c>
      <c r="AF495" s="31">
        <v>1.0</v>
      </c>
      <c r="AG495" s="35" t="s">
        <v>7045</v>
      </c>
    </row>
    <row r="496" ht="14.25" customHeight="1">
      <c r="A496" s="28" t="s">
        <v>3120</v>
      </c>
      <c r="B496" s="29" t="s">
        <v>3121</v>
      </c>
      <c r="C496" s="29" t="s">
        <v>7044</v>
      </c>
      <c r="D496" s="30">
        <v>45658.0</v>
      </c>
      <c r="E496" s="30">
        <v>46022.0</v>
      </c>
      <c r="F496" s="31">
        <v>0.0</v>
      </c>
      <c r="G496" s="31">
        <v>1.0</v>
      </c>
      <c r="H496" s="35" t="s">
        <v>7045</v>
      </c>
      <c r="I496" s="30">
        <v>46023.0</v>
      </c>
      <c r="J496" s="30">
        <v>46387.0</v>
      </c>
      <c r="K496" s="31">
        <v>0.0</v>
      </c>
      <c r="L496" s="31">
        <v>1.0</v>
      </c>
      <c r="M496" s="35" t="s">
        <v>7045</v>
      </c>
      <c r="N496" s="30">
        <v>46388.0</v>
      </c>
      <c r="O496" s="30">
        <v>46752.0</v>
      </c>
      <c r="P496" s="31">
        <v>0.0</v>
      </c>
      <c r="Q496" s="31">
        <v>1.0</v>
      </c>
      <c r="R496" s="35" t="s">
        <v>7045</v>
      </c>
      <c r="S496" s="30">
        <v>46753.0</v>
      </c>
      <c r="T496" s="30">
        <v>47118.0</v>
      </c>
      <c r="U496" s="31">
        <v>0.0</v>
      </c>
      <c r="V496" s="31">
        <v>1.0</v>
      </c>
      <c r="W496" s="35" t="s">
        <v>7045</v>
      </c>
      <c r="X496" s="30">
        <v>47119.0</v>
      </c>
      <c r="Y496" s="30">
        <v>47483.0</v>
      </c>
      <c r="Z496" s="31">
        <v>0.0</v>
      </c>
      <c r="AA496" s="31">
        <v>1.0</v>
      </c>
      <c r="AB496" s="35" t="s">
        <v>7045</v>
      </c>
      <c r="AC496" s="30">
        <v>47484.0</v>
      </c>
      <c r="AD496" s="30">
        <v>47848.0</v>
      </c>
      <c r="AE496" s="31">
        <v>0.0</v>
      </c>
      <c r="AF496" s="31">
        <v>1.0</v>
      </c>
      <c r="AG496" s="35" t="s">
        <v>7045</v>
      </c>
    </row>
    <row r="497" ht="14.25" customHeight="1">
      <c r="A497" s="28" t="s">
        <v>7022</v>
      </c>
      <c r="B497" s="29" t="s">
        <v>7023</v>
      </c>
      <c r="C497" s="29" t="s">
        <v>7044</v>
      </c>
      <c r="D497" s="30">
        <v>45658.0</v>
      </c>
      <c r="E497" s="30">
        <v>46022.0</v>
      </c>
      <c r="F497" s="31">
        <v>0.0</v>
      </c>
      <c r="G497" s="31">
        <v>1.0</v>
      </c>
      <c r="H497" s="35" t="s">
        <v>7045</v>
      </c>
      <c r="I497" s="30">
        <v>46023.0</v>
      </c>
      <c r="J497" s="30">
        <v>46387.0</v>
      </c>
      <c r="K497" s="31">
        <v>0.0</v>
      </c>
      <c r="L497" s="31">
        <v>1.0</v>
      </c>
      <c r="M497" s="35" t="s">
        <v>7045</v>
      </c>
      <c r="N497" s="30">
        <v>46388.0</v>
      </c>
      <c r="O497" s="30">
        <v>46752.0</v>
      </c>
      <c r="P497" s="31">
        <v>0.0</v>
      </c>
      <c r="Q497" s="31">
        <v>1.0</v>
      </c>
      <c r="R497" s="35" t="s">
        <v>7045</v>
      </c>
      <c r="S497" s="30">
        <v>46753.0</v>
      </c>
      <c r="T497" s="30">
        <v>47118.0</v>
      </c>
      <c r="U497" s="31">
        <v>0.0</v>
      </c>
      <c r="V497" s="31">
        <v>1.0</v>
      </c>
      <c r="W497" s="35" t="s">
        <v>7045</v>
      </c>
      <c r="X497" s="30">
        <v>47119.0</v>
      </c>
      <c r="Y497" s="30">
        <v>47483.0</v>
      </c>
      <c r="Z497" s="31">
        <v>0.0</v>
      </c>
      <c r="AA497" s="31">
        <v>1.0</v>
      </c>
      <c r="AB497" s="35" t="s">
        <v>7045</v>
      </c>
      <c r="AC497" s="30">
        <v>47484.0</v>
      </c>
      <c r="AD497" s="30">
        <v>47848.0</v>
      </c>
      <c r="AE497" s="31">
        <v>0.0</v>
      </c>
      <c r="AF497" s="31">
        <v>1.0</v>
      </c>
      <c r="AG497" s="35" t="s">
        <v>7045</v>
      </c>
    </row>
    <row r="498" ht="14.25" customHeight="1">
      <c r="A498" s="28" t="s">
        <v>6684</v>
      </c>
      <c r="B498" s="29" t="s">
        <v>6685</v>
      </c>
      <c r="C498" s="29" t="s">
        <v>7044</v>
      </c>
      <c r="D498" s="30">
        <v>45658.0</v>
      </c>
      <c r="E498" s="30">
        <v>46022.0</v>
      </c>
      <c r="F498" s="31">
        <v>0.0</v>
      </c>
      <c r="G498" s="31">
        <v>1.0</v>
      </c>
      <c r="H498" s="35" t="s">
        <v>7045</v>
      </c>
      <c r="I498" s="30">
        <v>46023.0</v>
      </c>
      <c r="J498" s="30">
        <v>46387.0</v>
      </c>
      <c r="K498" s="31">
        <v>0.0</v>
      </c>
      <c r="L498" s="31">
        <v>1.0</v>
      </c>
      <c r="M498" s="35" t="s">
        <v>7045</v>
      </c>
      <c r="N498" s="30">
        <v>46388.0</v>
      </c>
      <c r="O498" s="30">
        <v>46752.0</v>
      </c>
      <c r="P498" s="31">
        <v>0.0</v>
      </c>
      <c r="Q498" s="31">
        <v>1.0</v>
      </c>
      <c r="R498" s="35" t="s">
        <v>7045</v>
      </c>
      <c r="S498" s="30">
        <v>46753.0</v>
      </c>
      <c r="T498" s="30">
        <v>47118.0</v>
      </c>
      <c r="U498" s="31">
        <v>0.0</v>
      </c>
      <c r="V498" s="31">
        <v>1.0</v>
      </c>
      <c r="W498" s="35" t="s">
        <v>7045</v>
      </c>
      <c r="X498" s="30">
        <v>47119.0</v>
      </c>
      <c r="Y498" s="30">
        <v>47483.0</v>
      </c>
      <c r="Z498" s="31">
        <v>0.0</v>
      </c>
      <c r="AA498" s="31">
        <v>1.0</v>
      </c>
      <c r="AB498" s="35" t="s">
        <v>7045</v>
      </c>
      <c r="AC498" s="30">
        <v>47484.0</v>
      </c>
      <c r="AD498" s="30">
        <v>47848.0</v>
      </c>
      <c r="AE498" s="31">
        <v>0.0</v>
      </c>
      <c r="AF498" s="31">
        <v>1.0</v>
      </c>
      <c r="AG498" s="35" t="s">
        <v>7045</v>
      </c>
    </row>
    <row r="499" ht="14.25" customHeight="1">
      <c r="A499" s="28" t="s">
        <v>4798</v>
      </c>
      <c r="B499" s="29" t="s">
        <v>4799</v>
      </c>
      <c r="C499" s="29" t="s">
        <v>7044</v>
      </c>
      <c r="D499" s="30">
        <v>45658.0</v>
      </c>
      <c r="E499" s="30">
        <v>46022.0</v>
      </c>
      <c r="F499" s="31">
        <v>0.0</v>
      </c>
      <c r="G499" s="31">
        <v>1.0</v>
      </c>
      <c r="H499" s="35" t="s">
        <v>7045</v>
      </c>
      <c r="I499" s="30">
        <v>46023.0</v>
      </c>
      <c r="J499" s="30">
        <v>46387.0</v>
      </c>
      <c r="K499" s="31">
        <v>0.0</v>
      </c>
      <c r="L499" s="31">
        <v>1.0</v>
      </c>
      <c r="M499" s="35" t="s">
        <v>7045</v>
      </c>
      <c r="N499" s="30">
        <v>46388.0</v>
      </c>
      <c r="O499" s="30">
        <v>46752.0</v>
      </c>
      <c r="P499" s="31">
        <v>0.0</v>
      </c>
      <c r="Q499" s="31">
        <v>1.0</v>
      </c>
      <c r="R499" s="35" t="s">
        <v>7045</v>
      </c>
      <c r="S499" s="30">
        <v>46753.0</v>
      </c>
      <c r="T499" s="30">
        <v>47118.0</v>
      </c>
      <c r="U499" s="31">
        <v>0.0</v>
      </c>
      <c r="V499" s="31">
        <v>1.0</v>
      </c>
      <c r="W499" s="35" t="s">
        <v>7045</v>
      </c>
      <c r="X499" s="30">
        <v>47119.0</v>
      </c>
      <c r="Y499" s="30">
        <v>47483.0</v>
      </c>
      <c r="Z499" s="31">
        <v>0.0</v>
      </c>
      <c r="AA499" s="31">
        <v>1.0</v>
      </c>
      <c r="AB499" s="35" t="s">
        <v>7045</v>
      </c>
      <c r="AC499" s="30">
        <v>47484.0</v>
      </c>
      <c r="AD499" s="30">
        <v>47848.0</v>
      </c>
      <c r="AE499" s="31">
        <v>0.0</v>
      </c>
      <c r="AF499" s="31">
        <v>1.0</v>
      </c>
      <c r="AG499" s="35" t="s">
        <v>7045</v>
      </c>
    </row>
    <row r="500" ht="14.25" customHeight="1">
      <c r="A500" s="28" t="s">
        <v>3206</v>
      </c>
      <c r="B500" s="29" t="s">
        <v>3207</v>
      </c>
      <c r="C500" s="29" t="s">
        <v>7044</v>
      </c>
      <c r="D500" s="30">
        <v>45658.0</v>
      </c>
      <c r="E500" s="30">
        <v>46022.0</v>
      </c>
      <c r="F500" s="31">
        <v>0.0</v>
      </c>
      <c r="G500" s="31">
        <v>1.0</v>
      </c>
      <c r="H500" s="35" t="s">
        <v>7045</v>
      </c>
      <c r="I500" s="30">
        <v>46023.0</v>
      </c>
      <c r="J500" s="30">
        <v>46387.0</v>
      </c>
      <c r="K500" s="31">
        <v>0.0</v>
      </c>
      <c r="L500" s="31">
        <v>1.0</v>
      </c>
      <c r="M500" s="35" t="s">
        <v>7045</v>
      </c>
      <c r="N500" s="30">
        <v>46388.0</v>
      </c>
      <c r="O500" s="30">
        <v>46752.0</v>
      </c>
      <c r="P500" s="31">
        <v>0.0</v>
      </c>
      <c r="Q500" s="31">
        <v>1.0</v>
      </c>
      <c r="R500" s="35" t="s">
        <v>7045</v>
      </c>
      <c r="S500" s="30">
        <v>46753.0</v>
      </c>
      <c r="T500" s="30">
        <v>47118.0</v>
      </c>
      <c r="U500" s="31">
        <v>0.0</v>
      </c>
      <c r="V500" s="31">
        <v>1.0</v>
      </c>
      <c r="W500" s="35" t="s">
        <v>7045</v>
      </c>
      <c r="X500" s="30">
        <v>47119.0</v>
      </c>
      <c r="Y500" s="30">
        <v>47483.0</v>
      </c>
      <c r="Z500" s="31">
        <v>0.0</v>
      </c>
      <c r="AA500" s="31">
        <v>1.0</v>
      </c>
      <c r="AB500" s="35" t="s">
        <v>7045</v>
      </c>
      <c r="AC500" s="30">
        <v>47484.0</v>
      </c>
      <c r="AD500" s="30">
        <v>47848.0</v>
      </c>
      <c r="AE500" s="31">
        <v>0.0</v>
      </c>
      <c r="AF500" s="31">
        <v>1.0</v>
      </c>
      <c r="AG500" s="35" t="s">
        <v>7045</v>
      </c>
    </row>
    <row r="501" ht="14.25" customHeight="1">
      <c r="A501" s="28" t="s">
        <v>3330</v>
      </c>
      <c r="B501" s="29" t="s">
        <v>3331</v>
      </c>
      <c r="C501" s="29" t="s">
        <v>7041</v>
      </c>
      <c r="D501" s="30">
        <v>45658.0</v>
      </c>
      <c r="E501" s="30">
        <v>46022.0</v>
      </c>
      <c r="F501" s="31">
        <v>1.0</v>
      </c>
      <c r="G501" s="31">
        <v>1.0</v>
      </c>
      <c r="H501" s="35" t="s">
        <v>7042</v>
      </c>
      <c r="I501" s="30">
        <v>46023.0</v>
      </c>
      <c r="J501" s="30">
        <v>46387.0</v>
      </c>
      <c r="K501" s="31">
        <v>0.0</v>
      </c>
      <c r="L501" s="31">
        <v>1.0</v>
      </c>
      <c r="M501" s="35" t="s">
        <v>7043</v>
      </c>
      <c r="N501" s="30">
        <v>46388.0</v>
      </c>
      <c r="O501" s="30">
        <v>46752.0</v>
      </c>
      <c r="P501" s="31">
        <v>0.0</v>
      </c>
      <c r="Q501" s="31">
        <v>1.0</v>
      </c>
      <c r="R501" s="35" t="s">
        <v>7043</v>
      </c>
      <c r="S501" s="30">
        <v>46753.0</v>
      </c>
      <c r="T501" s="30">
        <v>47118.0</v>
      </c>
      <c r="U501" s="31">
        <v>0.0</v>
      </c>
      <c r="V501" s="31">
        <v>1.0</v>
      </c>
      <c r="W501" s="35" t="s">
        <v>7043</v>
      </c>
      <c r="X501" s="30">
        <v>47119.0</v>
      </c>
      <c r="Y501" s="30">
        <v>47483.0</v>
      </c>
      <c r="Z501" s="31">
        <v>0.0</v>
      </c>
      <c r="AA501" s="31">
        <v>1.0</v>
      </c>
      <c r="AB501" s="35" t="s">
        <v>7043</v>
      </c>
      <c r="AC501" s="30">
        <v>47484.0</v>
      </c>
      <c r="AD501" s="30">
        <v>47848.0</v>
      </c>
      <c r="AE501" s="31">
        <v>0.0</v>
      </c>
      <c r="AF501" s="31">
        <v>1.0</v>
      </c>
      <c r="AG501" s="35" t="s">
        <v>7043</v>
      </c>
    </row>
    <row r="502" ht="14.25" customHeight="1">
      <c r="A502" s="28" t="s">
        <v>4501</v>
      </c>
      <c r="B502" s="29" t="s">
        <v>4502</v>
      </c>
      <c r="C502" s="29" t="s">
        <v>7044</v>
      </c>
      <c r="D502" s="30">
        <v>45658.0</v>
      </c>
      <c r="E502" s="30">
        <v>46022.0</v>
      </c>
      <c r="F502" s="31">
        <v>0.0</v>
      </c>
      <c r="G502" s="31">
        <v>1.0</v>
      </c>
      <c r="H502" s="35" t="s">
        <v>7045</v>
      </c>
      <c r="I502" s="30">
        <v>46023.0</v>
      </c>
      <c r="J502" s="30">
        <v>46387.0</v>
      </c>
      <c r="K502" s="31">
        <v>0.0</v>
      </c>
      <c r="L502" s="31">
        <v>1.0</v>
      </c>
      <c r="M502" s="35" t="s">
        <v>7045</v>
      </c>
      <c r="N502" s="30">
        <v>46388.0</v>
      </c>
      <c r="O502" s="30">
        <v>46752.0</v>
      </c>
      <c r="P502" s="31">
        <v>0.0</v>
      </c>
      <c r="Q502" s="31">
        <v>1.0</v>
      </c>
      <c r="R502" s="35" t="s">
        <v>7045</v>
      </c>
      <c r="S502" s="30">
        <v>46753.0</v>
      </c>
      <c r="T502" s="30">
        <v>47118.0</v>
      </c>
      <c r="U502" s="31">
        <v>0.0</v>
      </c>
      <c r="V502" s="31">
        <v>1.0</v>
      </c>
      <c r="W502" s="35" t="s">
        <v>7045</v>
      </c>
      <c r="X502" s="30">
        <v>47119.0</v>
      </c>
      <c r="Y502" s="30">
        <v>47483.0</v>
      </c>
      <c r="Z502" s="31">
        <v>0.0</v>
      </c>
      <c r="AA502" s="31">
        <v>1.0</v>
      </c>
      <c r="AB502" s="35" t="s">
        <v>7045</v>
      </c>
      <c r="AC502" s="30">
        <v>47484.0</v>
      </c>
      <c r="AD502" s="30">
        <v>47848.0</v>
      </c>
      <c r="AE502" s="31">
        <v>0.0</v>
      </c>
      <c r="AF502" s="31">
        <v>1.0</v>
      </c>
      <c r="AG502" s="35" t="s">
        <v>7045</v>
      </c>
    </row>
    <row r="503" ht="14.25" customHeight="1">
      <c r="A503" s="28" t="s">
        <v>3067</v>
      </c>
      <c r="B503" s="29" t="s">
        <v>3068</v>
      </c>
      <c r="C503" s="29" t="s">
        <v>7041</v>
      </c>
      <c r="D503" s="30">
        <v>45658.0</v>
      </c>
      <c r="E503" s="30">
        <v>46022.0</v>
      </c>
      <c r="F503" s="31">
        <v>1.0</v>
      </c>
      <c r="G503" s="31">
        <v>1.0</v>
      </c>
      <c r="H503" s="35" t="s">
        <v>7042</v>
      </c>
      <c r="I503" s="30">
        <v>46023.0</v>
      </c>
      <c r="J503" s="30">
        <v>46387.0</v>
      </c>
      <c r="K503" s="31">
        <v>0.0</v>
      </c>
      <c r="L503" s="31">
        <v>1.0</v>
      </c>
      <c r="M503" s="35" t="s">
        <v>7043</v>
      </c>
      <c r="N503" s="30">
        <v>46388.0</v>
      </c>
      <c r="O503" s="30">
        <v>46752.0</v>
      </c>
      <c r="P503" s="31">
        <v>0.0</v>
      </c>
      <c r="Q503" s="31">
        <v>1.0</v>
      </c>
      <c r="R503" s="35" t="s">
        <v>7043</v>
      </c>
      <c r="S503" s="30">
        <v>46753.0</v>
      </c>
      <c r="T503" s="30">
        <v>47118.0</v>
      </c>
      <c r="U503" s="31">
        <v>0.0</v>
      </c>
      <c r="V503" s="31">
        <v>1.0</v>
      </c>
      <c r="W503" s="35" t="s">
        <v>7043</v>
      </c>
      <c r="X503" s="30">
        <v>47119.0</v>
      </c>
      <c r="Y503" s="30">
        <v>47483.0</v>
      </c>
      <c r="Z503" s="31">
        <v>0.0</v>
      </c>
      <c r="AA503" s="31">
        <v>1.0</v>
      </c>
      <c r="AB503" s="35" t="s">
        <v>7043</v>
      </c>
      <c r="AC503" s="30">
        <v>47484.0</v>
      </c>
      <c r="AD503" s="30">
        <v>47848.0</v>
      </c>
      <c r="AE503" s="31">
        <v>0.0</v>
      </c>
      <c r="AF503" s="31">
        <v>1.0</v>
      </c>
      <c r="AG503" s="35" t="s">
        <v>7043</v>
      </c>
    </row>
    <row r="504" ht="14.25" customHeight="1">
      <c r="A504" s="28" t="s">
        <v>6744</v>
      </c>
      <c r="B504" s="29" t="s">
        <v>6745</v>
      </c>
      <c r="C504" s="29" t="s">
        <v>7044</v>
      </c>
      <c r="D504" s="30">
        <v>45658.0</v>
      </c>
      <c r="E504" s="30">
        <v>46022.0</v>
      </c>
      <c r="F504" s="31">
        <v>0.0</v>
      </c>
      <c r="G504" s="31">
        <v>1.0</v>
      </c>
      <c r="H504" s="35" t="s">
        <v>7045</v>
      </c>
      <c r="I504" s="30">
        <v>46023.0</v>
      </c>
      <c r="J504" s="30">
        <v>46387.0</v>
      </c>
      <c r="K504" s="31">
        <v>0.0</v>
      </c>
      <c r="L504" s="31">
        <v>1.0</v>
      </c>
      <c r="M504" s="35" t="s">
        <v>7045</v>
      </c>
      <c r="N504" s="30">
        <v>46388.0</v>
      </c>
      <c r="O504" s="30">
        <v>46752.0</v>
      </c>
      <c r="P504" s="31">
        <v>0.0</v>
      </c>
      <c r="Q504" s="31">
        <v>1.0</v>
      </c>
      <c r="R504" s="35" t="s">
        <v>7045</v>
      </c>
      <c r="S504" s="30">
        <v>46753.0</v>
      </c>
      <c r="T504" s="30">
        <v>47118.0</v>
      </c>
      <c r="U504" s="31">
        <v>0.0</v>
      </c>
      <c r="V504" s="31">
        <v>1.0</v>
      </c>
      <c r="W504" s="35" t="s">
        <v>7045</v>
      </c>
      <c r="X504" s="30">
        <v>47119.0</v>
      </c>
      <c r="Y504" s="30">
        <v>47483.0</v>
      </c>
      <c r="Z504" s="31">
        <v>0.0</v>
      </c>
      <c r="AA504" s="31">
        <v>1.0</v>
      </c>
      <c r="AB504" s="35" t="s">
        <v>7045</v>
      </c>
      <c r="AC504" s="30">
        <v>47484.0</v>
      </c>
      <c r="AD504" s="30">
        <v>47848.0</v>
      </c>
      <c r="AE504" s="31">
        <v>0.0</v>
      </c>
      <c r="AF504" s="31">
        <v>1.0</v>
      </c>
      <c r="AG504" s="35" t="s">
        <v>7045</v>
      </c>
    </row>
    <row r="505" ht="14.25" customHeight="1">
      <c r="A505" s="28" t="s">
        <v>4178</v>
      </c>
      <c r="B505" s="29" t="s">
        <v>4179</v>
      </c>
      <c r="C505" s="29" t="s">
        <v>7041</v>
      </c>
      <c r="D505" s="30">
        <v>45658.0</v>
      </c>
      <c r="E505" s="30">
        <v>46022.0</v>
      </c>
      <c r="F505" s="31">
        <v>1.0</v>
      </c>
      <c r="G505" s="31">
        <v>1.0</v>
      </c>
      <c r="H505" s="35" t="s">
        <v>7042</v>
      </c>
      <c r="I505" s="30">
        <v>46023.0</v>
      </c>
      <c r="J505" s="30">
        <v>46387.0</v>
      </c>
      <c r="K505" s="31">
        <v>0.0</v>
      </c>
      <c r="L505" s="31">
        <v>1.0</v>
      </c>
      <c r="M505" s="35" t="s">
        <v>7043</v>
      </c>
      <c r="N505" s="30">
        <v>46388.0</v>
      </c>
      <c r="O505" s="30">
        <v>46752.0</v>
      </c>
      <c r="P505" s="31">
        <v>0.0</v>
      </c>
      <c r="Q505" s="31">
        <v>1.0</v>
      </c>
      <c r="R505" s="35" t="s">
        <v>7043</v>
      </c>
      <c r="S505" s="30">
        <v>46753.0</v>
      </c>
      <c r="T505" s="30">
        <v>47118.0</v>
      </c>
      <c r="U505" s="31">
        <v>0.0</v>
      </c>
      <c r="V505" s="31">
        <v>1.0</v>
      </c>
      <c r="W505" s="35" t="s">
        <v>7043</v>
      </c>
      <c r="X505" s="30">
        <v>47119.0</v>
      </c>
      <c r="Y505" s="30">
        <v>47483.0</v>
      </c>
      <c r="Z505" s="31">
        <v>0.0</v>
      </c>
      <c r="AA505" s="31">
        <v>1.0</v>
      </c>
      <c r="AB505" s="35" t="s">
        <v>7043</v>
      </c>
      <c r="AC505" s="30">
        <v>47484.0</v>
      </c>
      <c r="AD505" s="30">
        <v>47848.0</v>
      </c>
      <c r="AE505" s="31">
        <v>0.0</v>
      </c>
      <c r="AF505" s="31">
        <v>1.0</v>
      </c>
      <c r="AG505" s="35" t="s">
        <v>7043</v>
      </c>
    </row>
    <row r="506" ht="14.25" customHeight="1">
      <c r="A506" s="28" t="s">
        <v>6408</v>
      </c>
      <c r="B506" s="29" t="s">
        <v>6409</v>
      </c>
      <c r="C506" s="29" t="s">
        <v>7044</v>
      </c>
      <c r="D506" s="30">
        <v>45658.0</v>
      </c>
      <c r="E506" s="30">
        <v>46022.0</v>
      </c>
      <c r="F506" s="31">
        <v>0.0</v>
      </c>
      <c r="G506" s="31">
        <v>1.0</v>
      </c>
      <c r="H506" s="35" t="s">
        <v>7045</v>
      </c>
      <c r="I506" s="30">
        <v>46023.0</v>
      </c>
      <c r="J506" s="30">
        <v>46387.0</v>
      </c>
      <c r="K506" s="31">
        <v>0.0</v>
      </c>
      <c r="L506" s="31">
        <v>1.0</v>
      </c>
      <c r="M506" s="35" t="s">
        <v>7045</v>
      </c>
      <c r="N506" s="30">
        <v>46388.0</v>
      </c>
      <c r="O506" s="30">
        <v>46752.0</v>
      </c>
      <c r="P506" s="31">
        <v>0.0</v>
      </c>
      <c r="Q506" s="31">
        <v>1.0</v>
      </c>
      <c r="R506" s="35" t="s">
        <v>7045</v>
      </c>
      <c r="S506" s="30">
        <v>46753.0</v>
      </c>
      <c r="T506" s="30">
        <v>47118.0</v>
      </c>
      <c r="U506" s="31">
        <v>0.0</v>
      </c>
      <c r="V506" s="31">
        <v>1.0</v>
      </c>
      <c r="W506" s="35" t="s">
        <v>7045</v>
      </c>
      <c r="X506" s="30">
        <v>47119.0</v>
      </c>
      <c r="Y506" s="30">
        <v>47483.0</v>
      </c>
      <c r="Z506" s="31">
        <v>0.0</v>
      </c>
      <c r="AA506" s="31">
        <v>1.0</v>
      </c>
      <c r="AB506" s="35" t="s">
        <v>7045</v>
      </c>
      <c r="AC506" s="30">
        <v>47484.0</v>
      </c>
      <c r="AD506" s="30">
        <v>47848.0</v>
      </c>
      <c r="AE506" s="31">
        <v>0.0</v>
      </c>
      <c r="AF506" s="31">
        <v>1.0</v>
      </c>
      <c r="AG506" s="35" t="s">
        <v>7045</v>
      </c>
    </row>
    <row r="507" ht="14.25" customHeight="1">
      <c r="A507" s="28" t="s">
        <v>6420</v>
      </c>
      <c r="B507" s="29" t="s">
        <v>6421</v>
      </c>
      <c r="C507" s="29" t="s">
        <v>7044</v>
      </c>
      <c r="D507" s="30">
        <v>45658.0</v>
      </c>
      <c r="E507" s="30">
        <v>46022.0</v>
      </c>
      <c r="F507" s="31">
        <v>0.0</v>
      </c>
      <c r="G507" s="31">
        <v>1.0</v>
      </c>
      <c r="H507" s="35" t="s">
        <v>7045</v>
      </c>
      <c r="I507" s="30">
        <v>46023.0</v>
      </c>
      <c r="J507" s="30">
        <v>46387.0</v>
      </c>
      <c r="K507" s="31">
        <v>0.0</v>
      </c>
      <c r="L507" s="31">
        <v>1.0</v>
      </c>
      <c r="M507" s="35" t="s">
        <v>7045</v>
      </c>
      <c r="N507" s="30">
        <v>46388.0</v>
      </c>
      <c r="O507" s="30">
        <v>46752.0</v>
      </c>
      <c r="P507" s="31">
        <v>0.0</v>
      </c>
      <c r="Q507" s="31">
        <v>1.0</v>
      </c>
      <c r="R507" s="35" t="s">
        <v>7045</v>
      </c>
      <c r="S507" s="30">
        <v>46753.0</v>
      </c>
      <c r="T507" s="30">
        <v>47118.0</v>
      </c>
      <c r="U507" s="31">
        <v>0.0</v>
      </c>
      <c r="V507" s="31">
        <v>1.0</v>
      </c>
      <c r="W507" s="35" t="s">
        <v>7045</v>
      </c>
      <c r="X507" s="30">
        <v>47119.0</v>
      </c>
      <c r="Y507" s="30">
        <v>47483.0</v>
      </c>
      <c r="Z507" s="31">
        <v>0.0</v>
      </c>
      <c r="AA507" s="31">
        <v>1.0</v>
      </c>
      <c r="AB507" s="35" t="s">
        <v>7045</v>
      </c>
      <c r="AC507" s="30">
        <v>47484.0</v>
      </c>
      <c r="AD507" s="30">
        <v>47848.0</v>
      </c>
      <c r="AE507" s="31">
        <v>0.0</v>
      </c>
      <c r="AF507" s="31">
        <v>1.0</v>
      </c>
      <c r="AG507" s="35" t="s">
        <v>7045</v>
      </c>
    </row>
    <row r="508" ht="14.25" customHeight="1">
      <c r="A508" s="28" t="s">
        <v>1702</v>
      </c>
      <c r="B508" s="29" t="s">
        <v>1703</v>
      </c>
      <c r="C508" s="29" t="s">
        <v>7044</v>
      </c>
      <c r="D508" s="30">
        <v>45658.0</v>
      </c>
      <c r="E508" s="30">
        <v>46022.0</v>
      </c>
      <c r="F508" s="31">
        <v>0.0</v>
      </c>
      <c r="G508" s="31">
        <v>1.0</v>
      </c>
      <c r="H508" s="35" t="s">
        <v>7045</v>
      </c>
      <c r="I508" s="30">
        <v>46023.0</v>
      </c>
      <c r="J508" s="30">
        <v>46387.0</v>
      </c>
      <c r="K508" s="31">
        <v>0.0</v>
      </c>
      <c r="L508" s="31">
        <v>1.0</v>
      </c>
      <c r="M508" s="35" t="s">
        <v>7045</v>
      </c>
      <c r="N508" s="30">
        <v>46388.0</v>
      </c>
      <c r="O508" s="30">
        <v>46752.0</v>
      </c>
      <c r="P508" s="31">
        <v>0.0</v>
      </c>
      <c r="Q508" s="31">
        <v>1.0</v>
      </c>
      <c r="R508" s="35" t="s">
        <v>7045</v>
      </c>
      <c r="S508" s="30">
        <v>46753.0</v>
      </c>
      <c r="T508" s="30">
        <v>47118.0</v>
      </c>
      <c r="U508" s="31">
        <v>0.0</v>
      </c>
      <c r="V508" s="31">
        <v>1.0</v>
      </c>
      <c r="W508" s="35" t="s">
        <v>7045</v>
      </c>
      <c r="X508" s="30">
        <v>47119.0</v>
      </c>
      <c r="Y508" s="30">
        <v>47483.0</v>
      </c>
      <c r="Z508" s="31">
        <v>0.0</v>
      </c>
      <c r="AA508" s="31">
        <v>1.0</v>
      </c>
      <c r="AB508" s="35" t="s">
        <v>7045</v>
      </c>
      <c r="AC508" s="30">
        <v>47484.0</v>
      </c>
      <c r="AD508" s="30">
        <v>47848.0</v>
      </c>
      <c r="AE508" s="31">
        <v>0.0</v>
      </c>
      <c r="AF508" s="31">
        <v>1.0</v>
      </c>
      <c r="AG508" s="35" t="s">
        <v>7045</v>
      </c>
    </row>
    <row r="509" ht="14.25" customHeight="1">
      <c r="A509" s="28" t="s">
        <v>2056</v>
      </c>
      <c r="B509" s="29" t="s">
        <v>2057</v>
      </c>
      <c r="C509" s="29" t="s">
        <v>7044</v>
      </c>
      <c r="D509" s="30">
        <v>45658.0</v>
      </c>
      <c r="E509" s="30">
        <v>46022.0</v>
      </c>
      <c r="F509" s="31">
        <v>0.0</v>
      </c>
      <c r="G509" s="31">
        <v>1.0</v>
      </c>
      <c r="H509" s="35" t="s">
        <v>7045</v>
      </c>
      <c r="I509" s="30">
        <v>46023.0</v>
      </c>
      <c r="J509" s="30">
        <v>46387.0</v>
      </c>
      <c r="K509" s="31">
        <v>0.0</v>
      </c>
      <c r="L509" s="31">
        <v>1.0</v>
      </c>
      <c r="M509" s="35" t="s">
        <v>7045</v>
      </c>
      <c r="N509" s="30">
        <v>46388.0</v>
      </c>
      <c r="O509" s="30">
        <v>46752.0</v>
      </c>
      <c r="P509" s="31">
        <v>0.0</v>
      </c>
      <c r="Q509" s="31">
        <v>1.0</v>
      </c>
      <c r="R509" s="35" t="s">
        <v>7045</v>
      </c>
      <c r="S509" s="30">
        <v>46753.0</v>
      </c>
      <c r="T509" s="30">
        <v>47118.0</v>
      </c>
      <c r="U509" s="31">
        <v>0.0</v>
      </c>
      <c r="V509" s="31">
        <v>1.0</v>
      </c>
      <c r="W509" s="35" t="s">
        <v>7045</v>
      </c>
      <c r="X509" s="30">
        <v>47119.0</v>
      </c>
      <c r="Y509" s="30">
        <v>47483.0</v>
      </c>
      <c r="Z509" s="31">
        <v>0.0</v>
      </c>
      <c r="AA509" s="31">
        <v>1.0</v>
      </c>
      <c r="AB509" s="35" t="s">
        <v>7045</v>
      </c>
      <c r="AC509" s="30">
        <v>47484.0</v>
      </c>
      <c r="AD509" s="30">
        <v>47848.0</v>
      </c>
      <c r="AE509" s="31">
        <v>0.0</v>
      </c>
      <c r="AF509" s="31">
        <v>1.0</v>
      </c>
      <c r="AG509" s="35" t="s">
        <v>7045</v>
      </c>
    </row>
    <row r="510" ht="14.25" customHeight="1">
      <c r="A510" s="28" t="s">
        <v>2662</v>
      </c>
      <c r="B510" s="29" t="s">
        <v>2663</v>
      </c>
      <c r="C510" s="29" t="s">
        <v>7041</v>
      </c>
      <c r="D510" s="30">
        <v>45658.0</v>
      </c>
      <c r="E510" s="30">
        <v>46022.0</v>
      </c>
      <c r="F510" s="31">
        <v>1.0</v>
      </c>
      <c r="G510" s="31">
        <v>1.0</v>
      </c>
      <c r="H510" s="35" t="s">
        <v>7042</v>
      </c>
      <c r="I510" s="30">
        <v>46023.0</v>
      </c>
      <c r="J510" s="30">
        <v>46387.0</v>
      </c>
      <c r="K510" s="31">
        <v>0.0</v>
      </c>
      <c r="L510" s="31">
        <v>1.0</v>
      </c>
      <c r="M510" s="35" t="s">
        <v>7043</v>
      </c>
      <c r="N510" s="30">
        <v>46388.0</v>
      </c>
      <c r="O510" s="30">
        <v>46752.0</v>
      </c>
      <c r="P510" s="31">
        <v>0.0</v>
      </c>
      <c r="Q510" s="31">
        <v>1.0</v>
      </c>
      <c r="R510" s="35" t="s">
        <v>7043</v>
      </c>
      <c r="S510" s="30">
        <v>46753.0</v>
      </c>
      <c r="T510" s="30">
        <v>47118.0</v>
      </c>
      <c r="U510" s="31">
        <v>0.0</v>
      </c>
      <c r="V510" s="31">
        <v>1.0</v>
      </c>
      <c r="W510" s="35" t="s">
        <v>7043</v>
      </c>
      <c r="X510" s="30">
        <v>47119.0</v>
      </c>
      <c r="Y510" s="30">
        <v>47483.0</v>
      </c>
      <c r="Z510" s="31">
        <v>0.0</v>
      </c>
      <c r="AA510" s="31">
        <v>1.0</v>
      </c>
      <c r="AB510" s="35" t="s">
        <v>7043</v>
      </c>
      <c r="AC510" s="30">
        <v>47484.0</v>
      </c>
      <c r="AD510" s="30">
        <v>47848.0</v>
      </c>
      <c r="AE510" s="31">
        <v>0.0</v>
      </c>
      <c r="AF510" s="31">
        <v>1.0</v>
      </c>
      <c r="AG510" s="35" t="s">
        <v>7043</v>
      </c>
    </row>
    <row r="511" ht="14.25" customHeight="1">
      <c r="A511" s="28" t="s">
        <v>5507</v>
      </c>
      <c r="B511" s="29" t="s">
        <v>5508</v>
      </c>
      <c r="C511" s="29" t="s">
        <v>7044</v>
      </c>
      <c r="D511" s="30">
        <v>45658.0</v>
      </c>
      <c r="E511" s="30">
        <v>46022.0</v>
      </c>
      <c r="F511" s="31">
        <v>0.0</v>
      </c>
      <c r="G511" s="31">
        <v>1.0</v>
      </c>
      <c r="H511" s="35" t="s">
        <v>7045</v>
      </c>
      <c r="I511" s="30">
        <v>46023.0</v>
      </c>
      <c r="J511" s="30">
        <v>46387.0</v>
      </c>
      <c r="K511" s="31">
        <v>0.0</v>
      </c>
      <c r="L511" s="31">
        <v>1.0</v>
      </c>
      <c r="M511" s="35" t="s">
        <v>7045</v>
      </c>
      <c r="N511" s="30">
        <v>46388.0</v>
      </c>
      <c r="O511" s="30">
        <v>46752.0</v>
      </c>
      <c r="P511" s="31">
        <v>0.0</v>
      </c>
      <c r="Q511" s="31">
        <v>1.0</v>
      </c>
      <c r="R511" s="35" t="s">
        <v>7045</v>
      </c>
      <c r="S511" s="30">
        <v>46753.0</v>
      </c>
      <c r="T511" s="30">
        <v>47118.0</v>
      </c>
      <c r="U511" s="31">
        <v>0.0</v>
      </c>
      <c r="V511" s="31">
        <v>1.0</v>
      </c>
      <c r="W511" s="35" t="s">
        <v>7045</v>
      </c>
      <c r="X511" s="30">
        <v>47119.0</v>
      </c>
      <c r="Y511" s="30">
        <v>47483.0</v>
      </c>
      <c r="Z511" s="31">
        <v>0.0</v>
      </c>
      <c r="AA511" s="31">
        <v>1.0</v>
      </c>
      <c r="AB511" s="35" t="s">
        <v>7045</v>
      </c>
      <c r="AC511" s="30">
        <v>47484.0</v>
      </c>
      <c r="AD511" s="30">
        <v>47848.0</v>
      </c>
      <c r="AE511" s="31">
        <v>0.0</v>
      </c>
      <c r="AF511" s="31">
        <v>1.0</v>
      </c>
      <c r="AG511" s="35" t="s">
        <v>7045</v>
      </c>
    </row>
    <row r="512" ht="14.25" customHeight="1">
      <c r="A512" s="28" t="s">
        <v>165</v>
      </c>
      <c r="B512" s="29" t="s">
        <v>166</v>
      </c>
      <c r="C512" s="29" t="s">
        <v>7044</v>
      </c>
      <c r="D512" s="30">
        <v>45658.0</v>
      </c>
      <c r="E512" s="30">
        <v>46022.0</v>
      </c>
      <c r="F512" s="31">
        <v>0.0</v>
      </c>
      <c r="G512" s="31">
        <v>1.0</v>
      </c>
      <c r="H512" s="35" t="s">
        <v>7045</v>
      </c>
      <c r="I512" s="30">
        <v>46023.0</v>
      </c>
      <c r="J512" s="30">
        <v>46387.0</v>
      </c>
      <c r="K512" s="31">
        <v>0.0</v>
      </c>
      <c r="L512" s="31">
        <v>1.0</v>
      </c>
      <c r="M512" s="35" t="s">
        <v>7045</v>
      </c>
      <c r="N512" s="30">
        <v>46388.0</v>
      </c>
      <c r="O512" s="30">
        <v>46752.0</v>
      </c>
      <c r="P512" s="31">
        <v>0.0</v>
      </c>
      <c r="Q512" s="31">
        <v>1.0</v>
      </c>
      <c r="R512" s="35" t="s">
        <v>7045</v>
      </c>
      <c r="S512" s="30">
        <v>46753.0</v>
      </c>
      <c r="T512" s="30">
        <v>47118.0</v>
      </c>
      <c r="U512" s="31">
        <v>0.0</v>
      </c>
      <c r="V512" s="31">
        <v>1.0</v>
      </c>
      <c r="W512" s="35" t="s">
        <v>7045</v>
      </c>
      <c r="X512" s="30">
        <v>47119.0</v>
      </c>
      <c r="Y512" s="30">
        <v>47483.0</v>
      </c>
      <c r="Z512" s="31">
        <v>0.0</v>
      </c>
      <c r="AA512" s="31">
        <v>1.0</v>
      </c>
      <c r="AB512" s="35" t="s">
        <v>7045</v>
      </c>
      <c r="AC512" s="30">
        <v>47484.0</v>
      </c>
      <c r="AD512" s="30">
        <v>47848.0</v>
      </c>
      <c r="AE512" s="31">
        <v>0.0</v>
      </c>
      <c r="AF512" s="31">
        <v>1.0</v>
      </c>
      <c r="AG512" s="35" t="s">
        <v>7045</v>
      </c>
    </row>
    <row r="513" ht="14.25" customHeight="1">
      <c r="A513" s="28" t="s">
        <v>6877</v>
      </c>
      <c r="B513" s="29" t="s">
        <v>6878</v>
      </c>
      <c r="C513" s="29" t="s">
        <v>7044</v>
      </c>
      <c r="D513" s="30">
        <v>45658.0</v>
      </c>
      <c r="E513" s="30">
        <v>46022.0</v>
      </c>
      <c r="F513" s="31">
        <v>0.0</v>
      </c>
      <c r="G513" s="31">
        <v>1.0</v>
      </c>
      <c r="H513" s="35" t="s">
        <v>7045</v>
      </c>
      <c r="I513" s="30">
        <v>46023.0</v>
      </c>
      <c r="J513" s="30">
        <v>46387.0</v>
      </c>
      <c r="K513" s="31">
        <v>0.0</v>
      </c>
      <c r="L513" s="31">
        <v>1.0</v>
      </c>
      <c r="M513" s="35" t="s">
        <v>7045</v>
      </c>
      <c r="N513" s="30">
        <v>46388.0</v>
      </c>
      <c r="O513" s="30">
        <v>46752.0</v>
      </c>
      <c r="P513" s="31">
        <v>0.0</v>
      </c>
      <c r="Q513" s="31">
        <v>1.0</v>
      </c>
      <c r="R513" s="35" t="s">
        <v>7045</v>
      </c>
      <c r="S513" s="30">
        <v>46753.0</v>
      </c>
      <c r="T513" s="30">
        <v>47118.0</v>
      </c>
      <c r="U513" s="31">
        <v>0.0</v>
      </c>
      <c r="V513" s="31">
        <v>1.0</v>
      </c>
      <c r="W513" s="35" t="s">
        <v>7045</v>
      </c>
      <c r="X513" s="30">
        <v>47119.0</v>
      </c>
      <c r="Y513" s="30">
        <v>47483.0</v>
      </c>
      <c r="Z513" s="31">
        <v>0.0</v>
      </c>
      <c r="AA513" s="31">
        <v>1.0</v>
      </c>
      <c r="AB513" s="35" t="s">
        <v>7045</v>
      </c>
      <c r="AC513" s="30">
        <v>47484.0</v>
      </c>
      <c r="AD513" s="30">
        <v>47848.0</v>
      </c>
      <c r="AE513" s="31">
        <v>0.0</v>
      </c>
      <c r="AF513" s="31">
        <v>1.0</v>
      </c>
      <c r="AG513" s="35" t="s">
        <v>7045</v>
      </c>
    </row>
    <row r="514" ht="14.25" customHeight="1">
      <c r="A514" s="28" t="s">
        <v>6504</v>
      </c>
      <c r="B514" s="29" t="s">
        <v>6505</v>
      </c>
      <c r="C514" s="29" t="s">
        <v>7044</v>
      </c>
      <c r="D514" s="30">
        <v>45658.0</v>
      </c>
      <c r="E514" s="30">
        <v>46022.0</v>
      </c>
      <c r="F514" s="31">
        <v>0.0</v>
      </c>
      <c r="G514" s="31">
        <v>1.0</v>
      </c>
      <c r="H514" s="35" t="s">
        <v>7045</v>
      </c>
      <c r="I514" s="30">
        <v>46023.0</v>
      </c>
      <c r="J514" s="30">
        <v>46387.0</v>
      </c>
      <c r="K514" s="31">
        <v>0.0</v>
      </c>
      <c r="L514" s="31">
        <v>1.0</v>
      </c>
      <c r="M514" s="35" t="s">
        <v>7045</v>
      </c>
      <c r="N514" s="30">
        <v>46388.0</v>
      </c>
      <c r="O514" s="30">
        <v>46752.0</v>
      </c>
      <c r="P514" s="31">
        <v>0.0</v>
      </c>
      <c r="Q514" s="31">
        <v>1.0</v>
      </c>
      <c r="R514" s="35" t="s">
        <v>7045</v>
      </c>
      <c r="S514" s="30">
        <v>46753.0</v>
      </c>
      <c r="T514" s="30">
        <v>47118.0</v>
      </c>
      <c r="U514" s="31">
        <v>0.0</v>
      </c>
      <c r="V514" s="31">
        <v>1.0</v>
      </c>
      <c r="W514" s="35" t="s">
        <v>7045</v>
      </c>
      <c r="X514" s="30">
        <v>47119.0</v>
      </c>
      <c r="Y514" s="30">
        <v>47483.0</v>
      </c>
      <c r="Z514" s="31">
        <v>0.0</v>
      </c>
      <c r="AA514" s="31">
        <v>1.0</v>
      </c>
      <c r="AB514" s="35" t="s">
        <v>7045</v>
      </c>
      <c r="AC514" s="30">
        <v>47484.0</v>
      </c>
      <c r="AD514" s="30">
        <v>47848.0</v>
      </c>
      <c r="AE514" s="31">
        <v>0.0</v>
      </c>
      <c r="AF514" s="31">
        <v>1.0</v>
      </c>
      <c r="AG514" s="35" t="s">
        <v>7045</v>
      </c>
    </row>
    <row r="515" ht="14.25" customHeight="1">
      <c r="A515" s="28" t="s">
        <v>2348</v>
      </c>
      <c r="B515" s="29" t="s">
        <v>2349</v>
      </c>
      <c r="C515" s="29" t="s">
        <v>7044</v>
      </c>
      <c r="D515" s="30">
        <v>45658.0</v>
      </c>
      <c r="E515" s="30">
        <v>46022.0</v>
      </c>
      <c r="F515" s="31">
        <v>0.0</v>
      </c>
      <c r="G515" s="31">
        <v>1.0</v>
      </c>
      <c r="H515" s="35" t="s">
        <v>7045</v>
      </c>
      <c r="I515" s="30">
        <v>46023.0</v>
      </c>
      <c r="J515" s="30">
        <v>46387.0</v>
      </c>
      <c r="K515" s="31">
        <v>0.0</v>
      </c>
      <c r="L515" s="31">
        <v>1.0</v>
      </c>
      <c r="M515" s="35" t="s">
        <v>7045</v>
      </c>
      <c r="N515" s="30">
        <v>46388.0</v>
      </c>
      <c r="O515" s="30">
        <v>46752.0</v>
      </c>
      <c r="P515" s="31">
        <v>0.0</v>
      </c>
      <c r="Q515" s="31">
        <v>1.0</v>
      </c>
      <c r="R515" s="35" t="s">
        <v>7045</v>
      </c>
      <c r="S515" s="30">
        <v>46753.0</v>
      </c>
      <c r="T515" s="30">
        <v>47118.0</v>
      </c>
      <c r="U515" s="31">
        <v>0.0</v>
      </c>
      <c r="V515" s="31">
        <v>1.0</v>
      </c>
      <c r="W515" s="35" t="s">
        <v>7045</v>
      </c>
      <c r="X515" s="30">
        <v>47119.0</v>
      </c>
      <c r="Y515" s="30">
        <v>47483.0</v>
      </c>
      <c r="Z515" s="31">
        <v>0.0</v>
      </c>
      <c r="AA515" s="31">
        <v>1.0</v>
      </c>
      <c r="AB515" s="35" t="s">
        <v>7045</v>
      </c>
      <c r="AC515" s="30">
        <v>47484.0</v>
      </c>
      <c r="AD515" s="30">
        <v>47848.0</v>
      </c>
      <c r="AE515" s="31">
        <v>0.0</v>
      </c>
      <c r="AF515" s="31">
        <v>1.0</v>
      </c>
      <c r="AG515" s="35" t="s">
        <v>7045</v>
      </c>
    </row>
    <row r="516" ht="14.25" customHeight="1">
      <c r="A516" s="28" t="s">
        <v>2945</v>
      </c>
      <c r="B516" s="29" t="s">
        <v>2946</v>
      </c>
      <c r="C516" s="29" t="s">
        <v>7044</v>
      </c>
      <c r="D516" s="30">
        <v>45658.0</v>
      </c>
      <c r="E516" s="30">
        <v>46022.0</v>
      </c>
      <c r="F516" s="31">
        <v>0.0</v>
      </c>
      <c r="G516" s="31">
        <v>1.0</v>
      </c>
      <c r="H516" s="35" t="s">
        <v>7045</v>
      </c>
      <c r="I516" s="30">
        <v>46023.0</v>
      </c>
      <c r="J516" s="30">
        <v>46387.0</v>
      </c>
      <c r="K516" s="31">
        <v>0.0</v>
      </c>
      <c r="L516" s="31">
        <v>1.0</v>
      </c>
      <c r="M516" s="35" t="s">
        <v>7045</v>
      </c>
      <c r="N516" s="30">
        <v>46388.0</v>
      </c>
      <c r="O516" s="30">
        <v>46752.0</v>
      </c>
      <c r="P516" s="31">
        <v>0.0</v>
      </c>
      <c r="Q516" s="31">
        <v>1.0</v>
      </c>
      <c r="R516" s="35" t="s">
        <v>7045</v>
      </c>
      <c r="S516" s="30">
        <v>46753.0</v>
      </c>
      <c r="T516" s="30">
        <v>47118.0</v>
      </c>
      <c r="U516" s="31">
        <v>0.0</v>
      </c>
      <c r="V516" s="31">
        <v>1.0</v>
      </c>
      <c r="W516" s="35" t="s">
        <v>7045</v>
      </c>
      <c r="X516" s="30">
        <v>47119.0</v>
      </c>
      <c r="Y516" s="30">
        <v>47483.0</v>
      </c>
      <c r="Z516" s="31">
        <v>0.0</v>
      </c>
      <c r="AA516" s="31">
        <v>1.0</v>
      </c>
      <c r="AB516" s="35" t="s">
        <v>7045</v>
      </c>
      <c r="AC516" s="30">
        <v>47484.0</v>
      </c>
      <c r="AD516" s="30">
        <v>47848.0</v>
      </c>
      <c r="AE516" s="31">
        <v>0.0</v>
      </c>
      <c r="AF516" s="31">
        <v>1.0</v>
      </c>
      <c r="AG516" s="35" t="s">
        <v>7045</v>
      </c>
    </row>
    <row r="517" ht="14.25" customHeight="1">
      <c r="A517" s="28" t="s">
        <v>1380</v>
      </c>
      <c r="B517" s="29" t="s">
        <v>1381</v>
      </c>
      <c r="C517" s="29" t="s">
        <v>7044</v>
      </c>
      <c r="D517" s="30">
        <v>45658.0</v>
      </c>
      <c r="E517" s="30">
        <v>46022.0</v>
      </c>
      <c r="F517" s="31">
        <v>0.0</v>
      </c>
      <c r="G517" s="31">
        <v>1.0</v>
      </c>
      <c r="H517" s="35" t="s">
        <v>7045</v>
      </c>
      <c r="I517" s="30">
        <v>46023.0</v>
      </c>
      <c r="J517" s="30">
        <v>46387.0</v>
      </c>
      <c r="K517" s="31">
        <v>0.0</v>
      </c>
      <c r="L517" s="31">
        <v>1.0</v>
      </c>
      <c r="M517" s="35" t="s">
        <v>7045</v>
      </c>
      <c r="N517" s="30">
        <v>46388.0</v>
      </c>
      <c r="O517" s="30">
        <v>46752.0</v>
      </c>
      <c r="P517" s="31">
        <v>0.0</v>
      </c>
      <c r="Q517" s="31">
        <v>1.0</v>
      </c>
      <c r="R517" s="35" t="s">
        <v>7045</v>
      </c>
      <c r="S517" s="30">
        <v>46753.0</v>
      </c>
      <c r="T517" s="30">
        <v>47118.0</v>
      </c>
      <c r="U517" s="31">
        <v>0.0</v>
      </c>
      <c r="V517" s="31">
        <v>1.0</v>
      </c>
      <c r="W517" s="35" t="s">
        <v>7045</v>
      </c>
      <c r="X517" s="30">
        <v>47119.0</v>
      </c>
      <c r="Y517" s="30">
        <v>47483.0</v>
      </c>
      <c r="Z517" s="31">
        <v>0.0</v>
      </c>
      <c r="AA517" s="31">
        <v>1.0</v>
      </c>
      <c r="AB517" s="35" t="s">
        <v>7045</v>
      </c>
      <c r="AC517" s="30">
        <v>47484.0</v>
      </c>
      <c r="AD517" s="30">
        <v>47848.0</v>
      </c>
      <c r="AE517" s="31">
        <v>0.0</v>
      </c>
      <c r="AF517" s="31">
        <v>1.0</v>
      </c>
      <c r="AG517" s="35" t="s">
        <v>7045</v>
      </c>
    </row>
    <row r="518" ht="14.25" customHeight="1">
      <c r="A518" s="28" t="s">
        <v>3159</v>
      </c>
      <c r="B518" s="29" t="s">
        <v>3160</v>
      </c>
      <c r="C518" s="29" t="s">
        <v>7044</v>
      </c>
      <c r="D518" s="30">
        <v>45658.0</v>
      </c>
      <c r="E518" s="30">
        <v>46022.0</v>
      </c>
      <c r="F518" s="31">
        <v>0.0</v>
      </c>
      <c r="G518" s="31">
        <v>1.0</v>
      </c>
      <c r="H518" s="35" t="s">
        <v>7045</v>
      </c>
      <c r="I518" s="30">
        <v>46023.0</v>
      </c>
      <c r="J518" s="30">
        <v>46387.0</v>
      </c>
      <c r="K518" s="31">
        <v>0.0</v>
      </c>
      <c r="L518" s="31">
        <v>1.0</v>
      </c>
      <c r="M518" s="35" t="s">
        <v>7045</v>
      </c>
      <c r="N518" s="30">
        <v>46388.0</v>
      </c>
      <c r="O518" s="30">
        <v>46752.0</v>
      </c>
      <c r="P518" s="31">
        <v>0.0</v>
      </c>
      <c r="Q518" s="31">
        <v>1.0</v>
      </c>
      <c r="R518" s="35" t="s">
        <v>7045</v>
      </c>
      <c r="S518" s="30">
        <v>46753.0</v>
      </c>
      <c r="T518" s="30">
        <v>47118.0</v>
      </c>
      <c r="U518" s="31">
        <v>0.0</v>
      </c>
      <c r="V518" s="31">
        <v>1.0</v>
      </c>
      <c r="W518" s="35" t="s">
        <v>7045</v>
      </c>
      <c r="X518" s="30">
        <v>47119.0</v>
      </c>
      <c r="Y518" s="30">
        <v>47483.0</v>
      </c>
      <c r="Z518" s="31">
        <v>0.0</v>
      </c>
      <c r="AA518" s="31">
        <v>1.0</v>
      </c>
      <c r="AB518" s="35" t="s">
        <v>7045</v>
      </c>
      <c r="AC518" s="30">
        <v>47484.0</v>
      </c>
      <c r="AD518" s="30">
        <v>47848.0</v>
      </c>
      <c r="AE518" s="31">
        <v>0.0</v>
      </c>
      <c r="AF518" s="31">
        <v>1.0</v>
      </c>
      <c r="AG518" s="35" t="s">
        <v>7045</v>
      </c>
    </row>
    <row r="519" ht="14.25" customHeight="1">
      <c r="A519" s="28" t="s">
        <v>3418</v>
      </c>
      <c r="B519" s="29" t="s">
        <v>3419</v>
      </c>
      <c r="C519" s="29" t="s">
        <v>7044</v>
      </c>
      <c r="D519" s="30">
        <v>45658.0</v>
      </c>
      <c r="E519" s="30">
        <v>46022.0</v>
      </c>
      <c r="F519" s="31">
        <v>0.0</v>
      </c>
      <c r="G519" s="31">
        <v>1.0</v>
      </c>
      <c r="H519" s="35" t="s">
        <v>7045</v>
      </c>
      <c r="I519" s="30">
        <v>46023.0</v>
      </c>
      <c r="J519" s="30">
        <v>46387.0</v>
      </c>
      <c r="K519" s="31">
        <v>0.0</v>
      </c>
      <c r="L519" s="31">
        <v>1.0</v>
      </c>
      <c r="M519" s="35" t="s">
        <v>7045</v>
      </c>
      <c r="N519" s="30">
        <v>46388.0</v>
      </c>
      <c r="O519" s="30">
        <v>46752.0</v>
      </c>
      <c r="P519" s="31">
        <v>0.0</v>
      </c>
      <c r="Q519" s="31">
        <v>1.0</v>
      </c>
      <c r="R519" s="35" t="s">
        <v>7045</v>
      </c>
      <c r="S519" s="30">
        <v>46753.0</v>
      </c>
      <c r="T519" s="30">
        <v>47118.0</v>
      </c>
      <c r="U519" s="31">
        <v>0.0</v>
      </c>
      <c r="V519" s="31">
        <v>1.0</v>
      </c>
      <c r="W519" s="35" t="s">
        <v>7045</v>
      </c>
      <c r="X519" s="30">
        <v>47119.0</v>
      </c>
      <c r="Y519" s="30">
        <v>47483.0</v>
      </c>
      <c r="Z519" s="31">
        <v>0.0</v>
      </c>
      <c r="AA519" s="31">
        <v>1.0</v>
      </c>
      <c r="AB519" s="35" t="s">
        <v>7045</v>
      </c>
      <c r="AC519" s="30">
        <v>47484.0</v>
      </c>
      <c r="AD519" s="30">
        <v>47848.0</v>
      </c>
      <c r="AE519" s="31">
        <v>0.0</v>
      </c>
      <c r="AF519" s="31">
        <v>1.0</v>
      </c>
      <c r="AG519" s="35" t="s">
        <v>7045</v>
      </c>
    </row>
    <row r="520" ht="14.25" customHeight="1">
      <c r="A520" s="28" t="s">
        <v>2068</v>
      </c>
      <c r="B520" s="29" t="s">
        <v>2069</v>
      </c>
      <c r="C520" s="29" t="s">
        <v>7041</v>
      </c>
      <c r="D520" s="30">
        <v>45658.0</v>
      </c>
      <c r="E520" s="30">
        <v>46022.0</v>
      </c>
      <c r="F520" s="31">
        <v>0.0</v>
      </c>
      <c r="G520" s="31">
        <v>1.0</v>
      </c>
      <c r="H520" s="35" t="s">
        <v>7045</v>
      </c>
      <c r="I520" s="30">
        <v>46023.0</v>
      </c>
      <c r="J520" s="30">
        <v>46387.0</v>
      </c>
      <c r="K520" s="31">
        <v>0.0</v>
      </c>
      <c r="L520" s="31">
        <v>1.0</v>
      </c>
      <c r="M520" s="35" t="s">
        <v>7045</v>
      </c>
      <c r="N520" s="30">
        <v>46388.0</v>
      </c>
      <c r="O520" s="30">
        <v>46752.0</v>
      </c>
      <c r="P520" s="31">
        <v>0.0</v>
      </c>
      <c r="Q520" s="31">
        <v>1.0</v>
      </c>
      <c r="R520" s="35" t="s">
        <v>7045</v>
      </c>
      <c r="S520" s="30">
        <v>46753.0</v>
      </c>
      <c r="T520" s="30">
        <v>47118.0</v>
      </c>
      <c r="U520" s="31">
        <v>0.0</v>
      </c>
      <c r="V520" s="31">
        <v>1.0</v>
      </c>
      <c r="W520" s="35" t="s">
        <v>7045</v>
      </c>
      <c r="X520" s="30">
        <v>47119.0</v>
      </c>
      <c r="Y520" s="30">
        <v>47483.0</v>
      </c>
      <c r="Z520" s="31">
        <v>0.0</v>
      </c>
      <c r="AA520" s="31">
        <v>1.0</v>
      </c>
      <c r="AB520" s="35" t="s">
        <v>7045</v>
      </c>
      <c r="AC520" s="30">
        <v>47484.0</v>
      </c>
      <c r="AD520" s="30">
        <v>47848.0</v>
      </c>
      <c r="AE520" s="31">
        <v>0.0</v>
      </c>
      <c r="AF520" s="31">
        <v>1.0</v>
      </c>
      <c r="AG520" s="35" t="s">
        <v>7045</v>
      </c>
    </row>
    <row r="521" ht="14.25" customHeight="1">
      <c r="A521" s="28" t="s">
        <v>6678</v>
      </c>
      <c r="B521" s="29" t="s">
        <v>6679</v>
      </c>
      <c r="C521" s="29" t="s">
        <v>7044</v>
      </c>
      <c r="D521" s="30">
        <v>45658.0</v>
      </c>
      <c r="E521" s="30">
        <v>46022.0</v>
      </c>
      <c r="F521" s="31">
        <v>0.0</v>
      </c>
      <c r="G521" s="31">
        <v>1.0</v>
      </c>
      <c r="H521" s="35" t="s">
        <v>7045</v>
      </c>
      <c r="I521" s="30">
        <v>46023.0</v>
      </c>
      <c r="J521" s="30">
        <v>46387.0</v>
      </c>
      <c r="K521" s="31">
        <v>0.0</v>
      </c>
      <c r="L521" s="31">
        <v>1.0</v>
      </c>
      <c r="M521" s="35" t="s">
        <v>7045</v>
      </c>
      <c r="N521" s="30">
        <v>46388.0</v>
      </c>
      <c r="O521" s="30">
        <v>46752.0</v>
      </c>
      <c r="P521" s="31">
        <v>0.0</v>
      </c>
      <c r="Q521" s="31">
        <v>1.0</v>
      </c>
      <c r="R521" s="35" t="s">
        <v>7045</v>
      </c>
      <c r="S521" s="30">
        <v>46753.0</v>
      </c>
      <c r="T521" s="30">
        <v>47118.0</v>
      </c>
      <c r="U521" s="31">
        <v>0.0</v>
      </c>
      <c r="V521" s="31">
        <v>1.0</v>
      </c>
      <c r="W521" s="35" t="s">
        <v>7045</v>
      </c>
      <c r="X521" s="30">
        <v>47119.0</v>
      </c>
      <c r="Y521" s="30">
        <v>47483.0</v>
      </c>
      <c r="Z521" s="31">
        <v>0.0</v>
      </c>
      <c r="AA521" s="31">
        <v>1.0</v>
      </c>
      <c r="AB521" s="35" t="s">
        <v>7045</v>
      </c>
      <c r="AC521" s="30">
        <v>47484.0</v>
      </c>
      <c r="AD521" s="30">
        <v>47848.0</v>
      </c>
      <c r="AE521" s="31">
        <v>0.0</v>
      </c>
      <c r="AF521" s="31">
        <v>1.0</v>
      </c>
      <c r="AG521" s="35" t="s">
        <v>7045</v>
      </c>
    </row>
    <row r="522" ht="14.25" customHeight="1">
      <c r="A522" s="28" t="s">
        <v>1829</v>
      </c>
      <c r="B522" s="29" t="s">
        <v>1830</v>
      </c>
      <c r="C522" s="29" t="s">
        <v>7041</v>
      </c>
      <c r="D522" s="30">
        <v>45658.0</v>
      </c>
      <c r="E522" s="30">
        <v>46022.0</v>
      </c>
      <c r="F522" s="31">
        <v>0.0</v>
      </c>
      <c r="G522" s="31">
        <v>1.0</v>
      </c>
      <c r="H522" s="35" t="s">
        <v>7045</v>
      </c>
      <c r="I522" s="30">
        <v>46023.0</v>
      </c>
      <c r="J522" s="30">
        <v>46387.0</v>
      </c>
      <c r="K522" s="31">
        <v>0.0</v>
      </c>
      <c r="L522" s="31">
        <v>1.0</v>
      </c>
      <c r="M522" s="35" t="s">
        <v>7045</v>
      </c>
      <c r="N522" s="30">
        <v>46388.0</v>
      </c>
      <c r="O522" s="30">
        <v>46752.0</v>
      </c>
      <c r="P522" s="31">
        <v>0.0</v>
      </c>
      <c r="Q522" s="31">
        <v>1.0</v>
      </c>
      <c r="R522" s="35" t="s">
        <v>7045</v>
      </c>
      <c r="S522" s="30">
        <v>46753.0</v>
      </c>
      <c r="T522" s="30">
        <v>47118.0</v>
      </c>
      <c r="U522" s="31">
        <v>0.0</v>
      </c>
      <c r="V522" s="31">
        <v>1.0</v>
      </c>
      <c r="W522" s="35" t="s">
        <v>7045</v>
      </c>
      <c r="X522" s="30">
        <v>47119.0</v>
      </c>
      <c r="Y522" s="30">
        <v>47483.0</v>
      </c>
      <c r="Z522" s="31">
        <v>0.0</v>
      </c>
      <c r="AA522" s="31">
        <v>1.0</v>
      </c>
      <c r="AB522" s="35" t="s">
        <v>7045</v>
      </c>
      <c r="AC522" s="30">
        <v>47484.0</v>
      </c>
      <c r="AD522" s="30">
        <v>47848.0</v>
      </c>
      <c r="AE522" s="31">
        <v>0.0</v>
      </c>
      <c r="AF522" s="31">
        <v>1.0</v>
      </c>
      <c r="AG522" s="35" t="s">
        <v>7045</v>
      </c>
    </row>
    <row r="523" ht="14.25" customHeight="1">
      <c r="A523" s="28" t="s">
        <v>2488</v>
      </c>
      <c r="B523" s="29" t="s">
        <v>2489</v>
      </c>
      <c r="C523" s="29" t="s">
        <v>7041</v>
      </c>
      <c r="D523" s="30">
        <v>45658.0</v>
      </c>
      <c r="E523" s="30">
        <v>46022.0</v>
      </c>
      <c r="F523" s="31">
        <v>0.0</v>
      </c>
      <c r="G523" s="31">
        <v>1.0</v>
      </c>
      <c r="H523" s="35" t="s">
        <v>7045</v>
      </c>
      <c r="I523" s="30">
        <v>46023.0</v>
      </c>
      <c r="J523" s="30">
        <v>46387.0</v>
      </c>
      <c r="K523" s="31">
        <v>0.0</v>
      </c>
      <c r="L523" s="31">
        <v>1.0</v>
      </c>
      <c r="M523" s="35" t="s">
        <v>7045</v>
      </c>
      <c r="N523" s="30">
        <v>46388.0</v>
      </c>
      <c r="O523" s="30">
        <v>46752.0</v>
      </c>
      <c r="P523" s="31">
        <v>0.0</v>
      </c>
      <c r="Q523" s="31">
        <v>1.0</v>
      </c>
      <c r="R523" s="35" t="s">
        <v>7045</v>
      </c>
      <c r="S523" s="30">
        <v>46753.0</v>
      </c>
      <c r="T523" s="30">
        <v>47118.0</v>
      </c>
      <c r="U523" s="31">
        <v>0.0</v>
      </c>
      <c r="V523" s="31">
        <v>1.0</v>
      </c>
      <c r="W523" s="35" t="s">
        <v>7045</v>
      </c>
      <c r="X523" s="30">
        <v>47119.0</v>
      </c>
      <c r="Y523" s="30">
        <v>47483.0</v>
      </c>
      <c r="Z523" s="31">
        <v>0.0</v>
      </c>
      <c r="AA523" s="31">
        <v>1.0</v>
      </c>
      <c r="AB523" s="35" t="s">
        <v>7045</v>
      </c>
      <c r="AC523" s="30">
        <v>47484.0</v>
      </c>
      <c r="AD523" s="30">
        <v>47848.0</v>
      </c>
      <c r="AE523" s="31">
        <v>0.0</v>
      </c>
      <c r="AF523" s="31">
        <v>1.0</v>
      </c>
      <c r="AG523" s="35" t="s">
        <v>7045</v>
      </c>
    </row>
    <row r="524" ht="14.25" customHeight="1">
      <c r="A524" s="20" t="s">
        <v>4686</v>
      </c>
      <c r="B524" s="20" t="s">
        <v>4687</v>
      </c>
      <c r="C524" s="20" t="s">
        <v>7041</v>
      </c>
      <c r="D524" s="24">
        <v>45658.0</v>
      </c>
      <c r="E524" s="24">
        <v>46022.0</v>
      </c>
      <c r="F524" s="20">
        <v>0.0</v>
      </c>
      <c r="G524" s="20">
        <v>1.0</v>
      </c>
      <c r="H524" s="20" t="s">
        <v>7045</v>
      </c>
      <c r="I524" s="24">
        <v>46023.0</v>
      </c>
      <c r="J524" s="24">
        <v>46387.0</v>
      </c>
      <c r="K524" s="20">
        <v>0.0</v>
      </c>
      <c r="L524" s="20">
        <v>1.0</v>
      </c>
      <c r="M524" s="20" t="s">
        <v>7045</v>
      </c>
      <c r="N524" s="24">
        <v>46388.0</v>
      </c>
      <c r="O524" s="24">
        <v>46752.0</v>
      </c>
      <c r="P524" s="20">
        <v>0.0</v>
      </c>
      <c r="Q524" s="20">
        <v>1.0</v>
      </c>
      <c r="R524" s="20" t="s">
        <v>7045</v>
      </c>
      <c r="S524" s="24">
        <v>46753.0</v>
      </c>
      <c r="T524" s="24">
        <v>47118.0</v>
      </c>
      <c r="U524" s="20">
        <v>0.0</v>
      </c>
      <c r="V524" s="20">
        <v>1.0</v>
      </c>
      <c r="W524" s="20" t="s">
        <v>7045</v>
      </c>
      <c r="X524" s="24">
        <v>47119.0</v>
      </c>
      <c r="Y524" s="24">
        <v>47483.0</v>
      </c>
      <c r="Z524" s="20">
        <v>0.0</v>
      </c>
      <c r="AA524" s="20">
        <v>1.0</v>
      </c>
      <c r="AB524" s="20" t="s">
        <v>7045</v>
      </c>
      <c r="AC524" s="24">
        <v>47484.0</v>
      </c>
      <c r="AD524" s="24">
        <v>47848.0</v>
      </c>
      <c r="AE524" s="20">
        <v>0.0</v>
      </c>
      <c r="AF524" s="20">
        <v>1.0</v>
      </c>
      <c r="AG524" s="20" t="s">
        <v>7045</v>
      </c>
    </row>
    <row r="525" ht="14.25" customHeight="1">
      <c r="A525" s="20" t="s">
        <v>6336</v>
      </c>
      <c r="B525" s="20" t="s">
        <v>6337</v>
      </c>
      <c r="C525" s="20" t="s">
        <v>7041</v>
      </c>
      <c r="D525" s="24">
        <v>45658.0</v>
      </c>
      <c r="E525" s="24">
        <v>46022.0</v>
      </c>
      <c r="F525" s="20">
        <v>0.0</v>
      </c>
      <c r="G525" s="20">
        <v>1.0</v>
      </c>
      <c r="H525" s="20" t="s">
        <v>7045</v>
      </c>
      <c r="I525" s="24">
        <v>46023.0</v>
      </c>
      <c r="J525" s="24">
        <v>46387.0</v>
      </c>
      <c r="K525" s="20">
        <v>0.0</v>
      </c>
      <c r="L525" s="20">
        <v>1.0</v>
      </c>
      <c r="M525" s="20" t="s">
        <v>7045</v>
      </c>
      <c r="N525" s="24">
        <v>46388.0</v>
      </c>
      <c r="O525" s="24">
        <v>46752.0</v>
      </c>
      <c r="P525" s="20">
        <v>0.0</v>
      </c>
      <c r="Q525" s="20">
        <v>1.0</v>
      </c>
      <c r="R525" s="20" t="s">
        <v>7045</v>
      </c>
      <c r="S525" s="24">
        <v>46753.0</v>
      </c>
      <c r="T525" s="24">
        <v>47118.0</v>
      </c>
      <c r="U525" s="20">
        <v>0.0</v>
      </c>
      <c r="V525" s="20">
        <v>1.0</v>
      </c>
      <c r="W525" s="20" t="s">
        <v>7045</v>
      </c>
      <c r="X525" s="24">
        <v>47119.0</v>
      </c>
      <c r="Y525" s="24">
        <v>47483.0</v>
      </c>
      <c r="Z525" s="20">
        <v>0.0</v>
      </c>
      <c r="AA525" s="20">
        <v>1.0</v>
      </c>
      <c r="AB525" s="20" t="s">
        <v>7045</v>
      </c>
      <c r="AC525" s="24">
        <v>47484.0</v>
      </c>
      <c r="AD525" s="24">
        <v>47848.0</v>
      </c>
      <c r="AE525" s="20">
        <v>0.0</v>
      </c>
      <c r="AF525" s="20">
        <v>1.0</v>
      </c>
      <c r="AG525" s="20" t="s">
        <v>7045</v>
      </c>
    </row>
    <row r="526" ht="14.25" customHeight="1">
      <c r="A526" s="20" t="s">
        <v>4272</v>
      </c>
      <c r="B526" s="20" t="s">
        <v>4273</v>
      </c>
      <c r="C526" s="20" t="s">
        <v>7044</v>
      </c>
      <c r="D526" s="24">
        <v>45658.0</v>
      </c>
      <c r="E526" s="24">
        <v>46022.0</v>
      </c>
      <c r="F526" s="20">
        <v>0.0</v>
      </c>
      <c r="G526" s="20">
        <v>1.0</v>
      </c>
      <c r="H526" s="20" t="s">
        <v>7045</v>
      </c>
      <c r="I526" s="24">
        <v>46023.0</v>
      </c>
      <c r="J526" s="24">
        <v>46387.0</v>
      </c>
      <c r="K526" s="20">
        <v>0.0</v>
      </c>
      <c r="L526" s="20">
        <v>1.0</v>
      </c>
      <c r="M526" s="20" t="s">
        <v>7045</v>
      </c>
      <c r="N526" s="24">
        <v>46388.0</v>
      </c>
      <c r="O526" s="24">
        <v>46752.0</v>
      </c>
      <c r="P526" s="20">
        <v>0.0</v>
      </c>
      <c r="Q526" s="20">
        <v>1.0</v>
      </c>
      <c r="R526" s="20" t="s">
        <v>7045</v>
      </c>
      <c r="S526" s="24">
        <v>46753.0</v>
      </c>
      <c r="T526" s="24">
        <v>47118.0</v>
      </c>
      <c r="U526" s="20">
        <v>0.0</v>
      </c>
      <c r="V526" s="20">
        <v>1.0</v>
      </c>
      <c r="W526" s="20" t="s">
        <v>7045</v>
      </c>
      <c r="X526" s="24">
        <v>47119.0</v>
      </c>
      <c r="Y526" s="24">
        <v>47483.0</v>
      </c>
      <c r="Z526" s="20">
        <v>0.0</v>
      </c>
      <c r="AA526" s="20">
        <v>1.0</v>
      </c>
      <c r="AB526" s="20" t="s">
        <v>7045</v>
      </c>
      <c r="AC526" s="24">
        <v>47484.0</v>
      </c>
      <c r="AD526" s="24">
        <v>47848.0</v>
      </c>
      <c r="AE526" s="20">
        <v>0.0</v>
      </c>
      <c r="AF526" s="20">
        <v>1.0</v>
      </c>
      <c r="AG526" s="20" t="s">
        <v>7045</v>
      </c>
    </row>
    <row r="527" ht="14.25" customHeight="1">
      <c r="A527" s="20" t="s">
        <v>4107</v>
      </c>
      <c r="B527" s="20" t="s">
        <v>4108</v>
      </c>
      <c r="C527" s="20" t="s">
        <v>7044</v>
      </c>
      <c r="D527" s="24">
        <v>45658.0</v>
      </c>
      <c r="E527" s="24">
        <v>46022.0</v>
      </c>
      <c r="F527" s="20">
        <v>0.0</v>
      </c>
      <c r="G527" s="20">
        <v>1.0</v>
      </c>
      <c r="H527" s="20" t="s">
        <v>7045</v>
      </c>
      <c r="I527" s="24">
        <v>46023.0</v>
      </c>
      <c r="J527" s="24">
        <v>46387.0</v>
      </c>
      <c r="K527" s="20">
        <v>0.0</v>
      </c>
      <c r="L527" s="20">
        <v>1.0</v>
      </c>
      <c r="M527" s="20" t="s">
        <v>7045</v>
      </c>
      <c r="N527" s="24">
        <v>46388.0</v>
      </c>
      <c r="O527" s="24">
        <v>46752.0</v>
      </c>
      <c r="P527" s="20">
        <v>0.0</v>
      </c>
      <c r="Q527" s="20">
        <v>1.0</v>
      </c>
      <c r="R527" s="20" t="s">
        <v>7045</v>
      </c>
      <c r="S527" s="24">
        <v>46753.0</v>
      </c>
      <c r="T527" s="24">
        <v>47118.0</v>
      </c>
      <c r="U527" s="20">
        <v>0.0</v>
      </c>
      <c r="V527" s="20">
        <v>1.0</v>
      </c>
      <c r="W527" s="20" t="s">
        <v>7045</v>
      </c>
      <c r="X527" s="24">
        <v>47119.0</v>
      </c>
      <c r="Y527" s="24">
        <v>47483.0</v>
      </c>
      <c r="Z527" s="20">
        <v>0.0</v>
      </c>
      <c r="AA527" s="20">
        <v>1.0</v>
      </c>
      <c r="AB527" s="20" t="s">
        <v>7045</v>
      </c>
      <c r="AC527" s="24">
        <v>47484.0</v>
      </c>
      <c r="AD527" s="24">
        <v>47848.0</v>
      </c>
      <c r="AE527" s="20">
        <v>0.0</v>
      </c>
      <c r="AF527" s="20">
        <v>1.0</v>
      </c>
      <c r="AG527" s="20" t="s">
        <v>7045</v>
      </c>
    </row>
    <row r="528" ht="14.25" customHeight="1">
      <c r="A528" s="20" t="s">
        <v>6367</v>
      </c>
      <c r="B528" s="20" t="s">
        <v>6368</v>
      </c>
      <c r="C528" s="20" t="s">
        <v>7041</v>
      </c>
      <c r="D528" s="24">
        <v>45658.0</v>
      </c>
      <c r="E528" s="24">
        <v>46022.0</v>
      </c>
      <c r="F528" s="20">
        <v>0.0</v>
      </c>
      <c r="G528" s="20">
        <v>1.0</v>
      </c>
      <c r="H528" s="20" t="s">
        <v>7045</v>
      </c>
      <c r="I528" s="24">
        <v>46023.0</v>
      </c>
      <c r="J528" s="24">
        <v>46387.0</v>
      </c>
      <c r="K528" s="20">
        <v>0.0</v>
      </c>
      <c r="L528" s="20">
        <v>1.0</v>
      </c>
      <c r="M528" s="20" t="s">
        <v>7045</v>
      </c>
      <c r="N528" s="24">
        <v>46388.0</v>
      </c>
      <c r="O528" s="24">
        <v>46752.0</v>
      </c>
      <c r="P528" s="20">
        <v>0.0</v>
      </c>
      <c r="Q528" s="20">
        <v>1.0</v>
      </c>
      <c r="R528" s="20" t="s">
        <v>7045</v>
      </c>
      <c r="S528" s="24">
        <v>46753.0</v>
      </c>
      <c r="T528" s="24">
        <v>47118.0</v>
      </c>
      <c r="U528" s="20">
        <v>0.0</v>
      </c>
      <c r="V528" s="20">
        <v>1.0</v>
      </c>
      <c r="W528" s="20" t="s">
        <v>7045</v>
      </c>
      <c r="X528" s="24">
        <v>47119.0</v>
      </c>
      <c r="Y528" s="24">
        <v>47483.0</v>
      </c>
      <c r="Z528" s="20">
        <v>0.0</v>
      </c>
      <c r="AA528" s="20">
        <v>1.0</v>
      </c>
      <c r="AB528" s="20" t="s">
        <v>7045</v>
      </c>
      <c r="AC528" s="24">
        <v>47484.0</v>
      </c>
      <c r="AD528" s="24">
        <v>47848.0</v>
      </c>
      <c r="AE528" s="20">
        <v>0.0</v>
      </c>
      <c r="AF528" s="20">
        <v>1.0</v>
      </c>
      <c r="AG528" s="20" t="s">
        <v>7045</v>
      </c>
    </row>
    <row r="529" ht="14.25" customHeight="1">
      <c r="A529" s="20" t="s">
        <v>4457</v>
      </c>
      <c r="B529" s="20" t="s">
        <v>4458</v>
      </c>
      <c r="C529" s="20" t="s">
        <v>7041</v>
      </c>
      <c r="D529" s="24">
        <v>45658.0</v>
      </c>
      <c r="E529" s="24">
        <v>46022.0</v>
      </c>
      <c r="F529" s="20">
        <v>0.0</v>
      </c>
      <c r="G529" s="20">
        <v>1.0</v>
      </c>
      <c r="H529" s="20" t="s">
        <v>7045</v>
      </c>
      <c r="I529" s="24">
        <v>46023.0</v>
      </c>
      <c r="J529" s="24">
        <v>46387.0</v>
      </c>
      <c r="K529" s="20">
        <v>0.0</v>
      </c>
      <c r="L529" s="20">
        <v>1.0</v>
      </c>
      <c r="M529" s="20" t="s">
        <v>7045</v>
      </c>
      <c r="N529" s="24">
        <v>46388.0</v>
      </c>
      <c r="O529" s="24">
        <v>46752.0</v>
      </c>
      <c r="P529" s="20">
        <v>0.0</v>
      </c>
      <c r="Q529" s="20">
        <v>1.0</v>
      </c>
      <c r="R529" s="20" t="s">
        <v>7045</v>
      </c>
      <c r="S529" s="24">
        <v>46753.0</v>
      </c>
      <c r="T529" s="24">
        <v>47118.0</v>
      </c>
      <c r="U529" s="20">
        <v>0.0</v>
      </c>
      <c r="V529" s="20">
        <v>1.0</v>
      </c>
      <c r="W529" s="20" t="s">
        <v>7045</v>
      </c>
      <c r="X529" s="24">
        <v>47119.0</v>
      </c>
      <c r="Y529" s="24">
        <v>47483.0</v>
      </c>
      <c r="Z529" s="20">
        <v>0.0</v>
      </c>
      <c r="AA529" s="20">
        <v>1.0</v>
      </c>
      <c r="AB529" s="20" t="s">
        <v>7045</v>
      </c>
      <c r="AC529" s="24">
        <v>47484.0</v>
      </c>
      <c r="AD529" s="24">
        <v>47848.0</v>
      </c>
      <c r="AE529" s="20">
        <v>0.0</v>
      </c>
      <c r="AF529" s="20">
        <v>1.0</v>
      </c>
      <c r="AG529" s="20" t="s">
        <v>7045</v>
      </c>
    </row>
    <row r="530" ht="14.25" customHeight="1">
      <c r="A530" s="20" t="s">
        <v>1433</v>
      </c>
      <c r="B530" s="20" t="s">
        <v>1434</v>
      </c>
      <c r="C530" s="20" t="s">
        <v>7041</v>
      </c>
      <c r="D530" s="24">
        <v>45658.0</v>
      </c>
      <c r="E530" s="24">
        <v>46022.0</v>
      </c>
      <c r="F530" s="20">
        <v>0.0</v>
      </c>
      <c r="G530" s="20">
        <v>1.0</v>
      </c>
      <c r="H530" s="20" t="s">
        <v>7045</v>
      </c>
      <c r="I530" s="24">
        <v>46023.0</v>
      </c>
      <c r="J530" s="24">
        <v>46387.0</v>
      </c>
      <c r="K530" s="20">
        <v>0.0</v>
      </c>
      <c r="L530" s="20">
        <v>1.0</v>
      </c>
      <c r="M530" s="20" t="s">
        <v>7045</v>
      </c>
      <c r="N530" s="24">
        <v>46388.0</v>
      </c>
      <c r="O530" s="24">
        <v>46752.0</v>
      </c>
      <c r="P530" s="20">
        <v>0.0</v>
      </c>
      <c r="Q530" s="20">
        <v>1.0</v>
      </c>
      <c r="R530" s="20" t="s">
        <v>7045</v>
      </c>
      <c r="S530" s="24">
        <v>46753.0</v>
      </c>
      <c r="T530" s="24">
        <v>47118.0</v>
      </c>
      <c r="U530" s="20">
        <v>0.0</v>
      </c>
      <c r="V530" s="20">
        <v>1.0</v>
      </c>
      <c r="W530" s="20" t="s">
        <v>7045</v>
      </c>
      <c r="X530" s="24">
        <v>47119.0</v>
      </c>
      <c r="Y530" s="24">
        <v>47483.0</v>
      </c>
      <c r="Z530" s="20">
        <v>0.0</v>
      </c>
      <c r="AA530" s="20">
        <v>1.0</v>
      </c>
      <c r="AB530" s="20" t="s">
        <v>7045</v>
      </c>
      <c r="AC530" s="24">
        <v>47484.0</v>
      </c>
      <c r="AD530" s="24">
        <v>47848.0</v>
      </c>
      <c r="AE530" s="20">
        <v>0.0</v>
      </c>
      <c r="AF530" s="20">
        <v>1.0</v>
      </c>
      <c r="AG530" s="20" t="s">
        <v>7045</v>
      </c>
    </row>
    <row r="531" ht="14.25" customHeight="1">
      <c r="A531" s="20" t="s">
        <v>3897</v>
      </c>
      <c r="B531" s="20" t="s">
        <v>3898</v>
      </c>
      <c r="C531" s="20" t="s">
        <v>7044</v>
      </c>
      <c r="D531" s="24">
        <v>45658.0</v>
      </c>
      <c r="E531" s="24">
        <v>46022.0</v>
      </c>
      <c r="F531" s="20">
        <v>0.0</v>
      </c>
      <c r="G531" s="20">
        <v>1.0</v>
      </c>
      <c r="H531" s="20" t="s">
        <v>7045</v>
      </c>
      <c r="I531" s="24">
        <v>46023.0</v>
      </c>
      <c r="J531" s="24">
        <v>46387.0</v>
      </c>
      <c r="K531" s="20">
        <v>0.0</v>
      </c>
      <c r="L531" s="20">
        <v>1.0</v>
      </c>
      <c r="M531" s="20" t="s">
        <v>7045</v>
      </c>
      <c r="N531" s="24">
        <v>46388.0</v>
      </c>
      <c r="O531" s="24">
        <v>46752.0</v>
      </c>
      <c r="P531" s="20">
        <v>0.0</v>
      </c>
      <c r="Q531" s="20">
        <v>1.0</v>
      </c>
      <c r="R531" s="20" t="s">
        <v>7045</v>
      </c>
      <c r="S531" s="24">
        <v>46753.0</v>
      </c>
      <c r="T531" s="24">
        <v>47118.0</v>
      </c>
      <c r="U531" s="20">
        <v>0.0</v>
      </c>
      <c r="V531" s="20">
        <v>1.0</v>
      </c>
      <c r="W531" s="20" t="s">
        <v>7045</v>
      </c>
      <c r="X531" s="24">
        <v>47119.0</v>
      </c>
      <c r="Y531" s="24">
        <v>47483.0</v>
      </c>
      <c r="Z531" s="20">
        <v>0.0</v>
      </c>
      <c r="AA531" s="20">
        <v>1.0</v>
      </c>
      <c r="AB531" s="20" t="s">
        <v>7045</v>
      </c>
      <c r="AC531" s="24">
        <v>47484.0</v>
      </c>
      <c r="AD531" s="24">
        <v>47848.0</v>
      </c>
      <c r="AE531" s="20">
        <v>0.0</v>
      </c>
      <c r="AF531" s="20">
        <v>1.0</v>
      </c>
      <c r="AG531" s="20" t="s">
        <v>7045</v>
      </c>
    </row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80"/>
    <hyperlink r:id="rId2" ref="B172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0.0"/>
    <col customWidth="1" min="5" max="5" width="20.14"/>
    <col customWidth="1" min="6" max="7" width="18.14"/>
    <col customWidth="1" min="8" max="8" width="25.43"/>
    <col customWidth="1" min="9" max="9" width="22.43"/>
    <col customWidth="1" min="10" max="10" width="20.14"/>
    <col customWidth="1" min="11" max="12" width="18.14"/>
    <col customWidth="1" min="13" max="13" width="25.43"/>
    <col customWidth="1" min="14" max="14" width="22.43"/>
    <col customWidth="1" min="15" max="15" width="20.14"/>
    <col customWidth="1" min="16" max="17" width="18.14"/>
    <col customWidth="1" min="18" max="18" width="25.43"/>
    <col customWidth="1" min="19" max="19" width="22.43"/>
    <col customWidth="1" min="20" max="20" width="20.14"/>
    <col customWidth="1" min="21" max="22" width="18.14"/>
    <col customWidth="1" min="23" max="23" width="25.43"/>
    <col customWidth="1" min="24" max="24" width="22.43"/>
    <col customWidth="1" min="25" max="25" width="20.14"/>
    <col customWidth="1" min="26" max="27" width="18.14"/>
    <col customWidth="1" min="28" max="28" width="25.43"/>
    <col customWidth="1" min="29" max="29" width="22.43"/>
    <col customWidth="1" min="30" max="30" width="20.14"/>
    <col customWidth="1" min="31" max="32" width="18.14"/>
    <col customWidth="1" min="33" max="33" width="25.43"/>
    <col customWidth="1" min="34" max="34" width="22.43"/>
    <col customWidth="1" min="35" max="35" width="20.14"/>
    <col customWidth="1" min="36" max="37" width="18.14"/>
    <col customWidth="1" min="38" max="38" width="25.43"/>
    <col customWidth="1" min="39" max="39" width="22.43"/>
    <col customWidth="1" min="40" max="40" width="20.14"/>
    <col customWidth="1" min="41" max="42" width="18.14"/>
    <col customWidth="1" min="43" max="43" width="25.43"/>
    <col customWidth="1" min="44" max="44" width="22.43"/>
    <col customWidth="1" min="45" max="45" width="20.14"/>
    <col customWidth="1" min="46" max="47" width="18.14"/>
    <col customWidth="1" min="48" max="48" width="25.43"/>
  </cols>
  <sheetData>
    <row r="1" ht="14.25" customHeight="1">
      <c r="A1" s="27" t="s">
        <v>7033</v>
      </c>
      <c r="B1" s="27" t="s">
        <v>7034</v>
      </c>
      <c r="C1" s="27" t="s">
        <v>7035</v>
      </c>
      <c r="D1" s="27" t="s">
        <v>7036</v>
      </c>
      <c r="E1" s="27" t="s">
        <v>7037</v>
      </c>
      <c r="F1" s="27" t="s">
        <v>7038</v>
      </c>
      <c r="G1" s="27" t="s">
        <v>7039</v>
      </c>
      <c r="H1" s="27" t="s">
        <v>7040</v>
      </c>
      <c r="I1" s="27" t="s">
        <v>7036</v>
      </c>
      <c r="J1" s="27" t="s">
        <v>7037</v>
      </c>
      <c r="K1" s="27" t="s">
        <v>7038</v>
      </c>
      <c r="L1" s="27" t="s">
        <v>7039</v>
      </c>
      <c r="M1" s="27" t="s">
        <v>7040</v>
      </c>
      <c r="N1" s="27" t="s">
        <v>7036</v>
      </c>
      <c r="O1" s="27" t="s">
        <v>7037</v>
      </c>
      <c r="P1" s="27" t="s">
        <v>7038</v>
      </c>
      <c r="Q1" s="27" t="s">
        <v>7039</v>
      </c>
      <c r="R1" s="27" t="s">
        <v>7040</v>
      </c>
      <c r="S1" s="27" t="s">
        <v>7036</v>
      </c>
      <c r="T1" s="27" t="s">
        <v>7037</v>
      </c>
      <c r="U1" s="27" t="s">
        <v>7038</v>
      </c>
      <c r="V1" s="27" t="s">
        <v>7039</v>
      </c>
      <c r="W1" s="27" t="s">
        <v>7040</v>
      </c>
      <c r="X1" s="27" t="s">
        <v>7036</v>
      </c>
      <c r="Y1" s="27" t="s">
        <v>7037</v>
      </c>
      <c r="Z1" s="27" t="s">
        <v>7038</v>
      </c>
      <c r="AA1" s="27" t="s">
        <v>7039</v>
      </c>
      <c r="AB1" s="27" t="s">
        <v>7040</v>
      </c>
      <c r="AC1" s="27" t="s">
        <v>7036</v>
      </c>
      <c r="AD1" s="27" t="s">
        <v>7037</v>
      </c>
      <c r="AE1" s="27" t="s">
        <v>7038</v>
      </c>
      <c r="AF1" s="27" t="s">
        <v>7039</v>
      </c>
      <c r="AG1" s="27" t="s">
        <v>7040</v>
      </c>
      <c r="AH1" s="27" t="s">
        <v>7036</v>
      </c>
      <c r="AI1" s="27" t="s">
        <v>7037</v>
      </c>
      <c r="AJ1" s="27" t="s">
        <v>7038</v>
      </c>
      <c r="AK1" s="27" t="s">
        <v>7039</v>
      </c>
      <c r="AL1" s="27" t="s">
        <v>7040</v>
      </c>
      <c r="AM1" s="27" t="s">
        <v>7036</v>
      </c>
      <c r="AN1" s="27" t="s">
        <v>7037</v>
      </c>
      <c r="AO1" s="27" t="s">
        <v>7038</v>
      </c>
      <c r="AP1" s="27" t="s">
        <v>7039</v>
      </c>
      <c r="AQ1" s="27" t="s">
        <v>7040</v>
      </c>
      <c r="AR1" s="27" t="s">
        <v>7036</v>
      </c>
      <c r="AS1" s="27" t="s">
        <v>7037</v>
      </c>
      <c r="AT1" s="27" t="s">
        <v>7038</v>
      </c>
      <c r="AU1" s="27" t="s">
        <v>7039</v>
      </c>
      <c r="AV1" s="27" t="s">
        <v>7040</v>
      </c>
    </row>
    <row r="2" ht="14.25" customHeight="1">
      <c r="A2" s="28" t="s">
        <v>6774</v>
      </c>
      <c r="B2" s="29" t="s">
        <v>6775</v>
      </c>
      <c r="C2" s="29" t="s">
        <v>7041</v>
      </c>
      <c r="D2" s="30">
        <v>45658.0</v>
      </c>
      <c r="E2" s="30">
        <v>46022.0</v>
      </c>
      <c r="F2" s="36">
        <v>120.96</v>
      </c>
      <c r="G2" s="36">
        <v>599.99</v>
      </c>
      <c r="H2" s="32" t="s">
        <v>7043</v>
      </c>
      <c r="I2" s="30">
        <v>46023.0</v>
      </c>
      <c r="J2" s="30">
        <v>46387.0</v>
      </c>
      <c r="K2" s="36">
        <v>0.0</v>
      </c>
      <c r="L2" s="36">
        <v>0.0</v>
      </c>
      <c r="M2" s="35" t="s">
        <v>7045</v>
      </c>
      <c r="N2" s="30">
        <v>46388.0</v>
      </c>
      <c r="O2" s="30">
        <v>46752.0</v>
      </c>
      <c r="P2" s="36">
        <v>0.0</v>
      </c>
      <c r="Q2" s="36">
        <v>0.0</v>
      </c>
      <c r="R2" s="35" t="s">
        <v>7045</v>
      </c>
      <c r="S2" s="30">
        <v>46753.0</v>
      </c>
      <c r="T2" s="30">
        <v>47118.0</v>
      </c>
      <c r="U2" s="36">
        <v>0.0</v>
      </c>
      <c r="V2" s="36">
        <v>0.0</v>
      </c>
      <c r="W2" s="35" t="s">
        <v>7045</v>
      </c>
      <c r="X2" s="30">
        <v>47119.0</v>
      </c>
      <c r="Y2" s="30">
        <v>47483.0</v>
      </c>
      <c r="Z2" s="36">
        <v>0.0</v>
      </c>
      <c r="AA2" s="36">
        <v>0.0</v>
      </c>
      <c r="AB2" s="35" t="s">
        <v>7045</v>
      </c>
      <c r="AC2" s="30">
        <v>47484.0</v>
      </c>
      <c r="AD2" s="30">
        <v>47848.0</v>
      </c>
      <c r="AE2" s="36">
        <v>0.0</v>
      </c>
      <c r="AF2" s="36">
        <v>0.0</v>
      </c>
      <c r="AG2" s="35" t="s">
        <v>7045</v>
      </c>
      <c r="AH2" s="30">
        <v>45292.0</v>
      </c>
      <c r="AI2" s="30">
        <v>45657.0</v>
      </c>
      <c r="AJ2" s="36">
        <v>431.98</v>
      </c>
      <c r="AK2" s="36">
        <v>799.99</v>
      </c>
      <c r="AL2" s="37" t="s">
        <v>7046</v>
      </c>
      <c r="AM2" s="30">
        <v>44562.0</v>
      </c>
      <c r="AN2" s="30">
        <v>44926.0</v>
      </c>
      <c r="AO2" s="36">
        <v>269.6</v>
      </c>
      <c r="AP2" s="36">
        <v>2499.98</v>
      </c>
      <c r="AQ2" s="32" t="s">
        <v>7043</v>
      </c>
      <c r="AR2" s="30">
        <v>44927.0</v>
      </c>
      <c r="AS2" s="30">
        <v>45291.0</v>
      </c>
      <c r="AT2" s="36">
        <v>29.85</v>
      </c>
      <c r="AU2" s="36">
        <v>799.99</v>
      </c>
      <c r="AV2" s="32" t="s">
        <v>7043</v>
      </c>
    </row>
    <row r="3" ht="14.25" customHeight="1">
      <c r="A3" s="28" t="s">
        <v>2647</v>
      </c>
      <c r="B3" s="29" t="s">
        <v>2648</v>
      </c>
      <c r="C3" s="29" t="s">
        <v>7041</v>
      </c>
      <c r="D3" s="30">
        <v>45658.0</v>
      </c>
      <c r="E3" s="30">
        <v>46022.0</v>
      </c>
      <c r="F3" s="36">
        <v>210.14</v>
      </c>
      <c r="G3" s="36">
        <v>1159.99</v>
      </c>
      <c r="H3" s="32" t="s">
        <v>7043</v>
      </c>
      <c r="I3" s="30">
        <v>46023.0</v>
      </c>
      <c r="J3" s="30">
        <v>46387.0</v>
      </c>
      <c r="K3" s="36">
        <v>0.0</v>
      </c>
      <c r="L3" s="36">
        <v>0.0</v>
      </c>
      <c r="M3" s="35" t="s">
        <v>7045</v>
      </c>
      <c r="N3" s="30">
        <v>46388.0</v>
      </c>
      <c r="O3" s="30">
        <v>46752.0</v>
      </c>
      <c r="P3" s="36">
        <v>0.0</v>
      </c>
      <c r="Q3" s="36">
        <v>0.0</v>
      </c>
      <c r="R3" s="35" t="s">
        <v>7045</v>
      </c>
      <c r="S3" s="30">
        <v>46753.0</v>
      </c>
      <c r="T3" s="30">
        <v>47118.0</v>
      </c>
      <c r="U3" s="36">
        <v>0.0</v>
      </c>
      <c r="V3" s="36">
        <v>0.0</v>
      </c>
      <c r="W3" s="35" t="s">
        <v>7045</v>
      </c>
      <c r="X3" s="30">
        <v>47119.0</v>
      </c>
      <c r="Y3" s="30">
        <v>47483.0</v>
      </c>
      <c r="Z3" s="36">
        <v>0.0</v>
      </c>
      <c r="AA3" s="36">
        <v>0.0</v>
      </c>
      <c r="AB3" s="35" t="s">
        <v>7045</v>
      </c>
      <c r="AC3" s="30">
        <v>47484.0</v>
      </c>
      <c r="AD3" s="30">
        <v>47848.0</v>
      </c>
      <c r="AE3" s="36">
        <v>0.0</v>
      </c>
      <c r="AF3" s="36">
        <v>0.0</v>
      </c>
      <c r="AG3" s="35" t="s">
        <v>7045</v>
      </c>
      <c r="AH3" s="30">
        <v>45292.0</v>
      </c>
      <c r="AI3" s="30">
        <v>45657.0</v>
      </c>
      <c r="AJ3" s="36">
        <v>831.06</v>
      </c>
      <c r="AK3" s="36">
        <v>1199.99</v>
      </c>
      <c r="AL3" s="37" t="s">
        <v>7046</v>
      </c>
      <c r="AM3" s="30">
        <v>44562.0</v>
      </c>
      <c r="AN3" s="30">
        <v>44926.0</v>
      </c>
      <c r="AO3" s="36">
        <v>214.2</v>
      </c>
      <c r="AP3" s="36">
        <v>949.99</v>
      </c>
      <c r="AQ3" s="32" t="s">
        <v>7043</v>
      </c>
      <c r="AR3" s="30">
        <v>44927.0</v>
      </c>
      <c r="AS3" s="30">
        <v>45291.0</v>
      </c>
      <c r="AT3" s="36">
        <v>1074.99</v>
      </c>
      <c r="AU3" s="36">
        <v>999.99</v>
      </c>
      <c r="AV3" s="38" t="s">
        <v>7047</v>
      </c>
    </row>
    <row r="4" ht="14.25" customHeight="1">
      <c r="A4" s="28" t="s">
        <v>6030</v>
      </c>
      <c r="B4" s="29" t="s">
        <v>6031</v>
      </c>
      <c r="C4" s="29" t="s">
        <v>7041</v>
      </c>
      <c r="D4" s="30">
        <v>45658.0</v>
      </c>
      <c r="E4" s="30">
        <v>46022.0</v>
      </c>
      <c r="F4" s="39">
        <v>1185.13</v>
      </c>
      <c r="G4" s="39">
        <v>5170.0</v>
      </c>
      <c r="H4" s="32" t="s">
        <v>7043</v>
      </c>
      <c r="I4" s="30">
        <v>46023.0</v>
      </c>
      <c r="J4" s="30">
        <v>46387.0</v>
      </c>
      <c r="K4" s="39">
        <v>0.0</v>
      </c>
      <c r="L4" s="39">
        <v>0.0</v>
      </c>
      <c r="M4" s="35" t="s">
        <v>7045</v>
      </c>
      <c r="N4" s="30">
        <v>46388.0</v>
      </c>
      <c r="O4" s="30">
        <v>46752.0</v>
      </c>
      <c r="P4" s="39">
        <v>0.0</v>
      </c>
      <c r="Q4" s="39">
        <v>0.0</v>
      </c>
      <c r="R4" s="35" t="s">
        <v>7045</v>
      </c>
      <c r="S4" s="30">
        <v>46753.0</v>
      </c>
      <c r="T4" s="30">
        <v>47118.0</v>
      </c>
      <c r="U4" s="39">
        <v>0.0</v>
      </c>
      <c r="V4" s="39">
        <v>0.0</v>
      </c>
      <c r="W4" s="35" t="s">
        <v>7045</v>
      </c>
      <c r="X4" s="30">
        <v>47119.0</v>
      </c>
      <c r="Y4" s="30">
        <v>47483.0</v>
      </c>
      <c r="Z4" s="39">
        <v>0.0</v>
      </c>
      <c r="AA4" s="39">
        <v>0.0</v>
      </c>
      <c r="AB4" s="35" t="s">
        <v>7045</v>
      </c>
      <c r="AC4" s="30">
        <v>47484.0</v>
      </c>
      <c r="AD4" s="30">
        <v>47848.0</v>
      </c>
      <c r="AE4" s="39">
        <v>0.0</v>
      </c>
      <c r="AF4" s="39">
        <v>0.0</v>
      </c>
      <c r="AG4" s="35" t="s">
        <v>7045</v>
      </c>
      <c r="AH4" s="30">
        <v>45292.0</v>
      </c>
      <c r="AI4" s="30">
        <v>45657.0</v>
      </c>
      <c r="AJ4" s="39">
        <v>7079.38</v>
      </c>
      <c r="AK4" s="39">
        <v>4700.0</v>
      </c>
      <c r="AL4" s="38" t="s">
        <v>7047</v>
      </c>
      <c r="AM4" s="30">
        <v>44562.0</v>
      </c>
      <c r="AN4" s="30">
        <v>44926.0</v>
      </c>
      <c r="AO4" s="39">
        <v>4370.0</v>
      </c>
      <c r="AP4" s="39">
        <v>613.0</v>
      </c>
      <c r="AQ4" s="38" t="s">
        <v>7047</v>
      </c>
      <c r="AR4" s="30">
        <v>44927.0</v>
      </c>
      <c r="AS4" s="30">
        <v>45291.0</v>
      </c>
      <c r="AT4" s="39">
        <v>3939.85</v>
      </c>
      <c r="AU4" s="39">
        <v>5390.0</v>
      </c>
      <c r="AV4" s="37" t="s">
        <v>7046</v>
      </c>
    </row>
    <row r="5" ht="14.25" customHeight="1">
      <c r="A5" s="28" t="s">
        <v>3123</v>
      </c>
      <c r="B5" s="29" t="s">
        <v>3124</v>
      </c>
      <c r="C5" s="29" t="s">
        <v>7041</v>
      </c>
      <c r="D5" s="30">
        <v>45658.0</v>
      </c>
      <c r="E5" s="30">
        <v>46022.0</v>
      </c>
      <c r="F5" s="36">
        <v>1210.72</v>
      </c>
      <c r="G5" s="36">
        <v>2999.97</v>
      </c>
      <c r="H5" s="32" t="s">
        <v>7046</v>
      </c>
      <c r="I5" s="30">
        <v>46023.0</v>
      </c>
      <c r="J5" s="30">
        <v>46387.0</v>
      </c>
      <c r="K5" s="36">
        <v>0.0</v>
      </c>
      <c r="L5" s="36">
        <v>0.0</v>
      </c>
      <c r="M5" s="35" t="s">
        <v>7045</v>
      </c>
      <c r="N5" s="30">
        <v>46388.0</v>
      </c>
      <c r="O5" s="30">
        <v>46752.0</v>
      </c>
      <c r="P5" s="36">
        <v>0.0</v>
      </c>
      <c r="Q5" s="36">
        <v>0.0</v>
      </c>
      <c r="R5" s="35" t="s">
        <v>7045</v>
      </c>
      <c r="S5" s="30">
        <v>46753.0</v>
      </c>
      <c r="T5" s="30">
        <v>47118.0</v>
      </c>
      <c r="U5" s="36">
        <v>0.0</v>
      </c>
      <c r="V5" s="36">
        <v>0.0</v>
      </c>
      <c r="W5" s="35" t="s">
        <v>7045</v>
      </c>
      <c r="X5" s="30">
        <v>47119.0</v>
      </c>
      <c r="Y5" s="30">
        <v>47483.0</v>
      </c>
      <c r="Z5" s="36">
        <v>0.0</v>
      </c>
      <c r="AA5" s="36">
        <v>0.0</v>
      </c>
      <c r="AB5" s="35" t="s">
        <v>7045</v>
      </c>
      <c r="AC5" s="30">
        <v>47484.0</v>
      </c>
      <c r="AD5" s="30">
        <v>47848.0</v>
      </c>
      <c r="AE5" s="36">
        <v>0.0</v>
      </c>
      <c r="AF5" s="36">
        <v>0.0</v>
      </c>
      <c r="AG5" s="35" t="s">
        <v>7045</v>
      </c>
      <c r="AH5" s="30">
        <v>45292.0</v>
      </c>
      <c r="AI5" s="30">
        <v>45657.0</v>
      </c>
      <c r="AJ5" s="36">
        <v>3625.66</v>
      </c>
      <c r="AK5" s="36">
        <v>2699.98</v>
      </c>
      <c r="AL5" s="38" t="s">
        <v>7047</v>
      </c>
      <c r="AM5" s="30">
        <v>44562.0</v>
      </c>
      <c r="AN5" s="30">
        <v>44926.0</v>
      </c>
      <c r="AO5" s="36">
        <v>3805.47</v>
      </c>
      <c r="AP5" s="36">
        <v>3149.97</v>
      </c>
      <c r="AQ5" s="38" t="s">
        <v>7047</v>
      </c>
      <c r="AR5" s="30">
        <v>44927.0</v>
      </c>
      <c r="AS5" s="30">
        <v>45291.0</v>
      </c>
      <c r="AT5" s="36">
        <v>2546.85</v>
      </c>
      <c r="AU5" s="36">
        <v>3899.97</v>
      </c>
      <c r="AV5" s="37" t="s">
        <v>7046</v>
      </c>
    </row>
    <row r="6" ht="14.25" customHeight="1">
      <c r="A6" s="28" t="s">
        <v>4505</v>
      </c>
      <c r="B6" s="29" t="s">
        <v>4506</v>
      </c>
      <c r="C6" s="29" t="s">
        <v>7041</v>
      </c>
      <c r="D6" s="30">
        <v>45658.0</v>
      </c>
      <c r="E6" s="30">
        <v>46022.0</v>
      </c>
      <c r="F6" s="36">
        <v>1823.83</v>
      </c>
      <c r="G6" s="36">
        <v>4349.96</v>
      </c>
      <c r="H6" s="37" t="s">
        <v>7046</v>
      </c>
      <c r="I6" s="30">
        <v>46023.0</v>
      </c>
      <c r="J6" s="30">
        <v>46387.0</v>
      </c>
      <c r="K6" s="36">
        <v>0.0</v>
      </c>
      <c r="L6" s="36">
        <v>0.0</v>
      </c>
      <c r="M6" s="35" t="s">
        <v>7045</v>
      </c>
      <c r="N6" s="30">
        <v>46388.0</v>
      </c>
      <c r="O6" s="30">
        <v>46752.0</v>
      </c>
      <c r="P6" s="36">
        <v>0.0</v>
      </c>
      <c r="Q6" s="36">
        <v>0.0</v>
      </c>
      <c r="R6" s="35" t="s">
        <v>7045</v>
      </c>
      <c r="S6" s="30">
        <v>46753.0</v>
      </c>
      <c r="T6" s="30">
        <v>47118.0</v>
      </c>
      <c r="U6" s="36">
        <v>0.0</v>
      </c>
      <c r="V6" s="36">
        <v>0.0</v>
      </c>
      <c r="W6" s="35" t="s">
        <v>7045</v>
      </c>
      <c r="X6" s="30">
        <v>47119.0</v>
      </c>
      <c r="Y6" s="30">
        <v>47483.0</v>
      </c>
      <c r="Z6" s="36">
        <v>0.0</v>
      </c>
      <c r="AA6" s="36">
        <v>0.0</v>
      </c>
      <c r="AB6" s="35" t="s">
        <v>7045</v>
      </c>
      <c r="AC6" s="30">
        <v>47484.0</v>
      </c>
      <c r="AD6" s="30">
        <v>47848.0</v>
      </c>
      <c r="AE6" s="36">
        <v>0.0</v>
      </c>
      <c r="AF6" s="36">
        <v>0.0</v>
      </c>
      <c r="AG6" s="35" t="s">
        <v>7045</v>
      </c>
      <c r="AH6" s="30">
        <v>45292.0</v>
      </c>
      <c r="AI6" s="30">
        <v>45657.0</v>
      </c>
      <c r="AJ6" s="36">
        <v>3246.79</v>
      </c>
      <c r="AK6" s="36">
        <v>4099.96</v>
      </c>
      <c r="AL6" s="37" t="s">
        <v>7046</v>
      </c>
      <c r="AM6" s="30">
        <v>44562.0</v>
      </c>
      <c r="AN6" s="30">
        <v>44926.0</v>
      </c>
      <c r="AO6" s="36">
        <v>5133.96</v>
      </c>
      <c r="AP6" s="36">
        <v>2999.97</v>
      </c>
      <c r="AQ6" s="38" t="s">
        <v>7047</v>
      </c>
      <c r="AR6" s="30">
        <v>44927.0</v>
      </c>
      <c r="AS6" s="30">
        <v>45291.0</v>
      </c>
      <c r="AT6" s="36">
        <v>3558.46</v>
      </c>
      <c r="AU6" s="36">
        <v>4499.96</v>
      </c>
      <c r="AV6" s="37" t="s">
        <v>7046</v>
      </c>
    </row>
    <row r="7" ht="14.25" customHeight="1">
      <c r="A7" s="28" t="s">
        <v>2000</v>
      </c>
      <c r="B7" s="29" t="s">
        <v>2001</v>
      </c>
      <c r="C7" s="29" t="s">
        <v>7041</v>
      </c>
      <c r="D7" s="30">
        <v>45658.0</v>
      </c>
      <c r="E7" s="30">
        <v>46022.0</v>
      </c>
      <c r="F7" s="36">
        <v>393.74</v>
      </c>
      <c r="G7" s="36">
        <v>2399.98</v>
      </c>
      <c r="H7" s="32" t="s">
        <v>7043</v>
      </c>
      <c r="I7" s="30">
        <v>46023.0</v>
      </c>
      <c r="J7" s="30">
        <v>46387.0</v>
      </c>
      <c r="K7" s="36">
        <v>0.0</v>
      </c>
      <c r="L7" s="36">
        <v>0.0</v>
      </c>
      <c r="M7" s="35" t="s">
        <v>7045</v>
      </c>
      <c r="N7" s="30">
        <v>46388.0</v>
      </c>
      <c r="O7" s="30">
        <v>46752.0</v>
      </c>
      <c r="P7" s="36">
        <v>0.0</v>
      </c>
      <c r="Q7" s="36">
        <v>0.0</v>
      </c>
      <c r="R7" s="35" t="s">
        <v>7045</v>
      </c>
      <c r="S7" s="30">
        <v>46753.0</v>
      </c>
      <c r="T7" s="30">
        <v>47118.0</v>
      </c>
      <c r="U7" s="36">
        <v>0.0</v>
      </c>
      <c r="V7" s="36">
        <v>0.0</v>
      </c>
      <c r="W7" s="35" t="s">
        <v>7045</v>
      </c>
      <c r="X7" s="30">
        <v>47119.0</v>
      </c>
      <c r="Y7" s="30">
        <v>47483.0</v>
      </c>
      <c r="Z7" s="36">
        <v>0.0</v>
      </c>
      <c r="AA7" s="36">
        <v>0.0</v>
      </c>
      <c r="AB7" s="35" t="s">
        <v>7045</v>
      </c>
      <c r="AC7" s="30">
        <v>47484.0</v>
      </c>
      <c r="AD7" s="30">
        <v>47848.0</v>
      </c>
      <c r="AE7" s="36">
        <v>0.0</v>
      </c>
      <c r="AF7" s="36">
        <v>0.0</v>
      </c>
      <c r="AG7" s="35" t="s">
        <v>7045</v>
      </c>
      <c r="AH7" s="30">
        <v>45292.0</v>
      </c>
      <c r="AI7" s="30">
        <v>45657.0</v>
      </c>
      <c r="AJ7" s="36">
        <v>2595.14</v>
      </c>
      <c r="AK7" s="36">
        <v>2199.98</v>
      </c>
      <c r="AL7" s="38" t="s">
        <v>7047</v>
      </c>
      <c r="AM7" s="30">
        <v>44562.0</v>
      </c>
      <c r="AN7" s="30">
        <v>44926.0</v>
      </c>
      <c r="AO7" s="36">
        <v>2722.98</v>
      </c>
      <c r="AP7" s="36">
        <v>1599.99</v>
      </c>
      <c r="AQ7" s="38" t="s">
        <v>7047</v>
      </c>
      <c r="AR7" s="30">
        <v>44927.0</v>
      </c>
      <c r="AS7" s="30">
        <v>45291.0</v>
      </c>
      <c r="AT7" s="36">
        <v>2059.7</v>
      </c>
      <c r="AU7" s="36">
        <v>2799.98</v>
      </c>
      <c r="AV7" s="37" t="s">
        <v>7046</v>
      </c>
    </row>
    <row r="8" ht="14.25" customHeight="1">
      <c r="A8" s="28" t="s">
        <v>3966</v>
      </c>
      <c r="B8" s="29" t="s">
        <v>3967</v>
      </c>
      <c r="C8" s="29" t="s">
        <v>7041</v>
      </c>
      <c r="D8" s="30">
        <v>45658.0</v>
      </c>
      <c r="E8" s="30">
        <v>46022.0</v>
      </c>
      <c r="F8" s="36">
        <v>360.63</v>
      </c>
      <c r="G8" s="36">
        <v>1361.99</v>
      </c>
      <c r="H8" s="32" t="s">
        <v>7043</v>
      </c>
      <c r="I8" s="30">
        <v>46023.0</v>
      </c>
      <c r="J8" s="30">
        <v>46387.0</v>
      </c>
      <c r="K8" s="36">
        <v>0.0</v>
      </c>
      <c r="L8" s="36">
        <v>0.0</v>
      </c>
      <c r="M8" s="35" t="s">
        <v>7045</v>
      </c>
      <c r="N8" s="30">
        <v>46388.0</v>
      </c>
      <c r="O8" s="30">
        <v>46752.0</v>
      </c>
      <c r="P8" s="36">
        <v>0.0</v>
      </c>
      <c r="Q8" s="36">
        <v>0.0</v>
      </c>
      <c r="R8" s="35" t="s">
        <v>7045</v>
      </c>
      <c r="S8" s="30">
        <v>46753.0</v>
      </c>
      <c r="T8" s="30">
        <v>47118.0</v>
      </c>
      <c r="U8" s="36">
        <v>0.0</v>
      </c>
      <c r="V8" s="36">
        <v>0.0</v>
      </c>
      <c r="W8" s="35" t="s">
        <v>7045</v>
      </c>
      <c r="X8" s="30">
        <v>47119.0</v>
      </c>
      <c r="Y8" s="30">
        <v>47483.0</v>
      </c>
      <c r="Z8" s="36">
        <v>0.0</v>
      </c>
      <c r="AA8" s="36">
        <v>0.0</v>
      </c>
      <c r="AB8" s="35" t="s">
        <v>7045</v>
      </c>
      <c r="AC8" s="30">
        <v>47484.0</v>
      </c>
      <c r="AD8" s="30">
        <v>47848.0</v>
      </c>
      <c r="AE8" s="36">
        <v>0.0</v>
      </c>
      <c r="AF8" s="36">
        <v>0.0</v>
      </c>
      <c r="AG8" s="35" t="s">
        <v>7045</v>
      </c>
      <c r="AH8" s="30">
        <v>45292.0</v>
      </c>
      <c r="AI8" s="30">
        <v>45657.0</v>
      </c>
      <c r="AJ8" s="36">
        <v>850.71</v>
      </c>
      <c r="AK8" s="36">
        <v>1094.99</v>
      </c>
      <c r="AL8" s="37" t="s">
        <v>7046</v>
      </c>
      <c r="AM8" s="30">
        <v>44562.0</v>
      </c>
      <c r="AN8" s="30">
        <v>44926.0</v>
      </c>
      <c r="AO8" s="36">
        <v>0.0</v>
      </c>
      <c r="AP8" s="36">
        <v>0.0</v>
      </c>
      <c r="AQ8" s="35" t="s">
        <v>7045</v>
      </c>
      <c r="AR8" s="30">
        <v>44927.0</v>
      </c>
      <c r="AS8" s="30">
        <v>45291.0</v>
      </c>
      <c r="AT8" s="36">
        <v>199.97</v>
      </c>
      <c r="AU8" s="36">
        <v>815.99</v>
      </c>
      <c r="AV8" s="32" t="s">
        <v>7043</v>
      </c>
    </row>
    <row r="9" ht="14.25" customHeight="1">
      <c r="A9" s="28" t="s">
        <v>4078</v>
      </c>
      <c r="B9" s="29" t="s">
        <v>4079</v>
      </c>
      <c r="C9" s="29" t="s">
        <v>7041</v>
      </c>
      <c r="D9" s="30">
        <v>45658.0</v>
      </c>
      <c r="E9" s="30">
        <v>46022.0</v>
      </c>
      <c r="F9" s="36">
        <v>1291.42</v>
      </c>
      <c r="G9" s="36">
        <v>1367.19</v>
      </c>
      <c r="H9" s="38" t="s">
        <v>7047</v>
      </c>
      <c r="I9" s="30">
        <v>46023.0</v>
      </c>
      <c r="J9" s="30">
        <v>46387.0</v>
      </c>
      <c r="K9" s="36">
        <v>0.0</v>
      </c>
      <c r="L9" s="36">
        <v>0.0</v>
      </c>
      <c r="M9" s="35" t="s">
        <v>7045</v>
      </c>
      <c r="N9" s="30">
        <v>46388.0</v>
      </c>
      <c r="O9" s="30">
        <v>46752.0</v>
      </c>
      <c r="P9" s="36">
        <v>0.0</v>
      </c>
      <c r="Q9" s="36">
        <v>0.0</v>
      </c>
      <c r="R9" s="35" t="s">
        <v>7045</v>
      </c>
      <c r="S9" s="30">
        <v>46753.0</v>
      </c>
      <c r="T9" s="30">
        <v>47118.0</v>
      </c>
      <c r="U9" s="36">
        <v>0.0</v>
      </c>
      <c r="V9" s="36">
        <v>0.0</v>
      </c>
      <c r="W9" s="35" t="s">
        <v>7045</v>
      </c>
      <c r="X9" s="30">
        <v>47119.0</v>
      </c>
      <c r="Y9" s="30">
        <v>47483.0</v>
      </c>
      <c r="Z9" s="36">
        <v>0.0</v>
      </c>
      <c r="AA9" s="36">
        <v>0.0</v>
      </c>
      <c r="AB9" s="35" t="s">
        <v>7045</v>
      </c>
      <c r="AC9" s="30">
        <v>47484.0</v>
      </c>
      <c r="AD9" s="30">
        <v>47848.0</v>
      </c>
      <c r="AE9" s="36">
        <v>0.0</v>
      </c>
      <c r="AF9" s="36">
        <v>0.0</v>
      </c>
      <c r="AG9" s="35" t="s">
        <v>7045</v>
      </c>
      <c r="AH9" s="30">
        <v>45292.0</v>
      </c>
      <c r="AI9" s="30">
        <v>45657.0</v>
      </c>
      <c r="AJ9" s="36">
        <v>369.67</v>
      </c>
      <c r="AK9" s="36">
        <v>3109.97</v>
      </c>
      <c r="AL9" s="32" t="s">
        <v>7043</v>
      </c>
      <c r="AM9" s="30">
        <v>44562.0</v>
      </c>
      <c r="AN9" s="30">
        <v>44926.0</v>
      </c>
      <c r="AO9" s="36">
        <v>1256.09</v>
      </c>
      <c r="AP9" s="36">
        <v>1169.99</v>
      </c>
      <c r="AQ9" s="38" t="s">
        <v>7047</v>
      </c>
      <c r="AR9" s="30">
        <v>44927.0</v>
      </c>
      <c r="AS9" s="30">
        <v>45291.0</v>
      </c>
      <c r="AT9" s="36">
        <v>2858.0</v>
      </c>
      <c r="AU9" s="36">
        <v>1321.89</v>
      </c>
      <c r="AV9" s="38" t="s">
        <v>7047</v>
      </c>
    </row>
    <row r="10" ht="14.25" customHeight="1">
      <c r="A10" s="28" t="s">
        <v>5579</v>
      </c>
      <c r="B10" s="29" t="s">
        <v>5580</v>
      </c>
      <c r="C10" s="29" t="s">
        <v>7041</v>
      </c>
      <c r="D10" s="30">
        <v>45658.0</v>
      </c>
      <c r="E10" s="30">
        <v>46022.0</v>
      </c>
      <c r="F10" s="36">
        <v>1282.13</v>
      </c>
      <c r="G10" s="36">
        <v>2800.78</v>
      </c>
      <c r="H10" s="37" t="s">
        <v>7046</v>
      </c>
      <c r="I10" s="30">
        <v>46023.0</v>
      </c>
      <c r="J10" s="30">
        <v>46387.0</v>
      </c>
      <c r="K10" s="36">
        <v>0.0</v>
      </c>
      <c r="L10" s="36">
        <v>0.0</v>
      </c>
      <c r="M10" s="35" t="s">
        <v>7045</v>
      </c>
      <c r="N10" s="30">
        <v>46388.0</v>
      </c>
      <c r="O10" s="30">
        <v>46752.0</v>
      </c>
      <c r="P10" s="36">
        <v>0.0</v>
      </c>
      <c r="Q10" s="36">
        <v>0.0</v>
      </c>
      <c r="R10" s="35" t="s">
        <v>7045</v>
      </c>
      <c r="S10" s="30">
        <v>46753.0</v>
      </c>
      <c r="T10" s="30">
        <v>47118.0</v>
      </c>
      <c r="U10" s="36">
        <v>0.0</v>
      </c>
      <c r="V10" s="36">
        <v>0.0</v>
      </c>
      <c r="W10" s="35" t="s">
        <v>7045</v>
      </c>
      <c r="X10" s="30">
        <v>47119.0</v>
      </c>
      <c r="Y10" s="30">
        <v>47483.0</v>
      </c>
      <c r="Z10" s="36">
        <v>0.0</v>
      </c>
      <c r="AA10" s="36">
        <v>0.0</v>
      </c>
      <c r="AB10" s="35" t="s">
        <v>7045</v>
      </c>
      <c r="AC10" s="30">
        <v>47484.0</v>
      </c>
      <c r="AD10" s="30">
        <v>47848.0</v>
      </c>
      <c r="AE10" s="36">
        <v>0.0</v>
      </c>
      <c r="AF10" s="36">
        <v>0.0</v>
      </c>
      <c r="AG10" s="35" t="s">
        <v>7045</v>
      </c>
      <c r="AH10" s="30">
        <v>45292.0</v>
      </c>
      <c r="AI10" s="30">
        <v>45657.0</v>
      </c>
      <c r="AJ10" s="36">
        <v>2547.67</v>
      </c>
      <c r="AK10" s="36">
        <v>4002.97</v>
      </c>
      <c r="AL10" s="37" t="s">
        <v>7046</v>
      </c>
      <c r="AM10" s="30">
        <v>44562.0</v>
      </c>
      <c r="AN10" s="30">
        <v>44926.0</v>
      </c>
      <c r="AO10" s="36">
        <v>2933.97</v>
      </c>
      <c r="AP10" s="36">
        <v>4414.76</v>
      </c>
      <c r="AQ10" s="37" t="s">
        <v>7046</v>
      </c>
      <c r="AR10" s="30">
        <v>44927.0</v>
      </c>
      <c r="AS10" s="30">
        <v>45291.0</v>
      </c>
      <c r="AT10" s="36">
        <v>3681.98</v>
      </c>
      <c r="AU10" s="36">
        <v>3205.77</v>
      </c>
      <c r="AV10" s="38" t="s">
        <v>7047</v>
      </c>
    </row>
    <row r="11" ht="14.25" customHeight="1">
      <c r="A11" s="28" t="s">
        <v>5850</v>
      </c>
      <c r="B11" s="29" t="s">
        <v>5851</v>
      </c>
      <c r="C11" s="29" t="s">
        <v>7041</v>
      </c>
      <c r="D11" s="30">
        <v>45658.0</v>
      </c>
      <c r="E11" s="30">
        <v>46022.0</v>
      </c>
      <c r="F11" s="39">
        <v>166.46</v>
      </c>
      <c r="G11" s="39">
        <v>3500.0</v>
      </c>
      <c r="H11" s="32" t="s">
        <v>7043</v>
      </c>
      <c r="I11" s="30">
        <v>46023.0</v>
      </c>
      <c r="J11" s="30">
        <v>46387.0</v>
      </c>
      <c r="K11" s="39">
        <v>0.0</v>
      </c>
      <c r="L11" s="39">
        <v>0.0</v>
      </c>
      <c r="M11" s="35" t="s">
        <v>7045</v>
      </c>
      <c r="N11" s="30">
        <v>46388.0</v>
      </c>
      <c r="O11" s="30">
        <v>46752.0</v>
      </c>
      <c r="P11" s="39">
        <v>0.0</v>
      </c>
      <c r="Q11" s="39">
        <v>0.0</v>
      </c>
      <c r="R11" s="35" t="s">
        <v>7045</v>
      </c>
      <c r="S11" s="30">
        <v>46753.0</v>
      </c>
      <c r="T11" s="30">
        <v>47118.0</v>
      </c>
      <c r="U11" s="39">
        <v>0.0</v>
      </c>
      <c r="V11" s="39">
        <v>0.0</v>
      </c>
      <c r="W11" s="35" t="s">
        <v>7045</v>
      </c>
      <c r="X11" s="30">
        <v>47119.0</v>
      </c>
      <c r="Y11" s="30">
        <v>47483.0</v>
      </c>
      <c r="Z11" s="39">
        <v>0.0</v>
      </c>
      <c r="AA11" s="39">
        <v>0.0</v>
      </c>
      <c r="AB11" s="35" t="s">
        <v>7045</v>
      </c>
      <c r="AC11" s="30">
        <v>47484.0</v>
      </c>
      <c r="AD11" s="30">
        <v>47848.0</v>
      </c>
      <c r="AE11" s="39">
        <v>0.0</v>
      </c>
      <c r="AF11" s="39">
        <v>0.0</v>
      </c>
      <c r="AG11" s="35" t="s">
        <v>7045</v>
      </c>
      <c r="AH11" s="30">
        <v>45292.0</v>
      </c>
      <c r="AI11" s="30">
        <v>45657.0</v>
      </c>
      <c r="AJ11" s="39">
        <v>2859.74</v>
      </c>
      <c r="AK11" s="39">
        <v>1920.0</v>
      </c>
      <c r="AL11" s="38" t="s">
        <v>7047</v>
      </c>
      <c r="AM11" s="30">
        <v>44562.0</v>
      </c>
      <c r="AN11" s="30">
        <v>44926.0</v>
      </c>
      <c r="AO11" s="39">
        <v>1890.6</v>
      </c>
      <c r="AP11" s="39">
        <v>1500.0</v>
      </c>
      <c r="AQ11" s="38" t="s">
        <v>7047</v>
      </c>
      <c r="AR11" s="30">
        <v>44927.0</v>
      </c>
      <c r="AS11" s="30">
        <v>45291.0</v>
      </c>
      <c r="AT11" s="39">
        <v>1805.94</v>
      </c>
      <c r="AU11" s="39">
        <v>1780.0</v>
      </c>
      <c r="AV11" s="38" t="s">
        <v>7047</v>
      </c>
    </row>
    <row r="12" ht="14.25" customHeight="1">
      <c r="A12" s="28" t="s">
        <v>6092</v>
      </c>
      <c r="B12" s="29" t="s">
        <v>6093</v>
      </c>
      <c r="C12" s="29" t="s">
        <v>7041</v>
      </c>
      <c r="D12" s="30">
        <v>45658.0</v>
      </c>
      <c r="E12" s="30">
        <v>46022.0</v>
      </c>
      <c r="F12" s="39">
        <v>3814.53</v>
      </c>
      <c r="G12" s="39">
        <v>9500.0</v>
      </c>
      <c r="H12" s="38" t="s">
        <v>7046</v>
      </c>
      <c r="I12" s="30">
        <v>46023.0</v>
      </c>
      <c r="J12" s="30">
        <v>46387.0</v>
      </c>
      <c r="K12" s="39">
        <v>0.0</v>
      </c>
      <c r="L12" s="39">
        <v>0.0</v>
      </c>
      <c r="M12" s="35" t="s">
        <v>7045</v>
      </c>
      <c r="N12" s="30">
        <v>46388.0</v>
      </c>
      <c r="O12" s="30">
        <v>46752.0</v>
      </c>
      <c r="P12" s="39">
        <v>0.0</v>
      </c>
      <c r="Q12" s="39">
        <v>0.0</v>
      </c>
      <c r="R12" s="35" t="s">
        <v>7045</v>
      </c>
      <c r="S12" s="30">
        <v>46753.0</v>
      </c>
      <c r="T12" s="30">
        <v>47118.0</v>
      </c>
      <c r="U12" s="39">
        <v>0.0</v>
      </c>
      <c r="V12" s="39">
        <v>0.0</v>
      </c>
      <c r="W12" s="35" t="s">
        <v>7045</v>
      </c>
      <c r="X12" s="30">
        <v>47119.0</v>
      </c>
      <c r="Y12" s="30">
        <v>47483.0</v>
      </c>
      <c r="Z12" s="39">
        <v>0.0</v>
      </c>
      <c r="AA12" s="39">
        <v>0.0</v>
      </c>
      <c r="AB12" s="35" t="s">
        <v>7045</v>
      </c>
      <c r="AC12" s="30">
        <v>47484.0</v>
      </c>
      <c r="AD12" s="30">
        <v>47848.0</v>
      </c>
      <c r="AE12" s="39">
        <v>0.0</v>
      </c>
      <c r="AF12" s="39">
        <v>0.0</v>
      </c>
      <c r="AG12" s="35" t="s">
        <v>7045</v>
      </c>
      <c r="AH12" s="30">
        <v>45292.0</v>
      </c>
      <c r="AI12" s="30">
        <v>45657.0</v>
      </c>
      <c r="AJ12" s="39">
        <v>7349.87</v>
      </c>
      <c r="AK12" s="39">
        <v>10000.0</v>
      </c>
      <c r="AL12" s="37" t="s">
        <v>7046</v>
      </c>
      <c r="AM12" s="30">
        <v>44562.0</v>
      </c>
      <c r="AN12" s="30">
        <v>44926.0</v>
      </c>
      <c r="AO12" s="39">
        <v>9132.1</v>
      </c>
      <c r="AP12" s="39">
        <v>6900.0</v>
      </c>
      <c r="AQ12" s="38" t="s">
        <v>7047</v>
      </c>
      <c r="AR12" s="30">
        <v>44927.0</v>
      </c>
      <c r="AS12" s="30">
        <v>45291.0</v>
      </c>
      <c r="AT12" s="39">
        <v>8319.48</v>
      </c>
      <c r="AU12" s="39">
        <v>9500.0</v>
      </c>
      <c r="AV12" s="37" t="s">
        <v>7046</v>
      </c>
    </row>
    <row r="13" ht="14.25" customHeight="1">
      <c r="A13" s="28" t="s">
        <v>6391</v>
      </c>
      <c r="B13" s="29" t="s">
        <v>6392</v>
      </c>
      <c r="C13" s="29" t="s">
        <v>7041</v>
      </c>
      <c r="D13" s="30">
        <v>45658.0</v>
      </c>
      <c r="E13" s="30">
        <v>46022.0</v>
      </c>
      <c r="F13" s="39">
        <v>1804.04</v>
      </c>
      <c r="G13" s="39">
        <v>0.0</v>
      </c>
      <c r="H13" s="38" t="s">
        <v>7047</v>
      </c>
      <c r="I13" s="30">
        <v>46023.0</v>
      </c>
      <c r="J13" s="30">
        <v>46387.0</v>
      </c>
      <c r="K13" s="39">
        <v>0.0</v>
      </c>
      <c r="L13" s="39">
        <v>0.0</v>
      </c>
      <c r="M13" s="35" t="s">
        <v>7045</v>
      </c>
      <c r="N13" s="30">
        <v>46388.0</v>
      </c>
      <c r="O13" s="30">
        <v>46752.0</v>
      </c>
      <c r="P13" s="39">
        <v>0.0</v>
      </c>
      <c r="Q13" s="39">
        <v>0.0</v>
      </c>
      <c r="R13" s="35" t="s">
        <v>7045</v>
      </c>
      <c r="S13" s="30">
        <v>46753.0</v>
      </c>
      <c r="T13" s="30">
        <v>47118.0</v>
      </c>
      <c r="U13" s="39">
        <v>0.0</v>
      </c>
      <c r="V13" s="39">
        <v>0.0</v>
      </c>
      <c r="W13" s="35" t="s">
        <v>7045</v>
      </c>
      <c r="X13" s="30">
        <v>47119.0</v>
      </c>
      <c r="Y13" s="30">
        <v>47483.0</v>
      </c>
      <c r="Z13" s="39">
        <v>0.0</v>
      </c>
      <c r="AA13" s="39">
        <v>0.0</v>
      </c>
      <c r="AB13" s="35" t="s">
        <v>7045</v>
      </c>
      <c r="AC13" s="30">
        <v>47484.0</v>
      </c>
      <c r="AD13" s="30">
        <v>47848.0</v>
      </c>
      <c r="AE13" s="39">
        <v>0.0</v>
      </c>
      <c r="AF13" s="39">
        <v>0.0</v>
      </c>
      <c r="AG13" s="35" t="s">
        <v>7045</v>
      </c>
      <c r="AH13" s="30">
        <v>45292.0</v>
      </c>
      <c r="AI13" s="30">
        <v>45657.0</v>
      </c>
      <c r="AJ13" s="39">
        <v>7119.98</v>
      </c>
      <c r="AK13" s="39">
        <v>0.0</v>
      </c>
      <c r="AL13" s="38" t="s">
        <v>7047</v>
      </c>
      <c r="AM13" s="30">
        <v>44562.0</v>
      </c>
      <c r="AN13" s="30">
        <v>44926.0</v>
      </c>
      <c r="AO13" s="39">
        <v>10620.4</v>
      </c>
      <c r="AP13" s="39">
        <v>0.0</v>
      </c>
      <c r="AQ13" s="38" t="s">
        <v>7047</v>
      </c>
      <c r="AR13" s="30">
        <v>44927.0</v>
      </c>
      <c r="AS13" s="30">
        <v>45291.0</v>
      </c>
      <c r="AT13" s="39">
        <v>7671.11</v>
      </c>
      <c r="AU13" s="39">
        <v>0.0</v>
      </c>
      <c r="AV13" s="38" t="s">
        <v>7047</v>
      </c>
    </row>
    <row r="14" ht="14.25" customHeight="1">
      <c r="A14" s="28" t="s">
        <v>184</v>
      </c>
      <c r="B14" s="29" t="s">
        <v>185</v>
      </c>
      <c r="C14" s="29" t="s">
        <v>7041</v>
      </c>
      <c r="D14" s="30">
        <v>45658.0</v>
      </c>
      <c r="E14" s="30">
        <v>46022.0</v>
      </c>
      <c r="F14" s="36">
        <v>219.99</v>
      </c>
      <c r="G14" s="36">
        <v>4099.96</v>
      </c>
      <c r="H14" s="32" t="s">
        <v>7043</v>
      </c>
      <c r="I14" s="30">
        <v>46023.0</v>
      </c>
      <c r="J14" s="30">
        <v>46387.0</v>
      </c>
      <c r="K14" s="36">
        <v>0.0</v>
      </c>
      <c r="L14" s="36">
        <v>0.0</v>
      </c>
      <c r="M14" s="35" t="s">
        <v>7045</v>
      </c>
      <c r="N14" s="30">
        <v>46388.0</v>
      </c>
      <c r="O14" s="30">
        <v>46752.0</v>
      </c>
      <c r="P14" s="36">
        <v>0.0</v>
      </c>
      <c r="Q14" s="36">
        <v>0.0</v>
      </c>
      <c r="R14" s="35" t="s">
        <v>7045</v>
      </c>
      <c r="S14" s="30">
        <v>46753.0</v>
      </c>
      <c r="T14" s="30">
        <v>47118.0</v>
      </c>
      <c r="U14" s="36">
        <v>0.0</v>
      </c>
      <c r="V14" s="36">
        <v>0.0</v>
      </c>
      <c r="W14" s="35" t="s">
        <v>7045</v>
      </c>
      <c r="X14" s="30">
        <v>47119.0</v>
      </c>
      <c r="Y14" s="30">
        <v>47483.0</v>
      </c>
      <c r="Z14" s="36">
        <v>0.0</v>
      </c>
      <c r="AA14" s="36">
        <v>0.0</v>
      </c>
      <c r="AB14" s="35" t="s">
        <v>7045</v>
      </c>
      <c r="AC14" s="30">
        <v>47484.0</v>
      </c>
      <c r="AD14" s="30">
        <v>47848.0</v>
      </c>
      <c r="AE14" s="36">
        <v>0.0</v>
      </c>
      <c r="AF14" s="36">
        <v>0.0</v>
      </c>
      <c r="AG14" s="35" t="s">
        <v>7045</v>
      </c>
      <c r="AH14" s="30">
        <v>45292.0</v>
      </c>
      <c r="AI14" s="30">
        <v>45657.0</v>
      </c>
      <c r="AJ14" s="36">
        <v>3532.56</v>
      </c>
      <c r="AK14" s="36">
        <v>2759.98</v>
      </c>
      <c r="AL14" s="38" t="s">
        <v>7047</v>
      </c>
      <c r="AM14" s="30">
        <v>44562.0</v>
      </c>
      <c r="AN14" s="30">
        <v>44926.0</v>
      </c>
      <c r="AO14" s="36">
        <v>1700.49</v>
      </c>
      <c r="AP14" s="36">
        <v>1149.99</v>
      </c>
      <c r="AQ14" s="38" t="s">
        <v>7047</v>
      </c>
      <c r="AR14" s="30">
        <v>44927.0</v>
      </c>
      <c r="AS14" s="30">
        <v>45291.0</v>
      </c>
      <c r="AT14" s="36">
        <v>1384.67</v>
      </c>
      <c r="AU14" s="36">
        <v>1954.98</v>
      </c>
      <c r="AV14" s="37" t="s">
        <v>7046</v>
      </c>
    </row>
    <row r="15" ht="14.25" customHeight="1">
      <c r="A15" s="28" t="s">
        <v>331</v>
      </c>
      <c r="B15" s="29" t="s">
        <v>332</v>
      </c>
      <c r="C15" s="29" t="s">
        <v>7041</v>
      </c>
      <c r="D15" s="30">
        <v>45658.0</v>
      </c>
      <c r="E15" s="30">
        <v>46022.0</v>
      </c>
      <c r="F15" s="36">
        <v>1534.56</v>
      </c>
      <c r="G15" s="36">
        <v>3899.97</v>
      </c>
      <c r="H15" s="37" t="s">
        <v>7046</v>
      </c>
      <c r="I15" s="30">
        <v>46023.0</v>
      </c>
      <c r="J15" s="30">
        <v>46387.0</v>
      </c>
      <c r="K15" s="36">
        <v>0.0</v>
      </c>
      <c r="L15" s="36">
        <v>0.0</v>
      </c>
      <c r="M15" s="35" t="s">
        <v>7045</v>
      </c>
      <c r="N15" s="30">
        <v>46388.0</v>
      </c>
      <c r="O15" s="30">
        <v>46752.0</v>
      </c>
      <c r="P15" s="36">
        <v>0.0</v>
      </c>
      <c r="Q15" s="36">
        <v>0.0</v>
      </c>
      <c r="R15" s="35" t="s">
        <v>7045</v>
      </c>
      <c r="S15" s="30">
        <v>46753.0</v>
      </c>
      <c r="T15" s="30">
        <v>47118.0</v>
      </c>
      <c r="U15" s="36">
        <v>0.0</v>
      </c>
      <c r="V15" s="36">
        <v>0.0</v>
      </c>
      <c r="W15" s="35" t="s">
        <v>7045</v>
      </c>
      <c r="X15" s="30">
        <v>47119.0</v>
      </c>
      <c r="Y15" s="30">
        <v>47483.0</v>
      </c>
      <c r="Z15" s="36">
        <v>0.0</v>
      </c>
      <c r="AA15" s="36">
        <v>0.0</v>
      </c>
      <c r="AB15" s="35" t="s">
        <v>7045</v>
      </c>
      <c r="AC15" s="30">
        <v>47484.0</v>
      </c>
      <c r="AD15" s="30">
        <v>47848.0</v>
      </c>
      <c r="AE15" s="36">
        <v>0.0</v>
      </c>
      <c r="AF15" s="36">
        <v>0.0</v>
      </c>
      <c r="AG15" s="35" t="s">
        <v>7045</v>
      </c>
      <c r="AH15" s="30">
        <v>45292.0</v>
      </c>
      <c r="AI15" s="30">
        <v>45657.0</v>
      </c>
      <c r="AJ15" s="36">
        <v>3464.54</v>
      </c>
      <c r="AK15" s="36">
        <v>3499.97</v>
      </c>
      <c r="AL15" s="37" t="s">
        <v>7046</v>
      </c>
      <c r="AM15" s="30">
        <v>44562.0</v>
      </c>
      <c r="AN15" s="30">
        <v>44926.0</v>
      </c>
      <c r="AO15" s="36">
        <v>3864.57</v>
      </c>
      <c r="AP15" s="36">
        <v>3199.97</v>
      </c>
      <c r="AQ15" s="38" t="s">
        <v>7047</v>
      </c>
      <c r="AR15" s="30">
        <v>44927.0</v>
      </c>
      <c r="AS15" s="30">
        <v>45291.0</v>
      </c>
      <c r="AT15" s="36">
        <v>3700.61</v>
      </c>
      <c r="AU15" s="36">
        <v>4199.96</v>
      </c>
      <c r="AV15" s="37" t="s">
        <v>7046</v>
      </c>
    </row>
    <row r="16" ht="14.25" customHeight="1">
      <c r="A16" s="28" t="s">
        <v>6432</v>
      </c>
      <c r="B16" s="29" t="s">
        <v>6433</v>
      </c>
      <c r="C16" s="29" t="s">
        <v>7041</v>
      </c>
      <c r="D16" s="30">
        <v>45658.0</v>
      </c>
      <c r="E16" s="30">
        <v>46022.0</v>
      </c>
      <c r="F16" s="39">
        <v>1315.67</v>
      </c>
      <c r="G16" s="39">
        <v>2600.0</v>
      </c>
      <c r="H16" s="37" t="s">
        <v>7046</v>
      </c>
      <c r="I16" s="30">
        <v>46023.0</v>
      </c>
      <c r="J16" s="30">
        <v>46387.0</v>
      </c>
      <c r="K16" s="39">
        <v>0.0</v>
      </c>
      <c r="L16" s="39">
        <v>0.0</v>
      </c>
      <c r="M16" s="35" t="s">
        <v>7045</v>
      </c>
      <c r="N16" s="30">
        <v>46388.0</v>
      </c>
      <c r="O16" s="30">
        <v>46752.0</v>
      </c>
      <c r="P16" s="39">
        <v>0.0</v>
      </c>
      <c r="Q16" s="39">
        <v>0.0</v>
      </c>
      <c r="R16" s="35" t="s">
        <v>7045</v>
      </c>
      <c r="S16" s="30">
        <v>46753.0</v>
      </c>
      <c r="T16" s="30">
        <v>47118.0</v>
      </c>
      <c r="U16" s="39">
        <v>0.0</v>
      </c>
      <c r="V16" s="39">
        <v>0.0</v>
      </c>
      <c r="W16" s="35" t="s">
        <v>7045</v>
      </c>
      <c r="X16" s="30">
        <v>47119.0</v>
      </c>
      <c r="Y16" s="30">
        <v>47483.0</v>
      </c>
      <c r="Z16" s="39">
        <v>0.0</v>
      </c>
      <c r="AA16" s="39">
        <v>0.0</v>
      </c>
      <c r="AB16" s="35" t="s">
        <v>7045</v>
      </c>
      <c r="AC16" s="30">
        <v>47484.0</v>
      </c>
      <c r="AD16" s="30">
        <v>47848.0</v>
      </c>
      <c r="AE16" s="39">
        <v>0.0</v>
      </c>
      <c r="AF16" s="39">
        <v>0.0</v>
      </c>
      <c r="AG16" s="35" t="s">
        <v>7045</v>
      </c>
      <c r="AH16" s="30">
        <v>45292.0</v>
      </c>
      <c r="AI16" s="30">
        <v>45657.0</v>
      </c>
      <c r="AJ16" s="39">
        <v>2229.84</v>
      </c>
      <c r="AK16" s="39">
        <v>2800.0</v>
      </c>
      <c r="AL16" s="37" t="s">
        <v>7046</v>
      </c>
      <c r="AM16" s="30">
        <v>44562.0</v>
      </c>
      <c r="AN16" s="30">
        <v>44926.0</v>
      </c>
      <c r="AO16" s="39">
        <v>2904.8</v>
      </c>
      <c r="AP16" s="39">
        <v>2900.0</v>
      </c>
      <c r="AQ16" s="38" t="s">
        <v>7047</v>
      </c>
      <c r="AR16" s="30">
        <v>44927.0</v>
      </c>
      <c r="AS16" s="30">
        <v>45291.0</v>
      </c>
      <c r="AT16" s="39">
        <v>2562.38</v>
      </c>
      <c r="AU16" s="39">
        <v>3000.0</v>
      </c>
      <c r="AV16" s="37" t="s">
        <v>7046</v>
      </c>
    </row>
    <row r="17" ht="14.25" customHeight="1">
      <c r="A17" s="28" t="s">
        <v>6657</v>
      </c>
      <c r="B17" s="29" t="s">
        <v>6658</v>
      </c>
      <c r="C17" s="29" t="s">
        <v>7041</v>
      </c>
      <c r="D17" s="30">
        <v>45658.0</v>
      </c>
      <c r="E17" s="30">
        <v>46022.0</v>
      </c>
      <c r="F17" s="36">
        <v>759.66</v>
      </c>
      <c r="G17" s="36">
        <v>2499.98</v>
      </c>
      <c r="H17" s="37" t="s">
        <v>7046</v>
      </c>
      <c r="I17" s="30">
        <v>46023.0</v>
      </c>
      <c r="J17" s="30">
        <v>46387.0</v>
      </c>
      <c r="K17" s="36">
        <v>0.0</v>
      </c>
      <c r="L17" s="36">
        <v>0.0</v>
      </c>
      <c r="M17" s="35" t="s">
        <v>7045</v>
      </c>
      <c r="N17" s="30">
        <v>46388.0</v>
      </c>
      <c r="O17" s="30">
        <v>46752.0</v>
      </c>
      <c r="P17" s="36">
        <v>0.0</v>
      </c>
      <c r="Q17" s="36">
        <v>0.0</v>
      </c>
      <c r="R17" s="35" t="s">
        <v>7045</v>
      </c>
      <c r="S17" s="30">
        <v>46753.0</v>
      </c>
      <c r="T17" s="30">
        <v>47118.0</v>
      </c>
      <c r="U17" s="36">
        <v>0.0</v>
      </c>
      <c r="V17" s="36">
        <v>0.0</v>
      </c>
      <c r="W17" s="35" t="s">
        <v>7045</v>
      </c>
      <c r="X17" s="30">
        <v>47119.0</v>
      </c>
      <c r="Y17" s="30">
        <v>47483.0</v>
      </c>
      <c r="Z17" s="36">
        <v>0.0</v>
      </c>
      <c r="AA17" s="36">
        <v>0.0</v>
      </c>
      <c r="AB17" s="35" t="s">
        <v>7045</v>
      </c>
      <c r="AC17" s="30">
        <v>47484.0</v>
      </c>
      <c r="AD17" s="30">
        <v>47848.0</v>
      </c>
      <c r="AE17" s="36">
        <v>0.0</v>
      </c>
      <c r="AF17" s="36">
        <v>0.0</v>
      </c>
      <c r="AG17" s="35" t="s">
        <v>7045</v>
      </c>
      <c r="AH17" s="30">
        <v>45292.0</v>
      </c>
      <c r="AI17" s="30">
        <v>45657.0</v>
      </c>
      <c r="AJ17" s="36">
        <v>2069.87</v>
      </c>
      <c r="AK17" s="36">
        <v>1499.99</v>
      </c>
      <c r="AL17" s="38" t="s">
        <v>7047</v>
      </c>
      <c r="AM17" s="30">
        <v>44562.0</v>
      </c>
      <c r="AN17" s="30">
        <v>44926.0</v>
      </c>
      <c r="AO17" s="36">
        <v>497.8</v>
      </c>
      <c r="AP17" s="36">
        <v>1499.99</v>
      </c>
      <c r="AQ17" s="32" t="s">
        <v>7043</v>
      </c>
      <c r="AR17" s="30">
        <v>44927.0</v>
      </c>
      <c r="AS17" s="30">
        <v>45291.0</v>
      </c>
      <c r="AT17" s="36">
        <v>2111.43</v>
      </c>
      <c r="AU17" s="36">
        <v>801.69</v>
      </c>
      <c r="AV17" s="38" t="s">
        <v>7047</v>
      </c>
    </row>
    <row r="18" ht="14.25" customHeight="1">
      <c r="A18" s="28" t="s">
        <v>255</v>
      </c>
      <c r="B18" s="29" t="s">
        <v>256</v>
      </c>
      <c r="C18" s="29" t="s">
        <v>7041</v>
      </c>
      <c r="D18" s="30">
        <v>45658.0</v>
      </c>
      <c r="E18" s="30">
        <v>46022.0</v>
      </c>
      <c r="F18" s="39">
        <v>206.41</v>
      </c>
      <c r="G18" s="39">
        <v>0.0</v>
      </c>
      <c r="H18" s="38" t="s">
        <v>7047</v>
      </c>
      <c r="I18" s="30">
        <v>46023.0</v>
      </c>
      <c r="J18" s="30">
        <v>46387.0</v>
      </c>
      <c r="K18" s="39">
        <v>0.0</v>
      </c>
      <c r="L18" s="39">
        <v>0.0</v>
      </c>
      <c r="M18" s="35" t="s">
        <v>7045</v>
      </c>
      <c r="N18" s="30">
        <v>46388.0</v>
      </c>
      <c r="O18" s="30">
        <v>46752.0</v>
      </c>
      <c r="P18" s="39">
        <v>0.0</v>
      </c>
      <c r="Q18" s="39">
        <v>0.0</v>
      </c>
      <c r="R18" s="35" t="s">
        <v>7045</v>
      </c>
      <c r="S18" s="30">
        <v>46753.0</v>
      </c>
      <c r="T18" s="30">
        <v>47118.0</v>
      </c>
      <c r="U18" s="39">
        <v>0.0</v>
      </c>
      <c r="V18" s="39">
        <v>0.0</v>
      </c>
      <c r="W18" s="35" t="s">
        <v>7045</v>
      </c>
      <c r="X18" s="30">
        <v>47119.0</v>
      </c>
      <c r="Y18" s="30">
        <v>47483.0</v>
      </c>
      <c r="Z18" s="39">
        <v>0.0</v>
      </c>
      <c r="AA18" s="39">
        <v>0.0</v>
      </c>
      <c r="AB18" s="35" t="s">
        <v>7045</v>
      </c>
      <c r="AC18" s="30">
        <v>47484.0</v>
      </c>
      <c r="AD18" s="30">
        <v>47848.0</v>
      </c>
      <c r="AE18" s="39">
        <v>0.0</v>
      </c>
      <c r="AF18" s="39">
        <v>0.0</v>
      </c>
      <c r="AG18" s="35" t="s">
        <v>7045</v>
      </c>
      <c r="AH18" s="30">
        <v>45292.0</v>
      </c>
      <c r="AI18" s="30">
        <v>45657.0</v>
      </c>
      <c r="AJ18" s="39">
        <v>3634.42</v>
      </c>
      <c r="AK18" s="39">
        <v>6100.0</v>
      </c>
      <c r="AL18" s="37" t="s">
        <v>7046</v>
      </c>
      <c r="AM18" s="30">
        <v>44562.0</v>
      </c>
      <c r="AN18" s="30">
        <v>44926.0</v>
      </c>
      <c r="AO18" s="39">
        <v>4318.0</v>
      </c>
      <c r="AP18" s="39">
        <v>2400.0</v>
      </c>
      <c r="AQ18" s="38" t="s">
        <v>7047</v>
      </c>
      <c r="AR18" s="30">
        <v>44927.0</v>
      </c>
      <c r="AS18" s="30">
        <v>45291.0</v>
      </c>
      <c r="AT18" s="39">
        <v>6015.7</v>
      </c>
      <c r="AU18" s="39">
        <v>4500.0</v>
      </c>
      <c r="AV18" s="38" t="s">
        <v>7047</v>
      </c>
    </row>
    <row r="19" ht="14.25" customHeight="1">
      <c r="A19" s="28" t="s">
        <v>3406</v>
      </c>
      <c r="B19" s="29" t="s">
        <v>3407</v>
      </c>
      <c r="C19" s="29" t="s">
        <v>7041</v>
      </c>
      <c r="D19" s="30">
        <v>45658.0</v>
      </c>
      <c r="E19" s="30">
        <v>46022.0</v>
      </c>
      <c r="F19" s="39">
        <v>221.87</v>
      </c>
      <c r="G19" s="39">
        <v>2000.0</v>
      </c>
      <c r="H19" s="32" t="s">
        <v>7043</v>
      </c>
      <c r="I19" s="30">
        <v>46023.0</v>
      </c>
      <c r="J19" s="30">
        <v>46387.0</v>
      </c>
      <c r="K19" s="39">
        <v>0.0</v>
      </c>
      <c r="L19" s="39">
        <v>0.0</v>
      </c>
      <c r="M19" s="35" t="s">
        <v>7045</v>
      </c>
      <c r="N19" s="30">
        <v>46388.0</v>
      </c>
      <c r="O19" s="30">
        <v>46752.0</v>
      </c>
      <c r="P19" s="39">
        <v>0.0</v>
      </c>
      <c r="Q19" s="39">
        <v>0.0</v>
      </c>
      <c r="R19" s="35" t="s">
        <v>7045</v>
      </c>
      <c r="S19" s="30">
        <v>46753.0</v>
      </c>
      <c r="T19" s="30">
        <v>47118.0</v>
      </c>
      <c r="U19" s="39">
        <v>0.0</v>
      </c>
      <c r="V19" s="39">
        <v>0.0</v>
      </c>
      <c r="W19" s="35" t="s">
        <v>7045</v>
      </c>
      <c r="X19" s="30">
        <v>47119.0</v>
      </c>
      <c r="Y19" s="30">
        <v>47483.0</v>
      </c>
      <c r="Z19" s="39">
        <v>0.0</v>
      </c>
      <c r="AA19" s="39">
        <v>0.0</v>
      </c>
      <c r="AB19" s="35" t="s">
        <v>7045</v>
      </c>
      <c r="AC19" s="30">
        <v>47484.0</v>
      </c>
      <c r="AD19" s="30">
        <v>47848.0</v>
      </c>
      <c r="AE19" s="39">
        <v>0.0</v>
      </c>
      <c r="AF19" s="39">
        <v>0.0</v>
      </c>
      <c r="AG19" s="35" t="s">
        <v>7045</v>
      </c>
      <c r="AH19" s="30">
        <v>45292.0</v>
      </c>
      <c r="AI19" s="30">
        <v>45657.0</v>
      </c>
      <c r="AJ19" s="39">
        <v>845.64</v>
      </c>
      <c r="AK19" s="39">
        <v>2240.0</v>
      </c>
      <c r="AL19" s="32" t="s">
        <v>7043</v>
      </c>
      <c r="AM19" s="30">
        <v>44562.0</v>
      </c>
      <c r="AN19" s="30">
        <v>44926.0</v>
      </c>
      <c r="AO19" s="39">
        <v>1477.2</v>
      </c>
      <c r="AP19" s="39">
        <v>1310.0</v>
      </c>
      <c r="AQ19" s="38" t="s">
        <v>7047</v>
      </c>
      <c r="AR19" s="30">
        <v>44927.0</v>
      </c>
      <c r="AS19" s="30">
        <v>45291.0</v>
      </c>
      <c r="AT19" s="39">
        <v>1143.97</v>
      </c>
      <c r="AU19" s="39">
        <v>2000.0</v>
      </c>
      <c r="AV19" s="37" t="s">
        <v>7046</v>
      </c>
    </row>
    <row r="20" ht="14.25" customHeight="1">
      <c r="A20" s="28" t="s">
        <v>1706</v>
      </c>
      <c r="B20" s="29" t="s">
        <v>1707</v>
      </c>
      <c r="C20" s="29" t="s">
        <v>7041</v>
      </c>
      <c r="D20" s="30">
        <v>45658.0</v>
      </c>
      <c r="E20" s="30">
        <v>46022.0</v>
      </c>
      <c r="F20" s="36">
        <v>383.74</v>
      </c>
      <c r="G20" s="36">
        <v>1379.99</v>
      </c>
      <c r="H20" s="32" t="s">
        <v>7046</v>
      </c>
      <c r="I20" s="30">
        <v>46023.0</v>
      </c>
      <c r="J20" s="30">
        <v>46387.0</v>
      </c>
      <c r="K20" s="36">
        <v>0.0</v>
      </c>
      <c r="L20" s="36">
        <v>0.0</v>
      </c>
      <c r="M20" s="35" t="s">
        <v>7045</v>
      </c>
      <c r="N20" s="30">
        <v>46388.0</v>
      </c>
      <c r="O20" s="30">
        <v>46752.0</v>
      </c>
      <c r="P20" s="36">
        <v>0.0</v>
      </c>
      <c r="Q20" s="36">
        <v>0.0</v>
      </c>
      <c r="R20" s="35" t="s">
        <v>7045</v>
      </c>
      <c r="S20" s="30">
        <v>46753.0</v>
      </c>
      <c r="T20" s="30">
        <v>47118.0</v>
      </c>
      <c r="U20" s="36">
        <v>0.0</v>
      </c>
      <c r="V20" s="36">
        <v>0.0</v>
      </c>
      <c r="W20" s="35" t="s">
        <v>7045</v>
      </c>
      <c r="X20" s="30">
        <v>47119.0</v>
      </c>
      <c r="Y20" s="30">
        <v>47483.0</v>
      </c>
      <c r="Z20" s="36">
        <v>0.0</v>
      </c>
      <c r="AA20" s="36">
        <v>0.0</v>
      </c>
      <c r="AB20" s="35" t="s">
        <v>7045</v>
      </c>
      <c r="AC20" s="30">
        <v>47484.0</v>
      </c>
      <c r="AD20" s="30">
        <v>47848.0</v>
      </c>
      <c r="AE20" s="36">
        <v>0.0</v>
      </c>
      <c r="AF20" s="36">
        <v>0.0</v>
      </c>
      <c r="AG20" s="35" t="s">
        <v>7045</v>
      </c>
      <c r="AH20" s="30">
        <v>45292.0</v>
      </c>
      <c r="AI20" s="30">
        <v>45657.0</v>
      </c>
      <c r="AJ20" s="36">
        <v>1254.53</v>
      </c>
      <c r="AK20" s="36">
        <v>1453.99</v>
      </c>
      <c r="AL20" s="37" t="s">
        <v>7046</v>
      </c>
      <c r="AM20" s="30">
        <v>44562.0</v>
      </c>
      <c r="AN20" s="30">
        <v>44926.0</v>
      </c>
      <c r="AO20" s="36">
        <v>970.09</v>
      </c>
      <c r="AP20" s="36">
        <v>1009.99</v>
      </c>
      <c r="AQ20" s="37" t="s">
        <v>7046</v>
      </c>
      <c r="AR20" s="30">
        <v>44927.0</v>
      </c>
      <c r="AS20" s="30">
        <v>45291.0</v>
      </c>
      <c r="AT20" s="36">
        <v>1291.09</v>
      </c>
      <c r="AU20" s="36">
        <v>1216.19</v>
      </c>
      <c r="AV20" s="38" t="s">
        <v>7047</v>
      </c>
    </row>
    <row r="21" ht="14.25" customHeight="1">
      <c r="A21" s="28" t="s">
        <v>4794</v>
      </c>
      <c r="B21" s="29" t="s">
        <v>4795</v>
      </c>
      <c r="C21" s="29" t="s">
        <v>7041</v>
      </c>
      <c r="D21" s="30">
        <v>45658.0</v>
      </c>
      <c r="E21" s="30">
        <v>46022.0</v>
      </c>
      <c r="F21" s="39">
        <v>8770.25</v>
      </c>
      <c r="G21" s="39">
        <v>17000.0</v>
      </c>
      <c r="H21" s="37" t="s">
        <v>7046</v>
      </c>
      <c r="I21" s="30">
        <v>46023.0</v>
      </c>
      <c r="J21" s="30">
        <v>46387.0</v>
      </c>
      <c r="K21" s="39">
        <v>0.0</v>
      </c>
      <c r="L21" s="39">
        <v>0.0</v>
      </c>
      <c r="M21" s="35" t="s">
        <v>7045</v>
      </c>
      <c r="N21" s="30">
        <v>46388.0</v>
      </c>
      <c r="O21" s="30">
        <v>46752.0</v>
      </c>
      <c r="P21" s="39">
        <v>0.0</v>
      </c>
      <c r="Q21" s="39">
        <v>0.0</v>
      </c>
      <c r="R21" s="35" t="s">
        <v>7045</v>
      </c>
      <c r="S21" s="30">
        <v>46753.0</v>
      </c>
      <c r="T21" s="30">
        <v>47118.0</v>
      </c>
      <c r="U21" s="39">
        <v>0.0</v>
      </c>
      <c r="V21" s="39">
        <v>0.0</v>
      </c>
      <c r="W21" s="35" t="s">
        <v>7045</v>
      </c>
      <c r="X21" s="30">
        <v>47119.0</v>
      </c>
      <c r="Y21" s="30">
        <v>47483.0</v>
      </c>
      <c r="Z21" s="39">
        <v>0.0</v>
      </c>
      <c r="AA21" s="39">
        <v>0.0</v>
      </c>
      <c r="AB21" s="35" t="s">
        <v>7045</v>
      </c>
      <c r="AC21" s="30">
        <v>47484.0</v>
      </c>
      <c r="AD21" s="30">
        <v>47848.0</v>
      </c>
      <c r="AE21" s="39">
        <v>0.0</v>
      </c>
      <c r="AF21" s="39">
        <v>0.0</v>
      </c>
      <c r="AG21" s="35" t="s">
        <v>7045</v>
      </c>
      <c r="AH21" s="30">
        <v>45292.0</v>
      </c>
      <c r="AI21" s="30">
        <v>45657.0</v>
      </c>
      <c r="AJ21" s="39">
        <v>15593.97</v>
      </c>
      <c r="AK21" s="39">
        <v>21000.0</v>
      </c>
      <c r="AL21" s="37" t="s">
        <v>7046</v>
      </c>
      <c r="AM21" s="30">
        <v>44562.0</v>
      </c>
      <c r="AN21" s="30">
        <v>44926.0</v>
      </c>
      <c r="AO21" s="39">
        <v>15243.2</v>
      </c>
      <c r="AP21" s="39">
        <v>20500.0</v>
      </c>
      <c r="AQ21" s="37" t="s">
        <v>7046</v>
      </c>
      <c r="AR21" s="30">
        <v>44927.0</v>
      </c>
      <c r="AS21" s="30">
        <v>45291.0</v>
      </c>
      <c r="AT21" s="39">
        <v>19132.41</v>
      </c>
      <c r="AU21" s="39">
        <v>20000.0</v>
      </c>
      <c r="AV21" s="37" t="s">
        <v>7046</v>
      </c>
    </row>
    <row r="22" ht="14.25" customHeight="1">
      <c r="A22" s="28" t="s">
        <v>5234</v>
      </c>
      <c r="B22" s="29" t="s">
        <v>5235</v>
      </c>
      <c r="C22" s="29" t="s">
        <v>7041</v>
      </c>
      <c r="D22" s="30">
        <v>45658.0</v>
      </c>
      <c r="E22" s="30">
        <v>46022.0</v>
      </c>
      <c r="F22" s="36">
        <v>1179.3</v>
      </c>
      <c r="G22" s="36">
        <v>1499.99</v>
      </c>
      <c r="H22" s="38" t="s">
        <v>7047</v>
      </c>
      <c r="I22" s="30">
        <v>46023.0</v>
      </c>
      <c r="J22" s="30">
        <v>46387.0</v>
      </c>
      <c r="K22" s="36">
        <v>0.0</v>
      </c>
      <c r="L22" s="36">
        <v>0.0</v>
      </c>
      <c r="M22" s="35" t="s">
        <v>7045</v>
      </c>
      <c r="N22" s="30">
        <v>46388.0</v>
      </c>
      <c r="O22" s="30">
        <v>46752.0</v>
      </c>
      <c r="P22" s="36">
        <v>0.0</v>
      </c>
      <c r="Q22" s="36">
        <v>0.0</v>
      </c>
      <c r="R22" s="35" t="s">
        <v>7045</v>
      </c>
      <c r="S22" s="30">
        <v>46753.0</v>
      </c>
      <c r="T22" s="30">
        <v>47118.0</v>
      </c>
      <c r="U22" s="36">
        <v>0.0</v>
      </c>
      <c r="V22" s="36">
        <v>0.0</v>
      </c>
      <c r="W22" s="35" t="s">
        <v>7045</v>
      </c>
      <c r="X22" s="30">
        <v>47119.0</v>
      </c>
      <c r="Y22" s="30">
        <v>47483.0</v>
      </c>
      <c r="Z22" s="36">
        <v>0.0</v>
      </c>
      <c r="AA22" s="36">
        <v>0.0</v>
      </c>
      <c r="AB22" s="35" t="s">
        <v>7045</v>
      </c>
      <c r="AC22" s="30">
        <v>47484.0</v>
      </c>
      <c r="AD22" s="30">
        <v>47848.0</v>
      </c>
      <c r="AE22" s="36">
        <v>0.0</v>
      </c>
      <c r="AF22" s="36">
        <v>0.0</v>
      </c>
      <c r="AG22" s="35" t="s">
        <v>7045</v>
      </c>
      <c r="AH22" s="30">
        <v>45292.0</v>
      </c>
      <c r="AI22" s="30">
        <v>45657.0</v>
      </c>
      <c r="AJ22" s="36">
        <v>1390.31</v>
      </c>
      <c r="AK22" s="36">
        <v>1599.99</v>
      </c>
      <c r="AL22" s="37" t="s">
        <v>7046</v>
      </c>
      <c r="AM22" s="30">
        <v>44562.0</v>
      </c>
      <c r="AN22" s="30">
        <v>44926.0</v>
      </c>
      <c r="AO22" s="36">
        <v>1452.19</v>
      </c>
      <c r="AP22" s="36">
        <v>999.99</v>
      </c>
      <c r="AQ22" s="38" t="s">
        <v>7047</v>
      </c>
      <c r="AR22" s="30">
        <v>44927.0</v>
      </c>
      <c r="AS22" s="30">
        <v>45291.0</v>
      </c>
      <c r="AT22" s="36">
        <v>1025.49</v>
      </c>
      <c r="AU22" s="36">
        <v>1599.99</v>
      </c>
      <c r="AV22" s="37" t="s">
        <v>7046</v>
      </c>
    </row>
    <row r="23" ht="14.25" customHeight="1">
      <c r="A23" s="28" t="s">
        <v>6065</v>
      </c>
      <c r="B23" s="29" t="s">
        <v>6066</v>
      </c>
      <c r="C23" s="29" t="s">
        <v>7041</v>
      </c>
      <c r="D23" s="30">
        <v>45658.0</v>
      </c>
      <c r="E23" s="30">
        <v>46022.0</v>
      </c>
      <c r="F23" s="36">
        <v>4021.12</v>
      </c>
      <c r="G23" s="36">
        <v>3499.97</v>
      </c>
      <c r="H23" s="37" t="s">
        <v>7047</v>
      </c>
      <c r="I23" s="30">
        <v>46023.0</v>
      </c>
      <c r="J23" s="30">
        <v>46387.0</v>
      </c>
      <c r="K23" s="36">
        <v>0.0</v>
      </c>
      <c r="L23" s="36">
        <v>0.0</v>
      </c>
      <c r="M23" s="35" t="s">
        <v>7045</v>
      </c>
      <c r="N23" s="30">
        <v>46388.0</v>
      </c>
      <c r="O23" s="30">
        <v>46752.0</v>
      </c>
      <c r="P23" s="36">
        <v>0.0</v>
      </c>
      <c r="Q23" s="36">
        <v>0.0</v>
      </c>
      <c r="R23" s="35" t="s">
        <v>7045</v>
      </c>
      <c r="S23" s="30">
        <v>46753.0</v>
      </c>
      <c r="T23" s="30">
        <v>47118.0</v>
      </c>
      <c r="U23" s="36">
        <v>0.0</v>
      </c>
      <c r="V23" s="36">
        <v>0.0</v>
      </c>
      <c r="W23" s="35" t="s">
        <v>7045</v>
      </c>
      <c r="X23" s="30">
        <v>47119.0</v>
      </c>
      <c r="Y23" s="30">
        <v>47483.0</v>
      </c>
      <c r="Z23" s="36">
        <v>0.0</v>
      </c>
      <c r="AA23" s="36">
        <v>0.0</v>
      </c>
      <c r="AB23" s="35" t="s">
        <v>7045</v>
      </c>
      <c r="AC23" s="30">
        <v>47484.0</v>
      </c>
      <c r="AD23" s="30">
        <v>47848.0</v>
      </c>
      <c r="AE23" s="36">
        <v>0.0</v>
      </c>
      <c r="AF23" s="36">
        <v>0.0</v>
      </c>
      <c r="AG23" s="35" t="s">
        <v>7045</v>
      </c>
      <c r="AH23" s="30">
        <v>45292.0</v>
      </c>
      <c r="AI23" s="30">
        <v>45657.0</v>
      </c>
      <c r="AJ23" s="36">
        <v>2362.31</v>
      </c>
      <c r="AK23" s="36">
        <v>3799.97</v>
      </c>
      <c r="AL23" s="37" t="s">
        <v>7046</v>
      </c>
      <c r="AM23" s="30">
        <v>44562.0</v>
      </c>
      <c r="AN23" s="30">
        <v>44926.0</v>
      </c>
      <c r="AO23" s="36">
        <v>3013.57</v>
      </c>
      <c r="AP23" s="36">
        <v>2499.98</v>
      </c>
      <c r="AQ23" s="38" t="s">
        <v>7047</v>
      </c>
      <c r="AR23" s="30">
        <v>44927.0</v>
      </c>
      <c r="AS23" s="30">
        <v>45291.0</v>
      </c>
      <c r="AT23" s="36">
        <v>2594.69</v>
      </c>
      <c r="AU23" s="36">
        <v>3599.97</v>
      </c>
      <c r="AV23" s="37" t="s">
        <v>7046</v>
      </c>
    </row>
    <row r="24" ht="14.25" customHeight="1">
      <c r="A24" s="28" t="s">
        <v>6860</v>
      </c>
      <c r="B24" s="29" t="s">
        <v>6861</v>
      </c>
      <c r="C24" s="29" t="s">
        <v>7041</v>
      </c>
      <c r="D24" s="30">
        <v>45658.0</v>
      </c>
      <c r="E24" s="30">
        <v>46022.0</v>
      </c>
      <c r="F24" s="39">
        <v>3937.24</v>
      </c>
      <c r="G24" s="39">
        <v>8000.0</v>
      </c>
      <c r="H24" s="37" t="s">
        <v>7046</v>
      </c>
      <c r="I24" s="30">
        <v>46023.0</v>
      </c>
      <c r="J24" s="30">
        <v>46387.0</v>
      </c>
      <c r="K24" s="39">
        <v>0.0</v>
      </c>
      <c r="L24" s="39">
        <v>0.0</v>
      </c>
      <c r="M24" s="32" t="s">
        <v>7043</v>
      </c>
      <c r="N24" s="30">
        <v>46388.0</v>
      </c>
      <c r="O24" s="30">
        <v>46752.0</v>
      </c>
      <c r="P24" s="39">
        <v>0.0</v>
      </c>
      <c r="Q24" s="39">
        <v>0.0</v>
      </c>
      <c r="R24" s="32" t="s">
        <v>7043</v>
      </c>
      <c r="S24" s="30">
        <v>46753.0</v>
      </c>
      <c r="T24" s="30">
        <v>47118.0</v>
      </c>
      <c r="U24" s="39">
        <v>0.0</v>
      </c>
      <c r="V24" s="39">
        <v>0.0</v>
      </c>
      <c r="W24" s="35" t="s">
        <v>7045</v>
      </c>
      <c r="X24" s="30">
        <v>47119.0</v>
      </c>
      <c r="Y24" s="30">
        <v>47483.0</v>
      </c>
      <c r="Z24" s="39">
        <v>0.0</v>
      </c>
      <c r="AA24" s="39">
        <v>0.0</v>
      </c>
      <c r="AB24" s="35" t="s">
        <v>7045</v>
      </c>
      <c r="AC24" s="30">
        <v>47484.0</v>
      </c>
      <c r="AD24" s="30">
        <v>47848.0</v>
      </c>
      <c r="AE24" s="39">
        <v>0.0</v>
      </c>
      <c r="AF24" s="39">
        <v>0.0</v>
      </c>
      <c r="AG24" s="35" t="s">
        <v>7045</v>
      </c>
      <c r="AH24" s="30">
        <v>45292.0</v>
      </c>
      <c r="AI24" s="30">
        <v>45657.0</v>
      </c>
      <c r="AJ24" s="39">
        <v>6500.67</v>
      </c>
      <c r="AK24" s="39">
        <v>10000.0</v>
      </c>
      <c r="AL24" s="37" t="s">
        <v>7046</v>
      </c>
      <c r="AM24" s="30">
        <v>44562.0</v>
      </c>
      <c r="AN24" s="30">
        <v>44926.0</v>
      </c>
      <c r="AO24" s="39">
        <v>7163.4</v>
      </c>
      <c r="AP24" s="39">
        <v>6100.0</v>
      </c>
      <c r="AQ24" s="38" t="s">
        <v>7047</v>
      </c>
      <c r="AR24" s="30">
        <v>44927.0</v>
      </c>
      <c r="AS24" s="30">
        <v>45291.0</v>
      </c>
      <c r="AT24" s="39">
        <v>7277.34</v>
      </c>
      <c r="AU24" s="39">
        <v>7300.0</v>
      </c>
      <c r="AV24" s="37" t="s">
        <v>7046</v>
      </c>
    </row>
    <row r="25" ht="14.25" customHeight="1">
      <c r="A25" s="28" t="s">
        <v>595</v>
      </c>
      <c r="B25" s="29" t="s">
        <v>596</v>
      </c>
      <c r="C25" s="29" t="s">
        <v>7041</v>
      </c>
      <c r="D25" s="30">
        <v>45658.0</v>
      </c>
      <c r="E25" s="30">
        <v>46022.0</v>
      </c>
      <c r="F25" s="36">
        <v>4558.46</v>
      </c>
      <c r="G25" s="36">
        <v>4499.96</v>
      </c>
      <c r="H25" s="38" t="s">
        <v>7047</v>
      </c>
      <c r="I25" s="30">
        <v>46023.0</v>
      </c>
      <c r="J25" s="30">
        <v>46387.0</v>
      </c>
      <c r="K25" s="36">
        <v>0.0</v>
      </c>
      <c r="L25" s="36">
        <v>0.0</v>
      </c>
      <c r="M25" s="35" t="s">
        <v>7045</v>
      </c>
      <c r="N25" s="30">
        <v>46388.0</v>
      </c>
      <c r="O25" s="30">
        <v>46752.0</v>
      </c>
      <c r="P25" s="36">
        <v>0.0</v>
      </c>
      <c r="Q25" s="36">
        <v>0.0</v>
      </c>
      <c r="R25" s="35" t="s">
        <v>7045</v>
      </c>
      <c r="S25" s="30">
        <v>46753.0</v>
      </c>
      <c r="T25" s="30">
        <v>47118.0</v>
      </c>
      <c r="U25" s="36">
        <v>0.0</v>
      </c>
      <c r="V25" s="36">
        <v>0.0</v>
      </c>
      <c r="W25" s="35" t="s">
        <v>7045</v>
      </c>
      <c r="X25" s="30">
        <v>47119.0</v>
      </c>
      <c r="Y25" s="30">
        <v>47483.0</v>
      </c>
      <c r="Z25" s="36">
        <v>0.0</v>
      </c>
      <c r="AA25" s="36">
        <v>0.0</v>
      </c>
      <c r="AB25" s="35" t="s">
        <v>7045</v>
      </c>
      <c r="AC25" s="30">
        <v>47484.0</v>
      </c>
      <c r="AD25" s="30">
        <v>47848.0</v>
      </c>
      <c r="AE25" s="36">
        <v>0.0</v>
      </c>
      <c r="AF25" s="36">
        <v>0.0</v>
      </c>
      <c r="AG25" s="35" t="s">
        <v>7045</v>
      </c>
      <c r="AH25" s="30">
        <v>45292.0</v>
      </c>
      <c r="AI25" s="30">
        <v>45657.0</v>
      </c>
      <c r="AJ25" s="36">
        <v>3583.5</v>
      </c>
      <c r="AK25" s="36">
        <v>3599.97</v>
      </c>
      <c r="AL25" s="37" t="s">
        <v>7046</v>
      </c>
      <c r="AM25" s="30">
        <v>44562.0</v>
      </c>
      <c r="AN25" s="30">
        <v>44926.0</v>
      </c>
      <c r="AO25" s="36">
        <v>3215.47</v>
      </c>
      <c r="AP25" s="36">
        <v>2862.98</v>
      </c>
      <c r="AQ25" s="38" t="s">
        <v>7047</v>
      </c>
      <c r="AR25" s="30">
        <v>44927.0</v>
      </c>
      <c r="AS25" s="30">
        <v>45291.0</v>
      </c>
      <c r="AT25" s="36">
        <v>2559.28</v>
      </c>
      <c r="AU25" s="36">
        <v>3699.97</v>
      </c>
      <c r="AV25" s="37" t="s">
        <v>7046</v>
      </c>
    </row>
    <row r="26" ht="14.25" customHeight="1">
      <c r="A26" s="28" t="s">
        <v>1833</v>
      </c>
      <c r="B26" s="29" t="s">
        <v>1834</v>
      </c>
      <c r="C26" s="29" t="s">
        <v>7041</v>
      </c>
      <c r="D26" s="30">
        <v>45658.0</v>
      </c>
      <c r="E26" s="30">
        <v>46022.0</v>
      </c>
      <c r="F26" s="39">
        <v>2061.6</v>
      </c>
      <c r="G26" s="39">
        <v>4350.0</v>
      </c>
      <c r="H26" s="37" t="s">
        <v>7046</v>
      </c>
      <c r="I26" s="30">
        <v>46023.0</v>
      </c>
      <c r="J26" s="30">
        <v>46387.0</v>
      </c>
      <c r="K26" s="39">
        <v>0.0</v>
      </c>
      <c r="L26" s="39">
        <v>0.0</v>
      </c>
      <c r="M26" s="35" t="s">
        <v>7045</v>
      </c>
      <c r="N26" s="30">
        <v>46388.0</v>
      </c>
      <c r="O26" s="30">
        <v>46752.0</v>
      </c>
      <c r="P26" s="39">
        <v>0.0</v>
      </c>
      <c r="Q26" s="39">
        <v>0.0</v>
      </c>
      <c r="R26" s="35" t="s">
        <v>7045</v>
      </c>
      <c r="S26" s="30">
        <v>46753.0</v>
      </c>
      <c r="T26" s="30">
        <v>47118.0</v>
      </c>
      <c r="U26" s="39">
        <v>0.0</v>
      </c>
      <c r="V26" s="39">
        <v>0.0</v>
      </c>
      <c r="W26" s="35" t="s">
        <v>7045</v>
      </c>
      <c r="X26" s="30">
        <v>47119.0</v>
      </c>
      <c r="Y26" s="30">
        <v>47483.0</v>
      </c>
      <c r="Z26" s="39">
        <v>0.0</v>
      </c>
      <c r="AA26" s="39">
        <v>0.0</v>
      </c>
      <c r="AB26" s="35" t="s">
        <v>7045</v>
      </c>
      <c r="AC26" s="30">
        <v>47484.0</v>
      </c>
      <c r="AD26" s="30">
        <v>47848.0</v>
      </c>
      <c r="AE26" s="39">
        <v>0.0</v>
      </c>
      <c r="AF26" s="39">
        <v>0.0</v>
      </c>
      <c r="AG26" s="35" t="s">
        <v>7045</v>
      </c>
      <c r="AH26" s="30">
        <v>45292.0</v>
      </c>
      <c r="AI26" s="30">
        <v>45657.0</v>
      </c>
      <c r="AJ26" s="39">
        <v>3897.66</v>
      </c>
      <c r="AK26" s="39">
        <v>4200.0</v>
      </c>
      <c r="AL26" s="37" t="s">
        <v>7046</v>
      </c>
      <c r="AM26" s="30">
        <v>44562.0</v>
      </c>
      <c r="AN26" s="30">
        <v>44926.0</v>
      </c>
      <c r="AO26" s="39">
        <v>3398.4</v>
      </c>
      <c r="AP26" s="39">
        <v>3700.0</v>
      </c>
      <c r="AQ26" s="37" t="s">
        <v>7046</v>
      </c>
      <c r="AR26" s="30">
        <v>44927.0</v>
      </c>
      <c r="AS26" s="30">
        <v>45291.0</v>
      </c>
      <c r="AT26" s="39">
        <v>3767.27</v>
      </c>
      <c r="AU26" s="39">
        <v>4300.0</v>
      </c>
      <c r="AV26" s="37" t="s">
        <v>7046</v>
      </c>
    </row>
    <row r="27" ht="14.25" customHeight="1">
      <c r="A27" s="28" t="s">
        <v>2007</v>
      </c>
      <c r="B27" s="29" t="s">
        <v>2004</v>
      </c>
      <c r="C27" s="29" t="s">
        <v>7041</v>
      </c>
      <c r="D27" s="30">
        <v>45658.0</v>
      </c>
      <c r="E27" s="30">
        <v>46022.0</v>
      </c>
      <c r="F27" s="36">
        <v>158.29</v>
      </c>
      <c r="G27" s="36">
        <v>1453.69</v>
      </c>
      <c r="H27" s="32" t="s">
        <v>7043</v>
      </c>
      <c r="I27" s="30">
        <v>46023.0</v>
      </c>
      <c r="J27" s="30">
        <v>46387.0</v>
      </c>
      <c r="K27" s="36">
        <v>0.0</v>
      </c>
      <c r="L27" s="36">
        <v>0.0</v>
      </c>
      <c r="M27" s="35" t="s">
        <v>7045</v>
      </c>
      <c r="N27" s="30">
        <v>46388.0</v>
      </c>
      <c r="O27" s="30">
        <v>46752.0</v>
      </c>
      <c r="P27" s="36">
        <v>0.0</v>
      </c>
      <c r="Q27" s="36">
        <v>0.0</v>
      </c>
      <c r="R27" s="35" t="s">
        <v>7045</v>
      </c>
      <c r="S27" s="30">
        <v>46753.0</v>
      </c>
      <c r="T27" s="30">
        <v>47118.0</v>
      </c>
      <c r="U27" s="36">
        <v>0.0</v>
      </c>
      <c r="V27" s="36">
        <v>0.0</v>
      </c>
      <c r="W27" s="35" t="s">
        <v>7045</v>
      </c>
      <c r="X27" s="30">
        <v>47119.0</v>
      </c>
      <c r="Y27" s="30">
        <v>47483.0</v>
      </c>
      <c r="Z27" s="36">
        <v>0.0</v>
      </c>
      <c r="AA27" s="36">
        <v>0.0</v>
      </c>
      <c r="AB27" s="35" t="s">
        <v>7045</v>
      </c>
      <c r="AC27" s="30">
        <v>47484.0</v>
      </c>
      <c r="AD27" s="30">
        <v>47848.0</v>
      </c>
      <c r="AE27" s="36">
        <v>0.0</v>
      </c>
      <c r="AF27" s="36">
        <v>0.0</v>
      </c>
      <c r="AG27" s="35" t="s">
        <v>7045</v>
      </c>
      <c r="AH27" s="30">
        <v>45292.0</v>
      </c>
      <c r="AI27" s="30">
        <v>45657.0</v>
      </c>
      <c r="AJ27" s="36">
        <v>1255.63</v>
      </c>
      <c r="AK27" s="36">
        <v>1823.98</v>
      </c>
      <c r="AL27" s="37" t="s">
        <v>7046</v>
      </c>
      <c r="AM27" s="30">
        <v>44562.0</v>
      </c>
      <c r="AN27" s="30">
        <v>44926.0</v>
      </c>
      <c r="AO27" s="36">
        <v>949.29</v>
      </c>
      <c r="AP27" s="36">
        <v>2074.98</v>
      </c>
      <c r="AQ27" s="32" t="s">
        <v>7043</v>
      </c>
      <c r="AR27" s="30">
        <v>44927.0</v>
      </c>
      <c r="AS27" s="30">
        <v>45291.0</v>
      </c>
      <c r="AT27" s="36">
        <v>1381.72</v>
      </c>
      <c r="AU27" s="36">
        <v>1516.69</v>
      </c>
      <c r="AV27" s="37" t="s">
        <v>7046</v>
      </c>
    </row>
    <row r="28" ht="14.25" customHeight="1">
      <c r="A28" s="28" t="s">
        <v>3203</v>
      </c>
      <c r="B28" s="29" t="s">
        <v>3204</v>
      </c>
      <c r="C28" s="29" t="s">
        <v>7041</v>
      </c>
      <c r="D28" s="30">
        <v>45658.0</v>
      </c>
      <c r="E28" s="30">
        <v>46022.0</v>
      </c>
      <c r="F28" s="36">
        <v>1140.44</v>
      </c>
      <c r="G28" s="36">
        <v>1307.99</v>
      </c>
      <c r="H28" s="38" t="s">
        <v>7047</v>
      </c>
      <c r="I28" s="30">
        <v>46023.0</v>
      </c>
      <c r="J28" s="30">
        <v>46387.0</v>
      </c>
      <c r="K28" s="36">
        <v>0.0</v>
      </c>
      <c r="L28" s="36">
        <v>0.0</v>
      </c>
      <c r="M28" s="35" t="s">
        <v>7045</v>
      </c>
      <c r="N28" s="30">
        <v>46388.0</v>
      </c>
      <c r="O28" s="30">
        <v>46752.0</v>
      </c>
      <c r="P28" s="36">
        <v>0.0</v>
      </c>
      <c r="Q28" s="36">
        <v>0.0</v>
      </c>
      <c r="R28" s="35" t="s">
        <v>7045</v>
      </c>
      <c r="S28" s="30">
        <v>46753.0</v>
      </c>
      <c r="T28" s="30">
        <v>47118.0</v>
      </c>
      <c r="U28" s="36">
        <v>0.0</v>
      </c>
      <c r="V28" s="36">
        <v>0.0</v>
      </c>
      <c r="W28" s="35" t="s">
        <v>7045</v>
      </c>
      <c r="X28" s="30">
        <v>47119.0</v>
      </c>
      <c r="Y28" s="30">
        <v>47483.0</v>
      </c>
      <c r="Z28" s="36">
        <v>0.0</v>
      </c>
      <c r="AA28" s="36">
        <v>0.0</v>
      </c>
      <c r="AB28" s="35" t="s">
        <v>7045</v>
      </c>
      <c r="AC28" s="30">
        <v>47484.0</v>
      </c>
      <c r="AD28" s="30">
        <v>47848.0</v>
      </c>
      <c r="AE28" s="36">
        <v>0.0</v>
      </c>
      <c r="AF28" s="36">
        <v>0.0</v>
      </c>
      <c r="AG28" s="35" t="s">
        <v>7045</v>
      </c>
      <c r="AH28" s="30">
        <v>45292.0</v>
      </c>
      <c r="AI28" s="30">
        <v>45657.0</v>
      </c>
      <c r="AJ28" s="36">
        <v>1306.61</v>
      </c>
      <c r="AK28" s="36">
        <v>1199.99</v>
      </c>
      <c r="AL28" s="38" t="s">
        <v>7047</v>
      </c>
      <c r="AM28" s="30">
        <v>44562.0</v>
      </c>
      <c r="AN28" s="30">
        <v>44926.0</v>
      </c>
      <c r="AO28" s="36">
        <v>803.89</v>
      </c>
      <c r="AP28" s="36">
        <v>1499.99</v>
      </c>
      <c r="AQ28" s="37" t="s">
        <v>7046</v>
      </c>
      <c r="AR28" s="30">
        <v>44927.0</v>
      </c>
      <c r="AS28" s="30">
        <v>45291.0</v>
      </c>
      <c r="AT28" s="36">
        <v>1426.18</v>
      </c>
      <c r="AU28" s="36">
        <v>939.99</v>
      </c>
      <c r="AV28" s="38" t="s">
        <v>7047</v>
      </c>
    </row>
    <row r="29" ht="14.25" customHeight="1">
      <c r="A29" s="28" t="s">
        <v>4875</v>
      </c>
      <c r="B29" s="29" t="s">
        <v>4876</v>
      </c>
      <c r="C29" s="29" t="s">
        <v>7041</v>
      </c>
      <c r="D29" s="30">
        <v>45658.0</v>
      </c>
      <c r="E29" s="30">
        <v>46022.0</v>
      </c>
      <c r="F29" s="39">
        <v>16813.87</v>
      </c>
      <c r="G29" s="39">
        <v>33000.0</v>
      </c>
      <c r="H29" s="37" t="s">
        <v>7046</v>
      </c>
      <c r="I29" s="30">
        <v>46023.0</v>
      </c>
      <c r="J29" s="30">
        <v>46387.0</v>
      </c>
      <c r="K29" s="39">
        <v>0.0</v>
      </c>
      <c r="L29" s="39">
        <v>0.0</v>
      </c>
      <c r="M29" s="35" t="s">
        <v>7045</v>
      </c>
      <c r="N29" s="30">
        <v>46388.0</v>
      </c>
      <c r="O29" s="30">
        <v>46752.0</v>
      </c>
      <c r="P29" s="39">
        <v>0.0</v>
      </c>
      <c r="Q29" s="39">
        <v>0.0</v>
      </c>
      <c r="R29" s="35" t="s">
        <v>7045</v>
      </c>
      <c r="S29" s="30">
        <v>46753.0</v>
      </c>
      <c r="T29" s="30">
        <v>47118.0</v>
      </c>
      <c r="U29" s="39">
        <v>0.0</v>
      </c>
      <c r="V29" s="39">
        <v>0.0</v>
      </c>
      <c r="W29" s="35" t="s">
        <v>7045</v>
      </c>
      <c r="X29" s="30">
        <v>47119.0</v>
      </c>
      <c r="Y29" s="30">
        <v>47483.0</v>
      </c>
      <c r="Z29" s="39">
        <v>0.0</v>
      </c>
      <c r="AA29" s="39">
        <v>0.0</v>
      </c>
      <c r="AB29" s="35" t="s">
        <v>7045</v>
      </c>
      <c r="AC29" s="30">
        <v>47484.0</v>
      </c>
      <c r="AD29" s="30">
        <v>47848.0</v>
      </c>
      <c r="AE29" s="39">
        <v>0.0</v>
      </c>
      <c r="AF29" s="39">
        <v>0.0</v>
      </c>
      <c r="AG29" s="35" t="s">
        <v>7045</v>
      </c>
      <c r="AH29" s="30">
        <v>45292.0</v>
      </c>
      <c r="AI29" s="30">
        <v>45657.0</v>
      </c>
      <c r="AJ29" s="39">
        <v>31570.46</v>
      </c>
      <c r="AK29" s="39">
        <v>34000.0</v>
      </c>
      <c r="AL29" s="37" t="s">
        <v>7046</v>
      </c>
      <c r="AM29" s="30">
        <v>44562.0</v>
      </c>
      <c r="AN29" s="30">
        <v>44926.0</v>
      </c>
      <c r="AO29" s="39">
        <v>31107.9</v>
      </c>
      <c r="AP29" s="39">
        <v>31500.0</v>
      </c>
      <c r="AQ29" s="37" t="s">
        <v>7046</v>
      </c>
      <c r="AR29" s="30">
        <v>44927.0</v>
      </c>
      <c r="AS29" s="30">
        <v>45291.0</v>
      </c>
      <c r="AT29" s="39">
        <v>31921.6</v>
      </c>
      <c r="AU29" s="39">
        <v>33001.2</v>
      </c>
      <c r="AV29" s="37" t="s">
        <v>7046</v>
      </c>
    </row>
    <row r="30" ht="14.25" customHeight="1">
      <c r="A30" s="28" t="s">
        <v>6660</v>
      </c>
      <c r="B30" s="29" t="s">
        <v>6661</v>
      </c>
      <c r="C30" s="29" t="s">
        <v>7041</v>
      </c>
      <c r="D30" s="30">
        <v>45658.0</v>
      </c>
      <c r="E30" s="30">
        <v>46022.0</v>
      </c>
      <c r="F30" s="36">
        <v>0.0</v>
      </c>
      <c r="G30" s="36">
        <v>100.0</v>
      </c>
      <c r="H30" s="32" t="s">
        <v>7043</v>
      </c>
      <c r="I30" s="30">
        <v>46023.0</v>
      </c>
      <c r="J30" s="30">
        <v>46387.0</v>
      </c>
      <c r="K30" s="36">
        <v>0.0</v>
      </c>
      <c r="L30" s="36">
        <v>0.0</v>
      </c>
      <c r="M30" s="35" t="s">
        <v>7045</v>
      </c>
      <c r="N30" s="30">
        <v>46388.0</v>
      </c>
      <c r="O30" s="30">
        <v>46752.0</v>
      </c>
      <c r="P30" s="36">
        <v>0.0</v>
      </c>
      <c r="Q30" s="36">
        <v>0.0</v>
      </c>
      <c r="R30" s="35" t="s">
        <v>7045</v>
      </c>
      <c r="S30" s="30">
        <v>46753.0</v>
      </c>
      <c r="T30" s="30">
        <v>47118.0</v>
      </c>
      <c r="U30" s="36">
        <v>0.0</v>
      </c>
      <c r="V30" s="36">
        <v>0.0</v>
      </c>
      <c r="W30" s="35" t="s">
        <v>7045</v>
      </c>
      <c r="X30" s="30">
        <v>47119.0</v>
      </c>
      <c r="Y30" s="30">
        <v>47483.0</v>
      </c>
      <c r="Z30" s="36">
        <v>0.0</v>
      </c>
      <c r="AA30" s="36">
        <v>0.0</v>
      </c>
      <c r="AB30" s="35" t="s">
        <v>7045</v>
      </c>
      <c r="AC30" s="30">
        <v>47484.0</v>
      </c>
      <c r="AD30" s="30">
        <v>47848.0</v>
      </c>
      <c r="AE30" s="36">
        <v>0.0</v>
      </c>
      <c r="AF30" s="36">
        <v>0.0</v>
      </c>
      <c r="AG30" s="35" t="s">
        <v>7045</v>
      </c>
      <c r="AH30" s="30">
        <v>45292.0</v>
      </c>
      <c r="AI30" s="30">
        <v>45657.0</v>
      </c>
      <c r="AJ30" s="36">
        <v>0.0</v>
      </c>
      <c r="AK30" s="36">
        <v>0.0</v>
      </c>
      <c r="AL30" s="35" t="s">
        <v>7045</v>
      </c>
      <c r="AM30" s="30">
        <v>44562.0</v>
      </c>
      <c r="AN30" s="30">
        <v>44926.0</v>
      </c>
      <c r="AO30" s="36">
        <v>0.0</v>
      </c>
      <c r="AP30" s="36">
        <v>0.0</v>
      </c>
      <c r="AQ30" s="35" t="s">
        <v>7045</v>
      </c>
      <c r="AR30" s="30">
        <v>44927.0</v>
      </c>
      <c r="AS30" s="30">
        <v>45291.0</v>
      </c>
      <c r="AT30" s="36">
        <v>0.0</v>
      </c>
      <c r="AU30" s="36">
        <v>0.0</v>
      </c>
      <c r="AV30" s="35" t="s">
        <v>7045</v>
      </c>
    </row>
    <row r="31" ht="14.25" customHeight="1">
      <c r="A31" s="28" t="s">
        <v>4788</v>
      </c>
      <c r="B31" s="29" t="s">
        <v>4789</v>
      </c>
      <c r="C31" s="29" t="s">
        <v>7041</v>
      </c>
      <c r="D31" s="30">
        <v>45658.0</v>
      </c>
      <c r="E31" s="30">
        <v>46022.0</v>
      </c>
      <c r="F31" s="39">
        <v>345.86</v>
      </c>
      <c r="G31" s="39">
        <v>803.0</v>
      </c>
      <c r="H31" s="37" t="s">
        <v>7046</v>
      </c>
      <c r="I31" s="30">
        <v>46023.0</v>
      </c>
      <c r="J31" s="30">
        <v>46387.0</v>
      </c>
      <c r="K31" s="39">
        <v>0.0</v>
      </c>
      <c r="L31" s="39">
        <v>0.0</v>
      </c>
      <c r="M31" s="35" t="s">
        <v>7045</v>
      </c>
      <c r="N31" s="30">
        <v>46388.0</v>
      </c>
      <c r="O31" s="30">
        <v>46752.0</v>
      </c>
      <c r="P31" s="39">
        <v>0.0</v>
      </c>
      <c r="Q31" s="39">
        <v>0.0</v>
      </c>
      <c r="R31" s="35" t="s">
        <v>7045</v>
      </c>
      <c r="S31" s="30">
        <v>46753.0</v>
      </c>
      <c r="T31" s="30">
        <v>47118.0</v>
      </c>
      <c r="U31" s="39">
        <v>0.0</v>
      </c>
      <c r="V31" s="39">
        <v>0.0</v>
      </c>
      <c r="W31" s="35" t="s">
        <v>7045</v>
      </c>
      <c r="X31" s="30">
        <v>47119.0</v>
      </c>
      <c r="Y31" s="30">
        <v>47483.0</v>
      </c>
      <c r="Z31" s="39">
        <v>0.0</v>
      </c>
      <c r="AA31" s="39">
        <v>0.0</v>
      </c>
      <c r="AB31" s="35" t="s">
        <v>7045</v>
      </c>
      <c r="AC31" s="30">
        <v>47484.0</v>
      </c>
      <c r="AD31" s="30">
        <v>47848.0</v>
      </c>
      <c r="AE31" s="39">
        <v>0.0</v>
      </c>
      <c r="AF31" s="39">
        <v>0.0</v>
      </c>
      <c r="AG31" s="35" t="s">
        <v>7045</v>
      </c>
      <c r="AH31" s="30">
        <v>45292.0</v>
      </c>
      <c r="AI31" s="30">
        <v>45657.0</v>
      </c>
      <c r="AJ31" s="39">
        <v>730.2</v>
      </c>
      <c r="AK31" s="39">
        <v>710.0</v>
      </c>
      <c r="AL31" s="38" t="s">
        <v>7047</v>
      </c>
      <c r="AM31" s="30">
        <v>44562.0</v>
      </c>
      <c r="AN31" s="30">
        <v>44926.0</v>
      </c>
      <c r="AO31" s="39">
        <v>942.4</v>
      </c>
      <c r="AP31" s="39">
        <v>800.0</v>
      </c>
      <c r="AQ31" s="38" t="s">
        <v>7047</v>
      </c>
      <c r="AR31" s="30">
        <v>44927.0</v>
      </c>
      <c r="AS31" s="30">
        <v>45291.0</v>
      </c>
      <c r="AT31" s="39">
        <v>661.85</v>
      </c>
      <c r="AU31" s="39">
        <v>983.0</v>
      </c>
      <c r="AV31" s="37" t="s">
        <v>7046</v>
      </c>
    </row>
    <row r="32" ht="14.25" customHeight="1">
      <c r="A32" s="28" t="s">
        <v>4783</v>
      </c>
      <c r="B32" s="29" t="s">
        <v>4784</v>
      </c>
      <c r="C32" s="29" t="s">
        <v>7041</v>
      </c>
      <c r="D32" s="30">
        <v>45658.0</v>
      </c>
      <c r="E32" s="30">
        <v>46022.0</v>
      </c>
      <c r="F32" s="39">
        <v>1612.54</v>
      </c>
      <c r="G32" s="39">
        <v>3845.0</v>
      </c>
      <c r="H32" s="37" t="s">
        <v>7046</v>
      </c>
      <c r="I32" s="30">
        <v>46023.0</v>
      </c>
      <c r="J32" s="30">
        <v>46387.0</v>
      </c>
      <c r="K32" s="39">
        <v>0.0</v>
      </c>
      <c r="L32" s="39">
        <v>0.0</v>
      </c>
      <c r="M32" s="35" t="s">
        <v>7045</v>
      </c>
      <c r="N32" s="30">
        <v>46388.0</v>
      </c>
      <c r="O32" s="30">
        <v>46752.0</v>
      </c>
      <c r="P32" s="39">
        <v>0.0</v>
      </c>
      <c r="Q32" s="39">
        <v>0.0</v>
      </c>
      <c r="R32" s="35" t="s">
        <v>7045</v>
      </c>
      <c r="S32" s="30">
        <v>46753.0</v>
      </c>
      <c r="T32" s="30">
        <v>47118.0</v>
      </c>
      <c r="U32" s="39">
        <v>0.0</v>
      </c>
      <c r="V32" s="39">
        <v>0.0</v>
      </c>
      <c r="W32" s="35" t="s">
        <v>7045</v>
      </c>
      <c r="X32" s="30">
        <v>47119.0</v>
      </c>
      <c r="Y32" s="30">
        <v>47483.0</v>
      </c>
      <c r="Z32" s="39">
        <v>0.0</v>
      </c>
      <c r="AA32" s="39">
        <v>0.0</v>
      </c>
      <c r="AB32" s="35" t="s">
        <v>7045</v>
      </c>
      <c r="AC32" s="30">
        <v>47484.0</v>
      </c>
      <c r="AD32" s="30">
        <v>47848.0</v>
      </c>
      <c r="AE32" s="39">
        <v>0.0</v>
      </c>
      <c r="AF32" s="39">
        <v>0.0</v>
      </c>
      <c r="AG32" s="35" t="s">
        <v>7045</v>
      </c>
      <c r="AH32" s="30">
        <v>45292.0</v>
      </c>
      <c r="AI32" s="30">
        <v>45657.0</v>
      </c>
      <c r="AJ32" s="39">
        <v>3371.27</v>
      </c>
      <c r="AK32" s="39">
        <v>0.0</v>
      </c>
      <c r="AL32" s="38" t="s">
        <v>7047</v>
      </c>
      <c r="AM32" s="30">
        <v>44562.0</v>
      </c>
      <c r="AN32" s="30">
        <v>44926.0</v>
      </c>
      <c r="AO32" s="39">
        <v>4290.2</v>
      </c>
      <c r="AP32" s="39">
        <v>4105.0</v>
      </c>
      <c r="AQ32" s="38" t="s">
        <v>7047</v>
      </c>
      <c r="AR32" s="30">
        <v>44927.0</v>
      </c>
      <c r="AS32" s="30">
        <v>45291.0</v>
      </c>
      <c r="AT32" s="39">
        <v>3823.66</v>
      </c>
      <c r="AU32" s="39">
        <v>0.0</v>
      </c>
      <c r="AV32" s="38" t="s">
        <v>7047</v>
      </c>
    </row>
    <row r="33" ht="14.25" customHeight="1">
      <c r="A33" s="28" t="s">
        <v>4845</v>
      </c>
      <c r="B33" s="29" t="s">
        <v>4846</v>
      </c>
      <c r="C33" s="29" t="s">
        <v>7041</v>
      </c>
      <c r="D33" s="30">
        <v>45658.0</v>
      </c>
      <c r="E33" s="30">
        <v>46022.0</v>
      </c>
      <c r="F33" s="39">
        <v>644.93</v>
      </c>
      <c r="G33" s="39">
        <v>1300.0</v>
      </c>
      <c r="H33" s="37" t="s">
        <v>7046</v>
      </c>
      <c r="I33" s="30">
        <v>46023.0</v>
      </c>
      <c r="J33" s="30">
        <v>46387.0</v>
      </c>
      <c r="K33" s="39">
        <v>0.0</v>
      </c>
      <c r="L33" s="39">
        <v>0.0</v>
      </c>
      <c r="M33" s="35" t="s">
        <v>7045</v>
      </c>
      <c r="N33" s="30">
        <v>46388.0</v>
      </c>
      <c r="O33" s="30">
        <v>46752.0</v>
      </c>
      <c r="P33" s="39">
        <v>0.0</v>
      </c>
      <c r="Q33" s="39">
        <v>0.0</v>
      </c>
      <c r="R33" s="35" t="s">
        <v>7045</v>
      </c>
      <c r="S33" s="30">
        <v>46753.0</v>
      </c>
      <c r="T33" s="30">
        <v>47118.0</v>
      </c>
      <c r="U33" s="39">
        <v>0.0</v>
      </c>
      <c r="V33" s="39">
        <v>0.0</v>
      </c>
      <c r="W33" s="35" t="s">
        <v>7045</v>
      </c>
      <c r="X33" s="30">
        <v>47119.0</v>
      </c>
      <c r="Y33" s="30">
        <v>47483.0</v>
      </c>
      <c r="Z33" s="39">
        <v>0.0</v>
      </c>
      <c r="AA33" s="39">
        <v>0.0</v>
      </c>
      <c r="AB33" s="35" t="s">
        <v>7045</v>
      </c>
      <c r="AC33" s="30">
        <v>47484.0</v>
      </c>
      <c r="AD33" s="30">
        <v>47848.0</v>
      </c>
      <c r="AE33" s="39">
        <v>0.0</v>
      </c>
      <c r="AF33" s="39">
        <v>0.0</v>
      </c>
      <c r="AG33" s="35" t="s">
        <v>7045</v>
      </c>
      <c r="AH33" s="30">
        <v>45292.0</v>
      </c>
      <c r="AI33" s="30">
        <v>45657.0</v>
      </c>
      <c r="AJ33" s="39">
        <v>881.13</v>
      </c>
      <c r="AK33" s="39">
        <v>1300.0</v>
      </c>
      <c r="AL33" s="37" t="s">
        <v>7046</v>
      </c>
      <c r="AM33" s="30">
        <v>44562.0</v>
      </c>
      <c r="AN33" s="30">
        <v>44926.0</v>
      </c>
      <c r="AO33" s="39">
        <v>1502.7</v>
      </c>
      <c r="AP33" s="39">
        <v>1660.0</v>
      </c>
      <c r="AQ33" s="37" t="s">
        <v>7046</v>
      </c>
      <c r="AR33" s="30">
        <v>44927.0</v>
      </c>
      <c r="AS33" s="30">
        <v>45291.0</v>
      </c>
      <c r="AT33" s="39">
        <v>1003.24</v>
      </c>
      <c r="AU33" s="39">
        <v>1600.0</v>
      </c>
      <c r="AV33" s="37" t="s">
        <v>7046</v>
      </c>
    </row>
    <row r="34" ht="14.25" customHeight="1">
      <c r="A34" s="28" t="s">
        <v>4849</v>
      </c>
      <c r="B34" s="29" t="s">
        <v>4850</v>
      </c>
      <c r="C34" s="29" t="s">
        <v>7041</v>
      </c>
      <c r="D34" s="30">
        <v>45658.0</v>
      </c>
      <c r="E34" s="30">
        <v>46022.0</v>
      </c>
      <c r="F34" s="39">
        <v>203.58</v>
      </c>
      <c r="G34" s="39">
        <v>620.0</v>
      </c>
      <c r="H34" s="37" t="s">
        <v>7046</v>
      </c>
      <c r="I34" s="30">
        <v>46023.0</v>
      </c>
      <c r="J34" s="30">
        <v>46387.0</v>
      </c>
      <c r="K34" s="39">
        <v>0.0</v>
      </c>
      <c r="L34" s="39">
        <v>0.0</v>
      </c>
      <c r="M34" s="35" t="s">
        <v>7045</v>
      </c>
      <c r="N34" s="30">
        <v>46388.0</v>
      </c>
      <c r="O34" s="30">
        <v>46752.0</v>
      </c>
      <c r="P34" s="39">
        <v>0.0</v>
      </c>
      <c r="Q34" s="39">
        <v>0.0</v>
      </c>
      <c r="R34" s="35" t="s">
        <v>7045</v>
      </c>
      <c r="S34" s="30">
        <v>46753.0</v>
      </c>
      <c r="T34" s="30">
        <v>47118.0</v>
      </c>
      <c r="U34" s="39">
        <v>0.0</v>
      </c>
      <c r="V34" s="39">
        <v>0.0</v>
      </c>
      <c r="W34" s="35" t="s">
        <v>7045</v>
      </c>
      <c r="X34" s="30">
        <v>47119.0</v>
      </c>
      <c r="Y34" s="30">
        <v>47483.0</v>
      </c>
      <c r="Z34" s="39">
        <v>0.0</v>
      </c>
      <c r="AA34" s="39">
        <v>0.0</v>
      </c>
      <c r="AB34" s="35" t="s">
        <v>7045</v>
      </c>
      <c r="AC34" s="30">
        <v>47484.0</v>
      </c>
      <c r="AD34" s="30">
        <v>47848.0</v>
      </c>
      <c r="AE34" s="39">
        <v>0.0</v>
      </c>
      <c r="AF34" s="39">
        <v>0.0</v>
      </c>
      <c r="AG34" s="35" t="s">
        <v>7045</v>
      </c>
      <c r="AH34" s="30">
        <v>45292.0</v>
      </c>
      <c r="AI34" s="30">
        <v>45657.0</v>
      </c>
      <c r="AJ34" s="39">
        <v>489.55</v>
      </c>
      <c r="AK34" s="39">
        <v>1740.2</v>
      </c>
      <c r="AL34" s="32" t="s">
        <v>7043</v>
      </c>
      <c r="AM34" s="30">
        <v>44562.0</v>
      </c>
      <c r="AN34" s="30">
        <v>44926.0</v>
      </c>
      <c r="AO34" s="39">
        <v>512.5</v>
      </c>
      <c r="AP34" s="39">
        <v>650000.0</v>
      </c>
      <c r="AQ34" s="32" t="s">
        <v>7043</v>
      </c>
      <c r="AR34" s="30">
        <v>44927.0</v>
      </c>
      <c r="AS34" s="30">
        <v>45291.0</v>
      </c>
      <c r="AT34" s="39">
        <v>1417.47</v>
      </c>
      <c r="AU34" s="39">
        <v>652.0</v>
      </c>
      <c r="AV34" s="38" t="s">
        <v>7047</v>
      </c>
    </row>
    <row r="35" ht="14.25" customHeight="1">
      <c r="A35" s="28" t="s">
        <v>4838</v>
      </c>
      <c r="B35" s="29" t="s">
        <v>4839</v>
      </c>
      <c r="C35" s="29" t="s">
        <v>7041</v>
      </c>
      <c r="D35" s="30">
        <v>45658.0</v>
      </c>
      <c r="E35" s="30">
        <v>46022.0</v>
      </c>
      <c r="F35" s="36">
        <v>474.03</v>
      </c>
      <c r="G35" s="36">
        <v>0.0</v>
      </c>
      <c r="H35" s="38" t="s">
        <v>7047</v>
      </c>
      <c r="I35" s="30">
        <v>46023.0</v>
      </c>
      <c r="J35" s="30">
        <v>46387.0</v>
      </c>
      <c r="K35" s="36">
        <v>0.0</v>
      </c>
      <c r="L35" s="36">
        <v>0.0</v>
      </c>
      <c r="M35" s="35" t="s">
        <v>7045</v>
      </c>
      <c r="N35" s="30">
        <v>46388.0</v>
      </c>
      <c r="O35" s="30">
        <v>46752.0</v>
      </c>
      <c r="P35" s="36">
        <v>0.0</v>
      </c>
      <c r="Q35" s="36">
        <v>0.0</v>
      </c>
      <c r="R35" s="35" t="s">
        <v>7045</v>
      </c>
      <c r="S35" s="30">
        <v>46753.0</v>
      </c>
      <c r="T35" s="30">
        <v>47118.0</v>
      </c>
      <c r="U35" s="36">
        <v>0.0</v>
      </c>
      <c r="V35" s="36">
        <v>0.0</v>
      </c>
      <c r="W35" s="35" t="s">
        <v>7045</v>
      </c>
      <c r="X35" s="30">
        <v>47119.0</v>
      </c>
      <c r="Y35" s="30">
        <v>47483.0</v>
      </c>
      <c r="Z35" s="36">
        <v>0.0</v>
      </c>
      <c r="AA35" s="36">
        <v>0.0</v>
      </c>
      <c r="AB35" s="35" t="s">
        <v>7045</v>
      </c>
      <c r="AC35" s="30">
        <v>47484.0</v>
      </c>
      <c r="AD35" s="30">
        <v>47848.0</v>
      </c>
      <c r="AE35" s="36">
        <v>0.0</v>
      </c>
      <c r="AF35" s="36">
        <v>0.0</v>
      </c>
      <c r="AG35" s="35" t="s">
        <v>7045</v>
      </c>
      <c r="AH35" s="30">
        <v>45292.0</v>
      </c>
      <c r="AI35" s="30">
        <v>45657.0</v>
      </c>
      <c r="AJ35" s="36">
        <v>2653.75</v>
      </c>
      <c r="AK35" s="36">
        <v>3499.97</v>
      </c>
      <c r="AL35" s="37" t="s">
        <v>7046</v>
      </c>
      <c r="AM35" s="30">
        <v>44562.0</v>
      </c>
      <c r="AN35" s="30">
        <v>44926.0</v>
      </c>
      <c r="AO35" s="36">
        <v>1631.59</v>
      </c>
      <c r="AP35" s="36">
        <v>0.0</v>
      </c>
      <c r="AQ35" s="38" t="s">
        <v>7047</v>
      </c>
      <c r="AR35" s="30">
        <v>44927.0</v>
      </c>
      <c r="AS35" s="30">
        <v>45291.0</v>
      </c>
      <c r="AT35" s="36">
        <v>3092.75</v>
      </c>
      <c r="AU35" s="36">
        <v>0.0</v>
      </c>
      <c r="AV35" s="38" t="s">
        <v>7047</v>
      </c>
    </row>
    <row r="36" ht="14.25" customHeight="1">
      <c r="A36" s="28" t="s">
        <v>1956</v>
      </c>
      <c r="B36" s="29" t="s">
        <v>1957</v>
      </c>
      <c r="C36" s="29" t="s">
        <v>7041</v>
      </c>
      <c r="D36" s="30">
        <v>45658.0</v>
      </c>
      <c r="E36" s="30">
        <v>46022.0</v>
      </c>
      <c r="F36" s="36">
        <v>2908.71</v>
      </c>
      <c r="G36" s="36">
        <v>0.0</v>
      </c>
      <c r="H36" s="38" t="s">
        <v>7047</v>
      </c>
      <c r="I36" s="30">
        <v>46023.0</v>
      </c>
      <c r="J36" s="30">
        <v>46387.0</v>
      </c>
      <c r="K36" s="36">
        <v>0.0</v>
      </c>
      <c r="L36" s="36">
        <v>0.0</v>
      </c>
      <c r="M36" s="35" t="s">
        <v>7045</v>
      </c>
      <c r="N36" s="30">
        <v>46388.0</v>
      </c>
      <c r="O36" s="30">
        <v>46752.0</v>
      </c>
      <c r="P36" s="36">
        <v>0.0</v>
      </c>
      <c r="Q36" s="36">
        <v>0.0</v>
      </c>
      <c r="R36" s="35" t="s">
        <v>7045</v>
      </c>
      <c r="S36" s="30">
        <v>46753.0</v>
      </c>
      <c r="T36" s="30">
        <v>47118.0</v>
      </c>
      <c r="U36" s="36">
        <v>0.0</v>
      </c>
      <c r="V36" s="36">
        <v>0.0</v>
      </c>
      <c r="W36" s="35" t="s">
        <v>7045</v>
      </c>
      <c r="X36" s="30">
        <v>47119.0</v>
      </c>
      <c r="Y36" s="30">
        <v>47483.0</v>
      </c>
      <c r="Z36" s="36">
        <v>0.0</v>
      </c>
      <c r="AA36" s="36">
        <v>0.0</v>
      </c>
      <c r="AB36" s="35" t="s">
        <v>7045</v>
      </c>
      <c r="AC36" s="30">
        <v>47484.0</v>
      </c>
      <c r="AD36" s="30">
        <v>47848.0</v>
      </c>
      <c r="AE36" s="36">
        <v>0.0</v>
      </c>
      <c r="AF36" s="36">
        <v>0.0</v>
      </c>
      <c r="AG36" s="35" t="s">
        <v>7045</v>
      </c>
      <c r="AH36" s="30">
        <v>45292.0</v>
      </c>
      <c r="AI36" s="30">
        <v>45657.0</v>
      </c>
      <c r="AJ36" s="36">
        <v>7047.65</v>
      </c>
      <c r="AK36" s="36">
        <v>0.0</v>
      </c>
      <c r="AL36" s="38" t="s">
        <v>7047</v>
      </c>
      <c r="AM36" s="30">
        <v>44562.0</v>
      </c>
      <c r="AN36" s="30">
        <v>44926.0</v>
      </c>
      <c r="AO36" s="36">
        <v>2830.68</v>
      </c>
      <c r="AP36" s="36">
        <v>0.0</v>
      </c>
      <c r="AQ36" s="38" t="s">
        <v>7047</v>
      </c>
      <c r="AR36" s="30">
        <v>44927.0</v>
      </c>
      <c r="AS36" s="30">
        <v>45291.0</v>
      </c>
      <c r="AT36" s="36">
        <v>5639.13</v>
      </c>
      <c r="AU36" s="36">
        <v>1099.99</v>
      </c>
      <c r="AV36" s="38" t="s">
        <v>7047</v>
      </c>
    </row>
    <row r="37" ht="14.25" customHeight="1">
      <c r="A37" s="28" t="s">
        <v>4981</v>
      </c>
      <c r="B37" s="29" t="s">
        <v>4982</v>
      </c>
      <c r="C37" s="29" t="s">
        <v>7041</v>
      </c>
      <c r="D37" s="30">
        <v>45658.0</v>
      </c>
      <c r="E37" s="30">
        <v>46022.0</v>
      </c>
      <c r="F37" s="36">
        <v>448.72</v>
      </c>
      <c r="G37" s="36">
        <v>1268.59</v>
      </c>
      <c r="H37" s="37" t="s">
        <v>7046</v>
      </c>
      <c r="I37" s="30">
        <v>46023.0</v>
      </c>
      <c r="J37" s="30">
        <v>46387.0</v>
      </c>
      <c r="K37" s="36">
        <v>0.0</v>
      </c>
      <c r="L37" s="36">
        <v>0.0</v>
      </c>
      <c r="M37" s="35" t="s">
        <v>7045</v>
      </c>
      <c r="N37" s="30">
        <v>46388.0</v>
      </c>
      <c r="O37" s="30">
        <v>46752.0</v>
      </c>
      <c r="P37" s="36">
        <v>0.0</v>
      </c>
      <c r="Q37" s="36">
        <v>0.0</v>
      </c>
      <c r="R37" s="35" t="s">
        <v>7045</v>
      </c>
      <c r="S37" s="30">
        <v>46753.0</v>
      </c>
      <c r="T37" s="30">
        <v>47118.0</v>
      </c>
      <c r="U37" s="36">
        <v>0.0</v>
      </c>
      <c r="V37" s="36">
        <v>0.0</v>
      </c>
      <c r="W37" s="35" t="s">
        <v>7045</v>
      </c>
      <c r="X37" s="30">
        <v>47119.0</v>
      </c>
      <c r="Y37" s="30">
        <v>47483.0</v>
      </c>
      <c r="Z37" s="36">
        <v>0.0</v>
      </c>
      <c r="AA37" s="36">
        <v>0.0</v>
      </c>
      <c r="AB37" s="35" t="s">
        <v>7045</v>
      </c>
      <c r="AC37" s="30">
        <v>47484.0</v>
      </c>
      <c r="AD37" s="30">
        <v>47848.0</v>
      </c>
      <c r="AE37" s="36">
        <v>0.0</v>
      </c>
      <c r="AF37" s="36">
        <v>0.0</v>
      </c>
      <c r="AG37" s="35" t="s">
        <v>7045</v>
      </c>
      <c r="AH37" s="30">
        <v>45292.0</v>
      </c>
      <c r="AI37" s="30">
        <v>45657.0</v>
      </c>
      <c r="AJ37" s="36">
        <v>1346.0</v>
      </c>
      <c r="AK37" s="36">
        <v>1459.99</v>
      </c>
      <c r="AL37" s="37" t="s">
        <v>7046</v>
      </c>
      <c r="AM37" s="30">
        <v>44562.0</v>
      </c>
      <c r="AN37" s="30">
        <v>44926.0</v>
      </c>
      <c r="AO37" s="36">
        <v>1046.49</v>
      </c>
      <c r="AP37" s="36">
        <v>1121.99</v>
      </c>
      <c r="AQ37" s="37" t="s">
        <v>7046</v>
      </c>
      <c r="AR37" s="30">
        <v>44927.0</v>
      </c>
      <c r="AS37" s="30">
        <v>45291.0</v>
      </c>
      <c r="AT37" s="36">
        <v>1652.41</v>
      </c>
      <c r="AU37" s="36">
        <v>1169.09</v>
      </c>
      <c r="AV37" s="38" t="s">
        <v>7047</v>
      </c>
    </row>
    <row r="38" ht="14.25" customHeight="1">
      <c r="A38" s="28" t="s">
        <v>2137</v>
      </c>
      <c r="B38" s="29" t="s">
        <v>2138</v>
      </c>
      <c r="C38" s="29" t="s">
        <v>7041</v>
      </c>
      <c r="D38" s="30">
        <v>45658.0</v>
      </c>
      <c r="E38" s="30">
        <v>46022.0</v>
      </c>
      <c r="F38" s="36">
        <v>463.2</v>
      </c>
      <c r="G38" s="36">
        <v>2039.88</v>
      </c>
      <c r="H38" s="38" t="s">
        <v>7043</v>
      </c>
      <c r="I38" s="30">
        <v>46023.0</v>
      </c>
      <c r="J38" s="30">
        <v>46387.0</v>
      </c>
      <c r="K38" s="36">
        <v>0.0</v>
      </c>
      <c r="L38" s="36">
        <v>0.0</v>
      </c>
      <c r="M38" s="35" t="s">
        <v>7045</v>
      </c>
      <c r="N38" s="30">
        <v>46388.0</v>
      </c>
      <c r="O38" s="30">
        <v>46752.0</v>
      </c>
      <c r="P38" s="36">
        <v>0.0</v>
      </c>
      <c r="Q38" s="36">
        <v>0.0</v>
      </c>
      <c r="R38" s="35" t="s">
        <v>7045</v>
      </c>
      <c r="S38" s="30">
        <v>46753.0</v>
      </c>
      <c r="T38" s="30">
        <v>47118.0</v>
      </c>
      <c r="U38" s="36">
        <v>0.0</v>
      </c>
      <c r="V38" s="36">
        <v>0.0</v>
      </c>
      <c r="W38" s="35" t="s">
        <v>7045</v>
      </c>
      <c r="X38" s="30">
        <v>47119.0</v>
      </c>
      <c r="Y38" s="30">
        <v>47483.0</v>
      </c>
      <c r="Z38" s="36">
        <v>0.0</v>
      </c>
      <c r="AA38" s="36">
        <v>0.0</v>
      </c>
      <c r="AB38" s="35" t="s">
        <v>7045</v>
      </c>
      <c r="AC38" s="30">
        <v>47484.0</v>
      </c>
      <c r="AD38" s="30">
        <v>47848.0</v>
      </c>
      <c r="AE38" s="36">
        <v>0.0</v>
      </c>
      <c r="AF38" s="36">
        <v>0.0</v>
      </c>
      <c r="AG38" s="35" t="s">
        <v>7045</v>
      </c>
      <c r="AH38" s="30">
        <v>45292.0</v>
      </c>
      <c r="AI38" s="30">
        <v>45657.0</v>
      </c>
      <c r="AJ38" s="36">
        <v>1854.45</v>
      </c>
      <c r="AK38" s="36">
        <v>3205.17</v>
      </c>
      <c r="AL38" s="37" t="s">
        <v>7046</v>
      </c>
      <c r="AM38" s="30">
        <v>44562.0</v>
      </c>
      <c r="AN38" s="30">
        <v>44926.0</v>
      </c>
      <c r="AO38" s="36">
        <v>2784.98</v>
      </c>
      <c r="AP38" s="36">
        <v>4212.46</v>
      </c>
      <c r="AQ38" s="37" t="s">
        <v>7046</v>
      </c>
      <c r="AR38" s="30">
        <v>44927.0</v>
      </c>
      <c r="AS38" s="30">
        <v>45291.0</v>
      </c>
      <c r="AT38" s="36">
        <v>2786.9</v>
      </c>
      <c r="AU38" s="36">
        <v>3205.17</v>
      </c>
      <c r="AV38" s="37" t="s">
        <v>7046</v>
      </c>
    </row>
    <row r="39" ht="14.25" customHeight="1">
      <c r="A39" s="28" t="s">
        <v>5513</v>
      </c>
      <c r="B39" s="29" t="s">
        <v>5514</v>
      </c>
      <c r="C39" s="29" t="s">
        <v>7041</v>
      </c>
      <c r="D39" s="30">
        <v>45658.0</v>
      </c>
      <c r="E39" s="30">
        <v>46022.0</v>
      </c>
      <c r="F39" s="36">
        <v>881.6</v>
      </c>
      <c r="G39" s="36">
        <v>1213.99</v>
      </c>
      <c r="H39" s="37" t="s">
        <v>7047</v>
      </c>
      <c r="I39" s="30">
        <v>46023.0</v>
      </c>
      <c r="J39" s="30">
        <v>46387.0</v>
      </c>
      <c r="K39" s="36">
        <v>0.0</v>
      </c>
      <c r="L39" s="36">
        <v>0.0</v>
      </c>
      <c r="M39" s="35" t="s">
        <v>7045</v>
      </c>
      <c r="N39" s="30">
        <v>46388.0</v>
      </c>
      <c r="O39" s="30">
        <v>46752.0</v>
      </c>
      <c r="P39" s="36">
        <v>0.0</v>
      </c>
      <c r="Q39" s="36">
        <v>0.0</v>
      </c>
      <c r="R39" s="35" t="s">
        <v>7045</v>
      </c>
      <c r="S39" s="30">
        <v>46753.0</v>
      </c>
      <c r="T39" s="30">
        <v>47118.0</v>
      </c>
      <c r="U39" s="36">
        <v>0.0</v>
      </c>
      <c r="V39" s="36">
        <v>0.0</v>
      </c>
      <c r="W39" s="35" t="s">
        <v>7045</v>
      </c>
      <c r="X39" s="30">
        <v>47119.0</v>
      </c>
      <c r="Y39" s="30">
        <v>47483.0</v>
      </c>
      <c r="Z39" s="36">
        <v>0.0</v>
      </c>
      <c r="AA39" s="36">
        <v>0.0</v>
      </c>
      <c r="AB39" s="35" t="s">
        <v>7045</v>
      </c>
      <c r="AC39" s="30">
        <v>47484.0</v>
      </c>
      <c r="AD39" s="30">
        <v>47848.0</v>
      </c>
      <c r="AE39" s="36">
        <v>0.0</v>
      </c>
      <c r="AF39" s="36">
        <v>0.0</v>
      </c>
      <c r="AG39" s="35" t="s">
        <v>7045</v>
      </c>
      <c r="AH39" s="30">
        <v>45292.0</v>
      </c>
      <c r="AI39" s="30">
        <v>45657.0</v>
      </c>
      <c r="AJ39" s="36">
        <v>1103.5</v>
      </c>
      <c r="AK39" s="36">
        <v>1494.99</v>
      </c>
      <c r="AL39" s="37" t="s">
        <v>7046</v>
      </c>
      <c r="AM39" s="30">
        <v>44562.0</v>
      </c>
      <c r="AN39" s="30">
        <v>44926.0</v>
      </c>
      <c r="AO39" s="36">
        <v>2877.77</v>
      </c>
      <c r="AP39" s="36">
        <v>1969.98</v>
      </c>
      <c r="AQ39" s="38" t="s">
        <v>7047</v>
      </c>
      <c r="AR39" s="30">
        <v>44927.0</v>
      </c>
      <c r="AS39" s="30">
        <v>45291.0</v>
      </c>
      <c r="AT39" s="36">
        <v>1733.86</v>
      </c>
      <c r="AU39" s="36">
        <v>3331.27</v>
      </c>
      <c r="AV39" s="37" t="s">
        <v>7046</v>
      </c>
    </row>
    <row r="40" ht="14.25" customHeight="1">
      <c r="A40" s="28" t="s">
        <v>1124</v>
      </c>
      <c r="B40" s="29" t="s">
        <v>1125</v>
      </c>
      <c r="C40" s="29" t="s">
        <v>7041</v>
      </c>
      <c r="D40" s="30">
        <v>45658.0</v>
      </c>
      <c r="E40" s="30">
        <v>46022.0</v>
      </c>
      <c r="F40" s="36">
        <v>237.1</v>
      </c>
      <c r="G40" s="36">
        <v>1332.99</v>
      </c>
      <c r="H40" s="32" t="s">
        <v>7043</v>
      </c>
      <c r="I40" s="30">
        <v>46023.0</v>
      </c>
      <c r="J40" s="30">
        <v>46387.0</v>
      </c>
      <c r="K40" s="36">
        <v>0.0</v>
      </c>
      <c r="L40" s="36">
        <v>0.0</v>
      </c>
      <c r="M40" s="35" t="s">
        <v>7045</v>
      </c>
      <c r="N40" s="30">
        <v>46388.0</v>
      </c>
      <c r="O40" s="30">
        <v>46752.0</v>
      </c>
      <c r="P40" s="36">
        <v>0.0</v>
      </c>
      <c r="Q40" s="36">
        <v>0.0</v>
      </c>
      <c r="R40" s="35" t="s">
        <v>7045</v>
      </c>
      <c r="S40" s="30">
        <v>46753.0</v>
      </c>
      <c r="T40" s="30">
        <v>47118.0</v>
      </c>
      <c r="U40" s="36">
        <v>0.0</v>
      </c>
      <c r="V40" s="36">
        <v>0.0</v>
      </c>
      <c r="W40" s="35" t="s">
        <v>7045</v>
      </c>
      <c r="X40" s="30">
        <v>47119.0</v>
      </c>
      <c r="Y40" s="30">
        <v>47483.0</v>
      </c>
      <c r="Z40" s="36">
        <v>0.0</v>
      </c>
      <c r="AA40" s="36">
        <v>0.0</v>
      </c>
      <c r="AB40" s="35" t="s">
        <v>7045</v>
      </c>
      <c r="AC40" s="30">
        <v>47484.0</v>
      </c>
      <c r="AD40" s="30">
        <v>47848.0</v>
      </c>
      <c r="AE40" s="36">
        <v>0.0</v>
      </c>
      <c r="AF40" s="36">
        <v>0.0</v>
      </c>
      <c r="AG40" s="35" t="s">
        <v>7045</v>
      </c>
      <c r="AH40" s="30">
        <v>45292.0</v>
      </c>
      <c r="AI40" s="30">
        <v>45657.0</v>
      </c>
      <c r="AJ40" s="36">
        <v>1052.51</v>
      </c>
      <c r="AK40" s="36">
        <v>1659.99</v>
      </c>
      <c r="AL40" s="37" t="s">
        <v>7046</v>
      </c>
      <c r="AM40" s="30">
        <v>44562.0</v>
      </c>
      <c r="AN40" s="30">
        <v>44926.0</v>
      </c>
      <c r="AO40" s="36">
        <v>519.1</v>
      </c>
      <c r="AP40" s="36">
        <v>799.99</v>
      </c>
      <c r="AQ40" s="37" t="s">
        <v>7046</v>
      </c>
      <c r="AR40" s="30">
        <v>44927.0</v>
      </c>
      <c r="AS40" s="30">
        <v>45291.0</v>
      </c>
      <c r="AT40" s="36">
        <v>1630.27</v>
      </c>
      <c r="AU40" s="36">
        <v>1149.99</v>
      </c>
      <c r="AV40" s="38" t="s">
        <v>7047</v>
      </c>
    </row>
    <row r="41" ht="14.25" customHeight="1">
      <c r="A41" s="28" t="s">
        <v>654</v>
      </c>
      <c r="B41" s="29" t="s">
        <v>655</v>
      </c>
      <c r="C41" s="29" t="s">
        <v>7041</v>
      </c>
      <c r="D41" s="30">
        <v>45658.0</v>
      </c>
      <c r="E41" s="30">
        <v>46022.0</v>
      </c>
      <c r="F41" s="36">
        <v>65.65</v>
      </c>
      <c r="G41" s="36">
        <v>1549.99</v>
      </c>
      <c r="H41" s="32" t="s">
        <v>7043</v>
      </c>
      <c r="I41" s="30">
        <v>46023.0</v>
      </c>
      <c r="J41" s="30">
        <v>46387.0</v>
      </c>
      <c r="K41" s="36">
        <v>0.0</v>
      </c>
      <c r="L41" s="36">
        <v>0.0</v>
      </c>
      <c r="M41" s="35" t="s">
        <v>7045</v>
      </c>
      <c r="N41" s="30">
        <v>46388.0</v>
      </c>
      <c r="O41" s="30">
        <v>46752.0</v>
      </c>
      <c r="P41" s="36">
        <v>0.0</v>
      </c>
      <c r="Q41" s="36">
        <v>0.0</v>
      </c>
      <c r="R41" s="35" t="s">
        <v>7045</v>
      </c>
      <c r="S41" s="30">
        <v>46753.0</v>
      </c>
      <c r="T41" s="30">
        <v>47118.0</v>
      </c>
      <c r="U41" s="36">
        <v>0.0</v>
      </c>
      <c r="V41" s="36">
        <v>0.0</v>
      </c>
      <c r="W41" s="35" t="s">
        <v>7045</v>
      </c>
      <c r="X41" s="30">
        <v>47119.0</v>
      </c>
      <c r="Y41" s="30">
        <v>47483.0</v>
      </c>
      <c r="Z41" s="36">
        <v>0.0</v>
      </c>
      <c r="AA41" s="36">
        <v>0.0</v>
      </c>
      <c r="AB41" s="35" t="s">
        <v>7045</v>
      </c>
      <c r="AC41" s="30">
        <v>47484.0</v>
      </c>
      <c r="AD41" s="30">
        <v>47848.0</v>
      </c>
      <c r="AE41" s="36">
        <v>0.0</v>
      </c>
      <c r="AF41" s="36">
        <v>0.0</v>
      </c>
      <c r="AG41" s="35" t="s">
        <v>7045</v>
      </c>
      <c r="AH41" s="30">
        <v>45292.0</v>
      </c>
      <c r="AI41" s="30">
        <v>45657.0</v>
      </c>
      <c r="AJ41" s="36">
        <v>1348.9</v>
      </c>
      <c r="AK41" s="36">
        <v>1667.69</v>
      </c>
      <c r="AL41" s="37" t="s">
        <v>7046</v>
      </c>
      <c r="AM41" s="30">
        <v>44562.0</v>
      </c>
      <c r="AN41" s="30">
        <v>44926.0</v>
      </c>
      <c r="AO41" s="36">
        <v>246.5</v>
      </c>
      <c r="AP41" s="36">
        <v>691.99</v>
      </c>
      <c r="AQ41" s="32" t="s">
        <v>7043</v>
      </c>
      <c r="AR41" s="30">
        <v>44927.0</v>
      </c>
      <c r="AS41" s="30">
        <v>45291.0</v>
      </c>
      <c r="AT41" s="36">
        <v>1211.1</v>
      </c>
      <c r="AU41" s="36">
        <v>1149.99</v>
      </c>
      <c r="AV41" s="38" t="s">
        <v>7047</v>
      </c>
    </row>
    <row r="42" ht="14.25" customHeight="1">
      <c r="A42" s="28" t="s">
        <v>6915</v>
      </c>
      <c r="B42" s="29" t="s">
        <v>6916</v>
      </c>
      <c r="C42" s="29" t="s">
        <v>7041</v>
      </c>
      <c r="D42" s="30">
        <v>45658.0</v>
      </c>
      <c r="E42" s="30">
        <v>46022.0</v>
      </c>
      <c r="F42" s="36">
        <v>232.93</v>
      </c>
      <c r="G42" s="36">
        <v>1349.99</v>
      </c>
      <c r="H42" s="32" t="s">
        <v>7043</v>
      </c>
      <c r="I42" s="30">
        <v>46023.0</v>
      </c>
      <c r="J42" s="30">
        <v>46387.0</v>
      </c>
      <c r="K42" s="36">
        <v>0.0</v>
      </c>
      <c r="L42" s="36">
        <v>0.0</v>
      </c>
      <c r="M42" s="35" t="s">
        <v>7045</v>
      </c>
      <c r="N42" s="30">
        <v>46388.0</v>
      </c>
      <c r="O42" s="30">
        <v>46752.0</v>
      </c>
      <c r="P42" s="36">
        <v>0.0</v>
      </c>
      <c r="Q42" s="36">
        <v>0.0</v>
      </c>
      <c r="R42" s="35" t="s">
        <v>7045</v>
      </c>
      <c r="S42" s="30">
        <v>46753.0</v>
      </c>
      <c r="T42" s="30">
        <v>47118.0</v>
      </c>
      <c r="U42" s="36">
        <v>0.0</v>
      </c>
      <c r="V42" s="36">
        <v>0.0</v>
      </c>
      <c r="W42" s="35" t="s">
        <v>7045</v>
      </c>
      <c r="X42" s="30">
        <v>47119.0</v>
      </c>
      <c r="Y42" s="30">
        <v>47483.0</v>
      </c>
      <c r="Z42" s="36">
        <v>0.0</v>
      </c>
      <c r="AA42" s="36">
        <v>0.0</v>
      </c>
      <c r="AB42" s="35" t="s">
        <v>7045</v>
      </c>
      <c r="AC42" s="30">
        <v>47484.0</v>
      </c>
      <c r="AD42" s="30">
        <v>47848.0</v>
      </c>
      <c r="AE42" s="36">
        <v>0.0</v>
      </c>
      <c r="AF42" s="36">
        <v>0.0</v>
      </c>
      <c r="AG42" s="35" t="s">
        <v>7045</v>
      </c>
      <c r="AH42" s="30">
        <v>45292.0</v>
      </c>
      <c r="AI42" s="30">
        <v>45657.0</v>
      </c>
      <c r="AJ42" s="36">
        <v>417.28</v>
      </c>
      <c r="AK42" s="36">
        <v>1667.49</v>
      </c>
      <c r="AL42" s="32" t="s">
        <v>7043</v>
      </c>
      <c r="AM42" s="30">
        <v>44562.0</v>
      </c>
      <c r="AN42" s="30">
        <v>44926.0</v>
      </c>
      <c r="AO42" s="36">
        <v>967.59</v>
      </c>
      <c r="AP42" s="36">
        <v>1149.99</v>
      </c>
      <c r="AQ42" s="37" t="s">
        <v>7046</v>
      </c>
      <c r="AR42" s="30">
        <v>44927.0</v>
      </c>
      <c r="AS42" s="30">
        <v>45291.0</v>
      </c>
      <c r="AT42" s="36">
        <v>1170.09</v>
      </c>
      <c r="AU42" s="36">
        <v>1263.79</v>
      </c>
      <c r="AV42" s="37" t="s">
        <v>7046</v>
      </c>
    </row>
    <row r="43" ht="14.25" customHeight="1">
      <c r="A43" s="28" t="s">
        <v>463</v>
      </c>
      <c r="B43" s="29" t="s">
        <v>464</v>
      </c>
      <c r="C43" s="29" t="s">
        <v>7041</v>
      </c>
      <c r="D43" s="30">
        <v>45658.0</v>
      </c>
      <c r="E43" s="30">
        <v>46022.0</v>
      </c>
      <c r="F43" s="36">
        <v>270.47</v>
      </c>
      <c r="G43" s="36">
        <v>897.99</v>
      </c>
      <c r="H43" s="32" t="s">
        <v>7046</v>
      </c>
      <c r="I43" s="30">
        <v>46023.0</v>
      </c>
      <c r="J43" s="30">
        <v>46387.0</v>
      </c>
      <c r="K43" s="36">
        <v>0.0</v>
      </c>
      <c r="L43" s="36">
        <v>0.0</v>
      </c>
      <c r="M43" s="35" t="s">
        <v>7045</v>
      </c>
      <c r="N43" s="30">
        <v>46388.0</v>
      </c>
      <c r="O43" s="30">
        <v>46752.0</v>
      </c>
      <c r="P43" s="36">
        <v>0.0</v>
      </c>
      <c r="Q43" s="36">
        <v>0.0</v>
      </c>
      <c r="R43" s="35" t="s">
        <v>7045</v>
      </c>
      <c r="S43" s="30">
        <v>46753.0</v>
      </c>
      <c r="T43" s="30">
        <v>47118.0</v>
      </c>
      <c r="U43" s="36">
        <v>0.0</v>
      </c>
      <c r="V43" s="36">
        <v>0.0</v>
      </c>
      <c r="W43" s="35" t="s">
        <v>7045</v>
      </c>
      <c r="X43" s="30">
        <v>47119.0</v>
      </c>
      <c r="Y43" s="30">
        <v>47483.0</v>
      </c>
      <c r="Z43" s="36">
        <v>0.0</v>
      </c>
      <c r="AA43" s="36">
        <v>0.0</v>
      </c>
      <c r="AB43" s="35" t="s">
        <v>7045</v>
      </c>
      <c r="AC43" s="30">
        <v>47484.0</v>
      </c>
      <c r="AD43" s="30">
        <v>47848.0</v>
      </c>
      <c r="AE43" s="36">
        <v>0.0</v>
      </c>
      <c r="AF43" s="36">
        <v>0.0</v>
      </c>
      <c r="AG43" s="35" t="s">
        <v>7045</v>
      </c>
      <c r="AH43" s="30">
        <v>45292.0</v>
      </c>
      <c r="AI43" s="30">
        <v>45657.0</v>
      </c>
      <c r="AJ43" s="36">
        <v>817.2</v>
      </c>
      <c r="AK43" s="36">
        <v>1304.99</v>
      </c>
      <c r="AL43" s="37" t="s">
        <v>7046</v>
      </c>
      <c r="AM43" s="30">
        <v>44562.0</v>
      </c>
      <c r="AN43" s="30">
        <v>44926.0</v>
      </c>
      <c r="AO43" s="36">
        <v>868.29</v>
      </c>
      <c r="AP43" s="36">
        <v>0.0</v>
      </c>
      <c r="AQ43" s="38" t="s">
        <v>7047</v>
      </c>
      <c r="AR43" s="30">
        <v>44927.0</v>
      </c>
      <c r="AS43" s="30">
        <v>45291.0</v>
      </c>
      <c r="AT43" s="36">
        <v>1170.96</v>
      </c>
      <c r="AU43" s="36">
        <v>0.0</v>
      </c>
      <c r="AV43" s="38" t="s">
        <v>7047</v>
      </c>
    </row>
    <row r="44" ht="14.25" customHeight="1">
      <c r="A44" s="28" t="s">
        <v>4326</v>
      </c>
      <c r="B44" s="29" t="s">
        <v>4327</v>
      </c>
      <c r="C44" s="29" t="s">
        <v>7041</v>
      </c>
      <c r="D44" s="30">
        <v>45658.0</v>
      </c>
      <c r="E44" s="30">
        <v>46022.0</v>
      </c>
      <c r="F44" s="36">
        <v>490.78</v>
      </c>
      <c r="G44" s="36">
        <v>951.39</v>
      </c>
      <c r="H44" s="37" t="s">
        <v>7046</v>
      </c>
      <c r="I44" s="30">
        <v>46023.0</v>
      </c>
      <c r="J44" s="30">
        <v>46387.0</v>
      </c>
      <c r="K44" s="36">
        <v>0.0</v>
      </c>
      <c r="L44" s="36">
        <v>0.0</v>
      </c>
      <c r="M44" s="35" t="s">
        <v>7045</v>
      </c>
      <c r="N44" s="30">
        <v>46388.0</v>
      </c>
      <c r="O44" s="30">
        <v>46752.0</v>
      </c>
      <c r="P44" s="36">
        <v>0.0</v>
      </c>
      <c r="Q44" s="36">
        <v>0.0</v>
      </c>
      <c r="R44" s="35" t="s">
        <v>7045</v>
      </c>
      <c r="S44" s="30">
        <v>46753.0</v>
      </c>
      <c r="T44" s="30">
        <v>47118.0</v>
      </c>
      <c r="U44" s="36">
        <v>0.0</v>
      </c>
      <c r="V44" s="36">
        <v>0.0</v>
      </c>
      <c r="W44" s="35" t="s">
        <v>7045</v>
      </c>
      <c r="X44" s="30">
        <v>47119.0</v>
      </c>
      <c r="Y44" s="30">
        <v>47483.0</v>
      </c>
      <c r="Z44" s="36">
        <v>0.0</v>
      </c>
      <c r="AA44" s="36">
        <v>0.0</v>
      </c>
      <c r="AB44" s="35" t="s">
        <v>7045</v>
      </c>
      <c r="AC44" s="30">
        <v>47484.0</v>
      </c>
      <c r="AD44" s="30">
        <v>47848.0</v>
      </c>
      <c r="AE44" s="36">
        <v>0.0</v>
      </c>
      <c r="AF44" s="36">
        <v>0.0</v>
      </c>
      <c r="AG44" s="35" t="s">
        <v>7045</v>
      </c>
      <c r="AH44" s="30">
        <v>45292.0</v>
      </c>
      <c r="AI44" s="30">
        <v>45657.0</v>
      </c>
      <c r="AJ44" s="36">
        <v>875.97</v>
      </c>
      <c r="AK44" s="36">
        <v>0.0</v>
      </c>
      <c r="AL44" s="38" t="s">
        <v>7047</v>
      </c>
      <c r="AM44" s="30">
        <v>44562.0</v>
      </c>
      <c r="AN44" s="30">
        <v>44926.0</v>
      </c>
      <c r="AO44" s="36">
        <v>2352.08</v>
      </c>
      <c r="AP44" s="36">
        <v>1124.99</v>
      </c>
      <c r="AQ44" s="38" t="s">
        <v>7047</v>
      </c>
      <c r="AR44" s="30">
        <v>44927.0</v>
      </c>
      <c r="AS44" s="30">
        <v>45291.0</v>
      </c>
      <c r="AT44" s="36">
        <v>1105.09</v>
      </c>
      <c r="AU44" s="36">
        <v>1445.89</v>
      </c>
      <c r="AV44" s="37" t="s">
        <v>7046</v>
      </c>
    </row>
    <row r="45" ht="14.25" customHeight="1">
      <c r="A45" s="28" t="s">
        <v>2853</v>
      </c>
      <c r="B45" s="29" t="s">
        <v>2854</v>
      </c>
      <c r="C45" s="29" t="s">
        <v>7041</v>
      </c>
      <c r="D45" s="30">
        <v>45658.0</v>
      </c>
      <c r="E45" s="30">
        <v>46022.0</v>
      </c>
      <c r="F45" s="36">
        <v>179.8</v>
      </c>
      <c r="G45" s="36">
        <v>0.0</v>
      </c>
      <c r="H45" s="38" t="s">
        <v>7047</v>
      </c>
      <c r="I45" s="30">
        <v>46023.0</v>
      </c>
      <c r="J45" s="30">
        <v>46387.0</v>
      </c>
      <c r="K45" s="36">
        <v>0.0</v>
      </c>
      <c r="L45" s="36">
        <v>0.0</v>
      </c>
      <c r="M45" s="35" t="s">
        <v>7045</v>
      </c>
      <c r="N45" s="30">
        <v>46388.0</v>
      </c>
      <c r="O45" s="30">
        <v>46752.0</v>
      </c>
      <c r="P45" s="36">
        <v>0.0</v>
      </c>
      <c r="Q45" s="36">
        <v>0.0</v>
      </c>
      <c r="R45" s="35" t="s">
        <v>7045</v>
      </c>
      <c r="S45" s="30">
        <v>46753.0</v>
      </c>
      <c r="T45" s="30">
        <v>47118.0</v>
      </c>
      <c r="U45" s="36">
        <v>0.0</v>
      </c>
      <c r="V45" s="36">
        <v>0.0</v>
      </c>
      <c r="W45" s="35" t="s">
        <v>7045</v>
      </c>
      <c r="X45" s="30">
        <v>47119.0</v>
      </c>
      <c r="Y45" s="30">
        <v>47483.0</v>
      </c>
      <c r="Z45" s="36">
        <v>0.0</v>
      </c>
      <c r="AA45" s="36">
        <v>0.0</v>
      </c>
      <c r="AB45" s="35" t="s">
        <v>7045</v>
      </c>
      <c r="AC45" s="30">
        <v>47484.0</v>
      </c>
      <c r="AD45" s="30">
        <v>47848.0</v>
      </c>
      <c r="AE45" s="36">
        <v>0.0</v>
      </c>
      <c r="AF45" s="36">
        <v>0.0</v>
      </c>
      <c r="AG45" s="35" t="s">
        <v>7045</v>
      </c>
      <c r="AH45" s="30">
        <v>45292.0</v>
      </c>
      <c r="AI45" s="30">
        <v>45657.0</v>
      </c>
      <c r="AJ45" s="36">
        <v>1200.0</v>
      </c>
      <c r="AK45" s="36">
        <v>0.0</v>
      </c>
      <c r="AL45" s="38" t="s">
        <v>7047</v>
      </c>
      <c r="AM45" s="30">
        <v>44562.0</v>
      </c>
      <c r="AN45" s="30">
        <v>44926.0</v>
      </c>
      <c r="AO45" s="36">
        <v>319.3</v>
      </c>
      <c r="AP45" s="36">
        <v>0.0</v>
      </c>
      <c r="AQ45" s="38" t="s">
        <v>7047</v>
      </c>
      <c r="AR45" s="30">
        <v>44927.0</v>
      </c>
      <c r="AS45" s="30">
        <v>45291.0</v>
      </c>
      <c r="AT45" s="36">
        <v>1395.45</v>
      </c>
      <c r="AU45" s="36">
        <v>0.0</v>
      </c>
      <c r="AV45" s="38" t="s">
        <v>7047</v>
      </c>
    </row>
    <row r="46" ht="14.25" customHeight="1">
      <c r="A46" s="28" t="s">
        <v>2092</v>
      </c>
      <c r="B46" s="29" t="s">
        <v>2093</v>
      </c>
      <c r="C46" s="29" t="s">
        <v>7041</v>
      </c>
      <c r="D46" s="30">
        <v>45658.0</v>
      </c>
      <c r="E46" s="30">
        <v>46022.0</v>
      </c>
      <c r="F46" s="36">
        <v>1986.62</v>
      </c>
      <c r="G46" s="36">
        <v>0.0</v>
      </c>
      <c r="H46" s="38" t="s">
        <v>7047</v>
      </c>
      <c r="I46" s="30">
        <v>46023.0</v>
      </c>
      <c r="J46" s="30">
        <v>46387.0</v>
      </c>
      <c r="K46" s="36">
        <v>0.0</v>
      </c>
      <c r="L46" s="36">
        <v>0.0</v>
      </c>
      <c r="M46" s="35" t="s">
        <v>7045</v>
      </c>
      <c r="N46" s="30">
        <v>46388.0</v>
      </c>
      <c r="O46" s="30">
        <v>46752.0</v>
      </c>
      <c r="P46" s="36">
        <v>0.0</v>
      </c>
      <c r="Q46" s="36">
        <v>0.0</v>
      </c>
      <c r="R46" s="35" t="s">
        <v>7045</v>
      </c>
      <c r="S46" s="30">
        <v>46753.0</v>
      </c>
      <c r="T46" s="30">
        <v>47118.0</v>
      </c>
      <c r="U46" s="36">
        <v>0.0</v>
      </c>
      <c r="V46" s="36">
        <v>0.0</v>
      </c>
      <c r="W46" s="35" t="s">
        <v>7045</v>
      </c>
      <c r="X46" s="30">
        <v>47119.0</v>
      </c>
      <c r="Y46" s="30">
        <v>47483.0</v>
      </c>
      <c r="Z46" s="36">
        <v>0.0</v>
      </c>
      <c r="AA46" s="36">
        <v>0.0</v>
      </c>
      <c r="AB46" s="35" t="s">
        <v>7045</v>
      </c>
      <c r="AC46" s="30">
        <v>47484.0</v>
      </c>
      <c r="AD46" s="30">
        <v>47848.0</v>
      </c>
      <c r="AE46" s="36">
        <v>0.0</v>
      </c>
      <c r="AF46" s="36">
        <v>0.0</v>
      </c>
      <c r="AG46" s="35" t="s">
        <v>7045</v>
      </c>
      <c r="AH46" s="30">
        <v>45292.0</v>
      </c>
      <c r="AI46" s="30">
        <v>45657.0</v>
      </c>
      <c r="AJ46" s="36">
        <v>5514.03</v>
      </c>
      <c r="AK46" s="36">
        <v>0.0</v>
      </c>
      <c r="AL46" s="38" t="s">
        <v>7047</v>
      </c>
      <c r="AM46" s="30">
        <v>44562.0</v>
      </c>
      <c r="AN46" s="30">
        <v>44926.0</v>
      </c>
      <c r="AO46" s="36">
        <v>6166.45</v>
      </c>
      <c r="AP46" s="36">
        <v>3767.17</v>
      </c>
      <c r="AQ46" s="38" t="s">
        <v>7047</v>
      </c>
      <c r="AR46" s="30">
        <v>44927.0</v>
      </c>
      <c r="AS46" s="30">
        <v>45291.0</v>
      </c>
      <c r="AT46" s="36">
        <v>4869.18</v>
      </c>
      <c r="AU46" s="36">
        <v>0.0</v>
      </c>
      <c r="AV46" s="38" t="s">
        <v>7047</v>
      </c>
    </row>
    <row r="47" ht="14.25" customHeight="1">
      <c r="A47" s="28" t="s">
        <v>6898</v>
      </c>
      <c r="B47" s="29" t="s">
        <v>6899</v>
      </c>
      <c r="C47" s="29" t="s">
        <v>7041</v>
      </c>
      <c r="D47" s="30">
        <v>45658.0</v>
      </c>
      <c r="E47" s="30">
        <v>46022.0</v>
      </c>
      <c r="F47" s="36">
        <v>985.83</v>
      </c>
      <c r="G47" s="36">
        <v>3349.97</v>
      </c>
      <c r="H47" s="32" t="s">
        <v>7046</v>
      </c>
      <c r="I47" s="30">
        <v>46023.0</v>
      </c>
      <c r="J47" s="30">
        <v>46387.0</v>
      </c>
      <c r="K47" s="36">
        <v>0.0</v>
      </c>
      <c r="L47" s="36">
        <v>0.0</v>
      </c>
      <c r="M47" s="35" t="s">
        <v>7045</v>
      </c>
      <c r="N47" s="30">
        <v>46388.0</v>
      </c>
      <c r="O47" s="30">
        <v>46752.0</v>
      </c>
      <c r="P47" s="36">
        <v>0.0</v>
      </c>
      <c r="Q47" s="36">
        <v>0.0</v>
      </c>
      <c r="R47" s="35" t="s">
        <v>7045</v>
      </c>
      <c r="S47" s="30">
        <v>46753.0</v>
      </c>
      <c r="T47" s="30">
        <v>47118.0</v>
      </c>
      <c r="U47" s="36">
        <v>0.0</v>
      </c>
      <c r="V47" s="36">
        <v>0.0</v>
      </c>
      <c r="W47" s="35" t="s">
        <v>7045</v>
      </c>
      <c r="X47" s="30">
        <v>47119.0</v>
      </c>
      <c r="Y47" s="30">
        <v>47483.0</v>
      </c>
      <c r="Z47" s="36">
        <v>0.0</v>
      </c>
      <c r="AA47" s="36">
        <v>0.0</v>
      </c>
      <c r="AB47" s="35" t="s">
        <v>7045</v>
      </c>
      <c r="AC47" s="30">
        <v>47484.0</v>
      </c>
      <c r="AD47" s="30">
        <v>47848.0</v>
      </c>
      <c r="AE47" s="36">
        <v>0.0</v>
      </c>
      <c r="AF47" s="36">
        <v>0.0</v>
      </c>
      <c r="AG47" s="35" t="s">
        <v>7045</v>
      </c>
      <c r="AH47" s="30">
        <v>45292.0</v>
      </c>
      <c r="AI47" s="30">
        <v>45657.0</v>
      </c>
      <c r="AJ47" s="36">
        <v>2332.04</v>
      </c>
      <c r="AK47" s="36">
        <v>3499.97</v>
      </c>
      <c r="AL47" s="37" t="s">
        <v>7046</v>
      </c>
      <c r="AM47" s="30">
        <v>44562.0</v>
      </c>
      <c r="AN47" s="30">
        <v>44926.0</v>
      </c>
      <c r="AO47" s="36">
        <v>3358.17</v>
      </c>
      <c r="AP47" s="36">
        <v>4399.96</v>
      </c>
      <c r="AQ47" s="37" t="s">
        <v>7046</v>
      </c>
      <c r="AR47" s="30">
        <v>44927.0</v>
      </c>
      <c r="AS47" s="30">
        <v>45291.0</v>
      </c>
      <c r="AT47" s="36">
        <v>2422.91</v>
      </c>
      <c r="AU47" s="36">
        <v>3999.97</v>
      </c>
      <c r="AV47" s="37" t="s">
        <v>7046</v>
      </c>
    </row>
    <row r="48" ht="14.25" customHeight="1">
      <c r="A48" s="28" t="s">
        <v>4448</v>
      </c>
      <c r="B48" s="29" t="s">
        <v>4449</v>
      </c>
      <c r="C48" s="29" t="s">
        <v>7041</v>
      </c>
      <c r="D48" s="30">
        <v>45658.0</v>
      </c>
      <c r="E48" s="30">
        <v>46022.0</v>
      </c>
      <c r="F48" s="36">
        <v>584.09</v>
      </c>
      <c r="G48" s="36">
        <v>1799.98</v>
      </c>
      <c r="H48" s="37" t="s">
        <v>7046</v>
      </c>
      <c r="I48" s="30">
        <v>46023.0</v>
      </c>
      <c r="J48" s="30">
        <v>46387.0</v>
      </c>
      <c r="K48" s="36">
        <v>0.0</v>
      </c>
      <c r="L48" s="36">
        <v>0.0</v>
      </c>
      <c r="M48" s="35" t="s">
        <v>7045</v>
      </c>
      <c r="N48" s="30">
        <v>46388.0</v>
      </c>
      <c r="O48" s="30">
        <v>46752.0</v>
      </c>
      <c r="P48" s="36">
        <v>0.0</v>
      </c>
      <c r="Q48" s="36">
        <v>0.0</v>
      </c>
      <c r="R48" s="35" t="s">
        <v>7045</v>
      </c>
      <c r="S48" s="30">
        <v>46753.0</v>
      </c>
      <c r="T48" s="30">
        <v>47118.0</v>
      </c>
      <c r="U48" s="36">
        <v>0.0</v>
      </c>
      <c r="V48" s="36">
        <v>0.0</v>
      </c>
      <c r="W48" s="35" t="s">
        <v>7045</v>
      </c>
      <c r="X48" s="30">
        <v>47119.0</v>
      </c>
      <c r="Y48" s="30">
        <v>47483.0</v>
      </c>
      <c r="Z48" s="36">
        <v>0.0</v>
      </c>
      <c r="AA48" s="36">
        <v>0.0</v>
      </c>
      <c r="AB48" s="35" t="s">
        <v>7045</v>
      </c>
      <c r="AC48" s="30">
        <v>47484.0</v>
      </c>
      <c r="AD48" s="30">
        <v>47848.0</v>
      </c>
      <c r="AE48" s="36">
        <v>0.0</v>
      </c>
      <c r="AF48" s="36">
        <v>0.0</v>
      </c>
      <c r="AG48" s="35" t="s">
        <v>7045</v>
      </c>
      <c r="AH48" s="30">
        <v>45292.0</v>
      </c>
      <c r="AI48" s="30">
        <v>45657.0</v>
      </c>
      <c r="AJ48" s="36">
        <v>1583.01</v>
      </c>
      <c r="AK48" s="36">
        <v>1999.98</v>
      </c>
      <c r="AL48" s="37" t="s">
        <v>7046</v>
      </c>
      <c r="AM48" s="30">
        <v>44562.0</v>
      </c>
      <c r="AN48" s="30">
        <v>44926.0</v>
      </c>
      <c r="AO48" s="36">
        <v>1532.19</v>
      </c>
      <c r="AP48" s="36">
        <v>0.0</v>
      </c>
      <c r="AQ48" s="38" t="s">
        <v>7047</v>
      </c>
      <c r="AR48" s="30">
        <v>44927.0</v>
      </c>
      <c r="AS48" s="30">
        <v>45291.0</v>
      </c>
      <c r="AT48" s="36">
        <v>2579.49</v>
      </c>
      <c r="AU48" s="36">
        <v>703.99</v>
      </c>
      <c r="AV48" s="38" t="s">
        <v>7047</v>
      </c>
    </row>
    <row r="49" ht="14.25" customHeight="1">
      <c r="A49" s="28" t="s">
        <v>1156</v>
      </c>
      <c r="B49" s="29" t="s">
        <v>1157</v>
      </c>
      <c r="C49" s="29" t="s">
        <v>7041</v>
      </c>
      <c r="D49" s="30">
        <v>45658.0</v>
      </c>
      <c r="E49" s="30">
        <v>46022.0</v>
      </c>
      <c r="F49" s="36">
        <v>750.2</v>
      </c>
      <c r="G49" s="36">
        <v>0.0</v>
      </c>
      <c r="H49" s="38" t="s">
        <v>7047</v>
      </c>
      <c r="I49" s="30">
        <v>46023.0</v>
      </c>
      <c r="J49" s="30">
        <v>46387.0</v>
      </c>
      <c r="K49" s="36">
        <v>0.0</v>
      </c>
      <c r="L49" s="36">
        <v>0.0</v>
      </c>
      <c r="M49" s="35" t="s">
        <v>7045</v>
      </c>
      <c r="N49" s="30">
        <v>46388.0</v>
      </c>
      <c r="O49" s="30">
        <v>46752.0</v>
      </c>
      <c r="P49" s="36">
        <v>0.0</v>
      </c>
      <c r="Q49" s="36">
        <v>0.0</v>
      </c>
      <c r="R49" s="35" t="s">
        <v>7045</v>
      </c>
      <c r="S49" s="30">
        <v>46753.0</v>
      </c>
      <c r="T49" s="30">
        <v>47118.0</v>
      </c>
      <c r="U49" s="36">
        <v>0.0</v>
      </c>
      <c r="V49" s="36">
        <v>0.0</v>
      </c>
      <c r="W49" s="35" t="s">
        <v>7045</v>
      </c>
      <c r="X49" s="30">
        <v>47119.0</v>
      </c>
      <c r="Y49" s="30">
        <v>47483.0</v>
      </c>
      <c r="Z49" s="36">
        <v>0.0</v>
      </c>
      <c r="AA49" s="36">
        <v>0.0</v>
      </c>
      <c r="AB49" s="35" t="s">
        <v>7045</v>
      </c>
      <c r="AC49" s="30">
        <v>47484.0</v>
      </c>
      <c r="AD49" s="30">
        <v>47848.0</v>
      </c>
      <c r="AE49" s="36">
        <v>0.0</v>
      </c>
      <c r="AF49" s="36">
        <v>0.0</v>
      </c>
      <c r="AG49" s="35" t="s">
        <v>7045</v>
      </c>
      <c r="AH49" s="30">
        <v>45292.0</v>
      </c>
      <c r="AI49" s="30">
        <v>45657.0</v>
      </c>
      <c r="AJ49" s="36">
        <v>1182.97</v>
      </c>
      <c r="AK49" s="36">
        <v>0.0</v>
      </c>
      <c r="AL49" s="38" t="s">
        <v>7047</v>
      </c>
      <c r="AM49" s="30">
        <v>44562.0</v>
      </c>
      <c r="AN49" s="30">
        <v>44926.0</v>
      </c>
      <c r="AO49" s="36">
        <v>1165.69</v>
      </c>
      <c r="AP49" s="36">
        <v>999.99</v>
      </c>
      <c r="AQ49" s="38" t="s">
        <v>7047</v>
      </c>
      <c r="AR49" s="30">
        <v>44927.0</v>
      </c>
      <c r="AS49" s="30">
        <v>45291.0</v>
      </c>
      <c r="AT49" s="36">
        <v>1163.59</v>
      </c>
      <c r="AU49" s="36">
        <v>0.0</v>
      </c>
      <c r="AV49" s="38" t="s">
        <v>7047</v>
      </c>
    </row>
    <row r="50" ht="14.25" customHeight="1">
      <c r="A50" s="28" t="s">
        <v>1267</v>
      </c>
      <c r="B50" s="29" t="s">
        <v>1268</v>
      </c>
      <c r="C50" s="29" t="s">
        <v>7041</v>
      </c>
      <c r="D50" s="30">
        <v>45658.0</v>
      </c>
      <c r="E50" s="30">
        <v>46022.0</v>
      </c>
      <c r="F50" s="36">
        <v>167.0</v>
      </c>
      <c r="G50" s="36">
        <v>1099.99</v>
      </c>
      <c r="H50" s="32" t="s">
        <v>7043</v>
      </c>
      <c r="I50" s="30">
        <v>46023.0</v>
      </c>
      <c r="J50" s="30">
        <v>46387.0</v>
      </c>
      <c r="K50" s="36">
        <v>0.0</v>
      </c>
      <c r="L50" s="36">
        <v>0.0</v>
      </c>
      <c r="M50" s="35" t="s">
        <v>7045</v>
      </c>
      <c r="N50" s="30">
        <v>46388.0</v>
      </c>
      <c r="O50" s="30">
        <v>46752.0</v>
      </c>
      <c r="P50" s="36">
        <v>0.0</v>
      </c>
      <c r="Q50" s="36">
        <v>0.0</v>
      </c>
      <c r="R50" s="35" t="s">
        <v>7045</v>
      </c>
      <c r="S50" s="30">
        <v>46753.0</v>
      </c>
      <c r="T50" s="30">
        <v>47118.0</v>
      </c>
      <c r="U50" s="36">
        <v>0.0</v>
      </c>
      <c r="V50" s="36">
        <v>0.0</v>
      </c>
      <c r="W50" s="35" t="s">
        <v>7045</v>
      </c>
      <c r="X50" s="30">
        <v>47119.0</v>
      </c>
      <c r="Y50" s="30">
        <v>47483.0</v>
      </c>
      <c r="Z50" s="36">
        <v>0.0</v>
      </c>
      <c r="AA50" s="36">
        <v>0.0</v>
      </c>
      <c r="AB50" s="35" t="s">
        <v>7045</v>
      </c>
      <c r="AC50" s="30">
        <v>47484.0</v>
      </c>
      <c r="AD50" s="30">
        <v>47848.0</v>
      </c>
      <c r="AE50" s="36">
        <v>0.0</v>
      </c>
      <c r="AF50" s="36">
        <v>0.0</v>
      </c>
      <c r="AG50" s="35" t="s">
        <v>7045</v>
      </c>
      <c r="AH50" s="30">
        <v>45292.0</v>
      </c>
      <c r="AI50" s="30">
        <v>45657.0</v>
      </c>
      <c r="AJ50" s="36">
        <v>676.09</v>
      </c>
      <c r="AK50" s="36">
        <v>2399.98</v>
      </c>
      <c r="AL50" s="32" t="s">
        <v>7043</v>
      </c>
      <c r="AM50" s="30">
        <v>44562.0</v>
      </c>
      <c r="AN50" s="30">
        <v>44926.0</v>
      </c>
      <c r="AO50" s="36">
        <v>1355.29</v>
      </c>
      <c r="AP50" s="36">
        <v>999.99</v>
      </c>
      <c r="AQ50" s="38" t="s">
        <v>7047</v>
      </c>
      <c r="AR50" s="30">
        <v>44927.0</v>
      </c>
      <c r="AS50" s="30">
        <v>45291.0</v>
      </c>
      <c r="AT50" s="36">
        <v>2302.32</v>
      </c>
      <c r="AU50" s="36">
        <v>1399.99</v>
      </c>
      <c r="AV50" s="38" t="s">
        <v>7047</v>
      </c>
    </row>
    <row r="51" ht="14.25" customHeight="1">
      <c r="A51" s="28" t="s">
        <v>5825</v>
      </c>
      <c r="B51" s="29" t="s">
        <v>5826</v>
      </c>
      <c r="C51" s="29" t="s">
        <v>7041</v>
      </c>
      <c r="D51" s="30">
        <v>45658.0</v>
      </c>
      <c r="E51" s="30">
        <v>46022.0</v>
      </c>
      <c r="F51" s="36">
        <v>0.0</v>
      </c>
      <c r="G51" s="36">
        <v>0.0</v>
      </c>
      <c r="H51" s="35" t="s">
        <v>7045</v>
      </c>
      <c r="I51" s="30">
        <v>46023.0</v>
      </c>
      <c r="J51" s="30">
        <v>46387.0</v>
      </c>
      <c r="K51" s="36">
        <v>0.0</v>
      </c>
      <c r="L51" s="36">
        <v>0.0</v>
      </c>
      <c r="M51" s="35" t="s">
        <v>7045</v>
      </c>
      <c r="N51" s="30">
        <v>46388.0</v>
      </c>
      <c r="O51" s="30">
        <v>46752.0</v>
      </c>
      <c r="P51" s="36">
        <v>0.0</v>
      </c>
      <c r="Q51" s="36">
        <v>0.0</v>
      </c>
      <c r="R51" s="35" t="s">
        <v>7045</v>
      </c>
      <c r="S51" s="30">
        <v>46753.0</v>
      </c>
      <c r="T51" s="30">
        <v>47118.0</v>
      </c>
      <c r="U51" s="36">
        <v>0.0</v>
      </c>
      <c r="V51" s="36">
        <v>0.0</v>
      </c>
      <c r="W51" s="35" t="s">
        <v>7045</v>
      </c>
      <c r="X51" s="30">
        <v>47119.0</v>
      </c>
      <c r="Y51" s="30">
        <v>47483.0</v>
      </c>
      <c r="Z51" s="36">
        <v>0.0</v>
      </c>
      <c r="AA51" s="36">
        <v>0.0</v>
      </c>
      <c r="AB51" s="35" t="s">
        <v>7045</v>
      </c>
      <c r="AC51" s="30">
        <v>47484.0</v>
      </c>
      <c r="AD51" s="30">
        <v>47848.0</v>
      </c>
      <c r="AE51" s="36">
        <v>0.0</v>
      </c>
      <c r="AF51" s="36">
        <v>0.0</v>
      </c>
      <c r="AG51" s="35" t="s">
        <v>7045</v>
      </c>
      <c r="AH51" s="30">
        <v>45292.0</v>
      </c>
      <c r="AI51" s="30">
        <v>45657.0</v>
      </c>
      <c r="AJ51" s="36">
        <v>8418.89</v>
      </c>
      <c r="AK51" s="36">
        <v>0.0</v>
      </c>
      <c r="AL51" s="38" t="s">
        <v>7047</v>
      </c>
      <c r="AM51" s="30">
        <v>44562.0</v>
      </c>
      <c r="AN51" s="30">
        <v>44926.0</v>
      </c>
      <c r="AO51" s="36">
        <v>8557.53</v>
      </c>
      <c r="AP51" s="36">
        <v>0.0</v>
      </c>
      <c r="AQ51" s="38" t="s">
        <v>7047</v>
      </c>
      <c r="AR51" s="30">
        <v>44927.0</v>
      </c>
      <c r="AS51" s="30">
        <v>45291.0</v>
      </c>
      <c r="AT51" s="36">
        <v>8388.39</v>
      </c>
      <c r="AU51" s="36">
        <v>0.0</v>
      </c>
      <c r="AV51" s="38" t="s">
        <v>7047</v>
      </c>
    </row>
    <row r="52" ht="14.25" customHeight="1">
      <c r="A52" s="28" t="s">
        <v>1561</v>
      </c>
      <c r="B52" s="29" t="s">
        <v>1562</v>
      </c>
      <c r="C52" s="29" t="s">
        <v>7041</v>
      </c>
      <c r="D52" s="30">
        <v>45658.0</v>
      </c>
      <c r="E52" s="30">
        <v>46022.0</v>
      </c>
      <c r="F52" s="36">
        <v>521.85</v>
      </c>
      <c r="G52" s="36">
        <v>849.99</v>
      </c>
      <c r="H52" s="38" t="s">
        <v>7047</v>
      </c>
      <c r="I52" s="30">
        <v>46023.0</v>
      </c>
      <c r="J52" s="30">
        <v>46387.0</v>
      </c>
      <c r="K52" s="36">
        <v>0.0</v>
      </c>
      <c r="L52" s="36">
        <v>0.0</v>
      </c>
      <c r="M52" s="35" t="s">
        <v>7045</v>
      </c>
      <c r="N52" s="30">
        <v>46388.0</v>
      </c>
      <c r="O52" s="30">
        <v>46752.0</v>
      </c>
      <c r="P52" s="36">
        <v>0.0</v>
      </c>
      <c r="Q52" s="36">
        <v>0.0</v>
      </c>
      <c r="R52" s="35" t="s">
        <v>7045</v>
      </c>
      <c r="S52" s="30">
        <v>46753.0</v>
      </c>
      <c r="T52" s="30">
        <v>47118.0</v>
      </c>
      <c r="U52" s="36">
        <v>0.0</v>
      </c>
      <c r="V52" s="36">
        <v>0.0</v>
      </c>
      <c r="W52" s="35" t="s">
        <v>7045</v>
      </c>
      <c r="X52" s="30">
        <v>47119.0</v>
      </c>
      <c r="Y52" s="30">
        <v>47483.0</v>
      </c>
      <c r="Z52" s="36">
        <v>0.0</v>
      </c>
      <c r="AA52" s="36">
        <v>0.0</v>
      </c>
      <c r="AB52" s="35" t="s">
        <v>7045</v>
      </c>
      <c r="AC52" s="30">
        <v>47484.0</v>
      </c>
      <c r="AD52" s="30">
        <v>47848.0</v>
      </c>
      <c r="AE52" s="36">
        <v>0.0</v>
      </c>
      <c r="AF52" s="36">
        <v>0.0</v>
      </c>
      <c r="AG52" s="35" t="s">
        <v>7045</v>
      </c>
      <c r="AH52" s="30">
        <v>45292.0</v>
      </c>
      <c r="AI52" s="30">
        <v>45657.0</v>
      </c>
      <c r="AJ52" s="36">
        <v>1338.54</v>
      </c>
      <c r="AK52" s="36">
        <v>799.99</v>
      </c>
      <c r="AL52" s="38" t="s">
        <v>7047</v>
      </c>
      <c r="AM52" s="30">
        <v>44562.0</v>
      </c>
      <c r="AN52" s="30">
        <v>44926.0</v>
      </c>
      <c r="AO52" s="36">
        <v>94.0</v>
      </c>
      <c r="AP52" s="36">
        <v>0.0</v>
      </c>
      <c r="AQ52" s="38" t="s">
        <v>7047</v>
      </c>
      <c r="AR52" s="30">
        <v>44927.0</v>
      </c>
      <c r="AS52" s="30">
        <v>45291.0</v>
      </c>
      <c r="AT52" s="36">
        <v>766.96</v>
      </c>
      <c r="AU52" s="36">
        <v>0.0</v>
      </c>
      <c r="AV52" s="38" t="s">
        <v>7047</v>
      </c>
    </row>
    <row r="53" ht="14.25" customHeight="1">
      <c r="A53" s="28" t="s">
        <v>5036</v>
      </c>
      <c r="B53" s="29" t="s">
        <v>5037</v>
      </c>
      <c r="C53" s="29" t="s">
        <v>7041</v>
      </c>
      <c r="D53" s="30">
        <v>45658.0</v>
      </c>
      <c r="E53" s="30">
        <v>46022.0</v>
      </c>
      <c r="F53" s="36">
        <v>59.96</v>
      </c>
      <c r="G53" s="36">
        <v>849.99</v>
      </c>
      <c r="H53" s="32" t="s">
        <v>7043</v>
      </c>
      <c r="I53" s="30">
        <v>46023.0</v>
      </c>
      <c r="J53" s="30">
        <v>46387.0</v>
      </c>
      <c r="K53" s="36">
        <v>0.0</v>
      </c>
      <c r="L53" s="36">
        <v>0.0</v>
      </c>
      <c r="M53" s="35" t="s">
        <v>7045</v>
      </c>
      <c r="N53" s="30">
        <v>46388.0</v>
      </c>
      <c r="O53" s="30">
        <v>46752.0</v>
      </c>
      <c r="P53" s="36">
        <v>0.0</v>
      </c>
      <c r="Q53" s="36">
        <v>0.0</v>
      </c>
      <c r="R53" s="35" t="s">
        <v>7045</v>
      </c>
      <c r="S53" s="30">
        <v>46753.0</v>
      </c>
      <c r="T53" s="30">
        <v>47118.0</v>
      </c>
      <c r="U53" s="36">
        <v>0.0</v>
      </c>
      <c r="V53" s="36">
        <v>0.0</v>
      </c>
      <c r="W53" s="35" t="s">
        <v>7045</v>
      </c>
      <c r="X53" s="30">
        <v>47119.0</v>
      </c>
      <c r="Y53" s="30">
        <v>47483.0</v>
      </c>
      <c r="Z53" s="36">
        <v>0.0</v>
      </c>
      <c r="AA53" s="36">
        <v>0.0</v>
      </c>
      <c r="AB53" s="35" t="s">
        <v>7045</v>
      </c>
      <c r="AC53" s="30">
        <v>47484.0</v>
      </c>
      <c r="AD53" s="30">
        <v>47848.0</v>
      </c>
      <c r="AE53" s="36">
        <v>0.0</v>
      </c>
      <c r="AF53" s="36">
        <v>0.0</v>
      </c>
      <c r="AG53" s="35" t="s">
        <v>7045</v>
      </c>
      <c r="AH53" s="30">
        <v>45292.0</v>
      </c>
      <c r="AI53" s="30">
        <v>45657.0</v>
      </c>
      <c r="AJ53" s="36">
        <v>776.82</v>
      </c>
      <c r="AK53" s="36">
        <v>1016.99</v>
      </c>
      <c r="AL53" s="37" t="s">
        <v>7046</v>
      </c>
      <c r="AM53" s="30">
        <v>44562.0</v>
      </c>
      <c r="AN53" s="30">
        <v>44926.0</v>
      </c>
      <c r="AO53" s="36">
        <v>122.9</v>
      </c>
      <c r="AP53" s="36">
        <v>0.0</v>
      </c>
      <c r="AQ53" s="38" t="s">
        <v>7047</v>
      </c>
      <c r="AR53" s="30">
        <v>44927.0</v>
      </c>
      <c r="AS53" s="30">
        <v>45291.0</v>
      </c>
      <c r="AT53" s="36">
        <v>315.39</v>
      </c>
      <c r="AU53" s="36">
        <v>709.99</v>
      </c>
      <c r="AV53" s="32" t="s">
        <v>7043</v>
      </c>
    </row>
    <row r="54" ht="14.25" customHeight="1">
      <c r="A54" s="28" t="s">
        <v>4958</v>
      </c>
      <c r="B54" s="29" t="s">
        <v>4959</v>
      </c>
      <c r="C54" s="29" t="s">
        <v>7041</v>
      </c>
      <c r="D54" s="30">
        <v>45658.0</v>
      </c>
      <c r="E54" s="30">
        <v>46022.0</v>
      </c>
      <c r="F54" s="36">
        <v>42.0</v>
      </c>
      <c r="G54" s="36">
        <v>300.0</v>
      </c>
      <c r="H54" s="32" t="s">
        <v>7043</v>
      </c>
      <c r="I54" s="30">
        <v>46023.0</v>
      </c>
      <c r="J54" s="30">
        <v>46387.0</v>
      </c>
      <c r="K54" s="36">
        <v>0.0</v>
      </c>
      <c r="L54" s="36">
        <v>0.0</v>
      </c>
      <c r="M54" s="35" t="s">
        <v>7045</v>
      </c>
      <c r="N54" s="30">
        <v>46388.0</v>
      </c>
      <c r="O54" s="30">
        <v>46752.0</v>
      </c>
      <c r="P54" s="36">
        <v>0.0</v>
      </c>
      <c r="Q54" s="36">
        <v>0.0</v>
      </c>
      <c r="R54" s="35" t="s">
        <v>7045</v>
      </c>
      <c r="S54" s="30">
        <v>46753.0</v>
      </c>
      <c r="T54" s="30">
        <v>47118.0</v>
      </c>
      <c r="U54" s="36">
        <v>0.0</v>
      </c>
      <c r="V54" s="36">
        <v>0.0</v>
      </c>
      <c r="W54" s="35" t="s">
        <v>7045</v>
      </c>
      <c r="X54" s="30">
        <v>47119.0</v>
      </c>
      <c r="Y54" s="30">
        <v>47483.0</v>
      </c>
      <c r="Z54" s="36">
        <v>0.0</v>
      </c>
      <c r="AA54" s="36">
        <v>0.0</v>
      </c>
      <c r="AB54" s="35" t="s">
        <v>7045</v>
      </c>
      <c r="AC54" s="30">
        <v>47484.0</v>
      </c>
      <c r="AD54" s="30">
        <v>47848.0</v>
      </c>
      <c r="AE54" s="36">
        <v>0.0</v>
      </c>
      <c r="AF54" s="36">
        <v>0.0</v>
      </c>
      <c r="AG54" s="35" t="s">
        <v>7045</v>
      </c>
      <c r="AH54" s="30">
        <v>45292.0</v>
      </c>
      <c r="AI54" s="30">
        <v>45657.0</v>
      </c>
      <c r="AJ54" s="36">
        <v>110.44</v>
      </c>
      <c r="AK54" s="36">
        <v>150.0</v>
      </c>
      <c r="AL54" s="37" t="s">
        <v>7046</v>
      </c>
      <c r="AM54" s="30">
        <v>44562.0</v>
      </c>
      <c r="AN54" s="30">
        <v>44926.0</v>
      </c>
      <c r="AO54" s="36">
        <v>0.0</v>
      </c>
      <c r="AP54" s="36">
        <v>0.0</v>
      </c>
      <c r="AQ54" s="35" t="s">
        <v>7045</v>
      </c>
      <c r="AR54" s="30">
        <v>44927.0</v>
      </c>
      <c r="AS54" s="30">
        <v>45291.0</v>
      </c>
      <c r="AT54" s="36">
        <v>0.0</v>
      </c>
      <c r="AU54" s="36">
        <v>0.0</v>
      </c>
      <c r="AV54" s="35" t="s">
        <v>7045</v>
      </c>
    </row>
    <row r="55" ht="14.25" customHeight="1">
      <c r="A55" s="28" t="s">
        <v>604</v>
      </c>
      <c r="B55" s="29" t="s">
        <v>605</v>
      </c>
      <c r="C55" s="29" t="s">
        <v>7041</v>
      </c>
      <c r="D55" s="30">
        <v>45658.0</v>
      </c>
      <c r="E55" s="30">
        <v>46022.0</v>
      </c>
      <c r="F55" s="36">
        <v>496.45</v>
      </c>
      <c r="G55" s="36">
        <v>1499.99</v>
      </c>
      <c r="H55" s="32" t="s">
        <v>7046</v>
      </c>
      <c r="I55" s="30">
        <v>46023.0</v>
      </c>
      <c r="J55" s="30">
        <v>46387.0</v>
      </c>
      <c r="K55" s="36">
        <v>0.0</v>
      </c>
      <c r="L55" s="36">
        <v>0.0</v>
      </c>
      <c r="M55" s="35" t="s">
        <v>7045</v>
      </c>
      <c r="N55" s="30">
        <v>46388.0</v>
      </c>
      <c r="O55" s="30">
        <v>46752.0</v>
      </c>
      <c r="P55" s="36">
        <v>0.0</v>
      </c>
      <c r="Q55" s="36">
        <v>0.0</v>
      </c>
      <c r="R55" s="35" t="s">
        <v>7045</v>
      </c>
      <c r="S55" s="30">
        <v>46753.0</v>
      </c>
      <c r="T55" s="30">
        <v>47118.0</v>
      </c>
      <c r="U55" s="36">
        <v>0.0</v>
      </c>
      <c r="V55" s="36">
        <v>0.0</v>
      </c>
      <c r="W55" s="35" t="s">
        <v>7045</v>
      </c>
      <c r="X55" s="30">
        <v>47119.0</v>
      </c>
      <c r="Y55" s="30">
        <v>47483.0</v>
      </c>
      <c r="Z55" s="36">
        <v>0.0</v>
      </c>
      <c r="AA55" s="36">
        <v>0.0</v>
      </c>
      <c r="AB55" s="35" t="s">
        <v>7045</v>
      </c>
      <c r="AC55" s="30">
        <v>47484.0</v>
      </c>
      <c r="AD55" s="30">
        <v>47848.0</v>
      </c>
      <c r="AE55" s="36">
        <v>0.0</v>
      </c>
      <c r="AF55" s="36">
        <v>0.0</v>
      </c>
      <c r="AG55" s="35" t="s">
        <v>7045</v>
      </c>
      <c r="AH55" s="30">
        <v>45292.0</v>
      </c>
      <c r="AI55" s="30">
        <v>45657.0</v>
      </c>
      <c r="AJ55" s="36">
        <v>1042.63</v>
      </c>
      <c r="AK55" s="36">
        <v>1499.99</v>
      </c>
      <c r="AL55" s="37" t="s">
        <v>7046</v>
      </c>
      <c r="AM55" s="30">
        <v>44562.0</v>
      </c>
      <c r="AN55" s="30">
        <v>44926.0</v>
      </c>
      <c r="AO55" s="36">
        <v>306.0</v>
      </c>
      <c r="AP55" s="36">
        <v>599.99</v>
      </c>
      <c r="AQ55" s="37" t="s">
        <v>7046</v>
      </c>
      <c r="AR55" s="30">
        <v>44927.0</v>
      </c>
      <c r="AS55" s="30">
        <v>45291.0</v>
      </c>
      <c r="AT55" s="36">
        <v>591.55</v>
      </c>
      <c r="AU55" s="36">
        <v>999.99</v>
      </c>
      <c r="AV55" s="37" t="s">
        <v>7046</v>
      </c>
    </row>
    <row r="56" ht="14.25" customHeight="1">
      <c r="A56" s="28" t="s">
        <v>1457</v>
      </c>
      <c r="B56" s="29" t="s">
        <v>1458</v>
      </c>
      <c r="C56" s="29" t="s">
        <v>7041</v>
      </c>
      <c r="D56" s="30">
        <v>45658.0</v>
      </c>
      <c r="E56" s="30">
        <v>46022.0</v>
      </c>
      <c r="F56" s="39">
        <v>298.1</v>
      </c>
      <c r="G56" s="39">
        <v>940.0</v>
      </c>
      <c r="H56" s="37" t="s">
        <v>7046</v>
      </c>
      <c r="I56" s="30">
        <v>46023.0</v>
      </c>
      <c r="J56" s="30">
        <v>46387.0</v>
      </c>
      <c r="K56" s="39">
        <v>0.0</v>
      </c>
      <c r="L56" s="39">
        <v>0.0</v>
      </c>
      <c r="M56" s="35" t="s">
        <v>7045</v>
      </c>
      <c r="N56" s="30">
        <v>46388.0</v>
      </c>
      <c r="O56" s="30">
        <v>46752.0</v>
      </c>
      <c r="P56" s="39">
        <v>0.0</v>
      </c>
      <c r="Q56" s="39">
        <v>0.0</v>
      </c>
      <c r="R56" s="35" t="s">
        <v>7045</v>
      </c>
      <c r="S56" s="30">
        <v>46753.0</v>
      </c>
      <c r="T56" s="30">
        <v>47118.0</v>
      </c>
      <c r="U56" s="39">
        <v>0.0</v>
      </c>
      <c r="V56" s="39">
        <v>0.0</v>
      </c>
      <c r="W56" s="35" t="s">
        <v>7045</v>
      </c>
      <c r="X56" s="30">
        <v>47119.0</v>
      </c>
      <c r="Y56" s="30">
        <v>47483.0</v>
      </c>
      <c r="Z56" s="39">
        <v>0.0</v>
      </c>
      <c r="AA56" s="39">
        <v>0.0</v>
      </c>
      <c r="AB56" s="35" t="s">
        <v>7045</v>
      </c>
      <c r="AC56" s="30">
        <v>47484.0</v>
      </c>
      <c r="AD56" s="30">
        <v>47848.0</v>
      </c>
      <c r="AE56" s="39">
        <v>0.0</v>
      </c>
      <c r="AF56" s="39">
        <v>0.0</v>
      </c>
      <c r="AG56" s="35" t="s">
        <v>7045</v>
      </c>
      <c r="AH56" s="30">
        <v>45292.0</v>
      </c>
      <c r="AI56" s="30">
        <v>45657.0</v>
      </c>
      <c r="AJ56" s="39">
        <v>841.87</v>
      </c>
      <c r="AK56" s="39">
        <v>1070.0</v>
      </c>
      <c r="AL56" s="37" t="s">
        <v>7046</v>
      </c>
      <c r="AM56" s="30">
        <v>44562.0</v>
      </c>
      <c r="AN56" s="30">
        <v>44926.0</v>
      </c>
      <c r="AO56" s="39">
        <v>1127.0</v>
      </c>
      <c r="AP56" s="39">
        <v>490.1</v>
      </c>
      <c r="AQ56" s="38" t="s">
        <v>7047</v>
      </c>
      <c r="AR56" s="30">
        <v>44927.0</v>
      </c>
      <c r="AS56" s="30">
        <v>45291.0</v>
      </c>
      <c r="AT56" s="39">
        <v>1068.35</v>
      </c>
      <c r="AU56" s="39">
        <v>700.0</v>
      </c>
      <c r="AV56" s="38" t="s">
        <v>7047</v>
      </c>
    </row>
    <row r="57" ht="14.25" customHeight="1">
      <c r="A57" s="28" t="s">
        <v>4213</v>
      </c>
      <c r="B57" s="29" t="s">
        <v>4214</v>
      </c>
      <c r="C57" s="29" t="s">
        <v>7041</v>
      </c>
      <c r="D57" s="30">
        <v>45658.0</v>
      </c>
      <c r="E57" s="30">
        <v>46022.0</v>
      </c>
      <c r="F57" s="39">
        <v>251.89</v>
      </c>
      <c r="G57" s="39">
        <v>2500.0</v>
      </c>
      <c r="H57" s="32" t="s">
        <v>7043</v>
      </c>
      <c r="I57" s="30">
        <v>46023.0</v>
      </c>
      <c r="J57" s="30">
        <v>46387.0</v>
      </c>
      <c r="K57" s="39">
        <v>0.0</v>
      </c>
      <c r="L57" s="39">
        <v>0.0</v>
      </c>
      <c r="M57" s="35" t="s">
        <v>7045</v>
      </c>
      <c r="N57" s="30">
        <v>46388.0</v>
      </c>
      <c r="O57" s="30">
        <v>46752.0</v>
      </c>
      <c r="P57" s="39">
        <v>0.0</v>
      </c>
      <c r="Q57" s="39">
        <v>0.0</v>
      </c>
      <c r="R57" s="35" t="s">
        <v>7045</v>
      </c>
      <c r="S57" s="30">
        <v>46753.0</v>
      </c>
      <c r="T57" s="30">
        <v>47118.0</v>
      </c>
      <c r="U57" s="39">
        <v>0.0</v>
      </c>
      <c r="V57" s="39">
        <v>0.0</v>
      </c>
      <c r="W57" s="35" t="s">
        <v>7045</v>
      </c>
      <c r="X57" s="30">
        <v>47119.0</v>
      </c>
      <c r="Y57" s="30">
        <v>47483.0</v>
      </c>
      <c r="Z57" s="39">
        <v>0.0</v>
      </c>
      <c r="AA57" s="39">
        <v>0.0</v>
      </c>
      <c r="AB57" s="35" t="s">
        <v>7045</v>
      </c>
      <c r="AC57" s="30">
        <v>47484.0</v>
      </c>
      <c r="AD57" s="30">
        <v>47848.0</v>
      </c>
      <c r="AE57" s="39">
        <v>0.0</v>
      </c>
      <c r="AF57" s="39">
        <v>0.0</v>
      </c>
      <c r="AG57" s="35" t="s">
        <v>7045</v>
      </c>
      <c r="AH57" s="30">
        <v>45292.0</v>
      </c>
      <c r="AI57" s="30">
        <v>45657.0</v>
      </c>
      <c r="AJ57" s="39">
        <v>1193.05</v>
      </c>
      <c r="AK57" s="39">
        <v>1800.0</v>
      </c>
      <c r="AL57" s="37" t="s">
        <v>7046</v>
      </c>
      <c r="AM57" s="30">
        <v>44562.0</v>
      </c>
      <c r="AN57" s="30">
        <v>44926.0</v>
      </c>
      <c r="AO57" s="39">
        <v>1750.2</v>
      </c>
      <c r="AP57" s="39">
        <v>1000.0</v>
      </c>
      <c r="AQ57" s="38" t="s">
        <v>7047</v>
      </c>
      <c r="AR57" s="30">
        <v>44927.0</v>
      </c>
      <c r="AS57" s="30">
        <v>45291.0</v>
      </c>
      <c r="AT57" s="39">
        <v>1889.03</v>
      </c>
      <c r="AU57" s="39">
        <v>1710.0</v>
      </c>
      <c r="AV57" s="38" t="s">
        <v>7047</v>
      </c>
    </row>
    <row r="58" ht="14.25" customHeight="1">
      <c r="A58" s="28" t="s">
        <v>5024</v>
      </c>
      <c r="B58" s="29" t="s">
        <v>5025</v>
      </c>
      <c r="C58" s="29" t="s">
        <v>7041</v>
      </c>
      <c r="D58" s="30">
        <v>45658.0</v>
      </c>
      <c r="E58" s="30">
        <v>46022.0</v>
      </c>
      <c r="F58" s="39">
        <v>168.24</v>
      </c>
      <c r="G58" s="39">
        <v>740.0</v>
      </c>
      <c r="H58" s="32" t="s">
        <v>7043</v>
      </c>
      <c r="I58" s="30">
        <v>46023.0</v>
      </c>
      <c r="J58" s="30">
        <v>46387.0</v>
      </c>
      <c r="K58" s="39">
        <v>0.0</v>
      </c>
      <c r="L58" s="39">
        <v>0.0</v>
      </c>
      <c r="M58" s="35" t="s">
        <v>7045</v>
      </c>
      <c r="N58" s="30">
        <v>46388.0</v>
      </c>
      <c r="O58" s="30">
        <v>46752.0</v>
      </c>
      <c r="P58" s="39">
        <v>0.0</v>
      </c>
      <c r="Q58" s="39">
        <v>0.0</v>
      </c>
      <c r="R58" s="35" t="s">
        <v>7045</v>
      </c>
      <c r="S58" s="30">
        <v>46753.0</v>
      </c>
      <c r="T58" s="30">
        <v>47118.0</v>
      </c>
      <c r="U58" s="39">
        <v>0.0</v>
      </c>
      <c r="V58" s="39">
        <v>0.0</v>
      </c>
      <c r="W58" s="35" t="s">
        <v>7045</v>
      </c>
      <c r="X58" s="30">
        <v>47119.0</v>
      </c>
      <c r="Y58" s="30">
        <v>47483.0</v>
      </c>
      <c r="Z58" s="39">
        <v>0.0</v>
      </c>
      <c r="AA58" s="39">
        <v>0.0</v>
      </c>
      <c r="AB58" s="35" t="s">
        <v>7045</v>
      </c>
      <c r="AC58" s="30">
        <v>47484.0</v>
      </c>
      <c r="AD58" s="30">
        <v>47848.0</v>
      </c>
      <c r="AE58" s="39">
        <v>0.0</v>
      </c>
      <c r="AF58" s="39">
        <v>0.0</v>
      </c>
      <c r="AG58" s="35" t="s">
        <v>7045</v>
      </c>
      <c r="AH58" s="30">
        <v>45292.0</v>
      </c>
      <c r="AI58" s="30">
        <v>45657.0</v>
      </c>
      <c r="AJ58" s="39">
        <v>730.5</v>
      </c>
      <c r="AK58" s="39">
        <v>550.0</v>
      </c>
      <c r="AL58" s="38" t="s">
        <v>7047</v>
      </c>
      <c r="AM58" s="30">
        <v>44562.0</v>
      </c>
      <c r="AN58" s="30">
        <v>44926.0</v>
      </c>
      <c r="AO58" s="39">
        <v>416.9</v>
      </c>
      <c r="AP58" s="39">
        <v>0.0</v>
      </c>
      <c r="AQ58" s="38" t="s">
        <v>7047</v>
      </c>
      <c r="AR58" s="30">
        <v>44927.0</v>
      </c>
      <c r="AS58" s="30">
        <v>45291.0</v>
      </c>
      <c r="AT58" s="39">
        <v>939.57</v>
      </c>
      <c r="AU58" s="39">
        <v>472.0</v>
      </c>
      <c r="AV58" s="38" t="s">
        <v>7047</v>
      </c>
    </row>
    <row r="59" ht="14.25" customHeight="1">
      <c r="A59" s="28" t="s">
        <v>5129</v>
      </c>
      <c r="B59" s="29" t="s">
        <v>5130</v>
      </c>
      <c r="C59" s="29" t="s">
        <v>7041</v>
      </c>
      <c r="D59" s="30">
        <v>45658.0</v>
      </c>
      <c r="E59" s="30">
        <v>46022.0</v>
      </c>
      <c r="F59" s="36">
        <v>58.81</v>
      </c>
      <c r="G59" s="36">
        <v>2499.98</v>
      </c>
      <c r="H59" s="32" t="s">
        <v>7043</v>
      </c>
      <c r="I59" s="30">
        <v>46023.0</v>
      </c>
      <c r="J59" s="30">
        <v>46387.0</v>
      </c>
      <c r="K59" s="36">
        <v>0.0</v>
      </c>
      <c r="L59" s="36">
        <v>0.0</v>
      </c>
      <c r="M59" s="35" t="s">
        <v>7045</v>
      </c>
      <c r="N59" s="30">
        <v>46388.0</v>
      </c>
      <c r="O59" s="30">
        <v>46752.0</v>
      </c>
      <c r="P59" s="36">
        <v>0.0</v>
      </c>
      <c r="Q59" s="36">
        <v>0.0</v>
      </c>
      <c r="R59" s="35" t="s">
        <v>7045</v>
      </c>
      <c r="S59" s="30">
        <v>46753.0</v>
      </c>
      <c r="T59" s="30">
        <v>47118.0</v>
      </c>
      <c r="U59" s="36">
        <v>0.0</v>
      </c>
      <c r="V59" s="36">
        <v>0.0</v>
      </c>
      <c r="W59" s="35" t="s">
        <v>7045</v>
      </c>
      <c r="X59" s="30">
        <v>47119.0</v>
      </c>
      <c r="Y59" s="30">
        <v>47483.0</v>
      </c>
      <c r="Z59" s="36">
        <v>0.0</v>
      </c>
      <c r="AA59" s="36">
        <v>0.0</v>
      </c>
      <c r="AB59" s="35" t="s">
        <v>7045</v>
      </c>
      <c r="AC59" s="30">
        <v>47484.0</v>
      </c>
      <c r="AD59" s="30">
        <v>47848.0</v>
      </c>
      <c r="AE59" s="36">
        <v>0.0</v>
      </c>
      <c r="AF59" s="36">
        <v>0.0</v>
      </c>
      <c r="AG59" s="35" t="s">
        <v>7045</v>
      </c>
      <c r="AH59" s="30">
        <v>45292.0</v>
      </c>
      <c r="AI59" s="30">
        <v>45657.0</v>
      </c>
      <c r="AJ59" s="36">
        <v>2428.66</v>
      </c>
      <c r="AK59" s="36">
        <v>2999.97</v>
      </c>
      <c r="AL59" s="37" t="s">
        <v>7046</v>
      </c>
      <c r="AM59" s="30">
        <v>44562.0</v>
      </c>
      <c r="AN59" s="30">
        <v>44926.0</v>
      </c>
      <c r="AO59" s="36">
        <v>788.09</v>
      </c>
      <c r="AP59" s="36">
        <v>1299.99</v>
      </c>
      <c r="AQ59" s="37" t="s">
        <v>7046</v>
      </c>
      <c r="AR59" s="30">
        <v>44927.0</v>
      </c>
      <c r="AS59" s="30">
        <v>45291.0</v>
      </c>
      <c r="AT59" s="36">
        <v>2340.92</v>
      </c>
      <c r="AU59" s="36">
        <v>2999.97</v>
      </c>
      <c r="AV59" s="37" t="s">
        <v>7046</v>
      </c>
    </row>
    <row r="60" ht="14.25" customHeight="1">
      <c r="A60" s="28" t="s">
        <v>5988</v>
      </c>
      <c r="B60" s="29" t="s">
        <v>5989</v>
      </c>
      <c r="C60" s="29" t="s">
        <v>7041</v>
      </c>
      <c r="D60" s="30">
        <v>45658.0</v>
      </c>
      <c r="E60" s="30">
        <v>46022.0</v>
      </c>
      <c r="F60" s="39">
        <v>385.4</v>
      </c>
      <c r="G60" s="39">
        <v>1200.0</v>
      </c>
      <c r="H60" s="32" t="s">
        <v>7046</v>
      </c>
      <c r="I60" s="30">
        <v>46023.0</v>
      </c>
      <c r="J60" s="30">
        <v>46387.0</v>
      </c>
      <c r="K60" s="39">
        <v>0.0</v>
      </c>
      <c r="L60" s="39">
        <v>0.0</v>
      </c>
      <c r="M60" s="35" t="s">
        <v>7045</v>
      </c>
      <c r="N60" s="30">
        <v>46388.0</v>
      </c>
      <c r="O60" s="30">
        <v>46752.0</v>
      </c>
      <c r="P60" s="39">
        <v>0.0</v>
      </c>
      <c r="Q60" s="39">
        <v>0.0</v>
      </c>
      <c r="R60" s="35" t="s">
        <v>7045</v>
      </c>
      <c r="S60" s="30">
        <v>46753.0</v>
      </c>
      <c r="T60" s="30">
        <v>47118.0</v>
      </c>
      <c r="U60" s="39">
        <v>0.0</v>
      </c>
      <c r="V60" s="39">
        <v>0.0</v>
      </c>
      <c r="W60" s="35" t="s">
        <v>7045</v>
      </c>
      <c r="X60" s="30">
        <v>47119.0</v>
      </c>
      <c r="Y60" s="30">
        <v>47483.0</v>
      </c>
      <c r="Z60" s="39">
        <v>0.0</v>
      </c>
      <c r="AA60" s="39">
        <v>0.0</v>
      </c>
      <c r="AB60" s="35" t="s">
        <v>7045</v>
      </c>
      <c r="AC60" s="30">
        <v>47484.0</v>
      </c>
      <c r="AD60" s="30">
        <v>47848.0</v>
      </c>
      <c r="AE60" s="39">
        <v>0.0</v>
      </c>
      <c r="AF60" s="39">
        <v>0.0</v>
      </c>
      <c r="AG60" s="35" t="s">
        <v>7045</v>
      </c>
      <c r="AH60" s="30">
        <v>45292.0</v>
      </c>
      <c r="AI60" s="30">
        <v>45657.0</v>
      </c>
      <c r="AJ60" s="39">
        <v>851.72</v>
      </c>
      <c r="AK60" s="39">
        <v>1050.2</v>
      </c>
      <c r="AL60" s="37" t="s">
        <v>7046</v>
      </c>
      <c r="AM60" s="30">
        <v>44562.0</v>
      </c>
      <c r="AN60" s="30">
        <v>44926.0</v>
      </c>
      <c r="AO60" s="39">
        <v>1507.8</v>
      </c>
      <c r="AP60" s="39">
        <v>1200.3</v>
      </c>
      <c r="AQ60" s="38" t="s">
        <v>7047</v>
      </c>
      <c r="AR60" s="30">
        <v>44927.0</v>
      </c>
      <c r="AS60" s="30">
        <v>45291.0</v>
      </c>
      <c r="AT60" s="39">
        <v>552.37</v>
      </c>
      <c r="AU60" s="39">
        <v>1599.9</v>
      </c>
      <c r="AV60" s="32" t="s">
        <v>7043</v>
      </c>
    </row>
    <row r="61" ht="14.25" customHeight="1">
      <c r="A61" s="28" t="s">
        <v>5757</v>
      </c>
      <c r="B61" s="29" t="s">
        <v>5758</v>
      </c>
      <c r="C61" s="29" t="s">
        <v>7041</v>
      </c>
      <c r="D61" s="30">
        <v>45658.0</v>
      </c>
      <c r="E61" s="30">
        <v>46022.0</v>
      </c>
      <c r="F61" s="36">
        <v>6.59</v>
      </c>
      <c r="G61" s="36">
        <v>500.0</v>
      </c>
      <c r="H61" s="32" t="s">
        <v>7043</v>
      </c>
      <c r="I61" s="30">
        <v>46023.0</v>
      </c>
      <c r="J61" s="30">
        <v>46387.0</v>
      </c>
      <c r="K61" s="36">
        <v>0.0</v>
      </c>
      <c r="L61" s="36">
        <v>0.0</v>
      </c>
      <c r="M61" s="35" t="s">
        <v>7045</v>
      </c>
      <c r="N61" s="30">
        <v>46388.0</v>
      </c>
      <c r="O61" s="30">
        <v>46752.0</v>
      </c>
      <c r="P61" s="36">
        <v>0.0</v>
      </c>
      <c r="Q61" s="36">
        <v>0.0</v>
      </c>
      <c r="R61" s="35" t="s">
        <v>7045</v>
      </c>
      <c r="S61" s="30">
        <v>46753.0</v>
      </c>
      <c r="T61" s="30">
        <v>47118.0</v>
      </c>
      <c r="U61" s="36">
        <v>0.0</v>
      </c>
      <c r="V61" s="36">
        <v>0.0</v>
      </c>
      <c r="W61" s="35" t="s">
        <v>7045</v>
      </c>
      <c r="X61" s="30">
        <v>47119.0</v>
      </c>
      <c r="Y61" s="30">
        <v>47483.0</v>
      </c>
      <c r="Z61" s="36">
        <v>0.0</v>
      </c>
      <c r="AA61" s="36">
        <v>0.0</v>
      </c>
      <c r="AB61" s="35" t="s">
        <v>7045</v>
      </c>
      <c r="AC61" s="30">
        <v>47484.0</v>
      </c>
      <c r="AD61" s="30">
        <v>47848.0</v>
      </c>
      <c r="AE61" s="36">
        <v>0.0</v>
      </c>
      <c r="AF61" s="36">
        <v>0.0</v>
      </c>
      <c r="AG61" s="35" t="s">
        <v>7045</v>
      </c>
      <c r="AH61" s="30">
        <v>45292.0</v>
      </c>
      <c r="AI61" s="30">
        <v>45657.0</v>
      </c>
      <c r="AJ61" s="36">
        <v>53.54</v>
      </c>
      <c r="AK61" s="36">
        <v>220.0</v>
      </c>
      <c r="AL61" s="32" t="s">
        <v>7043</v>
      </c>
      <c r="AM61" s="30">
        <v>44562.0</v>
      </c>
      <c r="AN61" s="30">
        <v>44926.0</v>
      </c>
      <c r="AO61" s="36">
        <v>0.0</v>
      </c>
      <c r="AP61" s="36">
        <v>0.0</v>
      </c>
      <c r="AQ61" s="35" t="s">
        <v>7045</v>
      </c>
      <c r="AR61" s="30">
        <v>44927.0</v>
      </c>
      <c r="AS61" s="30">
        <v>45291.0</v>
      </c>
      <c r="AT61" s="36">
        <v>16.99</v>
      </c>
      <c r="AU61" s="36">
        <v>500.0</v>
      </c>
      <c r="AV61" s="32" t="s">
        <v>7043</v>
      </c>
    </row>
    <row r="62" ht="14.25" customHeight="1">
      <c r="A62" s="28" t="s">
        <v>3503</v>
      </c>
      <c r="B62" s="29" t="s">
        <v>3504</v>
      </c>
      <c r="C62" s="29" t="s">
        <v>7041</v>
      </c>
      <c r="D62" s="30">
        <v>45658.0</v>
      </c>
      <c r="E62" s="30">
        <v>46022.0</v>
      </c>
      <c r="F62" s="36">
        <v>180.99</v>
      </c>
      <c r="G62" s="36">
        <v>0.0</v>
      </c>
      <c r="H62" s="38" t="s">
        <v>7047</v>
      </c>
      <c r="I62" s="30">
        <v>46023.0</v>
      </c>
      <c r="J62" s="30">
        <v>46387.0</v>
      </c>
      <c r="K62" s="36">
        <v>0.0</v>
      </c>
      <c r="L62" s="36">
        <v>0.0</v>
      </c>
      <c r="M62" s="35" t="s">
        <v>7045</v>
      </c>
      <c r="N62" s="30">
        <v>46388.0</v>
      </c>
      <c r="O62" s="30">
        <v>46752.0</v>
      </c>
      <c r="P62" s="36">
        <v>0.0</v>
      </c>
      <c r="Q62" s="36">
        <v>0.0</v>
      </c>
      <c r="R62" s="35" t="s">
        <v>7045</v>
      </c>
      <c r="S62" s="30">
        <v>46753.0</v>
      </c>
      <c r="T62" s="30">
        <v>47118.0</v>
      </c>
      <c r="U62" s="36">
        <v>0.0</v>
      </c>
      <c r="V62" s="36">
        <v>0.0</v>
      </c>
      <c r="W62" s="35" t="s">
        <v>7045</v>
      </c>
      <c r="X62" s="30">
        <v>47119.0</v>
      </c>
      <c r="Y62" s="30">
        <v>47483.0</v>
      </c>
      <c r="Z62" s="36">
        <v>0.0</v>
      </c>
      <c r="AA62" s="36">
        <v>0.0</v>
      </c>
      <c r="AB62" s="35" t="s">
        <v>7045</v>
      </c>
      <c r="AC62" s="30">
        <v>47484.0</v>
      </c>
      <c r="AD62" s="30">
        <v>47848.0</v>
      </c>
      <c r="AE62" s="36">
        <v>0.0</v>
      </c>
      <c r="AF62" s="36">
        <v>0.0</v>
      </c>
      <c r="AG62" s="35" t="s">
        <v>7045</v>
      </c>
      <c r="AH62" s="30">
        <v>45292.0</v>
      </c>
      <c r="AI62" s="30">
        <v>45657.0</v>
      </c>
      <c r="AJ62" s="36">
        <v>2632.24</v>
      </c>
      <c r="AK62" s="36">
        <v>0.0</v>
      </c>
      <c r="AL62" s="38" t="s">
        <v>7047</v>
      </c>
      <c r="AM62" s="30">
        <v>44562.0</v>
      </c>
      <c r="AN62" s="30">
        <v>44926.0</v>
      </c>
      <c r="AO62" s="36">
        <v>4800.66</v>
      </c>
      <c r="AP62" s="36">
        <v>3499.97</v>
      </c>
      <c r="AQ62" s="38" t="s">
        <v>7047</v>
      </c>
      <c r="AR62" s="30">
        <v>44927.0</v>
      </c>
      <c r="AS62" s="30">
        <v>45291.0</v>
      </c>
      <c r="AT62" s="36">
        <v>4784.33</v>
      </c>
      <c r="AU62" s="36">
        <v>0.0</v>
      </c>
      <c r="AV62" s="38" t="s">
        <v>7047</v>
      </c>
    </row>
    <row r="63" ht="14.25" customHeight="1">
      <c r="A63" s="28" t="s">
        <v>5498</v>
      </c>
      <c r="B63" s="29" t="s">
        <v>5499</v>
      </c>
      <c r="C63" s="29" t="s">
        <v>7041</v>
      </c>
      <c r="D63" s="30">
        <v>45658.0</v>
      </c>
      <c r="E63" s="30">
        <v>46022.0</v>
      </c>
      <c r="F63" s="39">
        <v>0.0</v>
      </c>
      <c r="G63" s="39">
        <v>700.0</v>
      </c>
      <c r="H63" s="32" t="s">
        <v>7043</v>
      </c>
      <c r="I63" s="30">
        <v>46023.0</v>
      </c>
      <c r="J63" s="30">
        <v>46387.0</v>
      </c>
      <c r="K63" s="39">
        <v>0.0</v>
      </c>
      <c r="L63" s="39">
        <v>0.0</v>
      </c>
      <c r="M63" s="35" t="s">
        <v>7045</v>
      </c>
      <c r="N63" s="30">
        <v>46388.0</v>
      </c>
      <c r="O63" s="30">
        <v>46752.0</v>
      </c>
      <c r="P63" s="39">
        <v>0.0</v>
      </c>
      <c r="Q63" s="39">
        <v>0.0</v>
      </c>
      <c r="R63" s="35" t="s">
        <v>7045</v>
      </c>
      <c r="S63" s="30">
        <v>46753.0</v>
      </c>
      <c r="T63" s="30">
        <v>47118.0</v>
      </c>
      <c r="U63" s="39">
        <v>0.0</v>
      </c>
      <c r="V63" s="39">
        <v>0.0</v>
      </c>
      <c r="W63" s="35" t="s">
        <v>7045</v>
      </c>
      <c r="X63" s="30">
        <v>47119.0</v>
      </c>
      <c r="Y63" s="30">
        <v>47483.0</v>
      </c>
      <c r="Z63" s="39">
        <v>0.0</v>
      </c>
      <c r="AA63" s="39">
        <v>0.0</v>
      </c>
      <c r="AB63" s="35" t="s">
        <v>7045</v>
      </c>
      <c r="AC63" s="30">
        <v>47484.0</v>
      </c>
      <c r="AD63" s="30">
        <v>47848.0</v>
      </c>
      <c r="AE63" s="39">
        <v>0.0</v>
      </c>
      <c r="AF63" s="39">
        <v>0.0</v>
      </c>
      <c r="AG63" s="35" t="s">
        <v>7045</v>
      </c>
      <c r="AH63" s="30">
        <v>45292.0</v>
      </c>
      <c r="AI63" s="30">
        <v>45657.0</v>
      </c>
      <c r="AJ63" s="40" t="s">
        <v>7048</v>
      </c>
      <c r="AK63" s="39">
        <v>800.0</v>
      </c>
      <c r="AL63" s="32" t="s">
        <v>7043</v>
      </c>
      <c r="AM63" s="30">
        <v>44562.0</v>
      </c>
      <c r="AN63" s="30">
        <v>44926.0</v>
      </c>
      <c r="AO63" s="39">
        <v>2719.9</v>
      </c>
      <c r="AP63" s="39">
        <v>830.0</v>
      </c>
      <c r="AQ63" s="38" t="s">
        <v>7047</v>
      </c>
      <c r="AR63" s="30">
        <v>44927.0</v>
      </c>
      <c r="AS63" s="30">
        <v>45291.0</v>
      </c>
      <c r="AT63" s="39">
        <v>1594.08</v>
      </c>
      <c r="AU63" s="39">
        <v>1709.0</v>
      </c>
      <c r="AV63" s="37" t="s">
        <v>7046</v>
      </c>
    </row>
    <row r="64" ht="14.25" customHeight="1">
      <c r="A64" s="28" t="s">
        <v>2928</v>
      </c>
      <c r="B64" s="29" t="s">
        <v>2929</v>
      </c>
      <c r="C64" s="29" t="s">
        <v>7041</v>
      </c>
      <c r="D64" s="30">
        <v>45658.0</v>
      </c>
      <c r="E64" s="30">
        <v>46022.0</v>
      </c>
      <c r="F64" s="36">
        <v>145.98</v>
      </c>
      <c r="G64" s="36">
        <v>450.2</v>
      </c>
      <c r="H64" s="32" t="s">
        <v>7046</v>
      </c>
      <c r="I64" s="30">
        <v>46023.0</v>
      </c>
      <c r="J64" s="30">
        <v>46387.0</v>
      </c>
      <c r="K64" s="36">
        <v>0.0</v>
      </c>
      <c r="L64" s="36">
        <v>0.0</v>
      </c>
      <c r="M64" s="35" t="s">
        <v>7045</v>
      </c>
      <c r="N64" s="30">
        <v>46388.0</v>
      </c>
      <c r="O64" s="30">
        <v>46752.0</v>
      </c>
      <c r="P64" s="36">
        <v>0.0</v>
      </c>
      <c r="Q64" s="36">
        <v>0.0</v>
      </c>
      <c r="R64" s="35" t="s">
        <v>7045</v>
      </c>
      <c r="S64" s="30">
        <v>46753.0</v>
      </c>
      <c r="T64" s="30">
        <v>47118.0</v>
      </c>
      <c r="U64" s="36">
        <v>0.0</v>
      </c>
      <c r="V64" s="36">
        <v>0.0</v>
      </c>
      <c r="W64" s="35" t="s">
        <v>7045</v>
      </c>
      <c r="X64" s="30">
        <v>47119.0</v>
      </c>
      <c r="Y64" s="30">
        <v>47483.0</v>
      </c>
      <c r="Z64" s="36">
        <v>0.0</v>
      </c>
      <c r="AA64" s="36">
        <v>0.0</v>
      </c>
      <c r="AB64" s="35" t="s">
        <v>7045</v>
      </c>
      <c r="AC64" s="30">
        <v>47484.0</v>
      </c>
      <c r="AD64" s="30">
        <v>47848.0</v>
      </c>
      <c r="AE64" s="36">
        <v>0.0</v>
      </c>
      <c r="AF64" s="36">
        <v>0.0</v>
      </c>
      <c r="AG64" s="35" t="s">
        <v>7045</v>
      </c>
      <c r="AH64" s="30">
        <v>45292.0</v>
      </c>
      <c r="AI64" s="30">
        <v>45657.0</v>
      </c>
      <c r="AJ64" s="36">
        <v>332.36</v>
      </c>
      <c r="AK64" s="36">
        <v>404.6</v>
      </c>
      <c r="AL64" s="37" t="s">
        <v>7046</v>
      </c>
      <c r="AM64" s="30">
        <v>44562.0</v>
      </c>
      <c r="AN64" s="30">
        <v>44926.0</v>
      </c>
      <c r="AO64" s="36">
        <v>366.8</v>
      </c>
      <c r="AP64" s="36">
        <v>360.7</v>
      </c>
      <c r="AQ64" s="38" t="s">
        <v>7047</v>
      </c>
      <c r="AR64" s="30">
        <v>44927.0</v>
      </c>
      <c r="AS64" s="30">
        <v>45291.0</v>
      </c>
      <c r="AT64" s="36">
        <v>357.84</v>
      </c>
      <c r="AU64" s="36">
        <v>410.4</v>
      </c>
      <c r="AV64" s="37" t="s">
        <v>7046</v>
      </c>
    </row>
    <row r="65" ht="14.25" customHeight="1">
      <c r="A65" s="28" t="s">
        <v>3443</v>
      </c>
      <c r="B65" s="29" t="s">
        <v>3444</v>
      </c>
      <c r="C65" s="29" t="s">
        <v>7041</v>
      </c>
      <c r="D65" s="30">
        <v>45658.0</v>
      </c>
      <c r="E65" s="30">
        <v>46022.0</v>
      </c>
      <c r="F65" s="36">
        <v>271.72</v>
      </c>
      <c r="G65" s="36">
        <v>0.0</v>
      </c>
      <c r="H65" s="38" t="s">
        <v>7047</v>
      </c>
      <c r="I65" s="30">
        <v>46023.0</v>
      </c>
      <c r="J65" s="30">
        <v>46387.0</v>
      </c>
      <c r="K65" s="36">
        <v>0.0</v>
      </c>
      <c r="L65" s="36">
        <v>0.0</v>
      </c>
      <c r="M65" s="35" t="s">
        <v>7045</v>
      </c>
      <c r="N65" s="30">
        <v>46388.0</v>
      </c>
      <c r="O65" s="30">
        <v>46752.0</v>
      </c>
      <c r="P65" s="36">
        <v>0.0</v>
      </c>
      <c r="Q65" s="36">
        <v>0.0</v>
      </c>
      <c r="R65" s="35" t="s">
        <v>7045</v>
      </c>
      <c r="S65" s="30">
        <v>46753.0</v>
      </c>
      <c r="T65" s="30">
        <v>47118.0</v>
      </c>
      <c r="U65" s="36">
        <v>0.0</v>
      </c>
      <c r="V65" s="36">
        <v>0.0</v>
      </c>
      <c r="W65" s="35" t="s">
        <v>7045</v>
      </c>
      <c r="X65" s="30">
        <v>47119.0</v>
      </c>
      <c r="Y65" s="30">
        <v>47483.0</v>
      </c>
      <c r="Z65" s="36">
        <v>0.0</v>
      </c>
      <c r="AA65" s="36">
        <v>0.0</v>
      </c>
      <c r="AB65" s="35" t="s">
        <v>7045</v>
      </c>
      <c r="AC65" s="30">
        <v>47484.0</v>
      </c>
      <c r="AD65" s="30">
        <v>47848.0</v>
      </c>
      <c r="AE65" s="36">
        <v>0.0</v>
      </c>
      <c r="AF65" s="36">
        <v>0.0</v>
      </c>
      <c r="AG65" s="35" t="s">
        <v>7045</v>
      </c>
      <c r="AH65" s="30">
        <v>45292.0</v>
      </c>
      <c r="AI65" s="30">
        <v>45657.0</v>
      </c>
      <c r="AJ65" s="36">
        <v>143.85</v>
      </c>
      <c r="AK65" s="36">
        <v>0.0</v>
      </c>
      <c r="AL65" s="38" t="s">
        <v>7047</v>
      </c>
      <c r="AM65" s="30">
        <v>44562.0</v>
      </c>
      <c r="AN65" s="30">
        <v>44926.0</v>
      </c>
      <c r="AO65" s="36">
        <v>288.7</v>
      </c>
      <c r="AP65" s="36">
        <v>0.0</v>
      </c>
      <c r="AQ65" s="38" t="s">
        <v>7047</v>
      </c>
      <c r="AR65" s="30">
        <v>44927.0</v>
      </c>
      <c r="AS65" s="30">
        <v>45291.0</v>
      </c>
      <c r="AT65" s="36">
        <v>1807.84</v>
      </c>
      <c r="AU65" s="36">
        <v>0.0</v>
      </c>
      <c r="AV65" s="38" t="s">
        <v>7047</v>
      </c>
    </row>
    <row r="66" ht="14.25" customHeight="1">
      <c r="A66" s="28" t="s">
        <v>1146</v>
      </c>
      <c r="B66" s="29" t="s">
        <v>1147</v>
      </c>
      <c r="C66" s="29" t="s">
        <v>7041</v>
      </c>
      <c r="D66" s="30">
        <v>45658.0</v>
      </c>
      <c r="E66" s="30">
        <v>46022.0</v>
      </c>
      <c r="F66" s="39">
        <v>883.97</v>
      </c>
      <c r="G66" s="39">
        <v>1570.0</v>
      </c>
      <c r="H66" s="38" t="s">
        <v>7047</v>
      </c>
      <c r="I66" s="30">
        <v>46023.0</v>
      </c>
      <c r="J66" s="30">
        <v>46387.0</v>
      </c>
      <c r="K66" s="39">
        <v>0.0</v>
      </c>
      <c r="L66" s="39">
        <v>0.0</v>
      </c>
      <c r="M66" s="35" t="s">
        <v>7045</v>
      </c>
      <c r="N66" s="30">
        <v>46388.0</v>
      </c>
      <c r="O66" s="30">
        <v>46752.0</v>
      </c>
      <c r="P66" s="39">
        <v>0.0</v>
      </c>
      <c r="Q66" s="39">
        <v>0.0</v>
      </c>
      <c r="R66" s="35" t="s">
        <v>7045</v>
      </c>
      <c r="S66" s="30">
        <v>46753.0</v>
      </c>
      <c r="T66" s="30">
        <v>47118.0</v>
      </c>
      <c r="U66" s="39">
        <v>0.0</v>
      </c>
      <c r="V66" s="39">
        <v>0.0</v>
      </c>
      <c r="W66" s="35" t="s">
        <v>7045</v>
      </c>
      <c r="X66" s="30">
        <v>47119.0</v>
      </c>
      <c r="Y66" s="30">
        <v>47483.0</v>
      </c>
      <c r="Z66" s="39">
        <v>0.0</v>
      </c>
      <c r="AA66" s="39">
        <v>0.0</v>
      </c>
      <c r="AB66" s="35" t="s">
        <v>7045</v>
      </c>
      <c r="AC66" s="30">
        <v>47484.0</v>
      </c>
      <c r="AD66" s="30">
        <v>47848.0</v>
      </c>
      <c r="AE66" s="39">
        <v>0.0</v>
      </c>
      <c r="AF66" s="39">
        <v>0.0</v>
      </c>
      <c r="AG66" s="35" t="s">
        <v>7045</v>
      </c>
      <c r="AH66" s="30">
        <v>45292.0</v>
      </c>
      <c r="AI66" s="30">
        <v>45657.0</v>
      </c>
      <c r="AJ66" s="39">
        <v>1566.17</v>
      </c>
      <c r="AK66" s="39">
        <v>2400.0</v>
      </c>
      <c r="AL66" s="37" t="s">
        <v>7046</v>
      </c>
      <c r="AM66" s="30">
        <v>44562.0</v>
      </c>
      <c r="AN66" s="30">
        <v>44926.0</v>
      </c>
      <c r="AO66" s="39">
        <v>2423.3</v>
      </c>
      <c r="AP66" s="39">
        <v>1275.0</v>
      </c>
      <c r="AQ66" s="38" t="s">
        <v>7047</v>
      </c>
      <c r="AR66" s="30">
        <v>44927.0</v>
      </c>
      <c r="AS66" s="30">
        <v>45291.0</v>
      </c>
      <c r="AT66" s="39">
        <v>2756.78</v>
      </c>
      <c r="AU66" s="39">
        <v>2020.0</v>
      </c>
      <c r="AV66" s="38" t="s">
        <v>7047</v>
      </c>
    </row>
    <row r="67" ht="14.25" customHeight="1">
      <c r="A67" s="28" t="s">
        <v>262</v>
      </c>
      <c r="B67" s="29" t="s">
        <v>263</v>
      </c>
      <c r="C67" s="29" t="s">
        <v>7041</v>
      </c>
      <c r="D67" s="30">
        <v>45658.0</v>
      </c>
      <c r="E67" s="30">
        <v>46022.0</v>
      </c>
      <c r="F67" s="39">
        <v>5296.91</v>
      </c>
      <c r="G67" s="39">
        <v>9500.0</v>
      </c>
      <c r="H67" s="37" t="s">
        <v>7047</v>
      </c>
      <c r="I67" s="30">
        <v>46023.0</v>
      </c>
      <c r="J67" s="30">
        <v>46387.0</v>
      </c>
      <c r="K67" s="39">
        <v>0.0</v>
      </c>
      <c r="L67" s="39">
        <v>0.0</v>
      </c>
      <c r="M67" s="35" t="s">
        <v>7045</v>
      </c>
      <c r="N67" s="30">
        <v>46388.0</v>
      </c>
      <c r="O67" s="30">
        <v>46752.0</v>
      </c>
      <c r="P67" s="39">
        <v>0.0</v>
      </c>
      <c r="Q67" s="39">
        <v>0.0</v>
      </c>
      <c r="R67" s="35" t="s">
        <v>7045</v>
      </c>
      <c r="S67" s="30">
        <v>46753.0</v>
      </c>
      <c r="T67" s="30">
        <v>47118.0</v>
      </c>
      <c r="U67" s="39">
        <v>0.0</v>
      </c>
      <c r="V67" s="39">
        <v>0.0</v>
      </c>
      <c r="W67" s="35" t="s">
        <v>7045</v>
      </c>
      <c r="X67" s="30">
        <v>47119.0</v>
      </c>
      <c r="Y67" s="30">
        <v>47483.0</v>
      </c>
      <c r="Z67" s="39">
        <v>0.0</v>
      </c>
      <c r="AA67" s="39">
        <v>0.0</v>
      </c>
      <c r="AB67" s="35" t="s">
        <v>7045</v>
      </c>
      <c r="AC67" s="30">
        <v>47484.0</v>
      </c>
      <c r="AD67" s="30">
        <v>47848.0</v>
      </c>
      <c r="AE67" s="39">
        <v>0.0</v>
      </c>
      <c r="AF67" s="39">
        <v>0.0</v>
      </c>
      <c r="AG67" s="35" t="s">
        <v>7045</v>
      </c>
      <c r="AH67" s="30">
        <v>45292.0</v>
      </c>
      <c r="AI67" s="30">
        <v>45657.0</v>
      </c>
      <c r="AJ67" s="39">
        <v>5907.53</v>
      </c>
      <c r="AK67" s="39">
        <v>6000.0</v>
      </c>
      <c r="AL67" s="37" t="s">
        <v>7046</v>
      </c>
      <c r="AM67" s="30">
        <v>44562.0</v>
      </c>
      <c r="AN67" s="30">
        <v>44926.0</v>
      </c>
      <c r="AO67" s="39">
        <v>5848.6</v>
      </c>
      <c r="AP67" s="39">
        <v>6800.0</v>
      </c>
      <c r="AQ67" s="37" t="s">
        <v>7046</v>
      </c>
      <c r="AR67" s="30">
        <v>44927.0</v>
      </c>
      <c r="AS67" s="30">
        <v>45291.0</v>
      </c>
      <c r="AT67" s="39">
        <v>5812.24</v>
      </c>
      <c r="AU67" s="39">
        <v>6450.1</v>
      </c>
      <c r="AV67" s="37" t="s">
        <v>7046</v>
      </c>
    </row>
    <row r="68" ht="14.25" customHeight="1">
      <c r="A68" s="28" t="s">
        <v>811</v>
      </c>
      <c r="B68" s="29" t="s">
        <v>812</v>
      </c>
      <c r="C68" s="29" t="s">
        <v>7041</v>
      </c>
      <c r="D68" s="30">
        <v>45658.0</v>
      </c>
      <c r="E68" s="30">
        <v>46022.0</v>
      </c>
      <c r="F68" s="39">
        <v>375.24</v>
      </c>
      <c r="G68" s="39">
        <v>920.0</v>
      </c>
      <c r="H68" s="37" t="s">
        <v>7046</v>
      </c>
      <c r="I68" s="30">
        <v>46023.0</v>
      </c>
      <c r="J68" s="30">
        <v>46387.0</v>
      </c>
      <c r="K68" s="39">
        <v>0.0</v>
      </c>
      <c r="L68" s="39">
        <v>0.0</v>
      </c>
      <c r="M68" s="35" t="s">
        <v>7045</v>
      </c>
      <c r="N68" s="30">
        <v>46388.0</v>
      </c>
      <c r="O68" s="30">
        <v>46752.0</v>
      </c>
      <c r="P68" s="39">
        <v>0.0</v>
      </c>
      <c r="Q68" s="39">
        <v>0.0</v>
      </c>
      <c r="R68" s="35" t="s">
        <v>7045</v>
      </c>
      <c r="S68" s="30">
        <v>46753.0</v>
      </c>
      <c r="T68" s="30">
        <v>47118.0</v>
      </c>
      <c r="U68" s="39">
        <v>0.0</v>
      </c>
      <c r="V68" s="39">
        <v>0.0</v>
      </c>
      <c r="W68" s="35" t="s">
        <v>7045</v>
      </c>
      <c r="X68" s="30">
        <v>47119.0</v>
      </c>
      <c r="Y68" s="30">
        <v>47483.0</v>
      </c>
      <c r="Z68" s="39">
        <v>0.0</v>
      </c>
      <c r="AA68" s="39">
        <v>0.0</v>
      </c>
      <c r="AB68" s="35" t="s">
        <v>7045</v>
      </c>
      <c r="AC68" s="30">
        <v>47484.0</v>
      </c>
      <c r="AD68" s="30">
        <v>47848.0</v>
      </c>
      <c r="AE68" s="39">
        <v>0.0</v>
      </c>
      <c r="AF68" s="39">
        <v>0.0</v>
      </c>
      <c r="AG68" s="35" t="s">
        <v>7045</v>
      </c>
      <c r="AH68" s="30">
        <v>45292.0</v>
      </c>
      <c r="AI68" s="30">
        <v>45657.0</v>
      </c>
      <c r="AJ68" s="39">
        <v>820.34</v>
      </c>
      <c r="AK68" s="39">
        <v>1330.0</v>
      </c>
      <c r="AL68" s="37" t="s">
        <v>7046</v>
      </c>
      <c r="AM68" s="30">
        <v>44562.0</v>
      </c>
      <c r="AN68" s="30">
        <v>44926.0</v>
      </c>
      <c r="AO68" s="39">
        <v>1280.9</v>
      </c>
      <c r="AP68" s="39">
        <v>1200.0</v>
      </c>
      <c r="AQ68" s="38" t="s">
        <v>7047</v>
      </c>
      <c r="AR68" s="30">
        <v>44927.0</v>
      </c>
      <c r="AS68" s="30">
        <v>45291.0</v>
      </c>
      <c r="AT68" s="39">
        <v>1189.38</v>
      </c>
      <c r="AU68" s="39">
        <v>1611.0</v>
      </c>
      <c r="AV68" s="37" t="s">
        <v>7046</v>
      </c>
    </row>
    <row r="69" ht="14.25" customHeight="1">
      <c r="A69" s="28" t="s">
        <v>622</v>
      </c>
      <c r="B69" s="29" t="s">
        <v>623</v>
      </c>
      <c r="C69" s="29" t="s">
        <v>7041</v>
      </c>
      <c r="D69" s="30">
        <v>45658.0</v>
      </c>
      <c r="E69" s="30">
        <v>46022.0</v>
      </c>
      <c r="F69" s="39">
        <v>730.41</v>
      </c>
      <c r="G69" s="39">
        <v>1470.0</v>
      </c>
      <c r="H69" s="38" t="s">
        <v>7046</v>
      </c>
      <c r="I69" s="30">
        <v>46023.0</v>
      </c>
      <c r="J69" s="30">
        <v>46387.0</v>
      </c>
      <c r="K69" s="39">
        <v>0.0</v>
      </c>
      <c r="L69" s="39">
        <v>0.0</v>
      </c>
      <c r="M69" s="35" t="s">
        <v>7045</v>
      </c>
      <c r="N69" s="30">
        <v>46388.0</v>
      </c>
      <c r="O69" s="30">
        <v>46752.0</v>
      </c>
      <c r="P69" s="39">
        <v>0.0</v>
      </c>
      <c r="Q69" s="39">
        <v>0.0</v>
      </c>
      <c r="R69" s="35" t="s">
        <v>7045</v>
      </c>
      <c r="S69" s="30">
        <v>46753.0</v>
      </c>
      <c r="T69" s="30">
        <v>47118.0</v>
      </c>
      <c r="U69" s="39">
        <v>0.0</v>
      </c>
      <c r="V69" s="39">
        <v>0.0</v>
      </c>
      <c r="W69" s="35" t="s">
        <v>7045</v>
      </c>
      <c r="X69" s="30">
        <v>47119.0</v>
      </c>
      <c r="Y69" s="30">
        <v>47483.0</v>
      </c>
      <c r="Z69" s="39">
        <v>0.0</v>
      </c>
      <c r="AA69" s="39">
        <v>0.0</v>
      </c>
      <c r="AB69" s="35" t="s">
        <v>7045</v>
      </c>
      <c r="AC69" s="30">
        <v>47484.0</v>
      </c>
      <c r="AD69" s="30">
        <v>47848.0</v>
      </c>
      <c r="AE69" s="39">
        <v>0.0</v>
      </c>
      <c r="AF69" s="39">
        <v>0.0</v>
      </c>
      <c r="AG69" s="35" t="s">
        <v>7045</v>
      </c>
      <c r="AH69" s="30">
        <v>45292.0</v>
      </c>
      <c r="AI69" s="30">
        <v>45657.0</v>
      </c>
      <c r="AJ69" s="39">
        <v>1465.05</v>
      </c>
      <c r="AK69" s="39">
        <v>1530.0</v>
      </c>
      <c r="AL69" s="37" t="s">
        <v>7046</v>
      </c>
      <c r="AM69" s="30">
        <v>44562.0</v>
      </c>
      <c r="AN69" s="30">
        <v>44926.0</v>
      </c>
      <c r="AO69" s="39">
        <v>1308.7</v>
      </c>
      <c r="AP69" s="39">
        <v>1450.0</v>
      </c>
      <c r="AQ69" s="37" t="s">
        <v>7046</v>
      </c>
      <c r="AR69" s="30">
        <v>44927.0</v>
      </c>
      <c r="AS69" s="30">
        <v>45291.0</v>
      </c>
      <c r="AT69" s="39">
        <v>2756.67</v>
      </c>
      <c r="AU69" s="39">
        <v>1505.0</v>
      </c>
      <c r="AV69" s="38" t="s">
        <v>7047</v>
      </c>
    </row>
    <row r="70" ht="14.25" customHeight="1">
      <c r="A70" s="28" t="s">
        <v>6303</v>
      </c>
      <c r="B70" s="29" t="s">
        <v>6304</v>
      </c>
      <c r="C70" s="29" t="s">
        <v>7041</v>
      </c>
      <c r="D70" s="30">
        <v>45658.0</v>
      </c>
      <c r="E70" s="30">
        <v>46022.0</v>
      </c>
      <c r="F70" s="39">
        <v>562.97</v>
      </c>
      <c r="G70" s="39">
        <v>1000.0</v>
      </c>
      <c r="H70" s="38" t="s">
        <v>7047</v>
      </c>
      <c r="I70" s="30">
        <v>46023.0</v>
      </c>
      <c r="J70" s="30">
        <v>46387.0</v>
      </c>
      <c r="K70" s="39">
        <v>0.0</v>
      </c>
      <c r="L70" s="39">
        <v>0.0</v>
      </c>
      <c r="M70" s="35" t="s">
        <v>7045</v>
      </c>
      <c r="N70" s="30">
        <v>46388.0</v>
      </c>
      <c r="O70" s="30">
        <v>46752.0</v>
      </c>
      <c r="P70" s="39">
        <v>0.0</v>
      </c>
      <c r="Q70" s="39">
        <v>0.0</v>
      </c>
      <c r="R70" s="35" t="s">
        <v>7045</v>
      </c>
      <c r="S70" s="30">
        <v>46753.0</v>
      </c>
      <c r="T70" s="30">
        <v>47118.0</v>
      </c>
      <c r="U70" s="39">
        <v>0.0</v>
      </c>
      <c r="V70" s="39">
        <v>0.0</v>
      </c>
      <c r="W70" s="35" t="s">
        <v>7045</v>
      </c>
      <c r="X70" s="30">
        <v>47119.0</v>
      </c>
      <c r="Y70" s="30">
        <v>47483.0</v>
      </c>
      <c r="Z70" s="39">
        <v>0.0</v>
      </c>
      <c r="AA70" s="39">
        <v>0.0</v>
      </c>
      <c r="AB70" s="35" t="s">
        <v>7045</v>
      </c>
      <c r="AC70" s="30">
        <v>47484.0</v>
      </c>
      <c r="AD70" s="30">
        <v>47848.0</v>
      </c>
      <c r="AE70" s="39">
        <v>0.0</v>
      </c>
      <c r="AF70" s="39">
        <v>0.0</v>
      </c>
      <c r="AG70" s="35" t="s">
        <v>7045</v>
      </c>
      <c r="AH70" s="30">
        <v>45292.0</v>
      </c>
      <c r="AI70" s="30">
        <v>45657.0</v>
      </c>
      <c r="AJ70" s="39">
        <v>839.08</v>
      </c>
      <c r="AK70" s="39">
        <v>1100.0</v>
      </c>
      <c r="AL70" s="37" t="s">
        <v>7046</v>
      </c>
      <c r="AM70" s="30">
        <v>44562.0</v>
      </c>
      <c r="AN70" s="30">
        <v>44926.0</v>
      </c>
      <c r="AO70" s="39">
        <v>881.7</v>
      </c>
      <c r="AP70" s="39">
        <v>530.0</v>
      </c>
      <c r="AQ70" s="38" t="s">
        <v>7047</v>
      </c>
      <c r="AR70" s="30">
        <v>44927.0</v>
      </c>
      <c r="AS70" s="30">
        <v>45291.0</v>
      </c>
      <c r="AT70" s="39">
        <v>1493.33</v>
      </c>
      <c r="AU70" s="39">
        <v>900.1</v>
      </c>
      <c r="AV70" s="38" t="s">
        <v>7047</v>
      </c>
    </row>
    <row r="71" ht="14.25" customHeight="1">
      <c r="A71" s="28" t="s">
        <v>1674</v>
      </c>
      <c r="B71" s="29" t="s">
        <v>1675</v>
      </c>
      <c r="C71" s="29" t="s">
        <v>7041</v>
      </c>
      <c r="D71" s="30">
        <v>45658.0</v>
      </c>
      <c r="E71" s="30">
        <v>46022.0</v>
      </c>
      <c r="F71" s="39">
        <v>1652.8</v>
      </c>
      <c r="G71" s="39">
        <v>3258.0</v>
      </c>
      <c r="H71" s="37" t="s">
        <v>7046</v>
      </c>
      <c r="I71" s="30">
        <v>46023.0</v>
      </c>
      <c r="J71" s="30">
        <v>46387.0</v>
      </c>
      <c r="K71" s="39">
        <v>0.0</v>
      </c>
      <c r="L71" s="39">
        <v>0.0</v>
      </c>
      <c r="M71" s="35" t="s">
        <v>7045</v>
      </c>
      <c r="N71" s="30">
        <v>46388.0</v>
      </c>
      <c r="O71" s="30">
        <v>46752.0</v>
      </c>
      <c r="P71" s="39">
        <v>0.0</v>
      </c>
      <c r="Q71" s="39">
        <v>0.0</v>
      </c>
      <c r="R71" s="35" t="s">
        <v>7045</v>
      </c>
      <c r="S71" s="30">
        <v>46753.0</v>
      </c>
      <c r="T71" s="30">
        <v>47118.0</v>
      </c>
      <c r="U71" s="39">
        <v>0.0</v>
      </c>
      <c r="V71" s="39">
        <v>0.0</v>
      </c>
      <c r="W71" s="35" t="s">
        <v>7045</v>
      </c>
      <c r="X71" s="30">
        <v>47119.0</v>
      </c>
      <c r="Y71" s="30">
        <v>47483.0</v>
      </c>
      <c r="Z71" s="39">
        <v>0.0</v>
      </c>
      <c r="AA71" s="39">
        <v>0.0</v>
      </c>
      <c r="AB71" s="35" t="s">
        <v>7045</v>
      </c>
      <c r="AC71" s="30">
        <v>47484.0</v>
      </c>
      <c r="AD71" s="30">
        <v>47848.0</v>
      </c>
      <c r="AE71" s="39">
        <v>0.0</v>
      </c>
      <c r="AF71" s="39">
        <v>0.0</v>
      </c>
      <c r="AG71" s="35" t="s">
        <v>7045</v>
      </c>
      <c r="AH71" s="30">
        <v>45292.0</v>
      </c>
      <c r="AI71" s="30">
        <v>45657.0</v>
      </c>
      <c r="AJ71" s="39">
        <v>3256.65</v>
      </c>
      <c r="AK71" s="39">
        <v>3200.0</v>
      </c>
      <c r="AL71" s="38" t="s">
        <v>7047</v>
      </c>
      <c r="AM71" s="30">
        <v>44562.0</v>
      </c>
      <c r="AN71" s="30">
        <v>44926.0</v>
      </c>
      <c r="AO71" s="39">
        <v>3150.7</v>
      </c>
      <c r="AP71" s="39">
        <v>3100.0</v>
      </c>
      <c r="AQ71" s="38" t="s">
        <v>7047</v>
      </c>
      <c r="AR71" s="30">
        <v>44927.0</v>
      </c>
      <c r="AS71" s="30">
        <v>45291.0</v>
      </c>
      <c r="AT71" s="39">
        <v>3198.6</v>
      </c>
      <c r="AU71" s="39">
        <v>3250.0</v>
      </c>
      <c r="AV71" s="37" t="s">
        <v>7046</v>
      </c>
    </row>
    <row r="72" ht="14.25" customHeight="1">
      <c r="A72" s="28" t="s">
        <v>6482</v>
      </c>
      <c r="B72" s="29" t="s">
        <v>6483</v>
      </c>
      <c r="C72" s="29" t="s">
        <v>7041</v>
      </c>
      <c r="D72" s="30">
        <v>45658.0</v>
      </c>
      <c r="E72" s="30">
        <v>46022.0</v>
      </c>
      <c r="F72" s="39">
        <v>1557.72</v>
      </c>
      <c r="G72" s="39">
        <v>2900.0</v>
      </c>
      <c r="H72" s="37" t="s">
        <v>7046</v>
      </c>
      <c r="I72" s="30">
        <v>46023.0</v>
      </c>
      <c r="J72" s="30">
        <v>46387.0</v>
      </c>
      <c r="K72" s="39">
        <v>0.0</v>
      </c>
      <c r="L72" s="39">
        <v>0.0</v>
      </c>
      <c r="M72" s="35" t="s">
        <v>7045</v>
      </c>
      <c r="N72" s="30">
        <v>46388.0</v>
      </c>
      <c r="O72" s="30">
        <v>46752.0</v>
      </c>
      <c r="P72" s="39">
        <v>0.0</v>
      </c>
      <c r="Q72" s="39">
        <v>0.0</v>
      </c>
      <c r="R72" s="35" t="s">
        <v>7045</v>
      </c>
      <c r="S72" s="30">
        <v>46753.0</v>
      </c>
      <c r="T72" s="30">
        <v>47118.0</v>
      </c>
      <c r="U72" s="39">
        <v>0.0</v>
      </c>
      <c r="V72" s="39">
        <v>0.0</v>
      </c>
      <c r="W72" s="35" t="s">
        <v>7045</v>
      </c>
      <c r="X72" s="30">
        <v>47119.0</v>
      </c>
      <c r="Y72" s="30">
        <v>47483.0</v>
      </c>
      <c r="Z72" s="39">
        <v>0.0</v>
      </c>
      <c r="AA72" s="39">
        <v>0.0</v>
      </c>
      <c r="AB72" s="35" t="s">
        <v>7045</v>
      </c>
      <c r="AC72" s="30">
        <v>47484.0</v>
      </c>
      <c r="AD72" s="30">
        <v>47848.0</v>
      </c>
      <c r="AE72" s="39">
        <v>0.0</v>
      </c>
      <c r="AF72" s="39">
        <v>0.0</v>
      </c>
      <c r="AG72" s="35" t="s">
        <v>7045</v>
      </c>
      <c r="AH72" s="30">
        <v>45292.0</v>
      </c>
      <c r="AI72" s="30">
        <v>45657.0</v>
      </c>
      <c r="AJ72" s="39">
        <v>2128.34</v>
      </c>
      <c r="AK72" s="39">
        <v>3520.0</v>
      </c>
      <c r="AL72" s="37" t="s">
        <v>7046</v>
      </c>
      <c r="AM72" s="30">
        <v>44562.0</v>
      </c>
      <c r="AN72" s="30">
        <v>44926.0</v>
      </c>
      <c r="AO72" s="39">
        <v>3789.0</v>
      </c>
      <c r="AP72" s="39">
        <v>3520.0</v>
      </c>
      <c r="AQ72" s="38" t="s">
        <v>7047</v>
      </c>
      <c r="AR72" s="30">
        <v>44927.0</v>
      </c>
      <c r="AS72" s="30">
        <v>45291.0</v>
      </c>
      <c r="AT72" s="39">
        <v>3276.95</v>
      </c>
      <c r="AU72" s="39">
        <v>3850.0</v>
      </c>
      <c r="AV72" s="37" t="s">
        <v>7046</v>
      </c>
    </row>
    <row r="73" ht="14.25" customHeight="1">
      <c r="A73" s="28" t="s">
        <v>6731</v>
      </c>
      <c r="B73" s="29" t="s">
        <v>6732</v>
      </c>
      <c r="C73" s="29" t="s">
        <v>7041</v>
      </c>
      <c r="D73" s="30">
        <v>45658.0</v>
      </c>
      <c r="E73" s="30">
        <v>46022.0</v>
      </c>
      <c r="F73" s="39">
        <v>1293.93</v>
      </c>
      <c r="G73" s="39">
        <v>2850.0</v>
      </c>
      <c r="H73" s="37" t="s">
        <v>7046</v>
      </c>
      <c r="I73" s="30">
        <v>46023.0</v>
      </c>
      <c r="J73" s="30">
        <v>46387.0</v>
      </c>
      <c r="K73" s="39">
        <v>0.0</v>
      </c>
      <c r="L73" s="39">
        <v>0.0</v>
      </c>
      <c r="M73" s="35" t="s">
        <v>7045</v>
      </c>
      <c r="N73" s="30">
        <v>46388.0</v>
      </c>
      <c r="O73" s="30">
        <v>46752.0</v>
      </c>
      <c r="P73" s="39">
        <v>0.0</v>
      </c>
      <c r="Q73" s="39">
        <v>0.0</v>
      </c>
      <c r="R73" s="35" t="s">
        <v>7045</v>
      </c>
      <c r="S73" s="30">
        <v>46753.0</v>
      </c>
      <c r="T73" s="30">
        <v>47118.0</v>
      </c>
      <c r="U73" s="39">
        <v>0.0</v>
      </c>
      <c r="V73" s="39">
        <v>0.0</v>
      </c>
      <c r="W73" s="35" t="s">
        <v>7045</v>
      </c>
      <c r="X73" s="30">
        <v>47119.0</v>
      </c>
      <c r="Y73" s="30">
        <v>47483.0</v>
      </c>
      <c r="Z73" s="39">
        <v>0.0</v>
      </c>
      <c r="AA73" s="39">
        <v>0.0</v>
      </c>
      <c r="AB73" s="35" t="s">
        <v>7045</v>
      </c>
      <c r="AC73" s="30">
        <v>47484.0</v>
      </c>
      <c r="AD73" s="30">
        <v>47848.0</v>
      </c>
      <c r="AE73" s="39">
        <v>0.0</v>
      </c>
      <c r="AF73" s="39">
        <v>0.0</v>
      </c>
      <c r="AG73" s="35" t="s">
        <v>7045</v>
      </c>
      <c r="AH73" s="30">
        <v>45292.0</v>
      </c>
      <c r="AI73" s="30">
        <v>45657.0</v>
      </c>
      <c r="AJ73" s="39">
        <v>2675.02</v>
      </c>
      <c r="AK73" s="39">
        <v>2650.0</v>
      </c>
      <c r="AL73" s="38" t="s">
        <v>7047</v>
      </c>
      <c r="AM73" s="30">
        <v>44562.0</v>
      </c>
      <c r="AN73" s="30">
        <v>44926.0</v>
      </c>
      <c r="AO73" s="39">
        <v>2802.5</v>
      </c>
      <c r="AP73" s="39">
        <v>4000.0</v>
      </c>
      <c r="AQ73" s="37" t="s">
        <v>7046</v>
      </c>
      <c r="AR73" s="30">
        <v>44927.0</v>
      </c>
      <c r="AS73" s="30">
        <v>45291.0</v>
      </c>
      <c r="AT73" s="39">
        <v>2551.81</v>
      </c>
      <c r="AU73" s="39">
        <v>2800.0</v>
      </c>
      <c r="AV73" s="37" t="s">
        <v>7046</v>
      </c>
    </row>
    <row r="74" ht="14.25" customHeight="1">
      <c r="A74" s="28" t="s">
        <v>6217</v>
      </c>
      <c r="B74" s="29" t="s">
        <v>6218</v>
      </c>
      <c r="C74" s="29" t="s">
        <v>7041</v>
      </c>
      <c r="D74" s="30">
        <v>45658.0</v>
      </c>
      <c r="E74" s="30">
        <v>46022.0</v>
      </c>
      <c r="F74" s="36">
        <v>1263.1</v>
      </c>
      <c r="G74" s="36">
        <v>999.99</v>
      </c>
      <c r="H74" s="38" t="s">
        <v>7047</v>
      </c>
      <c r="I74" s="30">
        <v>46023.0</v>
      </c>
      <c r="J74" s="30">
        <v>46387.0</v>
      </c>
      <c r="K74" s="36">
        <v>0.0</v>
      </c>
      <c r="L74" s="36">
        <v>0.0</v>
      </c>
      <c r="M74" s="35" t="s">
        <v>7045</v>
      </c>
      <c r="N74" s="30">
        <v>46388.0</v>
      </c>
      <c r="O74" s="30">
        <v>46752.0</v>
      </c>
      <c r="P74" s="36">
        <v>0.0</v>
      </c>
      <c r="Q74" s="36">
        <v>0.0</v>
      </c>
      <c r="R74" s="35" t="s">
        <v>7045</v>
      </c>
      <c r="S74" s="30">
        <v>46753.0</v>
      </c>
      <c r="T74" s="30">
        <v>47118.0</v>
      </c>
      <c r="U74" s="36">
        <v>0.0</v>
      </c>
      <c r="V74" s="36">
        <v>0.0</v>
      </c>
      <c r="W74" s="35" t="s">
        <v>7045</v>
      </c>
      <c r="X74" s="30">
        <v>47119.0</v>
      </c>
      <c r="Y74" s="30">
        <v>47483.0</v>
      </c>
      <c r="Z74" s="36">
        <v>0.0</v>
      </c>
      <c r="AA74" s="36">
        <v>0.0</v>
      </c>
      <c r="AB74" s="35" t="s">
        <v>7045</v>
      </c>
      <c r="AC74" s="30">
        <v>47484.0</v>
      </c>
      <c r="AD74" s="30">
        <v>47848.0</v>
      </c>
      <c r="AE74" s="36">
        <v>0.0</v>
      </c>
      <c r="AF74" s="36">
        <v>0.0</v>
      </c>
      <c r="AG74" s="35" t="s">
        <v>7045</v>
      </c>
      <c r="AH74" s="30">
        <v>45292.0</v>
      </c>
      <c r="AI74" s="30">
        <v>45657.0</v>
      </c>
      <c r="AJ74" s="36">
        <v>677.32</v>
      </c>
      <c r="AK74" s="36">
        <v>1089.99</v>
      </c>
      <c r="AL74" s="37" t="s">
        <v>7046</v>
      </c>
      <c r="AM74" s="30">
        <v>44562.0</v>
      </c>
      <c r="AN74" s="30">
        <v>44926.0</v>
      </c>
      <c r="AO74" s="36">
        <v>1640.49</v>
      </c>
      <c r="AP74" s="36">
        <v>1821.98</v>
      </c>
      <c r="AQ74" s="37" t="s">
        <v>7046</v>
      </c>
      <c r="AR74" s="30">
        <v>44927.0</v>
      </c>
      <c r="AS74" s="30">
        <v>45291.0</v>
      </c>
      <c r="AT74" s="36">
        <v>1171.9</v>
      </c>
      <c r="AU74" s="36">
        <v>1999.98</v>
      </c>
      <c r="AV74" s="37" t="s">
        <v>7046</v>
      </c>
    </row>
    <row r="75" ht="14.25" customHeight="1">
      <c r="A75" s="28" t="s">
        <v>6141</v>
      </c>
      <c r="B75" s="29" t="s">
        <v>6142</v>
      </c>
      <c r="C75" s="29" t="s">
        <v>7041</v>
      </c>
      <c r="D75" s="30">
        <v>45658.0</v>
      </c>
      <c r="E75" s="30">
        <v>46022.0</v>
      </c>
      <c r="F75" s="39">
        <v>512.32</v>
      </c>
      <c r="G75" s="39">
        <v>0.0</v>
      </c>
      <c r="H75" s="38" t="s">
        <v>7047</v>
      </c>
      <c r="I75" s="30">
        <v>46023.0</v>
      </c>
      <c r="J75" s="30">
        <v>46387.0</v>
      </c>
      <c r="K75" s="39">
        <v>0.0</v>
      </c>
      <c r="L75" s="39">
        <v>0.0</v>
      </c>
      <c r="M75" s="35" t="s">
        <v>7045</v>
      </c>
      <c r="N75" s="30">
        <v>46388.0</v>
      </c>
      <c r="O75" s="30">
        <v>46752.0</v>
      </c>
      <c r="P75" s="39">
        <v>0.0</v>
      </c>
      <c r="Q75" s="39">
        <v>0.0</v>
      </c>
      <c r="R75" s="35" t="s">
        <v>7045</v>
      </c>
      <c r="S75" s="30">
        <v>46753.0</v>
      </c>
      <c r="T75" s="30">
        <v>47118.0</v>
      </c>
      <c r="U75" s="39">
        <v>0.0</v>
      </c>
      <c r="V75" s="39">
        <v>0.0</v>
      </c>
      <c r="W75" s="35" t="s">
        <v>7045</v>
      </c>
      <c r="X75" s="30">
        <v>47119.0</v>
      </c>
      <c r="Y75" s="30">
        <v>47483.0</v>
      </c>
      <c r="Z75" s="39">
        <v>0.0</v>
      </c>
      <c r="AA75" s="39">
        <v>0.0</v>
      </c>
      <c r="AB75" s="35" t="s">
        <v>7045</v>
      </c>
      <c r="AC75" s="30">
        <v>47484.0</v>
      </c>
      <c r="AD75" s="30">
        <v>47848.0</v>
      </c>
      <c r="AE75" s="39">
        <v>0.0</v>
      </c>
      <c r="AF75" s="39">
        <v>0.0</v>
      </c>
      <c r="AG75" s="35" t="s">
        <v>7045</v>
      </c>
      <c r="AH75" s="30">
        <v>45292.0</v>
      </c>
      <c r="AI75" s="30">
        <v>45657.0</v>
      </c>
      <c r="AJ75" s="39">
        <v>962.73</v>
      </c>
      <c r="AK75" s="39">
        <v>1300.0</v>
      </c>
      <c r="AL75" s="37" t="s">
        <v>7046</v>
      </c>
      <c r="AM75" s="30">
        <v>44562.0</v>
      </c>
      <c r="AN75" s="30">
        <v>44926.0</v>
      </c>
      <c r="AO75" s="39">
        <v>1368.1</v>
      </c>
      <c r="AP75" s="39">
        <v>0.0</v>
      </c>
      <c r="AQ75" s="38" t="s">
        <v>7047</v>
      </c>
      <c r="AR75" s="30">
        <v>44927.0</v>
      </c>
      <c r="AS75" s="30">
        <v>45291.0</v>
      </c>
      <c r="AT75" s="39">
        <v>1275.51</v>
      </c>
      <c r="AU75" s="39">
        <v>1400.0</v>
      </c>
      <c r="AV75" s="37" t="s">
        <v>7046</v>
      </c>
    </row>
    <row r="76" ht="14.25" customHeight="1">
      <c r="A76" s="28" t="s">
        <v>4711</v>
      </c>
      <c r="B76" s="29" t="s">
        <v>4712</v>
      </c>
      <c r="C76" s="29" t="s">
        <v>7041</v>
      </c>
      <c r="D76" s="30">
        <v>45658.0</v>
      </c>
      <c r="E76" s="30">
        <v>46022.0</v>
      </c>
      <c r="F76" s="39">
        <v>4057.82</v>
      </c>
      <c r="G76" s="39">
        <v>0.0</v>
      </c>
      <c r="H76" s="38" t="s">
        <v>7047</v>
      </c>
      <c r="I76" s="30">
        <v>46023.0</v>
      </c>
      <c r="J76" s="30">
        <v>46387.0</v>
      </c>
      <c r="K76" s="39">
        <v>0.0</v>
      </c>
      <c r="L76" s="39">
        <v>0.0</v>
      </c>
      <c r="M76" s="35" t="s">
        <v>7045</v>
      </c>
      <c r="N76" s="30">
        <v>46388.0</v>
      </c>
      <c r="O76" s="30">
        <v>46752.0</v>
      </c>
      <c r="P76" s="39">
        <v>0.0</v>
      </c>
      <c r="Q76" s="39">
        <v>0.0</v>
      </c>
      <c r="R76" s="35" t="s">
        <v>7045</v>
      </c>
      <c r="S76" s="30">
        <v>46753.0</v>
      </c>
      <c r="T76" s="30">
        <v>47118.0</v>
      </c>
      <c r="U76" s="39">
        <v>0.0</v>
      </c>
      <c r="V76" s="39">
        <v>0.0</v>
      </c>
      <c r="W76" s="35" t="s">
        <v>7045</v>
      </c>
      <c r="X76" s="30">
        <v>47119.0</v>
      </c>
      <c r="Y76" s="30">
        <v>47483.0</v>
      </c>
      <c r="Z76" s="39">
        <v>0.0</v>
      </c>
      <c r="AA76" s="39">
        <v>0.0</v>
      </c>
      <c r="AB76" s="35" t="s">
        <v>7045</v>
      </c>
      <c r="AC76" s="30">
        <v>47484.0</v>
      </c>
      <c r="AD76" s="30">
        <v>47848.0</v>
      </c>
      <c r="AE76" s="39">
        <v>0.0</v>
      </c>
      <c r="AF76" s="39">
        <v>0.0</v>
      </c>
      <c r="AG76" s="35" t="s">
        <v>7045</v>
      </c>
      <c r="AH76" s="30">
        <v>45292.0</v>
      </c>
      <c r="AI76" s="30">
        <v>45657.0</v>
      </c>
      <c r="AJ76" s="39">
        <v>6358.98</v>
      </c>
      <c r="AK76" s="39">
        <v>0.0</v>
      </c>
      <c r="AL76" s="38" t="s">
        <v>7047</v>
      </c>
      <c r="AM76" s="30">
        <v>44562.0</v>
      </c>
      <c r="AN76" s="30">
        <v>44926.0</v>
      </c>
      <c r="AO76" s="39">
        <v>11664.2</v>
      </c>
      <c r="AP76" s="39">
        <v>0.0</v>
      </c>
      <c r="AQ76" s="38" t="s">
        <v>7047</v>
      </c>
      <c r="AR76" s="30">
        <v>44927.0</v>
      </c>
      <c r="AS76" s="30">
        <v>45291.0</v>
      </c>
      <c r="AT76" s="39">
        <v>6374.29</v>
      </c>
      <c r="AU76" s="39">
        <v>0.0</v>
      </c>
      <c r="AV76" s="38" t="s">
        <v>7047</v>
      </c>
    </row>
    <row r="77" ht="14.25" customHeight="1">
      <c r="A77" s="28" t="s">
        <v>5367</v>
      </c>
      <c r="B77" s="29" t="s">
        <v>5368</v>
      </c>
      <c r="C77" s="29" t="s">
        <v>7041</v>
      </c>
      <c r="D77" s="30">
        <v>45658.0</v>
      </c>
      <c r="E77" s="30">
        <v>46022.0</v>
      </c>
      <c r="F77" s="39">
        <v>730.14</v>
      </c>
      <c r="G77" s="39">
        <v>905.0</v>
      </c>
      <c r="H77" s="38" t="s">
        <v>7047</v>
      </c>
      <c r="I77" s="30">
        <v>46023.0</v>
      </c>
      <c r="J77" s="30">
        <v>46387.0</v>
      </c>
      <c r="K77" s="39">
        <v>0.0</v>
      </c>
      <c r="L77" s="39">
        <v>0.0</v>
      </c>
      <c r="M77" s="35" t="s">
        <v>7045</v>
      </c>
      <c r="N77" s="30">
        <v>46388.0</v>
      </c>
      <c r="O77" s="30">
        <v>46752.0</v>
      </c>
      <c r="P77" s="39">
        <v>0.0</v>
      </c>
      <c r="Q77" s="39">
        <v>0.0</v>
      </c>
      <c r="R77" s="35" t="s">
        <v>7045</v>
      </c>
      <c r="S77" s="30">
        <v>46753.0</v>
      </c>
      <c r="T77" s="30">
        <v>47118.0</v>
      </c>
      <c r="U77" s="39">
        <v>0.0</v>
      </c>
      <c r="V77" s="39">
        <v>0.0</v>
      </c>
      <c r="W77" s="35" t="s">
        <v>7045</v>
      </c>
      <c r="X77" s="30">
        <v>47119.0</v>
      </c>
      <c r="Y77" s="30">
        <v>47483.0</v>
      </c>
      <c r="Z77" s="39">
        <v>0.0</v>
      </c>
      <c r="AA77" s="39">
        <v>0.0</v>
      </c>
      <c r="AB77" s="35" t="s">
        <v>7045</v>
      </c>
      <c r="AC77" s="30">
        <v>47484.0</v>
      </c>
      <c r="AD77" s="30">
        <v>47848.0</v>
      </c>
      <c r="AE77" s="39">
        <v>0.0</v>
      </c>
      <c r="AF77" s="39">
        <v>0.0</v>
      </c>
      <c r="AG77" s="35" t="s">
        <v>7045</v>
      </c>
      <c r="AH77" s="30">
        <v>45292.0</v>
      </c>
      <c r="AI77" s="30">
        <v>45657.0</v>
      </c>
      <c r="AJ77" s="39">
        <v>763.46</v>
      </c>
      <c r="AK77" s="39">
        <v>1255.0</v>
      </c>
      <c r="AL77" s="37" t="s">
        <v>7046</v>
      </c>
      <c r="AM77" s="30">
        <v>44562.0</v>
      </c>
      <c r="AN77" s="30">
        <v>44926.0</v>
      </c>
      <c r="AO77" s="39">
        <v>979.7</v>
      </c>
      <c r="AP77" s="39">
        <v>0.0</v>
      </c>
      <c r="AQ77" s="38" t="s">
        <v>7047</v>
      </c>
      <c r="AR77" s="30">
        <v>44927.0</v>
      </c>
      <c r="AS77" s="30">
        <v>45291.0</v>
      </c>
      <c r="AT77" s="39">
        <v>1367.89</v>
      </c>
      <c r="AU77" s="39">
        <v>1200.0</v>
      </c>
      <c r="AV77" s="38" t="s">
        <v>7047</v>
      </c>
    </row>
    <row r="78" ht="14.25" customHeight="1">
      <c r="A78" s="28" t="s">
        <v>5281</v>
      </c>
      <c r="B78" s="29" t="s">
        <v>5282</v>
      </c>
      <c r="C78" s="29" t="s">
        <v>7041</v>
      </c>
      <c r="D78" s="30">
        <v>45658.0</v>
      </c>
      <c r="E78" s="30">
        <v>46022.0</v>
      </c>
      <c r="F78" s="39">
        <v>136.6</v>
      </c>
      <c r="G78" s="39">
        <v>0.0</v>
      </c>
      <c r="H78" s="38" t="s">
        <v>7047</v>
      </c>
      <c r="I78" s="30">
        <v>46023.0</v>
      </c>
      <c r="J78" s="30">
        <v>46387.0</v>
      </c>
      <c r="K78" s="39">
        <v>0.0</v>
      </c>
      <c r="L78" s="39">
        <v>0.0</v>
      </c>
      <c r="M78" s="35" t="s">
        <v>7045</v>
      </c>
      <c r="N78" s="30">
        <v>46388.0</v>
      </c>
      <c r="O78" s="30">
        <v>46752.0</v>
      </c>
      <c r="P78" s="39">
        <v>0.0</v>
      </c>
      <c r="Q78" s="39">
        <v>0.0</v>
      </c>
      <c r="R78" s="35" t="s">
        <v>7045</v>
      </c>
      <c r="S78" s="30">
        <v>46753.0</v>
      </c>
      <c r="T78" s="30">
        <v>47118.0</v>
      </c>
      <c r="U78" s="39">
        <v>0.0</v>
      </c>
      <c r="V78" s="39">
        <v>0.0</v>
      </c>
      <c r="W78" s="35" t="s">
        <v>7045</v>
      </c>
      <c r="X78" s="30">
        <v>47119.0</v>
      </c>
      <c r="Y78" s="30">
        <v>47483.0</v>
      </c>
      <c r="Z78" s="39">
        <v>0.0</v>
      </c>
      <c r="AA78" s="39">
        <v>0.0</v>
      </c>
      <c r="AB78" s="35" t="s">
        <v>7045</v>
      </c>
      <c r="AC78" s="30">
        <v>47484.0</v>
      </c>
      <c r="AD78" s="30">
        <v>47848.0</v>
      </c>
      <c r="AE78" s="39">
        <v>0.0</v>
      </c>
      <c r="AF78" s="39">
        <v>0.0</v>
      </c>
      <c r="AG78" s="35" t="s">
        <v>7045</v>
      </c>
      <c r="AH78" s="30">
        <v>45292.0</v>
      </c>
      <c r="AI78" s="30">
        <v>45657.0</v>
      </c>
      <c r="AJ78" s="39">
        <v>469.89</v>
      </c>
      <c r="AK78" s="39">
        <v>0.0</v>
      </c>
      <c r="AL78" s="38" t="s">
        <v>7047</v>
      </c>
      <c r="AM78" s="30">
        <v>44562.0</v>
      </c>
      <c r="AN78" s="30">
        <v>44926.0</v>
      </c>
      <c r="AO78" s="39">
        <v>1514.7</v>
      </c>
      <c r="AP78" s="39">
        <v>0.0</v>
      </c>
      <c r="AQ78" s="38" t="s">
        <v>7047</v>
      </c>
      <c r="AR78" s="30">
        <v>44927.0</v>
      </c>
      <c r="AS78" s="30">
        <v>45291.0</v>
      </c>
      <c r="AT78" s="39">
        <v>1286.18</v>
      </c>
      <c r="AU78" s="39">
        <v>0.0</v>
      </c>
      <c r="AV78" s="38" t="s">
        <v>7047</v>
      </c>
    </row>
    <row r="79" ht="14.25" customHeight="1">
      <c r="A79" s="28" t="s">
        <v>898</v>
      </c>
      <c r="B79" s="29" t="s">
        <v>899</v>
      </c>
      <c r="C79" s="29" t="s">
        <v>7041</v>
      </c>
      <c r="D79" s="30">
        <v>45658.0</v>
      </c>
      <c r="E79" s="30">
        <v>46022.0</v>
      </c>
      <c r="F79" s="39">
        <v>18.39</v>
      </c>
      <c r="G79" s="39">
        <v>0.0</v>
      </c>
      <c r="H79" s="38" t="s">
        <v>7047</v>
      </c>
      <c r="I79" s="30">
        <v>46023.0</v>
      </c>
      <c r="J79" s="30">
        <v>46387.0</v>
      </c>
      <c r="K79" s="39">
        <v>0.0</v>
      </c>
      <c r="L79" s="39">
        <v>0.0</v>
      </c>
      <c r="M79" s="35" t="s">
        <v>7045</v>
      </c>
      <c r="N79" s="30">
        <v>46388.0</v>
      </c>
      <c r="O79" s="30">
        <v>46752.0</v>
      </c>
      <c r="P79" s="39">
        <v>0.0</v>
      </c>
      <c r="Q79" s="39">
        <v>0.0</v>
      </c>
      <c r="R79" s="35" t="s">
        <v>7045</v>
      </c>
      <c r="S79" s="30">
        <v>46753.0</v>
      </c>
      <c r="T79" s="30">
        <v>47118.0</v>
      </c>
      <c r="U79" s="39">
        <v>0.0</v>
      </c>
      <c r="V79" s="39">
        <v>0.0</v>
      </c>
      <c r="W79" s="35" t="s">
        <v>7045</v>
      </c>
      <c r="X79" s="30">
        <v>47119.0</v>
      </c>
      <c r="Y79" s="30">
        <v>47483.0</v>
      </c>
      <c r="Z79" s="39">
        <v>0.0</v>
      </c>
      <c r="AA79" s="39">
        <v>0.0</v>
      </c>
      <c r="AB79" s="35" t="s">
        <v>7045</v>
      </c>
      <c r="AC79" s="30">
        <v>47484.0</v>
      </c>
      <c r="AD79" s="30">
        <v>47848.0</v>
      </c>
      <c r="AE79" s="39">
        <v>0.0</v>
      </c>
      <c r="AF79" s="39">
        <v>0.0</v>
      </c>
      <c r="AG79" s="35" t="s">
        <v>7045</v>
      </c>
      <c r="AH79" s="30">
        <v>45292.0</v>
      </c>
      <c r="AI79" s="30">
        <v>45657.0</v>
      </c>
      <c r="AJ79" s="39">
        <v>342.96</v>
      </c>
      <c r="AK79" s="39">
        <v>0.0</v>
      </c>
      <c r="AL79" s="38" t="s">
        <v>7047</v>
      </c>
      <c r="AM79" s="30">
        <v>44562.0</v>
      </c>
      <c r="AN79" s="30">
        <v>44926.0</v>
      </c>
      <c r="AO79" s="39">
        <v>127.9</v>
      </c>
      <c r="AP79" s="39">
        <v>420.0</v>
      </c>
      <c r="AQ79" s="32" t="s">
        <v>7043</v>
      </c>
      <c r="AR79" s="30">
        <v>44927.0</v>
      </c>
      <c r="AS79" s="30">
        <v>45291.0</v>
      </c>
      <c r="AT79" s="39">
        <v>1015.84</v>
      </c>
      <c r="AU79" s="39">
        <v>0.0</v>
      </c>
      <c r="AV79" s="38" t="s">
        <v>7047</v>
      </c>
    </row>
    <row r="80" ht="14.25" customHeight="1">
      <c r="A80" s="28" t="s">
        <v>1840</v>
      </c>
      <c r="B80" s="34" t="s">
        <v>1841</v>
      </c>
      <c r="C80" s="29" t="s">
        <v>7041</v>
      </c>
      <c r="D80" s="30">
        <v>45658.0</v>
      </c>
      <c r="E80" s="30">
        <v>46022.0</v>
      </c>
      <c r="F80" s="39">
        <v>43.09</v>
      </c>
      <c r="G80" s="39">
        <v>0.0</v>
      </c>
      <c r="H80" s="38" t="s">
        <v>7047</v>
      </c>
      <c r="I80" s="30">
        <v>46023.0</v>
      </c>
      <c r="J80" s="30">
        <v>46387.0</v>
      </c>
      <c r="K80" s="39">
        <v>0.0</v>
      </c>
      <c r="L80" s="39">
        <v>0.0</v>
      </c>
      <c r="M80" s="35" t="s">
        <v>7045</v>
      </c>
      <c r="N80" s="30">
        <v>46388.0</v>
      </c>
      <c r="O80" s="30">
        <v>46752.0</v>
      </c>
      <c r="P80" s="39">
        <v>0.0</v>
      </c>
      <c r="Q80" s="39">
        <v>0.0</v>
      </c>
      <c r="R80" s="35" t="s">
        <v>7045</v>
      </c>
      <c r="S80" s="30">
        <v>46753.0</v>
      </c>
      <c r="T80" s="30">
        <v>47118.0</v>
      </c>
      <c r="U80" s="39">
        <v>0.0</v>
      </c>
      <c r="V80" s="39">
        <v>0.0</v>
      </c>
      <c r="W80" s="35" t="s">
        <v>7045</v>
      </c>
      <c r="X80" s="30">
        <v>47119.0</v>
      </c>
      <c r="Y80" s="30">
        <v>47483.0</v>
      </c>
      <c r="Z80" s="39">
        <v>0.0</v>
      </c>
      <c r="AA80" s="39">
        <v>0.0</v>
      </c>
      <c r="AB80" s="35" t="s">
        <v>7045</v>
      </c>
      <c r="AC80" s="30">
        <v>47484.0</v>
      </c>
      <c r="AD80" s="30">
        <v>47848.0</v>
      </c>
      <c r="AE80" s="39">
        <v>0.0</v>
      </c>
      <c r="AF80" s="39">
        <v>0.0</v>
      </c>
      <c r="AG80" s="35" t="s">
        <v>7045</v>
      </c>
      <c r="AH80" s="30">
        <v>45292.0</v>
      </c>
      <c r="AI80" s="30">
        <v>45657.0</v>
      </c>
      <c r="AJ80" s="39">
        <v>84.1</v>
      </c>
      <c r="AK80" s="39">
        <v>0.0</v>
      </c>
      <c r="AL80" s="38" t="s">
        <v>7047</v>
      </c>
      <c r="AM80" s="30">
        <v>44562.0</v>
      </c>
      <c r="AN80" s="30">
        <v>44926.0</v>
      </c>
      <c r="AO80" s="39">
        <v>126.5</v>
      </c>
      <c r="AP80" s="39">
        <v>0.0</v>
      </c>
      <c r="AQ80" s="38" t="s">
        <v>7047</v>
      </c>
      <c r="AR80" s="30">
        <v>44927.0</v>
      </c>
      <c r="AS80" s="30">
        <v>45291.0</v>
      </c>
      <c r="AT80" s="39">
        <v>141.42</v>
      </c>
      <c r="AU80" s="39">
        <v>200.0</v>
      </c>
      <c r="AV80" s="37" t="s">
        <v>7046</v>
      </c>
    </row>
    <row r="81" ht="14.25" customHeight="1">
      <c r="A81" s="28" t="s">
        <v>5008</v>
      </c>
      <c r="B81" s="29" t="s">
        <v>5009</v>
      </c>
      <c r="C81" s="29" t="s">
        <v>7041</v>
      </c>
      <c r="D81" s="30">
        <v>45658.0</v>
      </c>
      <c r="E81" s="30">
        <v>46022.0</v>
      </c>
      <c r="F81" s="39">
        <v>12647.22</v>
      </c>
      <c r="G81" s="39">
        <v>24200.0</v>
      </c>
      <c r="H81" s="38" t="s">
        <v>7046</v>
      </c>
      <c r="I81" s="30">
        <v>46023.0</v>
      </c>
      <c r="J81" s="30">
        <v>46387.0</v>
      </c>
      <c r="K81" s="39">
        <v>0.0</v>
      </c>
      <c r="L81" s="39">
        <v>0.0</v>
      </c>
      <c r="M81" s="35" t="s">
        <v>7045</v>
      </c>
      <c r="N81" s="30">
        <v>46388.0</v>
      </c>
      <c r="O81" s="30">
        <v>46752.0</v>
      </c>
      <c r="P81" s="39">
        <v>0.0</v>
      </c>
      <c r="Q81" s="39">
        <v>0.0</v>
      </c>
      <c r="R81" s="35" t="s">
        <v>7045</v>
      </c>
      <c r="S81" s="30">
        <v>46753.0</v>
      </c>
      <c r="T81" s="30">
        <v>47118.0</v>
      </c>
      <c r="U81" s="39">
        <v>0.0</v>
      </c>
      <c r="V81" s="39">
        <v>0.0</v>
      </c>
      <c r="W81" s="35" t="s">
        <v>7045</v>
      </c>
      <c r="X81" s="30">
        <v>47119.0</v>
      </c>
      <c r="Y81" s="30">
        <v>47483.0</v>
      </c>
      <c r="Z81" s="39">
        <v>0.0</v>
      </c>
      <c r="AA81" s="39">
        <v>0.0</v>
      </c>
      <c r="AB81" s="35" t="s">
        <v>7045</v>
      </c>
      <c r="AC81" s="30">
        <v>47484.0</v>
      </c>
      <c r="AD81" s="30">
        <v>47848.0</v>
      </c>
      <c r="AE81" s="39">
        <v>0.0</v>
      </c>
      <c r="AF81" s="39">
        <v>0.0</v>
      </c>
      <c r="AG81" s="35" t="s">
        <v>7045</v>
      </c>
      <c r="AH81" s="30">
        <v>45292.0</v>
      </c>
      <c r="AI81" s="30">
        <v>45657.0</v>
      </c>
      <c r="AJ81" s="39">
        <v>21957.3</v>
      </c>
      <c r="AK81" s="39">
        <v>0.0</v>
      </c>
      <c r="AL81" s="38" t="s">
        <v>7047</v>
      </c>
      <c r="AM81" s="30">
        <v>44562.0</v>
      </c>
      <c r="AN81" s="30">
        <v>44926.0</v>
      </c>
      <c r="AO81" s="39">
        <v>21492.5</v>
      </c>
      <c r="AP81" s="39">
        <v>0.0</v>
      </c>
      <c r="AQ81" s="38" t="s">
        <v>7047</v>
      </c>
      <c r="AR81" s="30">
        <v>44927.0</v>
      </c>
      <c r="AS81" s="30">
        <v>45291.0</v>
      </c>
      <c r="AT81" s="39">
        <v>24651.92</v>
      </c>
      <c r="AU81" s="39">
        <v>0.0</v>
      </c>
      <c r="AV81" s="38" t="s">
        <v>7047</v>
      </c>
    </row>
    <row r="82" ht="14.25" customHeight="1">
      <c r="A82" s="28" t="s">
        <v>3336</v>
      </c>
      <c r="B82" s="29" t="s">
        <v>3337</v>
      </c>
      <c r="C82" s="29" t="s">
        <v>7041</v>
      </c>
      <c r="D82" s="30">
        <v>45658.0</v>
      </c>
      <c r="E82" s="30">
        <v>46022.0</v>
      </c>
      <c r="F82" s="39">
        <v>745.97</v>
      </c>
      <c r="G82" s="39">
        <v>1961.0</v>
      </c>
      <c r="H82" s="32" t="s">
        <v>7046</v>
      </c>
      <c r="I82" s="30">
        <v>46023.0</v>
      </c>
      <c r="J82" s="30">
        <v>46387.0</v>
      </c>
      <c r="K82" s="39">
        <v>0.0</v>
      </c>
      <c r="L82" s="39">
        <v>0.0</v>
      </c>
      <c r="M82" s="35" t="s">
        <v>7045</v>
      </c>
      <c r="N82" s="30">
        <v>46388.0</v>
      </c>
      <c r="O82" s="30">
        <v>46752.0</v>
      </c>
      <c r="P82" s="39">
        <v>0.0</v>
      </c>
      <c r="Q82" s="39">
        <v>0.0</v>
      </c>
      <c r="R82" s="35" t="s">
        <v>7045</v>
      </c>
      <c r="S82" s="30">
        <v>46753.0</v>
      </c>
      <c r="T82" s="30">
        <v>47118.0</v>
      </c>
      <c r="U82" s="39">
        <v>0.0</v>
      </c>
      <c r="V82" s="39">
        <v>0.0</v>
      </c>
      <c r="W82" s="35" t="s">
        <v>7045</v>
      </c>
      <c r="X82" s="30">
        <v>47119.0</v>
      </c>
      <c r="Y82" s="30">
        <v>47483.0</v>
      </c>
      <c r="Z82" s="39">
        <v>0.0</v>
      </c>
      <c r="AA82" s="39">
        <v>0.0</v>
      </c>
      <c r="AB82" s="35" t="s">
        <v>7045</v>
      </c>
      <c r="AC82" s="30">
        <v>47484.0</v>
      </c>
      <c r="AD82" s="30">
        <v>47848.0</v>
      </c>
      <c r="AE82" s="39">
        <v>0.0</v>
      </c>
      <c r="AF82" s="39">
        <v>0.0</v>
      </c>
      <c r="AG82" s="35" t="s">
        <v>7045</v>
      </c>
      <c r="AH82" s="30">
        <v>45292.0</v>
      </c>
      <c r="AI82" s="30">
        <v>45657.0</v>
      </c>
      <c r="AJ82" s="39">
        <v>1492.48</v>
      </c>
      <c r="AK82" s="39">
        <v>2800.0</v>
      </c>
      <c r="AL82" s="37" t="s">
        <v>7046</v>
      </c>
      <c r="AM82" s="30">
        <v>44562.0</v>
      </c>
      <c r="AN82" s="30">
        <v>44926.0</v>
      </c>
      <c r="AO82" s="39">
        <v>3380.4</v>
      </c>
      <c r="AP82" s="39">
        <v>3550.0</v>
      </c>
      <c r="AQ82" s="37" t="s">
        <v>7046</v>
      </c>
      <c r="AR82" s="30">
        <v>44927.0</v>
      </c>
      <c r="AS82" s="30">
        <v>45291.0</v>
      </c>
      <c r="AT82" s="39">
        <v>2174.29</v>
      </c>
      <c r="AU82" s="39">
        <v>0.0</v>
      </c>
      <c r="AV82" s="38" t="s">
        <v>7047</v>
      </c>
    </row>
    <row r="83" ht="14.25" customHeight="1">
      <c r="A83" s="28" t="s">
        <v>4961</v>
      </c>
      <c r="B83" s="29" t="s">
        <v>4962</v>
      </c>
      <c r="C83" s="29" t="s">
        <v>7041</v>
      </c>
      <c r="D83" s="30">
        <v>45658.0</v>
      </c>
      <c r="E83" s="30">
        <v>46022.0</v>
      </c>
      <c r="F83" s="39">
        <v>307.55</v>
      </c>
      <c r="G83" s="39">
        <v>1050.0</v>
      </c>
      <c r="H83" s="37" t="s">
        <v>7046</v>
      </c>
      <c r="I83" s="30">
        <v>46023.0</v>
      </c>
      <c r="J83" s="30">
        <v>46387.0</v>
      </c>
      <c r="K83" s="39">
        <v>0.0</v>
      </c>
      <c r="L83" s="39">
        <v>0.0</v>
      </c>
      <c r="M83" s="35" t="s">
        <v>7045</v>
      </c>
      <c r="N83" s="30">
        <v>46388.0</v>
      </c>
      <c r="O83" s="30">
        <v>46752.0</v>
      </c>
      <c r="P83" s="39">
        <v>0.0</v>
      </c>
      <c r="Q83" s="39">
        <v>0.0</v>
      </c>
      <c r="R83" s="35" t="s">
        <v>7045</v>
      </c>
      <c r="S83" s="30">
        <v>46753.0</v>
      </c>
      <c r="T83" s="30">
        <v>47118.0</v>
      </c>
      <c r="U83" s="39">
        <v>0.0</v>
      </c>
      <c r="V83" s="39">
        <v>0.0</v>
      </c>
      <c r="W83" s="35" t="s">
        <v>7045</v>
      </c>
      <c r="X83" s="30">
        <v>47119.0</v>
      </c>
      <c r="Y83" s="30">
        <v>47483.0</v>
      </c>
      <c r="Z83" s="39">
        <v>0.0</v>
      </c>
      <c r="AA83" s="39">
        <v>0.0</v>
      </c>
      <c r="AB83" s="35" t="s">
        <v>7045</v>
      </c>
      <c r="AC83" s="30">
        <v>47484.0</v>
      </c>
      <c r="AD83" s="30">
        <v>47848.0</v>
      </c>
      <c r="AE83" s="39">
        <v>0.0</v>
      </c>
      <c r="AF83" s="39">
        <v>0.0</v>
      </c>
      <c r="AG83" s="35" t="s">
        <v>7045</v>
      </c>
      <c r="AH83" s="30">
        <v>45292.0</v>
      </c>
      <c r="AI83" s="30">
        <v>45657.0</v>
      </c>
      <c r="AJ83" s="39">
        <v>1006.69</v>
      </c>
      <c r="AK83" s="39">
        <v>1176.0</v>
      </c>
      <c r="AL83" s="37" t="s">
        <v>7046</v>
      </c>
      <c r="AM83" s="30">
        <v>44562.0</v>
      </c>
      <c r="AN83" s="30">
        <v>44926.0</v>
      </c>
      <c r="AO83" s="39">
        <v>1234.2</v>
      </c>
      <c r="AP83" s="39">
        <v>995.0</v>
      </c>
      <c r="AQ83" s="38" t="s">
        <v>7047</v>
      </c>
      <c r="AR83" s="30">
        <v>44927.0</v>
      </c>
      <c r="AS83" s="30">
        <v>45291.0</v>
      </c>
      <c r="AT83" s="39">
        <v>1068.54</v>
      </c>
      <c r="AU83" s="39">
        <v>1774.0</v>
      </c>
      <c r="AV83" s="37" t="s">
        <v>7046</v>
      </c>
    </row>
    <row r="84" ht="14.25" customHeight="1">
      <c r="A84" s="28" t="s">
        <v>3173</v>
      </c>
      <c r="B84" s="29" t="s">
        <v>3174</v>
      </c>
      <c r="C84" s="29" t="s">
        <v>7041</v>
      </c>
      <c r="D84" s="30">
        <v>45658.0</v>
      </c>
      <c r="E84" s="30">
        <v>46022.0</v>
      </c>
      <c r="F84" s="39">
        <v>1649.15</v>
      </c>
      <c r="G84" s="39">
        <v>4770.0</v>
      </c>
      <c r="H84" s="37" t="s">
        <v>7046</v>
      </c>
      <c r="I84" s="30">
        <v>46023.0</v>
      </c>
      <c r="J84" s="30">
        <v>46387.0</v>
      </c>
      <c r="K84" s="39">
        <v>0.0</v>
      </c>
      <c r="L84" s="39">
        <v>0.0</v>
      </c>
      <c r="M84" s="35" t="s">
        <v>7045</v>
      </c>
      <c r="N84" s="30">
        <v>46388.0</v>
      </c>
      <c r="O84" s="30">
        <v>46752.0</v>
      </c>
      <c r="P84" s="39">
        <v>0.0</v>
      </c>
      <c r="Q84" s="39">
        <v>0.0</v>
      </c>
      <c r="R84" s="35" t="s">
        <v>7045</v>
      </c>
      <c r="S84" s="30">
        <v>46753.0</v>
      </c>
      <c r="T84" s="30">
        <v>47118.0</v>
      </c>
      <c r="U84" s="39">
        <v>0.0</v>
      </c>
      <c r="V84" s="39">
        <v>0.0</v>
      </c>
      <c r="W84" s="35" t="s">
        <v>7045</v>
      </c>
      <c r="X84" s="30">
        <v>47119.0</v>
      </c>
      <c r="Y84" s="30">
        <v>47483.0</v>
      </c>
      <c r="Z84" s="39">
        <v>0.0</v>
      </c>
      <c r="AA84" s="39">
        <v>0.0</v>
      </c>
      <c r="AB84" s="35" t="s">
        <v>7045</v>
      </c>
      <c r="AC84" s="30">
        <v>47484.0</v>
      </c>
      <c r="AD84" s="30">
        <v>47848.0</v>
      </c>
      <c r="AE84" s="39">
        <v>0.0</v>
      </c>
      <c r="AF84" s="39">
        <v>0.0</v>
      </c>
      <c r="AG84" s="35" t="s">
        <v>7045</v>
      </c>
      <c r="AH84" s="30">
        <v>45292.0</v>
      </c>
      <c r="AI84" s="30">
        <v>45657.0</v>
      </c>
      <c r="AJ84" s="39">
        <v>4152.53</v>
      </c>
      <c r="AK84" s="39">
        <v>4100.0</v>
      </c>
      <c r="AL84" s="38" t="s">
        <v>7047</v>
      </c>
      <c r="AM84" s="30">
        <v>44562.0</v>
      </c>
      <c r="AN84" s="30">
        <v>44926.0</v>
      </c>
      <c r="AO84" s="39">
        <v>4721.7</v>
      </c>
      <c r="AP84" s="39">
        <v>4650.0</v>
      </c>
      <c r="AQ84" s="38" t="s">
        <v>7047</v>
      </c>
      <c r="AR84" s="30">
        <v>44927.0</v>
      </c>
      <c r="AS84" s="30">
        <v>45291.0</v>
      </c>
      <c r="AT84" s="39">
        <v>3395.89</v>
      </c>
      <c r="AU84" s="39">
        <v>5000.0</v>
      </c>
      <c r="AV84" s="37" t="s">
        <v>7046</v>
      </c>
    </row>
    <row r="85" ht="14.25" customHeight="1">
      <c r="A85" s="28" t="s">
        <v>2741</v>
      </c>
      <c r="B85" s="29" t="s">
        <v>2742</v>
      </c>
      <c r="C85" s="29" t="s">
        <v>7041</v>
      </c>
      <c r="D85" s="30">
        <v>45658.0</v>
      </c>
      <c r="E85" s="30">
        <v>46022.0</v>
      </c>
      <c r="F85" s="39">
        <v>2055.29</v>
      </c>
      <c r="G85" s="39">
        <v>3800.0</v>
      </c>
      <c r="H85" s="37" t="s">
        <v>7047</v>
      </c>
      <c r="I85" s="30">
        <v>46023.0</v>
      </c>
      <c r="J85" s="30">
        <v>46387.0</v>
      </c>
      <c r="K85" s="39">
        <v>0.0</v>
      </c>
      <c r="L85" s="39">
        <v>0.0</v>
      </c>
      <c r="M85" s="35" t="s">
        <v>7045</v>
      </c>
      <c r="N85" s="30">
        <v>46388.0</v>
      </c>
      <c r="O85" s="30">
        <v>46752.0</v>
      </c>
      <c r="P85" s="39">
        <v>0.0</v>
      </c>
      <c r="Q85" s="39">
        <v>0.0</v>
      </c>
      <c r="R85" s="35" t="s">
        <v>7045</v>
      </c>
      <c r="S85" s="30">
        <v>46753.0</v>
      </c>
      <c r="T85" s="30">
        <v>47118.0</v>
      </c>
      <c r="U85" s="39">
        <v>0.0</v>
      </c>
      <c r="V85" s="39">
        <v>0.0</v>
      </c>
      <c r="W85" s="35" t="s">
        <v>7045</v>
      </c>
      <c r="X85" s="30">
        <v>47119.0</v>
      </c>
      <c r="Y85" s="30">
        <v>47483.0</v>
      </c>
      <c r="Z85" s="39">
        <v>0.0</v>
      </c>
      <c r="AA85" s="39">
        <v>0.0</v>
      </c>
      <c r="AB85" s="35" t="s">
        <v>7045</v>
      </c>
      <c r="AC85" s="30">
        <v>47484.0</v>
      </c>
      <c r="AD85" s="30">
        <v>47848.0</v>
      </c>
      <c r="AE85" s="39">
        <v>0.0</v>
      </c>
      <c r="AF85" s="39">
        <v>0.0</v>
      </c>
      <c r="AG85" s="35" t="s">
        <v>7045</v>
      </c>
      <c r="AH85" s="30">
        <v>45292.0</v>
      </c>
      <c r="AI85" s="30">
        <v>45657.0</v>
      </c>
      <c r="AJ85" s="39">
        <v>2974.26</v>
      </c>
      <c r="AK85" s="39">
        <v>4350.0</v>
      </c>
      <c r="AL85" s="37" t="s">
        <v>7046</v>
      </c>
      <c r="AM85" s="30">
        <v>44562.0</v>
      </c>
      <c r="AN85" s="30">
        <v>44926.0</v>
      </c>
      <c r="AO85" s="39">
        <v>3771.4</v>
      </c>
      <c r="AP85" s="39">
        <v>3400.0</v>
      </c>
      <c r="AQ85" s="38" t="s">
        <v>7047</v>
      </c>
      <c r="AR85" s="30">
        <v>44927.0</v>
      </c>
      <c r="AS85" s="30">
        <v>45291.0</v>
      </c>
      <c r="AT85" s="39">
        <v>4162.99</v>
      </c>
      <c r="AU85" s="39">
        <v>4400.0</v>
      </c>
      <c r="AV85" s="37" t="s">
        <v>7046</v>
      </c>
    </row>
    <row r="86" ht="14.25" customHeight="1">
      <c r="A86" s="28" t="s">
        <v>6026</v>
      </c>
      <c r="B86" s="29" t="s">
        <v>6027</v>
      </c>
      <c r="C86" s="29" t="s">
        <v>7041</v>
      </c>
      <c r="D86" s="30">
        <v>45658.0</v>
      </c>
      <c r="E86" s="30">
        <v>46022.0</v>
      </c>
      <c r="F86" s="39">
        <v>508.61</v>
      </c>
      <c r="G86" s="39">
        <v>0.0</v>
      </c>
      <c r="H86" s="38" t="s">
        <v>7047</v>
      </c>
      <c r="I86" s="30">
        <v>46023.0</v>
      </c>
      <c r="J86" s="30">
        <v>46387.0</v>
      </c>
      <c r="K86" s="39">
        <v>0.0</v>
      </c>
      <c r="L86" s="39">
        <v>0.0</v>
      </c>
      <c r="M86" s="35" t="s">
        <v>7045</v>
      </c>
      <c r="N86" s="30">
        <v>46388.0</v>
      </c>
      <c r="O86" s="30">
        <v>46752.0</v>
      </c>
      <c r="P86" s="39">
        <v>0.0</v>
      </c>
      <c r="Q86" s="39">
        <v>0.0</v>
      </c>
      <c r="R86" s="35" t="s">
        <v>7045</v>
      </c>
      <c r="S86" s="30">
        <v>46753.0</v>
      </c>
      <c r="T86" s="30">
        <v>47118.0</v>
      </c>
      <c r="U86" s="39">
        <v>0.0</v>
      </c>
      <c r="V86" s="39">
        <v>0.0</v>
      </c>
      <c r="W86" s="35" t="s">
        <v>7045</v>
      </c>
      <c r="X86" s="30">
        <v>47119.0</v>
      </c>
      <c r="Y86" s="30">
        <v>47483.0</v>
      </c>
      <c r="Z86" s="39">
        <v>0.0</v>
      </c>
      <c r="AA86" s="39">
        <v>0.0</v>
      </c>
      <c r="AB86" s="35" t="s">
        <v>7045</v>
      </c>
      <c r="AC86" s="30">
        <v>47484.0</v>
      </c>
      <c r="AD86" s="30">
        <v>47848.0</v>
      </c>
      <c r="AE86" s="39">
        <v>0.0</v>
      </c>
      <c r="AF86" s="39">
        <v>0.0</v>
      </c>
      <c r="AG86" s="35" t="s">
        <v>7045</v>
      </c>
      <c r="AH86" s="30">
        <v>45292.0</v>
      </c>
      <c r="AI86" s="30">
        <v>45657.0</v>
      </c>
      <c r="AJ86" s="39">
        <v>693.77</v>
      </c>
      <c r="AK86" s="39">
        <v>0.0</v>
      </c>
      <c r="AL86" s="38" t="s">
        <v>7047</v>
      </c>
      <c r="AM86" s="30">
        <v>44562.0</v>
      </c>
      <c r="AN86" s="30">
        <v>44926.0</v>
      </c>
      <c r="AO86" s="39">
        <v>203.6</v>
      </c>
      <c r="AP86" s="39">
        <v>0.0</v>
      </c>
      <c r="AQ86" s="38" t="s">
        <v>7047</v>
      </c>
      <c r="AR86" s="30">
        <v>44927.0</v>
      </c>
      <c r="AS86" s="30">
        <v>45291.0</v>
      </c>
      <c r="AT86" s="39">
        <v>1127.86</v>
      </c>
      <c r="AU86" s="39">
        <v>0.0</v>
      </c>
      <c r="AV86" s="38" t="s">
        <v>7047</v>
      </c>
    </row>
    <row r="87" ht="14.25" customHeight="1">
      <c r="A87" s="28" t="s">
        <v>3893</v>
      </c>
      <c r="B87" s="29" t="s">
        <v>3894</v>
      </c>
      <c r="C87" s="29" t="s">
        <v>7041</v>
      </c>
      <c r="D87" s="30">
        <v>45658.0</v>
      </c>
      <c r="E87" s="30">
        <v>46022.0</v>
      </c>
      <c r="F87" s="39">
        <v>388.34</v>
      </c>
      <c r="G87" s="39">
        <v>1000.0</v>
      </c>
      <c r="H87" s="37" t="s">
        <v>7046</v>
      </c>
      <c r="I87" s="30">
        <v>46023.0</v>
      </c>
      <c r="J87" s="30">
        <v>46387.0</v>
      </c>
      <c r="K87" s="39">
        <v>0.0</v>
      </c>
      <c r="L87" s="39">
        <v>0.0</v>
      </c>
      <c r="M87" s="35" t="s">
        <v>7045</v>
      </c>
      <c r="N87" s="30">
        <v>46388.0</v>
      </c>
      <c r="O87" s="30">
        <v>46752.0</v>
      </c>
      <c r="P87" s="39">
        <v>0.0</v>
      </c>
      <c r="Q87" s="39">
        <v>0.0</v>
      </c>
      <c r="R87" s="35" t="s">
        <v>7045</v>
      </c>
      <c r="S87" s="30">
        <v>46753.0</v>
      </c>
      <c r="T87" s="30">
        <v>47118.0</v>
      </c>
      <c r="U87" s="39">
        <v>0.0</v>
      </c>
      <c r="V87" s="39">
        <v>0.0</v>
      </c>
      <c r="W87" s="35" t="s">
        <v>7045</v>
      </c>
      <c r="X87" s="30">
        <v>47119.0</v>
      </c>
      <c r="Y87" s="30">
        <v>47483.0</v>
      </c>
      <c r="Z87" s="39">
        <v>0.0</v>
      </c>
      <c r="AA87" s="39">
        <v>0.0</v>
      </c>
      <c r="AB87" s="35" t="s">
        <v>7045</v>
      </c>
      <c r="AC87" s="30">
        <v>47484.0</v>
      </c>
      <c r="AD87" s="30">
        <v>47848.0</v>
      </c>
      <c r="AE87" s="39">
        <v>0.0</v>
      </c>
      <c r="AF87" s="39">
        <v>0.0</v>
      </c>
      <c r="AG87" s="35" t="s">
        <v>7045</v>
      </c>
      <c r="AH87" s="30">
        <v>45292.0</v>
      </c>
      <c r="AI87" s="30">
        <v>45657.0</v>
      </c>
      <c r="AJ87" s="39">
        <v>919.23</v>
      </c>
      <c r="AK87" s="39">
        <v>1100.0</v>
      </c>
      <c r="AL87" s="37" t="s">
        <v>7046</v>
      </c>
      <c r="AM87" s="30">
        <v>44562.0</v>
      </c>
      <c r="AN87" s="30">
        <v>44926.0</v>
      </c>
      <c r="AO87" s="39">
        <v>1023.8</v>
      </c>
      <c r="AP87" s="39">
        <v>1009.0</v>
      </c>
      <c r="AQ87" s="38" t="s">
        <v>7047</v>
      </c>
      <c r="AR87" s="30">
        <v>44927.0</v>
      </c>
      <c r="AS87" s="30">
        <v>45291.0</v>
      </c>
      <c r="AT87" s="39">
        <v>1066.53</v>
      </c>
      <c r="AU87" s="39">
        <v>1500.0</v>
      </c>
      <c r="AV87" s="37" t="s">
        <v>7046</v>
      </c>
    </row>
    <row r="88" ht="14.25" customHeight="1">
      <c r="A88" s="28" t="s">
        <v>1366</v>
      </c>
      <c r="B88" s="29" t="s">
        <v>1367</v>
      </c>
      <c r="C88" s="29" t="s">
        <v>7041</v>
      </c>
      <c r="D88" s="30">
        <v>45658.0</v>
      </c>
      <c r="E88" s="30">
        <v>46022.0</v>
      </c>
      <c r="F88" s="39">
        <v>740.94</v>
      </c>
      <c r="G88" s="39">
        <v>2014.0</v>
      </c>
      <c r="H88" s="37" t="s">
        <v>7046</v>
      </c>
      <c r="I88" s="30">
        <v>46023.0</v>
      </c>
      <c r="J88" s="30">
        <v>46387.0</v>
      </c>
      <c r="K88" s="39">
        <v>0.0</v>
      </c>
      <c r="L88" s="39">
        <v>0.0</v>
      </c>
      <c r="M88" s="35" t="s">
        <v>7045</v>
      </c>
      <c r="N88" s="30">
        <v>46388.0</v>
      </c>
      <c r="O88" s="30">
        <v>46752.0</v>
      </c>
      <c r="P88" s="39">
        <v>0.0</v>
      </c>
      <c r="Q88" s="39">
        <v>0.0</v>
      </c>
      <c r="R88" s="35" t="s">
        <v>7045</v>
      </c>
      <c r="S88" s="30">
        <v>46753.0</v>
      </c>
      <c r="T88" s="30">
        <v>47118.0</v>
      </c>
      <c r="U88" s="39">
        <v>0.0</v>
      </c>
      <c r="V88" s="39">
        <v>0.0</v>
      </c>
      <c r="W88" s="35" t="s">
        <v>7045</v>
      </c>
      <c r="X88" s="30">
        <v>47119.0</v>
      </c>
      <c r="Y88" s="30">
        <v>47483.0</v>
      </c>
      <c r="Z88" s="39">
        <v>0.0</v>
      </c>
      <c r="AA88" s="39">
        <v>0.0</v>
      </c>
      <c r="AB88" s="35" t="s">
        <v>7045</v>
      </c>
      <c r="AC88" s="30">
        <v>47484.0</v>
      </c>
      <c r="AD88" s="30">
        <v>47848.0</v>
      </c>
      <c r="AE88" s="39">
        <v>0.0</v>
      </c>
      <c r="AF88" s="39">
        <v>0.0</v>
      </c>
      <c r="AG88" s="35" t="s">
        <v>7045</v>
      </c>
      <c r="AH88" s="30">
        <v>45292.0</v>
      </c>
      <c r="AI88" s="30">
        <v>45657.0</v>
      </c>
      <c r="AJ88" s="39">
        <v>1656.73</v>
      </c>
      <c r="AK88" s="39">
        <v>2900.0</v>
      </c>
      <c r="AL88" s="37" t="s">
        <v>7046</v>
      </c>
      <c r="AM88" s="30">
        <v>44562.0</v>
      </c>
      <c r="AN88" s="30">
        <v>44926.0</v>
      </c>
      <c r="AO88" s="39">
        <v>1706.4</v>
      </c>
      <c r="AP88" s="39">
        <v>2400.0</v>
      </c>
      <c r="AQ88" s="37" t="s">
        <v>7046</v>
      </c>
      <c r="AR88" s="30">
        <v>44927.0</v>
      </c>
      <c r="AS88" s="30">
        <v>45291.0</v>
      </c>
      <c r="AT88" s="39">
        <v>2498.41</v>
      </c>
      <c r="AU88" s="39">
        <v>2250.0</v>
      </c>
      <c r="AV88" s="38" t="s">
        <v>7047</v>
      </c>
    </row>
    <row r="89" ht="14.25" customHeight="1">
      <c r="A89" s="28" t="s">
        <v>6495</v>
      </c>
      <c r="B89" s="29" t="s">
        <v>6496</v>
      </c>
      <c r="C89" s="29" t="s">
        <v>7041</v>
      </c>
      <c r="D89" s="30">
        <v>45658.0</v>
      </c>
      <c r="E89" s="30">
        <v>46022.0</v>
      </c>
      <c r="F89" s="39">
        <v>737.74</v>
      </c>
      <c r="G89" s="39">
        <v>1601.0</v>
      </c>
      <c r="H89" s="37" t="s">
        <v>7046</v>
      </c>
      <c r="I89" s="30">
        <v>46023.0</v>
      </c>
      <c r="J89" s="30">
        <v>46387.0</v>
      </c>
      <c r="K89" s="39">
        <v>0.0</v>
      </c>
      <c r="L89" s="39">
        <v>0.0</v>
      </c>
      <c r="M89" s="35" t="s">
        <v>7045</v>
      </c>
      <c r="N89" s="30">
        <v>46388.0</v>
      </c>
      <c r="O89" s="30">
        <v>46752.0</v>
      </c>
      <c r="P89" s="39">
        <v>0.0</v>
      </c>
      <c r="Q89" s="39">
        <v>0.0</v>
      </c>
      <c r="R89" s="35" t="s">
        <v>7045</v>
      </c>
      <c r="S89" s="30">
        <v>46753.0</v>
      </c>
      <c r="T89" s="30">
        <v>47118.0</v>
      </c>
      <c r="U89" s="39">
        <v>0.0</v>
      </c>
      <c r="V89" s="39">
        <v>0.0</v>
      </c>
      <c r="W89" s="35" t="s">
        <v>7045</v>
      </c>
      <c r="X89" s="30">
        <v>47119.0</v>
      </c>
      <c r="Y89" s="30">
        <v>47483.0</v>
      </c>
      <c r="Z89" s="39">
        <v>0.0</v>
      </c>
      <c r="AA89" s="39">
        <v>0.0</v>
      </c>
      <c r="AB89" s="35" t="s">
        <v>7045</v>
      </c>
      <c r="AC89" s="30">
        <v>47484.0</v>
      </c>
      <c r="AD89" s="30">
        <v>47848.0</v>
      </c>
      <c r="AE89" s="39">
        <v>0.0</v>
      </c>
      <c r="AF89" s="39">
        <v>0.0</v>
      </c>
      <c r="AG89" s="35" t="s">
        <v>7045</v>
      </c>
      <c r="AH89" s="30">
        <v>45292.0</v>
      </c>
      <c r="AI89" s="30">
        <v>45657.0</v>
      </c>
      <c r="AJ89" s="39">
        <v>1392.59</v>
      </c>
      <c r="AK89" s="39">
        <v>1299.0</v>
      </c>
      <c r="AL89" s="38" t="s">
        <v>7047</v>
      </c>
      <c r="AM89" s="30">
        <v>44562.0</v>
      </c>
      <c r="AN89" s="30">
        <v>44926.0</v>
      </c>
      <c r="AO89" s="39">
        <v>1209.9</v>
      </c>
      <c r="AP89" s="39">
        <v>1584.0</v>
      </c>
      <c r="AQ89" s="37" t="s">
        <v>7046</v>
      </c>
      <c r="AR89" s="30">
        <v>44927.0</v>
      </c>
      <c r="AS89" s="30">
        <v>45291.0</v>
      </c>
      <c r="AT89" s="39">
        <v>1095.46</v>
      </c>
      <c r="AU89" s="39">
        <v>1762.0</v>
      </c>
      <c r="AV89" s="37" t="s">
        <v>7046</v>
      </c>
    </row>
    <row r="90" ht="14.25" customHeight="1">
      <c r="A90" s="28" t="s">
        <v>1667</v>
      </c>
      <c r="B90" s="29" t="s">
        <v>1668</v>
      </c>
      <c r="C90" s="29" t="s">
        <v>7041</v>
      </c>
      <c r="D90" s="30">
        <v>45658.0</v>
      </c>
      <c r="E90" s="30">
        <v>46022.0</v>
      </c>
      <c r="F90" s="39">
        <v>1802.04</v>
      </c>
      <c r="G90" s="39">
        <v>4600.0</v>
      </c>
      <c r="H90" s="37" t="s">
        <v>7046</v>
      </c>
      <c r="I90" s="30">
        <v>46023.0</v>
      </c>
      <c r="J90" s="30">
        <v>46387.0</v>
      </c>
      <c r="K90" s="39">
        <v>0.0</v>
      </c>
      <c r="L90" s="39">
        <v>0.0</v>
      </c>
      <c r="M90" s="35" t="s">
        <v>7045</v>
      </c>
      <c r="N90" s="30">
        <v>46388.0</v>
      </c>
      <c r="O90" s="30">
        <v>46752.0</v>
      </c>
      <c r="P90" s="39">
        <v>0.0</v>
      </c>
      <c r="Q90" s="39">
        <v>0.0</v>
      </c>
      <c r="R90" s="35" t="s">
        <v>7045</v>
      </c>
      <c r="S90" s="30">
        <v>46753.0</v>
      </c>
      <c r="T90" s="30">
        <v>47118.0</v>
      </c>
      <c r="U90" s="39">
        <v>0.0</v>
      </c>
      <c r="V90" s="39">
        <v>0.0</v>
      </c>
      <c r="W90" s="35" t="s">
        <v>7045</v>
      </c>
      <c r="X90" s="30">
        <v>47119.0</v>
      </c>
      <c r="Y90" s="30">
        <v>47483.0</v>
      </c>
      <c r="Z90" s="39">
        <v>0.0</v>
      </c>
      <c r="AA90" s="39">
        <v>0.0</v>
      </c>
      <c r="AB90" s="35" t="s">
        <v>7045</v>
      </c>
      <c r="AC90" s="30">
        <v>47484.0</v>
      </c>
      <c r="AD90" s="30">
        <v>47848.0</v>
      </c>
      <c r="AE90" s="39">
        <v>0.0</v>
      </c>
      <c r="AF90" s="39">
        <v>0.0</v>
      </c>
      <c r="AG90" s="35" t="s">
        <v>7045</v>
      </c>
      <c r="AH90" s="30">
        <v>45292.0</v>
      </c>
      <c r="AI90" s="30">
        <v>45657.0</v>
      </c>
      <c r="AJ90" s="39">
        <v>4295.08</v>
      </c>
      <c r="AK90" s="39">
        <v>3700.0</v>
      </c>
      <c r="AL90" s="38" t="s">
        <v>7047</v>
      </c>
      <c r="AM90" s="30">
        <v>44562.0</v>
      </c>
      <c r="AN90" s="30">
        <v>44926.0</v>
      </c>
      <c r="AO90" s="39">
        <v>4075.0</v>
      </c>
      <c r="AP90" s="39">
        <v>4700.0</v>
      </c>
      <c r="AQ90" s="37" t="s">
        <v>7046</v>
      </c>
      <c r="AR90" s="30">
        <v>44927.0</v>
      </c>
      <c r="AS90" s="30">
        <v>45291.0</v>
      </c>
      <c r="AT90" s="39">
        <v>3360.28</v>
      </c>
      <c r="AU90" s="39">
        <v>4450.0</v>
      </c>
      <c r="AV90" s="37" t="s">
        <v>7046</v>
      </c>
    </row>
    <row r="91" ht="14.25" customHeight="1">
      <c r="A91" s="28" t="s">
        <v>1873</v>
      </c>
      <c r="B91" s="29" t="s">
        <v>1874</v>
      </c>
      <c r="C91" s="29" t="s">
        <v>7041</v>
      </c>
      <c r="D91" s="30">
        <v>45658.0</v>
      </c>
      <c r="E91" s="30">
        <v>46022.0</v>
      </c>
      <c r="F91" s="39">
        <v>321.97</v>
      </c>
      <c r="G91" s="39">
        <v>1325.0</v>
      </c>
      <c r="H91" s="32" t="s">
        <v>7043</v>
      </c>
      <c r="I91" s="30">
        <v>46023.0</v>
      </c>
      <c r="J91" s="30">
        <v>46387.0</v>
      </c>
      <c r="K91" s="39">
        <v>0.0</v>
      </c>
      <c r="L91" s="39">
        <v>0.0</v>
      </c>
      <c r="M91" s="35" t="s">
        <v>7045</v>
      </c>
      <c r="N91" s="30">
        <v>46388.0</v>
      </c>
      <c r="O91" s="30">
        <v>46752.0</v>
      </c>
      <c r="P91" s="39">
        <v>0.0</v>
      </c>
      <c r="Q91" s="39">
        <v>0.0</v>
      </c>
      <c r="R91" s="35" t="s">
        <v>7045</v>
      </c>
      <c r="S91" s="30">
        <v>46753.0</v>
      </c>
      <c r="T91" s="30">
        <v>47118.0</v>
      </c>
      <c r="U91" s="39">
        <v>0.0</v>
      </c>
      <c r="V91" s="39">
        <v>0.0</v>
      </c>
      <c r="W91" s="35" t="s">
        <v>7045</v>
      </c>
      <c r="X91" s="30">
        <v>47119.0</v>
      </c>
      <c r="Y91" s="30">
        <v>47483.0</v>
      </c>
      <c r="Z91" s="39">
        <v>0.0</v>
      </c>
      <c r="AA91" s="39">
        <v>0.0</v>
      </c>
      <c r="AB91" s="35" t="s">
        <v>7045</v>
      </c>
      <c r="AC91" s="30">
        <v>47484.0</v>
      </c>
      <c r="AD91" s="30">
        <v>47848.0</v>
      </c>
      <c r="AE91" s="39">
        <v>0.0</v>
      </c>
      <c r="AF91" s="39">
        <v>0.0</v>
      </c>
      <c r="AG91" s="35" t="s">
        <v>7045</v>
      </c>
      <c r="AH91" s="30">
        <v>45292.0</v>
      </c>
      <c r="AI91" s="30">
        <v>45657.0</v>
      </c>
      <c r="AJ91" s="39">
        <v>1151.97</v>
      </c>
      <c r="AK91" s="39">
        <v>1684.0</v>
      </c>
      <c r="AL91" s="37" t="s">
        <v>7046</v>
      </c>
      <c r="AM91" s="30">
        <v>44562.0</v>
      </c>
      <c r="AN91" s="30">
        <v>44926.0</v>
      </c>
      <c r="AO91" s="39">
        <v>1091.3</v>
      </c>
      <c r="AP91" s="39">
        <v>1245.0</v>
      </c>
      <c r="AQ91" s="37" t="s">
        <v>7046</v>
      </c>
      <c r="AR91" s="30">
        <v>44927.0</v>
      </c>
      <c r="AS91" s="30">
        <v>45291.0</v>
      </c>
      <c r="AT91" s="39">
        <v>1530.32</v>
      </c>
      <c r="AU91" s="39">
        <v>1470.0</v>
      </c>
      <c r="AV91" s="38" t="s">
        <v>7047</v>
      </c>
    </row>
    <row r="92" ht="14.25" customHeight="1">
      <c r="A92" s="28" t="s">
        <v>3155</v>
      </c>
      <c r="B92" s="29" t="s">
        <v>3156</v>
      </c>
      <c r="C92" s="29" t="s">
        <v>7041</v>
      </c>
      <c r="D92" s="30">
        <v>45658.0</v>
      </c>
      <c r="E92" s="30">
        <v>46022.0</v>
      </c>
      <c r="F92" s="39">
        <v>1051.95</v>
      </c>
      <c r="G92" s="39">
        <v>2600.0</v>
      </c>
      <c r="H92" s="37" t="s">
        <v>7046</v>
      </c>
      <c r="I92" s="30">
        <v>46023.0</v>
      </c>
      <c r="J92" s="30">
        <v>46387.0</v>
      </c>
      <c r="K92" s="39">
        <v>0.0</v>
      </c>
      <c r="L92" s="39">
        <v>0.0</v>
      </c>
      <c r="M92" s="35" t="s">
        <v>7045</v>
      </c>
      <c r="N92" s="30">
        <v>46388.0</v>
      </c>
      <c r="O92" s="30">
        <v>46752.0</v>
      </c>
      <c r="P92" s="39">
        <v>0.0</v>
      </c>
      <c r="Q92" s="39">
        <v>0.0</v>
      </c>
      <c r="R92" s="35" t="s">
        <v>7045</v>
      </c>
      <c r="S92" s="30">
        <v>46753.0</v>
      </c>
      <c r="T92" s="30">
        <v>47118.0</v>
      </c>
      <c r="U92" s="39">
        <v>0.0</v>
      </c>
      <c r="V92" s="39">
        <v>0.0</v>
      </c>
      <c r="W92" s="35" t="s">
        <v>7045</v>
      </c>
      <c r="X92" s="30">
        <v>47119.0</v>
      </c>
      <c r="Y92" s="30">
        <v>47483.0</v>
      </c>
      <c r="Z92" s="39">
        <v>0.0</v>
      </c>
      <c r="AA92" s="39">
        <v>0.0</v>
      </c>
      <c r="AB92" s="35" t="s">
        <v>7045</v>
      </c>
      <c r="AC92" s="30">
        <v>47484.0</v>
      </c>
      <c r="AD92" s="30">
        <v>47848.0</v>
      </c>
      <c r="AE92" s="39">
        <v>0.0</v>
      </c>
      <c r="AF92" s="39">
        <v>0.0</v>
      </c>
      <c r="AG92" s="35" t="s">
        <v>7045</v>
      </c>
      <c r="AH92" s="30">
        <v>45292.0</v>
      </c>
      <c r="AI92" s="30">
        <v>45657.0</v>
      </c>
      <c r="AJ92" s="39">
        <v>2273.98</v>
      </c>
      <c r="AK92" s="39">
        <v>2100.0</v>
      </c>
      <c r="AL92" s="38" t="s">
        <v>7047</v>
      </c>
      <c r="AM92" s="30">
        <v>44562.0</v>
      </c>
      <c r="AN92" s="30">
        <v>44926.0</v>
      </c>
      <c r="AO92" s="39">
        <v>2087.6</v>
      </c>
      <c r="AP92" s="39">
        <v>2000.0</v>
      </c>
      <c r="AQ92" s="38" t="s">
        <v>7047</v>
      </c>
      <c r="AR92" s="30">
        <v>44927.0</v>
      </c>
      <c r="AS92" s="30">
        <v>45291.0</v>
      </c>
      <c r="AT92" s="39">
        <v>1764.79</v>
      </c>
      <c r="AU92" s="39">
        <v>2150.1</v>
      </c>
      <c r="AV92" s="37" t="s">
        <v>7046</v>
      </c>
    </row>
    <row r="93" ht="14.25" customHeight="1">
      <c r="A93" s="28" t="s">
        <v>6018</v>
      </c>
      <c r="B93" s="29" t="s">
        <v>6019</v>
      </c>
      <c r="C93" s="29" t="s">
        <v>7041</v>
      </c>
      <c r="D93" s="30">
        <v>45658.0</v>
      </c>
      <c r="E93" s="30">
        <v>46022.0</v>
      </c>
      <c r="F93" s="39">
        <v>628.63</v>
      </c>
      <c r="G93" s="39">
        <v>1400.0</v>
      </c>
      <c r="H93" s="37" t="s">
        <v>7046</v>
      </c>
      <c r="I93" s="30">
        <v>46023.0</v>
      </c>
      <c r="J93" s="30">
        <v>46387.0</v>
      </c>
      <c r="K93" s="39">
        <v>0.0</v>
      </c>
      <c r="L93" s="39">
        <v>0.0</v>
      </c>
      <c r="M93" s="35" t="s">
        <v>7045</v>
      </c>
      <c r="N93" s="30">
        <v>46388.0</v>
      </c>
      <c r="O93" s="30">
        <v>46752.0</v>
      </c>
      <c r="P93" s="39">
        <v>0.0</v>
      </c>
      <c r="Q93" s="39">
        <v>0.0</v>
      </c>
      <c r="R93" s="35" t="s">
        <v>7045</v>
      </c>
      <c r="S93" s="30">
        <v>46753.0</v>
      </c>
      <c r="T93" s="30">
        <v>47118.0</v>
      </c>
      <c r="U93" s="39">
        <v>0.0</v>
      </c>
      <c r="V93" s="39">
        <v>0.0</v>
      </c>
      <c r="W93" s="35" t="s">
        <v>7045</v>
      </c>
      <c r="X93" s="30">
        <v>47119.0</v>
      </c>
      <c r="Y93" s="30">
        <v>47483.0</v>
      </c>
      <c r="Z93" s="39">
        <v>0.0</v>
      </c>
      <c r="AA93" s="39">
        <v>0.0</v>
      </c>
      <c r="AB93" s="35" t="s">
        <v>7045</v>
      </c>
      <c r="AC93" s="30">
        <v>47484.0</v>
      </c>
      <c r="AD93" s="30">
        <v>47848.0</v>
      </c>
      <c r="AE93" s="39">
        <v>0.0</v>
      </c>
      <c r="AF93" s="39">
        <v>0.0</v>
      </c>
      <c r="AG93" s="35" t="s">
        <v>7045</v>
      </c>
      <c r="AH93" s="30">
        <v>45292.0</v>
      </c>
      <c r="AI93" s="30">
        <v>45657.0</v>
      </c>
      <c r="AJ93" s="39">
        <v>1332.53</v>
      </c>
      <c r="AK93" s="39">
        <v>1170.0</v>
      </c>
      <c r="AL93" s="38" t="s">
        <v>7047</v>
      </c>
      <c r="AM93" s="30">
        <v>44562.0</v>
      </c>
      <c r="AN93" s="30">
        <v>44926.0</v>
      </c>
      <c r="AO93" s="39">
        <v>1083.6</v>
      </c>
      <c r="AP93" s="39">
        <v>948.0</v>
      </c>
      <c r="AQ93" s="38" t="s">
        <v>7047</v>
      </c>
      <c r="AR93" s="30">
        <v>44927.0</v>
      </c>
      <c r="AS93" s="30">
        <v>45291.0</v>
      </c>
      <c r="AT93" s="39">
        <v>1173.72</v>
      </c>
      <c r="AU93" s="39">
        <v>1268.0</v>
      </c>
      <c r="AV93" s="37" t="s">
        <v>7046</v>
      </c>
    </row>
    <row r="94" ht="14.25" customHeight="1">
      <c r="A94" s="28" t="s">
        <v>6461</v>
      </c>
      <c r="B94" s="29" t="s">
        <v>6462</v>
      </c>
      <c r="C94" s="29" t="s">
        <v>7041</v>
      </c>
      <c r="D94" s="30">
        <v>45658.0</v>
      </c>
      <c r="E94" s="30">
        <v>46022.0</v>
      </c>
      <c r="F94" s="39">
        <v>574.44</v>
      </c>
      <c r="G94" s="39">
        <v>2239.0</v>
      </c>
      <c r="H94" s="37" t="s">
        <v>7043</v>
      </c>
      <c r="I94" s="30">
        <v>46023.0</v>
      </c>
      <c r="J94" s="30">
        <v>46387.0</v>
      </c>
      <c r="K94" s="39">
        <v>0.0</v>
      </c>
      <c r="L94" s="39">
        <v>0.0</v>
      </c>
      <c r="M94" s="35" t="s">
        <v>7045</v>
      </c>
      <c r="N94" s="30">
        <v>46388.0</v>
      </c>
      <c r="O94" s="30">
        <v>46752.0</v>
      </c>
      <c r="P94" s="39">
        <v>0.0</v>
      </c>
      <c r="Q94" s="39">
        <v>0.0</v>
      </c>
      <c r="R94" s="35" t="s">
        <v>7045</v>
      </c>
      <c r="S94" s="30">
        <v>46753.0</v>
      </c>
      <c r="T94" s="30">
        <v>47118.0</v>
      </c>
      <c r="U94" s="39">
        <v>0.0</v>
      </c>
      <c r="V94" s="39">
        <v>0.0</v>
      </c>
      <c r="W94" s="35" t="s">
        <v>7045</v>
      </c>
      <c r="X94" s="30">
        <v>47119.0</v>
      </c>
      <c r="Y94" s="30">
        <v>47483.0</v>
      </c>
      <c r="Z94" s="39">
        <v>0.0</v>
      </c>
      <c r="AA94" s="39">
        <v>0.0</v>
      </c>
      <c r="AB94" s="35" t="s">
        <v>7045</v>
      </c>
      <c r="AC94" s="30">
        <v>47484.0</v>
      </c>
      <c r="AD94" s="30">
        <v>47848.0</v>
      </c>
      <c r="AE94" s="39">
        <v>0.0</v>
      </c>
      <c r="AF94" s="39">
        <v>0.0</v>
      </c>
      <c r="AG94" s="35" t="s">
        <v>7045</v>
      </c>
      <c r="AH94" s="30">
        <v>45292.0</v>
      </c>
      <c r="AI94" s="30">
        <v>45657.0</v>
      </c>
      <c r="AJ94" s="39">
        <v>2652.27</v>
      </c>
      <c r="AK94" s="39">
        <v>1800.0</v>
      </c>
      <c r="AL94" s="38" t="s">
        <v>7047</v>
      </c>
      <c r="AM94" s="30">
        <v>44562.0</v>
      </c>
      <c r="AN94" s="30">
        <v>44926.0</v>
      </c>
      <c r="AO94" s="39">
        <v>1691.7</v>
      </c>
      <c r="AP94" s="39">
        <v>1635.0</v>
      </c>
      <c r="AQ94" s="38" t="s">
        <v>7047</v>
      </c>
      <c r="AR94" s="30">
        <v>44927.0</v>
      </c>
      <c r="AS94" s="30">
        <v>45291.0</v>
      </c>
      <c r="AT94" s="39">
        <v>1625.89</v>
      </c>
      <c r="AU94" s="39">
        <v>1825.0</v>
      </c>
      <c r="AV94" s="37" t="s">
        <v>7046</v>
      </c>
    </row>
    <row r="95" ht="14.25" customHeight="1">
      <c r="A95" s="28" t="s">
        <v>6464</v>
      </c>
      <c r="B95" s="29" t="s">
        <v>6465</v>
      </c>
      <c r="C95" s="29" t="s">
        <v>7041</v>
      </c>
      <c r="D95" s="30">
        <v>45658.0</v>
      </c>
      <c r="E95" s="30">
        <v>46022.0</v>
      </c>
      <c r="F95" s="39">
        <v>778.89</v>
      </c>
      <c r="G95" s="39">
        <v>1883.0</v>
      </c>
      <c r="H95" s="37" t="s">
        <v>7046</v>
      </c>
      <c r="I95" s="30">
        <v>46023.0</v>
      </c>
      <c r="J95" s="30">
        <v>46387.0</v>
      </c>
      <c r="K95" s="39">
        <v>0.0</v>
      </c>
      <c r="L95" s="39">
        <v>0.0</v>
      </c>
      <c r="M95" s="35" t="s">
        <v>7045</v>
      </c>
      <c r="N95" s="30">
        <v>46388.0</v>
      </c>
      <c r="O95" s="30">
        <v>46752.0</v>
      </c>
      <c r="P95" s="39">
        <v>0.0</v>
      </c>
      <c r="Q95" s="39">
        <v>0.0</v>
      </c>
      <c r="R95" s="35" t="s">
        <v>7045</v>
      </c>
      <c r="S95" s="30">
        <v>46753.0</v>
      </c>
      <c r="T95" s="30">
        <v>47118.0</v>
      </c>
      <c r="U95" s="39">
        <v>0.0</v>
      </c>
      <c r="V95" s="39">
        <v>0.0</v>
      </c>
      <c r="W95" s="35" t="s">
        <v>7045</v>
      </c>
      <c r="X95" s="30">
        <v>47119.0</v>
      </c>
      <c r="Y95" s="30">
        <v>47483.0</v>
      </c>
      <c r="Z95" s="39">
        <v>0.0</v>
      </c>
      <c r="AA95" s="39">
        <v>0.0</v>
      </c>
      <c r="AB95" s="35" t="s">
        <v>7045</v>
      </c>
      <c r="AC95" s="30">
        <v>47484.0</v>
      </c>
      <c r="AD95" s="30">
        <v>47848.0</v>
      </c>
      <c r="AE95" s="39">
        <v>0.0</v>
      </c>
      <c r="AF95" s="39">
        <v>0.0</v>
      </c>
      <c r="AG95" s="35" t="s">
        <v>7045</v>
      </c>
      <c r="AH95" s="30">
        <v>45292.0</v>
      </c>
      <c r="AI95" s="30">
        <v>45657.0</v>
      </c>
      <c r="AJ95" s="39">
        <v>1644.8</v>
      </c>
      <c r="AK95" s="39">
        <v>1920.0</v>
      </c>
      <c r="AL95" s="37" t="s">
        <v>7046</v>
      </c>
      <c r="AM95" s="30">
        <v>44562.0</v>
      </c>
      <c r="AN95" s="30">
        <v>44926.0</v>
      </c>
      <c r="AO95" s="39">
        <v>2329.9</v>
      </c>
      <c r="AP95" s="39">
        <v>2025.0</v>
      </c>
      <c r="AQ95" s="38" t="s">
        <v>7047</v>
      </c>
      <c r="AR95" s="30">
        <v>44927.0</v>
      </c>
      <c r="AS95" s="30">
        <v>45291.0</v>
      </c>
      <c r="AT95" s="39">
        <v>1739.83</v>
      </c>
      <c r="AU95" s="39">
        <v>2830.0</v>
      </c>
      <c r="AV95" s="37" t="s">
        <v>7046</v>
      </c>
    </row>
    <row r="96" ht="14.25" customHeight="1">
      <c r="A96" s="28" t="s">
        <v>3234</v>
      </c>
      <c r="B96" s="29" t="s">
        <v>3235</v>
      </c>
      <c r="C96" s="29" t="s">
        <v>7041</v>
      </c>
      <c r="D96" s="30">
        <v>45658.0</v>
      </c>
      <c r="E96" s="30">
        <v>46022.0</v>
      </c>
      <c r="F96" s="39">
        <v>972.91</v>
      </c>
      <c r="G96" s="39">
        <v>2500.0</v>
      </c>
      <c r="H96" s="37" t="s">
        <v>7046</v>
      </c>
      <c r="I96" s="30">
        <v>46023.0</v>
      </c>
      <c r="J96" s="30">
        <v>46387.0</v>
      </c>
      <c r="K96" s="39">
        <v>0.0</v>
      </c>
      <c r="L96" s="39">
        <v>0.0</v>
      </c>
      <c r="M96" s="35" t="s">
        <v>7045</v>
      </c>
      <c r="N96" s="30">
        <v>46388.0</v>
      </c>
      <c r="O96" s="30">
        <v>46752.0</v>
      </c>
      <c r="P96" s="39">
        <v>0.0</v>
      </c>
      <c r="Q96" s="39">
        <v>0.0</v>
      </c>
      <c r="R96" s="35" t="s">
        <v>7045</v>
      </c>
      <c r="S96" s="30">
        <v>46753.0</v>
      </c>
      <c r="T96" s="30">
        <v>47118.0</v>
      </c>
      <c r="U96" s="39">
        <v>0.0</v>
      </c>
      <c r="V96" s="39">
        <v>0.0</v>
      </c>
      <c r="W96" s="35" t="s">
        <v>7045</v>
      </c>
      <c r="X96" s="30">
        <v>47119.0</v>
      </c>
      <c r="Y96" s="30">
        <v>47483.0</v>
      </c>
      <c r="Z96" s="39">
        <v>0.0</v>
      </c>
      <c r="AA96" s="39">
        <v>0.0</v>
      </c>
      <c r="AB96" s="35" t="s">
        <v>7045</v>
      </c>
      <c r="AC96" s="30">
        <v>47484.0</v>
      </c>
      <c r="AD96" s="30">
        <v>47848.0</v>
      </c>
      <c r="AE96" s="39">
        <v>0.0</v>
      </c>
      <c r="AF96" s="39">
        <v>0.0</v>
      </c>
      <c r="AG96" s="35" t="s">
        <v>7045</v>
      </c>
      <c r="AH96" s="30">
        <v>45292.0</v>
      </c>
      <c r="AI96" s="30">
        <v>45657.0</v>
      </c>
      <c r="AJ96" s="39">
        <v>2163.62</v>
      </c>
      <c r="AK96" s="39">
        <v>2480.0</v>
      </c>
      <c r="AL96" s="37" t="s">
        <v>7046</v>
      </c>
      <c r="AM96" s="30">
        <v>44562.0</v>
      </c>
      <c r="AN96" s="30">
        <v>44926.0</v>
      </c>
      <c r="AO96" s="39">
        <v>3420.5</v>
      </c>
      <c r="AP96" s="39">
        <v>2900.0</v>
      </c>
      <c r="AQ96" s="38" t="s">
        <v>7047</v>
      </c>
      <c r="AR96" s="30">
        <v>44927.0</v>
      </c>
      <c r="AS96" s="30">
        <v>45291.0</v>
      </c>
      <c r="AT96" s="39">
        <v>2252.72</v>
      </c>
      <c r="AU96" s="39">
        <v>4021.8</v>
      </c>
      <c r="AV96" s="37" t="s">
        <v>7046</v>
      </c>
    </row>
    <row r="97" ht="14.25" customHeight="1">
      <c r="A97" s="28" t="s">
        <v>2105</v>
      </c>
      <c r="B97" s="29" t="s">
        <v>2106</v>
      </c>
      <c r="C97" s="29" t="s">
        <v>7041</v>
      </c>
      <c r="D97" s="30">
        <v>45658.0</v>
      </c>
      <c r="E97" s="30">
        <v>46022.0</v>
      </c>
      <c r="F97" s="39">
        <v>643.05</v>
      </c>
      <c r="G97" s="39">
        <v>0.0</v>
      </c>
      <c r="H97" s="38" t="s">
        <v>7047</v>
      </c>
      <c r="I97" s="30">
        <v>46023.0</v>
      </c>
      <c r="J97" s="30">
        <v>46387.0</v>
      </c>
      <c r="K97" s="39">
        <v>0.0</v>
      </c>
      <c r="L97" s="39">
        <v>0.0</v>
      </c>
      <c r="M97" s="35" t="s">
        <v>7045</v>
      </c>
      <c r="N97" s="30">
        <v>46388.0</v>
      </c>
      <c r="O97" s="30">
        <v>46752.0</v>
      </c>
      <c r="P97" s="39">
        <v>0.0</v>
      </c>
      <c r="Q97" s="39">
        <v>0.0</v>
      </c>
      <c r="R97" s="35" t="s">
        <v>7045</v>
      </c>
      <c r="S97" s="30">
        <v>46753.0</v>
      </c>
      <c r="T97" s="30">
        <v>47118.0</v>
      </c>
      <c r="U97" s="39">
        <v>0.0</v>
      </c>
      <c r="V97" s="39">
        <v>0.0</v>
      </c>
      <c r="W97" s="35" t="s">
        <v>7045</v>
      </c>
      <c r="X97" s="30">
        <v>47119.0</v>
      </c>
      <c r="Y97" s="30">
        <v>47483.0</v>
      </c>
      <c r="Z97" s="39">
        <v>0.0</v>
      </c>
      <c r="AA97" s="39">
        <v>0.0</v>
      </c>
      <c r="AB97" s="35" t="s">
        <v>7045</v>
      </c>
      <c r="AC97" s="30">
        <v>47484.0</v>
      </c>
      <c r="AD97" s="30">
        <v>47848.0</v>
      </c>
      <c r="AE97" s="39">
        <v>0.0</v>
      </c>
      <c r="AF97" s="39">
        <v>0.0</v>
      </c>
      <c r="AG97" s="35" t="s">
        <v>7045</v>
      </c>
      <c r="AH97" s="30">
        <v>45292.0</v>
      </c>
      <c r="AI97" s="30">
        <v>45657.0</v>
      </c>
      <c r="AJ97" s="39">
        <v>1536.52</v>
      </c>
      <c r="AK97" s="39">
        <v>0.0</v>
      </c>
      <c r="AL97" s="38" t="s">
        <v>7047</v>
      </c>
      <c r="AM97" s="30">
        <v>44562.0</v>
      </c>
      <c r="AN97" s="30">
        <v>44926.0</v>
      </c>
      <c r="AO97" s="39">
        <v>3036.3</v>
      </c>
      <c r="AP97" s="39">
        <v>0.0</v>
      </c>
      <c r="AQ97" s="38" t="s">
        <v>7047</v>
      </c>
      <c r="AR97" s="30">
        <v>44927.0</v>
      </c>
      <c r="AS97" s="30">
        <v>45291.0</v>
      </c>
      <c r="AT97" s="39">
        <v>2786.44</v>
      </c>
      <c r="AU97" s="39">
        <v>0.0</v>
      </c>
      <c r="AV97" s="38" t="s">
        <v>7047</v>
      </c>
    </row>
    <row r="98" ht="14.25" customHeight="1">
      <c r="A98" s="28" t="s">
        <v>5272</v>
      </c>
      <c r="B98" s="29" t="s">
        <v>5273</v>
      </c>
      <c r="C98" s="29" t="s">
        <v>7041</v>
      </c>
      <c r="D98" s="30">
        <v>45658.0</v>
      </c>
      <c r="E98" s="30">
        <v>46022.0</v>
      </c>
      <c r="F98" s="39">
        <v>419.36</v>
      </c>
      <c r="G98" s="39">
        <v>900.0</v>
      </c>
      <c r="H98" s="37" t="s">
        <v>7046</v>
      </c>
      <c r="I98" s="30">
        <v>46023.0</v>
      </c>
      <c r="J98" s="30">
        <v>46387.0</v>
      </c>
      <c r="K98" s="39">
        <v>0.0</v>
      </c>
      <c r="L98" s="39">
        <v>0.0</v>
      </c>
      <c r="M98" s="35" t="s">
        <v>7045</v>
      </c>
      <c r="N98" s="30">
        <v>46388.0</v>
      </c>
      <c r="O98" s="30">
        <v>46752.0</v>
      </c>
      <c r="P98" s="39">
        <v>0.0</v>
      </c>
      <c r="Q98" s="39">
        <v>0.0</v>
      </c>
      <c r="R98" s="35" t="s">
        <v>7045</v>
      </c>
      <c r="S98" s="30">
        <v>46753.0</v>
      </c>
      <c r="T98" s="30">
        <v>47118.0</v>
      </c>
      <c r="U98" s="39">
        <v>0.0</v>
      </c>
      <c r="V98" s="39">
        <v>0.0</v>
      </c>
      <c r="W98" s="35" t="s">
        <v>7045</v>
      </c>
      <c r="X98" s="30">
        <v>47119.0</v>
      </c>
      <c r="Y98" s="30">
        <v>47483.0</v>
      </c>
      <c r="Z98" s="39">
        <v>0.0</v>
      </c>
      <c r="AA98" s="39">
        <v>0.0</v>
      </c>
      <c r="AB98" s="35" t="s">
        <v>7045</v>
      </c>
      <c r="AC98" s="30">
        <v>47484.0</v>
      </c>
      <c r="AD98" s="30">
        <v>47848.0</v>
      </c>
      <c r="AE98" s="39">
        <v>0.0</v>
      </c>
      <c r="AF98" s="39">
        <v>0.0</v>
      </c>
      <c r="AG98" s="35" t="s">
        <v>7045</v>
      </c>
      <c r="AH98" s="30">
        <v>45292.0</v>
      </c>
      <c r="AI98" s="30">
        <v>45657.0</v>
      </c>
      <c r="AJ98" s="39">
        <v>853.87</v>
      </c>
      <c r="AK98" s="39">
        <v>1110.0</v>
      </c>
      <c r="AL98" s="37" t="s">
        <v>7046</v>
      </c>
      <c r="AM98" s="30">
        <v>44562.0</v>
      </c>
      <c r="AN98" s="30">
        <v>44926.0</v>
      </c>
      <c r="AO98" s="39">
        <v>1213.9</v>
      </c>
      <c r="AP98" s="39">
        <v>1104.4</v>
      </c>
      <c r="AQ98" s="38" t="s">
        <v>7047</v>
      </c>
      <c r="AR98" s="30">
        <v>44927.0</v>
      </c>
      <c r="AS98" s="30">
        <v>45291.0</v>
      </c>
      <c r="AT98" s="39">
        <v>1056.52</v>
      </c>
      <c r="AU98" s="39">
        <v>1404.1</v>
      </c>
      <c r="AV98" s="37" t="s">
        <v>7046</v>
      </c>
    </row>
    <row r="99" ht="14.25" customHeight="1">
      <c r="A99" s="28" t="s">
        <v>6300</v>
      </c>
      <c r="B99" s="29" t="s">
        <v>6301</v>
      </c>
      <c r="C99" s="29" t="s">
        <v>7041</v>
      </c>
      <c r="D99" s="30">
        <v>45658.0</v>
      </c>
      <c r="E99" s="30">
        <v>46022.0</v>
      </c>
      <c r="F99" s="39">
        <v>717.92</v>
      </c>
      <c r="G99" s="39">
        <v>1500.0</v>
      </c>
      <c r="H99" s="38" t="s">
        <v>7046</v>
      </c>
      <c r="I99" s="30">
        <v>46023.0</v>
      </c>
      <c r="J99" s="30">
        <v>46387.0</v>
      </c>
      <c r="K99" s="39">
        <v>0.0</v>
      </c>
      <c r="L99" s="39">
        <v>0.0</v>
      </c>
      <c r="M99" s="35" t="s">
        <v>7045</v>
      </c>
      <c r="N99" s="30">
        <v>46388.0</v>
      </c>
      <c r="O99" s="30">
        <v>46752.0</v>
      </c>
      <c r="P99" s="39">
        <v>0.0</v>
      </c>
      <c r="Q99" s="39">
        <v>0.0</v>
      </c>
      <c r="R99" s="35" t="s">
        <v>7045</v>
      </c>
      <c r="S99" s="30">
        <v>46753.0</v>
      </c>
      <c r="T99" s="30">
        <v>47118.0</v>
      </c>
      <c r="U99" s="39">
        <v>0.0</v>
      </c>
      <c r="V99" s="39">
        <v>0.0</v>
      </c>
      <c r="W99" s="35" t="s">
        <v>7045</v>
      </c>
      <c r="X99" s="30">
        <v>47119.0</v>
      </c>
      <c r="Y99" s="30">
        <v>47483.0</v>
      </c>
      <c r="Z99" s="39">
        <v>0.0</v>
      </c>
      <c r="AA99" s="39">
        <v>0.0</v>
      </c>
      <c r="AB99" s="35" t="s">
        <v>7045</v>
      </c>
      <c r="AC99" s="30">
        <v>47484.0</v>
      </c>
      <c r="AD99" s="30">
        <v>47848.0</v>
      </c>
      <c r="AE99" s="39">
        <v>0.0</v>
      </c>
      <c r="AF99" s="39">
        <v>0.0</v>
      </c>
      <c r="AG99" s="35" t="s">
        <v>7045</v>
      </c>
      <c r="AH99" s="30">
        <v>45292.0</v>
      </c>
      <c r="AI99" s="30">
        <v>45657.0</v>
      </c>
      <c r="AJ99" s="39">
        <v>1229.41</v>
      </c>
      <c r="AK99" s="39">
        <v>1881.0</v>
      </c>
      <c r="AL99" s="37" t="s">
        <v>7046</v>
      </c>
      <c r="AM99" s="30">
        <v>44562.0</v>
      </c>
      <c r="AN99" s="30">
        <v>44926.0</v>
      </c>
      <c r="AO99" s="39">
        <v>2363.8</v>
      </c>
      <c r="AP99" s="39">
        <v>1950.0</v>
      </c>
      <c r="AQ99" s="38" t="s">
        <v>7047</v>
      </c>
      <c r="AR99" s="30">
        <v>44927.0</v>
      </c>
      <c r="AS99" s="30">
        <v>45291.0</v>
      </c>
      <c r="AT99" s="39">
        <v>1709.2</v>
      </c>
      <c r="AU99" s="39">
        <v>2691.0</v>
      </c>
      <c r="AV99" s="37" t="s">
        <v>7046</v>
      </c>
    </row>
    <row r="100" ht="14.25" customHeight="1">
      <c r="A100" s="28" t="s">
        <v>2608</v>
      </c>
      <c r="B100" s="29" t="s">
        <v>2609</v>
      </c>
      <c r="C100" s="29" t="s">
        <v>7041</v>
      </c>
      <c r="D100" s="30">
        <v>45658.0</v>
      </c>
      <c r="E100" s="30">
        <v>46022.0</v>
      </c>
      <c r="F100" s="39">
        <v>372.82</v>
      </c>
      <c r="G100" s="39">
        <v>1740.0</v>
      </c>
      <c r="H100" s="32" t="s">
        <v>7043</v>
      </c>
      <c r="I100" s="30">
        <v>46023.0</v>
      </c>
      <c r="J100" s="30">
        <v>46387.0</v>
      </c>
      <c r="K100" s="39">
        <v>0.0</v>
      </c>
      <c r="L100" s="39">
        <v>0.0</v>
      </c>
      <c r="M100" s="35" t="s">
        <v>7045</v>
      </c>
      <c r="N100" s="30">
        <v>46388.0</v>
      </c>
      <c r="O100" s="30">
        <v>46752.0</v>
      </c>
      <c r="P100" s="39">
        <v>0.0</v>
      </c>
      <c r="Q100" s="39">
        <v>0.0</v>
      </c>
      <c r="R100" s="35" t="s">
        <v>7045</v>
      </c>
      <c r="S100" s="30">
        <v>46753.0</v>
      </c>
      <c r="T100" s="30">
        <v>47118.0</v>
      </c>
      <c r="U100" s="39">
        <v>0.0</v>
      </c>
      <c r="V100" s="39">
        <v>0.0</v>
      </c>
      <c r="W100" s="35" t="s">
        <v>7045</v>
      </c>
      <c r="X100" s="30">
        <v>47119.0</v>
      </c>
      <c r="Y100" s="30">
        <v>47483.0</v>
      </c>
      <c r="Z100" s="39">
        <v>0.0</v>
      </c>
      <c r="AA100" s="39">
        <v>0.0</v>
      </c>
      <c r="AB100" s="35" t="s">
        <v>7045</v>
      </c>
      <c r="AC100" s="30">
        <v>47484.0</v>
      </c>
      <c r="AD100" s="30">
        <v>47848.0</v>
      </c>
      <c r="AE100" s="39">
        <v>0.0</v>
      </c>
      <c r="AF100" s="39">
        <v>0.0</v>
      </c>
      <c r="AG100" s="35" t="s">
        <v>7045</v>
      </c>
      <c r="AH100" s="30">
        <v>45292.0</v>
      </c>
      <c r="AI100" s="30">
        <v>45657.0</v>
      </c>
      <c r="AJ100" s="39">
        <v>1469.23</v>
      </c>
      <c r="AK100" s="39">
        <v>1640.0</v>
      </c>
      <c r="AL100" s="37" t="s">
        <v>7046</v>
      </c>
      <c r="AM100" s="30">
        <v>44562.0</v>
      </c>
      <c r="AN100" s="30">
        <v>44926.0</v>
      </c>
      <c r="AO100" s="39">
        <v>1767.2</v>
      </c>
      <c r="AP100" s="39">
        <v>1745.0</v>
      </c>
      <c r="AQ100" s="38" t="s">
        <v>7047</v>
      </c>
      <c r="AR100" s="30">
        <v>44927.0</v>
      </c>
      <c r="AS100" s="30">
        <v>45291.0</v>
      </c>
      <c r="AT100" s="39">
        <v>1367.68</v>
      </c>
      <c r="AU100" s="39">
        <v>2178.0</v>
      </c>
      <c r="AV100" s="37" t="s">
        <v>7046</v>
      </c>
    </row>
    <row r="101" ht="14.25" customHeight="1">
      <c r="A101" s="28" t="s">
        <v>5450</v>
      </c>
      <c r="B101" s="29" t="s">
        <v>5451</v>
      </c>
      <c r="C101" s="29" t="s">
        <v>7041</v>
      </c>
      <c r="D101" s="30">
        <v>45658.0</v>
      </c>
      <c r="E101" s="30">
        <v>46022.0</v>
      </c>
      <c r="F101" s="39">
        <v>41.91</v>
      </c>
      <c r="G101" s="39">
        <v>1000.0</v>
      </c>
      <c r="H101" s="32" t="s">
        <v>7043</v>
      </c>
      <c r="I101" s="30">
        <v>46023.0</v>
      </c>
      <c r="J101" s="30">
        <v>46387.0</v>
      </c>
      <c r="K101" s="39">
        <v>0.0</v>
      </c>
      <c r="L101" s="39">
        <v>0.0</v>
      </c>
      <c r="M101" s="35" t="s">
        <v>7045</v>
      </c>
      <c r="N101" s="30">
        <v>46388.0</v>
      </c>
      <c r="O101" s="30">
        <v>46752.0</v>
      </c>
      <c r="P101" s="39">
        <v>0.0</v>
      </c>
      <c r="Q101" s="39">
        <v>0.0</v>
      </c>
      <c r="R101" s="35" t="s">
        <v>7045</v>
      </c>
      <c r="S101" s="30">
        <v>46753.0</v>
      </c>
      <c r="T101" s="30">
        <v>47118.0</v>
      </c>
      <c r="U101" s="39">
        <v>0.0</v>
      </c>
      <c r="V101" s="39">
        <v>0.0</v>
      </c>
      <c r="W101" s="35" t="s">
        <v>7045</v>
      </c>
      <c r="X101" s="30">
        <v>47119.0</v>
      </c>
      <c r="Y101" s="30">
        <v>47483.0</v>
      </c>
      <c r="Z101" s="39">
        <v>0.0</v>
      </c>
      <c r="AA101" s="39">
        <v>0.0</v>
      </c>
      <c r="AB101" s="35" t="s">
        <v>7045</v>
      </c>
      <c r="AC101" s="30">
        <v>47484.0</v>
      </c>
      <c r="AD101" s="30">
        <v>47848.0</v>
      </c>
      <c r="AE101" s="39">
        <v>0.0</v>
      </c>
      <c r="AF101" s="39">
        <v>0.0</v>
      </c>
      <c r="AG101" s="35" t="s">
        <v>7045</v>
      </c>
      <c r="AH101" s="30">
        <v>45292.0</v>
      </c>
      <c r="AI101" s="30">
        <v>45657.0</v>
      </c>
      <c r="AJ101" s="39">
        <v>777.83</v>
      </c>
      <c r="AK101" s="39">
        <v>850.0</v>
      </c>
      <c r="AL101" s="37" t="s">
        <v>7046</v>
      </c>
      <c r="AM101" s="30">
        <v>44562.0</v>
      </c>
      <c r="AN101" s="30">
        <v>44926.0</v>
      </c>
      <c r="AO101" s="39">
        <v>21.4</v>
      </c>
      <c r="AP101" s="39">
        <v>0.0</v>
      </c>
      <c r="AQ101" s="38" t="s">
        <v>7047</v>
      </c>
      <c r="AR101" s="30">
        <v>44927.0</v>
      </c>
      <c r="AS101" s="30">
        <v>45291.0</v>
      </c>
      <c r="AT101" s="39">
        <v>715.71</v>
      </c>
      <c r="AU101" s="39">
        <v>1000.0</v>
      </c>
      <c r="AV101" s="37" t="s">
        <v>7046</v>
      </c>
    </row>
    <row r="102" ht="14.25" customHeight="1">
      <c r="A102" s="28" t="s">
        <v>6089</v>
      </c>
      <c r="B102" s="29" t="s">
        <v>6090</v>
      </c>
      <c r="C102" s="29" t="s">
        <v>7041</v>
      </c>
      <c r="D102" s="30">
        <v>45658.0</v>
      </c>
      <c r="E102" s="30">
        <v>46022.0</v>
      </c>
      <c r="F102" s="39">
        <v>28.17</v>
      </c>
      <c r="G102" s="39">
        <v>0.0</v>
      </c>
      <c r="H102" s="38" t="s">
        <v>7047</v>
      </c>
      <c r="I102" s="30">
        <v>46023.0</v>
      </c>
      <c r="J102" s="30">
        <v>46387.0</v>
      </c>
      <c r="K102" s="39">
        <v>0.0</v>
      </c>
      <c r="L102" s="39">
        <v>0.0</v>
      </c>
      <c r="M102" s="35" t="s">
        <v>7045</v>
      </c>
      <c r="N102" s="30">
        <v>46388.0</v>
      </c>
      <c r="O102" s="30">
        <v>46752.0</v>
      </c>
      <c r="P102" s="39">
        <v>0.0</v>
      </c>
      <c r="Q102" s="39">
        <v>0.0</v>
      </c>
      <c r="R102" s="35" t="s">
        <v>7045</v>
      </c>
      <c r="S102" s="30">
        <v>46753.0</v>
      </c>
      <c r="T102" s="30">
        <v>47118.0</v>
      </c>
      <c r="U102" s="39">
        <v>0.0</v>
      </c>
      <c r="V102" s="39">
        <v>0.0</v>
      </c>
      <c r="W102" s="35" t="s">
        <v>7045</v>
      </c>
      <c r="X102" s="30">
        <v>47119.0</v>
      </c>
      <c r="Y102" s="30">
        <v>47483.0</v>
      </c>
      <c r="Z102" s="39">
        <v>0.0</v>
      </c>
      <c r="AA102" s="39">
        <v>0.0</v>
      </c>
      <c r="AB102" s="35" t="s">
        <v>7045</v>
      </c>
      <c r="AC102" s="30">
        <v>47484.0</v>
      </c>
      <c r="AD102" s="30">
        <v>47848.0</v>
      </c>
      <c r="AE102" s="39">
        <v>0.0</v>
      </c>
      <c r="AF102" s="39">
        <v>0.0</v>
      </c>
      <c r="AG102" s="35" t="s">
        <v>7045</v>
      </c>
      <c r="AH102" s="30">
        <v>45292.0</v>
      </c>
      <c r="AI102" s="30">
        <v>45657.0</v>
      </c>
      <c r="AJ102" s="39">
        <v>176.89</v>
      </c>
      <c r="AK102" s="39">
        <v>201.0</v>
      </c>
      <c r="AL102" s="37" t="s">
        <v>7046</v>
      </c>
      <c r="AM102" s="30">
        <v>44562.0</v>
      </c>
      <c r="AN102" s="30">
        <v>44926.0</v>
      </c>
      <c r="AO102" s="39">
        <v>224.27</v>
      </c>
      <c r="AP102" s="39">
        <v>0.0</v>
      </c>
      <c r="AQ102" s="38" t="s">
        <v>7047</v>
      </c>
      <c r="AR102" s="30">
        <v>44927.0</v>
      </c>
      <c r="AS102" s="30">
        <v>45291.0</v>
      </c>
      <c r="AT102" s="39">
        <v>127.59</v>
      </c>
      <c r="AU102" s="39">
        <v>294.0</v>
      </c>
      <c r="AV102" s="32" t="s">
        <v>7043</v>
      </c>
    </row>
    <row r="103" ht="14.25" customHeight="1">
      <c r="A103" s="28" t="s">
        <v>6583</v>
      </c>
      <c r="B103" s="29" t="s">
        <v>6584</v>
      </c>
      <c r="C103" s="29" t="s">
        <v>7041</v>
      </c>
      <c r="D103" s="30">
        <v>45658.0</v>
      </c>
      <c r="E103" s="30">
        <v>46022.0</v>
      </c>
      <c r="F103" s="39">
        <v>3.81</v>
      </c>
      <c r="G103" s="39">
        <v>0.0</v>
      </c>
      <c r="H103" s="38" t="s">
        <v>7047</v>
      </c>
      <c r="I103" s="30">
        <v>46023.0</v>
      </c>
      <c r="J103" s="30">
        <v>46387.0</v>
      </c>
      <c r="K103" s="39">
        <v>0.0</v>
      </c>
      <c r="L103" s="39">
        <v>0.0</v>
      </c>
      <c r="M103" s="35" t="s">
        <v>7045</v>
      </c>
      <c r="N103" s="30">
        <v>46388.0</v>
      </c>
      <c r="O103" s="30">
        <v>46752.0</v>
      </c>
      <c r="P103" s="39">
        <v>0.0</v>
      </c>
      <c r="Q103" s="39">
        <v>0.0</v>
      </c>
      <c r="R103" s="35" t="s">
        <v>7045</v>
      </c>
      <c r="S103" s="30">
        <v>46753.0</v>
      </c>
      <c r="T103" s="30">
        <v>47118.0</v>
      </c>
      <c r="U103" s="39">
        <v>0.0</v>
      </c>
      <c r="V103" s="39">
        <v>0.0</v>
      </c>
      <c r="W103" s="35" t="s">
        <v>7045</v>
      </c>
      <c r="X103" s="30">
        <v>47119.0</v>
      </c>
      <c r="Y103" s="30">
        <v>47483.0</v>
      </c>
      <c r="Z103" s="39">
        <v>0.0</v>
      </c>
      <c r="AA103" s="39">
        <v>0.0</v>
      </c>
      <c r="AB103" s="35" t="s">
        <v>7045</v>
      </c>
      <c r="AC103" s="30">
        <v>47484.0</v>
      </c>
      <c r="AD103" s="30">
        <v>47848.0</v>
      </c>
      <c r="AE103" s="39">
        <v>0.0</v>
      </c>
      <c r="AF103" s="39">
        <v>0.0</v>
      </c>
      <c r="AG103" s="35" t="s">
        <v>7045</v>
      </c>
      <c r="AH103" s="30">
        <v>45292.0</v>
      </c>
      <c r="AI103" s="30">
        <v>45657.0</v>
      </c>
      <c r="AJ103" s="39">
        <v>8.97</v>
      </c>
      <c r="AK103" s="39">
        <v>0.0</v>
      </c>
      <c r="AL103" s="38" t="s">
        <v>7047</v>
      </c>
      <c r="AM103" s="30">
        <v>44562.0</v>
      </c>
      <c r="AN103" s="30">
        <v>44926.0</v>
      </c>
      <c r="AO103" s="39">
        <v>4.0</v>
      </c>
      <c r="AP103" s="39">
        <v>0.0</v>
      </c>
      <c r="AQ103" s="38" t="s">
        <v>7047</v>
      </c>
      <c r="AR103" s="30">
        <v>44927.0</v>
      </c>
      <c r="AS103" s="30">
        <v>45291.0</v>
      </c>
      <c r="AT103" s="39">
        <v>35.76</v>
      </c>
      <c r="AU103" s="39">
        <v>0.0</v>
      </c>
      <c r="AV103" s="38" t="s">
        <v>7047</v>
      </c>
    </row>
    <row r="104" ht="14.25" customHeight="1">
      <c r="A104" s="28" t="s">
        <v>2234</v>
      </c>
      <c r="B104" s="29" t="s">
        <v>2235</v>
      </c>
      <c r="C104" s="29" t="s">
        <v>7041</v>
      </c>
      <c r="D104" s="30">
        <v>45658.0</v>
      </c>
      <c r="E104" s="30">
        <v>46022.0</v>
      </c>
      <c r="F104" s="36">
        <v>854.5</v>
      </c>
      <c r="G104" s="36">
        <v>2499.98</v>
      </c>
      <c r="H104" s="37" t="s">
        <v>7046</v>
      </c>
      <c r="I104" s="30">
        <v>46023.0</v>
      </c>
      <c r="J104" s="30">
        <v>46387.0</v>
      </c>
      <c r="K104" s="36">
        <v>0.0</v>
      </c>
      <c r="L104" s="36">
        <v>0.0</v>
      </c>
      <c r="M104" s="35" t="s">
        <v>7045</v>
      </c>
      <c r="N104" s="30">
        <v>46388.0</v>
      </c>
      <c r="O104" s="30">
        <v>46752.0</v>
      </c>
      <c r="P104" s="36">
        <v>0.0</v>
      </c>
      <c r="Q104" s="36">
        <v>0.0</v>
      </c>
      <c r="R104" s="35" t="s">
        <v>7045</v>
      </c>
      <c r="S104" s="30">
        <v>46753.0</v>
      </c>
      <c r="T104" s="30">
        <v>47118.0</v>
      </c>
      <c r="U104" s="36">
        <v>0.0</v>
      </c>
      <c r="V104" s="36">
        <v>0.0</v>
      </c>
      <c r="W104" s="35" t="s">
        <v>7045</v>
      </c>
      <c r="X104" s="30">
        <v>47119.0</v>
      </c>
      <c r="Y104" s="30">
        <v>47483.0</v>
      </c>
      <c r="Z104" s="36">
        <v>0.0</v>
      </c>
      <c r="AA104" s="36">
        <v>0.0</v>
      </c>
      <c r="AB104" s="35" t="s">
        <v>7045</v>
      </c>
      <c r="AC104" s="30">
        <v>47484.0</v>
      </c>
      <c r="AD104" s="30">
        <v>47848.0</v>
      </c>
      <c r="AE104" s="36">
        <v>0.0</v>
      </c>
      <c r="AF104" s="36">
        <v>0.0</v>
      </c>
      <c r="AG104" s="35" t="s">
        <v>7045</v>
      </c>
      <c r="AH104" s="30">
        <v>45292.0</v>
      </c>
      <c r="AI104" s="30">
        <v>45657.0</v>
      </c>
      <c r="AJ104" s="36">
        <v>1572.35</v>
      </c>
      <c r="AK104" s="36">
        <v>3499.97</v>
      </c>
      <c r="AL104" s="32" t="s">
        <v>7043</v>
      </c>
      <c r="AM104" s="30">
        <v>44562.0</v>
      </c>
      <c r="AN104" s="30">
        <v>44926.0</v>
      </c>
      <c r="AO104" s="36">
        <v>3434.07</v>
      </c>
      <c r="AP104" s="36">
        <v>3799.97</v>
      </c>
      <c r="AQ104" s="37" t="s">
        <v>7046</v>
      </c>
      <c r="AR104" s="30">
        <v>44927.0</v>
      </c>
      <c r="AS104" s="30">
        <v>45291.0</v>
      </c>
      <c r="AT104" s="36">
        <v>2416.07</v>
      </c>
      <c r="AU104" s="36">
        <v>3999.97</v>
      </c>
      <c r="AV104" s="37" t="s">
        <v>7046</v>
      </c>
    </row>
    <row r="105" ht="14.25" customHeight="1">
      <c r="A105" s="28" t="s">
        <v>2894</v>
      </c>
      <c r="B105" s="29" t="s">
        <v>2895</v>
      </c>
      <c r="C105" s="29" t="s">
        <v>7041</v>
      </c>
      <c r="D105" s="30">
        <v>45658.0</v>
      </c>
      <c r="E105" s="30">
        <v>46022.0</v>
      </c>
      <c r="F105" s="39">
        <v>1170.06</v>
      </c>
      <c r="G105" s="39">
        <v>2291.0</v>
      </c>
      <c r="H105" s="38" t="s">
        <v>7046</v>
      </c>
      <c r="I105" s="30">
        <v>46023.0</v>
      </c>
      <c r="J105" s="30">
        <v>46387.0</v>
      </c>
      <c r="K105" s="39">
        <v>0.0</v>
      </c>
      <c r="L105" s="39">
        <v>0.0</v>
      </c>
      <c r="M105" s="35" t="s">
        <v>7045</v>
      </c>
      <c r="N105" s="30">
        <v>46388.0</v>
      </c>
      <c r="O105" s="30">
        <v>46752.0</v>
      </c>
      <c r="P105" s="39">
        <v>0.0</v>
      </c>
      <c r="Q105" s="39">
        <v>0.0</v>
      </c>
      <c r="R105" s="35" t="s">
        <v>7045</v>
      </c>
      <c r="S105" s="30">
        <v>46753.0</v>
      </c>
      <c r="T105" s="30">
        <v>47118.0</v>
      </c>
      <c r="U105" s="39">
        <v>0.0</v>
      </c>
      <c r="V105" s="39">
        <v>0.0</v>
      </c>
      <c r="W105" s="35" t="s">
        <v>7045</v>
      </c>
      <c r="X105" s="30">
        <v>47119.0</v>
      </c>
      <c r="Y105" s="30">
        <v>47483.0</v>
      </c>
      <c r="Z105" s="39">
        <v>0.0</v>
      </c>
      <c r="AA105" s="39">
        <v>0.0</v>
      </c>
      <c r="AB105" s="35" t="s">
        <v>7045</v>
      </c>
      <c r="AC105" s="30">
        <v>47484.0</v>
      </c>
      <c r="AD105" s="30">
        <v>47848.0</v>
      </c>
      <c r="AE105" s="39">
        <v>0.0</v>
      </c>
      <c r="AF105" s="39">
        <v>0.0</v>
      </c>
      <c r="AG105" s="35" t="s">
        <v>7045</v>
      </c>
      <c r="AH105" s="30">
        <v>45292.0</v>
      </c>
      <c r="AI105" s="30">
        <v>45657.0</v>
      </c>
      <c r="AJ105" s="39">
        <v>2268.91</v>
      </c>
      <c r="AK105" s="39">
        <v>1500.0</v>
      </c>
      <c r="AL105" s="38" t="s">
        <v>7047</v>
      </c>
      <c r="AM105" s="30">
        <v>44562.0</v>
      </c>
      <c r="AN105" s="30">
        <v>44926.0</v>
      </c>
      <c r="AO105" s="39">
        <v>1818.9</v>
      </c>
      <c r="AP105" s="39">
        <v>1240.0</v>
      </c>
      <c r="AQ105" s="38" t="s">
        <v>7047</v>
      </c>
      <c r="AR105" s="30">
        <v>44927.0</v>
      </c>
      <c r="AS105" s="30">
        <v>45291.0</v>
      </c>
      <c r="AT105" s="39">
        <v>946.19</v>
      </c>
      <c r="AU105" s="39">
        <v>1800.0</v>
      </c>
      <c r="AV105" s="37" t="s">
        <v>7046</v>
      </c>
    </row>
    <row r="106" ht="14.25" customHeight="1">
      <c r="A106" s="28" t="s">
        <v>3881</v>
      </c>
      <c r="B106" s="29" t="s">
        <v>3882</v>
      </c>
      <c r="C106" s="29" t="s">
        <v>7041</v>
      </c>
      <c r="D106" s="30">
        <v>45658.0</v>
      </c>
      <c r="E106" s="30">
        <v>46022.0</v>
      </c>
      <c r="F106" s="36">
        <v>14.61</v>
      </c>
      <c r="G106" s="36">
        <v>0.0</v>
      </c>
      <c r="H106" s="38" t="s">
        <v>7047</v>
      </c>
      <c r="I106" s="30">
        <v>46023.0</v>
      </c>
      <c r="J106" s="30">
        <v>46387.0</v>
      </c>
      <c r="K106" s="36">
        <v>0.0</v>
      </c>
      <c r="L106" s="36">
        <v>0.0</v>
      </c>
      <c r="M106" s="35" t="s">
        <v>7045</v>
      </c>
      <c r="N106" s="30">
        <v>46388.0</v>
      </c>
      <c r="O106" s="30">
        <v>46752.0</v>
      </c>
      <c r="P106" s="36">
        <v>0.0</v>
      </c>
      <c r="Q106" s="36">
        <v>0.0</v>
      </c>
      <c r="R106" s="35" t="s">
        <v>7045</v>
      </c>
      <c r="S106" s="30">
        <v>46753.0</v>
      </c>
      <c r="T106" s="30">
        <v>47118.0</v>
      </c>
      <c r="U106" s="36">
        <v>0.0</v>
      </c>
      <c r="V106" s="36">
        <v>0.0</v>
      </c>
      <c r="W106" s="35" t="s">
        <v>7045</v>
      </c>
      <c r="X106" s="30">
        <v>47119.0</v>
      </c>
      <c r="Y106" s="30">
        <v>47483.0</v>
      </c>
      <c r="Z106" s="36">
        <v>0.0</v>
      </c>
      <c r="AA106" s="36">
        <v>0.0</v>
      </c>
      <c r="AB106" s="35" t="s">
        <v>7045</v>
      </c>
      <c r="AC106" s="30">
        <v>47484.0</v>
      </c>
      <c r="AD106" s="30">
        <v>47848.0</v>
      </c>
      <c r="AE106" s="36">
        <v>0.0</v>
      </c>
      <c r="AF106" s="36">
        <v>0.0</v>
      </c>
      <c r="AG106" s="35" t="s">
        <v>7045</v>
      </c>
      <c r="AH106" s="30">
        <v>45292.0</v>
      </c>
      <c r="AI106" s="30">
        <v>45657.0</v>
      </c>
      <c r="AJ106" s="36">
        <v>211.92</v>
      </c>
      <c r="AK106" s="36">
        <v>1098.99</v>
      </c>
      <c r="AL106" s="32" t="s">
        <v>7043</v>
      </c>
      <c r="AM106" s="30">
        <v>44562.0</v>
      </c>
      <c r="AN106" s="30">
        <v>44926.0</v>
      </c>
      <c r="AO106" s="36">
        <v>254.2</v>
      </c>
      <c r="AP106" s="36">
        <v>0.0</v>
      </c>
      <c r="AQ106" s="38" t="s">
        <v>7047</v>
      </c>
      <c r="AR106" s="30">
        <v>44927.0</v>
      </c>
      <c r="AS106" s="30">
        <v>45291.0</v>
      </c>
      <c r="AT106" s="36">
        <v>1130.19</v>
      </c>
      <c r="AU106" s="36">
        <v>0.0</v>
      </c>
      <c r="AV106" s="38" t="s">
        <v>7047</v>
      </c>
    </row>
    <row r="107" ht="14.25" customHeight="1">
      <c r="A107" s="28" t="s">
        <v>5787</v>
      </c>
      <c r="B107" s="29" t="s">
        <v>5788</v>
      </c>
      <c r="C107" s="29" t="s">
        <v>7041</v>
      </c>
      <c r="D107" s="30">
        <v>45658.0</v>
      </c>
      <c r="E107" s="30">
        <v>46022.0</v>
      </c>
      <c r="F107" s="36">
        <v>0.0</v>
      </c>
      <c r="G107" s="36">
        <v>0.0</v>
      </c>
      <c r="H107" s="35" t="s">
        <v>7045</v>
      </c>
      <c r="I107" s="30">
        <v>46023.0</v>
      </c>
      <c r="J107" s="30">
        <v>46387.0</v>
      </c>
      <c r="K107" s="36">
        <v>0.0</v>
      </c>
      <c r="L107" s="36">
        <v>0.0</v>
      </c>
      <c r="M107" s="35" t="s">
        <v>7045</v>
      </c>
      <c r="N107" s="30">
        <v>46388.0</v>
      </c>
      <c r="O107" s="30">
        <v>46752.0</v>
      </c>
      <c r="P107" s="36">
        <v>0.0</v>
      </c>
      <c r="Q107" s="36">
        <v>0.0</v>
      </c>
      <c r="R107" s="35" t="s">
        <v>7045</v>
      </c>
      <c r="S107" s="30">
        <v>46753.0</v>
      </c>
      <c r="T107" s="30">
        <v>47118.0</v>
      </c>
      <c r="U107" s="36">
        <v>0.0</v>
      </c>
      <c r="V107" s="36">
        <v>0.0</v>
      </c>
      <c r="W107" s="35" t="s">
        <v>7045</v>
      </c>
      <c r="X107" s="30">
        <v>47119.0</v>
      </c>
      <c r="Y107" s="30">
        <v>47483.0</v>
      </c>
      <c r="Z107" s="36">
        <v>0.0</v>
      </c>
      <c r="AA107" s="36">
        <v>0.0</v>
      </c>
      <c r="AB107" s="35" t="s">
        <v>7045</v>
      </c>
      <c r="AC107" s="30">
        <v>47484.0</v>
      </c>
      <c r="AD107" s="30">
        <v>47848.0</v>
      </c>
      <c r="AE107" s="36">
        <v>0.0</v>
      </c>
      <c r="AF107" s="36">
        <v>0.0</v>
      </c>
      <c r="AG107" s="35" t="s">
        <v>7045</v>
      </c>
      <c r="AH107" s="30">
        <v>45292.0</v>
      </c>
      <c r="AI107" s="30">
        <v>45657.0</v>
      </c>
      <c r="AJ107" s="36">
        <v>779.82</v>
      </c>
      <c r="AK107" s="36">
        <v>0.0</v>
      </c>
      <c r="AL107" s="38" t="s">
        <v>7047</v>
      </c>
      <c r="AM107" s="30">
        <v>44562.0</v>
      </c>
      <c r="AN107" s="30">
        <v>44926.0</v>
      </c>
      <c r="AO107" s="36">
        <v>0.0</v>
      </c>
      <c r="AP107" s="36">
        <v>0.0</v>
      </c>
      <c r="AQ107" s="35" t="s">
        <v>7045</v>
      </c>
      <c r="AR107" s="30">
        <v>44927.0</v>
      </c>
      <c r="AS107" s="30">
        <v>45291.0</v>
      </c>
      <c r="AT107" s="36">
        <v>1331.87</v>
      </c>
      <c r="AU107" s="36">
        <v>0.0</v>
      </c>
      <c r="AV107" s="38" t="s">
        <v>7047</v>
      </c>
    </row>
    <row r="108" ht="14.25" customHeight="1">
      <c r="A108" s="28" t="s">
        <v>3459</v>
      </c>
      <c r="B108" s="29" t="s">
        <v>3460</v>
      </c>
      <c r="C108" s="29" t="s">
        <v>7041</v>
      </c>
      <c r="D108" s="30">
        <v>45658.0</v>
      </c>
      <c r="E108" s="30">
        <v>46022.0</v>
      </c>
      <c r="F108" s="36">
        <v>239.68</v>
      </c>
      <c r="G108" s="36">
        <v>3349.97</v>
      </c>
      <c r="H108" s="32" t="s">
        <v>7043</v>
      </c>
      <c r="I108" s="30">
        <v>46023.0</v>
      </c>
      <c r="J108" s="30">
        <v>46387.0</v>
      </c>
      <c r="K108" s="36">
        <v>0.0</v>
      </c>
      <c r="L108" s="36">
        <v>0.0</v>
      </c>
      <c r="M108" s="35" t="s">
        <v>7045</v>
      </c>
      <c r="N108" s="30">
        <v>46388.0</v>
      </c>
      <c r="O108" s="30">
        <v>46752.0</v>
      </c>
      <c r="P108" s="36">
        <v>0.0</v>
      </c>
      <c r="Q108" s="36">
        <v>0.0</v>
      </c>
      <c r="R108" s="35" t="s">
        <v>7045</v>
      </c>
      <c r="S108" s="30">
        <v>46753.0</v>
      </c>
      <c r="T108" s="30">
        <v>47118.0</v>
      </c>
      <c r="U108" s="36">
        <v>0.0</v>
      </c>
      <c r="V108" s="36">
        <v>0.0</v>
      </c>
      <c r="W108" s="35" t="s">
        <v>7045</v>
      </c>
      <c r="X108" s="30">
        <v>47119.0</v>
      </c>
      <c r="Y108" s="30">
        <v>47483.0</v>
      </c>
      <c r="Z108" s="36">
        <v>0.0</v>
      </c>
      <c r="AA108" s="36">
        <v>0.0</v>
      </c>
      <c r="AB108" s="35" t="s">
        <v>7045</v>
      </c>
      <c r="AC108" s="30">
        <v>47484.0</v>
      </c>
      <c r="AD108" s="30">
        <v>47848.0</v>
      </c>
      <c r="AE108" s="36">
        <v>0.0</v>
      </c>
      <c r="AF108" s="36">
        <v>0.0</v>
      </c>
      <c r="AG108" s="35" t="s">
        <v>7045</v>
      </c>
      <c r="AH108" s="30">
        <v>45292.0</v>
      </c>
      <c r="AI108" s="30">
        <v>45657.0</v>
      </c>
      <c r="AJ108" s="36">
        <v>717.44</v>
      </c>
      <c r="AK108" s="36">
        <v>0.0</v>
      </c>
      <c r="AL108" s="38" t="s">
        <v>7047</v>
      </c>
      <c r="AM108" s="30">
        <v>44562.0</v>
      </c>
      <c r="AN108" s="30">
        <v>44926.0</v>
      </c>
      <c r="AO108" s="36">
        <v>0.0</v>
      </c>
      <c r="AP108" s="36">
        <v>0.0</v>
      </c>
      <c r="AQ108" s="35" t="s">
        <v>7045</v>
      </c>
      <c r="AR108" s="30">
        <v>44927.0</v>
      </c>
      <c r="AS108" s="30">
        <v>45291.0</v>
      </c>
      <c r="AT108" s="36">
        <v>249.98</v>
      </c>
      <c r="AU108" s="36">
        <v>0.0</v>
      </c>
      <c r="AV108" s="38" t="s">
        <v>7047</v>
      </c>
    </row>
    <row r="109" ht="14.25" customHeight="1">
      <c r="A109" s="28" t="s">
        <v>904</v>
      </c>
      <c r="B109" s="29" t="s">
        <v>905</v>
      </c>
      <c r="C109" s="29" t="s">
        <v>7041</v>
      </c>
      <c r="D109" s="30">
        <v>45658.0</v>
      </c>
      <c r="E109" s="30">
        <v>46022.0</v>
      </c>
      <c r="F109" s="36">
        <v>10554.48</v>
      </c>
      <c r="G109" s="36">
        <v>12725.89</v>
      </c>
      <c r="H109" s="37" t="s">
        <v>7047</v>
      </c>
      <c r="I109" s="30">
        <v>46023.0</v>
      </c>
      <c r="J109" s="30">
        <v>46387.0</v>
      </c>
      <c r="K109" s="36">
        <v>0.0</v>
      </c>
      <c r="L109" s="36">
        <v>0.0</v>
      </c>
      <c r="M109" s="35" t="s">
        <v>7045</v>
      </c>
      <c r="N109" s="30">
        <v>46388.0</v>
      </c>
      <c r="O109" s="30">
        <v>46752.0</v>
      </c>
      <c r="P109" s="36">
        <v>0.0</v>
      </c>
      <c r="Q109" s="36">
        <v>0.0</v>
      </c>
      <c r="R109" s="35" t="s">
        <v>7045</v>
      </c>
      <c r="S109" s="30">
        <v>46753.0</v>
      </c>
      <c r="T109" s="30">
        <v>47118.0</v>
      </c>
      <c r="U109" s="36">
        <v>0.0</v>
      </c>
      <c r="V109" s="36">
        <v>0.0</v>
      </c>
      <c r="W109" s="35" t="s">
        <v>7045</v>
      </c>
      <c r="X109" s="30">
        <v>47119.0</v>
      </c>
      <c r="Y109" s="30">
        <v>47483.0</v>
      </c>
      <c r="Z109" s="36">
        <v>0.0</v>
      </c>
      <c r="AA109" s="36">
        <v>0.0</v>
      </c>
      <c r="AB109" s="35" t="s">
        <v>7045</v>
      </c>
      <c r="AC109" s="30">
        <v>47484.0</v>
      </c>
      <c r="AD109" s="30">
        <v>47848.0</v>
      </c>
      <c r="AE109" s="36">
        <v>0.0</v>
      </c>
      <c r="AF109" s="36">
        <v>0.0</v>
      </c>
      <c r="AG109" s="35" t="s">
        <v>7045</v>
      </c>
      <c r="AH109" s="30">
        <v>45292.0</v>
      </c>
      <c r="AI109" s="30">
        <v>45657.0</v>
      </c>
      <c r="AJ109" s="36">
        <v>11362.39</v>
      </c>
      <c r="AK109" s="36">
        <v>15799.86</v>
      </c>
      <c r="AL109" s="37" t="s">
        <v>7046</v>
      </c>
      <c r="AM109" s="30">
        <v>44562.0</v>
      </c>
      <c r="AN109" s="30">
        <v>44926.0</v>
      </c>
      <c r="AO109" s="36">
        <v>11941.3</v>
      </c>
      <c r="AP109" s="36">
        <v>13499.88</v>
      </c>
      <c r="AQ109" s="37" t="s">
        <v>7046</v>
      </c>
      <c r="AR109" s="30">
        <v>44927.0</v>
      </c>
      <c r="AS109" s="30">
        <v>45291.0</v>
      </c>
      <c r="AT109" s="36">
        <v>10761.93</v>
      </c>
      <c r="AU109" s="36">
        <v>13399.88</v>
      </c>
      <c r="AV109" s="37" t="s">
        <v>7046</v>
      </c>
    </row>
    <row r="110" ht="14.25" customHeight="1">
      <c r="A110" s="28" t="s">
        <v>367</v>
      </c>
      <c r="B110" s="29" t="s">
        <v>368</v>
      </c>
      <c r="C110" s="29" t="s">
        <v>7041</v>
      </c>
      <c r="D110" s="30">
        <v>45658.0</v>
      </c>
      <c r="E110" s="30">
        <v>46022.0</v>
      </c>
      <c r="F110" s="36">
        <v>1795.62</v>
      </c>
      <c r="G110" s="36">
        <v>8999.92</v>
      </c>
      <c r="H110" s="32" t="s">
        <v>7043</v>
      </c>
      <c r="I110" s="30">
        <v>46023.0</v>
      </c>
      <c r="J110" s="30">
        <v>46387.0</v>
      </c>
      <c r="K110" s="36">
        <v>0.0</v>
      </c>
      <c r="L110" s="36">
        <v>0.0</v>
      </c>
      <c r="M110" s="35" t="s">
        <v>7045</v>
      </c>
      <c r="N110" s="30">
        <v>46388.0</v>
      </c>
      <c r="O110" s="30">
        <v>46752.0</v>
      </c>
      <c r="P110" s="36">
        <v>0.0</v>
      </c>
      <c r="Q110" s="36">
        <v>0.0</v>
      </c>
      <c r="R110" s="35" t="s">
        <v>7045</v>
      </c>
      <c r="S110" s="30">
        <v>46753.0</v>
      </c>
      <c r="T110" s="30">
        <v>47118.0</v>
      </c>
      <c r="U110" s="36">
        <v>0.0</v>
      </c>
      <c r="V110" s="36">
        <v>0.0</v>
      </c>
      <c r="W110" s="35" t="s">
        <v>7045</v>
      </c>
      <c r="X110" s="30">
        <v>47119.0</v>
      </c>
      <c r="Y110" s="30">
        <v>47483.0</v>
      </c>
      <c r="Z110" s="36">
        <v>0.0</v>
      </c>
      <c r="AA110" s="36">
        <v>0.0</v>
      </c>
      <c r="AB110" s="35" t="s">
        <v>7045</v>
      </c>
      <c r="AC110" s="30">
        <v>47484.0</v>
      </c>
      <c r="AD110" s="30">
        <v>47848.0</v>
      </c>
      <c r="AE110" s="36">
        <v>0.0</v>
      </c>
      <c r="AF110" s="36">
        <v>0.0</v>
      </c>
      <c r="AG110" s="35" t="s">
        <v>7045</v>
      </c>
      <c r="AH110" s="30">
        <v>45292.0</v>
      </c>
      <c r="AI110" s="30">
        <v>45657.0</v>
      </c>
      <c r="AJ110" s="36">
        <v>9941.75</v>
      </c>
      <c r="AK110" s="36">
        <v>8499.93</v>
      </c>
      <c r="AL110" s="38" t="s">
        <v>7047</v>
      </c>
      <c r="AM110" s="30">
        <v>44562.0</v>
      </c>
      <c r="AN110" s="30">
        <v>44926.0</v>
      </c>
      <c r="AO110" s="36">
        <v>3423.37</v>
      </c>
      <c r="AP110" s="36">
        <v>0.0</v>
      </c>
      <c r="AQ110" s="38" t="s">
        <v>7047</v>
      </c>
      <c r="AR110" s="30">
        <v>44927.0</v>
      </c>
      <c r="AS110" s="30">
        <v>45291.0</v>
      </c>
      <c r="AT110" s="36">
        <v>8332.81</v>
      </c>
      <c r="AU110" s="36">
        <v>5999.95</v>
      </c>
      <c r="AV110" s="38" t="s">
        <v>7047</v>
      </c>
    </row>
    <row r="111" ht="14.25" customHeight="1">
      <c r="A111" s="28" t="s">
        <v>948</v>
      </c>
      <c r="B111" s="29" t="s">
        <v>949</v>
      </c>
      <c r="C111" s="29" t="s">
        <v>7041</v>
      </c>
      <c r="D111" s="30">
        <v>45658.0</v>
      </c>
      <c r="E111" s="30">
        <v>46022.0</v>
      </c>
      <c r="F111" s="36">
        <v>785.44</v>
      </c>
      <c r="G111" s="36">
        <v>2875.97</v>
      </c>
      <c r="H111" s="37" t="s">
        <v>7046</v>
      </c>
      <c r="I111" s="30">
        <v>46023.0</v>
      </c>
      <c r="J111" s="30">
        <v>46387.0</v>
      </c>
      <c r="K111" s="36">
        <v>0.0</v>
      </c>
      <c r="L111" s="36">
        <v>0.0</v>
      </c>
      <c r="M111" s="35" t="s">
        <v>7045</v>
      </c>
      <c r="N111" s="30">
        <v>46388.0</v>
      </c>
      <c r="O111" s="30">
        <v>46752.0</v>
      </c>
      <c r="P111" s="36">
        <v>0.0</v>
      </c>
      <c r="Q111" s="36">
        <v>0.0</v>
      </c>
      <c r="R111" s="35" t="s">
        <v>7045</v>
      </c>
      <c r="S111" s="30">
        <v>46753.0</v>
      </c>
      <c r="T111" s="30">
        <v>47118.0</v>
      </c>
      <c r="U111" s="36">
        <v>0.0</v>
      </c>
      <c r="V111" s="36">
        <v>0.0</v>
      </c>
      <c r="W111" s="35" t="s">
        <v>7045</v>
      </c>
      <c r="X111" s="30">
        <v>47119.0</v>
      </c>
      <c r="Y111" s="30">
        <v>47483.0</v>
      </c>
      <c r="Z111" s="36">
        <v>0.0</v>
      </c>
      <c r="AA111" s="36">
        <v>0.0</v>
      </c>
      <c r="AB111" s="35" t="s">
        <v>7045</v>
      </c>
      <c r="AC111" s="30">
        <v>47484.0</v>
      </c>
      <c r="AD111" s="30">
        <v>47848.0</v>
      </c>
      <c r="AE111" s="36">
        <v>0.0</v>
      </c>
      <c r="AF111" s="36">
        <v>0.0</v>
      </c>
      <c r="AG111" s="35" t="s">
        <v>7045</v>
      </c>
      <c r="AH111" s="30">
        <v>45292.0</v>
      </c>
      <c r="AI111" s="30">
        <v>45657.0</v>
      </c>
      <c r="AJ111" s="36">
        <v>2527.48</v>
      </c>
      <c r="AK111" s="36">
        <v>2879.97</v>
      </c>
      <c r="AL111" s="37" t="s">
        <v>7046</v>
      </c>
      <c r="AM111" s="30">
        <v>44562.0</v>
      </c>
      <c r="AN111" s="30">
        <v>44926.0</v>
      </c>
      <c r="AO111" s="36">
        <v>2635.48</v>
      </c>
      <c r="AP111" s="36">
        <v>0.0</v>
      </c>
      <c r="AQ111" s="38" t="s">
        <v>7047</v>
      </c>
      <c r="AR111" s="30">
        <v>44927.0</v>
      </c>
      <c r="AS111" s="30">
        <v>45291.0</v>
      </c>
      <c r="AT111" s="36">
        <v>2568.58</v>
      </c>
      <c r="AU111" s="36">
        <v>1749.98</v>
      </c>
      <c r="AV111" s="38" t="s">
        <v>7047</v>
      </c>
    </row>
    <row r="112" ht="14.25" customHeight="1">
      <c r="A112" s="28" t="s">
        <v>608</v>
      </c>
      <c r="B112" s="29" t="s">
        <v>609</v>
      </c>
      <c r="C112" s="29" t="s">
        <v>7041</v>
      </c>
      <c r="D112" s="30">
        <v>45658.0</v>
      </c>
      <c r="E112" s="30">
        <v>46022.0</v>
      </c>
      <c r="F112" s="36">
        <v>1559.29</v>
      </c>
      <c r="G112" s="36">
        <v>3599.97</v>
      </c>
      <c r="H112" s="37" t="s">
        <v>7046</v>
      </c>
      <c r="I112" s="30">
        <v>46023.0</v>
      </c>
      <c r="J112" s="30">
        <v>46387.0</v>
      </c>
      <c r="K112" s="36">
        <v>0.0</v>
      </c>
      <c r="L112" s="36">
        <v>0.0</v>
      </c>
      <c r="M112" s="35" t="s">
        <v>7045</v>
      </c>
      <c r="N112" s="30">
        <v>46388.0</v>
      </c>
      <c r="O112" s="30">
        <v>46752.0</v>
      </c>
      <c r="P112" s="36">
        <v>0.0</v>
      </c>
      <c r="Q112" s="36">
        <v>0.0</v>
      </c>
      <c r="R112" s="35" t="s">
        <v>7045</v>
      </c>
      <c r="S112" s="30">
        <v>46753.0</v>
      </c>
      <c r="T112" s="30">
        <v>47118.0</v>
      </c>
      <c r="U112" s="36">
        <v>0.0</v>
      </c>
      <c r="V112" s="36">
        <v>0.0</v>
      </c>
      <c r="W112" s="35" t="s">
        <v>7045</v>
      </c>
      <c r="X112" s="30">
        <v>47119.0</v>
      </c>
      <c r="Y112" s="30">
        <v>47483.0</v>
      </c>
      <c r="Z112" s="36">
        <v>0.0</v>
      </c>
      <c r="AA112" s="36">
        <v>0.0</v>
      </c>
      <c r="AB112" s="35" t="s">
        <v>7045</v>
      </c>
      <c r="AC112" s="30">
        <v>47484.0</v>
      </c>
      <c r="AD112" s="30">
        <v>47848.0</v>
      </c>
      <c r="AE112" s="36">
        <v>0.0</v>
      </c>
      <c r="AF112" s="36">
        <v>0.0</v>
      </c>
      <c r="AG112" s="35" t="s">
        <v>7045</v>
      </c>
      <c r="AH112" s="30">
        <v>45292.0</v>
      </c>
      <c r="AI112" s="30">
        <v>45657.0</v>
      </c>
      <c r="AJ112" s="36">
        <v>2590.19</v>
      </c>
      <c r="AK112" s="36">
        <v>3180.97</v>
      </c>
      <c r="AL112" s="37" t="s">
        <v>7046</v>
      </c>
      <c r="AM112" s="30">
        <v>44562.0</v>
      </c>
      <c r="AN112" s="30">
        <v>44926.0</v>
      </c>
      <c r="AO112" s="36">
        <v>1229.79</v>
      </c>
      <c r="AP112" s="36">
        <v>0.0</v>
      </c>
      <c r="AQ112" s="38" t="s">
        <v>7047</v>
      </c>
      <c r="AR112" s="30">
        <v>44927.0</v>
      </c>
      <c r="AS112" s="30">
        <v>45291.0</v>
      </c>
      <c r="AT112" s="36">
        <v>2891.08</v>
      </c>
      <c r="AU112" s="36">
        <v>1799.98</v>
      </c>
      <c r="AV112" s="38" t="s">
        <v>7047</v>
      </c>
    </row>
    <row r="113" ht="14.25" customHeight="1">
      <c r="A113" s="28" t="s">
        <v>3658</v>
      </c>
      <c r="B113" s="29" t="s">
        <v>3659</v>
      </c>
      <c r="C113" s="29" t="s">
        <v>7041</v>
      </c>
      <c r="D113" s="30">
        <v>45658.0</v>
      </c>
      <c r="E113" s="30">
        <v>46022.0</v>
      </c>
      <c r="F113" s="39">
        <v>8681.81</v>
      </c>
      <c r="G113" s="39">
        <v>15150.0</v>
      </c>
      <c r="H113" s="37" t="s">
        <v>7047</v>
      </c>
      <c r="I113" s="30">
        <v>46023.0</v>
      </c>
      <c r="J113" s="30">
        <v>46387.0</v>
      </c>
      <c r="K113" s="39">
        <v>0.0</v>
      </c>
      <c r="L113" s="39">
        <v>0.0</v>
      </c>
      <c r="M113" s="35" t="s">
        <v>7045</v>
      </c>
      <c r="N113" s="30">
        <v>46388.0</v>
      </c>
      <c r="O113" s="30">
        <v>46752.0</v>
      </c>
      <c r="P113" s="39">
        <v>0.0</v>
      </c>
      <c r="Q113" s="39">
        <v>0.0</v>
      </c>
      <c r="R113" s="35" t="s">
        <v>7045</v>
      </c>
      <c r="S113" s="30">
        <v>46753.0</v>
      </c>
      <c r="T113" s="30">
        <v>47118.0</v>
      </c>
      <c r="U113" s="39">
        <v>0.0</v>
      </c>
      <c r="V113" s="39">
        <v>0.0</v>
      </c>
      <c r="W113" s="35" t="s">
        <v>7045</v>
      </c>
      <c r="X113" s="30">
        <v>47119.0</v>
      </c>
      <c r="Y113" s="30">
        <v>47483.0</v>
      </c>
      <c r="Z113" s="39">
        <v>0.0</v>
      </c>
      <c r="AA113" s="39">
        <v>0.0</v>
      </c>
      <c r="AB113" s="35" t="s">
        <v>7045</v>
      </c>
      <c r="AC113" s="30">
        <v>47484.0</v>
      </c>
      <c r="AD113" s="30">
        <v>47848.0</v>
      </c>
      <c r="AE113" s="39">
        <v>0.0</v>
      </c>
      <c r="AF113" s="39">
        <v>0.0</v>
      </c>
      <c r="AG113" s="35" t="s">
        <v>7045</v>
      </c>
      <c r="AH113" s="30">
        <v>45292.0</v>
      </c>
      <c r="AI113" s="30">
        <v>45657.0</v>
      </c>
      <c r="AJ113" s="39">
        <v>22225.32</v>
      </c>
      <c r="AK113" s="39">
        <v>16200.0</v>
      </c>
      <c r="AL113" s="38" t="s">
        <v>7047</v>
      </c>
      <c r="AM113" s="30">
        <v>44562.0</v>
      </c>
      <c r="AN113" s="30">
        <v>44926.0</v>
      </c>
      <c r="AO113" s="39">
        <v>26996.0</v>
      </c>
      <c r="AP113" s="39">
        <v>0.0</v>
      </c>
      <c r="AQ113" s="38" t="s">
        <v>7047</v>
      </c>
      <c r="AR113" s="30">
        <v>44927.0</v>
      </c>
      <c r="AS113" s="30">
        <v>45291.0</v>
      </c>
      <c r="AT113" s="39">
        <v>17535.23</v>
      </c>
      <c r="AU113" s="39">
        <v>22137.0</v>
      </c>
      <c r="AV113" s="37" t="s">
        <v>7046</v>
      </c>
    </row>
    <row r="114" ht="14.25" customHeight="1">
      <c r="A114" s="28" t="s">
        <v>4125</v>
      </c>
      <c r="B114" s="29" t="s">
        <v>4126</v>
      </c>
      <c r="C114" s="29" t="s">
        <v>7041</v>
      </c>
      <c r="D114" s="30">
        <v>45658.0</v>
      </c>
      <c r="E114" s="30">
        <v>46022.0</v>
      </c>
      <c r="F114" s="39">
        <v>1353.74</v>
      </c>
      <c r="G114" s="39">
        <v>3600.0</v>
      </c>
      <c r="H114" s="37" t="s">
        <v>7046</v>
      </c>
      <c r="I114" s="30">
        <v>46023.0</v>
      </c>
      <c r="J114" s="30">
        <v>46387.0</v>
      </c>
      <c r="K114" s="39">
        <v>0.0</v>
      </c>
      <c r="L114" s="39">
        <v>0.0</v>
      </c>
      <c r="M114" s="35" t="s">
        <v>7045</v>
      </c>
      <c r="N114" s="30">
        <v>46388.0</v>
      </c>
      <c r="O114" s="30">
        <v>46752.0</v>
      </c>
      <c r="P114" s="39">
        <v>0.0</v>
      </c>
      <c r="Q114" s="39">
        <v>0.0</v>
      </c>
      <c r="R114" s="35" t="s">
        <v>7045</v>
      </c>
      <c r="S114" s="30">
        <v>46753.0</v>
      </c>
      <c r="T114" s="30">
        <v>47118.0</v>
      </c>
      <c r="U114" s="39">
        <v>0.0</v>
      </c>
      <c r="V114" s="39">
        <v>0.0</v>
      </c>
      <c r="W114" s="35" t="s">
        <v>7045</v>
      </c>
      <c r="X114" s="30">
        <v>47119.0</v>
      </c>
      <c r="Y114" s="30">
        <v>47483.0</v>
      </c>
      <c r="Z114" s="39">
        <v>0.0</v>
      </c>
      <c r="AA114" s="39">
        <v>0.0</v>
      </c>
      <c r="AB114" s="35" t="s">
        <v>7045</v>
      </c>
      <c r="AC114" s="30">
        <v>47484.0</v>
      </c>
      <c r="AD114" s="30">
        <v>47848.0</v>
      </c>
      <c r="AE114" s="39">
        <v>0.0</v>
      </c>
      <c r="AF114" s="39">
        <v>0.0</v>
      </c>
      <c r="AG114" s="35" t="s">
        <v>7045</v>
      </c>
      <c r="AH114" s="30">
        <v>45292.0</v>
      </c>
      <c r="AI114" s="30">
        <v>45657.0</v>
      </c>
      <c r="AJ114" s="39">
        <v>3247.53</v>
      </c>
      <c r="AK114" s="39">
        <v>4975.0</v>
      </c>
      <c r="AL114" s="37" t="s">
        <v>7046</v>
      </c>
      <c r="AM114" s="30">
        <v>44562.0</v>
      </c>
      <c r="AN114" s="30">
        <v>44926.0</v>
      </c>
      <c r="AO114" s="39">
        <v>4517.3</v>
      </c>
      <c r="AP114" s="39">
        <v>3100.0</v>
      </c>
      <c r="AQ114" s="38" t="s">
        <v>7047</v>
      </c>
      <c r="AR114" s="30">
        <v>44927.0</v>
      </c>
      <c r="AS114" s="30">
        <v>45291.0</v>
      </c>
      <c r="AT114" s="39">
        <v>4821.47</v>
      </c>
      <c r="AU114" s="39">
        <v>4570.0</v>
      </c>
      <c r="AV114" s="38" t="s">
        <v>7047</v>
      </c>
    </row>
    <row r="115" ht="14.25" customHeight="1">
      <c r="A115" s="28" t="s">
        <v>2654</v>
      </c>
      <c r="B115" s="29" t="s">
        <v>2655</v>
      </c>
      <c r="C115" s="29" t="s">
        <v>7041</v>
      </c>
      <c r="D115" s="30">
        <v>45658.0</v>
      </c>
      <c r="E115" s="30">
        <v>46022.0</v>
      </c>
      <c r="F115" s="39">
        <v>4608.08</v>
      </c>
      <c r="G115" s="39">
        <v>8500.0</v>
      </c>
      <c r="H115" s="37" t="s">
        <v>7047</v>
      </c>
      <c r="I115" s="30">
        <v>46023.0</v>
      </c>
      <c r="J115" s="30">
        <v>46387.0</v>
      </c>
      <c r="K115" s="39">
        <v>0.0</v>
      </c>
      <c r="L115" s="39">
        <v>0.0</v>
      </c>
      <c r="M115" s="35" t="s">
        <v>7045</v>
      </c>
      <c r="N115" s="30">
        <v>46388.0</v>
      </c>
      <c r="O115" s="30">
        <v>46752.0</v>
      </c>
      <c r="P115" s="39">
        <v>0.0</v>
      </c>
      <c r="Q115" s="39">
        <v>0.0</v>
      </c>
      <c r="R115" s="35" t="s">
        <v>7045</v>
      </c>
      <c r="S115" s="30">
        <v>46753.0</v>
      </c>
      <c r="T115" s="30">
        <v>47118.0</v>
      </c>
      <c r="U115" s="39">
        <v>0.0</v>
      </c>
      <c r="V115" s="39">
        <v>0.0</v>
      </c>
      <c r="W115" s="35" t="s">
        <v>7045</v>
      </c>
      <c r="X115" s="30">
        <v>47119.0</v>
      </c>
      <c r="Y115" s="30">
        <v>47483.0</v>
      </c>
      <c r="Z115" s="39">
        <v>0.0</v>
      </c>
      <c r="AA115" s="39">
        <v>0.0</v>
      </c>
      <c r="AB115" s="35" t="s">
        <v>7045</v>
      </c>
      <c r="AC115" s="30">
        <v>47484.0</v>
      </c>
      <c r="AD115" s="30">
        <v>47848.0</v>
      </c>
      <c r="AE115" s="39">
        <v>0.0</v>
      </c>
      <c r="AF115" s="39">
        <v>0.0</v>
      </c>
      <c r="AG115" s="35" t="s">
        <v>7045</v>
      </c>
      <c r="AH115" s="30">
        <v>45292.0</v>
      </c>
      <c r="AI115" s="30">
        <v>45657.0</v>
      </c>
      <c r="AJ115" s="39">
        <v>7802.69</v>
      </c>
      <c r="AK115" s="39">
        <v>9905.0</v>
      </c>
      <c r="AL115" s="37" t="s">
        <v>7046</v>
      </c>
      <c r="AM115" s="30">
        <v>44562.0</v>
      </c>
      <c r="AN115" s="30">
        <v>44926.0</v>
      </c>
      <c r="AO115" s="39">
        <v>10301.3</v>
      </c>
      <c r="AP115" s="39">
        <v>12700.0</v>
      </c>
      <c r="AQ115" s="37" t="s">
        <v>7046</v>
      </c>
      <c r="AR115" s="30">
        <v>44927.0</v>
      </c>
      <c r="AS115" s="30">
        <v>45291.0</v>
      </c>
      <c r="AT115" s="39">
        <v>9719.71</v>
      </c>
      <c r="AU115" s="39">
        <v>0.0</v>
      </c>
      <c r="AV115" s="38" t="s">
        <v>7047</v>
      </c>
    </row>
    <row r="116" ht="14.25" customHeight="1">
      <c r="A116" s="28" t="s">
        <v>3684</v>
      </c>
      <c r="B116" s="29" t="s">
        <v>3685</v>
      </c>
      <c r="C116" s="29" t="s">
        <v>7041</v>
      </c>
      <c r="D116" s="30">
        <v>45658.0</v>
      </c>
      <c r="E116" s="30">
        <v>46022.0</v>
      </c>
      <c r="F116" s="39">
        <v>2665.78</v>
      </c>
      <c r="G116" s="39">
        <v>5320.0</v>
      </c>
      <c r="H116" s="37" t="s">
        <v>7046</v>
      </c>
      <c r="I116" s="30">
        <v>46023.0</v>
      </c>
      <c r="J116" s="30">
        <v>46387.0</v>
      </c>
      <c r="K116" s="39">
        <v>0.0</v>
      </c>
      <c r="L116" s="39">
        <v>0.0</v>
      </c>
      <c r="M116" s="35" t="s">
        <v>7045</v>
      </c>
      <c r="N116" s="30">
        <v>46388.0</v>
      </c>
      <c r="O116" s="30">
        <v>46752.0</v>
      </c>
      <c r="P116" s="39">
        <v>0.0</v>
      </c>
      <c r="Q116" s="39">
        <v>0.0</v>
      </c>
      <c r="R116" s="35" t="s">
        <v>7045</v>
      </c>
      <c r="S116" s="30">
        <v>46753.0</v>
      </c>
      <c r="T116" s="30">
        <v>47118.0</v>
      </c>
      <c r="U116" s="39">
        <v>0.0</v>
      </c>
      <c r="V116" s="39">
        <v>0.0</v>
      </c>
      <c r="W116" s="35" t="s">
        <v>7045</v>
      </c>
      <c r="X116" s="30">
        <v>47119.0</v>
      </c>
      <c r="Y116" s="30">
        <v>47483.0</v>
      </c>
      <c r="Z116" s="39">
        <v>0.0</v>
      </c>
      <c r="AA116" s="39">
        <v>0.0</v>
      </c>
      <c r="AB116" s="35" t="s">
        <v>7045</v>
      </c>
      <c r="AC116" s="30">
        <v>47484.0</v>
      </c>
      <c r="AD116" s="30">
        <v>47848.0</v>
      </c>
      <c r="AE116" s="39">
        <v>0.0</v>
      </c>
      <c r="AF116" s="39">
        <v>0.0</v>
      </c>
      <c r="AG116" s="35" t="s">
        <v>7045</v>
      </c>
      <c r="AH116" s="30">
        <v>45292.0</v>
      </c>
      <c r="AI116" s="30">
        <v>45657.0</v>
      </c>
      <c r="AJ116" s="39">
        <v>4952.39</v>
      </c>
      <c r="AK116" s="39">
        <v>4206.0</v>
      </c>
      <c r="AL116" s="38" t="s">
        <v>7047</v>
      </c>
      <c r="AM116" s="30">
        <v>44562.0</v>
      </c>
      <c r="AN116" s="30">
        <v>44926.0</v>
      </c>
      <c r="AO116" s="39">
        <v>3831.4</v>
      </c>
      <c r="AP116" s="39">
        <v>3000.0</v>
      </c>
      <c r="AQ116" s="38" t="s">
        <v>7047</v>
      </c>
      <c r="AR116" s="30">
        <v>44927.0</v>
      </c>
      <c r="AS116" s="30">
        <v>45291.0</v>
      </c>
      <c r="AT116" s="39">
        <v>4243.87</v>
      </c>
      <c r="AU116" s="39">
        <v>3846.0</v>
      </c>
      <c r="AV116" s="38" t="s">
        <v>7047</v>
      </c>
    </row>
    <row r="117" ht="14.25" customHeight="1">
      <c r="A117" s="28" t="s">
        <v>3916</v>
      </c>
      <c r="B117" s="29" t="s">
        <v>3917</v>
      </c>
      <c r="C117" s="29" t="s">
        <v>7041</v>
      </c>
      <c r="D117" s="30">
        <v>45658.0</v>
      </c>
      <c r="E117" s="30">
        <v>46022.0</v>
      </c>
      <c r="F117" s="39">
        <v>7981.71</v>
      </c>
      <c r="G117" s="39">
        <v>18900.0</v>
      </c>
      <c r="H117" s="37" t="s">
        <v>7046</v>
      </c>
      <c r="I117" s="30">
        <v>46023.0</v>
      </c>
      <c r="J117" s="30">
        <v>46387.0</v>
      </c>
      <c r="K117" s="39">
        <v>0.0</v>
      </c>
      <c r="L117" s="39">
        <v>0.0</v>
      </c>
      <c r="M117" s="35" t="s">
        <v>7045</v>
      </c>
      <c r="N117" s="30">
        <v>46388.0</v>
      </c>
      <c r="O117" s="30">
        <v>46752.0</v>
      </c>
      <c r="P117" s="39">
        <v>0.0</v>
      </c>
      <c r="Q117" s="39">
        <v>0.0</v>
      </c>
      <c r="R117" s="35" t="s">
        <v>7045</v>
      </c>
      <c r="S117" s="30">
        <v>46753.0</v>
      </c>
      <c r="T117" s="30">
        <v>47118.0</v>
      </c>
      <c r="U117" s="39">
        <v>0.0</v>
      </c>
      <c r="V117" s="39">
        <v>0.0</v>
      </c>
      <c r="W117" s="35" t="s">
        <v>7045</v>
      </c>
      <c r="X117" s="30">
        <v>47119.0</v>
      </c>
      <c r="Y117" s="30">
        <v>47483.0</v>
      </c>
      <c r="Z117" s="39">
        <v>0.0</v>
      </c>
      <c r="AA117" s="39">
        <v>0.0</v>
      </c>
      <c r="AB117" s="35" t="s">
        <v>7045</v>
      </c>
      <c r="AC117" s="30">
        <v>47484.0</v>
      </c>
      <c r="AD117" s="30">
        <v>47848.0</v>
      </c>
      <c r="AE117" s="39">
        <v>0.0</v>
      </c>
      <c r="AF117" s="39">
        <v>0.0</v>
      </c>
      <c r="AG117" s="35" t="s">
        <v>7045</v>
      </c>
      <c r="AH117" s="30">
        <v>45292.0</v>
      </c>
      <c r="AI117" s="30">
        <v>45657.0</v>
      </c>
      <c r="AJ117" s="39">
        <v>19195.82</v>
      </c>
      <c r="AK117" s="39">
        <v>21400.0</v>
      </c>
      <c r="AL117" s="37" t="s">
        <v>7046</v>
      </c>
      <c r="AM117" s="30">
        <v>44562.0</v>
      </c>
      <c r="AN117" s="30">
        <v>44926.0</v>
      </c>
      <c r="AO117" s="39">
        <v>24543.4</v>
      </c>
      <c r="AP117" s="39">
        <v>31700.0</v>
      </c>
      <c r="AQ117" s="37" t="s">
        <v>7046</v>
      </c>
      <c r="AR117" s="30">
        <v>44927.0</v>
      </c>
      <c r="AS117" s="30">
        <v>45291.0</v>
      </c>
      <c r="AT117" s="39">
        <v>21405.47</v>
      </c>
      <c r="AU117" s="39">
        <v>22000.0</v>
      </c>
      <c r="AV117" s="37" t="s">
        <v>7046</v>
      </c>
    </row>
    <row r="118" ht="14.25" customHeight="1">
      <c r="A118" s="28" t="s">
        <v>4868</v>
      </c>
      <c r="B118" s="29" t="s">
        <v>4869</v>
      </c>
      <c r="C118" s="29" t="s">
        <v>7041</v>
      </c>
      <c r="D118" s="30">
        <v>45658.0</v>
      </c>
      <c r="E118" s="30">
        <v>46022.0</v>
      </c>
      <c r="F118" s="39">
        <v>709.57</v>
      </c>
      <c r="G118" s="39">
        <v>2900.0</v>
      </c>
      <c r="H118" s="38" t="s">
        <v>7043</v>
      </c>
      <c r="I118" s="30">
        <v>46023.0</v>
      </c>
      <c r="J118" s="30">
        <v>46387.0</v>
      </c>
      <c r="K118" s="39">
        <v>0.0</v>
      </c>
      <c r="L118" s="39">
        <v>0.0</v>
      </c>
      <c r="M118" s="35" t="s">
        <v>7045</v>
      </c>
      <c r="N118" s="30">
        <v>46388.0</v>
      </c>
      <c r="O118" s="30">
        <v>46752.0</v>
      </c>
      <c r="P118" s="39">
        <v>0.0</v>
      </c>
      <c r="Q118" s="39">
        <v>0.0</v>
      </c>
      <c r="R118" s="35" t="s">
        <v>7045</v>
      </c>
      <c r="S118" s="30">
        <v>46753.0</v>
      </c>
      <c r="T118" s="30">
        <v>47118.0</v>
      </c>
      <c r="U118" s="39">
        <v>0.0</v>
      </c>
      <c r="V118" s="39">
        <v>0.0</v>
      </c>
      <c r="W118" s="35" t="s">
        <v>7045</v>
      </c>
      <c r="X118" s="30">
        <v>47119.0</v>
      </c>
      <c r="Y118" s="30">
        <v>47483.0</v>
      </c>
      <c r="Z118" s="39">
        <v>0.0</v>
      </c>
      <c r="AA118" s="39">
        <v>0.0</v>
      </c>
      <c r="AB118" s="35" t="s">
        <v>7045</v>
      </c>
      <c r="AC118" s="30">
        <v>47484.0</v>
      </c>
      <c r="AD118" s="30">
        <v>47848.0</v>
      </c>
      <c r="AE118" s="39">
        <v>0.0</v>
      </c>
      <c r="AF118" s="39">
        <v>0.0</v>
      </c>
      <c r="AG118" s="35" t="s">
        <v>7045</v>
      </c>
      <c r="AH118" s="30">
        <v>45292.0</v>
      </c>
      <c r="AI118" s="30">
        <v>45657.0</v>
      </c>
      <c r="AJ118" s="39">
        <v>2292.35</v>
      </c>
      <c r="AK118" s="39">
        <v>3500.0</v>
      </c>
      <c r="AL118" s="37" t="s">
        <v>7046</v>
      </c>
      <c r="AM118" s="30">
        <v>44562.0</v>
      </c>
      <c r="AN118" s="30">
        <v>44926.0</v>
      </c>
      <c r="AO118" s="39">
        <v>3434.2</v>
      </c>
      <c r="AP118" s="39">
        <v>6000.0</v>
      </c>
      <c r="AQ118" s="37" t="s">
        <v>7046</v>
      </c>
      <c r="AR118" s="30">
        <v>44927.0</v>
      </c>
      <c r="AS118" s="30">
        <v>45291.0</v>
      </c>
      <c r="AT118" s="39">
        <v>2953.61</v>
      </c>
      <c r="AU118" s="39">
        <v>3600.0</v>
      </c>
      <c r="AV118" s="37" t="s">
        <v>7046</v>
      </c>
    </row>
    <row r="119" ht="14.25" customHeight="1">
      <c r="A119" s="28" t="s">
        <v>702</v>
      </c>
      <c r="B119" s="29" t="s">
        <v>703</v>
      </c>
      <c r="C119" s="29" t="s">
        <v>7041</v>
      </c>
      <c r="D119" s="30">
        <v>45658.0</v>
      </c>
      <c r="E119" s="30">
        <v>46022.0</v>
      </c>
      <c r="F119" s="39">
        <v>7252.53</v>
      </c>
      <c r="G119" s="39">
        <v>17400.0</v>
      </c>
      <c r="H119" s="37" t="s">
        <v>7046</v>
      </c>
      <c r="I119" s="30">
        <v>46023.0</v>
      </c>
      <c r="J119" s="30">
        <v>46387.0</v>
      </c>
      <c r="K119" s="39">
        <v>0.0</v>
      </c>
      <c r="L119" s="39">
        <v>0.0</v>
      </c>
      <c r="M119" s="35" t="s">
        <v>7045</v>
      </c>
      <c r="N119" s="30">
        <v>46388.0</v>
      </c>
      <c r="O119" s="30">
        <v>46752.0</v>
      </c>
      <c r="P119" s="39">
        <v>0.0</v>
      </c>
      <c r="Q119" s="39">
        <v>0.0</v>
      </c>
      <c r="R119" s="35" t="s">
        <v>7045</v>
      </c>
      <c r="S119" s="30">
        <v>46753.0</v>
      </c>
      <c r="T119" s="30">
        <v>47118.0</v>
      </c>
      <c r="U119" s="39">
        <v>0.0</v>
      </c>
      <c r="V119" s="39">
        <v>0.0</v>
      </c>
      <c r="W119" s="35" t="s">
        <v>7045</v>
      </c>
      <c r="X119" s="30">
        <v>47119.0</v>
      </c>
      <c r="Y119" s="30">
        <v>47483.0</v>
      </c>
      <c r="Z119" s="39">
        <v>0.0</v>
      </c>
      <c r="AA119" s="39">
        <v>0.0</v>
      </c>
      <c r="AB119" s="35" t="s">
        <v>7045</v>
      </c>
      <c r="AC119" s="30">
        <v>47484.0</v>
      </c>
      <c r="AD119" s="30">
        <v>47848.0</v>
      </c>
      <c r="AE119" s="39">
        <v>0.0</v>
      </c>
      <c r="AF119" s="39">
        <v>0.0</v>
      </c>
      <c r="AG119" s="35" t="s">
        <v>7045</v>
      </c>
      <c r="AH119" s="30">
        <v>45292.0</v>
      </c>
      <c r="AI119" s="30">
        <v>45657.0</v>
      </c>
      <c r="AJ119" s="39">
        <v>18039.71</v>
      </c>
      <c r="AK119" s="39">
        <v>21000.0</v>
      </c>
      <c r="AL119" s="37" t="s">
        <v>7046</v>
      </c>
      <c r="AM119" s="30">
        <v>44562.0</v>
      </c>
      <c r="AN119" s="30">
        <v>44926.0</v>
      </c>
      <c r="AO119" s="39">
        <v>19790.4</v>
      </c>
      <c r="AP119" s="39">
        <v>0.0</v>
      </c>
      <c r="AQ119" s="38" t="s">
        <v>7047</v>
      </c>
      <c r="AR119" s="30">
        <v>44927.0</v>
      </c>
      <c r="AS119" s="30">
        <v>45291.0</v>
      </c>
      <c r="AT119" s="39">
        <v>22702.19</v>
      </c>
      <c r="AU119" s="39">
        <v>18500.0</v>
      </c>
      <c r="AV119" s="38" t="s">
        <v>7047</v>
      </c>
    </row>
    <row r="120" ht="14.25" customHeight="1">
      <c r="A120" s="28" t="s">
        <v>4002</v>
      </c>
      <c r="B120" s="29" t="s">
        <v>4003</v>
      </c>
      <c r="C120" s="29" t="s">
        <v>7041</v>
      </c>
      <c r="D120" s="30">
        <v>45658.0</v>
      </c>
      <c r="E120" s="30">
        <v>46022.0</v>
      </c>
      <c r="F120" s="36">
        <v>1075.83</v>
      </c>
      <c r="G120" s="36">
        <v>5999.95</v>
      </c>
      <c r="H120" s="32" t="s">
        <v>7043</v>
      </c>
      <c r="I120" s="30">
        <v>46023.0</v>
      </c>
      <c r="J120" s="30">
        <v>46387.0</v>
      </c>
      <c r="K120" s="36">
        <v>0.0</v>
      </c>
      <c r="L120" s="36">
        <v>0.0</v>
      </c>
      <c r="M120" s="35" t="s">
        <v>7045</v>
      </c>
      <c r="N120" s="30">
        <v>46388.0</v>
      </c>
      <c r="O120" s="30">
        <v>46752.0</v>
      </c>
      <c r="P120" s="36">
        <v>0.0</v>
      </c>
      <c r="Q120" s="36">
        <v>0.0</v>
      </c>
      <c r="R120" s="35" t="s">
        <v>7045</v>
      </c>
      <c r="S120" s="30">
        <v>46753.0</v>
      </c>
      <c r="T120" s="30">
        <v>47118.0</v>
      </c>
      <c r="U120" s="36">
        <v>0.0</v>
      </c>
      <c r="V120" s="36">
        <v>0.0</v>
      </c>
      <c r="W120" s="35" t="s">
        <v>7045</v>
      </c>
      <c r="X120" s="30">
        <v>47119.0</v>
      </c>
      <c r="Y120" s="30">
        <v>47483.0</v>
      </c>
      <c r="Z120" s="36">
        <v>0.0</v>
      </c>
      <c r="AA120" s="36">
        <v>0.0</v>
      </c>
      <c r="AB120" s="35" t="s">
        <v>7045</v>
      </c>
      <c r="AC120" s="30">
        <v>47484.0</v>
      </c>
      <c r="AD120" s="30">
        <v>47848.0</v>
      </c>
      <c r="AE120" s="36">
        <v>0.0</v>
      </c>
      <c r="AF120" s="36">
        <v>0.0</v>
      </c>
      <c r="AG120" s="35" t="s">
        <v>7045</v>
      </c>
      <c r="AH120" s="30">
        <v>45292.0</v>
      </c>
      <c r="AI120" s="30">
        <v>45657.0</v>
      </c>
      <c r="AJ120" s="36">
        <v>4856.38</v>
      </c>
      <c r="AK120" s="36">
        <v>4499.96</v>
      </c>
      <c r="AL120" s="38" t="s">
        <v>7047</v>
      </c>
      <c r="AM120" s="30">
        <v>44562.0</v>
      </c>
      <c r="AN120" s="30">
        <v>44926.0</v>
      </c>
      <c r="AO120" s="36">
        <v>3136.17</v>
      </c>
      <c r="AP120" s="36">
        <v>2761.98</v>
      </c>
      <c r="AQ120" s="38" t="s">
        <v>7047</v>
      </c>
      <c r="AR120" s="30">
        <v>44927.0</v>
      </c>
      <c r="AS120" s="30">
        <v>45291.0</v>
      </c>
      <c r="AT120" s="36">
        <v>3586.26</v>
      </c>
      <c r="AU120" s="36">
        <v>3119.97</v>
      </c>
      <c r="AV120" s="38" t="s">
        <v>7047</v>
      </c>
    </row>
    <row r="121" ht="14.25" customHeight="1">
      <c r="A121" s="28" t="s">
        <v>6269</v>
      </c>
      <c r="B121" s="29" t="s">
        <v>6270</v>
      </c>
      <c r="C121" s="29" t="s">
        <v>7041</v>
      </c>
      <c r="D121" s="30">
        <v>45658.0</v>
      </c>
      <c r="E121" s="30">
        <v>46022.0</v>
      </c>
      <c r="F121" s="36">
        <v>1163.45</v>
      </c>
      <c r="G121" s="36">
        <v>0.0</v>
      </c>
      <c r="H121" s="38" t="s">
        <v>7047</v>
      </c>
      <c r="I121" s="30">
        <v>46023.0</v>
      </c>
      <c r="J121" s="30">
        <v>46387.0</v>
      </c>
      <c r="K121" s="36">
        <v>0.0</v>
      </c>
      <c r="L121" s="36">
        <v>0.0</v>
      </c>
      <c r="M121" s="35" t="s">
        <v>7045</v>
      </c>
      <c r="N121" s="30">
        <v>46388.0</v>
      </c>
      <c r="O121" s="30">
        <v>46752.0</v>
      </c>
      <c r="P121" s="36">
        <v>0.0</v>
      </c>
      <c r="Q121" s="36">
        <v>0.0</v>
      </c>
      <c r="R121" s="35" t="s">
        <v>7045</v>
      </c>
      <c r="S121" s="30">
        <v>46753.0</v>
      </c>
      <c r="T121" s="30">
        <v>47118.0</v>
      </c>
      <c r="U121" s="36">
        <v>0.0</v>
      </c>
      <c r="V121" s="36">
        <v>0.0</v>
      </c>
      <c r="W121" s="35" t="s">
        <v>7045</v>
      </c>
      <c r="X121" s="30">
        <v>47119.0</v>
      </c>
      <c r="Y121" s="30">
        <v>47483.0</v>
      </c>
      <c r="Z121" s="36">
        <v>0.0</v>
      </c>
      <c r="AA121" s="36">
        <v>0.0</v>
      </c>
      <c r="AB121" s="35" t="s">
        <v>7045</v>
      </c>
      <c r="AC121" s="30">
        <v>47484.0</v>
      </c>
      <c r="AD121" s="30">
        <v>47848.0</v>
      </c>
      <c r="AE121" s="36">
        <v>0.0</v>
      </c>
      <c r="AF121" s="36">
        <v>0.0</v>
      </c>
      <c r="AG121" s="35" t="s">
        <v>7045</v>
      </c>
      <c r="AH121" s="30">
        <v>45292.0</v>
      </c>
      <c r="AI121" s="30">
        <v>45657.0</v>
      </c>
      <c r="AJ121" s="36">
        <v>3666.36</v>
      </c>
      <c r="AK121" s="36">
        <v>4099.96</v>
      </c>
      <c r="AL121" s="37" t="s">
        <v>7046</v>
      </c>
      <c r="AM121" s="30">
        <v>44562.0</v>
      </c>
      <c r="AN121" s="30">
        <v>44926.0</v>
      </c>
      <c r="AO121" s="36">
        <v>2267.68</v>
      </c>
      <c r="AP121" s="36">
        <v>4999.96</v>
      </c>
      <c r="AQ121" s="32" t="s">
        <v>7043</v>
      </c>
      <c r="AR121" s="30">
        <v>44927.0</v>
      </c>
      <c r="AS121" s="30">
        <v>45291.0</v>
      </c>
      <c r="AT121" s="36">
        <v>4332.08</v>
      </c>
      <c r="AU121" s="36">
        <v>7099.94</v>
      </c>
      <c r="AV121" s="37" t="s">
        <v>7046</v>
      </c>
    </row>
    <row r="122" ht="14.25" customHeight="1">
      <c r="A122" s="28" t="s">
        <v>733</v>
      </c>
      <c r="B122" s="29" t="s">
        <v>734</v>
      </c>
      <c r="C122" s="29" t="s">
        <v>7041</v>
      </c>
      <c r="D122" s="30">
        <v>45658.0</v>
      </c>
      <c r="E122" s="30">
        <v>46022.0</v>
      </c>
      <c r="F122" s="39">
        <v>2756.73</v>
      </c>
      <c r="G122" s="39">
        <v>5340.0</v>
      </c>
      <c r="H122" s="37" t="s">
        <v>7046</v>
      </c>
      <c r="I122" s="30">
        <v>46023.0</v>
      </c>
      <c r="J122" s="30">
        <v>46387.0</v>
      </c>
      <c r="K122" s="39">
        <v>0.0</v>
      </c>
      <c r="L122" s="39">
        <v>0.0</v>
      </c>
      <c r="M122" s="35" t="s">
        <v>7045</v>
      </c>
      <c r="N122" s="30">
        <v>46388.0</v>
      </c>
      <c r="O122" s="30">
        <v>46752.0</v>
      </c>
      <c r="P122" s="39">
        <v>0.0</v>
      </c>
      <c r="Q122" s="39">
        <v>0.0</v>
      </c>
      <c r="R122" s="35" t="s">
        <v>7045</v>
      </c>
      <c r="S122" s="30">
        <v>46753.0</v>
      </c>
      <c r="T122" s="30">
        <v>47118.0</v>
      </c>
      <c r="U122" s="39">
        <v>0.0</v>
      </c>
      <c r="V122" s="39">
        <v>0.0</v>
      </c>
      <c r="W122" s="35" t="s">
        <v>7045</v>
      </c>
      <c r="X122" s="30">
        <v>47119.0</v>
      </c>
      <c r="Y122" s="30">
        <v>47483.0</v>
      </c>
      <c r="Z122" s="39">
        <v>0.0</v>
      </c>
      <c r="AA122" s="39">
        <v>0.0</v>
      </c>
      <c r="AB122" s="35" t="s">
        <v>7045</v>
      </c>
      <c r="AC122" s="30">
        <v>47484.0</v>
      </c>
      <c r="AD122" s="30">
        <v>47848.0</v>
      </c>
      <c r="AE122" s="39">
        <v>0.0</v>
      </c>
      <c r="AF122" s="39">
        <v>0.0</v>
      </c>
      <c r="AG122" s="35" t="s">
        <v>7045</v>
      </c>
      <c r="AH122" s="30">
        <v>45292.0</v>
      </c>
      <c r="AI122" s="30">
        <v>45657.0</v>
      </c>
      <c r="AJ122" s="39">
        <v>4641.47</v>
      </c>
      <c r="AK122" s="39">
        <v>6077.0</v>
      </c>
      <c r="AL122" s="37" t="s">
        <v>7046</v>
      </c>
      <c r="AM122" s="30">
        <v>44562.0</v>
      </c>
      <c r="AN122" s="30">
        <v>44926.0</v>
      </c>
      <c r="AO122" s="39">
        <v>8041.0</v>
      </c>
      <c r="AP122" s="39">
        <v>7700.0</v>
      </c>
      <c r="AQ122" s="38" t="s">
        <v>7047</v>
      </c>
      <c r="AR122" s="30">
        <v>44927.0</v>
      </c>
      <c r="AS122" s="30">
        <v>45291.0</v>
      </c>
      <c r="AT122" s="39">
        <v>6450.76</v>
      </c>
      <c r="AU122" s="39">
        <v>7230.0</v>
      </c>
      <c r="AV122" s="37" t="s">
        <v>7046</v>
      </c>
    </row>
    <row r="123" ht="14.25" customHeight="1">
      <c r="A123" s="28" t="s">
        <v>2633</v>
      </c>
      <c r="B123" s="29" t="s">
        <v>2634</v>
      </c>
      <c r="C123" s="29" t="s">
        <v>7041</v>
      </c>
      <c r="D123" s="30">
        <v>45658.0</v>
      </c>
      <c r="E123" s="30">
        <v>46022.0</v>
      </c>
      <c r="F123" s="36">
        <v>5326.05</v>
      </c>
      <c r="G123" s="36">
        <v>6999.94</v>
      </c>
      <c r="H123" s="37" t="s">
        <v>7047</v>
      </c>
      <c r="I123" s="30">
        <v>46023.0</v>
      </c>
      <c r="J123" s="30">
        <v>46387.0</v>
      </c>
      <c r="K123" s="36">
        <v>0.0</v>
      </c>
      <c r="L123" s="36">
        <v>0.0</v>
      </c>
      <c r="M123" s="35" t="s">
        <v>7045</v>
      </c>
      <c r="N123" s="30">
        <v>46388.0</v>
      </c>
      <c r="O123" s="30">
        <v>46752.0</v>
      </c>
      <c r="P123" s="36">
        <v>0.0</v>
      </c>
      <c r="Q123" s="36">
        <v>0.0</v>
      </c>
      <c r="R123" s="35" t="s">
        <v>7045</v>
      </c>
      <c r="S123" s="30">
        <v>46753.0</v>
      </c>
      <c r="T123" s="30">
        <v>47118.0</v>
      </c>
      <c r="U123" s="36">
        <v>0.0</v>
      </c>
      <c r="V123" s="36">
        <v>0.0</v>
      </c>
      <c r="W123" s="35" t="s">
        <v>7045</v>
      </c>
      <c r="X123" s="30">
        <v>47119.0</v>
      </c>
      <c r="Y123" s="30">
        <v>47483.0</v>
      </c>
      <c r="Z123" s="36">
        <v>0.0</v>
      </c>
      <c r="AA123" s="36">
        <v>0.0</v>
      </c>
      <c r="AB123" s="35" t="s">
        <v>7045</v>
      </c>
      <c r="AC123" s="30">
        <v>47484.0</v>
      </c>
      <c r="AD123" s="30">
        <v>47848.0</v>
      </c>
      <c r="AE123" s="36">
        <v>0.0</v>
      </c>
      <c r="AF123" s="36">
        <v>0.0</v>
      </c>
      <c r="AG123" s="35" t="s">
        <v>7045</v>
      </c>
      <c r="AH123" s="30">
        <v>45292.0</v>
      </c>
      <c r="AI123" s="30">
        <v>45657.0</v>
      </c>
      <c r="AJ123" s="36">
        <v>5185.41</v>
      </c>
      <c r="AK123" s="36">
        <v>6999.94</v>
      </c>
      <c r="AL123" s="37" t="s">
        <v>7046</v>
      </c>
      <c r="AM123" s="30">
        <v>44562.0</v>
      </c>
      <c r="AN123" s="30">
        <v>44926.0</v>
      </c>
      <c r="AO123" s="36">
        <v>11063.2</v>
      </c>
      <c r="AP123" s="36">
        <v>0.0</v>
      </c>
      <c r="AQ123" s="38" t="s">
        <v>7047</v>
      </c>
      <c r="AR123" s="30">
        <v>44927.0</v>
      </c>
      <c r="AS123" s="30">
        <v>45291.0</v>
      </c>
      <c r="AT123" s="36">
        <v>6920.54</v>
      </c>
      <c r="AU123" s="36">
        <v>8999.92</v>
      </c>
      <c r="AV123" s="37" t="s">
        <v>7046</v>
      </c>
    </row>
    <row r="124" ht="14.25" customHeight="1">
      <c r="A124" s="28" t="s">
        <v>3272</v>
      </c>
      <c r="B124" s="29" t="s">
        <v>3273</v>
      </c>
      <c r="C124" s="29" t="s">
        <v>7041</v>
      </c>
      <c r="D124" s="30">
        <v>45658.0</v>
      </c>
      <c r="E124" s="30">
        <v>46022.0</v>
      </c>
      <c r="F124" s="36">
        <v>3920.99</v>
      </c>
      <c r="G124" s="36">
        <v>6979.94</v>
      </c>
      <c r="H124" s="37" t="s">
        <v>7047</v>
      </c>
      <c r="I124" s="30">
        <v>46023.0</v>
      </c>
      <c r="J124" s="30">
        <v>46387.0</v>
      </c>
      <c r="K124" s="36">
        <v>0.0</v>
      </c>
      <c r="L124" s="36">
        <v>0.0</v>
      </c>
      <c r="M124" s="35" t="s">
        <v>7045</v>
      </c>
      <c r="N124" s="30">
        <v>46388.0</v>
      </c>
      <c r="O124" s="30">
        <v>46752.0</v>
      </c>
      <c r="P124" s="36">
        <v>0.0</v>
      </c>
      <c r="Q124" s="36">
        <v>0.0</v>
      </c>
      <c r="R124" s="35" t="s">
        <v>7045</v>
      </c>
      <c r="S124" s="30">
        <v>46753.0</v>
      </c>
      <c r="T124" s="30">
        <v>47118.0</v>
      </c>
      <c r="U124" s="36">
        <v>0.0</v>
      </c>
      <c r="V124" s="36">
        <v>0.0</v>
      </c>
      <c r="W124" s="35" t="s">
        <v>7045</v>
      </c>
      <c r="X124" s="30">
        <v>47119.0</v>
      </c>
      <c r="Y124" s="30">
        <v>47483.0</v>
      </c>
      <c r="Z124" s="36">
        <v>0.0</v>
      </c>
      <c r="AA124" s="36">
        <v>0.0</v>
      </c>
      <c r="AB124" s="35" t="s">
        <v>7045</v>
      </c>
      <c r="AC124" s="30">
        <v>47484.0</v>
      </c>
      <c r="AD124" s="30">
        <v>47848.0</v>
      </c>
      <c r="AE124" s="36">
        <v>0.0</v>
      </c>
      <c r="AF124" s="36">
        <v>0.0</v>
      </c>
      <c r="AG124" s="35" t="s">
        <v>7045</v>
      </c>
      <c r="AH124" s="30">
        <v>45292.0</v>
      </c>
      <c r="AI124" s="30">
        <v>45657.0</v>
      </c>
      <c r="AJ124" s="36">
        <v>6380.61</v>
      </c>
      <c r="AK124" s="36">
        <v>0.0</v>
      </c>
      <c r="AL124" s="38" t="s">
        <v>7047</v>
      </c>
      <c r="AM124" s="30">
        <v>44562.0</v>
      </c>
      <c r="AN124" s="30">
        <v>44926.0</v>
      </c>
      <c r="AO124" s="36">
        <v>10988.1</v>
      </c>
      <c r="AP124" s="36">
        <v>0.0</v>
      </c>
      <c r="AQ124" s="38" t="s">
        <v>7047</v>
      </c>
      <c r="AR124" s="30">
        <v>44927.0</v>
      </c>
      <c r="AS124" s="30">
        <v>45291.0</v>
      </c>
      <c r="AT124" s="36">
        <v>8202.28</v>
      </c>
      <c r="AU124" s="36">
        <v>0.0</v>
      </c>
      <c r="AV124" s="38" t="s">
        <v>7047</v>
      </c>
    </row>
    <row r="125" ht="14.25" customHeight="1">
      <c r="A125" s="28" t="s">
        <v>3672</v>
      </c>
      <c r="B125" s="29" t="s">
        <v>3673</v>
      </c>
      <c r="C125" s="29" t="s">
        <v>7041</v>
      </c>
      <c r="D125" s="30">
        <v>45658.0</v>
      </c>
      <c r="E125" s="30">
        <v>46022.0</v>
      </c>
      <c r="F125" s="39">
        <v>0.0</v>
      </c>
      <c r="G125" s="39">
        <v>0.0</v>
      </c>
      <c r="H125" s="35" t="s">
        <v>7045</v>
      </c>
      <c r="I125" s="30">
        <v>46023.0</v>
      </c>
      <c r="J125" s="30">
        <v>46387.0</v>
      </c>
      <c r="K125" s="39">
        <v>0.0</v>
      </c>
      <c r="L125" s="39">
        <v>0.0</v>
      </c>
      <c r="M125" s="35" t="s">
        <v>7045</v>
      </c>
      <c r="N125" s="30">
        <v>46388.0</v>
      </c>
      <c r="O125" s="30">
        <v>46752.0</v>
      </c>
      <c r="P125" s="39">
        <v>0.0</v>
      </c>
      <c r="Q125" s="39">
        <v>0.0</v>
      </c>
      <c r="R125" s="35" t="s">
        <v>7045</v>
      </c>
      <c r="S125" s="30">
        <v>46753.0</v>
      </c>
      <c r="T125" s="30">
        <v>47118.0</v>
      </c>
      <c r="U125" s="39">
        <v>0.0</v>
      </c>
      <c r="V125" s="39">
        <v>0.0</v>
      </c>
      <c r="W125" s="35" t="s">
        <v>7045</v>
      </c>
      <c r="X125" s="30">
        <v>47119.0</v>
      </c>
      <c r="Y125" s="30">
        <v>47483.0</v>
      </c>
      <c r="Z125" s="39">
        <v>0.0</v>
      </c>
      <c r="AA125" s="39">
        <v>0.0</v>
      </c>
      <c r="AB125" s="35" t="s">
        <v>7045</v>
      </c>
      <c r="AC125" s="30">
        <v>47484.0</v>
      </c>
      <c r="AD125" s="30">
        <v>47848.0</v>
      </c>
      <c r="AE125" s="39">
        <v>0.0</v>
      </c>
      <c r="AF125" s="39">
        <v>0.0</v>
      </c>
      <c r="AG125" s="35" t="s">
        <v>7045</v>
      </c>
      <c r="AH125" s="30">
        <v>45292.0</v>
      </c>
      <c r="AI125" s="30">
        <v>45657.0</v>
      </c>
      <c r="AJ125" s="39">
        <v>5482.78</v>
      </c>
      <c r="AK125" s="39">
        <v>0.0</v>
      </c>
      <c r="AL125" s="38" t="s">
        <v>7047</v>
      </c>
      <c r="AM125" s="30">
        <v>44562.0</v>
      </c>
      <c r="AN125" s="30">
        <v>44926.0</v>
      </c>
      <c r="AO125" s="39">
        <v>4263.3</v>
      </c>
      <c r="AP125" s="39">
        <v>0.0</v>
      </c>
      <c r="AQ125" s="38" t="s">
        <v>7047</v>
      </c>
      <c r="AR125" s="30">
        <v>44927.0</v>
      </c>
      <c r="AS125" s="30">
        <v>45291.0</v>
      </c>
      <c r="AT125" s="39">
        <v>5508.82</v>
      </c>
      <c r="AU125" s="39">
        <v>0.0</v>
      </c>
      <c r="AV125" s="38" t="s">
        <v>7047</v>
      </c>
    </row>
    <row r="126" ht="14.25" customHeight="1">
      <c r="A126" s="28" t="s">
        <v>5960</v>
      </c>
      <c r="B126" s="29" t="s">
        <v>5961</v>
      </c>
      <c r="C126" s="29" t="s">
        <v>7041</v>
      </c>
      <c r="D126" s="30">
        <v>45658.0</v>
      </c>
      <c r="E126" s="30">
        <v>46022.0</v>
      </c>
      <c r="F126" s="39">
        <v>1012.84</v>
      </c>
      <c r="G126" s="39">
        <v>1950.0</v>
      </c>
      <c r="H126" s="38" t="s">
        <v>7046</v>
      </c>
      <c r="I126" s="30">
        <v>46023.0</v>
      </c>
      <c r="J126" s="30">
        <v>46387.0</v>
      </c>
      <c r="K126" s="39">
        <v>0.0</v>
      </c>
      <c r="L126" s="39">
        <v>0.0</v>
      </c>
      <c r="M126" s="35" t="s">
        <v>7045</v>
      </c>
      <c r="N126" s="30">
        <v>46388.0</v>
      </c>
      <c r="O126" s="30">
        <v>46752.0</v>
      </c>
      <c r="P126" s="39">
        <v>0.0</v>
      </c>
      <c r="Q126" s="39">
        <v>0.0</v>
      </c>
      <c r="R126" s="35" t="s">
        <v>7045</v>
      </c>
      <c r="S126" s="30">
        <v>46753.0</v>
      </c>
      <c r="T126" s="30">
        <v>47118.0</v>
      </c>
      <c r="U126" s="39">
        <v>0.0</v>
      </c>
      <c r="V126" s="39">
        <v>0.0</v>
      </c>
      <c r="W126" s="35" t="s">
        <v>7045</v>
      </c>
      <c r="X126" s="30">
        <v>47119.0</v>
      </c>
      <c r="Y126" s="30">
        <v>47483.0</v>
      </c>
      <c r="Z126" s="39">
        <v>0.0</v>
      </c>
      <c r="AA126" s="39">
        <v>0.0</v>
      </c>
      <c r="AB126" s="35" t="s">
        <v>7045</v>
      </c>
      <c r="AC126" s="30">
        <v>47484.0</v>
      </c>
      <c r="AD126" s="30">
        <v>47848.0</v>
      </c>
      <c r="AE126" s="39">
        <v>0.0</v>
      </c>
      <c r="AF126" s="39">
        <v>0.0</v>
      </c>
      <c r="AG126" s="35" t="s">
        <v>7045</v>
      </c>
      <c r="AH126" s="30">
        <v>45292.0</v>
      </c>
      <c r="AI126" s="30">
        <v>45657.0</v>
      </c>
      <c r="AJ126" s="39">
        <v>2255.02</v>
      </c>
      <c r="AK126" s="39">
        <v>2500.0</v>
      </c>
      <c r="AL126" s="37" t="s">
        <v>7046</v>
      </c>
      <c r="AM126" s="30">
        <v>44562.0</v>
      </c>
      <c r="AN126" s="30">
        <v>44926.0</v>
      </c>
      <c r="AO126" s="39">
        <v>3930.5</v>
      </c>
      <c r="AP126" s="39">
        <v>2250.0</v>
      </c>
      <c r="AQ126" s="38" t="s">
        <v>7047</v>
      </c>
      <c r="AR126" s="30">
        <v>44927.0</v>
      </c>
      <c r="AS126" s="30">
        <v>45291.0</v>
      </c>
      <c r="AT126" s="39">
        <v>1490.78</v>
      </c>
      <c r="AU126" s="39">
        <v>4000.0</v>
      </c>
      <c r="AV126" s="32" t="s">
        <v>7043</v>
      </c>
    </row>
    <row r="127" ht="14.25" customHeight="1">
      <c r="A127" s="28" t="s">
        <v>6242</v>
      </c>
      <c r="B127" s="29" t="s">
        <v>6243</v>
      </c>
      <c r="C127" s="29" t="s">
        <v>7041</v>
      </c>
      <c r="D127" s="30">
        <v>45658.0</v>
      </c>
      <c r="E127" s="30">
        <v>46022.0</v>
      </c>
      <c r="F127" s="36">
        <v>3234.44</v>
      </c>
      <c r="G127" s="36">
        <v>4279.96</v>
      </c>
      <c r="H127" s="38" t="s">
        <v>7047</v>
      </c>
      <c r="I127" s="30">
        <v>46023.0</v>
      </c>
      <c r="J127" s="30">
        <v>46387.0</v>
      </c>
      <c r="K127" s="36">
        <v>0.0</v>
      </c>
      <c r="L127" s="36">
        <v>0.0</v>
      </c>
      <c r="M127" s="35" t="s">
        <v>7045</v>
      </c>
      <c r="N127" s="30">
        <v>46388.0</v>
      </c>
      <c r="O127" s="30">
        <v>46752.0</v>
      </c>
      <c r="P127" s="36">
        <v>0.0</v>
      </c>
      <c r="Q127" s="36">
        <v>0.0</v>
      </c>
      <c r="R127" s="35" t="s">
        <v>7045</v>
      </c>
      <c r="S127" s="30">
        <v>46753.0</v>
      </c>
      <c r="T127" s="30">
        <v>47118.0</v>
      </c>
      <c r="U127" s="36">
        <v>0.0</v>
      </c>
      <c r="V127" s="36">
        <v>0.0</v>
      </c>
      <c r="W127" s="35" t="s">
        <v>7045</v>
      </c>
      <c r="X127" s="30">
        <v>47119.0</v>
      </c>
      <c r="Y127" s="30">
        <v>47483.0</v>
      </c>
      <c r="Z127" s="36">
        <v>0.0</v>
      </c>
      <c r="AA127" s="36">
        <v>0.0</v>
      </c>
      <c r="AB127" s="35" t="s">
        <v>7045</v>
      </c>
      <c r="AC127" s="30">
        <v>47484.0</v>
      </c>
      <c r="AD127" s="30">
        <v>47848.0</v>
      </c>
      <c r="AE127" s="36">
        <v>0.0</v>
      </c>
      <c r="AF127" s="36">
        <v>0.0</v>
      </c>
      <c r="AG127" s="35" t="s">
        <v>7045</v>
      </c>
      <c r="AH127" s="30">
        <v>45292.0</v>
      </c>
      <c r="AI127" s="30">
        <v>45657.0</v>
      </c>
      <c r="AJ127" s="36">
        <v>3821.09</v>
      </c>
      <c r="AK127" s="36">
        <v>0.0</v>
      </c>
      <c r="AL127" s="38" t="s">
        <v>7047</v>
      </c>
      <c r="AM127" s="30">
        <v>44562.0</v>
      </c>
      <c r="AN127" s="30">
        <v>44926.0</v>
      </c>
      <c r="AO127" s="36">
        <v>5843.85</v>
      </c>
      <c r="AP127" s="36">
        <v>5499.95</v>
      </c>
      <c r="AQ127" s="38" t="s">
        <v>7047</v>
      </c>
      <c r="AR127" s="30">
        <v>44927.0</v>
      </c>
      <c r="AS127" s="30">
        <v>45291.0</v>
      </c>
      <c r="AT127" s="36">
        <v>8357.4</v>
      </c>
      <c r="AU127" s="36">
        <v>6159.95</v>
      </c>
      <c r="AV127" s="38" t="s">
        <v>7047</v>
      </c>
    </row>
    <row r="128" ht="14.25" customHeight="1">
      <c r="A128" s="28" t="s">
        <v>2390</v>
      </c>
      <c r="B128" s="29" t="s">
        <v>2391</v>
      </c>
      <c r="C128" s="29" t="s">
        <v>7041</v>
      </c>
      <c r="D128" s="30">
        <v>45658.0</v>
      </c>
      <c r="E128" s="30">
        <v>46022.0</v>
      </c>
      <c r="F128" s="39">
        <v>386.12</v>
      </c>
      <c r="G128" s="39">
        <v>250.0</v>
      </c>
      <c r="H128" s="38" t="s">
        <v>7047</v>
      </c>
      <c r="I128" s="30">
        <v>46023.0</v>
      </c>
      <c r="J128" s="30">
        <v>46387.0</v>
      </c>
      <c r="K128" s="39">
        <v>0.0</v>
      </c>
      <c r="L128" s="39">
        <v>0.0</v>
      </c>
      <c r="M128" s="35" t="s">
        <v>7045</v>
      </c>
      <c r="N128" s="30">
        <v>46388.0</v>
      </c>
      <c r="O128" s="30">
        <v>46752.0</v>
      </c>
      <c r="P128" s="39">
        <v>0.0</v>
      </c>
      <c r="Q128" s="39">
        <v>0.0</v>
      </c>
      <c r="R128" s="35" t="s">
        <v>7045</v>
      </c>
      <c r="S128" s="30">
        <v>46753.0</v>
      </c>
      <c r="T128" s="30">
        <v>47118.0</v>
      </c>
      <c r="U128" s="39">
        <v>0.0</v>
      </c>
      <c r="V128" s="39">
        <v>0.0</v>
      </c>
      <c r="W128" s="35" t="s">
        <v>7045</v>
      </c>
      <c r="X128" s="30">
        <v>47119.0</v>
      </c>
      <c r="Y128" s="30">
        <v>47483.0</v>
      </c>
      <c r="Z128" s="39">
        <v>0.0</v>
      </c>
      <c r="AA128" s="39">
        <v>0.0</v>
      </c>
      <c r="AB128" s="35" t="s">
        <v>7045</v>
      </c>
      <c r="AC128" s="30">
        <v>47484.0</v>
      </c>
      <c r="AD128" s="30">
        <v>47848.0</v>
      </c>
      <c r="AE128" s="39">
        <v>0.0</v>
      </c>
      <c r="AF128" s="39">
        <v>0.0</v>
      </c>
      <c r="AG128" s="35" t="s">
        <v>7045</v>
      </c>
      <c r="AH128" s="30">
        <v>45292.0</v>
      </c>
      <c r="AI128" s="30">
        <v>45657.0</v>
      </c>
      <c r="AJ128" s="39">
        <v>0.43</v>
      </c>
      <c r="AK128" s="39">
        <v>249.9</v>
      </c>
      <c r="AL128" s="32" t="s">
        <v>7043</v>
      </c>
      <c r="AM128" s="30">
        <v>44562.0</v>
      </c>
      <c r="AN128" s="30">
        <v>44926.0</v>
      </c>
      <c r="AO128" s="39">
        <v>0.0</v>
      </c>
      <c r="AP128" s="39">
        <v>0.0</v>
      </c>
      <c r="AQ128" s="35" t="s">
        <v>7045</v>
      </c>
      <c r="AR128" s="30">
        <v>44927.0</v>
      </c>
      <c r="AS128" s="30">
        <v>45291.0</v>
      </c>
      <c r="AT128" s="39">
        <v>0.0</v>
      </c>
      <c r="AU128" s="39">
        <v>0.0</v>
      </c>
      <c r="AV128" s="35" t="s">
        <v>7045</v>
      </c>
    </row>
    <row r="129" ht="14.25" customHeight="1">
      <c r="A129" s="28" t="s">
        <v>316</v>
      </c>
      <c r="B129" s="29" t="s">
        <v>317</v>
      </c>
      <c r="C129" s="29" t="s">
        <v>7041</v>
      </c>
      <c r="D129" s="30">
        <v>45658.0</v>
      </c>
      <c r="E129" s="30">
        <v>46022.0</v>
      </c>
      <c r="F129" s="39">
        <v>0.0</v>
      </c>
      <c r="G129" s="39">
        <v>0.0</v>
      </c>
      <c r="H129" s="35" t="s">
        <v>7045</v>
      </c>
      <c r="I129" s="30">
        <v>46023.0</v>
      </c>
      <c r="J129" s="30">
        <v>46387.0</v>
      </c>
      <c r="K129" s="39">
        <v>0.0</v>
      </c>
      <c r="L129" s="39">
        <v>0.0</v>
      </c>
      <c r="M129" s="35" t="s">
        <v>7045</v>
      </c>
      <c r="N129" s="30">
        <v>46388.0</v>
      </c>
      <c r="O129" s="30">
        <v>46752.0</v>
      </c>
      <c r="P129" s="39">
        <v>0.0</v>
      </c>
      <c r="Q129" s="39">
        <v>0.0</v>
      </c>
      <c r="R129" s="35" t="s">
        <v>7045</v>
      </c>
      <c r="S129" s="30">
        <v>46753.0</v>
      </c>
      <c r="T129" s="30">
        <v>47118.0</v>
      </c>
      <c r="U129" s="39">
        <v>0.0</v>
      </c>
      <c r="V129" s="39">
        <v>0.0</v>
      </c>
      <c r="W129" s="35" t="s">
        <v>7045</v>
      </c>
      <c r="X129" s="30">
        <v>47119.0</v>
      </c>
      <c r="Y129" s="30">
        <v>47483.0</v>
      </c>
      <c r="Z129" s="39">
        <v>0.0</v>
      </c>
      <c r="AA129" s="39">
        <v>0.0</v>
      </c>
      <c r="AB129" s="35" t="s">
        <v>7045</v>
      </c>
      <c r="AC129" s="30">
        <v>47484.0</v>
      </c>
      <c r="AD129" s="30">
        <v>47848.0</v>
      </c>
      <c r="AE129" s="39">
        <v>0.0</v>
      </c>
      <c r="AF129" s="39">
        <v>0.0</v>
      </c>
      <c r="AG129" s="35" t="s">
        <v>7045</v>
      </c>
      <c r="AH129" s="30">
        <v>45292.0</v>
      </c>
      <c r="AI129" s="30">
        <v>45657.0</v>
      </c>
      <c r="AJ129" s="39">
        <v>0.62</v>
      </c>
      <c r="AK129" s="39">
        <v>0.0</v>
      </c>
      <c r="AL129" s="38" t="s">
        <v>7047</v>
      </c>
      <c r="AM129" s="30">
        <v>44562.0</v>
      </c>
      <c r="AN129" s="30">
        <v>44926.0</v>
      </c>
      <c r="AO129" s="39">
        <v>9.1</v>
      </c>
      <c r="AP129" s="39">
        <v>300.0</v>
      </c>
      <c r="AQ129" s="32" t="s">
        <v>7043</v>
      </c>
      <c r="AR129" s="30">
        <v>44927.0</v>
      </c>
      <c r="AS129" s="30">
        <v>45291.0</v>
      </c>
      <c r="AT129" s="39">
        <v>17.95</v>
      </c>
      <c r="AU129" s="39">
        <v>300.0</v>
      </c>
      <c r="AV129" s="32" t="s">
        <v>7043</v>
      </c>
    </row>
    <row r="130" ht="14.25" customHeight="1">
      <c r="A130" s="28" t="s">
        <v>585</v>
      </c>
      <c r="B130" s="29" t="s">
        <v>586</v>
      </c>
      <c r="C130" s="29" t="s">
        <v>7041</v>
      </c>
      <c r="D130" s="30">
        <v>45658.0</v>
      </c>
      <c r="E130" s="30">
        <v>46022.0</v>
      </c>
      <c r="F130" s="39">
        <v>74.77</v>
      </c>
      <c r="G130" s="39">
        <v>0.0</v>
      </c>
      <c r="H130" s="38" t="s">
        <v>7047</v>
      </c>
      <c r="I130" s="30">
        <v>46023.0</v>
      </c>
      <c r="J130" s="30">
        <v>46387.0</v>
      </c>
      <c r="K130" s="39">
        <v>0.0</v>
      </c>
      <c r="L130" s="39">
        <v>0.0</v>
      </c>
      <c r="M130" s="35" t="s">
        <v>7045</v>
      </c>
      <c r="N130" s="30">
        <v>46388.0</v>
      </c>
      <c r="O130" s="30">
        <v>46752.0</v>
      </c>
      <c r="P130" s="39">
        <v>0.0</v>
      </c>
      <c r="Q130" s="39">
        <v>0.0</v>
      </c>
      <c r="R130" s="35" t="s">
        <v>7045</v>
      </c>
      <c r="S130" s="30">
        <v>46753.0</v>
      </c>
      <c r="T130" s="30">
        <v>47118.0</v>
      </c>
      <c r="U130" s="39">
        <v>0.0</v>
      </c>
      <c r="V130" s="39">
        <v>0.0</v>
      </c>
      <c r="W130" s="35" t="s">
        <v>7045</v>
      </c>
      <c r="X130" s="30">
        <v>47119.0</v>
      </c>
      <c r="Y130" s="30">
        <v>47483.0</v>
      </c>
      <c r="Z130" s="39">
        <v>0.0</v>
      </c>
      <c r="AA130" s="39">
        <v>0.0</v>
      </c>
      <c r="AB130" s="35" t="s">
        <v>7045</v>
      </c>
      <c r="AC130" s="30">
        <v>47484.0</v>
      </c>
      <c r="AD130" s="30">
        <v>47848.0</v>
      </c>
      <c r="AE130" s="39">
        <v>0.0</v>
      </c>
      <c r="AF130" s="39">
        <v>0.0</v>
      </c>
      <c r="AG130" s="35" t="s">
        <v>7045</v>
      </c>
      <c r="AH130" s="30">
        <v>45292.0</v>
      </c>
      <c r="AI130" s="30">
        <v>45657.0</v>
      </c>
      <c r="AJ130" s="39">
        <v>41.27</v>
      </c>
      <c r="AK130" s="39">
        <v>0.0</v>
      </c>
      <c r="AL130" s="38" t="s">
        <v>7047</v>
      </c>
      <c r="AM130" s="30">
        <v>44562.0</v>
      </c>
      <c r="AN130" s="30">
        <v>44926.0</v>
      </c>
      <c r="AO130" s="39">
        <v>0.0</v>
      </c>
      <c r="AP130" s="39">
        <v>0.0</v>
      </c>
      <c r="AQ130" s="35" t="s">
        <v>7045</v>
      </c>
      <c r="AR130" s="30">
        <v>44927.0</v>
      </c>
      <c r="AS130" s="30">
        <v>45291.0</v>
      </c>
      <c r="AT130" s="39">
        <v>0.0</v>
      </c>
      <c r="AU130" s="39">
        <v>0.0</v>
      </c>
      <c r="AV130" s="35" t="s">
        <v>7045</v>
      </c>
    </row>
    <row r="131" ht="14.25" customHeight="1">
      <c r="A131" s="28" t="s">
        <v>737</v>
      </c>
      <c r="B131" s="29" t="s">
        <v>738</v>
      </c>
      <c r="C131" s="29" t="s">
        <v>7041</v>
      </c>
      <c r="D131" s="30">
        <v>45658.0</v>
      </c>
      <c r="E131" s="30">
        <v>46022.0</v>
      </c>
      <c r="F131" s="39">
        <v>122.18</v>
      </c>
      <c r="G131" s="39">
        <v>1009.0</v>
      </c>
      <c r="H131" s="38" t="s">
        <v>7043</v>
      </c>
      <c r="I131" s="30">
        <v>46023.0</v>
      </c>
      <c r="J131" s="30">
        <v>46387.0</v>
      </c>
      <c r="K131" s="39">
        <v>0.0</v>
      </c>
      <c r="L131" s="39">
        <v>0.0</v>
      </c>
      <c r="M131" s="35" t="s">
        <v>7045</v>
      </c>
      <c r="N131" s="30">
        <v>46388.0</v>
      </c>
      <c r="O131" s="30">
        <v>46752.0</v>
      </c>
      <c r="P131" s="39">
        <v>0.0</v>
      </c>
      <c r="Q131" s="39">
        <v>0.0</v>
      </c>
      <c r="R131" s="35" t="s">
        <v>7045</v>
      </c>
      <c r="S131" s="30">
        <v>46753.0</v>
      </c>
      <c r="T131" s="30">
        <v>47118.0</v>
      </c>
      <c r="U131" s="39">
        <v>0.0</v>
      </c>
      <c r="V131" s="39">
        <v>0.0</v>
      </c>
      <c r="W131" s="35" t="s">
        <v>7045</v>
      </c>
      <c r="X131" s="30">
        <v>47119.0</v>
      </c>
      <c r="Y131" s="30">
        <v>47483.0</v>
      </c>
      <c r="Z131" s="39">
        <v>0.0</v>
      </c>
      <c r="AA131" s="39">
        <v>0.0</v>
      </c>
      <c r="AB131" s="35" t="s">
        <v>7045</v>
      </c>
      <c r="AC131" s="30">
        <v>47484.0</v>
      </c>
      <c r="AD131" s="30">
        <v>47848.0</v>
      </c>
      <c r="AE131" s="39">
        <v>0.0</v>
      </c>
      <c r="AF131" s="39">
        <v>0.0</v>
      </c>
      <c r="AG131" s="35" t="s">
        <v>7045</v>
      </c>
      <c r="AH131" s="30">
        <v>45292.0</v>
      </c>
      <c r="AI131" s="30">
        <v>45657.0</v>
      </c>
      <c r="AJ131" s="39">
        <v>502.28</v>
      </c>
      <c r="AK131" s="39">
        <v>1500.0</v>
      </c>
      <c r="AL131" s="32" t="s">
        <v>7043</v>
      </c>
      <c r="AM131" s="30">
        <v>44562.0</v>
      </c>
      <c r="AN131" s="30">
        <v>44926.0</v>
      </c>
      <c r="AO131" s="39">
        <v>166.6</v>
      </c>
      <c r="AP131" s="39">
        <v>0.0</v>
      </c>
      <c r="AQ131" s="38" t="s">
        <v>7047</v>
      </c>
      <c r="AR131" s="30">
        <v>44927.0</v>
      </c>
      <c r="AS131" s="30">
        <v>45291.0</v>
      </c>
      <c r="AT131" s="39">
        <v>347.25</v>
      </c>
      <c r="AU131" s="39">
        <v>2000.0</v>
      </c>
      <c r="AV131" s="32" t="s">
        <v>7043</v>
      </c>
    </row>
    <row r="132" ht="14.25" customHeight="1">
      <c r="A132" s="28" t="s">
        <v>827</v>
      </c>
      <c r="B132" s="29" t="s">
        <v>828</v>
      </c>
      <c r="C132" s="29" t="s">
        <v>7041</v>
      </c>
      <c r="D132" s="30">
        <v>45658.0</v>
      </c>
      <c r="E132" s="30">
        <v>46022.0</v>
      </c>
      <c r="F132" s="39">
        <v>0.0</v>
      </c>
      <c r="G132" s="39">
        <v>0.0</v>
      </c>
      <c r="H132" s="35" t="s">
        <v>7045</v>
      </c>
      <c r="I132" s="30">
        <v>46023.0</v>
      </c>
      <c r="J132" s="30">
        <v>46387.0</v>
      </c>
      <c r="K132" s="39">
        <v>0.0</v>
      </c>
      <c r="L132" s="39">
        <v>0.0</v>
      </c>
      <c r="M132" s="35" t="s">
        <v>7045</v>
      </c>
      <c r="N132" s="30">
        <v>46388.0</v>
      </c>
      <c r="O132" s="30">
        <v>46752.0</v>
      </c>
      <c r="P132" s="39">
        <v>0.0</v>
      </c>
      <c r="Q132" s="39">
        <v>0.0</v>
      </c>
      <c r="R132" s="35" t="s">
        <v>7045</v>
      </c>
      <c r="S132" s="30">
        <v>46753.0</v>
      </c>
      <c r="T132" s="30">
        <v>47118.0</v>
      </c>
      <c r="U132" s="39">
        <v>0.0</v>
      </c>
      <c r="V132" s="39">
        <v>0.0</v>
      </c>
      <c r="W132" s="35" t="s">
        <v>7045</v>
      </c>
      <c r="X132" s="30">
        <v>47119.0</v>
      </c>
      <c r="Y132" s="30">
        <v>47483.0</v>
      </c>
      <c r="Z132" s="39">
        <v>0.0</v>
      </c>
      <c r="AA132" s="39">
        <v>0.0</v>
      </c>
      <c r="AB132" s="35" t="s">
        <v>7045</v>
      </c>
      <c r="AC132" s="30">
        <v>47484.0</v>
      </c>
      <c r="AD132" s="30">
        <v>47848.0</v>
      </c>
      <c r="AE132" s="39">
        <v>0.0</v>
      </c>
      <c r="AF132" s="39">
        <v>0.0</v>
      </c>
      <c r="AG132" s="35" t="s">
        <v>7045</v>
      </c>
      <c r="AH132" s="30">
        <v>45292.0</v>
      </c>
      <c r="AI132" s="30">
        <v>45657.0</v>
      </c>
      <c r="AJ132" s="39">
        <v>0.0</v>
      </c>
      <c r="AK132" s="39">
        <v>0.0</v>
      </c>
      <c r="AL132" s="35" t="s">
        <v>7045</v>
      </c>
      <c r="AM132" s="30">
        <v>44562.0</v>
      </c>
      <c r="AN132" s="30">
        <v>44926.0</v>
      </c>
      <c r="AO132" s="39">
        <v>27.1</v>
      </c>
      <c r="AP132" s="39">
        <v>50.0</v>
      </c>
      <c r="AQ132" s="37" t="s">
        <v>7046</v>
      </c>
      <c r="AR132" s="30">
        <v>44927.0</v>
      </c>
      <c r="AS132" s="30">
        <v>45291.0</v>
      </c>
      <c r="AT132" s="39">
        <v>150.82</v>
      </c>
      <c r="AU132" s="39">
        <v>150.0</v>
      </c>
      <c r="AV132" s="38" t="s">
        <v>7047</v>
      </c>
    </row>
    <row r="133" ht="14.25" customHeight="1">
      <c r="A133" s="28" t="s">
        <v>941</v>
      </c>
      <c r="B133" s="29" t="s">
        <v>942</v>
      </c>
      <c r="C133" s="29" t="s">
        <v>7041</v>
      </c>
      <c r="D133" s="30">
        <v>45658.0</v>
      </c>
      <c r="E133" s="30">
        <v>46022.0</v>
      </c>
      <c r="F133" s="39">
        <v>0.0</v>
      </c>
      <c r="G133" s="39">
        <v>0.0</v>
      </c>
      <c r="H133" s="35" t="s">
        <v>7045</v>
      </c>
      <c r="I133" s="30">
        <v>46023.0</v>
      </c>
      <c r="J133" s="30">
        <v>46387.0</v>
      </c>
      <c r="K133" s="39">
        <v>0.0</v>
      </c>
      <c r="L133" s="39">
        <v>0.0</v>
      </c>
      <c r="M133" s="35" t="s">
        <v>7045</v>
      </c>
      <c r="N133" s="30">
        <v>46388.0</v>
      </c>
      <c r="O133" s="30">
        <v>46752.0</v>
      </c>
      <c r="P133" s="39">
        <v>0.0</v>
      </c>
      <c r="Q133" s="39">
        <v>0.0</v>
      </c>
      <c r="R133" s="35" t="s">
        <v>7045</v>
      </c>
      <c r="S133" s="30">
        <v>46753.0</v>
      </c>
      <c r="T133" s="30">
        <v>47118.0</v>
      </c>
      <c r="U133" s="39">
        <v>0.0</v>
      </c>
      <c r="V133" s="39">
        <v>0.0</v>
      </c>
      <c r="W133" s="35" t="s">
        <v>7045</v>
      </c>
      <c r="X133" s="30">
        <v>47119.0</v>
      </c>
      <c r="Y133" s="30">
        <v>47483.0</v>
      </c>
      <c r="Z133" s="39">
        <v>0.0</v>
      </c>
      <c r="AA133" s="39">
        <v>0.0</v>
      </c>
      <c r="AB133" s="35" t="s">
        <v>7045</v>
      </c>
      <c r="AC133" s="30">
        <v>47484.0</v>
      </c>
      <c r="AD133" s="30">
        <v>47848.0</v>
      </c>
      <c r="AE133" s="39">
        <v>0.0</v>
      </c>
      <c r="AF133" s="39">
        <v>0.0</v>
      </c>
      <c r="AG133" s="35" t="s">
        <v>7045</v>
      </c>
      <c r="AH133" s="30">
        <v>45292.0</v>
      </c>
      <c r="AI133" s="30">
        <v>45657.0</v>
      </c>
      <c r="AJ133" s="39">
        <v>0.0</v>
      </c>
      <c r="AK133" s="39">
        <v>0.0</v>
      </c>
      <c r="AL133" s="35" t="s">
        <v>7045</v>
      </c>
      <c r="AM133" s="30">
        <v>44562.0</v>
      </c>
      <c r="AN133" s="30">
        <v>44926.0</v>
      </c>
      <c r="AO133" s="39">
        <v>0.0</v>
      </c>
      <c r="AP133" s="39">
        <v>0.0</v>
      </c>
      <c r="AQ133" s="35" t="s">
        <v>7045</v>
      </c>
      <c r="AR133" s="30">
        <v>44927.0</v>
      </c>
      <c r="AS133" s="30">
        <v>45291.0</v>
      </c>
      <c r="AT133" s="39">
        <v>0.0</v>
      </c>
      <c r="AU133" s="39">
        <v>0.0</v>
      </c>
      <c r="AV133" s="35" t="s">
        <v>7045</v>
      </c>
    </row>
    <row r="134" ht="14.25" customHeight="1">
      <c r="A134" s="28" t="s">
        <v>1036</v>
      </c>
      <c r="B134" s="29" t="s">
        <v>1037</v>
      </c>
      <c r="C134" s="29" t="s">
        <v>7041</v>
      </c>
      <c r="D134" s="30">
        <v>45658.0</v>
      </c>
      <c r="E134" s="30">
        <v>46022.0</v>
      </c>
      <c r="F134" s="39">
        <v>2.48</v>
      </c>
      <c r="G134" s="39">
        <v>0.0</v>
      </c>
      <c r="H134" s="35" t="s">
        <v>7047</v>
      </c>
      <c r="I134" s="30">
        <v>46023.0</v>
      </c>
      <c r="J134" s="30">
        <v>46387.0</v>
      </c>
      <c r="K134" s="39">
        <v>0.0</v>
      </c>
      <c r="L134" s="39">
        <v>0.0</v>
      </c>
      <c r="M134" s="35" t="s">
        <v>7045</v>
      </c>
      <c r="N134" s="30">
        <v>46388.0</v>
      </c>
      <c r="O134" s="30">
        <v>46752.0</v>
      </c>
      <c r="P134" s="39">
        <v>0.0</v>
      </c>
      <c r="Q134" s="39">
        <v>0.0</v>
      </c>
      <c r="R134" s="35" t="s">
        <v>7045</v>
      </c>
      <c r="S134" s="30">
        <v>46753.0</v>
      </c>
      <c r="T134" s="30">
        <v>47118.0</v>
      </c>
      <c r="U134" s="39">
        <v>0.0</v>
      </c>
      <c r="V134" s="39">
        <v>0.0</v>
      </c>
      <c r="W134" s="35" t="s">
        <v>7045</v>
      </c>
      <c r="X134" s="30">
        <v>47119.0</v>
      </c>
      <c r="Y134" s="30">
        <v>47483.0</v>
      </c>
      <c r="Z134" s="39">
        <v>0.0</v>
      </c>
      <c r="AA134" s="39">
        <v>0.0</v>
      </c>
      <c r="AB134" s="35" t="s">
        <v>7045</v>
      </c>
      <c r="AC134" s="30">
        <v>47484.0</v>
      </c>
      <c r="AD134" s="30">
        <v>47848.0</v>
      </c>
      <c r="AE134" s="39">
        <v>0.0</v>
      </c>
      <c r="AF134" s="39">
        <v>0.0</v>
      </c>
      <c r="AG134" s="35" t="s">
        <v>7045</v>
      </c>
      <c r="AH134" s="30">
        <v>45292.0</v>
      </c>
      <c r="AI134" s="30">
        <v>45657.0</v>
      </c>
      <c r="AJ134" s="39">
        <v>0.45</v>
      </c>
      <c r="AK134" s="39">
        <v>0.0</v>
      </c>
      <c r="AL134" s="38" t="s">
        <v>7047</v>
      </c>
      <c r="AM134" s="30">
        <v>44562.0</v>
      </c>
      <c r="AN134" s="30">
        <v>44926.0</v>
      </c>
      <c r="AO134" s="39">
        <v>0.0</v>
      </c>
      <c r="AP134" s="39">
        <v>0.0</v>
      </c>
      <c r="AQ134" s="35" t="s">
        <v>7045</v>
      </c>
      <c r="AR134" s="30">
        <v>44927.0</v>
      </c>
      <c r="AS134" s="30">
        <v>45291.0</v>
      </c>
      <c r="AT134" s="39">
        <v>0.0</v>
      </c>
      <c r="AU134" s="39">
        <v>0.0</v>
      </c>
      <c r="AV134" s="35" t="s">
        <v>7045</v>
      </c>
    </row>
    <row r="135" ht="14.25" customHeight="1">
      <c r="A135" s="28" t="s">
        <v>1057</v>
      </c>
      <c r="B135" s="29" t="s">
        <v>1058</v>
      </c>
      <c r="C135" s="29" t="s">
        <v>7041</v>
      </c>
      <c r="D135" s="30">
        <v>45658.0</v>
      </c>
      <c r="E135" s="30">
        <v>46022.0</v>
      </c>
      <c r="F135" s="36">
        <v>439.53</v>
      </c>
      <c r="G135" s="36">
        <v>1199.99</v>
      </c>
      <c r="H135" s="37" t="s">
        <v>7046</v>
      </c>
      <c r="I135" s="30">
        <v>46023.0</v>
      </c>
      <c r="J135" s="30">
        <v>46387.0</v>
      </c>
      <c r="K135" s="36">
        <v>0.0</v>
      </c>
      <c r="L135" s="36">
        <v>0.0</v>
      </c>
      <c r="M135" s="35" t="s">
        <v>7045</v>
      </c>
      <c r="N135" s="30">
        <v>46388.0</v>
      </c>
      <c r="O135" s="30">
        <v>46752.0</v>
      </c>
      <c r="P135" s="36">
        <v>0.0</v>
      </c>
      <c r="Q135" s="36">
        <v>0.0</v>
      </c>
      <c r="R135" s="35" t="s">
        <v>7045</v>
      </c>
      <c r="S135" s="30">
        <v>46753.0</v>
      </c>
      <c r="T135" s="30">
        <v>47118.0</v>
      </c>
      <c r="U135" s="36">
        <v>0.0</v>
      </c>
      <c r="V135" s="36">
        <v>0.0</v>
      </c>
      <c r="W135" s="35" t="s">
        <v>7045</v>
      </c>
      <c r="X135" s="30">
        <v>47119.0</v>
      </c>
      <c r="Y135" s="30">
        <v>47483.0</v>
      </c>
      <c r="Z135" s="36">
        <v>0.0</v>
      </c>
      <c r="AA135" s="36">
        <v>0.0</v>
      </c>
      <c r="AB135" s="35" t="s">
        <v>7045</v>
      </c>
      <c r="AC135" s="30">
        <v>47484.0</v>
      </c>
      <c r="AD135" s="30">
        <v>47848.0</v>
      </c>
      <c r="AE135" s="36">
        <v>0.0</v>
      </c>
      <c r="AF135" s="36">
        <v>0.0</v>
      </c>
      <c r="AG135" s="35" t="s">
        <v>7045</v>
      </c>
      <c r="AH135" s="30">
        <v>45292.0</v>
      </c>
      <c r="AI135" s="30">
        <v>45657.0</v>
      </c>
      <c r="AJ135" s="36">
        <v>923.51</v>
      </c>
      <c r="AK135" s="36">
        <v>999.99</v>
      </c>
      <c r="AL135" s="37" t="s">
        <v>7046</v>
      </c>
      <c r="AM135" s="30">
        <v>44562.0</v>
      </c>
      <c r="AN135" s="30">
        <v>44926.0</v>
      </c>
      <c r="AO135" s="36">
        <v>229.5</v>
      </c>
      <c r="AP135" s="36">
        <v>0.0</v>
      </c>
      <c r="AQ135" s="38" t="s">
        <v>7047</v>
      </c>
      <c r="AR135" s="30">
        <v>44927.0</v>
      </c>
      <c r="AS135" s="30">
        <v>45291.0</v>
      </c>
      <c r="AT135" s="36">
        <v>654.64</v>
      </c>
      <c r="AU135" s="36">
        <v>999.99</v>
      </c>
      <c r="AV135" s="37" t="s">
        <v>7046</v>
      </c>
    </row>
    <row r="136" ht="14.25" customHeight="1">
      <c r="A136" s="28" t="s">
        <v>1109</v>
      </c>
      <c r="B136" s="29" t="s">
        <v>1110</v>
      </c>
      <c r="C136" s="29" t="s">
        <v>7041</v>
      </c>
      <c r="D136" s="30">
        <v>45658.0</v>
      </c>
      <c r="E136" s="30">
        <v>46022.0</v>
      </c>
      <c r="F136" s="39">
        <v>4.7</v>
      </c>
      <c r="G136" s="39">
        <v>200.0</v>
      </c>
      <c r="H136" s="32" t="s">
        <v>7043</v>
      </c>
      <c r="I136" s="30">
        <v>46023.0</v>
      </c>
      <c r="J136" s="30">
        <v>46387.0</v>
      </c>
      <c r="K136" s="39">
        <v>0.0</v>
      </c>
      <c r="L136" s="39">
        <v>0.0</v>
      </c>
      <c r="M136" s="35" t="s">
        <v>7045</v>
      </c>
      <c r="N136" s="30">
        <v>46388.0</v>
      </c>
      <c r="O136" s="30">
        <v>46752.0</v>
      </c>
      <c r="P136" s="39">
        <v>0.0</v>
      </c>
      <c r="Q136" s="39">
        <v>0.0</v>
      </c>
      <c r="R136" s="35" t="s">
        <v>7045</v>
      </c>
      <c r="S136" s="30">
        <v>46753.0</v>
      </c>
      <c r="T136" s="30">
        <v>47118.0</v>
      </c>
      <c r="U136" s="39">
        <v>0.0</v>
      </c>
      <c r="V136" s="39">
        <v>0.0</v>
      </c>
      <c r="W136" s="35" t="s">
        <v>7045</v>
      </c>
      <c r="X136" s="30">
        <v>47119.0</v>
      </c>
      <c r="Y136" s="30">
        <v>47483.0</v>
      </c>
      <c r="Z136" s="39">
        <v>0.0</v>
      </c>
      <c r="AA136" s="39">
        <v>0.0</v>
      </c>
      <c r="AB136" s="35" t="s">
        <v>7045</v>
      </c>
      <c r="AC136" s="30">
        <v>47484.0</v>
      </c>
      <c r="AD136" s="30">
        <v>47848.0</v>
      </c>
      <c r="AE136" s="39">
        <v>0.0</v>
      </c>
      <c r="AF136" s="39">
        <v>0.0</v>
      </c>
      <c r="AG136" s="35" t="s">
        <v>7045</v>
      </c>
      <c r="AH136" s="30">
        <v>45292.0</v>
      </c>
      <c r="AI136" s="30">
        <v>45657.0</v>
      </c>
      <c r="AJ136" s="39">
        <v>13.86</v>
      </c>
      <c r="AK136" s="39">
        <v>250.0</v>
      </c>
      <c r="AL136" s="32" t="s">
        <v>7043</v>
      </c>
      <c r="AM136" s="30">
        <v>44562.0</v>
      </c>
      <c r="AN136" s="30">
        <v>44926.0</v>
      </c>
      <c r="AO136" s="39">
        <v>0.0</v>
      </c>
      <c r="AP136" s="39">
        <v>0.0</v>
      </c>
      <c r="AQ136" s="35" t="s">
        <v>7045</v>
      </c>
      <c r="AR136" s="30">
        <v>44927.0</v>
      </c>
      <c r="AS136" s="30">
        <v>45291.0</v>
      </c>
      <c r="AT136" s="39">
        <v>1.34</v>
      </c>
      <c r="AU136" s="39">
        <v>0.0</v>
      </c>
      <c r="AV136" s="38" t="s">
        <v>7047</v>
      </c>
    </row>
    <row r="137" ht="14.25" customHeight="1">
      <c r="A137" s="28" t="s">
        <v>1174</v>
      </c>
      <c r="B137" s="29" t="s">
        <v>1175</v>
      </c>
      <c r="C137" s="29" t="s">
        <v>7041</v>
      </c>
      <c r="D137" s="30">
        <v>45658.0</v>
      </c>
      <c r="E137" s="30">
        <v>46022.0</v>
      </c>
      <c r="F137" s="39">
        <v>9.96</v>
      </c>
      <c r="G137" s="39">
        <v>250.0</v>
      </c>
      <c r="H137" s="32" t="s">
        <v>7043</v>
      </c>
      <c r="I137" s="30">
        <v>46023.0</v>
      </c>
      <c r="J137" s="30">
        <v>46387.0</v>
      </c>
      <c r="K137" s="39">
        <v>0.0</v>
      </c>
      <c r="L137" s="39">
        <v>0.0</v>
      </c>
      <c r="M137" s="35" t="s">
        <v>7045</v>
      </c>
      <c r="N137" s="30">
        <v>46388.0</v>
      </c>
      <c r="O137" s="30">
        <v>46752.0</v>
      </c>
      <c r="P137" s="39">
        <v>0.0</v>
      </c>
      <c r="Q137" s="39">
        <v>0.0</v>
      </c>
      <c r="R137" s="35" t="s">
        <v>7045</v>
      </c>
      <c r="S137" s="30">
        <v>46753.0</v>
      </c>
      <c r="T137" s="30">
        <v>47118.0</v>
      </c>
      <c r="U137" s="39">
        <v>0.0</v>
      </c>
      <c r="V137" s="39">
        <v>0.0</v>
      </c>
      <c r="W137" s="35" t="s">
        <v>7045</v>
      </c>
      <c r="X137" s="30">
        <v>47119.0</v>
      </c>
      <c r="Y137" s="30">
        <v>47483.0</v>
      </c>
      <c r="Z137" s="39">
        <v>0.0</v>
      </c>
      <c r="AA137" s="39">
        <v>0.0</v>
      </c>
      <c r="AB137" s="35" t="s">
        <v>7045</v>
      </c>
      <c r="AC137" s="30">
        <v>47484.0</v>
      </c>
      <c r="AD137" s="30">
        <v>47848.0</v>
      </c>
      <c r="AE137" s="39">
        <v>0.0</v>
      </c>
      <c r="AF137" s="39">
        <v>0.0</v>
      </c>
      <c r="AG137" s="35" t="s">
        <v>7045</v>
      </c>
      <c r="AH137" s="30">
        <v>45292.0</v>
      </c>
      <c r="AI137" s="30">
        <v>45657.0</v>
      </c>
      <c r="AJ137" s="39">
        <v>36.73</v>
      </c>
      <c r="AK137" s="39">
        <v>295.9</v>
      </c>
      <c r="AL137" s="32" t="s">
        <v>7043</v>
      </c>
      <c r="AM137" s="30">
        <v>44562.0</v>
      </c>
      <c r="AN137" s="30">
        <v>44926.0</v>
      </c>
      <c r="AO137" s="39">
        <v>149.7</v>
      </c>
      <c r="AP137" s="39">
        <v>250.0</v>
      </c>
      <c r="AQ137" s="37" t="s">
        <v>7046</v>
      </c>
      <c r="AR137" s="30">
        <v>44927.0</v>
      </c>
      <c r="AS137" s="30">
        <v>45291.0</v>
      </c>
      <c r="AT137" s="39">
        <v>274.7</v>
      </c>
      <c r="AU137" s="39">
        <v>250.0</v>
      </c>
      <c r="AV137" s="38" t="s">
        <v>7047</v>
      </c>
    </row>
    <row r="138" ht="14.25" customHeight="1">
      <c r="A138" s="28" t="s">
        <v>1279</v>
      </c>
      <c r="B138" s="29" t="s">
        <v>1280</v>
      </c>
      <c r="C138" s="29" t="s">
        <v>7041</v>
      </c>
      <c r="D138" s="30">
        <v>45658.0</v>
      </c>
      <c r="E138" s="30">
        <v>46022.0</v>
      </c>
      <c r="F138" s="36">
        <v>112.97</v>
      </c>
      <c r="G138" s="36">
        <v>560.0</v>
      </c>
      <c r="H138" s="37" t="s">
        <v>7043</v>
      </c>
      <c r="I138" s="30">
        <v>46023.0</v>
      </c>
      <c r="J138" s="30">
        <v>46387.0</v>
      </c>
      <c r="K138" s="36">
        <v>0.0</v>
      </c>
      <c r="L138" s="36">
        <v>0.0</v>
      </c>
      <c r="M138" s="35" t="s">
        <v>7045</v>
      </c>
      <c r="N138" s="30">
        <v>46388.0</v>
      </c>
      <c r="O138" s="30">
        <v>46752.0</v>
      </c>
      <c r="P138" s="36">
        <v>0.0</v>
      </c>
      <c r="Q138" s="36">
        <v>0.0</v>
      </c>
      <c r="R138" s="35" t="s">
        <v>7045</v>
      </c>
      <c r="S138" s="30">
        <v>46753.0</v>
      </c>
      <c r="T138" s="30">
        <v>47118.0</v>
      </c>
      <c r="U138" s="36">
        <v>0.0</v>
      </c>
      <c r="V138" s="36">
        <v>0.0</v>
      </c>
      <c r="W138" s="35" t="s">
        <v>7045</v>
      </c>
      <c r="X138" s="30">
        <v>47119.0</v>
      </c>
      <c r="Y138" s="30">
        <v>47483.0</v>
      </c>
      <c r="Z138" s="36">
        <v>0.0</v>
      </c>
      <c r="AA138" s="36">
        <v>0.0</v>
      </c>
      <c r="AB138" s="35" t="s">
        <v>7045</v>
      </c>
      <c r="AC138" s="30">
        <v>47484.0</v>
      </c>
      <c r="AD138" s="30">
        <v>47848.0</v>
      </c>
      <c r="AE138" s="36">
        <v>0.0</v>
      </c>
      <c r="AF138" s="36">
        <v>0.0</v>
      </c>
      <c r="AG138" s="35" t="s">
        <v>7045</v>
      </c>
      <c r="AH138" s="30">
        <v>45292.0</v>
      </c>
      <c r="AI138" s="30">
        <v>45657.0</v>
      </c>
      <c r="AJ138" s="36">
        <v>29.6</v>
      </c>
      <c r="AK138" s="36">
        <v>272.0</v>
      </c>
      <c r="AL138" s="32" t="s">
        <v>7043</v>
      </c>
      <c r="AM138" s="30">
        <v>44562.0</v>
      </c>
      <c r="AN138" s="30">
        <v>44926.0</v>
      </c>
      <c r="AO138" s="36">
        <v>0.0</v>
      </c>
      <c r="AP138" s="36">
        <v>0.0</v>
      </c>
      <c r="AQ138" s="35" t="s">
        <v>7045</v>
      </c>
      <c r="AR138" s="30">
        <v>44927.0</v>
      </c>
      <c r="AS138" s="30">
        <v>45291.0</v>
      </c>
      <c r="AT138" s="36">
        <v>124.79</v>
      </c>
      <c r="AU138" s="36">
        <v>0.0</v>
      </c>
      <c r="AV138" s="38" t="s">
        <v>7047</v>
      </c>
    </row>
    <row r="139" ht="14.25" customHeight="1">
      <c r="A139" s="28" t="s">
        <v>1288</v>
      </c>
      <c r="B139" s="29" t="s">
        <v>1289</v>
      </c>
      <c r="C139" s="29" t="s">
        <v>7041</v>
      </c>
      <c r="D139" s="30">
        <v>45658.0</v>
      </c>
      <c r="E139" s="30">
        <v>46022.0</v>
      </c>
      <c r="F139" s="36">
        <v>0.0</v>
      </c>
      <c r="G139" s="36">
        <v>200.0</v>
      </c>
      <c r="H139" s="32" t="s">
        <v>7043</v>
      </c>
      <c r="I139" s="30">
        <v>46023.0</v>
      </c>
      <c r="J139" s="30">
        <v>46387.0</v>
      </c>
      <c r="K139" s="36">
        <v>0.0</v>
      </c>
      <c r="L139" s="36">
        <v>0.0</v>
      </c>
      <c r="M139" s="35" t="s">
        <v>7045</v>
      </c>
      <c r="N139" s="30">
        <v>46388.0</v>
      </c>
      <c r="O139" s="30">
        <v>46752.0</v>
      </c>
      <c r="P139" s="36">
        <v>0.0</v>
      </c>
      <c r="Q139" s="36">
        <v>0.0</v>
      </c>
      <c r="R139" s="35" t="s">
        <v>7045</v>
      </c>
      <c r="S139" s="30">
        <v>46753.0</v>
      </c>
      <c r="T139" s="30">
        <v>47118.0</v>
      </c>
      <c r="U139" s="36">
        <v>0.0</v>
      </c>
      <c r="V139" s="36">
        <v>0.0</v>
      </c>
      <c r="W139" s="35" t="s">
        <v>7045</v>
      </c>
      <c r="X139" s="30">
        <v>47119.0</v>
      </c>
      <c r="Y139" s="30">
        <v>47483.0</v>
      </c>
      <c r="Z139" s="36">
        <v>0.0</v>
      </c>
      <c r="AA139" s="36">
        <v>0.0</v>
      </c>
      <c r="AB139" s="35" t="s">
        <v>7045</v>
      </c>
      <c r="AC139" s="30">
        <v>47484.0</v>
      </c>
      <c r="AD139" s="30">
        <v>47848.0</v>
      </c>
      <c r="AE139" s="36">
        <v>0.0</v>
      </c>
      <c r="AF139" s="36">
        <v>0.0</v>
      </c>
      <c r="AG139" s="35" t="s">
        <v>7045</v>
      </c>
      <c r="AH139" s="30">
        <v>45292.0</v>
      </c>
      <c r="AI139" s="30">
        <v>45657.0</v>
      </c>
      <c r="AJ139" s="36">
        <v>74.55</v>
      </c>
      <c r="AK139" s="36">
        <v>0.0</v>
      </c>
      <c r="AL139" s="38" t="s">
        <v>7047</v>
      </c>
      <c r="AM139" s="30">
        <v>44562.0</v>
      </c>
      <c r="AN139" s="30">
        <v>44926.0</v>
      </c>
      <c r="AO139" s="36">
        <v>0.0</v>
      </c>
      <c r="AP139" s="36">
        <v>0.0</v>
      </c>
      <c r="AQ139" s="35" t="s">
        <v>7045</v>
      </c>
      <c r="AR139" s="30">
        <v>44927.0</v>
      </c>
      <c r="AS139" s="30">
        <v>45291.0</v>
      </c>
      <c r="AT139" s="36">
        <v>0.0</v>
      </c>
      <c r="AU139" s="36">
        <v>0.0</v>
      </c>
      <c r="AV139" s="35" t="s">
        <v>7045</v>
      </c>
    </row>
    <row r="140" ht="14.25" customHeight="1">
      <c r="A140" s="28" t="s">
        <v>1320</v>
      </c>
      <c r="B140" s="29" t="s">
        <v>1321</v>
      </c>
      <c r="C140" s="29" t="s">
        <v>7041</v>
      </c>
      <c r="D140" s="30">
        <v>45658.0</v>
      </c>
      <c r="E140" s="30">
        <v>46022.0</v>
      </c>
      <c r="F140" s="36">
        <v>23.77</v>
      </c>
      <c r="G140" s="36">
        <v>300.0</v>
      </c>
      <c r="H140" s="32" t="s">
        <v>7043</v>
      </c>
      <c r="I140" s="30">
        <v>46023.0</v>
      </c>
      <c r="J140" s="30">
        <v>46387.0</v>
      </c>
      <c r="K140" s="36">
        <v>0.0</v>
      </c>
      <c r="L140" s="36">
        <v>0.0</v>
      </c>
      <c r="M140" s="35" t="s">
        <v>7045</v>
      </c>
      <c r="N140" s="30">
        <v>46388.0</v>
      </c>
      <c r="O140" s="30">
        <v>46752.0</v>
      </c>
      <c r="P140" s="36">
        <v>0.0</v>
      </c>
      <c r="Q140" s="36">
        <v>0.0</v>
      </c>
      <c r="R140" s="35" t="s">
        <v>7045</v>
      </c>
      <c r="S140" s="30">
        <v>46753.0</v>
      </c>
      <c r="T140" s="30">
        <v>47118.0</v>
      </c>
      <c r="U140" s="36">
        <v>0.0</v>
      </c>
      <c r="V140" s="36">
        <v>0.0</v>
      </c>
      <c r="W140" s="35" t="s">
        <v>7045</v>
      </c>
      <c r="X140" s="30">
        <v>47119.0</v>
      </c>
      <c r="Y140" s="30">
        <v>47483.0</v>
      </c>
      <c r="Z140" s="36">
        <v>0.0</v>
      </c>
      <c r="AA140" s="36">
        <v>0.0</v>
      </c>
      <c r="AB140" s="35" t="s">
        <v>7045</v>
      </c>
      <c r="AC140" s="30">
        <v>47484.0</v>
      </c>
      <c r="AD140" s="30">
        <v>47848.0</v>
      </c>
      <c r="AE140" s="36">
        <v>0.0</v>
      </c>
      <c r="AF140" s="36">
        <v>0.0</v>
      </c>
      <c r="AG140" s="35" t="s">
        <v>7045</v>
      </c>
      <c r="AH140" s="30">
        <v>45292.0</v>
      </c>
      <c r="AI140" s="30">
        <v>45657.0</v>
      </c>
      <c r="AJ140" s="36">
        <v>0.0</v>
      </c>
      <c r="AK140" s="36">
        <v>250.0</v>
      </c>
      <c r="AL140" s="32" t="s">
        <v>7043</v>
      </c>
      <c r="AM140" s="30">
        <v>44562.0</v>
      </c>
      <c r="AN140" s="30">
        <v>44926.0</v>
      </c>
      <c r="AO140" s="36">
        <v>0.0</v>
      </c>
      <c r="AP140" s="36">
        <v>250.0</v>
      </c>
      <c r="AQ140" s="32" t="s">
        <v>7043</v>
      </c>
      <c r="AR140" s="30">
        <v>44927.0</v>
      </c>
      <c r="AS140" s="30">
        <v>45291.0</v>
      </c>
      <c r="AT140" s="36">
        <v>214.32</v>
      </c>
      <c r="AU140" s="36">
        <v>500.0</v>
      </c>
      <c r="AV140" s="32" t="s">
        <v>7043</v>
      </c>
    </row>
    <row r="141" ht="14.25" customHeight="1">
      <c r="A141" s="28" t="s">
        <v>1447</v>
      </c>
      <c r="B141" s="29" t="s">
        <v>1448</v>
      </c>
      <c r="C141" s="29" t="s">
        <v>7041</v>
      </c>
      <c r="D141" s="30">
        <v>45658.0</v>
      </c>
      <c r="E141" s="30">
        <v>46022.0</v>
      </c>
      <c r="F141" s="39">
        <v>153.16</v>
      </c>
      <c r="G141" s="39">
        <v>407.0</v>
      </c>
      <c r="H141" s="37" t="s">
        <v>7046</v>
      </c>
      <c r="I141" s="30">
        <v>46023.0</v>
      </c>
      <c r="J141" s="30">
        <v>46387.0</v>
      </c>
      <c r="K141" s="39">
        <v>0.0</v>
      </c>
      <c r="L141" s="39">
        <v>0.0</v>
      </c>
      <c r="M141" s="32" t="s">
        <v>7043</v>
      </c>
      <c r="N141" s="30">
        <v>46388.0</v>
      </c>
      <c r="O141" s="30">
        <v>46752.0</v>
      </c>
      <c r="P141" s="39">
        <v>0.0</v>
      </c>
      <c r="Q141" s="39">
        <v>0.0</v>
      </c>
      <c r="R141" s="32" t="s">
        <v>7043</v>
      </c>
      <c r="S141" s="30">
        <v>46753.0</v>
      </c>
      <c r="T141" s="30">
        <v>47118.0</v>
      </c>
      <c r="U141" s="39">
        <v>0.0</v>
      </c>
      <c r="V141" s="39">
        <v>0.0</v>
      </c>
      <c r="W141" s="32" t="s">
        <v>7043</v>
      </c>
      <c r="X141" s="30">
        <v>47119.0</v>
      </c>
      <c r="Y141" s="30">
        <v>47483.0</v>
      </c>
      <c r="Z141" s="39">
        <v>0.0</v>
      </c>
      <c r="AA141" s="39">
        <v>0.0</v>
      </c>
      <c r="AB141" s="32" t="s">
        <v>7043</v>
      </c>
      <c r="AC141" s="30">
        <v>47484.0</v>
      </c>
      <c r="AD141" s="30">
        <v>47848.0</v>
      </c>
      <c r="AE141" s="39">
        <v>0.0</v>
      </c>
      <c r="AF141" s="39">
        <v>0.0</v>
      </c>
      <c r="AG141" s="32" t="s">
        <v>7043</v>
      </c>
      <c r="AH141" s="30">
        <v>45292.0</v>
      </c>
      <c r="AI141" s="30">
        <v>45657.0</v>
      </c>
      <c r="AJ141" s="39">
        <v>355.38</v>
      </c>
      <c r="AK141" s="39">
        <v>406.0</v>
      </c>
      <c r="AL141" s="37" t="s">
        <v>7046</v>
      </c>
      <c r="AM141" s="30">
        <v>44562.0</v>
      </c>
      <c r="AN141" s="30">
        <v>44926.0</v>
      </c>
      <c r="AO141" s="39">
        <v>399.9</v>
      </c>
      <c r="AP141" s="39">
        <v>281.0</v>
      </c>
      <c r="AQ141" s="38" t="s">
        <v>7047</v>
      </c>
      <c r="AR141" s="30">
        <v>44927.0</v>
      </c>
      <c r="AS141" s="30">
        <v>45291.0</v>
      </c>
      <c r="AT141" s="39">
        <v>368.25</v>
      </c>
      <c r="AU141" s="39">
        <v>725.0</v>
      </c>
      <c r="AV141" s="37" t="s">
        <v>7046</v>
      </c>
    </row>
    <row r="142" ht="14.25" customHeight="1">
      <c r="A142" s="28" t="s">
        <v>1571</v>
      </c>
      <c r="B142" s="29" t="s">
        <v>1572</v>
      </c>
      <c r="C142" s="29" t="s">
        <v>7041</v>
      </c>
      <c r="D142" s="30">
        <v>45658.0</v>
      </c>
      <c r="E142" s="30">
        <v>46022.0</v>
      </c>
      <c r="F142" s="39">
        <v>72.83</v>
      </c>
      <c r="G142" s="39">
        <v>450.0</v>
      </c>
      <c r="H142" s="32" t="s">
        <v>7043</v>
      </c>
      <c r="I142" s="30">
        <v>46023.0</v>
      </c>
      <c r="J142" s="30">
        <v>46387.0</v>
      </c>
      <c r="K142" s="39">
        <v>0.0</v>
      </c>
      <c r="L142" s="39">
        <v>0.0</v>
      </c>
      <c r="M142" s="35" t="s">
        <v>7045</v>
      </c>
      <c r="N142" s="30">
        <v>46388.0</v>
      </c>
      <c r="O142" s="30">
        <v>46752.0</v>
      </c>
      <c r="P142" s="39">
        <v>0.0</v>
      </c>
      <c r="Q142" s="39">
        <v>0.0</v>
      </c>
      <c r="R142" s="35" t="s">
        <v>7045</v>
      </c>
      <c r="S142" s="30">
        <v>46753.0</v>
      </c>
      <c r="T142" s="30">
        <v>47118.0</v>
      </c>
      <c r="U142" s="39">
        <v>0.0</v>
      </c>
      <c r="V142" s="39">
        <v>0.0</v>
      </c>
      <c r="W142" s="35" t="s">
        <v>7045</v>
      </c>
      <c r="X142" s="30">
        <v>47119.0</v>
      </c>
      <c r="Y142" s="30">
        <v>47483.0</v>
      </c>
      <c r="Z142" s="39">
        <v>0.0</v>
      </c>
      <c r="AA142" s="39">
        <v>0.0</v>
      </c>
      <c r="AB142" s="35" t="s">
        <v>7045</v>
      </c>
      <c r="AC142" s="30">
        <v>47484.0</v>
      </c>
      <c r="AD142" s="30">
        <v>47848.0</v>
      </c>
      <c r="AE142" s="39">
        <v>0.0</v>
      </c>
      <c r="AF142" s="39">
        <v>0.0</v>
      </c>
      <c r="AG142" s="35" t="s">
        <v>7045</v>
      </c>
      <c r="AH142" s="30">
        <v>45292.0</v>
      </c>
      <c r="AI142" s="30">
        <v>45657.0</v>
      </c>
      <c r="AJ142" s="39">
        <v>165.81</v>
      </c>
      <c r="AK142" s="39">
        <v>0.0</v>
      </c>
      <c r="AL142" s="38" t="s">
        <v>7047</v>
      </c>
      <c r="AM142" s="30">
        <v>44562.0</v>
      </c>
      <c r="AN142" s="30">
        <v>44926.0</v>
      </c>
      <c r="AO142" s="39">
        <v>0.0</v>
      </c>
      <c r="AP142" s="39">
        <v>0.0</v>
      </c>
      <c r="AQ142" s="35" t="s">
        <v>7045</v>
      </c>
      <c r="AR142" s="30">
        <v>44927.0</v>
      </c>
      <c r="AS142" s="30">
        <v>45291.0</v>
      </c>
      <c r="AT142" s="39">
        <v>60.63</v>
      </c>
      <c r="AU142" s="39">
        <v>0.0</v>
      </c>
      <c r="AV142" s="38" t="s">
        <v>7047</v>
      </c>
    </row>
    <row r="143" ht="14.25" customHeight="1">
      <c r="A143" s="28" t="s">
        <v>1605</v>
      </c>
      <c r="B143" s="29" t="s">
        <v>1606</v>
      </c>
      <c r="C143" s="29" t="s">
        <v>7041</v>
      </c>
      <c r="D143" s="30">
        <v>45658.0</v>
      </c>
      <c r="E143" s="30">
        <v>46022.0</v>
      </c>
      <c r="F143" s="39">
        <v>0.0</v>
      </c>
      <c r="G143" s="39">
        <v>200.0</v>
      </c>
      <c r="H143" s="32" t="s">
        <v>7043</v>
      </c>
      <c r="I143" s="30">
        <v>46023.0</v>
      </c>
      <c r="J143" s="30">
        <v>46387.0</v>
      </c>
      <c r="K143" s="39">
        <v>0.0</v>
      </c>
      <c r="L143" s="39">
        <v>0.0</v>
      </c>
      <c r="M143" s="35" t="s">
        <v>7045</v>
      </c>
      <c r="N143" s="30">
        <v>46388.0</v>
      </c>
      <c r="O143" s="30">
        <v>46752.0</v>
      </c>
      <c r="P143" s="39">
        <v>0.0</v>
      </c>
      <c r="Q143" s="39">
        <v>0.0</v>
      </c>
      <c r="R143" s="35" t="s">
        <v>7045</v>
      </c>
      <c r="S143" s="30">
        <v>46753.0</v>
      </c>
      <c r="T143" s="30">
        <v>47118.0</v>
      </c>
      <c r="U143" s="39">
        <v>0.0</v>
      </c>
      <c r="V143" s="39">
        <v>0.0</v>
      </c>
      <c r="W143" s="35" t="s">
        <v>7045</v>
      </c>
      <c r="X143" s="30">
        <v>47119.0</v>
      </c>
      <c r="Y143" s="30">
        <v>47483.0</v>
      </c>
      <c r="Z143" s="39">
        <v>0.0</v>
      </c>
      <c r="AA143" s="39">
        <v>0.0</v>
      </c>
      <c r="AB143" s="35" t="s">
        <v>7045</v>
      </c>
      <c r="AC143" s="30">
        <v>47484.0</v>
      </c>
      <c r="AD143" s="30">
        <v>47848.0</v>
      </c>
      <c r="AE143" s="39">
        <v>0.0</v>
      </c>
      <c r="AF143" s="39">
        <v>0.0</v>
      </c>
      <c r="AG143" s="35" t="s">
        <v>7045</v>
      </c>
      <c r="AH143" s="30">
        <v>45292.0</v>
      </c>
      <c r="AI143" s="30">
        <v>45657.0</v>
      </c>
      <c r="AJ143" s="39">
        <v>48.51</v>
      </c>
      <c r="AK143" s="39">
        <v>0.0</v>
      </c>
      <c r="AL143" s="38" t="s">
        <v>7047</v>
      </c>
      <c r="AM143" s="30">
        <v>44562.0</v>
      </c>
      <c r="AN143" s="30">
        <v>44926.0</v>
      </c>
      <c r="AO143" s="39">
        <v>34.2</v>
      </c>
      <c r="AP143" s="39">
        <v>0.0</v>
      </c>
      <c r="AQ143" s="38" t="s">
        <v>7047</v>
      </c>
      <c r="AR143" s="30">
        <v>44927.0</v>
      </c>
      <c r="AS143" s="30">
        <v>45291.0</v>
      </c>
      <c r="AT143" s="39">
        <v>5.98</v>
      </c>
      <c r="AU143" s="39">
        <v>0.0</v>
      </c>
      <c r="AV143" s="38" t="s">
        <v>7047</v>
      </c>
    </row>
    <row r="144" ht="14.25" customHeight="1">
      <c r="A144" s="28" t="s">
        <v>1850</v>
      </c>
      <c r="B144" s="29" t="s">
        <v>1851</v>
      </c>
      <c r="C144" s="29" t="s">
        <v>7041</v>
      </c>
      <c r="D144" s="30">
        <v>45658.0</v>
      </c>
      <c r="E144" s="30">
        <v>46022.0</v>
      </c>
      <c r="F144" s="39">
        <v>14.21</v>
      </c>
      <c r="G144" s="39">
        <v>0.0</v>
      </c>
      <c r="H144" s="35" t="s">
        <v>7047</v>
      </c>
      <c r="I144" s="30">
        <v>46023.0</v>
      </c>
      <c r="J144" s="30">
        <v>46387.0</v>
      </c>
      <c r="K144" s="39">
        <v>0.0</v>
      </c>
      <c r="L144" s="39">
        <v>0.0</v>
      </c>
      <c r="M144" s="35" t="s">
        <v>7045</v>
      </c>
      <c r="N144" s="30">
        <v>46388.0</v>
      </c>
      <c r="O144" s="30">
        <v>46752.0</v>
      </c>
      <c r="P144" s="39">
        <v>0.0</v>
      </c>
      <c r="Q144" s="39">
        <v>0.0</v>
      </c>
      <c r="R144" s="35" t="s">
        <v>7045</v>
      </c>
      <c r="S144" s="30">
        <v>46753.0</v>
      </c>
      <c r="T144" s="30">
        <v>47118.0</v>
      </c>
      <c r="U144" s="39">
        <v>0.0</v>
      </c>
      <c r="V144" s="39">
        <v>0.0</v>
      </c>
      <c r="W144" s="35" t="s">
        <v>7045</v>
      </c>
      <c r="X144" s="30">
        <v>47119.0</v>
      </c>
      <c r="Y144" s="30">
        <v>47483.0</v>
      </c>
      <c r="Z144" s="39">
        <v>0.0</v>
      </c>
      <c r="AA144" s="39">
        <v>0.0</v>
      </c>
      <c r="AB144" s="35" t="s">
        <v>7045</v>
      </c>
      <c r="AC144" s="30">
        <v>47484.0</v>
      </c>
      <c r="AD144" s="30">
        <v>47848.0</v>
      </c>
      <c r="AE144" s="39">
        <v>0.0</v>
      </c>
      <c r="AF144" s="39">
        <v>0.0</v>
      </c>
      <c r="AG144" s="35" t="s">
        <v>7045</v>
      </c>
      <c r="AH144" s="30">
        <v>45292.0</v>
      </c>
      <c r="AI144" s="30">
        <v>45657.0</v>
      </c>
      <c r="AJ144" s="39">
        <v>119.06</v>
      </c>
      <c r="AK144" s="39">
        <v>0.0</v>
      </c>
      <c r="AL144" s="38" t="s">
        <v>7047</v>
      </c>
      <c r="AM144" s="30">
        <v>44562.0</v>
      </c>
      <c r="AN144" s="30">
        <v>44926.0</v>
      </c>
      <c r="AO144" s="39">
        <v>17.9</v>
      </c>
      <c r="AP144" s="39">
        <v>0.0</v>
      </c>
      <c r="AQ144" s="38" t="s">
        <v>7047</v>
      </c>
      <c r="AR144" s="30">
        <v>44927.0</v>
      </c>
      <c r="AS144" s="30">
        <v>45291.0</v>
      </c>
      <c r="AT144" s="39">
        <v>1.0</v>
      </c>
      <c r="AU144" s="39">
        <v>200.0</v>
      </c>
      <c r="AV144" s="32" t="s">
        <v>7043</v>
      </c>
    </row>
    <row r="145" ht="14.25" customHeight="1">
      <c r="A145" s="28" t="s">
        <v>1928</v>
      </c>
      <c r="B145" s="29" t="s">
        <v>1929</v>
      </c>
      <c r="C145" s="29" t="s">
        <v>7041</v>
      </c>
      <c r="D145" s="30">
        <v>45658.0</v>
      </c>
      <c r="E145" s="30">
        <v>46022.0</v>
      </c>
      <c r="F145" s="39">
        <v>0.0</v>
      </c>
      <c r="G145" s="39">
        <v>600.0</v>
      </c>
      <c r="H145" s="32" t="s">
        <v>7043</v>
      </c>
      <c r="I145" s="30">
        <v>46023.0</v>
      </c>
      <c r="J145" s="30">
        <v>46387.0</v>
      </c>
      <c r="K145" s="39">
        <v>0.0</v>
      </c>
      <c r="L145" s="39">
        <v>0.0</v>
      </c>
      <c r="M145" s="35" t="s">
        <v>7045</v>
      </c>
      <c r="N145" s="30">
        <v>46388.0</v>
      </c>
      <c r="O145" s="30">
        <v>46752.0</v>
      </c>
      <c r="P145" s="39">
        <v>0.0</v>
      </c>
      <c r="Q145" s="39">
        <v>0.0</v>
      </c>
      <c r="R145" s="35" t="s">
        <v>7045</v>
      </c>
      <c r="S145" s="30">
        <v>46753.0</v>
      </c>
      <c r="T145" s="30">
        <v>47118.0</v>
      </c>
      <c r="U145" s="39">
        <v>0.0</v>
      </c>
      <c r="V145" s="39">
        <v>0.0</v>
      </c>
      <c r="W145" s="35" t="s">
        <v>7045</v>
      </c>
      <c r="X145" s="30">
        <v>47119.0</v>
      </c>
      <c r="Y145" s="30">
        <v>47483.0</v>
      </c>
      <c r="Z145" s="39">
        <v>0.0</v>
      </c>
      <c r="AA145" s="39">
        <v>0.0</v>
      </c>
      <c r="AB145" s="35" t="s">
        <v>7045</v>
      </c>
      <c r="AC145" s="30">
        <v>47484.0</v>
      </c>
      <c r="AD145" s="30">
        <v>47848.0</v>
      </c>
      <c r="AE145" s="39">
        <v>0.0</v>
      </c>
      <c r="AF145" s="39">
        <v>0.0</v>
      </c>
      <c r="AG145" s="35" t="s">
        <v>7045</v>
      </c>
      <c r="AH145" s="30">
        <v>45292.0</v>
      </c>
      <c r="AI145" s="30">
        <v>45657.0</v>
      </c>
      <c r="AJ145" s="39">
        <v>0.0</v>
      </c>
      <c r="AK145" s="39">
        <v>0.0</v>
      </c>
      <c r="AL145" s="35" t="s">
        <v>7045</v>
      </c>
      <c r="AM145" s="30">
        <v>44562.0</v>
      </c>
      <c r="AN145" s="30">
        <v>44926.0</v>
      </c>
      <c r="AO145" s="39">
        <v>0.0</v>
      </c>
      <c r="AP145" s="39">
        <v>0.0</v>
      </c>
      <c r="AQ145" s="35" t="s">
        <v>7045</v>
      </c>
      <c r="AR145" s="30">
        <v>44927.0</v>
      </c>
      <c r="AS145" s="30">
        <v>45291.0</v>
      </c>
      <c r="AT145" s="39">
        <v>0.0</v>
      </c>
      <c r="AU145" s="39">
        <v>0.0</v>
      </c>
      <c r="AV145" s="35" t="s">
        <v>7045</v>
      </c>
    </row>
    <row r="146" ht="14.25" customHeight="1">
      <c r="A146" s="28" t="s">
        <v>1979</v>
      </c>
      <c r="B146" s="29" t="s">
        <v>1980</v>
      </c>
      <c r="C146" s="29" t="s">
        <v>7041</v>
      </c>
      <c r="D146" s="30">
        <v>45658.0</v>
      </c>
      <c r="E146" s="30">
        <v>46022.0</v>
      </c>
      <c r="F146" s="36">
        <v>132.47</v>
      </c>
      <c r="G146" s="36">
        <v>430.0</v>
      </c>
      <c r="H146" s="32" t="s">
        <v>7046</v>
      </c>
      <c r="I146" s="30">
        <v>46023.0</v>
      </c>
      <c r="J146" s="30">
        <v>46387.0</v>
      </c>
      <c r="K146" s="36">
        <v>0.0</v>
      </c>
      <c r="L146" s="36">
        <v>0.0</v>
      </c>
      <c r="M146" s="35" t="s">
        <v>7045</v>
      </c>
      <c r="N146" s="30">
        <v>46388.0</v>
      </c>
      <c r="O146" s="30">
        <v>46752.0</v>
      </c>
      <c r="P146" s="36">
        <v>0.0</v>
      </c>
      <c r="Q146" s="36">
        <v>0.0</v>
      </c>
      <c r="R146" s="35" t="s">
        <v>7045</v>
      </c>
      <c r="S146" s="30">
        <v>46753.0</v>
      </c>
      <c r="T146" s="30">
        <v>47118.0</v>
      </c>
      <c r="U146" s="36">
        <v>0.0</v>
      </c>
      <c r="V146" s="36">
        <v>0.0</v>
      </c>
      <c r="W146" s="35" t="s">
        <v>7045</v>
      </c>
      <c r="X146" s="30">
        <v>47119.0</v>
      </c>
      <c r="Y146" s="30">
        <v>47483.0</v>
      </c>
      <c r="Z146" s="36">
        <v>0.0</v>
      </c>
      <c r="AA146" s="36">
        <v>0.0</v>
      </c>
      <c r="AB146" s="35" t="s">
        <v>7045</v>
      </c>
      <c r="AC146" s="30">
        <v>47484.0</v>
      </c>
      <c r="AD146" s="30">
        <v>47848.0</v>
      </c>
      <c r="AE146" s="36">
        <v>0.0</v>
      </c>
      <c r="AF146" s="36">
        <v>0.0</v>
      </c>
      <c r="AG146" s="35" t="s">
        <v>7045</v>
      </c>
      <c r="AH146" s="30">
        <v>45292.0</v>
      </c>
      <c r="AI146" s="30">
        <v>45657.0</v>
      </c>
      <c r="AJ146" s="36">
        <v>200.94</v>
      </c>
      <c r="AK146" s="36">
        <v>749.99</v>
      </c>
      <c r="AL146" s="32" t="s">
        <v>7043</v>
      </c>
      <c r="AM146" s="30">
        <v>44562.0</v>
      </c>
      <c r="AN146" s="30">
        <v>44926.0</v>
      </c>
      <c r="AO146" s="36">
        <v>0.0</v>
      </c>
      <c r="AP146" s="36">
        <v>0.0</v>
      </c>
      <c r="AQ146" s="35" t="s">
        <v>7045</v>
      </c>
      <c r="AR146" s="30">
        <v>44927.0</v>
      </c>
      <c r="AS146" s="30">
        <v>45291.0</v>
      </c>
      <c r="AT146" s="36">
        <v>6.44</v>
      </c>
      <c r="AU146" s="36">
        <v>0.0</v>
      </c>
      <c r="AV146" s="38" t="s">
        <v>7047</v>
      </c>
    </row>
    <row r="147" ht="14.25" customHeight="1">
      <c r="A147" s="28" t="s">
        <v>2158</v>
      </c>
      <c r="B147" s="29" t="s">
        <v>2159</v>
      </c>
      <c r="C147" s="29" t="s">
        <v>7041</v>
      </c>
      <c r="D147" s="30">
        <v>45658.0</v>
      </c>
      <c r="E147" s="30">
        <v>46022.0</v>
      </c>
      <c r="F147" s="36">
        <v>50.92</v>
      </c>
      <c r="G147" s="36">
        <v>500.0</v>
      </c>
      <c r="H147" s="32" t="s">
        <v>7043</v>
      </c>
      <c r="I147" s="30">
        <v>46023.0</v>
      </c>
      <c r="J147" s="30">
        <v>46387.0</v>
      </c>
      <c r="K147" s="36">
        <v>0.0</v>
      </c>
      <c r="L147" s="36">
        <v>0.0</v>
      </c>
      <c r="M147" s="35" t="s">
        <v>7045</v>
      </c>
      <c r="N147" s="30">
        <v>46388.0</v>
      </c>
      <c r="O147" s="30">
        <v>46752.0</v>
      </c>
      <c r="P147" s="36">
        <v>0.0</v>
      </c>
      <c r="Q147" s="36">
        <v>0.0</v>
      </c>
      <c r="R147" s="35" t="s">
        <v>7045</v>
      </c>
      <c r="S147" s="30">
        <v>46753.0</v>
      </c>
      <c r="T147" s="30">
        <v>47118.0</v>
      </c>
      <c r="U147" s="36">
        <v>0.0</v>
      </c>
      <c r="V147" s="36">
        <v>0.0</v>
      </c>
      <c r="W147" s="35" t="s">
        <v>7045</v>
      </c>
      <c r="X147" s="30">
        <v>47119.0</v>
      </c>
      <c r="Y147" s="30">
        <v>47483.0</v>
      </c>
      <c r="Z147" s="36">
        <v>0.0</v>
      </c>
      <c r="AA147" s="36">
        <v>0.0</v>
      </c>
      <c r="AB147" s="35" t="s">
        <v>7045</v>
      </c>
      <c r="AC147" s="30">
        <v>47484.0</v>
      </c>
      <c r="AD147" s="30">
        <v>47848.0</v>
      </c>
      <c r="AE147" s="36">
        <v>0.0</v>
      </c>
      <c r="AF147" s="36">
        <v>0.0</v>
      </c>
      <c r="AG147" s="35" t="s">
        <v>7045</v>
      </c>
      <c r="AH147" s="30">
        <v>45292.0</v>
      </c>
      <c r="AI147" s="30">
        <v>45657.0</v>
      </c>
      <c r="AJ147" s="36">
        <v>106.29</v>
      </c>
      <c r="AK147" s="36">
        <v>220.0</v>
      </c>
      <c r="AL147" s="32" t="s">
        <v>7043</v>
      </c>
      <c r="AM147" s="30">
        <v>44562.0</v>
      </c>
      <c r="AN147" s="30">
        <v>44926.0</v>
      </c>
      <c r="AO147" s="36">
        <v>0.0</v>
      </c>
      <c r="AP147" s="36">
        <v>0.0</v>
      </c>
      <c r="AQ147" s="35" t="s">
        <v>7045</v>
      </c>
      <c r="AR147" s="30">
        <v>44927.0</v>
      </c>
      <c r="AS147" s="30">
        <v>45291.0</v>
      </c>
      <c r="AT147" s="36">
        <v>0.0</v>
      </c>
      <c r="AU147" s="36">
        <v>0.0</v>
      </c>
      <c r="AV147" s="35" t="s">
        <v>7045</v>
      </c>
    </row>
    <row r="148" ht="14.25" customHeight="1">
      <c r="A148" s="28" t="s">
        <v>2163</v>
      </c>
      <c r="B148" s="29" t="s">
        <v>2164</v>
      </c>
      <c r="C148" s="29" t="s">
        <v>7041</v>
      </c>
      <c r="D148" s="30">
        <v>45658.0</v>
      </c>
      <c r="E148" s="30">
        <v>46022.0</v>
      </c>
      <c r="F148" s="36">
        <v>31.0</v>
      </c>
      <c r="G148" s="36">
        <v>1215.59</v>
      </c>
      <c r="H148" s="32" t="s">
        <v>7043</v>
      </c>
      <c r="I148" s="30">
        <v>46023.0</v>
      </c>
      <c r="J148" s="30">
        <v>46387.0</v>
      </c>
      <c r="K148" s="36">
        <v>0.0</v>
      </c>
      <c r="L148" s="36">
        <v>0.0</v>
      </c>
      <c r="M148" s="35" t="s">
        <v>7045</v>
      </c>
      <c r="N148" s="30">
        <v>46388.0</v>
      </c>
      <c r="O148" s="30">
        <v>46752.0</v>
      </c>
      <c r="P148" s="36">
        <v>0.0</v>
      </c>
      <c r="Q148" s="36">
        <v>0.0</v>
      </c>
      <c r="R148" s="35" t="s">
        <v>7045</v>
      </c>
      <c r="S148" s="30">
        <v>46753.0</v>
      </c>
      <c r="T148" s="30">
        <v>47118.0</v>
      </c>
      <c r="U148" s="36">
        <v>0.0</v>
      </c>
      <c r="V148" s="36">
        <v>0.0</v>
      </c>
      <c r="W148" s="35" t="s">
        <v>7045</v>
      </c>
      <c r="X148" s="30">
        <v>47119.0</v>
      </c>
      <c r="Y148" s="30">
        <v>47483.0</v>
      </c>
      <c r="Z148" s="36">
        <v>0.0</v>
      </c>
      <c r="AA148" s="36">
        <v>0.0</v>
      </c>
      <c r="AB148" s="35" t="s">
        <v>7045</v>
      </c>
      <c r="AC148" s="30">
        <v>47484.0</v>
      </c>
      <c r="AD148" s="30">
        <v>47848.0</v>
      </c>
      <c r="AE148" s="36">
        <v>0.0</v>
      </c>
      <c r="AF148" s="36">
        <v>0.0</v>
      </c>
      <c r="AG148" s="35" t="s">
        <v>7045</v>
      </c>
      <c r="AH148" s="30">
        <v>45292.0</v>
      </c>
      <c r="AI148" s="30">
        <v>45657.0</v>
      </c>
      <c r="AJ148" s="36">
        <v>9.25</v>
      </c>
      <c r="AK148" s="36">
        <v>20.0</v>
      </c>
      <c r="AL148" s="32" t="s">
        <v>7043</v>
      </c>
      <c r="AM148" s="30">
        <v>44562.0</v>
      </c>
      <c r="AN148" s="30">
        <v>44926.0</v>
      </c>
      <c r="AO148" s="36">
        <v>72.6</v>
      </c>
      <c r="AP148" s="36">
        <v>34.0</v>
      </c>
      <c r="AQ148" s="38" t="s">
        <v>7047</v>
      </c>
      <c r="AR148" s="30">
        <v>44927.0</v>
      </c>
      <c r="AS148" s="30">
        <v>45291.0</v>
      </c>
      <c r="AT148" s="36">
        <v>3.95</v>
      </c>
      <c r="AU148" s="36">
        <v>0.0</v>
      </c>
      <c r="AV148" s="38" t="s">
        <v>7047</v>
      </c>
    </row>
    <row r="149" ht="14.25" customHeight="1">
      <c r="A149" s="28" t="s">
        <v>2167</v>
      </c>
      <c r="B149" s="29" t="s">
        <v>2168</v>
      </c>
      <c r="C149" s="29" t="s">
        <v>7041</v>
      </c>
      <c r="D149" s="30">
        <v>45658.0</v>
      </c>
      <c r="E149" s="30">
        <v>46022.0</v>
      </c>
      <c r="F149" s="39">
        <v>2.04</v>
      </c>
      <c r="G149" s="39">
        <v>210.0</v>
      </c>
      <c r="H149" s="32" t="s">
        <v>7043</v>
      </c>
      <c r="I149" s="30">
        <v>46023.0</v>
      </c>
      <c r="J149" s="30">
        <v>46387.0</v>
      </c>
      <c r="K149" s="39">
        <v>0.0</v>
      </c>
      <c r="L149" s="39">
        <v>0.0</v>
      </c>
      <c r="M149" s="35" t="s">
        <v>7045</v>
      </c>
      <c r="N149" s="30">
        <v>46388.0</v>
      </c>
      <c r="O149" s="30">
        <v>46752.0</v>
      </c>
      <c r="P149" s="39">
        <v>0.0</v>
      </c>
      <c r="Q149" s="39">
        <v>0.0</v>
      </c>
      <c r="R149" s="35" t="s">
        <v>7045</v>
      </c>
      <c r="S149" s="30">
        <v>46753.0</v>
      </c>
      <c r="T149" s="30">
        <v>47118.0</v>
      </c>
      <c r="U149" s="39">
        <v>0.0</v>
      </c>
      <c r="V149" s="39">
        <v>0.0</v>
      </c>
      <c r="W149" s="35" t="s">
        <v>7045</v>
      </c>
      <c r="X149" s="30">
        <v>47119.0</v>
      </c>
      <c r="Y149" s="30">
        <v>47483.0</v>
      </c>
      <c r="Z149" s="39">
        <v>0.0</v>
      </c>
      <c r="AA149" s="39">
        <v>0.0</v>
      </c>
      <c r="AB149" s="35" t="s">
        <v>7045</v>
      </c>
      <c r="AC149" s="30">
        <v>47484.0</v>
      </c>
      <c r="AD149" s="30">
        <v>47848.0</v>
      </c>
      <c r="AE149" s="39">
        <v>0.0</v>
      </c>
      <c r="AF149" s="39">
        <v>0.0</v>
      </c>
      <c r="AG149" s="35" t="s">
        <v>7045</v>
      </c>
      <c r="AH149" s="30">
        <v>45292.0</v>
      </c>
      <c r="AI149" s="30">
        <v>45657.0</v>
      </c>
      <c r="AJ149" s="39">
        <v>10.02</v>
      </c>
      <c r="AK149" s="39">
        <v>0.0</v>
      </c>
      <c r="AL149" s="38" t="s">
        <v>7047</v>
      </c>
      <c r="AM149" s="30">
        <v>44562.0</v>
      </c>
      <c r="AN149" s="30">
        <v>44926.0</v>
      </c>
      <c r="AO149" s="39">
        <v>17.3</v>
      </c>
      <c r="AP149" s="39">
        <v>0.0</v>
      </c>
      <c r="AQ149" s="38" t="s">
        <v>7047</v>
      </c>
      <c r="AR149" s="30">
        <v>44927.0</v>
      </c>
      <c r="AS149" s="30">
        <v>45291.0</v>
      </c>
      <c r="AT149" s="39">
        <v>31.47</v>
      </c>
      <c r="AU149" s="39">
        <v>0.0</v>
      </c>
      <c r="AV149" s="38" t="s">
        <v>7047</v>
      </c>
    </row>
    <row r="150" ht="14.25" customHeight="1">
      <c r="A150" s="28" t="s">
        <v>2380</v>
      </c>
      <c r="B150" s="29" t="s">
        <v>2381</v>
      </c>
      <c r="C150" s="29" t="s">
        <v>7041</v>
      </c>
      <c r="D150" s="30">
        <v>45658.0</v>
      </c>
      <c r="E150" s="30">
        <v>46022.0</v>
      </c>
      <c r="F150" s="39">
        <v>11.33</v>
      </c>
      <c r="G150" s="39">
        <v>0.0</v>
      </c>
      <c r="H150" s="38" t="s">
        <v>7047</v>
      </c>
      <c r="I150" s="30">
        <v>46023.0</v>
      </c>
      <c r="J150" s="30">
        <v>46387.0</v>
      </c>
      <c r="K150" s="39">
        <v>0.0</v>
      </c>
      <c r="L150" s="39">
        <v>0.0</v>
      </c>
      <c r="M150" s="35" t="s">
        <v>7045</v>
      </c>
      <c r="N150" s="30">
        <v>46388.0</v>
      </c>
      <c r="O150" s="30">
        <v>46752.0</v>
      </c>
      <c r="P150" s="39">
        <v>0.0</v>
      </c>
      <c r="Q150" s="39">
        <v>0.0</v>
      </c>
      <c r="R150" s="35" t="s">
        <v>7045</v>
      </c>
      <c r="S150" s="30">
        <v>46753.0</v>
      </c>
      <c r="T150" s="30">
        <v>47118.0</v>
      </c>
      <c r="U150" s="39">
        <v>0.0</v>
      </c>
      <c r="V150" s="39">
        <v>0.0</v>
      </c>
      <c r="W150" s="35" t="s">
        <v>7045</v>
      </c>
      <c r="X150" s="30">
        <v>47119.0</v>
      </c>
      <c r="Y150" s="30">
        <v>47483.0</v>
      </c>
      <c r="Z150" s="39">
        <v>0.0</v>
      </c>
      <c r="AA150" s="39">
        <v>0.0</v>
      </c>
      <c r="AB150" s="35" t="s">
        <v>7045</v>
      </c>
      <c r="AC150" s="30">
        <v>47484.0</v>
      </c>
      <c r="AD150" s="30">
        <v>47848.0</v>
      </c>
      <c r="AE150" s="39">
        <v>0.0</v>
      </c>
      <c r="AF150" s="39">
        <v>0.0</v>
      </c>
      <c r="AG150" s="35" t="s">
        <v>7045</v>
      </c>
      <c r="AH150" s="30">
        <v>45292.0</v>
      </c>
      <c r="AI150" s="30">
        <v>45657.0</v>
      </c>
      <c r="AJ150" s="39">
        <v>136.77</v>
      </c>
      <c r="AK150" s="39">
        <v>600.0</v>
      </c>
      <c r="AL150" s="32" t="s">
        <v>7043</v>
      </c>
      <c r="AM150" s="30">
        <v>44562.0</v>
      </c>
      <c r="AN150" s="30">
        <v>44926.0</v>
      </c>
      <c r="AO150" s="39">
        <v>0.0</v>
      </c>
      <c r="AP150" s="39">
        <v>0.0</v>
      </c>
      <c r="AQ150" s="35" t="s">
        <v>7045</v>
      </c>
      <c r="AR150" s="30">
        <v>44927.0</v>
      </c>
      <c r="AS150" s="30">
        <v>45291.0</v>
      </c>
      <c r="AT150" s="39">
        <v>623.15</v>
      </c>
      <c r="AU150" s="39">
        <v>0.0</v>
      </c>
      <c r="AV150" s="38" t="s">
        <v>7047</v>
      </c>
    </row>
    <row r="151" ht="14.25" customHeight="1">
      <c r="A151" s="28" t="s">
        <v>2423</v>
      </c>
      <c r="B151" s="29" t="s">
        <v>2424</v>
      </c>
      <c r="C151" s="29" t="s">
        <v>7041</v>
      </c>
      <c r="D151" s="30">
        <v>45658.0</v>
      </c>
      <c r="E151" s="30">
        <v>46022.0</v>
      </c>
      <c r="F151" s="39">
        <v>168.18</v>
      </c>
      <c r="G151" s="39">
        <v>1007.2</v>
      </c>
      <c r="H151" s="32" t="s">
        <v>7043</v>
      </c>
      <c r="I151" s="30">
        <v>46023.0</v>
      </c>
      <c r="J151" s="30">
        <v>46387.0</v>
      </c>
      <c r="K151" s="39">
        <v>0.0</v>
      </c>
      <c r="L151" s="39">
        <v>0.0</v>
      </c>
      <c r="M151" s="35" t="s">
        <v>7045</v>
      </c>
      <c r="N151" s="30">
        <v>46388.0</v>
      </c>
      <c r="O151" s="30">
        <v>46752.0</v>
      </c>
      <c r="P151" s="39">
        <v>0.0</v>
      </c>
      <c r="Q151" s="39">
        <v>0.0</v>
      </c>
      <c r="R151" s="35" t="s">
        <v>7045</v>
      </c>
      <c r="S151" s="30">
        <v>46753.0</v>
      </c>
      <c r="T151" s="30">
        <v>47118.0</v>
      </c>
      <c r="U151" s="39">
        <v>0.0</v>
      </c>
      <c r="V151" s="39">
        <v>0.0</v>
      </c>
      <c r="W151" s="35" t="s">
        <v>7045</v>
      </c>
      <c r="X151" s="30">
        <v>47119.0</v>
      </c>
      <c r="Y151" s="30">
        <v>47483.0</v>
      </c>
      <c r="Z151" s="39">
        <v>0.0</v>
      </c>
      <c r="AA151" s="39">
        <v>0.0</v>
      </c>
      <c r="AB151" s="35" t="s">
        <v>7045</v>
      </c>
      <c r="AC151" s="30">
        <v>47484.0</v>
      </c>
      <c r="AD151" s="30">
        <v>47848.0</v>
      </c>
      <c r="AE151" s="39">
        <v>0.0</v>
      </c>
      <c r="AF151" s="39">
        <v>0.0</v>
      </c>
      <c r="AG151" s="35" t="s">
        <v>7045</v>
      </c>
      <c r="AH151" s="30">
        <v>45292.0</v>
      </c>
      <c r="AI151" s="30">
        <v>45657.0</v>
      </c>
      <c r="AJ151" s="39">
        <v>168.15</v>
      </c>
      <c r="AK151" s="39">
        <v>1002.0</v>
      </c>
      <c r="AL151" s="32" t="s">
        <v>7043</v>
      </c>
      <c r="AM151" s="30">
        <v>44562.0</v>
      </c>
      <c r="AN151" s="30">
        <v>44926.0</v>
      </c>
      <c r="AO151" s="39">
        <v>0.0</v>
      </c>
      <c r="AP151" s="39">
        <v>0.0</v>
      </c>
      <c r="AQ151" s="35" t="s">
        <v>7045</v>
      </c>
      <c r="AR151" s="30">
        <v>44927.0</v>
      </c>
      <c r="AS151" s="30">
        <v>45291.0</v>
      </c>
      <c r="AT151" s="39">
        <v>46.17</v>
      </c>
      <c r="AU151" s="39">
        <v>0.0</v>
      </c>
      <c r="AV151" s="38" t="s">
        <v>7047</v>
      </c>
    </row>
    <row r="152" ht="14.25" customHeight="1">
      <c r="A152" s="28" t="s">
        <v>2474</v>
      </c>
      <c r="B152" s="29" t="s">
        <v>2475</v>
      </c>
      <c r="C152" s="29" t="s">
        <v>7041</v>
      </c>
      <c r="D152" s="30">
        <v>45658.0</v>
      </c>
      <c r="E152" s="30">
        <v>46022.0</v>
      </c>
      <c r="F152" s="39">
        <v>5.88</v>
      </c>
      <c r="G152" s="39">
        <v>0.0</v>
      </c>
      <c r="H152" s="38" t="s">
        <v>7047</v>
      </c>
      <c r="I152" s="30">
        <v>46023.0</v>
      </c>
      <c r="J152" s="30">
        <v>46387.0</v>
      </c>
      <c r="K152" s="39">
        <v>0.0</v>
      </c>
      <c r="L152" s="39">
        <v>0.0</v>
      </c>
      <c r="M152" s="35" t="s">
        <v>7045</v>
      </c>
      <c r="N152" s="30">
        <v>46388.0</v>
      </c>
      <c r="O152" s="30">
        <v>46752.0</v>
      </c>
      <c r="P152" s="39">
        <v>0.0</v>
      </c>
      <c r="Q152" s="39">
        <v>0.0</v>
      </c>
      <c r="R152" s="35" t="s">
        <v>7045</v>
      </c>
      <c r="S152" s="30">
        <v>46753.0</v>
      </c>
      <c r="T152" s="30">
        <v>47118.0</v>
      </c>
      <c r="U152" s="39">
        <v>0.0</v>
      </c>
      <c r="V152" s="39">
        <v>0.0</v>
      </c>
      <c r="W152" s="35" t="s">
        <v>7045</v>
      </c>
      <c r="X152" s="30">
        <v>47119.0</v>
      </c>
      <c r="Y152" s="30">
        <v>47483.0</v>
      </c>
      <c r="Z152" s="39">
        <v>0.0</v>
      </c>
      <c r="AA152" s="39">
        <v>0.0</v>
      </c>
      <c r="AB152" s="35" t="s">
        <v>7045</v>
      </c>
      <c r="AC152" s="30">
        <v>47484.0</v>
      </c>
      <c r="AD152" s="30">
        <v>47848.0</v>
      </c>
      <c r="AE152" s="39">
        <v>0.0</v>
      </c>
      <c r="AF152" s="39">
        <v>0.0</v>
      </c>
      <c r="AG152" s="35" t="s">
        <v>7045</v>
      </c>
      <c r="AH152" s="30">
        <v>45292.0</v>
      </c>
      <c r="AI152" s="30">
        <v>45657.0</v>
      </c>
      <c r="AJ152" s="39">
        <v>43.7</v>
      </c>
      <c r="AK152" s="39">
        <v>200.0</v>
      </c>
      <c r="AL152" s="32" t="s">
        <v>7043</v>
      </c>
      <c r="AM152" s="30">
        <v>44562.0</v>
      </c>
      <c r="AN152" s="30">
        <v>44926.0</v>
      </c>
      <c r="AO152" s="39">
        <v>0.0</v>
      </c>
      <c r="AP152" s="39">
        <v>0.0</v>
      </c>
      <c r="AQ152" s="35" t="s">
        <v>7045</v>
      </c>
      <c r="AR152" s="30">
        <v>44927.0</v>
      </c>
      <c r="AS152" s="30">
        <v>45291.0</v>
      </c>
      <c r="AT152" s="39">
        <v>94.15</v>
      </c>
      <c r="AU152" s="39">
        <v>0.0</v>
      </c>
      <c r="AV152" s="38" t="s">
        <v>7047</v>
      </c>
    </row>
    <row r="153" ht="14.25" customHeight="1">
      <c r="A153" s="28" t="s">
        <v>2492</v>
      </c>
      <c r="B153" s="29" t="s">
        <v>2493</v>
      </c>
      <c r="C153" s="29" t="s">
        <v>7041</v>
      </c>
      <c r="D153" s="30">
        <v>45658.0</v>
      </c>
      <c r="E153" s="30">
        <v>46022.0</v>
      </c>
      <c r="F153" s="36">
        <v>6.79</v>
      </c>
      <c r="G153" s="36">
        <v>450.0</v>
      </c>
      <c r="H153" s="32" t="s">
        <v>7043</v>
      </c>
      <c r="I153" s="30">
        <v>46023.0</v>
      </c>
      <c r="J153" s="30">
        <v>46387.0</v>
      </c>
      <c r="K153" s="36">
        <v>0.0</v>
      </c>
      <c r="L153" s="36">
        <v>0.0</v>
      </c>
      <c r="M153" s="35" t="s">
        <v>7045</v>
      </c>
      <c r="N153" s="30">
        <v>46388.0</v>
      </c>
      <c r="O153" s="30">
        <v>46752.0</v>
      </c>
      <c r="P153" s="36">
        <v>0.0</v>
      </c>
      <c r="Q153" s="36">
        <v>0.0</v>
      </c>
      <c r="R153" s="35" t="s">
        <v>7045</v>
      </c>
      <c r="S153" s="30">
        <v>46753.0</v>
      </c>
      <c r="T153" s="30">
        <v>47118.0</v>
      </c>
      <c r="U153" s="36">
        <v>0.0</v>
      </c>
      <c r="V153" s="36">
        <v>0.0</v>
      </c>
      <c r="W153" s="35" t="s">
        <v>7045</v>
      </c>
      <c r="X153" s="30">
        <v>47119.0</v>
      </c>
      <c r="Y153" s="30">
        <v>47483.0</v>
      </c>
      <c r="Z153" s="36">
        <v>0.0</v>
      </c>
      <c r="AA153" s="36">
        <v>0.0</v>
      </c>
      <c r="AB153" s="35" t="s">
        <v>7045</v>
      </c>
      <c r="AC153" s="30">
        <v>47484.0</v>
      </c>
      <c r="AD153" s="30">
        <v>47848.0</v>
      </c>
      <c r="AE153" s="36">
        <v>0.0</v>
      </c>
      <c r="AF153" s="36">
        <v>0.0</v>
      </c>
      <c r="AG153" s="35" t="s">
        <v>7045</v>
      </c>
      <c r="AH153" s="30">
        <v>45292.0</v>
      </c>
      <c r="AI153" s="30">
        <v>45657.0</v>
      </c>
      <c r="AJ153" s="36">
        <v>401.02</v>
      </c>
      <c r="AK153" s="36">
        <v>200.0</v>
      </c>
      <c r="AL153" s="38" t="s">
        <v>7047</v>
      </c>
      <c r="AM153" s="30">
        <v>44562.0</v>
      </c>
      <c r="AN153" s="30">
        <v>44926.0</v>
      </c>
      <c r="AO153" s="36">
        <v>0.0</v>
      </c>
      <c r="AP153" s="36">
        <v>0.0</v>
      </c>
      <c r="AQ153" s="35" t="s">
        <v>7045</v>
      </c>
      <c r="AR153" s="30">
        <v>44927.0</v>
      </c>
      <c r="AS153" s="30">
        <v>45291.0</v>
      </c>
      <c r="AT153" s="36">
        <v>195.02</v>
      </c>
      <c r="AU153" s="36">
        <v>0.0</v>
      </c>
      <c r="AV153" s="38" t="s">
        <v>7047</v>
      </c>
    </row>
    <row r="154" ht="14.25" customHeight="1">
      <c r="A154" s="28" t="s">
        <v>2526</v>
      </c>
      <c r="B154" s="29" t="s">
        <v>2527</v>
      </c>
      <c r="C154" s="29" t="s">
        <v>7041</v>
      </c>
      <c r="D154" s="30">
        <v>45658.0</v>
      </c>
      <c r="E154" s="30">
        <v>46022.0</v>
      </c>
      <c r="F154" s="39">
        <v>133.05</v>
      </c>
      <c r="G154" s="39">
        <v>210.0</v>
      </c>
      <c r="H154" s="38" t="s">
        <v>7047</v>
      </c>
      <c r="I154" s="30">
        <v>46023.0</v>
      </c>
      <c r="J154" s="30">
        <v>46387.0</v>
      </c>
      <c r="K154" s="39">
        <v>0.0</v>
      </c>
      <c r="L154" s="39">
        <v>0.0</v>
      </c>
      <c r="M154" s="35" t="s">
        <v>7045</v>
      </c>
      <c r="N154" s="30">
        <v>46388.0</v>
      </c>
      <c r="O154" s="30">
        <v>46752.0</v>
      </c>
      <c r="P154" s="39">
        <v>0.0</v>
      </c>
      <c r="Q154" s="39">
        <v>0.0</v>
      </c>
      <c r="R154" s="35" t="s">
        <v>7045</v>
      </c>
      <c r="S154" s="30">
        <v>46753.0</v>
      </c>
      <c r="T154" s="30">
        <v>47118.0</v>
      </c>
      <c r="U154" s="39">
        <v>0.0</v>
      </c>
      <c r="V154" s="39">
        <v>0.0</v>
      </c>
      <c r="W154" s="35" t="s">
        <v>7045</v>
      </c>
      <c r="X154" s="30">
        <v>47119.0</v>
      </c>
      <c r="Y154" s="30">
        <v>47483.0</v>
      </c>
      <c r="Z154" s="39">
        <v>0.0</v>
      </c>
      <c r="AA154" s="39">
        <v>0.0</v>
      </c>
      <c r="AB154" s="35" t="s">
        <v>7045</v>
      </c>
      <c r="AC154" s="30">
        <v>47484.0</v>
      </c>
      <c r="AD154" s="30">
        <v>47848.0</v>
      </c>
      <c r="AE154" s="39">
        <v>0.0</v>
      </c>
      <c r="AF154" s="39">
        <v>0.0</v>
      </c>
      <c r="AG154" s="35" t="s">
        <v>7045</v>
      </c>
      <c r="AH154" s="30">
        <v>45292.0</v>
      </c>
      <c r="AI154" s="30">
        <v>45657.0</v>
      </c>
      <c r="AJ154" s="39">
        <v>168.91</v>
      </c>
      <c r="AK154" s="39">
        <v>330.0</v>
      </c>
      <c r="AL154" s="37" t="s">
        <v>7046</v>
      </c>
      <c r="AM154" s="30">
        <v>44562.0</v>
      </c>
      <c r="AN154" s="30">
        <v>44926.0</v>
      </c>
      <c r="AO154" s="39">
        <v>259.6</v>
      </c>
      <c r="AP154" s="39">
        <v>305.0</v>
      </c>
      <c r="AQ154" s="37" t="s">
        <v>7046</v>
      </c>
      <c r="AR154" s="30">
        <v>44927.0</v>
      </c>
      <c r="AS154" s="30">
        <v>45291.0</v>
      </c>
      <c r="AT154" s="39">
        <v>279.58</v>
      </c>
      <c r="AU154" s="39">
        <v>385.0</v>
      </c>
      <c r="AV154" s="37" t="s">
        <v>7046</v>
      </c>
    </row>
    <row r="155" ht="14.25" customHeight="1">
      <c r="A155" s="28" t="s">
        <v>2636</v>
      </c>
      <c r="B155" s="29" t="s">
        <v>2637</v>
      </c>
      <c r="C155" s="29" t="s">
        <v>7041</v>
      </c>
      <c r="D155" s="30">
        <v>45658.0</v>
      </c>
      <c r="E155" s="30">
        <v>46022.0</v>
      </c>
      <c r="F155" s="39">
        <v>75.72</v>
      </c>
      <c r="G155" s="39">
        <v>1000.0</v>
      </c>
      <c r="H155" s="32" t="s">
        <v>7043</v>
      </c>
      <c r="I155" s="30">
        <v>46023.0</v>
      </c>
      <c r="J155" s="30">
        <v>46387.0</v>
      </c>
      <c r="K155" s="39">
        <v>0.0</v>
      </c>
      <c r="L155" s="39">
        <v>0.0</v>
      </c>
      <c r="M155" s="35" t="s">
        <v>7045</v>
      </c>
      <c r="N155" s="30">
        <v>46388.0</v>
      </c>
      <c r="O155" s="30">
        <v>46752.0</v>
      </c>
      <c r="P155" s="39">
        <v>0.0</v>
      </c>
      <c r="Q155" s="39">
        <v>0.0</v>
      </c>
      <c r="R155" s="35" t="s">
        <v>7045</v>
      </c>
      <c r="S155" s="30">
        <v>46753.0</v>
      </c>
      <c r="T155" s="30">
        <v>47118.0</v>
      </c>
      <c r="U155" s="39">
        <v>0.0</v>
      </c>
      <c r="V155" s="39">
        <v>0.0</v>
      </c>
      <c r="W155" s="35" t="s">
        <v>7045</v>
      </c>
      <c r="X155" s="30">
        <v>47119.0</v>
      </c>
      <c r="Y155" s="30">
        <v>47483.0</v>
      </c>
      <c r="Z155" s="39">
        <v>0.0</v>
      </c>
      <c r="AA155" s="39">
        <v>0.0</v>
      </c>
      <c r="AB155" s="35" t="s">
        <v>7045</v>
      </c>
      <c r="AC155" s="30">
        <v>47484.0</v>
      </c>
      <c r="AD155" s="30">
        <v>47848.0</v>
      </c>
      <c r="AE155" s="39">
        <v>0.0</v>
      </c>
      <c r="AF155" s="39">
        <v>0.0</v>
      </c>
      <c r="AG155" s="35" t="s">
        <v>7045</v>
      </c>
      <c r="AH155" s="30">
        <v>45292.0</v>
      </c>
      <c r="AI155" s="30">
        <v>45657.0</v>
      </c>
      <c r="AJ155" s="39">
        <v>308.74</v>
      </c>
      <c r="AK155" s="39">
        <v>1000.0</v>
      </c>
      <c r="AL155" s="32" t="s">
        <v>7043</v>
      </c>
      <c r="AM155" s="30">
        <v>44562.0</v>
      </c>
      <c r="AN155" s="30">
        <v>44926.0</v>
      </c>
      <c r="AO155" s="39">
        <v>105.9</v>
      </c>
      <c r="AP155" s="39">
        <v>2000.0</v>
      </c>
      <c r="AQ155" s="32" t="s">
        <v>7043</v>
      </c>
      <c r="AR155" s="30">
        <v>44927.0</v>
      </c>
      <c r="AS155" s="30">
        <v>45291.0</v>
      </c>
      <c r="AT155" s="39">
        <v>211.01</v>
      </c>
      <c r="AU155" s="39">
        <v>1500.0</v>
      </c>
      <c r="AV155" s="32" t="s">
        <v>7043</v>
      </c>
    </row>
    <row r="156" ht="14.25" customHeight="1">
      <c r="A156" s="28" t="s">
        <v>2776</v>
      </c>
      <c r="B156" s="29" t="s">
        <v>2777</v>
      </c>
      <c r="C156" s="29" t="s">
        <v>7041</v>
      </c>
      <c r="D156" s="30">
        <v>45658.0</v>
      </c>
      <c r="E156" s="30">
        <v>46022.0</v>
      </c>
      <c r="F156" s="39">
        <v>35.8</v>
      </c>
      <c r="G156" s="39">
        <v>200.0</v>
      </c>
      <c r="H156" s="32" t="s">
        <v>7043</v>
      </c>
      <c r="I156" s="30">
        <v>46023.0</v>
      </c>
      <c r="J156" s="30">
        <v>46387.0</v>
      </c>
      <c r="K156" s="39">
        <v>0.0</v>
      </c>
      <c r="L156" s="39">
        <v>0.0</v>
      </c>
      <c r="M156" s="35" t="s">
        <v>7045</v>
      </c>
      <c r="N156" s="30">
        <v>46388.0</v>
      </c>
      <c r="O156" s="30">
        <v>46752.0</v>
      </c>
      <c r="P156" s="39">
        <v>0.0</v>
      </c>
      <c r="Q156" s="39">
        <v>0.0</v>
      </c>
      <c r="R156" s="35" t="s">
        <v>7045</v>
      </c>
      <c r="S156" s="30">
        <v>46753.0</v>
      </c>
      <c r="T156" s="30">
        <v>47118.0</v>
      </c>
      <c r="U156" s="39">
        <v>0.0</v>
      </c>
      <c r="V156" s="39">
        <v>0.0</v>
      </c>
      <c r="W156" s="35" t="s">
        <v>7045</v>
      </c>
      <c r="X156" s="30">
        <v>47119.0</v>
      </c>
      <c r="Y156" s="30">
        <v>47483.0</v>
      </c>
      <c r="Z156" s="39">
        <v>0.0</v>
      </c>
      <c r="AA156" s="39">
        <v>0.0</v>
      </c>
      <c r="AB156" s="35" t="s">
        <v>7045</v>
      </c>
      <c r="AC156" s="30">
        <v>47484.0</v>
      </c>
      <c r="AD156" s="30">
        <v>47848.0</v>
      </c>
      <c r="AE156" s="39">
        <v>0.0</v>
      </c>
      <c r="AF156" s="39">
        <v>0.0</v>
      </c>
      <c r="AG156" s="35" t="s">
        <v>7045</v>
      </c>
      <c r="AH156" s="30">
        <v>45292.0</v>
      </c>
      <c r="AI156" s="30">
        <v>45657.0</v>
      </c>
      <c r="AJ156" s="39">
        <v>65.11</v>
      </c>
      <c r="AK156" s="39">
        <v>200.0</v>
      </c>
      <c r="AL156" s="32" t="s">
        <v>7043</v>
      </c>
      <c r="AM156" s="30">
        <v>44562.0</v>
      </c>
      <c r="AN156" s="30">
        <v>44926.0</v>
      </c>
      <c r="AO156" s="39">
        <v>41.0</v>
      </c>
      <c r="AP156" s="39">
        <v>150.0</v>
      </c>
      <c r="AQ156" s="32" t="s">
        <v>7043</v>
      </c>
      <c r="AR156" s="30">
        <v>44927.0</v>
      </c>
      <c r="AS156" s="30">
        <v>45291.0</v>
      </c>
      <c r="AT156" s="39">
        <v>115.64</v>
      </c>
      <c r="AU156" s="39">
        <v>200.0</v>
      </c>
      <c r="AV156" s="37" t="s">
        <v>7046</v>
      </c>
    </row>
    <row r="157" ht="14.25" customHeight="1">
      <c r="A157" s="28" t="s">
        <v>2794</v>
      </c>
      <c r="B157" s="29" t="s">
        <v>2795</v>
      </c>
      <c r="C157" s="29" t="s">
        <v>7041</v>
      </c>
      <c r="D157" s="30">
        <v>45658.0</v>
      </c>
      <c r="E157" s="30">
        <v>46022.0</v>
      </c>
      <c r="F157" s="36">
        <v>0.0</v>
      </c>
      <c r="G157" s="36">
        <v>300.0</v>
      </c>
      <c r="H157" s="32" t="s">
        <v>7043</v>
      </c>
      <c r="I157" s="30">
        <v>46023.0</v>
      </c>
      <c r="J157" s="30">
        <v>46387.0</v>
      </c>
      <c r="K157" s="36">
        <v>0.0</v>
      </c>
      <c r="L157" s="36">
        <v>0.0</v>
      </c>
      <c r="M157" s="35" t="s">
        <v>7045</v>
      </c>
      <c r="N157" s="30">
        <v>46388.0</v>
      </c>
      <c r="O157" s="30">
        <v>46752.0</v>
      </c>
      <c r="P157" s="36">
        <v>0.0</v>
      </c>
      <c r="Q157" s="36">
        <v>0.0</v>
      </c>
      <c r="R157" s="35" t="s">
        <v>7045</v>
      </c>
      <c r="S157" s="30">
        <v>46753.0</v>
      </c>
      <c r="T157" s="30">
        <v>47118.0</v>
      </c>
      <c r="U157" s="36">
        <v>0.0</v>
      </c>
      <c r="V157" s="36">
        <v>0.0</v>
      </c>
      <c r="W157" s="35" t="s">
        <v>7045</v>
      </c>
      <c r="X157" s="30">
        <v>47119.0</v>
      </c>
      <c r="Y157" s="30">
        <v>47483.0</v>
      </c>
      <c r="Z157" s="36">
        <v>0.0</v>
      </c>
      <c r="AA157" s="36">
        <v>0.0</v>
      </c>
      <c r="AB157" s="35" t="s">
        <v>7045</v>
      </c>
      <c r="AC157" s="30">
        <v>47484.0</v>
      </c>
      <c r="AD157" s="30">
        <v>47848.0</v>
      </c>
      <c r="AE157" s="36">
        <v>0.0</v>
      </c>
      <c r="AF157" s="36">
        <v>0.0</v>
      </c>
      <c r="AG157" s="35" t="s">
        <v>7045</v>
      </c>
      <c r="AH157" s="30">
        <v>45292.0</v>
      </c>
      <c r="AI157" s="30">
        <v>45657.0</v>
      </c>
      <c r="AJ157" s="36">
        <v>26.24</v>
      </c>
      <c r="AK157" s="36">
        <v>500.0</v>
      </c>
      <c r="AL157" s="32" t="s">
        <v>7043</v>
      </c>
      <c r="AM157" s="30">
        <v>44562.0</v>
      </c>
      <c r="AN157" s="30">
        <v>44926.0</v>
      </c>
      <c r="AO157" s="36">
        <v>0.0</v>
      </c>
      <c r="AP157" s="36">
        <v>0.0</v>
      </c>
      <c r="AQ157" s="35" t="s">
        <v>7045</v>
      </c>
      <c r="AR157" s="30">
        <v>44927.0</v>
      </c>
      <c r="AS157" s="30">
        <v>45291.0</v>
      </c>
      <c r="AT157" s="36">
        <v>7.07</v>
      </c>
      <c r="AU157" s="36">
        <v>0.0</v>
      </c>
      <c r="AV157" s="38" t="s">
        <v>7047</v>
      </c>
    </row>
    <row r="158" ht="14.25" customHeight="1">
      <c r="A158" s="28" t="s">
        <v>2975</v>
      </c>
      <c r="B158" s="29" t="s">
        <v>2976</v>
      </c>
      <c r="C158" s="29" t="s">
        <v>7041</v>
      </c>
      <c r="D158" s="30">
        <v>45658.0</v>
      </c>
      <c r="E158" s="30">
        <v>46022.0</v>
      </c>
      <c r="F158" s="36">
        <v>0.0</v>
      </c>
      <c r="G158" s="36">
        <v>0.0</v>
      </c>
      <c r="H158" s="35" t="s">
        <v>7045</v>
      </c>
      <c r="I158" s="30">
        <v>46023.0</v>
      </c>
      <c r="J158" s="30">
        <v>46387.0</v>
      </c>
      <c r="K158" s="36">
        <v>0.0</v>
      </c>
      <c r="L158" s="36">
        <v>0.0</v>
      </c>
      <c r="M158" s="35" t="s">
        <v>7045</v>
      </c>
      <c r="N158" s="30">
        <v>46388.0</v>
      </c>
      <c r="O158" s="30">
        <v>46752.0</v>
      </c>
      <c r="P158" s="36">
        <v>0.0</v>
      </c>
      <c r="Q158" s="36">
        <v>0.0</v>
      </c>
      <c r="R158" s="35" t="s">
        <v>7045</v>
      </c>
      <c r="S158" s="30">
        <v>46753.0</v>
      </c>
      <c r="T158" s="30">
        <v>47118.0</v>
      </c>
      <c r="U158" s="36">
        <v>0.0</v>
      </c>
      <c r="V158" s="36">
        <v>0.0</v>
      </c>
      <c r="W158" s="35" t="s">
        <v>7045</v>
      </c>
      <c r="X158" s="30">
        <v>47119.0</v>
      </c>
      <c r="Y158" s="30">
        <v>47483.0</v>
      </c>
      <c r="Z158" s="36">
        <v>0.0</v>
      </c>
      <c r="AA158" s="36">
        <v>0.0</v>
      </c>
      <c r="AB158" s="35" t="s">
        <v>7045</v>
      </c>
      <c r="AC158" s="30">
        <v>47484.0</v>
      </c>
      <c r="AD158" s="30">
        <v>47848.0</v>
      </c>
      <c r="AE158" s="36">
        <v>0.0</v>
      </c>
      <c r="AF158" s="36">
        <v>0.0</v>
      </c>
      <c r="AG158" s="35" t="s">
        <v>7045</v>
      </c>
      <c r="AH158" s="30">
        <v>45292.0</v>
      </c>
      <c r="AI158" s="30">
        <v>45657.0</v>
      </c>
      <c r="AJ158" s="36">
        <v>0.14</v>
      </c>
      <c r="AK158" s="36">
        <v>200.0</v>
      </c>
      <c r="AL158" s="32" t="s">
        <v>7043</v>
      </c>
      <c r="AM158" s="30">
        <v>44562.0</v>
      </c>
      <c r="AN158" s="30">
        <v>44926.0</v>
      </c>
      <c r="AO158" s="36">
        <v>0.0</v>
      </c>
      <c r="AP158" s="36">
        <v>0.0</v>
      </c>
      <c r="AQ158" s="35" t="s">
        <v>7045</v>
      </c>
      <c r="AR158" s="30">
        <v>44927.0</v>
      </c>
      <c r="AS158" s="30">
        <v>45291.0</v>
      </c>
      <c r="AT158" s="36">
        <v>0.0</v>
      </c>
      <c r="AU158" s="36">
        <v>0.0</v>
      </c>
      <c r="AV158" s="35" t="s">
        <v>7045</v>
      </c>
    </row>
    <row r="159" ht="14.25" customHeight="1">
      <c r="A159" s="28" t="s">
        <v>2978</v>
      </c>
      <c r="B159" s="29" t="s">
        <v>2979</v>
      </c>
      <c r="C159" s="29" t="s">
        <v>7041</v>
      </c>
      <c r="D159" s="30">
        <v>45658.0</v>
      </c>
      <c r="E159" s="30">
        <v>46022.0</v>
      </c>
      <c r="F159" s="39">
        <v>3.21</v>
      </c>
      <c r="G159" s="39">
        <v>200.0</v>
      </c>
      <c r="H159" s="32" t="s">
        <v>7043</v>
      </c>
      <c r="I159" s="30">
        <v>46023.0</v>
      </c>
      <c r="J159" s="30">
        <v>46387.0</v>
      </c>
      <c r="K159" s="39">
        <v>0.0</v>
      </c>
      <c r="L159" s="39">
        <v>0.0</v>
      </c>
      <c r="M159" s="35" t="s">
        <v>7045</v>
      </c>
      <c r="N159" s="30">
        <v>46388.0</v>
      </c>
      <c r="O159" s="30">
        <v>46752.0</v>
      </c>
      <c r="P159" s="39">
        <v>0.0</v>
      </c>
      <c r="Q159" s="39">
        <v>0.0</v>
      </c>
      <c r="R159" s="35" t="s">
        <v>7045</v>
      </c>
      <c r="S159" s="30">
        <v>46753.0</v>
      </c>
      <c r="T159" s="30">
        <v>47118.0</v>
      </c>
      <c r="U159" s="39">
        <v>0.0</v>
      </c>
      <c r="V159" s="39">
        <v>0.0</v>
      </c>
      <c r="W159" s="35" t="s">
        <v>7045</v>
      </c>
      <c r="X159" s="30">
        <v>47119.0</v>
      </c>
      <c r="Y159" s="30">
        <v>47483.0</v>
      </c>
      <c r="Z159" s="39">
        <v>0.0</v>
      </c>
      <c r="AA159" s="39">
        <v>0.0</v>
      </c>
      <c r="AB159" s="35" t="s">
        <v>7045</v>
      </c>
      <c r="AC159" s="30">
        <v>47484.0</v>
      </c>
      <c r="AD159" s="30">
        <v>47848.0</v>
      </c>
      <c r="AE159" s="39">
        <v>0.0</v>
      </c>
      <c r="AF159" s="39">
        <v>0.0</v>
      </c>
      <c r="AG159" s="35" t="s">
        <v>7045</v>
      </c>
      <c r="AH159" s="30">
        <v>45292.0</v>
      </c>
      <c r="AI159" s="30">
        <v>45657.0</v>
      </c>
      <c r="AJ159" s="39">
        <v>112.7</v>
      </c>
      <c r="AK159" s="39">
        <v>200.0</v>
      </c>
      <c r="AL159" s="37" t="s">
        <v>7046</v>
      </c>
      <c r="AM159" s="30">
        <v>44562.0</v>
      </c>
      <c r="AN159" s="30">
        <v>44926.0</v>
      </c>
      <c r="AO159" s="39">
        <v>0.0</v>
      </c>
      <c r="AP159" s="39">
        <v>0.0</v>
      </c>
      <c r="AQ159" s="35" t="s">
        <v>7045</v>
      </c>
      <c r="AR159" s="30">
        <v>44927.0</v>
      </c>
      <c r="AS159" s="30">
        <v>45291.0</v>
      </c>
      <c r="AT159" s="39">
        <v>132.28</v>
      </c>
      <c r="AU159" s="39">
        <v>0.0</v>
      </c>
      <c r="AV159" s="38" t="s">
        <v>7047</v>
      </c>
    </row>
    <row r="160" ht="14.25" customHeight="1">
      <c r="A160" s="28" t="s">
        <v>2982</v>
      </c>
      <c r="B160" s="29" t="s">
        <v>2983</v>
      </c>
      <c r="C160" s="29" t="s">
        <v>7041</v>
      </c>
      <c r="D160" s="30">
        <v>45658.0</v>
      </c>
      <c r="E160" s="30">
        <v>46022.0</v>
      </c>
      <c r="F160" s="39">
        <v>9.96</v>
      </c>
      <c r="G160" s="39">
        <v>0.0</v>
      </c>
      <c r="H160" s="38" t="s">
        <v>7047</v>
      </c>
      <c r="I160" s="30">
        <v>46023.0</v>
      </c>
      <c r="J160" s="30">
        <v>46387.0</v>
      </c>
      <c r="K160" s="39">
        <v>0.0</v>
      </c>
      <c r="L160" s="39">
        <v>0.0</v>
      </c>
      <c r="M160" s="35" t="s">
        <v>7045</v>
      </c>
      <c r="N160" s="30">
        <v>46388.0</v>
      </c>
      <c r="O160" s="30">
        <v>46752.0</v>
      </c>
      <c r="P160" s="39">
        <v>0.0</v>
      </c>
      <c r="Q160" s="39">
        <v>0.0</v>
      </c>
      <c r="R160" s="35" t="s">
        <v>7045</v>
      </c>
      <c r="S160" s="30">
        <v>46753.0</v>
      </c>
      <c r="T160" s="30">
        <v>47118.0</v>
      </c>
      <c r="U160" s="39">
        <v>0.0</v>
      </c>
      <c r="V160" s="39">
        <v>0.0</v>
      </c>
      <c r="W160" s="35" t="s">
        <v>7045</v>
      </c>
      <c r="X160" s="30">
        <v>47119.0</v>
      </c>
      <c r="Y160" s="30">
        <v>47483.0</v>
      </c>
      <c r="Z160" s="39">
        <v>0.0</v>
      </c>
      <c r="AA160" s="39">
        <v>0.0</v>
      </c>
      <c r="AB160" s="35" t="s">
        <v>7045</v>
      </c>
      <c r="AC160" s="30">
        <v>47484.0</v>
      </c>
      <c r="AD160" s="30">
        <v>47848.0</v>
      </c>
      <c r="AE160" s="39">
        <v>0.0</v>
      </c>
      <c r="AF160" s="39">
        <v>0.0</v>
      </c>
      <c r="AG160" s="35" t="s">
        <v>7045</v>
      </c>
      <c r="AH160" s="30">
        <v>45292.0</v>
      </c>
      <c r="AI160" s="30">
        <v>45657.0</v>
      </c>
      <c r="AJ160" s="39">
        <v>112.1</v>
      </c>
      <c r="AK160" s="39">
        <v>350.0</v>
      </c>
      <c r="AL160" s="32" t="s">
        <v>7043</v>
      </c>
      <c r="AM160" s="30">
        <v>44562.0</v>
      </c>
      <c r="AN160" s="30">
        <v>44926.0</v>
      </c>
      <c r="AO160" s="39">
        <v>90.5</v>
      </c>
      <c r="AP160" s="39">
        <v>250.0</v>
      </c>
      <c r="AQ160" s="32" t="s">
        <v>7043</v>
      </c>
      <c r="AR160" s="30">
        <v>44927.0</v>
      </c>
      <c r="AS160" s="30">
        <v>45291.0</v>
      </c>
      <c r="AT160" s="39">
        <v>55.98</v>
      </c>
      <c r="AU160" s="39">
        <v>300.0</v>
      </c>
      <c r="AV160" s="32" t="s">
        <v>7043</v>
      </c>
    </row>
    <row r="161" ht="14.25" customHeight="1">
      <c r="A161" s="28" t="s">
        <v>3112</v>
      </c>
      <c r="B161" s="29" t="s">
        <v>3113</v>
      </c>
      <c r="C161" s="29" t="s">
        <v>7041</v>
      </c>
      <c r="D161" s="30">
        <v>45658.0</v>
      </c>
      <c r="E161" s="30">
        <v>46022.0</v>
      </c>
      <c r="F161" s="36">
        <v>43.99</v>
      </c>
      <c r="G161" s="36">
        <v>0.0</v>
      </c>
      <c r="H161" s="38" t="s">
        <v>7047</v>
      </c>
      <c r="I161" s="30">
        <v>46023.0</v>
      </c>
      <c r="J161" s="30">
        <v>46387.0</v>
      </c>
      <c r="K161" s="36">
        <v>0.0</v>
      </c>
      <c r="L161" s="36">
        <v>0.0</v>
      </c>
      <c r="M161" s="35" t="s">
        <v>7045</v>
      </c>
      <c r="N161" s="30">
        <v>46388.0</v>
      </c>
      <c r="O161" s="30">
        <v>46752.0</v>
      </c>
      <c r="P161" s="36">
        <v>0.0</v>
      </c>
      <c r="Q161" s="36">
        <v>0.0</v>
      </c>
      <c r="R161" s="35" t="s">
        <v>7045</v>
      </c>
      <c r="S161" s="30">
        <v>46753.0</v>
      </c>
      <c r="T161" s="30">
        <v>47118.0</v>
      </c>
      <c r="U161" s="36">
        <v>0.0</v>
      </c>
      <c r="V161" s="36">
        <v>0.0</v>
      </c>
      <c r="W161" s="35" t="s">
        <v>7045</v>
      </c>
      <c r="X161" s="30">
        <v>47119.0</v>
      </c>
      <c r="Y161" s="30">
        <v>47483.0</v>
      </c>
      <c r="Z161" s="36">
        <v>0.0</v>
      </c>
      <c r="AA161" s="36">
        <v>0.0</v>
      </c>
      <c r="AB161" s="35" t="s">
        <v>7045</v>
      </c>
      <c r="AC161" s="30">
        <v>47484.0</v>
      </c>
      <c r="AD161" s="30">
        <v>47848.0</v>
      </c>
      <c r="AE161" s="36">
        <v>0.0</v>
      </c>
      <c r="AF161" s="36">
        <v>0.0</v>
      </c>
      <c r="AG161" s="35" t="s">
        <v>7045</v>
      </c>
      <c r="AH161" s="30">
        <v>45292.0</v>
      </c>
      <c r="AI161" s="30">
        <v>45657.0</v>
      </c>
      <c r="AJ161" s="36">
        <v>227.32</v>
      </c>
      <c r="AK161" s="36">
        <v>500.0</v>
      </c>
      <c r="AL161" s="32" t="s">
        <v>7043</v>
      </c>
      <c r="AM161" s="30">
        <v>44562.0</v>
      </c>
      <c r="AN161" s="30">
        <v>44926.0</v>
      </c>
      <c r="AO161" s="36">
        <v>6.9</v>
      </c>
      <c r="AP161" s="36">
        <v>200.0</v>
      </c>
      <c r="AQ161" s="32" t="s">
        <v>7043</v>
      </c>
      <c r="AR161" s="30">
        <v>44927.0</v>
      </c>
      <c r="AS161" s="30">
        <v>45291.0</v>
      </c>
      <c r="AT161" s="36">
        <v>464.95</v>
      </c>
      <c r="AU161" s="36">
        <v>799.99</v>
      </c>
      <c r="AV161" s="37" t="s">
        <v>7046</v>
      </c>
    </row>
    <row r="162" ht="14.25" customHeight="1">
      <c r="A162" s="28" t="s">
        <v>3141</v>
      </c>
      <c r="B162" s="29" t="s">
        <v>3142</v>
      </c>
      <c r="C162" s="29" t="s">
        <v>7041</v>
      </c>
      <c r="D162" s="30">
        <v>45658.0</v>
      </c>
      <c r="E162" s="30">
        <v>46022.0</v>
      </c>
      <c r="F162" s="39">
        <v>0.0</v>
      </c>
      <c r="G162" s="39">
        <v>0.0</v>
      </c>
      <c r="H162" s="35" t="s">
        <v>7045</v>
      </c>
      <c r="I162" s="30">
        <v>46023.0</v>
      </c>
      <c r="J162" s="30">
        <v>46387.0</v>
      </c>
      <c r="K162" s="39">
        <v>0.0</v>
      </c>
      <c r="L162" s="39">
        <v>0.0</v>
      </c>
      <c r="M162" s="35" t="s">
        <v>7045</v>
      </c>
      <c r="N162" s="30">
        <v>46388.0</v>
      </c>
      <c r="O162" s="30">
        <v>46752.0</v>
      </c>
      <c r="P162" s="39">
        <v>0.0</v>
      </c>
      <c r="Q162" s="39">
        <v>0.0</v>
      </c>
      <c r="R162" s="35" t="s">
        <v>7045</v>
      </c>
      <c r="S162" s="30">
        <v>46753.0</v>
      </c>
      <c r="T162" s="30">
        <v>47118.0</v>
      </c>
      <c r="U162" s="39">
        <v>0.0</v>
      </c>
      <c r="V162" s="39">
        <v>0.0</v>
      </c>
      <c r="W162" s="35" t="s">
        <v>7045</v>
      </c>
      <c r="X162" s="30">
        <v>47119.0</v>
      </c>
      <c r="Y162" s="30">
        <v>47483.0</v>
      </c>
      <c r="Z162" s="39">
        <v>0.0</v>
      </c>
      <c r="AA162" s="39">
        <v>0.0</v>
      </c>
      <c r="AB162" s="35" t="s">
        <v>7045</v>
      </c>
      <c r="AC162" s="30">
        <v>47484.0</v>
      </c>
      <c r="AD162" s="30">
        <v>47848.0</v>
      </c>
      <c r="AE162" s="39">
        <v>0.0</v>
      </c>
      <c r="AF162" s="39">
        <v>0.0</v>
      </c>
      <c r="AG162" s="35" t="s">
        <v>7045</v>
      </c>
      <c r="AH162" s="30">
        <v>45292.0</v>
      </c>
      <c r="AI162" s="30">
        <v>45657.0</v>
      </c>
      <c r="AJ162" s="39">
        <v>1.63</v>
      </c>
      <c r="AK162" s="39">
        <v>0.0</v>
      </c>
      <c r="AL162" s="38" t="s">
        <v>7047</v>
      </c>
      <c r="AM162" s="30">
        <v>44562.0</v>
      </c>
      <c r="AN162" s="30">
        <v>44926.0</v>
      </c>
      <c r="AO162" s="39">
        <v>0.0</v>
      </c>
      <c r="AP162" s="39">
        <v>0.0</v>
      </c>
      <c r="AQ162" s="35" t="s">
        <v>7045</v>
      </c>
      <c r="AR162" s="30">
        <v>44927.0</v>
      </c>
      <c r="AS162" s="30">
        <v>45291.0</v>
      </c>
      <c r="AT162" s="39">
        <v>0.0</v>
      </c>
      <c r="AU162" s="39">
        <v>0.0</v>
      </c>
      <c r="AV162" s="35" t="s">
        <v>7045</v>
      </c>
    </row>
    <row r="163" ht="14.25" customHeight="1">
      <c r="A163" s="28" t="s">
        <v>3163</v>
      </c>
      <c r="B163" s="29" t="s">
        <v>3164</v>
      </c>
      <c r="C163" s="29" t="s">
        <v>7041</v>
      </c>
      <c r="D163" s="30">
        <v>45658.0</v>
      </c>
      <c r="E163" s="30">
        <v>46022.0</v>
      </c>
      <c r="F163" s="36">
        <v>0.0</v>
      </c>
      <c r="G163" s="36">
        <v>200.0</v>
      </c>
      <c r="H163" s="32" t="s">
        <v>7043</v>
      </c>
      <c r="I163" s="30">
        <v>46023.0</v>
      </c>
      <c r="J163" s="30">
        <v>46387.0</v>
      </c>
      <c r="K163" s="36">
        <v>0.0</v>
      </c>
      <c r="L163" s="36">
        <v>0.0</v>
      </c>
      <c r="M163" s="35" t="s">
        <v>7045</v>
      </c>
      <c r="N163" s="30">
        <v>46388.0</v>
      </c>
      <c r="O163" s="30">
        <v>46752.0</v>
      </c>
      <c r="P163" s="36">
        <v>0.0</v>
      </c>
      <c r="Q163" s="36">
        <v>0.0</v>
      </c>
      <c r="R163" s="35" t="s">
        <v>7045</v>
      </c>
      <c r="S163" s="30">
        <v>46753.0</v>
      </c>
      <c r="T163" s="30">
        <v>47118.0</v>
      </c>
      <c r="U163" s="36">
        <v>0.0</v>
      </c>
      <c r="V163" s="36">
        <v>0.0</v>
      </c>
      <c r="W163" s="35" t="s">
        <v>7045</v>
      </c>
      <c r="X163" s="30">
        <v>47119.0</v>
      </c>
      <c r="Y163" s="30">
        <v>47483.0</v>
      </c>
      <c r="Z163" s="36">
        <v>0.0</v>
      </c>
      <c r="AA163" s="36">
        <v>0.0</v>
      </c>
      <c r="AB163" s="35" t="s">
        <v>7045</v>
      </c>
      <c r="AC163" s="30">
        <v>47484.0</v>
      </c>
      <c r="AD163" s="30">
        <v>47848.0</v>
      </c>
      <c r="AE163" s="36">
        <v>0.0</v>
      </c>
      <c r="AF163" s="36">
        <v>0.0</v>
      </c>
      <c r="AG163" s="35" t="s">
        <v>7045</v>
      </c>
      <c r="AH163" s="30">
        <v>45292.0</v>
      </c>
      <c r="AI163" s="30">
        <v>45657.0</v>
      </c>
      <c r="AJ163" s="36">
        <v>27.8</v>
      </c>
      <c r="AK163" s="36">
        <v>0.0</v>
      </c>
      <c r="AL163" s="38" t="s">
        <v>7047</v>
      </c>
      <c r="AM163" s="30">
        <v>44562.0</v>
      </c>
      <c r="AN163" s="30">
        <v>44926.0</v>
      </c>
      <c r="AO163" s="36">
        <v>0.0</v>
      </c>
      <c r="AP163" s="36">
        <v>0.0</v>
      </c>
      <c r="AQ163" s="35" t="s">
        <v>7045</v>
      </c>
      <c r="AR163" s="30">
        <v>44927.0</v>
      </c>
      <c r="AS163" s="30">
        <v>45291.0</v>
      </c>
      <c r="AT163" s="36">
        <v>0.0</v>
      </c>
      <c r="AU163" s="36">
        <v>0.0</v>
      </c>
      <c r="AV163" s="35" t="s">
        <v>7045</v>
      </c>
    </row>
    <row r="164" ht="14.25" customHeight="1">
      <c r="A164" s="28" t="s">
        <v>3176</v>
      </c>
      <c r="B164" s="29" t="s">
        <v>3177</v>
      </c>
      <c r="C164" s="29" t="s">
        <v>7041</v>
      </c>
      <c r="D164" s="30">
        <v>45658.0</v>
      </c>
      <c r="E164" s="30">
        <v>46022.0</v>
      </c>
      <c r="F164" s="39">
        <v>0.0</v>
      </c>
      <c r="G164" s="39">
        <v>0.0</v>
      </c>
      <c r="H164" s="35" t="s">
        <v>7045</v>
      </c>
      <c r="I164" s="30">
        <v>46023.0</v>
      </c>
      <c r="J164" s="30">
        <v>46387.0</v>
      </c>
      <c r="K164" s="39">
        <v>0.0</v>
      </c>
      <c r="L164" s="39">
        <v>0.0</v>
      </c>
      <c r="M164" s="35" t="s">
        <v>7045</v>
      </c>
      <c r="N164" s="30">
        <v>46388.0</v>
      </c>
      <c r="O164" s="30">
        <v>46752.0</v>
      </c>
      <c r="P164" s="39">
        <v>0.0</v>
      </c>
      <c r="Q164" s="39">
        <v>0.0</v>
      </c>
      <c r="R164" s="35" t="s">
        <v>7045</v>
      </c>
      <c r="S164" s="30">
        <v>46753.0</v>
      </c>
      <c r="T164" s="30">
        <v>47118.0</v>
      </c>
      <c r="U164" s="39">
        <v>0.0</v>
      </c>
      <c r="V164" s="39">
        <v>0.0</v>
      </c>
      <c r="W164" s="35" t="s">
        <v>7045</v>
      </c>
      <c r="X164" s="30">
        <v>47119.0</v>
      </c>
      <c r="Y164" s="30">
        <v>47483.0</v>
      </c>
      <c r="Z164" s="39">
        <v>0.0</v>
      </c>
      <c r="AA164" s="39">
        <v>0.0</v>
      </c>
      <c r="AB164" s="35" t="s">
        <v>7045</v>
      </c>
      <c r="AC164" s="30">
        <v>47484.0</v>
      </c>
      <c r="AD164" s="30">
        <v>47848.0</v>
      </c>
      <c r="AE164" s="39">
        <v>0.0</v>
      </c>
      <c r="AF164" s="39">
        <v>0.0</v>
      </c>
      <c r="AG164" s="35" t="s">
        <v>7045</v>
      </c>
      <c r="AH164" s="30">
        <v>45292.0</v>
      </c>
      <c r="AI164" s="30">
        <v>45657.0</v>
      </c>
      <c r="AJ164" s="39">
        <v>0.0</v>
      </c>
      <c r="AK164" s="39">
        <v>0.0</v>
      </c>
      <c r="AL164" s="35" t="s">
        <v>7045</v>
      </c>
      <c r="AM164" s="30">
        <v>44562.0</v>
      </c>
      <c r="AN164" s="30">
        <v>44926.0</v>
      </c>
      <c r="AO164" s="39">
        <v>0.0</v>
      </c>
      <c r="AP164" s="39">
        <v>230.0</v>
      </c>
      <c r="AQ164" s="32" t="s">
        <v>7043</v>
      </c>
      <c r="AR164" s="30">
        <v>44927.0</v>
      </c>
      <c r="AS164" s="30">
        <v>45291.0</v>
      </c>
      <c r="AT164" s="39">
        <v>0.0</v>
      </c>
      <c r="AU164" s="39">
        <v>0.0</v>
      </c>
      <c r="AV164" s="35" t="s">
        <v>7045</v>
      </c>
    </row>
    <row r="165" ht="14.25" customHeight="1">
      <c r="A165" s="28" t="s">
        <v>3268</v>
      </c>
      <c r="B165" s="29" t="s">
        <v>3269</v>
      </c>
      <c r="C165" s="29" t="s">
        <v>7041</v>
      </c>
      <c r="D165" s="30">
        <v>45658.0</v>
      </c>
      <c r="E165" s="30">
        <v>46022.0</v>
      </c>
      <c r="F165" s="39">
        <v>0.0</v>
      </c>
      <c r="G165" s="39">
        <v>0.0</v>
      </c>
      <c r="H165" s="35" t="s">
        <v>7045</v>
      </c>
      <c r="I165" s="30">
        <v>46023.0</v>
      </c>
      <c r="J165" s="30">
        <v>46387.0</v>
      </c>
      <c r="K165" s="39">
        <v>0.0</v>
      </c>
      <c r="L165" s="39">
        <v>0.0</v>
      </c>
      <c r="M165" s="35" t="s">
        <v>7045</v>
      </c>
      <c r="N165" s="30">
        <v>46388.0</v>
      </c>
      <c r="O165" s="30">
        <v>46752.0</v>
      </c>
      <c r="P165" s="39">
        <v>0.0</v>
      </c>
      <c r="Q165" s="39">
        <v>0.0</v>
      </c>
      <c r="R165" s="35" t="s">
        <v>7045</v>
      </c>
      <c r="S165" s="30">
        <v>46753.0</v>
      </c>
      <c r="T165" s="30">
        <v>47118.0</v>
      </c>
      <c r="U165" s="39">
        <v>0.0</v>
      </c>
      <c r="V165" s="39">
        <v>0.0</v>
      </c>
      <c r="W165" s="35" t="s">
        <v>7045</v>
      </c>
      <c r="X165" s="30">
        <v>47119.0</v>
      </c>
      <c r="Y165" s="30">
        <v>47483.0</v>
      </c>
      <c r="Z165" s="39">
        <v>0.0</v>
      </c>
      <c r="AA165" s="39">
        <v>0.0</v>
      </c>
      <c r="AB165" s="35" t="s">
        <v>7045</v>
      </c>
      <c r="AC165" s="30">
        <v>47484.0</v>
      </c>
      <c r="AD165" s="30">
        <v>47848.0</v>
      </c>
      <c r="AE165" s="39">
        <v>0.0</v>
      </c>
      <c r="AF165" s="39">
        <v>0.0</v>
      </c>
      <c r="AG165" s="35" t="s">
        <v>7045</v>
      </c>
      <c r="AH165" s="30">
        <v>45292.0</v>
      </c>
      <c r="AI165" s="30">
        <v>45657.0</v>
      </c>
      <c r="AJ165" s="39">
        <v>0.3</v>
      </c>
      <c r="AK165" s="39">
        <v>0.0</v>
      </c>
      <c r="AL165" s="38" t="s">
        <v>7047</v>
      </c>
      <c r="AM165" s="30">
        <v>44562.0</v>
      </c>
      <c r="AN165" s="30">
        <v>44926.0</v>
      </c>
      <c r="AO165" s="39">
        <v>0.0</v>
      </c>
      <c r="AP165" s="39">
        <v>0.0</v>
      </c>
      <c r="AQ165" s="35" t="s">
        <v>7045</v>
      </c>
      <c r="AR165" s="30">
        <v>44927.0</v>
      </c>
      <c r="AS165" s="30">
        <v>45291.0</v>
      </c>
      <c r="AT165" s="39">
        <v>0.0</v>
      </c>
      <c r="AU165" s="39">
        <v>0.0</v>
      </c>
      <c r="AV165" s="35" t="s">
        <v>7045</v>
      </c>
    </row>
    <row r="166" ht="14.25" customHeight="1">
      <c r="A166" s="28" t="s">
        <v>3357</v>
      </c>
      <c r="B166" s="29" t="s">
        <v>3358</v>
      </c>
      <c r="C166" s="29" t="s">
        <v>7041</v>
      </c>
      <c r="D166" s="30">
        <v>45658.0</v>
      </c>
      <c r="E166" s="30">
        <v>46022.0</v>
      </c>
      <c r="F166" s="39">
        <v>33.34</v>
      </c>
      <c r="G166" s="39">
        <v>0.0</v>
      </c>
      <c r="H166" s="38" t="s">
        <v>7047</v>
      </c>
      <c r="I166" s="30">
        <v>46023.0</v>
      </c>
      <c r="J166" s="30">
        <v>46387.0</v>
      </c>
      <c r="K166" s="39">
        <v>0.0</v>
      </c>
      <c r="L166" s="39">
        <v>0.0</v>
      </c>
      <c r="M166" s="35" t="s">
        <v>7045</v>
      </c>
      <c r="N166" s="30">
        <v>46388.0</v>
      </c>
      <c r="O166" s="30">
        <v>46752.0</v>
      </c>
      <c r="P166" s="39">
        <v>0.0</v>
      </c>
      <c r="Q166" s="39">
        <v>0.0</v>
      </c>
      <c r="R166" s="35" t="s">
        <v>7045</v>
      </c>
      <c r="S166" s="30">
        <v>46753.0</v>
      </c>
      <c r="T166" s="30">
        <v>47118.0</v>
      </c>
      <c r="U166" s="39">
        <v>0.0</v>
      </c>
      <c r="V166" s="39">
        <v>0.0</v>
      </c>
      <c r="W166" s="35" t="s">
        <v>7045</v>
      </c>
      <c r="X166" s="30">
        <v>47119.0</v>
      </c>
      <c r="Y166" s="30">
        <v>47483.0</v>
      </c>
      <c r="Z166" s="39">
        <v>0.0</v>
      </c>
      <c r="AA166" s="39">
        <v>0.0</v>
      </c>
      <c r="AB166" s="35" t="s">
        <v>7045</v>
      </c>
      <c r="AC166" s="30">
        <v>47484.0</v>
      </c>
      <c r="AD166" s="30">
        <v>47848.0</v>
      </c>
      <c r="AE166" s="39">
        <v>0.0</v>
      </c>
      <c r="AF166" s="39">
        <v>0.0</v>
      </c>
      <c r="AG166" s="35" t="s">
        <v>7045</v>
      </c>
      <c r="AH166" s="30">
        <v>45292.0</v>
      </c>
      <c r="AI166" s="30">
        <v>45657.0</v>
      </c>
      <c r="AJ166" s="39">
        <v>81.76</v>
      </c>
      <c r="AK166" s="39">
        <v>200.0</v>
      </c>
      <c r="AL166" s="32" t="s">
        <v>7043</v>
      </c>
      <c r="AM166" s="30">
        <v>44562.0</v>
      </c>
      <c r="AN166" s="30">
        <v>44926.0</v>
      </c>
      <c r="AO166" s="39">
        <v>0.0</v>
      </c>
      <c r="AP166" s="39">
        <v>0.0</v>
      </c>
      <c r="AQ166" s="35" t="s">
        <v>7045</v>
      </c>
      <c r="AR166" s="30">
        <v>44927.0</v>
      </c>
      <c r="AS166" s="30">
        <v>45291.0</v>
      </c>
      <c r="AT166" s="39">
        <v>30.73</v>
      </c>
      <c r="AU166" s="39">
        <v>0.0</v>
      </c>
      <c r="AV166" s="38" t="s">
        <v>7047</v>
      </c>
    </row>
    <row r="167" ht="14.25" customHeight="1">
      <c r="A167" s="28" t="s">
        <v>3392</v>
      </c>
      <c r="B167" s="29" t="s">
        <v>3393</v>
      </c>
      <c r="C167" s="29" t="s">
        <v>7041</v>
      </c>
      <c r="D167" s="30">
        <v>45658.0</v>
      </c>
      <c r="E167" s="30">
        <v>46022.0</v>
      </c>
      <c r="F167" s="39">
        <v>24.62</v>
      </c>
      <c r="G167" s="39">
        <v>1000.0</v>
      </c>
      <c r="H167" s="32" t="s">
        <v>7043</v>
      </c>
      <c r="I167" s="30">
        <v>46023.0</v>
      </c>
      <c r="J167" s="30">
        <v>46387.0</v>
      </c>
      <c r="K167" s="39">
        <v>0.0</v>
      </c>
      <c r="L167" s="39">
        <v>0.0</v>
      </c>
      <c r="M167" s="35" t="s">
        <v>7045</v>
      </c>
      <c r="N167" s="30">
        <v>46388.0</v>
      </c>
      <c r="O167" s="30">
        <v>46752.0</v>
      </c>
      <c r="P167" s="39">
        <v>0.0</v>
      </c>
      <c r="Q167" s="39">
        <v>0.0</v>
      </c>
      <c r="R167" s="35" t="s">
        <v>7045</v>
      </c>
      <c r="S167" s="30">
        <v>46753.0</v>
      </c>
      <c r="T167" s="30">
        <v>47118.0</v>
      </c>
      <c r="U167" s="39">
        <v>0.0</v>
      </c>
      <c r="V167" s="39">
        <v>0.0</v>
      </c>
      <c r="W167" s="35" t="s">
        <v>7045</v>
      </c>
      <c r="X167" s="30">
        <v>47119.0</v>
      </c>
      <c r="Y167" s="30">
        <v>47483.0</v>
      </c>
      <c r="Z167" s="39">
        <v>0.0</v>
      </c>
      <c r="AA167" s="39">
        <v>0.0</v>
      </c>
      <c r="AB167" s="35" t="s">
        <v>7045</v>
      </c>
      <c r="AC167" s="30">
        <v>47484.0</v>
      </c>
      <c r="AD167" s="30">
        <v>47848.0</v>
      </c>
      <c r="AE167" s="39">
        <v>0.0</v>
      </c>
      <c r="AF167" s="39">
        <v>0.0</v>
      </c>
      <c r="AG167" s="35" t="s">
        <v>7045</v>
      </c>
      <c r="AH167" s="30">
        <v>45292.0</v>
      </c>
      <c r="AI167" s="30">
        <v>45657.0</v>
      </c>
      <c r="AJ167" s="39">
        <v>20.49</v>
      </c>
      <c r="AK167" s="39">
        <v>350.0</v>
      </c>
      <c r="AL167" s="32" t="s">
        <v>7043</v>
      </c>
      <c r="AM167" s="30">
        <v>44562.0</v>
      </c>
      <c r="AN167" s="30">
        <v>44926.0</v>
      </c>
      <c r="AO167" s="39">
        <v>0.0</v>
      </c>
      <c r="AP167" s="39">
        <v>0.0</v>
      </c>
      <c r="AQ167" s="35" t="s">
        <v>7045</v>
      </c>
      <c r="AR167" s="30">
        <v>44927.0</v>
      </c>
      <c r="AS167" s="30">
        <v>45291.0</v>
      </c>
      <c r="AT167" s="39">
        <v>0.0</v>
      </c>
      <c r="AU167" s="39">
        <v>0.0</v>
      </c>
      <c r="AV167" s="35" t="s">
        <v>7045</v>
      </c>
    </row>
    <row r="168" ht="14.25" customHeight="1">
      <c r="A168" s="28" t="s">
        <v>3413</v>
      </c>
      <c r="B168" s="29" t="s">
        <v>3414</v>
      </c>
      <c r="C168" s="29" t="s">
        <v>7041</v>
      </c>
      <c r="D168" s="30">
        <v>45658.0</v>
      </c>
      <c r="E168" s="30">
        <v>46022.0</v>
      </c>
      <c r="F168" s="36">
        <v>98.25</v>
      </c>
      <c r="G168" s="36">
        <v>503.0</v>
      </c>
      <c r="H168" s="32" t="s">
        <v>7043</v>
      </c>
      <c r="I168" s="30">
        <v>46023.0</v>
      </c>
      <c r="J168" s="30">
        <v>46387.0</v>
      </c>
      <c r="K168" s="36">
        <v>0.0</v>
      </c>
      <c r="L168" s="36">
        <v>0.0</v>
      </c>
      <c r="M168" s="35" t="s">
        <v>7045</v>
      </c>
      <c r="N168" s="30">
        <v>46388.0</v>
      </c>
      <c r="O168" s="30">
        <v>46752.0</v>
      </c>
      <c r="P168" s="36">
        <v>0.0</v>
      </c>
      <c r="Q168" s="36">
        <v>0.0</v>
      </c>
      <c r="R168" s="35" t="s">
        <v>7045</v>
      </c>
      <c r="S168" s="30">
        <v>46753.0</v>
      </c>
      <c r="T168" s="30">
        <v>47118.0</v>
      </c>
      <c r="U168" s="36">
        <v>0.0</v>
      </c>
      <c r="V168" s="36">
        <v>0.0</v>
      </c>
      <c r="W168" s="35" t="s">
        <v>7045</v>
      </c>
      <c r="X168" s="30">
        <v>47119.0</v>
      </c>
      <c r="Y168" s="30">
        <v>47483.0</v>
      </c>
      <c r="Z168" s="36">
        <v>0.0</v>
      </c>
      <c r="AA168" s="36">
        <v>0.0</v>
      </c>
      <c r="AB168" s="35" t="s">
        <v>7045</v>
      </c>
      <c r="AC168" s="30">
        <v>47484.0</v>
      </c>
      <c r="AD168" s="30">
        <v>47848.0</v>
      </c>
      <c r="AE168" s="36">
        <v>0.0</v>
      </c>
      <c r="AF168" s="36">
        <v>0.0</v>
      </c>
      <c r="AG168" s="35" t="s">
        <v>7045</v>
      </c>
      <c r="AH168" s="30">
        <v>45292.0</v>
      </c>
      <c r="AI168" s="30">
        <v>45657.0</v>
      </c>
      <c r="AJ168" s="36">
        <v>442.98</v>
      </c>
      <c r="AK168" s="36">
        <v>280.0</v>
      </c>
      <c r="AL168" s="38" t="s">
        <v>7047</v>
      </c>
      <c r="AM168" s="30">
        <v>44562.0</v>
      </c>
      <c r="AN168" s="30">
        <v>44926.0</v>
      </c>
      <c r="AO168" s="36">
        <v>93.3</v>
      </c>
      <c r="AP168" s="36">
        <v>0.0</v>
      </c>
      <c r="AQ168" s="38" t="s">
        <v>7047</v>
      </c>
      <c r="AR168" s="30">
        <v>44927.0</v>
      </c>
      <c r="AS168" s="30">
        <v>45291.0</v>
      </c>
      <c r="AT168" s="36">
        <v>125.46</v>
      </c>
      <c r="AU168" s="36">
        <v>327.0</v>
      </c>
      <c r="AV168" s="32" t="s">
        <v>7043</v>
      </c>
    </row>
    <row r="169" ht="14.25" customHeight="1">
      <c r="A169" s="28" t="s">
        <v>3564</v>
      </c>
      <c r="B169" s="29" t="s">
        <v>3565</v>
      </c>
      <c r="C169" s="29" t="s">
        <v>7044</v>
      </c>
      <c r="D169" s="30">
        <v>45658.0</v>
      </c>
      <c r="E169" s="30">
        <v>46022.0</v>
      </c>
      <c r="F169" s="36">
        <v>0.0</v>
      </c>
      <c r="G169" s="36">
        <v>0.0</v>
      </c>
      <c r="H169" s="35" t="s">
        <v>7045</v>
      </c>
      <c r="I169" s="30">
        <v>46023.0</v>
      </c>
      <c r="J169" s="30">
        <v>46387.0</v>
      </c>
      <c r="K169" s="36">
        <v>0.0</v>
      </c>
      <c r="L169" s="36">
        <v>0.0</v>
      </c>
      <c r="M169" s="35" t="s">
        <v>7045</v>
      </c>
      <c r="N169" s="30">
        <v>46388.0</v>
      </c>
      <c r="O169" s="30">
        <v>46752.0</v>
      </c>
      <c r="P169" s="36">
        <v>0.0</v>
      </c>
      <c r="Q169" s="36">
        <v>0.0</v>
      </c>
      <c r="R169" s="35" t="s">
        <v>7045</v>
      </c>
      <c r="S169" s="30">
        <v>46753.0</v>
      </c>
      <c r="T169" s="30">
        <v>47118.0</v>
      </c>
      <c r="U169" s="36">
        <v>0.0</v>
      </c>
      <c r="V169" s="36">
        <v>0.0</v>
      </c>
      <c r="W169" s="35" t="s">
        <v>7045</v>
      </c>
      <c r="X169" s="30">
        <v>47119.0</v>
      </c>
      <c r="Y169" s="30">
        <v>47483.0</v>
      </c>
      <c r="Z169" s="36">
        <v>0.0</v>
      </c>
      <c r="AA169" s="36">
        <v>0.0</v>
      </c>
      <c r="AB169" s="35" t="s">
        <v>7045</v>
      </c>
      <c r="AC169" s="30">
        <v>47484.0</v>
      </c>
      <c r="AD169" s="30">
        <v>47848.0</v>
      </c>
      <c r="AE169" s="36">
        <v>0.0</v>
      </c>
      <c r="AF169" s="36">
        <v>0.0</v>
      </c>
      <c r="AG169" s="35" t="s">
        <v>7045</v>
      </c>
      <c r="AH169" s="30">
        <v>45292.0</v>
      </c>
      <c r="AI169" s="30">
        <v>45657.0</v>
      </c>
      <c r="AJ169" s="36">
        <v>0.03</v>
      </c>
      <c r="AK169" s="36">
        <v>302.0</v>
      </c>
      <c r="AL169" s="32" t="s">
        <v>7043</v>
      </c>
      <c r="AM169" s="30">
        <v>44562.0</v>
      </c>
      <c r="AN169" s="30">
        <v>44926.0</v>
      </c>
      <c r="AO169" s="36">
        <v>0.0</v>
      </c>
      <c r="AP169" s="36">
        <v>200.0</v>
      </c>
      <c r="AQ169" s="32" t="s">
        <v>7043</v>
      </c>
      <c r="AR169" s="30">
        <v>44927.0</v>
      </c>
      <c r="AS169" s="30">
        <v>45291.0</v>
      </c>
      <c r="AT169" s="36">
        <v>7.38</v>
      </c>
      <c r="AU169" s="36">
        <v>300.0</v>
      </c>
      <c r="AV169" s="32" t="s">
        <v>7043</v>
      </c>
    </row>
    <row r="170" ht="14.25" customHeight="1">
      <c r="A170" s="28" t="s">
        <v>3603</v>
      </c>
      <c r="B170" s="29" t="s">
        <v>3604</v>
      </c>
      <c r="C170" s="29" t="s">
        <v>7041</v>
      </c>
      <c r="D170" s="30">
        <v>45658.0</v>
      </c>
      <c r="E170" s="30">
        <v>46022.0</v>
      </c>
      <c r="F170" s="39">
        <v>51.42</v>
      </c>
      <c r="G170" s="39">
        <v>205.0</v>
      </c>
      <c r="H170" s="32" t="s">
        <v>7043</v>
      </c>
      <c r="I170" s="30">
        <v>46023.0</v>
      </c>
      <c r="J170" s="30">
        <v>46387.0</v>
      </c>
      <c r="K170" s="39">
        <v>0.0</v>
      </c>
      <c r="L170" s="39">
        <v>0.0</v>
      </c>
      <c r="M170" s="35" t="s">
        <v>7045</v>
      </c>
      <c r="N170" s="30">
        <v>46388.0</v>
      </c>
      <c r="O170" s="30">
        <v>46752.0</v>
      </c>
      <c r="P170" s="39">
        <v>0.0</v>
      </c>
      <c r="Q170" s="39">
        <v>0.0</v>
      </c>
      <c r="R170" s="35" t="s">
        <v>7045</v>
      </c>
      <c r="S170" s="30">
        <v>46753.0</v>
      </c>
      <c r="T170" s="30">
        <v>47118.0</v>
      </c>
      <c r="U170" s="39">
        <v>0.0</v>
      </c>
      <c r="V170" s="39">
        <v>0.0</v>
      </c>
      <c r="W170" s="35" t="s">
        <v>7045</v>
      </c>
      <c r="X170" s="30">
        <v>47119.0</v>
      </c>
      <c r="Y170" s="30">
        <v>47483.0</v>
      </c>
      <c r="Z170" s="39">
        <v>0.0</v>
      </c>
      <c r="AA170" s="39">
        <v>0.0</v>
      </c>
      <c r="AB170" s="35" t="s">
        <v>7045</v>
      </c>
      <c r="AC170" s="30">
        <v>47484.0</v>
      </c>
      <c r="AD170" s="30">
        <v>47848.0</v>
      </c>
      <c r="AE170" s="39">
        <v>0.0</v>
      </c>
      <c r="AF170" s="39">
        <v>0.0</v>
      </c>
      <c r="AG170" s="35" t="s">
        <v>7045</v>
      </c>
      <c r="AH170" s="30">
        <v>45292.0</v>
      </c>
      <c r="AI170" s="30">
        <v>45657.0</v>
      </c>
      <c r="AJ170" s="39">
        <v>127.94</v>
      </c>
      <c r="AK170" s="39">
        <v>250.0</v>
      </c>
      <c r="AL170" s="37" t="s">
        <v>7046</v>
      </c>
      <c r="AM170" s="30">
        <v>44562.0</v>
      </c>
      <c r="AN170" s="30">
        <v>44926.0</v>
      </c>
      <c r="AO170" s="39">
        <v>149.7</v>
      </c>
      <c r="AP170" s="39">
        <v>120.0</v>
      </c>
      <c r="AQ170" s="38" t="s">
        <v>7047</v>
      </c>
      <c r="AR170" s="30">
        <v>44927.0</v>
      </c>
      <c r="AS170" s="30">
        <v>45291.0</v>
      </c>
      <c r="AT170" s="39">
        <v>259.3</v>
      </c>
      <c r="AU170" s="39">
        <v>200.0</v>
      </c>
      <c r="AV170" s="38" t="s">
        <v>7047</v>
      </c>
    </row>
    <row r="171" ht="14.25" customHeight="1">
      <c r="A171" s="28" t="s">
        <v>3877</v>
      </c>
      <c r="B171" s="29" t="s">
        <v>3878</v>
      </c>
      <c r="C171" s="29" t="s">
        <v>7041</v>
      </c>
      <c r="D171" s="30">
        <v>45658.0</v>
      </c>
      <c r="E171" s="30">
        <v>46022.0</v>
      </c>
      <c r="F171" s="39">
        <v>245.07</v>
      </c>
      <c r="G171" s="39">
        <v>550.0</v>
      </c>
      <c r="H171" s="37" t="s">
        <v>7046</v>
      </c>
      <c r="I171" s="30">
        <v>46023.0</v>
      </c>
      <c r="J171" s="30">
        <v>46387.0</v>
      </c>
      <c r="K171" s="39">
        <v>0.0</v>
      </c>
      <c r="L171" s="39">
        <v>0.0</v>
      </c>
      <c r="M171" s="35" t="s">
        <v>7045</v>
      </c>
      <c r="N171" s="30">
        <v>46388.0</v>
      </c>
      <c r="O171" s="30">
        <v>46752.0</v>
      </c>
      <c r="P171" s="39">
        <v>0.0</v>
      </c>
      <c r="Q171" s="39">
        <v>0.0</v>
      </c>
      <c r="R171" s="35" t="s">
        <v>7045</v>
      </c>
      <c r="S171" s="30">
        <v>46753.0</v>
      </c>
      <c r="T171" s="30">
        <v>47118.0</v>
      </c>
      <c r="U171" s="39">
        <v>0.0</v>
      </c>
      <c r="V171" s="39">
        <v>0.0</v>
      </c>
      <c r="W171" s="35" t="s">
        <v>7045</v>
      </c>
      <c r="X171" s="30">
        <v>47119.0</v>
      </c>
      <c r="Y171" s="30">
        <v>47483.0</v>
      </c>
      <c r="Z171" s="39">
        <v>0.0</v>
      </c>
      <c r="AA171" s="39">
        <v>0.0</v>
      </c>
      <c r="AB171" s="35" t="s">
        <v>7045</v>
      </c>
      <c r="AC171" s="30">
        <v>47484.0</v>
      </c>
      <c r="AD171" s="30">
        <v>47848.0</v>
      </c>
      <c r="AE171" s="39">
        <v>0.0</v>
      </c>
      <c r="AF171" s="39">
        <v>0.0</v>
      </c>
      <c r="AG171" s="35" t="s">
        <v>7045</v>
      </c>
      <c r="AH171" s="30">
        <v>45292.0</v>
      </c>
      <c r="AI171" s="30">
        <v>45657.0</v>
      </c>
      <c r="AJ171" s="39">
        <v>459.51</v>
      </c>
      <c r="AK171" s="39">
        <v>850.0</v>
      </c>
      <c r="AL171" s="37" t="s">
        <v>7046</v>
      </c>
      <c r="AM171" s="30">
        <v>44562.0</v>
      </c>
      <c r="AN171" s="30">
        <v>44926.0</v>
      </c>
      <c r="AO171" s="39">
        <v>257.1</v>
      </c>
      <c r="AP171" s="39">
        <v>0.0</v>
      </c>
      <c r="AQ171" s="38" t="s">
        <v>7047</v>
      </c>
      <c r="AR171" s="30">
        <v>44927.0</v>
      </c>
      <c r="AS171" s="30">
        <v>45291.0</v>
      </c>
      <c r="AT171" s="39">
        <v>445.91</v>
      </c>
      <c r="AU171" s="39">
        <v>0.0</v>
      </c>
      <c r="AV171" s="38" t="s">
        <v>7047</v>
      </c>
    </row>
    <row r="172" ht="14.25" customHeight="1">
      <c r="A172" s="28" t="s">
        <v>3943</v>
      </c>
      <c r="B172" s="34" t="s">
        <v>3944</v>
      </c>
      <c r="C172" s="29" t="s">
        <v>7041</v>
      </c>
      <c r="D172" s="30">
        <v>45658.0</v>
      </c>
      <c r="E172" s="30">
        <v>46022.0</v>
      </c>
      <c r="F172" s="39">
        <v>33.95</v>
      </c>
      <c r="G172" s="39">
        <v>0.0</v>
      </c>
      <c r="H172" s="38" t="s">
        <v>7047</v>
      </c>
      <c r="I172" s="30">
        <v>46023.0</v>
      </c>
      <c r="J172" s="30">
        <v>46387.0</v>
      </c>
      <c r="K172" s="39">
        <v>0.0</v>
      </c>
      <c r="L172" s="39">
        <v>0.0</v>
      </c>
      <c r="M172" s="35" t="s">
        <v>7045</v>
      </c>
      <c r="N172" s="30">
        <v>46388.0</v>
      </c>
      <c r="O172" s="30">
        <v>46752.0</v>
      </c>
      <c r="P172" s="39">
        <v>0.0</v>
      </c>
      <c r="Q172" s="39">
        <v>0.0</v>
      </c>
      <c r="R172" s="35" t="s">
        <v>7045</v>
      </c>
      <c r="S172" s="30">
        <v>46753.0</v>
      </c>
      <c r="T172" s="30">
        <v>47118.0</v>
      </c>
      <c r="U172" s="39">
        <v>0.0</v>
      </c>
      <c r="V172" s="39">
        <v>0.0</v>
      </c>
      <c r="W172" s="35" t="s">
        <v>7045</v>
      </c>
      <c r="X172" s="30">
        <v>47119.0</v>
      </c>
      <c r="Y172" s="30">
        <v>47483.0</v>
      </c>
      <c r="Z172" s="39">
        <v>0.0</v>
      </c>
      <c r="AA172" s="39">
        <v>0.0</v>
      </c>
      <c r="AB172" s="35" t="s">
        <v>7045</v>
      </c>
      <c r="AC172" s="30">
        <v>47484.0</v>
      </c>
      <c r="AD172" s="30">
        <v>47848.0</v>
      </c>
      <c r="AE172" s="39">
        <v>0.0</v>
      </c>
      <c r="AF172" s="39">
        <v>0.0</v>
      </c>
      <c r="AG172" s="35" t="s">
        <v>7045</v>
      </c>
      <c r="AH172" s="30">
        <v>45292.0</v>
      </c>
      <c r="AI172" s="30">
        <v>45657.0</v>
      </c>
      <c r="AJ172" s="39">
        <v>74.16</v>
      </c>
      <c r="AK172" s="39">
        <v>200.0</v>
      </c>
      <c r="AL172" s="32" t="s">
        <v>7043</v>
      </c>
      <c r="AM172" s="30">
        <v>44562.0</v>
      </c>
      <c r="AN172" s="30">
        <v>44926.0</v>
      </c>
      <c r="AO172" s="39">
        <v>45.7</v>
      </c>
      <c r="AP172" s="39">
        <v>0.0</v>
      </c>
      <c r="AQ172" s="38" t="s">
        <v>7047</v>
      </c>
      <c r="AR172" s="30">
        <v>44927.0</v>
      </c>
      <c r="AS172" s="30">
        <v>45291.0</v>
      </c>
      <c r="AT172" s="39">
        <v>142.66</v>
      </c>
      <c r="AU172" s="39">
        <v>0.0</v>
      </c>
      <c r="AV172" s="38" t="s">
        <v>7047</v>
      </c>
    </row>
    <row r="173" ht="14.25" customHeight="1">
      <c r="A173" s="28" t="s">
        <v>4011</v>
      </c>
      <c r="B173" s="29" t="s">
        <v>4012</v>
      </c>
      <c r="C173" s="29" t="s">
        <v>7041</v>
      </c>
      <c r="D173" s="30">
        <v>45658.0</v>
      </c>
      <c r="E173" s="30">
        <v>46022.0</v>
      </c>
      <c r="F173" s="39">
        <v>18.69</v>
      </c>
      <c r="G173" s="39">
        <v>226.0</v>
      </c>
      <c r="H173" s="32" t="s">
        <v>7043</v>
      </c>
      <c r="I173" s="30">
        <v>46023.0</v>
      </c>
      <c r="J173" s="30">
        <v>46387.0</v>
      </c>
      <c r="K173" s="39">
        <v>0.0</v>
      </c>
      <c r="L173" s="39">
        <v>0.0</v>
      </c>
      <c r="M173" s="35" t="s">
        <v>7045</v>
      </c>
      <c r="N173" s="30">
        <v>46388.0</v>
      </c>
      <c r="O173" s="30">
        <v>46752.0</v>
      </c>
      <c r="P173" s="39">
        <v>0.0</v>
      </c>
      <c r="Q173" s="39">
        <v>0.0</v>
      </c>
      <c r="R173" s="35" t="s">
        <v>7045</v>
      </c>
      <c r="S173" s="30">
        <v>46753.0</v>
      </c>
      <c r="T173" s="30">
        <v>47118.0</v>
      </c>
      <c r="U173" s="39">
        <v>0.0</v>
      </c>
      <c r="V173" s="39">
        <v>0.0</v>
      </c>
      <c r="W173" s="35" t="s">
        <v>7045</v>
      </c>
      <c r="X173" s="30">
        <v>47119.0</v>
      </c>
      <c r="Y173" s="30">
        <v>47483.0</v>
      </c>
      <c r="Z173" s="39">
        <v>0.0</v>
      </c>
      <c r="AA173" s="39">
        <v>0.0</v>
      </c>
      <c r="AB173" s="35" t="s">
        <v>7045</v>
      </c>
      <c r="AC173" s="30">
        <v>47484.0</v>
      </c>
      <c r="AD173" s="30">
        <v>47848.0</v>
      </c>
      <c r="AE173" s="39">
        <v>0.0</v>
      </c>
      <c r="AF173" s="39">
        <v>0.0</v>
      </c>
      <c r="AG173" s="35" t="s">
        <v>7045</v>
      </c>
      <c r="AH173" s="30">
        <v>45292.0</v>
      </c>
      <c r="AI173" s="30">
        <v>45657.0</v>
      </c>
      <c r="AJ173" s="39">
        <v>209.29</v>
      </c>
      <c r="AK173" s="39">
        <v>350.0</v>
      </c>
      <c r="AL173" s="37" t="s">
        <v>7046</v>
      </c>
      <c r="AM173" s="30">
        <v>44562.0</v>
      </c>
      <c r="AN173" s="30">
        <v>44926.0</v>
      </c>
      <c r="AO173" s="39">
        <v>344.1</v>
      </c>
      <c r="AP173" s="39">
        <v>250.0</v>
      </c>
      <c r="AQ173" s="38" t="s">
        <v>7047</v>
      </c>
      <c r="AR173" s="30">
        <v>44927.0</v>
      </c>
      <c r="AS173" s="30">
        <v>45291.0</v>
      </c>
      <c r="AT173" s="39">
        <v>302.59</v>
      </c>
      <c r="AU173" s="39">
        <v>400.0</v>
      </c>
      <c r="AV173" s="37" t="s">
        <v>7046</v>
      </c>
    </row>
    <row r="174" ht="14.25" customHeight="1">
      <c r="A174" s="28" t="s">
        <v>4140</v>
      </c>
      <c r="B174" s="29" t="s">
        <v>4141</v>
      </c>
      <c r="C174" s="29" t="s">
        <v>7041</v>
      </c>
      <c r="D174" s="30">
        <v>45658.0</v>
      </c>
      <c r="E174" s="30">
        <v>46022.0</v>
      </c>
      <c r="F174" s="36">
        <v>0.0</v>
      </c>
      <c r="G174" s="36">
        <v>0.0</v>
      </c>
      <c r="H174" s="35" t="s">
        <v>7045</v>
      </c>
      <c r="I174" s="30">
        <v>46023.0</v>
      </c>
      <c r="J174" s="30">
        <v>46387.0</v>
      </c>
      <c r="K174" s="36">
        <v>0.0</v>
      </c>
      <c r="L174" s="36">
        <v>0.0</v>
      </c>
      <c r="M174" s="35" t="s">
        <v>7045</v>
      </c>
      <c r="N174" s="30">
        <v>46388.0</v>
      </c>
      <c r="O174" s="30">
        <v>46752.0</v>
      </c>
      <c r="P174" s="36">
        <v>0.0</v>
      </c>
      <c r="Q174" s="36">
        <v>0.0</v>
      </c>
      <c r="R174" s="35" t="s">
        <v>7045</v>
      </c>
      <c r="S174" s="30">
        <v>46753.0</v>
      </c>
      <c r="T174" s="30">
        <v>47118.0</v>
      </c>
      <c r="U174" s="36">
        <v>0.0</v>
      </c>
      <c r="V174" s="36">
        <v>0.0</v>
      </c>
      <c r="W174" s="35" t="s">
        <v>7045</v>
      </c>
      <c r="X174" s="30">
        <v>47119.0</v>
      </c>
      <c r="Y174" s="30">
        <v>47483.0</v>
      </c>
      <c r="Z174" s="36">
        <v>0.0</v>
      </c>
      <c r="AA174" s="36">
        <v>0.0</v>
      </c>
      <c r="AB174" s="35" t="s">
        <v>7045</v>
      </c>
      <c r="AC174" s="30">
        <v>47484.0</v>
      </c>
      <c r="AD174" s="30">
        <v>47848.0</v>
      </c>
      <c r="AE174" s="36">
        <v>0.0</v>
      </c>
      <c r="AF174" s="36">
        <v>0.0</v>
      </c>
      <c r="AG174" s="35" t="s">
        <v>7045</v>
      </c>
      <c r="AH174" s="30">
        <v>45292.0</v>
      </c>
      <c r="AI174" s="30">
        <v>45657.0</v>
      </c>
      <c r="AJ174" s="36">
        <v>0.0</v>
      </c>
      <c r="AK174" s="36">
        <v>599.99</v>
      </c>
      <c r="AL174" s="32" t="s">
        <v>7043</v>
      </c>
      <c r="AM174" s="30">
        <v>44562.0</v>
      </c>
      <c r="AN174" s="30">
        <v>44926.0</v>
      </c>
      <c r="AO174" s="36">
        <v>7.0</v>
      </c>
      <c r="AP174" s="36">
        <v>0.0</v>
      </c>
      <c r="AQ174" s="38" t="s">
        <v>7047</v>
      </c>
      <c r="AR174" s="30">
        <v>44927.0</v>
      </c>
      <c r="AS174" s="30">
        <v>45291.0</v>
      </c>
      <c r="AT174" s="36">
        <v>0.0</v>
      </c>
      <c r="AU174" s="36">
        <v>0.0</v>
      </c>
      <c r="AV174" s="35" t="s">
        <v>7045</v>
      </c>
    </row>
    <row r="175" ht="14.25" customHeight="1">
      <c r="A175" s="28" t="s">
        <v>4197</v>
      </c>
      <c r="B175" s="29" t="s">
        <v>4198</v>
      </c>
      <c r="C175" s="29" t="s">
        <v>7041</v>
      </c>
      <c r="D175" s="30">
        <v>45658.0</v>
      </c>
      <c r="E175" s="30">
        <v>46022.0</v>
      </c>
      <c r="F175" s="39">
        <v>16.79</v>
      </c>
      <c r="G175" s="39">
        <v>200.0</v>
      </c>
      <c r="H175" s="32" t="s">
        <v>7043</v>
      </c>
      <c r="I175" s="30">
        <v>46023.0</v>
      </c>
      <c r="J175" s="30">
        <v>46387.0</v>
      </c>
      <c r="K175" s="39">
        <v>0.0</v>
      </c>
      <c r="L175" s="39">
        <v>0.0</v>
      </c>
      <c r="M175" s="35" t="s">
        <v>7045</v>
      </c>
      <c r="N175" s="30">
        <v>46388.0</v>
      </c>
      <c r="O175" s="30">
        <v>46752.0</v>
      </c>
      <c r="P175" s="39">
        <v>0.0</v>
      </c>
      <c r="Q175" s="39">
        <v>0.0</v>
      </c>
      <c r="R175" s="35" t="s">
        <v>7045</v>
      </c>
      <c r="S175" s="30">
        <v>46753.0</v>
      </c>
      <c r="T175" s="30">
        <v>47118.0</v>
      </c>
      <c r="U175" s="39">
        <v>0.0</v>
      </c>
      <c r="V175" s="39">
        <v>0.0</v>
      </c>
      <c r="W175" s="35" t="s">
        <v>7045</v>
      </c>
      <c r="X175" s="30">
        <v>47119.0</v>
      </c>
      <c r="Y175" s="30">
        <v>47483.0</v>
      </c>
      <c r="Z175" s="39">
        <v>0.0</v>
      </c>
      <c r="AA175" s="39">
        <v>0.0</v>
      </c>
      <c r="AB175" s="35" t="s">
        <v>7045</v>
      </c>
      <c r="AC175" s="30">
        <v>47484.0</v>
      </c>
      <c r="AD175" s="30">
        <v>47848.0</v>
      </c>
      <c r="AE175" s="39">
        <v>0.0</v>
      </c>
      <c r="AF175" s="39">
        <v>0.0</v>
      </c>
      <c r="AG175" s="35" t="s">
        <v>7045</v>
      </c>
      <c r="AH175" s="30">
        <v>45292.0</v>
      </c>
      <c r="AI175" s="30">
        <v>45657.0</v>
      </c>
      <c r="AJ175" s="39">
        <v>88.23</v>
      </c>
      <c r="AK175" s="39">
        <v>100.0</v>
      </c>
      <c r="AL175" s="37" t="s">
        <v>7046</v>
      </c>
      <c r="AM175" s="30">
        <v>44562.0</v>
      </c>
      <c r="AN175" s="30">
        <v>44926.0</v>
      </c>
      <c r="AO175" s="39">
        <v>0.0</v>
      </c>
      <c r="AP175" s="39">
        <v>0.0</v>
      </c>
      <c r="AQ175" s="35" t="s">
        <v>7045</v>
      </c>
      <c r="AR175" s="30">
        <v>44927.0</v>
      </c>
      <c r="AS175" s="30">
        <v>45291.0</v>
      </c>
      <c r="AT175" s="39">
        <v>5.22</v>
      </c>
      <c r="AU175" s="39">
        <v>0.0</v>
      </c>
      <c r="AV175" s="38" t="s">
        <v>7047</v>
      </c>
    </row>
    <row r="176" ht="14.25" customHeight="1">
      <c r="A176" s="28" t="s">
        <v>4894</v>
      </c>
      <c r="B176" s="29" t="s">
        <v>4895</v>
      </c>
      <c r="C176" s="29" t="s">
        <v>7041</v>
      </c>
      <c r="D176" s="30">
        <v>45658.0</v>
      </c>
      <c r="E176" s="30">
        <v>46022.0</v>
      </c>
      <c r="F176" s="36">
        <v>415.91</v>
      </c>
      <c r="G176" s="36">
        <v>999.99</v>
      </c>
      <c r="H176" s="37" t="s">
        <v>7046</v>
      </c>
      <c r="I176" s="30">
        <v>46023.0</v>
      </c>
      <c r="J176" s="30">
        <v>46387.0</v>
      </c>
      <c r="K176" s="36">
        <v>0.0</v>
      </c>
      <c r="L176" s="36">
        <v>0.0</v>
      </c>
      <c r="M176" s="35" t="s">
        <v>7045</v>
      </c>
      <c r="N176" s="30">
        <v>46388.0</v>
      </c>
      <c r="O176" s="30">
        <v>46752.0</v>
      </c>
      <c r="P176" s="36">
        <v>0.0</v>
      </c>
      <c r="Q176" s="36">
        <v>0.0</v>
      </c>
      <c r="R176" s="35" t="s">
        <v>7045</v>
      </c>
      <c r="S176" s="30">
        <v>46753.0</v>
      </c>
      <c r="T176" s="30">
        <v>47118.0</v>
      </c>
      <c r="U176" s="36">
        <v>0.0</v>
      </c>
      <c r="V176" s="36">
        <v>0.0</v>
      </c>
      <c r="W176" s="35" t="s">
        <v>7045</v>
      </c>
      <c r="X176" s="30">
        <v>47119.0</v>
      </c>
      <c r="Y176" s="30">
        <v>47483.0</v>
      </c>
      <c r="Z176" s="36">
        <v>0.0</v>
      </c>
      <c r="AA176" s="36">
        <v>0.0</v>
      </c>
      <c r="AB176" s="35" t="s">
        <v>7045</v>
      </c>
      <c r="AC176" s="30">
        <v>47484.0</v>
      </c>
      <c r="AD176" s="30">
        <v>47848.0</v>
      </c>
      <c r="AE176" s="36">
        <v>0.0</v>
      </c>
      <c r="AF176" s="36">
        <v>0.0</v>
      </c>
      <c r="AG176" s="35" t="s">
        <v>7045</v>
      </c>
      <c r="AH176" s="30">
        <v>45292.0</v>
      </c>
      <c r="AI176" s="30">
        <v>45657.0</v>
      </c>
      <c r="AJ176" s="36">
        <v>230.06</v>
      </c>
      <c r="AK176" s="36">
        <v>1089.99</v>
      </c>
      <c r="AL176" s="32" t="s">
        <v>7043</v>
      </c>
      <c r="AM176" s="30">
        <v>44562.0</v>
      </c>
      <c r="AN176" s="30">
        <v>44926.0</v>
      </c>
      <c r="AO176" s="36">
        <v>0.0</v>
      </c>
      <c r="AP176" s="36">
        <v>0.0</v>
      </c>
      <c r="AQ176" s="35" t="s">
        <v>7045</v>
      </c>
      <c r="AR176" s="30">
        <v>44927.0</v>
      </c>
      <c r="AS176" s="30">
        <v>45291.0</v>
      </c>
      <c r="AT176" s="36">
        <v>101.48</v>
      </c>
      <c r="AU176" s="36">
        <v>0.0</v>
      </c>
      <c r="AV176" s="38" t="s">
        <v>7047</v>
      </c>
    </row>
    <row r="177" ht="14.25" customHeight="1">
      <c r="A177" s="28" t="s">
        <v>4904</v>
      </c>
      <c r="B177" s="29" t="s">
        <v>4905</v>
      </c>
      <c r="C177" s="29" t="s">
        <v>7041</v>
      </c>
      <c r="D177" s="30">
        <v>45658.0</v>
      </c>
      <c r="E177" s="30">
        <v>46022.0</v>
      </c>
      <c r="F177" s="39">
        <v>76.25</v>
      </c>
      <c r="G177" s="39">
        <v>200.0</v>
      </c>
      <c r="H177" s="32" t="s">
        <v>7046</v>
      </c>
      <c r="I177" s="30">
        <v>46023.0</v>
      </c>
      <c r="J177" s="30">
        <v>46387.0</v>
      </c>
      <c r="K177" s="39">
        <v>0.0</v>
      </c>
      <c r="L177" s="39">
        <v>0.0</v>
      </c>
      <c r="M177" s="35" t="s">
        <v>7045</v>
      </c>
      <c r="N177" s="30">
        <v>46388.0</v>
      </c>
      <c r="O177" s="30">
        <v>46752.0</v>
      </c>
      <c r="P177" s="39">
        <v>0.0</v>
      </c>
      <c r="Q177" s="39">
        <v>0.0</v>
      </c>
      <c r="R177" s="35" t="s">
        <v>7045</v>
      </c>
      <c r="S177" s="30">
        <v>46753.0</v>
      </c>
      <c r="T177" s="30">
        <v>47118.0</v>
      </c>
      <c r="U177" s="39">
        <v>0.0</v>
      </c>
      <c r="V177" s="39">
        <v>0.0</v>
      </c>
      <c r="W177" s="35" t="s">
        <v>7045</v>
      </c>
      <c r="X177" s="30">
        <v>47119.0</v>
      </c>
      <c r="Y177" s="30">
        <v>47483.0</v>
      </c>
      <c r="Z177" s="39">
        <v>0.0</v>
      </c>
      <c r="AA177" s="39">
        <v>0.0</v>
      </c>
      <c r="AB177" s="35" t="s">
        <v>7045</v>
      </c>
      <c r="AC177" s="30">
        <v>47484.0</v>
      </c>
      <c r="AD177" s="30">
        <v>47848.0</v>
      </c>
      <c r="AE177" s="39">
        <v>0.0</v>
      </c>
      <c r="AF177" s="39">
        <v>0.0</v>
      </c>
      <c r="AG177" s="35" t="s">
        <v>7045</v>
      </c>
      <c r="AH177" s="30">
        <v>45292.0</v>
      </c>
      <c r="AI177" s="30">
        <v>45657.0</v>
      </c>
      <c r="AJ177" s="39">
        <v>183.85</v>
      </c>
      <c r="AK177" s="39">
        <v>190.0</v>
      </c>
      <c r="AL177" s="37" t="s">
        <v>7046</v>
      </c>
      <c r="AM177" s="30">
        <v>44562.0</v>
      </c>
      <c r="AN177" s="30">
        <v>44926.0</v>
      </c>
      <c r="AO177" s="39">
        <v>78.4</v>
      </c>
      <c r="AP177" s="39">
        <v>0.0</v>
      </c>
      <c r="AQ177" s="38" t="s">
        <v>7047</v>
      </c>
      <c r="AR177" s="30">
        <v>44927.0</v>
      </c>
      <c r="AS177" s="30">
        <v>45291.0</v>
      </c>
      <c r="AT177" s="39">
        <v>45.73</v>
      </c>
      <c r="AU177" s="39">
        <v>0.0</v>
      </c>
      <c r="AV177" s="38" t="s">
        <v>7047</v>
      </c>
    </row>
    <row r="178" ht="14.25" customHeight="1">
      <c r="A178" s="28" t="s">
        <v>5041</v>
      </c>
      <c r="B178" s="29" t="s">
        <v>5042</v>
      </c>
      <c r="C178" s="29" t="s">
        <v>7041</v>
      </c>
      <c r="D178" s="30">
        <v>45658.0</v>
      </c>
      <c r="E178" s="30">
        <v>46022.0</v>
      </c>
      <c r="F178" s="36">
        <v>0.0</v>
      </c>
      <c r="G178" s="36">
        <v>0.0</v>
      </c>
      <c r="H178" s="35" t="s">
        <v>7045</v>
      </c>
      <c r="I178" s="30">
        <v>46023.0</v>
      </c>
      <c r="J178" s="30">
        <v>46387.0</v>
      </c>
      <c r="K178" s="36">
        <v>0.0</v>
      </c>
      <c r="L178" s="36">
        <v>0.0</v>
      </c>
      <c r="M178" s="35" t="s">
        <v>7045</v>
      </c>
      <c r="N178" s="30">
        <v>46388.0</v>
      </c>
      <c r="O178" s="30">
        <v>46752.0</v>
      </c>
      <c r="P178" s="36">
        <v>0.0</v>
      </c>
      <c r="Q178" s="36">
        <v>0.0</v>
      </c>
      <c r="R178" s="35" t="s">
        <v>7045</v>
      </c>
      <c r="S178" s="30">
        <v>46753.0</v>
      </c>
      <c r="T178" s="30">
        <v>47118.0</v>
      </c>
      <c r="U178" s="36">
        <v>0.0</v>
      </c>
      <c r="V178" s="36">
        <v>0.0</v>
      </c>
      <c r="W178" s="35" t="s">
        <v>7045</v>
      </c>
      <c r="X178" s="30">
        <v>47119.0</v>
      </c>
      <c r="Y178" s="30">
        <v>47483.0</v>
      </c>
      <c r="Z178" s="36">
        <v>0.0</v>
      </c>
      <c r="AA178" s="36">
        <v>0.0</v>
      </c>
      <c r="AB178" s="35" t="s">
        <v>7045</v>
      </c>
      <c r="AC178" s="30">
        <v>47484.0</v>
      </c>
      <c r="AD178" s="30">
        <v>47848.0</v>
      </c>
      <c r="AE178" s="36">
        <v>0.0</v>
      </c>
      <c r="AF178" s="36">
        <v>0.0</v>
      </c>
      <c r="AG178" s="35" t="s">
        <v>7045</v>
      </c>
      <c r="AH178" s="30">
        <v>45292.0</v>
      </c>
      <c r="AI178" s="30">
        <v>45657.0</v>
      </c>
      <c r="AJ178" s="36">
        <v>0.0</v>
      </c>
      <c r="AK178" s="36">
        <v>0.0</v>
      </c>
      <c r="AL178" s="35" t="s">
        <v>7045</v>
      </c>
      <c r="AM178" s="30">
        <v>44562.0</v>
      </c>
      <c r="AN178" s="30">
        <v>44926.0</v>
      </c>
      <c r="AO178" s="36">
        <v>0.0</v>
      </c>
      <c r="AP178" s="36">
        <v>0.0</v>
      </c>
      <c r="AQ178" s="35" t="s">
        <v>7045</v>
      </c>
      <c r="AR178" s="30">
        <v>44927.0</v>
      </c>
      <c r="AS178" s="30">
        <v>45291.0</v>
      </c>
      <c r="AT178" s="36">
        <v>0.0</v>
      </c>
      <c r="AU178" s="36">
        <v>0.0</v>
      </c>
      <c r="AV178" s="35" t="s">
        <v>7045</v>
      </c>
    </row>
    <row r="179" ht="14.25" customHeight="1">
      <c r="A179" s="28" t="s">
        <v>5052</v>
      </c>
      <c r="B179" s="29" t="s">
        <v>5053</v>
      </c>
      <c r="C179" s="29" t="s">
        <v>7041</v>
      </c>
      <c r="D179" s="30">
        <v>45658.0</v>
      </c>
      <c r="E179" s="30">
        <v>46022.0</v>
      </c>
      <c r="F179" s="36">
        <v>7.83</v>
      </c>
      <c r="G179" s="36">
        <v>400.0</v>
      </c>
      <c r="H179" s="32" t="s">
        <v>7043</v>
      </c>
      <c r="I179" s="30">
        <v>46023.0</v>
      </c>
      <c r="J179" s="30">
        <v>46387.0</v>
      </c>
      <c r="K179" s="36">
        <v>0.0</v>
      </c>
      <c r="L179" s="36">
        <v>0.0</v>
      </c>
      <c r="M179" s="35" t="s">
        <v>7045</v>
      </c>
      <c r="N179" s="30">
        <v>46388.0</v>
      </c>
      <c r="O179" s="30">
        <v>46752.0</v>
      </c>
      <c r="P179" s="36">
        <v>0.0</v>
      </c>
      <c r="Q179" s="36">
        <v>0.0</v>
      </c>
      <c r="R179" s="35" t="s">
        <v>7045</v>
      </c>
      <c r="S179" s="30">
        <v>46753.0</v>
      </c>
      <c r="T179" s="30">
        <v>47118.0</v>
      </c>
      <c r="U179" s="36">
        <v>0.0</v>
      </c>
      <c r="V179" s="36">
        <v>0.0</v>
      </c>
      <c r="W179" s="35" t="s">
        <v>7045</v>
      </c>
      <c r="X179" s="30">
        <v>47119.0</v>
      </c>
      <c r="Y179" s="30">
        <v>47483.0</v>
      </c>
      <c r="Z179" s="36">
        <v>0.0</v>
      </c>
      <c r="AA179" s="36">
        <v>0.0</v>
      </c>
      <c r="AB179" s="35" t="s">
        <v>7045</v>
      </c>
      <c r="AC179" s="30">
        <v>47484.0</v>
      </c>
      <c r="AD179" s="30">
        <v>47848.0</v>
      </c>
      <c r="AE179" s="36">
        <v>0.0</v>
      </c>
      <c r="AF179" s="36">
        <v>0.0</v>
      </c>
      <c r="AG179" s="35" t="s">
        <v>7045</v>
      </c>
      <c r="AH179" s="30">
        <v>45292.0</v>
      </c>
      <c r="AI179" s="30">
        <v>45657.0</v>
      </c>
      <c r="AJ179" s="36">
        <v>63.05</v>
      </c>
      <c r="AK179" s="36">
        <v>400.0</v>
      </c>
      <c r="AL179" s="32" t="s">
        <v>7043</v>
      </c>
      <c r="AM179" s="30">
        <v>44562.0</v>
      </c>
      <c r="AN179" s="30">
        <v>44926.0</v>
      </c>
      <c r="AO179" s="36">
        <v>0.0</v>
      </c>
      <c r="AP179" s="36">
        <v>0.0</v>
      </c>
      <c r="AQ179" s="35" t="s">
        <v>7045</v>
      </c>
      <c r="AR179" s="30">
        <v>44927.0</v>
      </c>
      <c r="AS179" s="30">
        <v>45291.0</v>
      </c>
      <c r="AT179" s="36">
        <v>0.0</v>
      </c>
      <c r="AU179" s="36">
        <v>0.0</v>
      </c>
      <c r="AV179" s="35" t="s">
        <v>7045</v>
      </c>
    </row>
    <row r="180" ht="14.25" customHeight="1">
      <c r="A180" s="28" t="s">
        <v>5112</v>
      </c>
      <c r="B180" s="29" t="s">
        <v>5113</v>
      </c>
      <c r="C180" s="29" t="s">
        <v>7041</v>
      </c>
      <c r="D180" s="30">
        <v>45658.0</v>
      </c>
      <c r="E180" s="30">
        <v>46022.0</v>
      </c>
      <c r="F180" s="39">
        <v>22.05</v>
      </c>
      <c r="G180" s="39">
        <v>1047.0</v>
      </c>
      <c r="H180" s="32" t="s">
        <v>7043</v>
      </c>
      <c r="I180" s="30">
        <v>46023.0</v>
      </c>
      <c r="J180" s="30">
        <v>46387.0</v>
      </c>
      <c r="K180" s="39">
        <v>0.0</v>
      </c>
      <c r="L180" s="39">
        <v>0.0</v>
      </c>
      <c r="M180" s="35" t="s">
        <v>7045</v>
      </c>
      <c r="N180" s="30">
        <v>46388.0</v>
      </c>
      <c r="O180" s="30">
        <v>46752.0</v>
      </c>
      <c r="P180" s="39">
        <v>0.0</v>
      </c>
      <c r="Q180" s="39">
        <v>0.0</v>
      </c>
      <c r="R180" s="35" t="s">
        <v>7045</v>
      </c>
      <c r="S180" s="30">
        <v>46753.0</v>
      </c>
      <c r="T180" s="30">
        <v>47118.0</v>
      </c>
      <c r="U180" s="39">
        <v>0.0</v>
      </c>
      <c r="V180" s="39">
        <v>0.0</v>
      </c>
      <c r="W180" s="35" t="s">
        <v>7045</v>
      </c>
      <c r="X180" s="30">
        <v>47119.0</v>
      </c>
      <c r="Y180" s="30">
        <v>47483.0</v>
      </c>
      <c r="Z180" s="39">
        <v>0.0</v>
      </c>
      <c r="AA180" s="39">
        <v>0.0</v>
      </c>
      <c r="AB180" s="35" t="s">
        <v>7045</v>
      </c>
      <c r="AC180" s="30">
        <v>47484.0</v>
      </c>
      <c r="AD180" s="30">
        <v>47848.0</v>
      </c>
      <c r="AE180" s="39">
        <v>0.0</v>
      </c>
      <c r="AF180" s="39">
        <v>0.0</v>
      </c>
      <c r="AG180" s="35" t="s">
        <v>7045</v>
      </c>
      <c r="AH180" s="30">
        <v>45292.0</v>
      </c>
      <c r="AI180" s="30">
        <v>45657.0</v>
      </c>
      <c r="AJ180" s="39">
        <v>137.46</v>
      </c>
      <c r="AK180" s="39">
        <v>1500.0</v>
      </c>
      <c r="AL180" s="32" t="s">
        <v>7043</v>
      </c>
      <c r="AM180" s="30">
        <v>44562.0</v>
      </c>
      <c r="AN180" s="30">
        <v>44926.0</v>
      </c>
      <c r="AO180" s="39">
        <v>0.0</v>
      </c>
      <c r="AP180" s="39">
        <v>0.0</v>
      </c>
      <c r="AQ180" s="35" t="s">
        <v>7045</v>
      </c>
      <c r="AR180" s="30">
        <v>44927.0</v>
      </c>
      <c r="AS180" s="30">
        <v>45291.0</v>
      </c>
      <c r="AT180" s="39">
        <v>0.0</v>
      </c>
      <c r="AU180" s="39">
        <v>0.0</v>
      </c>
      <c r="AV180" s="35" t="s">
        <v>7045</v>
      </c>
    </row>
    <row r="181" ht="14.25" customHeight="1">
      <c r="A181" s="28" t="s">
        <v>5163</v>
      </c>
      <c r="B181" s="29" t="s">
        <v>5164</v>
      </c>
      <c r="C181" s="29" t="s">
        <v>7041</v>
      </c>
      <c r="D181" s="30">
        <v>45658.0</v>
      </c>
      <c r="E181" s="30">
        <v>46022.0</v>
      </c>
      <c r="F181" s="36">
        <v>1.49</v>
      </c>
      <c r="G181" s="36">
        <v>300.0</v>
      </c>
      <c r="H181" s="32" t="s">
        <v>7043</v>
      </c>
      <c r="I181" s="30">
        <v>46023.0</v>
      </c>
      <c r="J181" s="30">
        <v>46387.0</v>
      </c>
      <c r="K181" s="36">
        <v>0.0</v>
      </c>
      <c r="L181" s="36">
        <v>0.0</v>
      </c>
      <c r="M181" s="35" t="s">
        <v>7045</v>
      </c>
      <c r="N181" s="30">
        <v>46388.0</v>
      </c>
      <c r="O181" s="30">
        <v>46752.0</v>
      </c>
      <c r="P181" s="36">
        <v>0.0</v>
      </c>
      <c r="Q181" s="36">
        <v>0.0</v>
      </c>
      <c r="R181" s="35" t="s">
        <v>7045</v>
      </c>
      <c r="S181" s="30">
        <v>46753.0</v>
      </c>
      <c r="T181" s="30">
        <v>47118.0</v>
      </c>
      <c r="U181" s="36">
        <v>0.0</v>
      </c>
      <c r="V181" s="36">
        <v>0.0</v>
      </c>
      <c r="W181" s="35" t="s">
        <v>7045</v>
      </c>
      <c r="X181" s="30">
        <v>47119.0</v>
      </c>
      <c r="Y181" s="30">
        <v>47483.0</v>
      </c>
      <c r="Z181" s="36">
        <v>0.0</v>
      </c>
      <c r="AA181" s="36">
        <v>0.0</v>
      </c>
      <c r="AB181" s="35" t="s">
        <v>7045</v>
      </c>
      <c r="AC181" s="30">
        <v>47484.0</v>
      </c>
      <c r="AD181" s="30">
        <v>47848.0</v>
      </c>
      <c r="AE181" s="36">
        <v>0.0</v>
      </c>
      <c r="AF181" s="36">
        <v>0.0</v>
      </c>
      <c r="AG181" s="35" t="s">
        <v>7045</v>
      </c>
      <c r="AH181" s="30">
        <v>45292.0</v>
      </c>
      <c r="AI181" s="30">
        <v>45657.0</v>
      </c>
      <c r="AJ181" s="36">
        <v>341.57</v>
      </c>
      <c r="AK181" s="36">
        <v>0.0</v>
      </c>
      <c r="AL181" s="38" t="s">
        <v>7047</v>
      </c>
      <c r="AM181" s="30">
        <v>44562.0</v>
      </c>
      <c r="AN181" s="30">
        <v>44926.0</v>
      </c>
      <c r="AO181" s="36">
        <v>0.0</v>
      </c>
      <c r="AP181" s="36">
        <v>0.0</v>
      </c>
      <c r="AQ181" s="35" t="s">
        <v>7045</v>
      </c>
      <c r="AR181" s="30">
        <v>44927.0</v>
      </c>
      <c r="AS181" s="30">
        <v>45291.0</v>
      </c>
      <c r="AT181" s="36">
        <v>0.0</v>
      </c>
      <c r="AU181" s="36">
        <v>0.0</v>
      </c>
      <c r="AV181" s="35" t="s">
        <v>7045</v>
      </c>
    </row>
    <row r="182" ht="14.25" customHeight="1">
      <c r="A182" s="28" t="s">
        <v>5166</v>
      </c>
      <c r="B182" s="29" t="s">
        <v>5167</v>
      </c>
      <c r="C182" s="29" t="s">
        <v>7041</v>
      </c>
      <c r="D182" s="30">
        <v>45658.0</v>
      </c>
      <c r="E182" s="30">
        <v>46022.0</v>
      </c>
      <c r="F182" s="39">
        <v>289.24</v>
      </c>
      <c r="G182" s="39">
        <v>325.0</v>
      </c>
      <c r="H182" s="37" t="s">
        <v>7047</v>
      </c>
      <c r="I182" s="30">
        <v>46023.0</v>
      </c>
      <c r="J182" s="30">
        <v>46387.0</v>
      </c>
      <c r="K182" s="39">
        <v>0.0</v>
      </c>
      <c r="L182" s="39">
        <v>0.0</v>
      </c>
      <c r="M182" s="35" t="s">
        <v>7045</v>
      </c>
      <c r="N182" s="30">
        <v>46388.0</v>
      </c>
      <c r="O182" s="30">
        <v>46752.0</v>
      </c>
      <c r="P182" s="39">
        <v>0.0</v>
      </c>
      <c r="Q182" s="39">
        <v>0.0</v>
      </c>
      <c r="R182" s="35" t="s">
        <v>7045</v>
      </c>
      <c r="S182" s="30">
        <v>46753.0</v>
      </c>
      <c r="T182" s="30">
        <v>47118.0</v>
      </c>
      <c r="U182" s="39">
        <v>0.0</v>
      </c>
      <c r="V182" s="39">
        <v>0.0</v>
      </c>
      <c r="W182" s="35" t="s">
        <v>7045</v>
      </c>
      <c r="X182" s="30">
        <v>47119.0</v>
      </c>
      <c r="Y182" s="30">
        <v>47483.0</v>
      </c>
      <c r="Z182" s="39">
        <v>0.0</v>
      </c>
      <c r="AA182" s="39">
        <v>0.0</v>
      </c>
      <c r="AB182" s="35" t="s">
        <v>7045</v>
      </c>
      <c r="AC182" s="30">
        <v>47484.0</v>
      </c>
      <c r="AD182" s="30">
        <v>47848.0</v>
      </c>
      <c r="AE182" s="39">
        <v>0.0</v>
      </c>
      <c r="AF182" s="39">
        <v>0.0</v>
      </c>
      <c r="AG182" s="35" t="s">
        <v>7045</v>
      </c>
      <c r="AH182" s="30">
        <v>45292.0</v>
      </c>
      <c r="AI182" s="30">
        <v>45657.0</v>
      </c>
      <c r="AJ182" s="39">
        <v>113.46</v>
      </c>
      <c r="AK182" s="39">
        <v>0.0</v>
      </c>
      <c r="AL182" s="38" t="s">
        <v>7047</v>
      </c>
      <c r="AM182" s="30">
        <v>44562.0</v>
      </c>
      <c r="AN182" s="30">
        <v>44926.0</v>
      </c>
      <c r="AO182" s="39">
        <v>0.0</v>
      </c>
      <c r="AP182" s="39">
        <v>0.0</v>
      </c>
      <c r="AQ182" s="35" t="s">
        <v>7045</v>
      </c>
      <c r="AR182" s="30">
        <v>44927.0</v>
      </c>
      <c r="AS182" s="30">
        <v>45291.0</v>
      </c>
      <c r="AT182" s="39">
        <v>0.0</v>
      </c>
      <c r="AU182" s="39">
        <v>0.0</v>
      </c>
      <c r="AV182" s="35" t="s">
        <v>7045</v>
      </c>
    </row>
    <row r="183" ht="14.25" customHeight="1">
      <c r="A183" s="28" t="s">
        <v>5177</v>
      </c>
      <c r="B183" s="29" t="s">
        <v>5178</v>
      </c>
      <c r="C183" s="29" t="s">
        <v>7041</v>
      </c>
      <c r="D183" s="30">
        <v>45658.0</v>
      </c>
      <c r="E183" s="30">
        <v>46022.0</v>
      </c>
      <c r="F183" s="39">
        <v>820.96</v>
      </c>
      <c r="G183" s="39">
        <v>1900.0</v>
      </c>
      <c r="H183" s="37" t="s">
        <v>7046</v>
      </c>
      <c r="I183" s="30">
        <v>46023.0</v>
      </c>
      <c r="J183" s="30">
        <v>46387.0</v>
      </c>
      <c r="K183" s="39">
        <v>0.0</v>
      </c>
      <c r="L183" s="39">
        <v>0.0</v>
      </c>
      <c r="M183" s="35" t="s">
        <v>7045</v>
      </c>
      <c r="N183" s="30">
        <v>46388.0</v>
      </c>
      <c r="O183" s="30">
        <v>46752.0</v>
      </c>
      <c r="P183" s="39">
        <v>0.0</v>
      </c>
      <c r="Q183" s="39">
        <v>0.0</v>
      </c>
      <c r="R183" s="35" t="s">
        <v>7045</v>
      </c>
      <c r="S183" s="30">
        <v>46753.0</v>
      </c>
      <c r="T183" s="30">
        <v>47118.0</v>
      </c>
      <c r="U183" s="39">
        <v>0.0</v>
      </c>
      <c r="V183" s="39">
        <v>0.0</v>
      </c>
      <c r="W183" s="35" t="s">
        <v>7045</v>
      </c>
      <c r="X183" s="30">
        <v>47119.0</v>
      </c>
      <c r="Y183" s="30">
        <v>47483.0</v>
      </c>
      <c r="Z183" s="39">
        <v>0.0</v>
      </c>
      <c r="AA183" s="39">
        <v>0.0</v>
      </c>
      <c r="AB183" s="35" t="s">
        <v>7045</v>
      </c>
      <c r="AC183" s="30">
        <v>47484.0</v>
      </c>
      <c r="AD183" s="30">
        <v>47848.0</v>
      </c>
      <c r="AE183" s="39">
        <v>0.0</v>
      </c>
      <c r="AF183" s="39">
        <v>0.0</v>
      </c>
      <c r="AG183" s="35" t="s">
        <v>7045</v>
      </c>
      <c r="AH183" s="30">
        <v>45292.0</v>
      </c>
      <c r="AI183" s="30">
        <v>45657.0</v>
      </c>
      <c r="AJ183" s="39">
        <v>1319.84</v>
      </c>
      <c r="AK183" s="39">
        <v>1300.0</v>
      </c>
      <c r="AL183" s="38" t="s">
        <v>7047</v>
      </c>
      <c r="AM183" s="30">
        <v>44562.0</v>
      </c>
      <c r="AN183" s="30">
        <v>44926.0</v>
      </c>
      <c r="AO183" s="39">
        <v>0.0</v>
      </c>
      <c r="AP183" s="39">
        <v>0.0</v>
      </c>
      <c r="AQ183" s="35" t="s">
        <v>7045</v>
      </c>
      <c r="AR183" s="30">
        <v>44927.0</v>
      </c>
      <c r="AS183" s="30">
        <v>45291.0</v>
      </c>
      <c r="AT183" s="39">
        <v>947.82</v>
      </c>
      <c r="AU183" s="39">
        <v>1500.0</v>
      </c>
      <c r="AV183" s="37" t="s">
        <v>7046</v>
      </c>
    </row>
    <row r="184" ht="14.25" customHeight="1">
      <c r="A184" s="28" t="s">
        <v>5249</v>
      </c>
      <c r="B184" s="29" t="s">
        <v>5250</v>
      </c>
      <c r="C184" s="29" t="s">
        <v>7041</v>
      </c>
      <c r="D184" s="30">
        <v>45658.0</v>
      </c>
      <c r="E184" s="30">
        <v>46022.0</v>
      </c>
      <c r="F184" s="36">
        <v>6.35</v>
      </c>
      <c r="G184" s="36">
        <v>0.0</v>
      </c>
      <c r="H184" s="38" t="s">
        <v>7047</v>
      </c>
      <c r="I184" s="30">
        <v>46023.0</v>
      </c>
      <c r="J184" s="30">
        <v>46387.0</v>
      </c>
      <c r="K184" s="36">
        <v>0.0</v>
      </c>
      <c r="L184" s="36">
        <v>0.0</v>
      </c>
      <c r="M184" s="35" t="s">
        <v>7045</v>
      </c>
      <c r="N184" s="30">
        <v>46388.0</v>
      </c>
      <c r="O184" s="30">
        <v>46752.0</v>
      </c>
      <c r="P184" s="36">
        <v>0.0</v>
      </c>
      <c r="Q184" s="36">
        <v>0.0</v>
      </c>
      <c r="R184" s="35" t="s">
        <v>7045</v>
      </c>
      <c r="S184" s="30">
        <v>46753.0</v>
      </c>
      <c r="T184" s="30">
        <v>47118.0</v>
      </c>
      <c r="U184" s="36">
        <v>0.0</v>
      </c>
      <c r="V184" s="36">
        <v>0.0</v>
      </c>
      <c r="W184" s="35" t="s">
        <v>7045</v>
      </c>
      <c r="X184" s="30">
        <v>47119.0</v>
      </c>
      <c r="Y184" s="30">
        <v>47483.0</v>
      </c>
      <c r="Z184" s="36">
        <v>0.0</v>
      </c>
      <c r="AA184" s="36">
        <v>0.0</v>
      </c>
      <c r="AB184" s="35" t="s">
        <v>7045</v>
      </c>
      <c r="AC184" s="30">
        <v>47484.0</v>
      </c>
      <c r="AD184" s="30">
        <v>47848.0</v>
      </c>
      <c r="AE184" s="36">
        <v>0.0</v>
      </c>
      <c r="AF184" s="36">
        <v>0.0</v>
      </c>
      <c r="AG184" s="35" t="s">
        <v>7045</v>
      </c>
      <c r="AH184" s="30">
        <v>45292.0</v>
      </c>
      <c r="AI184" s="30">
        <v>45657.0</v>
      </c>
      <c r="AJ184" s="36">
        <v>15.35</v>
      </c>
      <c r="AK184" s="36">
        <v>799.99</v>
      </c>
      <c r="AL184" s="32" t="s">
        <v>7043</v>
      </c>
      <c r="AM184" s="30">
        <v>44562.0</v>
      </c>
      <c r="AN184" s="30">
        <v>44926.0</v>
      </c>
      <c r="AO184" s="36">
        <v>30.7</v>
      </c>
      <c r="AP184" s="36">
        <v>699.99</v>
      </c>
      <c r="AQ184" s="32" t="s">
        <v>7043</v>
      </c>
      <c r="AR184" s="30">
        <v>44927.0</v>
      </c>
      <c r="AS184" s="30">
        <v>45291.0</v>
      </c>
      <c r="AT184" s="36">
        <v>67.35</v>
      </c>
      <c r="AU184" s="36">
        <v>799.99</v>
      </c>
      <c r="AV184" s="32" t="s">
        <v>7043</v>
      </c>
    </row>
    <row r="185" ht="14.25" customHeight="1">
      <c r="A185" s="28" t="s">
        <v>5309</v>
      </c>
      <c r="B185" s="29" t="s">
        <v>5310</v>
      </c>
      <c r="C185" s="29" t="s">
        <v>7041</v>
      </c>
      <c r="D185" s="30">
        <v>45658.0</v>
      </c>
      <c r="E185" s="30">
        <v>46022.0</v>
      </c>
      <c r="F185" s="36">
        <v>198.87</v>
      </c>
      <c r="G185" s="36">
        <v>400.0</v>
      </c>
      <c r="H185" s="38" t="s">
        <v>7046</v>
      </c>
      <c r="I185" s="30">
        <v>46023.0</v>
      </c>
      <c r="J185" s="30">
        <v>46387.0</v>
      </c>
      <c r="K185" s="36">
        <v>0.0</v>
      </c>
      <c r="L185" s="36">
        <v>0.0</v>
      </c>
      <c r="M185" s="35" t="s">
        <v>7045</v>
      </c>
      <c r="N185" s="30">
        <v>46388.0</v>
      </c>
      <c r="O185" s="30">
        <v>46752.0</v>
      </c>
      <c r="P185" s="36">
        <v>0.0</v>
      </c>
      <c r="Q185" s="36">
        <v>0.0</v>
      </c>
      <c r="R185" s="35" t="s">
        <v>7045</v>
      </c>
      <c r="S185" s="30">
        <v>46753.0</v>
      </c>
      <c r="T185" s="30">
        <v>47118.0</v>
      </c>
      <c r="U185" s="36">
        <v>0.0</v>
      </c>
      <c r="V185" s="36">
        <v>0.0</v>
      </c>
      <c r="W185" s="35" t="s">
        <v>7045</v>
      </c>
      <c r="X185" s="30">
        <v>47119.0</v>
      </c>
      <c r="Y185" s="30">
        <v>47483.0</v>
      </c>
      <c r="Z185" s="36">
        <v>0.0</v>
      </c>
      <c r="AA185" s="36">
        <v>0.0</v>
      </c>
      <c r="AB185" s="35" t="s">
        <v>7045</v>
      </c>
      <c r="AC185" s="30">
        <v>47484.0</v>
      </c>
      <c r="AD185" s="30">
        <v>47848.0</v>
      </c>
      <c r="AE185" s="36">
        <v>0.0</v>
      </c>
      <c r="AF185" s="36">
        <v>0.0</v>
      </c>
      <c r="AG185" s="35" t="s">
        <v>7045</v>
      </c>
      <c r="AH185" s="30">
        <v>45292.0</v>
      </c>
      <c r="AI185" s="30">
        <v>45657.0</v>
      </c>
      <c r="AJ185" s="36">
        <v>318.9</v>
      </c>
      <c r="AK185" s="36">
        <v>1719.99</v>
      </c>
      <c r="AL185" s="32" t="s">
        <v>7043</v>
      </c>
      <c r="AM185" s="30">
        <v>44562.0</v>
      </c>
      <c r="AN185" s="30">
        <v>44926.0</v>
      </c>
      <c r="AO185" s="36">
        <v>625.89</v>
      </c>
      <c r="AP185" s="36">
        <v>649.99</v>
      </c>
      <c r="AQ185" s="37" t="s">
        <v>7046</v>
      </c>
      <c r="AR185" s="30">
        <v>44927.0</v>
      </c>
      <c r="AS185" s="30">
        <v>45291.0</v>
      </c>
      <c r="AT185" s="36">
        <v>593.83</v>
      </c>
      <c r="AU185" s="36">
        <v>1049.99</v>
      </c>
      <c r="AV185" s="37" t="s">
        <v>7046</v>
      </c>
    </row>
    <row r="186" ht="14.25" customHeight="1">
      <c r="A186" s="28" t="s">
        <v>5341</v>
      </c>
      <c r="B186" s="29" t="s">
        <v>5342</v>
      </c>
      <c r="C186" s="29" t="s">
        <v>7041</v>
      </c>
      <c r="D186" s="30">
        <v>45658.0</v>
      </c>
      <c r="E186" s="30">
        <v>46022.0</v>
      </c>
      <c r="F186" s="36">
        <v>157.66</v>
      </c>
      <c r="G186" s="36">
        <v>1199.99</v>
      </c>
      <c r="H186" s="32" t="s">
        <v>7043</v>
      </c>
      <c r="I186" s="30">
        <v>46023.0</v>
      </c>
      <c r="J186" s="30">
        <v>46387.0</v>
      </c>
      <c r="K186" s="36">
        <v>0.0</v>
      </c>
      <c r="L186" s="36">
        <v>0.0</v>
      </c>
      <c r="M186" s="35" t="s">
        <v>7045</v>
      </c>
      <c r="N186" s="30">
        <v>46388.0</v>
      </c>
      <c r="O186" s="30">
        <v>46752.0</v>
      </c>
      <c r="P186" s="36">
        <v>0.0</v>
      </c>
      <c r="Q186" s="36">
        <v>0.0</v>
      </c>
      <c r="R186" s="35" t="s">
        <v>7045</v>
      </c>
      <c r="S186" s="30">
        <v>46753.0</v>
      </c>
      <c r="T186" s="30">
        <v>47118.0</v>
      </c>
      <c r="U186" s="36">
        <v>0.0</v>
      </c>
      <c r="V186" s="36">
        <v>0.0</v>
      </c>
      <c r="W186" s="35" t="s">
        <v>7045</v>
      </c>
      <c r="X186" s="30">
        <v>47119.0</v>
      </c>
      <c r="Y186" s="30">
        <v>47483.0</v>
      </c>
      <c r="Z186" s="36">
        <v>0.0</v>
      </c>
      <c r="AA186" s="36">
        <v>0.0</v>
      </c>
      <c r="AB186" s="35" t="s">
        <v>7045</v>
      </c>
      <c r="AC186" s="30">
        <v>47484.0</v>
      </c>
      <c r="AD186" s="30">
        <v>47848.0</v>
      </c>
      <c r="AE186" s="36">
        <v>0.0</v>
      </c>
      <c r="AF186" s="36">
        <v>0.0</v>
      </c>
      <c r="AG186" s="35" t="s">
        <v>7045</v>
      </c>
      <c r="AH186" s="30">
        <v>45292.0</v>
      </c>
      <c r="AI186" s="30">
        <v>45657.0</v>
      </c>
      <c r="AJ186" s="36">
        <v>1110.45</v>
      </c>
      <c r="AK186" s="36">
        <v>1366.99</v>
      </c>
      <c r="AL186" s="37" t="s">
        <v>7046</v>
      </c>
      <c r="AM186" s="30">
        <v>44562.0</v>
      </c>
      <c r="AN186" s="30">
        <v>44926.0</v>
      </c>
      <c r="AO186" s="36">
        <v>0.0</v>
      </c>
      <c r="AP186" s="36">
        <v>0.0</v>
      </c>
      <c r="AQ186" s="35" t="s">
        <v>7045</v>
      </c>
      <c r="AR186" s="30">
        <v>44927.0</v>
      </c>
      <c r="AS186" s="30">
        <v>45291.0</v>
      </c>
      <c r="AT186" s="36">
        <v>332.1</v>
      </c>
      <c r="AU186" s="36">
        <v>0.0</v>
      </c>
      <c r="AV186" s="38" t="s">
        <v>7047</v>
      </c>
    </row>
    <row r="187" ht="14.25" customHeight="1">
      <c r="A187" s="28" t="s">
        <v>5417</v>
      </c>
      <c r="B187" s="29" t="s">
        <v>5418</v>
      </c>
      <c r="C187" s="29" t="s">
        <v>7041</v>
      </c>
      <c r="D187" s="30">
        <v>45658.0</v>
      </c>
      <c r="E187" s="30">
        <v>46022.0</v>
      </c>
      <c r="F187" s="36">
        <v>22.27</v>
      </c>
      <c r="G187" s="36">
        <v>1499.99</v>
      </c>
      <c r="H187" s="38" t="s">
        <v>7043</v>
      </c>
      <c r="I187" s="30">
        <v>46023.0</v>
      </c>
      <c r="J187" s="30">
        <v>46387.0</v>
      </c>
      <c r="K187" s="36">
        <v>0.0</v>
      </c>
      <c r="L187" s="36">
        <v>0.0</v>
      </c>
      <c r="M187" s="35" t="s">
        <v>7045</v>
      </c>
      <c r="N187" s="30">
        <v>46388.0</v>
      </c>
      <c r="O187" s="30">
        <v>46752.0</v>
      </c>
      <c r="P187" s="36">
        <v>0.0</v>
      </c>
      <c r="Q187" s="36">
        <v>0.0</v>
      </c>
      <c r="R187" s="35" t="s">
        <v>7045</v>
      </c>
      <c r="S187" s="30">
        <v>46753.0</v>
      </c>
      <c r="T187" s="30">
        <v>47118.0</v>
      </c>
      <c r="U187" s="36">
        <v>0.0</v>
      </c>
      <c r="V187" s="36">
        <v>0.0</v>
      </c>
      <c r="W187" s="35" t="s">
        <v>7045</v>
      </c>
      <c r="X187" s="30">
        <v>47119.0</v>
      </c>
      <c r="Y187" s="30">
        <v>47483.0</v>
      </c>
      <c r="Z187" s="36">
        <v>0.0</v>
      </c>
      <c r="AA187" s="36">
        <v>0.0</v>
      </c>
      <c r="AB187" s="35" t="s">
        <v>7045</v>
      </c>
      <c r="AC187" s="30">
        <v>47484.0</v>
      </c>
      <c r="AD187" s="30">
        <v>47848.0</v>
      </c>
      <c r="AE187" s="36">
        <v>0.0</v>
      </c>
      <c r="AF187" s="36">
        <v>0.0</v>
      </c>
      <c r="AG187" s="35" t="s">
        <v>7045</v>
      </c>
      <c r="AH187" s="30">
        <v>45292.0</v>
      </c>
      <c r="AI187" s="30">
        <v>45657.0</v>
      </c>
      <c r="AJ187" s="36">
        <v>1266.37</v>
      </c>
      <c r="AK187" s="36">
        <v>999.99</v>
      </c>
      <c r="AL187" s="38" t="s">
        <v>7047</v>
      </c>
      <c r="AM187" s="30">
        <v>44562.0</v>
      </c>
      <c r="AN187" s="30">
        <v>44926.0</v>
      </c>
      <c r="AO187" s="36">
        <v>0.0</v>
      </c>
      <c r="AP187" s="36">
        <v>0.0</v>
      </c>
      <c r="AQ187" s="35" t="s">
        <v>7045</v>
      </c>
      <c r="AR187" s="30">
        <v>44927.0</v>
      </c>
      <c r="AS187" s="30">
        <v>45291.0</v>
      </c>
      <c r="AT187" s="36">
        <v>241.65</v>
      </c>
      <c r="AU187" s="36">
        <v>599.99</v>
      </c>
      <c r="AV187" s="32" t="s">
        <v>7043</v>
      </c>
    </row>
    <row r="188" ht="14.25" customHeight="1">
      <c r="A188" s="28" t="s">
        <v>5592</v>
      </c>
      <c r="B188" s="29" t="s">
        <v>5593</v>
      </c>
      <c r="C188" s="29" t="s">
        <v>7041</v>
      </c>
      <c r="D188" s="30">
        <v>45658.0</v>
      </c>
      <c r="E188" s="30">
        <v>46022.0</v>
      </c>
      <c r="F188" s="39">
        <v>73.59</v>
      </c>
      <c r="G188" s="39">
        <v>0.0</v>
      </c>
      <c r="H188" s="38" t="s">
        <v>7047</v>
      </c>
      <c r="I188" s="30">
        <v>46023.0</v>
      </c>
      <c r="J188" s="30">
        <v>46387.0</v>
      </c>
      <c r="K188" s="39">
        <v>0.0</v>
      </c>
      <c r="L188" s="39">
        <v>0.0</v>
      </c>
      <c r="M188" s="35" t="s">
        <v>7045</v>
      </c>
      <c r="N188" s="30">
        <v>46388.0</v>
      </c>
      <c r="O188" s="30">
        <v>46752.0</v>
      </c>
      <c r="P188" s="39">
        <v>0.0</v>
      </c>
      <c r="Q188" s="39">
        <v>0.0</v>
      </c>
      <c r="R188" s="35" t="s">
        <v>7045</v>
      </c>
      <c r="S188" s="30">
        <v>46753.0</v>
      </c>
      <c r="T188" s="30">
        <v>47118.0</v>
      </c>
      <c r="U188" s="39">
        <v>0.0</v>
      </c>
      <c r="V188" s="39">
        <v>0.0</v>
      </c>
      <c r="W188" s="35" t="s">
        <v>7045</v>
      </c>
      <c r="X188" s="30">
        <v>47119.0</v>
      </c>
      <c r="Y188" s="30">
        <v>47483.0</v>
      </c>
      <c r="Z188" s="39">
        <v>0.0</v>
      </c>
      <c r="AA188" s="39">
        <v>0.0</v>
      </c>
      <c r="AB188" s="35" t="s">
        <v>7045</v>
      </c>
      <c r="AC188" s="30">
        <v>47484.0</v>
      </c>
      <c r="AD188" s="30">
        <v>47848.0</v>
      </c>
      <c r="AE188" s="39">
        <v>0.0</v>
      </c>
      <c r="AF188" s="39">
        <v>0.0</v>
      </c>
      <c r="AG188" s="35" t="s">
        <v>7045</v>
      </c>
      <c r="AH188" s="30">
        <v>45292.0</v>
      </c>
      <c r="AI188" s="30">
        <v>45657.0</v>
      </c>
      <c r="AJ188" s="39">
        <v>57.46</v>
      </c>
      <c r="AK188" s="39">
        <v>0.0</v>
      </c>
      <c r="AL188" s="38" t="s">
        <v>7047</v>
      </c>
      <c r="AM188" s="30">
        <v>44562.0</v>
      </c>
      <c r="AN188" s="30">
        <v>44926.0</v>
      </c>
      <c r="AO188" s="39">
        <v>0.3</v>
      </c>
      <c r="AP188" s="39">
        <v>0.0</v>
      </c>
      <c r="AQ188" s="38" t="s">
        <v>7047</v>
      </c>
      <c r="AR188" s="30">
        <v>44927.0</v>
      </c>
      <c r="AS188" s="30">
        <v>45291.0</v>
      </c>
      <c r="AT188" s="39">
        <v>19.18</v>
      </c>
      <c r="AU188" s="39">
        <v>0.0</v>
      </c>
      <c r="AV188" s="38" t="s">
        <v>7047</v>
      </c>
    </row>
    <row r="189" ht="14.25" customHeight="1">
      <c r="A189" s="28" t="s">
        <v>5650</v>
      </c>
      <c r="B189" s="29" t="s">
        <v>5651</v>
      </c>
      <c r="C189" s="29" t="s">
        <v>7041</v>
      </c>
      <c r="D189" s="30">
        <v>45658.0</v>
      </c>
      <c r="E189" s="30">
        <v>46022.0</v>
      </c>
      <c r="F189" s="36">
        <v>0.0</v>
      </c>
      <c r="G189" s="36">
        <v>0.0</v>
      </c>
      <c r="H189" s="35" t="s">
        <v>7045</v>
      </c>
      <c r="I189" s="30">
        <v>46023.0</v>
      </c>
      <c r="J189" s="30">
        <v>46387.0</v>
      </c>
      <c r="K189" s="36">
        <v>0.0</v>
      </c>
      <c r="L189" s="36">
        <v>0.0</v>
      </c>
      <c r="M189" s="35" t="s">
        <v>7045</v>
      </c>
      <c r="N189" s="30">
        <v>46388.0</v>
      </c>
      <c r="O189" s="30">
        <v>46752.0</v>
      </c>
      <c r="P189" s="36">
        <v>0.0</v>
      </c>
      <c r="Q189" s="36">
        <v>0.0</v>
      </c>
      <c r="R189" s="35" t="s">
        <v>7045</v>
      </c>
      <c r="S189" s="30">
        <v>46753.0</v>
      </c>
      <c r="T189" s="30">
        <v>47118.0</v>
      </c>
      <c r="U189" s="36">
        <v>0.0</v>
      </c>
      <c r="V189" s="36">
        <v>0.0</v>
      </c>
      <c r="W189" s="35" t="s">
        <v>7045</v>
      </c>
      <c r="X189" s="30">
        <v>47119.0</v>
      </c>
      <c r="Y189" s="30">
        <v>47483.0</v>
      </c>
      <c r="Z189" s="36">
        <v>0.0</v>
      </c>
      <c r="AA189" s="36">
        <v>0.0</v>
      </c>
      <c r="AB189" s="35" t="s">
        <v>7045</v>
      </c>
      <c r="AC189" s="30">
        <v>47484.0</v>
      </c>
      <c r="AD189" s="30">
        <v>47848.0</v>
      </c>
      <c r="AE189" s="36">
        <v>0.0</v>
      </c>
      <c r="AF189" s="36">
        <v>0.0</v>
      </c>
      <c r="AG189" s="35" t="s">
        <v>7045</v>
      </c>
      <c r="AH189" s="30">
        <v>45292.0</v>
      </c>
      <c r="AI189" s="30">
        <v>45657.0</v>
      </c>
      <c r="AJ189" s="36">
        <v>156.03</v>
      </c>
      <c r="AK189" s="36">
        <v>0.0</v>
      </c>
      <c r="AL189" s="38" t="s">
        <v>7047</v>
      </c>
      <c r="AM189" s="30">
        <v>44562.0</v>
      </c>
      <c r="AN189" s="30">
        <v>44926.0</v>
      </c>
      <c r="AO189" s="36">
        <v>575.69</v>
      </c>
      <c r="AP189" s="36">
        <v>799.99</v>
      </c>
      <c r="AQ189" s="37" t="s">
        <v>7046</v>
      </c>
      <c r="AR189" s="30">
        <v>44927.0</v>
      </c>
      <c r="AS189" s="30">
        <v>45291.0</v>
      </c>
      <c r="AT189" s="36">
        <v>938.78</v>
      </c>
      <c r="AU189" s="36">
        <v>1999.98</v>
      </c>
      <c r="AV189" s="32" t="s">
        <v>7043</v>
      </c>
    </row>
    <row r="190" ht="14.25" customHeight="1">
      <c r="A190" s="28" t="s">
        <v>5695</v>
      </c>
      <c r="B190" s="29" t="s">
        <v>5696</v>
      </c>
      <c r="C190" s="29" t="s">
        <v>7041</v>
      </c>
      <c r="D190" s="30">
        <v>45658.0</v>
      </c>
      <c r="E190" s="30">
        <v>46022.0</v>
      </c>
      <c r="F190" s="36">
        <v>0.0</v>
      </c>
      <c r="G190" s="36">
        <v>0.0</v>
      </c>
      <c r="H190" s="35" t="s">
        <v>7045</v>
      </c>
      <c r="I190" s="30">
        <v>46023.0</v>
      </c>
      <c r="J190" s="30">
        <v>46387.0</v>
      </c>
      <c r="K190" s="36">
        <v>0.0</v>
      </c>
      <c r="L190" s="36">
        <v>0.0</v>
      </c>
      <c r="M190" s="35" t="s">
        <v>7045</v>
      </c>
      <c r="N190" s="30">
        <v>46388.0</v>
      </c>
      <c r="O190" s="30">
        <v>46752.0</v>
      </c>
      <c r="P190" s="36">
        <v>0.0</v>
      </c>
      <c r="Q190" s="36">
        <v>0.0</v>
      </c>
      <c r="R190" s="35" t="s">
        <v>7045</v>
      </c>
      <c r="S190" s="30">
        <v>46753.0</v>
      </c>
      <c r="T190" s="30">
        <v>47118.0</v>
      </c>
      <c r="U190" s="36">
        <v>0.0</v>
      </c>
      <c r="V190" s="36">
        <v>0.0</v>
      </c>
      <c r="W190" s="35" t="s">
        <v>7045</v>
      </c>
      <c r="X190" s="30">
        <v>47119.0</v>
      </c>
      <c r="Y190" s="30">
        <v>47483.0</v>
      </c>
      <c r="Z190" s="36">
        <v>0.0</v>
      </c>
      <c r="AA190" s="36">
        <v>0.0</v>
      </c>
      <c r="AB190" s="35" t="s">
        <v>7045</v>
      </c>
      <c r="AC190" s="30">
        <v>47484.0</v>
      </c>
      <c r="AD190" s="30">
        <v>47848.0</v>
      </c>
      <c r="AE190" s="36">
        <v>0.0</v>
      </c>
      <c r="AF190" s="36">
        <v>0.0</v>
      </c>
      <c r="AG190" s="35" t="s">
        <v>7045</v>
      </c>
      <c r="AH190" s="30">
        <v>45292.0</v>
      </c>
      <c r="AI190" s="30">
        <v>45657.0</v>
      </c>
      <c r="AJ190" s="36">
        <v>9.82</v>
      </c>
      <c r="AK190" s="36">
        <v>0.0</v>
      </c>
      <c r="AL190" s="38" t="s">
        <v>7047</v>
      </c>
      <c r="AM190" s="30">
        <v>44562.0</v>
      </c>
      <c r="AN190" s="30">
        <v>44926.0</v>
      </c>
      <c r="AO190" s="36">
        <v>0.0</v>
      </c>
      <c r="AP190" s="36">
        <v>0.0</v>
      </c>
      <c r="AQ190" s="35" t="s">
        <v>7045</v>
      </c>
      <c r="AR190" s="30">
        <v>44927.0</v>
      </c>
      <c r="AS190" s="30">
        <v>45291.0</v>
      </c>
      <c r="AT190" s="36">
        <v>349.04</v>
      </c>
      <c r="AU190" s="36">
        <v>0.0</v>
      </c>
      <c r="AV190" s="38" t="s">
        <v>7047</v>
      </c>
    </row>
    <row r="191" ht="14.25" customHeight="1">
      <c r="A191" s="28" t="s">
        <v>5702</v>
      </c>
      <c r="B191" s="29" t="s">
        <v>5703</v>
      </c>
      <c r="C191" s="29" t="s">
        <v>7041</v>
      </c>
      <c r="D191" s="30">
        <v>45658.0</v>
      </c>
      <c r="E191" s="30">
        <v>46022.0</v>
      </c>
      <c r="F191" s="36">
        <v>0.0</v>
      </c>
      <c r="G191" s="36">
        <v>0.0</v>
      </c>
      <c r="H191" s="35" t="s">
        <v>7045</v>
      </c>
      <c r="I191" s="30">
        <v>46023.0</v>
      </c>
      <c r="J191" s="30">
        <v>46387.0</v>
      </c>
      <c r="K191" s="36">
        <v>0.0</v>
      </c>
      <c r="L191" s="36">
        <v>0.0</v>
      </c>
      <c r="M191" s="35" t="s">
        <v>7045</v>
      </c>
      <c r="N191" s="30">
        <v>46388.0</v>
      </c>
      <c r="O191" s="30">
        <v>46752.0</v>
      </c>
      <c r="P191" s="36">
        <v>0.0</v>
      </c>
      <c r="Q191" s="36">
        <v>0.0</v>
      </c>
      <c r="R191" s="35" t="s">
        <v>7045</v>
      </c>
      <c r="S191" s="30">
        <v>46753.0</v>
      </c>
      <c r="T191" s="30">
        <v>47118.0</v>
      </c>
      <c r="U191" s="36">
        <v>0.0</v>
      </c>
      <c r="V191" s="36">
        <v>0.0</v>
      </c>
      <c r="W191" s="35" t="s">
        <v>7045</v>
      </c>
      <c r="X191" s="30">
        <v>47119.0</v>
      </c>
      <c r="Y191" s="30">
        <v>47483.0</v>
      </c>
      <c r="Z191" s="36">
        <v>0.0</v>
      </c>
      <c r="AA191" s="36">
        <v>0.0</v>
      </c>
      <c r="AB191" s="35" t="s">
        <v>7045</v>
      </c>
      <c r="AC191" s="30">
        <v>47484.0</v>
      </c>
      <c r="AD191" s="30">
        <v>47848.0</v>
      </c>
      <c r="AE191" s="36">
        <v>0.0</v>
      </c>
      <c r="AF191" s="36">
        <v>0.0</v>
      </c>
      <c r="AG191" s="35" t="s">
        <v>7045</v>
      </c>
      <c r="AH191" s="30">
        <v>45292.0</v>
      </c>
      <c r="AI191" s="30">
        <v>45657.0</v>
      </c>
      <c r="AJ191" s="36">
        <v>0.0</v>
      </c>
      <c r="AK191" s="36">
        <v>200.0</v>
      </c>
      <c r="AL191" s="32" t="s">
        <v>7043</v>
      </c>
      <c r="AM191" s="30">
        <v>44562.0</v>
      </c>
      <c r="AN191" s="30">
        <v>44926.0</v>
      </c>
      <c r="AO191" s="36">
        <v>0.0</v>
      </c>
      <c r="AP191" s="36">
        <v>0.0</v>
      </c>
      <c r="AQ191" s="35" t="s">
        <v>7045</v>
      </c>
      <c r="AR191" s="30">
        <v>44927.0</v>
      </c>
      <c r="AS191" s="30">
        <v>45291.0</v>
      </c>
      <c r="AT191" s="36">
        <v>0.0</v>
      </c>
      <c r="AU191" s="36">
        <v>0.0</v>
      </c>
      <c r="AV191" s="35" t="s">
        <v>7045</v>
      </c>
    </row>
    <row r="192" ht="14.25" customHeight="1">
      <c r="A192" s="28" t="s">
        <v>5915</v>
      </c>
      <c r="B192" s="29" t="s">
        <v>5916</v>
      </c>
      <c r="C192" s="29" t="s">
        <v>7041</v>
      </c>
      <c r="D192" s="30">
        <v>45658.0</v>
      </c>
      <c r="E192" s="30">
        <v>46022.0</v>
      </c>
      <c r="F192" s="39">
        <v>9.62</v>
      </c>
      <c r="G192" s="39">
        <v>0.0</v>
      </c>
      <c r="H192" s="38" t="s">
        <v>7047</v>
      </c>
      <c r="I192" s="30">
        <v>46023.0</v>
      </c>
      <c r="J192" s="30">
        <v>46387.0</v>
      </c>
      <c r="K192" s="39">
        <v>0.0</v>
      </c>
      <c r="L192" s="39">
        <v>0.0</v>
      </c>
      <c r="M192" s="35" t="s">
        <v>7045</v>
      </c>
      <c r="N192" s="30">
        <v>46388.0</v>
      </c>
      <c r="O192" s="30">
        <v>46752.0</v>
      </c>
      <c r="P192" s="39">
        <v>0.0</v>
      </c>
      <c r="Q192" s="39">
        <v>0.0</v>
      </c>
      <c r="R192" s="35" t="s">
        <v>7045</v>
      </c>
      <c r="S192" s="30">
        <v>46753.0</v>
      </c>
      <c r="T192" s="30">
        <v>47118.0</v>
      </c>
      <c r="U192" s="39">
        <v>0.0</v>
      </c>
      <c r="V192" s="39">
        <v>0.0</v>
      </c>
      <c r="W192" s="35" t="s">
        <v>7045</v>
      </c>
      <c r="X192" s="30">
        <v>47119.0</v>
      </c>
      <c r="Y192" s="30">
        <v>47483.0</v>
      </c>
      <c r="Z192" s="39">
        <v>0.0</v>
      </c>
      <c r="AA192" s="39">
        <v>0.0</v>
      </c>
      <c r="AB192" s="35" t="s">
        <v>7045</v>
      </c>
      <c r="AC192" s="30">
        <v>47484.0</v>
      </c>
      <c r="AD192" s="30">
        <v>47848.0</v>
      </c>
      <c r="AE192" s="39">
        <v>0.0</v>
      </c>
      <c r="AF192" s="39">
        <v>0.0</v>
      </c>
      <c r="AG192" s="35" t="s">
        <v>7045</v>
      </c>
      <c r="AH192" s="30">
        <v>45292.0</v>
      </c>
      <c r="AI192" s="30">
        <v>45657.0</v>
      </c>
      <c r="AJ192" s="39">
        <v>32.39</v>
      </c>
      <c r="AK192" s="39">
        <v>0.0</v>
      </c>
      <c r="AL192" s="38" t="s">
        <v>7047</v>
      </c>
      <c r="AM192" s="30">
        <v>44562.0</v>
      </c>
      <c r="AN192" s="30">
        <v>44926.0</v>
      </c>
      <c r="AO192" s="39">
        <v>0.0</v>
      </c>
      <c r="AP192" s="39">
        <v>0.0</v>
      </c>
      <c r="AQ192" s="35" t="s">
        <v>7045</v>
      </c>
      <c r="AR192" s="30">
        <v>44927.0</v>
      </c>
      <c r="AS192" s="30">
        <v>45291.0</v>
      </c>
      <c r="AT192" s="39">
        <v>53.43</v>
      </c>
      <c r="AU192" s="39">
        <v>0.0</v>
      </c>
      <c r="AV192" s="38" t="s">
        <v>7047</v>
      </c>
    </row>
    <row r="193" ht="14.25" customHeight="1">
      <c r="A193" s="28" t="s">
        <v>5995</v>
      </c>
      <c r="B193" s="29" t="s">
        <v>5996</v>
      </c>
      <c r="C193" s="29" t="s">
        <v>7041</v>
      </c>
      <c r="D193" s="30">
        <v>45658.0</v>
      </c>
      <c r="E193" s="30">
        <v>46022.0</v>
      </c>
      <c r="F193" s="39">
        <v>37.66</v>
      </c>
      <c r="G193" s="39">
        <v>295.0</v>
      </c>
      <c r="H193" s="32" t="s">
        <v>7043</v>
      </c>
      <c r="I193" s="30">
        <v>46023.0</v>
      </c>
      <c r="J193" s="30">
        <v>46387.0</v>
      </c>
      <c r="K193" s="39">
        <v>0.0</v>
      </c>
      <c r="L193" s="39">
        <v>0.0</v>
      </c>
      <c r="M193" s="35" t="s">
        <v>7045</v>
      </c>
      <c r="N193" s="30">
        <v>46388.0</v>
      </c>
      <c r="O193" s="30">
        <v>46752.0</v>
      </c>
      <c r="P193" s="39">
        <v>0.0</v>
      </c>
      <c r="Q193" s="39">
        <v>0.0</v>
      </c>
      <c r="R193" s="35" t="s">
        <v>7045</v>
      </c>
      <c r="S193" s="30">
        <v>46753.0</v>
      </c>
      <c r="T193" s="30">
        <v>47118.0</v>
      </c>
      <c r="U193" s="39">
        <v>0.0</v>
      </c>
      <c r="V193" s="39">
        <v>0.0</v>
      </c>
      <c r="W193" s="35" t="s">
        <v>7045</v>
      </c>
      <c r="X193" s="30">
        <v>47119.0</v>
      </c>
      <c r="Y193" s="30">
        <v>47483.0</v>
      </c>
      <c r="Z193" s="39">
        <v>0.0</v>
      </c>
      <c r="AA193" s="39">
        <v>0.0</v>
      </c>
      <c r="AB193" s="35" t="s">
        <v>7045</v>
      </c>
      <c r="AC193" s="30">
        <v>47484.0</v>
      </c>
      <c r="AD193" s="30">
        <v>47848.0</v>
      </c>
      <c r="AE193" s="39">
        <v>0.0</v>
      </c>
      <c r="AF193" s="39">
        <v>0.0</v>
      </c>
      <c r="AG193" s="35" t="s">
        <v>7045</v>
      </c>
      <c r="AH193" s="30">
        <v>45292.0</v>
      </c>
      <c r="AI193" s="30">
        <v>45657.0</v>
      </c>
      <c r="AJ193" s="39">
        <v>280.48</v>
      </c>
      <c r="AK193" s="39">
        <v>250.0</v>
      </c>
      <c r="AL193" s="38" t="s">
        <v>7047</v>
      </c>
      <c r="AM193" s="30">
        <v>44562.0</v>
      </c>
      <c r="AN193" s="30">
        <v>44926.0</v>
      </c>
      <c r="AO193" s="39">
        <v>0.0</v>
      </c>
      <c r="AP193" s="39">
        <v>0.0</v>
      </c>
      <c r="AQ193" s="35" t="s">
        <v>7045</v>
      </c>
      <c r="AR193" s="30">
        <v>44927.0</v>
      </c>
      <c r="AS193" s="30">
        <v>45291.0</v>
      </c>
      <c r="AT193" s="39">
        <v>168.53</v>
      </c>
      <c r="AU193" s="39">
        <v>100.0</v>
      </c>
      <c r="AV193" s="38" t="s">
        <v>7047</v>
      </c>
    </row>
    <row r="194" ht="14.25" customHeight="1">
      <c r="A194" s="28" t="s">
        <v>6199</v>
      </c>
      <c r="B194" s="29" t="s">
        <v>6200</v>
      </c>
      <c r="C194" s="29" t="s">
        <v>7041</v>
      </c>
      <c r="D194" s="30">
        <v>45658.0</v>
      </c>
      <c r="E194" s="30">
        <v>46022.0</v>
      </c>
      <c r="F194" s="39">
        <v>4.48</v>
      </c>
      <c r="G194" s="39">
        <v>0.0</v>
      </c>
      <c r="H194" s="38" t="s">
        <v>7047</v>
      </c>
      <c r="I194" s="30">
        <v>46023.0</v>
      </c>
      <c r="J194" s="30">
        <v>46387.0</v>
      </c>
      <c r="K194" s="39">
        <v>0.0</v>
      </c>
      <c r="L194" s="39">
        <v>0.0</v>
      </c>
      <c r="M194" s="35" t="s">
        <v>7045</v>
      </c>
      <c r="N194" s="30">
        <v>46388.0</v>
      </c>
      <c r="O194" s="30">
        <v>46752.0</v>
      </c>
      <c r="P194" s="39">
        <v>0.0</v>
      </c>
      <c r="Q194" s="39">
        <v>0.0</v>
      </c>
      <c r="R194" s="35" t="s">
        <v>7045</v>
      </c>
      <c r="S194" s="30">
        <v>46753.0</v>
      </c>
      <c r="T194" s="30">
        <v>47118.0</v>
      </c>
      <c r="U194" s="39">
        <v>0.0</v>
      </c>
      <c r="V194" s="39">
        <v>0.0</v>
      </c>
      <c r="W194" s="35" t="s">
        <v>7045</v>
      </c>
      <c r="X194" s="30">
        <v>47119.0</v>
      </c>
      <c r="Y194" s="30">
        <v>47483.0</v>
      </c>
      <c r="Z194" s="39">
        <v>0.0</v>
      </c>
      <c r="AA194" s="39">
        <v>0.0</v>
      </c>
      <c r="AB194" s="35" t="s">
        <v>7045</v>
      </c>
      <c r="AC194" s="30">
        <v>47484.0</v>
      </c>
      <c r="AD194" s="30">
        <v>47848.0</v>
      </c>
      <c r="AE194" s="39">
        <v>0.0</v>
      </c>
      <c r="AF194" s="39">
        <v>0.0</v>
      </c>
      <c r="AG194" s="35" t="s">
        <v>7045</v>
      </c>
      <c r="AH194" s="30">
        <v>45292.0</v>
      </c>
      <c r="AI194" s="30">
        <v>45657.0</v>
      </c>
      <c r="AJ194" s="39">
        <v>29.16</v>
      </c>
      <c r="AK194" s="39">
        <v>50.0</v>
      </c>
      <c r="AL194" s="37" t="s">
        <v>7046</v>
      </c>
      <c r="AM194" s="30">
        <v>44562.0</v>
      </c>
      <c r="AN194" s="30">
        <v>44926.0</v>
      </c>
      <c r="AO194" s="39">
        <v>0.0</v>
      </c>
      <c r="AP194" s="39">
        <v>0.0</v>
      </c>
      <c r="AQ194" s="35" t="s">
        <v>7045</v>
      </c>
      <c r="AR194" s="30">
        <v>44927.0</v>
      </c>
      <c r="AS194" s="30">
        <v>45291.0</v>
      </c>
      <c r="AT194" s="39">
        <v>34.54</v>
      </c>
      <c r="AU194" s="39">
        <v>25.0</v>
      </c>
      <c r="AV194" s="38" t="s">
        <v>7047</v>
      </c>
    </row>
    <row r="195" ht="14.25" customHeight="1">
      <c r="A195" s="28" t="s">
        <v>6238</v>
      </c>
      <c r="B195" s="29" t="s">
        <v>6239</v>
      </c>
      <c r="C195" s="29" t="s">
        <v>7041</v>
      </c>
      <c r="D195" s="30">
        <v>45658.0</v>
      </c>
      <c r="E195" s="30">
        <v>46022.0</v>
      </c>
      <c r="F195" s="36">
        <v>234.26</v>
      </c>
      <c r="G195" s="36">
        <v>0.0</v>
      </c>
      <c r="H195" s="38" t="s">
        <v>7047</v>
      </c>
      <c r="I195" s="30">
        <v>46023.0</v>
      </c>
      <c r="J195" s="30">
        <v>46387.0</v>
      </c>
      <c r="K195" s="36">
        <v>0.0</v>
      </c>
      <c r="L195" s="36">
        <v>0.0</v>
      </c>
      <c r="M195" s="35" t="s">
        <v>7045</v>
      </c>
      <c r="N195" s="30">
        <v>46388.0</v>
      </c>
      <c r="O195" s="30">
        <v>46752.0</v>
      </c>
      <c r="P195" s="36">
        <v>0.0</v>
      </c>
      <c r="Q195" s="36">
        <v>0.0</v>
      </c>
      <c r="R195" s="35" t="s">
        <v>7045</v>
      </c>
      <c r="S195" s="30">
        <v>46753.0</v>
      </c>
      <c r="T195" s="30">
        <v>47118.0</v>
      </c>
      <c r="U195" s="36">
        <v>0.0</v>
      </c>
      <c r="V195" s="36">
        <v>0.0</v>
      </c>
      <c r="W195" s="35" t="s">
        <v>7045</v>
      </c>
      <c r="X195" s="30">
        <v>47119.0</v>
      </c>
      <c r="Y195" s="30">
        <v>47483.0</v>
      </c>
      <c r="Z195" s="36">
        <v>0.0</v>
      </c>
      <c r="AA195" s="36">
        <v>0.0</v>
      </c>
      <c r="AB195" s="35" t="s">
        <v>7045</v>
      </c>
      <c r="AC195" s="30">
        <v>47484.0</v>
      </c>
      <c r="AD195" s="30">
        <v>47848.0</v>
      </c>
      <c r="AE195" s="36">
        <v>0.0</v>
      </c>
      <c r="AF195" s="36">
        <v>0.0</v>
      </c>
      <c r="AG195" s="35" t="s">
        <v>7045</v>
      </c>
      <c r="AH195" s="30">
        <v>45292.0</v>
      </c>
      <c r="AI195" s="30">
        <v>45657.0</v>
      </c>
      <c r="AJ195" s="36">
        <v>301.62</v>
      </c>
      <c r="AK195" s="36">
        <v>999.99</v>
      </c>
      <c r="AL195" s="32" t="s">
        <v>7043</v>
      </c>
      <c r="AM195" s="30">
        <v>44562.0</v>
      </c>
      <c r="AN195" s="30">
        <v>44926.0</v>
      </c>
      <c r="AO195" s="36">
        <v>0.0</v>
      </c>
      <c r="AP195" s="36">
        <v>1130.99</v>
      </c>
      <c r="AQ195" s="32" t="s">
        <v>7043</v>
      </c>
      <c r="AR195" s="30">
        <v>44927.0</v>
      </c>
      <c r="AS195" s="30">
        <v>45291.0</v>
      </c>
      <c r="AT195" s="36">
        <v>131.99</v>
      </c>
      <c r="AU195" s="36">
        <v>0.0</v>
      </c>
      <c r="AV195" s="38" t="s">
        <v>7047</v>
      </c>
    </row>
    <row r="196" ht="14.25" customHeight="1">
      <c r="A196" s="28" t="s">
        <v>6248</v>
      </c>
      <c r="B196" s="29" t="s">
        <v>6249</v>
      </c>
      <c r="C196" s="29" t="s">
        <v>7041</v>
      </c>
      <c r="D196" s="30">
        <v>45658.0</v>
      </c>
      <c r="E196" s="30">
        <v>46022.0</v>
      </c>
      <c r="F196" s="36">
        <v>0.6</v>
      </c>
      <c r="G196" s="36">
        <v>250.0</v>
      </c>
      <c r="H196" s="32" t="s">
        <v>7043</v>
      </c>
      <c r="I196" s="30">
        <v>46023.0</v>
      </c>
      <c r="J196" s="30">
        <v>46387.0</v>
      </c>
      <c r="K196" s="36">
        <v>0.0</v>
      </c>
      <c r="L196" s="36">
        <v>0.0</v>
      </c>
      <c r="M196" s="35" t="s">
        <v>7045</v>
      </c>
      <c r="N196" s="30">
        <v>46388.0</v>
      </c>
      <c r="O196" s="30">
        <v>46752.0</v>
      </c>
      <c r="P196" s="36">
        <v>0.0</v>
      </c>
      <c r="Q196" s="36">
        <v>0.0</v>
      </c>
      <c r="R196" s="35" t="s">
        <v>7045</v>
      </c>
      <c r="S196" s="30">
        <v>46753.0</v>
      </c>
      <c r="T196" s="30">
        <v>47118.0</v>
      </c>
      <c r="U196" s="36">
        <v>0.0</v>
      </c>
      <c r="V196" s="36">
        <v>0.0</v>
      </c>
      <c r="W196" s="35" t="s">
        <v>7045</v>
      </c>
      <c r="X196" s="30">
        <v>47119.0</v>
      </c>
      <c r="Y196" s="30">
        <v>47483.0</v>
      </c>
      <c r="Z196" s="36">
        <v>0.0</v>
      </c>
      <c r="AA196" s="36">
        <v>0.0</v>
      </c>
      <c r="AB196" s="35" t="s">
        <v>7045</v>
      </c>
      <c r="AC196" s="30">
        <v>47484.0</v>
      </c>
      <c r="AD196" s="30">
        <v>47848.0</v>
      </c>
      <c r="AE196" s="36">
        <v>0.0</v>
      </c>
      <c r="AF196" s="36">
        <v>0.0</v>
      </c>
      <c r="AG196" s="35" t="s">
        <v>7045</v>
      </c>
      <c r="AH196" s="30">
        <v>45292.0</v>
      </c>
      <c r="AI196" s="30">
        <v>45657.0</v>
      </c>
      <c r="AJ196" s="36">
        <v>0.25</v>
      </c>
      <c r="AK196" s="36">
        <v>0.0</v>
      </c>
      <c r="AL196" s="38" t="s">
        <v>7047</v>
      </c>
      <c r="AM196" s="30">
        <v>44562.0</v>
      </c>
      <c r="AN196" s="30">
        <v>44926.0</v>
      </c>
      <c r="AO196" s="36">
        <v>0.0</v>
      </c>
      <c r="AP196" s="36">
        <v>0.0</v>
      </c>
      <c r="AQ196" s="35" t="s">
        <v>7045</v>
      </c>
      <c r="AR196" s="30">
        <v>44927.0</v>
      </c>
      <c r="AS196" s="30">
        <v>45291.0</v>
      </c>
      <c r="AT196" s="36">
        <v>152.05</v>
      </c>
      <c r="AU196" s="36">
        <v>0.0</v>
      </c>
      <c r="AV196" s="38" t="s">
        <v>7047</v>
      </c>
    </row>
    <row r="197" ht="14.25" customHeight="1">
      <c r="A197" s="28" t="s">
        <v>6435</v>
      </c>
      <c r="B197" s="29" t="s">
        <v>6436</v>
      </c>
      <c r="C197" s="29" t="s">
        <v>7041</v>
      </c>
      <c r="D197" s="30">
        <v>45658.0</v>
      </c>
      <c r="E197" s="30">
        <v>46022.0</v>
      </c>
      <c r="F197" s="39">
        <v>10.37</v>
      </c>
      <c r="G197" s="39">
        <v>200.0</v>
      </c>
      <c r="H197" s="32" t="s">
        <v>7043</v>
      </c>
      <c r="I197" s="30">
        <v>46023.0</v>
      </c>
      <c r="J197" s="30">
        <v>46387.0</v>
      </c>
      <c r="K197" s="39">
        <v>0.0</v>
      </c>
      <c r="L197" s="39">
        <v>0.0</v>
      </c>
      <c r="M197" s="35" t="s">
        <v>7045</v>
      </c>
      <c r="N197" s="30">
        <v>46388.0</v>
      </c>
      <c r="O197" s="30">
        <v>46752.0</v>
      </c>
      <c r="P197" s="39">
        <v>0.0</v>
      </c>
      <c r="Q197" s="39">
        <v>0.0</v>
      </c>
      <c r="R197" s="35" t="s">
        <v>7045</v>
      </c>
      <c r="S197" s="30">
        <v>46753.0</v>
      </c>
      <c r="T197" s="30">
        <v>47118.0</v>
      </c>
      <c r="U197" s="39">
        <v>0.0</v>
      </c>
      <c r="V197" s="39">
        <v>0.0</v>
      </c>
      <c r="W197" s="35" t="s">
        <v>7045</v>
      </c>
      <c r="X197" s="30">
        <v>47119.0</v>
      </c>
      <c r="Y197" s="30">
        <v>47483.0</v>
      </c>
      <c r="Z197" s="39">
        <v>0.0</v>
      </c>
      <c r="AA197" s="39">
        <v>0.0</v>
      </c>
      <c r="AB197" s="35" t="s">
        <v>7045</v>
      </c>
      <c r="AC197" s="30">
        <v>47484.0</v>
      </c>
      <c r="AD197" s="30">
        <v>47848.0</v>
      </c>
      <c r="AE197" s="39">
        <v>0.0</v>
      </c>
      <c r="AF197" s="39">
        <v>0.0</v>
      </c>
      <c r="AG197" s="35" t="s">
        <v>7045</v>
      </c>
      <c r="AH197" s="30">
        <v>45292.0</v>
      </c>
      <c r="AI197" s="30">
        <v>45657.0</v>
      </c>
      <c r="AJ197" s="39">
        <v>43.13</v>
      </c>
      <c r="AK197" s="39">
        <v>210.0</v>
      </c>
      <c r="AL197" s="32" t="s">
        <v>7043</v>
      </c>
      <c r="AM197" s="30">
        <v>44562.0</v>
      </c>
      <c r="AN197" s="30">
        <v>44926.0</v>
      </c>
      <c r="AO197" s="39">
        <v>35.1</v>
      </c>
      <c r="AP197" s="39">
        <v>0.0</v>
      </c>
      <c r="AQ197" s="38" t="s">
        <v>7047</v>
      </c>
      <c r="AR197" s="30">
        <v>44927.0</v>
      </c>
      <c r="AS197" s="30">
        <v>45291.0</v>
      </c>
      <c r="AT197" s="39">
        <v>120.14</v>
      </c>
      <c r="AU197" s="39">
        <v>0.0</v>
      </c>
      <c r="AV197" s="38" t="s">
        <v>7047</v>
      </c>
    </row>
    <row r="198" ht="14.25" customHeight="1">
      <c r="A198" s="28" t="s">
        <v>6693</v>
      </c>
      <c r="B198" s="29" t="s">
        <v>6694</v>
      </c>
      <c r="C198" s="29" t="s">
        <v>7041</v>
      </c>
      <c r="D198" s="30">
        <v>45658.0</v>
      </c>
      <c r="E198" s="30">
        <v>46022.0</v>
      </c>
      <c r="F198" s="36">
        <v>36.39</v>
      </c>
      <c r="G198" s="36">
        <v>300.0</v>
      </c>
      <c r="H198" s="32" t="s">
        <v>7043</v>
      </c>
      <c r="I198" s="30">
        <v>46023.0</v>
      </c>
      <c r="J198" s="30">
        <v>46387.0</v>
      </c>
      <c r="K198" s="36">
        <v>0.0</v>
      </c>
      <c r="L198" s="36">
        <v>0.0</v>
      </c>
      <c r="M198" s="35" t="s">
        <v>7045</v>
      </c>
      <c r="N198" s="30">
        <v>46388.0</v>
      </c>
      <c r="O198" s="30">
        <v>46752.0</v>
      </c>
      <c r="P198" s="36">
        <v>0.0</v>
      </c>
      <c r="Q198" s="36">
        <v>0.0</v>
      </c>
      <c r="R198" s="35" t="s">
        <v>7045</v>
      </c>
      <c r="S198" s="30">
        <v>46753.0</v>
      </c>
      <c r="T198" s="30">
        <v>47118.0</v>
      </c>
      <c r="U198" s="36">
        <v>0.0</v>
      </c>
      <c r="V198" s="36">
        <v>0.0</v>
      </c>
      <c r="W198" s="35" t="s">
        <v>7045</v>
      </c>
      <c r="X198" s="30">
        <v>47119.0</v>
      </c>
      <c r="Y198" s="30">
        <v>47483.0</v>
      </c>
      <c r="Z198" s="36">
        <v>0.0</v>
      </c>
      <c r="AA198" s="36">
        <v>0.0</v>
      </c>
      <c r="AB198" s="35" t="s">
        <v>7045</v>
      </c>
      <c r="AC198" s="30">
        <v>47484.0</v>
      </c>
      <c r="AD198" s="30">
        <v>47848.0</v>
      </c>
      <c r="AE198" s="36">
        <v>0.0</v>
      </c>
      <c r="AF198" s="36">
        <v>0.0</v>
      </c>
      <c r="AG198" s="35" t="s">
        <v>7045</v>
      </c>
      <c r="AH198" s="30">
        <v>45292.0</v>
      </c>
      <c r="AI198" s="30">
        <v>45657.0</v>
      </c>
      <c r="AJ198" s="36">
        <v>10.87</v>
      </c>
      <c r="AK198" s="36">
        <v>0.0</v>
      </c>
      <c r="AL198" s="38" t="s">
        <v>7047</v>
      </c>
      <c r="AM198" s="30">
        <v>44562.0</v>
      </c>
      <c r="AN198" s="30">
        <v>44926.0</v>
      </c>
      <c r="AO198" s="36">
        <v>0.0</v>
      </c>
      <c r="AP198" s="36">
        <v>0.0</v>
      </c>
      <c r="AQ198" s="35" t="s">
        <v>7045</v>
      </c>
      <c r="AR198" s="30">
        <v>44927.0</v>
      </c>
      <c r="AS198" s="30">
        <v>45291.0</v>
      </c>
      <c r="AT198" s="36">
        <v>0.0</v>
      </c>
      <c r="AU198" s="36">
        <v>0.0</v>
      </c>
      <c r="AV198" s="35" t="s">
        <v>7045</v>
      </c>
    </row>
    <row r="199" ht="14.25" customHeight="1">
      <c r="A199" s="28" t="s">
        <v>6716</v>
      </c>
      <c r="B199" s="29" t="s">
        <v>6717</v>
      </c>
      <c r="C199" s="29" t="s">
        <v>7041</v>
      </c>
      <c r="D199" s="30">
        <v>45658.0</v>
      </c>
      <c r="E199" s="30">
        <v>46022.0</v>
      </c>
      <c r="F199" s="39">
        <v>295.15</v>
      </c>
      <c r="G199" s="39">
        <v>323.0</v>
      </c>
      <c r="H199" s="38" t="s">
        <v>7047</v>
      </c>
      <c r="I199" s="30">
        <v>46023.0</v>
      </c>
      <c r="J199" s="30">
        <v>46387.0</v>
      </c>
      <c r="K199" s="39">
        <v>0.0</v>
      </c>
      <c r="L199" s="39">
        <v>0.0</v>
      </c>
      <c r="M199" s="35" t="s">
        <v>7045</v>
      </c>
      <c r="N199" s="30">
        <v>46388.0</v>
      </c>
      <c r="O199" s="30">
        <v>46752.0</v>
      </c>
      <c r="P199" s="39">
        <v>0.0</v>
      </c>
      <c r="Q199" s="39">
        <v>0.0</v>
      </c>
      <c r="R199" s="35" t="s">
        <v>7045</v>
      </c>
      <c r="S199" s="30">
        <v>46753.0</v>
      </c>
      <c r="T199" s="30">
        <v>47118.0</v>
      </c>
      <c r="U199" s="39">
        <v>0.0</v>
      </c>
      <c r="V199" s="39">
        <v>0.0</v>
      </c>
      <c r="W199" s="35" t="s">
        <v>7045</v>
      </c>
      <c r="X199" s="30">
        <v>47119.0</v>
      </c>
      <c r="Y199" s="30">
        <v>47483.0</v>
      </c>
      <c r="Z199" s="39">
        <v>0.0</v>
      </c>
      <c r="AA199" s="39">
        <v>0.0</v>
      </c>
      <c r="AB199" s="35" t="s">
        <v>7045</v>
      </c>
      <c r="AC199" s="30">
        <v>47484.0</v>
      </c>
      <c r="AD199" s="30">
        <v>47848.0</v>
      </c>
      <c r="AE199" s="39">
        <v>0.0</v>
      </c>
      <c r="AF199" s="39">
        <v>0.0</v>
      </c>
      <c r="AG199" s="35" t="s">
        <v>7045</v>
      </c>
      <c r="AH199" s="30">
        <v>45292.0</v>
      </c>
      <c r="AI199" s="30">
        <v>45657.0</v>
      </c>
      <c r="AJ199" s="39">
        <v>252.6</v>
      </c>
      <c r="AK199" s="39">
        <v>229.0</v>
      </c>
      <c r="AL199" s="38" t="s">
        <v>7047</v>
      </c>
      <c r="AM199" s="30">
        <v>44562.0</v>
      </c>
      <c r="AN199" s="30">
        <v>44926.0</v>
      </c>
      <c r="AO199" s="39">
        <v>88.7</v>
      </c>
      <c r="AP199" s="39">
        <v>0.0</v>
      </c>
      <c r="AQ199" s="38" t="s">
        <v>7047</v>
      </c>
      <c r="AR199" s="30">
        <v>44927.0</v>
      </c>
      <c r="AS199" s="30">
        <v>45291.0</v>
      </c>
      <c r="AT199" s="39">
        <v>81.94</v>
      </c>
      <c r="AU199" s="39">
        <v>0.0</v>
      </c>
      <c r="AV199" s="38" t="s">
        <v>7047</v>
      </c>
    </row>
    <row r="200" ht="14.25" customHeight="1">
      <c r="A200" s="28" t="s">
        <v>6943</v>
      </c>
      <c r="B200" s="29" t="s">
        <v>6944</v>
      </c>
      <c r="C200" s="29" t="s">
        <v>7041</v>
      </c>
      <c r="D200" s="30">
        <v>45658.0</v>
      </c>
      <c r="E200" s="30">
        <v>46022.0</v>
      </c>
      <c r="F200" s="36">
        <v>0.0</v>
      </c>
      <c r="G200" s="36">
        <v>0.0</v>
      </c>
      <c r="H200" s="35" t="s">
        <v>7045</v>
      </c>
      <c r="I200" s="30">
        <v>46023.0</v>
      </c>
      <c r="J200" s="30">
        <v>46387.0</v>
      </c>
      <c r="K200" s="36">
        <v>0.0</v>
      </c>
      <c r="L200" s="36">
        <v>0.0</v>
      </c>
      <c r="M200" s="35" t="s">
        <v>7045</v>
      </c>
      <c r="N200" s="30">
        <v>46388.0</v>
      </c>
      <c r="O200" s="30">
        <v>46752.0</v>
      </c>
      <c r="P200" s="36">
        <v>0.0</v>
      </c>
      <c r="Q200" s="36">
        <v>0.0</v>
      </c>
      <c r="R200" s="35" t="s">
        <v>7045</v>
      </c>
      <c r="S200" s="30">
        <v>46753.0</v>
      </c>
      <c r="T200" s="30">
        <v>47118.0</v>
      </c>
      <c r="U200" s="36">
        <v>0.0</v>
      </c>
      <c r="V200" s="36">
        <v>0.0</v>
      </c>
      <c r="W200" s="35" t="s">
        <v>7045</v>
      </c>
      <c r="X200" s="30">
        <v>47119.0</v>
      </c>
      <c r="Y200" s="30">
        <v>47483.0</v>
      </c>
      <c r="Z200" s="36">
        <v>0.0</v>
      </c>
      <c r="AA200" s="36">
        <v>0.0</v>
      </c>
      <c r="AB200" s="35" t="s">
        <v>7045</v>
      </c>
      <c r="AC200" s="30">
        <v>47484.0</v>
      </c>
      <c r="AD200" s="30">
        <v>47848.0</v>
      </c>
      <c r="AE200" s="36">
        <v>0.0</v>
      </c>
      <c r="AF200" s="36">
        <v>0.0</v>
      </c>
      <c r="AG200" s="35" t="s">
        <v>7045</v>
      </c>
      <c r="AH200" s="30">
        <v>45292.0</v>
      </c>
      <c r="AI200" s="30">
        <v>45657.0</v>
      </c>
      <c r="AJ200" s="36">
        <v>74.21</v>
      </c>
      <c r="AK200" s="36">
        <v>0.0</v>
      </c>
      <c r="AL200" s="38" t="s">
        <v>7047</v>
      </c>
      <c r="AM200" s="30">
        <v>44562.0</v>
      </c>
      <c r="AN200" s="30">
        <v>44926.0</v>
      </c>
      <c r="AO200" s="36">
        <v>11.7</v>
      </c>
      <c r="AP200" s="36">
        <v>0.0</v>
      </c>
      <c r="AQ200" s="38" t="s">
        <v>7047</v>
      </c>
      <c r="AR200" s="30">
        <v>44927.0</v>
      </c>
      <c r="AS200" s="30">
        <v>45291.0</v>
      </c>
      <c r="AT200" s="36">
        <v>208.68</v>
      </c>
      <c r="AU200" s="36">
        <v>0.0</v>
      </c>
      <c r="AV200" s="38" t="s">
        <v>7047</v>
      </c>
    </row>
    <row r="201" ht="14.25" customHeight="1">
      <c r="A201" s="28" t="s">
        <v>7002</v>
      </c>
      <c r="B201" s="29" t="s">
        <v>7003</v>
      </c>
      <c r="C201" s="29" t="s">
        <v>7041</v>
      </c>
      <c r="D201" s="30">
        <v>45658.0</v>
      </c>
      <c r="E201" s="30">
        <v>46022.0</v>
      </c>
      <c r="F201" s="39">
        <v>8.97</v>
      </c>
      <c r="G201" s="39">
        <v>0.0</v>
      </c>
      <c r="H201" s="38" t="s">
        <v>7047</v>
      </c>
      <c r="I201" s="30">
        <v>46023.0</v>
      </c>
      <c r="J201" s="30">
        <v>46387.0</v>
      </c>
      <c r="K201" s="39">
        <v>0.0</v>
      </c>
      <c r="L201" s="39">
        <v>0.0</v>
      </c>
      <c r="M201" s="35" t="s">
        <v>7045</v>
      </c>
      <c r="N201" s="30">
        <v>46388.0</v>
      </c>
      <c r="O201" s="30">
        <v>46752.0</v>
      </c>
      <c r="P201" s="39">
        <v>0.0</v>
      </c>
      <c r="Q201" s="39">
        <v>0.0</v>
      </c>
      <c r="R201" s="35" t="s">
        <v>7045</v>
      </c>
      <c r="S201" s="30">
        <v>46753.0</v>
      </c>
      <c r="T201" s="30">
        <v>47118.0</v>
      </c>
      <c r="U201" s="39">
        <v>0.0</v>
      </c>
      <c r="V201" s="39">
        <v>0.0</v>
      </c>
      <c r="W201" s="35" t="s">
        <v>7045</v>
      </c>
      <c r="X201" s="30">
        <v>47119.0</v>
      </c>
      <c r="Y201" s="30">
        <v>47483.0</v>
      </c>
      <c r="Z201" s="39">
        <v>0.0</v>
      </c>
      <c r="AA201" s="39">
        <v>0.0</v>
      </c>
      <c r="AB201" s="35" t="s">
        <v>7045</v>
      </c>
      <c r="AC201" s="30">
        <v>47484.0</v>
      </c>
      <c r="AD201" s="30">
        <v>47848.0</v>
      </c>
      <c r="AE201" s="39">
        <v>0.0</v>
      </c>
      <c r="AF201" s="39">
        <v>0.0</v>
      </c>
      <c r="AG201" s="35" t="s">
        <v>7045</v>
      </c>
      <c r="AH201" s="30">
        <v>45292.0</v>
      </c>
      <c r="AI201" s="30">
        <v>45657.0</v>
      </c>
      <c r="AJ201" s="39">
        <v>9.87</v>
      </c>
      <c r="AK201" s="39">
        <v>0.0</v>
      </c>
      <c r="AL201" s="38" t="s">
        <v>7047</v>
      </c>
      <c r="AM201" s="30">
        <v>44562.0</v>
      </c>
      <c r="AN201" s="30">
        <v>44926.0</v>
      </c>
      <c r="AO201" s="39">
        <v>177.8</v>
      </c>
      <c r="AP201" s="39">
        <v>600.0</v>
      </c>
      <c r="AQ201" s="32" t="s">
        <v>7043</v>
      </c>
      <c r="AR201" s="30">
        <v>44927.0</v>
      </c>
      <c r="AS201" s="30">
        <v>45291.0</v>
      </c>
      <c r="AT201" s="39">
        <v>21.92</v>
      </c>
      <c r="AU201" s="39">
        <v>0.0</v>
      </c>
      <c r="AV201" s="38" t="s">
        <v>7047</v>
      </c>
    </row>
    <row r="202" ht="14.25" customHeight="1">
      <c r="A202" s="28" t="s">
        <v>7027</v>
      </c>
      <c r="B202" s="29" t="s">
        <v>7028</v>
      </c>
      <c r="C202" s="29" t="s">
        <v>7041</v>
      </c>
      <c r="D202" s="30">
        <v>45658.0</v>
      </c>
      <c r="E202" s="30">
        <v>46022.0</v>
      </c>
      <c r="F202" s="39">
        <v>183.4</v>
      </c>
      <c r="G202" s="39">
        <v>389.0</v>
      </c>
      <c r="H202" s="37" t="s">
        <v>7046</v>
      </c>
      <c r="I202" s="30">
        <v>46023.0</v>
      </c>
      <c r="J202" s="30">
        <v>46387.0</v>
      </c>
      <c r="K202" s="39">
        <v>0.0</v>
      </c>
      <c r="L202" s="39">
        <v>0.0</v>
      </c>
      <c r="M202" s="35" t="s">
        <v>7045</v>
      </c>
      <c r="N202" s="30">
        <v>46388.0</v>
      </c>
      <c r="O202" s="30">
        <v>46752.0</v>
      </c>
      <c r="P202" s="39">
        <v>0.0</v>
      </c>
      <c r="Q202" s="39">
        <v>0.0</v>
      </c>
      <c r="R202" s="35" t="s">
        <v>7045</v>
      </c>
      <c r="S202" s="30">
        <v>46753.0</v>
      </c>
      <c r="T202" s="30">
        <v>47118.0</v>
      </c>
      <c r="U202" s="39">
        <v>0.0</v>
      </c>
      <c r="V202" s="39">
        <v>0.0</v>
      </c>
      <c r="W202" s="35" t="s">
        <v>7045</v>
      </c>
      <c r="X202" s="30">
        <v>47119.0</v>
      </c>
      <c r="Y202" s="30">
        <v>47483.0</v>
      </c>
      <c r="Z202" s="39">
        <v>0.0</v>
      </c>
      <c r="AA202" s="39">
        <v>0.0</v>
      </c>
      <c r="AB202" s="35" t="s">
        <v>7045</v>
      </c>
      <c r="AC202" s="30">
        <v>47484.0</v>
      </c>
      <c r="AD202" s="30">
        <v>47848.0</v>
      </c>
      <c r="AE202" s="39">
        <v>0.0</v>
      </c>
      <c r="AF202" s="39">
        <v>0.0</v>
      </c>
      <c r="AG202" s="35" t="s">
        <v>7045</v>
      </c>
      <c r="AH202" s="30">
        <v>45292.0</v>
      </c>
      <c r="AI202" s="30">
        <v>45657.0</v>
      </c>
      <c r="AJ202" s="39">
        <v>360.21</v>
      </c>
      <c r="AK202" s="39">
        <v>600.0</v>
      </c>
      <c r="AL202" s="37" t="s">
        <v>7046</v>
      </c>
      <c r="AM202" s="30">
        <v>44562.0</v>
      </c>
      <c r="AN202" s="30">
        <v>44926.0</v>
      </c>
      <c r="AO202" s="39">
        <v>179.8</v>
      </c>
      <c r="AP202" s="39">
        <v>242.0</v>
      </c>
      <c r="AQ202" s="37" t="s">
        <v>7046</v>
      </c>
      <c r="AR202" s="30">
        <v>44927.0</v>
      </c>
      <c r="AS202" s="30">
        <v>45291.0</v>
      </c>
      <c r="AT202" s="39">
        <v>559.85</v>
      </c>
      <c r="AU202" s="39">
        <v>450.0</v>
      </c>
      <c r="AV202" s="38" t="s">
        <v>7047</v>
      </c>
    </row>
    <row r="203" ht="14.25" customHeight="1">
      <c r="A203" s="28" t="s">
        <v>6681</v>
      </c>
      <c r="B203" s="29" t="s">
        <v>6682</v>
      </c>
      <c r="C203" s="29" t="s">
        <v>7041</v>
      </c>
      <c r="D203" s="30">
        <v>45658.0</v>
      </c>
      <c r="E203" s="30">
        <v>46022.0</v>
      </c>
      <c r="F203" s="39">
        <v>208.99</v>
      </c>
      <c r="G203" s="39">
        <v>768.0</v>
      </c>
      <c r="H203" s="37" t="s">
        <v>7046</v>
      </c>
      <c r="I203" s="30">
        <v>46023.0</v>
      </c>
      <c r="J203" s="30">
        <v>46387.0</v>
      </c>
      <c r="K203" s="39">
        <v>0.0</v>
      </c>
      <c r="L203" s="39">
        <v>0.0</v>
      </c>
      <c r="M203" s="35" t="s">
        <v>7045</v>
      </c>
      <c r="N203" s="30">
        <v>46388.0</v>
      </c>
      <c r="O203" s="30">
        <v>46752.0</v>
      </c>
      <c r="P203" s="39">
        <v>0.0</v>
      </c>
      <c r="Q203" s="39">
        <v>0.0</v>
      </c>
      <c r="R203" s="35" t="s">
        <v>7045</v>
      </c>
      <c r="S203" s="30">
        <v>46753.0</v>
      </c>
      <c r="T203" s="30">
        <v>47118.0</v>
      </c>
      <c r="U203" s="39">
        <v>0.0</v>
      </c>
      <c r="V203" s="39">
        <v>0.0</v>
      </c>
      <c r="W203" s="35" t="s">
        <v>7045</v>
      </c>
      <c r="X203" s="30">
        <v>47119.0</v>
      </c>
      <c r="Y203" s="30">
        <v>47483.0</v>
      </c>
      <c r="Z203" s="39">
        <v>0.0</v>
      </c>
      <c r="AA203" s="39">
        <v>0.0</v>
      </c>
      <c r="AB203" s="35" t="s">
        <v>7045</v>
      </c>
      <c r="AC203" s="30">
        <v>47484.0</v>
      </c>
      <c r="AD203" s="30">
        <v>47848.0</v>
      </c>
      <c r="AE203" s="39">
        <v>0.0</v>
      </c>
      <c r="AF203" s="39">
        <v>0.0</v>
      </c>
      <c r="AG203" s="35" t="s">
        <v>7045</v>
      </c>
      <c r="AH203" s="30">
        <v>45292.0</v>
      </c>
      <c r="AI203" s="30">
        <v>45657.0</v>
      </c>
      <c r="AJ203" s="39">
        <v>739.87</v>
      </c>
      <c r="AK203" s="39">
        <v>752.0</v>
      </c>
      <c r="AL203" s="37" t="s">
        <v>7046</v>
      </c>
      <c r="AM203" s="30">
        <v>44562.0</v>
      </c>
      <c r="AN203" s="30">
        <v>44926.0</v>
      </c>
      <c r="AO203" s="39">
        <v>640.7</v>
      </c>
      <c r="AP203" s="39">
        <v>889.0</v>
      </c>
      <c r="AQ203" s="37" t="s">
        <v>7046</v>
      </c>
      <c r="AR203" s="30">
        <v>44927.0</v>
      </c>
      <c r="AS203" s="30">
        <v>45291.0</v>
      </c>
      <c r="AT203" s="39">
        <v>741.57</v>
      </c>
      <c r="AU203" s="39">
        <v>700.0</v>
      </c>
      <c r="AV203" s="38" t="s">
        <v>7047</v>
      </c>
    </row>
    <row r="204" ht="14.25" customHeight="1">
      <c r="A204" s="28" t="s">
        <v>6492</v>
      </c>
      <c r="B204" s="29" t="s">
        <v>6493</v>
      </c>
      <c r="C204" s="29" t="s">
        <v>7041</v>
      </c>
      <c r="D204" s="30">
        <v>45658.0</v>
      </c>
      <c r="E204" s="30">
        <v>46022.0</v>
      </c>
      <c r="F204" s="39">
        <v>219.59</v>
      </c>
      <c r="G204" s="39">
        <v>425.0</v>
      </c>
      <c r="H204" s="37" t="s">
        <v>7046</v>
      </c>
      <c r="I204" s="30">
        <v>46023.0</v>
      </c>
      <c r="J204" s="30">
        <v>46387.0</v>
      </c>
      <c r="K204" s="39">
        <v>0.0</v>
      </c>
      <c r="L204" s="39">
        <v>0.0</v>
      </c>
      <c r="M204" s="35" t="s">
        <v>7045</v>
      </c>
      <c r="N204" s="30">
        <v>46388.0</v>
      </c>
      <c r="O204" s="30">
        <v>46752.0</v>
      </c>
      <c r="P204" s="39">
        <v>0.0</v>
      </c>
      <c r="Q204" s="39">
        <v>0.0</v>
      </c>
      <c r="R204" s="35" t="s">
        <v>7045</v>
      </c>
      <c r="S204" s="30">
        <v>46753.0</v>
      </c>
      <c r="T204" s="30">
        <v>47118.0</v>
      </c>
      <c r="U204" s="39">
        <v>0.0</v>
      </c>
      <c r="V204" s="39">
        <v>0.0</v>
      </c>
      <c r="W204" s="35" t="s">
        <v>7045</v>
      </c>
      <c r="X204" s="30">
        <v>47119.0</v>
      </c>
      <c r="Y204" s="30">
        <v>47483.0</v>
      </c>
      <c r="Z204" s="39">
        <v>0.0</v>
      </c>
      <c r="AA204" s="39">
        <v>0.0</v>
      </c>
      <c r="AB204" s="35" t="s">
        <v>7045</v>
      </c>
      <c r="AC204" s="30">
        <v>47484.0</v>
      </c>
      <c r="AD204" s="30">
        <v>47848.0</v>
      </c>
      <c r="AE204" s="39">
        <v>0.0</v>
      </c>
      <c r="AF204" s="39">
        <v>0.0</v>
      </c>
      <c r="AG204" s="35" t="s">
        <v>7045</v>
      </c>
      <c r="AH204" s="30">
        <v>45292.0</v>
      </c>
      <c r="AI204" s="30">
        <v>45657.0</v>
      </c>
      <c r="AJ204" s="39">
        <v>419.32</v>
      </c>
      <c r="AK204" s="39">
        <v>540.0</v>
      </c>
      <c r="AL204" s="37" t="s">
        <v>7046</v>
      </c>
      <c r="AM204" s="30">
        <v>44562.0</v>
      </c>
      <c r="AN204" s="30">
        <v>44926.0</v>
      </c>
      <c r="AO204" s="39">
        <v>438.0</v>
      </c>
      <c r="AP204" s="39">
        <v>544.4</v>
      </c>
      <c r="AQ204" s="37" t="s">
        <v>7046</v>
      </c>
      <c r="AR204" s="30">
        <v>44927.0</v>
      </c>
      <c r="AS204" s="30">
        <v>45291.0</v>
      </c>
      <c r="AT204" s="39">
        <v>506.82</v>
      </c>
      <c r="AU204" s="39">
        <v>598.0</v>
      </c>
      <c r="AV204" s="37" t="s">
        <v>7046</v>
      </c>
    </row>
    <row r="205" ht="14.25" customHeight="1">
      <c r="A205" s="28" t="s">
        <v>5379</v>
      </c>
      <c r="B205" s="29" t="s">
        <v>5380</v>
      </c>
      <c r="C205" s="29" t="s">
        <v>7041</v>
      </c>
      <c r="D205" s="30">
        <v>45658.0</v>
      </c>
      <c r="E205" s="30">
        <v>46022.0</v>
      </c>
      <c r="F205" s="39">
        <v>396.56</v>
      </c>
      <c r="G205" s="39">
        <v>1040.0</v>
      </c>
      <c r="H205" s="37" t="s">
        <v>7046</v>
      </c>
      <c r="I205" s="30">
        <v>46023.0</v>
      </c>
      <c r="J205" s="30">
        <v>46387.0</v>
      </c>
      <c r="K205" s="39">
        <v>0.0</v>
      </c>
      <c r="L205" s="39">
        <v>0.0</v>
      </c>
      <c r="M205" s="35" t="s">
        <v>7045</v>
      </c>
      <c r="N205" s="30">
        <v>46388.0</v>
      </c>
      <c r="O205" s="30">
        <v>46752.0</v>
      </c>
      <c r="P205" s="39">
        <v>0.0</v>
      </c>
      <c r="Q205" s="39">
        <v>0.0</v>
      </c>
      <c r="R205" s="35" t="s">
        <v>7045</v>
      </c>
      <c r="S205" s="30">
        <v>46753.0</v>
      </c>
      <c r="T205" s="30">
        <v>47118.0</v>
      </c>
      <c r="U205" s="39">
        <v>0.0</v>
      </c>
      <c r="V205" s="39">
        <v>0.0</v>
      </c>
      <c r="W205" s="35" t="s">
        <v>7045</v>
      </c>
      <c r="X205" s="30">
        <v>47119.0</v>
      </c>
      <c r="Y205" s="30">
        <v>47483.0</v>
      </c>
      <c r="Z205" s="39">
        <v>0.0</v>
      </c>
      <c r="AA205" s="39">
        <v>0.0</v>
      </c>
      <c r="AB205" s="35" t="s">
        <v>7045</v>
      </c>
      <c r="AC205" s="30">
        <v>47484.0</v>
      </c>
      <c r="AD205" s="30">
        <v>47848.0</v>
      </c>
      <c r="AE205" s="39">
        <v>0.0</v>
      </c>
      <c r="AF205" s="39">
        <v>0.0</v>
      </c>
      <c r="AG205" s="35" t="s">
        <v>7045</v>
      </c>
      <c r="AH205" s="30">
        <v>45292.0</v>
      </c>
      <c r="AI205" s="30">
        <v>45657.0</v>
      </c>
      <c r="AJ205" s="39">
        <v>1032.19</v>
      </c>
      <c r="AK205" s="39">
        <v>0.0</v>
      </c>
      <c r="AL205" s="38" t="s">
        <v>7047</v>
      </c>
      <c r="AM205" s="30">
        <v>44562.0</v>
      </c>
      <c r="AN205" s="30">
        <v>44926.0</v>
      </c>
      <c r="AO205" s="39">
        <v>959.9</v>
      </c>
      <c r="AP205" s="39">
        <v>1100.0</v>
      </c>
      <c r="AQ205" s="37" t="s">
        <v>7046</v>
      </c>
      <c r="AR205" s="30">
        <v>44927.0</v>
      </c>
      <c r="AS205" s="30">
        <v>45291.0</v>
      </c>
      <c r="AT205" s="39">
        <v>897.42</v>
      </c>
      <c r="AU205" s="39">
        <v>965.0</v>
      </c>
      <c r="AV205" s="37" t="s">
        <v>7046</v>
      </c>
    </row>
    <row r="206" ht="14.25" customHeight="1">
      <c r="A206" s="28" t="s">
        <v>2317</v>
      </c>
      <c r="B206" s="29" t="s">
        <v>2318</v>
      </c>
      <c r="C206" s="29" t="s">
        <v>7041</v>
      </c>
      <c r="D206" s="30">
        <v>45658.0</v>
      </c>
      <c r="E206" s="30">
        <v>46022.0</v>
      </c>
      <c r="F206" s="39">
        <v>263.57</v>
      </c>
      <c r="G206" s="39">
        <v>470.0</v>
      </c>
      <c r="H206" s="37" t="s">
        <v>7047</v>
      </c>
      <c r="I206" s="30">
        <v>46023.0</v>
      </c>
      <c r="J206" s="30">
        <v>46387.0</v>
      </c>
      <c r="K206" s="39">
        <v>0.0</v>
      </c>
      <c r="L206" s="39">
        <v>0.0</v>
      </c>
      <c r="M206" s="35" t="s">
        <v>7045</v>
      </c>
      <c r="N206" s="30">
        <v>46388.0</v>
      </c>
      <c r="O206" s="30">
        <v>46752.0</v>
      </c>
      <c r="P206" s="39">
        <v>0.0</v>
      </c>
      <c r="Q206" s="39">
        <v>0.0</v>
      </c>
      <c r="R206" s="35" t="s">
        <v>7045</v>
      </c>
      <c r="S206" s="30">
        <v>46753.0</v>
      </c>
      <c r="T206" s="30">
        <v>47118.0</v>
      </c>
      <c r="U206" s="39">
        <v>0.0</v>
      </c>
      <c r="V206" s="39">
        <v>0.0</v>
      </c>
      <c r="W206" s="35" t="s">
        <v>7045</v>
      </c>
      <c r="X206" s="30">
        <v>47119.0</v>
      </c>
      <c r="Y206" s="30">
        <v>47483.0</v>
      </c>
      <c r="Z206" s="39">
        <v>0.0</v>
      </c>
      <c r="AA206" s="39">
        <v>0.0</v>
      </c>
      <c r="AB206" s="35" t="s">
        <v>7045</v>
      </c>
      <c r="AC206" s="30">
        <v>47484.0</v>
      </c>
      <c r="AD206" s="30">
        <v>47848.0</v>
      </c>
      <c r="AE206" s="39">
        <v>0.0</v>
      </c>
      <c r="AF206" s="39">
        <v>0.0</v>
      </c>
      <c r="AG206" s="35" t="s">
        <v>7045</v>
      </c>
      <c r="AH206" s="30">
        <v>45292.0</v>
      </c>
      <c r="AI206" s="30">
        <v>45657.0</v>
      </c>
      <c r="AJ206" s="39">
        <v>462.28</v>
      </c>
      <c r="AK206" s="39">
        <v>545.0</v>
      </c>
      <c r="AL206" s="37" t="s">
        <v>7046</v>
      </c>
      <c r="AM206" s="30">
        <v>44562.0</v>
      </c>
      <c r="AN206" s="30">
        <v>44926.0</v>
      </c>
      <c r="AO206" s="39">
        <v>454.6</v>
      </c>
      <c r="AP206" s="39">
        <v>598.4</v>
      </c>
      <c r="AQ206" s="37" t="s">
        <v>7046</v>
      </c>
      <c r="AR206" s="30">
        <v>44927.0</v>
      </c>
      <c r="AS206" s="30">
        <v>45291.0</v>
      </c>
      <c r="AT206" s="39">
        <v>537.93</v>
      </c>
      <c r="AU206" s="39">
        <v>480.0</v>
      </c>
      <c r="AV206" s="38" t="s">
        <v>7047</v>
      </c>
    </row>
    <row r="207" ht="14.25" customHeight="1">
      <c r="A207" s="28" t="s">
        <v>5619</v>
      </c>
      <c r="B207" s="29" t="s">
        <v>5620</v>
      </c>
      <c r="C207" s="29" t="s">
        <v>7041</v>
      </c>
      <c r="D207" s="30">
        <v>45658.0</v>
      </c>
      <c r="E207" s="30">
        <v>46022.0</v>
      </c>
      <c r="F207" s="39">
        <v>299.34</v>
      </c>
      <c r="G207" s="39">
        <v>850.0</v>
      </c>
      <c r="H207" s="37" t="s">
        <v>7046</v>
      </c>
      <c r="I207" s="30">
        <v>46023.0</v>
      </c>
      <c r="J207" s="30">
        <v>46387.0</v>
      </c>
      <c r="K207" s="39">
        <v>0.0</v>
      </c>
      <c r="L207" s="39">
        <v>0.0</v>
      </c>
      <c r="M207" s="35" t="s">
        <v>7045</v>
      </c>
      <c r="N207" s="30">
        <v>46388.0</v>
      </c>
      <c r="O207" s="30">
        <v>46752.0</v>
      </c>
      <c r="P207" s="39">
        <v>0.0</v>
      </c>
      <c r="Q207" s="39">
        <v>0.0</v>
      </c>
      <c r="R207" s="35" t="s">
        <v>7045</v>
      </c>
      <c r="S207" s="30">
        <v>46753.0</v>
      </c>
      <c r="T207" s="30">
        <v>47118.0</v>
      </c>
      <c r="U207" s="39">
        <v>0.0</v>
      </c>
      <c r="V207" s="39">
        <v>0.0</v>
      </c>
      <c r="W207" s="35" t="s">
        <v>7045</v>
      </c>
      <c r="X207" s="30">
        <v>47119.0</v>
      </c>
      <c r="Y207" s="30">
        <v>47483.0</v>
      </c>
      <c r="Z207" s="39">
        <v>0.0</v>
      </c>
      <c r="AA207" s="39">
        <v>0.0</v>
      </c>
      <c r="AB207" s="35" t="s">
        <v>7045</v>
      </c>
      <c r="AC207" s="30">
        <v>47484.0</v>
      </c>
      <c r="AD207" s="30">
        <v>47848.0</v>
      </c>
      <c r="AE207" s="39">
        <v>0.0</v>
      </c>
      <c r="AF207" s="39">
        <v>0.0</v>
      </c>
      <c r="AG207" s="35" t="s">
        <v>7045</v>
      </c>
      <c r="AH207" s="30">
        <v>45292.0</v>
      </c>
      <c r="AI207" s="30">
        <v>45657.0</v>
      </c>
      <c r="AJ207" s="39">
        <v>842.05</v>
      </c>
      <c r="AK207" s="39">
        <v>845.0</v>
      </c>
      <c r="AL207" s="37" t="s">
        <v>7046</v>
      </c>
      <c r="AM207" s="30">
        <v>44562.0</v>
      </c>
      <c r="AN207" s="30">
        <v>44926.0</v>
      </c>
      <c r="AO207" s="39">
        <v>678.1</v>
      </c>
      <c r="AP207" s="39">
        <v>590.0</v>
      </c>
      <c r="AQ207" s="38" t="s">
        <v>7047</v>
      </c>
      <c r="AR207" s="30">
        <v>44927.0</v>
      </c>
      <c r="AS207" s="30">
        <v>45291.0</v>
      </c>
      <c r="AT207" s="39">
        <v>842.68</v>
      </c>
      <c r="AU207" s="39">
        <v>742.0</v>
      </c>
      <c r="AV207" s="38" t="s">
        <v>7047</v>
      </c>
    </row>
    <row r="208" ht="14.25" customHeight="1">
      <c r="A208" s="28" t="s">
        <v>3904</v>
      </c>
      <c r="B208" s="29" t="s">
        <v>3905</v>
      </c>
      <c r="C208" s="29" t="s">
        <v>7041</v>
      </c>
      <c r="D208" s="30">
        <v>45658.0</v>
      </c>
      <c r="E208" s="30">
        <v>46022.0</v>
      </c>
      <c r="F208" s="39">
        <v>549.59</v>
      </c>
      <c r="G208" s="39">
        <v>1200.0</v>
      </c>
      <c r="H208" s="37" t="s">
        <v>7046</v>
      </c>
      <c r="I208" s="30">
        <v>46023.0</v>
      </c>
      <c r="J208" s="30">
        <v>46387.0</v>
      </c>
      <c r="K208" s="39">
        <v>0.0</v>
      </c>
      <c r="L208" s="39">
        <v>0.0</v>
      </c>
      <c r="M208" s="35" t="s">
        <v>7045</v>
      </c>
      <c r="N208" s="30">
        <v>46388.0</v>
      </c>
      <c r="O208" s="30">
        <v>46752.0</v>
      </c>
      <c r="P208" s="39">
        <v>0.0</v>
      </c>
      <c r="Q208" s="39">
        <v>0.0</v>
      </c>
      <c r="R208" s="35" t="s">
        <v>7045</v>
      </c>
      <c r="S208" s="30">
        <v>46753.0</v>
      </c>
      <c r="T208" s="30">
        <v>47118.0</v>
      </c>
      <c r="U208" s="39">
        <v>0.0</v>
      </c>
      <c r="V208" s="39">
        <v>0.0</v>
      </c>
      <c r="W208" s="35" t="s">
        <v>7045</v>
      </c>
      <c r="X208" s="30">
        <v>47119.0</v>
      </c>
      <c r="Y208" s="30">
        <v>47483.0</v>
      </c>
      <c r="Z208" s="39">
        <v>0.0</v>
      </c>
      <c r="AA208" s="39">
        <v>0.0</v>
      </c>
      <c r="AB208" s="35" t="s">
        <v>7045</v>
      </c>
      <c r="AC208" s="30">
        <v>47484.0</v>
      </c>
      <c r="AD208" s="30">
        <v>47848.0</v>
      </c>
      <c r="AE208" s="39">
        <v>0.0</v>
      </c>
      <c r="AF208" s="39">
        <v>0.0</v>
      </c>
      <c r="AG208" s="35" t="s">
        <v>7045</v>
      </c>
      <c r="AH208" s="30">
        <v>45292.0</v>
      </c>
      <c r="AI208" s="30">
        <v>45657.0</v>
      </c>
      <c r="AJ208" s="39">
        <v>1140.69</v>
      </c>
      <c r="AK208" s="39">
        <v>1232.0</v>
      </c>
      <c r="AL208" s="37" t="s">
        <v>7046</v>
      </c>
      <c r="AM208" s="30">
        <v>44562.0</v>
      </c>
      <c r="AN208" s="30">
        <v>44926.0</v>
      </c>
      <c r="AO208" s="39">
        <v>966.8</v>
      </c>
      <c r="AP208" s="39">
        <v>1582.0</v>
      </c>
      <c r="AQ208" s="37" t="s">
        <v>7046</v>
      </c>
      <c r="AR208" s="30">
        <v>44927.0</v>
      </c>
      <c r="AS208" s="30">
        <v>45291.0</v>
      </c>
      <c r="AT208" s="39">
        <v>1316.39</v>
      </c>
      <c r="AU208" s="39">
        <v>1225.0</v>
      </c>
      <c r="AV208" s="38" t="s">
        <v>7047</v>
      </c>
    </row>
    <row r="209" ht="14.25" customHeight="1">
      <c r="A209" s="28" t="s">
        <v>6620</v>
      </c>
      <c r="B209" s="29" t="s">
        <v>6621</v>
      </c>
      <c r="C209" s="29" t="s">
        <v>7041</v>
      </c>
      <c r="D209" s="30">
        <v>45658.0</v>
      </c>
      <c r="E209" s="30">
        <v>46022.0</v>
      </c>
      <c r="F209" s="39">
        <v>169.04</v>
      </c>
      <c r="G209" s="39">
        <v>300.0</v>
      </c>
      <c r="H209" s="37" t="s">
        <v>7047</v>
      </c>
      <c r="I209" s="30">
        <v>46023.0</v>
      </c>
      <c r="J209" s="30">
        <v>46387.0</v>
      </c>
      <c r="K209" s="39">
        <v>0.0</v>
      </c>
      <c r="L209" s="39">
        <v>0.0</v>
      </c>
      <c r="M209" s="35" t="s">
        <v>7045</v>
      </c>
      <c r="N209" s="30">
        <v>46388.0</v>
      </c>
      <c r="O209" s="30">
        <v>46752.0</v>
      </c>
      <c r="P209" s="39">
        <v>0.0</v>
      </c>
      <c r="Q209" s="39">
        <v>0.0</v>
      </c>
      <c r="R209" s="35" t="s">
        <v>7045</v>
      </c>
      <c r="S209" s="30">
        <v>46753.0</v>
      </c>
      <c r="T209" s="30">
        <v>47118.0</v>
      </c>
      <c r="U209" s="39">
        <v>0.0</v>
      </c>
      <c r="V209" s="39">
        <v>0.0</v>
      </c>
      <c r="W209" s="35" t="s">
        <v>7045</v>
      </c>
      <c r="X209" s="30">
        <v>47119.0</v>
      </c>
      <c r="Y209" s="30">
        <v>47483.0</v>
      </c>
      <c r="Z209" s="39">
        <v>0.0</v>
      </c>
      <c r="AA209" s="39">
        <v>0.0</v>
      </c>
      <c r="AB209" s="35" t="s">
        <v>7045</v>
      </c>
      <c r="AC209" s="30">
        <v>47484.0</v>
      </c>
      <c r="AD209" s="30">
        <v>47848.0</v>
      </c>
      <c r="AE209" s="39">
        <v>0.0</v>
      </c>
      <c r="AF209" s="39">
        <v>0.0</v>
      </c>
      <c r="AG209" s="35" t="s">
        <v>7045</v>
      </c>
      <c r="AH209" s="30">
        <v>45292.0</v>
      </c>
      <c r="AI209" s="30">
        <v>45657.0</v>
      </c>
      <c r="AJ209" s="39">
        <v>300.5</v>
      </c>
      <c r="AK209" s="39">
        <v>360.0</v>
      </c>
      <c r="AL209" s="37" t="s">
        <v>7046</v>
      </c>
      <c r="AM209" s="30">
        <v>44562.0</v>
      </c>
      <c r="AN209" s="30">
        <v>44926.0</v>
      </c>
      <c r="AO209" s="39">
        <v>338.1</v>
      </c>
      <c r="AP209" s="39">
        <v>509.0</v>
      </c>
      <c r="AQ209" s="37" t="s">
        <v>7046</v>
      </c>
      <c r="AR209" s="30">
        <v>44927.0</v>
      </c>
      <c r="AS209" s="30">
        <v>45291.0</v>
      </c>
      <c r="AT209" s="39">
        <v>443.22</v>
      </c>
      <c r="AU209" s="39">
        <v>358.0</v>
      </c>
      <c r="AV209" s="38" t="s">
        <v>7047</v>
      </c>
    </row>
    <row r="210" ht="14.25" customHeight="1">
      <c r="A210" s="28" t="s">
        <v>6479</v>
      </c>
      <c r="B210" s="29" t="s">
        <v>6480</v>
      </c>
      <c r="C210" s="29" t="s">
        <v>7041</v>
      </c>
      <c r="D210" s="30">
        <v>45658.0</v>
      </c>
      <c r="E210" s="30">
        <v>46022.0</v>
      </c>
      <c r="F210" s="39">
        <v>587.19</v>
      </c>
      <c r="G210" s="39">
        <v>1600.0</v>
      </c>
      <c r="H210" s="37" t="s">
        <v>7046</v>
      </c>
      <c r="I210" s="30">
        <v>46023.0</v>
      </c>
      <c r="J210" s="30">
        <v>46387.0</v>
      </c>
      <c r="K210" s="39">
        <v>0.0</v>
      </c>
      <c r="L210" s="39">
        <v>0.0</v>
      </c>
      <c r="M210" s="35" t="s">
        <v>7045</v>
      </c>
      <c r="N210" s="30">
        <v>46388.0</v>
      </c>
      <c r="O210" s="30">
        <v>46752.0</v>
      </c>
      <c r="P210" s="39">
        <v>0.0</v>
      </c>
      <c r="Q210" s="39">
        <v>0.0</v>
      </c>
      <c r="R210" s="35" t="s">
        <v>7045</v>
      </c>
      <c r="S210" s="30">
        <v>46753.0</v>
      </c>
      <c r="T210" s="30">
        <v>47118.0</v>
      </c>
      <c r="U210" s="39">
        <v>0.0</v>
      </c>
      <c r="V210" s="39">
        <v>0.0</v>
      </c>
      <c r="W210" s="35" t="s">
        <v>7045</v>
      </c>
      <c r="X210" s="30">
        <v>47119.0</v>
      </c>
      <c r="Y210" s="30">
        <v>47483.0</v>
      </c>
      <c r="Z210" s="39">
        <v>0.0</v>
      </c>
      <c r="AA210" s="39">
        <v>0.0</v>
      </c>
      <c r="AB210" s="35" t="s">
        <v>7045</v>
      </c>
      <c r="AC210" s="30">
        <v>47484.0</v>
      </c>
      <c r="AD210" s="30">
        <v>47848.0</v>
      </c>
      <c r="AE210" s="39">
        <v>0.0</v>
      </c>
      <c r="AF210" s="39">
        <v>0.0</v>
      </c>
      <c r="AG210" s="35" t="s">
        <v>7045</v>
      </c>
      <c r="AH210" s="30">
        <v>45292.0</v>
      </c>
      <c r="AI210" s="30">
        <v>45657.0</v>
      </c>
      <c r="AJ210" s="39">
        <v>797.16</v>
      </c>
      <c r="AK210" s="39">
        <v>651.0</v>
      </c>
      <c r="AL210" s="38" t="s">
        <v>7047</v>
      </c>
      <c r="AM210" s="30">
        <v>44562.0</v>
      </c>
      <c r="AN210" s="30">
        <v>44926.0</v>
      </c>
      <c r="AO210" s="39">
        <v>367.2</v>
      </c>
      <c r="AP210" s="39">
        <v>722.0</v>
      </c>
      <c r="AQ210" s="37" t="s">
        <v>7046</v>
      </c>
      <c r="AR210" s="30">
        <v>44927.0</v>
      </c>
      <c r="AS210" s="30">
        <v>45291.0</v>
      </c>
      <c r="AT210" s="39">
        <v>614.65</v>
      </c>
      <c r="AU210" s="39">
        <v>558.0</v>
      </c>
      <c r="AV210" s="38" t="s">
        <v>7047</v>
      </c>
    </row>
    <row r="211" ht="14.25" customHeight="1">
      <c r="A211" s="28" t="s">
        <v>3264</v>
      </c>
      <c r="B211" s="29" t="s">
        <v>3265</v>
      </c>
      <c r="C211" s="29" t="s">
        <v>7041</v>
      </c>
      <c r="D211" s="30">
        <v>45658.0</v>
      </c>
      <c r="E211" s="30">
        <v>46022.0</v>
      </c>
      <c r="F211" s="39">
        <v>76.01</v>
      </c>
      <c r="G211" s="39">
        <v>290.0</v>
      </c>
      <c r="H211" s="37" t="s">
        <v>7043</v>
      </c>
      <c r="I211" s="30">
        <v>46023.0</v>
      </c>
      <c r="J211" s="30">
        <v>46387.0</v>
      </c>
      <c r="K211" s="39">
        <v>0.0</v>
      </c>
      <c r="L211" s="39">
        <v>0.0</v>
      </c>
      <c r="M211" s="35" t="s">
        <v>7045</v>
      </c>
      <c r="N211" s="30">
        <v>46388.0</v>
      </c>
      <c r="O211" s="30">
        <v>46752.0</v>
      </c>
      <c r="P211" s="39">
        <v>0.0</v>
      </c>
      <c r="Q211" s="39">
        <v>0.0</v>
      </c>
      <c r="R211" s="35" t="s">
        <v>7045</v>
      </c>
      <c r="S211" s="30">
        <v>46753.0</v>
      </c>
      <c r="T211" s="30">
        <v>47118.0</v>
      </c>
      <c r="U211" s="39">
        <v>0.0</v>
      </c>
      <c r="V211" s="39">
        <v>0.0</v>
      </c>
      <c r="W211" s="35" t="s">
        <v>7045</v>
      </c>
      <c r="X211" s="30">
        <v>47119.0</v>
      </c>
      <c r="Y211" s="30">
        <v>47483.0</v>
      </c>
      <c r="Z211" s="39">
        <v>0.0</v>
      </c>
      <c r="AA211" s="39">
        <v>0.0</v>
      </c>
      <c r="AB211" s="35" t="s">
        <v>7045</v>
      </c>
      <c r="AC211" s="30">
        <v>47484.0</v>
      </c>
      <c r="AD211" s="30">
        <v>47848.0</v>
      </c>
      <c r="AE211" s="39">
        <v>0.0</v>
      </c>
      <c r="AF211" s="39">
        <v>0.0</v>
      </c>
      <c r="AG211" s="35" t="s">
        <v>7045</v>
      </c>
      <c r="AH211" s="30">
        <v>45292.0</v>
      </c>
      <c r="AI211" s="30">
        <v>45657.0</v>
      </c>
      <c r="AJ211" s="39">
        <v>285.88</v>
      </c>
      <c r="AK211" s="39">
        <v>310.0</v>
      </c>
      <c r="AL211" s="37" t="s">
        <v>7046</v>
      </c>
      <c r="AM211" s="30">
        <v>44562.0</v>
      </c>
      <c r="AN211" s="30">
        <v>44926.0</v>
      </c>
      <c r="AO211" s="39">
        <v>198.6</v>
      </c>
      <c r="AP211" s="39">
        <v>226.0</v>
      </c>
      <c r="AQ211" s="37" t="s">
        <v>7046</v>
      </c>
      <c r="AR211" s="30">
        <v>44927.0</v>
      </c>
      <c r="AS211" s="30">
        <v>45291.0</v>
      </c>
      <c r="AT211" s="39">
        <v>283.29</v>
      </c>
      <c r="AU211" s="39">
        <v>220.1</v>
      </c>
      <c r="AV211" s="38" t="s">
        <v>7047</v>
      </c>
    </row>
    <row r="212" ht="14.25" customHeight="1">
      <c r="A212" s="28" t="s">
        <v>3907</v>
      </c>
      <c r="B212" s="29" t="s">
        <v>3908</v>
      </c>
      <c r="C212" s="29" t="s">
        <v>7041</v>
      </c>
      <c r="D212" s="30">
        <v>45658.0</v>
      </c>
      <c r="E212" s="30">
        <v>46022.0</v>
      </c>
      <c r="F212" s="39">
        <v>84.28</v>
      </c>
      <c r="G212" s="39">
        <v>392.0</v>
      </c>
      <c r="H212" s="32" t="s">
        <v>7043</v>
      </c>
      <c r="I212" s="30">
        <v>46023.0</v>
      </c>
      <c r="J212" s="30">
        <v>46387.0</v>
      </c>
      <c r="K212" s="39">
        <v>0.0</v>
      </c>
      <c r="L212" s="39">
        <v>0.0</v>
      </c>
      <c r="M212" s="35" t="s">
        <v>7045</v>
      </c>
      <c r="N212" s="30">
        <v>46388.0</v>
      </c>
      <c r="O212" s="30">
        <v>46752.0</v>
      </c>
      <c r="P212" s="39">
        <v>0.0</v>
      </c>
      <c r="Q212" s="39">
        <v>0.0</v>
      </c>
      <c r="R212" s="35" t="s">
        <v>7045</v>
      </c>
      <c r="S212" s="30">
        <v>46753.0</v>
      </c>
      <c r="T212" s="30">
        <v>47118.0</v>
      </c>
      <c r="U212" s="39">
        <v>0.0</v>
      </c>
      <c r="V212" s="39">
        <v>0.0</v>
      </c>
      <c r="W212" s="35" t="s">
        <v>7045</v>
      </c>
      <c r="X212" s="30">
        <v>47119.0</v>
      </c>
      <c r="Y212" s="30">
        <v>47483.0</v>
      </c>
      <c r="Z212" s="39">
        <v>0.0</v>
      </c>
      <c r="AA212" s="39">
        <v>0.0</v>
      </c>
      <c r="AB212" s="35" t="s">
        <v>7045</v>
      </c>
      <c r="AC212" s="30">
        <v>47484.0</v>
      </c>
      <c r="AD212" s="30">
        <v>47848.0</v>
      </c>
      <c r="AE212" s="39">
        <v>0.0</v>
      </c>
      <c r="AF212" s="39">
        <v>0.0</v>
      </c>
      <c r="AG212" s="35" t="s">
        <v>7045</v>
      </c>
      <c r="AH212" s="30">
        <v>45292.0</v>
      </c>
      <c r="AI212" s="30">
        <v>45657.0</v>
      </c>
      <c r="AJ212" s="39">
        <v>473.15</v>
      </c>
      <c r="AK212" s="39">
        <v>391.9</v>
      </c>
      <c r="AL212" s="38" t="s">
        <v>7047</v>
      </c>
      <c r="AM212" s="30">
        <v>44562.0</v>
      </c>
      <c r="AN212" s="30">
        <v>44926.0</v>
      </c>
      <c r="AO212" s="39">
        <v>244.7</v>
      </c>
      <c r="AP212" s="39">
        <v>0.0</v>
      </c>
      <c r="AQ212" s="38" t="s">
        <v>7047</v>
      </c>
      <c r="AR212" s="30">
        <v>44927.0</v>
      </c>
      <c r="AS212" s="30">
        <v>45291.0</v>
      </c>
      <c r="AT212" s="39">
        <v>383.19</v>
      </c>
      <c r="AU212" s="39">
        <v>355.0</v>
      </c>
      <c r="AV212" s="38" t="s">
        <v>7047</v>
      </c>
    </row>
    <row r="213" ht="14.25" customHeight="1">
      <c r="A213" s="28" t="s">
        <v>504</v>
      </c>
      <c r="B213" s="29" t="s">
        <v>505</v>
      </c>
      <c r="C213" s="29" t="s">
        <v>7041</v>
      </c>
      <c r="D213" s="30">
        <v>45658.0</v>
      </c>
      <c r="E213" s="30">
        <v>46022.0</v>
      </c>
      <c r="F213" s="36">
        <v>672.85</v>
      </c>
      <c r="G213" s="36">
        <v>1799.98</v>
      </c>
      <c r="H213" s="32" t="s">
        <v>7046</v>
      </c>
      <c r="I213" s="30">
        <v>46023.0</v>
      </c>
      <c r="J213" s="30">
        <v>46387.0</v>
      </c>
      <c r="K213" s="36">
        <v>0.0</v>
      </c>
      <c r="L213" s="36">
        <v>0.0</v>
      </c>
      <c r="M213" s="35" t="s">
        <v>7045</v>
      </c>
      <c r="N213" s="30">
        <v>46388.0</v>
      </c>
      <c r="O213" s="30">
        <v>46752.0</v>
      </c>
      <c r="P213" s="36">
        <v>0.0</v>
      </c>
      <c r="Q213" s="36">
        <v>0.0</v>
      </c>
      <c r="R213" s="35" t="s">
        <v>7045</v>
      </c>
      <c r="S213" s="30">
        <v>46753.0</v>
      </c>
      <c r="T213" s="30">
        <v>47118.0</v>
      </c>
      <c r="U213" s="36">
        <v>0.0</v>
      </c>
      <c r="V213" s="36">
        <v>0.0</v>
      </c>
      <c r="W213" s="35" t="s">
        <v>7045</v>
      </c>
      <c r="X213" s="30">
        <v>47119.0</v>
      </c>
      <c r="Y213" s="30">
        <v>47483.0</v>
      </c>
      <c r="Z213" s="36">
        <v>0.0</v>
      </c>
      <c r="AA213" s="36">
        <v>0.0</v>
      </c>
      <c r="AB213" s="35" t="s">
        <v>7045</v>
      </c>
      <c r="AC213" s="30">
        <v>47484.0</v>
      </c>
      <c r="AD213" s="30">
        <v>47848.0</v>
      </c>
      <c r="AE213" s="36">
        <v>0.0</v>
      </c>
      <c r="AF213" s="36">
        <v>0.0</v>
      </c>
      <c r="AG213" s="35" t="s">
        <v>7045</v>
      </c>
      <c r="AH213" s="30">
        <v>45292.0</v>
      </c>
      <c r="AI213" s="30">
        <v>45657.0</v>
      </c>
      <c r="AJ213" s="36">
        <v>1621.75</v>
      </c>
      <c r="AK213" s="36">
        <v>1799.98</v>
      </c>
      <c r="AL213" s="37" t="s">
        <v>7046</v>
      </c>
      <c r="AM213" s="30">
        <v>44562.0</v>
      </c>
      <c r="AN213" s="30">
        <v>44926.0</v>
      </c>
      <c r="AO213" s="36">
        <v>1298.29</v>
      </c>
      <c r="AP213" s="36">
        <v>0.0</v>
      </c>
      <c r="AQ213" s="38" t="s">
        <v>7047</v>
      </c>
      <c r="AR213" s="30">
        <v>44927.0</v>
      </c>
      <c r="AS213" s="30">
        <v>45291.0</v>
      </c>
      <c r="AT213" s="36">
        <v>1756.12</v>
      </c>
      <c r="AU213" s="36">
        <v>1399.99</v>
      </c>
      <c r="AV213" s="38" t="s">
        <v>7047</v>
      </c>
    </row>
    <row r="214" ht="14.25" customHeight="1">
      <c r="A214" s="28" t="s">
        <v>507</v>
      </c>
      <c r="B214" s="29" t="s">
        <v>508</v>
      </c>
      <c r="C214" s="29" t="s">
        <v>7041</v>
      </c>
      <c r="D214" s="30">
        <v>45658.0</v>
      </c>
      <c r="E214" s="30">
        <v>46022.0</v>
      </c>
      <c r="F214" s="39">
        <v>642.2</v>
      </c>
      <c r="G214" s="39">
        <v>1610.4</v>
      </c>
      <c r="H214" s="37" t="s">
        <v>7046</v>
      </c>
      <c r="I214" s="30">
        <v>46023.0</v>
      </c>
      <c r="J214" s="30">
        <v>46387.0</v>
      </c>
      <c r="K214" s="39">
        <v>0.0</v>
      </c>
      <c r="L214" s="39">
        <v>0.0</v>
      </c>
      <c r="M214" s="35" t="s">
        <v>7045</v>
      </c>
      <c r="N214" s="30">
        <v>46388.0</v>
      </c>
      <c r="O214" s="30">
        <v>46752.0</v>
      </c>
      <c r="P214" s="39">
        <v>0.0</v>
      </c>
      <c r="Q214" s="39">
        <v>0.0</v>
      </c>
      <c r="R214" s="35" t="s">
        <v>7045</v>
      </c>
      <c r="S214" s="30">
        <v>46753.0</v>
      </c>
      <c r="T214" s="30">
        <v>47118.0</v>
      </c>
      <c r="U214" s="39">
        <v>0.0</v>
      </c>
      <c r="V214" s="39">
        <v>0.0</v>
      </c>
      <c r="W214" s="35" t="s">
        <v>7045</v>
      </c>
      <c r="X214" s="30">
        <v>47119.0</v>
      </c>
      <c r="Y214" s="30">
        <v>47483.0</v>
      </c>
      <c r="Z214" s="39">
        <v>0.0</v>
      </c>
      <c r="AA214" s="39">
        <v>0.0</v>
      </c>
      <c r="AB214" s="35" t="s">
        <v>7045</v>
      </c>
      <c r="AC214" s="30">
        <v>47484.0</v>
      </c>
      <c r="AD214" s="30">
        <v>47848.0</v>
      </c>
      <c r="AE214" s="39">
        <v>0.0</v>
      </c>
      <c r="AF214" s="39">
        <v>0.0</v>
      </c>
      <c r="AG214" s="35" t="s">
        <v>7045</v>
      </c>
      <c r="AH214" s="30">
        <v>45292.0</v>
      </c>
      <c r="AI214" s="30">
        <v>45657.0</v>
      </c>
      <c r="AJ214" s="39">
        <v>1314.8</v>
      </c>
      <c r="AK214" s="39">
        <v>1100.0</v>
      </c>
      <c r="AL214" s="38" t="s">
        <v>7047</v>
      </c>
      <c r="AM214" s="30">
        <v>44562.0</v>
      </c>
      <c r="AN214" s="30">
        <v>44926.0</v>
      </c>
      <c r="AO214" s="39">
        <v>995.6</v>
      </c>
      <c r="AP214" s="39">
        <v>1000.0</v>
      </c>
      <c r="AQ214" s="37" t="s">
        <v>7046</v>
      </c>
      <c r="AR214" s="30">
        <v>44927.0</v>
      </c>
      <c r="AS214" s="30">
        <v>45291.0</v>
      </c>
      <c r="AT214" s="39">
        <v>885.85</v>
      </c>
      <c r="AU214" s="39">
        <v>1100.0</v>
      </c>
      <c r="AV214" s="37" t="s">
        <v>7046</v>
      </c>
    </row>
    <row r="215" ht="14.25" customHeight="1">
      <c r="A215" s="28" t="s">
        <v>718</v>
      </c>
      <c r="B215" s="29" t="s">
        <v>719</v>
      </c>
      <c r="C215" s="29" t="s">
        <v>7041</v>
      </c>
      <c r="D215" s="30">
        <v>45658.0</v>
      </c>
      <c r="E215" s="30">
        <v>46022.0</v>
      </c>
      <c r="F215" s="39">
        <v>1218.14</v>
      </c>
      <c r="G215" s="39">
        <v>2071.0</v>
      </c>
      <c r="H215" s="38" t="s">
        <v>7047</v>
      </c>
      <c r="I215" s="30">
        <v>46023.0</v>
      </c>
      <c r="J215" s="30">
        <v>46387.0</v>
      </c>
      <c r="K215" s="39">
        <v>0.0</v>
      </c>
      <c r="L215" s="39">
        <v>0.0</v>
      </c>
      <c r="M215" s="35" t="s">
        <v>7045</v>
      </c>
      <c r="N215" s="30">
        <v>46388.0</v>
      </c>
      <c r="O215" s="30">
        <v>46752.0</v>
      </c>
      <c r="P215" s="39">
        <v>0.0</v>
      </c>
      <c r="Q215" s="39">
        <v>0.0</v>
      </c>
      <c r="R215" s="35" t="s">
        <v>7045</v>
      </c>
      <c r="S215" s="30">
        <v>46753.0</v>
      </c>
      <c r="T215" s="30">
        <v>47118.0</v>
      </c>
      <c r="U215" s="39">
        <v>0.0</v>
      </c>
      <c r="V215" s="39">
        <v>0.0</v>
      </c>
      <c r="W215" s="35" t="s">
        <v>7045</v>
      </c>
      <c r="X215" s="30">
        <v>47119.0</v>
      </c>
      <c r="Y215" s="30">
        <v>47483.0</v>
      </c>
      <c r="Z215" s="39">
        <v>0.0</v>
      </c>
      <c r="AA215" s="39">
        <v>0.0</v>
      </c>
      <c r="AB215" s="35" t="s">
        <v>7045</v>
      </c>
      <c r="AC215" s="30">
        <v>47484.0</v>
      </c>
      <c r="AD215" s="30">
        <v>47848.0</v>
      </c>
      <c r="AE215" s="39">
        <v>0.0</v>
      </c>
      <c r="AF215" s="39">
        <v>0.0</v>
      </c>
      <c r="AG215" s="35" t="s">
        <v>7045</v>
      </c>
      <c r="AH215" s="30">
        <v>45292.0</v>
      </c>
      <c r="AI215" s="30">
        <v>45657.0</v>
      </c>
      <c r="AJ215" s="39">
        <v>1618.6</v>
      </c>
      <c r="AK215" s="39">
        <v>2515.0</v>
      </c>
      <c r="AL215" s="37" t="s">
        <v>7046</v>
      </c>
      <c r="AM215" s="30">
        <v>44562.0</v>
      </c>
      <c r="AN215" s="30">
        <v>44926.0</v>
      </c>
      <c r="AO215" s="39">
        <v>2036.2</v>
      </c>
      <c r="AP215" s="39">
        <v>0.0</v>
      </c>
      <c r="AQ215" s="38" t="s">
        <v>7047</v>
      </c>
      <c r="AR215" s="30">
        <v>44927.0</v>
      </c>
      <c r="AS215" s="30">
        <v>45291.0</v>
      </c>
      <c r="AT215" s="39">
        <v>2507.75</v>
      </c>
      <c r="AU215" s="39">
        <v>2313.0</v>
      </c>
      <c r="AV215" s="38" t="s">
        <v>7047</v>
      </c>
    </row>
    <row r="216" ht="14.25" customHeight="1">
      <c r="A216" s="28" t="s">
        <v>759</v>
      </c>
      <c r="B216" s="29" t="s">
        <v>760</v>
      </c>
      <c r="C216" s="29" t="s">
        <v>7041</v>
      </c>
      <c r="D216" s="30">
        <v>45658.0</v>
      </c>
      <c r="E216" s="30">
        <v>46022.0</v>
      </c>
      <c r="F216" s="36">
        <v>769.72</v>
      </c>
      <c r="G216" s="36">
        <v>0.0</v>
      </c>
      <c r="H216" s="38" t="s">
        <v>7047</v>
      </c>
      <c r="I216" s="30">
        <v>46023.0</v>
      </c>
      <c r="J216" s="30">
        <v>46387.0</v>
      </c>
      <c r="K216" s="36">
        <v>0.0</v>
      </c>
      <c r="L216" s="36">
        <v>0.0</v>
      </c>
      <c r="M216" s="35" t="s">
        <v>7045</v>
      </c>
      <c r="N216" s="30">
        <v>46388.0</v>
      </c>
      <c r="O216" s="30">
        <v>46752.0</v>
      </c>
      <c r="P216" s="36">
        <v>0.0</v>
      </c>
      <c r="Q216" s="36">
        <v>0.0</v>
      </c>
      <c r="R216" s="35" t="s">
        <v>7045</v>
      </c>
      <c r="S216" s="30">
        <v>46753.0</v>
      </c>
      <c r="T216" s="30">
        <v>47118.0</v>
      </c>
      <c r="U216" s="36">
        <v>0.0</v>
      </c>
      <c r="V216" s="36">
        <v>0.0</v>
      </c>
      <c r="W216" s="35" t="s">
        <v>7045</v>
      </c>
      <c r="X216" s="30">
        <v>47119.0</v>
      </c>
      <c r="Y216" s="30">
        <v>47483.0</v>
      </c>
      <c r="Z216" s="36">
        <v>0.0</v>
      </c>
      <c r="AA216" s="36">
        <v>0.0</v>
      </c>
      <c r="AB216" s="35" t="s">
        <v>7045</v>
      </c>
      <c r="AC216" s="30">
        <v>47484.0</v>
      </c>
      <c r="AD216" s="30">
        <v>47848.0</v>
      </c>
      <c r="AE216" s="36">
        <v>0.0</v>
      </c>
      <c r="AF216" s="36">
        <v>0.0</v>
      </c>
      <c r="AG216" s="35" t="s">
        <v>7045</v>
      </c>
      <c r="AH216" s="30">
        <v>45292.0</v>
      </c>
      <c r="AI216" s="30">
        <v>45657.0</v>
      </c>
      <c r="AJ216" s="36">
        <v>1343.81</v>
      </c>
      <c r="AK216" s="36">
        <v>0.0</v>
      </c>
      <c r="AL216" s="38" t="s">
        <v>7047</v>
      </c>
      <c r="AM216" s="30">
        <v>44562.0</v>
      </c>
      <c r="AN216" s="30">
        <v>44926.0</v>
      </c>
      <c r="AO216" s="36">
        <v>1500.19</v>
      </c>
      <c r="AP216" s="36">
        <v>1699.99</v>
      </c>
      <c r="AQ216" s="37" t="s">
        <v>7046</v>
      </c>
      <c r="AR216" s="30">
        <v>44927.0</v>
      </c>
      <c r="AS216" s="30">
        <v>45291.0</v>
      </c>
      <c r="AT216" s="36">
        <v>1038.93</v>
      </c>
      <c r="AU216" s="36">
        <v>2799.98</v>
      </c>
      <c r="AV216" s="32" t="s">
        <v>7043</v>
      </c>
    </row>
    <row r="217" ht="14.25" customHeight="1">
      <c r="A217" s="28" t="s">
        <v>1271</v>
      </c>
      <c r="B217" s="29" t="s">
        <v>1272</v>
      </c>
      <c r="C217" s="29" t="s">
        <v>7041</v>
      </c>
      <c r="D217" s="30">
        <v>45658.0</v>
      </c>
      <c r="E217" s="30">
        <v>46022.0</v>
      </c>
      <c r="F217" s="39">
        <v>497.73</v>
      </c>
      <c r="G217" s="39">
        <v>1300.0</v>
      </c>
      <c r="H217" s="37" t="s">
        <v>7046</v>
      </c>
      <c r="I217" s="30">
        <v>46023.0</v>
      </c>
      <c r="J217" s="30">
        <v>46387.0</v>
      </c>
      <c r="K217" s="39">
        <v>0.0</v>
      </c>
      <c r="L217" s="39">
        <v>0.0</v>
      </c>
      <c r="M217" s="35" t="s">
        <v>7045</v>
      </c>
      <c r="N217" s="30">
        <v>46388.0</v>
      </c>
      <c r="O217" s="30">
        <v>46752.0</v>
      </c>
      <c r="P217" s="39">
        <v>0.0</v>
      </c>
      <c r="Q217" s="39">
        <v>0.0</v>
      </c>
      <c r="R217" s="35" t="s">
        <v>7045</v>
      </c>
      <c r="S217" s="30">
        <v>46753.0</v>
      </c>
      <c r="T217" s="30">
        <v>47118.0</v>
      </c>
      <c r="U217" s="39">
        <v>0.0</v>
      </c>
      <c r="V217" s="39">
        <v>0.0</v>
      </c>
      <c r="W217" s="35" t="s">
        <v>7045</v>
      </c>
      <c r="X217" s="30">
        <v>47119.0</v>
      </c>
      <c r="Y217" s="30">
        <v>47483.0</v>
      </c>
      <c r="Z217" s="39">
        <v>0.0</v>
      </c>
      <c r="AA217" s="39">
        <v>0.0</v>
      </c>
      <c r="AB217" s="35" t="s">
        <v>7045</v>
      </c>
      <c r="AC217" s="30">
        <v>47484.0</v>
      </c>
      <c r="AD217" s="30">
        <v>47848.0</v>
      </c>
      <c r="AE217" s="39">
        <v>0.0</v>
      </c>
      <c r="AF217" s="39">
        <v>0.0</v>
      </c>
      <c r="AG217" s="35" t="s">
        <v>7045</v>
      </c>
      <c r="AH217" s="30">
        <v>45292.0</v>
      </c>
      <c r="AI217" s="30">
        <v>45657.0</v>
      </c>
      <c r="AJ217" s="39">
        <v>1123.86</v>
      </c>
      <c r="AK217" s="39">
        <v>984.0</v>
      </c>
      <c r="AL217" s="38" t="s">
        <v>7047</v>
      </c>
      <c r="AM217" s="30">
        <v>44562.0</v>
      </c>
      <c r="AN217" s="30">
        <v>44926.0</v>
      </c>
      <c r="AO217" s="39">
        <v>1043.6</v>
      </c>
      <c r="AP217" s="39">
        <v>1455.2</v>
      </c>
      <c r="AQ217" s="37" t="s">
        <v>7046</v>
      </c>
      <c r="AR217" s="30">
        <v>44927.0</v>
      </c>
      <c r="AS217" s="30">
        <v>45291.0</v>
      </c>
      <c r="AT217" s="39">
        <v>894.81</v>
      </c>
      <c r="AU217" s="39">
        <v>1220.0</v>
      </c>
      <c r="AV217" s="37" t="s">
        <v>7046</v>
      </c>
    </row>
    <row r="218" ht="14.25" customHeight="1">
      <c r="A218" s="28" t="s">
        <v>1328</v>
      </c>
      <c r="B218" s="29" t="s">
        <v>1329</v>
      </c>
      <c r="C218" s="29" t="s">
        <v>7041</v>
      </c>
      <c r="D218" s="30">
        <v>45658.0</v>
      </c>
      <c r="E218" s="30">
        <v>46022.0</v>
      </c>
      <c r="F218" s="36">
        <v>1212.77</v>
      </c>
      <c r="G218" s="36">
        <v>2419.98</v>
      </c>
      <c r="H218" s="37" t="s">
        <v>7046</v>
      </c>
      <c r="I218" s="30">
        <v>46023.0</v>
      </c>
      <c r="J218" s="30">
        <v>46387.0</v>
      </c>
      <c r="K218" s="36">
        <v>0.0</v>
      </c>
      <c r="L218" s="36">
        <v>0.0</v>
      </c>
      <c r="M218" s="35" t="s">
        <v>7045</v>
      </c>
      <c r="N218" s="30">
        <v>46388.0</v>
      </c>
      <c r="O218" s="30">
        <v>46752.0</v>
      </c>
      <c r="P218" s="36">
        <v>0.0</v>
      </c>
      <c r="Q218" s="36">
        <v>0.0</v>
      </c>
      <c r="R218" s="35" t="s">
        <v>7045</v>
      </c>
      <c r="S218" s="30">
        <v>46753.0</v>
      </c>
      <c r="T218" s="30">
        <v>47118.0</v>
      </c>
      <c r="U218" s="36">
        <v>0.0</v>
      </c>
      <c r="V218" s="36">
        <v>0.0</v>
      </c>
      <c r="W218" s="35" t="s">
        <v>7045</v>
      </c>
      <c r="X218" s="30">
        <v>47119.0</v>
      </c>
      <c r="Y218" s="30">
        <v>47483.0</v>
      </c>
      <c r="Z218" s="36">
        <v>0.0</v>
      </c>
      <c r="AA218" s="36">
        <v>0.0</v>
      </c>
      <c r="AB218" s="35" t="s">
        <v>7045</v>
      </c>
      <c r="AC218" s="30">
        <v>47484.0</v>
      </c>
      <c r="AD218" s="30">
        <v>47848.0</v>
      </c>
      <c r="AE218" s="36">
        <v>0.0</v>
      </c>
      <c r="AF218" s="36">
        <v>0.0</v>
      </c>
      <c r="AG218" s="35" t="s">
        <v>7045</v>
      </c>
      <c r="AH218" s="30">
        <v>45292.0</v>
      </c>
      <c r="AI218" s="30">
        <v>45657.0</v>
      </c>
      <c r="AJ218" s="36">
        <v>1970.02</v>
      </c>
      <c r="AK218" s="36">
        <v>2159.98</v>
      </c>
      <c r="AL218" s="37" t="s">
        <v>7046</v>
      </c>
      <c r="AM218" s="30">
        <v>44562.0</v>
      </c>
      <c r="AN218" s="30">
        <v>44926.0</v>
      </c>
      <c r="AO218" s="36">
        <v>583.69</v>
      </c>
      <c r="AP218" s="36">
        <v>0.0</v>
      </c>
      <c r="AQ218" s="38" t="s">
        <v>7047</v>
      </c>
      <c r="AR218" s="30">
        <v>44927.0</v>
      </c>
      <c r="AS218" s="30">
        <v>45291.0</v>
      </c>
      <c r="AT218" s="36">
        <v>1886.28</v>
      </c>
      <c r="AU218" s="36">
        <v>1464.99</v>
      </c>
      <c r="AV218" s="38" t="s">
        <v>7047</v>
      </c>
    </row>
    <row r="219" ht="14.25" customHeight="1">
      <c r="A219" s="28" t="s">
        <v>1437</v>
      </c>
      <c r="B219" s="29" t="s">
        <v>1438</v>
      </c>
      <c r="C219" s="29" t="s">
        <v>7041</v>
      </c>
      <c r="D219" s="30">
        <v>45658.0</v>
      </c>
      <c r="E219" s="30">
        <v>46022.0</v>
      </c>
      <c r="F219" s="39">
        <v>607.31</v>
      </c>
      <c r="G219" s="39">
        <v>1700.0</v>
      </c>
      <c r="H219" s="37" t="s">
        <v>7046</v>
      </c>
      <c r="I219" s="30">
        <v>46023.0</v>
      </c>
      <c r="J219" s="30">
        <v>46387.0</v>
      </c>
      <c r="K219" s="39">
        <v>0.0</v>
      </c>
      <c r="L219" s="39">
        <v>0.0</v>
      </c>
      <c r="M219" s="35" t="s">
        <v>7045</v>
      </c>
      <c r="N219" s="30">
        <v>46388.0</v>
      </c>
      <c r="O219" s="30">
        <v>46752.0</v>
      </c>
      <c r="P219" s="39">
        <v>0.0</v>
      </c>
      <c r="Q219" s="39">
        <v>0.0</v>
      </c>
      <c r="R219" s="35" t="s">
        <v>7045</v>
      </c>
      <c r="S219" s="30">
        <v>46753.0</v>
      </c>
      <c r="T219" s="30">
        <v>47118.0</v>
      </c>
      <c r="U219" s="39">
        <v>0.0</v>
      </c>
      <c r="V219" s="39">
        <v>0.0</v>
      </c>
      <c r="W219" s="35" t="s">
        <v>7045</v>
      </c>
      <c r="X219" s="30">
        <v>47119.0</v>
      </c>
      <c r="Y219" s="30">
        <v>47483.0</v>
      </c>
      <c r="Z219" s="39">
        <v>0.0</v>
      </c>
      <c r="AA219" s="39">
        <v>0.0</v>
      </c>
      <c r="AB219" s="35" t="s">
        <v>7045</v>
      </c>
      <c r="AC219" s="30">
        <v>47484.0</v>
      </c>
      <c r="AD219" s="30">
        <v>47848.0</v>
      </c>
      <c r="AE219" s="39">
        <v>0.0</v>
      </c>
      <c r="AF219" s="39">
        <v>0.0</v>
      </c>
      <c r="AG219" s="35" t="s">
        <v>7045</v>
      </c>
      <c r="AH219" s="30">
        <v>45292.0</v>
      </c>
      <c r="AI219" s="30">
        <v>45657.0</v>
      </c>
      <c r="AJ219" s="39">
        <v>1324.2</v>
      </c>
      <c r="AK219" s="39">
        <v>2040.0</v>
      </c>
      <c r="AL219" s="37" t="s">
        <v>7046</v>
      </c>
      <c r="AM219" s="30">
        <v>44562.0</v>
      </c>
      <c r="AN219" s="30">
        <v>44926.0</v>
      </c>
      <c r="AO219" s="39">
        <v>1483.5</v>
      </c>
      <c r="AP219" s="39">
        <v>1808.0</v>
      </c>
      <c r="AQ219" s="37" t="s">
        <v>7046</v>
      </c>
      <c r="AR219" s="30">
        <v>44927.0</v>
      </c>
      <c r="AS219" s="30">
        <v>45291.0</v>
      </c>
      <c r="AT219" s="39">
        <v>1890.81</v>
      </c>
      <c r="AU219" s="39">
        <v>1760.0</v>
      </c>
      <c r="AV219" s="38" t="s">
        <v>7047</v>
      </c>
    </row>
    <row r="220" ht="14.25" customHeight="1">
      <c r="A220" s="28" t="s">
        <v>1451</v>
      </c>
      <c r="B220" s="29" t="s">
        <v>1452</v>
      </c>
      <c r="C220" s="29" t="s">
        <v>7041</v>
      </c>
      <c r="D220" s="30">
        <v>45658.0</v>
      </c>
      <c r="E220" s="30">
        <v>46022.0</v>
      </c>
      <c r="F220" s="36">
        <v>385.56</v>
      </c>
      <c r="G220" s="36">
        <v>1649.99</v>
      </c>
      <c r="H220" s="37" t="s">
        <v>7043</v>
      </c>
      <c r="I220" s="30">
        <v>46023.0</v>
      </c>
      <c r="J220" s="30">
        <v>46387.0</v>
      </c>
      <c r="K220" s="36">
        <v>0.0</v>
      </c>
      <c r="L220" s="36">
        <v>0.0</v>
      </c>
      <c r="M220" s="35" t="s">
        <v>7045</v>
      </c>
      <c r="N220" s="30">
        <v>46388.0</v>
      </c>
      <c r="O220" s="30">
        <v>46752.0</v>
      </c>
      <c r="P220" s="36">
        <v>0.0</v>
      </c>
      <c r="Q220" s="36">
        <v>0.0</v>
      </c>
      <c r="R220" s="35" t="s">
        <v>7045</v>
      </c>
      <c r="S220" s="30">
        <v>46753.0</v>
      </c>
      <c r="T220" s="30">
        <v>47118.0</v>
      </c>
      <c r="U220" s="36">
        <v>0.0</v>
      </c>
      <c r="V220" s="36">
        <v>0.0</v>
      </c>
      <c r="W220" s="35" t="s">
        <v>7045</v>
      </c>
      <c r="X220" s="30">
        <v>47119.0</v>
      </c>
      <c r="Y220" s="30">
        <v>47483.0</v>
      </c>
      <c r="Z220" s="36">
        <v>0.0</v>
      </c>
      <c r="AA220" s="36">
        <v>0.0</v>
      </c>
      <c r="AB220" s="35" t="s">
        <v>7045</v>
      </c>
      <c r="AC220" s="30">
        <v>47484.0</v>
      </c>
      <c r="AD220" s="30">
        <v>47848.0</v>
      </c>
      <c r="AE220" s="36">
        <v>0.0</v>
      </c>
      <c r="AF220" s="36">
        <v>0.0</v>
      </c>
      <c r="AG220" s="35" t="s">
        <v>7045</v>
      </c>
      <c r="AH220" s="30">
        <v>45292.0</v>
      </c>
      <c r="AI220" s="30">
        <v>45657.0</v>
      </c>
      <c r="AJ220" s="36">
        <v>1415.53</v>
      </c>
      <c r="AK220" s="36">
        <v>2714.98</v>
      </c>
      <c r="AL220" s="37" t="s">
        <v>7046</v>
      </c>
      <c r="AM220" s="30">
        <v>44562.0</v>
      </c>
      <c r="AN220" s="30">
        <v>44926.0</v>
      </c>
      <c r="AO220" s="36">
        <v>4923.56</v>
      </c>
      <c r="AP220" s="36">
        <v>3874.97</v>
      </c>
      <c r="AQ220" s="38" t="s">
        <v>7047</v>
      </c>
      <c r="AR220" s="30">
        <v>44927.0</v>
      </c>
      <c r="AS220" s="30">
        <v>45291.0</v>
      </c>
      <c r="AT220" s="36">
        <v>3174.25</v>
      </c>
      <c r="AU220" s="36">
        <v>4099.96</v>
      </c>
      <c r="AV220" s="37" t="s">
        <v>7046</v>
      </c>
    </row>
    <row r="221" ht="14.25" customHeight="1">
      <c r="A221" s="28" t="s">
        <v>2262</v>
      </c>
      <c r="B221" s="29" t="s">
        <v>2263</v>
      </c>
      <c r="C221" s="29" t="s">
        <v>7041</v>
      </c>
      <c r="D221" s="30">
        <v>45658.0</v>
      </c>
      <c r="E221" s="30">
        <v>46022.0</v>
      </c>
      <c r="F221" s="36">
        <v>499.04</v>
      </c>
      <c r="G221" s="36">
        <v>0.0</v>
      </c>
      <c r="H221" s="38" t="s">
        <v>7047</v>
      </c>
      <c r="I221" s="30">
        <v>46023.0</v>
      </c>
      <c r="J221" s="30">
        <v>46387.0</v>
      </c>
      <c r="K221" s="36">
        <v>0.0</v>
      </c>
      <c r="L221" s="36">
        <v>0.0</v>
      </c>
      <c r="M221" s="35" t="s">
        <v>7045</v>
      </c>
      <c r="N221" s="30">
        <v>46388.0</v>
      </c>
      <c r="O221" s="30">
        <v>46752.0</v>
      </c>
      <c r="P221" s="36">
        <v>0.0</v>
      </c>
      <c r="Q221" s="36">
        <v>0.0</v>
      </c>
      <c r="R221" s="35" t="s">
        <v>7045</v>
      </c>
      <c r="S221" s="30">
        <v>46753.0</v>
      </c>
      <c r="T221" s="30">
        <v>47118.0</v>
      </c>
      <c r="U221" s="36">
        <v>0.0</v>
      </c>
      <c r="V221" s="36">
        <v>0.0</v>
      </c>
      <c r="W221" s="35" t="s">
        <v>7045</v>
      </c>
      <c r="X221" s="30">
        <v>47119.0</v>
      </c>
      <c r="Y221" s="30">
        <v>47483.0</v>
      </c>
      <c r="Z221" s="36">
        <v>0.0</v>
      </c>
      <c r="AA221" s="36">
        <v>0.0</v>
      </c>
      <c r="AB221" s="35" t="s">
        <v>7045</v>
      </c>
      <c r="AC221" s="30">
        <v>47484.0</v>
      </c>
      <c r="AD221" s="30">
        <v>47848.0</v>
      </c>
      <c r="AE221" s="36">
        <v>0.0</v>
      </c>
      <c r="AF221" s="36">
        <v>0.0</v>
      </c>
      <c r="AG221" s="35" t="s">
        <v>7045</v>
      </c>
      <c r="AH221" s="30">
        <v>45292.0</v>
      </c>
      <c r="AI221" s="30">
        <v>45657.0</v>
      </c>
      <c r="AJ221" s="36">
        <v>1163.12</v>
      </c>
      <c r="AK221" s="36">
        <v>0.0</v>
      </c>
      <c r="AL221" s="38" t="s">
        <v>7047</v>
      </c>
      <c r="AM221" s="30">
        <v>44562.0</v>
      </c>
      <c r="AN221" s="30">
        <v>44926.0</v>
      </c>
      <c r="AO221" s="36">
        <v>1149.19</v>
      </c>
      <c r="AP221" s="36">
        <v>919.99</v>
      </c>
      <c r="AQ221" s="38" t="s">
        <v>7047</v>
      </c>
      <c r="AR221" s="30">
        <v>44927.0</v>
      </c>
      <c r="AS221" s="30">
        <v>45291.0</v>
      </c>
      <c r="AT221" s="36">
        <v>987.45</v>
      </c>
      <c r="AU221" s="36">
        <v>1284.99</v>
      </c>
      <c r="AV221" s="37" t="s">
        <v>7046</v>
      </c>
    </row>
    <row r="222" ht="14.25" customHeight="1">
      <c r="A222" s="28" t="s">
        <v>2341</v>
      </c>
      <c r="B222" s="29" t="s">
        <v>2342</v>
      </c>
      <c r="C222" s="29" t="s">
        <v>7041</v>
      </c>
      <c r="D222" s="30">
        <v>45658.0</v>
      </c>
      <c r="E222" s="30">
        <v>46022.0</v>
      </c>
      <c r="F222" s="39">
        <v>618.59</v>
      </c>
      <c r="G222" s="39">
        <v>1253.0</v>
      </c>
      <c r="H222" s="37" t="s">
        <v>7046</v>
      </c>
      <c r="I222" s="30">
        <v>46023.0</v>
      </c>
      <c r="J222" s="30">
        <v>46387.0</v>
      </c>
      <c r="K222" s="39">
        <v>0.0</v>
      </c>
      <c r="L222" s="39">
        <v>0.0</v>
      </c>
      <c r="M222" s="35" t="s">
        <v>7045</v>
      </c>
      <c r="N222" s="30">
        <v>46388.0</v>
      </c>
      <c r="O222" s="30">
        <v>46752.0</v>
      </c>
      <c r="P222" s="39">
        <v>0.0</v>
      </c>
      <c r="Q222" s="39">
        <v>0.0</v>
      </c>
      <c r="R222" s="35" t="s">
        <v>7045</v>
      </c>
      <c r="S222" s="30">
        <v>46753.0</v>
      </c>
      <c r="T222" s="30">
        <v>47118.0</v>
      </c>
      <c r="U222" s="39">
        <v>0.0</v>
      </c>
      <c r="V222" s="39">
        <v>0.0</v>
      </c>
      <c r="W222" s="35" t="s">
        <v>7045</v>
      </c>
      <c r="X222" s="30">
        <v>47119.0</v>
      </c>
      <c r="Y222" s="30">
        <v>47483.0</v>
      </c>
      <c r="Z222" s="39">
        <v>0.0</v>
      </c>
      <c r="AA222" s="39">
        <v>0.0</v>
      </c>
      <c r="AB222" s="35" t="s">
        <v>7045</v>
      </c>
      <c r="AC222" s="30">
        <v>47484.0</v>
      </c>
      <c r="AD222" s="30">
        <v>47848.0</v>
      </c>
      <c r="AE222" s="39">
        <v>0.0</v>
      </c>
      <c r="AF222" s="39">
        <v>0.0</v>
      </c>
      <c r="AG222" s="35" t="s">
        <v>7045</v>
      </c>
      <c r="AH222" s="30">
        <v>45292.0</v>
      </c>
      <c r="AI222" s="30">
        <v>45657.0</v>
      </c>
      <c r="AJ222" s="39">
        <v>1089.74</v>
      </c>
      <c r="AK222" s="39">
        <v>1048.0</v>
      </c>
      <c r="AL222" s="38" t="s">
        <v>7047</v>
      </c>
      <c r="AM222" s="30">
        <v>44562.0</v>
      </c>
      <c r="AN222" s="30">
        <v>44926.0</v>
      </c>
      <c r="AO222" s="39">
        <v>2353.4</v>
      </c>
      <c r="AP222" s="39">
        <v>1569.3</v>
      </c>
      <c r="AQ222" s="38" t="s">
        <v>7047</v>
      </c>
      <c r="AR222" s="30">
        <v>44927.0</v>
      </c>
      <c r="AS222" s="30">
        <v>45291.0</v>
      </c>
      <c r="AT222" s="39">
        <v>952.64</v>
      </c>
      <c r="AU222" s="39">
        <v>2591.0</v>
      </c>
      <c r="AV222" s="32" t="s">
        <v>7043</v>
      </c>
    </row>
    <row r="223" ht="14.25" customHeight="1">
      <c r="A223" s="28" t="s">
        <v>6790</v>
      </c>
      <c r="B223" s="29" t="s">
        <v>6791</v>
      </c>
      <c r="C223" s="29" t="s">
        <v>7041</v>
      </c>
      <c r="D223" s="30">
        <v>45658.0</v>
      </c>
      <c r="E223" s="30">
        <v>46022.0</v>
      </c>
      <c r="F223" s="39">
        <v>586.49</v>
      </c>
      <c r="G223" s="39">
        <v>1660.0</v>
      </c>
      <c r="H223" s="37" t="s">
        <v>7046</v>
      </c>
      <c r="I223" s="30">
        <v>46023.0</v>
      </c>
      <c r="J223" s="30">
        <v>46387.0</v>
      </c>
      <c r="K223" s="39">
        <v>0.0</v>
      </c>
      <c r="L223" s="39">
        <v>0.0</v>
      </c>
      <c r="M223" s="35" t="s">
        <v>7045</v>
      </c>
      <c r="N223" s="30">
        <v>46388.0</v>
      </c>
      <c r="O223" s="30">
        <v>46752.0</v>
      </c>
      <c r="P223" s="39">
        <v>0.0</v>
      </c>
      <c r="Q223" s="39">
        <v>0.0</v>
      </c>
      <c r="R223" s="35" t="s">
        <v>7045</v>
      </c>
      <c r="S223" s="30">
        <v>46753.0</v>
      </c>
      <c r="T223" s="30">
        <v>47118.0</v>
      </c>
      <c r="U223" s="39">
        <v>0.0</v>
      </c>
      <c r="V223" s="39">
        <v>0.0</v>
      </c>
      <c r="W223" s="35" t="s">
        <v>7045</v>
      </c>
      <c r="X223" s="30">
        <v>47119.0</v>
      </c>
      <c r="Y223" s="30">
        <v>47483.0</v>
      </c>
      <c r="Z223" s="39">
        <v>0.0</v>
      </c>
      <c r="AA223" s="39">
        <v>0.0</v>
      </c>
      <c r="AB223" s="35" t="s">
        <v>7045</v>
      </c>
      <c r="AC223" s="30">
        <v>47484.0</v>
      </c>
      <c r="AD223" s="30">
        <v>47848.0</v>
      </c>
      <c r="AE223" s="39">
        <v>0.0</v>
      </c>
      <c r="AF223" s="39">
        <v>0.0</v>
      </c>
      <c r="AG223" s="35" t="s">
        <v>7045</v>
      </c>
      <c r="AH223" s="30">
        <v>45292.0</v>
      </c>
      <c r="AI223" s="30">
        <v>45657.0</v>
      </c>
      <c r="AJ223" s="39">
        <v>1723.66</v>
      </c>
      <c r="AK223" s="39">
        <v>2245.0</v>
      </c>
      <c r="AL223" s="37" t="s">
        <v>7046</v>
      </c>
      <c r="AM223" s="30">
        <v>44562.0</v>
      </c>
      <c r="AN223" s="30">
        <v>44926.0</v>
      </c>
      <c r="AO223" s="39">
        <v>3258.3</v>
      </c>
      <c r="AP223" s="39">
        <v>2600.0</v>
      </c>
      <c r="AQ223" s="38" t="s">
        <v>7047</v>
      </c>
      <c r="AR223" s="30">
        <v>44927.0</v>
      </c>
      <c r="AS223" s="30">
        <v>45291.0</v>
      </c>
      <c r="AT223" s="39">
        <v>2092.84</v>
      </c>
      <c r="AU223" s="39">
        <v>3102.0</v>
      </c>
      <c r="AV223" s="37" t="s">
        <v>7046</v>
      </c>
    </row>
    <row r="224" ht="14.25" customHeight="1">
      <c r="A224" s="28" t="s">
        <v>2623</v>
      </c>
      <c r="B224" s="29" t="s">
        <v>2624</v>
      </c>
      <c r="C224" s="29" t="s">
        <v>7041</v>
      </c>
      <c r="D224" s="30">
        <v>45658.0</v>
      </c>
      <c r="E224" s="30">
        <v>46022.0</v>
      </c>
      <c r="F224" s="39">
        <v>460.17</v>
      </c>
      <c r="G224" s="39">
        <v>1550.0</v>
      </c>
      <c r="H224" s="32" t="s">
        <v>7046</v>
      </c>
      <c r="I224" s="30">
        <v>46023.0</v>
      </c>
      <c r="J224" s="30">
        <v>46387.0</v>
      </c>
      <c r="K224" s="39">
        <v>0.0</v>
      </c>
      <c r="L224" s="39">
        <v>0.0</v>
      </c>
      <c r="M224" s="35" t="s">
        <v>7045</v>
      </c>
      <c r="N224" s="30">
        <v>46388.0</v>
      </c>
      <c r="O224" s="30">
        <v>46752.0</v>
      </c>
      <c r="P224" s="39">
        <v>0.0</v>
      </c>
      <c r="Q224" s="39">
        <v>0.0</v>
      </c>
      <c r="R224" s="35" t="s">
        <v>7045</v>
      </c>
      <c r="S224" s="30">
        <v>46753.0</v>
      </c>
      <c r="T224" s="30">
        <v>47118.0</v>
      </c>
      <c r="U224" s="39">
        <v>0.0</v>
      </c>
      <c r="V224" s="39">
        <v>0.0</v>
      </c>
      <c r="W224" s="35" t="s">
        <v>7045</v>
      </c>
      <c r="X224" s="30">
        <v>47119.0</v>
      </c>
      <c r="Y224" s="30">
        <v>47483.0</v>
      </c>
      <c r="Z224" s="39">
        <v>0.0</v>
      </c>
      <c r="AA224" s="39">
        <v>0.0</v>
      </c>
      <c r="AB224" s="35" t="s">
        <v>7045</v>
      </c>
      <c r="AC224" s="30">
        <v>47484.0</v>
      </c>
      <c r="AD224" s="30">
        <v>47848.0</v>
      </c>
      <c r="AE224" s="39">
        <v>0.0</v>
      </c>
      <c r="AF224" s="39">
        <v>0.0</v>
      </c>
      <c r="AG224" s="35" t="s">
        <v>7045</v>
      </c>
      <c r="AH224" s="30">
        <v>45292.0</v>
      </c>
      <c r="AI224" s="30">
        <v>45657.0</v>
      </c>
      <c r="AJ224" s="39">
        <v>1266.12</v>
      </c>
      <c r="AK224" s="39">
        <v>1325.0</v>
      </c>
      <c r="AL224" s="37" t="s">
        <v>7046</v>
      </c>
      <c r="AM224" s="30">
        <v>44562.0</v>
      </c>
      <c r="AN224" s="30">
        <v>44926.0</v>
      </c>
      <c r="AO224" s="39">
        <v>1323.2</v>
      </c>
      <c r="AP224" s="39">
        <v>1000.0</v>
      </c>
      <c r="AQ224" s="38" t="s">
        <v>7047</v>
      </c>
      <c r="AR224" s="30">
        <v>44927.0</v>
      </c>
      <c r="AS224" s="30">
        <v>45291.0</v>
      </c>
      <c r="AT224" s="39">
        <v>1128.4</v>
      </c>
      <c r="AU224" s="39">
        <v>1335.0</v>
      </c>
      <c r="AV224" s="37" t="s">
        <v>7046</v>
      </c>
    </row>
    <row r="225" ht="14.25" customHeight="1">
      <c r="A225" s="28" t="s">
        <v>3762</v>
      </c>
      <c r="B225" s="29" t="s">
        <v>3763</v>
      </c>
      <c r="C225" s="29" t="s">
        <v>7041</v>
      </c>
      <c r="D225" s="30">
        <v>45658.0</v>
      </c>
      <c r="E225" s="30">
        <v>46022.0</v>
      </c>
      <c r="F225" s="39">
        <v>341.41</v>
      </c>
      <c r="G225" s="39">
        <v>1350.0</v>
      </c>
      <c r="H225" s="32" t="s">
        <v>7043</v>
      </c>
      <c r="I225" s="30">
        <v>46023.0</v>
      </c>
      <c r="J225" s="30">
        <v>46387.0</v>
      </c>
      <c r="K225" s="39">
        <v>0.0</v>
      </c>
      <c r="L225" s="39">
        <v>0.0</v>
      </c>
      <c r="M225" s="35" t="s">
        <v>7045</v>
      </c>
      <c r="N225" s="30">
        <v>46388.0</v>
      </c>
      <c r="O225" s="30">
        <v>46752.0</v>
      </c>
      <c r="P225" s="39">
        <v>0.0</v>
      </c>
      <c r="Q225" s="39">
        <v>0.0</v>
      </c>
      <c r="R225" s="35" t="s">
        <v>7045</v>
      </c>
      <c r="S225" s="30">
        <v>46753.0</v>
      </c>
      <c r="T225" s="30">
        <v>47118.0</v>
      </c>
      <c r="U225" s="39">
        <v>0.0</v>
      </c>
      <c r="V225" s="39">
        <v>0.0</v>
      </c>
      <c r="W225" s="35" t="s">
        <v>7045</v>
      </c>
      <c r="X225" s="30">
        <v>47119.0</v>
      </c>
      <c r="Y225" s="30">
        <v>47483.0</v>
      </c>
      <c r="Z225" s="39">
        <v>0.0</v>
      </c>
      <c r="AA225" s="39">
        <v>0.0</v>
      </c>
      <c r="AB225" s="35" t="s">
        <v>7045</v>
      </c>
      <c r="AC225" s="30">
        <v>47484.0</v>
      </c>
      <c r="AD225" s="30">
        <v>47848.0</v>
      </c>
      <c r="AE225" s="39">
        <v>0.0</v>
      </c>
      <c r="AF225" s="39">
        <v>0.0</v>
      </c>
      <c r="AG225" s="35" t="s">
        <v>7045</v>
      </c>
      <c r="AH225" s="30">
        <v>45292.0</v>
      </c>
      <c r="AI225" s="30">
        <v>45657.0</v>
      </c>
      <c r="AJ225" s="39">
        <v>1177.11</v>
      </c>
      <c r="AK225" s="39">
        <v>1100.0</v>
      </c>
      <c r="AL225" s="38" t="s">
        <v>7047</v>
      </c>
      <c r="AM225" s="30">
        <v>44562.0</v>
      </c>
      <c r="AN225" s="30">
        <v>44926.0</v>
      </c>
      <c r="AO225" s="39">
        <v>1222.2</v>
      </c>
      <c r="AP225" s="39">
        <v>1500.0</v>
      </c>
      <c r="AQ225" s="37" t="s">
        <v>7046</v>
      </c>
      <c r="AR225" s="30">
        <v>44927.0</v>
      </c>
      <c r="AS225" s="30">
        <v>45291.0</v>
      </c>
      <c r="AT225" s="39">
        <v>969.92</v>
      </c>
      <c r="AU225" s="39">
        <v>1471.9</v>
      </c>
      <c r="AV225" s="37" t="s">
        <v>7046</v>
      </c>
    </row>
    <row r="226" ht="14.25" customHeight="1">
      <c r="A226" s="28" t="s">
        <v>4041</v>
      </c>
      <c r="B226" s="29" t="s">
        <v>4042</v>
      </c>
      <c r="C226" s="29" t="s">
        <v>7041</v>
      </c>
      <c r="D226" s="30">
        <v>45658.0</v>
      </c>
      <c r="E226" s="30">
        <v>46022.0</v>
      </c>
      <c r="F226" s="39">
        <v>768.02</v>
      </c>
      <c r="G226" s="39">
        <v>1900.0</v>
      </c>
      <c r="H226" s="37" t="s">
        <v>7046</v>
      </c>
      <c r="I226" s="30">
        <v>46023.0</v>
      </c>
      <c r="J226" s="30">
        <v>46387.0</v>
      </c>
      <c r="K226" s="39">
        <v>0.0</v>
      </c>
      <c r="L226" s="39">
        <v>0.0</v>
      </c>
      <c r="M226" s="35" t="s">
        <v>7045</v>
      </c>
      <c r="N226" s="30">
        <v>46388.0</v>
      </c>
      <c r="O226" s="30">
        <v>46752.0</v>
      </c>
      <c r="P226" s="39">
        <v>0.0</v>
      </c>
      <c r="Q226" s="39">
        <v>0.0</v>
      </c>
      <c r="R226" s="35" t="s">
        <v>7045</v>
      </c>
      <c r="S226" s="30">
        <v>46753.0</v>
      </c>
      <c r="T226" s="30">
        <v>47118.0</v>
      </c>
      <c r="U226" s="39">
        <v>0.0</v>
      </c>
      <c r="V226" s="39">
        <v>0.0</v>
      </c>
      <c r="W226" s="35" t="s">
        <v>7045</v>
      </c>
      <c r="X226" s="30">
        <v>47119.0</v>
      </c>
      <c r="Y226" s="30">
        <v>47483.0</v>
      </c>
      <c r="Z226" s="39">
        <v>0.0</v>
      </c>
      <c r="AA226" s="39">
        <v>0.0</v>
      </c>
      <c r="AB226" s="35" t="s">
        <v>7045</v>
      </c>
      <c r="AC226" s="30">
        <v>47484.0</v>
      </c>
      <c r="AD226" s="30">
        <v>47848.0</v>
      </c>
      <c r="AE226" s="39">
        <v>0.0</v>
      </c>
      <c r="AF226" s="39">
        <v>0.0</v>
      </c>
      <c r="AG226" s="35" t="s">
        <v>7045</v>
      </c>
      <c r="AH226" s="30">
        <v>45292.0</v>
      </c>
      <c r="AI226" s="30">
        <v>45657.0</v>
      </c>
      <c r="AJ226" s="39">
        <v>1770.58</v>
      </c>
      <c r="AK226" s="39">
        <v>1700.0</v>
      </c>
      <c r="AL226" s="38" t="s">
        <v>7047</v>
      </c>
      <c r="AM226" s="30">
        <v>44562.0</v>
      </c>
      <c r="AN226" s="30">
        <v>44926.0</v>
      </c>
      <c r="AO226" s="39">
        <v>1789.3</v>
      </c>
      <c r="AP226" s="39">
        <v>0.0</v>
      </c>
      <c r="AQ226" s="38" t="s">
        <v>7047</v>
      </c>
      <c r="AR226" s="30">
        <v>44927.0</v>
      </c>
      <c r="AS226" s="30">
        <v>45291.0</v>
      </c>
      <c r="AT226" s="39">
        <v>613.06</v>
      </c>
      <c r="AU226" s="39">
        <v>1975.0</v>
      </c>
      <c r="AV226" s="32" t="s">
        <v>7043</v>
      </c>
    </row>
    <row r="227" ht="14.25" customHeight="1">
      <c r="A227" s="28" t="s">
        <v>4397</v>
      </c>
      <c r="B227" s="29" t="s">
        <v>4398</v>
      </c>
      <c r="C227" s="29" t="s">
        <v>7041</v>
      </c>
      <c r="D227" s="30">
        <v>45658.0</v>
      </c>
      <c r="E227" s="30">
        <v>46022.0</v>
      </c>
      <c r="F227" s="39">
        <v>695.05</v>
      </c>
      <c r="G227" s="39">
        <v>1451.0</v>
      </c>
      <c r="H227" s="37" t="s">
        <v>7046</v>
      </c>
      <c r="I227" s="30">
        <v>46023.0</v>
      </c>
      <c r="J227" s="30">
        <v>46387.0</v>
      </c>
      <c r="K227" s="39">
        <v>0.0</v>
      </c>
      <c r="L227" s="39">
        <v>0.0</v>
      </c>
      <c r="M227" s="35" t="s">
        <v>7045</v>
      </c>
      <c r="N227" s="30">
        <v>46388.0</v>
      </c>
      <c r="O227" s="30">
        <v>46752.0</v>
      </c>
      <c r="P227" s="39">
        <v>0.0</v>
      </c>
      <c r="Q227" s="39">
        <v>0.0</v>
      </c>
      <c r="R227" s="35" t="s">
        <v>7045</v>
      </c>
      <c r="S227" s="30">
        <v>46753.0</v>
      </c>
      <c r="T227" s="30">
        <v>47118.0</v>
      </c>
      <c r="U227" s="39">
        <v>0.0</v>
      </c>
      <c r="V227" s="39">
        <v>0.0</v>
      </c>
      <c r="W227" s="35" t="s">
        <v>7045</v>
      </c>
      <c r="X227" s="30">
        <v>47119.0</v>
      </c>
      <c r="Y227" s="30">
        <v>47483.0</v>
      </c>
      <c r="Z227" s="39">
        <v>0.0</v>
      </c>
      <c r="AA227" s="39">
        <v>0.0</v>
      </c>
      <c r="AB227" s="35" t="s">
        <v>7045</v>
      </c>
      <c r="AC227" s="30">
        <v>47484.0</v>
      </c>
      <c r="AD227" s="30">
        <v>47848.0</v>
      </c>
      <c r="AE227" s="39">
        <v>0.0</v>
      </c>
      <c r="AF227" s="39">
        <v>0.0</v>
      </c>
      <c r="AG227" s="35" t="s">
        <v>7045</v>
      </c>
      <c r="AH227" s="30">
        <v>45292.0</v>
      </c>
      <c r="AI227" s="30">
        <v>45657.0</v>
      </c>
      <c r="AJ227" s="39">
        <v>1263.26</v>
      </c>
      <c r="AK227" s="39">
        <v>1167.0</v>
      </c>
      <c r="AL227" s="38" t="s">
        <v>7047</v>
      </c>
      <c r="AM227" s="30">
        <v>44562.0</v>
      </c>
      <c r="AN227" s="30">
        <v>44926.0</v>
      </c>
      <c r="AO227" s="39">
        <v>1313.3</v>
      </c>
      <c r="AP227" s="39">
        <v>1095.5</v>
      </c>
      <c r="AQ227" s="38" t="s">
        <v>7047</v>
      </c>
      <c r="AR227" s="30">
        <v>44927.0</v>
      </c>
      <c r="AS227" s="30">
        <v>45291.0</v>
      </c>
      <c r="AT227" s="39">
        <v>1060.3</v>
      </c>
      <c r="AU227" s="39">
        <v>1400.0</v>
      </c>
      <c r="AV227" s="37" t="s">
        <v>7046</v>
      </c>
    </row>
    <row r="228" ht="14.25" customHeight="1">
      <c r="A228" s="28" t="s">
        <v>4416</v>
      </c>
      <c r="B228" s="29" t="s">
        <v>4417</v>
      </c>
      <c r="C228" s="29" t="s">
        <v>7041</v>
      </c>
      <c r="D228" s="30">
        <v>45658.0</v>
      </c>
      <c r="E228" s="30">
        <v>46022.0</v>
      </c>
      <c r="F228" s="36">
        <v>1929.95</v>
      </c>
      <c r="G228" s="36">
        <v>8699.92</v>
      </c>
      <c r="H228" s="37" t="s">
        <v>7043</v>
      </c>
      <c r="I228" s="30">
        <v>46023.0</v>
      </c>
      <c r="J228" s="30">
        <v>46387.0</v>
      </c>
      <c r="K228" s="36">
        <v>0.0</v>
      </c>
      <c r="L228" s="36">
        <v>0.0</v>
      </c>
      <c r="M228" s="35" t="s">
        <v>7045</v>
      </c>
      <c r="N228" s="30">
        <v>46388.0</v>
      </c>
      <c r="O228" s="30">
        <v>46752.0</v>
      </c>
      <c r="P228" s="36">
        <v>0.0</v>
      </c>
      <c r="Q228" s="36">
        <v>0.0</v>
      </c>
      <c r="R228" s="35" t="s">
        <v>7045</v>
      </c>
      <c r="S228" s="30">
        <v>46753.0</v>
      </c>
      <c r="T228" s="30">
        <v>47118.0</v>
      </c>
      <c r="U228" s="36">
        <v>0.0</v>
      </c>
      <c r="V228" s="36">
        <v>0.0</v>
      </c>
      <c r="W228" s="35" t="s">
        <v>7045</v>
      </c>
      <c r="X228" s="30">
        <v>47119.0</v>
      </c>
      <c r="Y228" s="30">
        <v>47483.0</v>
      </c>
      <c r="Z228" s="36">
        <v>0.0</v>
      </c>
      <c r="AA228" s="36">
        <v>0.0</v>
      </c>
      <c r="AB228" s="35" t="s">
        <v>7045</v>
      </c>
      <c r="AC228" s="30">
        <v>47484.0</v>
      </c>
      <c r="AD228" s="30">
        <v>47848.0</v>
      </c>
      <c r="AE228" s="36">
        <v>0.0</v>
      </c>
      <c r="AF228" s="36">
        <v>0.0</v>
      </c>
      <c r="AG228" s="35" t="s">
        <v>7045</v>
      </c>
      <c r="AH228" s="30">
        <v>45292.0</v>
      </c>
      <c r="AI228" s="30">
        <v>45657.0</v>
      </c>
      <c r="AJ228" s="36">
        <v>8363.17</v>
      </c>
      <c r="AK228" s="36">
        <v>8569.93</v>
      </c>
      <c r="AL228" s="37" t="s">
        <v>7046</v>
      </c>
      <c r="AM228" s="30">
        <v>44562.0</v>
      </c>
      <c r="AN228" s="30">
        <v>44926.0</v>
      </c>
      <c r="AO228" s="36">
        <v>8547.43</v>
      </c>
      <c r="AP228" s="36">
        <v>6999.94</v>
      </c>
      <c r="AQ228" s="38" t="s">
        <v>7047</v>
      </c>
      <c r="AR228" s="30">
        <v>44927.0</v>
      </c>
      <c r="AS228" s="30">
        <v>45291.0</v>
      </c>
      <c r="AT228" s="36">
        <v>8339.13</v>
      </c>
      <c r="AU228" s="36">
        <v>9999.91</v>
      </c>
      <c r="AV228" s="37" t="s">
        <v>7046</v>
      </c>
    </row>
    <row r="229" ht="14.25" customHeight="1">
      <c r="A229" s="28" t="s">
        <v>5004</v>
      </c>
      <c r="B229" s="29" t="s">
        <v>5005</v>
      </c>
      <c r="C229" s="29" t="s">
        <v>7041</v>
      </c>
      <c r="D229" s="30">
        <v>45658.0</v>
      </c>
      <c r="E229" s="30">
        <v>46022.0</v>
      </c>
      <c r="F229" s="39">
        <v>255.88</v>
      </c>
      <c r="G229" s="39">
        <v>1300.0</v>
      </c>
      <c r="H229" s="32" t="s">
        <v>7043</v>
      </c>
      <c r="I229" s="30">
        <v>46023.0</v>
      </c>
      <c r="J229" s="30">
        <v>46387.0</v>
      </c>
      <c r="K229" s="39">
        <v>0.0</v>
      </c>
      <c r="L229" s="39">
        <v>0.0</v>
      </c>
      <c r="M229" s="35" t="s">
        <v>7045</v>
      </c>
      <c r="N229" s="30">
        <v>46388.0</v>
      </c>
      <c r="O229" s="30">
        <v>46752.0</v>
      </c>
      <c r="P229" s="39">
        <v>0.0</v>
      </c>
      <c r="Q229" s="39">
        <v>0.0</v>
      </c>
      <c r="R229" s="35" t="s">
        <v>7045</v>
      </c>
      <c r="S229" s="30">
        <v>46753.0</v>
      </c>
      <c r="T229" s="30">
        <v>47118.0</v>
      </c>
      <c r="U229" s="39">
        <v>0.0</v>
      </c>
      <c r="V229" s="39">
        <v>0.0</v>
      </c>
      <c r="W229" s="35" t="s">
        <v>7045</v>
      </c>
      <c r="X229" s="30">
        <v>47119.0</v>
      </c>
      <c r="Y229" s="30">
        <v>47483.0</v>
      </c>
      <c r="Z229" s="39">
        <v>0.0</v>
      </c>
      <c r="AA229" s="39">
        <v>0.0</v>
      </c>
      <c r="AB229" s="35" t="s">
        <v>7045</v>
      </c>
      <c r="AC229" s="30">
        <v>47484.0</v>
      </c>
      <c r="AD229" s="30">
        <v>47848.0</v>
      </c>
      <c r="AE229" s="39">
        <v>0.0</v>
      </c>
      <c r="AF229" s="39">
        <v>0.0</v>
      </c>
      <c r="AG229" s="35" t="s">
        <v>7045</v>
      </c>
      <c r="AH229" s="30">
        <v>45292.0</v>
      </c>
      <c r="AI229" s="30">
        <v>45657.0</v>
      </c>
      <c r="AJ229" s="39">
        <v>1092.89</v>
      </c>
      <c r="AK229" s="39">
        <v>1030.0</v>
      </c>
      <c r="AL229" s="38" t="s">
        <v>7047</v>
      </c>
      <c r="AM229" s="30">
        <v>44562.0</v>
      </c>
      <c r="AN229" s="30">
        <v>44926.0</v>
      </c>
      <c r="AO229" s="39">
        <v>790.3</v>
      </c>
      <c r="AP229" s="39">
        <v>750.0</v>
      </c>
      <c r="AQ229" s="38" t="s">
        <v>7047</v>
      </c>
      <c r="AR229" s="30">
        <v>44927.0</v>
      </c>
      <c r="AS229" s="30">
        <v>45291.0</v>
      </c>
      <c r="AT229" s="39">
        <v>863.44</v>
      </c>
      <c r="AU229" s="39">
        <v>974.0</v>
      </c>
      <c r="AV229" s="37" t="s">
        <v>7046</v>
      </c>
    </row>
    <row r="230" ht="14.25" customHeight="1">
      <c r="A230" s="28" t="s">
        <v>5060</v>
      </c>
      <c r="B230" s="29" t="s">
        <v>5061</v>
      </c>
      <c r="C230" s="29" t="s">
        <v>7041</v>
      </c>
      <c r="D230" s="30">
        <v>45658.0</v>
      </c>
      <c r="E230" s="30">
        <v>46022.0</v>
      </c>
      <c r="F230" s="39">
        <v>367.87</v>
      </c>
      <c r="G230" s="39">
        <v>1700.0</v>
      </c>
      <c r="H230" s="37" t="s">
        <v>7043</v>
      </c>
      <c r="I230" s="30">
        <v>46023.0</v>
      </c>
      <c r="J230" s="30">
        <v>46387.0</v>
      </c>
      <c r="K230" s="39">
        <v>0.0</v>
      </c>
      <c r="L230" s="39">
        <v>0.0</v>
      </c>
      <c r="M230" s="35" t="s">
        <v>7045</v>
      </c>
      <c r="N230" s="30">
        <v>46388.0</v>
      </c>
      <c r="O230" s="30">
        <v>46752.0</v>
      </c>
      <c r="P230" s="39">
        <v>0.0</v>
      </c>
      <c r="Q230" s="39">
        <v>0.0</v>
      </c>
      <c r="R230" s="35" t="s">
        <v>7045</v>
      </c>
      <c r="S230" s="30">
        <v>46753.0</v>
      </c>
      <c r="T230" s="30">
        <v>47118.0</v>
      </c>
      <c r="U230" s="39">
        <v>0.0</v>
      </c>
      <c r="V230" s="39">
        <v>0.0</v>
      </c>
      <c r="W230" s="35" t="s">
        <v>7045</v>
      </c>
      <c r="X230" s="30">
        <v>47119.0</v>
      </c>
      <c r="Y230" s="30">
        <v>47483.0</v>
      </c>
      <c r="Z230" s="39">
        <v>0.0</v>
      </c>
      <c r="AA230" s="39">
        <v>0.0</v>
      </c>
      <c r="AB230" s="35" t="s">
        <v>7045</v>
      </c>
      <c r="AC230" s="30">
        <v>47484.0</v>
      </c>
      <c r="AD230" s="30">
        <v>47848.0</v>
      </c>
      <c r="AE230" s="39">
        <v>0.0</v>
      </c>
      <c r="AF230" s="39">
        <v>0.0</v>
      </c>
      <c r="AG230" s="35" t="s">
        <v>7045</v>
      </c>
      <c r="AH230" s="30">
        <v>45292.0</v>
      </c>
      <c r="AI230" s="30">
        <v>45657.0</v>
      </c>
      <c r="AJ230" s="39">
        <v>1420.17</v>
      </c>
      <c r="AK230" s="39">
        <v>1100.0</v>
      </c>
      <c r="AL230" s="38" t="s">
        <v>7047</v>
      </c>
      <c r="AM230" s="30">
        <v>44562.0</v>
      </c>
      <c r="AN230" s="30">
        <v>44926.0</v>
      </c>
      <c r="AO230" s="39">
        <v>2115.0</v>
      </c>
      <c r="AP230" s="39">
        <v>2450.0</v>
      </c>
      <c r="AQ230" s="37" t="s">
        <v>7046</v>
      </c>
      <c r="AR230" s="30">
        <v>44927.0</v>
      </c>
      <c r="AS230" s="30">
        <v>45291.0</v>
      </c>
      <c r="AT230" s="39">
        <v>892.71</v>
      </c>
      <c r="AU230" s="39">
        <v>2450.0</v>
      </c>
      <c r="AV230" s="32" t="s">
        <v>7043</v>
      </c>
    </row>
    <row r="231" ht="14.25" customHeight="1">
      <c r="A231" s="28" t="s">
        <v>5116</v>
      </c>
      <c r="B231" s="29" t="s">
        <v>5117</v>
      </c>
      <c r="C231" s="29" t="s">
        <v>7041</v>
      </c>
      <c r="D231" s="30">
        <v>45658.0</v>
      </c>
      <c r="E231" s="30">
        <v>46022.0</v>
      </c>
      <c r="F231" s="39">
        <v>1145.42</v>
      </c>
      <c r="G231" s="39">
        <v>2604.0</v>
      </c>
      <c r="H231" s="37" t="s">
        <v>7046</v>
      </c>
      <c r="I231" s="30">
        <v>46023.0</v>
      </c>
      <c r="J231" s="30">
        <v>46387.0</v>
      </c>
      <c r="K231" s="39">
        <v>0.0</v>
      </c>
      <c r="L231" s="39">
        <v>0.0</v>
      </c>
      <c r="M231" s="35" t="s">
        <v>7045</v>
      </c>
      <c r="N231" s="30">
        <v>46388.0</v>
      </c>
      <c r="O231" s="30">
        <v>46752.0</v>
      </c>
      <c r="P231" s="39">
        <v>0.0</v>
      </c>
      <c r="Q231" s="39">
        <v>0.0</v>
      </c>
      <c r="R231" s="35" t="s">
        <v>7045</v>
      </c>
      <c r="S231" s="30">
        <v>46753.0</v>
      </c>
      <c r="T231" s="30">
        <v>47118.0</v>
      </c>
      <c r="U231" s="39">
        <v>0.0</v>
      </c>
      <c r="V231" s="39">
        <v>0.0</v>
      </c>
      <c r="W231" s="35" t="s">
        <v>7045</v>
      </c>
      <c r="X231" s="30">
        <v>47119.0</v>
      </c>
      <c r="Y231" s="30">
        <v>47483.0</v>
      </c>
      <c r="Z231" s="39">
        <v>0.0</v>
      </c>
      <c r="AA231" s="39">
        <v>0.0</v>
      </c>
      <c r="AB231" s="35" t="s">
        <v>7045</v>
      </c>
      <c r="AC231" s="30">
        <v>47484.0</v>
      </c>
      <c r="AD231" s="30">
        <v>47848.0</v>
      </c>
      <c r="AE231" s="39">
        <v>0.0</v>
      </c>
      <c r="AF231" s="39">
        <v>0.0</v>
      </c>
      <c r="AG231" s="35" t="s">
        <v>7045</v>
      </c>
      <c r="AH231" s="30">
        <v>45292.0</v>
      </c>
      <c r="AI231" s="30">
        <v>45657.0</v>
      </c>
      <c r="AJ231" s="39">
        <v>1259.6</v>
      </c>
      <c r="AK231" s="39">
        <v>2040.0</v>
      </c>
      <c r="AL231" s="37" t="s">
        <v>7046</v>
      </c>
      <c r="AM231" s="30">
        <v>44562.0</v>
      </c>
      <c r="AN231" s="30">
        <v>44926.0</v>
      </c>
      <c r="AO231" s="39">
        <v>0.0</v>
      </c>
      <c r="AP231" s="39">
        <v>0.0</v>
      </c>
      <c r="AQ231" s="35" t="s">
        <v>7045</v>
      </c>
      <c r="AR231" s="30">
        <v>44927.0</v>
      </c>
      <c r="AS231" s="30">
        <v>45291.0</v>
      </c>
      <c r="AT231" s="39">
        <v>770.8</v>
      </c>
      <c r="AU231" s="39">
        <v>1500.0</v>
      </c>
      <c r="AV231" s="37" t="s">
        <v>7046</v>
      </c>
    </row>
    <row r="232" ht="14.25" customHeight="1">
      <c r="A232" s="28" t="s">
        <v>5157</v>
      </c>
      <c r="B232" s="29" t="s">
        <v>5158</v>
      </c>
      <c r="C232" s="29" t="s">
        <v>7041</v>
      </c>
      <c r="D232" s="30">
        <v>45658.0</v>
      </c>
      <c r="E232" s="30">
        <v>46022.0</v>
      </c>
      <c r="F232" s="36">
        <v>1005.58</v>
      </c>
      <c r="G232" s="36">
        <v>1999.98</v>
      </c>
      <c r="H232" s="32" t="s">
        <v>7046</v>
      </c>
      <c r="I232" s="30">
        <v>46023.0</v>
      </c>
      <c r="J232" s="30">
        <v>46387.0</v>
      </c>
      <c r="K232" s="36">
        <v>0.0</v>
      </c>
      <c r="L232" s="36">
        <v>0.0</v>
      </c>
      <c r="M232" s="35" t="s">
        <v>7045</v>
      </c>
      <c r="N232" s="30">
        <v>46388.0</v>
      </c>
      <c r="O232" s="30">
        <v>46752.0</v>
      </c>
      <c r="P232" s="36">
        <v>0.0</v>
      </c>
      <c r="Q232" s="36">
        <v>0.0</v>
      </c>
      <c r="R232" s="35" t="s">
        <v>7045</v>
      </c>
      <c r="S232" s="30">
        <v>46753.0</v>
      </c>
      <c r="T232" s="30">
        <v>47118.0</v>
      </c>
      <c r="U232" s="36">
        <v>0.0</v>
      </c>
      <c r="V232" s="36">
        <v>0.0</v>
      </c>
      <c r="W232" s="35" t="s">
        <v>7045</v>
      </c>
      <c r="X232" s="30">
        <v>47119.0</v>
      </c>
      <c r="Y232" s="30">
        <v>47483.0</v>
      </c>
      <c r="Z232" s="36">
        <v>0.0</v>
      </c>
      <c r="AA232" s="36">
        <v>0.0</v>
      </c>
      <c r="AB232" s="35" t="s">
        <v>7045</v>
      </c>
      <c r="AC232" s="30">
        <v>47484.0</v>
      </c>
      <c r="AD232" s="30">
        <v>47848.0</v>
      </c>
      <c r="AE232" s="36">
        <v>0.0</v>
      </c>
      <c r="AF232" s="36">
        <v>0.0</v>
      </c>
      <c r="AG232" s="35" t="s">
        <v>7045</v>
      </c>
      <c r="AH232" s="30">
        <v>45292.0</v>
      </c>
      <c r="AI232" s="30">
        <v>45657.0</v>
      </c>
      <c r="AJ232" s="36">
        <v>1982.63</v>
      </c>
      <c r="AK232" s="36">
        <v>2035.98</v>
      </c>
      <c r="AL232" s="37" t="s">
        <v>7046</v>
      </c>
      <c r="AM232" s="30">
        <v>44562.0</v>
      </c>
      <c r="AN232" s="30">
        <v>44926.0</v>
      </c>
      <c r="AO232" s="36">
        <v>2041.48</v>
      </c>
      <c r="AP232" s="36">
        <v>2399.98</v>
      </c>
      <c r="AQ232" s="37" t="s">
        <v>7046</v>
      </c>
      <c r="AR232" s="30">
        <v>44927.0</v>
      </c>
      <c r="AS232" s="30">
        <v>45291.0</v>
      </c>
      <c r="AT232" s="36">
        <v>1232.26</v>
      </c>
      <c r="AU232" s="36">
        <v>2399.98</v>
      </c>
      <c r="AV232" s="37" t="s">
        <v>7046</v>
      </c>
    </row>
    <row r="233" ht="14.25" customHeight="1">
      <c r="A233" s="28" t="s">
        <v>5717</v>
      </c>
      <c r="B233" s="29" t="s">
        <v>5718</v>
      </c>
      <c r="C233" s="29" t="s">
        <v>7041</v>
      </c>
      <c r="D233" s="30">
        <v>45658.0</v>
      </c>
      <c r="E233" s="30">
        <v>46022.0</v>
      </c>
      <c r="F233" s="36">
        <v>327.21</v>
      </c>
      <c r="G233" s="36">
        <v>2499.98</v>
      </c>
      <c r="H233" s="32" t="s">
        <v>7043</v>
      </c>
      <c r="I233" s="30">
        <v>46023.0</v>
      </c>
      <c r="J233" s="30">
        <v>46387.0</v>
      </c>
      <c r="K233" s="36">
        <v>0.0</v>
      </c>
      <c r="L233" s="36">
        <v>0.0</v>
      </c>
      <c r="M233" s="35" t="s">
        <v>7045</v>
      </c>
      <c r="N233" s="30">
        <v>46388.0</v>
      </c>
      <c r="O233" s="30">
        <v>46752.0</v>
      </c>
      <c r="P233" s="36">
        <v>0.0</v>
      </c>
      <c r="Q233" s="36">
        <v>0.0</v>
      </c>
      <c r="R233" s="35" t="s">
        <v>7045</v>
      </c>
      <c r="S233" s="30">
        <v>46753.0</v>
      </c>
      <c r="T233" s="30">
        <v>47118.0</v>
      </c>
      <c r="U233" s="36">
        <v>0.0</v>
      </c>
      <c r="V233" s="36">
        <v>0.0</v>
      </c>
      <c r="W233" s="35" t="s">
        <v>7045</v>
      </c>
      <c r="X233" s="30">
        <v>47119.0</v>
      </c>
      <c r="Y233" s="30">
        <v>47483.0</v>
      </c>
      <c r="Z233" s="36">
        <v>0.0</v>
      </c>
      <c r="AA233" s="36">
        <v>0.0</v>
      </c>
      <c r="AB233" s="35" t="s">
        <v>7045</v>
      </c>
      <c r="AC233" s="30">
        <v>47484.0</v>
      </c>
      <c r="AD233" s="30">
        <v>47848.0</v>
      </c>
      <c r="AE233" s="36">
        <v>0.0</v>
      </c>
      <c r="AF233" s="36">
        <v>0.0</v>
      </c>
      <c r="AG233" s="35" t="s">
        <v>7045</v>
      </c>
      <c r="AH233" s="30">
        <v>45292.0</v>
      </c>
      <c r="AI233" s="30">
        <v>45657.0</v>
      </c>
      <c r="AJ233" s="36">
        <v>1867.36</v>
      </c>
      <c r="AK233" s="36">
        <v>2499.98</v>
      </c>
      <c r="AL233" s="37" t="s">
        <v>7046</v>
      </c>
      <c r="AM233" s="30">
        <v>44562.0</v>
      </c>
      <c r="AN233" s="30">
        <v>44926.0</v>
      </c>
      <c r="AO233" s="36">
        <v>1402.29</v>
      </c>
      <c r="AP233" s="36">
        <v>1299.99</v>
      </c>
      <c r="AQ233" s="38" t="s">
        <v>7047</v>
      </c>
      <c r="AR233" s="30">
        <v>44927.0</v>
      </c>
      <c r="AS233" s="30">
        <v>45291.0</v>
      </c>
      <c r="AT233" s="36">
        <v>2039.3</v>
      </c>
      <c r="AU233" s="36">
        <v>0.0</v>
      </c>
      <c r="AV233" s="38" t="s">
        <v>7047</v>
      </c>
    </row>
    <row r="234" ht="14.25" customHeight="1">
      <c r="A234" s="28" t="s">
        <v>6261</v>
      </c>
      <c r="B234" s="29" t="s">
        <v>6262</v>
      </c>
      <c r="C234" s="29" t="s">
        <v>7041</v>
      </c>
      <c r="D234" s="30">
        <v>45658.0</v>
      </c>
      <c r="E234" s="30">
        <v>46022.0</v>
      </c>
      <c r="F234" s="36">
        <v>143.01</v>
      </c>
      <c r="G234" s="36">
        <v>0.0</v>
      </c>
      <c r="H234" s="38" t="s">
        <v>7047</v>
      </c>
      <c r="I234" s="30">
        <v>46023.0</v>
      </c>
      <c r="J234" s="30">
        <v>46387.0</v>
      </c>
      <c r="K234" s="36">
        <v>0.0</v>
      </c>
      <c r="L234" s="36">
        <v>0.0</v>
      </c>
      <c r="M234" s="35" t="s">
        <v>7045</v>
      </c>
      <c r="N234" s="30">
        <v>46388.0</v>
      </c>
      <c r="O234" s="30">
        <v>46752.0</v>
      </c>
      <c r="P234" s="36">
        <v>0.0</v>
      </c>
      <c r="Q234" s="36">
        <v>0.0</v>
      </c>
      <c r="R234" s="35" t="s">
        <v>7045</v>
      </c>
      <c r="S234" s="30">
        <v>46753.0</v>
      </c>
      <c r="T234" s="30">
        <v>47118.0</v>
      </c>
      <c r="U234" s="36">
        <v>0.0</v>
      </c>
      <c r="V234" s="36">
        <v>0.0</v>
      </c>
      <c r="W234" s="35" t="s">
        <v>7045</v>
      </c>
      <c r="X234" s="30">
        <v>47119.0</v>
      </c>
      <c r="Y234" s="30">
        <v>47483.0</v>
      </c>
      <c r="Z234" s="36">
        <v>0.0</v>
      </c>
      <c r="AA234" s="36">
        <v>0.0</v>
      </c>
      <c r="AB234" s="35" t="s">
        <v>7045</v>
      </c>
      <c r="AC234" s="30">
        <v>47484.0</v>
      </c>
      <c r="AD234" s="30">
        <v>47848.0</v>
      </c>
      <c r="AE234" s="36">
        <v>0.0</v>
      </c>
      <c r="AF234" s="36">
        <v>0.0</v>
      </c>
      <c r="AG234" s="35" t="s">
        <v>7045</v>
      </c>
      <c r="AH234" s="30">
        <v>45292.0</v>
      </c>
      <c r="AI234" s="30">
        <v>45657.0</v>
      </c>
      <c r="AJ234" s="36">
        <v>1438.47</v>
      </c>
      <c r="AK234" s="36">
        <v>3099.97</v>
      </c>
      <c r="AL234" s="32" t="s">
        <v>7043</v>
      </c>
      <c r="AM234" s="30">
        <v>44562.0</v>
      </c>
      <c r="AN234" s="30">
        <v>44926.0</v>
      </c>
      <c r="AO234" s="36">
        <v>0.0</v>
      </c>
      <c r="AP234" s="36">
        <v>0.0</v>
      </c>
      <c r="AQ234" s="35" t="s">
        <v>7045</v>
      </c>
      <c r="AR234" s="30">
        <v>44927.0</v>
      </c>
      <c r="AS234" s="30">
        <v>45291.0</v>
      </c>
      <c r="AT234" s="36">
        <v>0.0</v>
      </c>
      <c r="AU234" s="36">
        <v>0.0</v>
      </c>
      <c r="AV234" s="35" t="s">
        <v>7045</v>
      </c>
    </row>
    <row r="235" ht="14.25" customHeight="1">
      <c r="A235" s="28" t="s">
        <v>2471</v>
      </c>
      <c r="B235" s="29" t="s">
        <v>2472</v>
      </c>
      <c r="C235" s="29" t="s">
        <v>7041</v>
      </c>
      <c r="D235" s="30">
        <v>45658.0</v>
      </c>
      <c r="E235" s="30">
        <v>46022.0</v>
      </c>
      <c r="F235" s="39">
        <v>46.61</v>
      </c>
      <c r="G235" s="39">
        <v>0.0</v>
      </c>
      <c r="H235" s="38" t="s">
        <v>7047</v>
      </c>
      <c r="I235" s="30">
        <v>46023.0</v>
      </c>
      <c r="J235" s="30">
        <v>46387.0</v>
      </c>
      <c r="K235" s="39">
        <v>0.0</v>
      </c>
      <c r="L235" s="39">
        <v>0.0</v>
      </c>
      <c r="M235" s="35" t="s">
        <v>7045</v>
      </c>
      <c r="N235" s="30">
        <v>46388.0</v>
      </c>
      <c r="O235" s="30">
        <v>46752.0</v>
      </c>
      <c r="P235" s="39">
        <v>0.0</v>
      </c>
      <c r="Q235" s="39">
        <v>0.0</v>
      </c>
      <c r="R235" s="35" t="s">
        <v>7045</v>
      </c>
      <c r="S235" s="30">
        <v>46753.0</v>
      </c>
      <c r="T235" s="30">
        <v>47118.0</v>
      </c>
      <c r="U235" s="39">
        <v>0.0</v>
      </c>
      <c r="V235" s="39">
        <v>0.0</v>
      </c>
      <c r="W235" s="35" t="s">
        <v>7045</v>
      </c>
      <c r="X235" s="30">
        <v>47119.0</v>
      </c>
      <c r="Y235" s="30">
        <v>47483.0</v>
      </c>
      <c r="Z235" s="39">
        <v>0.0</v>
      </c>
      <c r="AA235" s="39">
        <v>0.0</v>
      </c>
      <c r="AB235" s="35" t="s">
        <v>7045</v>
      </c>
      <c r="AC235" s="30">
        <v>47484.0</v>
      </c>
      <c r="AD235" s="30">
        <v>47848.0</v>
      </c>
      <c r="AE235" s="39">
        <v>0.0</v>
      </c>
      <c r="AF235" s="39">
        <v>0.0</v>
      </c>
      <c r="AG235" s="35" t="s">
        <v>7045</v>
      </c>
      <c r="AH235" s="30">
        <v>45292.0</v>
      </c>
      <c r="AI235" s="30">
        <v>45657.0</v>
      </c>
      <c r="AJ235" s="39">
        <v>69.23</v>
      </c>
      <c r="AK235" s="39">
        <v>0.0</v>
      </c>
      <c r="AL235" s="38" t="s">
        <v>7047</v>
      </c>
      <c r="AM235" s="30">
        <v>44562.0</v>
      </c>
      <c r="AN235" s="30">
        <v>44926.0</v>
      </c>
      <c r="AO235" s="39">
        <v>67.9</v>
      </c>
      <c r="AP235" s="39">
        <v>0.0</v>
      </c>
      <c r="AQ235" s="38" t="s">
        <v>7047</v>
      </c>
      <c r="AR235" s="30">
        <v>44927.0</v>
      </c>
      <c r="AS235" s="30">
        <v>45291.0</v>
      </c>
      <c r="AT235" s="39">
        <v>73.76</v>
      </c>
      <c r="AU235" s="39">
        <v>0.0</v>
      </c>
      <c r="AV235" s="38" t="s">
        <v>7047</v>
      </c>
    </row>
    <row r="236" ht="14.25" customHeight="1">
      <c r="A236" s="28" t="s">
        <v>1188</v>
      </c>
      <c r="B236" s="29" t="s">
        <v>1189</v>
      </c>
      <c r="C236" s="29" t="s">
        <v>7041</v>
      </c>
      <c r="D236" s="30">
        <v>45658.0</v>
      </c>
      <c r="E236" s="30">
        <v>46022.0</v>
      </c>
      <c r="F236" s="39">
        <v>38.26</v>
      </c>
      <c r="G236" s="39">
        <v>0.0</v>
      </c>
      <c r="H236" s="38" t="s">
        <v>7047</v>
      </c>
      <c r="I236" s="30">
        <v>46023.0</v>
      </c>
      <c r="J236" s="30">
        <v>46387.0</v>
      </c>
      <c r="K236" s="39">
        <v>0.0</v>
      </c>
      <c r="L236" s="39">
        <v>0.0</v>
      </c>
      <c r="M236" s="35" t="s">
        <v>7045</v>
      </c>
      <c r="N236" s="30">
        <v>46388.0</v>
      </c>
      <c r="O236" s="30">
        <v>46752.0</v>
      </c>
      <c r="P236" s="39">
        <v>0.0</v>
      </c>
      <c r="Q236" s="39">
        <v>0.0</v>
      </c>
      <c r="R236" s="35" t="s">
        <v>7045</v>
      </c>
      <c r="S236" s="30">
        <v>46753.0</v>
      </c>
      <c r="T236" s="30">
        <v>47118.0</v>
      </c>
      <c r="U236" s="39">
        <v>0.0</v>
      </c>
      <c r="V236" s="39">
        <v>0.0</v>
      </c>
      <c r="W236" s="35" t="s">
        <v>7045</v>
      </c>
      <c r="X236" s="30">
        <v>47119.0</v>
      </c>
      <c r="Y236" s="30">
        <v>47483.0</v>
      </c>
      <c r="Z236" s="39">
        <v>0.0</v>
      </c>
      <c r="AA236" s="39">
        <v>0.0</v>
      </c>
      <c r="AB236" s="35" t="s">
        <v>7045</v>
      </c>
      <c r="AC236" s="30">
        <v>47484.0</v>
      </c>
      <c r="AD236" s="30">
        <v>47848.0</v>
      </c>
      <c r="AE236" s="39">
        <v>0.0</v>
      </c>
      <c r="AF236" s="39">
        <v>0.0</v>
      </c>
      <c r="AG236" s="35" t="s">
        <v>7045</v>
      </c>
      <c r="AH236" s="30">
        <v>45292.0</v>
      </c>
      <c r="AI236" s="30">
        <v>45657.0</v>
      </c>
      <c r="AJ236" s="39">
        <v>66.23</v>
      </c>
      <c r="AK236" s="39">
        <v>0.0</v>
      </c>
      <c r="AL236" s="38" t="s">
        <v>7047</v>
      </c>
      <c r="AM236" s="30">
        <v>44562.0</v>
      </c>
      <c r="AN236" s="30">
        <v>44926.0</v>
      </c>
      <c r="AO236" s="39">
        <v>69.8</v>
      </c>
      <c r="AP236" s="39">
        <v>0.0</v>
      </c>
      <c r="AQ236" s="38" t="s">
        <v>7047</v>
      </c>
      <c r="AR236" s="30">
        <v>44927.0</v>
      </c>
      <c r="AS236" s="30">
        <v>45291.0</v>
      </c>
      <c r="AT236" s="39">
        <v>110.26</v>
      </c>
      <c r="AU236" s="39">
        <v>0.0</v>
      </c>
      <c r="AV236" s="38" t="s">
        <v>7047</v>
      </c>
    </row>
    <row r="237" ht="14.25" customHeight="1">
      <c r="A237" s="28" t="s">
        <v>208</v>
      </c>
      <c r="B237" s="29" t="s">
        <v>209</v>
      </c>
      <c r="C237" s="29" t="s">
        <v>7041</v>
      </c>
      <c r="D237" s="30">
        <v>45658.0</v>
      </c>
      <c r="E237" s="30">
        <v>46022.0</v>
      </c>
      <c r="F237" s="39">
        <v>108.2</v>
      </c>
      <c r="G237" s="39">
        <v>450.0</v>
      </c>
      <c r="H237" s="37" t="s">
        <v>7043</v>
      </c>
      <c r="I237" s="30">
        <v>46023.0</v>
      </c>
      <c r="J237" s="30">
        <v>46387.0</v>
      </c>
      <c r="K237" s="39">
        <v>0.0</v>
      </c>
      <c r="L237" s="39">
        <v>0.0</v>
      </c>
      <c r="M237" s="35" t="s">
        <v>7045</v>
      </c>
      <c r="N237" s="30">
        <v>46388.0</v>
      </c>
      <c r="O237" s="30">
        <v>46752.0</v>
      </c>
      <c r="P237" s="39">
        <v>0.0</v>
      </c>
      <c r="Q237" s="39">
        <v>0.0</v>
      </c>
      <c r="R237" s="35" t="s">
        <v>7045</v>
      </c>
      <c r="S237" s="30">
        <v>46753.0</v>
      </c>
      <c r="T237" s="30">
        <v>47118.0</v>
      </c>
      <c r="U237" s="39">
        <v>0.0</v>
      </c>
      <c r="V237" s="39">
        <v>0.0</v>
      </c>
      <c r="W237" s="35" t="s">
        <v>7045</v>
      </c>
      <c r="X237" s="30">
        <v>47119.0</v>
      </c>
      <c r="Y237" s="30">
        <v>47483.0</v>
      </c>
      <c r="Z237" s="39">
        <v>0.0</v>
      </c>
      <c r="AA237" s="39">
        <v>0.0</v>
      </c>
      <c r="AB237" s="35" t="s">
        <v>7045</v>
      </c>
      <c r="AC237" s="30">
        <v>47484.0</v>
      </c>
      <c r="AD237" s="30">
        <v>47848.0</v>
      </c>
      <c r="AE237" s="39">
        <v>0.0</v>
      </c>
      <c r="AF237" s="39">
        <v>0.0</v>
      </c>
      <c r="AG237" s="35" t="s">
        <v>7045</v>
      </c>
      <c r="AH237" s="30">
        <v>45292.0</v>
      </c>
      <c r="AI237" s="30">
        <v>45657.0</v>
      </c>
      <c r="AJ237" s="39">
        <v>661.37</v>
      </c>
      <c r="AK237" s="39">
        <v>420.0</v>
      </c>
      <c r="AL237" s="38" t="s">
        <v>7047</v>
      </c>
      <c r="AM237" s="30">
        <v>44562.0</v>
      </c>
      <c r="AN237" s="30">
        <v>44926.0</v>
      </c>
      <c r="AO237" s="39">
        <v>25.8</v>
      </c>
      <c r="AP237" s="39">
        <v>0.0</v>
      </c>
      <c r="AQ237" s="38" t="s">
        <v>7047</v>
      </c>
      <c r="AR237" s="30">
        <v>44927.0</v>
      </c>
      <c r="AS237" s="30">
        <v>45291.0</v>
      </c>
      <c r="AT237" s="39">
        <v>612.0</v>
      </c>
      <c r="AU237" s="39">
        <v>330.0</v>
      </c>
      <c r="AV237" s="38" t="s">
        <v>7047</v>
      </c>
    </row>
    <row r="238" ht="14.25" customHeight="1">
      <c r="A238" s="28" t="s">
        <v>237</v>
      </c>
      <c r="B238" s="29" t="s">
        <v>238</v>
      </c>
      <c r="C238" s="29" t="s">
        <v>7041</v>
      </c>
      <c r="D238" s="30">
        <v>45658.0</v>
      </c>
      <c r="E238" s="30">
        <v>46022.0</v>
      </c>
      <c r="F238" s="39">
        <v>0.0</v>
      </c>
      <c r="G238" s="39">
        <v>753.0</v>
      </c>
      <c r="H238" s="32" t="s">
        <v>7043</v>
      </c>
      <c r="I238" s="30">
        <v>46023.0</v>
      </c>
      <c r="J238" s="30">
        <v>46387.0</v>
      </c>
      <c r="K238" s="39">
        <v>0.0</v>
      </c>
      <c r="L238" s="39">
        <v>0.0</v>
      </c>
      <c r="M238" s="35" t="s">
        <v>7045</v>
      </c>
      <c r="N238" s="30">
        <v>46388.0</v>
      </c>
      <c r="O238" s="30">
        <v>46752.0</v>
      </c>
      <c r="P238" s="39">
        <v>0.0</v>
      </c>
      <c r="Q238" s="39">
        <v>0.0</v>
      </c>
      <c r="R238" s="35" t="s">
        <v>7045</v>
      </c>
      <c r="S238" s="30">
        <v>46753.0</v>
      </c>
      <c r="T238" s="30">
        <v>47118.0</v>
      </c>
      <c r="U238" s="39">
        <v>0.0</v>
      </c>
      <c r="V238" s="39">
        <v>0.0</v>
      </c>
      <c r="W238" s="35" t="s">
        <v>7045</v>
      </c>
      <c r="X238" s="30">
        <v>47119.0</v>
      </c>
      <c r="Y238" s="30">
        <v>47483.0</v>
      </c>
      <c r="Z238" s="39">
        <v>0.0</v>
      </c>
      <c r="AA238" s="39">
        <v>0.0</v>
      </c>
      <c r="AB238" s="35" t="s">
        <v>7045</v>
      </c>
      <c r="AC238" s="30">
        <v>47484.0</v>
      </c>
      <c r="AD238" s="30">
        <v>47848.0</v>
      </c>
      <c r="AE238" s="39">
        <v>0.0</v>
      </c>
      <c r="AF238" s="39">
        <v>0.0</v>
      </c>
      <c r="AG238" s="35" t="s">
        <v>7045</v>
      </c>
      <c r="AH238" s="30">
        <v>45292.0</v>
      </c>
      <c r="AI238" s="30">
        <v>45657.0</v>
      </c>
      <c r="AJ238" s="39">
        <v>654.53</v>
      </c>
      <c r="AK238" s="39">
        <v>700.0</v>
      </c>
      <c r="AL238" s="37" t="s">
        <v>7046</v>
      </c>
      <c r="AM238" s="30">
        <v>44562.0</v>
      </c>
      <c r="AN238" s="30">
        <v>44926.0</v>
      </c>
      <c r="AO238" s="39">
        <v>0.0</v>
      </c>
      <c r="AP238" s="39">
        <v>0.0</v>
      </c>
      <c r="AQ238" s="35" t="s">
        <v>7045</v>
      </c>
      <c r="AR238" s="30">
        <v>44927.0</v>
      </c>
      <c r="AS238" s="30">
        <v>45291.0</v>
      </c>
      <c r="AT238" s="39">
        <v>0.0</v>
      </c>
      <c r="AU238" s="39">
        <v>0.0</v>
      </c>
      <c r="AV238" s="35" t="s">
        <v>7045</v>
      </c>
    </row>
    <row r="239" ht="14.25" customHeight="1">
      <c r="A239" s="28" t="s">
        <v>311</v>
      </c>
      <c r="B239" s="29" t="s">
        <v>312</v>
      </c>
      <c r="C239" s="29" t="s">
        <v>7041</v>
      </c>
      <c r="D239" s="30">
        <v>45658.0</v>
      </c>
      <c r="E239" s="30">
        <v>46022.0</v>
      </c>
      <c r="F239" s="36">
        <v>130.96</v>
      </c>
      <c r="G239" s="36">
        <v>1199.99</v>
      </c>
      <c r="H239" s="32" t="s">
        <v>7043</v>
      </c>
      <c r="I239" s="30">
        <v>46023.0</v>
      </c>
      <c r="J239" s="30">
        <v>46387.0</v>
      </c>
      <c r="K239" s="36">
        <v>0.0</v>
      </c>
      <c r="L239" s="36">
        <v>0.0</v>
      </c>
      <c r="M239" s="35" t="s">
        <v>7045</v>
      </c>
      <c r="N239" s="30">
        <v>46388.0</v>
      </c>
      <c r="O239" s="30">
        <v>46752.0</v>
      </c>
      <c r="P239" s="36">
        <v>0.0</v>
      </c>
      <c r="Q239" s="36">
        <v>0.0</v>
      </c>
      <c r="R239" s="35" t="s">
        <v>7045</v>
      </c>
      <c r="S239" s="30">
        <v>46753.0</v>
      </c>
      <c r="T239" s="30">
        <v>47118.0</v>
      </c>
      <c r="U239" s="36">
        <v>0.0</v>
      </c>
      <c r="V239" s="36">
        <v>0.0</v>
      </c>
      <c r="W239" s="35" t="s">
        <v>7045</v>
      </c>
      <c r="X239" s="30">
        <v>47119.0</v>
      </c>
      <c r="Y239" s="30">
        <v>47483.0</v>
      </c>
      <c r="Z239" s="36">
        <v>0.0</v>
      </c>
      <c r="AA239" s="36">
        <v>0.0</v>
      </c>
      <c r="AB239" s="35" t="s">
        <v>7045</v>
      </c>
      <c r="AC239" s="30">
        <v>47484.0</v>
      </c>
      <c r="AD239" s="30">
        <v>47848.0</v>
      </c>
      <c r="AE239" s="36">
        <v>0.0</v>
      </c>
      <c r="AF239" s="36">
        <v>0.0</v>
      </c>
      <c r="AG239" s="35" t="s">
        <v>7045</v>
      </c>
      <c r="AH239" s="30">
        <v>45292.0</v>
      </c>
      <c r="AI239" s="30">
        <v>45657.0</v>
      </c>
      <c r="AJ239" s="36">
        <v>1123.83</v>
      </c>
      <c r="AK239" s="36">
        <v>1099.99</v>
      </c>
      <c r="AL239" s="38" t="s">
        <v>7047</v>
      </c>
      <c r="AM239" s="30">
        <v>44562.0</v>
      </c>
      <c r="AN239" s="30">
        <v>44926.0</v>
      </c>
      <c r="AO239" s="36">
        <v>1278.09</v>
      </c>
      <c r="AP239" s="36">
        <v>799.99</v>
      </c>
      <c r="AQ239" s="38" t="s">
        <v>7047</v>
      </c>
      <c r="AR239" s="30">
        <v>44927.0</v>
      </c>
      <c r="AS239" s="30">
        <v>45291.0</v>
      </c>
      <c r="AT239" s="36">
        <v>1070.98</v>
      </c>
      <c r="AU239" s="36">
        <v>1299.99</v>
      </c>
      <c r="AV239" s="37" t="s">
        <v>7046</v>
      </c>
    </row>
    <row r="240" ht="14.25" customHeight="1">
      <c r="A240" s="28" t="s">
        <v>283</v>
      </c>
      <c r="B240" s="29" t="s">
        <v>284</v>
      </c>
      <c r="C240" s="29" t="s">
        <v>7041</v>
      </c>
      <c r="D240" s="30">
        <v>45658.0</v>
      </c>
      <c r="E240" s="30">
        <v>46022.0</v>
      </c>
      <c r="F240" s="36">
        <v>34.12</v>
      </c>
      <c r="G240" s="36">
        <v>0.0</v>
      </c>
      <c r="H240" s="38" t="s">
        <v>7047</v>
      </c>
      <c r="I240" s="30">
        <v>46023.0</v>
      </c>
      <c r="J240" s="30">
        <v>46387.0</v>
      </c>
      <c r="K240" s="36">
        <v>0.0</v>
      </c>
      <c r="L240" s="36">
        <v>0.0</v>
      </c>
      <c r="M240" s="35" t="s">
        <v>7045</v>
      </c>
      <c r="N240" s="30">
        <v>46388.0</v>
      </c>
      <c r="O240" s="30">
        <v>46752.0</v>
      </c>
      <c r="P240" s="36">
        <v>0.0</v>
      </c>
      <c r="Q240" s="36">
        <v>0.0</v>
      </c>
      <c r="R240" s="35" t="s">
        <v>7045</v>
      </c>
      <c r="S240" s="30">
        <v>46753.0</v>
      </c>
      <c r="T240" s="30">
        <v>47118.0</v>
      </c>
      <c r="U240" s="36">
        <v>0.0</v>
      </c>
      <c r="V240" s="36">
        <v>0.0</v>
      </c>
      <c r="W240" s="35" t="s">
        <v>7045</v>
      </c>
      <c r="X240" s="30">
        <v>47119.0</v>
      </c>
      <c r="Y240" s="30">
        <v>47483.0</v>
      </c>
      <c r="Z240" s="36">
        <v>0.0</v>
      </c>
      <c r="AA240" s="36">
        <v>0.0</v>
      </c>
      <c r="AB240" s="35" t="s">
        <v>7045</v>
      </c>
      <c r="AC240" s="30">
        <v>47484.0</v>
      </c>
      <c r="AD240" s="30">
        <v>47848.0</v>
      </c>
      <c r="AE240" s="36">
        <v>0.0</v>
      </c>
      <c r="AF240" s="36">
        <v>0.0</v>
      </c>
      <c r="AG240" s="35" t="s">
        <v>7045</v>
      </c>
      <c r="AH240" s="30">
        <v>45292.0</v>
      </c>
      <c r="AI240" s="30">
        <v>45657.0</v>
      </c>
      <c r="AJ240" s="36">
        <v>392.86</v>
      </c>
      <c r="AK240" s="36">
        <v>383.0</v>
      </c>
      <c r="AL240" s="38" t="s">
        <v>7047</v>
      </c>
      <c r="AM240" s="30">
        <v>44562.0</v>
      </c>
      <c r="AN240" s="30">
        <v>44926.0</v>
      </c>
      <c r="AO240" s="36">
        <v>441.7</v>
      </c>
      <c r="AP240" s="36">
        <v>20.0</v>
      </c>
      <c r="AQ240" s="38" t="s">
        <v>7047</v>
      </c>
      <c r="AR240" s="30">
        <v>44927.0</v>
      </c>
      <c r="AS240" s="30">
        <v>45291.0</v>
      </c>
      <c r="AT240" s="36">
        <v>333.1</v>
      </c>
      <c r="AU240" s="36">
        <v>484.7</v>
      </c>
      <c r="AV240" s="37" t="s">
        <v>7046</v>
      </c>
    </row>
    <row r="241" ht="14.25" customHeight="1">
      <c r="A241" s="28" t="s">
        <v>324</v>
      </c>
      <c r="B241" s="29" t="s">
        <v>325</v>
      </c>
      <c r="C241" s="29" t="s">
        <v>7041</v>
      </c>
      <c r="D241" s="30">
        <v>45658.0</v>
      </c>
      <c r="E241" s="30">
        <v>46022.0</v>
      </c>
      <c r="F241" s="36">
        <v>99.28</v>
      </c>
      <c r="G241" s="36">
        <v>1250.99</v>
      </c>
      <c r="H241" s="32" t="s">
        <v>7043</v>
      </c>
      <c r="I241" s="30">
        <v>46023.0</v>
      </c>
      <c r="J241" s="30">
        <v>46387.0</v>
      </c>
      <c r="K241" s="36">
        <v>0.0</v>
      </c>
      <c r="L241" s="36">
        <v>0.0</v>
      </c>
      <c r="M241" s="35" t="s">
        <v>7045</v>
      </c>
      <c r="N241" s="30">
        <v>46388.0</v>
      </c>
      <c r="O241" s="30">
        <v>46752.0</v>
      </c>
      <c r="P241" s="36">
        <v>0.0</v>
      </c>
      <c r="Q241" s="36">
        <v>0.0</v>
      </c>
      <c r="R241" s="35" t="s">
        <v>7045</v>
      </c>
      <c r="S241" s="30">
        <v>46753.0</v>
      </c>
      <c r="T241" s="30">
        <v>47118.0</v>
      </c>
      <c r="U241" s="36">
        <v>0.0</v>
      </c>
      <c r="V241" s="36">
        <v>0.0</v>
      </c>
      <c r="W241" s="35" t="s">
        <v>7045</v>
      </c>
      <c r="X241" s="30">
        <v>47119.0</v>
      </c>
      <c r="Y241" s="30">
        <v>47483.0</v>
      </c>
      <c r="Z241" s="36">
        <v>0.0</v>
      </c>
      <c r="AA241" s="36">
        <v>0.0</v>
      </c>
      <c r="AB241" s="35" t="s">
        <v>7045</v>
      </c>
      <c r="AC241" s="30">
        <v>47484.0</v>
      </c>
      <c r="AD241" s="30">
        <v>47848.0</v>
      </c>
      <c r="AE241" s="36">
        <v>0.0</v>
      </c>
      <c r="AF241" s="36">
        <v>0.0</v>
      </c>
      <c r="AG241" s="35" t="s">
        <v>7045</v>
      </c>
      <c r="AH241" s="30">
        <v>45292.0</v>
      </c>
      <c r="AI241" s="30">
        <v>45657.0</v>
      </c>
      <c r="AJ241" s="36">
        <v>230.62</v>
      </c>
      <c r="AK241" s="36">
        <v>625.99</v>
      </c>
      <c r="AL241" s="32" t="s">
        <v>7043</v>
      </c>
      <c r="AM241" s="30">
        <v>44562.0</v>
      </c>
      <c r="AN241" s="30">
        <v>44926.0</v>
      </c>
      <c r="AO241" s="36">
        <v>554.7</v>
      </c>
      <c r="AP241" s="36">
        <v>999.99</v>
      </c>
      <c r="AQ241" s="37" t="s">
        <v>7046</v>
      </c>
      <c r="AR241" s="30">
        <v>44927.0</v>
      </c>
      <c r="AS241" s="30">
        <v>45291.0</v>
      </c>
      <c r="AT241" s="36">
        <v>300.01</v>
      </c>
      <c r="AU241" s="36">
        <v>999.99</v>
      </c>
      <c r="AV241" s="32" t="s">
        <v>7043</v>
      </c>
    </row>
    <row r="242" ht="14.25" customHeight="1">
      <c r="A242" s="28" t="s">
        <v>335</v>
      </c>
      <c r="B242" s="29" t="s">
        <v>336</v>
      </c>
      <c r="C242" s="29" t="s">
        <v>7041</v>
      </c>
      <c r="D242" s="30">
        <v>45658.0</v>
      </c>
      <c r="E242" s="30">
        <v>46022.0</v>
      </c>
      <c r="F242" s="36">
        <v>404.72</v>
      </c>
      <c r="G242" s="36">
        <v>0.0</v>
      </c>
      <c r="H242" s="38" t="s">
        <v>7047</v>
      </c>
      <c r="I242" s="30">
        <v>46023.0</v>
      </c>
      <c r="J242" s="30">
        <v>46387.0</v>
      </c>
      <c r="K242" s="36">
        <v>0.0</v>
      </c>
      <c r="L242" s="36">
        <v>0.0</v>
      </c>
      <c r="M242" s="35" t="s">
        <v>7045</v>
      </c>
      <c r="N242" s="30">
        <v>46388.0</v>
      </c>
      <c r="O242" s="30">
        <v>46752.0</v>
      </c>
      <c r="P242" s="36">
        <v>0.0</v>
      </c>
      <c r="Q242" s="36">
        <v>0.0</v>
      </c>
      <c r="R242" s="35" t="s">
        <v>7045</v>
      </c>
      <c r="S242" s="30">
        <v>46753.0</v>
      </c>
      <c r="T242" s="30">
        <v>47118.0</v>
      </c>
      <c r="U242" s="36">
        <v>0.0</v>
      </c>
      <c r="V242" s="36">
        <v>0.0</v>
      </c>
      <c r="W242" s="35" t="s">
        <v>7045</v>
      </c>
      <c r="X242" s="30">
        <v>47119.0</v>
      </c>
      <c r="Y242" s="30">
        <v>47483.0</v>
      </c>
      <c r="Z242" s="36">
        <v>0.0</v>
      </c>
      <c r="AA242" s="36">
        <v>0.0</v>
      </c>
      <c r="AB242" s="35" t="s">
        <v>7045</v>
      </c>
      <c r="AC242" s="30">
        <v>47484.0</v>
      </c>
      <c r="AD242" s="30">
        <v>47848.0</v>
      </c>
      <c r="AE242" s="36">
        <v>0.0</v>
      </c>
      <c r="AF242" s="36">
        <v>0.0</v>
      </c>
      <c r="AG242" s="35" t="s">
        <v>7045</v>
      </c>
      <c r="AH242" s="30">
        <v>45292.0</v>
      </c>
      <c r="AI242" s="30">
        <v>45657.0</v>
      </c>
      <c r="AJ242" s="36">
        <v>692.14</v>
      </c>
      <c r="AK242" s="36">
        <v>0.0</v>
      </c>
      <c r="AL242" s="38" t="s">
        <v>7047</v>
      </c>
      <c r="AM242" s="30">
        <v>44562.0</v>
      </c>
      <c r="AN242" s="30">
        <v>44926.0</v>
      </c>
      <c r="AO242" s="36">
        <v>1624.19</v>
      </c>
      <c r="AP242" s="36">
        <v>1599.99</v>
      </c>
      <c r="AQ242" s="38" t="s">
        <v>7047</v>
      </c>
      <c r="AR242" s="30">
        <v>44927.0</v>
      </c>
      <c r="AS242" s="30">
        <v>45291.0</v>
      </c>
      <c r="AT242" s="36">
        <v>878.96</v>
      </c>
      <c r="AU242" s="36">
        <v>1609.99</v>
      </c>
      <c r="AV242" s="37" t="s">
        <v>7046</v>
      </c>
    </row>
    <row r="243" ht="14.25" customHeight="1">
      <c r="A243" s="28" t="s">
        <v>434</v>
      </c>
      <c r="B243" s="29" t="s">
        <v>435</v>
      </c>
      <c r="C243" s="29" t="s">
        <v>7041</v>
      </c>
      <c r="D243" s="30">
        <v>45658.0</v>
      </c>
      <c r="E243" s="30">
        <v>46022.0</v>
      </c>
      <c r="F243" s="39">
        <v>126.21</v>
      </c>
      <c r="G243" s="39">
        <v>460.0</v>
      </c>
      <c r="H243" s="32" t="s">
        <v>7046</v>
      </c>
      <c r="I243" s="30">
        <v>46023.0</v>
      </c>
      <c r="J243" s="30">
        <v>46387.0</v>
      </c>
      <c r="K243" s="39">
        <v>0.0</v>
      </c>
      <c r="L243" s="39">
        <v>0.0</v>
      </c>
      <c r="M243" s="35" t="s">
        <v>7045</v>
      </c>
      <c r="N243" s="30">
        <v>46388.0</v>
      </c>
      <c r="O243" s="30">
        <v>46752.0</v>
      </c>
      <c r="P243" s="39">
        <v>0.0</v>
      </c>
      <c r="Q243" s="39">
        <v>0.0</v>
      </c>
      <c r="R243" s="35" t="s">
        <v>7045</v>
      </c>
      <c r="S243" s="30">
        <v>46753.0</v>
      </c>
      <c r="T243" s="30">
        <v>47118.0</v>
      </c>
      <c r="U243" s="39">
        <v>0.0</v>
      </c>
      <c r="V243" s="39">
        <v>0.0</v>
      </c>
      <c r="W243" s="35" t="s">
        <v>7045</v>
      </c>
      <c r="X243" s="30">
        <v>47119.0</v>
      </c>
      <c r="Y243" s="30">
        <v>47483.0</v>
      </c>
      <c r="Z243" s="39">
        <v>0.0</v>
      </c>
      <c r="AA243" s="39">
        <v>0.0</v>
      </c>
      <c r="AB243" s="35" t="s">
        <v>7045</v>
      </c>
      <c r="AC243" s="30">
        <v>47484.0</v>
      </c>
      <c r="AD243" s="30">
        <v>47848.0</v>
      </c>
      <c r="AE243" s="39">
        <v>0.0</v>
      </c>
      <c r="AF243" s="39">
        <v>0.0</v>
      </c>
      <c r="AG243" s="35" t="s">
        <v>7045</v>
      </c>
      <c r="AH243" s="30">
        <v>45292.0</v>
      </c>
      <c r="AI243" s="30">
        <v>45657.0</v>
      </c>
      <c r="AJ243" s="39">
        <v>449.01</v>
      </c>
      <c r="AK243" s="39">
        <v>365.0</v>
      </c>
      <c r="AL243" s="38" t="s">
        <v>7047</v>
      </c>
      <c r="AM243" s="30">
        <v>44562.0</v>
      </c>
      <c r="AN243" s="30">
        <v>44926.0</v>
      </c>
      <c r="AO243" s="39">
        <v>299.6</v>
      </c>
      <c r="AP243" s="39">
        <v>350.8</v>
      </c>
      <c r="AQ243" s="37" t="s">
        <v>7046</v>
      </c>
      <c r="AR243" s="30">
        <v>44927.0</v>
      </c>
      <c r="AS243" s="30">
        <v>45291.0</v>
      </c>
      <c r="AT243" s="39">
        <v>355.67</v>
      </c>
      <c r="AU243" s="39">
        <v>0.0</v>
      </c>
      <c r="AV243" s="38" t="s">
        <v>7047</v>
      </c>
    </row>
    <row r="244" ht="14.25" customHeight="1">
      <c r="A244" s="28" t="s">
        <v>499</v>
      </c>
      <c r="B244" s="29" t="s">
        <v>500</v>
      </c>
      <c r="C244" s="29" t="s">
        <v>7041</v>
      </c>
      <c r="D244" s="30">
        <v>45658.0</v>
      </c>
      <c r="E244" s="30">
        <v>46022.0</v>
      </c>
      <c r="F244" s="39">
        <v>56.58</v>
      </c>
      <c r="G244" s="39">
        <v>302.0</v>
      </c>
      <c r="H244" s="32" t="s">
        <v>7043</v>
      </c>
      <c r="I244" s="30">
        <v>46023.0</v>
      </c>
      <c r="J244" s="30">
        <v>46387.0</v>
      </c>
      <c r="K244" s="39">
        <v>0.0</v>
      </c>
      <c r="L244" s="39">
        <v>0.0</v>
      </c>
      <c r="M244" s="35" t="s">
        <v>7045</v>
      </c>
      <c r="N244" s="30">
        <v>46388.0</v>
      </c>
      <c r="O244" s="30">
        <v>46752.0</v>
      </c>
      <c r="P244" s="39">
        <v>0.0</v>
      </c>
      <c r="Q244" s="39">
        <v>0.0</v>
      </c>
      <c r="R244" s="35" t="s">
        <v>7045</v>
      </c>
      <c r="S244" s="30">
        <v>46753.0</v>
      </c>
      <c r="T244" s="30">
        <v>47118.0</v>
      </c>
      <c r="U244" s="39">
        <v>0.0</v>
      </c>
      <c r="V244" s="39">
        <v>0.0</v>
      </c>
      <c r="W244" s="35" t="s">
        <v>7045</v>
      </c>
      <c r="X244" s="30">
        <v>47119.0</v>
      </c>
      <c r="Y244" s="30">
        <v>47483.0</v>
      </c>
      <c r="Z244" s="39">
        <v>0.0</v>
      </c>
      <c r="AA244" s="39">
        <v>0.0</v>
      </c>
      <c r="AB244" s="35" t="s">
        <v>7045</v>
      </c>
      <c r="AC244" s="30">
        <v>47484.0</v>
      </c>
      <c r="AD244" s="30">
        <v>47848.0</v>
      </c>
      <c r="AE244" s="39">
        <v>0.0</v>
      </c>
      <c r="AF244" s="39">
        <v>0.0</v>
      </c>
      <c r="AG244" s="35" t="s">
        <v>7045</v>
      </c>
      <c r="AH244" s="30">
        <v>45292.0</v>
      </c>
      <c r="AI244" s="30">
        <v>45657.0</v>
      </c>
      <c r="AJ244" s="39">
        <v>229.42</v>
      </c>
      <c r="AK244" s="39">
        <v>312.0</v>
      </c>
      <c r="AL244" s="37" t="s">
        <v>7046</v>
      </c>
      <c r="AM244" s="30">
        <v>44562.0</v>
      </c>
      <c r="AN244" s="30">
        <v>44926.0</v>
      </c>
      <c r="AO244" s="39">
        <v>188.4</v>
      </c>
      <c r="AP244" s="39">
        <v>320.0</v>
      </c>
      <c r="AQ244" s="37" t="s">
        <v>7046</v>
      </c>
      <c r="AR244" s="30">
        <v>44927.0</v>
      </c>
      <c r="AS244" s="30">
        <v>45291.0</v>
      </c>
      <c r="AT244" s="39">
        <v>196.11</v>
      </c>
      <c r="AU244" s="39">
        <v>302.0</v>
      </c>
      <c r="AV244" s="37" t="s">
        <v>7046</v>
      </c>
    </row>
    <row r="245" ht="14.25" customHeight="1">
      <c r="A245" s="28" t="s">
        <v>515</v>
      </c>
      <c r="B245" s="29" t="s">
        <v>516</v>
      </c>
      <c r="C245" s="29" t="s">
        <v>7041</v>
      </c>
      <c r="D245" s="30">
        <v>45658.0</v>
      </c>
      <c r="E245" s="30">
        <v>46022.0</v>
      </c>
      <c r="F245" s="39">
        <v>30.48</v>
      </c>
      <c r="G245" s="39">
        <v>230.0</v>
      </c>
      <c r="H245" s="32" t="s">
        <v>7043</v>
      </c>
      <c r="I245" s="30">
        <v>46023.0</v>
      </c>
      <c r="J245" s="30">
        <v>46387.0</v>
      </c>
      <c r="K245" s="39">
        <v>0.0</v>
      </c>
      <c r="L245" s="39">
        <v>0.0</v>
      </c>
      <c r="M245" s="35" t="s">
        <v>7045</v>
      </c>
      <c r="N245" s="30">
        <v>46388.0</v>
      </c>
      <c r="O245" s="30">
        <v>46752.0</v>
      </c>
      <c r="P245" s="39">
        <v>0.0</v>
      </c>
      <c r="Q245" s="39">
        <v>0.0</v>
      </c>
      <c r="R245" s="35" t="s">
        <v>7045</v>
      </c>
      <c r="S245" s="30">
        <v>46753.0</v>
      </c>
      <c r="T245" s="30">
        <v>47118.0</v>
      </c>
      <c r="U245" s="39">
        <v>0.0</v>
      </c>
      <c r="V245" s="39">
        <v>0.0</v>
      </c>
      <c r="W245" s="35" t="s">
        <v>7045</v>
      </c>
      <c r="X245" s="30">
        <v>47119.0</v>
      </c>
      <c r="Y245" s="30">
        <v>47483.0</v>
      </c>
      <c r="Z245" s="39">
        <v>0.0</v>
      </c>
      <c r="AA245" s="39">
        <v>0.0</v>
      </c>
      <c r="AB245" s="35" t="s">
        <v>7045</v>
      </c>
      <c r="AC245" s="30">
        <v>47484.0</v>
      </c>
      <c r="AD245" s="30">
        <v>47848.0</v>
      </c>
      <c r="AE245" s="39">
        <v>0.0</v>
      </c>
      <c r="AF245" s="39">
        <v>0.0</v>
      </c>
      <c r="AG245" s="35" t="s">
        <v>7045</v>
      </c>
      <c r="AH245" s="30">
        <v>45292.0</v>
      </c>
      <c r="AI245" s="30">
        <v>45657.0</v>
      </c>
      <c r="AJ245" s="39">
        <v>213.86</v>
      </c>
      <c r="AK245" s="39">
        <v>210.0</v>
      </c>
      <c r="AL245" s="38" t="s">
        <v>7047</v>
      </c>
      <c r="AM245" s="30">
        <v>44562.0</v>
      </c>
      <c r="AN245" s="30">
        <v>44926.0</v>
      </c>
      <c r="AO245" s="39">
        <v>269.9</v>
      </c>
      <c r="AP245" s="39">
        <v>270.0</v>
      </c>
      <c r="AQ245" s="37" t="s">
        <v>7046</v>
      </c>
      <c r="AR245" s="30">
        <v>44927.0</v>
      </c>
      <c r="AS245" s="30">
        <v>45291.0</v>
      </c>
      <c r="AT245" s="39">
        <v>202.01</v>
      </c>
      <c r="AU245" s="39">
        <v>300.0</v>
      </c>
      <c r="AV245" s="37" t="s">
        <v>7046</v>
      </c>
    </row>
    <row r="246" ht="14.25" customHeight="1">
      <c r="A246" s="28" t="s">
        <v>626</v>
      </c>
      <c r="B246" s="29" t="s">
        <v>627</v>
      </c>
      <c r="C246" s="29" t="s">
        <v>7041</v>
      </c>
      <c r="D246" s="30">
        <v>45658.0</v>
      </c>
      <c r="E246" s="30">
        <v>46022.0</v>
      </c>
      <c r="F246" s="36">
        <v>100.36</v>
      </c>
      <c r="G246" s="36">
        <v>1145.99</v>
      </c>
      <c r="H246" s="32" t="s">
        <v>7043</v>
      </c>
      <c r="I246" s="30">
        <v>46023.0</v>
      </c>
      <c r="J246" s="30">
        <v>46387.0</v>
      </c>
      <c r="K246" s="36">
        <v>0.0</v>
      </c>
      <c r="L246" s="36">
        <v>0.0</v>
      </c>
      <c r="M246" s="35" t="s">
        <v>7045</v>
      </c>
      <c r="N246" s="30">
        <v>46388.0</v>
      </c>
      <c r="O246" s="30">
        <v>46752.0</v>
      </c>
      <c r="P246" s="36">
        <v>0.0</v>
      </c>
      <c r="Q246" s="36">
        <v>0.0</v>
      </c>
      <c r="R246" s="35" t="s">
        <v>7045</v>
      </c>
      <c r="S246" s="30">
        <v>46753.0</v>
      </c>
      <c r="T246" s="30">
        <v>47118.0</v>
      </c>
      <c r="U246" s="36">
        <v>0.0</v>
      </c>
      <c r="V246" s="36">
        <v>0.0</v>
      </c>
      <c r="W246" s="35" t="s">
        <v>7045</v>
      </c>
      <c r="X246" s="30">
        <v>47119.0</v>
      </c>
      <c r="Y246" s="30">
        <v>47483.0</v>
      </c>
      <c r="Z246" s="36">
        <v>0.0</v>
      </c>
      <c r="AA246" s="36">
        <v>0.0</v>
      </c>
      <c r="AB246" s="35" t="s">
        <v>7045</v>
      </c>
      <c r="AC246" s="30">
        <v>47484.0</v>
      </c>
      <c r="AD246" s="30">
        <v>47848.0</v>
      </c>
      <c r="AE246" s="36">
        <v>0.0</v>
      </c>
      <c r="AF246" s="36">
        <v>0.0</v>
      </c>
      <c r="AG246" s="35" t="s">
        <v>7045</v>
      </c>
      <c r="AH246" s="30">
        <v>45292.0</v>
      </c>
      <c r="AI246" s="30">
        <v>45657.0</v>
      </c>
      <c r="AJ246" s="36">
        <v>1037.11</v>
      </c>
      <c r="AK246" s="36">
        <v>779.99</v>
      </c>
      <c r="AL246" s="38" t="s">
        <v>7047</v>
      </c>
      <c r="AM246" s="30">
        <v>44562.0</v>
      </c>
      <c r="AN246" s="30">
        <v>44926.0</v>
      </c>
      <c r="AO246" s="36">
        <v>180.4</v>
      </c>
      <c r="AP246" s="36">
        <v>550.0</v>
      </c>
      <c r="AQ246" s="32" t="s">
        <v>7043</v>
      </c>
      <c r="AR246" s="30">
        <v>44927.0</v>
      </c>
      <c r="AS246" s="30">
        <v>45291.0</v>
      </c>
      <c r="AT246" s="36">
        <v>763.96</v>
      </c>
      <c r="AU246" s="36">
        <v>556.0</v>
      </c>
      <c r="AV246" s="38" t="s">
        <v>7047</v>
      </c>
    </row>
    <row r="247" ht="14.25" customHeight="1">
      <c r="A247" s="28" t="s">
        <v>631</v>
      </c>
      <c r="B247" s="29" t="s">
        <v>632</v>
      </c>
      <c r="C247" s="29" t="s">
        <v>7041</v>
      </c>
      <c r="D247" s="30">
        <v>45658.0</v>
      </c>
      <c r="E247" s="30">
        <v>46022.0</v>
      </c>
      <c r="F247" s="36">
        <v>139.59</v>
      </c>
      <c r="G247" s="36">
        <v>434.0</v>
      </c>
      <c r="H247" s="32" t="s">
        <v>7046</v>
      </c>
      <c r="I247" s="30">
        <v>46023.0</v>
      </c>
      <c r="J247" s="30">
        <v>46387.0</v>
      </c>
      <c r="K247" s="36">
        <v>0.0</v>
      </c>
      <c r="L247" s="36">
        <v>0.0</v>
      </c>
      <c r="M247" s="35" t="s">
        <v>7045</v>
      </c>
      <c r="N247" s="30">
        <v>46388.0</v>
      </c>
      <c r="O247" s="30">
        <v>46752.0</v>
      </c>
      <c r="P247" s="36">
        <v>0.0</v>
      </c>
      <c r="Q247" s="36">
        <v>0.0</v>
      </c>
      <c r="R247" s="35" t="s">
        <v>7045</v>
      </c>
      <c r="S247" s="30">
        <v>46753.0</v>
      </c>
      <c r="T247" s="30">
        <v>47118.0</v>
      </c>
      <c r="U247" s="36">
        <v>0.0</v>
      </c>
      <c r="V247" s="36">
        <v>0.0</v>
      </c>
      <c r="W247" s="35" t="s">
        <v>7045</v>
      </c>
      <c r="X247" s="30">
        <v>47119.0</v>
      </c>
      <c r="Y247" s="30">
        <v>47483.0</v>
      </c>
      <c r="Z247" s="36">
        <v>0.0</v>
      </c>
      <c r="AA247" s="36">
        <v>0.0</v>
      </c>
      <c r="AB247" s="35" t="s">
        <v>7045</v>
      </c>
      <c r="AC247" s="30">
        <v>47484.0</v>
      </c>
      <c r="AD247" s="30">
        <v>47848.0</v>
      </c>
      <c r="AE247" s="36">
        <v>0.0</v>
      </c>
      <c r="AF247" s="36">
        <v>0.0</v>
      </c>
      <c r="AG247" s="35" t="s">
        <v>7045</v>
      </c>
      <c r="AH247" s="30">
        <v>45292.0</v>
      </c>
      <c r="AI247" s="30">
        <v>45657.0</v>
      </c>
      <c r="AJ247" s="36">
        <v>246.48</v>
      </c>
      <c r="AK247" s="36">
        <v>332.0</v>
      </c>
      <c r="AL247" s="37" t="s">
        <v>7046</v>
      </c>
      <c r="AM247" s="30">
        <v>44562.0</v>
      </c>
      <c r="AN247" s="30">
        <v>44926.0</v>
      </c>
      <c r="AO247" s="36">
        <v>189.1</v>
      </c>
      <c r="AP247" s="36">
        <v>484.0</v>
      </c>
      <c r="AQ247" s="32" t="s">
        <v>7043</v>
      </c>
      <c r="AR247" s="30">
        <v>44927.0</v>
      </c>
      <c r="AS247" s="30">
        <v>45291.0</v>
      </c>
      <c r="AT247" s="36">
        <v>206.91</v>
      </c>
      <c r="AU247" s="36">
        <v>332.0</v>
      </c>
      <c r="AV247" s="37" t="s">
        <v>7046</v>
      </c>
    </row>
    <row r="248" ht="14.25" customHeight="1">
      <c r="A248" s="28" t="s">
        <v>635</v>
      </c>
      <c r="B248" s="29" t="s">
        <v>636</v>
      </c>
      <c r="C248" s="29" t="s">
        <v>7041</v>
      </c>
      <c r="D248" s="30">
        <v>45658.0</v>
      </c>
      <c r="E248" s="30">
        <v>46022.0</v>
      </c>
      <c r="F248" s="39">
        <v>757.95</v>
      </c>
      <c r="G248" s="39">
        <v>1037.0</v>
      </c>
      <c r="H248" s="38" t="s">
        <v>7047</v>
      </c>
      <c r="I248" s="30">
        <v>46023.0</v>
      </c>
      <c r="J248" s="30">
        <v>46387.0</v>
      </c>
      <c r="K248" s="39">
        <v>0.0</v>
      </c>
      <c r="L248" s="39">
        <v>0.0</v>
      </c>
      <c r="M248" s="35" t="s">
        <v>7045</v>
      </c>
      <c r="N248" s="30">
        <v>46388.0</v>
      </c>
      <c r="O248" s="30">
        <v>46752.0</v>
      </c>
      <c r="P248" s="39">
        <v>0.0</v>
      </c>
      <c r="Q248" s="39">
        <v>0.0</v>
      </c>
      <c r="R248" s="35" t="s">
        <v>7045</v>
      </c>
      <c r="S248" s="30">
        <v>46753.0</v>
      </c>
      <c r="T248" s="30">
        <v>47118.0</v>
      </c>
      <c r="U248" s="39">
        <v>0.0</v>
      </c>
      <c r="V248" s="39">
        <v>0.0</v>
      </c>
      <c r="W248" s="35" t="s">
        <v>7045</v>
      </c>
      <c r="X248" s="30">
        <v>47119.0</v>
      </c>
      <c r="Y248" s="30">
        <v>47483.0</v>
      </c>
      <c r="Z248" s="39">
        <v>0.0</v>
      </c>
      <c r="AA248" s="39">
        <v>0.0</v>
      </c>
      <c r="AB248" s="35" t="s">
        <v>7045</v>
      </c>
      <c r="AC248" s="30">
        <v>47484.0</v>
      </c>
      <c r="AD248" s="30">
        <v>47848.0</v>
      </c>
      <c r="AE248" s="39">
        <v>0.0</v>
      </c>
      <c r="AF248" s="39">
        <v>0.0</v>
      </c>
      <c r="AG248" s="35" t="s">
        <v>7045</v>
      </c>
      <c r="AH248" s="30">
        <v>45292.0</v>
      </c>
      <c r="AI248" s="30">
        <v>45657.0</v>
      </c>
      <c r="AJ248" s="39">
        <v>834.03</v>
      </c>
      <c r="AK248" s="39">
        <v>1500.0</v>
      </c>
      <c r="AL248" s="37" t="s">
        <v>7046</v>
      </c>
      <c r="AM248" s="30">
        <v>44562.0</v>
      </c>
      <c r="AN248" s="30">
        <v>44926.0</v>
      </c>
      <c r="AO248" s="39">
        <v>568.8</v>
      </c>
      <c r="AP248" s="39">
        <v>630.0</v>
      </c>
      <c r="AQ248" s="37" t="s">
        <v>7046</v>
      </c>
      <c r="AR248" s="30">
        <v>44927.0</v>
      </c>
      <c r="AS248" s="30">
        <v>45291.0</v>
      </c>
      <c r="AT248" s="39">
        <v>1015.02</v>
      </c>
      <c r="AU248" s="39">
        <v>1001.0</v>
      </c>
      <c r="AV248" s="38" t="s">
        <v>7047</v>
      </c>
    </row>
    <row r="249" ht="14.25" customHeight="1">
      <c r="A249" s="28" t="s">
        <v>641</v>
      </c>
      <c r="B249" s="29" t="s">
        <v>642</v>
      </c>
      <c r="C249" s="29" t="s">
        <v>7041</v>
      </c>
      <c r="D249" s="30">
        <v>45658.0</v>
      </c>
      <c r="E249" s="30">
        <v>46022.0</v>
      </c>
      <c r="F249" s="39">
        <v>142.59</v>
      </c>
      <c r="G249" s="39">
        <v>553.0</v>
      </c>
      <c r="H249" s="32" t="s">
        <v>7043</v>
      </c>
      <c r="I249" s="30">
        <v>46023.0</v>
      </c>
      <c r="J249" s="30">
        <v>46387.0</v>
      </c>
      <c r="K249" s="39">
        <v>0.0</v>
      </c>
      <c r="L249" s="39">
        <v>0.0</v>
      </c>
      <c r="M249" s="35" t="s">
        <v>7045</v>
      </c>
      <c r="N249" s="30">
        <v>46388.0</v>
      </c>
      <c r="O249" s="30">
        <v>46752.0</v>
      </c>
      <c r="P249" s="39">
        <v>0.0</v>
      </c>
      <c r="Q249" s="39">
        <v>0.0</v>
      </c>
      <c r="R249" s="35" t="s">
        <v>7045</v>
      </c>
      <c r="S249" s="30">
        <v>46753.0</v>
      </c>
      <c r="T249" s="30">
        <v>47118.0</v>
      </c>
      <c r="U249" s="39">
        <v>0.0</v>
      </c>
      <c r="V249" s="39">
        <v>0.0</v>
      </c>
      <c r="W249" s="35" t="s">
        <v>7045</v>
      </c>
      <c r="X249" s="30">
        <v>47119.0</v>
      </c>
      <c r="Y249" s="30">
        <v>47483.0</v>
      </c>
      <c r="Z249" s="39">
        <v>0.0</v>
      </c>
      <c r="AA249" s="39">
        <v>0.0</v>
      </c>
      <c r="AB249" s="35" t="s">
        <v>7045</v>
      </c>
      <c r="AC249" s="30">
        <v>47484.0</v>
      </c>
      <c r="AD249" s="30">
        <v>47848.0</v>
      </c>
      <c r="AE249" s="39">
        <v>0.0</v>
      </c>
      <c r="AF249" s="39">
        <v>0.0</v>
      </c>
      <c r="AG249" s="35" t="s">
        <v>7045</v>
      </c>
      <c r="AH249" s="30">
        <v>45292.0</v>
      </c>
      <c r="AI249" s="30">
        <v>45657.0</v>
      </c>
      <c r="AJ249" s="39">
        <v>526.5</v>
      </c>
      <c r="AK249" s="39">
        <v>350.0</v>
      </c>
      <c r="AL249" s="38" t="s">
        <v>7047</v>
      </c>
      <c r="AM249" s="30">
        <v>44562.0</v>
      </c>
      <c r="AN249" s="30">
        <v>44926.0</v>
      </c>
      <c r="AO249" s="39">
        <v>484.3</v>
      </c>
      <c r="AP249" s="39">
        <v>420.0</v>
      </c>
      <c r="AQ249" s="38" t="s">
        <v>7047</v>
      </c>
      <c r="AR249" s="30">
        <v>44927.0</v>
      </c>
      <c r="AS249" s="30">
        <v>45291.0</v>
      </c>
      <c r="AT249" s="39">
        <v>24.52</v>
      </c>
      <c r="AU249" s="39">
        <v>585.0</v>
      </c>
      <c r="AV249" s="32" t="s">
        <v>7043</v>
      </c>
    </row>
    <row r="250" ht="14.25" customHeight="1">
      <c r="A250" s="28" t="s">
        <v>649</v>
      </c>
      <c r="B250" s="29" t="s">
        <v>650</v>
      </c>
      <c r="C250" s="29" t="s">
        <v>7041</v>
      </c>
      <c r="D250" s="30">
        <v>45658.0</v>
      </c>
      <c r="E250" s="30">
        <v>46022.0</v>
      </c>
      <c r="F250" s="39">
        <v>52.59</v>
      </c>
      <c r="G250" s="39">
        <v>291.0</v>
      </c>
      <c r="H250" s="32" t="s">
        <v>7043</v>
      </c>
      <c r="I250" s="30">
        <v>46023.0</v>
      </c>
      <c r="J250" s="30">
        <v>46387.0</v>
      </c>
      <c r="K250" s="39">
        <v>0.0</v>
      </c>
      <c r="L250" s="39">
        <v>0.0</v>
      </c>
      <c r="M250" s="35" t="s">
        <v>7045</v>
      </c>
      <c r="N250" s="30">
        <v>46388.0</v>
      </c>
      <c r="O250" s="30">
        <v>46752.0</v>
      </c>
      <c r="P250" s="39">
        <v>0.0</v>
      </c>
      <c r="Q250" s="39">
        <v>0.0</v>
      </c>
      <c r="R250" s="35" t="s">
        <v>7045</v>
      </c>
      <c r="S250" s="30">
        <v>46753.0</v>
      </c>
      <c r="T250" s="30">
        <v>47118.0</v>
      </c>
      <c r="U250" s="39">
        <v>0.0</v>
      </c>
      <c r="V250" s="39">
        <v>0.0</v>
      </c>
      <c r="W250" s="35" t="s">
        <v>7045</v>
      </c>
      <c r="X250" s="30">
        <v>47119.0</v>
      </c>
      <c r="Y250" s="30">
        <v>47483.0</v>
      </c>
      <c r="Z250" s="39">
        <v>0.0</v>
      </c>
      <c r="AA250" s="39">
        <v>0.0</v>
      </c>
      <c r="AB250" s="35" t="s">
        <v>7045</v>
      </c>
      <c r="AC250" s="30">
        <v>47484.0</v>
      </c>
      <c r="AD250" s="30">
        <v>47848.0</v>
      </c>
      <c r="AE250" s="39">
        <v>0.0</v>
      </c>
      <c r="AF250" s="39">
        <v>0.0</v>
      </c>
      <c r="AG250" s="35" t="s">
        <v>7045</v>
      </c>
      <c r="AH250" s="30">
        <v>45292.0</v>
      </c>
      <c r="AI250" s="30">
        <v>45657.0</v>
      </c>
      <c r="AJ250" s="39">
        <v>220.51</v>
      </c>
      <c r="AK250" s="39">
        <v>291.0</v>
      </c>
      <c r="AL250" s="37" t="s">
        <v>7046</v>
      </c>
      <c r="AM250" s="30">
        <v>44562.0</v>
      </c>
      <c r="AN250" s="30">
        <v>44926.0</v>
      </c>
      <c r="AO250" s="39">
        <v>188.5</v>
      </c>
      <c r="AP250" s="39">
        <v>285.0</v>
      </c>
      <c r="AQ250" s="37" t="s">
        <v>7046</v>
      </c>
      <c r="AR250" s="30">
        <v>44927.0</v>
      </c>
      <c r="AS250" s="30">
        <v>45291.0</v>
      </c>
      <c r="AT250" s="39">
        <v>158.55</v>
      </c>
      <c r="AU250" s="39">
        <v>291.0</v>
      </c>
      <c r="AV250" s="37" t="s">
        <v>7046</v>
      </c>
    </row>
    <row r="251" ht="14.25" customHeight="1">
      <c r="A251" s="28" t="s">
        <v>767</v>
      </c>
      <c r="B251" s="29" t="s">
        <v>768</v>
      </c>
      <c r="C251" s="29" t="s">
        <v>7041</v>
      </c>
      <c r="D251" s="30">
        <v>45658.0</v>
      </c>
      <c r="E251" s="30">
        <v>46022.0</v>
      </c>
      <c r="F251" s="36">
        <v>59.32</v>
      </c>
      <c r="G251" s="36">
        <v>999.99</v>
      </c>
      <c r="H251" s="32" t="s">
        <v>7043</v>
      </c>
      <c r="I251" s="30">
        <v>46023.0</v>
      </c>
      <c r="J251" s="30">
        <v>46387.0</v>
      </c>
      <c r="K251" s="36">
        <v>0.0</v>
      </c>
      <c r="L251" s="36">
        <v>0.0</v>
      </c>
      <c r="M251" s="35" t="s">
        <v>7045</v>
      </c>
      <c r="N251" s="30">
        <v>46388.0</v>
      </c>
      <c r="O251" s="30">
        <v>46752.0</v>
      </c>
      <c r="P251" s="36">
        <v>0.0</v>
      </c>
      <c r="Q251" s="36">
        <v>0.0</v>
      </c>
      <c r="R251" s="35" t="s">
        <v>7045</v>
      </c>
      <c r="S251" s="30">
        <v>46753.0</v>
      </c>
      <c r="T251" s="30">
        <v>47118.0</v>
      </c>
      <c r="U251" s="36">
        <v>0.0</v>
      </c>
      <c r="V251" s="36">
        <v>0.0</v>
      </c>
      <c r="W251" s="35" t="s">
        <v>7045</v>
      </c>
      <c r="X251" s="30">
        <v>47119.0</v>
      </c>
      <c r="Y251" s="30">
        <v>47483.0</v>
      </c>
      <c r="Z251" s="36">
        <v>0.0</v>
      </c>
      <c r="AA251" s="36">
        <v>0.0</v>
      </c>
      <c r="AB251" s="35" t="s">
        <v>7045</v>
      </c>
      <c r="AC251" s="30">
        <v>47484.0</v>
      </c>
      <c r="AD251" s="30">
        <v>47848.0</v>
      </c>
      <c r="AE251" s="36">
        <v>0.0</v>
      </c>
      <c r="AF251" s="36">
        <v>0.0</v>
      </c>
      <c r="AG251" s="35" t="s">
        <v>7045</v>
      </c>
      <c r="AH251" s="30">
        <v>45292.0</v>
      </c>
      <c r="AI251" s="30">
        <v>45657.0</v>
      </c>
      <c r="AJ251" s="36">
        <v>241.61</v>
      </c>
      <c r="AK251" s="36">
        <v>250.0</v>
      </c>
      <c r="AL251" s="37" t="s">
        <v>7046</v>
      </c>
      <c r="AM251" s="30">
        <v>44562.0</v>
      </c>
      <c r="AN251" s="30">
        <v>44926.0</v>
      </c>
      <c r="AO251" s="36">
        <v>75.8</v>
      </c>
      <c r="AP251" s="36">
        <v>0.0</v>
      </c>
      <c r="AQ251" s="38" t="s">
        <v>7047</v>
      </c>
      <c r="AR251" s="30">
        <v>44927.0</v>
      </c>
      <c r="AS251" s="30">
        <v>45291.0</v>
      </c>
      <c r="AT251" s="36">
        <v>203.1</v>
      </c>
      <c r="AU251" s="36">
        <v>0.0</v>
      </c>
      <c r="AV251" s="38" t="s">
        <v>7047</v>
      </c>
    </row>
    <row r="252" ht="14.25" customHeight="1">
      <c r="A252" s="28" t="s">
        <v>791</v>
      </c>
      <c r="B252" s="29" t="s">
        <v>792</v>
      </c>
      <c r="C252" s="29" t="s">
        <v>7041</v>
      </c>
      <c r="D252" s="30">
        <v>45658.0</v>
      </c>
      <c r="E252" s="30">
        <v>46022.0</v>
      </c>
      <c r="F252" s="39">
        <v>17.22</v>
      </c>
      <c r="G252" s="39">
        <v>550.0</v>
      </c>
      <c r="H252" s="32" t="s">
        <v>7043</v>
      </c>
      <c r="I252" s="30">
        <v>46023.0</v>
      </c>
      <c r="J252" s="30">
        <v>46387.0</v>
      </c>
      <c r="K252" s="39">
        <v>0.0</v>
      </c>
      <c r="L252" s="39">
        <v>0.0</v>
      </c>
      <c r="M252" s="35" t="s">
        <v>7045</v>
      </c>
      <c r="N252" s="30">
        <v>46388.0</v>
      </c>
      <c r="O252" s="30">
        <v>46752.0</v>
      </c>
      <c r="P252" s="39">
        <v>0.0</v>
      </c>
      <c r="Q252" s="39">
        <v>0.0</v>
      </c>
      <c r="R252" s="35" t="s">
        <v>7045</v>
      </c>
      <c r="S252" s="30">
        <v>46753.0</v>
      </c>
      <c r="T252" s="30">
        <v>47118.0</v>
      </c>
      <c r="U252" s="39">
        <v>0.0</v>
      </c>
      <c r="V252" s="39">
        <v>0.0</v>
      </c>
      <c r="W252" s="35" t="s">
        <v>7045</v>
      </c>
      <c r="X252" s="30">
        <v>47119.0</v>
      </c>
      <c r="Y252" s="30">
        <v>47483.0</v>
      </c>
      <c r="Z252" s="39">
        <v>0.0</v>
      </c>
      <c r="AA252" s="39">
        <v>0.0</v>
      </c>
      <c r="AB252" s="35" t="s">
        <v>7045</v>
      </c>
      <c r="AC252" s="30">
        <v>47484.0</v>
      </c>
      <c r="AD252" s="30">
        <v>47848.0</v>
      </c>
      <c r="AE252" s="39">
        <v>0.0</v>
      </c>
      <c r="AF252" s="39">
        <v>0.0</v>
      </c>
      <c r="AG252" s="35" t="s">
        <v>7045</v>
      </c>
      <c r="AH252" s="30">
        <v>45292.0</v>
      </c>
      <c r="AI252" s="30">
        <v>45657.0</v>
      </c>
      <c r="AJ252" s="39">
        <v>481.74</v>
      </c>
      <c r="AK252" s="39">
        <v>600.0</v>
      </c>
      <c r="AL252" s="37" t="s">
        <v>7046</v>
      </c>
      <c r="AM252" s="30">
        <v>44562.0</v>
      </c>
      <c r="AN252" s="30">
        <v>44926.0</v>
      </c>
      <c r="AO252" s="39">
        <v>255.9</v>
      </c>
      <c r="AP252" s="39">
        <v>220.0</v>
      </c>
      <c r="AQ252" s="38" t="s">
        <v>7047</v>
      </c>
      <c r="AR252" s="30">
        <v>44927.0</v>
      </c>
      <c r="AS252" s="30">
        <v>45291.0</v>
      </c>
      <c r="AT252" s="39">
        <v>324.86</v>
      </c>
      <c r="AU252" s="39">
        <v>500.0</v>
      </c>
      <c r="AV252" s="37" t="s">
        <v>7046</v>
      </c>
    </row>
    <row r="253" ht="14.25" customHeight="1">
      <c r="A253" s="28" t="s">
        <v>857</v>
      </c>
      <c r="B253" s="29" t="s">
        <v>858</v>
      </c>
      <c r="C253" s="29" t="s">
        <v>7041</v>
      </c>
      <c r="D253" s="30">
        <v>45658.0</v>
      </c>
      <c r="E253" s="30">
        <v>46022.0</v>
      </c>
      <c r="F253" s="39">
        <v>88.22</v>
      </c>
      <c r="G253" s="39">
        <v>300.0</v>
      </c>
      <c r="H253" s="32" t="s">
        <v>7046</v>
      </c>
      <c r="I253" s="30">
        <v>46023.0</v>
      </c>
      <c r="J253" s="30">
        <v>46387.0</v>
      </c>
      <c r="K253" s="39">
        <v>0.0</v>
      </c>
      <c r="L253" s="39">
        <v>0.0</v>
      </c>
      <c r="M253" s="35" t="s">
        <v>7045</v>
      </c>
      <c r="N253" s="30">
        <v>46388.0</v>
      </c>
      <c r="O253" s="30">
        <v>46752.0</v>
      </c>
      <c r="P253" s="39">
        <v>0.0</v>
      </c>
      <c r="Q253" s="39">
        <v>0.0</v>
      </c>
      <c r="R253" s="35" t="s">
        <v>7045</v>
      </c>
      <c r="S253" s="30">
        <v>46753.0</v>
      </c>
      <c r="T253" s="30">
        <v>47118.0</v>
      </c>
      <c r="U253" s="39">
        <v>0.0</v>
      </c>
      <c r="V253" s="39">
        <v>0.0</v>
      </c>
      <c r="W253" s="35" t="s">
        <v>7045</v>
      </c>
      <c r="X253" s="30">
        <v>47119.0</v>
      </c>
      <c r="Y253" s="30">
        <v>47483.0</v>
      </c>
      <c r="Z253" s="39">
        <v>0.0</v>
      </c>
      <c r="AA253" s="39">
        <v>0.0</v>
      </c>
      <c r="AB253" s="35" t="s">
        <v>7045</v>
      </c>
      <c r="AC253" s="30">
        <v>47484.0</v>
      </c>
      <c r="AD253" s="30">
        <v>47848.0</v>
      </c>
      <c r="AE253" s="39">
        <v>0.0</v>
      </c>
      <c r="AF253" s="39">
        <v>0.0</v>
      </c>
      <c r="AG253" s="35" t="s">
        <v>7045</v>
      </c>
      <c r="AH253" s="30">
        <v>45292.0</v>
      </c>
      <c r="AI253" s="30">
        <v>45657.0</v>
      </c>
      <c r="AJ253" s="39">
        <v>247.34</v>
      </c>
      <c r="AK253" s="39">
        <v>375.0</v>
      </c>
      <c r="AL253" s="37" t="s">
        <v>7046</v>
      </c>
      <c r="AM253" s="30">
        <v>44562.0</v>
      </c>
      <c r="AN253" s="30">
        <v>44926.0</v>
      </c>
      <c r="AO253" s="39">
        <v>240.1</v>
      </c>
      <c r="AP253" s="39">
        <v>203.7</v>
      </c>
      <c r="AQ253" s="38" t="s">
        <v>7047</v>
      </c>
      <c r="AR253" s="30">
        <v>44927.0</v>
      </c>
      <c r="AS253" s="30">
        <v>45291.0</v>
      </c>
      <c r="AT253" s="39">
        <v>408.69</v>
      </c>
      <c r="AU253" s="39">
        <v>331.0</v>
      </c>
      <c r="AV253" s="38" t="s">
        <v>7047</v>
      </c>
    </row>
    <row r="254" ht="14.25" customHeight="1">
      <c r="A254" s="28" t="s">
        <v>936</v>
      </c>
      <c r="B254" s="29" t="s">
        <v>937</v>
      </c>
      <c r="C254" s="29" t="s">
        <v>7041</v>
      </c>
      <c r="D254" s="30">
        <v>45658.0</v>
      </c>
      <c r="E254" s="30">
        <v>46022.0</v>
      </c>
      <c r="F254" s="36">
        <v>640.34</v>
      </c>
      <c r="G254" s="36">
        <v>999.99</v>
      </c>
      <c r="H254" s="38" t="s">
        <v>7047</v>
      </c>
      <c r="I254" s="30">
        <v>46023.0</v>
      </c>
      <c r="J254" s="30">
        <v>46387.0</v>
      </c>
      <c r="K254" s="36">
        <v>0.0</v>
      </c>
      <c r="L254" s="36">
        <v>0.0</v>
      </c>
      <c r="M254" s="35" t="s">
        <v>7045</v>
      </c>
      <c r="N254" s="30">
        <v>46388.0</v>
      </c>
      <c r="O254" s="30">
        <v>46752.0</v>
      </c>
      <c r="P254" s="36">
        <v>0.0</v>
      </c>
      <c r="Q254" s="36">
        <v>0.0</v>
      </c>
      <c r="R254" s="35" t="s">
        <v>7045</v>
      </c>
      <c r="S254" s="30">
        <v>46753.0</v>
      </c>
      <c r="T254" s="30">
        <v>47118.0</v>
      </c>
      <c r="U254" s="36">
        <v>0.0</v>
      </c>
      <c r="V254" s="36">
        <v>0.0</v>
      </c>
      <c r="W254" s="35" t="s">
        <v>7045</v>
      </c>
      <c r="X254" s="30">
        <v>47119.0</v>
      </c>
      <c r="Y254" s="30">
        <v>47483.0</v>
      </c>
      <c r="Z254" s="36">
        <v>0.0</v>
      </c>
      <c r="AA254" s="36">
        <v>0.0</v>
      </c>
      <c r="AB254" s="35" t="s">
        <v>7045</v>
      </c>
      <c r="AC254" s="30">
        <v>47484.0</v>
      </c>
      <c r="AD254" s="30">
        <v>47848.0</v>
      </c>
      <c r="AE254" s="36">
        <v>0.0</v>
      </c>
      <c r="AF254" s="36">
        <v>0.0</v>
      </c>
      <c r="AG254" s="35" t="s">
        <v>7045</v>
      </c>
      <c r="AH254" s="30">
        <v>45292.0</v>
      </c>
      <c r="AI254" s="30">
        <v>45657.0</v>
      </c>
      <c r="AJ254" s="36">
        <v>702.9</v>
      </c>
      <c r="AK254" s="36">
        <v>999.99</v>
      </c>
      <c r="AL254" s="37" t="s">
        <v>7046</v>
      </c>
      <c r="AM254" s="30">
        <v>44562.0</v>
      </c>
      <c r="AN254" s="30">
        <v>44926.0</v>
      </c>
      <c r="AO254" s="36">
        <v>456.3</v>
      </c>
      <c r="AP254" s="36">
        <v>699.99</v>
      </c>
      <c r="AQ254" s="37" t="s">
        <v>7046</v>
      </c>
      <c r="AR254" s="30">
        <v>44927.0</v>
      </c>
      <c r="AS254" s="30">
        <v>45291.0</v>
      </c>
      <c r="AT254" s="36">
        <v>893.13</v>
      </c>
      <c r="AU254" s="36">
        <v>799.99</v>
      </c>
      <c r="AV254" s="38" t="s">
        <v>7047</v>
      </c>
    </row>
    <row r="255" ht="14.25" customHeight="1">
      <c r="A255" s="28" t="s">
        <v>988</v>
      </c>
      <c r="B255" s="29" t="s">
        <v>989</v>
      </c>
      <c r="C255" s="29" t="s">
        <v>7041</v>
      </c>
      <c r="D255" s="30">
        <v>45658.0</v>
      </c>
      <c r="E255" s="30">
        <v>46022.0</v>
      </c>
      <c r="F255" s="39">
        <v>82.4</v>
      </c>
      <c r="G255" s="39">
        <v>350.0</v>
      </c>
      <c r="H255" s="32" t="s">
        <v>7043</v>
      </c>
      <c r="I255" s="30">
        <v>46023.0</v>
      </c>
      <c r="J255" s="30">
        <v>46387.0</v>
      </c>
      <c r="K255" s="39">
        <v>0.0</v>
      </c>
      <c r="L255" s="39">
        <v>0.0</v>
      </c>
      <c r="M255" s="35" t="s">
        <v>7045</v>
      </c>
      <c r="N255" s="30">
        <v>46388.0</v>
      </c>
      <c r="O255" s="30">
        <v>46752.0</v>
      </c>
      <c r="P255" s="39">
        <v>0.0</v>
      </c>
      <c r="Q255" s="39">
        <v>0.0</v>
      </c>
      <c r="R255" s="35" t="s">
        <v>7045</v>
      </c>
      <c r="S255" s="30">
        <v>46753.0</v>
      </c>
      <c r="T255" s="30">
        <v>47118.0</v>
      </c>
      <c r="U255" s="39">
        <v>0.0</v>
      </c>
      <c r="V255" s="39">
        <v>0.0</v>
      </c>
      <c r="W255" s="35" t="s">
        <v>7045</v>
      </c>
      <c r="X255" s="30">
        <v>47119.0</v>
      </c>
      <c r="Y255" s="30">
        <v>47483.0</v>
      </c>
      <c r="Z255" s="39">
        <v>0.0</v>
      </c>
      <c r="AA255" s="39">
        <v>0.0</v>
      </c>
      <c r="AB255" s="35" t="s">
        <v>7045</v>
      </c>
      <c r="AC255" s="30">
        <v>47484.0</v>
      </c>
      <c r="AD255" s="30">
        <v>47848.0</v>
      </c>
      <c r="AE255" s="39">
        <v>0.0</v>
      </c>
      <c r="AF255" s="39">
        <v>0.0</v>
      </c>
      <c r="AG255" s="35" t="s">
        <v>7045</v>
      </c>
      <c r="AH255" s="30">
        <v>45292.0</v>
      </c>
      <c r="AI255" s="30">
        <v>45657.0</v>
      </c>
      <c r="AJ255" s="39">
        <v>334.24</v>
      </c>
      <c r="AK255" s="39">
        <v>270.0</v>
      </c>
      <c r="AL255" s="38" t="s">
        <v>7047</v>
      </c>
      <c r="AM255" s="30">
        <v>44562.0</v>
      </c>
      <c r="AN255" s="30">
        <v>44926.0</v>
      </c>
      <c r="AO255" s="39">
        <v>309.4</v>
      </c>
      <c r="AP255" s="39">
        <v>200.0</v>
      </c>
      <c r="AQ255" s="38" t="s">
        <v>7047</v>
      </c>
      <c r="AR255" s="30">
        <v>44927.0</v>
      </c>
      <c r="AS255" s="30">
        <v>45291.0</v>
      </c>
      <c r="AT255" s="39">
        <v>236.71</v>
      </c>
      <c r="AU255" s="39">
        <v>400.0</v>
      </c>
      <c r="AV255" s="37" t="s">
        <v>7046</v>
      </c>
    </row>
    <row r="256" ht="14.25" customHeight="1">
      <c r="A256" s="28" t="s">
        <v>1031</v>
      </c>
      <c r="B256" s="29" t="s">
        <v>1032</v>
      </c>
      <c r="C256" s="29" t="s">
        <v>7041</v>
      </c>
      <c r="D256" s="30">
        <v>45658.0</v>
      </c>
      <c r="E256" s="30">
        <v>46022.0</v>
      </c>
      <c r="F256" s="39">
        <v>129.43</v>
      </c>
      <c r="G256" s="39">
        <v>650.0</v>
      </c>
      <c r="H256" s="32" t="s">
        <v>7043</v>
      </c>
      <c r="I256" s="30">
        <v>46023.0</v>
      </c>
      <c r="J256" s="30">
        <v>46387.0</v>
      </c>
      <c r="K256" s="39">
        <v>0.0</v>
      </c>
      <c r="L256" s="39">
        <v>0.0</v>
      </c>
      <c r="M256" s="35" t="s">
        <v>7045</v>
      </c>
      <c r="N256" s="30">
        <v>46388.0</v>
      </c>
      <c r="O256" s="30">
        <v>46752.0</v>
      </c>
      <c r="P256" s="39">
        <v>0.0</v>
      </c>
      <c r="Q256" s="39">
        <v>0.0</v>
      </c>
      <c r="R256" s="35" t="s">
        <v>7045</v>
      </c>
      <c r="S256" s="30">
        <v>46753.0</v>
      </c>
      <c r="T256" s="30">
        <v>47118.0</v>
      </c>
      <c r="U256" s="39">
        <v>0.0</v>
      </c>
      <c r="V256" s="39">
        <v>0.0</v>
      </c>
      <c r="W256" s="35" t="s">
        <v>7045</v>
      </c>
      <c r="X256" s="30">
        <v>47119.0</v>
      </c>
      <c r="Y256" s="30">
        <v>47483.0</v>
      </c>
      <c r="Z256" s="39">
        <v>0.0</v>
      </c>
      <c r="AA256" s="39">
        <v>0.0</v>
      </c>
      <c r="AB256" s="35" t="s">
        <v>7045</v>
      </c>
      <c r="AC256" s="30">
        <v>47484.0</v>
      </c>
      <c r="AD256" s="30">
        <v>47848.0</v>
      </c>
      <c r="AE256" s="39">
        <v>0.0</v>
      </c>
      <c r="AF256" s="39">
        <v>0.0</v>
      </c>
      <c r="AG256" s="35" t="s">
        <v>7045</v>
      </c>
      <c r="AH256" s="30">
        <v>45292.0</v>
      </c>
      <c r="AI256" s="30">
        <v>45657.0</v>
      </c>
      <c r="AJ256" s="39">
        <v>587.29</v>
      </c>
      <c r="AK256" s="39">
        <v>940.0</v>
      </c>
      <c r="AL256" s="37" t="s">
        <v>7046</v>
      </c>
      <c r="AM256" s="30">
        <v>44562.0</v>
      </c>
      <c r="AN256" s="30">
        <v>44926.0</v>
      </c>
      <c r="AO256" s="39">
        <v>166.6</v>
      </c>
      <c r="AP256" s="39">
        <v>200.0</v>
      </c>
      <c r="AQ256" s="37" t="s">
        <v>7046</v>
      </c>
      <c r="AR256" s="30">
        <v>44927.0</v>
      </c>
      <c r="AS256" s="30">
        <v>45291.0</v>
      </c>
      <c r="AT256" s="39">
        <v>880.81</v>
      </c>
      <c r="AU256" s="39">
        <v>850.0</v>
      </c>
      <c r="AV256" s="38" t="s">
        <v>7047</v>
      </c>
    </row>
    <row r="257" ht="14.25" customHeight="1">
      <c r="A257" s="28" t="s">
        <v>1094</v>
      </c>
      <c r="B257" s="29" t="s">
        <v>1095</v>
      </c>
      <c r="C257" s="29" t="s">
        <v>7041</v>
      </c>
      <c r="D257" s="30">
        <v>45658.0</v>
      </c>
      <c r="E257" s="30">
        <v>46022.0</v>
      </c>
      <c r="F257" s="39">
        <v>177.23</v>
      </c>
      <c r="G257" s="39">
        <v>0.0</v>
      </c>
      <c r="H257" s="38" t="s">
        <v>7047</v>
      </c>
      <c r="I257" s="30">
        <v>46023.0</v>
      </c>
      <c r="J257" s="30">
        <v>46387.0</v>
      </c>
      <c r="K257" s="39">
        <v>0.0</v>
      </c>
      <c r="L257" s="39">
        <v>0.0</v>
      </c>
      <c r="M257" s="35" t="s">
        <v>7045</v>
      </c>
      <c r="N257" s="30">
        <v>46388.0</v>
      </c>
      <c r="O257" s="30">
        <v>46752.0</v>
      </c>
      <c r="P257" s="39">
        <v>0.0</v>
      </c>
      <c r="Q257" s="39">
        <v>0.0</v>
      </c>
      <c r="R257" s="35" t="s">
        <v>7045</v>
      </c>
      <c r="S257" s="30">
        <v>46753.0</v>
      </c>
      <c r="T257" s="30">
        <v>47118.0</v>
      </c>
      <c r="U257" s="39">
        <v>0.0</v>
      </c>
      <c r="V257" s="39">
        <v>0.0</v>
      </c>
      <c r="W257" s="35" t="s">
        <v>7045</v>
      </c>
      <c r="X257" s="30">
        <v>47119.0</v>
      </c>
      <c r="Y257" s="30">
        <v>47483.0</v>
      </c>
      <c r="Z257" s="39">
        <v>0.0</v>
      </c>
      <c r="AA257" s="39">
        <v>0.0</v>
      </c>
      <c r="AB257" s="35" t="s">
        <v>7045</v>
      </c>
      <c r="AC257" s="30">
        <v>47484.0</v>
      </c>
      <c r="AD257" s="30">
        <v>47848.0</v>
      </c>
      <c r="AE257" s="39">
        <v>0.0</v>
      </c>
      <c r="AF257" s="39">
        <v>0.0</v>
      </c>
      <c r="AG257" s="35" t="s">
        <v>7045</v>
      </c>
      <c r="AH257" s="30">
        <v>45292.0</v>
      </c>
      <c r="AI257" s="30">
        <v>45657.0</v>
      </c>
      <c r="AJ257" s="39">
        <v>228.08</v>
      </c>
      <c r="AK257" s="39">
        <v>360.0</v>
      </c>
      <c r="AL257" s="37" t="s">
        <v>7046</v>
      </c>
      <c r="AM257" s="30">
        <v>44562.0</v>
      </c>
      <c r="AN257" s="30">
        <v>44926.0</v>
      </c>
      <c r="AO257" s="39">
        <v>312.6</v>
      </c>
      <c r="AP257" s="39">
        <v>296.0</v>
      </c>
      <c r="AQ257" s="38" t="s">
        <v>7047</v>
      </c>
      <c r="AR257" s="30">
        <v>44927.0</v>
      </c>
      <c r="AS257" s="30">
        <v>45291.0</v>
      </c>
      <c r="AT257" s="39">
        <v>327.81</v>
      </c>
      <c r="AU257" s="39">
        <v>405.0</v>
      </c>
      <c r="AV257" s="37" t="s">
        <v>7046</v>
      </c>
    </row>
    <row r="258" ht="14.25" customHeight="1">
      <c r="A258" s="28" t="s">
        <v>1253</v>
      </c>
      <c r="B258" s="29" t="s">
        <v>1254</v>
      </c>
      <c r="C258" s="29" t="s">
        <v>7041</v>
      </c>
      <c r="D258" s="30">
        <v>45658.0</v>
      </c>
      <c r="E258" s="30">
        <v>46022.0</v>
      </c>
      <c r="F258" s="39">
        <v>235.23</v>
      </c>
      <c r="G258" s="39">
        <v>448.0</v>
      </c>
      <c r="H258" s="32" t="s">
        <v>7046</v>
      </c>
      <c r="I258" s="30">
        <v>46023.0</v>
      </c>
      <c r="J258" s="30">
        <v>46387.0</v>
      </c>
      <c r="K258" s="39">
        <v>0.0</v>
      </c>
      <c r="L258" s="39">
        <v>0.0</v>
      </c>
      <c r="M258" s="35" t="s">
        <v>7045</v>
      </c>
      <c r="N258" s="30">
        <v>46388.0</v>
      </c>
      <c r="O258" s="30">
        <v>46752.0</v>
      </c>
      <c r="P258" s="39">
        <v>0.0</v>
      </c>
      <c r="Q258" s="39">
        <v>0.0</v>
      </c>
      <c r="R258" s="35" t="s">
        <v>7045</v>
      </c>
      <c r="S258" s="30">
        <v>46753.0</v>
      </c>
      <c r="T258" s="30">
        <v>47118.0</v>
      </c>
      <c r="U258" s="39">
        <v>0.0</v>
      </c>
      <c r="V258" s="39">
        <v>0.0</v>
      </c>
      <c r="W258" s="35" t="s">
        <v>7045</v>
      </c>
      <c r="X258" s="30">
        <v>47119.0</v>
      </c>
      <c r="Y258" s="30">
        <v>47483.0</v>
      </c>
      <c r="Z258" s="39">
        <v>0.0</v>
      </c>
      <c r="AA258" s="39">
        <v>0.0</v>
      </c>
      <c r="AB258" s="35" t="s">
        <v>7045</v>
      </c>
      <c r="AC258" s="30">
        <v>47484.0</v>
      </c>
      <c r="AD258" s="30">
        <v>47848.0</v>
      </c>
      <c r="AE258" s="39">
        <v>0.0</v>
      </c>
      <c r="AF258" s="39">
        <v>0.0</v>
      </c>
      <c r="AG258" s="35" t="s">
        <v>7045</v>
      </c>
      <c r="AH258" s="30">
        <v>45292.0</v>
      </c>
      <c r="AI258" s="30">
        <v>45657.0</v>
      </c>
      <c r="AJ258" s="39">
        <v>388.78</v>
      </c>
      <c r="AK258" s="39">
        <v>470.0</v>
      </c>
      <c r="AL258" s="37" t="s">
        <v>7046</v>
      </c>
      <c r="AM258" s="30">
        <v>44562.0</v>
      </c>
      <c r="AN258" s="30">
        <v>44926.0</v>
      </c>
      <c r="AO258" s="39">
        <v>431.8</v>
      </c>
      <c r="AP258" s="39">
        <v>400.0</v>
      </c>
      <c r="AQ258" s="38" t="s">
        <v>7047</v>
      </c>
      <c r="AR258" s="30">
        <v>44927.0</v>
      </c>
      <c r="AS258" s="30">
        <v>45291.0</v>
      </c>
      <c r="AT258" s="39">
        <v>426.16</v>
      </c>
      <c r="AU258" s="39">
        <v>526.0</v>
      </c>
      <c r="AV258" s="37" t="s">
        <v>7046</v>
      </c>
    </row>
    <row r="259" ht="14.25" customHeight="1">
      <c r="A259" s="28" t="s">
        <v>1312</v>
      </c>
      <c r="B259" s="29" t="s">
        <v>1313</v>
      </c>
      <c r="C259" s="29" t="s">
        <v>7041</v>
      </c>
      <c r="D259" s="30">
        <v>45658.0</v>
      </c>
      <c r="E259" s="30">
        <v>46022.0</v>
      </c>
      <c r="F259" s="39">
        <v>293.45</v>
      </c>
      <c r="G259" s="39">
        <v>1007.0</v>
      </c>
      <c r="H259" s="32" t="s">
        <v>7046</v>
      </c>
      <c r="I259" s="30">
        <v>46023.0</v>
      </c>
      <c r="J259" s="30">
        <v>46387.0</v>
      </c>
      <c r="K259" s="39">
        <v>0.0</v>
      </c>
      <c r="L259" s="39">
        <v>0.0</v>
      </c>
      <c r="M259" s="35" t="s">
        <v>7045</v>
      </c>
      <c r="N259" s="30">
        <v>46388.0</v>
      </c>
      <c r="O259" s="30">
        <v>46752.0</v>
      </c>
      <c r="P259" s="39">
        <v>0.0</v>
      </c>
      <c r="Q259" s="39">
        <v>0.0</v>
      </c>
      <c r="R259" s="35" t="s">
        <v>7045</v>
      </c>
      <c r="S259" s="30">
        <v>46753.0</v>
      </c>
      <c r="T259" s="30">
        <v>47118.0</v>
      </c>
      <c r="U259" s="39">
        <v>0.0</v>
      </c>
      <c r="V259" s="39">
        <v>0.0</v>
      </c>
      <c r="W259" s="35" t="s">
        <v>7045</v>
      </c>
      <c r="X259" s="30">
        <v>47119.0</v>
      </c>
      <c r="Y259" s="30">
        <v>47483.0</v>
      </c>
      <c r="Z259" s="39">
        <v>0.0</v>
      </c>
      <c r="AA259" s="39">
        <v>0.0</v>
      </c>
      <c r="AB259" s="35" t="s">
        <v>7045</v>
      </c>
      <c r="AC259" s="30">
        <v>47484.0</v>
      </c>
      <c r="AD259" s="30">
        <v>47848.0</v>
      </c>
      <c r="AE259" s="39">
        <v>0.0</v>
      </c>
      <c r="AF259" s="39">
        <v>0.0</v>
      </c>
      <c r="AG259" s="35" t="s">
        <v>7045</v>
      </c>
      <c r="AH259" s="30">
        <v>45292.0</v>
      </c>
      <c r="AI259" s="30">
        <v>45657.0</v>
      </c>
      <c r="AJ259" s="39">
        <v>849.15</v>
      </c>
      <c r="AK259" s="39">
        <v>1007.0</v>
      </c>
      <c r="AL259" s="37" t="s">
        <v>7046</v>
      </c>
      <c r="AM259" s="30">
        <v>44562.0</v>
      </c>
      <c r="AN259" s="30">
        <v>44926.0</v>
      </c>
      <c r="AO259" s="39">
        <v>810.6</v>
      </c>
      <c r="AP259" s="39">
        <v>1012.6</v>
      </c>
      <c r="AQ259" s="37" t="s">
        <v>7046</v>
      </c>
      <c r="AR259" s="30">
        <v>44927.0</v>
      </c>
      <c r="AS259" s="30">
        <v>45291.0</v>
      </c>
      <c r="AT259" s="39">
        <v>464.96</v>
      </c>
      <c r="AU259" s="39">
        <v>0.0</v>
      </c>
      <c r="AV259" s="38" t="s">
        <v>7047</v>
      </c>
    </row>
    <row r="260" ht="14.25" customHeight="1">
      <c r="A260" s="28" t="s">
        <v>1353</v>
      </c>
      <c r="B260" s="29" t="s">
        <v>1354</v>
      </c>
      <c r="C260" s="29" t="s">
        <v>7041</v>
      </c>
      <c r="D260" s="30">
        <v>45658.0</v>
      </c>
      <c r="E260" s="30">
        <v>46022.0</v>
      </c>
      <c r="F260" s="39">
        <v>155.01</v>
      </c>
      <c r="G260" s="39">
        <v>450.0</v>
      </c>
      <c r="H260" s="37" t="s">
        <v>7046</v>
      </c>
      <c r="I260" s="30">
        <v>46023.0</v>
      </c>
      <c r="J260" s="30">
        <v>46387.0</v>
      </c>
      <c r="K260" s="39">
        <v>0.0</v>
      </c>
      <c r="L260" s="39">
        <v>0.0</v>
      </c>
      <c r="M260" s="35" t="s">
        <v>7045</v>
      </c>
      <c r="N260" s="30">
        <v>46388.0</v>
      </c>
      <c r="O260" s="30">
        <v>46752.0</v>
      </c>
      <c r="P260" s="39">
        <v>0.0</v>
      </c>
      <c r="Q260" s="39">
        <v>0.0</v>
      </c>
      <c r="R260" s="35" t="s">
        <v>7045</v>
      </c>
      <c r="S260" s="30">
        <v>46753.0</v>
      </c>
      <c r="T260" s="30">
        <v>47118.0</v>
      </c>
      <c r="U260" s="39">
        <v>0.0</v>
      </c>
      <c r="V260" s="39">
        <v>0.0</v>
      </c>
      <c r="W260" s="35" t="s">
        <v>7045</v>
      </c>
      <c r="X260" s="30">
        <v>47119.0</v>
      </c>
      <c r="Y260" s="30">
        <v>47483.0</v>
      </c>
      <c r="Z260" s="39">
        <v>0.0</v>
      </c>
      <c r="AA260" s="39">
        <v>0.0</v>
      </c>
      <c r="AB260" s="35" t="s">
        <v>7045</v>
      </c>
      <c r="AC260" s="30">
        <v>47484.0</v>
      </c>
      <c r="AD260" s="30">
        <v>47848.0</v>
      </c>
      <c r="AE260" s="39">
        <v>0.0</v>
      </c>
      <c r="AF260" s="39">
        <v>0.0</v>
      </c>
      <c r="AG260" s="35" t="s">
        <v>7045</v>
      </c>
      <c r="AH260" s="30">
        <v>45292.0</v>
      </c>
      <c r="AI260" s="30">
        <v>45657.0</v>
      </c>
      <c r="AJ260" s="39">
        <v>358.08</v>
      </c>
      <c r="AK260" s="39">
        <v>500.0</v>
      </c>
      <c r="AL260" s="37" t="s">
        <v>7046</v>
      </c>
      <c r="AM260" s="30">
        <v>44562.0</v>
      </c>
      <c r="AN260" s="30">
        <v>44926.0</v>
      </c>
      <c r="AO260" s="39">
        <v>1025.5</v>
      </c>
      <c r="AP260" s="39">
        <v>810.0</v>
      </c>
      <c r="AQ260" s="38" t="s">
        <v>7047</v>
      </c>
      <c r="AR260" s="30">
        <v>44927.0</v>
      </c>
      <c r="AS260" s="30">
        <v>45291.0</v>
      </c>
      <c r="AT260" s="39">
        <v>407.38</v>
      </c>
      <c r="AU260" s="39">
        <v>650.0</v>
      </c>
      <c r="AV260" s="37" t="s">
        <v>7046</v>
      </c>
    </row>
    <row r="261" ht="14.25" customHeight="1">
      <c r="A261" s="28" t="s">
        <v>1414</v>
      </c>
      <c r="B261" s="29" t="s">
        <v>1415</v>
      </c>
      <c r="C261" s="29" t="s">
        <v>7041</v>
      </c>
      <c r="D261" s="30">
        <v>45658.0</v>
      </c>
      <c r="E261" s="30">
        <v>46022.0</v>
      </c>
      <c r="F261" s="39">
        <v>424.36</v>
      </c>
      <c r="G261" s="39">
        <v>612.0</v>
      </c>
      <c r="H261" s="38" t="s">
        <v>7047</v>
      </c>
      <c r="I261" s="30">
        <v>46023.0</v>
      </c>
      <c r="J261" s="30">
        <v>46387.0</v>
      </c>
      <c r="K261" s="39">
        <v>0.0</v>
      </c>
      <c r="L261" s="39">
        <v>0.0</v>
      </c>
      <c r="M261" s="35" t="s">
        <v>7045</v>
      </c>
      <c r="N261" s="30">
        <v>46388.0</v>
      </c>
      <c r="O261" s="30">
        <v>46752.0</v>
      </c>
      <c r="P261" s="39">
        <v>0.0</v>
      </c>
      <c r="Q261" s="39">
        <v>0.0</v>
      </c>
      <c r="R261" s="35" t="s">
        <v>7045</v>
      </c>
      <c r="S261" s="30">
        <v>46753.0</v>
      </c>
      <c r="T261" s="30">
        <v>47118.0</v>
      </c>
      <c r="U261" s="39">
        <v>0.0</v>
      </c>
      <c r="V261" s="39">
        <v>0.0</v>
      </c>
      <c r="W261" s="35" t="s">
        <v>7045</v>
      </c>
      <c r="X261" s="30">
        <v>47119.0</v>
      </c>
      <c r="Y261" s="30">
        <v>47483.0</v>
      </c>
      <c r="Z261" s="39">
        <v>0.0</v>
      </c>
      <c r="AA261" s="39">
        <v>0.0</v>
      </c>
      <c r="AB261" s="35" t="s">
        <v>7045</v>
      </c>
      <c r="AC261" s="30">
        <v>47484.0</v>
      </c>
      <c r="AD261" s="30">
        <v>47848.0</v>
      </c>
      <c r="AE261" s="39">
        <v>0.0</v>
      </c>
      <c r="AF261" s="39">
        <v>0.0</v>
      </c>
      <c r="AG261" s="35" t="s">
        <v>7045</v>
      </c>
      <c r="AH261" s="30">
        <v>45292.0</v>
      </c>
      <c r="AI261" s="30">
        <v>45657.0</v>
      </c>
      <c r="AJ261" s="39">
        <v>532.06</v>
      </c>
      <c r="AK261" s="39">
        <v>555.0</v>
      </c>
      <c r="AL261" s="37" t="s">
        <v>7046</v>
      </c>
      <c r="AM261" s="30">
        <v>44562.0</v>
      </c>
      <c r="AN261" s="30">
        <v>44926.0</v>
      </c>
      <c r="AO261" s="39">
        <v>672.7</v>
      </c>
      <c r="AP261" s="39">
        <v>754.1</v>
      </c>
      <c r="AQ261" s="37" t="s">
        <v>7046</v>
      </c>
      <c r="AR261" s="30">
        <v>44927.0</v>
      </c>
      <c r="AS261" s="30">
        <v>45291.0</v>
      </c>
      <c r="AT261" s="39">
        <v>505.03</v>
      </c>
      <c r="AU261" s="39">
        <v>785.0</v>
      </c>
      <c r="AV261" s="37" t="s">
        <v>7046</v>
      </c>
    </row>
    <row r="262" ht="14.25" customHeight="1">
      <c r="A262" s="28" t="s">
        <v>1418</v>
      </c>
      <c r="B262" s="29" t="s">
        <v>1419</v>
      </c>
      <c r="C262" s="29" t="s">
        <v>7041</v>
      </c>
      <c r="D262" s="30">
        <v>45658.0</v>
      </c>
      <c r="E262" s="30">
        <v>46022.0</v>
      </c>
      <c r="F262" s="39">
        <v>128.59</v>
      </c>
      <c r="G262" s="39">
        <v>345.0</v>
      </c>
      <c r="H262" s="37" t="s">
        <v>7046</v>
      </c>
      <c r="I262" s="30">
        <v>46023.0</v>
      </c>
      <c r="J262" s="30">
        <v>46387.0</v>
      </c>
      <c r="K262" s="39">
        <v>0.0</v>
      </c>
      <c r="L262" s="39">
        <v>0.0</v>
      </c>
      <c r="M262" s="35" t="s">
        <v>7045</v>
      </c>
      <c r="N262" s="30">
        <v>46388.0</v>
      </c>
      <c r="O262" s="30">
        <v>46752.0</v>
      </c>
      <c r="P262" s="39">
        <v>0.0</v>
      </c>
      <c r="Q262" s="39">
        <v>0.0</v>
      </c>
      <c r="R262" s="35" t="s">
        <v>7045</v>
      </c>
      <c r="S262" s="30">
        <v>46753.0</v>
      </c>
      <c r="T262" s="30">
        <v>47118.0</v>
      </c>
      <c r="U262" s="39">
        <v>0.0</v>
      </c>
      <c r="V262" s="39">
        <v>0.0</v>
      </c>
      <c r="W262" s="35" t="s">
        <v>7045</v>
      </c>
      <c r="X262" s="30">
        <v>47119.0</v>
      </c>
      <c r="Y262" s="30">
        <v>47483.0</v>
      </c>
      <c r="Z262" s="39">
        <v>0.0</v>
      </c>
      <c r="AA262" s="39">
        <v>0.0</v>
      </c>
      <c r="AB262" s="35" t="s">
        <v>7045</v>
      </c>
      <c r="AC262" s="30">
        <v>47484.0</v>
      </c>
      <c r="AD262" s="30">
        <v>47848.0</v>
      </c>
      <c r="AE262" s="39">
        <v>0.0</v>
      </c>
      <c r="AF262" s="39">
        <v>0.0</v>
      </c>
      <c r="AG262" s="35" t="s">
        <v>7045</v>
      </c>
      <c r="AH262" s="30">
        <v>45292.0</v>
      </c>
      <c r="AI262" s="30">
        <v>45657.0</v>
      </c>
      <c r="AJ262" s="39">
        <v>299.56</v>
      </c>
      <c r="AK262" s="39">
        <v>504.0</v>
      </c>
      <c r="AL262" s="37" t="s">
        <v>7046</v>
      </c>
      <c r="AM262" s="30">
        <v>44562.0</v>
      </c>
      <c r="AN262" s="30">
        <v>44926.0</v>
      </c>
      <c r="AO262" s="39">
        <v>333.6</v>
      </c>
      <c r="AP262" s="39">
        <v>575.0</v>
      </c>
      <c r="AQ262" s="37" t="s">
        <v>7046</v>
      </c>
      <c r="AR262" s="30">
        <v>44927.0</v>
      </c>
      <c r="AS262" s="30">
        <v>45291.0</v>
      </c>
      <c r="AT262" s="39">
        <v>458.17</v>
      </c>
      <c r="AU262" s="39">
        <v>468.0</v>
      </c>
      <c r="AV262" s="37" t="s">
        <v>7046</v>
      </c>
    </row>
    <row r="263" ht="14.25" customHeight="1">
      <c r="A263" s="28" t="s">
        <v>1422</v>
      </c>
      <c r="B263" s="29" t="s">
        <v>1423</v>
      </c>
      <c r="C263" s="29" t="s">
        <v>7041</v>
      </c>
      <c r="D263" s="30">
        <v>45658.0</v>
      </c>
      <c r="E263" s="30">
        <v>46022.0</v>
      </c>
      <c r="F263" s="39">
        <v>267.52</v>
      </c>
      <c r="G263" s="39">
        <v>795.0</v>
      </c>
      <c r="H263" s="38" t="s">
        <v>7046</v>
      </c>
      <c r="I263" s="30">
        <v>46023.0</v>
      </c>
      <c r="J263" s="30">
        <v>46387.0</v>
      </c>
      <c r="K263" s="39">
        <v>0.0</v>
      </c>
      <c r="L263" s="39">
        <v>0.0</v>
      </c>
      <c r="M263" s="35" t="s">
        <v>7045</v>
      </c>
      <c r="N263" s="30">
        <v>46388.0</v>
      </c>
      <c r="O263" s="30">
        <v>46752.0</v>
      </c>
      <c r="P263" s="39">
        <v>0.0</v>
      </c>
      <c r="Q263" s="39">
        <v>0.0</v>
      </c>
      <c r="R263" s="35" t="s">
        <v>7045</v>
      </c>
      <c r="S263" s="30">
        <v>46753.0</v>
      </c>
      <c r="T263" s="30">
        <v>47118.0</v>
      </c>
      <c r="U263" s="39">
        <v>0.0</v>
      </c>
      <c r="V263" s="39">
        <v>0.0</v>
      </c>
      <c r="W263" s="35" t="s">
        <v>7045</v>
      </c>
      <c r="X263" s="30">
        <v>47119.0</v>
      </c>
      <c r="Y263" s="30">
        <v>47483.0</v>
      </c>
      <c r="Z263" s="39">
        <v>0.0</v>
      </c>
      <c r="AA263" s="39">
        <v>0.0</v>
      </c>
      <c r="AB263" s="35" t="s">
        <v>7045</v>
      </c>
      <c r="AC263" s="30">
        <v>47484.0</v>
      </c>
      <c r="AD263" s="30">
        <v>47848.0</v>
      </c>
      <c r="AE263" s="39">
        <v>0.0</v>
      </c>
      <c r="AF263" s="39">
        <v>0.0</v>
      </c>
      <c r="AG263" s="35" t="s">
        <v>7045</v>
      </c>
      <c r="AH263" s="30">
        <v>45292.0</v>
      </c>
      <c r="AI263" s="30">
        <v>45657.0</v>
      </c>
      <c r="AJ263" s="39">
        <v>791.27</v>
      </c>
      <c r="AK263" s="39">
        <v>721.0</v>
      </c>
      <c r="AL263" s="38" t="s">
        <v>7047</v>
      </c>
      <c r="AM263" s="30">
        <v>44562.0</v>
      </c>
      <c r="AN263" s="30">
        <v>44926.0</v>
      </c>
      <c r="AO263" s="39">
        <v>435.5</v>
      </c>
      <c r="AP263" s="39">
        <v>360.0</v>
      </c>
      <c r="AQ263" s="38" t="s">
        <v>7047</v>
      </c>
      <c r="AR263" s="30">
        <v>44927.0</v>
      </c>
      <c r="AS263" s="30">
        <v>45291.0</v>
      </c>
      <c r="AT263" s="39">
        <v>644.45</v>
      </c>
      <c r="AU263" s="39">
        <v>400.0</v>
      </c>
      <c r="AV263" s="38" t="s">
        <v>7047</v>
      </c>
    </row>
    <row r="264" ht="14.25" customHeight="1">
      <c r="A264" s="28" t="s">
        <v>1425</v>
      </c>
      <c r="B264" s="29" t="s">
        <v>1426</v>
      </c>
      <c r="C264" s="29" t="s">
        <v>7041</v>
      </c>
      <c r="D264" s="30">
        <v>45658.0</v>
      </c>
      <c r="E264" s="30">
        <v>46022.0</v>
      </c>
      <c r="F264" s="36">
        <v>582.88</v>
      </c>
      <c r="G264" s="36">
        <v>1143.99</v>
      </c>
      <c r="H264" s="38" t="s">
        <v>7046</v>
      </c>
      <c r="I264" s="30">
        <v>46023.0</v>
      </c>
      <c r="J264" s="30">
        <v>46387.0</v>
      </c>
      <c r="K264" s="36">
        <v>0.0</v>
      </c>
      <c r="L264" s="36">
        <v>0.0</v>
      </c>
      <c r="M264" s="35" t="s">
        <v>7045</v>
      </c>
      <c r="N264" s="30">
        <v>46388.0</v>
      </c>
      <c r="O264" s="30">
        <v>46752.0</v>
      </c>
      <c r="P264" s="36">
        <v>0.0</v>
      </c>
      <c r="Q264" s="36">
        <v>0.0</v>
      </c>
      <c r="R264" s="35" t="s">
        <v>7045</v>
      </c>
      <c r="S264" s="30">
        <v>46753.0</v>
      </c>
      <c r="T264" s="30">
        <v>47118.0</v>
      </c>
      <c r="U264" s="36">
        <v>0.0</v>
      </c>
      <c r="V264" s="36">
        <v>0.0</v>
      </c>
      <c r="W264" s="35" t="s">
        <v>7045</v>
      </c>
      <c r="X264" s="30">
        <v>47119.0</v>
      </c>
      <c r="Y264" s="30">
        <v>47483.0</v>
      </c>
      <c r="Z264" s="36">
        <v>0.0</v>
      </c>
      <c r="AA264" s="36">
        <v>0.0</v>
      </c>
      <c r="AB264" s="35" t="s">
        <v>7045</v>
      </c>
      <c r="AC264" s="30">
        <v>47484.0</v>
      </c>
      <c r="AD264" s="30">
        <v>47848.0</v>
      </c>
      <c r="AE264" s="36">
        <v>0.0</v>
      </c>
      <c r="AF264" s="36">
        <v>0.0</v>
      </c>
      <c r="AG264" s="35" t="s">
        <v>7045</v>
      </c>
      <c r="AH264" s="30">
        <v>45292.0</v>
      </c>
      <c r="AI264" s="30">
        <v>45657.0</v>
      </c>
      <c r="AJ264" s="36">
        <v>762.38</v>
      </c>
      <c r="AK264" s="36">
        <v>0.0</v>
      </c>
      <c r="AL264" s="38" t="s">
        <v>7047</v>
      </c>
      <c r="AM264" s="30">
        <v>44562.0</v>
      </c>
      <c r="AN264" s="30">
        <v>44926.0</v>
      </c>
      <c r="AO264" s="36">
        <v>2175.08</v>
      </c>
      <c r="AP264" s="36">
        <v>0.0</v>
      </c>
      <c r="AQ264" s="38" t="s">
        <v>7047</v>
      </c>
      <c r="AR264" s="30">
        <v>44927.0</v>
      </c>
      <c r="AS264" s="30">
        <v>45291.0</v>
      </c>
      <c r="AT264" s="36">
        <v>1689.01</v>
      </c>
      <c r="AU264" s="36">
        <v>1599.99</v>
      </c>
      <c r="AV264" s="38" t="s">
        <v>7047</v>
      </c>
    </row>
    <row r="265" ht="14.25" customHeight="1">
      <c r="A265" s="28" t="s">
        <v>1428</v>
      </c>
      <c r="B265" s="29" t="s">
        <v>1429</v>
      </c>
      <c r="C265" s="29" t="s">
        <v>7041</v>
      </c>
      <c r="D265" s="30">
        <v>45658.0</v>
      </c>
      <c r="E265" s="30">
        <v>46022.0</v>
      </c>
      <c r="F265" s="39">
        <v>235.05</v>
      </c>
      <c r="G265" s="39">
        <v>248.0</v>
      </c>
      <c r="H265" s="38" t="s">
        <v>7047</v>
      </c>
      <c r="I265" s="30">
        <v>46023.0</v>
      </c>
      <c r="J265" s="30">
        <v>46387.0</v>
      </c>
      <c r="K265" s="39">
        <v>0.0</v>
      </c>
      <c r="L265" s="39">
        <v>0.0</v>
      </c>
      <c r="M265" s="35" t="s">
        <v>7045</v>
      </c>
      <c r="N265" s="30">
        <v>46388.0</v>
      </c>
      <c r="O265" s="30">
        <v>46752.0</v>
      </c>
      <c r="P265" s="39">
        <v>0.0</v>
      </c>
      <c r="Q265" s="39">
        <v>0.0</v>
      </c>
      <c r="R265" s="35" t="s">
        <v>7045</v>
      </c>
      <c r="S265" s="30">
        <v>46753.0</v>
      </c>
      <c r="T265" s="30">
        <v>47118.0</v>
      </c>
      <c r="U265" s="39">
        <v>0.0</v>
      </c>
      <c r="V265" s="39">
        <v>0.0</v>
      </c>
      <c r="W265" s="35" t="s">
        <v>7045</v>
      </c>
      <c r="X265" s="30">
        <v>47119.0</v>
      </c>
      <c r="Y265" s="30">
        <v>47483.0</v>
      </c>
      <c r="Z265" s="39">
        <v>0.0</v>
      </c>
      <c r="AA265" s="39">
        <v>0.0</v>
      </c>
      <c r="AB265" s="35" t="s">
        <v>7045</v>
      </c>
      <c r="AC265" s="30">
        <v>47484.0</v>
      </c>
      <c r="AD265" s="30">
        <v>47848.0</v>
      </c>
      <c r="AE265" s="39">
        <v>0.0</v>
      </c>
      <c r="AF265" s="39">
        <v>0.0</v>
      </c>
      <c r="AG265" s="35" t="s">
        <v>7045</v>
      </c>
      <c r="AH265" s="30">
        <v>45292.0</v>
      </c>
      <c r="AI265" s="30">
        <v>45657.0</v>
      </c>
      <c r="AJ265" s="39">
        <v>224.86</v>
      </c>
      <c r="AK265" s="39">
        <v>234.0</v>
      </c>
      <c r="AL265" s="37" t="s">
        <v>7046</v>
      </c>
      <c r="AM265" s="30">
        <v>44562.0</v>
      </c>
      <c r="AN265" s="30">
        <v>44926.0</v>
      </c>
      <c r="AO265" s="39">
        <v>88.4</v>
      </c>
      <c r="AP265" s="39">
        <v>218.0</v>
      </c>
      <c r="AQ265" s="32" t="s">
        <v>7043</v>
      </c>
      <c r="AR265" s="30">
        <v>44927.0</v>
      </c>
      <c r="AS265" s="30">
        <v>45291.0</v>
      </c>
      <c r="AT265" s="39">
        <v>220.7</v>
      </c>
      <c r="AU265" s="39">
        <v>223.0</v>
      </c>
      <c r="AV265" s="37" t="s">
        <v>7046</v>
      </c>
    </row>
    <row r="266" ht="14.25" customHeight="1">
      <c r="A266" s="28" t="s">
        <v>1480</v>
      </c>
      <c r="B266" s="29" t="s">
        <v>1481</v>
      </c>
      <c r="C266" s="29" t="s">
        <v>7041</v>
      </c>
      <c r="D266" s="30">
        <v>45658.0</v>
      </c>
      <c r="E266" s="30">
        <v>46022.0</v>
      </c>
      <c r="F266" s="39">
        <v>289.89</v>
      </c>
      <c r="G266" s="39">
        <v>926.0</v>
      </c>
      <c r="H266" s="32" t="s">
        <v>7046</v>
      </c>
      <c r="I266" s="30">
        <v>46023.0</v>
      </c>
      <c r="J266" s="30">
        <v>46387.0</v>
      </c>
      <c r="K266" s="39">
        <v>0.0</v>
      </c>
      <c r="L266" s="39">
        <v>0.0</v>
      </c>
      <c r="M266" s="35" t="s">
        <v>7045</v>
      </c>
      <c r="N266" s="30">
        <v>46388.0</v>
      </c>
      <c r="O266" s="30">
        <v>46752.0</v>
      </c>
      <c r="P266" s="39">
        <v>0.0</v>
      </c>
      <c r="Q266" s="39">
        <v>0.0</v>
      </c>
      <c r="R266" s="35" t="s">
        <v>7045</v>
      </c>
      <c r="S266" s="30">
        <v>46753.0</v>
      </c>
      <c r="T266" s="30">
        <v>47118.0</v>
      </c>
      <c r="U266" s="39">
        <v>0.0</v>
      </c>
      <c r="V266" s="39">
        <v>0.0</v>
      </c>
      <c r="W266" s="35" t="s">
        <v>7045</v>
      </c>
      <c r="X266" s="30">
        <v>47119.0</v>
      </c>
      <c r="Y266" s="30">
        <v>47483.0</v>
      </c>
      <c r="Z266" s="39">
        <v>0.0</v>
      </c>
      <c r="AA266" s="39">
        <v>0.0</v>
      </c>
      <c r="AB266" s="35" t="s">
        <v>7045</v>
      </c>
      <c r="AC266" s="30">
        <v>47484.0</v>
      </c>
      <c r="AD266" s="30">
        <v>47848.0</v>
      </c>
      <c r="AE266" s="39">
        <v>0.0</v>
      </c>
      <c r="AF266" s="39">
        <v>0.0</v>
      </c>
      <c r="AG266" s="35" t="s">
        <v>7045</v>
      </c>
      <c r="AH266" s="30">
        <v>45292.0</v>
      </c>
      <c r="AI266" s="30">
        <v>45657.0</v>
      </c>
      <c r="AJ266" s="39">
        <v>1117.35</v>
      </c>
      <c r="AK266" s="39">
        <v>750.0</v>
      </c>
      <c r="AL266" s="38" t="s">
        <v>7047</v>
      </c>
      <c r="AM266" s="30">
        <v>44562.0</v>
      </c>
      <c r="AN266" s="30">
        <v>44926.0</v>
      </c>
      <c r="AO266" s="39">
        <v>832.7</v>
      </c>
      <c r="AP266" s="39">
        <v>1036.0</v>
      </c>
      <c r="AQ266" s="37" t="s">
        <v>7046</v>
      </c>
      <c r="AR266" s="30">
        <v>44927.0</v>
      </c>
      <c r="AS266" s="30">
        <v>45291.0</v>
      </c>
      <c r="AT266" s="39">
        <v>675.96</v>
      </c>
      <c r="AU266" s="39">
        <v>1100.0</v>
      </c>
      <c r="AV266" s="37" t="s">
        <v>7046</v>
      </c>
    </row>
    <row r="267" ht="14.25" customHeight="1">
      <c r="A267" s="28" t="s">
        <v>1602</v>
      </c>
      <c r="B267" s="29" t="s">
        <v>1603</v>
      </c>
      <c r="C267" s="29" t="s">
        <v>7041</v>
      </c>
      <c r="D267" s="30">
        <v>45658.0</v>
      </c>
      <c r="E267" s="30">
        <v>46022.0</v>
      </c>
      <c r="F267" s="36">
        <v>182.22</v>
      </c>
      <c r="G267" s="36">
        <v>699.99</v>
      </c>
      <c r="H267" s="37" t="s">
        <v>7043</v>
      </c>
      <c r="I267" s="30">
        <v>46023.0</v>
      </c>
      <c r="J267" s="30">
        <v>46387.0</v>
      </c>
      <c r="K267" s="36">
        <v>0.0</v>
      </c>
      <c r="L267" s="36">
        <v>0.0</v>
      </c>
      <c r="M267" s="35" t="s">
        <v>7045</v>
      </c>
      <c r="N267" s="30">
        <v>46388.0</v>
      </c>
      <c r="O267" s="30">
        <v>46752.0</v>
      </c>
      <c r="P267" s="36">
        <v>0.0</v>
      </c>
      <c r="Q267" s="36">
        <v>0.0</v>
      </c>
      <c r="R267" s="35" t="s">
        <v>7045</v>
      </c>
      <c r="S267" s="30">
        <v>46753.0</v>
      </c>
      <c r="T267" s="30">
        <v>47118.0</v>
      </c>
      <c r="U267" s="36">
        <v>0.0</v>
      </c>
      <c r="V267" s="36">
        <v>0.0</v>
      </c>
      <c r="W267" s="35" t="s">
        <v>7045</v>
      </c>
      <c r="X267" s="30">
        <v>47119.0</v>
      </c>
      <c r="Y267" s="30">
        <v>47483.0</v>
      </c>
      <c r="Z267" s="36">
        <v>0.0</v>
      </c>
      <c r="AA267" s="36">
        <v>0.0</v>
      </c>
      <c r="AB267" s="35" t="s">
        <v>7045</v>
      </c>
      <c r="AC267" s="30">
        <v>47484.0</v>
      </c>
      <c r="AD267" s="30">
        <v>47848.0</v>
      </c>
      <c r="AE267" s="36">
        <v>0.0</v>
      </c>
      <c r="AF267" s="36">
        <v>0.0</v>
      </c>
      <c r="AG267" s="35" t="s">
        <v>7045</v>
      </c>
      <c r="AH267" s="30">
        <v>45292.0</v>
      </c>
      <c r="AI267" s="30">
        <v>45657.0</v>
      </c>
      <c r="AJ267" s="36">
        <v>519.82</v>
      </c>
      <c r="AK267" s="36">
        <v>500.0</v>
      </c>
      <c r="AL267" s="38" t="s">
        <v>7047</v>
      </c>
      <c r="AM267" s="30">
        <v>44562.0</v>
      </c>
      <c r="AN267" s="30">
        <v>44926.0</v>
      </c>
      <c r="AO267" s="36">
        <v>243.0</v>
      </c>
      <c r="AP267" s="36">
        <v>0.0</v>
      </c>
      <c r="AQ267" s="38" t="s">
        <v>7047</v>
      </c>
      <c r="AR267" s="30">
        <v>44927.0</v>
      </c>
      <c r="AS267" s="30">
        <v>45291.0</v>
      </c>
      <c r="AT267" s="36">
        <v>46.19</v>
      </c>
      <c r="AU267" s="36">
        <v>0.0</v>
      </c>
      <c r="AV267" s="38" t="s">
        <v>7047</v>
      </c>
    </row>
    <row r="268" ht="14.25" customHeight="1">
      <c r="A268" s="28" t="s">
        <v>1689</v>
      </c>
      <c r="B268" s="29" t="s">
        <v>1690</v>
      </c>
      <c r="C268" s="29" t="s">
        <v>7041</v>
      </c>
      <c r="D268" s="30">
        <v>45658.0</v>
      </c>
      <c r="E268" s="30">
        <v>46022.0</v>
      </c>
      <c r="F268" s="39">
        <v>15.84</v>
      </c>
      <c r="G268" s="39">
        <v>500.0</v>
      </c>
      <c r="H268" s="32" t="s">
        <v>7043</v>
      </c>
      <c r="I268" s="30">
        <v>46023.0</v>
      </c>
      <c r="J268" s="30">
        <v>46387.0</v>
      </c>
      <c r="K268" s="39">
        <v>0.0</v>
      </c>
      <c r="L268" s="39">
        <v>0.0</v>
      </c>
      <c r="M268" s="35" t="s">
        <v>7045</v>
      </c>
      <c r="N268" s="30">
        <v>46388.0</v>
      </c>
      <c r="O268" s="30">
        <v>46752.0</v>
      </c>
      <c r="P268" s="39">
        <v>0.0</v>
      </c>
      <c r="Q268" s="39">
        <v>0.0</v>
      </c>
      <c r="R268" s="35" t="s">
        <v>7045</v>
      </c>
      <c r="S268" s="30">
        <v>46753.0</v>
      </c>
      <c r="T268" s="30">
        <v>47118.0</v>
      </c>
      <c r="U268" s="39">
        <v>0.0</v>
      </c>
      <c r="V268" s="39">
        <v>0.0</v>
      </c>
      <c r="W268" s="35" t="s">
        <v>7045</v>
      </c>
      <c r="X268" s="30">
        <v>47119.0</v>
      </c>
      <c r="Y268" s="30">
        <v>47483.0</v>
      </c>
      <c r="Z268" s="39">
        <v>0.0</v>
      </c>
      <c r="AA268" s="39">
        <v>0.0</v>
      </c>
      <c r="AB268" s="35" t="s">
        <v>7045</v>
      </c>
      <c r="AC268" s="30">
        <v>47484.0</v>
      </c>
      <c r="AD268" s="30">
        <v>47848.0</v>
      </c>
      <c r="AE268" s="39">
        <v>0.0</v>
      </c>
      <c r="AF268" s="39">
        <v>0.0</v>
      </c>
      <c r="AG268" s="35" t="s">
        <v>7045</v>
      </c>
      <c r="AH268" s="30">
        <v>45292.0</v>
      </c>
      <c r="AI268" s="30">
        <v>45657.0</v>
      </c>
      <c r="AJ268" s="39">
        <v>427.98</v>
      </c>
      <c r="AK268" s="39">
        <v>400.0</v>
      </c>
      <c r="AL268" s="38" t="s">
        <v>7047</v>
      </c>
      <c r="AM268" s="30">
        <v>44562.0</v>
      </c>
      <c r="AN268" s="30">
        <v>44926.0</v>
      </c>
      <c r="AO268" s="39">
        <v>198.4</v>
      </c>
      <c r="AP268" s="39">
        <v>0.0</v>
      </c>
      <c r="AQ268" s="38" t="s">
        <v>7047</v>
      </c>
      <c r="AR268" s="30">
        <v>44927.0</v>
      </c>
      <c r="AS268" s="30">
        <v>45291.0</v>
      </c>
      <c r="AT268" s="39">
        <v>247.75</v>
      </c>
      <c r="AU268" s="39">
        <v>225.2</v>
      </c>
      <c r="AV268" s="38" t="s">
        <v>7047</v>
      </c>
    </row>
    <row r="269" ht="14.25" customHeight="1">
      <c r="A269" s="28" t="s">
        <v>1699</v>
      </c>
      <c r="B269" s="29" t="s">
        <v>1700</v>
      </c>
      <c r="C269" s="29" t="s">
        <v>7041</v>
      </c>
      <c r="D269" s="30">
        <v>45658.0</v>
      </c>
      <c r="E269" s="30">
        <v>46022.0</v>
      </c>
      <c r="F269" s="36">
        <v>216.41</v>
      </c>
      <c r="G269" s="36">
        <v>0.0</v>
      </c>
      <c r="H269" s="38" t="s">
        <v>7047</v>
      </c>
      <c r="I269" s="30">
        <v>46023.0</v>
      </c>
      <c r="J269" s="30">
        <v>46387.0</v>
      </c>
      <c r="K269" s="36">
        <v>0.0</v>
      </c>
      <c r="L269" s="36">
        <v>0.0</v>
      </c>
      <c r="M269" s="35" t="s">
        <v>7045</v>
      </c>
      <c r="N269" s="30">
        <v>46388.0</v>
      </c>
      <c r="O269" s="30">
        <v>46752.0</v>
      </c>
      <c r="P269" s="36">
        <v>0.0</v>
      </c>
      <c r="Q269" s="36">
        <v>0.0</v>
      </c>
      <c r="R269" s="35" t="s">
        <v>7045</v>
      </c>
      <c r="S269" s="30">
        <v>46753.0</v>
      </c>
      <c r="T269" s="30">
        <v>47118.0</v>
      </c>
      <c r="U269" s="36">
        <v>0.0</v>
      </c>
      <c r="V269" s="36">
        <v>0.0</v>
      </c>
      <c r="W269" s="35" t="s">
        <v>7045</v>
      </c>
      <c r="X269" s="30">
        <v>47119.0</v>
      </c>
      <c r="Y269" s="30">
        <v>47483.0</v>
      </c>
      <c r="Z269" s="36">
        <v>0.0</v>
      </c>
      <c r="AA269" s="36">
        <v>0.0</v>
      </c>
      <c r="AB269" s="35" t="s">
        <v>7045</v>
      </c>
      <c r="AC269" s="30">
        <v>47484.0</v>
      </c>
      <c r="AD269" s="30">
        <v>47848.0</v>
      </c>
      <c r="AE269" s="36">
        <v>0.0</v>
      </c>
      <c r="AF269" s="36">
        <v>0.0</v>
      </c>
      <c r="AG269" s="35" t="s">
        <v>7045</v>
      </c>
      <c r="AH269" s="30">
        <v>45292.0</v>
      </c>
      <c r="AI269" s="30">
        <v>45657.0</v>
      </c>
      <c r="AJ269" s="36">
        <v>230.12</v>
      </c>
      <c r="AK269" s="36">
        <v>0.0</v>
      </c>
      <c r="AL269" s="38" t="s">
        <v>7047</v>
      </c>
      <c r="AM269" s="30">
        <v>44562.0</v>
      </c>
      <c r="AN269" s="30">
        <v>44926.0</v>
      </c>
      <c r="AO269" s="36">
        <v>195.4</v>
      </c>
      <c r="AP269" s="36">
        <v>0.0</v>
      </c>
      <c r="AQ269" s="38" t="s">
        <v>7047</v>
      </c>
      <c r="AR269" s="30">
        <v>44927.0</v>
      </c>
      <c r="AS269" s="30">
        <v>45291.0</v>
      </c>
      <c r="AT269" s="36">
        <v>0.77</v>
      </c>
      <c r="AU269" s="36">
        <v>699.99</v>
      </c>
      <c r="AV269" s="32" t="s">
        <v>7043</v>
      </c>
    </row>
    <row r="270" ht="14.25" customHeight="1">
      <c r="A270" s="28" t="s">
        <v>1751</v>
      </c>
      <c r="B270" s="29" t="s">
        <v>1752</v>
      </c>
      <c r="C270" s="29" t="s">
        <v>7041</v>
      </c>
      <c r="D270" s="30">
        <v>45658.0</v>
      </c>
      <c r="E270" s="30">
        <v>46022.0</v>
      </c>
      <c r="F270" s="39">
        <v>184.6</v>
      </c>
      <c r="G270" s="39">
        <v>248.0</v>
      </c>
      <c r="H270" s="38" t="s">
        <v>7047</v>
      </c>
      <c r="I270" s="30">
        <v>46023.0</v>
      </c>
      <c r="J270" s="30">
        <v>46387.0</v>
      </c>
      <c r="K270" s="39">
        <v>0.0</v>
      </c>
      <c r="L270" s="39">
        <v>0.0</v>
      </c>
      <c r="M270" s="35" t="s">
        <v>7045</v>
      </c>
      <c r="N270" s="30">
        <v>46388.0</v>
      </c>
      <c r="O270" s="30">
        <v>46752.0</v>
      </c>
      <c r="P270" s="39">
        <v>0.0</v>
      </c>
      <c r="Q270" s="39">
        <v>0.0</v>
      </c>
      <c r="R270" s="35" t="s">
        <v>7045</v>
      </c>
      <c r="S270" s="30">
        <v>46753.0</v>
      </c>
      <c r="T270" s="30">
        <v>47118.0</v>
      </c>
      <c r="U270" s="39">
        <v>0.0</v>
      </c>
      <c r="V270" s="39">
        <v>0.0</v>
      </c>
      <c r="W270" s="35" t="s">
        <v>7045</v>
      </c>
      <c r="X270" s="30">
        <v>47119.0</v>
      </c>
      <c r="Y270" s="30">
        <v>47483.0</v>
      </c>
      <c r="Z270" s="39">
        <v>0.0</v>
      </c>
      <c r="AA270" s="39">
        <v>0.0</v>
      </c>
      <c r="AB270" s="35" t="s">
        <v>7045</v>
      </c>
      <c r="AC270" s="30">
        <v>47484.0</v>
      </c>
      <c r="AD270" s="30">
        <v>47848.0</v>
      </c>
      <c r="AE270" s="39">
        <v>0.0</v>
      </c>
      <c r="AF270" s="39">
        <v>0.0</v>
      </c>
      <c r="AG270" s="35" t="s">
        <v>7045</v>
      </c>
      <c r="AH270" s="30">
        <v>45292.0</v>
      </c>
      <c r="AI270" s="30">
        <v>45657.0</v>
      </c>
      <c r="AJ270" s="39">
        <v>241.91</v>
      </c>
      <c r="AK270" s="39">
        <v>245.0</v>
      </c>
      <c r="AL270" s="37" t="s">
        <v>7046</v>
      </c>
      <c r="AM270" s="30">
        <v>44562.0</v>
      </c>
      <c r="AN270" s="30">
        <v>44926.0</v>
      </c>
      <c r="AO270" s="39">
        <v>237.1</v>
      </c>
      <c r="AP270" s="39">
        <v>264.0</v>
      </c>
      <c r="AQ270" s="37" t="s">
        <v>7046</v>
      </c>
      <c r="AR270" s="30">
        <v>44927.0</v>
      </c>
      <c r="AS270" s="30">
        <v>45291.0</v>
      </c>
      <c r="AT270" s="39">
        <v>254.69</v>
      </c>
      <c r="AU270" s="39">
        <v>201.0</v>
      </c>
      <c r="AV270" s="38" t="s">
        <v>7047</v>
      </c>
    </row>
    <row r="271" ht="14.25" customHeight="1">
      <c r="A271" s="28" t="s">
        <v>1792</v>
      </c>
      <c r="B271" s="29" t="s">
        <v>1793</v>
      </c>
      <c r="C271" s="29" t="s">
        <v>7041</v>
      </c>
      <c r="D271" s="30">
        <v>45658.0</v>
      </c>
      <c r="E271" s="30">
        <v>46022.0</v>
      </c>
      <c r="F271" s="39">
        <v>40.54</v>
      </c>
      <c r="G271" s="39">
        <v>270.0</v>
      </c>
      <c r="H271" s="32" t="s">
        <v>7043</v>
      </c>
      <c r="I271" s="30">
        <v>46023.0</v>
      </c>
      <c r="J271" s="30">
        <v>46387.0</v>
      </c>
      <c r="K271" s="39">
        <v>0.0</v>
      </c>
      <c r="L271" s="39">
        <v>0.0</v>
      </c>
      <c r="M271" s="35" t="s">
        <v>7045</v>
      </c>
      <c r="N271" s="30">
        <v>46388.0</v>
      </c>
      <c r="O271" s="30">
        <v>46752.0</v>
      </c>
      <c r="P271" s="39">
        <v>0.0</v>
      </c>
      <c r="Q271" s="39">
        <v>0.0</v>
      </c>
      <c r="R271" s="35" t="s">
        <v>7045</v>
      </c>
      <c r="S271" s="30">
        <v>46753.0</v>
      </c>
      <c r="T271" s="30">
        <v>47118.0</v>
      </c>
      <c r="U271" s="39">
        <v>0.0</v>
      </c>
      <c r="V271" s="39">
        <v>0.0</v>
      </c>
      <c r="W271" s="35" t="s">
        <v>7045</v>
      </c>
      <c r="X271" s="30">
        <v>47119.0</v>
      </c>
      <c r="Y271" s="30">
        <v>47483.0</v>
      </c>
      <c r="Z271" s="39">
        <v>0.0</v>
      </c>
      <c r="AA271" s="39">
        <v>0.0</v>
      </c>
      <c r="AB271" s="35" t="s">
        <v>7045</v>
      </c>
      <c r="AC271" s="30">
        <v>47484.0</v>
      </c>
      <c r="AD271" s="30">
        <v>47848.0</v>
      </c>
      <c r="AE271" s="39">
        <v>0.0</v>
      </c>
      <c r="AF271" s="39">
        <v>0.0</v>
      </c>
      <c r="AG271" s="35" t="s">
        <v>7045</v>
      </c>
      <c r="AH271" s="30">
        <v>45292.0</v>
      </c>
      <c r="AI271" s="30">
        <v>45657.0</v>
      </c>
      <c r="AJ271" s="39">
        <v>239.64</v>
      </c>
      <c r="AK271" s="39">
        <v>270.0</v>
      </c>
      <c r="AL271" s="37" t="s">
        <v>7046</v>
      </c>
      <c r="AM271" s="30">
        <v>44562.0</v>
      </c>
      <c r="AN271" s="30">
        <v>44926.0</v>
      </c>
      <c r="AO271" s="39">
        <v>179.5</v>
      </c>
      <c r="AP271" s="39">
        <v>212.0</v>
      </c>
      <c r="AQ271" s="37" t="s">
        <v>7046</v>
      </c>
      <c r="AR271" s="30">
        <v>44927.0</v>
      </c>
      <c r="AS271" s="30">
        <v>45291.0</v>
      </c>
      <c r="AT271" s="39">
        <v>240.96</v>
      </c>
      <c r="AU271" s="39">
        <v>226.0</v>
      </c>
      <c r="AV271" s="38" t="s">
        <v>7047</v>
      </c>
    </row>
    <row r="272" ht="14.25" customHeight="1">
      <c r="A272" s="28" t="s">
        <v>1811</v>
      </c>
      <c r="B272" s="29" t="s">
        <v>1812</v>
      </c>
      <c r="C272" s="29" t="s">
        <v>7041</v>
      </c>
      <c r="D272" s="30">
        <v>45658.0</v>
      </c>
      <c r="E272" s="30">
        <v>46022.0</v>
      </c>
      <c r="F272" s="39">
        <v>89.82</v>
      </c>
      <c r="G272" s="39">
        <v>420.0</v>
      </c>
      <c r="H272" s="32" t="s">
        <v>7043</v>
      </c>
      <c r="I272" s="30">
        <v>46023.0</v>
      </c>
      <c r="J272" s="30">
        <v>46387.0</v>
      </c>
      <c r="K272" s="39">
        <v>0.0</v>
      </c>
      <c r="L272" s="39">
        <v>0.0</v>
      </c>
      <c r="M272" s="35" t="s">
        <v>7045</v>
      </c>
      <c r="N272" s="30">
        <v>46388.0</v>
      </c>
      <c r="O272" s="30">
        <v>46752.0</v>
      </c>
      <c r="P272" s="39">
        <v>0.0</v>
      </c>
      <c r="Q272" s="39">
        <v>0.0</v>
      </c>
      <c r="R272" s="35" t="s">
        <v>7045</v>
      </c>
      <c r="S272" s="30">
        <v>46753.0</v>
      </c>
      <c r="T272" s="30">
        <v>47118.0</v>
      </c>
      <c r="U272" s="39">
        <v>0.0</v>
      </c>
      <c r="V272" s="39">
        <v>0.0</v>
      </c>
      <c r="W272" s="35" t="s">
        <v>7045</v>
      </c>
      <c r="X272" s="30">
        <v>47119.0</v>
      </c>
      <c r="Y272" s="30">
        <v>47483.0</v>
      </c>
      <c r="Z272" s="39">
        <v>0.0</v>
      </c>
      <c r="AA272" s="39">
        <v>0.0</v>
      </c>
      <c r="AB272" s="35" t="s">
        <v>7045</v>
      </c>
      <c r="AC272" s="30">
        <v>47484.0</v>
      </c>
      <c r="AD272" s="30">
        <v>47848.0</v>
      </c>
      <c r="AE272" s="39">
        <v>0.0</v>
      </c>
      <c r="AF272" s="39">
        <v>0.0</v>
      </c>
      <c r="AG272" s="35" t="s">
        <v>7045</v>
      </c>
      <c r="AH272" s="30">
        <v>45292.0</v>
      </c>
      <c r="AI272" s="30">
        <v>45657.0</v>
      </c>
      <c r="AJ272" s="39">
        <v>512.43</v>
      </c>
      <c r="AK272" s="39">
        <v>350.0</v>
      </c>
      <c r="AL272" s="38" t="s">
        <v>7047</v>
      </c>
      <c r="AM272" s="30">
        <v>44562.0</v>
      </c>
      <c r="AN272" s="30">
        <v>44926.0</v>
      </c>
      <c r="AO272" s="39">
        <v>202.9</v>
      </c>
      <c r="AP272" s="39">
        <v>0.0</v>
      </c>
      <c r="AQ272" s="38" t="s">
        <v>7047</v>
      </c>
      <c r="AR272" s="30">
        <v>44927.0</v>
      </c>
      <c r="AS272" s="30">
        <v>45291.0</v>
      </c>
      <c r="AT272" s="39">
        <v>314.06</v>
      </c>
      <c r="AU272" s="39">
        <v>0.0</v>
      </c>
      <c r="AV272" s="38" t="s">
        <v>7047</v>
      </c>
    </row>
    <row r="273" ht="14.25" customHeight="1">
      <c r="A273" s="28" t="s">
        <v>1899</v>
      </c>
      <c r="B273" s="29" t="s">
        <v>1900</v>
      </c>
      <c r="C273" s="29" t="s">
        <v>7041</v>
      </c>
      <c r="D273" s="30">
        <v>45658.0</v>
      </c>
      <c r="E273" s="30">
        <v>46022.0</v>
      </c>
      <c r="F273" s="36">
        <v>373.86</v>
      </c>
      <c r="G273" s="36">
        <v>1497.29</v>
      </c>
      <c r="H273" s="37" t="s">
        <v>7043</v>
      </c>
      <c r="I273" s="30">
        <v>46023.0</v>
      </c>
      <c r="J273" s="30">
        <v>46387.0</v>
      </c>
      <c r="K273" s="36">
        <v>0.0</v>
      </c>
      <c r="L273" s="36">
        <v>0.0</v>
      </c>
      <c r="M273" s="35" t="s">
        <v>7045</v>
      </c>
      <c r="N273" s="30">
        <v>46388.0</v>
      </c>
      <c r="O273" s="30">
        <v>46752.0</v>
      </c>
      <c r="P273" s="36">
        <v>0.0</v>
      </c>
      <c r="Q273" s="36">
        <v>0.0</v>
      </c>
      <c r="R273" s="35" t="s">
        <v>7045</v>
      </c>
      <c r="S273" s="30">
        <v>46753.0</v>
      </c>
      <c r="T273" s="30">
        <v>47118.0</v>
      </c>
      <c r="U273" s="36">
        <v>0.0</v>
      </c>
      <c r="V273" s="36">
        <v>0.0</v>
      </c>
      <c r="W273" s="35" t="s">
        <v>7045</v>
      </c>
      <c r="X273" s="30">
        <v>47119.0</v>
      </c>
      <c r="Y273" s="30">
        <v>47483.0</v>
      </c>
      <c r="Z273" s="36">
        <v>0.0</v>
      </c>
      <c r="AA273" s="36">
        <v>0.0</v>
      </c>
      <c r="AB273" s="35" t="s">
        <v>7045</v>
      </c>
      <c r="AC273" s="30">
        <v>47484.0</v>
      </c>
      <c r="AD273" s="30">
        <v>47848.0</v>
      </c>
      <c r="AE273" s="36">
        <v>0.0</v>
      </c>
      <c r="AF273" s="36">
        <v>0.0</v>
      </c>
      <c r="AG273" s="35" t="s">
        <v>7045</v>
      </c>
      <c r="AH273" s="30">
        <v>45292.0</v>
      </c>
      <c r="AI273" s="30">
        <v>45657.0</v>
      </c>
      <c r="AJ273" s="36">
        <v>995.02</v>
      </c>
      <c r="AK273" s="36">
        <v>773.94</v>
      </c>
      <c r="AL273" s="38" t="s">
        <v>7047</v>
      </c>
      <c r="AM273" s="30">
        <v>44562.0</v>
      </c>
      <c r="AN273" s="30">
        <v>44926.0</v>
      </c>
      <c r="AO273" s="36">
        <v>20.93</v>
      </c>
      <c r="AP273" s="36">
        <v>0.0</v>
      </c>
      <c r="AQ273" s="38" t="s">
        <v>7047</v>
      </c>
      <c r="AR273" s="30">
        <v>44927.0</v>
      </c>
      <c r="AS273" s="30">
        <v>45291.0</v>
      </c>
      <c r="AT273" s="36">
        <v>279.87</v>
      </c>
      <c r="AU273" s="36">
        <v>87.17</v>
      </c>
      <c r="AV273" s="38" t="s">
        <v>7047</v>
      </c>
    </row>
    <row r="274" ht="14.25" customHeight="1">
      <c r="A274" s="28" t="s">
        <v>1933</v>
      </c>
      <c r="B274" s="29" t="s">
        <v>1934</v>
      </c>
      <c r="C274" s="29" t="s">
        <v>7041</v>
      </c>
      <c r="D274" s="30">
        <v>45658.0</v>
      </c>
      <c r="E274" s="30">
        <v>46022.0</v>
      </c>
      <c r="F274" s="36">
        <v>478.74</v>
      </c>
      <c r="G274" s="36">
        <v>799.99</v>
      </c>
      <c r="H274" s="38" t="s">
        <v>7047</v>
      </c>
      <c r="I274" s="30">
        <v>46023.0</v>
      </c>
      <c r="J274" s="30">
        <v>46387.0</v>
      </c>
      <c r="K274" s="36">
        <v>0.0</v>
      </c>
      <c r="L274" s="36">
        <v>0.0</v>
      </c>
      <c r="M274" s="35" t="s">
        <v>7045</v>
      </c>
      <c r="N274" s="30">
        <v>46388.0</v>
      </c>
      <c r="O274" s="30">
        <v>46752.0</v>
      </c>
      <c r="P274" s="36">
        <v>0.0</v>
      </c>
      <c r="Q274" s="36">
        <v>0.0</v>
      </c>
      <c r="R274" s="35" t="s">
        <v>7045</v>
      </c>
      <c r="S274" s="30">
        <v>46753.0</v>
      </c>
      <c r="T274" s="30">
        <v>47118.0</v>
      </c>
      <c r="U274" s="36">
        <v>0.0</v>
      </c>
      <c r="V274" s="36">
        <v>0.0</v>
      </c>
      <c r="W274" s="35" t="s">
        <v>7045</v>
      </c>
      <c r="X274" s="30">
        <v>47119.0</v>
      </c>
      <c r="Y274" s="30">
        <v>47483.0</v>
      </c>
      <c r="Z274" s="36">
        <v>0.0</v>
      </c>
      <c r="AA274" s="36">
        <v>0.0</v>
      </c>
      <c r="AB274" s="35" t="s">
        <v>7045</v>
      </c>
      <c r="AC274" s="30">
        <v>47484.0</v>
      </c>
      <c r="AD274" s="30">
        <v>47848.0</v>
      </c>
      <c r="AE274" s="36">
        <v>0.0</v>
      </c>
      <c r="AF274" s="36">
        <v>0.0</v>
      </c>
      <c r="AG274" s="35" t="s">
        <v>7045</v>
      </c>
      <c r="AH274" s="30">
        <v>45292.0</v>
      </c>
      <c r="AI274" s="30">
        <v>45657.0</v>
      </c>
      <c r="AJ274" s="36">
        <v>604.42</v>
      </c>
      <c r="AK274" s="36">
        <v>699.99</v>
      </c>
      <c r="AL274" s="37" t="s">
        <v>7046</v>
      </c>
      <c r="AM274" s="30">
        <v>44562.0</v>
      </c>
      <c r="AN274" s="30">
        <v>44926.0</v>
      </c>
      <c r="AO274" s="36">
        <v>223.9</v>
      </c>
      <c r="AP274" s="36">
        <v>602.99</v>
      </c>
      <c r="AQ274" s="32" t="s">
        <v>7043</v>
      </c>
      <c r="AR274" s="30">
        <v>44927.0</v>
      </c>
      <c r="AS274" s="30">
        <v>45291.0</v>
      </c>
      <c r="AT274" s="36">
        <v>795.55</v>
      </c>
      <c r="AU274" s="36">
        <v>652.99</v>
      </c>
      <c r="AV274" s="38" t="s">
        <v>7047</v>
      </c>
    </row>
    <row r="275" ht="14.25" customHeight="1">
      <c r="A275" s="28" t="s">
        <v>1987</v>
      </c>
      <c r="B275" s="29" t="s">
        <v>1988</v>
      </c>
      <c r="C275" s="29" t="s">
        <v>7041</v>
      </c>
      <c r="D275" s="30">
        <v>45658.0</v>
      </c>
      <c r="E275" s="30">
        <v>46022.0</v>
      </c>
      <c r="F275" s="36">
        <v>83.6</v>
      </c>
      <c r="G275" s="36">
        <v>505.0</v>
      </c>
      <c r="H275" s="32" t="s">
        <v>7043</v>
      </c>
      <c r="I275" s="30">
        <v>46023.0</v>
      </c>
      <c r="J275" s="30">
        <v>46387.0</v>
      </c>
      <c r="K275" s="36">
        <v>0.0</v>
      </c>
      <c r="L275" s="36">
        <v>0.0</v>
      </c>
      <c r="M275" s="35" t="s">
        <v>7045</v>
      </c>
      <c r="N275" s="30">
        <v>46388.0</v>
      </c>
      <c r="O275" s="30">
        <v>46752.0</v>
      </c>
      <c r="P275" s="36">
        <v>0.0</v>
      </c>
      <c r="Q275" s="36">
        <v>0.0</v>
      </c>
      <c r="R275" s="35" t="s">
        <v>7045</v>
      </c>
      <c r="S275" s="30">
        <v>46753.0</v>
      </c>
      <c r="T275" s="30">
        <v>47118.0</v>
      </c>
      <c r="U275" s="36">
        <v>0.0</v>
      </c>
      <c r="V275" s="36">
        <v>0.0</v>
      </c>
      <c r="W275" s="35" t="s">
        <v>7045</v>
      </c>
      <c r="X275" s="30">
        <v>47119.0</v>
      </c>
      <c r="Y275" s="30">
        <v>47483.0</v>
      </c>
      <c r="Z275" s="36">
        <v>0.0</v>
      </c>
      <c r="AA275" s="36">
        <v>0.0</v>
      </c>
      <c r="AB275" s="35" t="s">
        <v>7045</v>
      </c>
      <c r="AC275" s="30">
        <v>47484.0</v>
      </c>
      <c r="AD275" s="30">
        <v>47848.0</v>
      </c>
      <c r="AE275" s="36">
        <v>0.0</v>
      </c>
      <c r="AF275" s="36">
        <v>0.0</v>
      </c>
      <c r="AG275" s="35" t="s">
        <v>7045</v>
      </c>
      <c r="AH275" s="30">
        <v>45292.0</v>
      </c>
      <c r="AI275" s="30">
        <v>45657.0</v>
      </c>
      <c r="AJ275" s="36">
        <v>402.32</v>
      </c>
      <c r="AK275" s="36">
        <v>410.0</v>
      </c>
      <c r="AL275" s="37" t="s">
        <v>7046</v>
      </c>
      <c r="AM275" s="30">
        <v>44562.0</v>
      </c>
      <c r="AN275" s="30">
        <v>44926.0</v>
      </c>
      <c r="AO275" s="36">
        <v>0.0</v>
      </c>
      <c r="AP275" s="36">
        <v>0.0</v>
      </c>
      <c r="AQ275" s="35" t="s">
        <v>7045</v>
      </c>
      <c r="AR275" s="30">
        <v>44927.0</v>
      </c>
      <c r="AS275" s="30">
        <v>45291.0</v>
      </c>
      <c r="AT275" s="36">
        <v>0.0</v>
      </c>
      <c r="AU275" s="36">
        <v>0.0</v>
      </c>
      <c r="AV275" s="35" t="s">
        <v>7045</v>
      </c>
    </row>
    <row r="276" ht="14.25" customHeight="1">
      <c r="A276" s="28" t="s">
        <v>2089</v>
      </c>
      <c r="B276" s="29" t="s">
        <v>2090</v>
      </c>
      <c r="C276" s="29" t="s">
        <v>7041</v>
      </c>
      <c r="D276" s="30">
        <v>45658.0</v>
      </c>
      <c r="E276" s="30">
        <v>46022.0</v>
      </c>
      <c r="F276" s="39">
        <v>179.86</v>
      </c>
      <c r="G276" s="39">
        <v>555.0</v>
      </c>
      <c r="H276" s="37" t="s">
        <v>7046</v>
      </c>
      <c r="I276" s="30">
        <v>46023.0</v>
      </c>
      <c r="J276" s="30">
        <v>46387.0</v>
      </c>
      <c r="K276" s="39">
        <v>0.0</v>
      </c>
      <c r="L276" s="39">
        <v>0.0</v>
      </c>
      <c r="M276" s="35" t="s">
        <v>7045</v>
      </c>
      <c r="N276" s="30">
        <v>46388.0</v>
      </c>
      <c r="O276" s="30">
        <v>46752.0</v>
      </c>
      <c r="P276" s="39">
        <v>0.0</v>
      </c>
      <c r="Q276" s="39">
        <v>0.0</v>
      </c>
      <c r="R276" s="35" t="s">
        <v>7045</v>
      </c>
      <c r="S276" s="30">
        <v>46753.0</v>
      </c>
      <c r="T276" s="30">
        <v>47118.0</v>
      </c>
      <c r="U276" s="39">
        <v>0.0</v>
      </c>
      <c r="V276" s="39">
        <v>0.0</v>
      </c>
      <c r="W276" s="35" t="s">
        <v>7045</v>
      </c>
      <c r="X276" s="30">
        <v>47119.0</v>
      </c>
      <c r="Y276" s="30">
        <v>47483.0</v>
      </c>
      <c r="Z276" s="39">
        <v>0.0</v>
      </c>
      <c r="AA276" s="39">
        <v>0.0</v>
      </c>
      <c r="AB276" s="35" t="s">
        <v>7045</v>
      </c>
      <c r="AC276" s="30">
        <v>47484.0</v>
      </c>
      <c r="AD276" s="30">
        <v>47848.0</v>
      </c>
      <c r="AE276" s="39">
        <v>0.0</v>
      </c>
      <c r="AF276" s="39">
        <v>0.0</v>
      </c>
      <c r="AG276" s="35" t="s">
        <v>7045</v>
      </c>
      <c r="AH276" s="30">
        <v>45292.0</v>
      </c>
      <c r="AI276" s="30">
        <v>45657.0</v>
      </c>
      <c r="AJ276" s="39">
        <v>552.56</v>
      </c>
      <c r="AK276" s="39">
        <v>300.0</v>
      </c>
      <c r="AL276" s="38" t="s">
        <v>7047</v>
      </c>
      <c r="AM276" s="30">
        <v>44562.0</v>
      </c>
      <c r="AN276" s="30">
        <v>44926.0</v>
      </c>
      <c r="AO276" s="39">
        <v>981.9</v>
      </c>
      <c r="AP276" s="39">
        <v>0.0</v>
      </c>
      <c r="AQ276" s="38" t="s">
        <v>7047</v>
      </c>
      <c r="AR276" s="30">
        <v>44927.0</v>
      </c>
      <c r="AS276" s="30">
        <v>45291.0</v>
      </c>
      <c r="AT276" s="39">
        <v>271.14</v>
      </c>
      <c r="AU276" s="39">
        <v>1020.0</v>
      </c>
      <c r="AV276" s="32" t="s">
        <v>7043</v>
      </c>
    </row>
    <row r="277" ht="14.25" customHeight="1">
      <c r="A277" s="28" t="s">
        <v>2173</v>
      </c>
      <c r="B277" s="29" t="s">
        <v>2174</v>
      </c>
      <c r="C277" s="29" t="s">
        <v>7041</v>
      </c>
      <c r="D277" s="30">
        <v>45658.0</v>
      </c>
      <c r="E277" s="30">
        <v>46022.0</v>
      </c>
      <c r="F277" s="39">
        <v>323.3</v>
      </c>
      <c r="G277" s="39">
        <v>750.0</v>
      </c>
      <c r="H277" s="37" t="s">
        <v>7046</v>
      </c>
      <c r="I277" s="30">
        <v>46023.0</v>
      </c>
      <c r="J277" s="30">
        <v>46387.0</v>
      </c>
      <c r="K277" s="39">
        <v>0.0</v>
      </c>
      <c r="L277" s="39">
        <v>0.0</v>
      </c>
      <c r="M277" s="35" t="s">
        <v>7045</v>
      </c>
      <c r="N277" s="30">
        <v>46388.0</v>
      </c>
      <c r="O277" s="30">
        <v>46752.0</v>
      </c>
      <c r="P277" s="39">
        <v>0.0</v>
      </c>
      <c r="Q277" s="39">
        <v>0.0</v>
      </c>
      <c r="R277" s="35" t="s">
        <v>7045</v>
      </c>
      <c r="S277" s="30">
        <v>46753.0</v>
      </c>
      <c r="T277" s="30">
        <v>47118.0</v>
      </c>
      <c r="U277" s="39">
        <v>0.0</v>
      </c>
      <c r="V277" s="39">
        <v>0.0</v>
      </c>
      <c r="W277" s="35" t="s">
        <v>7045</v>
      </c>
      <c r="X277" s="30">
        <v>47119.0</v>
      </c>
      <c r="Y277" s="30">
        <v>47483.0</v>
      </c>
      <c r="Z277" s="39">
        <v>0.0</v>
      </c>
      <c r="AA277" s="39">
        <v>0.0</v>
      </c>
      <c r="AB277" s="35" t="s">
        <v>7045</v>
      </c>
      <c r="AC277" s="30">
        <v>47484.0</v>
      </c>
      <c r="AD277" s="30">
        <v>47848.0</v>
      </c>
      <c r="AE277" s="39">
        <v>0.0</v>
      </c>
      <c r="AF277" s="39">
        <v>0.0</v>
      </c>
      <c r="AG277" s="35" t="s">
        <v>7045</v>
      </c>
      <c r="AH277" s="30">
        <v>45292.0</v>
      </c>
      <c r="AI277" s="30">
        <v>45657.0</v>
      </c>
      <c r="AJ277" s="39">
        <v>733.49</v>
      </c>
      <c r="AK277" s="39">
        <v>500.0</v>
      </c>
      <c r="AL277" s="38" t="s">
        <v>7047</v>
      </c>
      <c r="AM277" s="30">
        <v>44562.0</v>
      </c>
      <c r="AN277" s="30">
        <v>44926.0</v>
      </c>
      <c r="AO277" s="39">
        <v>756.2</v>
      </c>
      <c r="AP277" s="39">
        <v>615.0</v>
      </c>
      <c r="AQ277" s="38" t="s">
        <v>7047</v>
      </c>
      <c r="AR277" s="30">
        <v>44927.0</v>
      </c>
      <c r="AS277" s="30">
        <v>45291.0</v>
      </c>
      <c r="AT277" s="39">
        <v>409.29</v>
      </c>
      <c r="AU277" s="39">
        <v>730.0</v>
      </c>
      <c r="AV277" s="37" t="s">
        <v>7046</v>
      </c>
    </row>
    <row r="278" ht="14.25" customHeight="1">
      <c r="A278" s="28" t="s">
        <v>2256</v>
      </c>
      <c r="B278" s="29" t="s">
        <v>2257</v>
      </c>
      <c r="C278" s="29" t="s">
        <v>7041</v>
      </c>
      <c r="D278" s="30">
        <v>45658.0</v>
      </c>
      <c r="E278" s="30">
        <v>46022.0</v>
      </c>
      <c r="F278" s="36">
        <v>305.61</v>
      </c>
      <c r="G278" s="36">
        <v>350.0</v>
      </c>
      <c r="H278" s="38" t="s">
        <v>7047</v>
      </c>
      <c r="I278" s="30">
        <v>46023.0</v>
      </c>
      <c r="J278" s="30">
        <v>46387.0</v>
      </c>
      <c r="K278" s="36">
        <v>0.0</v>
      </c>
      <c r="L278" s="36">
        <v>0.0</v>
      </c>
      <c r="M278" s="35" t="s">
        <v>7045</v>
      </c>
      <c r="N278" s="30">
        <v>46388.0</v>
      </c>
      <c r="O278" s="30">
        <v>46752.0</v>
      </c>
      <c r="P278" s="36">
        <v>0.0</v>
      </c>
      <c r="Q278" s="36">
        <v>0.0</v>
      </c>
      <c r="R278" s="35" t="s">
        <v>7045</v>
      </c>
      <c r="S278" s="30">
        <v>46753.0</v>
      </c>
      <c r="T278" s="30">
        <v>47118.0</v>
      </c>
      <c r="U278" s="36">
        <v>0.0</v>
      </c>
      <c r="V278" s="36">
        <v>0.0</v>
      </c>
      <c r="W278" s="35" t="s">
        <v>7045</v>
      </c>
      <c r="X278" s="30">
        <v>47119.0</v>
      </c>
      <c r="Y278" s="30">
        <v>47483.0</v>
      </c>
      <c r="Z278" s="36">
        <v>0.0</v>
      </c>
      <c r="AA278" s="36">
        <v>0.0</v>
      </c>
      <c r="AB278" s="35" t="s">
        <v>7045</v>
      </c>
      <c r="AC278" s="30">
        <v>47484.0</v>
      </c>
      <c r="AD278" s="30">
        <v>47848.0</v>
      </c>
      <c r="AE278" s="36">
        <v>0.0</v>
      </c>
      <c r="AF278" s="36">
        <v>0.0</v>
      </c>
      <c r="AG278" s="35" t="s">
        <v>7045</v>
      </c>
      <c r="AH278" s="30">
        <v>45292.0</v>
      </c>
      <c r="AI278" s="30">
        <v>45657.0</v>
      </c>
      <c r="AJ278" s="36">
        <v>312.53</v>
      </c>
      <c r="AK278" s="36">
        <v>0.0</v>
      </c>
      <c r="AL278" s="38" t="s">
        <v>7047</v>
      </c>
      <c r="AM278" s="30">
        <v>44562.0</v>
      </c>
      <c r="AN278" s="30">
        <v>44926.0</v>
      </c>
      <c r="AO278" s="36">
        <v>579.99</v>
      </c>
      <c r="AP278" s="36">
        <v>0.0</v>
      </c>
      <c r="AQ278" s="38" t="s">
        <v>7047</v>
      </c>
      <c r="AR278" s="30">
        <v>44927.0</v>
      </c>
      <c r="AS278" s="30">
        <v>45291.0</v>
      </c>
      <c r="AT278" s="36">
        <v>552.58</v>
      </c>
      <c r="AU278" s="36">
        <v>699.99</v>
      </c>
      <c r="AV278" s="37" t="s">
        <v>7046</v>
      </c>
    </row>
    <row r="279" ht="14.25" customHeight="1">
      <c r="A279" s="28" t="s">
        <v>2265</v>
      </c>
      <c r="B279" s="29" t="s">
        <v>2266</v>
      </c>
      <c r="C279" s="29" t="s">
        <v>7041</v>
      </c>
      <c r="D279" s="30">
        <v>45658.0</v>
      </c>
      <c r="E279" s="30">
        <v>46022.0</v>
      </c>
      <c r="F279" s="39">
        <v>78.46</v>
      </c>
      <c r="G279" s="39">
        <v>500.0</v>
      </c>
      <c r="H279" s="32" t="s">
        <v>7043</v>
      </c>
      <c r="I279" s="30">
        <v>46023.0</v>
      </c>
      <c r="J279" s="30">
        <v>46387.0</v>
      </c>
      <c r="K279" s="39">
        <v>0.0</v>
      </c>
      <c r="L279" s="39">
        <v>0.0</v>
      </c>
      <c r="M279" s="35" t="s">
        <v>7045</v>
      </c>
      <c r="N279" s="30">
        <v>46388.0</v>
      </c>
      <c r="O279" s="30">
        <v>46752.0</v>
      </c>
      <c r="P279" s="39">
        <v>0.0</v>
      </c>
      <c r="Q279" s="39">
        <v>0.0</v>
      </c>
      <c r="R279" s="35" t="s">
        <v>7045</v>
      </c>
      <c r="S279" s="30">
        <v>46753.0</v>
      </c>
      <c r="T279" s="30">
        <v>47118.0</v>
      </c>
      <c r="U279" s="39">
        <v>0.0</v>
      </c>
      <c r="V279" s="39">
        <v>0.0</v>
      </c>
      <c r="W279" s="35" t="s">
        <v>7045</v>
      </c>
      <c r="X279" s="30">
        <v>47119.0</v>
      </c>
      <c r="Y279" s="30">
        <v>47483.0</v>
      </c>
      <c r="Z279" s="39">
        <v>0.0</v>
      </c>
      <c r="AA279" s="39">
        <v>0.0</v>
      </c>
      <c r="AB279" s="35" t="s">
        <v>7045</v>
      </c>
      <c r="AC279" s="30">
        <v>47484.0</v>
      </c>
      <c r="AD279" s="30">
        <v>47848.0</v>
      </c>
      <c r="AE279" s="39">
        <v>0.0</v>
      </c>
      <c r="AF279" s="39">
        <v>0.0</v>
      </c>
      <c r="AG279" s="35" t="s">
        <v>7045</v>
      </c>
      <c r="AH279" s="30">
        <v>45292.0</v>
      </c>
      <c r="AI279" s="30">
        <v>45657.0</v>
      </c>
      <c r="AJ279" s="39">
        <v>204.92</v>
      </c>
      <c r="AK279" s="39">
        <v>240.0</v>
      </c>
      <c r="AL279" s="37" t="s">
        <v>7046</v>
      </c>
      <c r="AM279" s="30">
        <v>44562.0</v>
      </c>
      <c r="AN279" s="30">
        <v>44926.0</v>
      </c>
      <c r="AO279" s="39">
        <v>355.8</v>
      </c>
      <c r="AP279" s="39">
        <v>0.0</v>
      </c>
      <c r="AQ279" s="38" t="s">
        <v>7047</v>
      </c>
      <c r="AR279" s="30">
        <v>44927.0</v>
      </c>
      <c r="AS279" s="30">
        <v>45291.0</v>
      </c>
      <c r="AT279" s="39">
        <v>228.96</v>
      </c>
      <c r="AU279" s="39">
        <v>300.0</v>
      </c>
      <c r="AV279" s="37" t="s">
        <v>7046</v>
      </c>
    </row>
    <row r="280" ht="14.25" customHeight="1">
      <c r="A280" s="28" t="s">
        <v>2523</v>
      </c>
      <c r="B280" s="29" t="s">
        <v>2524</v>
      </c>
      <c r="C280" s="29" t="s">
        <v>7041</v>
      </c>
      <c r="D280" s="30">
        <v>45658.0</v>
      </c>
      <c r="E280" s="30">
        <v>46022.0</v>
      </c>
      <c r="F280" s="39">
        <v>331.81</v>
      </c>
      <c r="G280" s="39">
        <v>1000.0</v>
      </c>
      <c r="H280" s="32" t="s">
        <v>7046</v>
      </c>
      <c r="I280" s="30">
        <v>46023.0</v>
      </c>
      <c r="J280" s="30">
        <v>46387.0</v>
      </c>
      <c r="K280" s="39">
        <v>0.0</v>
      </c>
      <c r="L280" s="39">
        <v>0.0</v>
      </c>
      <c r="M280" s="35" t="s">
        <v>7045</v>
      </c>
      <c r="N280" s="30">
        <v>46388.0</v>
      </c>
      <c r="O280" s="30">
        <v>46752.0</v>
      </c>
      <c r="P280" s="39">
        <v>0.0</v>
      </c>
      <c r="Q280" s="39">
        <v>0.0</v>
      </c>
      <c r="R280" s="35" t="s">
        <v>7045</v>
      </c>
      <c r="S280" s="30">
        <v>46753.0</v>
      </c>
      <c r="T280" s="30">
        <v>47118.0</v>
      </c>
      <c r="U280" s="39">
        <v>0.0</v>
      </c>
      <c r="V280" s="39">
        <v>0.0</v>
      </c>
      <c r="W280" s="35" t="s">
        <v>7045</v>
      </c>
      <c r="X280" s="30">
        <v>47119.0</v>
      </c>
      <c r="Y280" s="30">
        <v>47483.0</v>
      </c>
      <c r="Z280" s="39">
        <v>0.0</v>
      </c>
      <c r="AA280" s="39">
        <v>0.0</v>
      </c>
      <c r="AB280" s="35" t="s">
        <v>7045</v>
      </c>
      <c r="AC280" s="30">
        <v>47484.0</v>
      </c>
      <c r="AD280" s="30">
        <v>47848.0</v>
      </c>
      <c r="AE280" s="39">
        <v>0.0</v>
      </c>
      <c r="AF280" s="39">
        <v>0.0</v>
      </c>
      <c r="AG280" s="35" t="s">
        <v>7045</v>
      </c>
      <c r="AH280" s="30">
        <v>45292.0</v>
      </c>
      <c r="AI280" s="30">
        <v>45657.0</v>
      </c>
      <c r="AJ280" s="39">
        <v>783.64</v>
      </c>
      <c r="AK280" s="39">
        <v>1000.0</v>
      </c>
      <c r="AL280" s="37" t="s">
        <v>7046</v>
      </c>
      <c r="AM280" s="30">
        <v>44562.0</v>
      </c>
      <c r="AN280" s="30">
        <v>44926.0</v>
      </c>
      <c r="AO280" s="39">
        <v>335.7</v>
      </c>
      <c r="AP280" s="39">
        <v>1000.0</v>
      </c>
      <c r="AQ280" s="32" t="s">
        <v>7043</v>
      </c>
      <c r="AR280" s="30">
        <v>44927.0</v>
      </c>
      <c r="AS280" s="30">
        <v>45291.0</v>
      </c>
      <c r="AT280" s="39">
        <v>645.43</v>
      </c>
      <c r="AU280" s="39">
        <v>0.0</v>
      </c>
      <c r="AV280" s="38" t="s">
        <v>7047</v>
      </c>
    </row>
    <row r="281" ht="14.25" customHeight="1">
      <c r="A281" s="28" t="s">
        <v>2541</v>
      </c>
      <c r="B281" s="29" t="s">
        <v>2542</v>
      </c>
      <c r="C281" s="29" t="s">
        <v>7041</v>
      </c>
      <c r="D281" s="30">
        <v>45658.0</v>
      </c>
      <c r="E281" s="30">
        <v>46022.0</v>
      </c>
      <c r="F281" s="39">
        <v>75.08</v>
      </c>
      <c r="G281" s="39">
        <v>326.0</v>
      </c>
      <c r="H281" s="32" t="s">
        <v>7043</v>
      </c>
      <c r="I281" s="30">
        <v>46023.0</v>
      </c>
      <c r="J281" s="30">
        <v>46387.0</v>
      </c>
      <c r="K281" s="39">
        <v>0.0</v>
      </c>
      <c r="L281" s="39">
        <v>0.0</v>
      </c>
      <c r="M281" s="35" t="s">
        <v>7045</v>
      </c>
      <c r="N281" s="30">
        <v>46388.0</v>
      </c>
      <c r="O281" s="30">
        <v>46752.0</v>
      </c>
      <c r="P281" s="39">
        <v>0.0</v>
      </c>
      <c r="Q281" s="39">
        <v>0.0</v>
      </c>
      <c r="R281" s="35" t="s">
        <v>7045</v>
      </c>
      <c r="S281" s="30">
        <v>46753.0</v>
      </c>
      <c r="T281" s="30">
        <v>47118.0</v>
      </c>
      <c r="U281" s="39">
        <v>0.0</v>
      </c>
      <c r="V281" s="39">
        <v>0.0</v>
      </c>
      <c r="W281" s="35" t="s">
        <v>7045</v>
      </c>
      <c r="X281" s="30">
        <v>47119.0</v>
      </c>
      <c r="Y281" s="30">
        <v>47483.0</v>
      </c>
      <c r="Z281" s="39">
        <v>0.0</v>
      </c>
      <c r="AA281" s="39">
        <v>0.0</v>
      </c>
      <c r="AB281" s="35" t="s">
        <v>7045</v>
      </c>
      <c r="AC281" s="30">
        <v>47484.0</v>
      </c>
      <c r="AD281" s="30">
        <v>47848.0</v>
      </c>
      <c r="AE281" s="39">
        <v>0.0</v>
      </c>
      <c r="AF281" s="39">
        <v>0.0</v>
      </c>
      <c r="AG281" s="35" t="s">
        <v>7045</v>
      </c>
      <c r="AH281" s="30">
        <v>45292.0</v>
      </c>
      <c r="AI281" s="30">
        <v>45657.0</v>
      </c>
      <c r="AJ281" s="39">
        <v>283.5</v>
      </c>
      <c r="AK281" s="39">
        <v>425.0</v>
      </c>
      <c r="AL281" s="37" t="s">
        <v>7046</v>
      </c>
      <c r="AM281" s="30">
        <v>44562.0</v>
      </c>
      <c r="AN281" s="30">
        <v>44926.0</v>
      </c>
      <c r="AO281" s="39">
        <v>344.5</v>
      </c>
      <c r="AP281" s="39">
        <v>698.0</v>
      </c>
      <c r="AQ281" s="32" t="s">
        <v>7043</v>
      </c>
      <c r="AR281" s="30">
        <v>44927.0</v>
      </c>
      <c r="AS281" s="30">
        <v>45291.0</v>
      </c>
      <c r="AT281" s="39">
        <v>383.04</v>
      </c>
      <c r="AU281" s="39">
        <v>495.0</v>
      </c>
      <c r="AV281" s="37" t="s">
        <v>7046</v>
      </c>
    </row>
    <row r="282" ht="14.25" customHeight="1">
      <c r="A282" s="28" t="s">
        <v>2553</v>
      </c>
      <c r="B282" s="29" t="s">
        <v>2554</v>
      </c>
      <c r="C282" s="29" t="s">
        <v>7041</v>
      </c>
      <c r="D282" s="30">
        <v>45658.0</v>
      </c>
      <c r="E282" s="30">
        <v>46022.0</v>
      </c>
      <c r="F282" s="39">
        <v>184.06</v>
      </c>
      <c r="G282" s="39">
        <v>450.0</v>
      </c>
      <c r="H282" s="37" t="s">
        <v>7046</v>
      </c>
      <c r="I282" s="30">
        <v>46023.0</v>
      </c>
      <c r="J282" s="30">
        <v>46387.0</v>
      </c>
      <c r="K282" s="39">
        <v>0.0</v>
      </c>
      <c r="L282" s="39">
        <v>0.0</v>
      </c>
      <c r="M282" s="35" t="s">
        <v>7045</v>
      </c>
      <c r="N282" s="30">
        <v>46388.0</v>
      </c>
      <c r="O282" s="30">
        <v>46752.0</v>
      </c>
      <c r="P282" s="39">
        <v>0.0</v>
      </c>
      <c r="Q282" s="39">
        <v>0.0</v>
      </c>
      <c r="R282" s="35" t="s">
        <v>7045</v>
      </c>
      <c r="S282" s="30">
        <v>46753.0</v>
      </c>
      <c r="T282" s="30">
        <v>47118.0</v>
      </c>
      <c r="U282" s="39">
        <v>0.0</v>
      </c>
      <c r="V282" s="39">
        <v>0.0</v>
      </c>
      <c r="W282" s="35" t="s">
        <v>7045</v>
      </c>
      <c r="X282" s="30">
        <v>47119.0</v>
      </c>
      <c r="Y282" s="30">
        <v>47483.0</v>
      </c>
      <c r="Z282" s="39">
        <v>0.0</v>
      </c>
      <c r="AA282" s="39">
        <v>0.0</v>
      </c>
      <c r="AB282" s="35" t="s">
        <v>7045</v>
      </c>
      <c r="AC282" s="30">
        <v>47484.0</v>
      </c>
      <c r="AD282" s="30">
        <v>47848.0</v>
      </c>
      <c r="AE282" s="39">
        <v>0.0</v>
      </c>
      <c r="AF282" s="39">
        <v>0.0</v>
      </c>
      <c r="AG282" s="35" t="s">
        <v>7045</v>
      </c>
      <c r="AH282" s="30">
        <v>45292.0</v>
      </c>
      <c r="AI282" s="30">
        <v>45657.0</v>
      </c>
      <c r="AJ282" s="39">
        <v>362.52</v>
      </c>
      <c r="AK282" s="39">
        <v>530.0</v>
      </c>
      <c r="AL282" s="37" t="s">
        <v>7046</v>
      </c>
      <c r="AM282" s="30">
        <v>44562.0</v>
      </c>
      <c r="AN282" s="30">
        <v>44926.0</v>
      </c>
      <c r="AO282" s="39">
        <v>241.4</v>
      </c>
      <c r="AP282" s="39">
        <v>465.5</v>
      </c>
      <c r="AQ282" s="37" t="s">
        <v>7046</v>
      </c>
      <c r="AR282" s="30">
        <v>44927.0</v>
      </c>
      <c r="AS282" s="30">
        <v>45291.0</v>
      </c>
      <c r="AT282" s="39">
        <v>482.47</v>
      </c>
      <c r="AU282" s="39">
        <v>348.0</v>
      </c>
      <c r="AV282" s="38" t="s">
        <v>7047</v>
      </c>
    </row>
    <row r="283" ht="14.25" customHeight="1">
      <c r="A283" s="28" t="s">
        <v>2574</v>
      </c>
      <c r="B283" s="29" t="s">
        <v>2575</v>
      </c>
      <c r="C283" s="29" t="s">
        <v>7041</v>
      </c>
      <c r="D283" s="30">
        <v>45658.0</v>
      </c>
      <c r="E283" s="30">
        <v>46022.0</v>
      </c>
      <c r="F283" s="39">
        <v>72.71</v>
      </c>
      <c r="G283" s="39">
        <v>500.0</v>
      </c>
      <c r="H283" s="32" t="s">
        <v>7043</v>
      </c>
      <c r="I283" s="30">
        <v>46023.0</v>
      </c>
      <c r="J283" s="30">
        <v>46387.0</v>
      </c>
      <c r="K283" s="39">
        <v>0.0</v>
      </c>
      <c r="L283" s="39">
        <v>0.0</v>
      </c>
      <c r="M283" s="35" t="s">
        <v>7045</v>
      </c>
      <c r="N283" s="30">
        <v>46388.0</v>
      </c>
      <c r="O283" s="30">
        <v>46752.0</v>
      </c>
      <c r="P283" s="39">
        <v>0.0</v>
      </c>
      <c r="Q283" s="39">
        <v>0.0</v>
      </c>
      <c r="R283" s="35" t="s">
        <v>7045</v>
      </c>
      <c r="S283" s="30">
        <v>46753.0</v>
      </c>
      <c r="T283" s="30">
        <v>47118.0</v>
      </c>
      <c r="U283" s="39">
        <v>0.0</v>
      </c>
      <c r="V283" s="39">
        <v>0.0</v>
      </c>
      <c r="W283" s="35" t="s">
        <v>7045</v>
      </c>
      <c r="X283" s="30">
        <v>47119.0</v>
      </c>
      <c r="Y283" s="30">
        <v>47483.0</v>
      </c>
      <c r="Z283" s="39">
        <v>0.0</v>
      </c>
      <c r="AA283" s="39">
        <v>0.0</v>
      </c>
      <c r="AB283" s="35" t="s">
        <v>7045</v>
      </c>
      <c r="AC283" s="30">
        <v>47484.0</v>
      </c>
      <c r="AD283" s="30">
        <v>47848.0</v>
      </c>
      <c r="AE283" s="39">
        <v>0.0</v>
      </c>
      <c r="AF283" s="39">
        <v>0.0</v>
      </c>
      <c r="AG283" s="35" t="s">
        <v>7045</v>
      </c>
      <c r="AH283" s="30">
        <v>45292.0</v>
      </c>
      <c r="AI283" s="30">
        <v>45657.0</v>
      </c>
      <c r="AJ283" s="39">
        <v>237.94</v>
      </c>
      <c r="AK283" s="39">
        <v>350.0</v>
      </c>
      <c r="AL283" s="37" t="s">
        <v>7046</v>
      </c>
      <c r="AM283" s="30">
        <v>44562.0</v>
      </c>
      <c r="AN283" s="30">
        <v>44926.0</v>
      </c>
      <c r="AO283" s="39">
        <v>269.1</v>
      </c>
      <c r="AP283" s="39">
        <v>0.0</v>
      </c>
      <c r="AQ283" s="38" t="s">
        <v>7047</v>
      </c>
      <c r="AR283" s="30">
        <v>44927.0</v>
      </c>
      <c r="AS283" s="30">
        <v>45291.0</v>
      </c>
      <c r="AT283" s="39">
        <v>249.77</v>
      </c>
      <c r="AU283" s="39">
        <v>550.0</v>
      </c>
      <c r="AV283" s="32" t="s">
        <v>7043</v>
      </c>
    </row>
    <row r="284" ht="14.25" customHeight="1">
      <c r="A284" s="28" t="s">
        <v>2592</v>
      </c>
      <c r="B284" s="29" t="s">
        <v>2593</v>
      </c>
      <c r="C284" s="29" t="s">
        <v>7041</v>
      </c>
      <c r="D284" s="30">
        <v>45658.0</v>
      </c>
      <c r="E284" s="30">
        <v>46022.0</v>
      </c>
      <c r="F284" s="39">
        <v>116.39</v>
      </c>
      <c r="G284" s="39">
        <v>350.0</v>
      </c>
      <c r="H284" s="37" t="s">
        <v>7046</v>
      </c>
      <c r="I284" s="30">
        <v>46023.0</v>
      </c>
      <c r="J284" s="30">
        <v>46387.0</v>
      </c>
      <c r="K284" s="39">
        <v>0.0</v>
      </c>
      <c r="L284" s="39">
        <v>0.0</v>
      </c>
      <c r="M284" s="35" t="s">
        <v>7045</v>
      </c>
      <c r="N284" s="30">
        <v>46388.0</v>
      </c>
      <c r="O284" s="30">
        <v>46752.0</v>
      </c>
      <c r="P284" s="39">
        <v>0.0</v>
      </c>
      <c r="Q284" s="39">
        <v>0.0</v>
      </c>
      <c r="R284" s="35" t="s">
        <v>7045</v>
      </c>
      <c r="S284" s="30">
        <v>46753.0</v>
      </c>
      <c r="T284" s="30">
        <v>47118.0</v>
      </c>
      <c r="U284" s="39">
        <v>0.0</v>
      </c>
      <c r="V284" s="39">
        <v>0.0</v>
      </c>
      <c r="W284" s="35" t="s">
        <v>7045</v>
      </c>
      <c r="X284" s="30">
        <v>47119.0</v>
      </c>
      <c r="Y284" s="30">
        <v>47483.0</v>
      </c>
      <c r="Z284" s="39">
        <v>0.0</v>
      </c>
      <c r="AA284" s="39">
        <v>0.0</v>
      </c>
      <c r="AB284" s="35" t="s">
        <v>7045</v>
      </c>
      <c r="AC284" s="30">
        <v>47484.0</v>
      </c>
      <c r="AD284" s="30">
        <v>47848.0</v>
      </c>
      <c r="AE284" s="39">
        <v>0.0</v>
      </c>
      <c r="AF284" s="39">
        <v>0.0</v>
      </c>
      <c r="AG284" s="35" t="s">
        <v>7045</v>
      </c>
      <c r="AH284" s="30">
        <v>45292.0</v>
      </c>
      <c r="AI284" s="30">
        <v>45657.0</v>
      </c>
      <c r="AJ284" s="39">
        <v>287.26</v>
      </c>
      <c r="AK284" s="39">
        <v>300.6</v>
      </c>
      <c r="AL284" s="37" t="s">
        <v>7046</v>
      </c>
      <c r="AM284" s="30">
        <v>44562.0</v>
      </c>
      <c r="AN284" s="30">
        <v>44926.0</v>
      </c>
      <c r="AO284" s="39">
        <v>493.9</v>
      </c>
      <c r="AP284" s="39">
        <v>330.0</v>
      </c>
      <c r="AQ284" s="38" t="s">
        <v>7047</v>
      </c>
      <c r="AR284" s="30">
        <v>44927.0</v>
      </c>
      <c r="AS284" s="30">
        <v>45291.0</v>
      </c>
      <c r="AT284" s="39">
        <v>252.05</v>
      </c>
      <c r="AU284" s="39">
        <v>400.0</v>
      </c>
      <c r="AV284" s="37" t="s">
        <v>7046</v>
      </c>
    </row>
    <row r="285" ht="14.25" customHeight="1">
      <c r="A285" s="28" t="s">
        <v>2595</v>
      </c>
      <c r="B285" s="29" t="s">
        <v>2596</v>
      </c>
      <c r="C285" s="29" t="s">
        <v>7041</v>
      </c>
      <c r="D285" s="30">
        <v>45658.0</v>
      </c>
      <c r="E285" s="30">
        <v>46022.0</v>
      </c>
      <c r="F285" s="39">
        <v>315.74</v>
      </c>
      <c r="G285" s="39">
        <v>400.0</v>
      </c>
      <c r="H285" s="38" t="s">
        <v>7047</v>
      </c>
      <c r="I285" s="30">
        <v>46023.0</v>
      </c>
      <c r="J285" s="30">
        <v>46387.0</v>
      </c>
      <c r="K285" s="39">
        <v>0.0</v>
      </c>
      <c r="L285" s="39">
        <v>0.0</v>
      </c>
      <c r="M285" s="35" t="s">
        <v>7045</v>
      </c>
      <c r="N285" s="30">
        <v>46388.0</v>
      </c>
      <c r="O285" s="30">
        <v>46752.0</v>
      </c>
      <c r="P285" s="39">
        <v>0.0</v>
      </c>
      <c r="Q285" s="39">
        <v>0.0</v>
      </c>
      <c r="R285" s="35" t="s">
        <v>7045</v>
      </c>
      <c r="S285" s="30">
        <v>46753.0</v>
      </c>
      <c r="T285" s="30">
        <v>47118.0</v>
      </c>
      <c r="U285" s="39">
        <v>0.0</v>
      </c>
      <c r="V285" s="39">
        <v>0.0</v>
      </c>
      <c r="W285" s="35" t="s">
        <v>7045</v>
      </c>
      <c r="X285" s="30">
        <v>47119.0</v>
      </c>
      <c r="Y285" s="30">
        <v>47483.0</v>
      </c>
      <c r="Z285" s="39">
        <v>0.0</v>
      </c>
      <c r="AA285" s="39">
        <v>0.0</v>
      </c>
      <c r="AB285" s="35" t="s">
        <v>7045</v>
      </c>
      <c r="AC285" s="30">
        <v>47484.0</v>
      </c>
      <c r="AD285" s="30">
        <v>47848.0</v>
      </c>
      <c r="AE285" s="39">
        <v>0.0</v>
      </c>
      <c r="AF285" s="39">
        <v>0.0</v>
      </c>
      <c r="AG285" s="35" t="s">
        <v>7045</v>
      </c>
      <c r="AH285" s="30">
        <v>45292.0</v>
      </c>
      <c r="AI285" s="30">
        <v>45657.0</v>
      </c>
      <c r="AJ285" s="39">
        <v>386.82</v>
      </c>
      <c r="AK285" s="39">
        <v>280.0</v>
      </c>
      <c r="AL285" s="38" t="s">
        <v>7047</v>
      </c>
      <c r="AM285" s="30">
        <v>44562.0</v>
      </c>
      <c r="AN285" s="30">
        <v>44926.0</v>
      </c>
      <c r="AO285" s="39">
        <v>79.0</v>
      </c>
      <c r="AP285" s="39">
        <v>201.0</v>
      </c>
      <c r="AQ285" s="32" t="s">
        <v>7043</v>
      </c>
      <c r="AR285" s="30">
        <v>44927.0</v>
      </c>
      <c r="AS285" s="30">
        <v>45291.0</v>
      </c>
      <c r="AT285" s="39">
        <v>284.54</v>
      </c>
      <c r="AU285" s="39">
        <v>400.0</v>
      </c>
      <c r="AV285" s="37" t="s">
        <v>7046</v>
      </c>
    </row>
    <row r="286" ht="14.25" customHeight="1">
      <c r="A286" s="28" t="s">
        <v>2620</v>
      </c>
      <c r="B286" s="29" t="s">
        <v>2621</v>
      </c>
      <c r="C286" s="29" t="s">
        <v>7041</v>
      </c>
      <c r="D286" s="30">
        <v>45658.0</v>
      </c>
      <c r="E286" s="30">
        <v>46022.0</v>
      </c>
      <c r="F286" s="36">
        <v>17.97</v>
      </c>
      <c r="G286" s="36">
        <v>999.99</v>
      </c>
      <c r="H286" s="32" t="s">
        <v>7043</v>
      </c>
      <c r="I286" s="30">
        <v>46023.0</v>
      </c>
      <c r="J286" s="30">
        <v>46387.0</v>
      </c>
      <c r="K286" s="36">
        <v>0.0</v>
      </c>
      <c r="L286" s="36">
        <v>0.0</v>
      </c>
      <c r="M286" s="35" t="s">
        <v>7045</v>
      </c>
      <c r="N286" s="30">
        <v>46388.0</v>
      </c>
      <c r="O286" s="30">
        <v>46752.0</v>
      </c>
      <c r="P286" s="36">
        <v>0.0</v>
      </c>
      <c r="Q286" s="36">
        <v>0.0</v>
      </c>
      <c r="R286" s="35" t="s">
        <v>7045</v>
      </c>
      <c r="S286" s="30">
        <v>46753.0</v>
      </c>
      <c r="T286" s="30">
        <v>47118.0</v>
      </c>
      <c r="U286" s="36">
        <v>0.0</v>
      </c>
      <c r="V286" s="36">
        <v>0.0</v>
      </c>
      <c r="W286" s="35" t="s">
        <v>7045</v>
      </c>
      <c r="X286" s="30">
        <v>47119.0</v>
      </c>
      <c r="Y286" s="30">
        <v>47483.0</v>
      </c>
      <c r="Z286" s="36">
        <v>0.0</v>
      </c>
      <c r="AA286" s="36">
        <v>0.0</v>
      </c>
      <c r="AB286" s="35" t="s">
        <v>7045</v>
      </c>
      <c r="AC286" s="30">
        <v>47484.0</v>
      </c>
      <c r="AD286" s="30">
        <v>47848.0</v>
      </c>
      <c r="AE286" s="36">
        <v>0.0</v>
      </c>
      <c r="AF286" s="36">
        <v>0.0</v>
      </c>
      <c r="AG286" s="35" t="s">
        <v>7045</v>
      </c>
      <c r="AH286" s="30">
        <v>45292.0</v>
      </c>
      <c r="AI286" s="30">
        <v>45657.0</v>
      </c>
      <c r="AJ286" s="36">
        <v>289.73</v>
      </c>
      <c r="AK286" s="36">
        <v>799.99</v>
      </c>
      <c r="AL286" s="32" t="s">
        <v>7043</v>
      </c>
      <c r="AM286" s="30">
        <v>44562.0</v>
      </c>
      <c r="AN286" s="30">
        <v>44926.0</v>
      </c>
      <c r="AO286" s="36">
        <v>550.6</v>
      </c>
      <c r="AP286" s="36">
        <v>0.0</v>
      </c>
      <c r="AQ286" s="38" t="s">
        <v>7047</v>
      </c>
      <c r="AR286" s="30">
        <v>44927.0</v>
      </c>
      <c r="AS286" s="30">
        <v>45291.0</v>
      </c>
      <c r="AT286" s="36">
        <v>636.8</v>
      </c>
      <c r="AU286" s="36">
        <v>999.99</v>
      </c>
      <c r="AV286" s="37" t="s">
        <v>7046</v>
      </c>
    </row>
    <row r="287" ht="14.25" customHeight="1">
      <c r="A287" s="28" t="s">
        <v>2709</v>
      </c>
      <c r="B287" s="29" t="s">
        <v>2710</v>
      </c>
      <c r="C287" s="29" t="s">
        <v>7041</v>
      </c>
      <c r="D287" s="30">
        <v>45658.0</v>
      </c>
      <c r="E287" s="30">
        <v>46022.0</v>
      </c>
      <c r="F287" s="36">
        <v>106.35</v>
      </c>
      <c r="G287" s="36">
        <v>300.0</v>
      </c>
      <c r="H287" s="37" t="s">
        <v>7046</v>
      </c>
      <c r="I287" s="30">
        <v>46023.0</v>
      </c>
      <c r="J287" s="30">
        <v>46387.0</v>
      </c>
      <c r="K287" s="36">
        <v>0.0</v>
      </c>
      <c r="L287" s="36">
        <v>0.0</v>
      </c>
      <c r="M287" s="35" t="s">
        <v>7045</v>
      </c>
      <c r="N287" s="30">
        <v>46388.0</v>
      </c>
      <c r="O287" s="30">
        <v>46752.0</v>
      </c>
      <c r="P287" s="36">
        <v>0.0</v>
      </c>
      <c r="Q287" s="36">
        <v>0.0</v>
      </c>
      <c r="R287" s="35" t="s">
        <v>7045</v>
      </c>
      <c r="S287" s="30">
        <v>46753.0</v>
      </c>
      <c r="T287" s="30">
        <v>47118.0</v>
      </c>
      <c r="U287" s="36">
        <v>0.0</v>
      </c>
      <c r="V287" s="36">
        <v>0.0</v>
      </c>
      <c r="W287" s="35" t="s">
        <v>7045</v>
      </c>
      <c r="X287" s="30">
        <v>47119.0</v>
      </c>
      <c r="Y287" s="30">
        <v>47483.0</v>
      </c>
      <c r="Z287" s="36">
        <v>0.0</v>
      </c>
      <c r="AA287" s="36">
        <v>0.0</v>
      </c>
      <c r="AB287" s="35" t="s">
        <v>7045</v>
      </c>
      <c r="AC287" s="30">
        <v>47484.0</v>
      </c>
      <c r="AD287" s="30">
        <v>47848.0</v>
      </c>
      <c r="AE287" s="36">
        <v>0.0</v>
      </c>
      <c r="AF287" s="36">
        <v>0.0</v>
      </c>
      <c r="AG287" s="35" t="s">
        <v>7045</v>
      </c>
      <c r="AH287" s="30">
        <v>45292.0</v>
      </c>
      <c r="AI287" s="30">
        <v>45657.0</v>
      </c>
      <c r="AJ287" s="36">
        <v>251.82</v>
      </c>
      <c r="AK287" s="36">
        <v>330.0</v>
      </c>
      <c r="AL287" s="37" t="s">
        <v>7046</v>
      </c>
      <c r="AM287" s="30">
        <v>44562.0</v>
      </c>
      <c r="AN287" s="30">
        <v>44926.0</v>
      </c>
      <c r="AO287" s="36">
        <v>207.0</v>
      </c>
      <c r="AP287" s="36">
        <v>450.0</v>
      </c>
      <c r="AQ287" s="32" t="s">
        <v>7043</v>
      </c>
      <c r="AR287" s="30">
        <v>44927.0</v>
      </c>
      <c r="AS287" s="30">
        <v>45291.0</v>
      </c>
      <c r="AT287" s="36">
        <v>226.57</v>
      </c>
      <c r="AU287" s="36">
        <v>0.0</v>
      </c>
      <c r="AV287" s="38" t="s">
        <v>7047</v>
      </c>
    </row>
    <row r="288" ht="14.25" customHeight="1">
      <c r="A288" s="28" t="s">
        <v>2781</v>
      </c>
      <c r="B288" s="29" t="s">
        <v>2782</v>
      </c>
      <c r="C288" s="29" t="s">
        <v>7041</v>
      </c>
      <c r="D288" s="30">
        <v>45658.0</v>
      </c>
      <c r="E288" s="30">
        <v>46022.0</v>
      </c>
      <c r="F288" s="36">
        <v>153.73</v>
      </c>
      <c r="G288" s="36">
        <v>999.99</v>
      </c>
      <c r="H288" s="32" t="s">
        <v>7043</v>
      </c>
      <c r="I288" s="30">
        <v>46023.0</v>
      </c>
      <c r="J288" s="30">
        <v>46387.0</v>
      </c>
      <c r="K288" s="36">
        <v>0.0</v>
      </c>
      <c r="L288" s="36">
        <v>0.0</v>
      </c>
      <c r="M288" s="35" t="s">
        <v>7045</v>
      </c>
      <c r="N288" s="30">
        <v>46388.0</v>
      </c>
      <c r="O288" s="30">
        <v>46752.0</v>
      </c>
      <c r="P288" s="36">
        <v>0.0</v>
      </c>
      <c r="Q288" s="36">
        <v>0.0</v>
      </c>
      <c r="R288" s="35" t="s">
        <v>7045</v>
      </c>
      <c r="S288" s="30">
        <v>46753.0</v>
      </c>
      <c r="T288" s="30">
        <v>47118.0</v>
      </c>
      <c r="U288" s="36">
        <v>0.0</v>
      </c>
      <c r="V288" s="36">
        <v>0.0</v>
      </c>
      <c r="W288" s="35" t="s">
        <v>7045</v>
      </c>
      <c r="X288" s="30">
        <v>47119.0</v>
      </c>
      <c r="Y288" s="30">
        <v>47483.0</v>
      </c>
      <c r="Z288" s="36">
        <v>0.0</v>
      </c>
      <c r="AA288" s="36">
        <v>0.0</v>
      </c>
      <c r="AB288" s="35" t="s">
        <v>7045</v>
      </c>
      <c r="AC288" s="30">
        <v>47484.0</v>
      </c>
      <c r="AD288" s="30">
        <v>47848.0</v>
      </c>
      <c r="AE288" s="36">
        <v>0.0</v>
      </c>
      <c r="AF288" s="36">
        <v>0.0</v>
      </c>
      <c r="AG288" s="35" t="s">
        <v>7045</v>
      </c>
      <c r="AH288" s="30">
        <v>45292.0</v>
      </c>
      <c r="AI288" s="30">
        <v>45657.0</v>
      </c>
      <c r="AJ288" s="36">
        <v>352.87</v>
      </c>
      <c r="AK288" s="36">
        <v>999.99</v>
      </c>
      <c r="AL288" s="32" t="s">
        <v>7043</v>
      </c>
      <c r="AM288" s="30">
        <v>44562.0</v>
      </c>
      <c r="AN288" s="30">
        <v>44926.0</v>
      </c>
      <c r="AO288" s="36">
        <v>50.6</v>
      </c>
      <c r="AP288" s="36">
        <v>0.0</v>
      </c>
      <c r="AQ288" s="38" t="s">
        <v>7047</v>
      </c>
      <c r="AR288" s="30">
        <v>44927.0</v>
      </c>
      <c r="AS288" s="30">
        <v>45291.0</v>
      </c>
      <c r="AT288" s="36">
        <v>648.39</v>
      </c>
      <c r="AU288" s="36">
        <v>999.99</v>
      </c>
      <c r="AV288" s="37" t="s">
        <v>7046</v>
      </c>
    </row>
    <row r="289" ht="14.25" customHeight="1">
      <c r="A289" s="28" t="s">
        <v>2948</v>
      </c>
      <c r="B289" s="29" t="s">
        <v>2949</v>
      </c>
      <c r="C289" s="29" t="s">
        <v>7041</v>
      </c>
      <c r="D289" s="30">
        <v>45658.0</v>
      </c>
      <c r="E289" s="30">
        <v>46022.0</v>
      </c>
      <c r="F289" s="39">
        <v>165.42</v>
      </c>
      <c r="G289" s="39">
        <v>490.0</v>
      </c>
      <c r="H289" s="37" t="s">
        <v>7046</v>
      </c>
      <c r="I289" s="30">
        <v>46023.0</v>
      </c>
      <c r="J289" s="30">
        <v>46387.0</v>
      </c>
      <c r="K289" s="39">
        <v>0.0</v>
      </c>
      <c r="L289" s="39">
        <v>0.0</v>
      </c>
      <c r="M289" s="35" t="s">
        <v>7045</v>
      </c>
      <c r="N289" s="30">
        <v>46388.0</v>
      </c>
      <c r="O289" s="30">
        <v>46752.0</v>
      </c>
      <c r="P289" s="39">
        <v>0.0</v>
      </c>
      <c r="Q289" s="39">
        <v>0.0</v>
      </c>
      <c r="R289" s="35" t="s">
        <v>7045</v>
      </c>
      <c r="S289" s="30">
        <v>46753.0</v>
      </c>
      <c r="T289" s="30">
        <v>47118.0</v>
      </c>
      <c r="U289" s="39">
        <v>0.0</v>
      </c>
      <c r="V289" s="39">
        <v>0.0</v>
      </c>
      <c r="W289" s="35" t="s">
        <v>7045</v>
      </c>
      <c r="X289" s="30">
        <v>47119.0</v>
      </c>
      <c r="Y289" s="30">
        <v>47483.0</v>
      </c>
      <c r="Z289" s="39">
        <v>0.0</v>
      </c>
      <c r="AA289" s="39">
        <v>0.0</v>
      </c>
      <c r="AB289" s="35" t="s">
        <v>7045</v>
      </c>
      <c r="AC289" s="30">
        <v>47484.0</v>
      </c>
      <c r="AD289" s="30">
        <v>47848.0</v>
      </c>
      <c r="AE289" s="39">
        <v>0.0</v>
      </c>
      <c r="AF289" s="39">
        <v>0.0</v>
      </c>
      <c r="AG289" s="35" t="s">
        <v>7045</v>
      </c>
      <c r="AH289" s="30">
        <v>45292.0</v>
      </c>
      <c r="AI289" s="30">
        <v>45657.0</v>
      </c>
      <c r="AJ289" s="39">
        <v>437.11</v>
      </c>
      <c r="AK289" s="39">
        <v>592.0</v>
      </c>
      <c r="AL289" s="37" t="s">
        <v>7046</v>
      </c>
      <c r="AM289" s="30">
        <v>44562.0</v>
      </c>
      <c r="AN289" s="30">
        <v>44926.0</v>
      </c>
      <c r="AO289" s="39">
        <v>485.6</v>
      </c>
      <c r="AP289" s="39">
        <v>0.0</v>
      </c>
      <c r="AQ289" s="38" t="s">
        <v>7047</v>
      </c>
      <c r="AR289" s="30">
        <v>44927.0</v>
      </c>
      <c r="AS289" s="30">
        <v>45291.0</v>
      </c>
      <c r="AT289" s="39">
        <v>667.07</v>
      </c>
      <c r="AU289" s="39">
        <v>492.0</v>
      </c>
      <c r="AV289" s="38" t="s">
        <v>7047</v>
      </c>
    </row>
    <row r="290" ht="14.25" customHeight="1">
      <c r="A290" s="28" t="s">
        <v>2957</v>
      </c>
      <c r="B290" s="29" t="s">
        <v>2958</v>
      </c>
      <c r="C290" s="29" t="s">
        <v>7041</v>
      </c>
      <c r="D290" s="30">
        <v>45658.0</v>
      </c>
      <c r="E290" s="30">
        <v>46022.0</v>
      </c>
      <c r="F290" s="39">
        <v>254.87</v>
      </c>
      <c r="G290" s="39">
        <v>750.0</v>
      </c>
      <c r="H290" s="37" t="s">
        <v>7046</v>
      </c>
      <c r="I290" s="30">
        <v>46023.0</v>
      </c>
      <c r="J290" s="30">
        <v>46387.0</v>
      </c>
      <c r="K290" s="39">
        <v>0.0</v>
      </c>
      <c r="L290" s="39">
        <v>0.0</v>
      </c>
      <c r="M290" s="35" t="s">
        <v>7045</v>
      </c>
      <c r="N290" s="30">
        <v>46388.0</v>
      </c>
      <c r="O290" s="30">
        <v>46752.0</v>
      </c>
      <c r="P290" s="39">
        <v>0.0</v>
      </c>
      <c r="Q290" s="39">
        <v>0.0</v>
      </c>
      <c r="R290" s="35" t="s">
        <v>7045</v>
      </c>
      <c r="S290" s="30">
        <v>46753.0</v>
      </c>
      <c r="T290" s="30">
        <v>47118.0</v>
      </c>
      <c r="U290" s="39">
        <v>0.0</v>
      </c>
      <c r="V290" s="39">
        <v>0.0</v>
      </c>
      <c r="W290" s="35" t="s">
        <v>7045</v>
      </c>
      <c r="X290" s="30">
        <v>47119.0</v>
      </c>
      <c r="Y290" s="30">
        <v>47483.0</v>
      </c>
      <c r="Z290" s="39">
        <v>0.0</v>
      </c>
      <c r="AA290" s="39">
        <v>0.0</v>
      </c>
      <c r="AB290" s="35" t="s">
        <v>7045</v>
      </c>
      <c r="AC290" s="30">
        <v>47484.0</v>
      </c>
      <c r="AD290" s="30">
        <v>47848.0</v>
      </c>
      <c r="AE290" s="39">
        <v>0.0</v>
      </c>
      <c r="AF290" s="39">
        <v>0.0</v>
      </c>
      <c r="AG290" s="35" t="s">
        <v>7045</v>
      </c>
      <c r="AH290" s="30">
        <v>45292.0</v>
      </c>
      <c r="AI290" s="30">
        <v>45657.0</v>
      </c>
      <c r="AJ290" s="39">
        <v>714.34</v>
      </c>
      <c r="AK290" s="39">
        <v>850.0</v>
      </c>
      <c r="AL290" s="37" t="s">
        <v>7046</v>
      </c>
      <c r="AM290" s="30">
        <v>44562.0</v>
      </c>
      <c r="AN290" s="30">
        <v>44926.0</v>
      </c>
      <c r="AO290" s="39">
        <v>675.7</v>
      </c>
      <c r="AP290" s="39">
        <v>580.0</v>
      </c>
      <c r="AQ290" s="38" t="s">
        <v>7047</v>
      </c>
      <c r="AR290" s="30">
        <v>44927.0</v>
      </c>
      <c r="AS290" s="30">
        <v>45291.0</v>
      </c>
      <c r="AT290" s="39">
        <v>793.45</v>
      </c>
      <c r="AU290" s="39">
        <v>699.8</v>
      </c>
      <c r="AV290" s="38" t="s">
        <v>7047</v>
      </c>
    </row>
    <row r="291" ht="14.25" customHeight="1">
      <c r="A291" s="28" t="s">
        <v>3189</v>
      </c>
      <c r="B291" s="29" t="s">
        <v>3190</v>
      </c>
      <c r="C291" s="29" t="s">
        <v>7041</v>
      </c>
      <c r="D291" s="30">
        <v>45658.0</v>
      </c>
      <c r="E291" s="30">
        <v>46022.0</v>
      </c>
      <c r="F291" s="39">
        <v>480.36</v>
      </c>
      <c r="G291" s="39">
        <v>1060.0</v>
      </c>
      <c r="H291" s="37" t="s">
        <v>7046</v>
      </c>
      <c r="I291" s="30">
        <v>46023.0</v>
      </c>
      <c r="J291" s="30">
        <v>46387.0</v>
      </c>
      <c r="K291" s="39">
        <v>0.0</v>
      </c>
      <c r="L291" s="39">
        <v>0.0</v>
      </c>
      <c r="M291" s="35" t="s">
        <v>7045</v>
      </c>
      <c r="N291" s="30">
        <v>46388.0</v>
      </c>
      <c r="O291" s="30">
        <v>46752.0</v>
      </c>
      <c r="P291" s="39">
        <v>0.0</v>
      </c>
      <c r="Q291" s="39">
        <v>0.0</v>
      </c>
      <c r="R291" s="35" t="s">
        <v>7045</v>
      </c>
      <c r="S291" s="30">
        <v>46753.0</v>
      </c>
      <c r="T291" s="30">
        <v>47118.0</v>
      </c>
      <c r="U291" s="39">
        <v>0.0</v>
      </c>
      <c r="V291" s="39">
        <v>0.0</v>
      </c>
      <c r="W291" s="35" t="s">
        <v>7045</v>
      </c>
      <c r="X291" s="30">
        <v>47119.0</v>
      </c>
      <c r="Y291" s="30">
        <v>47483.0</v>
      </c>
      <c r="Z291" s="39">
        <v>0.0</v>
      </c>
      <c r="AA291" s="39">
        <v>0.0</v>
      </c>
      <c r="AB291" s="35" t="s">
        <v>7045</v>
      </c>
      <c r="AC291" s="30">
        <v>47484.0</v>
      </c>
      <c r="AD291" s="30">
        <v>47848.0</v>
      </c>
      <c r="AE291" s="39">
        <v>0.0</v>
      </c>
      <c r="AF291" s="39">
        <v>0.0</v>
      </c>
      <c r="AG291" s="35" t="s">
        <v>7045</v>
      </c>
      <c r="AH291" s="30">
        <v>45292.0</v>
      </c>
      <c r="AI291" s="30">
        <v>45657.0</v>
      </c>
      <c r="AJ291" s="39">
        <v>920.62</v>
      </c>
      <c r="AK291" s="39">
        <v>1050.0</v>
      </c>
      <c r="AL291" s="37" t="s">
        <v>7046</v>
      </c>
      <c r="AM291" s="30">
        <v>44562.0</v>
      </c>
      <c r="AN291" s="30">
        <v>44926.0</v>
      </c>
      <c r="AO291" s="39">
        <v>1037.3</v>
      </c>
      <c r="AP291" s="39">
        <v>1200.0</v>
      </c>
      <c r="AQ291" s="37" t="s">
        <v>7046</v>
      </c>
      <c r="AR291" s="30">
        <v>44927.0</v>
      </c>
      <c r="AS291" s="30">
        <v>45291.0</v>
      </c>
      <c r="AT291" s="39">
        <v>953.77</v>
      </c>
      <c r="AU291" s="39">
        <v>1200.0</v>
      </c>
      <c r="AV291" s="37" t="s">
        <v>7046</v>
      </c>
    </row>
    <row r="292" ht="14.25" customHeight="1">
      <c r="A292" s="28" t="s">
        <v>3291</v>
      </c>
      <c r="B292" s="29" t="s">
        <v>3292</v>
      </c>
      <c r="C292" s="29" t="s">
        <v>7041</v>
      </c>
      <c r="D292" s="30">
        <v>45658.0</v>
      </c>
      <c r="E292" s="30">
        <v>46022.0</v>
      </c>
      <c r="F292" s="39">
        <v>484.28</v>
      </c>
      <c r="G292" s="39">
        <v>1000.1</v>
      </c>
      <c r="H292" s="37" t="s">
        <v>7046</v>
      </c>
      <c r="I292" s="30">
        <v>46023.0</v>
      </c>
      <c r="J292" s="30">
        <v>46387.0</v>
      </c>
      <c r="K292" s="39">
        <v>0.0</v>
      </c>
      <c r="L292" s="39">
        <v>0.0</v>
      </c>
      <c r="M292" s="35" t="s">
        <v>7045</v>
      </c>
      <c r="N292" s="30">
        <v>46388.0</v>
      </c>
      <c r="O292" s="30">
        <v>46752.0</v>
      </c>
      <c r="P292" s="39">
        <v>0.0</v>
      </c>
      <c r="Q292" s="39">
        <v>0.0</v>
      </c>
      <c r="R292" s="35" t="s">
        <v>7045</v>
      </c>
      <c r="S292" s="30">
        <v>46753.0</v>
      </c>
      <c r="T292" s="30">
        <v>47118.0</v>
      </c>
      <c r="U292" s="39">
        <v>0.0</v>
      </c>
      <c r="V292" s="39">
        <v>0.0</v>
      </c>
      <c r="W292" s="35" t="s">
        <v>7045</v>
      </c>
      <c r="X292" s="30">
        <v>47119.0</v>
      </c>
      <c r="Y292" s="30">
        <v>47483.0</v>
      </c>
      <c r="Z292" s="39">
        <v>0.0</v>
      </c>
      <c r="AA292" s="39">
        <v>0.0</v>
      </c>
      <c r="AB292" s="35" t="s">
        <v>7045</v>
      </c>
      <c r="AC292" s="30">
        <v>47484.0</v>
      </c>
      <c r="AD292" s="30">
        <v>47848.0</v>
      </c>
      <c r="AE292" s="39">
        <v>0.0</v>
      </c>
      <c r="AF292" s="39">
        <v>0.0</v>
      </c>
      <c r="AG292" s="35" t="s">
        <v>7045</v>
      </c>
      <c r="AH292" s="30">
        <v>45292.0</v>
      </c>
      <c r="AI292" s="30">
        <v>45657.0</v>
      </c>
      <c r="AJ292" s="39">
        <v>776.2</v>
      </c>
      <c r="AK292" s="39">
        <v>1090.0</v>
      </c>
      <c r="AL292" s="37" t="s">
        <v>7046</v>
      </c>
      <c r="AM292" s="30">
        <v>44562.0</v>
      </c>
      <c r="AN292" s="30">
        <v>44926.0</v>
      </c>
      <c r="AO292" s="39">
        <v>822.4</v>
      </c>
      <c r="AP292" s="39">
        <v>0.0</v>
      </c>
      <c r="AQ292" s="38" t="s">
        <v>7047</v>
      </c>
      <c r="AR292" s="30">
        <v>44927.0</v>
      </c>
      <c r="AS292" s="30">
        <v>45291.0</v>
      </c>
      <c r="AT292" s="39">
        <v>1088.84</v>
      </c>
      <c r="AU292" s="39">
        <v>0.0</v>
      </c>
      <c r="AV292" s="38" t="s">
        <v>7047</v>
      </c>
    </row>
    <row r="293" ht="14.25" customHeight="1">
      <c r="A293" s="28" t="s">
        <v>3326</v>
      </c>
      <c r="B293" s="29" t="s">
        <v>3327</v>
      </c>
      <c r="C293" s="29" t="s">
        <v>7041</v>
      </c>
      <c r="D293" s="30">
        <v>45658.0</v>
      </c>
      <c r="E293" s="30">
        <v>46022.0</v>
      </c>
      <c r="F293" s="39">
        <v>0.0</v>
      </c>
      <c r="G293" s="39">
        <v>500.0</v>
      </c>
      <c r="H293" s="32" t="s">
        <v>7043</v>
      </c>
      <c r="I293" s="30">
        <v>46023.0</v>
      </c>
      <c r="J293" s="30">
        <v>46387.0</v>
      </c>
      <c r="K293" s="39">
        <v>0.0</v>
      </c>
      <c r="L293" s="39">
        <v>0.0</v>
      </c>
      <c r="M293" s="35" t="s">
        <v>7045</v>
      </c>
      <c r="N293" s="30">
        <v>46388.0</v>
      </c>
      <c r="O293" s="30">
        <v>46752.0</v>
      </c>
      <c r="P293" s="39">
        <v>0.0</v>
      </c>
      <c r="Q293" s="39">
        <v>0.0</v>
      </c>
      <c r="R293" s="35" t="s">
        <v>7045</v>
      </c>
      <c r="S293" s="30">
        <v>46753.0</v>
      </c>
      <c r="T293" s="30">
        <v>47118.0</v>
      </c>
      <c r="U293" s="39">
        <v>0.0</v>
      </c>
      <c r="V293" s="39">
        <v>0.0</v>
      </c>
      <c r="W293" s="35" t="s">
        <v>7045</v>
      </c>
      <c r="X293" s="30">
        <v>47119.0</v>
      </c>
      <c r="Y293" s="30">
        <v>47483.0</v>
      </c>
      <c r="Z293" s="39">
        <v>0.0</v>
      </c>
      <c r="AA293" s="39">
        <v>0.0</v>
      </c>
      <c r="AB293" s="35" t="s">
        <v>7045</v>
      </c>
      <c r="AC293" s="30">
        <v>47484.0</v>
      </c>
      <c r="AD293" s="30">
        <v>47848.0</v>
      </c>
      <c r="AE293" s="39">
        <v>0.0</v>
      </c>
      <c r="AF293" s="39">
        <v>0.0</v>
      </c>
      <c r="AG293" s="35" t="s">
        <v>7045</v>
      </c>
      <c r="AH293" s="30">
        <v>45292.0</v>
      </c>
      <c r="AI293" s="30">
        <v>45657.0</v>
      </c>
      <c r="AJ293" s="39">
        <v>206.77</v>
      </c>
      <c r="AK293" s="39">
        <v>530.0</v>
      </c>
      <c r="AL293" s="32" t="s">
        <v>7043</v>
      </c>
      <c r="AM293" s="30">
        <v>44562.0</v>
      </c>
      <c r="AN293" s="30">
        <v>44926.0</v>
      </c>
      <c r="AO293" s="39">
        <v>57.3</v>
      </c>
      <c r="AP293" s="39">
        <v>533.0</v>
      </c>
      <c r="AQ293" s="32" t="s">
        <v>7043</v>
      </c>
      <c r="AR293" s="30">
        <v>44927.0</v>
      </c>
      <c r="AS293" s="30">
        <v>45291.0</v>
      </c>
      <c r="AT293" s="39">
        <v>125.45</v>
      </c>
      <c r="AU293" s="39">
        <v>505.0</v>
      </c>
      <c r="AV293" s="32" t="s">
        <v>7043</v>
      </c>
    </row>
    <row r="294" ht="14.25" customHeight="1">
      <c r="A294" s="28" t="s">
        <v>3396</v>
      </c>
      <c r="B294" s="29" t="s">
        <v>3397</v>
      </c>
      <c r="C294" s="29" t="s">
        <v>7041</v>
      </c>
      <c r="D294" s="30">
        <v>45658.0</v>
      </c>
      <c r="E294" s="30">
        <v>46022.0</v>
      </c>
      <c r="F294" s="39">
        <v>14.36</v>
      </c>
      <c r="G294" s="39">
        <v>0.0</v>
      </c>
      <c r="H294" s="38" t="s">
        <v>7047</v>
      </c>
      <c r="I294" s="30">
        <v>46023.0</v>
      </c>
      <c r="J294" s="30">
        <v>46387.0</v>
      </c>
      <c r="K294" s="39">
        <v>0.0</v>
      </c>
      <c r="L294" s="39">
        <v>0.0</v>
      </c>
      <c r="M294" s="35" t="s">
        <v>7045</v>
      </c>
      <c r="N294" s="30">
        <v>46388.0</v>
      </c>
      <c r="O294" s="30">
        <v>46752.0</v>
      </c>
      <c r="P294" s="39">
        <v>0.0</v>
      </c>
      <c r="Q294" s="39">
        <v>0.0</v>
      </c>
      <c r="R294" s="35" t="s">
        <v>7045</v>
      </c>
      <c r="S294" s="30">
        <v>46753.0</v>
      </c>
      <c r="T294" s="30">
        <v>47118.0</v>
      </c>
      <c r="U294" s="39">
        <v>0.0</v>
      </c>
      <c r="V294" s="39">
        <v>0.0</v>
      </c>
      <c r="W294" s="35" t="s">
        <v>7045</v>
      </c>
      <c r="X294" s="30">
        <v>47119.0</v>
      </c>
      <c r="Y294" s="30">
        <v>47483.0</v>
      </c>
      <c r="Z294" s="39">
        <v>0.0</v>
      </c>
      <c r="AA294" s="39">
        <v>0.0</v>
      </c>
      <c r="AB294" s="35" t="s">
        <v>7045</v>
      </c>
      <c r="AC294" s="30">
        <v>47484.0</v>
      </c>
      <c r="AD294" s="30">
        <v>47848.0</v>
      </c>
      <c r="AE294" s="39">
        <v>0.0</v>
      </c>
      <c r="AF294" s="39">
        <v>0.0</v>
      </c>
      <c r="AG294" s="35" t="s">
        <v>7045</v>
      </c>
      <c r="AH294" s="30">
        <v>45292.0</v>
      </c>
      <c r="AI294" s="30">
        <v>45657.0</v>
      </c>
      <c r="AJ294" s="39">
        <v>460.86</v>
      </c>
      <c r="AK294" s="39">
        <v>1400.0</v>
      </c>
      <c r="AL294" s="32" t="s">
        <v>7043</v>
      </c>
      <c r="AM294" s="30">
        <v>44562.0</v>
      </c>
      <c r="AN294" s="30">
        <v>44926.0</v>
      </c>
      <c r="AO294" s="39">
        <v>811.9</v>
      </c>
      <c r="AP294" s="39">
        <v>2000.0</v>
      </c>
      <c r="AQ294" s="32" t="s">
        <v>7043</v>
      </c>
      <c r="AR294" s="30">
        <v>44927.0</v>
      </c>
      <c r="AS294" s="30">
        <v>45291.0</v>
      </c>
      <c r="AT294" s="39">
        <v>805.51</v>
      </c>
      <c r="AU294" s="39">
        <v>1420.0</v>
      </c>
      <c r="AV294" s="37" t="s">
        <v>7046</v>
      </c>
    </row>
    <row r="295" ht="14.25" customHeight="1">
      <c r="A295" s="28" t="s">
        <v>3403</v>
      </c>
      <c r="B295" s="29" t="s">
        <v>3404</v>
      </c>
      <c r="C295" s="29" t="s">
        <v>7041</v>
      </c>
      <c r="D295" s="30">
        <v>45658.0</v>
      </c>
      <c r="E295" s="30">
        <v>46022.0</v>
      </c>
      <c r="F295" s="39">
        <v>109.81</v>
      </c>
      <c r="G295" s="39">
        <v>740.0</v>
      </c>
      <c r="H295" s="38" t="s">
        <v>7043</v>
      </c>
      <c r="I295" s="30">
        <v>46023.0</v>
      </c>
      <c r="J295" s="30">
        <v>46387.0</v>
      </c>
      <c r="K295" s="39">
        <v>0.0</v>
      </c>
      <c r="L295" s="39">
        <v>0.0</v>
      </c>
      <c r="M295" s="35" t="s">
        <v>7045</v>
      </c>
      <c r="N295" s="30">
        <v>46388.0</v>
      </c>
      <c r="O295" s="30">
        <v>46752.0</v>
      </c>
      <c r="P295" s="39">
        <v>0.0</v>
      </c>
      <c r="Q295" s="39">
        <v>0.0</v>
      </c>
      <c r="R295" s="35" t="s">
        <v>7045</v>
      </c>
      <c r="S295" s="30">
        <v>46753.0</v>
      </c>
      <c r="T295" s="30">
        <v>47118.0</v>
      </c>
      <c r="U295" s="39">
        <v>0.0</v>
      </c>
      <c r="V295" s="39">
        <v>0.0</v>
      </c>
      <c r="W295" s="35" t="s">
        <v>7045</v>
      </c>
      <c r="X295" s="30">
        <v>47119.0</v>
      </c>
      <c r="Y295" s="30">
        <v>47483.0</v>
      </c>
      <c r="Z295" s="39">
        <v>0.0</v>
      </c>
      <c r="AA295" s="39">
        <v>0.0</v>
      </c>
      <c r="AB295" s="35" t="s">
        <v>7045</v>
      </c>
      <c r="AC295" s="30">
        <v>47484.0</v>
      </c>
      <c r="AD295" s="30">
        <v>47848.0</v>
      </c>
      <c r="AE295" s="39">
        <v>0.0</v>
      </c>
      <c r="AF295" s="39">
        <v>0.0</v>
      </c>
      <c r="AG295" s="35" t="s">
        <v>7045</v>
      </c>
      <c r="AH295" s="30">
        <v>45292.0</v>
      </c>
      <c r="AI295" s="30">
        <v>45657.0</v>
      </c>
      <c r="AJ295" s="39">
        <v>383.51</v>
      </c>
      <c r="AK295" s="39">
        <v>725.0</v>
      </c>
      <c r="AL295" s="37" t="s">
        <v>7046</v>
      </c>
      <c r="AM295" s="30">
        <v>44562.0</v>
      </c>
      <c r="AN295" s="30">
        <v>44926.0</v>
      </c>
      <c r="AO295" s="39">
        <v>485.1</v>
      </c>
      <c r="AP295" s="39">
        <v>1000.0</v>
      </c>
      <c r="AQ295" s="32" t="s">
        <v>7043</v>
      </c>
      <c r="AR295" s="30">
        <v>44927.0</v>
      </c>
      <c r="AS295" s="30">
        <v>45291.0</v>
      </c>
      <c r="AT295" s="39">
        <v>341.4</v>
      </c>
      <c r="AU295" s="39">
        <v>1000.0</v>
      </c>
      <c r="AV295" s="32" t="s">
        <v>7043</v>
      </c>
    </row>
    <row r="296" ht="14.25" customHeight="1">
      <c r="A296" s="28" t="s">
        <v>3469</v>
      </c>
      <c r="B296" s="29" t="s">
        <v>3470</v>
      </c>
      <c r="C296" s="29" t="s">
        <v>7041</v>
      </c>
      <c r="D296" s="30">
        <v>45658.0</v>
      </c>
      <c r="E296" s="30">
        <v>46022.0</v>
      </c>
      <c r="F296" s="36">
        <v>127.1</v>
      </c>
      <c r="G296" s="36">
        <v>999.99</v>
      </c>
      <c r="H296" s="32" t="s">
        <v>7043</v>
      </c>
      <c r="I296" s="30">
        <v>46023.0</v>
      </c>
      <c r="J296" s="30">
        <v>46387.0</v>
      </c>
      <c r="K296" s="36">
        <v>0.0</v>
      </c>
      <c r="L296" s="36">
        <v>0.0</v>
      </c>
      <c r="M296" s="35" t="s">
        <v>7045</v>
      </c>
      <c r="N296" s="30">
        <v>46388.0</v>
      </c>
      <c r="O296" s="30">
        <v>46752.0</v>
      </c>
      <c r="P296" s="36">
        <v>0.0</v>
      </c>
      <c r="Q296" s="36">
        <v>0.0</v>
      </c>
      <c r="R296" s="35" t="s">
        <v>7045</v>
      </c>
      <c r="S296" s="30">
        <v>46753.0</v>
      </c>
      <c r="T296" s="30">
        <v>47118.0</v>
      </c>
      <c r="U296" s="36">
        <v>0.0</v>
      </c>
      <c r="V296" s="36">
        <v>0.0</v>
      </c>
      <c r="W296" s="35" t="s">
        <v>7045</v>
      </c>
      <c r="X296" s="30">
        <v>47119.0</v>
      </c>
      <c r="Y296" s="30">
        <v>47483.0</v>
      </c>
      <c r="Z296" s="36">
        <v>0.0</v>
      </c>
      <c r="AA296" s="36">
        <v>0.0</v>
      </c>
      <c r="AB296" s="35" t="s">
        <v>7045</v>
      </c>
      <c r="AC296" s="30">
        <v>47484.0</v>
      </c>
      <c r="AD296" s="30">
        <v>47848.0</v>
      </c>
      <c r="AE296" s="36">
        <v>0.0</v>
      </c>
      <c r="AF296" s="36">
        <v>0.0</v>
      </c>
      <c r="AG296" s="35" t="s">
        <v>7045</v>
      </c>
      <c r="AH296" s="30">
        <v>45292.0</v>
      </c>
      <c r="AI296" s="30">
        <v>45657.0</v>
      </c>
      <c r="AJ296" s="36">
        <v>276.04</v>
      </c>
      <c r="AK296" s="36">
        <v>0.0</v>
      </c>
      <c r="AL296" s="38" t="s">
        <v>7047</v>
      </c>
      <c r="AM296" s="30">
        <v>44562.0</v>
      </c>
      <c r="AN296" s="30">
        <v>44926.0</v>
      </c>
      <c r="AO296" s="36">
        <v>406.9</v>
      </c>
      <c r="AP296" s="36">
        <v>565.0</v>
      </c>
      <c r="AQ296" s="37" t="s">
        <v>7046</v>
      </c>
      <c r="AR296" s="30">
        <v>44927.0</v>
      </c>
      <c r="AS296" s="30">
        <v>45291.0</v>
      </c>
      <c r="AT296" s="36">
        <v>183.02</v>
      </c>
      <c r="AU296" s="36">
        <v>500.0</v>
      </c>
      <c r="AV296" s="32" t="s">
        <v>7043</v>
      </c>
    </row>
    <row r="297" ht="14.25" customHeight="1">
      <c r="A297" s="28" t="s">
        <v>3543</v>
      </c>
      <c r="B297" s="29" t="s">
        <v>3544</v>
      </c>
      <c r="C297" s="29" t="s">
        <v>7041</v>
      </c>
      <c r="D297" s="30">
        <v>45658.0</v>
      </c>
      <c r="E297" s="30">
        <v>46022.0</v>
      </c>
      <c r="F297" s="39">
        <v>271.19</v>
      </c>
      <c r="G297" s="39">
        <v>500.0</v>
      </c>
      <c r="H297" s="38" t="s">
        <v>7047</v>
      </c>
      <c r="I297" s="30">
        <v>46023.0</v>
      </c>
      <c r="J297" s="30">
        <v>46387.0</v>
      </c>
      <c r="K297" s="39">
        <v>0.0</v>
      </c>
      <c r="L297" s="39">
        <v>0.0</v>
      </c>
      <c r="M297" s="35" t="s">
        <v>7045</v>
      </c>
      <c r="N297" s="30">
        <v>46388.0</v>
      </c>
      <c r="O297" s="30">
        <v>46752.0</v>
      </c>
      <c r="P297" s="39">
        <v>0.0</v>
      </c>
      <c r="Q297" s="39">
        <v>0.0</v>
      </c>
      <c r="R297" s="35" t="s">
        <v>7045</v>
      </c>
      <c r="S297" s="30">
        <v>46753.0</v>
      </c>
      <c r="T297" s="30">
        <v>47118.0</v>
      </c>
      <c r="U297" s="39">
        <v>0.0</v>
      </c>
      <c r="V297" s="39">
        <v>0.0</v>
      </c>
      <c r="W297" s="35" t="s">
        <v>7045</v>
      </c>
      <c r="X297" s="30">
        <v>47119.0</v>
      </c>
      <c r="Y297" s="30">
        <v>47483.0</v>
      </c>
      <c r="Z297" s="39">
        <v>0.0</v>
      </c>
      <c r="AA297" s="39">
        <v>0.0</v>
      </c>
      <c r="AB297" s="35" t="s">
        <v>7045</v>
      </c>
      <c r="AC297" s="30">
        <v>47484.0</v>
      </c>
      <c r="AD297" s="30">
        <v>47848.0</v>
      </c>
      <c r="AE297" s="39">
        <v>0.0</v>
      </c>
      <c r="AF297" s="39">
        <v>0.0</v>
      </c>
      <c r="AG297" s="35" t="s">
        <v>7045</v>
      </c>
      <c r="AH297" s="30">
        <v>45292.0</v>
      </c>
      <c r="AI297" s="30">
        <v>45657.0</v>
      </c>
      <c r="AJ297" s="39">
        <v>235.66</v>
      </c>
      <c r="AK297" s="39">
        <v>400.0</v>
      </c>
      <c r="AL297" s="37" t="s">
        <v>7046</v>
      </c>
      <c r="AM297" s="30">
        <v>44562.0</v>
      </c>
      <c r="AN297" s="30">
        <v>44926.0</v>
      </c>
      <c r="AO297" s="39">
        <v>558.1</v>
      </c>
      <c r="AP297" s="39">
        <v>0.0</v>
      </c>
      <c r="AQ297" s="38" t="s">
        <v>7047</v>
      </c>
      <c r="AR297" s="30">
        <v>44927.0</v>
      </c>
      <c r="AS297" s="30">
        <v>45291.0</v>
      </c>
      <c r="AT297" s="39">
        <v>329.99</v>
      </c>
      <c r="AU297" s="39">
        <v>0.0</v>
      </c>
      <c r="AV297" s="38" t="s">
        <v>7047</v>
      </c>
    </row>
    <row r="298" ht="14.25" customHeight="1">
      <c r="A298" s="28" t="s">
        <v>3555</v>
      </c>
      <c r="B298" s="29" t="s">
        <v>3556</v>
      </c>
      <c r="C298" s="29" t="s">
        <v>7041</v>
      </c>
      <c r="D298" s="30">
        <v>45658.0</v>
      </c>
      <c r="E298" s="30">
        <v>46022.0</v>
      </c>
      <c r="F298" s="36">
        <v>185.76</v>
      </c>
      <c r="G298" s="36">
        <v>899.99</v>
      </c>
      <c r="H298" s="32" t="s">
        <v>7043</v>
      </c>
      <c r="I298" s="30">
        <v>46023.0</v>
      </c>
      <c r="J298" s="30">
        <v>46387.0</v>
      </c>
      <c r="K298" s="36">
        <v>0.0</v>
      </c>
      <c r="L298" s="36">
        <v>0.0</v>
      </c>
      <c r="M298" s="35" t="s">
        <v>7045</v>
      </c>
      <c r="N298" s="30">
        <v>46388.0</v>
      </c>
      <c r="O298" s="30">
        <v>46752.0</v>
      </c>
      <c r="P298" s="36">
        <v>0.0</v>
      </c>
      <c r="Q298" s="36">
        <v>0.0</v>
      </c>
      <c r="R298" s="35" t="s">
        <v>7045</v>
      </c>
      <c r="S298" s="30">
        <v>46753.0</v>
      </c>
      <c r="T298" s="30">
        <v>47118.0</v>
      </c>
      <c r="U298" s="36">
        <v>0.0</v>
      </c>
      <c r="V298" s="36">
        <v>0.0</v>
      </c>
      <c r="W298" s="35" t="s">
        <v>7045</v>
      </c>
      <c r="X298" s="30">
        <v>47119.0</v>
      </c>
      <c r="Y298" s="30">
        <v>47483.0</v>
      </c>
      <c r="Z298" s="36">
        <v>0.0</v>
      </c>
      <c r="AA298" s="36">
        <v>0.0</v>
      </c>
      <c r="AB298" s="35" t="s">
        <v>7045</v>
      </c>
      <c r="AC298" s="30">
        <v>47484.0</v>
      </c>
      <c r="AD298" s="30">
        <v>47848.0</v>
      </c>
      <c r="AE298" s="36">
        <v>0.0</v>
      </c>
      <c r="AF298" s="36">
        <v>0.0</v>
      </c>
      <c r="AG298" s="35" t="s">
        <v>7045</v>
      </c>
      <c r="AH298" s="30">
        <v>45292.0</v>
      </c>
      <c r="AI298" s="30">
        <v>45657.0</v>
      </c>
      <c r="AJ298" s="36">
        <v>289.71</v>
      </c>
      <c r="AK298" s="36">
        <v>999.99</v>
      </c>
      <c r="AL298" s="32" t="s">
        <v>7043</v>
      </c>
      <c r="AM298" s="30">
        <v>44562.0</v>
      </c>
      <c r="AN298" s="30">
        <v>44926.0</v>
      </c>
      <c r="AO298" s="36">
        <v>611.69</v>
      </c>
      <c r="AP298" s="36">
        <v>899.99</v>
      </c>
      <c r="AQ298" s="37" t="s">
        <v>7046</v>
      </c>
      <c r="AR298" s="30">
        <v>44927.0</v>
      </c>
      <c r="AS298" s="30">
        <v>45291.0</v>
      </c>
      <c r="AT298" s="36">
        <v>565.32</v>
      </c>
      <c r="AU298" s="36">
        <v>1099.99</v>
      </c>
      <c r="AV298" s="37" t="s">
        <v>7046</v>
      </c>
    </row>
    <row r="299" ht="14.25" customHeight="1">
      <c r="A299" s="28" t="s">
        <v>3572</v>
      </c>
      <c r="B299" s="29" t="s">
        <v>3573</v>
      </c>
      <c r="C299" s="29" t="s">
        <v>7041</v>
      </c>
      <c r="D299" s="30">
        <v>45658.0</v>
      </c>
      <c r="E299" s="30">
        <v>46022.0</v>
      </c>
      <c r="F299" s="39">
        <v>33.94</v>
      </c>
      <c r="G299" s="39">
        <v>0.0</v>
      </c>
      <c r="H299" s="38" t="s">
        <v>7047</v>
      </c>
      <c r="I299" s="30">
        <v>46023.0</v>
      </c>
      <c r="J299" s="30">
        <v>46387.0</v>
      </c>
      <c r="K299" s="39">
        <v>0.0</v>
      </c>
      <c r="L299" s="39">
        <v>0.0</v>
      </c>
      <c r="M299" s="35" t="s">
        <v>7045</v>
      </c>
      <c r="N299" s="30">
        <v>46388.0</v>
      </c>
      <c r="O299" s="30">
        <v>46752.0</v>
      </c>
      <c r="P299" s="39">
        <v>0.0</v>
      </c>
      <c r="Q299" s="39">
        <v>0.0</v>
      </c>
      <c r="R299" s="35" t="s">
        <v>7045</v>
      </c>
      <c r="S299" s="30">
        <v>46753.0</v>
      </c>
      <c r="T299" s="30">
        <v>47118.0</v>
      </c>
      <c r="U299" s="39">
        <v>0.0</v>
      </c>
      <c r="V299" s="39">
        <v>0.0</v>
      </c>
      <c r="W299" s="35" t="s">
        <v>7045</v>
      </c>
      <c r="X299" s="30">
        <v>47119.0</v>
      </c>
      <c r="Y299" s="30">
        <v>47483.0</v>
      </c>
      <c r="Z299" s="39">
        <v>0.0</v>
      </c>
      <c r="AA299" s="39">
        <v>0.0</v>
      </c>
      <c r="AB299" s="35" t="s">
        <v>7045</v>
      </c>
      <c r="AC299" s="30">
        <v>47484.0</v>
      </c>
      <c r="AD299" s="30">
        <v>47848.0</v>
      </c>
      <c r="AE299" s="39">
        <v>0.0</v>
      </c>
      <c r="AF299" s="39">
        <v>0.0</v>
      </c>
      <c r="AG299" s="35" t="s">
        <v>7045</v>
      </c>
      <c r="AH299" s="30">
        <v>45292.0</v>
      </c>
      <c r="AI299" s="30">
        <v>45657.0</v>
      </c>
      <c r="AJ299" s="39">
        <v>508.9</v>
      </c>
      <c r="AK299" s="39">
        <v>424.0</v>
      </c>
      <c r="AL299" s="38" t="s">
        <v>7047</v>
      </c>
      <c r="AM299" s="30">
        <v>44562.0</v>
      </c>
      <c r="AN299" s="30">
        <v>44926.0</v>
      </c>
      <c r="AO299" s="39">
        <v>303.3</v>
      </c>
      <c r="AP299" s="39">
        <v>385.1</v>
      </c>
      <c r="AQ299" s="37" t="s">
        <v>7046</v>
      </c>
      <c r="AR299" s="30">
        <v>44927.0</v>
      </c>
      <c r="AS299" s="30">
        <v>45291.0</v>
      </c>
      <c r="AT299" s="39">
        <v>394.03</v>
      </c>
      <c r="AU299" s="39">
        <v>370.0</v>
      </c>
      <c r="AV299" s="38" t="s">
        <v>7047</v>
      </c>
    </row>
    <row r="300" ht="14.25" customHeight="1">
      <c r="A300" s="28" t="s">
        <v>3618</v>
      </c>
      <c r="B300" s="29" t="s">
        <v>3619</v>
      </c>
      <c r="C300" s="29" t="s">
        <v>7041</v>
      </c>
      <c r="D300" s="30">
        <v>45658.0</v>
      </c>
      <c r="E300" s="30">
        <v>46022.0</v>
      </c>
      <c r="F300" s="36">
        <v>140.32</v>
      </c>
      <c r="G300" s="36">
        <v>0.0</v>
      </c>
      <c r="H300" s="38" t="s">
        <v>7047</v>
      </c>
      <c r="I300" s="30">
        <v>46023.0</v>
      </c>
      <c r="J300" s="30">
        <v>46387.0</v>
      </c>
      <c r="K300" s="36">
        <v>0.0</v>
      </c>
      <c r="L300" s="36">
        <v>0.0</v>
      </c>
      <c r="M300" s="35" t="s">
        <v>7045</v>
      </c>
      <c r="N300" s="30">
        <v>46388.0</v>
      </c>
      <c r="O300" s="30">
        <v>46752.0</v>
      </c>
      <c r="P300" s="36">
        <v>0.0</v>
      </c>
      <c r="Q300" s="36">
        <v>0.0</v>
      </c>
      <c r="R300" s="35" t="s">
        <v>7045</v>
      </c>
      <c r="S300" s="30">
        <v>46753.0</v>
      </c>
      <c r="T300" s="30">
        <v>47118.0</v>
      </c>
      <c r="U300" s="36">
        <v>0.0</v>
      </c>
      <c r="V300" s="36">
        <v>0.0</v>
      </c>
      <c r="W300" s="35" t="s">
        <v>7045</v>
      </c>
      <c r="X300" s="30">
        <v>47119.0</v>
      </c>
      <c r="Y300" s="30">
        <v>47483.0</v>
      </c>
      <c r="Z300" s="36">
        <v>0.0</v>
      </c>
      <c r="AA300" s="36">
        <v>0.0</v>
      </c>
      <c r="AB300" s="35" t="s">
        <v>7045</v>
      </c>
      <c r="AC300" s="30">
        <v>47484.0</v>
      </c>
      <c r="AD300" s="30">
        <v>47848.0</v>
      </c>
      <c r="AE300" s="36">
        <v>0.0</v>
      </c>
      <c r="AF300" s="36">
        <v>0.0</v>
      </c>
      <c r="AG300" s="35" t="s">
        <v>7045</v>
      </c>
      <c r="AH300" s="30">
        <v>45292.0</v>
      </c>
      <c r="AI300" s="30">
        <v>45657.0</v>
      </c>
      <c r="AJ300" s="36">
        <v>487.32</v>
      </c>
      <c r="AK300" s="36">
        <v>0.0</v>
      </c>
      <c r="AL300" s="38" t="s">
        <v>7047</v>
      </c>
      <c r="AM300" s="30">
        <v>44562.0</v>
      </c>
      <c r="AN300" s="30">
        <v>44926.0</v>
      </c>
      <c r="AO300" s="36">
        <v>694.59</v>
      </c>
      <c r="AP300" s="36">
        <v>432.0</v>
      </c>
      <c r="AQ300" s="38" t="s">
        <v>7047</v>
      </c>
      <c r="AR300" s="30">
        <v>44927.0</v>
      </c>
      <c r="AS300" s="30">
        <v>45291.0</v>
      </c>
      <c r="AT300" s="36">
        <v>608.95</v>
      </c>
      <c r="AU300" s="36">
        <v>570.0</v>
      </c>
      <c r="AV300" s="38" t="s">
        <v>7047</v>
      </c>
    </row>
    <row r="301" ht="14.25" customHeight="1">
      <c r="A301" s="28" t="s">
        <v>3637</v>
      </c>
      <c r="B301" s="29" t="s">
        <v>3638</v>
      </c>
      <c r="C301" s="29" t="s">
        <v>7041</v>
      </c>
      <c r="D301" s="30">
        <v>45658.0</v>
      </c>
      <c r="E301" s="30">
        <v>46022.0</v>
      </c>
      <c r="F301" s="36">
        <v>521.26</v>
      </c>
      <c r="G301" s="36">
        <v>999.99</v>
      </c>
      <c r="H301" s="38" t="s">
        <v>7046</v>
      </c>
      <c r="I301" s="30">
        <v>46023.0</v>
      </c>
      <c r="J301" s="30">
        <v>46387.0</v>
      </c>
      <c r="K301" s="36">
        <v>0.0</v>
      </c>
      <c r="L301" s="36">
        <v>0.0</v>
      </c>
      <c r="M301" s="35" t="s">
        <v>7045</v>
      </c>
      <c r="N301" s="30">
        <v>46388.0</v>
      </c>
      <c r="O301" s="30">
        <v>46752.0</v>
      </c>
      <c r="P301" s="36">
        <v>0.0</v>
      </c>
      <c r="Q301" s="36">
        <v>0.0</v>
      </c>
      <c r="R301" s="35" t="s">
        <v>7045</v>
      </c>
      <c r="S301" s="30">
        <v>46753.0</v>
      </c>
      <c r="T301" s="30">
        <v>47118.0</v>
      </c>
      <c r="U301" s="36">
        <v>0.0</v>
      </c>
      <c r="V301" s="36">
        <v>0.0</v>
      </c>
      <c r="W301" s="35" t="s">
        <v>7045</v>
      </c>
      <c r="X301" s="30">
        <v>47119.0</v>
      </c>
      <c r="Y301" s="30">
        <v>47483.0</v>
      </c>
      <c r="Z301" s="36">
        <v>0.0</v>
      </c>
      <c r="AA301" s="36">
        <v>0.0</v>
      </c>
      <c r="AB301" s="35" t="s">
        <v>7045</v>
      </c>
      <c r="AC301" s="30">
        <v>47484.0</v>
      </c>
      <c r="AD301" s="30">
        <v>47848.0</v>
      </c>
      <c r="AE301" s="36">
        <v>0.0</v>
      </c>
      <c r="AF301" s="36">
        <v>0.0</v>
      </c>
      <c r="AG301" s="35" t="s">
        <v>7045</v>
      </c>
      <c r="AH301" s="30">
        <v>45292.0</v>
      </c>
      <c r="AI301" s="30">
        <v>45657.0</v>
      </c>
      <c r="AJ301" s="36">
        <v>756.25</v>
      </c>
      <c r="AK301" s="36">
        <v>999.99</v>
      </c>
      <c r="AL301" s="37" t="s">
        <v>7046</v>
      </c>
      <c r="AM301" s="30">
        <v>44562.0</v>
      </c>
      <c r="AN301" s="30">
        <v>44926.0</v>
      </c>
      <c r="AO301" s="36">
        <v>1863.28</v>
      </c>
      <c r="AP301" s="36">
        <v>0.0</v>
      </c>
      <c r="AQ301" s="38" t="s">
        <v>7047</v>
      </c>
      <c r="AR301" s="30">
        <v>44927.0</v>
      </c>
      <c r="AS301" s="30">
        <v>45291.0</v>
      </c>
      <c r="AT301" s="36">
        <v>734.4</v>
      </c>
      <c r="AU301" s="36">
        <v>0.0</v>
      </c>
      <c r="AV301" s="38" t="s">
        <v>7047</v>
      </c>
    </row>
    <row r="302" ht="14.25" customHeight="1">
      <c r="A302" s="28" t="s">
        <v>3703</v>
      </c>
      <c r="B302" s="29" t="s">
        <v>3704</v>
      </c>
      <c r="C302" s="29" t="s">
        <v>7041</v>
      </c>
      <c r="D302" s="30">
        <v>45658.0</v>
      </c>
      <c r="E302" s="30">
        <v>46022.0</v>
      </c>
      <c r="F302" s="39">
        <v>208.89</v>
      </c>
      <c r="G302" s="39">
        <v>280.0</v>
      </c>
      <c r="H302" s="37" t="s">
        <v>7047</v>
      </c>
      <c r="I302" s="30">
        <v>46023.0</v>
      </c>
      <c r="J302" s="30">
        <v>46387.0</v>
      </c>
      <c r="K302" s="39">
        <v>0.0</v>
      </c>
      <c r="L302" s="39">
        <v>0.0</v>
      </c>
      <c r="M302" s="35" t="s">
        <v>7045</v>
      </c>
      <c r="N302" s="30">
        <v>46388.0</v>
      </c>
      <c r="O302" s="30">
        <v>46752.0</v>
      </c>
      <c r="P302" s="39">
        <v>0.0</v>
      </c>
      <c r="Q302" s="39">
        <v>0.0</v>
      </c>
      <c r="R302" s="35" t="s">
        <v>7045</v>
      </c>
      <c r="S302" s="30">
        <v>46753.0</v>
      </c>
      <c r="T302" s="30">
        <v>47118.0</v>
      </c>
      <c r="U302" s="39">
        <v>0.0</v>
      </c>
      <c r="V302" s="39">
        <v>0.0</v>
      </c>
      <c r="W302" s="35" t="s">
        <v>7045</v>
      </c>
      <c r="X302" s="30">
        <v>47119.0</v>
      </c>
      <c r="Y302" s="30">
        <v>47483.0</v>
      </c>
      <c r="Z302" s="39">
        <v>0.0</v>
      </c>
      <c r="AA302" s="39">
        <v>0.0</v>
      </c>
      <c r="AB302" s="35" t="s">
        <v>7045</v>
      </c>
      <c r="AC302" s="30">
        <v>47484.0</v>
      </c>
      <c r="AD302" s="30">
        <v>47848.0</v>
      </c>
      <c r="AE302" s="39">
        <v>0.0</v>
      </c>
      <c r="AF302" s="39">
        <v>0.0</v>
      </c>
      <c r="AG302" s="35" t="s">
        <v>7045</v>
      </c>
      <c r="AH302" s="30">
        <v>45292.0</v>
      </c>
      <c r="AI302" s="30">
        <v>45657.0</v>
      </c>
      <c r="AJ302" s="39">
        <v>274.87</v>
      </c>
      <c r="AK302" s="39">
        <v>320.0</v>
      </c>
      <c r="AL302" s="37" t="s">
        <v>7046</v>
      </c>
      <c r="AM302" s="30">
        <v>44562.0</v>
      </c>
      <c r="AN302" s="30">
        <v>44926.0</v>
      </c>
      <c r="AO302" s="39">
        <v>369.6</v>
      </c>
      <c r="AP302" s="39">
        <v>350.0</v>
      </c>
      <c r="AQ302" s="38" t="s">
        <v>7047</v>
      </c>
      <c r="AR302" s="30">
        <v>44927.0</v>
      </c>
      <c r="AS302" s="30">
        <v>45291.0</v>
      </c>
      <c r="AT302" s="39">
        <v>317.78</v>
      </c>
      <c r="AU302" s="39">
        <v>385.0</v>
      </c>
      <c r="AV302" s="37" t="s">
        <v>7046</v>
      </c>
    </row>
    <row r="303" ht="14.25" customHeight="1">
      <c r="A303" s="28" t="s">
        <v>3709</v>
      </c>
      <c r="B303" s="29" t="s">
        <v>3710</v>
      </c>
      <c r="C303" s="29" t="s">
        <v>7041</v>
      </c>
      <c r="D303" s="30">
        <v>45658.0</v>
      </c>
      <c r="E303" s="30">
        <v>46022.0</v>
      </c>
      <c r="F303" s="36">
        <v>225.0</v>
      </c>
      <c r="G303" s="36">
        <v>470.0</v>
      </c>
      <c r="H303" s="32" t="s">
        <v>7046</v>
      </c>
      <c r="I303" s="30">
        <v>46023.0</v>
      </c>
      <c r="J303" s="30">
        <v>46387.0</v>
      </c>
      <c r="K303" s="36">
        <v>0.0</v>
      </c>
      <c r="L303" s="36">
        <v>0.0</v>
      </c>
      <c r="M303" s="35" t="s">
        <v>7045</v>
      </c>
      <c r="N303" s="30">
        <v>46388.0</v>
      </c>
      <c r="O303" s="30">
        <v>46752.0</v>
      </c>
      <c r="P303" s="36">
        <v>0.0</v>
      </c>
      <c r="Q303" s="36">
        <v>0.0</v>
      </c>
      <c r="R303" s="35" t="s">
        <v>7045</v>
      </c>
      <c r="S303" s="30">
        <v>46753.0</v>
      </c>
      <c r="T303" s="30">
        <v>47118.0</v>
      </c>
      <c r="U303" s="36">
        <v>0.0</v>
      </c>
      <c r="V303" s="36">
        <v>0.0</v>
      </c>
      <c r="W303" s="35" t="s">
        <v>7045</v>
      </c>
      <c r="X303" s="30">
        <v>47119.0</v>
      </c>
      <c r="Y303" s="30">
        <v>47483.0</v>
      </c>
      <c r="Z303" s="36">
        <v>0.0</v>
      </c>
      <c r="AA303" s="36">
        <v>0.0</v>
      </c>
      <c r="AB303" s="35" t="s">
        <v>7045</v>
      </c>
      <c r="AC303" s="30">
        <v>47484.0</v>
      </c>
      <c r="AD303" s="30">
        <v>47848.0</v>
      </c>
      <c r="AE303" s="36">
        <v>0.0</v>
      </c>
      <c r="AF303" s="36">
        <v>0.0</v>
      </c>
      <c r="AG303" s="35" t="s">
        <v>7045</v>
      </c>
      <c r="AH303" s="30">
        <v>45292.0</v>
      </c>
      <c r="AI303" s="30">
        <v>45657.0</v>
      </c>
      <c r="AJ303" s="36">
        <v>344.66</v>
      </c>
      <c r="AK303" s="36">
        <v>300.0</v>
      </c>
      <c r="AL303" s="38" t="s">
        <v>7047</v>
      </c>
      <c r="AM303" s="30">
        <v>44562.0</v>
      </c>
      <c r="AN303" s="30">
        <v>44926.0</v>
      </c>
      <c r="AO303" s="36">
        <v>678.19</v>
      </c>
      <c r="AP303" s="36">
        <v>879.99</v>
      </c>
      <c r="AQ303" s="37" t="s">
        <v>7046</v>
      </c>
      <c r="AR303" s="30">
        <v>44927.0</v>
      </c>
      <c r="AS303" s="30">
        <v>45291.0</v>
      </c>
      <c r="AT303" s="36">
        <v>253.03</v>
      </c>
      <c r="AU303" s="36">
        <v>575.0</v>
      </c>
      <c r="AV303" s="32" t="s">
        <v>7043</v>
      </c>
    </row>
    <row r="304" ht="14.25" customHeight="1">
      <c r="A304" s="28" t="s">
        <v>3730</v>
      </c>
      <c r="B304" s="29" t="s">
        <v>3731</v>
      </c>
      <c r="C304" s="29" t="s">
        <v>7041</v>
      </c>
      <c r="D304" s="30">
        <v>45658.0</v>
      </c>
      <c r="E304" s="30">
        <v>46022.0</v>
      </c>
      <c r="F304" s="39">
        <v>471.98</v>
      </c>
      <c r="G304" s="39">
        <v>1300.0</v>
      </c>
      <c r="H304" s="37" t="s">
        <v>7046</v>
      </c>
      <c r="I304" s="30">
        <v>46023.0</v>
      </c>
      <c r="J304" s="30">
        <v>46387.0</v>
      </c>
      <c r="K304" s="39">
        <v>0.0</v>
      </c>
      <c r="L304" s="39">
        <v>0.0</v>
      </c>
      <c r="M304" s="35" t="s">
        <v>7045</v>
      </c>
      <c r="N304" s="30">
        <v>46388.0</v>
      </c>
      <c r="O304" s="30">
        <v>46752.0</v>
      </c>
      <c r="P304" s="39">
        <v>0.0</v>
      </c>
      <c r="Q304" s="39">
        <v>0.0</v>
      </c>
      <c r="R304" s="35" t="s">
        <v>7045</v>
      </c>
      <c r="S304" s="30">
        <v>46753.0</v>
      </c>
      <c r="T304" s="30">
        <v>47118.0</v>
      </c>
      <c r="U304" s="39">
        <v>0.0</v>
      </c>
      <c r="V304" s="39">
        <v>0.0</v>
      </c>
      <c r="W304" s="35" t="s">
        <v>7045</v>
      </c>
      <c r="X304" s="30">
        <v>47119.0</v>
      </c>
      <c r="Y304" s="30">
        <v>47483.0</v>
      </c>
      <c r="Z304" s="39">
        <v>0.0</v>
      </c>
      <c r="AA304" s="39">
        <v>0.0</v>
      </c>
      <c r="AB304" s="35" t="s">
        <v>7045</v>
      </c>
      <c r="AC304" s="30">
        <v>47484.0</v>
      </c>
      <c r="AD304" s="30">
        <v>47848.0</v>
      </c>
      <c r="AE304" s="39">
        <v>0.0</v>
      </c>
      <c r="AF304" s="39">
        <v>0.0</v>
      </c>
      <c r="AG304" s="35" t="s">
        <v>7045</v>
      </c>
      <c r="AH304" s="30">
        <v>45292.0</v>
      </c>
      <c r="AI304" s="30">
        <v>45657.0</v>
      </c>
      <c r="AJ304" s="39">
        <v>808.74</v>
      </c>
      <c r="AK304" s="39">
        <v>1010.0</v>
      </c>
      <c r="AL304" s="37" t="s">
        <v>7046</v>
      </c>
      <c r="AM304" s="30">
        <v>44562.0</v>
      </c>
      <c r="AN304" s="30">
        <v>44926.0</v>
      </c>
      <c r="AO304" s="39">
        <v>1009.5</v>
      </c>
      <c r="AP304" s="39">
        <v>0.0</v>
      </c>
      <c r="AQ304" s="38" t="s">
        <v>7047</v>
      </c>
      <c r="AR304" s="30">
        <v>44927.0</v>
      </c>
      <c r="AS304" s="30">
        <v>45291.0</v>
      </c>
      <c r="AT304" s="39">
        <v>1084.29</v>
      </c>
      <c r="AU304" s="39">
        <v>1110.0</v>
      </c>
      <c r="AV304" s="37" t="s">
        <v>7046</v>
      </c>
    </row>
    <row r="305" ht="14.25" customHeight="1">
      <c r="A305" s="28" t="s">
        <v>3733</v>
      </c>
      <c r="B305" s="29" t="s">
        <v>3734</v>
      </c>
      <c r="C305" s="29" t="s">
        <v>7041</v>
      </c>
      <c r="D305" s="30">
        <v>45658.0</v>
      </c>
      <c r="E305" s="30">
        <v>46022.0</v>
      </c>
      <c r="F305" s="39">
        <v>303.99</v>
      </c>
      <c r="G305" s="39">
        <v>265.0</v>
      </c>
      <c r="H305" s="38" t="s">
        <v>7047</v>
      </c>
      <c r="I305" s="30">
        <v>46023.0</v>
      </c>
      <c r="J305" s="30">
        <v>46387.0</v>
      </c>
      <c r="K305" s="39">
        <v>0.0</v>
      </c>
      <c r="L305" s="39">
        <v>0.0</v>
      </c>
      <c r="M305" s="35" t="s">
        <v>7045</v>
      </c>
      <c r="N305" s="30">
        <v>46388.0</v>
      </c>
      <c r="O305" s="30">
        <v>46752.0</v>
      </c>
      <c r="P305" s="39">
        <v>0.0</v>
      </c>
      <c r="Q305" s="39">
        <v>0.0</v>
      </c>
      <c r="R305" s="35" t="s">
        <v>7045</v>
      </c>
      <c r="S305" s="30">
        <v>46753.0</v>
      </c>
      <c r="T305" s="30">
        <v>47118.0</v>
      </c>
      <c r="U305" s="39">
        <v>0.0</v>
      </c>
      <c r="V305" s="39">
        <v>0.0</v>
      </c>
      <c r="W305" s="35" t="s">
        <v>7045</v>
      </c>
      <c r="X305" s="30">
        <v>47119.0</v>
      </c>
      <c r="Y305" s="30">
        <v>47483.0</v>
      </c>
      <c r="Z305" s="39">
        <v>0.0</v>
      </c>
      <c r="AA305" s="39">
        <v>0.0</v>
      </c>
      <c r="AB305" s="35" t="s">
        <v>7045</v>
      </c>
      <c r="AC305" s="30">
        <v>47484.0</v>
      </c>
      <c r="AD305" s="30">
        <v>47848.0</v>
      </c>
      <c r="AE305" s="39">
        <v>0.0</v>
      </c>
      <c r="AF305" s="39">
        <v>0.0</v>
      </c>
      <c r="AG305" s="35" t="s">
        <v>7045</v>
      </c>
      <c r="AH305" s="30">
        <v>45292.0</v>
      </c>
      <c r="AI305" s="30">
        <v>45657.0</v>
      </c>
      <c r="AJ305" s="39">
        <v>226.6</v>
      </c>
      <c r="AK305" s="39">
        <v>270.0</v>
      </c>
      <c r="AL305" s="37" t="s">
        <v>7046</v>
      </c>
      <c r="AM305" s="30">
        <v>44562.0</v>
      </c>
      <c r="AN305" s="30">
        <v>44926.0</v>
      </c>
      <c r="AO305" s="39">
        <v>80.6</v>
      </c>
      <c r="AP305" s="39">
        <v>201.0</v>
      </c>
      <c r="AQ305" s="32" t="s">
        <v>7043</v>
      </c>
      <c r="AR305" s="30">
        <v>44927.0</v>
      </c>
      <c r="AS305" s="30">
        <v>45291.0</v>
      </c>
      <c r="AT305" s="39">
        <v>245.15</v>
      </c>
      <c r="AU305" s="39">
        <v>200.0</v>
      </c>
      <c r="AV305" s="38" t="s">
        <v>7047</v>
      </c>
    </row>
    <row r="306" ht="14.25" customHeight="1">
      <c r="A306" s="28" t="s">
        <v>3746</v>
      </c>
      <c r="B306" s="29" t="s">
        <v>3747</v>
      </c>
      <c r="C306" s="29" t="s">
        <v>7041</v>
      </c>
      <c r="D306" s="30">
        <v>45658.0</v>
      </c>
      <c r="E306" s="30">
        <v>46022.0</v>
      </c>
      <c r="F306" s="39">
        <v>107.73</v>
      </c>
      <c r="G306" s="39">
        <v>290.0</v>
      </c>
      <c r="H306" s="38" t="s">
        <v>7046</v>
      </c>
      <c r="I306" s="30">
        <v>46023.0</v>
      </c>
      <c r="J306" s="30">
        <v>46387.0</v>
      </c>
      <c r="K306" s="39">
        <v>0.0</v>
      </c>
      <c r="L306" s="39">
        <v>0.0</v>
      </c>
      <c r="M306" s="35" t="s">
        <v>7045</v>
      </c>
      <c r="N306" s="30">
        <v>46388.0</v>
      </c>
      <c r="O306" s="30">
        <v>46752.0</v>
      </c>
      <c r="P306" s="39">
        <v>0.0</v>
      </c>
      <c r="Q306" s="39">
        <v>0.0</v>
      </c>
      <c r="R306" s="35" t="s">
        <v>7045</v>
      </c>
      <c r="S306" s="30">
        <v>46753.0</v>
      </c>
      <c r="T306" s="30">
        <v>47118.0</v>
      </c>
      <c r="U306" s="39">
        <v>0.0</v>
      </c>
      <c r="V306" s="39">
        <v>0.0</v>
      </c>
      <c r="W306" s="35" t="s">
        <v>7045</v>
      </c>
      <c r="X306" s="30">
        <v>47119.0</v>
      </c>
      <c r="Y306" s="30">
        <v>47483.0</v>
      </c>
      <c r="Z306" s="39">
        <v>0.0</v>
      </c>
      <c r="AA306" s="39">
        <v>0.0</v>
      </c>
      <c r="AB306" s="35" t="s">
        <v>7045</v>
      </c>
      <c r="AC306" s="30">
        <v>47484.0</v>
      </c>
      <c r="AD306" s="30">
        <v>47848.0</v>
      </c>
      <c r="AE306" s="39">
        <v>0.0</v>
      </c>
      <c r="AF306" s="39">
        <v>0.0</v>
      </c>
      <c r="AG306" s="35" t="s">
        <v>7045</v>
      </c>
      <c r="AH306" s="30">
        <v>45292.0</v>
      </c>
      <c r="AI306" s="30">
        <v>45657.0</v>
      </c>
      <c r="AJ306" s="39">
        <v>249.51</v>
      </c>
      <c r="AK306" s="39">
        <v>400.0</v>
      </c>
      <c r="AL306" s="37" t="s">
        <v>7046</v>
      </c>
      <c r="AM306" s="30">
        <v>44562.0</v>
      </c>
      <c r="AN306" s="30">
        <v>44926.0</v>
      </c>
      <c r="AO306" s="39">
        <v>443.4</v>
      </c>
      <c r="AP306" s="39">
        <v>241.7</v>
      </c>
      <c r="AQ306" s="38" t="s">
        <v>7047</v>
      </c>
      <c r="AR306" s="30">
        <v>44927.0</v>
      </c>
      <c r="AS306" s="30">
        <v>45291.0</v>
      </c>
      <c r="AT306" s="39">
        <v>390.14</v>
      </c>
      <c r="AU306" s="39">
        <v>275.2</v>
      </c>
      <c r="AV306" s="38" t="s">
        <v>7047</v>
      </c>
    </row>
    <row r="307" ht="14.25" customHeight="1">
      <c r="A307" s="28" t="s">
        <v>3765</v>
      </c>
      <c r="B307" s="29" t="s">
        <v>3766</v>
      </c>
      <c r="C307" s="29" t="s">
        <v>7041</v>
      </c>
      <c r="D307" s="30">
        <v>45658.0</v>
      </c>
      <c r="E307" s="30">
        <v>46022.0</v>
      </c>
      <c r="F307" s="36">
        <v>587.37</v>
      </c>
      <c r="G307" s="36">
        <v>0.0</v>
      </c>
      <c r="H307" s="38" t="s">
        <v>7047</v>
      </c>
      <c r="I307" s="30">
        <v>46023.0</v>
      </c>
      <c r="J307" s="30">
        <v>46387.0</v>
      </c>
      <c r="K307" s="36">
        <v>0.0</v>
      </c>
      <c r="L307" s="36">
        <v>0.0</v>
      </c>
      <c r="M307" s="35" t="s">
        <v>7045</v>
      </c>
      <c r="N307" s="30">
        <v>46388.0</v>
      </c>
      <c r="O307" s="30">
        <v>46752.0</v>
      </c>
      <c r="P307" s="36">
        <v>0.0</v>
      </c>
      <c r="Q307" s="36">
        <v>0.0</v>
      </c>
      <c r="R307" s="35" t="s">
        <v>7045</v>
      </c>
      <c r="S307" s="30">
        <v>46753.0</v>
      </c>
      <c r="T307" s="30">
        <v>47118.0</v>
      </c>
      <c r="U307" s="36">
        <v>0.0</v>
      </c>
      <c r="V307" s="36">
        <v>0.0</v>
      </c>
      <c r="W307" s="35" t="s">
        <v>7045</v>
      </c>
      <c r="X307" s="30">
        <v>47119.0</v>
      </c>
      <c r="Y307" s="30">
        <v>47483.0</v>
      </c>
      <c r="Z307" s="36">
        <v>0.0</v>
      </c>
      <c r="AA307" s="36">
        <v>0.0</v>
      </c>
      <c r="AB307" s="35" t="s">
        <v>7045</v>
      </c>
      <c r="AC307" s="30">
        <v>47484.0</v>
      </c>
      <c r="AD307" s="30">
        <v>47848.0</v>
      </c>
      <c r="AE307" s="36">
        <v>0.0</v>
      </c>
      <c r="AF307" s="36">
        <v>0.0</v>
      </c>
      <c r="AG307" s="35" t="s">
        <v>7045</v>
      </c>
      <c r="AH307" s="30">
        <v>45292.0</v>
      </c>
      <c r="AI307" s="30">
        <v>45657.0</v>
      </c>
      <c r="AJ307" s="36">
        <v>977.44</v>
      </c>
      <c r="AK307" s="36">
        <v>999.99</v>
      </c>
      <c r="AL307" s="37" t="s">
        <v>7046</v>
      </c>
      <c r="AM307" s="30">
        <v>44562.0</v>
      </c>
      <c r="AN307" s="30">
        <v>44926.0</v>
      </c>
      <c r="AO307" s="36">
        <v>282.8</v>
      </c>
      <c r="AP307" s="36">
        <v>749.99</v>
      </c>
      <c r="AQ307" s="32" t="s">
        <v>7043</v>
      </c>
      <c r="AR307" s="30">
        <v>44927.0</v>
      </c>
      <c r="AS307" s="30">
        <v>45291.0</v>
      </c>
      <c r="AT307" s="36">
        <v>674.47</v>
      </c>
      <c r="AU307" s="36">
        <v>1099.99</v>
      </c>
      <c r="AV307" s="37" t="s">
        <v>7046</v>
      </c>
    </row>
    <row r="308" ht="14.25" customHeight="1">
      <c r="A308" s="28" t="s">
        <v>3768</v>
      </c>
      <c r="B308" s="29" t="s">
        <v>3769</v>
      </c>
      <c r="C308" s="29" t="s">
        <v>7041</v>
      </c>
      <c r="D308" s="30">
        <v>45658.0</v>
      </c>
      <c r="E308" s="30">
        <v>46022.0</v>
      </c>
      <c r="F308" s="36">
        <v>261.6</v>
      </c>
      <c r="G308" s="36">
        <v>1999.98</v>
      </c>
      <c r="H308" s="38" t="s">
        <v>7043</v>
      </c>
      <c r="I308" s="30">
        <v>46023.0</v>
      </c>
      <c r="J308" s="30">
        <v>46387.0</v>
      </c>
      <c r="K308" s="36">
        <v>0.0</v>
      </c>
      <c r="L308" s="36">
        <v>0.0</v>
      </c>
      <c r="M308" s="35" t="s">
        <v>7045</v>
      </c>
      <c r="N308" s="30">
        <v>46388.0</v>
      </c>
      <c r="O308" s="30">
        <v>46752.0</v>
      </c>
      <c r="P308" s="36">
        <v>0.0</v>
      </c>
      <c r="Q308" s="36">
        <v>0.0</v>
      </c>
      <c r="R308" s="35" t="s">
        <v>7045</v>
      </c>
      <c r="S308" s="30">
        <v>46753.0</v>
      </c>
      <c r="T308" s="30">
        <v>47118.0</v>
      </c>
      <c r="U308" s="36">
        <v>0.0</v>
      </c>
      <c r="V308" s="36">
        <v>0.0</v>
      </c>
      <c r="W308" s="35" t="s">
        <v>7045</v>
      </c>
      <c r="X308" s="30">
        <v>47119.0</v>
      </c>
      <c r="Y308" s="30">
        <v>47483.0</v>
      </c>
      <c r="Z308" s="36">
        <v>0.0</v>
      </c>
      <c r="AA308" s="36">
        <v>0.0</v>
      </c>
      <c r="AB308" s="35" t="s">
        <v>7045</v>
      </c>
      <c r="AC308" s="30">
        <v>47484.0</v>
      </c>
      <c r="AD308" s="30">
        <v>47848.0</v>
      </c>
      <c r="AE308" s="36">
        <v>0.0</v>
      </c>
      <c r="AF308" s="36">
        <v>0.0</v>
      </c>
      <c r="AG308" s="35" t="s">
        <v>7045</v>
      </c>
      <c r="AH308" s="30">
        <v>45292.0</v>
      </c>
      <c r="AI308" s="30">
        <v>45657.0</v>
      </c>
      <c r="AJ308" s="36">
        <v>1073.57</v>
      </c>
      <c r="AK308" s="36">
        <v>1999.98</v>
      </c>
      <c r="AL308" s="37" t="s">
        <v>7046</v>
      </c>
      <c r="AM308" s="30">
        <v>44562.0</v>
      </c>
      <c r="AN308" s="30">
        <v>44926.0</v>
      </c>
      <c r="AO308" s="36">
        <v>1258.39</v>
      </c>
      <c r="AP308" s="36">
        <v>1999.98</v>
      </c>
      <c r="AQ308" s="37" t="s">
        <v>7046</v>
      </c>
      <c r="AR308" s="30">
        <v>44927.0</v>
      </c>
      <c r="AS308" s="30">
        <v>45291.0</v>
      </c>
      <c r="AT308" s="36">
        <v>1633.98</v>
      </c>
      <c r="AU308" s="36">
        <v>1499.99</v>
      </c>
      <c r="AV308" s="38" t="s">
        <v>7047</v>
      </c>
    </row>
    <row r="309" ht="14.25" customHeight="1">
      <c r="A309" s="28" t="s">
        <v>3890</v>
      </c>
      <c r="B309" s="29" t="s">
        <v>3891</v>
      </c>
      <c r="C309" s="29" t="s">
        <v>7041</v>
      </c>
      <c r="D309" s="30">
        <v>45658.0</v>
      </c>
      <c r="E309" s="30">
        <v>46022.0</v>
      </c>
      <c r="F309" s="39">
        <v>160.77</v>
      </c>
      <c r="G309" s="39">
        <v>570.0</v>
      </c>
      <c r="H309" s="38" t="s">
        <v>7046</v>
      </c>
      <c r="I309" s="30">
        <v>46023.0</v>
      </c>
      <c r="J309" s="30">
        <v>46387.0</v>
      </c>
      <c r="K309" s="39">
        <v>0.0</v>
      </c>
      <c r="L309" s="39">
        <v>0.0</v>
      </c>
      <c r="M309" s="35" t="s">
        <v>7045</v>
      </c>
      <c r="N309" s="30">
        <v>46388.0</v>
      </c>
      <c r="O309" s="30">
        <v>46752.0</v>
      </c>
      <c r="P309" s="39">
        <v>0.0</v>
      </c>
      <c r="Q309" s="39">
        <v>0.0</v>
      </c>
      <c r="R309" s="35" t="s">
        <v>7045</v>
      </c>
      <c r="S309" s="30">
        <v>46753.0</v>
      </c>
      <c r="T309" s="30">
        <v>47118.0</v>
      </c>
      <c r="U309" s="39">
        <v>0.0</v>
      </c>
      <c r="V309" s="39">
        <v>0.0</v>
      </c>
      <c r="W309" s="35" t="s">
        <v>7045</v>
      </c>
      <c r="X309" s="30">
        <v>47119.0</v>
      </c>
      <c r="Y309" s="30">
        <v>47483.0</v>
      </c>
      <c r="Z309" s="39">
        <v>0.0</v>
      </c>
      <c r="AA309" s="39">
        <v>0.0</v>
      </c>
      <c r="AB309" s="35" t="s">
        <v>7045</v>
      </c>
      <c r="AC309" s="30">
        <v>47484.0</v>
      </c>
      <c r="AD309" s="30">
        <v>47848.0</v>
      </c>
      <c r="AE309" s="39">
        <v>0.0</v>
      </c>
      <c r="AF309" s="39">
        <v>0.0</v>
      </c>
      <c r="AG309" s="35" t="s">
        <v>7045</v>
      </c>
      <c r="AH309" s="30">
        <v>45292.0</v>
      </c>
      <c r="AI309" s="30">
        <v>45657.0</v>
      </c>
      <c r="AJ309" s="39">
        <v>483.39</v>
      </c>
      <c r="AK309" s="39">
        <v>650.0</v>
      </c>
      <c r="AL309" s="37" t="s">
        <v>7046</v>
      </c>
      <c r="AM309" s="30">
        <v>44562.0</v>
      </c>
      <c r="AN309" s="30">
        <v>44926.0</v>
      </c>
      <c r="AO309" s="39">
        <v>0.0</v>
      </c>
      <c r="AP309" s="39">
        <v>0.0</v>
      </c>
      <c r="AQ309" s="35" t="s">
        <v>7045</v>
      </c>
      <c r="AR309" s="30">
        <v>44927.0</v>
      </c>
      <c r="AS309" s="30">
        <v>45291.0</v>
      </c>
      <c r="AT309" s="39">
        <v>273.38</v>
      </c>
      <c r="AU309" s="39">
        <v>0.0</v>
      </c>
      <c r="AV309" s="38" t="s">
        <v>7047</v>
      </c>
    </row>
    <row r="310" ht="14.25" customHeight="1">
      <c r="A310" s="28" t="s">
        <v>3920</v>
      </c>
      <c r="B310" s="29" t="s">
        <v>3921</v>
      </c>
      <c r="C310" s="29" t="s">
        <v>7041</v>
      </c>
      <c r="D310" s="30">
        <v>45658.0</v>
      </c>
      <c r="E310" s="30">
        <v>46022.0</v>
      </c>
      <c r="F310" s="39">
        <v>174.17</v>
      </c>
      <c r="G310" s="39">
        <v>640.0</v>
      </c>
      <c r="H310" s="37" t="s">
        <v>7046</v>
      </c>
      <c r="I310" s="30">
        <v>46023.0</v>
      </c>
      <c r="J310" s="30">
        <v>46387.0</v>
      </c>
      <c r="K310" s="39">
        <v>0.0</v>
      </c>
      <c r="L310" s="39">
        <v>0.0</v>
      </c>
      <c r="M310" s="35" t="s">
        <v>7045</v>
      </c>
      <c r="N310" s="30">
        <v>46388.0</v>
      </c>
      <c r="O310" s="30">
        <v>46752.0</v>
      </c>
      <c r="P310" s="39">
        <v>0.0</v>
      </c>
      <c r="Q310" s="39">
        <v>0.0</v>
      </c>
      <c r="R310" s="35" t="s">
        <v>7045</v>
      </c>
      <c r="S310" s="30">
        <v>46753.0</v>
      </c>
      <c r="T310" s="30">
        <v>47118.0</v>
      </c>
      <c r="U310" s="39">
        <v>0.0</v>
      </c>
      <c r="V310" s="39">
        <v>0.0</v>
      </c>
      <c r="W310" s="35" t="s">
        <v>7045</v>
      </c>
      <c r="X310" s="30">
        <v>47119.0</v>
      </c>
      <c r="Y310" s="30">
        <v>47483.0</v>
      </c>
      <c r="Z310" s="39">
        <v>0.0</v>
      </c>
      <c r="AA310" s="39">
        <v>0.0</v>
      </c>
      <c r="AB310" s="35" t="s">
        <v>7045</v>
      </c>
      <c r="AC310" s="30">
        <v>47484.0</v>
      </c>
      <c r="AD310" s="30">
        <v>47848.0</v>
      </c>
      <c r="AE310" s="39">
        <v>0.0</v>
      </c>
      <c r="AF310" s="39">
        <v>0.0</v>
      </c>
      <c r="AG310" s="35" t="s">
        <v>7045</v>
      </c>
      <c r="AH310" s="30">
        <v>45292.0</v>
      </c>
      <c r="AI310" s="30">
        <v>45657.0</v>
      </c>
      <c r="AJ310" s="39">
        <v>457.49</v>
      </c>
      <c r="AK310" s="39">
        <v>640.0</v>
      </c>
      <c r="AL310" s="37" t="s">
        <v>7046</v>
      </c>
      <c r="AM310" s="30">
        <v>44562.0</v>
      </c>
      <c r="AN310" s="30">
        <v>44926.0</v>
      </c>
      <c r="AO310" s="39">
        <v>688.4</v>
      </c>
      <c r="AP310" s="39">
        <v>1000.0</v>
      </c>
      <c r="AQ310" s="37" t="s">
        <v>7046</v>
      </c>
      <c r="AR310" s="30">
        <v>44927.0</v>
      </c>
      <c r="AS310" s="30">
        <v>45291.0</v>
      </c>
      <c r="AT310" s="39">
        <v>476.66</v>
      </c>
      <c r="AU310" s="39">
        <v>874.9</v>
      </c>
      <c r="AV310" s="37" t="s">
        <v>7046</v>
      </c>
    </row>
    <row r="311" ht="14.25" customHeight="1">
      <c r="A311" s="28" t="s">
        <v>4045</v>
      </c>
      <c r="B311" s="29" t="s">
        <v>4046</v>
      </c>
      <c r="C311" s="29" t="s">
        <v>7041</v>
      </c>
      <c r="D311" s="30">
        <v>45658.0</v>
      </c>
      <c r="E311" s="30">
        <v>46022.0</v>
      </c>
      <c r="F311" s="39">
        <v>309.45</v>
      </c>
      <c r="G311" s="39">
        <v>775.0</v>
      </c>
      <c r="H311" s="37" t="s">
        <v>7046</v>
      </c>
      <c r="I311" s="30">
        <v>46023.0</v>
      </c>
      <c r="J311" s="30">
        <v>46387.0</v>
      </c>
      <c r="K311" s="39">
        <v>0.0</v>
      </c>
      <c r="L311" s="39">
        <v>0.0</v>
      </c>
      <c r="M311" s="35" t="s">
        <v>7045</v>
      </c>
      <c r="N311" s="30">
        <v>46388.0</v>
      </c>
      <c r="O311" s="30">
        <v>46752.0</v>
      </c>
      <c r="P311" s="39">
        <v>0.0</v>
      </c>
      <c r="Q311" s="39">
        <v>0.0</v>
      </c>
      <c r="R311" s="35" t="s">
        <v>7045</v>
      </c>
      <c r="S311" s="30">
        <v>46753.0</v>
      </c>
      <c r="T311" s="30">
        <v>47118.0</v>
      </c>
      <c r="U311" s="39">
        <v>0.0</v>
      </c>
      <c r="V311" s="39">
        <v>0.0</v>
      </c>
      <c r="W311" s="35" t="s">
        <v>7045</v>
      </c>
      <c r="X311" s="30">
        <v>47119.0</v>
      </c>
      <c r="Y311" s="30">
        <v>47483.0</v>
      </c>
      <c r="Z311" s="39">
        <v>0.0</v>
      </c>
      <c r="AA311" s="39">
        <v>0.0</v>
      </c>
      <c r="AB311" s="35" t="s">
        <v>7045</v>
      </c>
      <c r="AC311" s="30">
        <v>47484.0</v>
      </c>
      <c r="AD311" s="30">
        <v>47848.0</v>
      </c>
      <c r="AE311" s="39">
        <v>0.0</v>
      </c>
      <c r="AF311" s="39">
        <v>0.0</v>
      </c>
      <c r="AG311" s="35" t="s">
        <v>7045</v>
      </c>
      <c r="AH311" s="30">
        <v>45292.0</v>
      </c>
      <c r="AI311" s="30">
        <v>45657.0</v>
      </c>
      <c r="AJ311" s="39">
        <v>1062.65</v>
      </c>
      <c r="AK311" s="39">
        <v>715.0</v>
      </c>
      <c r="AL311" s="38" t="s">
        <v>7047</v>
      </c>
      <c r="AM311" s="30">
        <v>44562.0</v>
      </c>
      <c r="AN311" s="30">
        <v>44926.0</v>
      </c>
      <c r="AO311" s="39">
        <v>536.9</v>
      </c>
      <c r="AP311" s="39">
        <v>700.0</v>
      </c>
      <c r="AQ311" s="37" t="s">
        <v>7046</v>
      </c>
      <c r="AR311" s="30">
        <v>44927.0</v>
      </c>
      <c r="AS311" s="30">
        <v>45291.0</v>
      </c>
      <c r="AT311" s="39">
        <v>710.13</v>
      </c>
      <c r="AU311" s="39">
        <v>675.0</v>
      </c>
      <c r="AV311" s="38" t="s">
        <v>7047</v>
      </c>
    </row>
    <row r="312" ht="14.25" customHeight="1">
      <c r="A312" s="28" t="s">
        <v>3979</v>
      </c>
      <c r="B312" s="29" t="s">
        <v>3980</v>
      </c>
      <c r="C312" s="29" t="s">
        <v>7041</v>
      </c>
      <c r="D312" s="30">
        <v>45658.0</v>
      </c>
      <c r="E312" s="30">
        <v>46022.0</v>
      </c>
      <c r="F312" s="36">
        <v>399.51</v>
      </c>
      <c r="G312" s="36">
        <v>687.99</v>
      </c>
      <c r="H312" s="38" t="s">
        <v>7047</v>
      </c>
      <c r="I312" s="30">
        <v>46023.0</v>
      </c>
      <c r="J312" s="30">
        <v>46387.0</v>
      </c>
      <c r="K312" s="36">
        <v>0.0</v>
      </c>
      <c r="L312" s="36">
        <v>0.0</v>
      </c>
      <c r="M312" s="35" t="s">
        <v>7045</v>
      </c>
      <c r="N312" s="30">
        <v>46388.0</v>
      </c>
      <c r="O312" s="30">
        <v>46752.0</v>
      </c>
      <c r="P312" s="36">
        <v>0.0</v>
      </c>
      <c r="Q312" s="36">
        <v>0.0</v>
      </c>
      <c r="R312" s="35" t="s">
        <v>7045</v>
      </c>
      <c r="S312" s="30">
        <v>46753.0</v>
      </c>
      <c r="T312" s="30">
        <v>47118.0</v>
      </c>
      <c r="U312" s="36">
        <v>0.0</v>
      </c>
      <c r="V312" s="36">
        <v>0.0</v>
      </c>
      <c r="W312" s="35" t="s">
        <v>7045</v>
      </c>
      <c r="X312" s="30">
        <v>47119.0</v>
      </c>
      <c r="Y312" s="30">
        <v>47483.0</v>
      </c>
      <c r="Z312" s="36">
        <v>0.0</v>
      </c>
      <c r="AA312" s="36">
        <v>0.0</v>
      </c>
      <c r="AB312" s="35" t="s">
        <v>7045</v>
      </c>
      <c r="AC312" s="30">
        <v>47484.0</v>
      </c>
      <c r="AD312" s="30">
        <v>47848.0</v>
      </c>
      <c r="AE312" s="36">
        <v>0.0</v>
      </c>
      <c r="AF312" s="36">
        <v>0.0</v>
      </c>
      <c r="AG312" s="35" t="s">
        <v>7045</v>
      </c>
      <c r="AH312" s="30">
        <v>45292.0</v>
      </c>
      <c r="AI312" s="30">
        <v>45657.0</v>
      </c>
      <c r="AJ312" s="36">
        <v>609.19</v>
      </c>
      <c r="AK312" s="36">
        <v>240.0</v>
      </c>
      <c r="AL312" s="38" t="s">
        <v>7047</v>
      </c>
      <c r="AM312" s="30">
        <v>44562.0</v>
      </c>
      <c r="AN312" s="30">
        <v>44926.0</v>
      </c>
      <c r="AO312" s="36">
        <v>520.0</v>
      </c>
      <c r="AP312" s="36">
        <v>277.3</v>
      </c>
      <c r="AQ312" s="38" t="s">
        <v>7047</v>
      </c>
      <c r="AR312" s="30">
        <v>44927.0</v>
      </c>
      <c r="AS312" s="30">
        <v>45291.0</v>
      </c>
      <c r="AT312" s="36">
        <v>813.56</v>
      </c>
      <c r="AU312" s="36">
        <v>549.2</v>
      </c>
      <c r="AV312" s="38" t="s">
        <v>7047</v>
      </c>
    </row>
    <row r="313" ht="14.25" customHeight="1">
      <c r="A313" s="28" t="s">
        <v>4019</v>
      </c>
      <c r="B313" s="29" t="s">
        <v>4020</v>
      </c>
      <c r="C313" s="29" t="s">
        <v>7041</v>
      </c>
      <c r="D313" s="30">
        <v>45658.0</v>
      </c>
      <c r="E313" s="30">
        <v>46022.0</v>
      </c>
      <c r="F313" s="39">
        <v>310.88</v>
      </c>
      <c r="G313" s="39">
        <v>1000.0</v>
      </c>
      <c r="H313" s="32" t="s">
        <v>7046</v>
      </c>
      <c r="I313" s="30">
        <v>46023.0</v>
      </c>
      <c r="J313" s="30">
        <v>46387.0</v>
      </c>
      <c r="K313" s="39">
        <v>0.0</v>
      </c>
      <c r="L313" s="39">
        <v>0.0</v>
      </c>
      <c r="M313" s="35" t="s">
        <v>7045</v>
      </c>
      <c r="N313" s="30">
        <v>46388.0</v>
      </c>
      <c r="O313" s="30">
        <v>46752.0</v>
      </c>
      <c r="P313" s="39">
        <v>0.0</v>
      </c>
      <c r="Q313" s="39">
        <v>0.0</v>
      </c>
      <c r="R313" s="35" t="s">
        <v>7045</v>
      </c>
      <c r="S313" s="30">
        <v>46753.0</v>
      </c>
      <c r="T313" s="30">
        <v>47118.0</v>
      </c>
      <c r="U313" s="39">
        <v>0.0</v>
      </c>
      <c r="V313" s="39">
        <v>0.0</v>
      </c>
      <c r="W313" s="35" t="s">
        <v>7045</v>
      </c>
      <c r="X313" s="30">
        <v>47119.0</v>
      </c>
      <c r="Y313" s="30">
        <v>47483.0</v>
      </c>
      <c r="Z313" s="39">
        <v>0.0</v>
      </c>
      <c r="AA313" s="39">
        <v>0.0</v>
      </c>
      <c r="AB313" s="35" t="s">
        <v>7045</v>
      </c>
      <c r="AC313" s="30">
        <v>47484.0</v>
      </c>
      <c r="AD313" s="30">
        <v>47848.0</v>
      </c>
      <c r="AE313" s="39">
        <v>0.0</v>
      </c>
      <c r="AF313" s="39">
        <v>0.0</v>
      </c>
      <c r="AG313" s="35" t="s">
        <v>7045</v>
      </c>
      <c r="AH313" s="30">
        <v>45292.0</v>
      </c>
      <c r="AI313" s="30">
        <v>45657.0</v>
      </c>
      <c r="AJ313" s="39">
        <v>806.46</v>
      </c>
      <c r="AK313" s="39">
        <v>400.0</v>
      </c>
      <c r="AL313" s="38" t="s">
        <v>7047</v>
      </c>
      <c r="AM313" s="30">
        <v>44562.0</v>
      </c>
      <c r="AN313" s="30">
        <v>44926.0</v>
      </c>
      <c r="AO313" s="39">
        <v>312.2</v>
      </c>
      <c r="AP313" s="39">
        <v>600.0</v>
      </c>
      <c r="AQ313" s="37" t="s">
        <v>7046</v>
      </c>
      <c r="AR313" s="30">
        <v>44927.0</v>
      </c>
      <c r="AS313" s="30">
        <v>45291.0</v>
      </c>
      <c r="AT313" s="39">
        <v>242.2</v>
      </c>
      <c r="AU313" s="39">
        <v>400.0</v>
      </c>
      <c r="AV313" s="37" t="s">
        <v>7046</v>
      </c>
    </row>
    <row r="314" ht="14.25" customHeight="1">
      <c r="A314" s="28" t="s">
        <v>4101</v>
      </c>
      <c r="B314" s="29" t="s">
        <v>4102</v>
      </c>
      <c r="C314" s="29" t="s">
        <v>7041</v>
      </c>
      <c r="D314" s="30">
        <v>45658.0</v>
      </c>
      <c r="E314" s="30">
        <v>46022.0</v>
      </c>
      <c r="F314" s="36">
        <v>41.21</v>
      </c>
      <c r="G314" s="36">
        <v>505.0</v>
      </c>
      <c r="H314" s="32" t="s">
        <v>7043</v>
      </c>
      <c r="I314" s="30">
        <v>46023.0</v>
      </c>
      <c r="J314" s="30">
        <v>46387.0</v>
      </c>
      <c r="K314" s="36">
        <v>0.0</v>
      </c>
      <c r="L314" s="36">
        <v>0.0</v>
      </c>
      <c r="M314" s="35" t="s">
        <v>7045</v>
      </c>
      <c r="N314" s="30">
        <v>46388.0</v>
      </c>
      <c r="O314" s="30">
        <v>46752.0</v>
      </c>
      <c r="P314" s="36">
        <v>0.0</v>
      </c>
      <c r="Q314" s="36">
        <v>0.0</v>
      </c>
      <c r="R314" s="35" t="s">
        <v>7045</v>
      </c>
      <c r="S314" s="30">
        <v>46753.0</v>
      </c>
      <c r="T314" s="30">
        <v>47118.0</v>
      </c>
      <c r="U314" s="36">
        <v>0.0</v>
      </c>
      <c r="V314" s="36">
        <v>0.0</v>
      </c>
      <c r="W314" s="35" t="s">
        <v>7045</v>
      </c>
      <c r="X314" s="30">
        <v>47119.0</v>
      </c>
      <c r="Y314" s="30">
        <v>47483.0</v>
      </c>
      <c r="Z314" s="36">
        <v>0.0</v>
      </c>
      <c r="AA314" s="36">
        <v>0.0</v>
      </c>
      <c r="AB314" s="35" t="s">
        <v>7045</v>
      </c>
      <c r="AC314" s="30">
        <v>47484.0</v>
      </c>
      <c r="AD314" s="30">
        <v>47848.0</v>
      </c>
      <c r="AE314" s="36">
        <v>0.0</v>
      </c>
      <c r="AF314" s="36">
        <v>0.0</v>
      </c>
      <c r="AG314" s="35" t="s">
        <v>7045</v>
      </c>
      <c r="AH314" s="30">
        <v>45292.0</v>
      </c>
      <c r="AI314" s="30">
        <v>45657.0</v>
      </c>
      <c r="AJ314" s="36">
        <v>333.23</v>
      </c>
      <c r="AK314" s="36">
        <v>769.99</v>
      </c>
      <c r="AL314" s="32" t="s">
        <v>7043</v>
      </c>
      <c r="AM314" s="30">
        <v>44562.0</v>
      </c>
      <c r="AN314" s="30">
        <v>44926.0</v>
      </c>
      <c r="AO314" s="36">
        <v>556.2</v>
      </c>
      <c r="AP314" s="36">
        <v>0.0</v>
      </c>
      <c r="AQ314" s="38" t="s">
        <v>7047</v>
      </c>
      <c r="AR314" s="30">
        <v>44927.0</v>
      </c>
      <c r="AS314" s="30">
        <v>45291.0</v>
      </c>
      <c r="AT314" s="36">
        <v>690.18</v>
      </c>
      <c r="AU314" s="36">
        <v>0.0</v>
      </c>
      <c r="AV314" s="38" t="s">
        <v>7047</v>
      </c>
    </row>
    <row r="315" ht="14.25" customHeight="1">
      <c r="A315" s="28" t="s">
        <v>4184</v>
      </c>
      <c r="B315" s="29" t="s">
        <v>4185</v>
      </c>
      <c r="C315" s="29" t="s">
        <v>7041</v>
      </c>
      <c r="D315" s="30">
        <v>45658.0</v>
      </c>
      <c r="E315" s="30">
        <v>46022.0</v>
      </c>
      <c r="F315" s="39">
        <v>295.84</v>
      </c>
      <c r="G315" s="39">
        <v>800.0</v>
      </c>
      <c r="H315" s="37" t="s">
        <v>7046</v>
      </c>
      <c r="I315" s="30">
        <v>46023.0</v>
      </c>
      <c r="J315" s="30">
        <v>46387.0</v>
      </c>
      <c r="K315" s="39">
        <v>0.0</v>
      </c>
      <c r="L315" s="39">
        <v>0.0</v>
      </c>
      <c r="M315" s="35" t="s">
        <v>7045</v>
      </c>
      <c r="N315" s="30">
        <v>46388.0</v>
      </c>
      <c r="O315" s="30">
        <v>46752.0</v>
      </c>
      <c r="P315" s="39">
        <v>0.0</v>
      </c>
      <c r="Q315" s="39">
        <v>0.0</v>
      </c>
      <c r="R315" s="35" t="s">
        <v>7045</v>
      </c>
      <c r="S315" s="30">
        <v>46753.0</v>
      </c>
      <c r="T315" s="30">
        <v>47118.0</v>
      </c>
      <c r="U315" s="39">
        <v>0.0</v>
      </c>
      <c r="V315" s="39">
        <v>0.0</v>
      </c>
      <c r="W315" s="35" t="s">
        <v>7045</v>
      </c>
      <c r="X315" s="30">
        <v>47119.0</v>
      </c>
      <c r="Y315" s="30">
        <v>47483.0</v>
      </c>
      <c r="Z315" s="39">
        <v>0.0</v>
      </c>
      <c r="AA315" s="39">
        <v>0.0</v>
      </c>
      <c r="AB315" s="35" t="s">
        <v>7045</v>
      </c>
      <c r="AC315" s="30">
        <v>47484.0</v>
      </c>
      <c r="AD315" s="30">
        <v>47848.0</v>
      </c>
      <c r="AE315" s="39">
        <v>0.0</v>
      </c>
      <c r="AF315" s="39">
        <v>0.0</v>
      </c>
      <c r="AG315" s="35" t="s">
        <v>7045</v>
      </c>
      <c r="AH315" s="30">
        <v>45292.0</v>
      </c>
      <c r="AI315" s="30">
        <v>45657.0</v>
      </c>
      <c r="AJ315" s="39">
        <v>1026.81</v>
      </c>
      <c r="AK315" s="39">
        <v>930.0</v>
      </c>
      <c r="AL315" s="38" t="s">
        <v>7047</v>
      </c>
      <c r="AM315" s="30">
        <v>44562.0</v>
      </c>
      <c r="AN315" s="30">
        <v>44926.0</v>
      </c>
      <c r="AO315" s="39">
        <v>571.3</v>
      </c>
      <c r="AP315" s="39">
        <v>524.0</v>
      </c>
      <c r="AQ315" s="38" t="s">
        <v>7047</v>
      </c>
      <c r="AR315" s="30">
        <v>44927.0</v>
      </c>
      <c r="AS315" s="30">
        <v>45291.0</v>
      </c>
      <c r="AT315" s="39">
        <v>913.73</v>
      </c>
      <c r="AU315" s="39">
        <v>700.0</v>
      </c>
      <c r="AV315" s="38" t="s">
        <v>7047</v>
      </c>
    </row>
    <row r="316" ht="14.25" customHeight="1">
      <c r="A316" s="28" t="s">
        <v>4201</v>
      </c>
      <c r="B316" s="29" t="s">
        <v>4202</v>
      </c>
      <c r="C316" s="29" t="s">
        <v>7041</v>
      </c>
      <c r="D316" s="30">
        <v>45658.0</v>
      </c>
      <c r="E316" s="30">
        <v>46022.0</v>
      </c>
      <c r="F316" s="39">
        <v>49.8</v>
      </c>
      <c r="G316" s="39">
        <v>300.0</v>
      </c>
      <c r="H316" s="32" t="s">
        <v>7043</v>
      </c>
      <c r="I316" s="30">
        <v>46023.0</v>
      </c>
      <c r="J316" s="30">
        <v>46387.0</v>
      </c>
      <c r="K316" s="39">
        <v>0.0</v>
      </c>
      <c r="L316" s="39">
        <v>0.0</v>
      </c>
      <c r="M316" s="35" t="s">
        <v>7045</v>
      </c>
      <c r="N316" s="30">
        <v>46388.0</v>
      </c>
      <c r="O316" s="30">
        <v>46752.0</v>
      </c>
      <c r="P316" s="39">
        <v>0.0</v>
      </c>
      <c r="Q316" s="39">
        <v>0.0</v>
      </c>
      <c r="R316" s="35" t="s">
        <v>7045</v>
      </c>
      <c r="S316" s="30">
        <v>46753.0</v>
      </c>
      <c r="T316" s="30">
        <v>47118.0</v>
      </c>
      <c r="U316" s="39">
        <v>0.0</v>
      </c>
      <c r="V316" s="39">
        <v>0.0</v>
      </c>
      <c r="W316" s="35" t="s">
        <v>7045</v>
      </c>
      <c r="X316" s="30">
        <v>47119.0</v>
      </c>
      <c r="Y316" s="30">
        <v>47483.0</v>
      </c>
      <c r="Z316" s="39">
        <v>0.0</v>
      </c>
      <c r="AA316" s="39">
        <v>0.0</v>
      </c>
      <c r="AB316" s="35" t="s">
        <v>7045</v>
      </c>
      <c r="AC316" s="30">
        <v>47484.0</v>
      </c>
      <c r="AD316" s="30">
        <v>47848.0</v>
      </c>
      <c r="AE316" s="39">
        <v>0.0</v>
      </c>
      <c r="AF316" s="39">
        <v>0.0</v>
      </c>
      <c r="AG316" s="35" t="s">
        <v>7045</v>
      </c>
      <c r="AH316" s="30">
        <v>45292.0</v>
      </c>
      <c r="AI316" s="30">
        <v>45657.0</v>
      </c>
      <c r="AJ316" s="39">
        <v>253.96</v>
      </c>
      <c r="AK316" s="39">
        <v>218.0</v>
      </c>
      <c r="AL316" s="38" t="s">
        <v>7047</v>
      </c>
      <c r="AM316" s="30">
        <v>44562.0</v>
      </c>
      <c r="AN316" s="30">
        <v>44926.0</v>
      </c>
      <c r="AO316" s="39">
        <v>184.6</v>
      </c>
      <c r="AP316" s="39">
        <v>302.5</v>
      </c>
      <c r="AQ316" s="37" t="s">
        <v>7046</v>
      </c>
      <c r="AR316" s="30">
        <v>44927.0</v>
      </c>
      <c r="AS316" s="30">
        <v>45291.0</v>
      </c>
      <c r="AT316" s="39">
        <v>271.6</v>
      </c>
      <c r="AU316" s="39">
        <v>370.0</v>
      </c>
      <c r="AV316" s="37" t="s">
        <v>7046</v>
      </c>
    </row>
    <row r="317" ht="14.25" customHeight="1">
      <c r="A317" s="28" t="s">
        <v>4259</v>
      </c>
      <c r="B317" s="29" t="s">
        <v>4260</v>
      </c>
      <c r="C317" s="29" t="s">
        <v>7041</v>
      </c>
      <c r="D317" s="30">
        <v>45658.0</v>
      </c>
      <c r="E317" s="30">
        <v>46022.0</v>
      </c>
      <c r="F317" s="36">
        <v>1.77</v>
      </c>
      <c r="G317" s="36">
        <v>457.2</v>
      </c>
      <c r="H317" s="32" t="s">
        <v>7043</v>
      </c>
      <c r="I317" s="30">
        <v>46023.0</v>
      </c>
      <c r="J317" s="30">
        <v>46387.0</v>
      </c>
      <c r="K317" s="36">
        <v>0.0</v>
      </c>
      <c r="L317" s="36">
        <v>0.0</v>
      </c>
      <c r="M317" s="35" t="s">
        <v>7045</v>
      </c>
      <c r="N317" s="30">
        <v>46388.0</v>
      </c>
      <c r="O317" s="30">
        <v>46752.0</v>
      </c>
      <c r="P317" s="36">
        <v>0.0</v>
      </c>
      <c r="Q317" s="36">
        <v>0.0</v>
      </c>
      <c r="R317" s="35" t="s">
        <v>7045</v>
      </c>
      <c r="S317" s="30">
        <v>46753.0</v>
      </c>
      <c r="T317" s="30">
        <v>47118.0</v>
      </c>
      <c r="U317" s="36">
        <v>0.0</v>
      </c>
      <c r="V317" s="36">
        <v>0.0</v>
      </c>
      <c r="W317" s="35" t="s">
        <v>7045</v>
      </c>
      <c r="X317" s="30">
        <v>47119.0</v>
      </c>
      <c r="Y317" s="30">
        <v>47483.0</v>
      </c>
      <c r="Z317" s="36">
        <v>0.0</v>
      </c>
      <c r="AA317" s="36">
        <v>0.0</v>
      </c>
      <c r="AB317" s="35" t="s">
        <v>7045</v>
      </c>
      <c r="AC317" s="30">
        <v>47484.0</v>
      </c>
      <c r="AD317" s="30">
        <v>47848.0</v>
      </c>
      <c r="AE317" s="36">
        <v>0.0</v>
      </c>
      <c r="AF317" s="36">
        <v>0.0</v>
      </c>
      <c r="AG317" s="35" t="s">
        <v>7045</v>
      </c>
      <c r="AH317" s="30">
        <v>45292.0</v>
      </c>
      <c r="AI317" s="30">
        <v>45657.0</v>
      </c>
      <c r="AJ317" s="36">
        <v>415.61</v>
      </c>
      <c r="AK317" s="36">
        <v>0.0</v>
      </c>
      <c r="AL317" s="38" t="s">
        <v>7047</v>
      </c>
      <c r="AM317" s="30">
        <v>44562.0</v>
      </c>
      <c r="AN317" s="30">
        <v>44926.0</v>
      </c>
      <c r="AO317" s="36">
        <v>7.8</v>
      </c>
      <c r="AP317" s="36">
        <v>0.0</v>
      </c>
      <c r="AQ317" s="38" t="s">
        <v>7047</v>
      </c>
      <c r="AR317" s="30">
        <v>44927.0</v>
      </c>
      <c r="AS317" s="30">
        <v>45291.0</v>
      </c>
      <c r="AT317" s="36">
        <v>110.93</v>
      </c>
      <c r="AU317" s="36">
        <v>14.8</v>
      </c>
      <c r="AV317" s="38" t="s">
        <v>7047</v>
      </c>
    </row>
    <row r="318" ht="14.25" customHeight="1">
      <c r="A318" s="28" t="s">
        <v>4390</v>
      </c>
      <c r="B318" s="29" t="s">
        <v>4391</v>
      </c>
      <c r="C318" s="29" t="s">
        <v>7041</v>
      </c>
      <c r="D318" s="30">
        <v>45658.0</v>
      </c>
      <c r="E318" s="30">
        <v>46022.0</v>
      </c>
      <c r="F318" s="39">
        <v>5.95</v>
      </c>
      <c r="G318" s="39">
        <v>250.0</v>
      </c>
      <c r="H318" s="32" t="s">
        <v>7043</v>
      </c>
      <c r="I318" s="30">
        <v>46023.0</v>
      </c>
      <c r="J318" s="30">
        <v>46387.0</v>
      </c>
      <c r="K318" s="39">
        <v>0.0</v>
      </c>
      <c r="L318" s="39">
        <v>0.0</v>
      </c>
      <c r="M318" s="35" t="s">
        <v>7045</v>
      </c>
      <c r="N318" s="30">
        <v>46388.0</v>
      </c>
      <c r="O318" s="30">
        <v>46752.0</v>
      </c>
      <c r="P318" s="39">
        <v>0.0</v>
      </c>
      <c r="Q318" s="39">
        <v>0.0</v>
      </c>
      <c r="R318" s="35" t="s">
        <v>7045</v>
      </c>
      <c r="S318" s="30">
        <v>46753.0</v>
      </c>
      <c r="T318" s="30">
        <v>47118.0</v>
      </c>
      <c r="U318" s="39">
        <v>0.0</v>
      </c>
      <c r="V318" s="39">
        <v>0.0</v>
      </c>
      <c r="W318" s="35" t="s">
        <v>7045</v>
      </c>
      <c r="X318" s="30">
        <v>47119.0</v>
      </c>
      <c r="Y318" s="30">
        <v>47483.0</v>
      </c>
      <c r="Z318" s="39">
        <v>0.0</v>
      </c>
      <c r="AA318" s="39">
        <v>0.0</v>
      </c>
      <c r="AB318" s="35" t="s">
        <v>7045</v>
      </c>
      <c r="AC318" s="30">
        <v>47484.0</v>
      </c>
      <c r="AD318" s="30">
        <v>47848.0</v>
      </c>
      <c r="AE318" s="39">
        <v>0.0</v>
      </c>
      <c r="AF318" s="39">
        <v>0.0</v>
      </c>
      <c r="AG318" s="35" t="s">
        <v>7045</v>
      </c>
      <c r="AH318" s="30">
        <v>45292.0</v>
      </c>
      <c r="AI318" s="30">
        <v>45657.0</v>
      </c>
      <c r="AJ318" s="39">
        <v>646.82</v>
      </c>
      <c r="AK318" s="39">
        <v>170.0</v>
      </c>
      <c r="AL318" s="38" t="s">
        <v>7047</v>
      </c>
      <c r="AM318" s="30">
        <v>44562.0</v>
      </c>
      <c r="AN318" s="30">
        <v>44926.0</v>
      </c>
      <c r="AO318" s="39">
        <v>59.4</v>
      </c>
      <c r="AP318" s="39">
        <v>0.0</v>
      </c>
      <c r="AQ318" s="38" t="s">
        <v>7047</v>
      </c>
      <c r="AR318" s="30">
        <v>44927.0</v>
      </c>
      <c r="AS318" s="30">
        <v>45291.0</v>
      </c>
      <c r="AT318" s="39">
        <v>169.75</v>
      </c>
      <c r="AU318" s="39">
        <v>220.0</v>
      </c>
      <c r="AV318" s="37" t="s">
        <v>7046</v>
      </c>
    </row>
    <row r="319" ht="14.25" customHeight="1">
      <c r="A319" s="28" t="s">
        <v>4404</v>
      </c>
      <c r="B319" s="29" t="s">
        <v>4405</v>
      </c>
      <c r="C319" s="29" t="s">
        <v>7041</v>
      </c>
      <c r="D319" s="30">
        <v>45658.0</v>
      </c>
      <c r="E319" s="30">
        <v>46022.0</v>
      </c>
      <c r="F319" s="39">
        <v>159.43</v>
      </c>
      <c r="G319" s="39">
        <v>295.0</v>
      </c>
      <c r="H319" s="37" t="s">
        <v>7047</v>
      </c>
      <c r="I319" s="30">
        <v>46023.0</v>
      </c>
      <c r="J319" s="30">
        <v>46387.0</v>
      </c>
      <c r="K319" s="39">
        <v>0.0</v>
      </c>
      <c r="L319" s="39">
        <v>0.0</v>
      </c>
      <c r="M319" s="35" t="s">
        <v>7045</v>
      </c>
      <c r="N319" s="30">
        <v>46388.0</v>
      </c>
      <c r="O319" s="30">
        <v>46752.0</v>
      </c>
      <c r="P319" s="39">
        <v>0.0</v>
      </c>
      <c r="Q319" s="39">
        <v>0.0</v>
      </c>
      <c r="R319" s="35" t="s">
        <v>7045</v>
      </c>
      <c r="S319" s="30">
        <v>46753.0</v>
      </c>
      <c r="T319" s="30">
        <v>47118.0</v>
      </c>
      <c r="U319" s="39">
        <v>0.0</v>
      </c>
      <c r="V319" s="39">
        <v>0.0</v>
      </c>
      <c r="W319" s="35" t="s">
        <v>7045</v>
      </c>
      <c r="X319" s="30">
        <v>47119.0</v>
      </c>
      <c r="Y319" s="30">
        <v>47483.0</v>
      </c>
      <c r="Z319" s="39">
        <v>0.0</v>
      </c>
      <c r="AA319" s="39">
        <v>0.0</v>
      </c>
      <c r="AB319" s="35" t="s">
        <v>7045</v>
      </c>
      <c r="AC319" s="30">
        <v>47484.0</v>
      </c>
      <c r="AD319" s="30">
        <v>47848.0</v>
      </c>
      <c r="AE319" s="39">
        <v>0.0</v>
      </c>
      <c r="AF319" s="39">
        <v>0.0</v>
      </c>
      <c r="AG319" s="35" t="s">
        <v>7045</v>
      </c>
      <c r="AH319" s="30">
        <v>45292.0</v>
      </c>
      <c r="AI319" s="30">
        <v>45657.0</v>
      </c>
      <c r="AJ319" s="39">
        <v>211.61</v>
      </c>
      <c r="AK319" s="39">
        <v>720.0</v>
      </c>
      <c r="AL319" s="32" t="s">
        <v>7043</v>
      </c>
      <c r="AM319" s="30">
        <v>44562.0</v>
      </c>
      <c r="AN319" s="30">
        <v>44926.0</v>
      </c>
      <c r="AO319" s="39">
        <v>408.8</v>
      </c>
      <c r="AP319" s="39">
        <v>1750000.0</v>
      </c>
      <c r="AQ319" s="32" t="s">
        <v>7043</v>
      </c>
      <c r="AR319" s="30">
        <v>44927.0</v>
      </c>
      <c r="AS319" s="30">
        <v>45291.0</v>
      </c>
      <c r="AT319" s="39">
        <v>624.81</v>
      </c>
      <c r="AU319" s="39">
        <v>0.0</v>
      </c>
      <c r="AV319" s="38" t="s">
        <v>7047</v>
      </c>
    </row>
    <row r="320" ht="14.25" customHeight="1">
      <c r="A320" s="28" t="s">
        <v>4419</v>
      </c>
      <c r="B320" s="29" t="s">
        <v>4420</v>
      </c>
      <c r="C320" s="29" t="s">
        <v>7041</v>
      </c>
      <c r="D320" s="30">
        <v>45658.0</v>
      </c>
      <c r="E320" s="30">
        <v>46022.0</v>
      </c>
      <c r="F320" s="36">
        <v>22.2</v>
      </c>
      <c r="G320" s="36">
        <v>500.0</v>
      </c>
      <c r="H320" s="32" t="s">
        <v>7043</v>
      </c>
      <c r="I320" s="30">
        <v>46023.0</v>
      </c>
      <c r="J320" s="30">
        <v>46387.0</v>
      </c>
      <c r="K320" s="36">
        <v>0.0</v>
      </c>
      <c r="L320" s="36">
        <v>0.0</v>
      </c>
      <c r="M320" s="35" t="s">
        <v>7045</v>
      </c>
      <c r="N320" s="30">
        <v>46388.0</v>
      </c>
      <c r="O320" s="30">
        <v>46752.0</v>
      </c>
      <c r="P320" s="36">
        <v>0.0</v>
      </c>
      <c r="Q320" s="36">
        <v>0.0</v>
      </c>
      <c r="R320" s="35" t="s">
        <v>7045</v>
      </c>
      <c r="S320" s="30">
        <v>46753.0</v>
      </c>
      <c r="T320" s="30">
        <v>47118.0</v>
      </c>
      <c r="U320" s="36">
        <v>0.0</v>
      </c>
      <c r="V320" s="36">
        <v>0.0</v>
      </c>
      <c r="W320" s="35" t="s">
        <v>7045</v>
      </c>
      <c r="X320" s="30">
        <v>47119.0</v>
      </c>
      <c r="Y320" s="30">
        <v>47483.0</v>
      </c>
      <c r="Z320" s="36">
        <v>0.0</v>
      </c>
      <c r="AA320" s="36">
        <v>0.0</v>
      </c>
      <c r="AB320" s="35" t="s">
        <v>7045</v>
      </c>
      <c r="AC320" s="30">
        <v>47484.0</v>
      </c>
      <c r="AD320" s="30">
        <v>47848.0</v>
      </c>
      <c r="AE320" s="36">
        <v>0.0</v>
      </c>
      <c r="AF320" s="36">
        <v>0.0</v>
      </c>
      <c r="AG320" s="35" t="s">
        <v>7045</v>
      </c>
      <c r="AH320" s="30">
        <v>45292.0</v>
      </c>
      <c r="AI320" s="30">
        <v>45657.0</v>
      </c>
      <c r="AJ320" s="36">
        <v>461.73</v>
      </c>
      <c r="AK320" s="36">
        <v>400.0</v>
      </c>
      <c r="AL320" s="38" t="s">
        <v>7047</v>
      </c>
      <c r="AM320" s="30">
        <v>44562.0</v>
      </c>
      <c r="AN320" s="30">
        <v>44926.0</v>
      </c>
      <c r="AO320" s="36">
        <v>0.0</v>
      </c>
      <c r="AP320" s="36">
        <v>0.0</v>
      </c>
      <c r="AQ320" s="35" t="s">
        <v>7045</v>
      </c>
      <c r="AR320" s="30">
        <v>44927.0</v>
      </c>
      <c r="AS320" s="30">
        <v>45291.0</v>
      </c>
      <c r="AT320" s="36">
        <v>11.86</v>
      </c>
      <c r="AU320" s="36">
        <v>0.0</v>
      </c>
      <c r="AV320" s="38" t="s">
        <v>7047</v>
      </c>
    </row>
    <row r="321" ht="14.25" customHeight="1">
      <c r="A321" s="28" t="s">
        <v>4423</v>
      </c>
      <c r="B321" s="29" t="s">
        <v>4424</v>
      </c>
      <c r="C321" s="29" t="s">
        <v>7041</v>
      </c>
      <c r="D321" s="30">
        <v>45658.0</v>
      </c>
      <c r="E321" s="30">
        <v>46022.0</v>
      </c>
      <c r="F321" s="39">
        <v>182.1</v>
      </c>
      <c r="G321" s="39">
        <v>750.0</v>
      </c>
      <c r="H321" s="32" t="s">
        <v>7043</v>
      </c>
      <c r="I321" s="30">
        <v>46023.0</v>
      </c>
      <c r="J321" s="30">
        <v>46387.0</v>
      </c>
      <c r="K321" s="39">
        <v>0.0</v>
      </c>
      <c r="L321" s="39">
        <v>0.0</v>
      </c>
      <c r="M321" s="35" t="s">
        <v>7045</v>
      </c>
      <c r="N321" s="30">
        <v>46388.0</v>
      </c>
      <c r="O321" s="30">
        <v>46752.0</v>
      </c>
      <c r="P321" s="39">
        <v>0.0</v>
      </c>
      <c r="Q321" s="39">
        <v>0.0</v>
      </c>
      <c r="R321" s="35" t="s">
        <v>7045</v>
      </c>
      <c r="S321" s="30">
        <v>46753.0</v>
      </c>
      <c r="T321" s="30">
        <v>47118.0</v>
      </c>
      <c r="U321" s="39">
        <v>0.0</v>
      </c>
      <c r="V321" s="39">
        <v>0.0</v>
      </c>
      <c r="W321" s="35" t="s">
        <v>7045</v>
      </c>
      <c r="X321" s="30">
        <v>47119.0</v>
      </c>
      <c r="Y321" s="30">
        <v>47483.0</v>
      </c>
      <c r="Z321" s="39">
        <v>0.0</v>
      </c>
      <c r="AA321" s="39">
        <v>0.0</v>
      </c>
      <c r="AB321" s="35" t="s">
        <v>7045</v>
      </c>
      <c r="AC321" s="30">
        <v>47484.0</v>
      </c>
      <c r="AD321" s="30">
        <v>47848.0</v>
      </c>
      <c r="AE321" s="39">
        <v>0.0</v>
      </c>
      <c r="AF321" s="39">
        <v>0.0</v>
      </c>
      <c r="AG321" s="35" t="s">
        <v>7045</v>
      </c>
      <c r="AH321" s="30">
        <v>45292.0</v>
      </c>
      <c r="AI321" s="30">
        <v>45657.0</v>
      </c>
      <c r="AJ321" s="39">
        <v>337.73</v>
      </c>
      <c r="AK321" s="39">
        <v>900.0</v>
      </c>
      <c r="AL321" s="32" t="s">
        <v>7043</v>
      </c>
      <c r="AM321" s="30">
        <v>44562.0</v>
      </c>
      <c r="AN321" s="30">
        <v>44926.0</v>
      </c>
      <c r="AO321" s="39">
        <v>783.1</v>
      </c>
      <c r="AP321" s="39">
        <v>1200.0</v>
      </c>
      <c r="AQ321" s="37" t="s">
        <v>7046</v>
      </c>
      <c r="AR321" s="30">
        <v>44927.0</v>
      </c>
      <c r="AS321" s="30">
        <v>45291.0</v>
      </c>
      <c r="AT321" s="39">
        <v>197.71</v>
      </c>
      <c r="AU321" s="39">
        <v>1500.0</v>
      </c>
      <c r="AV321" s="32" t="s">
        <v>7043</v>
      </c>
    </row>
    <row r="322" ht="14.25" customHeight="1">
      <c r="A322" s="28" t="s">
        <v>4435</v>
      </c>
      <c r="B322" s="29" t="s">
        <v>4436</v>
      </c>
      <c r="C322" s="29" t="s">
        <v>7041</v>
      </c>
      <c r="D322" s="30">
        <v>45658.0</v>
      </c>
      <c r="E322" s="30">
        <v>46022.0</v>
      </c>
      <c r="F322" s="39">
        <v>210.62</v>
      </c>
      <c r="G322" s="39">
        <v>465.0</v>
      </c>
      <c r="H322" s="38" t="s">
        <v>7046</v>
      </c>
      <c r="I322" s="30">
        <v>46023.0</v>
      </c>
      <c r="J322" s="30">
        <v>46387.0</v>
      </c>
      <c r="K322" s="39">
        <v>0.0</v>
      </c>
      <c r="L322" s="39">
        <v>0.0</v>
      </c>
      <c r="M322" s="35" t="s">
        <v>7045</v>
      </c>
      <c r="N322" s="30">
        <v>46388.0</v>
      </c>
      <c r="O322" s="30">
        <v>46752.0</v>
      </c>
      <c r="P322" s="39">
        <v>0.0</v>
      </c>
      <c r="Q322" s="39">
        <v>0.0</v>
      </c>
      <c r="R322" s="35" t="s">
        <v>7045</v>
      </c>
      <c r="S322" s="30">
        <v>46753.0</v>
      </c>
      <c r="T322" s="30">
        <v>47118.0</v>
      </c>
      <c r="U322" s="39">
        <v>0.0</v>
      </c>
      <c r="V322" s="39">
        <v>0.0</v>
      </c>
      <c r="W322" s="35" t="s">
        <v>7045</v>
      </c>
      <c r="X322" s="30">
        <v>47119.0</v>
      </c>
      <c r="Y322" s="30">
        <v>47483.0</v>
      </c>
      <c r="Z322" s="39">
        <v>0.0</v>
      </c>
      <c r="AA322" s="39">
        <v>0.0</v>
      </c>
      <c r="AB322" s="35" t="s">
        <v>7045</v>
      </c>
      <c r="AC322" s="30">
        <v>47484.0</v>
      </c>
      <c r="AD322" s="30">
        <v>47848.0</v>
      </c>
      <c r="AE322" s="39">
        <v>0.0</v>
      </c>
      <c r="AF322" s="39">
        <v>0.0</v>
      </c>
      <c r="AG322" s="35" t="s">
        <v>7045</v>
      </c>
      <c r="AH322" s="30">
        <v>45292.0</v>
      </c>
      <c r="AI322" s="30">
        <v>45657.0</v>
      </c>
      <c r="AJ322" s="39">
        <v>463.47</v>
      </c>
      <c r="AK322" s="39">
        <v>402.0</v>
      </c>
      <c r="AL322" s="38" t="s">
        <v>7047</v>
      </c>
      <c r="AM322" s="30">
        <v>44562.0</v>
      </c>
      <c r="AN322" s="30">
        <v>44926.0</v>
      </c>
      <c r="AO322" s="39">
        <v>481.4</v>
      </c>
      <c r="AP322" s="39">
        <v>343.0</v>
      </c>
      <c r="AQ322" s="38" t="s">
        <v>7047</v>
      </c>
      <c r="AR322" s="30">
        <v>44927.0</v>
      </c>
      <c r="AS322" s="30">
        <v>45291.0</v>
      </c>
      <c r="AT322" s="39">
        <v>361.09</v>
      </c>
      <c r="AU322" s="39">
        <v>490.0</v>
      </c>
      <c r="AV322" s="37" t="s">
        <v>7046</v>
      </c>
    </row>
    <row r="323" ht="14.25" customHeight="1">
      <c r="A323" s="28" t="s">
        <v>4470</v>
      </c>
      <c r="B323" s="29" t="s">
        <v>4471</v>
      </c>
      <c r="C323" s="29" t="s">
        <v>7041</v>
      </c>
      <c r="D323" s="30">
        <v>45658.0</v>
      </c>
      <c r="E323" s="30">
        <v>46022.0</v>
      </c>
      <c r="F323" s="39">
        <v>110.73</v>
      </c>
      <c r="G323" s="39">
        <v>368.5</v>
      </c>
      <c r="H323" s="32" t="s">
        <v>7046</v>
      </c>
      <c r="I323" s="30">
        <v>46023.0</v>
      </c>
      <c r="J323" s="30">
        <v>46387.0</v>
      </c>
      <c r="K323" s="39">
        <v>0.0</v>
      </c>
      <c r="L323" s="39">
        <v>0.0</v>
      </c>
      <c r="M323" s="35" t="s">
        <v>7045</v>
      </c>
      <c r="N323" s="30">
        <v>46388.0</v>
      </c>
      <c r="O323" s="30">
        <v>46752.0</v>
      </c>
      <c r="P323" s="39">
        <v>0.0</v>
      </c>
      <c r="Q323" s="39">
        <v>0.0</v>
      </c>
      <c r="R323" s="35" t="s">
        <v>7045</v>
      </c>
      <c r="S323" s="30">
        <v>46753.0</v>
      </c>
      <c r="T323" s="30">
        <v>47118.0</v>
      </c>
      <c r="U323" s="39">
        <v>0.0</v>
      </c>
      <c r="V323" s="39">
        <v>0.0</v>
      </c>
      <c r="W323" s="35" t="s">
        <v>7045</v>
      </c>
      <c r="X323" s="30">
        <v>47119.0</v>
      </c>
      <c r="Y323" s="30">
        <v>47483.0</v>
      </c>
      <c r="Z323" s="39">
        <v>0.0</v>
      </c>
      <c r="AA323" s="39">
        <v>0.0</v>
      </c>
      <c r="AB323" s="35" t="s">
        <v>7045</v>
      </c>
      <c r="AC323" s="30">
        <v>47484.0</v>
      </c>
      <c r="AD323" s="30">
        <v>47848.0</v>
      </c>
      <c r="AE323" s="39">
        <v>0.0</v>
      </c>
      <c r="AF323" s="39">
        <v>0.0</v>
      </c>
      <c r="AG323" s="35" t="s">
        <v>7045</v>
      </c>
      <c r="AH323" s="30">
        <v>45292.0</v>
      </c>
      <c r="AI323" s="30">
        <v>45657.0</v>
      </c>
      <c r="AJ323" s="39">
        <v>320.43</v>
      </c>
      <c r="AK323" s="39">
        <v>284.0</v>
      </c>
      <c r="AL323" s="38" t="s">
        <v>7047</v>
      </c>
      <c r="AM323" s="30">
        <v>44562.0</v>
      </c>
      <c r="AN323" s="30">
        <v>44926.0</v>
      </c>
      <c r="AO323" s="39">
        <v>410.2</v>
      </c>
      <c r="AP323" s="39">
        <v>450.0</v>
      </c>
      <c r="AQ323" s="37" t="s">
        <v>7046</v>
      </c>
      <c r="AR323" s="30">
        <v>44927.0</v>
      </c>
      <c r="AS323" s="30">
        <v>45291.0</v>
      </c>
      <c r="AT323" s="39">
        <v>257.9</v>
      </c>
      <c r="AU323" s="39">
        <v>494.0</v>
      </c>
      <c r="AV323" s="37" t="s">
        <v>7046</v>
      </c>
    </row>
    <row r="324" ht="14.25" customHeight="1">
      <c r="A324" s="28" t="s">
        <v>4474</v>
      </c>
      <c r="B324" s="29" t="s">
        <v>4475</v>
      </c>
      <c r="C324" s="29" t="s">
        <v>7041</v>
      </c>
      <c r="D324" s="30">
        <v>45658.0</v>
      </c>
      <c r="E324" s="30">
        <v>46022.0</v>
      </c>
      <c r="F324" s="39">
        <v>121.4</v>
      </c>
      <c r="G324" s="39">
        <v>800.0</v>
      </c>
      <c r="H324" s="32" t="s">
        <v>7043</v>
      </c>
      <c r="I324" s="30">
        <v>46023.0</v>
      </c>
      <c r="J324" s="30">
        <v>46387.0</v>
      </c>
      <c r="K324" s="39">
        <v>0.0</v>
      </c>
      <c r="L324" s="39">
        <v>0.0</v>
      </c>
      <c r="M324" s="35" t="s">
        <v>7045</v>
      </c>
      <c r="N324" s="30">
        <v>46388.0</v>
      </c>
      <c r="O324" s="30">
        <v>46752.0</v>
      </c>
      <c r="P324" s="39">
        <v>0.0</v>
      </c>
      <c r="Q324" s="39">
        <v>0.0</v>
      </c>
      <c r="R324" s="35" t="s">
        <v>7045</v>
      </c>
      <c r="S324" s="30">
        <v>46753.0</v>
      </c>
      <c r="T324" s="30">
        <v>47118.0</v>
      </c>
      <c r="U324" s="39">
        <v>0.0</v>
      </c>
      <c r="V324" s="39">
        <v>0.0</v>
      </c>
      <c r="W324" s="35" t="s">
        <v>7045</v>
      </c>
      <c r="X324" s="30">
        <v>47119.0</v>
      </c>
      <c r="Y324" s="30">
        <v>47483.0</v>
      </c>
      <c r="Z324" s="39">
        <v>0.0</v>
      </c>
      <c r="AA324" s="39">
        <v>0.0</v>
      </c>
      <c r="AB324" s="35" t="s">
        <v>7045</v>
      </c>
      <c r="AC324" s="30">
        <v>47484.0</v>
      </c>
      <c r="AD324" s="30">
        <v>47848.0</v>
      </c>
      <c r="AE324" s="39">
        <v>0.0</v>
      </c>
      <c r="AF324" s="39">
        <v>0.0</v>
      </c>
      <c r="AG324" s="35" t="s">
        <v>7045</v>
      </c>
      <c r="AH324" s="30">
        <v>45292.0</v>
      </c>
      <c r="AI324" s="30">
        <v>45657.0</v>
      </c>
      <c r="AJ324" s="39">
        <v>694.49</v>
      </c>
      <c r="AK324" s="39">
        <v>710.0</v>
      </c>
      <c r="AL324" s="37" t="s">
        <v>7046</v>
      </c>
      <c r="AM324" s="30">
        <v>44562.0</v>
      </c>
      <c r="AN324" s="30">
        <v>44926.0</v>
      </c>
      <c r="AO324" s="39">
        <v>291.1</v>
      </c>
      <c r="AP324" s="39">
        <v>216.0</v>
      </c>
      <c r="AQ324" s="38" t="s">
        <v>7047</v>
      </c>
      <c r="AR324" s="30">
        <v>44927.0</v>
      </c>
      <c r="AS324" s="30">
        <v>45291.0</v>
      </c>
      <c r="AT324" s="39">
        <v>705.3</v>
      </c>
      <c r="AU324" s="39">
        <v>356.0</v>
      </c>
      <c r="AV324" s="38" t="s">
        <v>7047</v>
      </c>
    </row>
    <row r="325" ht="14.25" customHeight="1">
      <c r="A325" s="28" t="s">
        <v>4705</v>
      </c>
      <c r="B325" s="29" t="s">
        <v>4706</v>
      </c>
      <c r="C325" s="29" t="s">
        <v>7041</v>
      </c>
      <c r="D325" s="30">
        <v>45658.0</v>
      </c>
      <c r="E325" s="30">
        <v>46022.0</v>
      </c>
      <c r="F325" s="36">
        <v>127.56</v>
      </c>
      <c r="G325" s="36">
        <v>589.99</v>
      </c>
      <c r="H325" s="37" t="s">
        <v>7043</v>
      </c>
      <c r="I325" s="30">
        <v>46023.0</v>
      </c>
      <c r="J325" s="30">
        <v>46387.0</v>
      </c>
      <c r="K325" s="36">
        <v>0.0</v>
      </c>
      <c r="L325" s="36">
        <v>0.0</v>
      </c>
      <c r="M325" s="35" t="s">
        <v>7045</v>
      </c>
      <c r="N325" s="30">
        <v>46388.0</v>
      </c>
      <c r="O325" s="30">
        <v>46752.0</v>
      </c>
      <c r="P325" s="36">
        <v>0.0</v>
      </c>
      <c r="Q325" s="36">
        <v>0.0</v>
      </c>
      <c r="R325" s="35" t="s">
        <v>7045</v>
      </c>
      <c r="S325" s="30">
        <v>46753.0</v>
      </c>
      <c r="T325" s="30">
        <v>47118.0</v>
      </c>
      <c r="U325" s="36">
        <v>0.0</v>
      </c>
      <c r="V325" s="36">
        <v>0.0</v>
      </c>
      <c r="W325" s="35" t="s">
        <v>7045</v>
      </c>
      <c r="X325" s="30">
        <v>47119.0</v>
      </c>
      <c r="Y325" s="30">
        <v>47483.0</v>
      </c>
      <c r="Z325" s="36">
        <v>0.0</v>
      </c>
      <c r="AA325" s="36">
        <v>0.0</v>
      </c>
      <c r="AB325" s="35" t="s">
        <v>7045</v>
      </c>
      <c r="AC325" s="30">
        <v>47484.0</v>
      </c>
      <c r="AD325" s="30">
        <v>47848.0</v>
      </c>
      <c r="AE325" s="36">
        <v>0.0</v>
      </c>
      <c r="AF325" s="36">
        <v>0.0</v>
      </c>
      <c r="AG325" s="35" t="s">
        <v>7045</v>
      </c>
      <c r="AH325" s="30">
        <v>45292.0</v>
      </c>
      <c r="AI325" s="30">
        <v>45657.0</v>
      </c>
      <c r="AJ325" s="36">
        <v>272.7</v>
      </c>
      <c r="AK325" s="36">
        <v>510.0</v>
      </c>
      <c r="AL325" s="37" t="s">
        <v>7046</v>
      </c>
      <c r="AM325" s="30">
        <v>44562.0</v>
      </c>
      <c r="AN325" s="30">
        <v>44926.0</v>
      </c>
      <c r="AO325" s="36">
        <v>235.8</v>
      </c>
      <c r="AP325" s="36">
        <v>0.0</v>
      </c>
      <c r="AQ325" s="38" t="s">
        <v>7047</v>
      </c>
      <c r="AR325" s="30">
        <v>44927.0</v>
      </c>
      <c r="AS325" s="30">
        <v>45291.0</v>
      </c>
      <c r="AT325" s="36">
        <v>262.31</v>
      </c>
      <c r="AU325" s="36">
        <v>250.0</v>
      </c>
      <c r="AV325" s="38" t="s">
        <v>7047</v>
      </c>
    </row>
    <row r="326" ht="14.25" customHeight="1">
      <c r="A326" s="28" t="s">
        <v>4806</v>
      </c>
      <c r="B326" s="29" t="s">
        <v>4807</v>
      </c>
      <c r="C326" s="29" t="s">
        <v>7041</v>
      </c>
      <c r="D326" s="30">
        <v>45658.0</v>
      </c>
      <c r="E326" s="30">
        <v>46022.0</v>
      </c>
      <c r="F326" s="39">
        <v>38.16</v>
      </c>
      <c r="G326" s="39">
        <v>400.0</v>
      </c>
      <c r="H326" s="32" t="s">
        <v>7043</v>
      </c>
      <c r="I326" s="30">
        <v>46023.0</v>
      </c>
      <c r="J326" s="30">
        <v>46387.0</v>
      </c>
      <c r="K326" s="39">
        <v>0.0</v>
      </c>
      <c r="L326" s="39">
        <v>0.0</v>
      </c>
      <c r="M326" s="35" t="s">
        <v>7045</v>
      </c>
      <c r="N326" s="30">
        <v>46388.0</v>
      </c>
      <c r="O326" s="30">
        <v>46752.0</v>
      </c>
      <c r="P326" s="39">
        <v>0.0</v>
      </c>
      <c r="Q326" s="39">
        <v>0.0</v>
      </c>
      <c r="R326" s="35" t="s">
        <v>7045</v>
      </c>
      <c r="S326" s="30">
        <v>46753.0</v>
      </c>
      <c r="T326" s="30">
        <v>47118.0</v>
      </c>
      <c r="U326" s="39">
        <v>0.0</v>
      </c>
      <c r="V326" s="39">
        <v>0.0</v>
      </c>
      <c r="W326" s="35" t="s">
        <v>7045</v>
      </c>
      <c r="X326" s="30">
        <v>47119.0</v>
      </c>
      <c r="Y326" s="30">
        <v>47483.0</v>
      </c>
      <c r="Z326" s="39">
        <v>0.0</v>
      </c>
      <c r="AA326" s="39">
        <v>0.0</v>
      </c>
      <c r="AB326" s="35" t="s">
        <v>7045</v>
      </c>
      <c r="AC326" s="30">
        <v>47484.0</v>
      </c>
      <c r="AD326" s="30">
        <v>47848.0</v>
      </c>
      <c r="AE326" s="39">
        <v>0.0</v>
      </c>
      <c r="AF326" s="39">
        <v>0.0</v>
      </c>
      <c r="AG326" s="35" t="s">
        <v>7045</v>
      </c>
      <c r="AH326" s="30">
        <v>45292.0</v>
      </c>
      <c r="AI326" s="30">
        <v>45657.0</v>
      </c>
      <c r="AJ326" s="39">
        <v>555.99</v>
      </c>
      <c r="AK326" s="39">
        <v>449.8</v>
      </c>
      <c r="AL326" s="38" t="s">
        <v>7047</v>
      </c>
      <c r="AM326" s="30">
        <v>44562.0</v>
      </c>
      <c r="AN326" s="30">
        <v>44926.0</v>
      </c>
      <c r="AO326" s="39">
        <v>447.7</v>
      </c>
      <c r="AP326" s="39">
        <v>482.0</v>
      </c>
      <c r="AQ326" s="37" t="s">
        <v>7046</v>
      </c>
      <c r="AR326" s="30">
        <v>44927.0</v>
      </c>
      <c r="AS326" s="30">
        <v>45291.0</v>
      </c>
      <c r="AT326" s="39">
        <v>437.91</v>
      </c>
      <c r="AU326" s="39">
        <v>482.0</v>
      </c>
      <c r="AV326" s="37" t="s">
        <v>7046</v>
      </c>
    </row>
    <row r="327" ht="14.25" customHeight="1">
      <c r="A327" s="28" t="s">
        <v>4841</v>
      </c>
      <c r="B327" s="29" t="s">
        <v>4842</v>
      </c>
      <c r="C327" s="29" t="s">
        <v>7041</v>
      </c>
      <c r="D327" s="30">
        <v>45658.0</v>
      </c>
      <c r="E327" s="30">
        <v>46022.0</v>
      </c>
      <c r="F327" s="39">
        <v>46.48</v>
      </c>
      <c r="G327" s="39">
        <v>360.0</v>
      </c>
      <c r="H327" s="32" t="s">
        <v>7043</v>
      </c>
      <c r="I327" s="30">
        <v>46023.0</v>
      </c>
      <c r="J327" s="30">
        <v>46387.0</v>
      </c>
      <c r="K327" s="39">
        <v>0.0</v>
      </c>
      <c r="L327" s="39">
        <v>0.0</v>
      </c>
      <c r="M327" s="35" t="s">
        <v>7045</v>
      </c>
      <c r="N327" s="30">
        <v>46388.0</v>
      </c>
      <c r="O327" s="30">
        <v>46752.0</v>
      </c>
      <c r="P327" s="39">
        <v>0.0</v>
      </c>
      <c r="Q327" s="39">
        <v>0.0</v>
      </c>
      <c r="R327" s="35" t="s">
        <v>7045</v>
      </c>
      <c r="S327" s="30">
        <v>46753.0</v>
      </c>
      <c r="T327" s="30">
        <v>47118.0</v>
      </c>
      <c r="U327" s="39">
        <v>0.0</v>
      </c>
      <c r="V327" s="39">
        <v>0.0</v>
      </c>
      <c r="W327" s="35" t="s">
        <v>7045</v>
      </c>
      <c r="X327" s="30">
        <v>47119.0</v>
      </c>
      <c r="Y327" s="30">
        <v>47483.0</v>
      </c>
      <c r="Z327" s="39">
        <v>0.0</v>
      </c>
      <c r="AA327" s="39">
        <v>0.0</v>
      </c>
      <c r="AB327" s="35" t="s">
        <v>7045</v>
      </c>
      <c r="AC327" s="30">
        <v>47484.0</v>
      </c>
      <c r="AD327" s="30">
        <v>47848.0</v>
      </c>
      <c r="AE327" s="39">
        <v>0.0</v>
      </c>
      <c r="AF327" s="39">
        <v>0.0</v>
      </c>
      <c r="AG327" s="35" t="s">
        <v>7045</v>
      </c>
      <c r="AH327" s="30">
        <v>45292.0</v>
      </c>
      <c r="AI327" s="30">
        <v>45657.0</v>
      </c>
      <c r="AJ327" s="39">
        <v>334.62</v>
      </c>
      <c r="AK327" s="39">
        <v>543.0</v>
      </c>
      <c r="AL327" s="37" t="s">
        <v>7046</v>
      </c>
      <c r="AM327" s="30">
        <v>44562.0</v>
      </c>
      <c r="AN327" s="30">
        <v>44926.0</v>
      </c>
      <c r="AO327" s="39">
        <v>523.2</v>
      </c>
      <c r="AP327" s="39">
        <v>600.0</v>
      </c>
      <c r="AQ327" s="37" t="s">
        <v>7046</v>
      </c>
      <c r="AR327" s="30">
        <v>44927.0</v>
      </c>
      <c r="AS327" s="30">
        <v>45291.0</v>
      </c>
      <c r="AT327" s="39">
        <v>468.45</v>
      </c>
      <c r="AU327" s="39">
        <v>574.0</v>
      </c>
      <c r="AV327" s="37" t="s">
        <v>7046</v>
      </c>
    </row>
    <row r="328" ht="14.25" customHeight="1">
      <c r="A328" s="28" t="s">
        <v>4916</v>
      </c>
      <c r="B328" s="29" t="s">
        <v>4917</v>
      </c>
      <c r="C328" s="29" t="s">
        <v>7041</v>
      </c>
      <c r="D328" s="30">
        <v>45658.0</v>
      </c>
      <c r="E328" s="30">
        <v>46022.0</v>
      </c>
      <c r="F328" s="36">
        <v>29.61</v>
      </c>
      <c r="G328" s="36">
        <v>639.99</v>
      </c>
      <c r="H328" s="32" t="s">
        <v>7043</v>
      </c>
      <c r="I328" s="30">
        <v>46023.0</v>
      </c>
      <c r="J328" s="30">
        <v>46387.0</v>
      </c>
      <c r="K328" s="36">
        <v>0.0</v>
      </c>
      <c r="L328" s="36">
        <v>0.0</v>
      </c>
      <c r="M328" s="35" t="s">
        <v>7045</v>
      </c>
      <c r="N328" s="30">
        <v>46388.0</v>
      </c>
      <c r="O328" s="30">
        <v>46752.0</v>
      </c>
      <c r="P328" s="36">
        <v>0.0</v>
      </c>
      <c r="Q328" s="36">
        <v>0.0</v>
      </c>
      <c r="R328" s="35" t="s">
        <v>7045</v>
      </c>
      <c r="S328" s="30">
        <v>46753.0</v>
      </c>
      <c r="T328" s="30">
        <v>47118.0</v>
      </c>
      <c r="U328" s="36">
        <v>0.0</v>
      </c>
      <c r="V328" s="36">
        <v>0.0</v>
      </c>
      <c r="W328" s="35" t="s">
        <v>7045</v>
      </c>
      <c r="X328" s="30">
        <v>47119.0</v>
      </c>
      <c r="Y328" s="30">
        <v>47483.0</v>
      </c>
      <c r="Z328" s="36">
        <v>0.0</v>
      </c>
      <c r="AA328" s="36">
        <v>0.0</v>
      </c>
      <c r="AB328" s="35" t="s">
        <v>7045</v>
      </c>
      <c r="AC328" s="30">
        <v>47484.0</v>
      </c>
      <c r="AD328" s="30">
        <v>47848.0</v>
      </c>
      <c r="AE328" s="36">
        <v>0.0</v>
      </c>
      <c r="AF328" s="36">
        <v>0.0</v>
      </c>
      <c r="AG328" s="35" t="s">
        <v>7045</v>
      </c>
      <c r="AH328" s="30">
        <v>45292.0</v>
      </c>
      <c r="AI328" s="30">
        <v>45657.0</v>
      </c>
      <c r="AJ328" s="36">
        <v>246.07</v>
      </c>
      <c r="AK328" s="36">
        <v>601.99</v>
      </c>
      <c r="AL328" s="32" t="s">
        <v>7043</v>
      </c>
      <c r="AM328" s="30">
        <v>44562.0</v>
      </c>
      <c r="AN328" s="30">
        <v>44926.0</v>
      </c>
      <c r="AO328" s="36">
        <v>204.8</v>
      </c>
      <c r="AP328" s="36">
        <v>250.0</v>
      </c>
      <c r="AQ328" s="37" t="s">
        <v>7046</v>
      </c>
      <c r="AR328" s="30">
        <v>44927.0</v>
      </c>
      <c r="AS328" s="30">
        <v>45291.0</v>
      </c>
      <c r="AT328" s="36">
        <v>227.3</v>
      </c>
      <c r="AU328" s="36">
        <v>350.0</v>
      </c>
      <c r="AV328" s="37" t="s">
        <v>7046</v>
      </c>
    </row>
    <row r="329" ht="14.25" customHeight="1">
      <c r="A329" s="28" t="s">
        <v>4925</v>
      </c>
      <c r="B329" s="29" t="s">
        <v>4926</v>
      </c>
      <c r="C329" s="29" t="s">
        <v>7041</v>
      </c>
      <c r="D329" s="30">
        <v>45658.0</v>
      </c>
      <c r="E329" s="30">
        <v>46022.0</v>
      </c>
      <c r="F329" s="36">
        <v>120.68</v>
      </c>
      <c r="G329" s="36">
        <v>610.39</v>
      </c>
      <c r="H329" s="32" t="s">
        <v>7043</v>
      </c>
      <c r="I329" s="30">
        <v>46023.0</v>
      </c>
      <c r="J329" s="30">
        <v>46387.0</v>
      </c>
      <c r="K329" s="36">
        <v>0.0</v>
      </c>
      <c r="L329" s="36">
        <v>0.0</v>
      </c>
      <c r="M329" s="35" t="s">
        <v>7045</v>
      </c>
      <c r="N329" s="30">
        <v>46388.0</v>
      </c>
      <c r="O329" s="30">
        <v>46752.0</v>
      </c>
      <c r="P329" s="36">
        <v>0.0</v>
      </c>
      <c r="Q329" s="36">
        <v>0.0</v>
      </c>
      <c r="R329" s="35" t="s">
        <v>7045</v>
      </c>
      <c r="S329" s="30">
        <v>46753.0</v>
      </c>
      <c r="T329" s="30">
        <v>47118.0</v>
      </c>
      <c r="U329" s="36">
        <v>0.0</v>
      </c>
      <c r="V329" s="36">
        <v>0.0</v>
      </c>
      <c r="W329" s="35" t="s">
        <v>7045</v>
      </c>
      <c r="X329" s="30">
        <v>47119.0</v>
      </c>
      <c r="Y329" s="30">
        <v>47483.0</v>
      </c>
      <c r="Z329" s="36">
        <v>0.0</v>
      </c>
      <c r="AA329" s="36">
        <v>0.0</v>
      </c>
      <c r="AB329" s="35" t="s">
        <v>7045</v>
      </c>
      <c r="AC329" s="30">
        <v>47484.0</v>
      </c>
      <c r="AD329" s="30">
        <v>47848.0</v>
      </c>
      <c r="AE329" s="36">
        <v>0.0</v>
      </c>
      <c r="AF329" s="36">
        <v>0.0</v>
      </c>
      <c r="AG329" s="35" t="s">
        <v>7045</v>
      </c>
      <c r="AH329" s="30">
        <v>45292.0</v>
      </c>
      <c r="AI329" s="30">
        <v>45657.0</v>
      </c>
      <c r="AJ329" s="36">
        <v>282.19</v>
      </c>
      <c r="AK329" s="36">
        <v>1019.99</v>
      </c>
      <c r="AL329" s="32" t="s">
        <v>7043</v>
      </c>
      <c r="AM329" s="30">
        <v>44562.0</v>
      </c>
      <c r="AN329" s="30">
        <v>44926.0</v>
      </c>
      <c r="AO329" s="36">
        <v>215.4</v>
      </c>
      <c r="AP329" s="36">
        <v>749.99</v>
      </c>
      <c r="AQ329" s="32" t="s">
        <v>7043</v>
      </c>
      <c r="AR329" s="30">
        <v>44927.0</v>
      </c>
      <c r="AS329" s="30">
        <v>45291.0</v>
      </c>
      <c r="AT329" s="36">
        <v>231.74</v>
      </c>
      <c r="AU329" s="36">
        <v>1074.99</v>
      </c>
      <c r="AV329" s="32" t="s">
        <v>7043</v>
      </c>
    </row>
    <row r="330" ht="14.25" customHeight="1">
      <c r="A330" s="28" t="s">
        <v>5057</v>
      </c>
      <c r="B330" s="29" t="s">
        <v>5058</v>
      </c>
      <c r="C330" s="29" t="s">
        <v>7041</v>
      </c>
      <c r="D330" s="30">
        <v>45658.0</v>
      </c>
      <c r="E330" s="30">
        <v>46022.0</v>
      </c>
      <c r="F330" s="39">
        <v>2.76</v>
      </c>
      <c r="G330" s="39">
        <v>500.0</v>
      </c>
      <c r="H330" s="32" t="s">
        <v>7043</v>
      </c>
      <c r="I330" s="30">
        <v>46023.0</v>
      </c>
      <c r="J330" s="30">
        <v>46387.0</v>
      </c>
      <c r="K330" s="39">
        <v>0.0</v>
      </c>
      <c r="L330" s="39">
        <v>0.0</v>
      </c>
      <c r="M330" s="35" t="s">
        <v>7045</v>
      </c>
      <c r="N330" s="30">
        <v>46388.0</v>
      </c>
      <c r="O330" s="30">
        <v>46752.0</v>
      </c>
      <c r="P330" s="39">
        <v>0.0</v>
      </c>
      <c r="Q330" s="39">
        <v>0.0</v>
      </c>
      <c r="R330" s="35" t="s">
        <v>7045</v>
      </c>
      <c r="S330" s="30">
        <v>46753.0</v>
      </c>
      <c r="T330" s="30">
        <v>47118.0</v>
      </c>
      <c r="U330" s="39">
        <v>0.0</v>
      </c>
      <c r="V330" s="39">
        <v>0.0</v>
      </c>
      <c r="W330" s="35" t="s">
        <v>7045</v>
      </c>
      <c r="X330" s="30">
        <v>47119.0</v>
      </c>
      <c r="Y330" s="30">
        <v>47483.0</v>
      </c>
      <c r="Z330" s="39">
        <v>0.0</v>
      </c>
      <c r="AA330" s="39">
        <v>0.0</v>
      </c>
      <c r="AB330" s="35" t="s">
        <v>7045</v>
      </c>
      <c r="AC330" s="30">
        <v>47484.0</v>
      </c>
      <c r="AD330" s="30">
        <v>47848.0</v>
      </c>
      <c r="AE330" s="39">
        <v>0.0</v>
      </c>
      <c r="AF330" s="39">
        <v>0.0</v>
      </c>
      <c r="AG330" s="35" t="s">
        <v>7045</v>
      </c>
      <c r="AH330" s="30">
        <v>45292.0</v>
      </c>
      <c r="AI330" s="30">
        <v>45657.0</v>
      </c>
      <c r="AJ330" s="39">
        <v>393.06</v>
      </c>
      <c r="AK330" s="39">
        <v>1150.0</v>
      </c>
      <c r="AL330" s="32" t="s">
        <v>7043</v>
      </c>
      <c r="AM330" s="30">
        <v>44562.0</v>
      </c>
      <c r="AN330" s="30">
        <v>44926.0</v>
      </c>
      <c r="AO330" s="39">
        <v>143.6</v>
      </c>
      <c r="AP330" s="39">
        <v>1028.0</v>
      </c>
      <c r="AQ330" s="32" t="s">
        <v>7043</v>
      </c>
      <c r="AR330" s="30">
        <v>44927.0</v>
      </c>
      <c r="AS330" s="30">
        <v>45291.0</v>
      </c>
      <c r="AT330" s="39">
        <v>85.08</v>
      </c>
      <c r="AU330" s="39">
        <v>0.0</v>
      </c>
      <c r="AV330" s="38" t="s">
        <v>7047</v>
      </c>
    </row>
    <row r="331" ht="14.25" customHeight="1">
      <c r="A331" s="28" t="s">
        <v>5079</v>
      </c>
      <c r="B331" s="29" t="s">
        <v>5080</v>
      </c>
      <c r="C331" s="29" t="s">
        <v>7041</v>
      </c>
      <c r="D331" s="30">
        <v>45658.0</v>
      </c>
      <c r="E331" s="30">
        <v>46022.0</v>
      </c>
      <c r="F331" s="39">
        <v>40.85</v>
      </c>
      <c r="G331" s="39">
        <v>462.0</v>
      </c>
      <c r="H331" s="32" t="s">
        <v>7043</v>
      </c>
      <c r="I331" s="30">
        <v>46023.0</v>
      </c>
      <c r="J331" s="30">
        <v>46387.0</v>
      </c>
      <c r="K331" s="39">
        <v>0.0</v>
      </c>
      <c r="L331" s="39">
        <v>0.0</v>
      </c>
      <c r="M331" s="35" t="s">
        <v>7045</v>
      </c>
      <c r="N331" s="30">
        <v>46388.0</v>
      </c>
      <c r="O331" s="30">
        <v>46752.0</v>
      </c>
      <c r="P331" s="39">
        <v>0.0</v>
      </c>
      <c r="Q331" s="39">
        <v>0.0</v>
      </c>
      <c r="R331" s="35" t="s">
        <v>7045</v>
      </c>
      <c r="S331" s="30">
        <v>46753.0</v>
      </c>
      <c r="T331" s="30">
        <v>47118.0</v>
      </c>
      <c r="U331" s="39">
        <v>0.0</v>
      </c>
      <c r="V331" s="39">
        <v>0.0</v>
      </c>
      <c r="W331" s="35" t="s">
        <v>7045</v>
      </c>
      <c r="X331" s="30">
        <v>47119.0</v>
      </c>
      <c r="Y331" s="30">
        <v>47483.0</v>
      </c>
      <c r="Z331" s="39">
        <v>0.0</v>
      </c>
      <c r="AA331" s="39">
        <v>0.0</v>
      </c>
      <c r="AB331" s="35" t="s">
        <v>7045</v>
      </c>
      <c r="AC331" s="30">
        <v>47484.0</v>
      </c>
      <c r="AD331" s="30">
        <v>47848.0</v>
      </c>
      <c r="AE331" s="39">
        <v>0.0</v>
      </c>
      <c r="AF331" s="39">
        <v>0.0</v>
      </c>
      <c r="AG331" s="35" t="s">
        <v>7045</v>
      </c>
      <c r="AH331" s="30">
        <v>45292.0</v>
      </c>
      <c r="AI331" s="30">
        <v>45657.0</v>
      </c>
      <c r="AJ331" s="39">
        <v>394.63</v>
      </c>
      <c r="AK331" s="39">
        <v>402.0</v>
      </c>
      <c r="AL331" s="37" t="s">
        <v>7046</v>
      </c>
      <c r="AM331" s="30">
        <v>44562.0</v>
      </c>
      <c r="AN331" s="30">
        <v>44926.0</v>
      </c>
      <c r="AO331" s="39">
        <v>420.0</v>
      </c>
      <c r="AP331" s="39">
        <v>0.0</v>
      </c>
      <c r="AQ331" s="38" t="s">
        <v>7047</v>
      </c>
      <c r="AR331" s="30">
        <v>44927.0</v>
      </c>
      <c r="AS331" s="30">
        <v>45291.0</v>
      </c>
      <c r="AT331" s="39">
        <v>374.13</v>
      </c>
      <c r="AU331" s="39">
        <v>0.0</v>
      </c>
      <c r="AV331" s="38" t="s">
        <v>7047</v>
      </c>
    </row>
    <row r="332" ht="14.25" customHeight="1">
      <c r="A332" s="28" t="s">
        <v>5182</v>
      </c>
      <c r="B332" s="29" t="s">
        <v>5183</v>
      </c>
      <c r="C332" s="29" t="s">
        <v>7041</v>
      </c>
      <c r="D332" s="30">
        <v>45658.0</v>
      </c>
      <c r="E332" s="30">
        <v>46022.0</v>
      </c>
      <c r="F332" s="39">
        <v>140.55</v>
      </c>
      <c r="G332" s="39">
        <v>300.0</v>
      </c>
      <c r="H332" s="37" t="s">
        <v>7046</v>
      </c>
      <c r="I332" s="30">
        <v>46023.0</v>
      </c>
      <c r="J332" s="30">
        <v>46387.0</v>
      </c>
      <c r="K332" s="39">
        <v>0.0</v>
      </c>
      <c r="L332" s="39">
        <v>0.0</v>
      </c>
      <c r="M332" s="35" t="s">
        <v>7045</v>
      </c>
      <c r="N332" s="30">
        <v>46388.0</v>
      </c>
      <c r="O332" s="30">
        <v>46752.0</v>
      </c>
      <c r="P332" s="39">
        <v>0.0</v>
      </c>
      <c r="Q332" s="39">
        <v>0.0</v>
      </c>
      <c r="R332" s="35" t="s">
        <v>7045</v>
      </c>
      <c r="S332" s="30">
        <v>46753.0</v>
      </c>
      <c r="T332" s="30">
        <v>47118.0</v>
      </c>
      <c r="U332" s="39">
        <v>0.0</v>
      </c>
      <c r="V332" s="39">
        <v>0.0</v>
      </c>
      <c r="W332" s="35" t="s">
        <v>7045</v>
      </c>
      <c r="X332" s="30">
        <v>47119.0</v>
      </c>
      <c r="Y332" s="30">
        <v>47483.0</v>
      </c>
      <c r="Z332" s="39">
        <v>0.0</v>
      </c>
      <c r="AA332" s="39">
        <v>0.0</v>
      </c>
      <c r="AB332" s="35" t="s">
        <v>7045</v>
      </c>
      <c r="AC332" s="30">
        <v>47484.0</v>
      </c>
      <c r="AD332" s="30">
        <v>47848.0</v>
      </c>
      <c r="AE332" s="39">
        <v>0.0</v>
      </c>
      <c r="AF332" s="39">
        <v>0.0</v>
      </c>
      <c r="AG332" s="35" t="s">
        <v>7045</v>
      </c>
      <c r="AH332" s="30">
        <v>45292.0</v>
      </c>
      <c r="AI332" s="30">
        <v>45657.0</v>
      </c>
      <c r="AJ332" s="39">
        <v>272.48</v>
      </c>
      <c r="AK332" s="39">
        <v>500.4</v>
      </c>
      <c r="AL332" s="37" t="s">
        <v>7046</v>
      </c>
      <c r="AM332" s="30">
        <v>44562.0</v>
      </c>
      <c r="AN332" s="30">
        <v>44926.0</v>
      </c>
      <c r="AO332" s="39">
        <v>350.5</v>
      </c>
      <c r="AP332" s="39">
        <v>110.0</v>
      </c>
      <c r="AQ332" s="38" t="s">
        <v>7047</v>
      </c>
      <c r="AR332" s="30">
        <v>44927.0</v>
      </c>
      <c r="AS332" s="30">
        <v>45291.0</v>
      </c>
      <c r="AT332" s="39">
        <v>483.74</v>
      </c>
      <c r="AU332" s="39">
        <v>489.2</v>
      </c>
      <c r="AV332" s="37" t="s">
        <v>7046</v>
      </c>
    </row>
    <row r="333" ht="14.25" customHeight="1">
      <c r="A333" s="28" t="s">
        <v>5215</v>
      </c>
      <c r="B333" s="29" t="s">
        <v>5216</v>
      </c>
      <c r="C333" s="29" t="s">
        <v>7041</v>
      </c>
      <c r="D333" s="30">
        <v>45658.0</v>
      </c>
      <c r="E333" s="30">
        <v>46022.0</v>
      </c>
      <c r="F333" s="39">
        <v>210.07</v>
      </c>
      <c r="G333" s="39">
        <v>500.0</v>
      </c>
      <c r="H333" s="32" t="s">
        <v>7046</v>
      </c>
      <c r="I333" s="30">
        <v>46023.0</v>
      </c>
      <c r="J333" s="30">
        <v>46387.0</v>
      </c>
      <c r="K333" s="39">
        <v>0.0</v>
      </c>
      <c r="L333" s="39">
        <v>0.0</v>
      </c>
      <c r="M333" s="35" t="s">
        <v>7045</v>
      </c>
      <c r="N333" s="30">
        <v>46388.0</v>
      </c>
      <c r="O333" s="30">
        <v>46752.0</v>
      </c>
      <c r="P333" s="39">
        <v>0.0</v>
      </c>
      <c r="Q333" s="39">
        <v>0.0</v>
      </c>
      <c r="R333" s="35" t="s">
        <v>7045</v>
      </c>
      <c r="S333" s="30">
        <v>46753.0</v>
      </c>
      <c r="T333" s="30">
        <v>47118.0</v>
      </c>
      <c r="U333" s="39">
        <v>0.0</v>
      </c>
      <c r="V333" s="39">
        <v>0.0</v>
      </c>
      <c r="W333" s="35" t="s">
        <v>7045</v>
      </c>
      <c r="X333" s="30">
        <v>47119.0</v>
      </c>
      <c r="Y333" s="30">
        <v>47483.0</v>
      </c>
      <c r="Z333" s="39">
        <v>0.0</v>
      </c>
      <c r="AA333" s="39">
        <v>0.0</v>
      </c>
      <c r="AB333" s="35" t="s">
        <v>7045</v>
      </c>
      <c r="AC333" s="30">
        <v>47484.0</v>
      </c>
      <c r="AD333" s="30">
        <v>47848.0</v>
      </c>
      <c r="AE333" s="39">
        <v>0.0</v>
      </c>
      <c r="AF333" s="39">
        <v>0.0</v>
      </c>
      <c r="AG333" s="35" t="s">
        <v>7045</v>
      </c>
      <c r="AH333" s="30">
        <v>45292.0</v>
      </c>
      <c r="AI333" s="30">
        <v>45657.0</v>
      </c>
      <c r="AJ333" s="39">
        <v>333.75</v>
      </c>
      <c r="AK333" s="39">
        <v>575.0</v>
      </c>
      <c r="AL333" s="37" t="s">
        <v>7046</v>
      </c>
      <c r="AM333" s="30">
        <v>44562.0</v>
      </c>
      <c r="AN333" s="30">
        <v>44926.0</v>
      </c>
      <c r="AO333" s="39">
        <v>229.6</v>
      </c>
      <c r="AP333" s="39">
        <v>479.6</v>
      </c>
      <c r="AQ333" s="32" t="s">
        <v>7043</v>
      </c>
      <c r="AR333" s="30">
        <v>44927.0</v>
      </c>
      <c r="AS333" s="30">
        <v>45291.0</v>
      </c>
      <c r="AT333" s="39">
        <v>537.16</v>
      </c>
      <c r="AU333" s="39">
        <v>481.0</v>
      </c>
      <c r="AV333" s="38" t="s">
        <v>7047</v>
      </c>
    </row>
    <row r="334" ht="14.25" customHeight="1">
      <c r="A334" s="28" t="s">
        <v>5348</v>
      </c>
      <c r="B334" s="29" t="s">
        <v>5349</v>
      </c>
      <c r="C334" s="29" t="s">
        <v>7041</v>
      </c>
      <c r="D334" s="30">
        <v>45658.0</v>
      </c>
      <c r="E334" s="30">
        <v>46022.0</v>
      </c>
      <c r="F334" s="39">
        <v>0.52</v>
      </c>
      <c r="G334" s="39">
        <v>0.0</v>
      </c>
      <c r="H334" s="38" t="s">
        <v>7047</v>
      </c>
      <c r="I334" s="30">
        <v>46023.0</v>
      </c>
      <c r="J334" s="30">
        <v>46387.0</v>
      </c>
      <c r="K334" s="39">
        <v>0.0</v>
      </c>
      <c r="L334" s="39">
        <v>0.0</v>
      </c>
      <c r="M334" s="35" t="s">
        <v>7045</v>
      </c>
      <c r="N334" s="30">
        <v>46388.0</v>
      </c>
      <c r="O334" s="30">
        <v>46752.0</v>
      </c>
      <c r="P334" s="39">
        <v>0.0</v>
      </c>
      <c r="Q334" s="39">
        <v>0.0</v>
      </c>
      <c r="R334" s="35" t="s">
        <v>7045</v>
      </c>
      <c r="S334" s="30">
        <v>46753.0</v>
      </c>
      <c r="T334" s="30">
        <v>47118.0</v>
      </c>
      <c r="U334" s="39">
        <v>0.0</v>
      </c>
      <c r="V334" s="39">
        <v>0.0</v>
      </c>
      <c r="W334" s="35" t="s">
        <v>7045</v>
      </c>
      <c r="X334" s="30">
        <v>47119.0</v>
      </c>
      <c r="Y334" s="30">
        <v>47483.0</v>
      </c>
      <c r="Z334" s="39">
        <v>0.0</v>
      </c>
      <c r="AA334" s="39">
        <v>0.0</v>
      </c>
      <c r="AB334" s="35" t="s">
        <v>7045</v>
      </c>
      <c r="AC334" s="30">
        <v>47484.0</v>
      </c>
      <c r="AD334" s="30">
        <v>47848.0</v>
      </c>
      <c r="AE334" s="39">
        <v>0.0</v>
      </c>
      <c r="AF334" s="39">
        <v>0.0</v>
      </c>
      <c r="AG334" s="35" t="s">
        <v>7045</v>
      </c>
      <c r="AH334" s="30">
        <v>45292.0</v>
      </c>
      <c r="AI334" s="30">
        <v>45657.0</v>
      </c>
      <c r="AJ334" s="39">
        <v>222.34</v>
      </c>
      <c r="AK334" s="39">
        <v>630.0</v>
      </c>
      <c r="AL334" s="32" t="s">
        <v>7043</v>
      </c>
      <c r="AM334" s="30">
        <v>44562.0</v>
      </c>
      <c r="AN334" s="30">
        <v>44926.0</v>
      </c>
      <c r="AO334" s="39">
        <v>239.9</v>
      </c>
      <c r="AP334" s="39">
        <v>405.0</v>
      </c>
      <c r="AQ334" s="37" t="s">
        <v>7046</v>
      </c>
      <c r="AR334" s="30">
        <v>44927.0</v>
      </c>
      <c r="AS334" s="30">
        <v>45291.0</v>
      </c>
      <c r="AT334" s="39">
        <v>601.23</v>
      </c>
      <c r="AU334" s="39">
        <v>407.0</v>
      </c>
      <c r="AV334" s="38" t="s">
        <v>7047</v>
      </c>
    </row>
    <row r="335" ht="14.25" customHeight="1">
      <c r="A335" s="28" t="s">
        <v>5357</v>
      </c>
      <c r="B335" s="29" t="s">
        <v>5358</v>
      </c>
      <c r="C335" s="29" t="s">
        <v>7044</v>
      </c>
      <c r="D335" s="30">
        <v>45658.0</v>
      </c>
      <c r="E335" s="30">
        <v>46022.0</v>
      </c>
      <c r="F335" s="39">
        <v>0.0</v>
      </c>
      <c r="G335" s="39">
        <v>0.0</v>
      </c>
      <c r="H335" s="35" t="s">
        <v>7045</v>
      </c>
      <c r="I335" s="30">
        <v>46023.0</v>
      </c>
      <c r="J335" s="30">
        <v>46387.0</v>
      </c>
      <c r="K335" s="39">
        <v>0.0</v>
      </c>
      <c r="L335" s="39">
        <v>0.0</v>
      </c>
      <c r="M335" s="35" t="s">
        <v>7045</v>
      </c>
      <c r="N335" s="30">
        <v>46388.0</v>
      </c>
      <c r="O335" s="30">
        <v>46752.0</v>
      </c>
      <c r="P335" s="39">
        <v>0.0</v>
      </c>
      <c r="Q335" s="39">
        <v>0.0</v>
      </c>
      <c r="R335" s="35" t="s">
        <v>7045</v>
      </c>
      <c r="S335" s="30">
        <v>46753.0</v>
      </c>
      <c r="T335" s="30">
        <v>47118.0</v>
      </c>
      <c r="U335" s="39">
        <v>0.0</v>
      </c>
      <c r="V335" s="39">
        <v>0.0</v>
      </c>
      <c r="W335" s="35" t="s">
        <v>7045</v>
      </c>
      <c r="X335" s="30">
        <v>47119.0</v>
      </c>
      <c r="Y335" s="30">
        <v>47483.0</v>
      </c>
      <c r="Z335" s="39">
        <v>0.0</v>
      </c>
      <c r="AA335" s="39">
        <v>0.0</v>
      </c>
      <c r="AB335" s="35" t="s">
        <v>7045</v>
      </c>
      <c r="AC335" s="30">
        <v>47484.0</v>
      </c>
      <c r="AD335" s="30">
        <v>47848.0</v>
      </c>
      <c r="AE335" s="39">
        <v>0.0</v>
      </c>
      <c r="AF335" s="39">
        <v>0.0</v>
      </c>
      <c r="AG335" s="35" t="s">
        <v>7045</v>
      </c>
      <c r="AH335" s="30">
        <v>45292.0</v>
      </c>
      <c r="AI335" s="30">
        <v>45657.0</v>
      </c>
      <c r="AJ335" s="39">
        <v>340.99</v>
      </c>
      <c r="AK335" s="39">
        <v>370.0</v>
      </c>
      <c r="AL335" s="37" t="s">
        <v>7046</v>
      </c>
      <c r="AM335" s="30">
        <v>44562.0</v>
      </c>
      <c r="AN335" s="30">
        <v>44926.0</v>
      </c>
      <c r="AO335" s="39">
        <v>242.9</v>
      </c>
      <c r="AP335" s="39">
        <v>300.0</v>
      </c>
      <c r="AQ335" s="37" t="s">
        <v>7046</v>
      </c>
      <c r="AR335" s="30">
        <v>44927.0</v>
      </c>
      <c r="AS335" s="30">
        <v>45291.0</v>
      </c>
      <c r="AT335" s="39">
        <v>359.52</v>
      </c>
      <c r="AU335" s="39">
        <v>0.0</v>
      </c>
      <c r="AV335" s="38" t="s">
        <v>7047</v>
      </c>
    </row>
    <row r="336" ht="14.25" customHeight="1">
      <c r="A336" s="28" t="s">
        <v>5399</v>
      </c>
      <c r="B336" s="29" t="s">
        <v>5400</v>
      </c>
      <c r="C336" s="29" t="s">
        <v>7041</v>
      </c>
      <c r="D336" s="30">
        <v>45658.0</v>
      </c>
      <c r="E336" s="30">
        <v>46022.0</v>
      </c>
      <c r="F336" s="36">
        <v>612.29</v>
      </c>
      <c r="G336" s="36">
        <v>799.99</v>
      </c>
      <c r="H336" s="38" t="s">
        <v>7047</v>
      </c>
      <c r="I336" s="30">
        <v>46023.0</v>
      </c>
      <c r="J336" s="30">
        <v>46387.0</v>
      </c>
      <c r="K336" s="36">
        <v>0.0</v>
      </c>
      <c r="L336" s="36">
        <v>0.0</v>
      </c>
      <c r="M336" s="35" t="s">
        <v>7045</v>
      </c>
      <c r="N336" s="30">
        <v>46388.0</v>
      </c>
      <c r="O336" s="30">
        <v>46752.0</v>
      </c>
      <c r="P336" s="36">
        <v>0.0</v>
      </c>
      <c r="Q336" s="36">
        <v>0.0</v>
      </c>
      <c r="R336" s="35" t="s">
        <v>7045</v>
      </c>
      <c r="S336" s="30">
        <v>46753.0</v>
      </c>
      <c r="T336" s="30">
        <v>47118.0</v>
      </c>
      <c r="U336" s="36">
        <v>0.0</v>
      </c>
      <c r="V336" s="36">
        <v>0.0</v>
      </c>
      <c r="W336" s="35" t="s">
        <v>7045</v>
      </c>
      <c r="X336" s="30">
        <v>47119.0</v>
      </c>
      <c r="Y336" s="30">
        <v>47483.0</v>
      </c>
      <c r="Z336" s="36">
        <v>0.0</v>
      </c>
      <c r="AA336" s="36">
        <v>0.0</v>
      </c>
      <c r="AB336" s="35" t="s">
        <v>7045</v>
      </c>
      <c r="AC336" s="30">
        <v>47484.0</v>
      </c>
      <c r="AD336" s="30">
        <v>47848.0</v>
      </c>
      <c r="AE336" s="36">
        <v>0.0</v>
      </c>
      <c r="AF336" s="36">
        <v>0.0</v>
      </c>
      <c r="AG336" s="35" t="s">
        <v>7045</v>
      </c>
      <c r="AH336" s="30">
        <v>45292.0</v>
      </c>
      <c r="AI336" s="30">
        <v>45657.0</v>
      </c>
      <c r="AJ336" s="36">
        <v>723.01</v>
      </c>
      <c r="AK336" s="36">
        <v>350.0</v>
      </c>
      <c r="AL336" s="38" t="s">
        <v>7047</v>
      </c>
      <c r="AM336" s="30">
        <v>44562.0</v>
      </c>
      <c r="AN336" s="30">
        <v>44926.0</v>
      </c>
      <c r="AO336" s="36">
        <v>1764.68</v>
      </c>
      <c r="AP336" s="36">
        <v>1399.99</v>
      </c>
      <c r="AQ336" s="38" t="s">
        <v>7047</v>
      </c>
      <c r="AR336" s="30">
        <v>44927.0</v>
      </c>
      <c r="AS336" s="30">
        <v>45291.0</v>
      </c>
      <c r="AT336" s="36">
        <v>276.76</v>
      </c>
      <c r="AU336" s="36">
        <v>1499.99</v>
      </c>
      <c r="AV336" s="32" t="s">
        <v>7043</v>
      </c>
    </row>
    <row r="337" ht="14.25" customHeight="1">
      <c r="A337" s="28" t="s">
        <v>5454</v>
      </c>
      <c r="B337" s="29" t="s">
        <v>5455</v>
      </c>
      <c r="C337" s="29" t="s">
        <v>7041</v>
      </c>
      <c r="D337" s="30">
        <v>45658.0</v>
      </c>
      <c r="E337" s="30">
        <v>46022.0</v>
      </c>
      <c r="F337" s="39">
        <v>5.69</v>
      </c>
      <c r="G337" s="39">
        <v>600.0</v>
      </c>
      <c r="H337" s="32" t="s">
        <v>7043</v>
      </c>
      <c r="I337" s="30">
        <v>46023.0</v>
      </c>
      <c r="J337" s="30">
        <v>46387.0</v>
      </c>
      <c r="K337" s="39">
        <v>0.0</v>
      </c>
      <c r="L337" s="39">
        <v>0.0</v>
      </c>
      <c r="M337" s="35" t="s">
        <v>7045</v>
      </c>
      <c r="N337" s="30">
        <v>46388.0</v>
      </c>
      <c r="O337" s="30">
        <v>46752.0</v>
      </c>
      <c r="P337" s="39">
        <v>0.0</v>
      </c>
      <c r="Q337" s="39">
        <v>0.0</v>
      </c>
      <c r="R337" s="35" t="s">
        <v>7045</v>
      </c>
      <c r="S337" s="30">
        <v>46753.0</v>
      </c>
      <c r="T337" s="30">
        <v>47118.0</v>
      </c>
      <c r="U337" s="39">
        <v>0.0</v>
      </c>
      <c r="V337" s="39">
        <v>0.0</v>
      </c>
      <c r="W337" s="35" t="s">
        <v>7045</v>
      </c>
      <c r="X337" s="30">
        <v>47119.0</v>
      </c>
      <c r="Y337" s="30">
        <v>47483.0</v>
      </c>
      <c r="Z337" s="39">
        <v>0.0</v>
      </c>
      <c r="AA337" s="39">
        <v>0.0</v>
      </c>
      <c r="AB337" s="35" t="s">
        <v>7045</v>
      </c>
      <c r="AC337" s="30">
        <v>47484.0</v>
      </c>
      <c r="AD337" s="30">
        <v>47848.0</v>
      </c>
      <c r="AE337" s="39">
        <v>0.0</v>
      </c>
      <c r="AF337" s="39">
        <v>0.0</v>
      </c>
      <c r="AG337" s="35" t="s">
        <v>7045</v>
      </c>
      <c r="AH337" s="30">
        <v>45292.0</v>
      </c>
      <c r="AI337" s="30">
        <v>45657.0</v>
      </c>
      <c r="AJ337" s="39">
        <v>287.96</v>
      </c>
      <c r="AK337" s="39">
        <v>590.0</v>
      </c>
      <c r="AL337" s="32" t="s">
        <v>7043</v>
      </c>
      <c r="AM337" s="30">
        <v>44562.0</v>
      </c>
      <c r="AN337" s="30">
        <v>44926.0</v>
      </c>
      <c r="AO337" s="39">
        <v>0.0</v>
      </c>
      <c r="AP337" s="39">
        <v>0.0</v>
      </c>
      <c r="AQ337" s="35" t="s">
        <v>7045</v>
      </c>
      <c r="AR337" s="30">
        <v>44927.0</v>
      </c>
      <c r="AS337" s="30">
        <v>45291.0</v>
      </c>
      <c r="AT337" s="39">
        <v>563.43</v>
      </c>
      <c r="AU337" s="39">
        <v>150.0</v>
      </c>
      <c r="AV337" s="38" t="s">
        <v>7047</v>
      </c>
    </row>
    <row r="338" ht="14.25" customHeight="1">
      <c r="A338" s="28" t="s">
        <v>5504</v>
      </c>
      <c r="B338" s="29" t="s">
        <v>5505</v>
      </c>
      <c r="C338" s="29" t="s">
        <v>7041</v>
      </c>
      <c r="D338" s="30">
        <v>45658.0</v>
      </c>
      <c r="E338" s="30">
        <v>46022.0</v>
      </c>
      <c r="F338" s="36">
        <v>151.49</v>
      </c>
      <c r="G338" s="36">
        <v>450.0</v>
      </c>
      <c r="H338" s="37" t="s">
        <v>7046</v>
      </c>
      <c r="I338" s="30">
        <v>46023.0</v>
      </c>
      <c r="J338" s="30">
        <v>46387.0</v>
      </c>
      <c r="K338" s="36">
        <v>0.0</v>
      </c>
      <c r="L338" s="36">
        <v>0.0</v>
      </c>
      <c r="M338" s="35" t="s">
        <v>7045</v>
      </c>
      <c r="N338" s="30">
        <v>46388.0</v>
      </c>
      <c r="O338" s="30">
        <v>46752.0</v>
      </c>
      <c r="P338" s="36">
        <v>0.0</v>
      </c>
      <c r="Q338" s="36">
        <v>0.0</v>
      </c>
      <c r="R338" s="35" t="s">
        <v>7045</v>
      </c>
      <c r="S338" s="30">
        <v>46753.0</v>
      </c>
      <c r="T338" s="30">
        <v>47118.0</v>
      </c>
      <c r="U338" s="36">
        <v>0.0</v>
      </c>
      <c r="V338" s="36">
        <v>0.0</v>
      </c>
      <c r="W338" s="35" t="s">
        <v>7045</v>
      </c>
      <c r="X338" s="30">
        <v>47119.0</v>
      </c>
      <c r="Y338" s="30">
        <v>47483.0</v>
      </c>
      <c r="Z338" s="36">
        <v>0.0</v>
      </c>
      <c r="AA338" s="36">
        <v>0.0</v>
      </c>
      <c r="AB338" s="35" t="s">
        <v>7045</v>
      </c>
      <c r="AC338" s="30">
        <v>47484.0</v>
      </c>
      <c r="AD338" s="30">
        <v>47848.0</v>
      </c>
      <c r="AE338" s="36">
        <v>0.0</v>
      </c>
      <c r="AF338" s="36">
        <v>0.0</v>
      </c>
      <c r="AG338" s="35" t="s">
        <v>7045</v>
      </c>
      <c r="AH338" s="30">
        <v>45292.0</v>
      </c>
      <c r="AI338" s="30">
        <v>45657.0</v>
      </c>
      <c r="AJ338" s="36">
        <v>290.83</v>
      </c>
      <c r="AK338" s="36">
        <v>599.99</v>
      </c>
      <c r="AL338" s="32" t="s">
        <v>7043</v>
      </c>
      <c r="AM338" s="30">
        <v>44562.0</v>
      </c>
      <c r="AN338" s="30">
        <v>44926.0</v>
      </c>
      <c r="AO338" s="36">
        <v>626.79</v>
      </c>
      <c r="AP338" s="36">
        <v>0.0</v>
      </c>
      <c r="AQ338" s="38" t="s">
        <v>7047</v>
      </c>
      <c r="AR338" s="30">
        <v>44927.0</v>
      </c>
      <c r="AS338" s="30">
        <v>45291.0</v>
      </c>
      <c r="AT338" s="36">
        <v>596.36</v>
      </c>
      <c r="AU338" s="36">
        <v>599.99</v>
      </c>
      <c r="AV338" s="37" t="s">
        <v>7046</v>
      </c>
    </row>
    <row r="339" ht="14.25" customHeight="1">
      <c r="A339" s="28" t="s">
        <v>5569</v>
      </c>
      <c r="B339" s="29" t="s">
        <v>5570</v>
      </c>
      <c r="C339" s="29" t="s">
        <v>7041</v>
      </c>
      <c r="D339" s="30">
        <v>45658.0</v>
      </c>
      <c r="E339" s="30">
        <v>46022.0</v>
      </c>
      <c r="F339" s="39">
        <v>135.37</v>
      </c>
      <c r="G339" s="39">
        <v>575.0</v>
      </c>
      <c r="H339" s="37" t="s">
        <v>7043</v>
      </c>
      <c r="I339" s="30">
        <v>46023.0</v>
      </c>
      <c r="J339" s="30">
        <v>46387.0</v>
      </c>
      <c r="K339" s="39">
        <v>0.0</v>
      </c>
      <c r="L339" s="39">
        <v>0.0</v>
      </c>
      <c r="M339" s="35" t="s">
        <v>7045</v>
      </c>
      <c r="N339" s="30">
        <v>46388.0</v>
      </c>
      <c r="O339" s="30">
        <v>46752.0</v>
      </c>
      <c r="P339" s="39">
        <v>0.0</v>
      </c>
      <c r="Q339" s="39">
        <v>0.0</v>
      </c>
      <c r="R339" s="35" t="s">
        <v>7045</v>
      </c>
      <c r="S339" s="30">
        <v>46753.0</v>
      </c>
      <c r="T339" s="30">
        <v>47118.0</v>
      </c>
      <c r="U339" s="39">
        <v>0.0</v>
      </c>
      <c r="V339" s="39">
        <v>0.0</v>
      </c>
      <c r="W339" s="35" t="s">
        <v>7045</v>
      </c>
      <c r="X339" s="30">
        <v>47119.0</v>
      </c>
      <c r="Y339" s="30">
        <v>47483.0</v>
      </c>
      <c r="Z339" s="39">
        <v>0.0</v>
      </c>
      <c r="AA339" s="39">
        <v>0.0</v>
      </c>
      <c r="AB339" s="35" t="s">
        <v>7045</v>
      </c>
      <c r="AC339" s="30">
        <v>47484.0</v>
      </c>
      <c r="AD339" s="30">
        <v>47848.0</v>
      </c>
      <c r="AE339" s="39">
        <v>0.0</v>
      </c>
      <c r="AF339" s="39">
        <v>0.0</v>
      </c>
      <c r="AG339" s="35" t="s">
        <v>7045</v>
      </c>
      <c r="AH339" s="30">
        <v>45292.0</v>
      </c>
      <c r="AI339" s="30">
        <v>45657.0</v>
      </c>
      <c r="AJ339" s="39">
        <v>248.88</v>
      </c>
      <c r="AK339" s="39">
        <v>575.0</v>
      </c>
      <c r="AL339" s="32" t="s">
        <v>7043</v>
      </c>
      <c r="AM339" s="30">
        <v>44562.0</v>
      </c>
      <c r="AN339" s="30">
        <v>44926.0</v>
      </c>
      <c r="AO339" s="39">
        <v>389.6</v>
      </c>
      <c r="AP339" s="39">
        <v>368.0</v>
      </c>
      <c r="AQ339" s="38" t="s">
        <v>7047</v>
      </c>
      <c r="AR339" s="30">
        <v>44927.0</v>
      </c>
      <c r="AS339" s="30">
        <v>45291.0</v>
      </c>
      <c r="AT339" s="39">
        <v>483.23</v>
      </c>
      <c r="AU339" s="39">
        <v>450.0</v>
      </c>
      <c r="AV339" s="38" t="s">
        <v>7047</v>
      </c>
    </row>
    <row r="340" ht="14.25" customHeight="1">
      <c r="A340" s="28" t="s">
        <v>5616</v>
      </c>
      <c r="B340" s="29" t="s">
        <v>5617</v>
      </c>
      <c r="C340" s="29" t="s">
        <v>7041</v>
      </c>
      <c r="D340" s="30">
        <v>45658.0</v>
      </c>
      <c r="E340" s="30">
        <v>46022.0</v>
      </c>
      <c r="F340" s="39">
        <v>292.17</v>
      </c>
      <c r="G340" s="39">
        <v>500.0</v>
      </c>
      <c r="H340" s="38" t="s">
        <v>7047</v>
      </c>
      <c r="I340" s="30">
        <v>46023.0</v>
      </c>
      <c r="J340" s="30">
        <v>46387.0</v>
      </c>
      <c r="K340" s="39">
        <v>0.0</v>
      </c>
      <c r="L340" s="39">
        <v>0.0</v>
      </c>
      <c r="M340" s="35" t="s">
        <v>7045</v>
      </c>
      <c r="N340" s="30">
        <v>46388.0</v>
      </c>
      <c r="O340" s="30">
        <v>46752.0</v>
      </c>
      <c r="P340" s="39">
        <v>0.0</v>
      </c>
      <c r="Q340" s="39">
        <v>0.0</v>
      </c>
      <c r="R340" s="35" t="s">
        <v>7045</v>
      </c>
      <c r="S340" s="30">
        <v>46753.0</v>
      </c>
      <c r="T340" s="30">
        <v>47118.0</v>
      </c>
      <c r="U340" s="39">
        <v>0.0</v>
      </c>
      <c r="V340" s="39">
        <v>0.0</v>
      </c>
      <c r="W340" s="35" t="s">
        <v>7045</v>
      </c>
      <c r="X340" s="30">
        <v>47119.0</v>
      </c>
      <c r="Y340" s="30">
        <v>47483.0</v>
      </c>
      <c r="Z340" s="39">
        <v>0.0</v>
      </c>
      <c r="AA340" s="39">
        <v>0.0</v>
      </c>
      <c r="AB340" s="35" t="s">
        <v>7045</v>
      </c>
      <c r="AC340" s="30">
        <v>47484.0</v>
      </c>
      <c r="AD340" s="30">
        <v>47848.0</v>
      </c>
      <c r="AE340" s="39">
        <v>0.0</v>
      </c>
      <c r="AF340" s="39">
        <v>0.0</v>
      </c>
      <c r="AG340" s="35" t="s">
        <v>7045</v>
      </c>
      <c r="AH340" s="30">
        <v>45292.0</v>
      </c>
      <c r="AI340" s="30">
        <v>45657.0</v>
      </c>
      <c r="AJ340" s="39">
        <v>218.2</v>
      </c>
      <c r="AK340" s="39">
        <v>510.0</v>
      </c>
      <c r="AL340" s="32" t="s">
        <v>7043</v>
      </c>
      <c r="AM340" s="30">
        <v>44562.0</v>
      </c>
      <c r="AN340" s="30">
        <v>44926.0</v>
      </c>
      <c r="AO340" s="39">
        <v>413.3</v>
      </c>
      <c r="AP340" s="39">
        <v>584.0</v>
      </c>
      <c r="AQ340" s="37" t="s">
        <v>7046</v>
      </c>
      <c r="AR340" s="30">
        <v>44927.0</v>
      </c>
      <c r="AS340" s="30">
        <v>45291.0</v>
      </c>
      <c r="AT340" s="39">
        <v>332.13</v>
      </c>
      <c r="AU340" s="39">
        <v>650.0</v>
      </c>
      <c r="AV340" s="37" t="s">
        <v>7046</v>
      </c>
    </row>
    <row r="341" ht="14.25" customHeight="1">
      <c r="A341" s="28" t="s">
        <v>1884</v>
      </c>
      <c r="B341" s="29" t="s">
        <v>1885</v>
      </c>
      <c r="C341" s="29" t="s">
        <v>7041</v>
      </c>
      <c r="D341" s="30">
        <v>45658.0</v>
      </c>
      <c r="E341" s="30">
        <v>46022.0</v>
      </c>
      <c r="F341" s="36">
        <v>9.87</v>
      </c>
      <c r="G341" s="36">
        <v>1519.99</v>
      </c>
      <c r="H341" s="32" t="s">
        <v>7043</v>
      </c>
      <c r="I341" s="30">
        <v>46023.0</v>
      </c>
      <c r="J341" s="30">
        <v>46387.0</v>
      </c>
      <c r="K341" s="36">
        <v>0.0</v>
      </c>
      <c r="L341" s="36">
        <v>0.0</v>
      </c>
      <c r="M341" s="35" t="s">
        <v>7045</v>
      </c>
      <c r="N341" s="30">
        <v>46388.0</v>
      </c>
      <c r="O341" s="30">
        <v>46752.0</v>
      </c>
      <c r="P341" s="36">
        <v>0.0</v>
      </c>
      <c r="Q341" s="36">
        <v>0.0</v>
      </c>
      <c r="R341" s="35" t="s">
        <v>7045</v>
      </c>
      <c r="S341" s="30">
        <v>46753.0</v>
      </c>
      <c r="T341" s="30">
        <v>47118.0</v>
      </c>
      <c r="U341" s="36">
        <v>0.0</v>
      </c>
      <c r="V341" s="36">
        <v>0.0</v>
      </c>
      <c r="W341" s="35" t="s">
        <v>7045</v>
      </c>
      <c r="X341" s="30">
        <v>47119.0</v>
      </c>
      <c r="Y341" s="30">
        <v>47483.0</v>
      </c>
      <c r="Z341" s="36">
        <v>0.0</v>
      </c>
      <c r="AA341" s="36">
        <v>0.0</v>
      </c>
      <c r="AB341" s="35" t="s">
        <v>7045</v>
      </c>
      <c r="AC341" s="30">
        <v>47484.0</v>
      </c>
      <c r="AD341" s="30">
        <v>47848.0</v>
      </c>
      <c r="AE341" s="36">
        <v>0.0</v>
      </c>
      <c r="AF341" s="36">
        <v>0.0</v>
      </c>
      <c r="AG341" s="35" t="s">
        <v>7045</v>
      </c>
      <c r="AH341" s="30">
        <v>45292.0</v>
      </c>
      <c r="AI341" s="30">
        <v>45657.0</v>
      </c>
      <c r="AJ341" s="36">
        <v>514.8</v>
      </c>
      <c r="AK341" s="36">
        <v>0.0</v>
      </c>
      <c r="AL341" s="38" t="s">
        <v>7047</v>
      </c>
      <c r="AM341" s="30">
        <v>44562.0</v>
      </c>
      <c r="AN341" s="30">
        <v>44926.0</v>
      </c>
      <c r="AO341" s="36">
        <v>1492.89</v>
      </c>
      <c r="AP341" s="36">
        <v>458.0</v>
      </c>
      <c r="AQ341" s="38" t="s">
        <v>7047</v>
      </c>
      <c r="AR341" s="30">
        <v>44927.0</v>
      </c>
      <c r="AS341" s="30">
        <v>45291.0</v>
      </c>
      <c r="AT341" s="36">
        <v>508.3</v>
      </c>
      <c r="AU341" s="36">
        <v>1499.99</v>
      </c>
      <c r="AV341" s="32" t="s">
        <v>7043</v>
      </c>
    </row>
    <row r="342" ht="14.25" customHeight="1">
      <c r="A342" s="28" t="s">
        <v>5729</v>
      </c>
      <c r="B342" s="29" t="s">
        <v>5730</v>
      </c>
      <c r="C342" s="29" t="s">
        <v>7041</v>
      </c>
      <c r="D342" s="30">
        <v>45658.0</v>
      </c>
      <c r="E342" s="30">
        <v>46022.0</v>
      </c>
      <c r="F342" s="39">
        <v>91.02</v>
      </c>
      <c r="G342" s="39">
        <v>290.0</v>
      </c>
      <c r="H342" s="37" t="s">
        <v>7046</v>
      </c>
      <c r="I342" s="30">
        <v>46023.0</v>
      </c>
      <c r="J342" s="30">
        <v>46387.0</v>
      </c>
      <c r="K342" s="39">
        <v>0.0</v>
      </c>
      <c r="L342" s="39">
        <v>0.0</v>
      </c>
      <c r="M342" s="35" t="s">
        <v>7045</v>
      </c>
      <c r="N342" s="30">
        <v>46388.0</v>
      </c>
      <c r="O342" s="30">
        <v>46752.0</v>
      </c>
      <c r="P342" s="39">
        <v>0.0</v>
      </c>
      <c r="Q342" s="39">
        <v>0.0</v>
      </c>
      <c r="R342" s="35" t="s">
        <v>7045</v>
      </c>
      <c r="S342" s="30">
        <v>46753.0</v>
      </c>
      <c r="T342" s="30">
        <v>47118.0</v>
      </c>
      <c r="U342" s="39">
        <v>0.0</v>
      </c>
      <c r="V342" s="39">
        <v>0.0</v>
      </c>
      <c r="W342" s="35" t="s">
        <v>7045</v>
      </c>
      <c r="X342" s="30">
        <v>47119.0</v>
      </c>
      <c r="Y342" s="30">
        <v>47483.0</v>
      </c>
      <c r="Z342" s="39">
        <v>0.0</v>
      </c>
      <c r="AA342" s="39">
        <v>0.0</v>
      </c>
      <c r="AB342" s="35" t="s">
        <v>7045</v>
      </c>
      <c r="AC342" s="30">
        <v>47484.0</v>
      </c>
      <c r="AD342" s="30">
        <v>47848.0</v>
      </c>
      <c r="AE342" s="39">
        <v>0.0</v>
      </c>
      <c r="AF342" s="39">
        <v>0.0</v>
      </c>
      <c r="AG342" s="35" t="s">
        <v>7045</v>
      </c>
      <c r="AH342" s="30">
        <v>45292.0</v>
      </c>
      <c r="AI342" s="30">
        <v>45657.0</v>
      </c>
      <c r="AJ342" s="39">
        <v>270.61</v>
      </c>
      <c r="AK342" s="39">
        <v>250.0</v>
      </c>
      <c r="AL342" s="38" t="s">
        <v>7047</v>
      </c>
      <c r="AM342" s="30">
        <v>44562.0</v>
      </c>
      <c r="AN342" s="30">
        <v>44926.0</v>
      </c>
      <c r="AO342" s="39">
        <v>388.6</v>
      </c>
      <c r="AP342" s="39">
        <v>0.0</v>
      </c>
      <c r="AQ342" s="38" t="s">
        <v>7047</v>
      </c>
      <c r="AR342" s="30">
        <v>44927.0</v>
      </c>
      <c r="AS342" s="30">
        <v>45291.0</v>
      </c>
      <c r="AT342" s="39">
        <v>171.18</v>
      </c>
      <c r="AU342" s="39">
        <v>250.0</v>
      </c>
      <c r="AV342" s="37" t="s">
        <v>7046</v>
      </c>
    </row>
    <row r="343" ht="14.25" customHeight="1">
      <c r="A343" s="28" t="s">
        <v>5767</v>
      </c>
      <c r="B343" s="29" t="s">
        <v>5768</v>
      </c>
      <c r="C343" s="29" t="s">
        <v>7041</v>
      </c>
      <c r="D343" s="30">
        <v>45658.0</v>
      </c>
      <c r="E343" s="30">
        <v>46022.0</v>
      </c>
      <c r="F343" s="39">
        <v>193.09</v>
      </c>
      <c r="G343" s="39">
        <v>450.0</v>
      </c>
      <c r="H343" s="37" t="s">
        <v>7046</v>
      </c>
      <c r="I343" s="30">
        <v>46023.0</v>
      </c>
      <c r="J343" s="30">
        <v>46387.0</v>
      </c>
      <c r="K343" s="39">
        <v>0.0</v>
      </c>
      <c r="L343" s="39">
        <v>0.0</v>
      </c>
      <c r="M343" s="35" t="s">
        <v>7045</v>
      </c>
      <c r="N343" s="30">
        <v>46388.0</v>
      </c>
      <c r="O343" s="30">
        <v>46752.0</v>
      </c>
      <c r="P343" s="39">
        <v>0.0</v>
      </c>
      <c r="Q343" s="39">
        <v>0.0</v>
      </c>
      <c r="R343" s="35" t="s">
        <v>7045</v>
      </c>
      <c r="S343" s="30">
        <v>46753.0</v>
      </c>
      <c r="T343" s="30">
        <v>47118.0</v>
      </c>
      <c r="U343" s="39">
        <v>0.0</v>
      </c>
      <c r="V343" s="39">
        <v>0.0</v>
      </c>
      <c r="W343" s="35" t="s">
        <v>7045</v>
      </c>
      <c r="X343" s="30">
        <v>47119.0</v>
      </c>
      <c r="Y343" s="30">
        <v>47483.0</v>
      </c>
      <c r="Z343" s="39">
        <v>0.0</v>
      </c>
      <c r="AA343" s="39">
        <v>0.0</v>
      </c>
      <c r="AB343" s="35" t="s">
        <v>7045</v>
      </c>
      <c r="AC343" s="30">
        <v>47484.0</v>
      </c>
      <c r="AD343" s="30">
        <v>47848.0</v>
      </c>
      <c r="AE343" s="39">
        <v>0.0</v>
      </c>
      <c r="AF343" s="39">
        <v>0.0</v>
      </c>
      <c r="AG343" s="35" t="s">
        <v>7045</v>
      </c>
      <c r="AH343" s="30">
        <v>45292.0</v>
      </c>
      <c r="AI343" s="30">
        <v>45657.0</v>
      </c>
      <c r="AJ343" s="39">
        <v>300.96</v>
      </c>
      <c r="AK343" s="39">
        <v>500.0</v>
      </c>
      <c r="AL343" s="37" t="s">
        <v>7046</v>
      </c>
      <c r="AM343" s="30">
        <v>44562.0</v>
      </c>
      <c r="AN343" s="30">
        <v>44926.0</v>
      </c>
      <c r="AO343" s="39">
        <v>381.1</v>
      </c>
      <c r="AP343" s="39">
        <v>400.0</v>
      </c>
      <c r="AQ343" s="37" t="s">
        <v>7046</v>
      </c>
      <c r="AR343" s="30">
        <v>44927.0</v>
      </c>
      <c r="AS343" s="30">
        <v>45291.0</v>
      </c>
      <c r="AT343" s="39">
        <v>231.82</v>
      </c>
      <c r="AU343" s="39">
        <v>450.0</v>
      </c>
      <c r="AV343" s="37" t="s">
        <v>7046</v>
      </c>
    </row>
    <row r="344" ht="14.25" customHeight="1">
      <c r="A344" s="28" t="s">
        <v>5783</v>
      </c>
      <c r="B344" s="29" t="s">
        <v>5784</v>
      </c>
      <c r="C344" s="29" t="s">
        <v>7041</v>
      </c>
      <c r="D344" s="30">
        <v>45658.0</v>
      </c>
      <c r="E344" s="30">
        <v>46022.0</v>
      </c>
      <c r="F344" s="36">
        <v>432.5</v>
      </c>
      <c r="G344" s="36">
        <v>699.99</v>
      </c>
      <c r="H344" s="38" t="s">
        <v>7047</v>
      </c>
      <c r="I344" s="30">
        <v>46023.0</v>
      </c>
      <c r="J344" s="30">
        <v>46387.0</v>
      </c>
      <c r="K344" s="36">
        <v>0.0</v>
      </c>
      <c r="L344" s="36">
        <v>0.0</v>
      </c>
      <c r="M344" s="35" t="s">
        <v>7045</v>
      </c>
      <c r="N344" s="30">
        <v>46388.0</v>
      </c>
      <c r="O344" s="30">
        <v>46752.0</v>
      </c>
      <c r="P344" s="36">
        <v>0.0</v>
      </c>
      <c r="Q344" s="36">
        <v>0.0</v>
      </c>
      <c r="R344" s="35" t="s">
        <v>7045</v>
      </c>
      <c r="S344" s="30">
        <v>46753.0</v>
      </c>
      <c r="T344" s="30">
        <v>47118.0</v>
      </c>
      <c r="U344" s="36">
        <v>0.0</v>
      </c>
      <c r="V344" s="36">
        <v>0.0</v>
      </c>
      <c r="W344" s="35" t="s">
        <v>7045</v>
      </c>
      <c r="X344" s="30">
        <v>47119.0</v>
      </c>
      <c r="Y344" s="30">
        <v>47483.0</v>
      </c>
      <c r="Z344" s="36">
        <v>0.0</v>
      </c>
      <c r="AA344" s="36">
        <v>0.0</v>
      </c>
      <c r="AB344" s="35" t="s">
        <v>7045</v>
      </c>
      <c r="AC344" s="30">
        <v>47484.0</v>
      </c>
      <c r="AD344" s="30">
        <v>47848.0</v>
      </c>
      <c r="AE344" s="36">
        <v>0.0</v>
      </c>
      <c r="AF344" s="36">
        <v>0.0</v>
      </c>
      <c r="AG344" s="35" t="s">
        <v>7045</v>
      </c>
      <c r="AH344" s="30">
        <v>45292.0</v>
      </c>
      <c r="AI344" s="30">
        <v>45657.0</v>
      </c>
      <c r="AJ344" s="36">
        <v>326.82</v>
      </c>
      <c r="AK344" s="36">
        <v>649.99</v>
      </c>
      <c r="AL344" s="37" t="s">
        <v>7046</v>
      </c>
      <c r="AM344" s="30">
        <v>44562.0</v>
      </c>
      <c r="AN344" s="30">
        <v>44926.0</v>
      </c>
      <c r="AO344" s="36">
        <v>256.7</v>
      </c>
      <c r="AP344" s="36">
        <v>250.0</v>
      </c>
      <c r="AQ344" s="38" t="s">
        <v>7047</v>
      </c>
      <c r="AR344" s="30">
        <v>44927.0</v>
      </c>
      <c r="AS344" s="30">
        <v>45291.0</v>
      </c>
      <c r="AT344" s="36">
        <v>595.87</v>
      </c>
      <c r="AU344" s="36">
        <v>500.0</v>
      </c>
      <c r="AV344" s="38" t="s">
        <v>7047</v>
      </c>
    </row>
    <row r="345" ht="14.25" customHeight="1">
      <c r="A345" s="28" t="s">
        <v>5802</v>
      </c>
      <c r="B345" s="29" t="s">
        <v>5803</v>
      </c>
      <c r="C345" s="29" t="s">
        <v>7041</v>
      </c>
      <c r="D345" s="30">
        <v>45658.0</v>
      </c>
      <c r="E345" s="30">
        <v>46022.0</v>
      </c>
      <c r="F345" s="39">
        <v>110.87</v>
      </c>
      <c r="G345" s="39">
        <v>248.0</v>
      </c>
      <c r="H345" s="32" t="s">
        <v>7046</v>
      </c>
      <c r="I345" s="30">
        <v>46023.0</v>
      </c>
      <c r="J345" s="30">
        <v>46387.0</v>
      </c>
      <c r="K345" s="39">
        <v>0.0</v>
      </c>
      <c r="L345" s="39">
        <v>0.0</v>
      </c>
      <c r="M345" s="35" t="s">
        <v>7045</v>
      </c>
      <c r="N345" s="30">
        <v>46388.0</v>
      </c>
      <c r="O345" s="30">
        <v>46752.0</v>
      </c>
      <c r="P345" s="39">
        <v>0.0</v>
      </c>
      <c r="Q345" s="39">
        <v>0.0</v>
      </c>
      <c r="R345" s="35" t="s">
        <v>7045</v>
      </c>
      <c r="S345" s="30">
        <v>46753.0</v>
      </c>
      <c r="T345" s="30">
        <v>47118.0</v>
      </c>
      <c r="U345" s="39">
        <v>0.0</v>
      </c>
      <c r="V345" s="39">
        <v>0.0</v>
      </c>
      <c r="W345" s="35" t="s">
        <v>7045</v>
      </c>
      <c r="X345" s="30">
        <v>47119.0</v>
      </c>
      <c r="Y345" s="30">
        <v>47483.0</v>
      </c>
      <c r="Z345" s="39">
        <v>0.0</v>
      </c>
      <c r="AA345" s="39">
        <v>0.0</v>
      </c>
      <c r="AB345" s="35" t="s">
        <v>7045</v>
      </c>
      <c r="AC345" s="30">
        <v>47484.0</v>
      </c>
      <c r="AD345" s="30">
        <v>47848.0</v>
      </c>
      <c r="AE345" s="39">
        <v>0.0</v>
      </c>
      <c r="AF345" s="39">
        <v>0.0</v>
      </c>
      <c r="AG345" s="35" t="s">
        <v>7045</v>
      </c>
      <c r="AH345" s="30">
        <v>45292.0</v>
      </c>
      <c r="AI345" s="30">
        <v>45657.0</v>
      </c>
      <c r="AJ345" s="39">
        <v>215.46</v>
      </c>
      <c r="AK345" s="39">
        <v>315.0</v>
      </c>
      <c r="AL345" s="37" t="s">
        <v>7046</v>
      </c>
      <c r="AM345" s="30">
        <v>44562.0</v>
      </c>
      <c r="AN345" s="30">
        <v>44926.0</v>
      </c>
      <c r="AO345" s="39">
        <v>287.4</v>
      </c>
      <c r="AP345" s="39">
        <v>500.0</v>
      </c>
      <c r="AQ345" s="37" t="s">
        <v>7046</v>
      </c>
      <c r="AR345" s="30">
        <v>44927.0</v>
      </c>
      <c r="AS345" s="30">
        <v>45291.0</v>
      </c>
      <c r="AT345" s="39">
        <v>283.8</v>
      </c>
      <c r="AU345" s="39">
        <v>335.0</v>
      </c>
      <c r="AV345" s="37" t="s">
        <v>7046</v>
      </c>
    </row>
    <row r="346" ht="14.25" customHeight="1">
      <c r="A346" s="28" t="s">
        <v>5813</v>
      </c>
      <c r="B346" s="29" t="s">
        <v>5814</v>
      </c>
      <c r="C346" s="29" t="s">
        <v>7041</v>
      </c>
      <c r="D346" s="30">
        <v>45658.0</v>
      </c>
      <c r="E346" s="30">
        <v>46022.0</v>
      </c>
      <c r="F346" s="39">
        <v>0.0</v>
      </c>
      <c r="G346" s="39">
        <v>0.0</v>
      </c>
      <c r="H346" s="35" t="s">
        <v>7045</v>
      </c>
      <c r="I346" s="30">
        <v>46023.0</v>
      </c>
      <c r="J346" s="30">
        <v>46387.0</v>
      </c>
      <c r="K346" s="39">
        <v>0.0</v>
      </c>
      <c r="L346" s="39">
        <v>0.0</v>
      </c>
      <c r="M346" s="35" t="s">
        <v>7045</v>
      </c>
      <c r="N346" s="30">
        <v>46388.0</v>
      </c>
      <c r="O346" s="30">
        <v>46752.0</v>
      </c>
      <c r="P346" s="39">
        <v>0.0</v>
      </c>
      <c r="Q346" s="39">
        <v>0.0</v>
      </c>
      <c r="R346" s="35" t="s">
        <v>7045</v>
      </c>
      <c r="S346" s="30">
        <v>46753.0</v>
      </c>
      <c r="T346" s="30">
        <v>47118.0</v>
      </c>
      <c r="U346" s="39">
        <v>0.0</v>
      </c>
      <c r="V346" s="39">
        <v>0.0</v>
      </c>
      <c r="W346" s="35" t="s">
        <v>7045</v>
      </c>
      <c r="X346" s="30">
        <v>47119.0</v>
      </c>
      <c r="Y346" s="30">
        <v>47483.0</v>
      </c>
      <c r="Z346" s="39">
        <v>0.0</v>
      </c>
      <c r="AA346" s="39">
        <v>0.0</v>
      </c>
      <c r="AB346" s="35" t="s">
        <v>7045</v>
      </c>
      <c r="AC346" s="30">
        <v>47484.0</v>
      </c>
      <c r="AD346" s="30">
        <v>47848.0</v>
      </c>
      <c r="AE346" s="39">
        <v>0.0</v>
      </c>
      <c r="AF346" s="39">
        <v>0.0</v>
      </c>
      <c r="AG346" s="35" t="s">
        <v>7045</v>
      </c>
      <c r="AH346" s="30">
        <v>45292.0</v>
      </c>
      <c r="AI346" s="30">
        <v>45657.0</v>
      </c>
      <c r="AJ346" s="39">
        <v>521.17</v>
      </c>
      <c r="AK346" s="39">
        <v>550.0</v>
      </c>
      <c r="AL346" s="37" t="s">
        <v>7046</v>
      </c>
      <c r="AM346" s="30">
        <v>44562.0</v>
      </c>
      <c r="AN346" s="30">
        <v>44926.0</v>
      </c>
      <c r="AO346" s="39">
        <v>0.0</v>
      </c>
      <c r="AP346" s="39">
        <v>0.0</v>
      </c>
      <c r="AQ346" s="35" t="s">
        <v>7045</v>
      </c>
      <c r="AR346" s="30">
        <v>44927.0</v>
      </c>
      <c r="AS346" s="30">
        <v>45291.0</v>
      </c>
      <c r="AT346" s="39">
        <v>697.45</v>
      </c>
      <c r="AU346" s="39">
        <v>537.0</v>
      </c>
      <c r="AV346" s="38" t="s">
        <v>7047</v>
      </c>
    </row>
    <row r="347" ht="14.25" customHeight="1">
      <c r="A347" s="28" t="s">
        <v>5838</v>
      </c>
      <c r="B347" s="29" t="s">
        <v>5839</v>
      </c>
      <c r="C347" s="29" t="s">
        <v>7041</v>
      </c>
      <c r="D347" s="30">
        <v>45658.0</v>
      </c>
      <c r="E347" s="30">
        <v>46022.0</v>
      </c>
      <c r="F347" s="39">
        <v>151.14</v>
      </c>
      <c r="G347" s="39">
        <v>420.0</v>
      </c>
      <c r="H347" s="37" t="s">
        <v>7046</v>
      </c>
      <c r="I347" s="30">
        <v>46023.0</v>
      </c>
      <c r="J347" s="30">
        <v>46387.0</v>
      </c>
      <c r="K347" s="39">
        <v>0.0</v>
      </c>
      <c r="L347" s="39">
        <v>0.0</v>
      </c>
      <c r="M347" s="35" t="s">
        <v>7045</v>
      </c>
      <c r="N347" s="30">
        <v>46388.0</v>
      </c>
      <c r="O347" s="30">
        <v>46752.0</v>
      </c>
      <c r="P347" s="39">
        <v>0.0</v>
      </c>
      <c r="Q347" s="39">
        <v>0.0</v>
      </c>
      <c r="R347" s="35" t="s">
        <v>7045</v>
      </c>
      <c r="S347" s="30">
        <v>46753.0</v>
      </c>
      <c r="T347" s="30">
        <v>47118.0</v>
      </c>
      <c r="U347" s="39">
        <v>0.0</v>
      </c>
      <c r="V347" s="39">
        <v>0.0</v>
      </c>
      <c r="W347" s="35" t="s">
        <v>7045</v>
      </c>
      <c r="X347" s="30">
        <v>47119.0</v>
      </c>
      <c r="Y347" s="30">
        <v>47483.0</v>
      </c>
      <c r="Z347" s="39">
        <v>0.0</v>
      </c>
      <c r="AA347" s="39">
        <v>0.0</v>
      </c>
      <c r="AB347" s="35" t="s">
        <v>7045</v>
      </c>
      <c r="AC347" s="30">
        <v>47484.0</v>
      </c>
      <c r="AD347" s="30">
        <v>47848.0</v>
      </c>
      <c r="AE347" s="39">
        <v>0.0</v>
      </c>
      <c r="AF347" s="39">
        <v>0.0</v>
      </c>
      <c r="AG347" s="35" t="s">
        <v>7045</v>
      </c>
      <c r="AH347" s="30">
        <v>45292.0</v>
      </c>
      <c r="AI347" s="30">
        <v>45657.0</v>
      </c>
      <c r="AJ347" s="39">
        <v>371.21</v>
      </c>
      <c r="AK347" s="39">
        <v>720.0</v>
      </c>
      <c r="AL347" s="37" t="s">
        <v>7046</v>
      </c>
      <c r="AM347" s="30">
        <v>44562.0</v>
      </c>
      <c r="AN347" s="30">
        <v>44926.0</v>
      </c>
      <c r="AO347" s="39">
        <v>10.4</v>
      </c>
      <c r="AP347" s="39">
        <v>0.0</v>
      </c>
      <c r="AQ347" s="38" t="s">
        <v>7047</v>
      </c>
      <c r="AR347" s="30">
        <v>44927.0</v>
      </c>
      <c r="AS347" s="30">
        <v>45291.0</v>
      </c>
      <c r="AT347" s="39">
        <v>90.92</v>
      </c>
      <c r="AU347" s="39">
        <v>20.0</v>
      </c>
      <c r="AV347" s="38" t="s">
        <v>7047</v>
      </c>
    </row>
    <row r="348" ht="14.25" customHeight="1">
      <c r="A348" s="28" t="s">
        <v>5880</v>
      </c>
      <c r="B348" s="29" t="s">
        <v>5881</v>
      </c>
      <c r="C348" s="29" t="s">
        <v>7041</v>
      </c>
      <c r="D348" s="30">
        <v>45658.0</v>
      </c>
      <c r="E348" s="30">
        <v>46022.0</v>
      </c>
      <c r="F348" s="39">
        <v>204.54</v>
      </c>
      <c r="G348" s="39">
        <v>401.0</v>
      </c>
      <c r="H348" s="32" t="s">
        <v>7046</v>
      </c>
      <c r="I348" s="30">
        <v>46023.0</v>
      </c>
      <c r="J348" s="30">
        <v>46387.0</v>
      </c>
      <c r="K348" s="39">
        <v>0.0</v>
      </c>
      <c r="L348" s="39">
        <v>0.0</v>
      </c>
      <c r="M348" s="35" t="s">
        <v>7045</v>
      </c>
      <c r="N348" s="30">
        <v>46388.0</v>
      </c>
      <c r="O348" s="30">
        <v>46752.0</v>
      </c>
      <c r="P348" s="39">
        <v>0.0</v>
      </c>
      <c r="Q348" s="39">
        <v>0.0</v>
      </c>
      <c r="R348" s="35" t="s">
        <v>7045</v>
      </c>
      <c r="S348" s="30">
        <v>46753.0</v>
      </c>
      <c r="T348" s="30">
        <v>47118.0</v>
      </c>
      <c r="U348" s="39">
        <v>0.0</v>
      </c>
      <c r="V348" s="39">
        <v>0.0</v>
      </c>
      <c r="W348" s="35" t="s">
        <v>7045</v>
      </c>
      <c r="X348" s="30">
        <v>47119.0</v>
      </c>
      <c r="Y348" s="30">
        <v>47483.0</v>
      </c>
      <c r="Z348" s="39">
        <v>0.0</v>
      </c>
      <c r="AA348" s="39">
        <v>0.0</v>
      </c>
      <c r="AB348" s="35" t="s">
        <v>7045</v>
      </c>
      <c r="AC348" s="30">
        <v>47484.0</v>
      </c>
      <c r="AD348" s="30">
        <v>47848.0</v>
      </c>
      <c r="AE348" s="39">
        <v>0.0</v>
      </c>
      <c r="AF348" s="39">
        <v>0.0</v>
      </c>
      <c r="AG348" s="35" t="s">
        <v>7045</v>
      </c>
      <c r="AH348" s="30">
        <v>45292.0</v>
      </c>
      <c r="AI348" s="30">
        <v>45657.0</v>
      </c>
      <c r="AJ348" s="39">
        <v>349.15</v>
      </c>
      <c r="AK348" s="39">
        <v>351.3</v>
      </c>
      <c r="AL348" s="37" t="s">
        <v>7046</v>
      </c>
      <c r="AM348" s="30">
        <v>44562.0</v>
      </c>
      <c r="AN348" s="30">
        <v>44926.0</v>
      </c>
      <c r="AO348" s="39">
        <v>284.8</v>
      </c>
      <c r="AP348" s="39">
        <v>503.1</v>
      </c>
      <c r="AQ348" s="37" t="s">
        <v>7046</v>
      </c>
      <c r="AR348" s="30">
        <v>44927.0</v>
      </c>
      <c r="AS348" s="30">
        <v>45291.0</v>
      </c>
      <c r="AT348" s="39">
        <v>319.18</v>
      </c>
      <c r="AU348" s="39">
        <v>298.1</v>
      </c>
      <c r="AV348" s="38" t="s">
        <v>7047</v>
      </c>
    </row>
    <row r="349" ht="14.25" customHeight="1">
      <c r="A349" s="28" t="s">
        <v>5893</v>
      </c>
      <c r="B349" s="29" t="s">
        <v>5894</v>
      </c>
      <c r="C349" s="29" t="s">
        <v>7041</v>
      </c>
      <c r="D349" s="30">
        <v>45658.0</v>
      </c>
      <c r="E349" s="30">
        <v>46022.0</v>
      </c>
      <c r="F349" s="36">
        <v>114.27</v>
      </c>
      <c r="G349" s="36">
        <v>581.39</v>
      </c>
      <c r="H349" s="32" t="s">
        <v>7043</v>
      </c>
      <c r="I349" s="30">
        <v>46023.0</v>
      </c>
      <c r="J349" s="30">
        <v>46387.0</v>
      </c>
      <c r="K349" s="36">
        <v>0.0</v>
      </c>
      <c r="L349" s="36">
        <v>0.0</v>
      </c>
      <c r="M349" s="35" t="s">
        <v>7045</v>
      </c>
      <c r="N349" s="30">
        <v>46388.0</v>
      </c>
      <c r="O349" s="30">
        <v>46752.0</v>
      </c>
      <c r="P349" s="36">
        <v>0.0</v>
      </c>
      <c r="Q349" s="36">
        <v>0.0</v>
      </c>
      <c r="R349" s="35" t="s">
        <v>7045</v>
      </c>
      <c r="S349" s="30">
        <v>46753.0</v>
      </c>
      <c r="T349" s="30">
        <v>47118.0</v>
      </c>
      <c r="U349" s="36">
        <v>0.0</v>
      </c>
      <c r="V349" s="36">
        <v>0.0</v>
      </c>
      <c r="W349" s="35" t="s">
        <v>7045</v>
      </c>
      <c r="X349" s="30">
        <v>47119.0</v>
      </c>
      <c r="Y349" s="30">
        <v>47483.0</v>
      </c>
      <c r="Z349" s="36">
        <v>0.0</v>
      </c>
      <c r="AA349" s="36">
        <v>0.0</v>
      </c>
      <c r="AB349" s="35" t="s">
        <v>7045</v>
      </c>
      <c r="AC349" s="30">
        <v>47484.0</v>
      </c>
      <c r="AD349" s="30">
        <v>47848.0</v>
      </c>
      <c r="AE349" s="36">
        <v>0.0</v>
      </c>
      <c r="AF349" s="36">
        <v>0.0</v>
      </c>
      <c r="AG349" s="35" t="s">
        <v>7045</v>
      </c>
      <c r="AH349" s="30">
        <v>45292.0</v>
      </c>
      <c r="AI349" s="30">
        <v>45657.0</v>
      </c>
      <c r="AJ349" s="36">
        <v>528.35</v>
      </c>
      <c r="AK349" s="36">
        <v>382.8</v>
      </c>
      <c r="AL349" s="38" t="s">
        <v>7047</v>
      </c>
      <c r="AM349" s="30">
        <v>44562.0</v>
      </c>
      <c r="AN349" s="30">
        <v>44926.0</v>
      </c>
      <c r="AO349" s="36">
        <v>352.2</v>
      </c>
      <c r="AP349" s="36">
        <v>510.0</v>
      </c>
      <c r="AQ349" s="37" t="s">
        <v>7046</v>
      </c>
      <c r="AR349" s="30">
        <v>44927.0</v>
      </c>
      <c r="AS349" s="30">
        <v>45291.0</v>
      </c>
      <c r="AT349" s="36">
        <v>329.15</v>
      </c>
      <c r="AU349" s="36">
        <v>0.0</v>
      </c>
      <c r="AV349" s="38" t="s">
        <v>7047</v>
      </c>
    </row>
    <row r="350" ht="14.25" customHeight="1">
      <c r="A350" s="28" t="s">
        <v>6006</v>
      </c>
      <c r="B350" s="29" t="s">
        <v>6007</v>
      </c>
      <c r="C350" s="29" t="s">
        <v>7041</v>
      </c>
      <c r="D350" s="30">
        <v>45658.0</v>
      </c>
      <c r="E350" s="30">
        <v>46022.0</v>
      </c>
      <c r="F350" s="39">
        <v>33.77</v>
      </c>
      <c r="G350" s="39">
        <v>0.0</v>
      </c>
      <c r="H350" s="38" t="s">
        <v>7047</v>
      </c>
      <c r="I350" s="30">
        <v>46023.0</v>
      </c>
      <c r="J350" s="30">
        <v>46387.0</v>
      </c>
      <c r="K350" s="39">
        <v>0.0</v>
      </c>
      <c r="L350" s="39">
        <v>0.0</v>
      </c>
      <c r="M350" s="35" t="s">
        <v>7045</v>
      </c>
      <c r="N350" s="30">
        <v>46388.0</v>
      </c>
      <c r="O350" s="30">
        <v>46752.0</v>
      </c>
      <c r="P350" s="39">
        <v>0.0</v>
      </c>
      <c r="Q350" s="39">
        <v>0.0</v>
      </c>
      <c r="R350" s="35" t="s">
        <v>7045</v>
      </c>
      <c r="S350" s="30">
        <v>46753.0</v>
      </c>
      <c r="T350" s="30">
        <v>47118.0</v>
      </c>
      <c r="U350" s="39">
        <v>0.0</v>
      </c>
      <c r="V350" s="39">
        <v>0.0</v>
      </c>
      <c r="W350" s="35" t="s">
        <v>7045</v>
      </c>
      <c r="X350" s="30">
        <v>47119.0</v>
      </c>
      <c r="Y350" s="30">
        <v>47483.0</v>
      </c>
      <c r="Z350" s="39">
        <v>0.0</v>
      </c>
      <c r="AA350" s="39">
        <v>0.0</v>
      </c>
      <c r="AB350" s="35" t="s">
        <v>7045</v>
      </c>
      <c r="AC350" s="30">
        <v>47484.0</v>
      </c>
      <c r="AD350" s="30">
        <v>47848.0</v>
      </c>
      <c r="AE350" s="39">
        <v>0.0</v>
      </c>
      <c r="AF350" s="39">
        <v>0.0</v>
      </c>
      <c r="AG350" s="35" t="s">
        <v>7045</v>
      </c>
      <c r="AH350" s="30">
        <v>45292.0</v>
      </c>
      <c r="AI350" s="30">
        <v>45657.0</v>
      </c>
      <c r="AJ350" s="39">
        <v>220.12</v>
      </c>
      <c r="AK350" s="39">
        <v>0.0</v>
      </c>
      <c r="AL350" s="38" t="s">
        <v>7047</v>
      </c>
      <c r="AM350" s="30">
        <v>44562.0</v>
      </c>
      <c r="AN350" s="30">
        <v>44926.0</v>
      </c>
      <c r="AO350" s="39">
        <v>359.3</v>
      </c>
      <c r="AP350" s="39">
        <v>530.0</v>
      </c>
      <c r="AQ350" s="37" t="s">
        <v>7046</v>
      </c>
      <c r="AR350" s="30">
        <v>44927.0</v>
      </c>
      <c r="AS350" s="30">
        <v>45291.0</v>
      </c>
      <c r="AT350" s="39">
        <v>342.79</v>
      </c>
      <c r="AU350" s="39">
        <v>600.0</v>
      </c>
      <c r="AV350" s="37" t="s">
        <v>7046</v>
      </c>
    </row>
    <row r="351" ht="14.25" customHeight="1">
      <c r="A351" s="28" t="s">
        <v>6035</v>
      </c>
      <c r="B351" s="29" t="s">
        <v>6036</v>
      </c>
      <c r="C351" s="29" t="s">
        <v>7041</v>
      </c>
      <c r="D351" s="30">
        <v>45658.0</v>
      </c>
      <c r="E351" s="30">
        <v>46022.0</v>
      </c>
      <c r="F351" s="39">
        <v>193.5</v>
      </c>
      <c r="G351" s="39">
        <v>702.0</v>
      </c>
      <c r="H351" s="37" t="s">
        <v>7046</v>
      </c>
      <c r="I351" s="30">
        <v>46023.0</v>
      </c>
      <c r="J351" s="30">
        <v>46387.0</v>
      </c>
      <c r="K351" s="39">
        <v>0.0</v>
      </c>
      <c r="L351" s="39">
        <v>0.0</v>
      </c>
      <c r="M351" s="35" t="s">
        <v>7045</v>
      </c>
      <c r="N351" s="30">
        <v>46388.0</v>
      </c>
      <c r="O351" s="30">
        <v>46752.0</v>
      </c>
      <c r="P351" s="39">
        <v>0.0</v>
      </c>
      <c r="Q351" s="39">
        <v>0.0</v>
      </c>
      <c r="R351" s="35" t="s">
        <v>7045</v>
      </c>
      <c r="S351" s="30">
        <v>46753.0</v>
      </c>
      <c r="T351" s="30">
        <v>47118.0</v>
      </c>
      <c r="U351" s="39">
        <v>0.0</v>
      </c>
      <c r="V351" s="39">
        <v>0.0</v>
      </c>
      <c r="W351" s="35" t="s">
        <v>7045</v>
      </c>
      <c r="X351" s="30">
        <v>47119.0</v>
      </c>
      <c r="Y351" s="30">
        <v>47483.0</v>
      </c>
      <c r="Z351" s="39">
        <v>0.0</v>
      </c>
      <c r="AA351" s="39">
        <v>0.0</v>
      </c>
      <c r="AB351" s="35" t="s">
        <v>7045</v>
      </c>
      <c r="AC351" s="30">
        <v>47484.0</v>
      </c>
      <c r="AD351" s="30">
        <v>47848.0</v>
      </c>
      <c r="AE351" s="39">
        <v>0.0</v>
      </c>
      <c r="AF351" s="39">
        <v>0.0</v>
      </c>
      <c r="AG351" s="35" t="s">
        <v>7045</v>
      </c>
      <c r="AH351" s="30">
        <v>45292.0</v>
      </c>
      <c r="AI351" s="30">
        <v>45657.0</v>
      </c>
      <c r="AJ351" s="39">
        <v>351.45</v>
      </c>
      <c r="AK351" s="39">
        <v>685.0</v>
      </c>
      <c r="AL351" s="37" t="s">
        <v>7046</v>
      </c>
      <c r="AM351" s="30">
        <v>44562.0</v>
      </c>
      <c r="AN351" s="30">
        <v>44926.0</v>
      </c>
      <c r="AO351" s="39">
        <v>197.4</v>
      </c>
      <c r="AP351" s="39">
        <v>0.0</v>
      </c>
      <c r="AQ351" s="38" t="s">
        <v>7047</v>
      </c>
      <c r="AR351" s="30">
        <v>44927.0</v>
      </c>
      <c r="AS351" s="30">
        <v>45291.0</v>
      </c>
      <c r="AT351" s="39">
        <v>397.64</v>
      </c>
      <c r="AU351" s="39">
        <v>0.0</v>
      </c>
      <c r="AV351" s="38" t="s">
        <v>7047</v>
      </c>
    </row>
    <row r="352" ht="14.25" customHeight="1">
      <c r="A352" s="28" t="s">
        <v>6068</v>
      </c>
      <c r="B352" s="29" t="s">
        <v>6069</v>
      </c>
      <c r="C352" s="29" t="s">
        <v>7041</v>
      </c>
      <c r="D352" s="30">
        <v>45658.0</v>
      </c>
      <c r="E352" s="30">
        <v>46022.0</v>
      </c>
      <c r="F352" s="36">
        <v>544.94</v>
      </c>
      <c r="G352" s="36">
        <v>999.99</v>
      </c>
      <c r="H352" s="37" t="s">
        <v>7047</v>
      </c>
      <c r="I352" s="30">
        <v>46023.0</v>
      </c>
      <c r="J352" s="30">
        <v>46387.0</v>
      </c>
      <c r="K352" s="36">
        <v>0.0</v>
      </c>
      <c r="L352" s="36">
        <v>0.0</v>
      </c>
      <c r="M352" s="35" t="s">
        <v>7045</v>
      </c>
      <c r="N352" s="30">
        <v>46388.0</v>
      </c>
      <c r="O352" s="30">
        <v>46752.0</v>
      </c>
      <c r="P352" s="36">
        <v>0.0</v>
      </c>
      <c r="Q352" s="36">
        <v>0.0</v>
      </c>
      <c r="R352" s="35" t="s">
        <v>7045</v>
      </c>
      <c r="S352" s="30">
        <v>46753.0</v>
      </c>
      <c r="T352" s="30">
        <v>47118.0</v>
      </c>
      <c r="U352" s="36">
        <v>0.0</v>
      </c>
      <c r="V352" s="36">
        <v>0.0</v>
      </c>
      <c r="W352" s="35" t="s">
        <v>7045</v>
      </c>
      <c r="X352" s="30">
        <v>47119.0</v>
      </c>
      <c r="Y352" s="30">
        <v>47483.0</v>
      </c>
      <c r="Z352" s="36">
        <v>0.0</v>
      </c>
      <c r="AA352" s="36">
        <v>0.0</v>
      </c>
      <c r="AB352" s="35" t="s">
        <v>7045</v>
      </c>
      <c r="AC352" s="30">
        <v>47484.0</v>
      </c>
      <c r="AD352" s="30">
        <v>47848.0</v>
      </c>
      <c r="AE352" s="36">
        <v>0.0</v>
      </c>
      <c r="AF352" s="36">
        <v>0.0</v>
      </c>
      <c r="AG352" s="35" t="s">
        <v>7045</v>
      </c>
      <c r="AH352" s="30">
        <v>45292.0</v>
      </c>
      <c r="AI352" s="30">
        <v>45657.0</v>
      </c>
      <c r="AJ352" s="36">
        <v>957.69</v>
      </c>
      <c r="AK352" s="36">
        <v>869.99</v>
      </c>
      <c r="AL352" s="38" t="s">
        <v>7047</v>
      </c>
      <c r="AM352" s="30">
        <v>44562.0</v>
      </c>
      <c r="AN352" s="30">
        <v>44926.0</v>
      </c>
      <c r="AO352" s="36">
        <v>779.69</v>
      </c>
      <c r="AP352" s="36">
        <v>649.99</v>
      </c>
      <c r="AQ352" s="38" t="s">
        <v>7047</v>
      </c>
      <c r="AR352" s="30">
        <v>44927.0</v>
      </c>
      <c r="AS352" s="30">
        <v>45291.0</v>
      </c>
      <c r="AT352" s="36">
        <v>564.2</v>
      </c>
      <c r="AU352" s="36">
        <v>869.99</v>
      </c>
      <c r="AV352" s="37" t="s">
        <v>7046</v>
      </c>
    </row>
    <row r="353" ht="14.25" customHeight="1">
      <c r="A353" s="28" t="s">
        <v>6125</v>
      </c>
      <c r="B353" s="29" t="s">
        <v>6126</v>
      </c>
      <c r="C353" s="29" t="s">
        <v>7041</v>
      </c>
      <c r="D353" s="30">
        <v>45658.0</v>
      </c>
      <c r="E353" s="30">
        <v>46022.0</v>
      </c>
      <c r="F353" s="39">
        <v>110.64</v>
      </c>
      <c r="G353" s="39">
        <v>285.3</v>
      </c>
      <c r="H353" s="37" t="s">
        <v>7046</v>
      </c>
      <c r="I353" s="30">
        <v>46023.0</v>
      </c>
      <c r="J353" s="30">
        <v>46387.0</v>
      </c>
      <c r="K353" s="39">
        <v>0.0</v>
      </c>
      <c r="L353" s="39">
        <v>0.0</v>
      </c>
      <c r="M353" s="35" t="s">
        <v>7045</v>
      </c>
      <c r="N353" s="30">
        <v>46388.0</v>
      </c>
      <c r="O353" s="30">
        <v>46752.0</v>
      </c>
      <c r="P353" s="39">
        <v>0.0</v>
      </c>
      <c r="Q353" s="39">
        <v>0.0</v>
      </c>
      <c r="R353" s="35" t="s">
        <v>7045</v>
      </c>
      <c r="S353" s="30">
        <v>46753.0</v>
      </c>
      <c r="T353" s="30">
        <v>47118.0</v>
      </c>
      <c r="U353" s="39">
        <v>0.0</v>
      </c>
      <c r="V353" s="39">
        <v>0.0</v>
      </c>
      <c r="W353" s="35" t="s">
        <v>7045</v>
      </c>
      <c r="X353" s="30">
        <v>47119.0</v>
      </c>
      <c r="Y353" s="30">
        <v>47483.0</v>
      </c>
      <c r="Z353" s="39">
        <v>0.0</v>
      </c>
      <c r="AA353" s="39">
        <v>0.0</v>
      </c>
      <c r="AB353" s="35" t="s">
        <v>7045</v>
      </c>
      <c r="AC353" s="30">
        <v>47484.0</v>
      </c>
      <c r="AD353" s="30">
        <v>47848.0</v>
      </c>
      <c r="AE353" s="39">
        <v>0.0</v>
      </c>
      <c r="AF353" s="39">
        <v>0.0</v>
      </c>
      <c r="AG353" s="35" t="s">
        <v>7045</v>
      </c>
      <c r="AH353" s="30">
        <v>45292.0</v>
      </c>
      <c r="AI353" s="30">
        <v>45657.0</v>
      </c>
      <c r="AJ353" s="39">
        <v>242.25</v>
      </c>
      <c r="AK353" s="39">
        <v>315.0</v>
      </c>
      <c r="AL353" s="37" t="s">
        <v>7046</v>
      </c>
      <c r="AM353" s="30">
        <v>44562.0</v>
      </c>
      <c r="AN353" s="30">
        <v>44926.0</v>
      </c>
      <c r="AO353" s="39">
        <v>232.2</v>
      </c>
      <c r="AP353" s="39">
        <v>201.3</v>
      </c>
      <c r="AQ353" s="38" t="s">
        <v>7047</v>
      </c>
      <c r="AR353" s="30">
        <v>44927.0</v>
      </c>
      <c r="AS353" s="30">
        <v>45291.0</v>
      </c>
      <c r="AT353" s="39">
        <v>578.6</v>
      </c>
      <c r="AU353" s="39">
        <v>280.0</v>
      </c>
      <c r="AV353" s="38" t="s">
        <v>7047</v>
      </c>
    </row>
    <row r="354" ht="14.25" customHeight="1">
      <c r="A354" s="28" t="s">
        <v>6184</v>
      </c>
      <c r="B354" s="29" t="s">
        <v>6185</v>
      </c>
      <c r="C354" s="29" t="s">
        <v>7041</v>
      </c>
      <c r="D354" s="30">
        <v>45658.0</v>
      </c>
      <c r="E354" s="30">
        <v>46022.0</v>
      </c>
      <c r="F354" s="39">
        <v>338.3</v>
      </c>
      <c r="G354" s="39">
        <v>650.0</v>
      </c>
      <c r="H354" s="38" t="s">
        <v>7046</v>
      </c>
      <c r="I354" s="30">
        <v>46023.0</v>
      </c>
      <c r="J354" s="30">
        <v>46387.0</v>
      </c>
      <c r="K354" s="39">
        <v>0.0</v>
      </c>
      <c r="L354" s="39">
        <v>0.0</v>
      </c>
      <c r="M354" s="35" t="s">
        <v>7045</v>
      </c>
      <c r="N354" s="30">
        <v>46388.0</v>
      </c>
      <c r="O354" s="30">
        <v>46752.0</v>
      </c>
      <c r="P354" s="39">
        <v>0.0</v>
      </c>
      <c r="Q354" s="39">
        <v>0.0</v>
      </c>
      <c r="R354" s="35" t="s">
        <v>7045</v>
      </c>
      <c r="S354" s="30">
        <v>46753.0</v>
      </c>
      <c r="T354" s="30">
        <v>47118.0</v>
      </c>
      <c r="U354" s="39">
        <v>0.0</v>
      </c>
      <c r="V354" s="39">
        <v>0.0</v>
      </c>
      <c r="W354" s="35" t="s">
        <v>7045</v>
      </c>
      <c r="X354" s="30">
        <v>47119.0</v>
      </c>
      <c r="Y354" s="30">
        <v>47483.0</v>
      </c>
      <c r="Z354" s="39">
        <v>0.0</v>
      </c>
      <c r="AA354" s="39">
        <v>0.0</v>
      </c>
      <c r="AB354" s="35" t="s">
        <v>7045</v>
      </c>
      <c r="AC354" s="30">
        <v>47484.0</v>
      </c>
      <c r="AD354" s="30">
        <v>47848.0</v>
      </c>
      <c r="AE354" s="39">
        <v>0.0</v>
      </c>
      <c r="AF354" s="39">
        <v>0.0</v>
      </c>
      <c r="AG354" s="35" t="s">
        <v>7045</v>
      </c>
      <c r="AH354" s="30">
        <v>45292.0</v>
      </c>
      <c r="AI354" s="30">
        <v>45657.0</v>
      </c>
      <c r="AJ354" s="39">
        <v>552.87</v>
      </c>
      <c r="AK354" s="39">
        <v>598.0</v>
      </c>
      <c r="AL354" s="37" t="s">
        <v>7046</v>
      </c>
      <c r="AM354" s="30">
        <v>44562.0</v>
      </c>
      <c r="AN354" s="30">
        <v>44926.0</v>
      </c>
      <c r="AO354" s="39">
        <v>486.1</v>
      </c>
      <c r="AP354" s="39">
        <v>672.5</v>
      </c>
      <c r="AQ354" s="37" t="s">
        <v>7046</v>
      </c>
      <c r="AR354" s="30">
        <v>44927.0</v>
      </c>
      <c r="AS354" s="30">
        <v>45291.0</v>
      </c>
      <c r="AT354" s="39">
        <v>588.04</v>
      </c>
      <c r="AU354" s="39">
        <v>609.0</v>
      </c>
      <c r="AV354" s="37" t="s">
        <v>7046</v>
      </c>
    </row>
    <row r="355" ht="14.25" customHeight="1">
      <c r="A355" s="28" t="s">
        <v>6251</v>
      </c>
      <c r="B355" s="29" t="s">
        <v>6252</v>
      </c>
      <c r="C355" s="29" t="s">
        <v>7041</v>
      </c>
      <c r="D355" s="30">
        <v>45658.0</v>
      </c>
      <c r="E355" s="30">
        <v>46022.0</v>
      </c>
      <c r="F355" s="39">
        <v>262.82</v>
      </c>
      <c r="G355" s="39">
        <v>480.0</v>
      </c>
      <c r="H355" s="38" t="s">
        <v>7047</v>
      </c>
      <c r="I355" s="30">
        <v>46023.0</v>
      </c>
      <c r="J355" s="30">
        <v>46387.0</v>
      </c>
      <c r="K355" s="39">
        <v>0.0</v>
      </c>
      <c r="L355" s="39">
        <v>0.0</v>
      </c>
      <c r="M355" s="35" t="s">
        <v>7045</v>
      </c>
      <c r="N355" s="30">
        <v>46388.0</v>
      </c>
      <c r="O355" s="30">
        <v>46752.0</v>
      </c>
      <c r="P355" s="39">
        <v>0.0</v>
      </c>
      <c r="Q355" s="39">
        <v>0.0</v>
      </c>
      <c r="R355" s="35" t="s">
        <v>7045</v>
      </c>
      <c r="S355" s="30">
        <v>46753.0</v>
      </c>
      <c r="T355" s="30">
        <v>47118.0</v>
      </c>
      <c r="U355" s="39">
        <v>0.0</v>
      </c>
      <c r="V355" s="39">
        <v>0.0</v>
      </c>
      <c r="W355" s="35" t="s">
        <v>7045</v>
      </c>
      <c r="X355" s="30">
        <v>47119.0</v>
      </c>
      <c r="Y355" s="30">
        <v>47483.0</v>
      </c>
      <c r="Z355" s="39">
        <v>0.0</v>
      </c>
      <c r="AA355" s="39">
        <v>0.0</v>
      </c>
      <c r="AB355" s="35" t="s">
        <v>7045</v>
      </c>
      <c r="AC355" s="30">
        <v>47484.0</v>
      </c>
      <c r="AD355" s="30">
        <v>47848.0</v>
      </c>
      <c r="AE355" s="39">
        <v>0.0</v>
      </c>
      <c r="AF355" s="39">
        <v>0.0</v>
      </c>
      <c r="AG355" s="35" t="s">
        <v>7045</v>
      </c>
      <c r="AH355" s="30">
        <v>45292.0</v>
      </c>
      <c r="AI355" s="30">
        <v>45657.0</v>
      </c>
      <c r="AJ355" s="39">
        <v>475.78</v>
      </c>
      <c r="AK355" s="39">
        <v>480.0</v>
      </c>
      <c r="AL355" s="37" t="s">
        <v>7046</v>
      </c>
      <c r="AM355" s="30">
        <v>44562.0</v>
      </c>
      <c r="AN355" s="30">
        <v>44926.0</v>
      </c>
      <c r="AO355" s="39">
        <v>519.3</v>
      </c>
      <c r="AP355" s="39">
        <v>500.0</v>
      </c>
      <c r="AQ355" s="38" t="s">
        <v>7047</v>
      </c>
      <c r="AR355" s="30">
        <v>44927.0</v>
      </c>
      <c r="AS355" s="30">
        <v>45291.0</v>
      </c>
      <c r="AT355" s="39">
        <v>456.0</v>
      </c>
      <c r="AU355" s="39">
        <v>541.0</v>
      </c>
      <c r="AV355" s="37" t="s">
        <v>7046</v>
      </c>
    </row>
    <row r="356" ht="14.25" customHeight="1">
      <c r="A356" s="28" t="s">
        <v>6254</v>
      </c>
      <c r="B356" s="29" t="s">
        <v>6255</v>
      </c>
      <c r="C356" s="29" t="s">
        <v>7041</v>
      </c>
      <c r="D356" s="30">
        <v>45658.0</v>
      </c>
      <c r="E356" s="30">
        <v>46022.0</v>
      </c>
      <c r="F356" s="39">
        <v>500.89</v>
      </c>
      <c r="G356" s="39">
        <v>1100.0</v>
      </c>
      <c r="H356" s="37" t="s">
        <v>7046</v>
      </c>
      <c r="I356" s="30">
        <v>46023.0</v>
      </c>
      <c r="J356" s="30">
        <v>46387.0</v>
      </c>
      <c r="K356" s="39">
        <v>0.0</v>
      </c>
      <c r="L356" s="39">
        <v>0.0</v>
      </c>
      <c r="M356" s="35" t="s">
        <v>7045</v>
      </c>
      <c r="N356" s="30">
        <v>46388.0</v>
      </c>
      <c r="O356" s="30">
        <v>46752.0</v>
      </c>
      <c r="P356" s="39">
        <v>0.0</v>
      </c>
      <c r="Q356" s="39">
        <v>0.0</v>
      </c>
      <c r="R356" s="35" t="s">
        <v>7045</v>
      </c>
      <c r="S356" s="30">
        <v>46753.0</v>
      </c>
      <c r="T356" s="30">
        <v>47118.0</v>
      </c>
      <c r="U356" s="39">
        <v>0.0</v>
      </c>
      <c r="V356" s="39">
        <v>0.0</v>
      </c>
      <c r="W356" s="35" t="s">
        <v>7045</v>
      </c>
      <c r="X356" s="30">
        <v>47119.0</v>
      </c>
      <c r="Y356" s="30">
        <v>47483.0</v>
      </c>
      <c r="Z356" s="39">
        <v>0.0</v>
      </c>
      <c r="AA356" s="39">
        <v>0.0</v>
      </c>
      <c r="AB356" s="35" t="s">
        <v>7045</v>
      </c>
      <c r="AC356" s="30">
        <v>47484.0</v>
      </c>
      <c r="AD356" s="30">
        <v>47848.0</v>
      </c>
      <c r="AE356" s="39">
        <v>0.0</v>
      </c>
      <c r="AF356" s="39">
        <v>0.0</v>
      </c>
      <c r="AG356" s="35" t="s">
        <v>7045</v>
      </c>
      <c r="AH356" s="30">
        <v>45292.0</v>
      </c>
      <c r="AI356" s="30">
        <v>45657.0</v>
      </c>
      <c r="AJ356" s="39">
        <v>256.38</v>
      </c>
      <c r="AK356" s="39">
        <v>1008.0</v>
      </c>
      <c r="AL356" s="32" t="s">
        <v>7043</v>
      </c>
      <c r="AM356" s="30">
        <v>44562.0</v>
      </c>
      <c r="AN356" s="30">
        <v>44926.0</v>
      </c>
      <c r="AO356" s="39">
        <v>470.6</v>
      </c>
      <c r="AP356" s="39">
        <v>0.0</v>
      </c>
      <c r="AQ356" s="38" t="s">
        <v>7047</v>
      </c>
      <c r="AR356" s="30">
        <v>44927.0</v>
      </c>
      <c r="AS356" s="30">
        <v>45291.0</v>
      </c>
      <c r="AT356" s="39">
        <v>889.59</v>
      </c>
      <c r="AU356" s="39">
        <v>792.0</v>
      </c>
      <c r="AV356" s="38" t="s">
        <v>7047</v>
      </c>
    </row>
    <row r="357" ht="14.25" customHeight="1">
      <c r="A357" s="28" t="s">
        <v>6257</v>
      </c>
      <c r="B357" s="29" t="s">
        <v>6258</v>
      </c>
      <c r="C357" s="29" t="s">
        <v>7041</v>
      </c>
      <c r="D357" s="30">
        <v>45658.0</v>
      </c>
      <c r="E357" s="30">
        <v>46022.0</v>
      </c>
      <c r="F357" s="39">
        <v>145.43</v>
      </c>
      <c r="G357" s="39">
        <v>0.0</v>
      </c>
      <c r="H357" s="38" t="s">
        <v>7047</v>
      </c>
      <c r="I357" s="30">
        <v>46023.0</v>
      </c>
      <c r="J357" s="30">
        <v>46387.0</v>
      </c>
      <c r="K357" s="39">
        <v>0.0</v>
      </c>
      <c r="L357" s="39">
        <v>0.0</v>
      </c>
      <c r="M357" s="35" t="s">
        <v>7045</v>
      </c>
      <c r="N357" s="30">
        <v>46388.0</v>
      </c>
      <c r="O357" s="30">
        <v>46752.0</v>
      </c>
      <c r="P357" s="39">
        <v>0.0</v>
      </c>
      <c r="Q357" s="39">
        <v>0.0</v>
      </c>
      <c r="R357" s="35" t="s">
        <v>7045</v>
      </c>
      <c r="S357" s="30">
        <v>46753.0</v>
      </c>
      <c r="T357" s="30">
        <v>47118.0</v>
      </c>
      <c r="U357" s="39">
        <v>0.0</v>
      </c>
      <c r="V357" s="39">
        <v>0.0</v>
      </c>
      <c r="W357" s="35" t="s">
        <v>7045</v>
      </c>
      <c r="X357" s="30">
        <v>47119.0</v>
      </c>
      <c r="Y357" s="30">
        <v>47483.0</v>
      </c>
      <c r="Z357" s="39">
        <v>0.0</v>
      </c>
      <c r="AA357" s="39">
        <v>0.0</v>
      </c>
      <c r="AB357" s="35" t="s">
        <v>7045</v>
      </c>
      <c r="AC357" s="30">
        <v>47484.0</v>
      </c>
      <c r="AD357" s="30">
        <v>47848.0</v>
      </c>
      <c r="AE357" s="39">
        <v>0.0</v>
      </c>
      <c r="AF357" s="39">
        <v>0.0</v>
      </c>
      <c r="AG357" s="35" t="s">
        <v>7045</v>
      </c>
      <c r="AH357" s="30">
        <v>45292.0</v>
      </c>
      <c r="AI357" s="30">
        <v>45657.0</v>
      </c>
      <c r="AJ357" s="39">
        <v>393.86</v>
      </c>
      <c r="AK357" s="39">
        <v>0.0</v>
      </c>
      <c r="AL357" s="38" t="s">
        <v>7047</v>
      </c>
      <c r="AM357" s="30">
        <v>44562.0</v>
      </c>
      <c r="AN357" s="30">
        <v>44926.0</v>
      </c>
      <c r="AO357" s="39">
        <v>469.0</v>
      </c>
      <c r="AP357" s="39">
        <v>0.0</v>
      </c>
      <c r="AQ357" s="38" t="s">
        <v>7047</v>
      </c>
      <c r="AR357" s="30">
        <v>44927.0</v>
      </c>
      <c r="AS357" s="30">
        <v>45291.0</v>
      </c>
      <c r="AT357" s="39">
        <v>331.11</v>
      </c>
      <c r="AU357" s="39">
        <v>545.0</v>
      </c>
      <c r="AV357" s="37" t="s">
        <v>7046</v>
      </c>
    </row>
    <row r="358" ht="14.25" customHeight="1">
      <c r="A358" s="28" t="s">
        <v>6264</v>
      </c>
      <c r="B358" s="29" t="s">
        <v>6265</v>
      </c>
      <c r="C358" s="29" t="s">
        <v>7041</v>
      </c>
      <c r="D358" s="30">
        <v>45658.0</v>
      </c>
      <c r="E358" s="30">
        <v>46022.0</v>
      </c>
      <c r="F358" s="36">
        <v>162.67</v>
      </c>
      <c r="G358" s="36">
        <v>0.0</v>
      </c>
      <c r="H358" s="38" t="s">
        <v>7047</v>
      </c>
      <c r="I358" s="30">
        <v>46023.0</v>
      </c>
      <c r="J358" s="30">
        <v>46387.0</v>
      </c>
      <c r="K358" s="36">
        <v>0.0</v>
      </c>
      <c r="L358" s="36">
        <v>0.0</v>
      </c>
      <c r="M358" s="35" t="s">
        <v>7045</v>
      </c>
      <c r="N358" s="30">
        <v>46388.0</v>
      </c>
      <c r="O358" s="30">
        <v>46752.0</v>
      </c>
      <c r="P358" s="36">
        <v>0.0</v>
      </c>
      <c r="Q358" s="36">
        <v>0.0</v>
      </c>
      <c r="R358" s="35" t="s">
        <v>7045</v>
      </c>
      <c r="S358" s="30">
        <v>46753.0</v>
      </c>
      <c r="T358" s="30">
        <v>47118.0</v>
      </c>
      <c r="U358" s="36">
        <v>0.0</v>
      </c>
      <c r="V358" s="36">
        <v>0.0</v>
      </c>
      <c r="W358" s="35" t="s">
        <v>7045</v>
      </c>
      <c r="X358" s="30">
        <v>47119.0</v>
      </c>
      <c r="Y358" s="30">
        <v>47483.0</v>
      </c>
      <c r="Z358" s="36">
        <v>0.0</v>
      </c>
      <c r="AA358" s="36">
        <v>0.0</v>
      </c>
      <c r="AB358" s="35" t="s">
        <v>7045</v>
      </c>
      <c r="AC358" s="30">
        <v>47484.0</v>
      </c>
      <c r="AD358" s="30">
        <v>47848.0</v>
      </c>
      <c r="AE358" s="36">
        <v>0.0</v>
      </c>
      <c r="AF358" s="36">
        <v>0.0</v>
      </c>
      <c r="AG358" s="35" t="s">
        <v>7045</v>
      </c>
      <c r="AH358" s="30">
        <v>45292.0</v>
      </c>
      <c r="AI358" s="30">
        <v>45657.0</v>
      </c>
      <c r="AJ358" s="36">
        <v>987.65</v>
      </c>
      <c r="AK358" s="36">
        <v>1999.98</v>
      </c>
      <c r="AL358" s="32" t="s">
        <v>7043</v>
      </c>
      <c r="AM358" s="30">
        <v>44562.0</v>
      </c>
      <c r="AN358" s="30">
        <v>44926.0</v>
      </c>
      <c r="AO358" s="36">
        <v>0.0</v>
      </c>
      <c r="AP358" s="36">
        <v>0.0</v>
      </c>
      <c r="AQ358" s="35" t="s">
        <v>7045</v>
      </c>
      <c r="AR358" s="30">
        <v>44927.0</v>
      </c>
      <c r="AS358" s="30">
        <v>45291.0</v>
      </c>
      <c r="AT358" s="36">
        <v>196.19</v>
      </c>
      <c r="AU358" s="36">
        <v>0.0</v>
      </c>
      <c r="AV358" s="38" t="s">
        <v>7047</v>
      </c>
    </row>
    <row r="359" ht="14.25" customHeight="1">
      <c r="A359" s="28" t="s">
        <v>6288</v>
      </c>
      <c r="B359" s="29" t="s">
        <v>6289</v>
      </c>
      <c r="C359" s="29" t="s">
        <v>7041</v>
      </c>
      <c r="D359" s="30">
        <v>45658.0</v>
      </c>
      <c r="E359" s="30">
        <v>46022.0</v>
      </c>
      <c r="F359" s="39">
        <v>142.32</v>
      </c>
      <c r="G359" s="39">
        <v>315.0</v>
      </c>
      <c r="H359" s="38" t="s">
        <v>7046</v>
      </c>
      <c r="I359" s="30">
        <v>46023.0</v>
      </c>
      <c r="J359" s="30">
        <v>46387.0</v>
      </c>
      <c r="K359" s="39">
        <v>0.0</v>
      </c>
      <c r="L359" s="39">
        <v>0.0</v>
      </c>
      <c r="M359" s="35" t="s">
        <v>7045</v>
      </c>
      <c r="N359" s="30">
        <v>46388.0</v>
      </c>
      <c r="O359" s="30">
        <v>46752.0</v>
      </c>
      <c r="P359" s="39">
        <v>0.0</v>
      </c>
      <c r="Q359" s="39">
        <v>0.0</v>
      </c>
      <c r="R359" s="35" t="s">
        <v>7045</v>
      </c>
      <c r="S359" s="30">
        <v>46753.0</v>
      </c>
      <c r="T359" s="30">
        <v>47118.0</v>
      </c>
      <c r="U359" s="39">
        <v>0.0</v>
      </c>
      <c r="V359" s="39">
        <v>0.0</v>
      </c>
      <c r="W359" s="35" t="s">
        <v>7045</v>
      </c>
      <c r="X359" s="30">
        <v>47119.0</v>
      </c>
      <c r="Y359" s="30">
        <v>47483.0</v>
      </c>
      <c r="Z359" s="39">
        <v>0.0</v>
      </c>
      <c r="AA359" s="39">
        <v>0.0</v>
      </c>
      <c r="AB359" s="35" t="s">
        <v>7045</v>
      </c>
      <c r="AC359" s="30">
        <v>47484.0</v>
      </c>
      <c r="AD359" s="30">
        <v>47848.0</v>
      </c>
      <c r="AE359" s="39">
        <v>0.0</v>
      </c>
      <c r="AF359" s="39">
        <v>0.0</v>
      </c>
      <c r="AG359" s="35" t="s">
        <v>7045</v>
      </c>
      <c r="AH359" s="30">
        <v>45292.0</v>
      </c>
      <c r="AI359" s="30">
        <v>45657.0</v>
      </c>
      <c r="AJ359" s="39">
        <v>308.14</v>
      </c>
      <c r="AK359" s="39">
        <v>305.0</v>
      </c>
      <c r="AL359" s="38" t="s">
        <v>7047</v>
      </c>
      <c r="AM359" s="30">
        <v>44562.0</v>
      </c>
      <c r="AN359" s="30">
        <v>44926.0</v>
      </c>
      <c r="AO359" s="39">
        <v>120.8</v>
      </c>
      <c r="AP359" s="39">
        <v>0.0</v>
      </c>
      <c r="AQ359" s="38" t="s">
        <v>7047</v>
      </c>
      <c r="AR359" s="30">
        <v>44927.0</v>
      </c>
      <c r="AS359" s="30">
        <v>45291.0</v>
      </c>
      <c r="AT359" s="39">
        <v>274.73</v>
      </c>
      <c r="AU359" s="39">
        <v>210.0</v>
      </c>
      <c r="AV359" s="38" t="s">
        <v>7047</v>
      </c>
    </row>
    <row r="360" ht="14.25" customHeight="1">
      <c r="A360" s="28" t="s">
        <v>6370</v>
      </c>
      <c r="B360" s="29" t="s">
        <v>6371</v>
      </c>
      <c r="C360" s="29" t="s">
        <v>7041</v>
      </c>
      <c r="D360" s="30">
        <v>45658.0</v>
      </c>
      <c r="E360" s="30">
        <v>46022.0</v>
      </c>
      <c r="F360" s="39">
        <v>207.3</v>
      </c>
      <c r="G360" s="39">
        <v>653.0</v>
      </c>
      <c r="H360" s="37" t="s">
        <v>7046</v>
      </c>
      <c r="I360" s="30">
        <v>46023.0</v>
      </c>
      <c r="J360" s="30">
        <v>46387.0</v>
      </c>
      <c r="K360" s="39">
        <v>0.0</v>
      </c>
      <c r="L360" s="39">
        <v>0.0</v>
      </c>
      <c r="M360" s="35" t="s">
        <v>7045</v>
      </c>
      <c r="N360" s="30">
        <v>46388.0</v>
      </c>
      <c r="O360" s="30">
        <v>46752.0</v>
      </c>
      <c r="P360" s="39">
        <v>0.0</v>
      </c>
      <c r="Q360" s="39">
        <v>0.0</v>
      </c>
      <c r="R360" s="35" t="s">
        <v>7045</v>
      </c>
      <c r="S360" s="30">
        <v>46753.0</v>
      </c>
      <c r="T360" s="30">
        <v>47118.0</v>
      </c>
      <c r="U360" s="39">
        <v>0.0</v>
      </c>
      <c r="V360" s="39">
        <v>0.0</v>
      </c>
      <c r="W360" s="35" t="s">
        <v>7045</v>
      </c>
      <c r="X360" s="30">
        <v>47119.0</v>
      </c>
      <c r="Y360" s="30">
        <v>47483.0</v>
      </c>
      <c r="Z360" s="39">
        <v>0.0</v>
      </c>
      <c r="AA360" s="39">
        <v>0.0</v>
      </c>
      <c r="AB360" s="35" t="s">
        <v>7045</v>
      </c>
      <c r="AC360" s="30">
        <v>47484.0</v>
      </c>
      <c r="AD360" s="30">
        <v>47848.0</v>
      </c>
      <c r="AE360" s="39">
        <v>0.0</v>
      </c>
      <c r="AF360" s="39">
        <v>0.0</v>
      </c>
      <c r="AG360" s="35" t="s">
        <v>7045</v>
      </c>
      <c r="AH360" s="30">
        <v>45292.0</v>
      </c>
      <c r="AI360" s="30">
        <v>45657.0</v>
      </c>
      <c r="AJ360" s="39">
        <v>567.06</v>
      </c>
      <c r="AK360" s="39">
        <v>847.0</v>
      </c>
      <c r="AL360" s="37" t="s">
        <v>7046</v>
      </c>
      <c r="AM360" s="30">
        <v>44562.0</v>
      </c>
      <c r="AN360" s="30">
        <v>44926.0</v>
      </c>
      <c r="AO360" s="39">
        <v>817.0</v>
      </c>
      <c r="AP360" s="39">
        <v>1002.2</v>
      </c>
      <c r="AQ360" s="37" t="s">
        <v>7046</v>
      </c>
      <c r="AR360" s="30">
        <v>44927.0</v>
      </c>
      <c r="AS360" s="30">
        <v>45291.0</v>
      </c>
      <c r="AT360" s="39">
        <v>769.77</v>
      </c>
      <c r="AU360" s="39">
        <v>893.0</v>
      </c>
      <c r="AV360" s="37" t="s">
        <v>7046</v>
      </c>
    </row>
    <row r="361" ht="14.25" customHeight="1">
      <c r="A361" s="28" t="s">
        <v>6425</v>
      </c>
      <c r="B361" s="29" t="s">
        <v>6426</v>
      </c>
      <c r="C361" s="29" t="s">
        <v>7041</v>
      </c>
      <c r="D361" s="30">
        <v>45658.0</v>
      </c>
      <c r="E361" s="30">
        <v>46022.0</v>
      </c>
      <c r="F361" s="36">
        <v>289.55</v>
      </c>
      <c r="G361" s="36">
        <v>0.0</v>
      </c>
      <c r="H361" s="38" t="s">
        <v>7047</v>
      </c>
      <c r="I361" s="30">
        <v>46023.0</v>
      </c>
      <c r="J361" s="30">
        <v>46387.0</v>
      </c>
      <c r="K361" s="36">
        <v>0.0</v>
      </c>
      <c r="L361" s="36">
        <v>0.0</v>
      </c>
      <c r="M361" s="35" t="s">
        <v>7045</v>
      </c>
      <c r="N361" s="30">
        <v>46388.0</v>
      </c>
      <c r="O361" s="30">
        <v>46752.0</v>
      </c>
      <c r="P361" s="36">
        <v>0.0</v>
      </c>
      <c r="Q361" s="36">
        <v>0.0</v>
      </c>
      <c r="R361" s="35" t="s">
        <v>7045</v>
      </c>
      <c r="S361" s="30">
        <v>46753.0</v>
      </c>
      <c r="T361" s="30">
        <v>47118.0</v>
      </c>
      <c r="U361" s="36">
        <v>0.0</v>
      </c>
      <c r="V361" s="36">
        <v>0.0</v>
      </c>
      <c r="W361" s="35" t="s">
        <v>7045</v>
      </c>
      <c r="X361" s="30">
        <v>47119.0</v>
      </c>
      <c r="Y361" s="30">
        <v>47483.0</v>
      </c>
      <c r="Z361" s="36">
        <v>0.0</v>
      </c>
      <c r="AA361" s="36">
        <v>0.0</v>
      </c>
      <c r="AB361" s="35" t="s">
        <v>7045</v>
      </c>
      <c r="AC361" s="30">
        <v>47484.0</v>
      </c>
      <c r="AD361" s="30">
        <v>47848.0</v>
      </c>
      <c r="AE361" s="36">
        <v>0.0</v>
      </c>
      <c r="AF361" s="36">
        <v>0.0</v>
      </c>
      <c r="AG361" s="35" t="s">
        <v>7045</v>
      </c>
      <c r="AH361" s="30">
        <v>45292.0</v>
      </c>
      <c r="AI361" s="30">
        <v>45657.0</v>
      </c>
      <c r="AJ361" s="36">
        <v>772.87</v>
      </c>
      <c r="AK361" s="36">
        <v>0.0</v>
      </c>
      <c r="AL361" s="38" t="s">
        <v>7047</v>
      </c>
      <c r="AM361" s="30">
        <v>44562.0</v>
      </c>
      <c r="AN361" s="30">
        <v>44926.0</v>
      </c>
      <c r="AO361" s="36">
        <v>0.0</v>
      </c>
      <c r="AP361" s="36">
        <v>0.0</v>
      </c>
      <c r="AQ361" s="35" t="s">
        <v>7045</v>
      </c>
      <c r="AR361" s="30">
        <v>44927.0</v>
      </c>
      <c r="AS361" s="30">
        <v>45291.0</v>
      </c>
      <c r="AT361" s="36">
        <v>0.0</v>
      </c>
      <c r="AU361" s="36">
        <v>200.0</v>
      </c>
      <c r="AV361" s="32" t="s">
        <v>7043</v>
      </c>
    </row>
    <row r="362" ht="14.25" customHeight="1">
      <c r="A362" s="28" t="s">
        <v>6454</v>
      </c>
      <c r="B362" s="29" t="s">
        <v>6455</v>
      </c>
      <c r="C362" s="29" t="s">
        <v>7041</v>
      </c>
      <c r="D362" s="30">
        <v>45658.0</v>
      </c>
      <c r="E362" s="30">
        <v>46022.0</v>
      </c>
      <c r="F362" s="36">
        <v>109.84</v>
      </c>
      <c r="G362" s="36">
        <v>0.0</v>
      </c>
      <c r="H362" s="38" t="s">
        <v>7047</v>
      </c>
      <c r="I362" s="30">
        <v>46023.0</v>
      </c>
      <c r="J362" s="30">
        <v>46387.0</v>
      </c>
      <c r="K362" s="36">
        <v>0.0</v>
      </c>
      <c r="L362" s="36">
        <v>0.0</v>
      </c>
      <c r="M362" s="35" t="s">
        <v>7045</v>
      </c>
      <c r="N362" s="30">
        <v>46388.0</v>
      </c>
      <c r="O362" s="30">
        <v>46752.0</v>
      </c>
      <c r="P362" s="36">
        <v>0.0</v>
      </c>
      <c r="Q362" s="36">
        <v>0.0</v>
      </c>
      <c r="R362" s="35" t="s">
        <v>7045</v>
      </c>
      <c r="S362" s="30">
        <v>46753.0</v>
      </c>
      <c r="T362" s="30">
        <v>47118.0</v>
      </c>
      <c r="U362" s="36">
        <v>0.0</v>
      </c>
      <c r="V362" s="36">
        <v>0.0</v>
      </c>
      <c r="W362" s="35" t="s">
        <v>7045</v>
      </c>
      <c r="X362" s="30">
        <v>47119.0</v>
      </c>
      <c r="Y362" s="30">
        <v>47483.0</v>
      </c>
      <c r="Z362" s="36">
        <v>0.0</v>
      </c>
      <c r="AA362" s="36">
        <v>0.0</v>
      </c>
      <c r="AB362" s="35" t="s">
        <v>7045</v>
      </c>
      <c r="AC362" s="30">
        <v>47484.0</v>
      </c>
      <c r="AD362" s="30">
        <v>47848.0</v>
      </c>
      <c r="AE362" s="36">
        <v>0.0</v>
      </c>
      <c r="AF362" s="36">
        <v>0.0</v>
      </c>
      <c r="AG362" s="35" t="s">
        <v>7045</v>
      </c>
      <c r="AH362" s="30">
        <v>45292.0</v>
      </c>
      <c r="AI362" s="30">
        <v>45657.0</v>
      </c>
      <c r="AJ362" s="36">
        <v>490.66</v>
      </c>
      <c r="AK362" s="36">
        <v>699.99</v>
      </c>
      <c r="AL362" s="37" t="s">
        <v>7046</v>
      </c>
      <c r="AM362" s="30">
        <v>44562.0</v>
      </c>
      <c r="AN362" s="30">
        <v>44926.0</v>
      </c>
      <c r="AO362" s="36">
        <v>159.0</v>
      </c>
      <c r="AP362" s="36">
        <v>814.99</v>
      </c>
      <c r="AQ362" s="32" t="s">
        <v>7043</v>
      </c>
      <c r="AR362" s="30">
        <v>44927.0</v>
      </c>
      <c r="AS362" s="30">
        <v>45291.0</v>
      </c>
      <c r="AT362" s="36">
        <v>274.16</v>
      </c>
      <c r="AU362" s="36">
        <v>799.99</v>
      </c>
      <c r="AV362" s="32" t="s">
        <v>7043</v>
      </c>
    </row>
    <row r="363" ht="14.25" customHeight="1">
      <c r="A363" s="28" t="s">
        <v>6467</v>
      </c>
      <c r="B363" s="29" t="s">
        <v>6468</v>
      </c>
      <c r="C363" s="29" t="s">
        <v>7041</v>
      </c>
      <c r="D363" s="30">
        <v>45658.0</v>
      </c>
      <c r="E363" s="30">
        <v>46022.0</v>
      </c>
      <c r="F363" s="36">
        <v>746.16</v>
      </c>
      <c r="G363" s="36">
        <v>702.39</v>
      </c>
      <c r="H363" s="32" t="s">
        <v>7047</v>
      </c>
      <c r="I363" s="30">
        <v>46023.0</v>
      </c>
      <c r="J363" s="30">
        <v>46387.0</v>
      </c>
      <c r="K363" s="36">
        <v>0.0</v>
      </c>
      <c r="L363" s="36">
        <v>0.0</v>
      </c>
      <c r="M363" s="35" t="s">
        <v>7045</v>
      </c>
      <c r="N363" s="30">
        <v>46388.0</v>
      </c>
      <c r="O363" s="30">
        <v>46752.0</v>
      </c>
      <c r="P363" s="36">
        <v>0.0</v>
      </c>
      <c r="Q363" s="36">
        <v>0.0</v>
      </c>
      <c r="R363" s="35" t="s">
        <v>7045</v>
      </c>
      <c r="S363" s="30">
        <v>46753.0</v>
      </c>
      <c r="T363" s="30">
        <v>47118.0</v>
      </c>
      <c r="U363" s="36">
        <v>0.0</v>
      </c>
      <c r="V363" s="36">
        <v>0.0</v>
      </c>
      <c r="W363" s="35" t="s">
        <v>7045</v>
      </c>
      <c r="X363" s="30">
        <v>47119.0</v>
      </c>
      <c r="Y363" s="30">
        <v>47483.0</v>
      </c>
      <c r="Z363" s="36">
        <v>0.0</v>
      </c>
      <c r="AA363" s="36">
        <v>0.0</v>
      </c>
      <c r="AB363" s="35" t="s">
        <v>7045</v>
      </c>
      <c r="AC363" s="30">
        <v>47484.0</v>
      </c>
      <c r="AD363" s="30">
        <v>47848.0</v>
      </c>
      <c r="AE363" s="36">
        <v>0.0</v>
      </c>
      <c r="AF363" s="36">
        <v>0.0</v>
      </c>
      <c r="AG363" s="35" t="s">
        <v>7045</v>
      </c>
      <c r="AH363" s="30">
        <v>45292.0</v>
      </c>
      <c r="AI363" s="30">
        <v>45657.0</v>
      </c>
      <c r="AJ363" s="36">
        <v>673.45</v>
      </c>
      <c r="AK363" s="36">
        <v>500.0</v>
      </c>
      <c r="AL363" s="38" t="s">
        <v>7047</v>
      </c>
      <c r="AM363" s="30">
        <v>44562.0</v>
      </c>
      <c r="AN363" s="30">
        <v>44926.0</v>
      </c>
      <c r="AO363" s="36">
        <v>896.59</v>
      </c>
      <c r="AP363" s="36">
        <v>450.0</v>
      </c>
      <c r="AQ363" s="38" t="s">
        <v>7047</v>
      </c>
      <c r="AR363" s="30">
        <v>44927.0</v>
      </c>
      <c r="AS363" s="30">
        <v>45291.0</v>
      </c>
      <c r="AT363" s="36">
        <v>481.05</v>
      </c>
      <c r="AU363" s="36">
        <v>0.0</v>
      </c>
      <c r="AV363" s="38" t="s">
        <v>7047</v>
      </c>
    </row>
    <row r="364" ht="14.25" customHeight="1">
      <c r="A364" s="28" t="s">
        <v>6486</v>
      </c>
      <c r="B364" s="29" t="s">
        <v>6487</v>
      </c>
      <c r="C364" s="29" t="s">
        <v>7041</v>
      </c>
      <c r="D364" s="30">
        <v>45658.0</v>
      </c>
      <c r="E364" s="30">
        <v>46022.0</v>
      </c>
      <c r="F364" s="39">
        <v>127.44</v>
      </c>
      <c r="G364" s="39">
        <v>525.0</v>
      </c>
      <c r="H364" s="32" t="s">
        <v>7043</v>
      </c>
      <c r="I364" s="30">
        <v>46023.0</v>
      </c>
      <c r="J364" s="30">
        <v>46387.0</v>
      </c>
      <c r="K364" s="39">
        <v>0.0</v>
      </c>
      <c r="L364" s="39">
        <v>0.0</v>
      </c>
      <c r="M364" s="35" t="s">
        <v>7045</v>
      </c>
      <c r="N364" s="30">
        <v>46388.0</v>
      </c>
      <c r="O364" s="30">
        <v>46752.0</v>
      </c>
      <c r="P364" s="39">
        <v>0.0</v>
      </c>
      <c r="Q364" s="39">
        <v>0.0</v>
      </c>
      <c r="R364" s="35" t="s">
        <v>7045</v>
      </c>
      <c r="S364" s="30">
        <v>46753.0</v>
      </c>
      <c r="T364" s="30">
        <v>47118.0</v>
      </c>
      <c r="U364" s="39">
        <v>0.0</v>
      </c>
      <c r="V364" s="39">
        <v>0.0</v>
      </c>
      <c r="W364" s="35" t="s">
        <v>7045</v>
      </c>
      <c r="X364" s="30">
        <v>47119.0</v>
      </c>
      <c r="Y364" s="30">
        <v>47483.0</v>
      </c>
      <c r="Z364" s="39">
        <v>0.0</v>
      </c>
      <c r="AA364" s="39">
        <v>0.0</v>
      </c>
      <c r="AB364" s="35" t="s">
        <v>7045</v>
      </c>
      <c r="AC364" s="30">
        <v>47484.0</v>
      </c>
      <c r="AD364" s="30">
        <v>47848.0</v>
      </c>
      <c r="AE364" s="39">
        <v>0.0</v>
      </c>
      <c r="AF364" s="39">
        <v>0.0</v>
      </c>
      <c r="AG364" s="35" t="s">
        <v>7045</v>
      </c>
      <c r="AH364" s="30">
        <v>45292.0</v>
      </c>
      <c r="AI364" s="30">
        <v>45657.0</v>
      </c>
      <c r="AJ364" s="39">
        <v>455.72</v>
      </c>
      <c r="AK364" s="39">
        <v>590.0</v>
      </c>
      <c r="AL364" s="37" t="s">
        <v>7046</v>
      </c>
      <c r="AM364" s="30">
        <v>44562.0</v>
      </c>
      <c r="AN364" s="30">
        <v>44926.0</v>
      </c>
      <c r="AO364" s="39">
        <v>957.6</v>
      </c>
      <c r="AP364" s="39">
        <v>1055.0</v>
      </c>
      <c r="AQ364" s="37" t="s">
        <v>7046</v>
      </c>
      <c r="AR364" s="30">
        <v>44927.0</v>
      </c>
      <c r="AS364" s="30">
        <v>45291.0</v>
      </c>
      <c r="AT364" s="39">
        <v>532.49</v>
      </c>
      <c r="AU364" s="39">
        <v>1100.0</v>
      </c>
      <c r="AV364" s="32" t="s">
        <v>7043</v>
      </c>
    </row>
    <row r="365" ht="14.25" customHeight="1">
      <c r="A365" s="28" t="s">
        <v>6586</v>
      </c>
      <c r="B365" s="29" t="s">
        <v>6587</v>
      </c>
      <c r="C365" s="29" t="s">
        <v>7041</v>
      </c>
      <c r="D365" s="30">
        <v>45658.0</v>
      </c>
      <c r="E365" s="30">
        <v>46022.0</v>
      </c>
      <c r="F365" s="39">
        <v>262.09</v>
      </c>
      <c r="G365" s="39">
        <v>660.0</v>
      </c>
      <c r="H365" s="37" t="s">
        <v>7046</v>
      </c>
      <c r="I365" s="30">
        <v>46023.0</v>
      </c>
      <c r="J365" s="30">
        <v>46387.0</v>
      </c>
      <c r="K365" s="39">
        <v>0.0</v>
      </c>
      <c r="L365" s="39">
        <v>0.0</v>
      </c>
      <c r="M365" s="35" t="s">
        <v>7045</v>
      </c>
      <c r="N365" s="30">
        <v>46388.0</v>
      </c>
      <c r="O365" s="30">
        <v>46752.0</v>
      </c>
      <c r="P365" s="39">
        <v>0.0</v>
      </c>
      <c r="Q365" s="39">
        <v>0.0</v>
      </c>
      <c r="R365" s="35" t="s">
        <v>7045</v>
      </c>
      <c r="S365" s="30">
        <v>46753.0</v>
      </c>
      <c r="T365" s="30">
        <v>47118.0</v>
      </c>
      <c r="U365" s="39">
        <v>0.0</v>
      </c>
      <c r="V365" s="39">
        <v>0.0</v>
      </c>
      <c r="W365" s="35" t="s">
        <v>7045</v>
      </c>
      <c r="X365" s="30">
        <v>47119.0</v>
      </c>
      <c r="Y365" s="30">
        <v>47483.0</v>
      </c>
      <c r="Z365" s="39">
        <v>0.0</v>
      </c>
      <c r="AA365" s="39">
        <v>0.0</v>
      </c>
      <c r="AB365" s="35" t="s">
        <v>7045</v>
      </c>
      <c r="AC365" s="30">
        <v>47484.0</v>
      </c>
      <c r="AD365" s="30">
        <v>47848.0</v>
      </c>
      <c r="AE365" s="39">
        <v>0.0</v>
      </c>
      <c r="AF365" s="39">
        <v>0.0</v>
      </c>
      <c r="AG365" s="35" t="s">
        <v>7045</v>
      </c>
      <c r="AH365" s="30">
        <v>45292.0</v>
      </c>
      <c r="AI365" s="30">
        <v>45657.0</v>
      </c>
      <c r="AJ365" s="39">
        <v>634.77</v>
      </c>
      <c r="AK365" s="39">
        <v>670.0</v>
      </c>
      <c r="AL365" s="37" t="s">
        <v>7046</v>
      </c>
      <c r="AM365" s="30">
        <v>44562.0</v>
      </c>
      <c r="AN365" s="30">
        <v>44926.0</v>
      </c>
      <c r="AO365" s="39">
        <v>576.4</v>
      </c>
      <c r="AP365" s="39">
        <v>810.0</v>
      </c>
      <c r="AQ365" s="37" t="s">
        <v>7046</v>
      </c>
      <c r="AR365" s="30">
        <v>44927.0</v>
      </c>
      <c r="AS365" s="30">
        <v>45291.0</v>
      </c>
      <c r="AT365" s="39">
        <v>609.17</v>
      </c>
      <c r="AU365" s="39">
        <v>768.0</v>
      </c>
      <c r="AV365" s="37" t="s">
        <v>7046</v>
      </c>
    </row>
    <row r="366" ht="14.25" customHeight="1">
      <c r="A366" s="28" t="s">
        <v>6601</v>
      </c>
      <c r="B366" s="29" t="s">
        <v>6602</v>
      </c>
      <c r="C366" s="29" t="s">
        <v>7041</v>
      </c>
      <c r="D366" s="30">
        <v>45658.0</v>
      </c>
      <c r="E366" s="30">
        <v>46022.0</v>
      </c>
      <c r="F366" s="39">
        <v>56.26</v>
      </c>
      <c r="G366" s="39">
        <v>333.0</v>
      </c>
      <c r="H366" s="32" t="s">
        <v>7043</v>
      </c>
      <c r="I366" s="30">
        <v>46023.0</v>
      </c>
      <c r="J366" s="30">
        <v>46387.0</v>
      </c>
      <c r="K366" s="39">
        <v>0.0</v>
      </c>
      <c r="L366" s="39">
        <v>0.0</v>
      </c>
      <c r="M366" s="35" t="s">
        <v>7045</v>
      </c>
      <c r="N366" s="30">
        <v>46388.0</v>
      </c>
      <c r="O366" s="30">
        <v>46752.0</v>
      </c>
      <c r="P366" s="39">
        <v>0.0</v>
      </c>
      <c r="Q366" s="39">
        <v>0.0</v>
      </c>
      <c r="R366" s="35" t="s">
        <v>7045</v>
      </c>
      <c r="S366" s="30">
        <v>46753.0</v>
      </c>
      <c r="T366" s="30">
        <v>47118.0</v>
      </c>
      <c r="U366" s="39">
        <v>0.0</v>
      </c>
      <c r="V366" s="39">
        <v>0.0</v>
      </c>
      <c r="W366" s="35" t="s">
        <v>7045</v>
      </c>
      <c r="X366" s="30">
        <v>47119.0</v>
      </c>
      <c r="Y366" s="30">
        <v>47483.0</v>
      </c>
      <c r="Z366" s="39">
        <v>0.0</v>
      </c>
      <c r="AA366" s="39">
        <v>0.0</v>
      </c>
      <c r="AB366" s="35" t="s">
        <v>7045</v>
      </c>
      <c r="AC366" s="30">
        <v>47484.0</v>
      </c>
      <c r="AD366" s="30">
        <v>47848.0</v>
      </c>
      <c r="AE366" s="39">
        <v>0.0</v>
      </c>
      <c r="AF366" s="39">
        <v>0.0</v>
      </c>
      <c r="AG366" s="35" t="s">
        <v>7045</v>
      </c>
      <c r="AH366" s="30">
        <v>45292.0</v>
      </c>
      <c r="AI366" s="30">
        <v>45657.0</v>
      </c>
      <c r="AJ366" s="39">
        <v>288.7</v>
      </c>
      <c r="AK366" s="39">
        <v>348.0</v>
      </c>
      <c r="AL366" s="37" t="s">
        <v>7046</v>
      </c>
      <c r="AM366" s="30">
        <v>44562.0</v>
      </c>
      <c r="AN366" s="30">
        <v>44926.0</v>
      </c>
      <c r="AO366" s="39">
        <v>233.6</v>
      </c>
      <c r="AP366" s="39">
        <v>320.0</v>
      </c>
      <c r="AQ366" s="37" t="s">
        <v>7046</v>
      </c>
      <c r="AR366" s="30">
        <v>44927.0</v>
      </c>
      <c r="AS366" s="30">
        <v>45291.0</v>
      </c>
      <c r="AT366" s="39">
        <v>316.06</v>
      </c>
      <c r="AU366" s="39">
        <v>330.0</v>
      </c>
      <c r="AV366" s="37" t="s">
        <v>7046</v>
      </c>
    </row>
    <row r="367" ht="14.25" customHeight="1">
      <c r="A367" s="28" t="s">
        <v>6669</v>
      </c>
      <c r="B367" s="29" t="s">
        <v>6670</v>
      </c>
      <c r="C367" s="29" t="s">
        <v>7041</v>
      </c>
      <c r="D367" s="30">
        <v>45658.0</v>
      </c>
      <c r="E367" s="30">
        <v>46022.0</v>
      </c>
      <c r="F367" s="36">
        <v>110.2</v>
      </c>
      <c r="G367" s="36">
        <v>400.0</v>
      </c>
      <c r="H367" s="37" t="s">
        <v>7046</v>
      </c>
      <c r="I367" s="30">
        <v>46023.0</v>
      </c>
      <c r="J367" s="30">
        <v>46387.0</v>
      </c>
      <c r="K367" s="36">
        <v>0.0</v>
      </c>
      <c r="L367" s="36">
        <v>0.0</v>
      </c>
      <c r="M367" s="35" t="s">
        <v>7045</v>
      </c>
      <c r="N367" s="30">
        <v>46388.0</v>
      </c>
      <c r="O367" s="30">
        <v>46752.0</v>
      </c>
      <c r="P367" s="36">
        <v>0.0</v>
      </c>
      <c r="Q367" s="36">
        <v>0.0</v>
      </c>
      <c r="R367" s="35" t="s">
        <v>7045</v>
      </c>
      <c r="S367" s="30">
        <v>46753.0</v>
      </c>
      <c r="T367" s="30">
        <v>47118.0</v>
      </c>
      <c r="U367" s="36">
        <v>0.0</v>
      </c>
      <c r="V367" s="36">
        <v>0.0</v>
      </c>
      <c r="W367" s="35" t="s">
        <v>7045</v>
      </c>
      <c r="X367" s="30">
        <v>47119.0</v>
      </c>
      <c r="Y367" s="30">
        <v>47483.0</v>
      </c>
      <c r="Z367" s="36">
        <v>0.0</v>
      </c>
      <c r="AA367" s="36">
        <v>0.0</v>
      </c>
      <c r="AB367" s="35" t="s">
        <v>7045</v>
      </c>
      <c r="AC367" s="30">
        <v>47484.0</v>
      </c>
      <c r="AD367" s="30">
        <v>47848.0</v>
      </c>
      <c r="AE367" s="36">
        <v>0.0</v>
      </c>
      <c r="AF367" s="36">
        <v>0.0</v>
      </c>
      <c r="AG367" s="35" t="s">
        <v>7045</v>
      </c>
      <c r="AH367" s="30">
        <v>45292.0</v>
      </c>
      <c r="AI367" s="30">
        <v>45657.0</v>
      </c>
      <c r="AJ367" s="36">
        <v>322.52</v>
      </c>
      <c r="AK367" s="36">
        <v>350.0</v>
      </c>
      <c r="AL367" s="37" t="s">
        <v>7046</v>
      </c>
      <c r="AM367" s="30">
        <v>44562.0</v>
      </c>
      <c r="AN367" s="30">
        <v>44926.0</v>
      </c>
      <c r="AO367" s="36">
        <v>153.1</v>
      </c>
      <c r="AP367" s="36">
        <v>400.0</v>
      </c>
      <c r="AQ367" s="32" t="s">
        <v>7043</v>
      </c>
      <c r="AR367" s="30">
        <v>44927.0</v>
      </c>
      <c r="AS367" s="30">
        <v>45291.0</v>
      </c>
      <c r="AT367" s="36">
        <v>251.7</v>
      </c>
      <c r="AU367" s="36">
        <v>300.0</v>
      </c>
      <c r="AV367" s="37" t="s">
        <v>7046</v>
      </c>
    </row>
    <row r="368" ht="14.25" customHeight="1">
      <c r="A368" s="28" t="s">
        <v>6707</v>
      </c>
      <c r="B368" s="29" t="s">
        <v>6708</v>
      </c>
      <c r="C368" s="29" t="s">
        <v>7041</v>
      </c>
      <c r="D368" s="30">
        <v>45658.0</v>
      </c>
      <c r="E368" s="30">
        <v>46022.0</v>
      </c>
      <c r="F368" s="36">
        <v>182.37</v>
      </c>
      <c r="G368" s="36">
        <v>1743.38</v>
      </c>
      <c r="H368" s="32" t="s">
        <v>7043</v>
      </c>
      <c r="I368" s="30">
        <v>46023.0</v>
      </c>
      <c r="J368" s="30">
        <v>46387.0</v>
      </c>
      <c r="K368" s="36">
        <v>0.0</v>
      </c>
      <c r="L368" s="36">
        <v>0.0</v>
      </c>
      <c r="M368" s="35" t="s">
        <v>7045</v>
      </c>
      <c r="N368" s="30">
        <v>46388.0</v>
      </c>
      <c r="O368" s="30">
        <v>46752.0</v>
      </c>
      <c r="P368" s="36">
        <v>0.0</v>
      </c>
      <c r="Q368" s="36">
        <v>0.0</v>
      </c>
      <c r="R368" s="35" t="s">
        <v>7045</v>
      </c>
      <c r="S368" s="30">
        <v>46753.0</v>
      </c>
      <c r="T368" s="30">
        <v>47118.0</v>
      </c>
      <c r="U368" s="36">
        <v>0.0</v>
      </c>
      <c r="V368" s="36">
        <v>0.0</v>
      </c>
      <c r="W368" s="35" t="s">
        <v>7045</v>
      </c>
      <c r="X368" s="30">
        <v>47119.0</v>
      </c>
      <c r="Y368" s="30">
        <v>47483.0</v>
      </c>
      <c r="Z368" s="36">
        <v>0.0</v>
      </c>
      <c r="AA368" s="36">
        <v>0.0</v>
      </c>
      <c r="AB368" s="35" t="s">
        <v>7045</v>
      </c>
      <c r="AC368" s="30">
        <v>47484.0</v>
      </c>
      <c r="AD368" s="30">
        <v>47848.0</v>
      </c>
      <c r="AE368" s="36">
        <v>0.0</v>
      </c>
      <c r="AF368" s="36">
        <v>0.0</v>
      </c>
      <c r="AG368" s="35" t="s">
        <v>7045</v>
      </c>
      <c r="AH368" s="30">
        <v>45292.0</v>
      </c>
      <c r="AI368" s="30">
        <v>45657.0</v>
      </c>
      <c r="AJ368" s="36">
        <v>303.19</v>
      </c>
      <c r="AK368" s="36">
        <v>293.1</v>
      </c>
      <c r="AL368" s="38" t="s">
        <v>7047</v>
      </c>
      <c r="AM368" s="30">
        <v>44562.0</v>
      </c>
      <c r="AN368" s="30">
        <v>44926.0</v>
      </c>
      <c r="AO368" s="36">
        <v>331.8</v>
      </c>
      <c r="AP368" s="36">
        <v>535.0</v>
      </c>
      <c r="AQ368" s="37" t="s">
        <v>7046</v>
      </c>
      <c r="AR368" s="30">
        <v>44927.0</v>
      </c>
      <c r="AS368" s="30">
        <v>45291.0</v>
      </c>
      <c r="AT368" s="36">
        <v>254.91</v>
      </c>
      <c r="AU368" s="36">
        <v>330.0</v>
      </c>
      <c r="AV368" s="37" t="s">
        <v>7046</v>
      </c>
    </row>
    <row r="369" ht="14.25" customHeight="1">
      <c r="A369" s="28" t="s">
        <v>6768</v>
      </c>
      <c r="B369" s="29" t="s">
        <v>6769</v>
      </c>
      <c r="C369" s="29" t="s">
        <v>7041</v>
      </c>
      <c r="D369" s="30">
        <v>45658.0</v>
      </c>
      <c r="E369" s="30">
        <v>46022.0</v>
      </c>
      <c r="F369" s="39">
        <v>318.53</v>
      </c>
      <c r="G369" s="39">
        <v>460.0</v>
      </c>
      <c r="H369" s="38" t="s">
        <v>7047</v>
      </c>
      <c r="I369" s="30">
        <v>46023.0</v>
      </c>
      <c r="J369" s="30">
        <v>46387.0</v>
      </c>
      <c r="K369" s="39">
        <v>0.0</v>
      </c>
      <c r="L369" s="39">
        <v>0.0</v>
      </c>
      <c r="M369" s="35" t="s">
        <v>7045</v>
      </c>
      <c r="N369" s="30">
        <v>46388.0</v>
      </c>
      <c r="O369" s="30">
        <v>46752.0</v>
      </c>
      <c r="P369" s="39">
        <v>0.0</v>
      </c>
      <c r="Q369" s="39">
        <v>0.0</v>
      </c>
      <c r="R369" s="35" t="s">
        <v>7045</v>
      </c>
      <c r="S369" s="30">
        <v>46753.0</v>
      </c>
      <c r="T369" s="30">
        <v>47118.0</v>
      </c>
      <c r="U369" s="39">
        <v>0.0</v>
      </c>
      <c r="V369" s="39">
        <v>0.0</v>
      </c>
      <c r="W369" s="35" t="s">
        <v>7045</v>
      </c>
      <c r="X369" s="30">
        <v>47119.0</v>
      </c>
      <c r="Y369" s="30">
        <v>47483.0</v>
      </c>
      <c r="Z369" s="39">
        <v>0.0</v>
      </c>
      <c r="AA369" s="39">
        <v>0.0</v>
      </c>
      <c r="AB369" s="35" t="s">
        <v>7045</v>
      </c>
      <c r="AC369" s="30">
        <v>47484.0</v>
      </c>
      <c r="AD369" s="30">
        <v>47848.0</v>
      </c>
      <c r="AE369" s="39">
        <v>0.0</v>
      </c>
      <c r="AF369" s="39">
        <v>0.0</v>
      </c>
      <c r="AG369" s="35" t="s">
        <v>7045</v>
      </c>
      <c r="AH369" s="30">
        <v>45292.0</v>
      </c>
      <c r="AI369" s="30">
        <v>45657.0</v>
      </c>
      <c r="AJ369" s="39">
        <v>414.85</v>
      </c>
      <c r="AK369" s="39">
        <v>400.0</v>
      </c>
      <c r="AL369" s="38" t="s">
        <v>7047</v>
      </c>
      <c r="AM369" s="30">
        <v>44562.0</v>
      </c>
      <c r="AN369" s="30">
        <v>44926.0</v>
      </c>
      <c r="AO369" s="39">
        <v>319.2</v>
      </c>
      <c r="AP369" s="39">
        <v>432.0</v>
      </c>
      <c r="AQ369" s="37" t="s">
        <v>7046</v>
      </c>
      <c r="AR369" s="30">
        <v>44927.0</v>
      </c>
      <c r="AS369" s="30">
        <v>45291.0</v>
      </c>
      <c r="AT369" s="39">
        <v>363.79</v>
      </c>
      <c r="AU369" s="39">
        <v>411.0</v>
      </c>
      <c r="AV369" s="37" t="s">
        <v>7046</v>
      </c>
    </row>
    <row r="370" ht="14.25" customHeight="1">
      <c r="A370" s="28" t="s">
        <v>6835</v>
      </c>
      <c r="B370" s="29" t="s">
        <v>6836</v>
      </c>
      <c r="C370" s="29" t="s">
        <v>7041</v>
      </c>
      <c r="D370" s="30">
        <v>45658.0</v>
      </c>
      <c r="E370" s="30">
        <v>46022.0</v>
      </c>
      <c r="F370" s="36">
        <v>31.98</v>
      </c>
      <c r="G370" s="36">
        <v>0.0</v>
      </c>
      <c r="H370" s="38" t="s">
        <v>7047</v>
      </c>
      <c r="I370" s="30">
        <v>46023.0</v>
      </c>
      <c r="J370" s="30">
        <v>46387.0</v>
      </c>
      <c r="K370" s="36">
        <v>0.0</v>
      </c>
      <c r="L370" s="36">
        <v>0.0</v>
      </c>
      <c r="M370" s="35" t="s">
        <v>7045</v>
      </c>
      <c r="N370" s="30">
        <v>46388.0</v>
      </c>
      <c r="O370" s="30">
        <v>46752.0</v>
      </c>
      <c r="P370" s="36">
        <v>0.0</v>
      </c>
      <c r="Q370" s="36">
        <v>0.0</v>
      </c>
      <c r="R370" s="35" t="s">
        <v>7045</v>
      </c>
      <c r="S370" s="30">
        <v>46753.0</v>
      </c>
      <c r="T370" s="30">
        <v>47118.0</v>
      </c>
      <c r="U370" s="36">
        <v>0.0</v>
      </c>
      <c r="V370" s="36">
        <v>0.0</v>
      </c>
      <c r="W370" s="35" t="s">
        <v>7045</v>
      </c>
      <c r="X370" s="30">
        <v>47119.0</v>
      </c>
      <c r="Y370" s="30">
        <v>47483.0</v>
      </c>
      <c r="Z370" s="36">
        <v>0.0</v>
      </c>
      <c r="AA370" s="36">
        <v>0.0</v>
      </c>
      <c r="AB370" s="35" t="s">
        <v>7045</v>
      </c>
      <c r="AC370" s="30">
        <v>47484.0</v>
      </c>
      <c r="AD370" s="30">
        <v>47848.0</v>
      </c>
      <c r="AE370" s="36">
        <v>0.0</v>
      </c>
      <c r="AF370" s="36">
        <v>0.0</v>
      </c>
      <c r="AG370" s="35" t="s">
        <v>7045</v>
      </c>
      <c r="AH370" s="30">
        <v>45292.0</v>
      </c>
      <c r="AI370" s="30">
        <v>45657.0</v>
      </c>
      <c r="AJ370" s="36">
        <v>266.89</v>
      </c>
      <c r="AK370" s="36">
        <v>999.99</v>
      </c>
      <c r="AL370" s="32" t="s">
        <v>7043</v>
      </c>
      <c r="AM370" s="30">
        <v>44562.0</v>
      </c>
      <c r="AN370" s="30">
        <v>44926.0</v>
      </c>
      <c r="AO370" s="36">
        <v>513.8</v>
      </c>
      <c r="AP370" s="36">
        <v>0.0</v>
      </c>
      <c r="AQ370" s="38" t="s">
        <v>7047</v>
      </c>
      <c r="AR370" s="30">
        <v>44927.0</v>
      </c>
      <c r="AS370" s="30">
        <v>45291.0</v>
      </c>
      <c r="AT370" s="36">
        <v>387.35</v>
      </c>
      <c r="AU370" s="36">
        <v>999.99</v>
      </c>
      <c r="AV370" s="32" t="s">
        <v>7043</v>
      </c>
    </row>
    <row r="371" ht="14.25" customHeight="1">
      <c r="A371" s="28" t="s">
        <v>6892</v>
      </c>
      <c r="B371" s="29" t="s">
        <v>6893</v>
      </c>
      <c r="C371" s="29" t="s">
        <v>7041</v>
      </c>
      <c r="D371" s="30">
        <v>45658.0</v>
      </c>
      <c r="E371" s="30">
        <v>46022.0</v>
      </c>
      <c r="F371" s="39">
        <v>173.09</v>
      </c>
      <c r="G371" s="39">
        <v>1001.0</v>
      </c>
      <c r="H371" s="32" t="s">
        <v>7043</v>
      </c>
      <c r="I371" s="30">
        <v>46023.0</v>
      </c>
      <c r="J371" s="30">
        <v>46387.0</v>
      </c>
      <c r="K371" s="39">
        <v>0.0</v>
      </c>
      <c r="L371" s="39">
        <v>0.0</v>
      </c>
      <c r="M371" s="35" t="s">
        <v>7045</v>
      </c>
      <c r="N371" s="30">
        <v>46388.0</v>
      </c>
      <c r="O371" s="30">
        <v>46752.0</v>
      </c>
      <c r="P371" s="39">
        <v>0.0</v>
      </c>
      <c r="Q371" s="39">
        <v>0.0</v>
      </c>
      <c r="R371" s="35" t="s">
        <v>7045</v>
      </c>
      <c r="S371" s="30">
        <v>46753.0</v>
      </c>
      <c r="T371" s="30">
        <v>47118.0</v>
      </c>
      <c r="U371" s="39">
        <v>0.0</v>
      </c>
      <c r="V371" s="39">
        <v>0.0</v>
      </c>
      <c r="W371" s="35" t="s">
        <v>7045</v>
      </c>
      <c r="X371" s="30">
        <v>47119.0</v>
      </c>
      <c r="Y371" s="30">
        <v>47483.0</v>
      </c>
      <c r="Z371" s="39">
        <v>0.0</v>
      </c>
      <c r="AA371" s="39">
        <v>0.0</v>
      </c>
      <c r="AB371" s="35" t="s">
        <v>7045</v>
      </c>
      <c r="AC371" s="30">
        <v>47484.0</v>
      </c>
      <c r="AD371" s="30">
        <v>47848.0</v>
      </c>
      <c r="AE371" s="39">
        <v>0.0</v>
      </c>
      <c r="AF371" s="39">
        <v>0.0</v>
      </c>
      <c r="AG371" s="35" t="s">
        <v>7045</v>
      </c>
      <c r="AH371" s="30">
        <v>45292.0</v>
      </c>
      <c r="AI371" s="30">
        <v>45657.0</v>
      </c>
      <c r="AJ371" s="39">
        <v>458.15</v>
      </c>
      <c r="AK371" s="39">
        <v>1001.0</v>
      </c>
      <c r="AL371" s="32" t="s">
        <v>7043</v>
      </c>
      <c r="AM371" s="30">
        <v>44562.0</v>
      </c>
      <c r="AN371" s="30">
        <v>44926.0</v>
      </c>
      <c r="AO371" s="39">
        <v>505.4</v>
      </c>
      <c r="AP371" s="39">
        <v>0.0</v>
      </c>
      <c r="AQ371" s="38" t="s">
        <v>7047</v>
      </c>
      <c r="AR371" s="30">
        <v>44927.0</v>
      </c>
      <c r="AS371" s="30">
        <v>45291.0</v>
      </c>
      <c r="AT371" s="39">
        <v>487.83</v>
      </c>
      <c r="AU371" s="39">
        <v>1001.0</v>
      </c>
      <c r="AV371" s="32" t="s">
        <v>7043</v>
      </c>
    </row>
    <row r="372" ht="14.25" customHeight="1">
      <c r="A372" s="28" t="s">
        <v>6895</v>
      </c>
      <c r="B372" s="29" t="s">
        <v>6896</v>
      </c>
      <c r="C372" s="29" t="s">
        <v>7041</v>
      </c>
      <c r="D372" s="30">
        <v>45658.0</v>
      </c>
      <c r="E372" s="30">
        <v>46022.0</v>
      </c>
      <c r="F372" s="36">
        <v>321.43</v>
      </c>
      <c r="G372" s="36">
        <v>799.99</v>
      </c>
      <c r="H372" s="32" t="s">
        <v>7046</v>
      </c>
      <c r="I372" s="30">
        <v>46023.0</v>
      </c>
      <c r="J372" s="30">
        <v>46387.0</v>
      </c>
      <c r="K372" s="36">
        <v>0.0</v>
      </c>
      <c r="L372" s="36">
        <v>0.0</v>
      </c>
      <c r="M372" s="35" t="s">
        <v>7045</v>
      </c>
      <c r="N372" s="30">
        <v>46388.0</v>
      </c>
      <c r="O372" s="30">
        <v>46752.0</v>
      </c>
      <c r="P372" s="36">
        <v>0.0</v>
      </c>
      <c r="Q372" s="36">
        <v>0.0</v>
      </c>
      <c r="R372" s="35" t="s">
        <v>7045</v>
      </c>
      <c r="S372" s="30">
        <v>46753.0</v>
      </c>
      <c r="T372" s="30">
        <v>47118.0</v>
      </c>
      <c r="U372" s="36">
        <v>0.0</v>
      </c>
      <c r="V372" s="36">
        <v>0.0</v>
      </c>
      <c r="W372" s="35" t="s">
        <v>7045</v>
      </c>
      <c r="X372" s="30">
        <v>47119.0</v>
      </c>
      <c r="Y372" s="30">
        <v>47483.0</v>
      </c>
      <c r="Z372" s="36">
        <v>0.0</v>
      </c>
      <c r="AA372" s="36">
        <v>0.0</v>
      </c>
      <c r="AB372" s="35" t="s">
        <v>7045</v>
      </c>
      <c r="AC372" s="30">
        <v>47484.0</v>
      </c>
      <c r="AD372" s="30">
        <v>47848.0</v>
      </c>
      <c r="AE372" s="36">
        <v>0.0</v>
      </c>
      <c r="AF372" s="36">
        <v>0.0</v>
      </c>
      <c r="AG372" s="35" t="s">
        <v>7045</v>
      </c>
      <c r="AH372" s="30">
        <v>45292.0</v>
      </c>
      <c r="AI372" s="30">
        <v>45657.0</v>
      </c>
      <c r="AJ372" s="36">
        <v>1126.42</v>
      </c>
      <c r="AK372" s="36">
        <v>550.0</v>
      </c>
      <c r="AL372" s="38" t="s">
        <v>7047</v>
      </c>
      <c r="AM372" s="30">
        <v>44562.0</v>
      </c>
      <c r="AN372" s="30">
        <v>44926.0</v>
      </c>
      <c r="AO372" s="36">
        <v>456.6</v>
      </c>
      <c r="AP372" s="36">
        <v>500.0</v>
      </c>
      <c r="AQ372" s="37" t="s">
        <v>7046</v>
      </c>
      <c r="AR372" s="30">
        <v>44927.0</v>
      </c>
      <c r="AS372" s="30">
        <v>45291.0</v>
      </c>
      <c r="AT372" s="36">
        <v>510.23</v>
      </c>
      <c r="AU372" s="36">
        <v>0.0</v>
      </c>
      <c r="AV372" s="38" t="s">
        <v>7047</v>
      </c>
    </row>
    <row r="373" ht="14.25" customHeight="1">
      <c r="A373" s="28" t="s">
        <v>6937</v>
      </c>
      <c r="B373" s="29" t="s">
        <v>6938</v>
      </c>
      <c r="C373" s="29" t="s">
        <v>7041</v>
      </c>
      <c r="D373" s="30">
        <v>45658.0</v>
      </c>
      <c r="E373" s="30">
        <v>46022.0</v>
      </c>
      <c r="F373" s="39">
        <v>442.3</v>
      </c>
      <c r="G373" s="39">
        <v>0.0</v>
      </c>
      <c r="H373" s="38" t="s">
        <v>7047</v>
      </c>
      <c r="I373" s="30">
        <v>46023.0</v>
      </c>
      <c r="J373" s="30">
        <v>46387.0</v>
      </c>
      <c r="K373" s="39">
        <v>0.0</v>
      </c>
      <c r="L373" s="39">
        <v>0.0</v>
      </c>
      <c r="M373" s="35" t="s">
        <v>7045</v>
      </c>
      <c r="N373" s="30">
        <v>46388.0</v>
      </c>
      <c r="O373" s="30">
        <v>46752.0</v>
      </c>
      <c r="P373" s="39">
        <v>0.0</v>
      </c>
      <c r="Q373" s="39">
        <v>0.0</v>
      </c>
      <c r="R373" s="35" t="s">
        <v>7045</v>
      </c>
      <c r="S373" s="30">
        <v>46753.0</v>
      </c>
      <c r="T373" s="30">
        <v>47118.0</v>
      </c>
      <c r="U373" s="39">
        <v>0.0</v>
      </c>
      <c r="V373" s="39">
        <v>0.0</v>
      </c>
      <c r="W373" s="35" t="s">
        <v>7045</v>
      </c>
      <c r="X373" s="30">
        <v>47119.0</v>
      </c>
      <c r="Y373" s="30">
        <v>47483.0</v>
      </c>
      <c r="Z373" s="39">
        <v>0.0</v>
      </c>
      <c r="AA373" s="39">
        <v>0.0</v>
      </c>
      <c r="AB373" s="35" t="s">
        <v>7045</v>
      </c>
      <c r="AC373" s="30">
        <v>47484.0</v>
      </c>
      <c r="AD373" s="30">
        <v>47848.0</v>
      </c>
      <c r="AE373" s="39">
        <v>0.0</v>
      </c>
      <c r="AF373" s="39">
        <v>0.0</v>
      </c>
      <c r="AG373" s="35" t="s">
        <v>7045</v>
      </c>
      <c r="AH373" s="30">
        <v>45292.0</v>
      </c>
      <c r="AI373" s="30">
        <v>45657.0</v>
      </c>
      <c r="AJ373" s="39">
        <v>613.22</v>
      </c>
      <c r="AK373" s="39">
        <v>1154.0</v>
      </c>
      <c r="AL373" s="37" t="s">
        <v>7046</v>
      </c>
      <c r="AM373" s="30">
        <v>44562.0</v>
      </c>
      <c r="AN373" s="30">
        <v>44926.0</v>
      </c>
      <c r="AO373" s="39">
        <v>1120.4</v>
      </c>
      <c r="AP373" s="39">
        <v>1005.3</v>
      </c>
      <c r="AQ373" s="38" t="s">
        <v>7047</v>
      </c>
      <c r="AR373" s="30">
        <v>44927.0</v>
      </c>
      <c r="AS373" s="30">
        <v>45291.0</v>
      </c>
      <c r="AT373" s="39">
        <v>859.78</v>
      </c>
      <c r="AU373" s="39">
        <v>1260.0</v>
      </c>
      <c r="AV373" s="37" t="s">
        <v>7046</v>
      </c>
    </row>
    <row r="374" ht="14.25" customHeight="1">
      <c r="A374" s="28" t="s">
        <v>6999</v>
      </c>
      <c r="B374" s="29" t="s">
        <v>7000</v>
      </c>
      <c r="C374" s="29" t="s">
        <v>7041</v>
      </c>
      <c r="D374" s="30">
        <v>45658.0</v>
      </c>
      <c r="E374" s="30">
        <v>46022.0</v>
      </c>
      <c r="F374" s="39">
        <v>67.61</v>
      </c>
      <c r="G374" s="39">
        <v>352.0</v>
      </c>
      <c r="H374" s="32" t="s">
        <v>7043</v>
      </c>
      <c r="I374" s="30">
        <v>46023.0</v>
      </c>
      <c r="J374" s="30">
        <v>46387.0</v>
      </c>
      <c r="K374" s="39">
        <v>0.0</v>
      </c>
      <c r="L374" s="39">
        <v>0.0</v>
      </c>
      <c r="M374" s="35" t="s">
        <v>7045</v>
      </c>
      <c r="N374" s="30">
        <v>46388.0</v>
      </c>
      <c r="O374" s="30">
        <v>46752.0</v>
      </c>
      <c r="P374" s="39">
        <v>0.0</v>
      </c>
      <c r="Q374" s="39">
        <v>0.0</v>
      </c>
      <c r="R374" s="35" t="s">
        <v>7045</v>
      </c>
      <c r="S374" s="30">
        <v>46753.0</v>
      </c>
      <c r="T374" s="30">
        <v>47118.0</v>
      </c>
      <c r="U374" s="39">
        <v>0.0</v>
      </c>
      <c r="V374" s="39">
        <v>0.0</v>
      </c>
      <c r="W374" s="35" t="s">
        <v>7045</v>
      </c>
      <c r="X374" s="30">
        <v>47119.0</v>
      </c>
      <c r="Y374" s="30">
        <v>47483.0</v>
      </c>
      <c r="Z374" s="39">
        <v>0.0</v>
      </c>
      <c r="AA374" s="39">
        <v>0.0</v>
      </c>
      <c r="AB374" s="35" t="s">
        <v>7045</v>
      </c>
      <c r="AC374" s="30">
        <v>47484.0</v>
      </c>
      <c r="AD374" s="30">
        <v>47848.0</v>
      </c>
      <c r="AE374" s="39">
        <v>0.0</v>
      </c>
      <c r="AF374" s="39">
        <v>0.0</v>
      </c>
      <c r="AG374" s="35" t="s">
        <v>7045</v>
      </c>
      <c r="AH374" s="30">
        <v>45292.0</v>
      </c>
      <c r="AI374" s="30">
        <v>45657.0</v>
      </c>
      <c r="AJ374" s="39">
        <v>320.85</v>
      </c>
      <c r="AK374" s="39">
        <v>231.0</v>
      </c>
      <c r="AL374" s="38" t="s">
        <v>7047</v>
      </c>
      <c r="AM374" s="30">
        <v>44562.0</v>
      </c>
      <c r="AN374" s="30">
        <v>44926.0</v>
      </c>
      <c r="AO374" s="39">
        <v>235.2</v>
      </c>
      <c r="AP374" s="39">
        <v>259.0</v>
      </c>
      <c r="AQ374" s="37" t="s">
        <v>7046</v>
      </c>
      <c r="AR374" s="30">
        <v>44927.0</v>
      </c>
      <c r="AS374" s="30">
        <v>45291.0</v>
      </c>
      <c r="AT374" s="39">
        <v>201.33</v>
      </c>
      <c r="AU374" s="39">
        <v>303.0</v>
      </c>
      <c r="AV374" s="37" t="s">
        <v>7046</v>
      </c>
    </row>
    <row r="375" ht="14.25" customHeight="1">
      <c r="A375" s="28" t="s">
        <v>7019</v>
      </c>
      <c r="B375" s="29" t="s">
        <v>7020</v>
      </c>
      <c r="C375" s="29" t="s">
        <v>7041</v>
      </c>
      <c r="D375" s="30">
        <v>45658.0</v>
      </c>
      <c r="E375" s="30">
        <v>46022.0</v>
      </c>
      <c r="F375" s="36">
        <v>83.59</v>
      </c>
      <c r="G375" s="36">
        <v>1000.09</v>
      </c>
      <c r="H375" s="32" t="s">
        <v>7043</v>
      </c>
      <c r="I375" s="30">
        <v>46023.0</v>
      </c>
      <c r="J375" s="30">
        <v>46387.0</v>
      </c>
      <c r="K375" s="36">
        <v>0.0</v>
      </c>
      <c r="L375" s="36">
        <v>0.0</v>
      </c>
      <c r="M375" s="35" t="s">
        <v>7045</v>
      </c>
      <c r="N375" s="30">
        <v>46388.0</v>
      </c>
      <c r="O375" s="30">
        <v>46752.0</v>
      </c>
      <c r="P375" s="36">
        <v>0.0</v>
      </c>
      <c r="Q375" s="36">
        <v>0.0</v>
      </c>
      <c r="R375" s="35" t="s">
        <v>7045</v>
      </c>
      <c r="S375" s="30">
        <v>46753.0</v>
      </c>
      <c r="T375" s="30">
        <v>47118.0</v>
      </c>
      <c r="U375" s="36">
        <v>0.0</v>
      </c>
      <c r="V375" s="36">
        <v>0.0</v>
      </c>
      <c r="W375" s="35" t="s">
        <v>7045</v>
      </c>
      <c r="X375" s="30">
        <v>47119.0</v>
      </c>
      <c r="Y375" s="30">
        <v>47483.0</v>
      </c>
      <c r="Z375" s="36">
        <v>0.0</v>
      </c>
      <c r="AA375" s="36">
        <v>0.0</v>
      </c>
      <c r="AB375" s="35" t="s">
        <v>7045</v>
      </c>
      <c r="AC375" s="30">
        <v>47484.0</v>
      </c>
      <c r="AD375" s="30">
        <v>47848.0</v>
      </c>
      <c r="AE375" s="36">
        <v>0.0</v>
      </c>
      <c r="AF375" s="36">
        <v>0.0</v>
      </c>
      <c r="AG375" s="35" t="s">
        <v>7045</v>
      </c>
      <c r="AH375" s="30">
        <v>45292.0</v>
      </c>
      <c r="AI375" s="30">
        <v>45657.0</v>
      </c>
      <c r="AJ375" s="36">
        <v>263.27</v>
      </c>
      <c r="AK375" s="36">
        <v>500.0</v>
      </c>
      <c r="AL375" s="37" t="s">
        <v>7046</v>
      </c>
      <c r="AM375" s="30">
        <v>44562.0</v>
      </c>
      <c r="AN375" s="30">
        <v>44926.0</v>
      </c>
      <c r="AO375" s="36">
        <v>432.4</v>
      </c>
      <c r="AP375" s="36">
        <v>712.19</v>
      </c>
      <c r="AQ375" s="37" t="s">
        <v>7046</v>
      </c>
      <c r="AR375" s="30">
        <v>44927.0</v>
      </c>
      <c r="AS375" s="30">
        <v>45291.0</v>
      </c>
      <c r="AT375" s="36">
        <v>243.22</v>
      </c>
      <c r="AU375" s="36">
        <v>1016.99</v>
      </c>
      <c r="AV375" s="32" t="s">
        <v>7043</v>
      </c>
    </row>
    <row r="376" ht="14.25" customHeight="1">
      <c r="A376" s="28" t="s">
        <v>215</v>
      </c>
      <c r="B376" s="29" t="s">
        <v>216</v>
      </c>
      <c r="C376" s="29" t="s">
        <v>7041</v>
      </c>
      <c r="D376" s="30">
        <v>45658.0</v>
      </c>
      <c r="E376" s="30">
        <v>46022.0</v>
      </c>
      <c r="F376" s="36">
        <v>88.04</v>
      </c>
      <c r="G376" s="36">
        <v>400.0</v>
      </c>
      <c r="H376" s="32" t="s">
        <v>7043</v>
      </c>
      <c r="I376" s="30">
        <v>46023.0</v>
      </c>
      <c r="J376" s="30">
        <v>46387.0</v>
      </c>
      <c r="K376" s="36">
        <v>0.0</v>
      </c>
      <c r="L376" s="36">
        <v>0.0</v>
      </c>
      <c r="M376" s="35" t="s">
        <v>7045</v>
      </c>
      <c r="N376" s="30">
        <v>46388.0</v>
      </c>
      <c r="O376" s="30">
        <v>46752.0</v>
      </c>
      <c r="P376" s="36">
        <v>0.0</v>
      </c>
      <c r="Q376" s="36">
        <v>0.0</v>
      </c>
      <c r="R376" s="35" t="s">
        <v>7045</v>
      </c>
      <c r="S376" s="30">
        <v>46753.0</v>
      </c>
      <c r="T376" s="30">
        <v>47118.0</v>
      </c>
      <c r="U376" s="36">
        <v>0.0</v>
      </c>
      <c r="V376" s="36">
        <v>0.0</v>
      </c>
      <c r="W376" s="35" t="s">
        <v>7045</v>
      </c>
      <c r="X376" s="30">
        <v>47119.0</v>
      </c>
      <c r="Y376" s="30">
        <v>47483.0</v>
      </c>
      <c r="Z376" s="36">
        <v>0.0</v>
      </c>
      <c r="AA376" s="36">
        <v>0.0</v>
      </c>
      <c r="AB376" s="35" t="s">
        <v>7045</v>
      </c>
      <c r="AC376" s="30">
        <v>47484.0</v>
      </c>
      <c r="AD376" s="30">
        <v>47848.0</v>
      </c>
      <c r="AE376" s="36">
        <v>0.0</v>
      </c>
      <c r="AF376" s="36">
        <v>0.0</v>
      </c>
      <c r="AG376" s="35" t="s">
        <v>7045</v>
      </c>
      <c r="AH376" s="30">
        <v>45292.0</v>
      </c>
      <c r="AI376" s="30">
        <v>45657.0</v>
      </c>
      <c r="AJ376" s="36">
        <v>215.53</v>
      </c>
      <c r="AK376" s="36">
        <v>500.0</v>
      </c>
      <c r="AL376" s="32" t="s">
        <v>7043</v>
      </c>
      <c r="AM376" s="30">
        <v>44562.0</v>
      </c>
      <c r="AN376" s="30">
        <v>44926.0</v>
      </c>
      <c r="AO376" s="36">
        <v>165.0</v>
      </c>
      <c r="AP376" s="36">
        <v>500.0</v>
      </c>
      <c r="AQ376" s="32" t="s">
        <v>7043</v>
      </c>
      <c r="AR376" s="30">
        <v>44927.0</v>
      </c>
      <c r="AS376" s="30">
        <v>45291.0</v>
      </c>
      <c r="AT376" s="36">
        <v>454.79</v>
      </c>
      <c r="AU376" s="36">
        <v>300.0</v>
      </c>
      <c r="AV376" s="38" t="s">
        <v>7047</v>
      </c>
    </row>
    <row r="377" ht="14.25" customHeight="1">
      <c r="A377" s="28" t="s">
        <v>4879</v>
      </c>
      <c r="B377" s="29" t="s">
        <v>4880</v>
      </c>
      <c r="C377" s="29" t="s">
        <v>7041</v>
      </c>
      <c r="D377" s="30">
        <v>45658.0</v>
      </c>
      <c r="E377" s="30">
        <v>46022.0</v>
      </c>
      <c r="F377" s="36">
        <v>2.69</v>
      </c>
      <c r="G377" s="36">
        <v>300.0</v>
      </c>
      <c r="H377" s="32" t="s">
        <v>7043</v>
      </c>
      <c r="I377" s="30">
        <v>46023.0</v>
      </c>
      <c r="J377" s="30">
        <v>46387.0</v>
      </c>
      <c r="K377" s="36">
        <v>0.0</v>
      </c>
      <c r="L377" s="36">
        <v>0.0</v>
      </c>
      <c r="M377" s="35" t="s">
        <v>7045</v>
      </c>
      <c r="N377" s="30">
        <v>46388.0</v>
      </c>
      <c r="O377" s="30">
        <v>46752.0</v>
      </c>
      <c r="P377" s="36">
        <v>0.0</v>
      </c>
      <c r="Q377" s="36">
        <v>0.0</v>
      </c>
      <c r="R377" s="35" t="s">
        <v>7045</v>
      </c>
      <c r="S377" s="30">
        <v>46753.0</v>
      </c>
      <c r="T377" s="30">
        <v>47118.0</v>
      </c>
      <c r="U377" s="36">
        <v>0.0</v>
      </c>
      <c r="V377" s="36">
        <v>0.0</v>
      </c>
      <c r="W377" s="35" t="s">
        <v>7045</v>
      </c>
      <c r="X377" s="30">
        <v>47119.0</v>
      </c>
      <c r="Y377" s="30">
        <v>47483.0</v>
      </c>
      <c r="Z377" s="36">
        <v>0.0</v>
      </c>
      <c r="AA377" s="36">
        <v>0.0</v>
      </c>
      <c r="AB377" s="35" t="s">
        <v>7045</v>
      </c>
      <c r="AC377" s="30">
        <v>47484.0</v>
      </c>
      <c r="AD377" s="30">
        <v>47848.0</v>
      </c>
      <c r="AE377" s="36">
        <v>0.0</v>
      </c>
      <c r="AF377" s="36">
        <v>0.0</v>
      </c>
      <c r="AG377" s="35" t="s">
        <v>7045</v>
      </c>
      <c r="AH377" s="30">
        <v>45292.0</v>
      </c>
      <c r="AI377" s="30">
        <v>45657.0</v>
      </c>
      <c r="AJ377" s="36">
        <v>19.85</v>
      </c>
      <c r="AK377" s="36">
        <v>200.0</v>
      </c>
      <c r="AL377" s="32" t="s">
        <v>7043</v>
      </c>
      <c r="AM377" s="30">
        <v>44562.0</v>
      </c>
      <c r="AN377" s="30">
        <v>44926.0</v>
      </c>
      <c r="AO377" s="36">
        <v>0.0</v>
      </c>
      <c r="AP377" s="36">
        <v>0.0</v>
      </c>
      <c r="AQ377" s="35" t="s">
        <v>7045</v>
      </c>
      <c r="AR377" s="30">
        <v>44927.0</v>
      </c>
      <c r="AS377" s="30">
        <v>45291.0</v>
      </c>
      <c r="AT377" s="36">
        <v>0.0</v>
      </c>
      <c r="AU377" s="36">
        <v>0.0</v>
      </c>
      <c r="AV377" s="35" t="s">
        <v>7045</v>
      </c>
    </row>
    <row r="378" ht="14.25" customHeight="1">
      <c r="A378" s="28" t="s">
        <v>1477</v>
      </c>
      <c r="B378" s="29" t="s">
        <v>1478</v>
      </c>
      <c r="C378" s="29" t="s">
        <v>7041</v>
      </c>
      <c r="D378" s="30">
        <v>45658.0</v>
      </c>
      <c r="E378" s="30">
        <v>46022.0</v>
      </c>
      <c r="F378" s="36">
        <v>30.7</v>
      </c>
      <c r="G378" s="36">
        <v>200.0</v>
      </c>
      <c r="H378" s="32" t="s">
        <v>7043</v>
      </c>
      <c r="I378" s="30">
        <v>46023.0</v>
      </c>
      <c r="J378" s="30">
        <v>46387.0</v>
      </c>
      <c r="K378" s="36">
        <v>0.0</v>
      </c>
      <c r="L378" s="36">
        <v>0.0</v>
      </c>
      <c r="M378" s="35" t="s">
        <v>7045</v>
      </c>
      <c r="N378" s="30">
        <v>46388.0</v>
      </c>
      <c r="O378" s="30">
        <v>46752.0</v>
      </c>
      <c r="P378" s="36">
        <v>0.0</v>
      </c>
      <c r="Q378" s="36">
        <v>0.0</v>
      </c>
      <c r="R378" s="35" t="s">
        <v>7045</v>
      </c>
      <c r="S378" s="30">
        <v>46753.0</v>
      </c>
      <c r="T378" s="30">
        <v>47118.0</v>
      </c>
      <c r="U378" s="36">
        <v>0.0</v>
      </c>
      <c r="V378" s="36">
        <v>0.0</v>
      </c>
      <c r="W378" s="35" t="s">
        <v>7045</v>
      </c>
      <c r="X378" s="30">
        <v>47119.0</v>
      </c>
      <c r="Y378" s="30">
        <v>47483.0</v>
      </c>
      <c r="Z378" s="36">
        <v>0.0</v>
      </c>
      <c r="AA378" s="36">
        <v>0.0</v>
      </c>
      <c r="AB378" s="35" t="s">
        <v>7045</v>
      </c>
      <c r="AC378" s="30">
        <v>47484.0</v>
      </c>
      <c r="AD378" s="30">
        <v>47848.0</v>
      </c>
      <c r="AE378" s="36">
        <v>0.0</v>
      </c>
      <c r="AF378" s="36">
        <v>0.0</v>
      </c>
      <c r="AG378" s="35" t="s">
        <v>7045</v>
      </c>
      <c r="AH378" s="30">
        <v>45292.0</v>
      </c>
      <c r="AI378" s="30">
        <v>45657.0</v>
      </c>
      <c r="AJ378" s="36">
        <v>162.68</v>
      </c>
      <c r="AK378" s="36">
        <v>150.0</v>
      </c>
      <c r="AL378" s="38" t="s">
        <v>7047</v>
      </c>
      <c r="AM378" s="30">
        <v>44562.0</v>
      </c>
      <c r="AN378" s="30">
        <v>44926.0</v>
      </c>
      <c r="AO378" s="36">
        <v>0.0</v>
      </c>
      <c r="AP378" s="36">
        <v>0.0</v>
      </c>
      <c r="AQ378" s="35" t="s">
        <v>7045</v>
      </c>
      <c r="AR378" s="30">
        <v>44927.0</v>
      </c>
      <c r="AS378" s="30">
        <v>45291.0</v>
      </c>
      <c r="AT378" s="36">
        <v>0.0</v>
      </c>
      <c r="AU378" s="36">
        <v>0.0</v>
      </c>
      <c r="AV378" s="35" t="s">
        <v>7045</v>
      </c>
    </row>
    <row r="379" ht="14.25" customHeight="1">
      <c r="A379" s="28" t="s">
        <v>3756</v>
      </c>
      <c r="B379" s="29" t="s">
        <v>3757</v>
      </c>
      <c r="C379" s="29" t="s">
        <v>7041</v>
      </c>
      <c r="D379" s="30">
        <v>45658.0</v>
      </c>
      <c r="E379" s="30">
        <v>46022.0</v>
      </c>
      <c r="F379" s="36">
        <v>18.02</v>
      </c>
      <c r="G379" s="36">
        <v>300.0</v>
      </c>
      <c r="H379" s="32" t="s">
        <v>7043</v>
      </c>
      <c r="I379" s="30">
        <v>46023.0</v>
      </c>
      <c r="J379" s="30">
        <v>46387.0</v>
      </c>
      <c r="K379" s="36">
        <v>0.0</v>
      </c>
      <c r="L379" s="36">
        <v>0.0</v>
      </c>
      <c r="M379" s="35" t="s">
        <v>7045</v>
      </c>
      <c r="N379" s="30">
        <v>46388.0</v>
      </c>
      <c r="O379" s="30">
        <v>46752.0</v>
      </c>
      <c r="P379" s="36">
        <v>0.0</v>
      </c>
      <c r="Q379" s="36">
        <v>0.0</v>
      </c>
      <c r="R379" s="35" t="s">
        <v>7045</v>
      </c>
      <c r="S379" s="30">
        <v>46753.0</v>
      </c>
      <c r="T379" s="30">
        <v>47118.0</v>
      </c>
      <c r="U379" s="36">
        <v>0.0</v>
      </c>
      <c r="V379" s="36">
        <v>0.0</v>
      </c>
      <c r="W379" s="35" t="s">
        <v>7045</v>
      </c>
      <c r="X379" s="30">
        <v>47119.0</v>
      </c>
      <c r="Y379" s="30">
        <v>47483.0</v>
      </c>
      <c r="Z379" s="36">
        <v>0.0</v>
      </c>
      <c r="AA379" s="36">
        <v>0.0</v>
      </c>
      <c r="AB379" s="35" t="s">
        <v>7045</v>
      </c>
      <c r="AC379" s="30">
        <v>47484.0</v>
      </c>
      <c r="AD379" s="30">
        <v>47848.0</v>
      </c>
      <c r="AE379" s="36">
        <v>0.0</v>
      </c>
      <c r="AF379" s="36">
        <v>0.0</v>
      </c>
      <c r="AG379" s="35" t="s">
        <v>7045</v>
      </c>
      <c r="AH379" s="30">
        <v>45292.0</v>
      </c>
      <c r="AI379" s="30">
        <v>45657.0</v>
      </c>
      <c r="AJ379" s="36">
        <v>13.26</v>
      </c>
      <c r="AK379" s="36">
        <v>250.0</v>
      </c>
      <c r="AL379" s="32" t="s">
        <v>7043</v>
      </c>
      <c r="AM379" s="30">
        <v>44562.0</v>
      </c>
      <c r="AN379" s="30">
        <v>44926.0</v>
      </c>
      <c r="AO379" s="36">
        <v>0.0</v>
      </c>
      <c r="AP379" s="36">
        <v>0.0</v>
      </c>
      <c r="AQ379" s="35" t="s">
        <v>7045</v>
      </c>
      <c r="AR379" s="30">
        <v>44927.0</v>
      </c>
      <c r="AS379" s="30">
        <v>45291.0</v>
      </c>
      <c r="AT379" s="36">
        <v>0.0</v>
      </c>
      <c r="AU379" s="36">
        <v>0.0</v>
      </c>
      <c r="AV379" s="35" t="s">
        <v>7045</v>
      </c>
    </row>
    <row r="380" ht="14.25" customHeight="1">
      <c r="A380" s="28" t="s">
        <v>5259</v>
      </c>
      <c r="B380" s="29" t="s">
        <v>5260</v>
      </c>
      <c r="C380" s="29" t="s">
        <v>7041</v>
      </c>
      <c r="D380" s="30">
        <v>45658.0</v>
      </c>
      <c r="E380" s="30">
        <v>46022.0</v>
      </c>
      <c r="F380" s="36">
        <v>0.0</v>
      </c>
      <c r="G380" s="36">
        <v>0.0</v>
      </c>
      <c r="H380" s="35" t="s">
        <v>7045</v>
      </c>
      <c r="I380" s="30">
        <v>46023.0</v>
      </c>
      <c r="J380" s="30">
        <v>46387.0</v>
      </c>
      <c r="K380" s="36">
        <v>0.0</v>
      </c>
      <c r="L380" s="36">
        <v>0.0</v>
      </c>
      <c r="M380" s="35" t="s">
        <v>7045</v>
      </c>
      <c r="N380" s="30">
        <v>46388.0</v>
      </c>
      <c r="O380" s="30">
        <v>46752.0</v>
      </c>
      <c r="P380" s="36">
        <v>0.0</v>
      </c>
      <c r="Q380" s="36">
        <v>0.0</v>
      </c>
      <c r="R380" s="35" t="s">
        <v>7045</v>
      </c>
      <c r="S380" s="30">
        <v>46753.0</v>
      </c>
      <c r="T380" s="30">
        <v>47118.0</v>
      </c>
      <c r="U380" s="36">
        <v>0.0</v>
      </c>
      <c r="V380" s="36">
        <v>0.0</v>
      </c>
      <c r="W380" s="35" t="s">
        <v>7045</v>
      </c>
      <c r="X380" s="30">
        <v>47119.0</v>
      </c>
      <c r="Y380" s="30">
        <v>47483.0</v>
      </c>
      <c r="Z380" s="36">
        <v>0.0</v>
      </c>
      <c r="AA380" s="36">
        <v>0.0</v>
      </c>
      <c r="AB380" s="35" t="s">
        <v>7045</v>
      </c>
      <c r="AC380" s="30">
        <v>47484.0</v>
      </c>
      <c r="AD380" s="30">
        <v>47848.0</v>
      </c>
      <c r="AE380" s="36">
        <v>0.0</v>
      </c>
      <c r="AF380" s="36">
        <v>0.0</v>
      </c>
      <c r="AG380" s="35" t="s">
        <v>7045</v>
      </c>
      <c r="AH380" s="30">
        <v>45292.0</v>
      </c>
      <c r="AI380" s="30">
        <v>45657.0</v>
      </c>
      <c r="AJ380" s="36">
        <v>3.45</v>
      </c>
      <c r="AK380" s="36">
        <v>0.0</v>
      </c>
      <c r="AL380" s="38" t="s">
        <v>7047</v>
      </c>
      <c r="AM380" s="30">
        <v>44562.0</v>
      </c>
      <c r="AN380" s="30">
        <v>44926.0</v>
      </c>
      <c r="AO380" s="36">
        <v>0.0</v>
      </c>
      <c r="AP380" s="36">
        <v>0.0</v>
      </c>
      <c r="AQ380" s="35" t="s">
        <v>7045</v>
      </c>
      <c r="AR380" s="30">
        <v>44927.0</v>
      </c>
      <c r="AS380" s="30">
        <v>45291.0</v>
      </c>
      <c r="AT380" s="36">
        <v>0.0</v>
      </c>
      <c r="AU380" s="36">
        <v>0.0</v>
      </c>
      <c r="AV380" s="35" t="s">
        <v>7045</v>
      </c>
    </row>
    <row r="381" ht="14.25" customHeight="1">
      <c r="A381" s="28" t="s">
        <v>5335</v>
      </c>
      <c r="B381" s="29" t="s">
        <v>5336</v>
      </c>
      <c r="C381" s="29" t="s">
        <v>7041</v>
      </c>
      <c r="D381" s="30">
        <v>45658.0</v>
      </c>
      <c r="E381" s="30">
        <v>46022.0</v>
      </c>
      <c r="F381" s="36">
        <v>127.07</v>
      </c>
      <c r="G381" s="36">
        <v>200.0</v>
      </c>
      <c r="H381" s="38" t="s">
        <v>7047</v>
      </c>
      <c r="I381" s="30">
        <v>46023.0</v>
      </c>
      <c r="J381" s="30">
        <v>46387.0</v>
      </c>
      <c r="K381" s="36">
        <v>0.0</v>
      </c>
      <c r="L381" s="36">
        <v>0.0</v>
      </c>
      <c r="M381" s="35" t="s">
        <v>7045</v>
      </c>
      <c r="N381" s="30">
        <v>46388.0</v>
      </c>
      <c r="O381" s="30">
        <v>46752.0</v>
      </c>
      <c r="P381" s="36">
        <v>0.0</v>
      </c>
      <c r="Q381" s="36">
        <v>0.0</v>
      </c>
      <c r="R381" s="35" t="s">
        <v>7045</v>
      </c>
      <c r="S381" s="30">
        <v>46753.0</v>
      </c>
      <c r="T381" s="30">
        <v>47118.0</v>
      </c>
      <c r="U381" s="36">
        <v>0.0</v>
      </c>
      <c r="V381" s="36">
        <v>0.0</v>
      </c>
      <c r="W381" s="35" t="s">
        <v>7045</v>
      </c>
      <c r="X381" s="30">
        <v>47119.0</v>
      </c>
      <c r="Y381" s="30">
        <v>47483.0</v>
      </c>
      <c r="Z381" s="36">
        <v>0.0</v>
      </c>
      <c r="AA381" s="36">
        <v>0.0</v>
      </c>
      <c r="AB381" s="35" t="s">
        <v>7045</v>
      </c>
      <c r="AC381" s="30">
        <v>47484.0</v>
      </c>
      <c r="AD381" s="30">
        <v>47848.0</v>
      </c>
      <c r="AE381" s="36">
        <v>0.0</v>
      </c>
      <c r="AF381" s="36">
        <v>0.0</v>
      </c>
      <c r="AG381" s="35" t="s">
        <v>7045</v>
      </c>
      <c r="AH381" s="30">
        <v>45292.0</v>
      </c>
      <c r="AI381" s="30">
        <v>45657.0</v>
      </c>
      <c r="AJ381" s="36">
        <v>37.96</v>
      </c>
      <c r="AK381" s="36">
        <v>120.0</v>
      </c>
      <c r="AL381" s="32" t="s">
        <v>7043</v>
      </c>
      <c r="AM381" s="30">
        <v>44562.0</v>
      </c>
      <c r="AN381" s="30">
        <v>44926.0</v>
      </c>
      <c r="AO381" s="36">
        <v>0.0</v>
      </c>
      <c r="AP381" s="36">
        <v>0.0</v>
      </c>
      <c r="AQ381" s="35" t="s">
        <v>7045</v>
      </c>
      <c r="AR381" s="30">
        <v>44927.0</v>
      </c>
      <c r="AS381" s="30">
        <v>45291.0</v>
      </c>
      <c r="AT381" s="36">
        <v>0.0</v>
      </c>
      <c r="AU381" s="36">
        <v>0.0</v>
      </c>
      <c r="AV381" s="35" t="s">
        <v>7045</v>
      </c>
    </row>
    <row r="382" ht="14.25" customHeight="1">
      <c r="A382" s="28" t="s">
        <v>5389</v>
      </c>
      <c r="B382" s="29" t="s">
        <v>5390</v>
      </c>
      <c r="C382" s="29" t="s">
        <v>7041</v>
      </c>
      <c r="D382" s="30">
        <v>45658.0</v>
      </c>
      <c r="E382" s="30">
        <v>46022.0</v>
      </c>
      <c r="F382" s="39">
        <v>36.35</v>
      </c>
      <c r="G382" s="39">
        <v>200.0</v>
      </c>
      <c r="H382" s="32" t="s">
        <v>7043</v>
      </c>
      <c r="I382" s="30">
        <v>46023.0</v>
      </c>
      <c r="J382" s="30">
        <v>46387.0</v>
      </c>
      <c r="K382" s="39">
        <v>0.0</v>
      </c>
      <c r="L382" s="39">
        <v>0.0</v>
      </c>
      <c r="M382" s="35" t="s">
        <v>7045</v>
      </c>
      <c r="N382" s="30">
        <v>46388.0</v>
      </c>
      <c r="O382" s="30">
        <v>46752.0</v>
      </c>
      <c r="P382" s="39">
        <v>0.0</v>
      </c>
      <c r="Q382" s="39">
        <v>0.0</v>
      </c>
      <c r="R382" s="35" t="s">
        <v>7045</v>
      </c>
      <c r="S382" s="30">
        <v>46753.0</v>
      </c>
      <c r="T382" s="30">
        <v>47118.0</v>
      </c>
      <c r="U382" s="39">
        <v>0.0</v>
      </c>
      <c r="V382" s="39">
        <v>0.0</v>
      </c>
      <c r="W382" s="35" t="s">
        <v>7045</v>
      </c>
      <c r="X382" s="30">
        <v>47119.0</v>
      </c>
      <c r="Y382" s="30">
        <v>47483.0</v>
      </c>
      <c r="Z382" s="39">
        <v>0.0</v>
      </c>
      <c r="AA382" s="39">
        <v>0.0</v>
      </c>
      <c r="AB382" s="35" t="s">
        <v>7045</v>
      </c>
      <c r="AC382" s="30">
        <v>47484.0</v>
      </c>
      <c r="AD382" s="30">
        <v>47848.0</v>
      </c>
      <c r="AE382" s="39">
        <v>0.0</v>
      </c>
      <c r="AF382" s="39">
        <v>0.0</v>
      </c>
      <c r="AG382" s="35" t="s">
        <v>7045</v>
      </c>
      <c r="AH382" s="30">
        <v>45292.0</v>
      </c>
      <c r="AI382" s="30">
        <v>45657.0</v>
      </c>
      <c r="AJ382" s="39">
        <v>8.63</v>
      </c>
      <c r="AK382" s="39">
        <v>25.0</v>
      </c>
      <c r="AL382" s="32" t="s">
        <v>7043</v>
      </c>
      <c r="AM382" s="30">
        <v>44562.0</v>
      </c>
      <c r="AN382" s="30">
        <v>44926.0</v>
      </c>
      <c r="AO382" s="39">
        <v>0.0</v>
      </c>
      <c r="AP382" s="39">
        <v>0.0</v>
      </c>
      <c r="AQ382" s="35" t="s">
        <v>7045</v>
      </c>
      <c r="AR382" s="30">
        <v>44927.0</v>
      </c>
      <c r="AS382" s="30">
        <v>45291.0</v>
      </c>
      <c r="AT382" s="39">
        <v>0.0</v>
      </c>
      <c r="AU382" s="39">
        <v>0.0</v>
      </c>
      <c r="AV382" s="35" t="s">
        <v>7045</v>
      </c>
    </row>
    <row r="383" ht="14.25" customHeight="1">
      <c r="A383" s="28" t="s">
        <v>1864</v>
      </c>
      <c r="B383" s="29" t="s">
        <v>1865</v>
      </c>
      <c r="C383" s="29" t="s">
        <v>7041</v>
      </c>
      <c r="D383" s="30">
        <v>45658.0</v>
      </c>
      <c r="E383" s="30">
        <v>46022.0</v>
      </c>
      <c r="F383" s="39">
        <v>8.38</v>
      </c>
      <c r="G383" s="39">
        <v>0.0</v>
      </c>
      <c r="H383" s="38" t="s">
        <v>7047</v>
      </c>
      <c r="I383" s="30">
        <v>46023.0</v>
      </c>
      <c r="J383" s="30">
        <v>46387.0</v>
      </c>
      <c r="K383" s="39">
        <v>0.0</v>
      </c>
      <c r="L383" s="39">
        <v>0.0</v>
      </c>
      <c r="M383" s="35" t="s">
        <v>7045</v>
      </c>
      <c r="N383" s="30">
        <v>46388.0</v>
      </c>
      <c r="O383" s="30">
        <v>46752.0</v>
      </c>
      <c r="P383" s="39">
        <v>0.0</v>
      </c>
      <c r="Q383" s="39">
        <v>0.0</v>
      </c>
      <c r="R383" s="35" t="s">
        <v>7045</v>
      </c>
      <c r="S383" s="30">
        <v>46753.0</v>
      </c>
      <c r="T383" s="30">
        <v>47118.0</v>
      </c>
      <c r="U383" s="39">
        <v>0.0</v>
      </c>
      <c r="V383" s="39">
        <v>0.0</v>
      </c>
      <c r="W383" s="35" t="s">
        <v>7045</v>
      </c>
      <c r="X383" s="30">
        <v>47119.0</v>
      </c>
      <c r="Y383" s="30">
        <v>47483.0</v>
      </c>
      <c r="Z383" s="39">
        <v>0.0</v>
      </c>
      <c r="AA383" s="39">
        <v>0.0</v>
      </c>
      <c r="AB383" s="35" t="s">
        <v>7045</v>
      </c>
      <c r="AC383" s="30">
        <v>47484.0</v>
      </c>
      <c r="AD383" s="30">
        <v>47848.0</v>
      </c>
      <c r="AE383" s="39">
        <v>0.0</v>
      </c>
      <c r="AF383" s="39">
        <v>0.0</v>
      </c>
      <c r="AG383" s="35" t="s">
        <v>7045</v>
      </c>
      <c r="AH383" s="30">
        <v>45292.0</v>
      </c>
      <c r="AI383" s="30">
        <v>45657.0</v>
      </c>
      <c r="AJ383" s="39">
        <v>32.4</v>
      </c>
      <c r="AK383" s="39">
        <v>0.0</v>
      </c>
      <c r="AL383" s="38" t="s">
        <v>7047</v>
      </c>
      <c r="AM383" s="30">
        <v>44562.0</v>
      </c>
      <c r="AN383" s="30">
        <v>44926.0</v>
      </c>
      <c r="AO383" s="39">
        <v>20.7</v>
      </c>
      <c r="AP383" s="39">
        <v>0.0</v>
      </c>
      <c r="AQ383" s="38" t="s">
        <v>7047</v>
      </c>
      <c r="AR383" s="30">
        <v>44927.0</v>
      </c>
      <c r="AS383" s="30">
        <v>45291.0</v>
      </c>
      <c r="AT383" s="39">
        <v>59.86</v>
      </c>
      <c r="AU383" s="39">
        <v>0.0</v>
      </c>
      <c r="AV383" s="38" t="s">
        <v>7047</v>
      </c>
    </row>
    <row r="384" ht="14.25" customHeight="1">
      <c r="A384" s="28" t="s">
        <v>5844</v>
      </c>
      <c r="B384" s="29" t="s">
        <v>5845</v>
      </c>
      <c r="C384" s="29" t="s">
        <v>7041</v>
      </c>
      <c r="D384" s="30">
        <v>45658.0</v>
      </c>
      <c r="E384" s="30">
        <v>46022.0</v>
      </c>
      <c r="F384" s="39">
        <v>0.12</v>
      </c>
      <c r="G384" s="39">
        <v>0.0</v>
      </c>
      <c r="H384" s="35" t="s">
        <v>7047</v>
      </c>
      <c r="I384" s="30">
        <v>46023.0</v>
      </c>
      <c r="J384" s="30">
        <v>46387.0</v>
      </c>
      <c r="K384" s="39">
        <v>0.0</v>
      </c>
      <c r="L384" s="39">
        <v>0.0</v>
      </c>
      <c r="M384" s="35" t="s">
        <v>7045</v>
      </c>
      <c r="N384" s="30">
        <v>46388.0</v>
      </c>
      <c r="O384" s="30">
        <v>46752.0</v>
      </c>
      <c r="P384" s="39">
        <v>0.0</v>
      </c>
      <c r="Q384" s="39">
        <v>0.0</v>
      </c>
      <c r="R384" s="35" t="s">
        <v>7045</v>
      </c>
      <c r="S384" s="30">
        <v>46753.0</v>
      </c>
      <c r="T384" s="30">
        <v>47118.0</v>
      </c>
      <c r="U384" s="39">
        <v>0.0</v>
      </c>
      <c r="V384" s="39">
        <v>0.0</v>
      </c>
      <c r="W384" s="35" t="s">
        <v>7045</v>
      </c>
      <c r="X384" s="30">
        <v>47119.0</v>
      </c>
      <c r="Y384" s="30">
        <v>47483.0</v>
      </c>
      <c r="Z384" s="39">
        <v>0.0</v>
      </c>
      <c r="AA384" s="39">
        <v>0.0</v>
      </c>
      <c r="AB384" s="35" t="s">
        <v>7045</v>
      </c>
      <c r="AC384" s="30">
        <v>47484.0</v>
      </c>
      <c r="AD384" s="30">
        <v>47848.0</v>
      </c>
      <c r="AE384" s="39">
        <v>0.0</v>
      </c>
      <c r="AF384" s="39">
        <v>0.0</v>
      </c>
      <c r="AG384" s="35" t="s">
        <v>7045</v>
      </c>
      <c r="AH384" s="30">
        <v>45292.0</v>
      </c>
      <c r="AI384" s="30">
        <v>45657.0</v>
      </c>
      <c r="AJ384" s="39">
        <v>161.76</v>
      </c>
      <c r="AK384" s="39">
        <v>0.0</v>
      </c>
      <c r="AL384" s="38" t="s">
        <v>7047</v>
      </c>
      <c r="AM384" s="30">
        <v>44562.0</v>
      </c>
      <c r="AN384" s="30">
        <v>44926.0</v>
      </c>
      <c r="AO384" s="39">
        <v>625.3</v>
      </c>
      <c r="AP384" s="39">
        <v>0.0</v>
      </c>
      <c r="AQ384" s="38" t="s">
        <v>7047</v>
      </c>
      <c r="AR384" s="30">
        <v>44927.0</v>
      </c>
      <c r="AS384" s="30">
        <v>45291.0</v>
      </c>
      <c r="AT384" s="39">
        <v>0.0</v>
      </c>
      <c r="AU384" s="39">
        <v>0.0</v>
      </c>
      <c r="AV384" s="35" t="s">
        <v>7045</v>
      </c>
    </row>
    <row r="385" ht="14.25" customHeight="1">
      <c r="A385" s="28" t="s">
        <v>4174</v>
      </c>
      <c r="B385" s="29" t="s">
        <v>4175</v>
      </c>
      <c r="C385" s="29" t="s">
        <v>7041</v>
      </c>
      <c r="D385" s="30">
        <v>45658.0</v>
      </c>
      <c r="E385" s="30">
        <v>46022.0</v>
      </c>
      <c r="F385" s="36">
        <v>0.0</v>
      </c>
      <c r="G385" s="36">
        <v>100.0</v>
      </c>
      <c r="H385" s="32" t="s">
        <v>7043</v>
      </c>
      <c r="I385" s="30">
        <v>46023.0</v>
      </c>
      <c r="J385" s="30">
        <v>46387.0</v>
      </c>
      <c r="K385" s="36">
        <v>0.0</v>
      </c>
      <c r="L385" s="36">
        <v>0.0</v>
      </c>
      <c r="M385" s="35" t="s">
        <v>7045</v>
      </c>
      <c r="N385" s="30">
        <v>46388.0</v>
      </c>
      <c r="O385" s="30">
        <v>46752.0</v>
      </c>
      <c r="P385" s="36">
        <v>0.0</v>
      </c>
      <c r="Q385" s="36">
        <v>0.0</v>
      </c>
      <c r="R385" s="35" t="s">
        <v>7045</v>
      </c>
      <c r="S385" s="30">
        <v>46753.0</v>
      </c>
      <c r="T385" s="30">
        <v>47118.0</v>
      </c>
      <c r="U385" s="36">
        <v>0.0</v>
      </c>
      <c r="V385" s="36">
        <v>0.0</v>
      </c>
      <c r="W385" s="35" t="s">
        <v>7045</v>
      </c>
      <c r="X385" s="30">
        <v>47119.0</v>
      </c>
      <c r="Y385" s="30">
        <v>47483.0</v>
      </c>
      <c r="Z385" s="36">
        <v>0.0</v>
      </c>
      <c r="AA385" s="36">
        <v>0.0</v>
      </c>
      <c r="AB385" s="35" t="s">
        <v>7045</v>
      </c>
      <c r="AC385" s="30">
        <v>47484.0</v>
      </c>
      <c r="AD385" s="30">
        <v>47848.0</v>
      </c>
      <c r="AE385" s="36">
        <v>0.0</v>
      </c>
      <c r="AF385" s="36">
        <v>0.0</v>
      </c>
      <c r="AG385" s="35" t="s">
        <v>7045</v>
      </c>
      <c r="AH385" s="30">
        <v>45292.0</v>
      </c>
      <c r="AI385" s="30">
        <v>45657.0</v>
      </c>
      <c r="AJ385" s="36">
        <v>0.0</v>
      </c>
      <c r="AK385" s="36">
        <v>0.0</v>
      </c>
      <c r="AL385" s="35" t="s">
        <v>7045</v>
      </c>
      <c r="AM385" s="30">
        <v>44562.0</v>
      </c>
      <c r="AN385" s="30">
        <v>44926.0</v>
      </c>
      <c r="AO385" s="36">
        <v>0.0</v>
      </c>
      <c r="AP385" s="36">
        <v>0.0</v>
      </c>
      <c r="AQ385" s="35" t="s">
        <v>7045</v>
      </c>
      <c r="AR385" s="30">
        <v>44927.0</v>
      </c>
      <c r="AS385" s="30">
        <v>45291.0</v>
      </c>
      <c r="AT385" s="36">
        <v>0.0</v>
      </c>
      <c r="AU385" s="36">
        <v>0.0</v>
      </c>
      <c r="AV385" s="35" t="s">
        <v>7045</v>
      </c>
    </row>
    <row r="386" ht="14.25" customHeight="1">
      <c r="A386" s="28" t="s">
        <v>2869</v>
      </c>
      <c r="B386" s="29" t="s">
        <v>2870</v>
      </c>
      <c r="C386" s="29" t="s">
        <v>7041</v>
      </c>
      <c r="D386" s="30">
        <v>45658.0</v>
      </c>
      <c r="E386" s="30">
        <v>46022.0</v>
      </c>
      <c r="F386" s="36">
        <v>320.53</v>
      </c>
      <c r="G386" s="36">
        <v>300.0</v>
      </c>
      <c r="H386" s="32" t="s">
        <v>7047</v>
      </c>
      <c r="I386" s="30">
        <v>46023.0</v>
      </c>
      <c r="J386" s="30">
        <v>46387.0</v>
      </c>
      <c r="K386" s="36">
        <v>0.0</v>
      </c>
      <c r="L386" s="36">
        <v>0.0</v>
      </c>
      <c r="M386" s="35" t="s">
        <v>7045</v>
      </c>
      <c r="N386" s="30">
        <v>46388.0</v>
      </c>
      <c r="O386" s="30">
        <v>46752.0</v>
      </c>
      <c r="P386" s="36">
        <v>0.0</v>
      </c>
      <c r="Q386" s="36">
        <v>0.0</v>
      </c>
      <c r="R386" s="35" t="s">
        <v>7045</v>
      </c>
      <c r="S386" s="30">
        <v>46753.0</v>
      </c>
      <c r="T386" s="30">
        <v>47118.0</v>
      </c>
      <c r="U386" s="36">
        <v>0.0</v>
      </c>
      <c r="V386" s="36">
        <v>0.0</v>
      </c>
      <c r="W386" s="35" t="s">
        <v>7045</v>
      </c>
      <c r="X386" s="30">
        <v>47119.0</v>
      </c>
      <c r="Y386" s="30">
        <v>47483.0</v>
      </c>
      <c r="Z386" s="36">
        <v>0.0</v>
      </c>
      <c r="AA386" s="36">
        <v>0.0</v>
      </c>
      <c r="AB386" s="35" t="s">
        <v>7045</v>
      </c>
      <c r="AC386" s="30">
        <v>47484.0</v>
      </c>
      <c r="AD386" s="30">
        <v>47848.0</v>
      </c>
      <c r="AE386" s="36">
        <v>0.0</v>
      </c>
      <c r="AF386" s="36">
        <v>0.0</v>
      </c>
      <c r="AG386" s="35" t="s">
        <v>7045</v>
      </c>
      <c r="AH386" s="30">
        <v>45292.0</v>
      </c>
      <c r="AI386" s="30">
        <v>45657.0</v>
      </c>
      <c r="AJ386" s="36">
        <v>115.54</v>
      </c>
      <c r="AK386" s="36">
        <v>250.0</v>
      </c>
      <c r="AL386" s="32" t="s">
        <v>7043</v>
      </c>
      <c r="AM386" s="30">
        <v>44562.0</v>
      </c>
      <c r="AN386" s="30">
        <v>44926.0</v>
      </c>
      <c r="AO386" s="36">
        <v>143.8</v>
      </c>
      <c r="AP386" s="36">
        <v>0.0</v>
      </c>
      <c r="AQ386" s="38" t="s">
        <v>7047</v>
      </c>
      <c r="AR386" s="30">
        <v>44927.0</v>
      </c>
      <c r="AS386" s="30">
        <v>45291.0</v>
      </c>
      <c r="AT386" s="36">
        <v>167.22</v>
      </c>
      <c r="AU386" s="36">
        <v>300.0</v>
      </c>
      <c r="AV386" s="37" t="s">
        <v>7046</v>
      </c>
    </row>
    <row r="387" ht="14.25" customHeight="1">
      <c r="A387" s="28" t="s">
        <v>6381</v>
      </c>
      <c r="B387" s="29" t="s">
        <v>6382</v>
      </c>
      <c r="C387" s="29" t="s">
        <v>7041</v>
      </c>
      <c r="D387" s="30">
        <v>45658.0</v>
      </c>
      <c r="E387" s="30">
        <v>46022.0</v>
      </c>
      <c r="F387" s="39">
        <v>63.53</v>
      </c>
      <c r="G387" s="39">
        <v>200.0</v>
      </c>
      <c r="H387" s="37" t="s">
        <v>7046</v>
      </c>
      <c r="I387" s="30">
        <v>46023.0</v>
      </c>
      <c r="J387" s="30">
        <v>46387.0</v>
      </c>
      <c r="K387" s="39">
        <v>0.0</v>
      </c>
      <c r="L387" s="39">
        <v>0.0</v>
      </c>
      <c r="M387" s="35" t="s">
        <v>7045</v>
      </c>
      <c r="N387" s="30">
        <v>46388.0</v>
      </c>
      <c r="O387" s="30">
        <v>46752.0</v>
      </c>
      <c r="P387" s="39">
        <v>0.0</v>
      </c>
      <c r="Q387" s="39">
        <v>0.0</v>
      </c>
      <c r="R387" s="35" t="s">
        <v>7045</v>
      </c>
      <c r="S387" s="30">
        <v>46753.0</v>
      </c>
      <c r="T387" s="30">
        <v>47118.0</v>
      </c>
      <c r="U387" s="39">
        <v>0.0</v>
      </c>
      <c r="V387" s="39">
        <v>0.0</v>
      </c>
      <c r="W387" s="35" t="s">
        <v>7045</v>
      </c>
      <c r="X387" s="30">
        <v>47119.0</v>
      </c>
      <c r="Y387" s="30">
        <v>47483.0</v>
      </c>
      <c r="Z387" s="39">
        <v>0.0</v>
      </c>
      <c r="AA387" s="39">
        <v>0.0</v>
      </c>
      <c r="AB387" s="35" t="s">
        <v>7045</v>
      </c>
      <c r="AC387" s="30">
        <v>47484.0</v>
      </c>
      <c r="AD387" s="30">
        <v>47848.0</v>
      </c>
      <c r="AE387" s="39">
        <v>0.0</v>
      </c>
      <c r="AF387" s="39">
        <v>0.0</v>
      </c>
      <c r="AG387" s="35" t="s">
        <v>7045</v>
      </c>
      <c r="AH387" s="30">
        <v>45292.0</v>
      </c>
      <c r="AI387" s="30">
        <v>45657.0</v>
      </c>
      <c r="AJ387" s="39">
        <v>136.31</v>
      </c>
      <c r="AK387" s="39">
        <v>200.0</v>
      </c>
      <c r="AL387" s="37" t="s">
        <v>7046</v>
      </c>
      <c r="AM387" s="30">
        <v>44562.0</v>
      </c>
      <c r="AN387" s="30">
        <v>44926.0</v>
      </c>
      <c r="AO387" s="39">
        <v>241.2</v>
      </c>
      <c r="AP387" s="39">
        <v>296.6</v>
      </c>
      <c r="AQ387" s="37" t="s">
        <v>7046</v>
      </c>
      <c r="AR387" s="30">
        <v>44927.0</v>
      </c>
      <c r="AS387" s="30">
        <v>45291.0</v>
      </c>
      <c r="AT387" s="39">
        <v>177.03</v>
      </c>
      <c r="AU387" s="39">
        <v>341.5</v>
      </c>
      <c r="AV387" s="37" t="s">
        <v>7046</v>
      </c>
    </row>
    <row r="388" ht="14.25" customHeight="1">
      <c r="A388" s="28" t="s">
        <v>2045</v>
      </c>
      <c r="B388" s="29" t="s">
        <v>2046</v>
      </c>
      <c r="C388" s="29" t="s">
        <v>7041</v>
      </c>
      <c r="D388" s="30">
        <v>45658.0</v>
      </c>
      <c r="E388" s="30">
        <v>46022.0</v>
      </c>
      <c r="F388" s="39">
        <v>0.0</v>
      </c>
      <c r="G388" s="39">
        <v>0.0</v>
      </c>
      <c r="H388" s="35" t="s">
        <v>7045</v>
      </c>
      <c r="I388" s="30">
        <v>46023.0</v>
      </c>
      <c r="J388" s="30">
        <v>46387.0</v>
      </c>
      <c r="K388" s="39">
        <v>0.0</v>
      </c>
      <c r="L388" s="39">
        <v>0.0</v>
      </c>
      <c r="M388" s="35" t="s">
        <v>7045</v>
      </c>
      <c r="N388" s="30">
        <v>46388.0</v>
      </c>
      <c r="O388" s="30">
        <v>46752.0</v>
      </c>
      <c r="P388" s="39">
        <v>0.0</v>
      </c>
      <c r="Q388" s="39">
        <v>0.0</v>
      </c>
      <c r="R388" s="35" t="s">
        <v>7045</v>
      </c>
      <c r="S388" s="30">
        <v>46753.0</v>
      </c>
      <c r="T388" s="30">
        <v>47118.0</v>
      </c>
      <c r="U388" s="39">
        <v>0.0</v>
      </c>
      <c r="V388" s="39">
        <v>0.0</v>
      </c>
      <c r="W388" s="35" t="s">
        <v>7045</v>
      </c>
      <c r="X388" s="30">
        <v>47119.0</v>
      </c>
      <c r="Y388" s="30">
        <v>47483.0</v>
      </c>
      <c r="Z388" s="39">
        <v>0.0</v>
      </c>
      <c r="AA388" s="39">
        <v>0.0</v>
      </c>
      <c r="AB388" s="35" t="s">
        <v>7045</v>
      </c>
      <c r="AC388" s="30">
        <v>47484.0</v>
      </c>
      <c r="AD388" s="30">
        <v>47848.0</v>
      </c>
      <c r="AE388" s="39">
        <v>0.0</v>
      </c>
      <c r="AF388" s="39">
        <v>0.0</v>
      </c>
      <c r="AG388" s="35" t="s">
        <v>7045</v>
      </c>
      <c r="AH388" s="30">
        <v>45292.0</v>
      </c>
      <c r="AI388" s="30">
        <v>45657.0</v>
      </c>
      <c r="AJ388" s="39">
        <v>18.47</v>
      </c>
      <c r="AK388" s="39">
        <v>0.0</v>
      </c>
      <c r="AL388" s="38" t="s">
        <v>7047</v>
      </c>
      <c r="AM388" s="30">
        <v>44562.0</v>
      </c>
      <c r="AN388" s="30">
        <v>44926.0</v>
      </c>
      <c r="AO388" s="39">
        <v>0.0</v>
      </c>
      <c r="AP388" s="39">
        <v>0.0</v>
      </c>
      <c r="AQ388" s="35" t="s">
        <v>7045</v>
      </c>
      <c r="AR388" s="30">
        <v>44927.0</v>
      </c>
      <c r="AS388" s="30">
        <v>45291.0</v>
      </c>
      <c r="AT388" s="39">
        <v>0.0</v>
      </c>
      <c r="AU388" s="39">
        <v>0.0</v>
      </c>
      <c r="AV388" s="35" t="s">
        <v>7045</v>
      </c>
    </row>
    <row r="389" ht="14.25" customHeight="1">
      <c r="A389" s="28" t="s">
        <v>4934</v>
      </c>
      <c r="B389" s="29" t="s">
        <v>4935</v>
      </c>
      <c r="C389" s="29" t="s">
        <v>7041</v>
      </c>
      <c r="D389" s="30">
        <v>45658.0</v>
      </c>
      <c r="E389" s="30">
        <v>46022.0</v>
      </c>
      <c r="F389" s="36">
        <v>732.91</v>
      </c>
      <c r="G389" s="36">
        <v>1199.99</v>
      </c>
      <c r="H389" s="32" t="s">
        <v>7047</v>
      </c>
      <c r="I389" s="30">
        <v>46023.0</v>
      </c>
      <c r="J389" s="30">
        <v>46387.0</v>
      </c>
      <c r="K389" s="36">
        <v>0.0</v>
      </c>
      <c r="L389" s="36">
        <v>0.0</v>
      </c>
      <c r="M389" s="35" t="s">
        <v>7045</v>
      </c>
      <c r="N389" s="30">
        <v>46388.0</v>
      </c>
      <c r="O389" s="30">
        <v>46752.0</v>
      </c>
      <c r="P389" s="36">
        <v>0.0</v>
      </c>
      <c r="Q389" s="36">
        <v>0.0</v>
      </c>
      <c r="R389" s="35" t="s">
        <v>7045</v>
      </c>
      <c r="S389" s="30">
        <v>46753.0</v>
      </c>
      <c r="T389" s="30">
        <v>47118.0</v>
      </c>
      <c r="U389" s="36">
        <v>0.0</v>
      </c>
      <c r="V389" s="36">
        <v>0.0</v>
      </c>
      <c r="W389" s="35" t="s">
        <v>7045</v>
      </c>
      <c r="X389" s="30">
        <v>47119.0</v>
      </c>
      <c r="Y389" s="30">
        <v>47483.0</v>
      </c>
      <c r="Z389" s="36">
        <v>0.0</v>
      </c>
      <c r="AA389" s="36">
        <v>0.0</v>
      </c>
      <c r="AB389" s="35" t="s">
        <v>7045</v>
      </c>
      <c r="AC389" s="30">
        <v>47484.0</v>
      </c>
      <c r="AD389" s="30">
        <v>47848.0</v>
      </c>
      <c r="AE389" s="36">
        <v>0.0</v>
      </c>
      <c r="AF389" s="36">
        <v>0.0</v>
      </c>
      <c r="AG389" s="35" t="s">
        <v>7045</v>
      </c>
      <c r="AH389" s="30">
        <v>45292.0</v>
      </c>
      <c r="AI389" s="30">
        <v>45657.0</v>
      </c>
      <c r="AJ389" s="36">
        <v>1060.01</v>
      </c>
      <c r="AK389" s="36">
        <v>789.99</v>
      </c>
      <c r="AL389" s="38" t="s">
        <v>7047</v>
      </c>
      <c r="AM389" s="30">
        <v>44562.0</v>
      </c>
      <c r="AN389" s="30">
        <v>44926.0</v>
      </c>
      <c r="AO389" s="36">
        <v>0.0</v>
      </c>
      <c r="AP389" s="36">
        <v>0.0</v>
      </c>
      <c r="AQ389" s="35" t="s">
        <v>7045</v>
      </c>
      <c r="AR389" s="30">
        <v>44927.0</v>
      </c>
      <c r="AS389" s="30">
        <v>45291.0</v>
      </c>
      <c r="AT389" s="36">
        <v>0.0</v>
      </c>
      <c r="AU389" s="36">
        <v>0.0</v>
      </c>
      <c r="AV389" s="35" t="s">
        <v>7045</v>
      </c>
    </row>
    <row r="390" ht="14.25" customHeight="1">
      <c r="A390" s="28" t="s">
        <v>1386</v>
      </c>
      <c r="B390" s="29" t="s">
        <v>1387</v>
      </c>
      <c r="C390" s="29" t="s">
        <v>7041</v>
      </c>
      <c r="D390" s="30">
        <v>45658.0</v>
      </c>
      <c r="E390" s="30">
        <v>46022.0</v>
      </c>
      <c r="F390" s="39">
        <v>11.35</v>
      </c>
      <c r="G390" s="39">
        <v>0.0</v>
      </c>
      <c r="H390" s="38" t="s">
        <v>7047</v>
      </c>
      <c r="I390" s="30">
        <v>46023.0</v>
      </c>
      <c r="J390" s="30">
        <v>46387.0</v>
      </c>
      <c r="K390" s="39">
        <v>0.0</v>
      </c>
      <c r="L390" s="39">
        <v>0.0</v>
      </c>
      <c r="M390" s="35" t="s">
        <v>7045</v>
      </c>
      <c r="N390" s="30">
        <v>46388.0</v>
      </c>
      <c r="O390" s="30">
        <v>46752.0</v>
      </c>
      <c r="P390" s="39">
        <v>0.0</v>
      </c>
      <c r="Q390" s="39">
        <v>0.0</v>
      </c>
      <c r="R390" s="35" t="s">
        <v>7045</v>
      </c>
      <c r="S390" s="30">
        <v>46753.0</v>
      </c>
      <c r="T390" s="30">
        <v>47118.0</v>
      </c>
      <c r="U390" s="39">
        <v>0.0</v>
      </c>
      <c r="V390" s="39">
        <v>0.0</v>
      </c>
      <c r="W390" s="35" t="s">
        <v>7045</v>
      </c>
      <c r="X390" s="30">
        <v>47119.0</v>
      </c>
      <c r="Y390" s="30">
        <v>47483.0</v>
      </c>
      <c r="Z390" s="39">
        <v>0.0</v>
      </c>
      <c r="AA390" s="39">
        <v>0.0</v>
      </c>
      <c r="AB390" s="35" t="s">
        <v>7045</v>
      </c>
      <c r="AC390" s="30">
        <v>47484.0</v>
      </c>
      <c r="AD390" s="30">
        <v>47848.0</v>
      </c>
      <c r="AE390" s="39">
        <v>0.0</v>
      </c>
      <c r="AF390" s="39">
        <v>0.0</v>
      </c>
      <c r="AG390" s="35" t="s">
        <v>7045</v>
      </c>
      <c r="AH390" s="30">
        <v>45292.0</v>
      </c>
      <c r="AI390" s="30">
        <v>45657.0</v>
      </c>
      <c r="AJ390" s="39">
        <v>13.03</v>
      </c>
      <c r="AK390" s="39">
        <v>518.0</v>
      </c>
      <c r="AL390" s="32" t="s">
        <v>7043</v>
      </c>
      <c r="AM390" s="30">
        <v>44562.0</v>
      </c>
      <c r="AN390" s="30">
        <v>44926.0</v>
      </c>
      <c r="AO390" s="39">
        <v>0.0</v>
      </c>
      <c r="AP390" s="39">
        <v>300.0</v>
      </c>
      <c r="AQ390" s="32" t="s">
        <v>7043</v>
      </c>
      <c r="AR390" s="30">
        <v>44927.0</v>
      </c>
      <c r="AS390" s="30">
        <v>45291.0</v>
      </c>
      <c r="AT390" s="39">
        <v>6.02</v>
      </c>
      <c r="AU390" s="39">
        <v>520.0</v>
      </c>
      <c r="AV390" s="32" t="s">
        <v>7043</v>
      </c>
    </row>
    <row r="391" ht="14.25" customHeight="1">
      <c r="A391" s="28" t="s">
        <v>2276</v>
      </c>
      <c r="B391" s="29" t="s">
        <v>2277</v>
      </c>
      <c r="C391" s="29" t="s">
        <v>7041</v>
      </c>
      <c r="D391" s="30">
        <v>45658.0</v>
      </c>
      <c r="E391" s="30">
        <v>46022.0</v>
      </c>
      <c r="F391" s="39">
        <v>47.55</v>
      </c>
      <c r="G391" s="39">
        <v>0.0</v>
      </c>
      <c r="H391" s="38" t="s">
        <v>7047</v>
      </c>
      <c r="I391" s="30">
        <v>46023.0</v>
      </c>
      <c r="J391" s="30">
        <v>46387.0</v>
      </c>
      <c r="K391" s="39">
        <v>0.0</v>
      </c>
      <c r="L391" s="39">
        <v>0.0</v>
      </c>
      <c r="M391" s="35" t="s">
        <v>7045</v>
      </c>
      <c r="N391" s="30">
        <v>46388.0</v>
      </c>
      <c r="O391" s="30">
        <v>46752.0</v>
      </c>
      <c r="P391" s="39">
        <v>0.0</v>
      </c>
      <c r="Q391" s="39">
        <v>0.0</v>
      </c>
      <c r="R391" s="35" t="s">
        <v>7045</v>
      </c>
      <c r="S391" s="30">
        <v>46753.0</v>
      </c>
      <c r="T391" s="30">
        <v>47118.0</v>
      </c>
      <c r="U391" s="39">
        <v>0.0</v>
      </c>
      <c r="V391" s="39">
        <v>0.0</v>
      </c>
      <c r="W391" s="35" t="s">
        <v>7045</v>
      </c>
      <c r="X391" s="30">
        <v>47119.0</v>
      </c>
      <c r="Y391" s="30">
        <v>47483.0</v>
      </c>
      <c r="Z391" s="39">
        <v>0.0</v>
      </c>
      <c r="AA391" s="39">
        <v>0.0</v>
      </c>
      <c r="AB391" s="35" t="s">
        <v>7045</v>
      </c>
      <c r="AC391" s="30">
        <v>47484.0</v>
      </c>
      <c r="AD391" s="30">
        <v>47848.0</v>
      </c>
      <c r="AE391" s="39">
        <v>0.0</v>
      </c>
      <c r="AF391" s="39">
        <v>0.0</v>
      </c>
      <c r="AG391" s="35" t="s">
        <v>7045</v>
      </c>
      <c r="AH391" s="30">
        <v>45292.0</v>
      </c>
      <c r="AI391" s="30">
        <v>45657.0</v>
      </c>
      <c r="AJ391" s="39">
        <v>23.77</v>
      </c>
      <c r="AK391" s="39">
        <v>70.0</v>
      </c>
      <c r="AL391" s="32" t="s">
        <v>7043</v>
      </c>
      <c r="AM391" s="30">
        <v>44562.0</v>
      </c>
      <c r="AN391" s="30">
        <v>44926.0</v>
      </c>
      <c r="AO391" s="39">
        <v>104.0</v>
      </c>
      <c r="AP391" s="39">
        <v>0.0</v>
      </c>
      <c r="AQ391" s="38" t="s">
        <v>7047</v>
      </c>
      <c r="AR391" s="30">
        <v>44927.0</v>
      </c>
      <c r="AS391" s="30">
        <v>45291.0</v>
      </c>
      <c r="AT391" s="39">
        <v>33.27</v>
      </c>
      <c r="AU391" s="39">
        <v>65.0</v>
      </c>
      <c r="AV391" s="37" t="s">
        <v>7046</v>
      </c>
    </row>
    <row r="392" ht="14.25" customHeight="1">
      <c r="A392" s="28" t="s">
        <v>5747</v>
      </c>
      <c r="B392" s="29" t="s">
        <v>5748</v>
      </c>
      <c r="C392" s="29" t="s">
        <v>7041</v>
      </c>
      <c r="D392" s="30">
        <v>45658.0</v>
      </c>
      <c r="E392" s="30">
        <v>46022.0</v>
      </c>
      <c r="F392" s="36">
        <v>41.04</v>
      </c>
      <c r="G392" s="36">
        <v>525.0</v>
      </c>
      <c r="H392" s="32" t="s">
        <v>7043</v>
      </c>
      <c r="I392" s="30">
        <v>46023.0</v>
      </c>
      <c r="J392" s="30">
        <v>46387.0</v>
      </c>
      <c r="K392" s="36">
        <v>0.0</v>
      </c>
      <c r="L392" s="36">
        <v>0.0</v>
      </c>
      <c r="M392" s="35" t="s">
        <v>7045</v>
      </c>
      <c r="N392" s="30">
        <v>46388.0</v>
      </c>
      <c r="O392" s="30">
        <v>46752.0</v>
      </c>
      <c r="P392" s="36">
        <v>0.0</v>
      </c>
      <c r="Q392" s="36">
        <v>0.0</v>
      </c>
      <c r="R392" s="35" t="s">
        <v>7045</v>
      </c>
      <c r="S392" s="30">
        <v>46753.0</v>
      </c>
      <c r="T392" s="30">
        <v>47118.0</v>
      </c>
      <c r="U392" s="36">
        <v>0.0</v>
      </c>
      <c r="V392" s="36">
        <v>0.0</v>
      </c>
      <c r="W392" s="35" t="s">
        <v>7045</v>
      </c>
      <c r="X392" s="30">
        <v>47119.0</v>
      </c>
      <c r="Y392" s="30">
        <v>47483.0</v>
      </c>
      <c r="Z392" s="36">
        <v>0.0</v>
      </c>
      <c r="AA392" s="36">
        <v>0.0</v>
      </c>
      <c r="AB392" s="35" t="s">
        <v>7045</v>
      </c>
      <c r="AC392" s="30">
        <v>47484.0</v>
      </c>
      <c r="AD392" s="30">
        <v>47848.0</v>
      </c>
      <c r="AE392" s="36">
        <v>0.0</v>
      </c>
      <c r="AF392" s="36">
        <v>0.0</v>
      </c>
      <c r="AG392" s="35" t="s">
        <v>7045</v>
      </c>
      <c r="AH392" s="30">
        <v>45292.0</v>
      </c>
      <c r="AI392" s="30">
        <v>45657.0</v>
      </c>
      <c r="AJ392" s="36">
        <v>72.38</v>
      </c>
      <c r="AK392" s="36">
        <v>999.99</v>
      </c>
      <c r="AL392" s="32" t="s">
        <v>7043</v>
      </c>
      <c r="AM392" s="30">
        <v>44562.0</v>
      </c>
      <c r="AN392" s="30">
        <v>44926.0</v>
      </c>
      <c r="AO392" s="36">
        <v>0.0</v>
      </c>
      <c r="AP392" s="36">
        <v>0.0</v>
      </c>
      <c r="AQ392" s="35" t="s">
        <v>7045</v>
      </c>
      <c r="AR392" s="30">
        <v>44927.0</v>
      </c>
      <c r="AS392" s="30">
        <v>45291.0</v>
      </c>
      <c r="AT392" s="36">
        <v>0.0</v>
      </c>
      <c r="AU392" s="36">
        <v>1109.99</v>
      </c>
      <c r="AV392" s="32" t="s">
        <v>7043</v>
      </c>
    </row>
    <row r="393" ht="14.25" customHeight="1">
      <c r="A393" s="28" t="s">
        <v>3097</v>
      </c>
      <c r="B393" s="29" t="s">
        <v>3098</v>
      </c>
      <c r="C393" s="29" t="s">
        <v>7041</v>
      </c>
      <c r="D393" s="30">
        <v>45658.0</v>
      </c>
      <c r="E393" s="30">
        <v>46022.0</v>
      </c>
      <c r="F393" s="39">
        <v>17.76</v>
      </c>
      <c r="G393" s="39">
        <v>0.0</v>
      </c>
      <c r="H393" s="38" t="s">
        <v>7047</v>
      </c>
      <c r="I393" s="30">
        <v>46023.0</v>
      </c>
      <c r="J393" s="30">
        <v>46387.0</v>
      </c>
      <c r="K393" s="39">
        <v>0.0</v>
      </c>
      <c r="L393" s="39">
        <v>0.0</v>
      </c>
      <c r="M393" s="35" t="s">
        <v>7045</v>
      </c>
      <c r="N393" s="30">
        <v>46388.0</v>
      </c>
      <c r="O393" s="30">
        <v>46752.0</v>
      </c>
      <c r="P393" s="39">
        <v>0.0</v>
      </c>
      <c r="Q393" s="39">
        <v>0.0</v>
      </c>
      <c r="R393" s="35" t="s">
        <v>7045</v>
      </c>
      <c r="S393" s="30">
        <v>46753.0</v>
      </c>
      <c r="T393" s="30">
        <v>47118.0</v>
      </c>
      <c r="U393" s="39">
        <v>0.0</v>
      </c>
      <c r="V393" s="39">
        <v>0.0</v>
      </c>
      <c r="W393" s="35" t="s">
        <v>7045</v>
      </c>
      <c r="X393" s="30">
        <v>47119.0</v>
      </c>
      <c r="Y393" s="30">
        <v>47483.0</v>
      </c>
      <c r="Z393" s="39">
        <v>0.0</v>
      </c>
      <c r="AA393" s="39">
        <v>0.0</v>
      </c>
      <c r="AB393" s="35" t="s">
        <v>7045</v>
      </c>
      <c r="AC393" s="30">
        <v>47484.0</v>
      </c>
      <c r="AD393" s="30">
        <v>47848.0</v>
      </c>
      <c r="AE393" s="39">
        <v>0.0</v>
      </c>
      <c r="AF393" s="39">
        <v>0.0</v>
      </c>
      <c r="AG393" s="35" t="s">
        <v>7045</v>
      </c>
      <c r="AH393" s="30">
        <v>45292.0</v>
      </c>
      <c r="AI393" s="30">
        <v>45657.0</v>
      </c>
      <c r="AJ393" s="39">
        <v>91.27</v>
      </c>
      <c r="AK393" s="39">
        <v>160.0</v>
      </c>
      <c r="AL393" s="37" t="s">
        <v>7046</v>
      </c>
      <c r="AM393" s="30">
        <v>44562.0</v>
      </c>
      <c r="AN393" s="30">
        <v>44926.0</v>
      </c>
      <c r="AO393" s="39">
        <v>169.3</v>
      </c>
      <c r="AP393" s="39">
        <v>0.0</v>
      </c>
      <c r="AQ393" s="38" t="s">
        <v>7047</v>
      </c>
      <c r="AR393" s="30">
        <v>44927.0</v>
      </c>
      <c r="AS393" s="30">
        <v>45291.0</v>
      </c>
      <c r="AT393" s="39">
        <v>88.84</v>
      </c>
      <c r="AU393" s="39">
        <v>198.0</v>
      </c>
      <c r="AV393" s="32" t="s">
        <v>7043</v>
      </c>
    </row>
    <row r="394" ht="14.25" customHeight="1">
      <c r="A394" s="28" t="s">
        <v>6796</v>
      </c>
      <c r="B394" s="29" t="s">
        <v>6797</v>
      </c>
      <c r="C394" s="29" t="s">
        <v>7041</v>
      </c>
      <c r="D394" s="30">
        <v>45658.0</v>
      </c>
      <c r="E394" s="30">
        <v>46022.0</v>
      </c>
      <c r="F394" s="39">
        <v>1.21</v>
      </c>
      <c r="G394" s="39">
        <v>0.0</v>
      </c>
      <c r="H394" s="35" t="s">
        <v>7047</v>
      </c>
      <c r="I394" s="30">
        <v>46023.0</v>
      </c>
      <c r="J394" s="30">
        <v>46387.0</v>
      </c>
      <c r="K394" s="39">
        <v>0.0</v>
      </c>
      <c r="L394" s="39">
        <v>0.0</v>
      </c>
      <c r="M394" s="35" t="s">
        <v>7045</v>
      </c>
      <c r="N394" s="30">
        <v>46388.0</v>
      </c>
      <c r="O394" s="30">
        <v>46752.0</v>
      </c>
      <c r="P394" s="39">
        <v>0.0</v>
      </c>
      <c r="Q394" s="39">
        <v>0.0</v>
      </c>
      <c r="R394" s="35" t="s">
        <v>7045</v>
      </c>
      <c r="S394" s="30">
        <v>46753.0</v>
      </c>
      <c r="T394" s="30">
        <v>47118.0</v>
      </c>
      <c r="U394" s="39">
        <v>0.0</v>
      </c>
      <c r="V394" s="39">
        <v>0.0</v>
      </c>
      <c r="W394" s="35" t="s">
        <v>7045</v>
      </c>
      <c r="X394" s="30">
        <v>47119.0</v>
      </c>
      <c r="Y394" s="30">
        <v>47483.0</v>
      </c>
      <c r="Z394" s="39">
        <v>0.0</v>
      </c>
      <c r="AA394" s="39">
        <v>0.0</v>
      </c>
      <c r="AB394" s="35" t="s">
        <v>7045</v>
      </c>
      <c r="AC394" s="30">
        <v>47484.0</v>
      </c>
      <c r="AD394" s="30">
        <v>47848.0</v>
      </c>
      <c r="AE394" s="39">
        <v>0.0</v>
      </c>
      <c r="AF394" s="39">
        <v>0.0</v>
      </c>
      <c r="AG394" s="35" t="s">
        <v>7045</v>
      </c>
      <c r="AH394" s="30">
        <v>45292.0</v>
      </c>
      <c r="AI394" s="30">
        <v>45657.0</v>
      </c>
      <c r="AJ394" s="39">
        <v>0.0</v>
      </c>
      <c r="AK394" s="39">
        <v>0.0</v>
      </c>
      <c r="AL394" s="35" t="s">
        <v>7045</v>
      </c>
      <c r="AM394" s="30">
        <v>44562.0</v>
      </c>
      <c r="AN394" s="30">
        <v>44926.0</v>
      </c>
      <c r="AO394" s="39">
        <v>0.0</v>
      </c>
      <c r="AP394" s="39">
        <v>0.0</v>
      </c>
      <c r="AQ394" s="35" t="s">
        <v>7045</v>
      </c>
      <c r="AR394" s="30">
        <v>44927.0</v>
      </c>
      <c r="AS394" s="30">
        <v>45291.0</v>
      </c>
      <c r="AT394" s="39">
        <v>0.0</v>
      </c>
      <c r="AU394" s="39">
        <v>0.0</v>
      </c>
      <c r="AV394" s="35" t="s">
        <v>7045</v>
      </c>
    </row>
    <row r="395" ht="14.25" customHeight="1">
      <c r="A395" s="28" t="s">
        <v>5409</v>
      </c>
      <c r="B395" s="29" t="s">
        <v>5410</v>
      </c>
      <c r="C395" s="29" t="s">
        <v>7041</v>
      </c>
      <c r="D395" s="30">
        <v>45658.0</v>
      </c>
      <c r="E395" s="30">
        <v>46022.0</v>
      </c>
      <c r="F395" s="39">
        <v>52.14</v>
      </c>
      <c r="G395" s="39">
        <v>1304.35</v>
      </c>
      <c r="H395" s="32" t="s">
        <v>7043</v>
      </c>
      <c r="I395" s="30">
        <v>46023.0</v>
      </c>
      <c r="J395" s="30">
        <v>46387.0</v>
      </c>
      <c r="K395" s="39">
        <v>0.0</v>
      </c>
      <c r="L395" s="39">
        <v>0.0</v>
      </c>
      <c r="M395" s="35" t="s">
        <v>7045</v>
      </c>
      <c r="N395" s="30">
        <v>46388.0</v>
      </c>
      <c r="O395" s="30">
        <v>46752.0</v>
      </c>
      <c r="P395" s="39">
        <v>0.0</v>
      </c>
      <c r="Q395" s="39">
        <v>0.0</v>
      </c>
      <c r="R395" s="35" t="s">
        <v>7045</v>
      </c>
      <c r="S395" s="30">
        <v>46753.0</v>
      </c>
      <c r="T395" s="30">
        <v>47118.0</v>
      </c>
      <c r="U395" s="39">
        <v>0.0</v>
      </c>
      <c r="V395" s="39">
        <v>0.0</v>
      </c>
      <c r="W395" s="35" t="s">
        <v>7045</v>
      </c>
      <c r="X395" s="30">
        <v>47119.0</v>
      </c>
      <c r="Y395" s="30">
        <v>47483.0</v>
      </c>
      <c r="Z395" s="39">
        <v>0.0</v>
      </c>
      <c r="AA395" s="39">
        <v>0.0</v>
      </c>
      <c r="AB395" s="35" t="s">
        <v>7045</v>
      </c>
      <c r="AC395" s="30">
        <v>47484.0</v>
      </c>
      <c r="AD395" s="30">
        <v>47848.0</v>
      </c>
      <c r="AE395" s="39">
        <v>0.0</v>
      </c>
      <c r="AF395" s="39">
        <v>0.0</v>
      </c>
      <c r="AG395" s="35" t="s">
        <v>7045</v>
      </c>
      <c r="AH395" s="30">
        <v>45292.0</v>
      </c>
      <c r="AI395" s="30">
        <v>45657.0</v>
      </c>
      <c r="AJ395" s="39">
        <v>370.64</v>
      </c>
      <c r="AK395" s="39">
        <v>1304.35</v>
      </c>
      <c r="AL395" s="32" t="s">
        <v>7043</v>
      </c>
      <c r="AM395" s="30">
        <v>44562.0</v>
      </c>
      <c r="AN395" s="30">
        <v>44926.0</v>
      </c>
      <c r="AO395" s="39">
        <v>0.0</v>
      </c>
      <c r="AP395" s="39">
        <v>0.0</v>
      </c>
      <c r="AQ395" s="35" t="s">
        <v>7045</v>
      </c>
      <c r="AR395" s="30">
        <v>44927.0</v>
      </c>
      <c r="AS395" s="30">
        <v>45291.0</v>
      </c>
      <c r="AT395" s="39">
        <v>66.62</v>
      </c>
      <c r="AU395" s="39">
        <v>0.0</v>
      </c>
      <c r="AV395" s="38" t="s">
        <v>7047</v>
      </c>
    </row>
    <row r="396" ht="14.25" customHeight="1">
      <c r="A396" s="28" t="s">
        <v>5854</v>
      </c>
      <c r="B396" s="29" t="s">
        <v>5855</v>
      </c>
      <c r="C396" s="29" t="s">
        <v>7041</v>
      </c>
      <c r="D396" s="30">
        <v>45658.0</v>
      </c>
      <c r="E396" s="30">
        <v>46022.0</v>
      </c>
      <c r="F396" s="39">
        <v>30.5</v>
      </c>
      <c r="G396" s="39">
        <v>300.0</v>
      </c>
      <c r="H396" s="32" t="s">
        <v>7043</v>
      </c>
      <c r="I396" s="30">
        <v>46023.0</v>
      </c>
      <c r="J396" s="30">
        <v>46387.0</v>
      </c>
      <c r="K396" s="39">
        <v>0.0</v>
      </c>
      <c r="L396" s="39">
        <v>0.0</v>
      </c>
      <c r="M396" s="35" t="s">
        <v>7045</v>
      </c>
      <c r="N396" s="30">
        <v>46388.0</v>
      </c>
      <c r="O396" s="30">
        <v>46752.0</v>
      </c>
      <c r="P396" s="39">
        <v>0.0</v>
      </c>
      <c r="Q396" s="39">
        <v>0.0</v>
      </c>
      <c r="R396" s="35" t="s">
        <v>7045</v>
      </c>
      <c r="S396" s="30">
        <v>46753.0</v>
      </c>
      <c r="T396" s="30">
        <v>47118.0</v>
      </c>
      <c r="U396" s="39">
        <v>0.0</v>
      </c>
      <c r="V396" s="39">
        <v>0.0</v>
      </c>
      <c r="W396" s="35" t="s">
        <v>7045</v>
      </c>
      <c r="X396" s="30">
        <v>47119.0</v>
      </c>
      <c r="Y396" s="30">
        <v>47483.0</v>
      </c>
      <c r="Z396" s="39">
        <v>0.0</v>
      </c>
      <c r="AA396" s="39">
        <v>0.0</v>
      </c>
      <c r="AB396" s="35" t="s">
        <v>7045</v>
      </c>
      <c r="AC396" s="30">
        <v>47484.0</v>
      </c>
      <c r="AD396" s="30">
        <v>47848.0</v>
      </c>
      <c r="AE396" s="39">
        <v>0.0</v>
      </c>
      <c r="AF396" s="39">
        <v>0.0</v>
      </c>
      <c r="AG396" s="35" t="s">
        <v>7045</v>
      </c>
      <c r="AH396" s="30">
        <v>45292.0</v>
      </c>
      <c r="AI396" s="30">
        <v>45657.0</v>
      </c>
      <c r="AJ396" s="39">
        <v>204.94</v>
      </c>
      <c r="AK396" s="39">
        <v>200.0</v>
      </c>
      <c r="AL396" s="38" t="s">
        <v>7047</v>
      </c>
      <c r="AM396" s="30">
        <v>44562.0</v>
      </c>
      <c r="AN396" s="30">
        <v>44926.0</v>
      </c>
      <c r="AO396" s="39">
        <v>4.4</v>
      </c>
      <c r="AP396" s="39">
        <v>0.0</v>
      </c>
      <c r="AQ396" s="38" t="s">
        <v>7047</v>
      </c>
      <c r="AR396" s="30">
        <v>44927.0</v>
      </c>
      <c r="AS396" s="30">
        <v>45291.0</v>
      </c>
      <c r="AT396" s="39">
        <v>144.7</v>
      </c>
      <c r="AU396" s="39">
        <v>0.0</v>
      </c>
      <c r="AV396" s="38" t="s">
        <v>7047</v>
      </c>
    </row>
    <row r="397" ht="14.25" customHeight="1">
      <c r="A397" s="28" t="s">
        <v>444</v>
      </c>
      <c r="B397" s="29" t="s">
        <v>445</v>
      </c>
      <c r="C397" s="29" t="s">
        <v>7041</v>
      </c>
      <c r="D397" s="30">
        <v>45658.0</v>
      </c>
      <c r="E397" s="30">
        <v>46022.0</v>
      </c>
      <c r="F397" s="39">
        <v>72.79</v>
      </c>
      <c r="G397" s="39">
        <v>500.0</v>
      </c>
      <c r="H397" s="32" t="s">
        <v>7043</v>
      </c>
      <c r="I397" s="30">
        <v>46023.0</v>
      </c>
      <c r="J397" s="30">
        <v>46387.0</v>
      </c>
      <c r="K397" s="39">
        <v>0.0</v>
      </c>
      <c r="L397" s="39">
        <v>0.0</v>
      </c>
      <c r="M397" s="35" t="s">
        <v>7045</v>
      </c>
      <c r="N397" s="30">
        <v>46388.0</v>
      </c>
      <c r="O397" s="30">
        <v>46752.0</v>
      </c>
      <c r="P397" s="39">
        <v>0.0</v>
      </c>
      <c r="Q397" s="39">
        <v>0.0</v>
      </c>
      <c r="R397" s="35" t="s">
        <v>7045</v>
      </c>
      <c r="S397" s="30">
        <v>46753.0</v>
      </c>
      <c r="T397" s="30">
        <v>47118.0</v>
      </c>
      <c r="U397" s="39">
        <v>0.0</v>
      </c>
      <c r="V397" s="39">
        <v>0.0</v>
      </c>
      <c r="W397" s="35" t="s">
        <v>7045</v>
      </c>
      <c r="X397" s="30">
        <v>47119.0</v>
      </c>
      <c r="Y397" s="30">
        <v>47483.0</v>
      </c>
      <c r="Z397" s="39">
        <v>0.0</v>
      </c>
      <c r="AA397" s="39">
        <v>0.0</v>
      </c>
      <c r="AB397" s="35" t="s">
        <v>7045</v>
      </c>
      <c r="AC397" s="30">
        <v>47484.0</v>
      </c>
      <c r="AD397" s="30">
        <v>47848.0</v>
      </c>
      <c r="AE397" s="39">
        <v>0.0</v>
      </c>
      <c r="AF397" s="39">
        <v>0.0</v>
      </c>
      <c r="AG397" s="35" t="s">
        <v>7045</v>
      </c>
      <c r="AH397" s="30">
        <v>45292.0</v>
      </c>
      <c r="AI397" s="30">
        <v>45657.0</v>
      </c>
      <c r="AJ397" s="39">
        <v>369.68</v>
      </c>
      <c r="AK397" s="39">
        <v>450.0</v>
      </c>
      <c r="AL397" s="37" t="s">
        <v>7046</v>
      </c>
      <c r="AM397" s="30">
        <v>44562.0</v>
      </c>
      <c r="AN397" s="30">
        <v>44926.0</v>
      </c>
      <c r="AO397" s="39">
        <v>232.0</v>
      </c>
      <c r="AP397" s="39">
        <v>250.0</v>
      </c>
      <c r="AQ397" s="37" t="s">
        <v>7046</v>
      </c>
      <c r="AR397" s="30">
        <v>44927.0</v>
      </c>
      <c r="AS397" s="30">
        <v>45291.0</v>
      </c>
      <c r="AT397" s="39">
        <v>440.78</v>
      </c>
      <c r="AU397" s="39">
        <v>250.0</v>
      </c>
      <c r="AV397" s="38" t="s">
        <v>7047</v>
      </c>
    </row>
    <row r="398" ht="14.25" customHeight="1">
      <c r="A398" s="28" t="s">
        <v>1516</v>
      </c>
      <c r="B398" s="29" t="s">
        <v>1517</v>
      </c>
      <c r="C398" s="29" t="s">
        <v>7041</v>
      </c>
      <c r="D398" s="30">
        <v>45658.0</v>
      </c>
      <c r="E398" s="30">
        <v>46022.0</v>
      </c>
      <c r="F398" s="39">
        <v>47.3</v>
      </c>
      <c r="G398" s="39">
        <v>0.0</v>
      </c>
      <c r="H398" s="38" t="s">
        <v>7047</v>
      </c>
      <c r="I398" s="30">
        <v>46023.0</v>
      </c>
      <c r="J398" s="30">
        <v>46387.0</v>
      </c>
      <c r="K398" s="39">
        <v>0.0</v>
      </c>
      <c r="L398" s="39">
        <v>0.0</v>
      </c>
      <c r="M398" s="35" t="s">
        <v>7045</v>
      </c>
      <c r="N398" s="30">
        <v>46388.0</v>
      </c>
      <c r="O398" s="30">
        <v>46752.0</v>
      </c>
      <c r="P398" s="39">
        <v>0.0</v>
      </c>
      <c r="Q398" s="39">
        <v>0.0</v>
      </c>
      <c r="R398" s="35" t="s">
        <v>7045</v>
      </c>
      <c r="S398" s="30">
        <v>46753.0</v>
      </c>
      <c r="T398" s="30">
        <v>47118.0</v>
      </c>
      <c r="U398" s="39">
        <v>0.0</v>
      </c>
      <c r="V398" s="39">
        <v>0.0</v>
      </c>
      <c r="W398" s="35" t="s">
        <v>7045</v>
      </c>
      <c r="X398" s="30">
        <v>47119.0</v>
      </c>
      <c r="Y398" s="30">
        <v>47483.0</v>
      </c>
      <c r="Z398" s="39">
        <v>0.0</v>
      </c>
      <c r="AA398" s="39">
        <v>0.0</v>
      </c>
      <c r="AB398" s="35" t="s">
        <v>7045</v>
      </c>
      <c r="AC398" s="30">
        <v>47484.0</v>
      </c>
      <c r="AD398" s="30">
        <v>47848.0</v>
      </c>
      <c r="AE398" s="39">
        <v>0.0</v>
      </c>
      <c r="AF398" s="39">
        <v>0.0</v>
      </c>
      <c r="AG398" s="35" t="s">
        <v>7045</v>
      </c>
      <c r="AH398" s="30">
        <v>45292.0</v>
      </c>
      <c r="AI398" s="30">
        <v>45657.0</v>
      </c>
      <c r="AJ398" s="39">
        <v>203.61</v>
      </c>
      <c r="AK398" s="39">
        <v>310.0</v>
      </c>
      <c r="AL398" s="37" t="s">
        <v>7046</v>
      </c>
      <c r="AM398" s="30">
        <v>44562.0</v>
      </c>
      <c r="AN398" s="30">
        <v>44926.0</v>
      </c>
      <c r="AO398" s="39">
        <v>247.1</v>
      </c>
      <c r="AP398" s="39">
        <v>205.0</v>
      </c>
      <c r="AQ398" s="38" t="s">
        <v>7047</v>
      </c>
      <c r="AR398" s="30">
        <v>44927.0</v>
      </c>
      <c r="AS398" s="30">
        <v>45291.0</v>
      </c>
      <c r="AT398" s="39">
        <v>306.25</v>
      </c>
      <c r="AU398" s="39">
        <v>272.0</v>
      </c>
      <c r="AV398" s="38" t="s">
        <v>7047</v>
      </c>
    </row>
    <row r="399" ht="14.25" customHeight="1">
      <c r="A399" s="28" t="s">
        <v>153</v>
      </c>
      <c r="B399" s="29" t="s">
        <v>154</v>
      </c>
      <c r="C399" s="29" t="s">
        <v>7041</v>
      </c>
      <c r="D399" s="30">
        <v>45658.0</v>
      </c>
      <c r="E399" s="30">
        <v>46022.0</v>
      </c>
      <c r="F399" s="39">
        <v>75.89</v>
      </c>
      <c r="G399" s="39">
        <v>220.0</v>
      </c>
      <c r="H399" s="37" t="s">
        <v>7046</v>
      </c>
      <c r="I399" s="30">
        <v>46023.0</v>
      </c>
      <c r="J399" s="30">
        <v>46387.0</v>
      </c>
      <c r="K399" s="39">
        <v>0.0</v>
      </c>
      <c r="L399" s="39">
        <v>0.0</v>
      </c>
      <c r="M399" s="35" t="s">
        <v>7045</v>
      </c>
      <c r="N399" s="30">
        <v>46388.0</v>
      </c>
      <c r="O399" s="30">
        <v>46752.0</v>
      </c>
      <c r="P399" s="39">
        <v>0.0</v>
      </c>
      <c r="Q399" s="39">
        <v>0.0</v>
      </c>
      <c r="R399" s="35" t="s">
        <v>7045</v>
      </c>
      <c r="S399" s="30">
        <v>46753.0</v>
      </c>
      <c r="T399" s="30">
        <v>47118.0</v>
      </c>
      <c r="U399" s="39">
        <v>0.0</v>
      </c>
      <c r="V399" s="39">
        <v>0.0</v>
      </c>
      <c r="W399" s="35" t="s">
        <v>7045</v>
      </c>
      <c r="X399" s="30">
        <v>47119.0</v>
      </c>
      <c r="Y399" s="30">
        <v>47483.0</v>
      </c>
      <c r="Z399" s="39">
        <v>0.0</v>
      </c>
      <c r="AA399" s="39">
        <v>0.0</v>
      </c>
      <c r="AB399" s="35" t="s">
        <v>7045</v>
      </c>
      <c r="AC399" s="30">
        <v>47484.0</v>
      </c>
      <c r="AD399" s="30">
        <v>47848.0</v>
      </c>
      <c r="AE399" s="39">
        <v>0.0</v>
      </c>
      <c r="AF399" s="39">
        <v>0.0</v>
      </c>
      <c r="AG399" s="35" t="s">
        <v>7045</v>
      </c>
      <c r="AH399" s="30">
        <v>45292.0</v>
      </c>
      <c r="AI399" s="30">
        <v>45657.0</v>
      </c>
      <c r="AJ399" s="39">
        <v>200.99</v>
      </c>
      <c r="AK399" s="39">
        <v>240.0</v>
      </c>
      <c r="AL399" s="37" t="s">
        <v>7046</v>
      </c>
      <c r="AM399" s="30">
        <v>44562.0</v>
      </c>
      <c r="AN399" s="30">
        <v>44926.0</v>
      </c>
      <c r="AO399" s="39">
        <v>202.3</v>
      </c>
      <c r="AP399" s="39">
        <v>310.0</v>
      </c>
      <c r="AQ399" s="37" t="s">
        <v>7046</v>
      </c>
      <c r="AR399" s="30">
        <v>44927.0</v>
      </c>
      <c r="AS399" s="30">
        <v>45291.0</v>
      </c>
      <c r="AT399" s="39">
        <v>225.76</v>
      </c>
      <c r="AU399" s="39">
        <v>270.0</v>
      </c>
      <c r="AV399" s="37" t="s">
        <v>7046</v>
      </c>
    </row>
    <row r="400" ht="14.25" customHeight="1">
      <c r="A400" s="28" t="s">
        <v>2678</v>
      </c>
      <c r="B400" s="29" t="s">
        <v>2679</v>
      </c>
      <c r="C400" s="29" t="s">
        <v>7041</v>
      </c>
      <c r="D400" s="30">
        <v>45658.0</v>
      </c>
      <c r="E400" s="30">
        <v>46022.0</v>
      </c>
      <c r="F400" s="39">
        <v>0.0</v>
      </c>
      <c r="G400" s="39">
        <v>0.0</v>
      </c>
      <c r="H400" s="35" t="s">
        <v>7045</v>
      </c>
      <c r="I400" s="30">
        <v>46023.0</v>
      </c>
      <c r="J400" s="30">
        <v>46387.0</v>
      </c>
      <c r="K400" s="39">
        <v>0.0</v>
      </c>
      <c r="L400" s="39">
        <v>0.0</v>
      </c>
      <c r="M400" s="35" t="s">
        <v>7045</v>
      </c>
      <c r="N400" s="30">
        <v>46388.0</v>
      </c>
      <c r="O400" s="30">
        <v>46752.0</v>
      </c>
      <c r="P400" s="39">
        <v>0.0</v>
      </c>
      <c r="Q400" s="39">
        <v>0.0</v>
      </c>
      <c r="R400" s="35" t="s">
        <v>7045</v>
      </c>
      <c r="S400" s="30">
        <v>46753.0</v>
      </c>
      <c r="T400" s="30">
        <v>47118.0</v>
      </c>
      <c r="U400" s="39">
        <v>0.0</v>
      </c>
      <c r="V400" s="39">
        <v>0.0</v>
      </c>
      <c r="W400" s="35" t="s">
        <v>7045</v>
      </c>
      <c r="X400" s="30">
        <v>47119.0</v>
      </c>
      <c r="Y400" s="30">
        <v>47483.0</v>
      </c>
      <c r="Z400" s="39">
        <v>0.0</v>
      </c>
      <c r="AA400" s="39">
        <v>0.0</v>
      </c>
      <c r="AB400" s="35" t="s">
        <v>7045</v>
      </c>
      <c r="AC400" s="30">
        <v>47484.0</v>
      </c>
      <c r="AD400" s="30">
        <v>47848.0</v>
      </c>
      <c r="AE400" s="39">
        <v>0.0</v>
      </c>
      <c r="AF400" s="39">
        <v>0.0</v>
      </c>
      <c r="AG400" s="35" t="s">
        <v>7045</v>
      </c>
      <c r="AH400" s="30">
        <v>45292.0</v>
      </c>
      <c r="AI400" s="30">
        <v>45657.0</v>
      </c>
      <c r="AJ400" s="39">
        <v>178.84</v>
      </c>
      <c r="AK400" s="39">
        <v>340.0</v>
      </c>
      <c r="AL400" s="37" t="s">
        <v>7046</v>
      </c>
      <c r="AM400" s="30">
        <v>44562.0</v>
      </c>
      <c r="AN400" s="30">
        <v>44926.0</v>
      </c>
      <c r="AO400" s="39">
        <v>289.6</v>
      </c>
      <c r="AP400" s="39">
        <v>380.0</v>
      </c>
      <c r="AQ400" s="37" t="s">
        <v>7046</v>
      </c>
      <c r="AR400" s="30">
        <v>44927.0</v>
      </c>
      <c r="AS400" s="30">
        <v>45291.0</v>
      </c>
      <c r="AT400" s="39">
        <v>328.56</v>
      </c>
      <c r="AU400" s="39">
        <v>340.0</v>
      </c>
      <c r="AV400" s="37" t="s">
        <v>7046</v>
      </c>
    </row>
    <row r="401" ht="14.25" customHeight="1">
      <c r="A401" s="28" t="s">
        <v>3931</v>
      </c>
      <c r="B401" s="29" t="s">
        <v>3932</v>
      </c>
      <c r="C401" s="29" t="s">
        <v>7041</v>
      </c>
      <c r="D401" s="30">
        <v>45658.0</v>
      </c>
      <c r="E401" s="30">
        <v>46022.0</v>
      </c>
      <c r="F401" s="39">
        <v>59.21</v>
      </c>
      <c r="G401" s="39">
        <v>200.0</v>
      </c>
      <c r="H401" s="37" t="s">
        <v>7046</v>
      </c>
      <c r="I401" s="30">
        <v>46023.0</v>
      </c>
      <c r="J401" s="30">
        <v>46387.0</v>
      </c>
      <c r="K401" s="39">
        <v>0.0</v>
      </c>
      <c r="L401" s="39">
        <v>0.0</v>
      </c>
      <c r="M401" s="35" t="s">
        <v>7045</v>
      </c>
      <c r="N401" s="30">
        <v>46388.0</v>
      </c>
      <c r="O401" s="30">
        <v>46752.0</v>
      </c>
      <c r="P401" s="39">
        <v>0.0</v>
      </c>
      <c r="Q401" s="39">
        <v>0.0</v>
      </c>
      <c r="R401" s="35" t="s">
        <v>7045</v>
      </c>
      <c r="S401" s="30">
        <v>46753.0</v>
      </c>
      <c r="T401" s="30">
        <v>47118.0</v>
      </c>
      <c r="U401" s="39">
        <v>0.0</v>
      </c>
      <c r="V401" s="39">
        <v>0.0</v>
      </c>
      <c r="W401" s="35" t="s">
        <v>7045</v>
      </c>
      <c r="X401" s="30">
        <v>47119.0</v>
      </c>
      <c r="Y401" s="30">
        <v>47483.0</v>
      </c>
      <c r="Z401" s="39">
        <v>0.0</v>
      </c>
      <c r="AA401" s="39">
        <v>0.0</v>
      </c>
      <c r="AB401" s="35" t="s">
        <v>7045</v>
      </c>
      <c r="AC401" s="30">
        <v>47484.0</v>
      </c>
      <c r="AD401" s="30">
        <v>47848.0</v>
      </c>
      <c r="AE401" s="39">
        <v>0.0</v>
      </c>
      <c r="AF401" s="39">
        <v>0.0</v>
      </c>
      <c r="AG401" s="35" t="s">
        <v>7045</v>
      </c>
      <c r="AH401" s="30">
        <v>45292.0</v>
      </c>
      <c r="AI401" s="30">
        <v>45657.0</v>
      </c>
      <c r="AJ401" s="39">
        <v>158.45</v>
      </c>
      <c r="AK401" s="39">
        <v>310.0</v>
      </c>
      <c r="AL401" s="37" t="s">
        <v>7046</v>
      </c>
      <c r="AM401" s="30">
        <v>44562.0</v>
      </c>
      <c r="AN401" s="30">
        <v>44926.0</v>
      </c>
      <c r="AO401" s="39">
        <v>255.3</v>
      </c>
      <c r="AP401" s="39">
        <v>260.0</v>
      </c>
      <c r="AQ401" s="37" t="s">
        <v>7046</v>
      </c>
      <c r="AR401" s="30">
        <v>44927.0</v>
      </c>
      <c r="AS401" s="30">
        <v>45291.0</v>
      </c>
      <c r="AT401" s="39">
        <v>295.89</v>
      </c>
      <c r="AU401" s="39">
        <v>315.0</v>
      </c>
      <c r="AV401" s="37" t="s">
        <v>7046</v>
      </c>
    </row>
    <row r="402" ht="14.25" customHeight="1">
      <c r="A402" s="28" t="s">
        <v>4949</v>
      </c>
      <c r="B402" s="29" t="s">
        <v>4950</v>
      </c>
      <c r="C402" s="29" t="s">
        <v>7041</v>
      </c>
      <c r="D402" s="30">
        <v>45658.0</v>
      </c>
      <c r="E402" s="30">
        <v>46022.0</v>
      </c>
      <c r="F402" s="39">
        <v>0.0</v>
      </c>
      <c r="G402" s="39">
        <v>0.0</v>
      </c>
      <c r="H402" s="35" t="s">
        <v>7045</v>
      </c>
      <c r="I402" s="30">
        <v>46023.0</v>
      </c>
      <c r="J402" s="30">
        <v>46387.0</v>
      </c>
      <c r="K402" s="39">
        <v>0.0</v>
      </c>
      <c r="L402" s="39">
        <v>0.0</v>
      </c>
      <c r="M402" s="35" t="s">
        <v>7045</v>
      </c>
      <c r="N402" s="30">
        <v>46388.0</v>
      </c>
      <c r="O402" s="30">
        <v>46752.0</v>
      </c>
      <c r="P402" s="39">
        <v>0.0</v>
      </c>
      <c r="Q402" s="39">
        <v>0.0</v>
      </c>
      <c r="R402" s="35" t="s">
        <v>7045</v>
      </c>
      <c r="S402" s="30">
        <v>46753.0</v>
      </c>
      <c r="T402" s="30">
        <v>47118.0</v>
      </c>
      <c r="U402" s="39">
        <v>0.0</v>
      </c>
      <c r="V402" s="39">
        <v>0.0</v>
      </c>
      <c r="W402" s="35" t="s">
        <v>7045</v>
      </c>
      <c r="X402" s="30">
        <v>47119.0</v>
      </c>
      <c r="Y402" s="30">
        <v>47483.0</v>
      </c>
      <c r="Z402" s="39">
        <v>0.0</v>
      </c>
      <c r="AA402" s="39">
        <v>0.0</v>
      </c>
      <c r="AB402" s="35" t="s">
        <v>7045</v>
      </c>
      <c r="AC402" s="30">
        <v>47484.0</v>
      </c>
      <c r="AD402" s="30">
        <v>47848.0</v>
      </c>
      <c r="AE402" s="39">
        <v>0.0</v>
      </c>
      <c r="AF402" s="39">
        <v>0.0</v>
      </c>
      <c r="AG402" s="35" t="s">
        <v>7045</v>
      </c>
      <c r="AH402" s="30">
        <v>45292.0</v>
      </c>
      <c r="AI402" s="30">
        <v>45657.0</v>
      </c>
      <c r="AJ402" s="39">
        <v>7.28</v>
      </c>
      <c r="AK402" s="39">
        <v>200.0</v>
      </c>
      <c r="AL402" s="32" t="s">
        <v>7043</v>
      </c>
      <c r="AM402" s="30">
        <v>44562.0</v>
      </c>
      <c r="AN402" s="30">
        <v>44926.0</v>
      </c>
      <c r="AO402" s="39">
        <v>224.1</v>
      </c>
      <c r="AP402" s="39">
        <v>205.0</v>
      </c>
      <c r="AQ402" s="38" t="s">
        <v>7047</v>
      </c>
      <c r="AR402" s="30">
        <v>44927.0</v>
      </c>
      <c r="AS402" s="30">
        <v>45291.0</v>
      </c>
      <c r="AT402" s="39">
        <v>110.63</v>
      </c>
      <c r="AU402" s="39">
        <v>250.0</v>
      </c>
      <c r="AV402" s="32" t="s">
        <v>7043</v>
      </c>
    </row>
    <row r="403" ht="14.25" customHeight="1">
      <c r="A403" s="28" t="s">
        <v>4943</v>
      </c>
      <c r="B403" s="29" t="s">
        <v>4944</v>
      </c>
      <c r="C403" s="29" t="s">
        <v>7041</v>
      </c>
      <c r="D403" s="30">
        <v>45658.0</v>
      </c>
      <c r="E403" s="30">
        <v>46022.0</v>
      </c>
      <c r="F403" s="39">
        <v>46.29</v>
      </c>
      <c r="G403" s="39">
        <v>180.0</v>
      </c>
      <c r="H403" s="32" t="s">
        <v>7043</v>
      </c>
      <c r="I403" s="30">
        <v>46023.0</v>
      </c>
      <c r="J403" s="30">
        <v>46387.0</v>
      </c>
      <c r="K403" s="39">
        <v>0.0</v>
      </c>
      <c r="L403" s="39">
        <v>0.0</v>
      </c>
      <c r="M403" s="35" t="s">
        <v>7045</v>
      </c>
      <c r="N403" s="30">
        <v>46388.0</v>
      </c>
      <c r="O403" s="30">
        <v>46752.0</v>
      </c>
      <c r="P403" s="39">
        <v>0.0</v>
      </c>
      <c r="Q403" s="39">
        <v>0.0</v>
      </c>
      <c r="R403" s="35" t="s">
        <v>7045</v>
      </c>
      <c r="S403" s="30">
        <v>46753.0</v>
      </c>
      <c r="T403" s="30">
        <v>47118.0</v>
      </c>
      <c r="U403" s="39">
        <v>0.0</v>
      </c>
      <c r="V403" s="39">
        <v>0.0</v>
      </c>
      <c r="W403" s="35" t="s">
        <v>7045</v>
      </c>
      <c r="X403" s="30">
        <v>47119.0</v>
      </c>
      <c r="Y403" s="30">
        <v>47483.0</v>
      </c>
      <c r="Z403" s="39">
        <v>0.0</v>
      </c>
      <c r="AA403" s="39">
        <v>0.0</v>
      </c>
      <c r="AB403" s="35" t="s">
        <v>7045</v>
      </c>
      <c r="AC403" s="30">
        <v>47484.0</v>
      </c>
      <c r="AD403" s="30">
        <v>47848.0</v>
      </c>
      <c r="AE403" s="39">
        <v>0.0</v>
      </c>
      <c r="AF403" s="39">
        <v>0.0</v>
      </c>
      <c r="AG403" s="35" t="s">
        <v>7045</v>
      </c>
      <c r="AH403" s="30">
        <v>45292.0</v>
      </c>
      <c r="AI403" s="30">
        <v>45657.0</v>
      </c>
      <c r="AJ403" s="39">
        <v>161.0</v>
      </c>
      <c r="AK403" s="39">
        <v>170.0</v>
      </c>
      <c r="AL403" s="37" t="s">
        <v>7046</v>
      </c>
      <c r="AM403" s="30">
        <v>44562.0</v>
      </c>
      <c r="AN403" s="30">
        <v>44926.0</v>
      </c>
      <c r="AO403" s="39">
        <v>140.5</v>
      </c>
      <c r="AP403" s="39">
        <v>180.0</v>
      </c>
      <c r="AQ403" s="37" t="s">
        <v>7046</v>
      </c>
      <c r="AR403" s="30">
        <v>44927.0</v>
      </c>
      <c r="AS403" s="30">
        <v>45291.0</v>
      </c>
      <c r="AT403" s="39">
        <v>106.81</v>
      </c>
      <c r="AU403" s="39">
        <v>190.0</v>
      </c>
      <c r="AV403" s="37" t="s">
        <v>7046</v>
      </c>
    </row>
    <row r="404" ht="14.25" customHeight="1">
      <c r="A404" s="28" t="s">
        <v>5906</v>
      </c>
      <c r="B404" s="29" t="s">
        <v>5907</v>
      </c>
      <c r="C404" s="29" t="s">
        <v>7041</v>
      </c>
      <c r="D404" s="30">
        <v>45658.0</v>
      </c>
      <c r="E404" s="30">
        <v>46022.0</v>
      </c>
      <c r="F404" s="39">
        <v>166.69</v>
      </c>
      <c r="G404" s="39">
        <v>200.0</v>
      </c>
      <c r="H404" s="38" t="s">
        <v>7047</v>
      </c>
      <c r="I404" s="30">
        <v>46023.0</v>
      </c>
      <c r="J404" s="30">
        <v>46387.0</v>
      </c>
      <c r="K404" s="39">
        <v>0.0</v>
      </c>
      <c r="L404" s="39">
        <v>0.0</v>
      </c>
      <c r="M404" s="35" t="s">
        <v>7045</v>
      </c>
      <c r="N404" s="30">
        <v>46388.0</v>
      </c>
      <c r="O404" s="30">
        <v>46752.0</v>
      </c>
      <c r="P404" s="39">
        <v>0.0</v>
      </c>
      <c r="Q404" s="39">
        <v>0.0</v>
      </c>
      <c r="R404" s="35" t="s">
        <v>7045</v>
      </c>
      <c r="S404" s="30">
        <v>46753.0</v>
      </c>
      <c r="T404" s="30">
        <v>47118.0</v>
      </c>
      <c r="U404" s="39">
        <v>0.0</v>
      </c>
      <c r="V404" s="39">
        <v>0.0</v>
      </c>
      <c r="W404" s="35" t="s">
        <v>7045</v>
      </c>
      <c r="X404" s="30">
        <v>47119.0</v>
      </c>
      <c r="Y404" s="30">
        <v>47483.0</v>
      </c>
      <c r="Z404" s="39">
        <v>0.0</v>
      </c>
      <c r="AA404" s="39">
        <v>0.0</v>
      </c>
      <c r="AB404" s="35" t="s">
        <v>7045</v>
      </c>
      <c r="AC404" s="30">
        <v>47484.0</v>
      </c>
      <c r="AD404" s="30">
        <v>47848.0</v>
      </c>
      <c r="AE404" s="39">
        <v>0.0</v>
      </c>
      <c r="AF404" s="39">
        <v>0.0</v>
      </c>
      <c r="AG404" s="35" t="s">
        <v>7045</v>
      </c>
      <c r="AH404" s="30">
        <v>45292.0</v>
      </c>
      <c r="AI404" s="30">
        <v>45657.0</v>
      </c>
      <c r="AJ404" s="39">
        <v>165.96</v>
      </c>
      <c r="AK404" s="39">
        <v>200.0</v>
      </c>
      <c r="AL404" s="37" t="s">
        <v>7046</v>
      </c>
      <c r="AM404" s="30">
        <v>44562.0</v>
      </c>
      <c r="AN404" s="30">
        <v>44926.0</v>
      </c>
      <c r="AO404" s="39">
        <v>147.0</v>
      </c>
      <c r="AP404" s="39">
        <v>0.0</v>
      </c>
      <c r="AQ404" s="38" t="s">
        <v>7047</v>
      </c>
      <c r="AR404" s="30">
        <v>44927.0</v>
      </c>
      <c r="AS404" s="30">
        <v>45291.0</v>
      </c>
      <c r="AT404" s="39">
        <v>166.9</v>
      </c>
      <c r="AU404" s="39">
        <v>200.0</v>
      </c>
      <c r="AV404" s="37" t="s">
        <v>7046</v>
      </c>
    </row>
    <row r="405" ht="14.25" customHeight="1">
      <c r="A405" s="28" t="s">
        <v>5966</v>
      </c>
      <c r="B405" s="29" t="s">
        <v>5967</v>
      </c>
      <c r="C405" s="29" t="s">
        <v>7041</v>
      </c>
      <c r="D405" s="30">
        <v>45658.0</v>
      </c>
      <c r="E405" s="30">
        <v>46022.0</v>
      </c>
      <c r="F405" s="39">
        <v>65.16</v>
      </c>
      <c r="G405" s="39">
        <v>0.0</v>
      </c>
      <c r="H405" s="38" t="s">
        <v>7047</v>
      </c>
      <c r="I405" s="30">
        <v>46023.0</v>
      </c>
      <c r="J405" s="30">
        <v>46387.0</v>
      </c>
      <c r="K405" s="39">
        <v>0.0</v>
      </c>
      <c r="L405" s="39">
        <v>0.0</v>
      </c>
      <c r="M405" s="35" t="s">
        <v>7045</v>
      </c>
      <c r="N405" s="30">
        <v>46388.0</v>
      </c>
      <c r="O405" s="30">
        <v>46752.0</v>
      </c>
      <c r="P405" s="39">
        <v>0.0</v>
      </c>
      <c r="Q405" s="39">
        <v>0.0</v>
      </c>
      <c r="R405" s="35" t="s">
        <v>7045</v>
      </c>
      <c r="S405" s="30">
        <v>46753.0</v>
      </c>
      <c r="T405" s="30">
        <v>47118.0</v>
      </c>
      <c r="U405" s="39">
        <v>0.0</v>
      </c>
      <c r="V405" s="39">
        <v>0.0</v>
      </c>
      <c r="W405" s="35" t="s">
        <v>7045</v>
      </c>
      <c r="X405" s="30">
        <v>47119.0</v>
      </c>
      <c r="Y405" s="30">
        <v>47483.0</v>
      </c>
      <c r="Z405" s="39">
        <v>0.0</v>
      </c>
      <c r="AA405" s="39">
        <v>0.0</v>
      </c>
      <c r="AB405" s="35" t="s">
        <v>7045</v>
      </c>
      <c r="AC405" s="30">
        <v>47484.0</v>
      </c>
      <c r="AD405" s="30">
        <v>47848.0</v>
      </c>
      <c r="AE405" s="39">
        <v>0.0</v>
      </c>
      <c r="AF405" s="39">
        <v>0.0</v>
      </c>
      <c r="AG405" s="35" t="s">
        <v>7045</v>
      </c>
      <c r="AH405" s="30">
        <v>45292.0</v>
      </c>
      <c r="AI405" s="30">
        <v>45657.0</v>
      </c>
      <c r="AJ405" s="39">
        <v>142.52</v>
      </c>
      <c r="AK405" s="39">
        <v>200.0</v>
      </c>
      <c r="AL405" s="37" t="s">
        <v>7046</v>
      </c>
      <c r="AM405" s="30">
        <v>44562.0</v>
      </c>
      <c r="AN405" s="30">
        <v>44926.0</v>
      </c>
      <c r="AO405" s="39">
        <v>143.7</v>
      </c>
      <c r="AP405" s="39">
        <v>0.0</v>
      </c>
      <c r="AQ405" s="38" t="s">
        <v>7047</v>
      </c>
      <c r="AR405" s="30">
        <v>44927.0</v>
      </c>
      <c r="AS405" s="30">
        <v>45291.0</v>
      </c>
      <c r="AT405" s="39">
        <v>162.98</v>
      </c>
      <c r="AU405" s="39">
        <v>200.0</v>
      </c>
      <c r="AV405" s="37" t="s">
        <v>7046</v>
      </c>
    </row>
    <row r="406" ht="14.25" customHeight="1">
      <c r="A406" s="28" t="s">
        <v>2243</v>
      </c>
      <c r="B406" s="29" t="s">
        <v>2244</v>
      </c>
      <c r="C406" s="29" t="s">
        <v>7041</v>
      </c>
      <c r="D406" s="30">
        <v>45658.0</v>
      </c>
      <c r="E406" s="30">
        <v>46022.0</v>
      </c>
      <c r="F406" s="36">
        <v>155.92</v>
      </c>
      <c r="G406" s="36">
        <v>799.99</v>
      </c>
      <c r="H406" s="32" t="s">
        <v>7043</v>
      </c>
      <c r="I406" s="30">
        <v>46023.0</v>
      </c>
      <c r="J406" s="30">
        <v>46387.0</v>
      </c>
      <c r="K406" s="36">
        <v>0.0</v>
      </c>
      <c r="L406" s="36">
        <v>0.0</v>
      </c>
      <c r="M406" s="35" t="s">
        <v>7045</v>
      </c>
      <c r="N406" s="30">
        <v>46388.0</v>
      </c>
      <c r="O406" s="30">
        <v>46752.0</v>
      </c>
      <c r="P406" s="36">
        <v>0.0</v>
      </c>
      <c r="Q406" s="36">
        <v>0.0</v>
      </c>
      <c r="R406" s="35" t="s">
        <v>7045</v>
      </c>
      <c r="S406" s="30">
        <v>46753.0</v>
      </c>
      <c r="T406" s="30">
        <v>47118.0</v>
      </c>
      <c r="U406" s="36">
        <v>0.0</v>
      </c>
      <c r="V406" s="36">
        <v>0.0</v>
      </c>
      <c r="W406" s="35" t="s">
        <v>7045</v>
      </c>
      <c r="X406" s="30">
        <v>47119.0</v>
      </c>
      <c r="Y406" s="30">
        <v>47483.0</v>
      </c>
      <c r="Z406" s="36">
        <v>0.0</v>
      </c>
      <c r="AA406" s="36">
        <v>0.0</v>
      </c>
      <c r="AB406" s="35" t="s">
        <v>7045</v>
      </c>
      <c r="AC406" s="30">
        <v>47484.0</v>
      </c>
      <c r="AD406" s="30">
        <v>47848.0</v>
      </c>
      <c r="AE406" s="36">
        <v>0.0</v>
      </c>
      <c r="AF406" s="36">
        <v>0.0</v>
      </c>
      <c r="AG406" s="35" t="s">
        <v>7045</v>
      </c>
      <c r="AH406" s="30">
        <v>45292.0</v>
      </c>
      <c r="AI406" s="30">
        <v>45657.0</v>
      </c>
      <c r="AJ406" s="36">
        <v>209.07</v>
      </c>
      <c r="AK406" s="36">
        <v>899.99</v>
      </c>
      <c r="AL406" s="32" t="s">
        <v>7043</v>
      </c>
      <c r="AM406" s="30">
        <v>44562.0</v>
      </c>
      <c r="AN406" s="30">
        <v>44926.0</v>
      </c>
      <c r="AO406" s="36">
        <v>643.39</v>
      </c>
      <c r="AP406" s="36">
        <v>799.99</v>
      </c>
      <c r="AQ406" s="37" t="s">
        <v>7046</v>
      </c>
      <c r="AR406" s="30">
        <v>44927.0</v>
      </c>
      <c r="AS406" s="30">
        <v>45291.0</v>
      </c>
      <c r="AT406" s="36">
        <v>639.52</v>
      </c>
      <c r="AU406" s="36">
        <v>899.99</v>
      </c>
      <c r="AV406" s="37" t="s">
        <v>7046</v>
      </c>
    </row>
    <row r="407" ht="14.25" customHeight="1">
      <c r="A407" s="28" t="s">
        <v>2352</v>
      </c>
      <c r="B407" s="29" t="s">
        <v>2353</v>
      </c>
      <c r="C407" s="29" t="s">
        <v>7041</v>
      </c>
      <c r="D407" s="30">
        <v>45658.0</v>
      </c>
      <c r="E407" s="30">
        <v>46022.0</v>
      </c>
      <c r="F407" s="39">
        <v>32.46</v>
      </c>
      <c r="G407" s="39">
        <v>201.0</v>
      </c>
      <c r="H407" s="32" t="s">
        <v>7043</v>
      </c>
      <c r="I407" s="30">
        <v>46023.0</v>
      </c>
      <c r="J407" s="30">
        <v>46387.0</v>
      </c>
      <c r="K407" s="39">
        <v>0.0</v>
      </c>
      <c r="L407" s="39">
        <v>0.0</v>
      </c>
      <c r="M407" s="35" t="s">
        <v>7045</v>
      </c>
      <c r="N407" s="30">
        <v>46388.0</v>
      </c>
      <c r="O407" s="30">
        <v>46752.0</v>
      </c>
      <c r="P407" s="39">
        <v>0.0</v>
      </c>
      <c r="Q407" s="39">
        <v>0.0</v>
      </c>
      <c r="R407" s="35" t="s">
        <v>7045</v>
      </c>
      <c r="S407" s="30">
        <v>46753.0</v>
      </c>
      <c r="T407" s="30">
        <v>47118.0</v>
      </c>
      <c r="U407" s="39">
        <v>0.0</v>
      </c>
      <c r="V407" s="39">
        <v>0.0</v>
      </c>
      <c r="W407" s="35" t="s">
        <v>7045</v>
      </c>
      <c r="X407" s="30">
        <v>47119.0</v>
      </c>
      <c r="Y407" s="30">
        <v>47483.0</v>
      </c>
      <c r="Z407" s="39">
        <v>0.0</v>
      </c>
      <c r="AA407" s="39">
        <v>0.0</v>
      </c>
      <c r="AB407" s="35" t="s">
        <v>7045</v>
      </c>
      <c r="AC407" s="30">
        <v>47484.0</v>
      </c>
      <c r="AD407" s="30">
        <v>47848.0</v>
      </c>
      <c r="AE407" s="39">
        <v>0.0</v>
      </c>
      <c r="AF407" s="39">
        <v>0.0</v>
      </c>
      <c r="AG407" s="35" t="s">
        <v>7045</v>
      </c>
      <c r="AH407" s="30">
        <v>45292.0</v>
      </c>
      <c r="AI407" s="30">
        <v>45657.0</v>
      </c>
      <c r="AJ407" s="39">
        <v>177.04</v>
      </c>
      <c r="AK407" s="39">
        <v>174.0</v>
      </c>
      <c r="AL407" s="38" t="s">
        <v>7047</v>
      </c>
      <c r="AM407" s="30">
        <v>44562.0</v>
      </c>
      <c r="AN407" s="30">
        <v>44926.0</v>
      </c>
      <c r="AO407" s="39">
        <v>40.4</v>
      </c>
      <c r="AP407" s="39">
        <v>152.0</v>
      </c>
      <c r="AQ407" s="32" t="s">
        <v>7043</v>
      </c>
      <c r="AR407" s="30">
        <v>44927.0</v>
      </c>
      <c r="AS407" s="30">
        <v>45291.0</v>
      </c>
      <c r="AT407" s="39">
        <v>130.35</v>
      </c>
      <c r="AU407" s="39">
        <v>159.0</v>
      </c>
      <c r="AV407" s="37" t="s">
        <v>7046</v>
      </c>
    </row>
    <row r="408" ht="14.25" customHeight="1">
      <c r="A408" s="28" t="s">
        <v>3771</v>
      </c>
      <c r="B408" s="29" t="s">
        <v>3772</v>
      </c>
      <c r="C408" s="29" t="s">
        <v>7041</v>
      </c>
      <c r="D408" s="30">
        <v>45658.0</v>
      </c>
      <c r="E408" s="30">
        <v>46022.0</v>
      </c>
      <c r="F408" s="39">
        <v>121.19</v>
      </c>
      <c r="G408" s="39">
        <v>249.6</v>
      </c>
      <c r="H408" s="37" t="s">
        <v>7046</v>
      </c>
      <c r="I408" s="30">
        <v>46023.0</v>
      </c>
      <c r="J408" s="30">
        <v>46387.0</v>
      </c>
      <c r="K408" s="39">
        <v>0.0</v>
      </c>
      <c r="L408" s="39">
        <v>0.0</v>
      </c>
      <c r="M408" s="35" t="s">
        <v>7045</v>
      </c>
      <c r="N408" s="30">
        <v>46388.0</v>
      </c>
      <c r="O408" s="30">
        <v>46752.0</v>
      </c>
      <c r="P408" s="39">
        <v>0.0</v>
      </c>
      <c r="Q408" s="39">
        <v>0.0</v>
      </c>
      <c r="R408" s="35" t="s">
        <v>7045</v>
      </c>
      <c r="S408" s="30">
        <v>46753.0</v>
      </c>
      <c r="T408" s="30">
        <v>47118.0</v>
      </c>
      <c r="U408" s="39">
        <v>0.0</v>
      </c>
      <c r="V408" s="39">
        <v>0.0</v>
      </c>
      <c r="W408" s="35" t="s">
        <v>7045</v>
      </c>
      <c r="X408" s="30">
        <v>47119.0</v>
      </c>
      <c r="Y408" s="30">
        <v>47483.0</v>
      </c>
      <c r="Z408" s="39">
        <v>0.0</v>
      </c>
      <c r="AA408" s="39">
        <v>0.0</v>
      </c>
      <c r="AB408" s="35" t="s">
        <v>7045</v>
      </c>
      <c r="AC408" s="30">
        <v>47484.0</v>
      </c>
      <c r="AD408" s="30">
        <v>47848.0</v>
      </c>
      <c r="AE408" s="39">
        <v>0.0</v>
      </c>
      <c r="AF408" s="39">
        <v>0.0</v>
      </c>
      <c r="AG408" s="35" t="s">
        <v>7045</v>
      </c>
      <c r="AH408" s="30">
        <v>45292.0</v>
      </c>
      <c r="AI408" s="30">
        <v>45657.0</v>
      </c>
      <c r="AJ408" s="39">
        <v>150.58</v>
      </c>
      <c r="AK408" s="39">
        <v>400.1</v>
      </c>
      <c r="AL408" s="32" t="s">
        <v>7043</v>
      </c>
      <c r="AM408" s="30">
        <v>44562.0</v>
      </c>
      <c r="AN408" s="30">
        <v>44926.0</v>
      </c>
      <c r="AO408" s="39">
        <v>273.5</v>
      </c>
      <c r="AP408" s="39">
        <v>650.0</v>
      </c>
      <c r="AQ408" s="32" t="s">
        <v>7043</v>
      </c>
      <c r="AR408" s="30">
        <v>44927.0</v>
      </c>
      <c r="AS408" s="30">
        <v>45291.0</v>
      </c>
      <c r="AT408" s="39">
        <v>357.4</v>
      </c>
      <c r="AU408" s="39">
        <v>600.0</v>
      </c>
      <c r="AV408" s="37" t="s">
        <v>7046</v>
      </c>
    </row>
    <row r="409" ht="14.25" customHeight="1">
      <c r="A409" s="28" t="s">
        <v>3183</v>
      </c>
      <c r="B409" s="29" t="s">
        <v>3184</v>
      </c>
      <c r="C409" s="29" t="s">
        <v>7041</v>
      </c>
      <c r="D409" s="30">
        <v>45658.0</v>
      </c>
      <c r="E409" s="30">
        <v>46022.0</v>
      </c>
      <c r="F409" s="36">
        <v>29.54</v>
      </c>
      <c r="G409" s="36">
        <v>500.0</v>
      </c>
      <c r="H409" s="32" t="s">
        <v>7043</v>
      </c>
      <c r="I409" s="30">
        <v>46023.0</v>
      </c>
      <c r="J409" s="30">
        <v>46387.0</v>
      </c>
      <c r="K409" s="36">
        <v>0.0</v>
      </c>
      <c r="L409" s="36">
        <v>0.0</v>
      </c>
      <c r="M409" s="35" t="s">
        <v>7045</v>
      </c>
      <c r="N409" s="30">
        <v>46388.0</v>
      </c>
      <c r="O409" s="30">
        <v>46752.0</v>
      </c>
      <c r="P409" s="36">
        <v>0.0</v>
      </c>
      <c r="Q409" s="36">
        <v>0.0</v>
      </c>
      <c r="R409" s="35" t="s">
        <v>7045</v>
      </c>
      <c r="S409" s="30">
        <v>46753.0</v>
      </c>
      <c r="T409" s="30">
        <v>47118.0</v>
      </c>
      <c r="U409" s="36">
        <v>0.0</v>
      </c>
      <c r="V409" s="36">
        <v>0.0</v>
      </c>
      <c r="W409" s="35" t="s">
        <v>7045</v>
      </c>
      <c r="X409" s="30">
        <v>47119.0</v>
      </c>
      <c r="Y409" s="30">
        <v>47483.0</v>
      </c>
      <c r="Z409" s="36">
        <v>0.0</v>
      </c>
      <c r="AA409" s="36">
        <v>0.0</v>
      </c>
      <c r="AB409" s="35" t="s">
        <v>7045</v>
      </c>
      <c r="AC409" s="30">
        <v>47484.0</v>
      </c>
      <c r="AD409" s="30">
        <v>47848.0</v>
      </c>
      <c r="AE409" s="36">
        <v>0.0</v>
      </c>
      <c r="AF409" s="36">
        <v>0.0</v>
      </c>
      <c r="AG409" s="35" t="s">
        <v>7045</v>
      </c>
      <c r="AH409" s="30">
        <v>45292.0</v>
      </c>
      <c r="AI409" s="30">
        <v>45657.0</v>
      </c>
      <c r="AJ409" s="36">
        <v>182.86</v>
      </c>
      <c r="AK409" s="36">
        <v>500.0</v>
      </c>
      <c r="AL409" s="32" t="s">
        <v>7043</v>
      </c>
      <c r="AM409" s="30">
        <v>44562.0</v>
      </c>
      <c r="AN409" s="30">
        <v>44926.0</v>
      </c>
      <c r="AO409" s="36">
        <v>373.1</v>
      </c>
      <c r="AP409" s="36">
        <v>963.99</v>
      </c>
      <c r="AQ409" s="32" t="s">
        <v>7043</v>
      </c>
      <c r="AR409" s="30">
        <v>44927.0</v>
      </c>
      <c r="AS409" s="30">
        <v>45291.0</v>
      </c>
      <c r="AT409" s="36">
        <v>49.62</v>
      </c>
      <c r="AU409" s="36">
        <v>400.0</v>
      </c>
      <c r="AV409" s="32" t="s">
        <v>7043</v>
      </c>
    </row>
    <row r="410" ht="14.25" customHeight="1">
      <c r="A410" s="28" t="s">
        <v>2304</v>
      </c>
      <c r="B410" s="29" t="s">
        <v>2305</v>
      </c>
      <c r="C410" s="29" t="s">
        <v>7041</v>
      </c>
      <c r="D410" s="30">
        <v>45658.0</v>
      </c>
      <c r="E410" s="30">
        <v>46022.0</v>
      </c>
      <c r="F410" s="36">
        <v>114.44</v>
      </c>
      <c r="G410" s="36">
        <v>500.0</v>
      </c>
      <c r="H410" s="37" t="s">
        <v>7043</v>
      </c>
      <c r="I410" s="30">
        <v>46023.0</v>
      </c>
      <c r="J410" s="30">
        <v>46387.0</v>
      </c>
      <c r="K410" s="36">
        <v>0.0</v>
      </c>
      <c r="L410" s="36">
        <v>0.0</v>
      </c>
      <c r="M410" s="35" t="s">
        <v>7045</v>
      </c>
      <c r="N410" s="30">
        <v>46388.0</v>
      </c>
      <c r="O410" s="30">
        <v>46752.0</v>
      </c>
      <c r="P410" s="36">
        <v>0.0</v>
      </c>
      <c r="Q410" s="36">
        <v>0.0</v>
      </c>
      <c r="R410" s="35" t="s">
        <v>7045</v>
      </c>
      <c r="S410" s="30">
        <v>46753.0</v>
      </c>
      <c r="T410" s="30">
        <v>47118.0</v>
      </c>
      <c r="U410" s="36">
        <v>0.0</v>
      </c>
      <c r="V410" s="36">
        <v>0.0</v>
      </c>
      <c r="W410" s="35" t="s">
        <v>7045</v>
      </c>
      <c r="X410" s="30">
        <v>47119.0</v>
      </c>
      <c r="Y410" s="30">
        <v>47483.0</v>
      </c>
      <c r="Z410" s="36">
        <v>0.0</v>
      </c>
      <c r="AA410" s="36">
        <v>0.0</v>
      </c>
      <c r="AB410" s="35" t="s">
        <v>7045</v>
      </c>
      <c r="AC410" s="30">
        <v>47484.0</v>
      </c>
      <c r="AD410" s="30">
        <v>47848.0</v>
      </c>
      <c r="AE410" s="36">
        <v>0.0</v>
      </c>
      <c r="AF410" s="36">
        <v>0.0</v>
      </c>
      <c r="AG410" s="35" t="s">
        <v>7045</v>
      </c>
      <c r="AH410" s="30">
        <v>45292.0</v>
      </c>
      <c r="AI410" s="30">
        <v>45657.0</v>
      </c>
      <c r="AJ410" s="36">
        <v>195.89</v>
      </c>
      <c r="AK410" s="36">
        <v>600.29</v>
      </c>
      <c r="AL410" s="32" t="s">
        <v>7043</v>
      </c>
      <c r="AM410" s="30">
        <v>44562.0</v>
      </c>
      <c r="AN410" s="30">
        <v>44926.0</v>
      </c>
      <c r="AO410" s="36">
        <v>369.8</v>
      </c>
      <c r="AP410" s="36">
        <v>500.0</v>
      </c>
      <c r="AQ410" s="37" t="s">
        <v>7046</v>
      </c>
      <c r="AR410" s="30">
        <v>44927.0</v>
      </c>
      <c r="AS410" s="30">
        <v>45291.0</v>
      </c>
      <c r="AT410" s="36">
        <v>358.61</v>
      </c>
      <c r="AU410" s="36">
        <v>599.99</v>
      </c>
      <c r="AV410" s="37" t="s">
        <v>7046</v>
      </c>
    </row>
    <row r="411" ht="14.25" customHeight="1">
      <c r="A411" s="28" t="s">
        <v>4955</v>
      </c>
      <c r="B411" s="29" t="s">
        <v>4956</v>
      </c>
      <c r="C411" s="29" t="s">
        <v>7041</v>
      </c>
      <c r="D411" s="30">
        <v>45658.0</v>
      </c>
      <c r="E411" s="30">
        <v>46022.0</v>
      </c>
      <c r="F411" s="36">
        <v>133.28</v>
      </c>
      <c r="G411" s="36">
        <v>300.0</v>
      </c>
      <c r="H411" s="37" t="s">
        <v>7046</v>
      </c>
      <c r="I411" s="30">
        <v>46023.0</v>
      </c>
      <c r="J411" s="30">
        <v>46387.0</v>
      </c>
      <c r="K411" s="36">
        <v>0.0</v>
      </c>
      <c r="L411" s="36">
        <v>0.0</v>
      </c>
      <c r="M411" s="35" t="s">
        <v>7045</v>
      </c>
      <c r="N411" s="30">
        <v>46388.0</v>
      </c>
      <c r="O411" s="30">
        <v>46752.0</v>
      </c>
      <c r="P411" s="36">
        <v>0.0</v>
      </c>
      <c r="Q411" s="36">
        <v>0.0</v>
      </c>
      <c r="R411" s="35" t="s">
        <v>7045</v>
      </c>
      <c r="S411" s="30">
        <v>46753.0</v>
      </c>
      <c r="T411" s="30">
        <v>47118.0</v>
      </c>
      <c r="U411" s="36">
        <v>0.0</v>
      </c>
      <c r="V411" s="36">
        <v>0.0</v>
      </c>
      <c r="W411" s="35" t="s">
        <v>7045</v>
      </c>
      <c r="X411" s="30">
        <v>47119.0</v>
      </c>
      <c r="Y411" s="30">
        <v>47483.0</v>
      </c>
      <c r="Z411" s="36">
        <v>0.0</v>
      </c>
      <c r="AA411" s="36">
        <v>0.0</v>
      </c>
      <c r="AB411" s="35" t="s">
        <v>7045</v>
      </c>
      <c r="AC411" s="30">
        <v>47484.0</v>
      </c>
      <c r="AD411" s="30">
        <v>47848.0</v>
      </c>
      <c r="AE411" s="36">
        <v>0.0</v>
      </c>
      <c r="AF411" s="36">
        <v>0.0</v>
      </c>
      <c r="AG411" s="35" t="s">
        <v>7045</v>
      </c>
      <c r="AH411" s="30">
        <v>45292.0</v>
      </c>
      <c r="AI411" s="30">
        <v>45657.0</v>
      </c>
      <c r="AJ411" s="36">
        <v>204.88</v>
      </c>
      <c r="AK411" s="36">
        <v>400.0</v>
      </c>
      <c r="AL411" s="37" t="s">
        <v>7046</v>
      </c>
      <c r="AM411" s="30">
        <v>44562.0</v>
      </c>
      <c r="AN411" s="30">
        <v>44926.0</v>
      </c>
      <c r="AO411" s="36">
        <v>114.1</v>
      </c>
      <c r="AP411" s="36">
        <v>400.0</v>
      </c>
      <c r="AQ411" s="32" t="s">
        <v>7043</v>
      </c>
      <c r="AR411" s="30">
        <v>44927.0</v>
      </c>
      <c r="AS411" s="30">
        <v>45291.0</v>
      </c>
      <c r="AT411" s="36">
        <v>74.88</v>
      </c>
      <c r="AU411" s="36">
        <v>300.0</v>
      </c>
      <c r="AV411" s="32" t="s">
        <v>7043</v>
      </c>
    </row>
    <row r="412" ht="14.25" customHeight="1">
      <c r="A412" s="28" t="s">
        <v>4426</v>
      </c>
      <c r="B412" s="29" t="s">
        <v>4427</v>
      </c>
      <c r="C412" s="29" t="s">
        <v>7041</v>
      </c>
      <c r="D412" s="30">
        <v>45658.0</v>
      </c>
      <c r="E412" s="30">
        <v>46022.0</v>
      </c>
      <c r="F412" s="36">
        <v>64.76</v>
      </c>
      <c r="G412" s="36">
        <v>300.0</v>
      </c>
      <c r="H412" s="37" t="s">
        <v>7043</v>
      </c>
      <c r="I412" s="30">
        <v>46023.0</v>
      </c>
      <c r="J412" s="30">
        <v>46387.0</v>
      </c>
      <c r="K412" s="36">
        <v>0.0</v>
      </c>
      <c r="L412" s="36">
        <v>0.0</v>
      </c>
      <c r="M412" s="35" t="s">
        <v>7045</v>
      </c>
      <c r="N412" s="30">
        <v>46388.0</v>
      </c>
      <c r="O412" s="30">
        <v>46752.0</v>
      </c>
      <c r="P412" s="36">
        <v>0.0</v>
      </c>
      <c r="Q412" s="36">
        <v>0.0</v>
      </c>
      <c r="R412" s="35" t="s">
        <v>7045</v>
      </c>
      <c r="S412" s="30">
        <v>46753.0</v>
      </c>
      <c r="T412" s="30">
        <v>47118.0</v>
      </c>
      <c r="U412" s="36">
        <v>0.0</v>
      </c>
      <c r="V412" s="36">
        <v>0.0</v>
      </c>
      <c r="W412" s="35" t="s">
        <v>7045</v>
      </c>
      <c r="X412" s="30">
        <v>47119.0</v>
      </c>
      <c r="Y412" s="30">
        <v>47483.0</v>
      </c>
      <c r="Z412" s="36">
        <v>0.0</v>
      </c>
      <c r="AA412" s="36">
        <v>0.0</v>
      </c>
      <c r="AB412" s="35" t="s">
        <v>7045</v>
      </c>
      <c r="AC412" s="30">
        <v>47484.0</v>
      </c>
      <c r="AD412" s="30">
        <v>47848.0</v>
      </c>
      <c r="AE412" s="36">
        <v>0.0</v>
      </c>
      <c r="AF412" s="36">
        <v>0.0</v>
      </c>
      <c r="AG412" s="35" t="s">
        <v>7045</v>
      </c>
      <c r="AH412" s="30">
        <v>45292.0</v>
      </c>
      <c r="AI412" s="30">
        <v>45657.0</v>
      </c>
      <c r="AJ412" s="36">
        <v>221.6</v>
      </c>
      <c r="AK412" s="36">
        <v>500.0</v>
      </c>
      <c r="AL412" s="32" t="s">
        <v>7043</v>
      </c>
      <c r="AM412" s="30">
        <v>44562.0</v>
      </c>
      <c r="AN412" s="30">
        <v>44926.0</v>
      </c>
      <c r="AO412" s="36">
        <v>3298.77</v>
      </c>
      <c r="AP412" s="36">
        <v>2699.98</v>
      </c>
      <c r="AQ412" s="38" t="s">
        <v>7047</v>
      </c>
      <c r="AR412" s="30">
        <v>44927.0</v>
      </c>
      <c r="AS412" s="30">
        <v>45291.0</v>
      </c>
      <c r="AT412" s="36">
        <v>427.34</v>
      </c>
      <c r="AU412" s="36">
        <v>2699.98</v>
      </c>
      <c r="AV412" s="32" t="s">
        <v>7043</v>
      </c>
    </row>
    <row r="413" ht="14.25" customHeight="1">
      <c r="A413" s="28" t="s">
        <v>1678</v>
      </c>
      <c r="B413" s="29" t="s">
        <v>1679</v>
      </c>
      <c r="C413" s="29" t="s">
        <v>7041</v>
      </c>
      <c r="D413" s="30">
        <v>45658.0</v>
      </c>
      <c r="E413" s="30">
        <v>46022.0</v>
      </c>
      <c r="F413" s="39">
        <v>34.7</v>
      </c>
      <c r="G413" s="39">
        <v>300.0</v>
      </c>
      <c r="H413" s="32" t="s">
        <v>7043</v>
      </c>
      <c r="I413" s="30">
        <v>46023.0</v>
      </c>
      <c r="J413" s="30">
        <v>46387.0</v>
      </c>
      <c r="K413" s="39">
        <v>0.0</v>
      </c>
      <c r="L413" s="39">
        <v>0.0</v>
      </c>
      <c r="M413" s="35" t="s">
        <v>7045</v>
      </c>
      <c r="N413" s="30">
        <v>46388.0</v>
      </c>
      <c r="O413" s="30">
        <v>46752.0</v>
      </c>
      <c r="P413" s="39">
        <v>0.0</v>
      </c>
      <c r="Q413" s="39">
        <v>0.0</v>
      </c>
      <c r="R413" s="35" t="s">
        <v>7045</v>
      </c>
      <c r="S413" s="30">
        <v>46753.0</v>
      </c>
      <c r="T413" s="30">
        <v>47118.0</v>
      </c>
      <c r="U413" s="39">
        <v>0.0</v>
      </c>
      <c r="V413" s="39">
        <v>0.0</v>
      </c>
      <c r="W413" s="35" t="s">
        <v>7045</v>
      </c>
      <c r="X413" s="30">
        <v>47119.0</v>
      </c>
      <c r="Y413" s="30">
        <v>47483.0</v>
      </c>
      <c r="Z413" s="39">
        <v>0.0</v>
      </c>
      <c r="AA413" s="39">
        <v>0.0</v>
      </c>
      <c r="AB413" s="35" t="s">
        <v>7045</v>
      </c>
      <c r="AC413" s="30">
        <v>47484.0</v>
      </c>
      <c r="AD413" s="30">
        <v>47848.0</v>
      </c>
      <c r="AE413" s="39">
        <v>0.0</v>
      </c>
      <c r="AF413" s="39">
        <v>0.0</v>
      </c>
      <c r="AG413" s="35" t="s">
        <v>7045</v>
      </c>
      <c r="AH413" s="30">
        <v>45292.0</v>
      </c>
      <c r="AI413" s="30">
        <v>45657.0</v>
      </c>
      <c r="AJ413" s="39">
        <v>166.82</v>
      </c>
      <c r="AK413" s="39">
        <v>450.0</v>
      </c>
      <c r="AL413" s="32" t="s">
        <v>7043</v>
      </c>
      <c r="AM413" s="30">
        <v>44562.0</v>
      </c>
      <c r="AN413" s="30">
        <v>44926.0</v>
      </c>
      <c r="AO413" s="39">
        <v>459.0</v>
      </c>
      <c r="AP413" s="39">
        <v>500.0</v>
      </c>
      <c r="AQ413" s="37" t="s">
        <v>7046</v>
      </c>
      <c r="AR413" s="30">
        <v>44927.0</v>
      </c>
      <c r="AS413" s="30">
        <v>45291.0</v>
      </c>
      <c r="AT413" s="39">
        <v>236.43</v>
      </c>
      <c r="AU413" s="39">
        <v>600.0</v>
      </c>
      <c r="AV413" s="32" t="s">
        <v>7043</v>
      </c>
    </row>
    <row r="414" ht="14.25" customHeight="1">
      <c r="A414" s="28" t="s">
        <v>4235</v>
      </c>
      <c r="B414" s="29" t="s">
        <v>4236</v>
      </c>
      <c r="C414" s="29" t="s">
        <v>7041</v>
      </c>
      <c r="D414" s="30">
        <v>45658.0</v>
      </c>
      <c r="E414" s="30">
        <v>46022.0</v>
      </c>
      <c r="F414" s="36">
        <v>178.68</v>
      </c>
      <c r="G414" s="36">
        <v>0.0</v>
      </c>
      <c r="H414" s="38" t="s">
        <v>7047</v>
      </c>
      <c r="I414" s="30">
        <v>46023.0</v>
      </c>
      <c r="J414" s="30">
        <v>46387.0</v>
      </c>
      <c r="K414" s="36">
        <v>0.0</v>
      </c>
      <c r="L414" s="36">
        <v>0.0</v>
      </c>
      <c r="M414" s="35" t="s">
        <v>7045</v>
      </c>
      <c r="N414" s="30">
        <v>46388.0</v>
      </c>
      <c r="O414" s="30">
        <v>46752.0</v>
      </c>
      <c r="P414" s="36">
        <v>0.0</v>
      </c>
      <c r="Q414" s="36">
        <v>0.0</v>
      </c>
      <c r="R414" s="35" t="s">
        <v>7045</v>
      </c>
      <c r="S414" s="30">
        <v>46753.0</v>
      </c>
      <c r="T414" s="30">
        <v>47118.0</v>
      </c>
      <c r="U414" s="36">
        <v>0.0</v>
      </c>
      <c r="V414" s="36">
        <v>0.0</v>
      </c>
      <c r="W414" s="35" t="s">
        <v>7045</v>
      </c>
      <c r="X414" s="30">
        <v>47119.0</v>
      </c>
      <c r="Y414" s="30">
        <v>47483.0</v>
      </c>
      <c r="Z414" s="36">
        <v>0.0</v>
      </c>
      <c r="AA414" s="36">
        <v>0.0</v>
      </c>
      <c r="AB414" s="35" t="s">
        <v>7045</v>
      </c>
      <c r="AC414" s="30">
        <v>47484.0</v>
      </c>
      <c r="AD414" s="30">
        <v>47848.0</v>
      </c>
      <c r="AE414" s="36">
        <v>0.0</v>
      </c>
      <c r="AF414" s="36">
        <v>0.0</v>
      </c>
      <c r="AG414" s="35" t="s">
        <v>7045</v>
      </c>
      <c r="AH414" s="30">
        <v>45292.0</v>
      </c>
      <c r="AI414" s="30">
        <v>45657.0</v>
      </c>
      <c r="AJ414" s="36">
        <v>353.09</v>
      </c>
      <c r="AK414" s="36">
        <v>460.0</v>
      </c>
      <c r="AL414" s="37" t="s">
        <v>7046</v>
      </c>
      <c r="AM414" s="30">
        <v>44562.0</v>
      </c>
      <c r="AN414" s="30">
        <v>44926.0</v>
      </c>
      <c r="AO414" s="36">
        <v>573.6</v>
      </c>
      <c r="AP414" s="36">
        <v>568.0</v>
      </c>
      <c r="AQ414" s="38" t="s">
        <v>7047</v>
      </c>
      <c r="AR414" s="30">
        <v>44927.0</v>
      </c>
      <c r="AS414" s="30">
        <v>45291.0</v>
      </c>
      <c r="AT414" s="36">
        <v>408.0</v>
      </c>
      <c r="AU414" s="36">
        <v>0.0</v>
      </c>
      <c r="AV414" s="38" t="s">
        <v>7047</v>
      </c>
    </row>
    <row r="415" ht="14.25" customHeight="1">
      <c r="A415" s="28" t="s">
        <v>5246</v>
      </c>
      <c r="B415" s="29" t="s">
        <v>5247</v>
      </c>
      <c r="C415" s="29" t="s">
        <v>7041</v>
      </c>
      <c r="D415" s="30">
        <v>45658.0</v>
      </c>
      <c r="E415" s="30">
        <v>46022.0</v>
      </c>
      <c r="F415" s="36">
        <v>53.81</v>
      </c>
      <c r="G415" s="36">
        <v>300.0</v>
      </c>
      <c r="H415" s="32" t="s">
        <v>7043</v>
      </c>
      <c r="I415" s="30">
        <v>46023.0</v>
      </c>
      <c r="J415" s="30">
        <v>46387.0</v>
      </c>
      <c r="K415" s="36">
        <v>0.0</v>
      </c>
      <c r="L415" s="36">
        <v>0.0</v>
      </c>
      <c r="M415" s="35" t="s">
        <v>7045</v>
      </c>
      <c r="N415" s="30">
        <v>46388.0</v>
      </c>
      <c r="O415" s="30">
        <v>46752.0</v>
      </c>
      <c r="P415" s="36">
        <v>0.0</v>
      </c>
      <c r="Q415" s="36">
        <v>0.0</v>
      </c>
      <c r="R415" s="35" t="s">
        <v>7045</v>
      </c>
      <c r="S415" s="30">
        <v>46753.0</v>
      </c>
      <c r="T415" s="30">
        <v>47118.0</v>
      </c>
      <c r="U415" s="36">
        <v>0.0</v>
      </c>
      <c r="V415" s="36">
        <v>0.0</v>
      </c>
      <c r="W415" s="35" t="s">
        <v>7045</v>
      </c>
      <c r="X415" s="30">
        <v>47119.0</v>
      </c>
      <c r="Y415" s="30">
        <v>47483.0</v>
      </c>
      <c r="Z415" s="36">
        <v>0.0</v>
      </c>
      <c r="AA415" s="36">
        <v>0.0</v>
      </c>
      <c r="AB415" s="35" t="s">
        <v>7045</v>
      </c>
      <c r="AC415" s="30">
        <v>47484.0</v>
      </c>
      <c r="AD415" s="30">
        <v>47848.0</v>
      </c>
      <c r="AE415" s="36">
        <v>0.0</v>
      </c>
      <c r="AF415" s="36">
        <v>0.0</v>
      </c>
      <c r="AG415" s="35" t="s">
        <v>7045</v>
      </c>
      <c r="AH415" s="30">
        <v>45292.0</v>
      </c>
      <c r="AI415" s="30">
        <v>45657.0</v>
      </c>
      <c r="AJ415" s="36">
        <v>174.66</v>
      </c>
      <c r="AK415" s="36">
        <v>330.0</v>
      </c>
      <c r="AL415" s="37" t="s">
        <v>7046</v>
      </c>
      <c r="AM415" s="30">
        <v>44562.0</v>
      </c>
      <c r="AN415" s="30">
        <v>44926.0</v>
      </c>
      <c r="AO415" s="36">
        <v>102.0</v>
      </c>
      <c r="AP415" s="36">
        <v>400.0</v>
      </c>
      <c r="AQ415" s="32" t="s">
        <v>7043</v>
      </c>
      <c r="AR415" s="30">
        <v>44927.0</v>
      </c>
      <c r="AS415" s="30">
        <v>45291.0</v>
      </c>
      <c r="AT415" s="36">
        <v>240.7</v>
      </c>
      <c r="AU415" s="36">
        <v>0.0</v>
      </c>
      <c r="AV415" s="38" t="s">
        <v>7047</v>
      </c>
    </row>
    <row r="416" ht="14.25" customHeight="1">
      <c r="A416" s="28" t="s">
        <v>3320</v>
      </c>
      <c r="B416" s="29" t="s">
        <v>3321</v>
      </c>
      <c r="C416" s="29" t="s">
        <v>7041</v>
      </c>
      <c r="D416" s="30">
        <v>45658.0</v>
      </c>
      <c r="E416" s="30">
        <v>46022.0</v>
      </c>
      <c r="F416" s="39">
        <v>53.19</v>
      </c>
      <c r="G416" s="39">
        <v>0.0</v>
      </c>
      <c r="H416" s="38" t="s">
        <v>7047</v>
      </c>
      <c r="I416" s="30">
        <v>46023.0</v>
      </c>
      <c r="J416" s="30">
        <v>46387.0</v>
      </c>
      <c r="K416" s="39">
        <v>0.0</v>
      </c>
      <c r="L416" s="39">
        <v>0.0</v>
      </c>
      <c r="M416" s="35" t="s">
        <v>7045</v>
      </c>
      <c r="N416" s="30">
        <v>46388.0</v>
      </c>
      <c r="O416" s="30">
        <v>46752.0</v>
      </c>
      <c r="P416" s="39">
        <v>0.0</v>
      </c>
      <c r="Q416" s="39">
        <v>0.0</v>
      </c>
      <c r="R416" s="35" t="s">
        <v>7045</v>
      </c>
      <c r="S416" s="30">
        <v>46753.0</v>
      </c>
      <c r="T416" s="30">
        <v>47118.0</v>
      </c>
      <c r="U416" s="39">
        <v>0.0</v>
      </c>
      <c r="V416" s="39">
        <v>0.0</v>
      </c>
      <c r="W416" s="35" t="s">
        <v>7045</v>
      </c>
      <c r="X416" s="30">
        <v>47119.0</v>
      </c>
      <c r="Y416" s="30">
        <v>47483.0</v>
      </c>
      <c r="Z416" s="39">
        <v>0.0</v>
      </c>
      <c r="AA416" s="39">
        <v>0.0</v>
      </c>
      <c r="AB416" s="35" t="s">
        <v>7045</v>
      </c>
      <c r="AC416" s="30">
        <v>47484.0</v>
      </c>
      <c r="AD416" s="30">
        <v>47848.0</v>
      </c>
      <c r="AE416" s="39">
        <v>0.0</v>
      </c>
      <c r="AF416" s="39">
        <v>0.0</v>
      </c>
      <c r="AG416" s="35" t="s">
        <v>7045</v>
      </c>
      <c r="AH416" s="30">
        <v>45292.0</v>
      </c>
      <c r="AI416" s="30">
        <v>45657.0</v>
      </c>
      <c r="AJ416" s="39">
        <v>162.42</v>
      </c>
      <c r="AK416" s="39">
        <v>148.0</v>
      </c>
      <c r="AL416" s="38" t="s">
        <v>7047</v>
      </c>
      <c r="AM416" s="30">
        <v>44562.0</v>
      </c>
      <c r="AN416" s="30">
        <v>44926.0</v>
      </c>
      <c r="AO416" s="39">
        <v>129.0</v>
      </c>
      <c r="AP416" s="39">
        <v>106.0</v>
      </c>
      <c r="AQ416" s="38" t="s">
        <v>7047</v>
      </c>
      <c r="AR416" s="30">
        <v>44927.0</v>
      </c>
      <c r="AS416" s="30">
        <v>45291.0</v>
      </c>
      <c r="AT416" s="39">
        <v>97.88</v>
      </c>
      <c r="AU416" s="39">
        <v>143.0</v>
      </c>
      <c r="AV416" s="37" t="s">
        <v>7046</v>
      </c>
    </row>
    <row r="417" ht="14.25" customHeight="1">
      <c r="A417" s="28" t="s">
        <v>3721</v>
      </c>
      <c r="B417" s="29" t="s">
        <v>3722</v>
      </c>
      <c r="C417" s="29" t="s">
        <v>7041</v>
      </c>
      <c r="D417" s="30">
        <v>45658.0</v>
      </c>
      <c r="E417" s="30">
        <v>46022.0</v>
      </c>
      <c r="F417" s="39">
        <v>52.8</v>
      </c>
      <c r="G417" s="39">
        <v>275.0</v>
      </c>
      <c r="H417" s="32" t="s">
        <v>7043</v>
      </c>
      <c r="I417" s="30">
        <v>46023.0</v>
      </c>
      <c r="J417" s="30">
        <v>46387.0</v>
      </c>
      <c r="K417" s="39">
        <v>0.0</v>
      </c>
      <c r="L417" s="39">
        <v>0.0</v>
      </c>
      <c r="M417" s="35" t="s">
        <v>7045</v>
      </c>
      <c r="N417" s="30">
        <v>46388.0</v>
      </c>
      <c r="O417" s="30">
        <v>46752.0</v>
      </c>
      <c r="P417" s="39">
        <v>0.0</v>
      </c>
      <c r="Q417" s="39">
        <v>0.0</v>
      </c>
      <c r="R417" s="35" t="s">
        <v>7045</v>
      </c>
      <c r="S417" s="30">
        <v>46753.0</v>
      </c>
      <c r="T417" s="30">
        <v>47118.0</v>
      </c>
      <c r="U417" s="39">
        <v>0.0</v>
      </c>
      <c r="V417" s="39">
        <v>0.0</v>
      </c>
      <c r="W417" s="35" t="s">
        <v>7045</v>
      </c>
      <c r="X417" s="30">
        <v>47119.0</v>
      </c>
      <c r="Y417" s="30">
        <v>47483.0</v>
      </c>
      <c r="Z417" s="39">
        <v>0.0</v>
      </c>
      <c r="AA417" s="39">
        <v>0.0</v>
      </c>
      <c r="AB417" s="35" t="s">
        <v>7045</v>
      </c>
      <c r="AC417" s="30">
        <v>47484.0</v>
      </c>
      <c r="AD417" s="30">
        <v>47848.0</v>
      </c>
      <c r="AE417" s="39">
        <v>0.0</v>
      </c>
      <c r="AF417" s="39">
        <v>0.0</v>
      </c>
      <c r="AG417" s="35" t="s">
        <v>7045</v>
      </c>
      <c r="AH417" s="30">
        <v>45292.0</v>
      </c>
      <c r="AI417" s="30">
        <v>45657.0</v>
      </c>
      <c r="AJ417" s="39">
        <v>231.25</v>
      </c>
      <c r="AK417" s="39">
        <v>380.0</v>
      </c>
      <c r="AL417" s="37" t="s">
        <v>7046</v>
      </c>
      <c r="AM417" s="30">
        <v>44562.0</v>
      </c>
      <c r="AN417" s="30">
        <v>44926.0</v>
      </c>
      <c r="AO417" s="39">
        <v>274.3</v>
      </c>
      <c r="AP417" s="39">
        <v>509.0</v>
      </c>
      <c r="AQ417" s="37" t="s">
        <v>7046</v>
      </c>
      <c r="AR417" s="30">
        <v>44927.0</v>
      </c>
      <c r="AS417" s="30">
        <v>45291.0</v>
      </c>
      <c r="AT417" s="39">
        <v>349.24</v>
      </c>
      <c r="AU417" s="39">
        <v>350.0</v>
      </c>
      <c r="AV417" s="37" t="s">
        <v>7046</v>
      </c>
    </row>
    <row r="418" ht="14.25" customHeight="1">
      <c r="A418" s="28" t="s">
        <v>2811</v>
      </c>
      <c r="B418" s="29" t="s">
        <v>2812</v>
      </c>
      <c r="C418" s="29" t="s">
        <v>7041</v>
      </c>
      <c r="D418" s="30">
        <v>45658.0</v>
      </c>
      <c r="E418" s="30">
        <v>46022.0</v>
      </c>
      <c r="F418" s="39">
        <v>64.68</v>
      </c>
      <c r="G418" s="39">
        <v>230.2</v>
      </c>
      <c r="H418" s="32" t="s">
        <v>7046</v>
      </c>
      <c r="I418" s="30">
        <v>46023.0</v>
      </c>
      <c r="J418" s="30">
        <v>46387.0</v>
      </c>
      <c r="K418" s="39">
        <v>0.0</v>
      </c>
      <c r="L418" s="39">
        <v>0.0</v>
      </c>
      <c r="M418" s="35" t="s">
        <v>7045</v>
      </c>
      <c r="N418" s="30">
        <v>46388.0</v>
      </c>
      <c r="O418" s="30">
        <v>46752.0</v>
      </c>
      <c r="P418" s="39">
        <v>0.0</v>
      </c>
      <c r="Q418" s="39">
        <v>0.0</v>
      </c>
      <c r="R418" s="35" t="s">
        <v>7045</v>
      </c>
      <c r="S418" s="30">
        <v>46753.0</v>
      </c>
      <c r="T418" s="30">
        <v>47118.0</v>
      </c>
      <c r="U418" s="39">
        <v>0.0</v>
      </c>
      <c r="V418" s="39">
        <v>0.0</v>
      </c>
      <c r="W418" s="35" t="s">
        <v>7045</v>
      </c>
      <c r="X418" s="30">
        <v>47119.0</v>
      </c>
      <c r="Y418" s="30">
        <v>47483.0</v>
      </c>
      <c r="Z418" s="39">
        <v>0.0</v>
      </c>
      <c r="AA418" s="39">
        <v>0.0</v>
      </c>
      <c r="AB418" s="35" t="s">
        <v>7045</v>
      </c>
      <c r="AC418" s="30">
        <v>47484.0</v>
      </c>
      <c r="AD418" s="30">
        <v>47848.0</v>
      </c>
      <c r="AE418" s="39">
        <v>0.0</v>
      </c>
      <c r="AF418" s="39">
        <v>0.0</v>
      </c>
      <c r="AG418" s="35" t="s">
        <v>7045</v>
      </c>
      <c r="AH418" s="30">
        <v>45292.0</v>
      </c>
      <c r="AI418" s="30">
        <v>45657.0</v>
      </c>
      <c r="AJ418" s="39">
        <v>200.03</v>
      </c>
      <c r="AK418" s="39">
        <v>226.0</v>
      </c>
      <c r="AL418" s="37" t="s">
        <v>7046</v>
      </c>
      <c r="AM418" s="30">
        <v>44562.0</v>
      </c>
      <c r="AN418" s="30">
        <v>44926.0</v>
      </c>
      <c r="AO418" s="39">
        <v>198.5</v>
      </c>
      <c r="AP418" s="39">
        <v>330.0</v>
      </c>
      <c r="AQ418" s="37" t="s">
        <v>7046</v>
      </c>
      <c r="AR418" s="30">
        <v>44927.0</v>
      </c>
      <c r="AS418" s="30">
        <v>45291.0</v>
      </c>
      <c r="AT418" s="39">
        <v>205.29</v>
      </c>
      <c r="AU418" s="39">
        <v>225.0</v>
      </c>
      <c r="AV418" s="37" t="s">
        <v>7046</v>
      </c>
    </row>
    <row r="419" ht="14.25" customHeight="1">
      <c r="A419" s="28" t="s">
        <v>2604</v>
      </c>
      <c r="B419" s="29" t="s">
        <v>2605</v>
      </c>
      <c r="C419" s="29" t="s">
        <v>7041</v>
      </c>
      <c r="D419" s="30">
        <v>45658.0</v>
      </c>
      <c r="E419" s="30">
        <v>46022.0</v>
      </c>
      <c r="F419" s="39">
        <v>204.14</v>
      </c>
      <c r="G419" s="39">
        <v>350.0</v>
      </c>
      <c r="H419" s="38" t="s">
        <v>7047</v>
      </c>
      <c r="I419" s="30">
        <v>46023.0</v>
      </c>
      <c r="J419" s="30">
        <v>46387.0</v>
      </c>
      <c r="K419" s="39">
        <v>0.0</v>
      </c>
      <c r="L419" s="39">
        <v>0.0</v>
      </c>
      <c r="M419" s="35" t="s">
        <v>7045</v>
      </c>
      <c r="N419" s="30">
        <v>46388.0</v>
      </c>
      <c r="O419" s="30">
        <v>46752.0</v>
      </c>
      <c r="P419" s="39">
        <v>0.0</v>
      </c>
      <c r="Q419" s="39">
        <v>0.0</v>
      </c>
      <c r="R419" s="35" t="s">
        <v>7045</v>
      </c>
      <c r="S419" s="30">
        <v>46753.0</v>
      </c>
      <c r="T419" s="30">
        <v>47118.0</v>
      </c>
      <c r="U419" s="39">
        <v>0.0</v>
      </c>
      <c r="V419" s="39">
        <v>0.0</v>
      </c>
      <c r="W419" s="35" t="s">
        <v>7045</v>
      </c>
      <c r="X419" s="30">
        <v>47119.0</v>
      </c>
      <c r="Y419" s="30">
        <v>47483.0</v>
      </c>
      <c r="Z419" s="39">
        <v>0.0</v>
      </c>
      <c r="AA419" s="39">
        <v>0.0</v>
      </c>
      <c r="AB419" s="35" t="s">
        <v>7045</v>
      </c>
      <c r="AC419" s="30">
        <v>47484.0</v>
      </c>
      <c r="AD419" s="30">
        <v>47848.0</v>
      </c>
      <c r="AE419" s="39">
        <v>0.0</v>
      </c>
      <c r="AF419" s="39">
        <v>0.0</v>
      </c>
      <c r="AG419" s="35" t="s">
        <v>7045</v>
      </c>
      <c r="AH419" s="30">
        <v>45292.0</v>
      </c>
      <c r="AI419" s="30">
        <v>45657.0</v>
      </c>
      <c r="AJ419" s="39">
        <v>177.15</v>
      </c>
      <c r="AK419" s="39">
        <v>610.0</v>
      </c>
      <c r="AL419" s="32" t="s">
        <v>7043</v>
      </c>
      <c r="AM419" s="30">
        <v>44562.0</v>
      </c>
      <c r="AN419" s="30">
        <v>44926.0</v>
      </c>
      <c r="AO419" s="39">
        <v>247.0</v>
      </c>
      <c r="AP419" s="39">
        <v>300.0</v>
      </c>
      <c r="AQ419" s="37" t="s">
        <v>7046</v>
      </c>
      <c r="AR419" s="30">
        <v>44927.0</v>
      </c>
      <c r="AS419" s="30">
        <v>45291.0</v>
      </c>
      <c r="AT419" s="39">
        <v>529.79</v>
      </c>
      <c r="AU419" s="39">
        <v>430.0</v>
      </c>
      <c r="AV419" s="38" t="s">
        <v>7047</v>
      </c>
    </row>
    <row r="420" ht="14.25" customHeight="1">
      <c r="A420" s="28" t="s">
        <v>308</v>
      </c>
      <c r="B420" s="29" t="s">
        <v>309</v>
      </c>
      <c r="C420" s="29" t="s">
        <v>7041</v>
      </c>
      <c r="D420" s="30">
        <v>45658.0</v>
      </c>
      <c r="E420" s="30">
        <v>46022.0</v>
      </c>
      <c r="F420" s="39">
        <v>131.1</v>
      </c>
      <c r="G420" s="39">
        <v>200.0</v>
      </c>
      <c r="H420" s="38" t="s">
        <v>7047</v>
      </c>
      <c r="I420" s="30">
        <v>46023.0</v>
      </c>
      <c r="J420" s="30">
        <v>46387.0</v>
      </c>
      <c r="K420" s="39">
        <v>0.0</v>
      </c>
      <c r="L420" s="39">
        <v>0.0</v>
      </c>
      <c r="M420" s="35" t="s">
        <v>7045</v>
      </c>
      <c r="N420" s="30">
        <v>46388.0</v>
      </c>
      <c r="O420" s="30">
        <v>46752.0</v>
      </c>
      <c r="P420" s="39">
        <v>0.0</v>
      </c>
      <c r="Q420" s="39">
        <v>0.0</v>
      </c>
      <c r="R420" s="35" t="s">
        <v>7045</v>
      </c>
      <c r="S420" s="30">
        <v>46753.0</v>
      </c>
      <c r="T420" s="30">
        <v>47118.0</v>
      </c>
      <c r="U420" s="39">
        <v>0.0</v>
      </c>
      <c r="V420" s="39">
        <v>0.0</v>
      </c>
      <c r="W420" s="35" t="s">
        <v>7045</v>
      </c>
      <c r="X420" s="30">
        <v>47119.0</v>
      </c>
      <c r="Y420" s="30">
        <v>47483.0</v>
      </c>
      <c r="Z420" s="39">
        <v>0.0</v>
      </c>
      <c r="AA420" s="39">
        <v>0.0</v>
      </c>
      <c r="AB420" s="35" t="s">
        <v>7045</v>
      </c>
      <c r="AC420" s="30">
        <v>47484.0</v>
      </c>
      <c r="AD420" s="30">
        <v>47848.0</v>
      </c>
      <c r="AE420" s="39">
        <v>0.0</v>
      </c>
      <c r="AF420" s="39">
        <v>0.0</v>
      </c>
      <c r="AG420" s="35" t="s">
        <v>7045</v>
      </c>
      <c r="AH420" s="30">
        <v>45292.0</v>
      </c>
      <c r="AI420" s="30">
        <v>45657.0</v>
      </c>
      <c r="AJ420" s="39">
        <v>182.49</v>
      </c>
      <c r="AK420" s="39">
        <v>284.0</v>
      </c>
      <c r="AL420" s="37" t="s">
        <v>7046</v>
      </c>
      <c r="AM420" s="30">
        <v>44562.0</v>
      </c>
      <c r="AN420" s="30">
        <v>44926.0</v>
      </c>
      <c r="AO420" s="39">
        <v>190.9</v>
      </c>
      <c r="AP420" s="39">
        <v>201.0</v>
      </c>
      <c r="AQ420" s="37" t="s">
        <v>7046</v>
      </c>
      <c r="AR420" s="30">
        <v>44927.0</v>
      </c>
      <c r="AS420" s="30">
        <v>45291.0</v>
      </c>
      <c r="AT420" s="39">
        <v>253.53</v>
      </c>
      <c r="AU420" s="39">
        <v>0.0</v>
      </c>
      <c r="AV420" s="38" t="s">
        <v>7047</v>
      </c>
    </row>
    <row r="421" ht="14.25" customHeight="1">
      <c r="A421" s="28" t="s">
        <v>6002</v>
      </c>
      <c r="B421" s="29" t="s">
        <v>6003</v>
      </c>
      <c r="C421" s="29" t="s">
        <v>7041</v>
      </c>
      <c r="D421" s="30">
        <v>45658.0</v>
      </c>
      <c r="E421" s="30">
        <v>46022.0</v>
      </c>
      <c r="F421" s="39">
        <v>173.22</v>
      </c>
      <c r="G421" s="39">
        <v>0.0</v>
      </c>
      <c r="H421" s="38" t="s">
        <v>7047</v>
      </c>
      <c r="I421" s="30">
        <v>46023.0</v>
      </c>
      <c r="J421" s="30">
        <v>46387.0</v>
      </c>
      <c r="K421" s="39">
        <v>0.0</v>
      </c>
      <c r="L421" s="39">
        <v>0.0</v>
      </c>
      <c r="M421" s="35" t="s">
        <v>7045</v>
      </c>
      <c r="N421" s="30">
        <v>46388.0</v>
      </c>
      <c r="O421" s="30">
        <v>46752.0</v>
      </c>
      <c r="P421" s="39">
        <v>0.0</v>
      </c>
      <c r="Q421" s="39">
        <v>0.0</v>
      </c>
      <c r="R421" s="35" t="s">
        <v>7045</v>
      </c>
      <c r="S421" s="30">
        <v>46753.0</v>
      </c>
      <c r="T421" s="30">
        <v>47118.0</v>
      </c>
      <c r="U421" s="39">
        <v>0.0</v>
      </c>
      <c r="V421" s="39">
        <v>0.0</v>
      </c>
      <c r="W421" s="35" t="s">
        <v>7045</v>
      </c>
      <c r="X421" s="30">
        <v>47119.0</v>
      </c>
      <c r="Y421" s="30">
        <v>47483.0</v>
      </c>
      <c r="Z421" s="39">
        <v>0.0</v>
      </c>
      <c r="AA421" s="39">
        <v>0.0</v>
      </c>
      <c r="AB421" s="35" t="s">
        <v>7045</v>
      </c>
      <c r="AC421" s="30">
        <v>47484.0</v>
      </c>
      <c r="AD421" s="30">
        <v>47848.0</v>
      </c>
      <c r="AE421" s="39">
        <v>0.0</v>
      </c>
      <c r="AF421" s="39">
        <v>0.0</v>
      </c>
      <c r="AG421" s="35" t="s">
        <v>7045</v>
      </c>
      <c r="AH421" s="30">
        <v>45292.0</v>
      </c>
      <c r="AI421" s="30">
        <v>45657.0</v>
      </c>
      <c r="AJ421" s="39">
        <v>215.58</v>
      </c>
      <c r="AK421" s="39">
        <v>490.0</v>
      </c>
      <c r="AL421" s="32" t="s">
        <v>7043</v>
      </c>
      <c r="AM421" s="30">
        <v>44562.0</v>
      </c>
      <c r="AN421" s="30">
        <v>44926.0</v>
      </c>
      <c r="AO421" s="39">
        <v>472.5</v>
      </c>
      <c r="AP421" s="39">
        <v>652.0</v>
      </c>
      <c r="AQ421" s="37" t="s">
        <v>7046</v>
      </c>
      <c r="AR421" s="30">
        <v>44927.0</v>
      </c>
      <c r="AS421" s="30">
        <v>45291.0</v>
      </c>
      <c r="AT421" s="39">
        <v>445.13</v>
      </c>
      <c r="AU421" s="39">
        <v>616.0</v>
      </c>
      <c r="AV421" s="37" t="s">
        <v>7046</v>
      </c>
    </row>
    <row r="422" ht="14.25" customHeight="1">
      <c r="A422" s="28" t="s">
        <v>844</v>
      </c>
      <c r="B422" s="29" t="s">
        <v>845</v>
      </c>
      <c r="C422" s="29" t="s">
        <v>7041</v>
      </c>
      <c r="D422" s="30">
        <v>45658.0</v>
      </c>
      <c r="E422" s="30">
        <v>46022.0</v>
      </c>
      <c r="F422" s="39">
        <v>68.31</v>
      </c>
      <c r="G422" s="39">
        <v>200.0</v>
      </c>
      <c r="H422" s="32" t="s">
        <v>7046</v>
      </c>
      <c r="I422" s="30">
        <v>46023.0</v>
      </c>
      <c r="J422" s="30">
        <v>46387.0</v>
      </c>
      <c r="K422" s="39">
        <v>0.0</v>
      </c>
      <c r="L422" s="39">
        <v>0.0</v>
      </c>
      <c r="M422" s="35" t="s">
        <v>7045</v>
      </c>
      <c r="N422" s="30">
        <v>46388.0</v>
      </c>
      <c r="O422" s="30">
        <v>46752.0</v>
      </c>
      <c r="P422" s="39">
        <v>0.0</v>
      </c>
      <c r="Q422" s="39">
        <v>0.0</v>
      </c>
      <c r="R422" s="35" t="s">
        <v>7045</v>
      </c>
      <c r="S422" s="30">
        <v>46753.0</v>
      </c>
      <c r="T422" s="30">
        <v>47118.0</v>
      </c>
      <c r="U422" s="39">
        <v>0.0</v>
      </c>
      <c r="V422" s="39">
        <v>0.0</v>
      </c>
      <c r="W422" s="35" t="s">
        <v>7045</v>
      </c>
      <c r="X422" s="30">
        <v>47119.0</v>
      </c>
      <c r="Y422" s="30">
        <v>47483.0</v>
      </c>
      <c r="Z422" s="39">
        <v>0.0</v>
      </c>
      <c r="AA422" s="39">
        <v>0.0</v>
      </c>
      <c r="AB422" s="35" t="s">
        <v>7045</v>
      </c>
      <c r="AC422" s="30">
        <v>47484.0</v>
      </c>
      <c r="AD422" s="30">
        <v>47848.0</v>
      </c>
      <c r="AE422" s="39">
        <v>0.0</v>
      </c>
      <c r="AF422" s="39">
        <v>0.0</v>
      </c>
      <c r="AG422" s="35" t="s">
        <v>7045</v>
      </c>
      <c r="AH422" s="30">
        <v>45292.0</v>
      </c>
      <c r="AI422" s="30">
        <v>45657.0</v>
      </c>
      <c r="AJ422" s="39">
        <v>191.41</v>
      </c>
      <c r="AK422" s="39">
        <v>200.0</v>
      </c>
      <c r="AL422" s="37" t="s">
        <v>7046</v>
      </c>
      <c r="AM422" s="30">
        <v>44562.0</v>
      </c>
      <c r="AN422" s="30">
        <v>44926.0</v>
      </c>
      <c r="AO422" s="39">
        <v>224.3</v>
      </c>
      <c r="AP422" s="39">
        <v>238.0</v>
      </c>
      <c r="AQ422" s="37" t="s">
        <v>7046</v>
      </c>
      <c r="AR422" s="30">
        <v>44927.0</v>
      </c>
      <c r="AS422" s="30">
        <v>45291.0</v>
      </c>
      <c r="AT422" s="39">
        <v>149.33</v>
      </c>
      <c r="AU422" s="39">
        <v>240.0</v>
      </c>
      <c r="AV422" s="37" t="s">
        <v>7046</v>
      </c>
    </row>
    <row r="423" ht="14.25" customHeight="1">
      <c r="A423" s="28" t="s">
        <v>6150</v>
      </c>
      <c r="B423" s="29" t="s">
        <v>6151</v>
      </c>
      <c r="C423" s="29" t="s">
        <v>7041</v>
      </c>
      <c r="D423" s="30">
        <v>45658.0</v>
      </c>
      <c r="E423" s="30">
        <v>46022.0</v>
      </c>
      <c r="F423" s="39">
        <v>52.52</v>
      </c>
      <c r="G423" s="39">
        <v>264.0</v>
      </c>
      <c r="H423" s="37" t="s">
        <v>7043</v>
      </c>
      <c r="I423" s="30">
        <v>46023.0</v>
      </c>
      <c r="J423" s="30">
        <v>46387.0</v>
      </c>
      <c r="K423" s="39">
        <v>0.0</v>
      </c>
      <c r="L423" s="39">
        <v>0.0</v>
      </c>
      <c r="M423" s="35" t="s">
        <v>7045</v>
      </c>
      <c r="N423" s="30">
        <v>46388.0</v>
      </c>
      <c r="O423" s="30">
        <v>46752.0</v>
      </c>
      <c r="P423" s="39">
        <v>0.0</v>
      </c>
      <c r="Q423" s="39">
        <v>0.0</v>
      </c>
      <c r="R423" s="35" t="s">
        <v>7045</v>
      </c>
      <c r="S423" s="30">
        <v>46753.0</v>
      </c>
      <c r="T423" s="30">
        <v>47118.0</v>
      </c>
      <c r="U423" s="39">
        <v>0.0</v>
      </c>
      <c r="V423" s="39">
        <v>0.0</v>
      </c>
      <c r="W423" s="35" t="s">
        <v>7045</v>
      </c>
      <c r="X423" s="30">
        <v>47119.0</v>
      </c>
      <c r="Y423" s="30">
        <v>47483.0</v>
      </c>
      <c r="Z423" s="39">
        <v>0.0</v>
      </c>
      <c r="AA423" s="39">
        <v>0.0</v>
      </c>
      <c r="AB423" s="35" t="s">
        <v>7045</v>
      </c>
      <c r="AC423" s="30">
        <v>47484.0</v>
      </c>
      <c r="AD423" s="30">
        <v>47848.0</v>
      </c>
      <c r="AE423" s="39">
        <v>0.0</v>
      </c>
      <c r="AF423" s="39">
        <v>0.0</v>
      </c>
      <c r="AG423" s="35" t="s">
        <v>7045</v>
      </c>
      <c r="AH423" s="30">
        <v>45292.0</v>
      </c>
      <c r="AI423" s="30">
        <v>45657.0</v>
      </c>
      <c r="AJ423" s="39">
        <v>229.36</v>
      </c>
      <c r="AK423" s="39">
        <v>210.0</v>
      </c>
      <c r="AL423" s="38" t="s">
        <v>7047</v>
      </c>
      <c r="AM423" s="30">
        <v>44562.0</v>
      </c>
      <c r="AN423" s="30">
        <v>44926.0</v>
      </c>
      <c r="AO423" s="39">
        <v>169.6</v>
      </c>
      <c r="AP423" s="39">
        <v>235.0</v>
      </c>
      <c r="AQ423" s="37" t="s">
        <v>7046</v>
      </c>
      <c r="AR423" s="30">
        <v>44927.0</v>
      </c>
      <c r="AS423" s="30">
        <v>45291.0</v>
      </c>
      <c r="AT423" s="39">
        <v>149.14</v>
      </c>
      <c r="AU423" s="39">
        <v>234.0</v>
      </c>
      <c r="AV423" s="37" t="s">
        <v>7046</v>
      </c>
    </row>
    <row r="424" ht="14.25" customHeight="1">
      <c r="A424" s="28" t="s">
        <v>1641</v>
      </c>
      <c r="B424" s="29" t="s">
        <v>1642</v>
      </c>
      <c r="C424" s="29" t="s">
        <v>7041</v>
      </c>
      <c r="D424" s="30">
        <v>45658.0</v>
      </c>
      <c r="E424" s="30">
        <v>46022.0</v>
      </c>
      <c r="F424" s="39">
        <v>16.83</v>
      </c>
      <c r="G424" s="39">
        <v>0.0</v>
      </c>
      <c r="H424" s="38" t="s">
        <v>7047</v>
      </c>
      <c r="I424" s="30">
        <v>46023.0</v>
      </c>
      <c r="J424" s="30">
        <v>46387.0</v>
      </c>
      <c r="K424" s="39">
        <v>0.0</v>
      </c>
      <c r="L424" s="39">
        <v>0.0</v>
      </c>
      <c r="M424" s="35" t="s">
        <v>7045</v>
      </c>
      <c r="N424" s="30">
        <v>46388.0</v>
      </c>
      <c r="O424" s="30">
        <v>46752.0</v>
      </c>
      <c r="P424" s="39">
        <v>0.0</v>
      </c>
      <c r="Q424" s="39">
        <v>0.0</v>
      </c>
      <c r="R424" s="35" t="s">
        <v>7045</v>
      </c>
      <c r="S424" s="30">
        <v>46753.0</v>
      </c>
      <c r="T424" s="30">
        <v>47118.0</v>
      </c>
      <c r="U424" s="39">
        <v>0.0</v>
      </c>
      <c r="V424" s="39">
        <v>0.0</v>
      </c>
      <c r="W424" s="35" t="s">
        <v>7045</v>
      </c>
      <c r="X424" s="30">
        <v>47119.0</v>
      </c>
      <c r="Y424" s="30">
        <v>47483.0</v>
      </c>
      <c r="Z424" s="39">
        <v>0.0</v>
      </c>
      <c r="AA424" s="39">
        <v>0.0</v>
      </c>
      <c r="AB424" s="35" t="s">
        <v>7045</v>
      </c>
      <c r="AC424" s="30">
        <v>47484.0</v>
      </c>
      <c r="AD424" s="30">
        <v>47848.0</v>
      </c>
      <c r="AE424" s="39">
        <v>0.0</v>
      </c>
      <c r="AF424" s="39">
        <v>0.0</v>
      </c>
      <c r="AG424" s="35" t="s">
        <v>7045</v>
      </c>
      <c r="AH424" s="30">
        <v>45292.0</v>
      </c>
      <c r="AI424" s="30">
        <v>45657.0</v>
      </c>
      <c r="AJ424" s="39">
        <v>196.35</v>
      </c>
      <c r="AK424" s="39">
        <v>248.0</v>
      </c>
      <c r="AL424" s="37" t="s">
        <v>7046</v>
      </c>
      <c r="AM424" s="30">
        <v>44562.0</v>
      </c>
      <c r="AN424" s="30">
        <v>44926.0</v>
      </c>
      <c r="AO424" s="39">
        <v>53.6</v>
      </c>
      <c r="AP424" s="39">
        <v>0.0</v>
      </c>
      <c r="AQ424" s="38" t="s">
        <v>7047</v>
      </c>
      <c r="AR424" s="30">
        <v>44927.0</v>
      </c>
      <c r="AS424" s="30">
        <v>45291.0</v>
      </c>
      <c r="AT424" s="39">
        <v>247.39</v>
      </c>
      <c r="AU424" s="39">
        <v>238.9</v>
      </c>
      <c r="AV424" s="38" t="s">
        <v>7047</v>
      </c>
    </row>
    <row r="425" ht="14.25" customHeight="1">
      <c r="A425" s="28" t="s">
        <v>5525</v>
      </c>
      <c r="B425" s="29" t="s">
        <v>5526</v>
      </c>
      <c r="C425" s="29" t="s">
        <v>7041</v>
      </c>
      <c r="D425" s="30">
        <v>45658.0</v>
      </c>
      <c r="E425" s="30">
        <v>46022.0</v>
      </c>
      <c r="F425" s="39">
        <v>29.24</v>
      </c>
      <c r="G425" s="39">
        <v>200.0</v>
      </c>
      <c r="H425" s="32" t="s">
        <v>7043</v>
      </c>
      <c r="I425" s="30">
        <v>46023.0</v>
      </c>
      <c r="J425" s="30">
        <v>46387.0</v>
      </c>
      <c r="K425" s="39">
        <v>0.0</v>
      </c>
      <c r="L425" s="39">
        <v>0.0</v>
      </c>
      <c r="M425" s="35" t="s">
        <v>7045</v>
      </c>
      <c r="N425" s="30">
        <v>46388.0</v>
      </c>
      <c r="O425" s="30">
        <v>46752.0</v>
      </c>
      <c r="P425" s="39">
        <v>0.0</v>
      </c>
      <c r="Q425" s="39">
        <v>0.0</v>
      </c>
      <c r="R425" s="35" t="s">
        <v>7045</v>
      </c>
      <c r="S425" s="30">
        <v>46753.0</v>
      </c>
      <c r="T425" s="30">
        <v>47118.0</v>
      </c>
      <c r="U425" s="39">
        <v>0.0</v>
      </c>
      <c r="V425" s="39">
        <v>0.0</v>
      </c>
      <c r="W425" s="35" t="s">
        <v>7045</v>
      </c>
      <c r="X425" s="30">
        <v>47119.0</v>
      </c>
      <c r="Y425" s="30">
        <v>47483.0</v>
      </c>
      <c r="Z425" s="39">
        <v>0.0</v>
      </c>
      <c r="AA425" s="39">
        <v>0.0</v>
      </c>
      <c r="AB425" s="35" t="s">
        <v>7045</v>
      </c>
      <c r="AC425" s="30">
        <v>47484.0</v>
      </c>
      <c r="AD425" s="30">
        <v>47848.0</v>
      </c>
      <c r="AE425" s="39">
        <v>0.0</v>
      </c>
      <c r="AF425" s="39">
        <v>0.0</v>
      </c>
      <c r="AG425" s="35" t="s">
        <v>7045</v>
      </c>
      <c r="AH425" s="30">
        <v>45292.0</v>
      </c>
      <c r="AI425" s="30">
        <v>45657.0</v>
      </c>
      <c r="AJ425" s="39">
        <v>164.64</v>
      </c>
      <c r="AK425" s="39">
        <v>200.0</v>
      </c>
      <c r="AL425" s="37" t="s">
        <v>7046</v>
      </c>
      <c r="AM425" s="30">
        <v>44562.0</v>
      </c>
      <c r="AN425" s="30">
        <v>44926.0</v>
      </c>
      <c r="AO425" s="39">
        <v>106.9</v>
      </c>
      <c r="AP425" s="39">
        <v>0.0</v>
      </c>
      <c r="AQ425" s="38" t="s">
        <v>7047</v>
      </c>
      <c r="AR425" s="30">
        <v>44927.0</v>
      </c>
      <c r="AS425" s="30">
        <v>45291.0</v>
      </c>
      <c r="AT425" s="39">
        <v>160.9</v>
      </c>
      <c r="AU425" s="39">
        <v>0.0</v>
      </c>
      <c r="AV425" s="38" t="s">
        <v>7047</v>
      </c>
    </row>
    <row r="426" ht="14.25" customHeight="1">
      <c r="A426" s="28" t="s">
        <v>5212</v>
      </c>
      <c r="B426" s="29" t="s">
        <v>5213</v>
      </c>
      <c r="C426" s="29" t="s">
        <v>7041</v>
      </c>
      <c r="D426" s="30">
        <v>45658.0</v>
      </c>
      <c r="E426" s="30">
        <v>46022.0</v>
      </c>
      <c r="F426" s="39">
        <v>68.68</v>
      </c>
      <c r="G426" s="39">
        <v>200.0</v>
      </c>
      <c r="H426" s="37" t="s">
        <v>7046</v>
      </c>
      <c r="I426" s="30">
        <v>46023.0</v>
      </c>
      <c r="J426" s="30">
        <v>46387.0</v>
      </c>
      <c r="K426" s="39">
        <v>0.0</v>
      </c>
      <c r="L426" s="39">
        <v>0.0</v>
      </c>
      <c r="M426" s="35" t="s">
        <v>7045</v>
      </c>
      <c r="N426" s="30">
        <v>46388.0</v>
      </c>
      <c r="O426" s="30">
        <v>46752.0</v>
      </c>
      <c r="P426" s="39">
        <v>0.0</v>
      </c>
      <c r="Q426" s="39">
        <v>0.0</v>
      </c>
      <c r="R426" s="35" t="s">
        <v>7045</v>
      </c>
      <c r="S426" s="30">
        <v>46753.0</v>
      </c>
      <c r="T426" s="30">
        <v>47118.0</v>
      </c>
      <c r="U426" s="39">
        <v>0.0</v>
      </c>
      <c r="V426" s="39">
        <v>0.0</v>
      </c>
      <c r="W426" s="35" t="s">
        <v>7045</v>
      </c>
      <c r="X426" s="30">
        <v>47119.0</v>
      </c>
      <c r="Y426" s="30">
        <v>47483.0</v>
      </c>
      <c r="Z426" s="39">
        <v>0.0</v>
      </c>
      <c r="AA426" s="39">
        <v>0.0</v>
      </c>
      <c r="AB426" s="35" t="s">
        <v>7045</v>
      </c>
      <c r="AC426" s="30">
        <v>47484.0</v>
      </c>
      <c r="AD426" s="30">
        <v>47848.0</v>
      </c>
      <c r="AE426" s="39">
        <v>0.0</v>
      </c>
      <c r="AF426" s="39">
        <v>0.0</v>
      </c>
      <c r="AG426" s="35" t="s">
        <v>7045</v>
      </c>
      <c r="AH426" s="30">
        <v>45292.0</v>
      </c>
      <c r="AI426" s="30">
        <v>45657.0</v>
      </c>
      <c r="AJ426" s="39">
        <v>182.95</v>
      </c>
      <c r="AK426" s="39">
        <v>200.0</v>
      </c>
      <c r="AL426" s="37" t="s">
        <v>7046</v>
      </c>
      <c r="AM426" s="30">
        <v>44562.0</v>
      </c>
      <c r="AN426" s="30">
        <v>44926.0</v>
      </c>
      <c r="AO426" s="39">
        <v>281.4</v>
      </c>
      <c r="AP426" s="39">
        <v>228.0</v>
      </c>
      <c r="AQ426" s="38" t="s">
        <v>7047</v>
      </c>
      <c r="AR426" s="30">
        <v>44927.0</v>
      </c>
      <c r="AS426" s="30">
        <v>45291.0</v>
      </c>
      <c r="AT426" s="39">
        <v>160.13</v>
      </c>
      <c r="AU426" s="39">
        <v>330.0</v>
      </c>
      <c r="AV426" s="32" t="s">
        <v>7043</v>
      </c>
    </row>
    <row r="427" ht="14.25" customHeight="1">
      <c r="A427" s="28" t="s">
        <v>3832</v>
      </c>
      <c r="B427" s="29" t="s">
        <v>3833</v>
      </c>
      <c r="C427" s="29" t="s">
        <v>7041</v>
      </c>
      <c r="D427" s="30">
        <v>45658.0</v>
      </c>
      <c r="E427" s="30">
        <v>46022.0</v>
      </c>
      <c r="F427" s="39">
        <v>69.4</v>
      </c>
      <c r="G427" s="39">
        <v>200.0</v>
      </c>
      <c r="H427" s="37" t="s">
        <v>7046</v>
      </c>
      <c r="I427" s="30">
        <v>46023.0</v>
      </c>
      <c r="J427" s="30">
        <v>46387.0</v>
      </c>
      <c r="K427" s="39">
        <v>0.0</v>
      </c>
      <c r="L427" s="39">
        <v>0.0</v>
      </c>
      <c r="M427" s="35" t="s">
        <v>7045</v>
      </c>
      <c r="N427" s="30">
        <v>46388.0</v>
      </c>
      <c r="O427" s="30">
        <v>46752.0</v>
      </c>
      <c r="P427" s="39">
        <v>0.0</v>
      </c>
      <c r="Q427" s="39">
        <v>0.0</v>
      </c>
      <c r="R427" s="35" t="s">
        <v>7045</v>
      </c>
      <c r="S427" s="30">
        <v>46753.0</v>
      </c>
      <c r="T427" s="30">
        <v>47118.0</v>
      </c>
      <c r="U427" s="39">
        <v>0.0</v>
      </c>
      <c r="V427" s="39">
        <v>0.0</v>
      </c>
      <c r="W427" s="35" t="s">
        <v>7045</v>
      </c>
      <c r="X427" s="30">
        <v>47119.0</v>
      </c>
      <c r="Y427" s="30">
        <v>47483.0</v>
      </c>
      <c r="Z427" s="39">
        <v>0.0</v>
      </c>
      <c r="AA427" s="39">
        <v>0.0</v>
      </c>
      <c r="AB427" s="35" t="s">
        <v>7045</v>
      </c>
      <c r="AC427" s="30">
        <v>47484.0</v>
      </c>
      <c r="AD427" s="30">
        <v>47848.0</v>
      </c>
      <c r="AE427" s="39">
        <v>0.0</v>
      </c>
      <c r="AF427" s="39">
        <v>0.0</v>
      </c>
      <c r="AG427" s="35" t="s">
        <v>7045</v>
      </c>
      <c r="AH427" s="30">
        <v>45292.0</v>
      </c>
      <c r="AI427" s="30">
        <v>45657.0</v>
      </c>
      <c r="AJ427" s="39">
        <v>183.1</v>
      </c>
      <c r="AK427" s="39">
        <v>230.0</v>
      </c>
      <c r="AL427" s="37" t="s">
        <v>7046</v>
      </c>
      <c r="AM427" s="30">
        <v>44562.0</v>
      </c>
      <c r="AN427" s="30">
        <v>44926.0</v>
      </c>
      <c r="AO427" s="39">
        <v>110.8</v>
      </c>
      <c r="AP427" s="39">
        <v>0.0</v>
      </c>
      <c r="AQ427" s="38" t="s">
        <v>7047</v>
      </c>
      <c r="AR427" s="30">
        <v>44927.0</v>
      </c>
      <c r="AS427" s="30">
        <v>45291.0</v>
      </c>
      <c r="AT427" s="39">
        <v>222.75</v>
      </c>
      <c r="AU427" s="39">
        <v>0.0</v>
      </c>
      <c r="AV427" s="38" t="s">
        <v>7047</v>
      </c>
    </row>
    <row r="428" ht="14.25" customHeight="1">
      <c r="A428" s="28" t="s">
        <v>1695</v>
      </c>
      <c r="B428" s="29" t="s">
        <v>1696</v>
      </c>
      <c r="C428" s="29" t="s">
        <v>7041</v>
      </c>
      <c r="D428" s="30">
        <v>45658.0</v>
      </c>
      <c r="E428" s="30">
        <v>46022.0</v>
      </c>
      <c r="F428" s="39">
        <v>128.38</v>
      </c>
      <c r="G428" s="39">
        <v>248.0</v>
      </c>
      <c r="H428" s="38" t="s">
        <v>7046</v>
      </c>
      <c r="I428" s="30">
        <v>46023.0</v>
      </c>
      <c r="J428" s="30">
        <v>46387.0</v>
      </c>
      <c r="K428" s="39">
        <v>0.0</v>
      </c>
      <c r="L428" s="39">
        <v>0.0</v>
      </c>
      <c r="M428" s="35" t="s">
        <v>7045</v>
      </c>
      <c r="N428" s="30">
        <v>46388.0</v>
      </c>
      <c r="O428" s="30">
        <v>46752.0</v>
      </c>
      <c r="P428" s="39">
        <v>0.0</v>
      </c>
      <c r="Q428" s="39">
        <v>0.0</v>
      </c>
      <c r="R428" s="35" t="s">
        <v>7045</v>
      </c>
      <c r="S428" s="30">
        <v>46753.0</v>
      </c>
      <c r="T428" s="30">
        <v>47118.0</v>
      </c>
      <c r="U428" s="39">
        <v>0.0</v>
      </c>
      <c r="V428" s="39">
        <v>0.0</v>
      </c>
      <c r="W428" s="35" t="s">
        <v>7045</v>
      </c>
      <c r="X428" s="30">
        <v>47119.0</v>
      </c>
      <c r="Y428" s="30">
        <v>47483.0</v>
      </c>
      <c r="Z428" s="39">
        <v>0.0</v>
      </c>
      <c r="AA428" s="39">
        <v>0.0</v>
      </c>
      <c r="AB428" s="35" t="s">
        <v>7045</v>
      </c>
      <c r="AC428" s="30">
        <v>47484.0</v>
      </c>
      <c r="AD428" s="30">
        <v>47848.0</v>
      </c>
      <c r="AE428" s="39">
        <v>0.0</v>
      </c>
      <c r="AF428" s="39">
        <v>0.0</v>
      </c>
      <c r="AG428" s="35" t="s">
        <v>7045</v>
      </c>
      <c r="AH428" s="30">
        <v>45292.0</v>
      </c>
      <c r="AI428" s="30">
        <v>45657.0</v>
      </c>
      <c r="AJ428" s="39">
        <v>170.73</v>
      </c>
      <c r="AK428" s="39">
        <v>530.0</v>
      </c>
      <c r="AL428" s="32" t="s">
        <v>7043</v>
      </c>
      <c r="AM428" s="30">
        <v>44562.0</v>
      </c>
      <c r="AN428" s="30">
        <v>44926.0</v>
      </c>
      <c r="AO428" s="39">
        <v>213.0</v>
      </c>
      <c r="AP428" s="39">
        <v>0.0</v>
      </c>
      <c r="AQ428" s="38" t="s">
        <v>7047</v>
      </c>
      <c r="AR428" s="30">
        <v>44927.0</v>
      </c>
      <c r="AS428" s="30">
        <v>45291.0</v>
      </c>
      <c r="AT428" s="39">
        <v>481.64</v>
      </c>
      <c r="AU428" s="39">
        <v>250.0</v>
      </c>
      <c r="AV428" s="38" t="s">
        <v>7047</v>
      </c>
    </row>
    <row r="429" ht="14.25" customHeight="1">
      <c r="A429" s="28" t="s">
        <v>1316</v>
      </c>
      <c r="B429" s="29" t="s">
        <v>1317</v>
      </c>
      <c r="C429" s="29" t="s">
        <v>7041</v>
      </c>
      <c r="D429" s="30">
        <v>45658.0</v>
      </c>
      <c r="E429" s="30">
        <v>46022.0</v>
      </c>
      <c r="F429" s="36">
        <v>0.0</v>
      </c>
      <c r="G429" s="36">
        <v>0.0</v>
      </c>
      <c r="H429" s="35" t="s">
        <v>7045</v>
      </c>
      <c r="I429" s="30">
        <v>46023.0</v>
      </c>
      <c r="J429" s="30">
        <v>46387.0</v>
      </c>
      <c r="K429" s="36">
        <v>0.0</v>
      </c>
      <c r="L429" s="36">
        <v>0.0</v>
      </c>
      <c r="M429" s="35" t="s">
        <v>7045</v>
      </c>
      <c r="N429" s="30">
        <v>46388.0</v>
      </c>
      <c r="O429" s="30">
        <v>46752.0</v>
      </c>
      <c r="P429" s="36">
        <v>0.0</v>
      </c>
      <c r="Q429" s="36">
        <v>0.0</v>
      </c>
      <c r="R429" s="35" t="s">
        <v>7045</v>
      </c>
      <c r="S429" s="30">
        <v>46753.0</v>
      </c>
      <c r="T429" s="30">
        <v>47118.0</v>
      </c>
      <c r="U429" s="36">
        <v>0.0</v>
      </c>
      <c r="V429" s="36">
        <v>0.0</v>
      </c>
      <c r="W429" s="35" t="s">
        <v>7045</v>
      </c>
      <c r="X429" s="30">
        <v>47119.0</v>
      </c>
      <c r="Y429" s="30">
        <v>47483.0</v>
      </c>
      <c r="Z429" s="36">
        <v>0.0</v>
      </c>
      <c r="AA429" s="36">
        <v>0.0</v>
      </c>
      <c r="AB429" s="35" t="s">
        <v>7045</v>
      </c>
      <c r="AC429" s="30">
        <v>47484.0</v>
      </c>
      <c r="AD429" s="30">
        <v>47848.0</v>
      </c>
      <c r="AE429" s="36">
        <v>0.0</v>
      </c>
      <c r="AF429" s="36">
        <v>0.0</v>
      </c>
      <c r="AG429" s="35" t="s">
        <v>7045</v>
      </c>
      <c r="AH429" s="30">
        <v>45292.0</v>
      </c>
      <c r="AI429" s="30">
        <v>45657.0</v>
      </c>
      <c r="AJ429" s="36">
        <v>0.0</v>
      </c>
      <c r="AK429" s="36">
        <v>0.0</v>
      </c>
      <c r="AL429" s="35" t="s">
        <v>7045</v>
      </c>
      <c r="AM429" s="30">
        <v>44562.0</v>
      </c>
      <c r="AN429" s="30">
        <v>44926.0</v>
      </c>
      <c r="AO429" s="36">
        <v>0.0</v>
      </c>
      <c r="AP429" s="36">
        <v>0.0</v>
      </c>
      <c r="AQ429" s="35" t="s">
        <v>7045</v>
      </c>
      <c r="AR429" s="30">
        <v>44927.0</v>
      </c>
      <c r="AS429" s="30">
        <v>45291.0</v>
      </c>
      <c r="AT429" s="36">
        <v>0.0</v>
      </c>
      <c r="AU429" s="36">
        <v>0.0</v>
      </c>
      <c r="AV429" s="35" t="s">
        <v>7045</v>
      </c>
    </row>
    <row r="430" ht="14.25" customHeight="1">
      <c r="A430" s="28" t="s">
        <v>2215</v>
      </c>
      <c r="B430" s="29" t="s">
        <v>2216</v>
      </c>
      <c r="C430" s="29" t="s">
        <v>7041</v>
      </c>
      <c r="D430" s="30">
        <v>45658.0</v>
      </c>
      <c r="E430" s="30">
        <v>46022.0</v>
      </c>
      <c r="F430" s="36">
        <v>153.57</v>
      </c>
      <c r="G430" s="36">
        <v>350.0</v>
      </c>
      <c r="H430" s="32" t="s">
        <v>7046</v>
      </c>
      <c r="I430" s="30">
        <v>46023.0</v>
      </c>
      <c r="J430" s="30">
        <v>46387.0</v>
      </c>
      <c r="K430" s="36">
        <v>0.0</v>
      </c>
      <c r="L430" s="36">
        <v>0.0</v>
      </c>
      <c r="M430" s="35" t="s">
        <v>7045</v>
      </c>
      <c r="N430" s="30">
        <v>46388.0</v>
      </c>
      <c r="O430" s="30">
        <v>46752.0</v>
      </c>
      <c r="P430" s="36">
        <v>0.0</v>
      </c>
      <c r="Q430" s="36">
        <v>0.0</v>
      </c>
      <c r="R430" s="35" t="s">
        <v>7045</v>
      </c>
      <c r="S430" s="30">
        <v>46753.0</v>
      </c>
      <c r="T430" s="30">
        <v>47118.0</v>
      </c>
      <c r="U430" s="36">
        <v>0.0</v>
      </c>
      <c r="V430" s="36">
        <v>0.0</v>
      </c>
      <c r="W430" s="35" t="s">
        <v>7045</v>
      </c>
      <c r="X430" s="30">
        <v>47119.0</v>
      </c>
      <c r="Y430" s="30">
        <v>47483.0</v>
      </c>
      <c r="Z430" s="36">
        <v>0.0</v>
      </c>
      <c r="AA430" s="36">
        <v>0.0</v>
      </c>
      <c r="AB430" s="35" t="s">
        <v>7045</v>
      </c>
      <c r="AC430" s="30">
        <v>47484.0</v>
      </c>
      <c r="AD430" s="30">
        <v>47848.0</v>
      </c>
      <c r="AE430" s="36">
        <v>0.0</v>
      </c>
      <c r="AF430" s="36">
        <v>0.0</v>
      </c>
      <c r="AG430" s="35" t="s">
        <v>7045</v>
      </c>
      <c r="AH430" s="30">
        <v>45292.0</v>
      </c>
      <c r="AI430" s="30">
        <v>45657.0</v>
      </c>
      <c r="AJ430" s="36">
        <v>0.0</v>
      </c>
      <c r="AK430" s="36">
        <v>0.0</v>
      </c>
      <c r="AL430" s="35" t="s">
        <v>7045</v>
      </c>
      <c r="AM430" s="30">
        <v>44562.0</v>
      </c>
      <c r="AN430" s="30">
        <v>44926.0</v>
      </c>
      <c r="AO430" s="36">
        <v>0.0</v>
      </c>
      <c r="AP430" s="36">
        <v>0.0</v>
      </c>
      <c r="AQ430" s="35" t="s">
        <v>7045</v>
      </c>
      <c r="AR430" s="30">
        <v>44927.0</v>
      </c>
      <c r="AS430" s="30">
        <v>45291.0</v>
      </c>
      <c r="AT430" s="36">
        <v>0.0</v>
      </c>
      <c r="AU430" s="36">
        <v>0.0</v>
      </c>
      <c r="AV430" s="35" t="s">
        <v>7045</v>
      </c>
    </row>
    <row r="431" ht="14.25" customHeight="1">
      <c r="A431" s="28" t="s">
        <v>2891</v>
      </c>
      <c r="B431" s="29" t="s">
        <v>2892</v>
      </c>
      <c r="C431" s="29" t="s">
        <v>7041</v>
      </c>
      <c r="D431" s="30">
        <v>45658.0</v>
      </c>
      <c r="E431" s="30">
        <v>46022.0</v>
      </c>
      <c r="F431" s="36">
        <v>0.0</v>
      </c>
      <c r="G431" s="36">
        <v>0.0</v>
      </c>
      <c r="H431" s="35" t="s">
        <v>7045</v>
      </c>
      <c r="I431" s="30">
        <v>46023.0</v>
      </c>
      <c r="J431" s="30">
        <v>46387.0</v>
      </c>
      <c r="K431" s="36">
        <v>0.0</v>
      </c>
      <c r="L431" s="36">
        <v>0.0</v>
      </c>
      <c r="M431" s="35" t="s">
        <v>7045</v>
      </c>
      <c r="N431" s="30">
        <v>46388.0</v>
      </c>
      <c r="O431" s="30">
        <v>46752.0</v>
      </c>
      <c r="P431" s="36">
        <v>0.0</v>
      </c>
      <c r="Q431" s="36">
        <v>0.0</v>
      </c>
      <c r="R431" s="35" t="s">
        <v>7045</v>
      </c>
      <c r="S431" s="30">
        <v>46753.0</v>
      </c>
      <c r="T431" s="30">
        <v>47118.0</v>
      </c>
      <c r="U431" s="36">
        <v>0.0</v>
      </c>
      <c r="V431" s="36">
        <v>0.0</v>
      </c>
      <c r="W431" s="35" t="s">
        <v>7045</v>
      </c>
      <c r="X431" s="30">
        <v>47119.0</v>
      </c>
      <c r="Y431" s="30">
        <v>47483.0</v>
      </c>
      <c r="Z431" s="36">
        <v>0.0</v>
      </c>
      <c r="AA431" s="36">
        <v>0.0</v>
      </c>
      <c r="AB431" s="35" t="s">
        <v>7045</v>
      </c>
      <c r="AC431" s="30">
        <v>47484.0</v>
      </c>
      <c r="AD431" s="30">
        <v>47848.0</v>
      </c>
      <c r="AE431" s="36">
        <v>0.0</v>
      </c>
      <c r="AF431" s="36">
        <v>0.0</v>
      </c>
      <c r="AG431" s="35" t="s">
        <v>7045</v>
      </c>
      <c r="AH431" s="30">
        <v>45292.0</v>
      </c>
      <c r="AI431" s="30">
        <v>45657.0</v>
      </c>
      <c r="AJ431" s="36">
        <v>0.0</v>
      </c>
      <c r="AK431" s="36">
        <v>0.0</v>
      </c>
      <c r="AL431" s="35" t="s">
        <v>7045</v>
      </c>
      <c r="AM431" s="30">
        <v>44562.0</v>
      </c>
      <c r="AN431" s="30">
        <v>44926.0</v>
      </c>
      <c r="AO431" s="36">
        <v>8.4</v>
      </c>
      <c r="AP431" s="36">
        <v>0.0</v>
      </c>
      <c r="AQ431" s="38" t="s">
        <v>7047</v>
      </c>
      <c r="AR431" s="30">
        <v>44927.0</v>
      </c>
      <c r="AS431" s="30">
        <v>45291.0</v>
      </c>
      <c r="AT431" s="36">
        <v>0.0</v>
      </c>
      <c r="AU431" s="36">
        <v>0.0</v>
      </c>
      <c r="AV431" s="35" t="s">
        <v>7045</v>
      </c>
    </row>
    <row r="432" ht="14.25" customHeight="1">
      <c r="A432" s="28" t="s">
        <v>3219</v>
      </c>
      <c r="B432" s="29" t="s">
        <v>3220</v>
      </c>
      <c r="C432" s="29" t="s">
        <v>7041</v>
      </c>
      <c r="D432" s="30">
        <v>45658.0</v>
      </c>
      <c r="E432" s="30">
        <v>46022.0</v>
      </c>
      <c r="F432" s="36">
        <v>0.0</v>
      </c>
      <c r="G432" s="36">
        <v>0.0</v>
      </c>
      <c r="H432" s="35" t="s">
        <v>7045</v>
      </c>
      <c r="I432" s="30">
        <v>46023.0</v>
      </c>
      <c r="J432" s="30">
        <v>46387.0</v>
      </c>
      <c r="K432" s="36">
        <v>0.0</v>
      </c>
      <c r="L432" s="36">
        <v>0.0</v>
      </c>
      <c r="M432" s="35" t="s">
        <v>7045</v>
      </c>
      <c r="N432" s="30">
        <v>46388.0</v>
      </c>
      <c r="O432" s="30">
        <v>46752.0</v>
      </c>
      <c r="P432" s="36">
        <v>0.0</v>
      </c>
      <c r="Q432" s="36">
        <v>0.0</v>
      </c>
      <c r="R432" s="35" t="s">
        <v>7045</v>
      </c>
      <c r="S432" s="30">
        <v>46753.0</v>
      </c>
      <c r="T432" s="30">
        <v>47118.0</v>
      </c>
      <c r="U432" s="36">
        <v>0.0</v>
      </c>
      <c r="V432" s="36">
        <v>0.0</v>
      </c>
      <c r="W432" s="35" t="s">
        <v>7045</v>
      </c>
      <c r="X432" s="30">
        <v>47119.0</v>
      </c>
      <c r="Y432" s="30">
        <v>47483.0</v>
      </c>
      <c r="Z432" s="36">
        <v>0.0</v>
      </c>
      <c r="AA432" s="36">
        <v>0.0</v>
      </c>
      <c r="AB432" s="35" t="s">
        <v>7045</v>
      </c>
      <c r="AC432" s="30">
        <v>47484.0</v>
      </c>
      <c r="AD432" s="30">
        <v>47848.0</v>
      </c>
      <c r="AE432" s="36">
        <v>0.0</v>
      </c>
      <c r="AF432" s="36">
        <v>0.0</v>
      </c>
      <c r="AG432" s="35" t="s">
        <v>7045</v>
      </c>
      <c r="AH432" s="30">
        <v>45292.0</v>
      </c>
      <c r="AI432" s="30">
        <v>45657.0</v>
      </c>
      <c r="AJ432" s="36">
        <v>37.92</v>
      </c>
      <c r="AK432" s="36">
        <v>636.19</v>
      </c>
      <c r="AL432" s="32" t="s">
        <v>7043</v>
      </c>
      <c r="AM432" s="30">
        <v>44562.0</v>
      </c>
      <c r="AN432" s="30">
        <v>44926.0</v>
      </c>
      <c r="AO432" s="36">
        <v>0.0</v>
      </c>
      <c r="AP432" s="36">
        <v>0.0</v>
      </c>
      <c r="AQ432" s="35" t="s">
        <v>7045</v>
      </c>
      <c r="AR432" s="30">
        <v>44927.0</v>
      </c>
      <c r="AS432" s="30">
        <v>45291.0</v>
      </c>
      <c r="AT432" s="36">
        <v>553.17</v>
      </c>
      <c r="AU432" s="36">
        <v>0.0</v>
      </c>
      <c r="AV432" s="38" t="s">
        <v>7047</v>
      </c>
    </row>
    <row r="433" ht="14.25" customHeight="1">
      <c r="A433" s="28" t="s">
        <v>3491</v>
      </c>
      <c r="B433" s="29" t="s">
        <v>3492</v>
      </c>
      <c r="C433" s="29" t="s">
        <v>7041</v>
      </c>
      <c r="D433" s="30">
        <v>45658.0</v>
      </c>
      <c r="E433" s="30">
        <v>46022.0</v>
      </c>
      <c r="F433" s="36">
        <v>0.0</v>
      </c>
      <c r="G433" s="36">
        <v>0.0</v>
      </c>
      <c r="H433" s="35" t="s">
        <v>7045</v>
      </c>
      <c r="I433" s="30">
        <v>46023.0</v>
      </c>
      <c r="J433" s="30">
        <v>46387.0</v>
      </c>
      <c r="K433" s="36">
        <v>0.0</v>
      </c>
      <c r="L433" s="36">
        <v>0.0</v>
      </c>
      <c r="M433" s="35" t="s">
        <v>7045</v>
      </c>
      <c r="N433" s="30">
        <v>46388.0</v>
      </c>
      <c r="O433" s="30">
        <v>46752.0</v>
      </c>
      <c r="P433" s="36">
        <v>0.0</v>
      </c>
      <c r="Q433" s="36">
        <v>0.0</v>
      </c>
      <c r="R433" s="35" t="s">
        <v>7045</v>
      </c>
      <c r="S433" s="30">
        <v>46753.0</v>
      </c>
      <c r="T433" s="30">
        <v>47118.0</v>
      </c>
      <c r="U433" s="36">
        <v>0.0</v>
      </c>
      <c r="V433" s="36">
        <v>0.0</v>
      </c>
      <c r="W433" s="35" t="s">
        <v>7045</v>
      </c>
      <c r="X433" s="30">
        <v>47119.0</v>
      </c>
      <c r="Y433" s="30">
        <v>47483.0</v>
      </c>
      <c r="Z433" s="36">
        <v>0.0</v>
      </c>
      <c r="AA433" s="36">
        <v>0.0</v>
      </c>
      <c r="AB433" s="35" t="s">
        <v>7045</v>
      </c>
      <c r="AC433" s="30">
        <v>47484.0</v>
      </c>
      <c r="AD433" s="30">
        <v>47848.0</v>
      </c>
      <c r="AE433" s="36">
        <v>0.0</v>
      </c>
      <c r="AF433" s="36">
        <v>0.0</v>
      </c>
      <c r="AG433" s="35" t="s">
        <v>7045</v>
      </c>
      <c r="AH433" s="30">
        <v>45292.0</v>
      </c>
      <c r="AI433" s="30">
        <v>45657.0</v>
      </c>
      <c r="AJ433" s="36">
        <v>0.0</v>
      </c>
      <c r="AK433" s="36">
        <v>0.0</v>
      </c>
      <c r="AL433" s="35" t="s">
        <v>7045</v>
      </c>
      <c r="AM433" s="30">
        <v>44562.0</v>
      </c>
      <c r="AN433" s="30">
        <v>44926.0</v>
      </c>
      <c r="AO433" s="36">
        <v>0.0</v>
      </c>
      <c r="AP433" s="36">
        <v>0.0</v>
      </c>
      <c r="AQ433" s="35" t="s">
        <v>7045</v>
      </c>
      <c r="AR433" s="30">
        <v>44927.0</v>
      </c>
      <c r="AS433" s="30">
        <v>45291.0</v>
      </c>
      <c r="AT433" s="36">
        <v>0.0</v>
      </c>
      <c r="AU433" s="36">
        <v>0.0</v>
      </c>
      <c r="AV433" s="35" t="s">
        <v>7045</v>
      </c>
    </row>
    <row r="434" ht="14.25" customHeight="1">
      <c r="A434" s="28" t="s">
        <v>3649</v>
      </c>
      <c r="B434" s="29" t="s">
        <v>3650</v>
      </c>
      <c r="C434" s="29" t="s">
        <v>7041</v>
      </c>
      <c r="D434" s="30">
        <v>45658.0</v>
      </c>
      <c r="E434" s="30">
        <v>46022.0</v>
      </c>
      <c r="F434" s="36">
        <v>0.0</v>
      </c>
      <c r="G434" s="36">
        <v>0.0</v>
      </c>
      <c r="H434" s="35" t="s">
        <v>7045</v>
      </c>
      <c r="I434" s="30">
        <v>46023.0</v>
      </c>
      <c r="J434" s="30">
        <v>46387.0</v>
      </c>
      <c r="K434" s="36">
        <v>0.0</v>
      </c>
      <c r="L434" s="36">
        <v>0.0</v>
      </c>
      <c r="M434" s="35" t="s">
        <v>7045</v>
      </c>
      <c r="N434" s="30">
        <v>46388.0</v>
      </c>
      <c r="O434" s="30">
        <v>46752.0</v>
      </c>
      <c r="P434" s="36">
        <v>0.0</v>
      </c>
      <c r="Q434" s="36">
        <v>0.0</v>
      </c>
      <c r="R434" s="35" t="s">
        <v>7045</v>
      </c>
      <c r="S434" s="30">
        <v>46753.0</v>
      </c>
      <c r="T434" s="30">
        <v>47118.0</v>
      </c>
      <c r="U434" s="36">
        <v>0.0</v>
      </c>
      <c r="V434" s="36">
        <v>0.0</v>
      </c>
      <c r="W434" s="35" t="s">
        <v>7045</v>
      </c>
      <c r="X434" s="30">
        <v>47119.0</v>
      </c>
      <c r="Y434" s="30">
        <v>47483.0</v>
      </c>
      <c r="Z434" s="36">
        <v>0.0</v>
      </c>
      <c r="AA434" s="36">
        <v>0.0</v>
      </c>
      <c r="AB434" s="35" t="s">
        <v>7045</v>
      </c>
      <c r="AC434" s="30">
        <v>47484.0</v>
      </c>
      <c r="AD434" s="30">
        <v>47848.0</v>
      </c>
      <c r="AE434" s="36">
        <v>0.0</v>
      </c>
      <c r="AF434" s="36">
        <v>0.0</v>
      </c>
      <c r="AG434" s="35" t="s">
        <v>7045</v>
      </c>
      <c r="AH434" s="30">
        <v>45292.0</v>
      </c>
      <c r="AI434" s="30">
        <v>45657.0</v>
      </c>
      <c r="AJ434" s="36">
        <v>0.0</v>
      </c>
      <c r="AK434" s="36">
        <v>0.0</v>
      </c>
      <c r="AL434" s="35" t="s">
        <v>7045</v>
      </c>
      <c r="AM434" s="30">
        <v>44562.0</v>
      </c>
      <c r="AN434" s="30">
        <v>44926.0</v>
      </c>
      <c r="AO434" s="36">
        <v>0.0</v>
      </c>
      <c r="AP434" s="36">
        <v>0.0</v>
      </c>
      <c r="AQ434" s="35" t="s">
        <v>7045</v>
      </c>
      <c r="AR434" s="30">
        <v>44927.0</v>
      </c>
      <c r="AS434" s="30">
        <v>45291.0</v>
      </c>
      <c r="AT434" s="36">
        <v>0.0</v>
      </c>
      <c r="AU434" s="36">
        <v>0.0</v>
      </c>
      <c r="AV434" s="35" t="s">
        <v>7045</v>
      </c>
    </row>
    <row r="435" ht="14.25" customHeight="1">
      <c r="A435" s="28" t="s">
        <v>6672</v>
      </c>
      <c r="B435" s="29" t="s">
        <v>6673</v>
      </c>
      <c r="C435" s="29" t="s">
        <v>7041</v>
      </c>
      <c r="D435" s="30">
        <v>45658.0</v>
      </c>
      <c r="E435" s="30">
        <v>46022.0</v>
      </c>
      <c r="F435" s="36">
        <v>0.0</v>
      </c>
      <c r="G435" s="36">
        <v>0.0</v>
      </c>
      <c r="H435" s="35" t="s">
        <v>7045</v>
      </c>
      <c r="I435" s="30">
        <v>46023.0</v>
      </c>
      <c r="J435" s="30">
        <v>46387.0</v>
      </c>
      <c r="K435" s="36">
        <v>0.0</v>
      </c>
      <c r="L435" s="36">
        <v>0.0</v>
      </c>
      <c r="M435" s="35" t="s">
        <v>7045</v>
      </c>
      <c r="N435" s="30">
        <v>46388.0</v>
      </c>
      <c r="O435" s="30">
        <v>46752.0</v>
      </c>
      <c r="P435" s="36">
        <v>0.0</v>
      </c>
      <c r="Q435" s="36">
        <v>0.0</v>
      </c>
      <c r="R435" s="35" t="s">
        <v>7045</v>
      </c>
      <c r="S435" s="30">
        <v>46753.0</v>
      </c>
      <c r="T435" s="30">
        <v>47118.0</v>
      </c>
      <c r="U435" s="36">
        <v>0.0</v>
      </c>
      <c r="V435" s="36">
        <v>0.0</v>
      </c>
      <c r="W435" s="35" t="s">
        <v>7045</v>
      </c>
      <c r="X435" s="30">
        <v>47119.0</v>
      </c>
      <c r="Y435" s="30">
        <v>47483.0</v>
      </c>
      <c r="Z435" s="36">
        <v>0.0</v>
      </c>
      <c r="AA435" s="36">
        <v>0.0</v>
      </c>
      <c r="AB435" s="35" t="s">
        <v>7045</v>
      </c>
      <c r="AC435" s="30">
        <v>47484.0</v>
      </c>
      <c r="AD435" s="30">
        <v>47848.0</v>
      </c>
      <c r="AE435" s="36">
        <v>0.0</v>
      </c>
      <c r="AF435" s="36">
        <v>0.0</v>
      </c>
      <c r="AG435" s="35" t="s">
        <v>7045</v>
      </c>
      <c r="AH435" s="30">
        <v>45292.0</v>
      </c>
      <c r="AI435" s="30">
        <v>45657.0</v>
      </c>
      <c r="AJ435" s="36">
        <v>83.48</v>
      </c>
      <c r="AK435" s="36">
        <v>0.0</v>
      </c>
      <c r="AL435" s="38" t="s">
        <v>7047</v>
      </c>
      <c r="AM435" s="30">
        <v>44562.0</v>
      </c>
      <c r="AN435" s="30">
        <v>44926.0</v>
      </c>
      <c r="AO435" s="36">
        <v>0.0</v>
      </c>
      <c r="AP435" s="36">
        <v>0.0</v>
      </c>
      <c r="AQ435" s="35" t="s">
        <v>7045</v>
      </c>
      <c r="AR435" s="30">
        <v>44927.0</v>
      </c>
      <c r="AS435" s="30">
        <v>45291.0</v>
      </c>
      <c r="AT435" s="36">
        <v>8.96</v>
      </c>
      <c r="AU435" s="36">
        <v>0.0</v>
      </c>
      <c r="AV435" s="38" t="s">
        <v>7047</v>
      </c>
    </row>
    <row r="436" ht="14.25" customHeight="1">
      <c r="A436" s="28" t="s">
        <v>1117</v>
      </c>
      <c r="B436" s="29" t="s">
        <v>1118</v>
      </c>
      <c r="C436" s="29" t="s">
        <v>7041</v>
      </c>
      <c r="D436" s="30">
        <v>45658.0</v>
      </c>
      <c r="E436" s="30">
        <v>46022.0</v>
      </c>
      <c r="F436" s="36">
        <v>14.62</v>
      </c>
      <c r="G436" s="36">
        <v>149.6</v>
      </c>
      <c r="H436" s="32" t="s">
        <v>7043</v>
      </c>
      <c r="I436" s="30">
        <v>46023.0</v>
      </c>
      <c r="J436" s="30">
        <v>46387.0</v>
      </c>
      <c r="K436" s="36">
        <v>0.0</v>
      </c>
      <c r="L436" s="36">
        <v>0.0</v>
      </c>
      <c r="M436" s="35" t="s">
        <v>7045</v>
      </c>
      <c r="N436" s="30">
        <v>46388.0</v>
      </c>
      <c r="O436" s="30">
        <v>46752.0</v>
      </c>
      <c r="P436" s="36">
        <v>0.0</v>
      </c>
      <c r="Q436" s="36">
        <v>0.0</v>
      </c>
      <c r="R436" s="35" t="s">
        <v>7045</v>
      </c>
      <c r="S436" s="30">
        <v>46753.0</v>
      </c>
      <c r="T436" s="30">
        <v>47118.0</v>
      </c>
      <c r="U436" s="36">
        <v>0.0</v>
      </c>
      <c r="V436" s="36">
        <v>0.0</v>
      </c>
      <c r="W436" s="35" t="s">
        <v>7045</v>
      </c>
      <c r="X436" s="30">
        <v>47119.0</v>
      </c>
      <c r="Y436" s="30">
        <v>47483.0</v>
      </c>
      <c r="Z436" s="36">
        <v>0.0</v>
      </c>
      <c r="AA436" s="36">
        <v>0.0</v>
      </c>
      <c r="AB436" s="35" t="s">
        <v>7045</v>
      </c>
      <c r="AC436" s="30">
        <v>47484.0</v>
      </c>
      <c r="AD436" s="30">
        <v>47848.0</v>
      </c>
      <c r="AE436" s="36">
        <v>0.0</v>
      </c>
      <c r="AF436" s="36">
        <v>0.0</v>
      </c>
      <c r="AG436" s="35" t="s">
        <v>7045</v>
      </c>
      <c r="AH436" s="30">
        <v>45292.0</v>
      </c>
      <c r="AI436" s="30">
        <v>45657.0</v>
      </c>
      <c r="AJ436" s="36">
        <v>28.12</v>
      </c>
      <c r="AK436" s="36">
        <v>40.5</v>
      </c>
      <c r="AL436" s="37" t="s">
        <v>7046</v>
      </c>
      <c r="AM436" s="30">
        <v>44562.0</v>
      </c>
      <c r="AN436" s="30">
        <v>44926.0</v>
      </c>
      <c r="AO436" s="36">
        <v>116.3</v>
      </c>
      <c r="AP436" s="36">
        <v>0.0</v>
      </c>
      <c r="AQ436" s="38" t="s">
        <v>7047</v>
      </c>
      <c r="AR436" s="30">
        <v>44927.0</v>
      </c>
      <c r="AS436" s="30">
        <v>45291.0</v>
      </c>
      <c r="AT436" s="36">
        <v>57.31</v>
      </c>
      <c r="AU436" s="36">
        <v>0.0</v>
      </c>
      <c r="AV436" s="38" t="s">
        <v>7047</v>
      </c>
    </row>
    <row r="437" ht="14.25" customHeight="1">
      <c r="A437" s="28" t="s">
        <v>4031</v>
      </c>
      <c r="B437" s="29" t="s">
        <v>4032</v>
      </c>
      <c r="C437" s="29" t="s">
        <v>7041</v>
      </c>
      <c r="D437" s="30">
        <v>45658.0</v>
      </c>
      <c r="E437" s="30">
        <v>46022.0</v>
      </c>
      <c r="F437" s="36">
        <v>28.73</v>
      </c>
      <c r="G437" s="36">
        <v>124.8</v>
      </c>
      <c r="H437" s="37" t="s">
        <v>7043</v>
      </c>
      <c r="I437" s="30">
        <v>46023.0</v>
      </c>
      <c r="J437" s="30">
        <v>46387.0</v>
      </c>
      <c r="K437" s="36">
        <v>0.0</v>
      </c>
      <c r="L437" s="36">
        <v>0.0</v>
      </c>
      <c r="M437" s="35" t="s">
        <v>7045</v>
      </c>
      <c r="N437" s="30">
        <v>46388.0</v>
      </c>
      <c r="O437" s="30">
        <v>46752.0</v>
      </c>
      <c r="P437" s="36">
        <v>0.0</v>
      </c>
      <c r="Q437" s="36">
        <v>0.0</v>
      </c>
      <c r="R437" s="35" t="s">
        <v>7045</v>
      </c>
      <c r="S437" s="30">
        <v>46753.0</v>
      </c>
      <c r="T437" s="30">
        <v>47118.0</v>
      </c>
      <c r="U437" s="36">
        <v>0.0</v>
      </c>
      <c r="V437" s="36">
        <v>0.0</v>
      </c>
      <c r="W437" s="35" t="s">
        <v>7045</v>
      </c>
      <c r="X437" s="30">
        <v>47119.0</v>
      </c>
      <c r="Y437" s="30">
        <v>47483.0</v>
      </c>
      <c r="Z437" s="36">
        <v>0.0</v>
      </c>
      <c r="AA437" s="36">
        <v>0.0</v>
      </c>
      <c r="AB437" s="35" t="s">
        <v>7045</v>
      </c>
      <c r="AC437" s="30">
        <v>47484.0</v>
      </c>
      <c r="AD437" s="30">
        <v>47848.0</v>
      </c>
      <c r="AE437" s="36">
        <v>0.0</v>
      </c>
      <c r="AF437" s="36">
        <v>0.0</v>
      </c>
      <c r="AG437" s="35" t="s">
        <v>7045</v>
      </c>
      <c r="AH437" s="30">
        <v>45292.0</v>
      </c>
      <c r="AI437" s="30">
        <v>45657.0</v>
      </c>
      <c r="AJ437" s="36">
        <v>31.71</v>
      </c>
      <c r="AK437" s="36">
        <v>0.0</v>
      </c>
      <c r="AL437" s="38" t="s">
        <v>7047</v>
      </c>
      <c r="AM437" s="30">
        <v>44562.0</v>
      </c>
      <c r="AN437" s="30">
        <v>44926.0</v>
      </c>
      <c r="AO437" s="36">
        <v>155.7</v>
      </c>
      <c r="AP437" s="36">
        <v>0.0</v>
      </c>
      <c r="AQ437" s="38" t="s">
        <v>7047</v>
      </c>
      <c r="AR437" s="30">
        <v>44927.0</v>
      </c>
      <c r="AS437" s="30">
        <v>45291.0</v>
      </c>
      <c r="AT437" s="36">
        <v>53.94</v>
      </c>
      <c r="AU437" s="36">
        <v>0.0</v>
      </c>
      <c r="AV437" s="38" t="s">
        <v>7047</v>
      </c>
    </row>
    <row r="438" ht="14.25" customHeight="1">
      <c r="A438" s="28" t="s">
        <v>5887</v>
      </c>
      <c r="B438" s="29" t="s">
        <v>5888</v>
      </c>
      <c r="C438" s="29" t="s">
        <v>7041</v>
      </c>
      <c r="D438" s="30">
        <v>45658.0</v>
      </c>
      <c r="E438" s="30">
        <v>46022.0</v>
      </c>
      <c r="F438" s="36">
        <v>37.86</v>
      </c>
      <c r="G438" s="36">
        <v>0.0</v>
      </c>
      <c r="H438" s="38" t="s">
        <v>7047</v>
      </c>
      <c r="I438" s="30">
        <v>46023.0</v>
      </c>
      <c r="J438" s="30">
        <v>46387.0</v>
      </c>
      <c r="K438" s="36">
        <v>0.0</v>
      </c>
      <c r="L438" s="36">
        <v>0.0</v>
      </c>
      <c r="M438" s="35" t="s">
        <v>7045</v>
      </c>
      <c r="N438" s="30">
        <v>46388.0</v>
      </c>
      <c r="O438" s="30">
        <v>46752.0</v>
      </c>
      <c r="P438" s="36">
        <v>0.0</v>
      </c>
      <c r="Q438" s="36">
        <v>0.0</v>
      </c>
      <c r="R438" s="35" t="s">
        <v>7045</v>
      </c>
      <c r="S438" s="30">
        <v>46753.0</v>
      </c>
      <c r="T438" s="30">
        <v>47118.0</v>
      </c>
      <c r="U438" s="36">
        <v>0.0</v>
      </c>
      <c r="V438" s="36">
        <v>0.0</v>
      </c>
      <c r="W438" s="35" t="s">
        <v>7045</v>
      </c>
      <c r="X438" s="30">
        <v>47119.0</v>
      </c>
      <c r="Y438" s="30">
        <v>47483.0</v>
      </c>
      <c r="Z438" s="36">
        <v>0.0</v>
      </c>
      <c r="AA438" s="36">
        <v>0.0</v>
      </c>
      <c r="AB438" s="35" t="s">
        <v>7045</v>
      </c>
      <c r="AC438" s="30">
        <v>47484.0</v>
      </c>
      <c r="AD438" s="30">
        <v>47848.0</v>
      </c>
      <c r="AE438" s="36">
        <v>0.0</v>
      </c>
      <c r="AF438" s="36">
        <v>0.0</v>
      </c>
      <c r="AG438" s="35" t="s">
        <v>7045</v>
      </c>
      <c r="AH438" s="30">
        <v>45292.0</v>
      </c>
      <c r="AI438" s="30">
        <v>45657.0</v>
      </c>
      <c r="AJ438" s="36">
        <v>31.19</v>
      </c>
      <c r="AK438" s="36">
        <v>0.0</v>
      </c>
      <c r="AL438" s="38" t="s">
        <v>7047</v>
      </c>
      <c r="AM438" s="30">
        <v>44562.0</v>
      </c>
      <c r="AN438" s="30">
        <v>44926.0</v>
      </c>
      <c r="AO438" s="36">
        <v>181.2</v>
      </c>
      <c r="AP438" s="36">
        <v>0.0</v>
      </c>
      <c r="AQ438" s="38" t="s">
        <v>7047</v>
      </c>
      <c r="AR438" s="30">
        <v>44927.0</v>
      </c>
      <c r="AS438" s="30">
        <v>45291.0</v>
      </c>
      <c r="AT438" s="36">
        <v>72.63</v>
      </c>
      <c r="AU438" s="36">
        <v>122.1</v>
      </c>
      <c r="AV438" s="37" t="s">
        <v>7046</v>
      </c>
    </row>
    <row r="439" ht="14.25" customHeight="1">
      <c r="A439" s="28" t="s">
        <v>6349</v>
      </c>
      <c r="B439" s="29" t="s">
        <v>6350</v>
      </c>
      <c r="C439" s="29" t="s">
        <v>7041</v>
      </c>
      <c r="D439" s="30">
        <v>45658.0</v>
      </c>
      <c r="E439" s="30">
        <v>46022.0</v>
      </c>
      <c r="F439" s="36">
        <v>45.81</v>
      </c>
      <c r="G439" s="36">
        <v>0.0</v>
      </c>
      <c r="H439" s="38" t="s">
        <v>7047</v>
      </c>
      <c r="I439" s="30">
        <v>46023.0</v>
      </c>
      <c r="J439" s="30">
        <v>46387.0</v>
      </c>
      <c r="K439" s="36">
        <v>0.0</v>
      </c>
      <c r="L439" s="36">
        <v>0.0</v>
      </c>
      <c r="M439" s="35" t="s">
        <v>7045</v>
      </c>
      <c r="N439" s="30">
        <v>46388.0</v>
      </c>
      <c r="O439" s="30">
        <v>46752.0</v>
      </c>
      <c r="P439" s="36">
        <v>0.0</v>
      </c>
      <c r="Q439" s="36">
        <v>0.0</v>
      </c>
      <c r="R439" s="35" t="s">
        <v>7045</v>
      </c>
      <c r="S439" s="30">
        <v>46753.0</v>
      </c>
      <c r="T439" s="30">
        <v>47118.0</v>
      </c>
      <c r="U439" s="36">
        <v>0.0</v>
      </c>
      <c r="V439" s="36">
        <v>0.0</v>
      </c>
      <c r="W439" s="35" t="s">
        <v>7045</v>
      </c>
      <c r="X439" s="30">
        <v>47119.0</v>
      </c>
      <c r="Y439" s="30">
        <v>47483.0</v>
      </c>
      <c r="Z439" s="36">
        <v>0.0</v>
      </c>
      <c r="AA439" s="36">
        <v>0.0</v>
      </c>
      <c r="AB439" s="35" t="s">
        <v>7045</v>
      </c>
      <c r="AC439" s="30">
        <v>47484.0</v>
      </c>
      <c r="AD439" s="30">
        <v>47848.0</v>
      </c>
      <c r="AE439" s="36">
        <v>0.0</v>
      </c>
      <c r="AF439" s="36">
        <v>0.0</v>
      </c>
      <c r="AG439" s="35" t="s">
        <v>7045</v>
      </c>
      <c r="AH439" s="30">
        <v>45292.0</v>
      </c>
      <c r="AI439" s="30">
        <v>45657.0</v>
      </c>
      <c r="AJ439" s="36">
        <v>70.14</v>
      </c>
      <c r="AK439" s="36">
        <v>0.0</v>
      </c>
      <c r="AL439" s="38" t="s">
        <v>7047</v>
      </c>
      <c r="AM439" s="30">
        <v>44562.0</v>
      </c>
      <c r="AN439" s="30">
        <v>44926.0</v>
      </c>
      <c r="AO439" s="36">
        <v>271.1</v>
      </c>
      <c r="AP439" s="36">
        <v>461.0</v>
      </c>
      <c r="AQ439" s="37" t="s">
        <v>7046</v>
      </c>
      <c r="AR439" s="30">
        <v>44927.0</v>
      </c>
      <c r="AS439" s="30">
        <v>45291.0</v>
      </c>
      <c r="AT439" s="36">
        <v>152.48</v>
      </c>
      <c r="AU439" s="36">
        <v>0.0</v>
      </c>
      <c r="AV439" s="38" t="s">
        <v>7047</v>
      </c>
    </row>
    <row r="440" ht="14.25" customHeight="1">
      <c r="A440" s="28" t="s">
        <v>6644</v>
      </c>
      <c r="B440" s="29" t="s">
        <v>6645</v>
      </c>
      <c r="C440" s="29" t="s">
        <v>7041</v>
      </c>
      <c r="D440" s="30">
        <v>45658.0</v>
      </c>
      <c r="E440" s="30">
        <v>46022.0</v>
      </c>
      <c r="F440" s="36">
        <v>0.0</v>
      </c>
      <c r="G440" s="36">
        <v>0.0</v>
      </c>
      <c r="H440" s="35" t="s">
        <v>7045</v>
      </c>
      <c r="I440" s="30">
        <v>46023.0</v>
      </c>
      <c r="J440" s="30">
        <v>46387.0</v>
      </c>
      <c r="K440" s="36">
        <v>0.0</v>
      </c>
      <c r="L440" s="36">
        <v>0.0</v>
      </c>
      <c r="M440" s="35" t="s">
        <v>7045</v>
      </c>
      <c r="N440" s="30">
        <v>46388.0</v>
      </c>
      <c r="O440" s="30">
        <v>46752.0</v>
      </c>
      <c r="P440" s="36">
        <v>0.0</v>
      </c>
      <c r="Q440" s="36">
        <v>0.0</v>
      </c>
      <c r="R440" s="35" t="s">
        <v>7045</v>
      </c>
      <c r="S440" s="30">
        <v>46753.0</v>
      </c>
      <c r="T440" s="30">
        <v>47118.0</v>
      </c>
      <c r="U440" s="36">
        <v>0.0</v>
      </c>
      <c r="V440" s="36">
        <v>0.0</v>
      </c>
      <c r="W440" s="35" t="s">
        <v>7045</v>
      </c>
      <c r="X440" s="30">
        <v>47119.0</v>
      </c>
      <c r="Y440" s="30">
        <v>47483.0</v>
      </c>
      <c r="Z440" s="36">
        <v>0.0</v>
      </c>
      <c r="AA440" s="36">
        <v>0.0</v>
      </c>
      <c r="AB440" s="35" t="s">
        <v>7045</v>
      </c>
      <c r="AC440" s="30">
        <v>47484.0</v>
      </c>
      <c r="AD440" s="30">
        <v>47848.0</v>
      </c>
      <c r="AE440" s="36">
        <v>0.0</v>
      </c>
      <c r="AF440" s="36">
        <v>0.0</v>
      </c>
      <c r="AG440" s="35" t="s">
        <v>7045</v>
      </c>
      <c r="AH440" s="30">
        <v>45292.0</v>
      </c>
      <c r="AI440" s="30">
        <v>45657.0</v>
      </c>
      <c r="AJ440" s="36">
        <v>0.0</v>
      </c>
      <c r="AK440" s="36">
        <v>0.0</v>
      </c>
      <c r="AL440" s="35" t="s">
        <v>7045</v>
      </c>
      <c r="AM440" s="30">
        <v>44562.0</v>
      </c>
      <c r="AN440" s="30">
        <v>44926.0</v>
      </c>
      <c r="AO440" s="36">
        <v>0.0</v>
      </c>
      <c r="AP440" s="36">
        <v>0.0</v>
      </c>
      <c r="AQ440" s="35" t="s">
        <v>7045</v>
      </c>
      <c r="AR440" s="30">
        <v>44927.0</v>
      </c>
      <c r="AS440" s="30">
        <v>45291.0</v>
      </c>
      <c r="AT440" s="36">
        <v>0.0</v>
      </c>
      <c r="AU440" s="36">
        <v>0.0</v>
      </c>
      <c r="AV440" s="35" t="s">
        <v>7045</v>
      </c>
    </row>
    <row r="441" ht="14.25" customHeight="1">
      <c r="A441" s="28" t="s">
        <v>6651</v>
      </c>
      <c r="B441" s="29" t="s">
        <v>6652</v>
      </c>
      <c r="C441" s="29" t="s">
        <v>7041</v>
      </c>
      <c r="D441" s="30">
        <v>45658.0</v>
      </c>
      <c r="E441" s="30">
        <v>46022.0</v>
      </c>
      <c r="F441" s="36">
        <v>0.0</v>
      </c>
      <c r="G441" s="36">
        <v>0.0</v>
      </c>
      <c r="H441" s="35" t="s">
        <v>7045</v>
      </c>
      <c r="I441" s="30">
        <v>46023.0</v>
      </c>
      <c r="J441" s="30">
        <v>46387.0</v>
      </c>
      <c r="K441" s="36">
        <v>0.0</v>
      </c>
      <c r="L441" s="36">
        <v>0.0</v>
      </c>
      <c r="M441" s="35" t="s">
        <v>7045</v>
      </c>
      <c r="N441" s="30">
        <v>46388.0</v>
      </c>
      <c r="O441" s="30">
        <v>46752.0</v>
      </c>
      <c r="P441" s="36">
        <v>0.0</v>
      </c>
      <c r="Q441" s="36">
        <v>0.0</v>
      </c>
      <c r="R441" s="35" t="s">
        <v>7045</v>
      </c>
      <c r="S441" s="30">
        <v>46753.0</v>
      </c>
      <c r="T441" s="30">
        <v>47118.0</v>
      </c>
      <c r="U441" s="36">
        <v>0.0</v>
      </c>
      <c r="V441" s="36">
        <v>0.0</v>
      </c>
      <c r="W441" s="35" t="s">
        <v>7045</v>
      </c>
      <c r="X441" s="30">
        <v>47119.0</v>
      </c>
      <c r="Y441" s="30">
        <v>47483.0</v>
      </c>
      <c r="Z441" s="36">
        <v>0.0</v>
      </c>
      <c r="AA441" s="36">
        <v>0.0</v>
      </c>
      <c r="AB441" s="35" t="s">
        <v>7045</v>
      </c>
      <c r="AC441" s="30">
        <v>47484.0</v>
      </c>
      <c r="AD441" s="30">
        <v>47848.0</v>
      </c>
      <c r="AE441" s="36">
        <v>0.0</v>
      </c>
      <c r="AF441" s="36">
        <v>0.0</v>
      </c>
      <c r="AG441" s="35" t="s">
        <v>7045</v>
      </c>
      <c r="AH441" s="30">
        <v>45292.0</v>
      </c>
      <c r="AI441" s="30">
        <v>45657.0</v>
      </c>
      <c r="AJ441" s="36">
        <v>0.0</v>
      </c>
      <c r="AK441" s="36">
        <v>0.0</v>
      </c>
      <c r="AL441" s="35" t="s">
        <v>7045</v>
      </c>
      <c r="AM441" s="30">
        <v>44562.0</v>
      </c>
      <c r="AN441" s="30">
        <v>44926.0</v>
      </c>
      <c r="AO441" s="36">
        <v>1323.89</v>
      </c>
      <c r="AP441" s="36">
        <v>0.0</v>
      </c>
      <c r="AQ441" s="38" t="s">
        <v>7047</v>
      </c>
      <c r="AR441" s="30">
        <v>44927.0</v>
      </c>
      <c r="AS441" s="30">
        <v>45291.0</v>
      </c>
      <c r="AT441" s="36">
        <v>1618.8</v>
      </c>
      <c r="AU441" s="36">
        <v>0.0</v>
      </c>
      <c r="AV441" s="38" t="s">
        <v>7047</v>
      </c>
    </row>
    <row r="442" ht="14.25" customHeight="1">
      <c r="A442" s="28" t="s">
        <v>6783</v>
      </c>
      <c r="B442" s="29" t="s">
        <v>6784</v>
      </c>
      <c r="C442" s="29" t="s">
        <v>7041</v>
      </c>
      <c r="D442" s="30">
        <v>45658.0</v>
      </c>
      <c r="E442" s="30">
        <v>46022.0</v>
      </c>
      <c r="F442" s="36">
        <v>0.0</v>
      </c>
      <c r="G442" s="36">
        <v>0.0</v>
      </c>
      <c r="H442" s="35" t="s">
        <v>7045</v>
      </c>
      <c r="I442" s="30">
        <v>46023.0</v>
      </c>
      <c r="J442" s="30">
        <v>46387.0</v>
      </c>
      <c r="K442" s="36">
        <v>0.0</v>
      </c>
      <c r="L442" s="36">
        <v>0.0</v>
      </c>
      <c r="M442" s="35" t="s">
        <v>7045</v>
      </c>
      <c r="N442" s="30">
        <v>46388.0</v>
      </c>
      <c r="O442" s="30">
        <v>46752.0</v>
      </c>
      <c r="P442" s="36">
        <v>0.0</v>
      </c>
      <c r="Q442" s="36">
        <v>0.0</v>
      </c>
      <c r="R442" s="35" t="s">
        <v>7045</v>
      </c>
      <c r="S442" s="30">
        <v>46753.0</v>
      </c>
      <c r="T442" s="30">
        <v>47118.0</v>
      </c>
      <c r="U442" s="36">
        <v>0.0</v>
      </c>
      <c r="V442" s="36">
        <v>0.0</v>
      </c>
      <c r="W442" s="35" t="s">
        <v>7045</v>
      </c>
      <c r="X442" s="30">
        <v>47119.0</v>
      </c>
      <c r="Y442" s="30">
        <v>47483.0</v>
      </c>
      <c r="Z442" s="36">
        <v>0.0</v>
      </c>
      <c r="AA442" s="36">
        <v>0.0</v>
      </c>
      <c r="AB442" s="35" t="s">
        <v>7045</v>
      </c>
      <c r="AC442" s="30">
        <v>47484.0</v>
      </c>
      <c r="AD442" s="30">
        <v>47848.0</v>
      </c>
      <c r="AE442" s="36">
        <v>0.0</v>
      </c>
      <c r="AF442" s="36">
        <v>0.0</v>
      </c>
      <c r="AG442" s="35" t="s">
        <v>7045</v>
      </c>
      <c r="AH442" s="30">
        <v>45292.0</v>
      </c>
      <c r="AI442" s="30">
        <v>45657.0</v>
      </c>
      <c r="AJ442" s="36">
        <v>97.43</v>
      </c>
      <c r="AK442" s="36">
        <v>0.0</v>
      </c>
      <c r="AL442" s="38" t="s">
        <v>7047</v>
      </c>
      <c r="AM442" s="30">
        <v>44562.0</v>
      </c>
      <c r="AN442" s="30">
        <v>44926.0</v>
      </c>
      <c r="AO442" s="36">
        <v>193.3</v>
      </c>
      <c r="AP442" s="36">
        <v>200.0</v>
      </c>
      <c r="AQ442" s="37" t="s">
        <v>7046</v>
      </c>
      <c r="AR442" s="30">
        <v>44927.0</v>
      </c>
      <c r="AS442" s="30">
        <v>45291.0</v>
      </c>
      <c r="AT442" s="36">
        <v>80.9</v>
      </c>
      <c r="AU442" s="36">
        <v>219.1</v>
      </c>
      <c r="AV442" s="32" t="s">
        <v>7043</v>
      </c>
    </row>
    <row r="443" ht="14.25" customHeight="1">
      <c r="A443" s="28" t="s">
        <v>139</v>
      </c>
      <c r="B443" s="29" t="s">
        <v>140</v>
      </c>
      <c r="C443" s="29" t="s">
        <v>7041</v>
      </c>
      <c r="D443" s="30">
        <v>45658.0</v>
      </c>
      <c r="E443" s="30">
        <v>46022.0</v>
      </c>
      <c r="F443" s="36">
        <v>0.0</v>
      </c>
      <c r="G443" s="36">
        <v>99.2</v>
      </c>
      <c r="H443" s="32" t="s">
        <v>7043</v>
      </c>
      <c r="I443" s="30">
        <v>46023.0</v>
      </c>
      <c r="J443" s="30">
        <v>46387.0</v>
      </c>
      <c r="K443" s="36">
        <v>0.0</v>
      </c>
      <c r="L443" s="36">
        <v>0.0</v>
      </c>
      <c r="M443" s="35" t="s">
        <v>7045</v>
      </c>
      <c r="N443" s="30">
        <v>46388.0</v>
      </c>
      <c r="O443" s="30">
        <v>46752.0</v>
      </c>
      <c r="P443" s="36">
        <v>0.0</v>
      </c>
      <c r="Q443" s="36">
        <v>0.0</v>
      </c>
      <c r="R443" s="35" t="s">
        <v>7045</v>
      </c>
      <c r="S443" s="30">
        <v>46753.0</v>
      </c>
      <c r="T443" s="30">
        <v>47118.0</v>
      </c>
      <c r="U443" s="36">
        <v>0.0</v>
      </c>
      <c r="V443" s="36">
        <v>0.0</v>
      </c>
      <c r="W443" s="35" t="s">
        <v>7045</v>
      </c>
      <c r="X443" s="30">
        <v>47119.0</v>
      </c>
      <c r="Y443" s="30">
        <v>47483.0</v>
      </c>
      <c r="Z443" s="36">
        <v>0.0</v>
      </c>
      <c r="AA443" s="36">
        <v>0.0</v>
      </c>
      <c r="AB443" s="35" t="s">
        <v>7045</v>
      </c>
      <c r="AC443" s="30">
        <v>47484.0</v>
      </c>
      <c r="AD443" s="30">
        <v>47848.0</v>
      </c>
      <c r="AE443" s="36">
        <v>0.0</v>
      </c>
      <c r="AF443" s="36">
        <v>0.0</v>
      </c>
      <c r="AG443" s="35" t="s">
        <v>7045</v>
      </c>
      <c r="AH443" s="30">
        <v>45292.0</v>
      </c>
      <c r="AI443" s="30">
        <v>45657.0</v>
      </c>
      <c r="AJ443" s="36">
        <v>2.76</v>
      </c>
      <c r="AK443" s="36">
        <v>130.0</v>
      </c>
      <c r="AL443" s="32" t="s">
        <v>7043</v>
      </c>
      <c r="AM443" s="30">
        <v>44562.0</v>
      </c>
      <c r="AN443" s="30">
        <v>44926.0</v>
      </c>
      <c r="AO443" s="36">
        <v>0.0</v>
      </c>
      <c r="AP443" s="36">
        <v>0.0</v>
      </c>
      <c r="AQ443" s="35" t="s">
        <v>7045</v>
      </c>
      <c r="AR443" s="30">
        <v>44927.0</v>
      </c>
      <c r="AS443" s="30">
        <v>45291.0</v>
      </c>
      <c r="AT443" s="36">
        <v>0.0</v>
      </c>
      <c r="AU443" s="36">
        <v>0.0</v>
      </c>
      <c r="AV443" s="35" t="s">
        <v>7045</v>
      </c>
    </row>
    <row r="444" ht="14.25" customHeight="1">
      <c r="A444" s="28" t="s">
        <v>1113</v>
      </c>
      <c r="B444" s="29" t="s">
        <v>1114</v>
      </c>
      <c r="C444" s="29" t="s">
        <v>7041</v>
      </c>
      <c r="D444" s="30">
        <v>45658.0</v>
      </c>
      <c r="E444" s="30">
        <v>46022.0</v>
      </c>
      <c r="F444" s="36">
        <v>0.0</v>
      </c>
      <c r="G444" s="36">
        <v>0.0</v>
      </c>
      <c r="H444" s="35" t="s">
        <v>7045</v>
      </c>
      <c r="I444" s="30">
        <v>46023.0</v>
      </c>
      <c r="J444" s="30">
        <v>46387.0</v>
      </c>
      <c r="K444" s="36">
        <v>0.0</v>
      </c>
      <c r="L444" s="36">
        <v>0.0</v>
      </c>
      <c r="M444" s="35" t="s">
        <v>7045</v>
      </c>
      <c r="N444" s="30">
        <v>46388.0</v>
      </c>
      <c r="O444" s="30">
        <v>46752.0</v>
      </c>
      <c r="P444" s="36">
        <v>0.0</v>
      </c>
      <c r="Q444" s="36">
        <v>0.0</v>
      </c>
      <c r="R444" s="35" t="s">
        <v>7045</v>
      </c>
      <c r="S444" s="30">
        <v>46753.0</v>
      </c>
      <c r="T444" s="30">
        <v>47118.0</v>
      </c>
      <c r="U444" s="36">
        <v>0.0</v>
      </c>
      <c r="V444" s="36">
        <v>0.0</v>
      </c>
      <c r="W444" s="35" t="s">
        <v>7045</v>
      </c>
      <c r="X444" s="30">
        <v>47119.0</v>
      </c>
      <c r="Y444" s="30">
        <v>47483.0</v>
      </c>
      <c r="Z444" s="36">
        <v>0.0</v>
      </c>
      <c r="AA444" s="36">
        <v>0.0</v>
      </c>
      <c r="AB444" s="35" t="s">
        <v>7045</v>
      </c>
      <c r="AC444" s="30">
        <v>47484.0</v>
      </c>
      <c r="AD444" s="30">
        <v>47848.0</v>
      </c>
      <c r="AE444" s="36">
        <v>0.0</v>
      </c>
      <c r="AF444" s="36">
        <v>0.0</v>
      </c>
      <c r="AG444" s="35" t="s">
        <v>7045</v>
      </c>
      <c r="AH444" s="30">
        <v>45292.0</v>
      </c>
      <c r="AI444" s="30">
        <v>45657.0</v>
      </c>
      <c r="AJ444" s="36">
        <v>0.0</v>
      </c>
      <c r="AK444" s="36">
        <v>0.0</v>
      </c>
      <c r="AL444" s="35" t="s">
        <v>7045</v>
      </c>
      <c r="AM444" s="30">
        <v>44562.0</v>
      </c>
      <c r="AN444" s="30">
        <v>44926.0</v>
      </c>
      <c r="AO444" s="36">
        <v>0.0</v>
      </c>
      <c r="AP444" s="36">
        <v>0.0</v>
      </c>
      <c r="AQ444" s="35" t="s">
        <v>7045</v>
      </c>
      <c r="AR444" s="30">
        <v>44927.0</v>
      </c>
      <c r="AS444" s="30">
        <v>45291.0</v>
      </c>
      <c r="AT444" s="36">
        <v>0.0</v>
      </c>
      <c r="AU444" s="36">
        <v>0.0</v>
      </c>
      <c r="AV444" s="35" t="s">
        <v>7045</v>
      </c>
    </row>
    <row r="445" ht="14.25" customHeight="1">
      <c r="A445" s="28" t="s">
        <v>1308</v>
      </c>
      <c r="B445" s="29" t="s">
        <v>1309</v>
      </c>
      <c r="C445" s="29" t="s">
        <v>7041</v>
      </c>
      <c r="D445" s="30">
        <v>45658.0</v>
      </c>
      <c r="E445" s="30">
        <v>46022.0</v>
      </c>
      <c r="F445" s="36">
        <v>6.13</v>
      </c>
      <c r="G445" s="36">
        <v>550.0</v>
      </c>
      <c r="H445" s="32" t="s">
        <v>7043</v>
      </c>
      <c r="I445" s="30">
        <v>46023.0</v>
      </c>
      <c r="J445" s="30">
        <v>46387.0</v>
      </c>
      <c r="K445" s="36">
        <v>0.0</v>
      </c>
      <c r="L445" s="36">
        <v>0.0</v>
      </c>
      <c r="M445" s="35" t="s">
        <v>7045</v>
      </c>
      <c r="N445" s="30">
        <v>46388.0</v>
      </c>
      <c r="O445" s="30">
        <v>46752.0</v>
      </c>
      <c r="P445" s="36">
        <v>0.0</v>
      </c>
      <c r="Q445" s="36">
        <v>0.0</v>
      </c>
      <c r="R445" s="35" t="s">
        <v>7045</v>
      </c>
      <c r="S445" s="30">
        <v>46753.0</v>
      </c>
      <c r="T445" s="30">
        <v>47118.0</v>
      </c>
      <c r="U445" s="36">
        <v>0.0</v>
      </c>
      <c r="V445" s="36">
        <v>0.0</v>
      </c>
      <c r="W445" s="35" t="s">
        <v>7045</v>
      </c>
      <c r="X445" s="30">
        <v>47119.0</v>
      </c>
      <c r="Y445" s="30">
        <v>47483.0</v>
      </c>
      <c r="Z445" s="36">
        <v>0.0</v>
      </c>
      <c r="AA445" s="36">
        <v>0.0</v>
      </c>
      <c r="AB445" s="35" t="s">
        <v>7045</v>
      </c>
      <c r="AC445" s="30">
        <v>47484.0</v>
      </c>
      <c r="AD445" s="30">
        <v>47848.0</v>
      </c>
      <c r="AE445" s="36">
        <v>0.0</v>
      </c>
      <c r="AF445" s="36">
        <v>0.0</v>
      </c>
      <c r="AG445" s="35" t="s">
        <v>7045</v>
      </c>
      <c r="AH445" s="30">
        <v>45292.0</v>
      </c>
      <c r="AI445" s="30">
        <v>45657.0</v>
      </c>
      <c r="AJ445" s="36">
        <v>13.82</v>
      </c>
      <c r="AK445" s="36">
        <v>0.0</v>
      </c>
      <c r="AL445" s="38" t="s">
        <v>7047</v>
      </c>
      <c r="AM445" s="30">
        <v>44562.0</v>
      </c>
      <c r="AN445" s="30">
        <v>44926.0</v>
      </c>
      <c r="AO445" s="36">
        <v>0.0</v>
      </c>
      <c r="AP445" s="36">
        <v>0.0</v>
      </c>
      <c r="AQ445" s="35" t="s">
        <v>7045</v>
      </c>
      <c r="AR445" s="30">
        <v>44927.0</v>
      </c>
      <c r="AS445" s="30">
        <v>45291.0</v>
      </c>
      <c r="AT445" s="36">
        <v>0.0</v>
      </c>
      <c r="AU445" s="36">
        <v>0.0</v>
      </c>
      <c r="AV445" s="35" t="s">
        <v>7045</v>
      </c>
    </row>
    <row r="446" ht="14.25" customHeight="1">
      <c r="A446" s="28" t="s">
        <v>222</v>
      </c>
      <c r="B446" s="29" t="s">
        <v>223</v>
      </c>
      <c r="C446" s="29" t="s">
        <v>7041</v>
      </c>
      <c r="D446" s="30">
        <v>45658.0</v>
      </c>
      <c r="E446" s="30">
        <v>46022.0</v>
      </c>
      <c r="F446" s="36">
        <v>15.12</v>
      </c>
      <c r="G446" s="36">
        <v>155.0</v>
      </c>
      <c r="H446" s="32" t="s">
        <v>7043</v>
      </c>
      <c r="I446" s="30">
        <v>46023.0</v>
      </c>
      <c r="J446" s="30">
        <v>46387.0</v>
      </c>
      <c r="K446" s="36">
        <v>0.0</v>
      </c>
      <c r="L446" s="36">
        <v>0.0</v>
      </c>
      <c r="M446" s="35" t="s">
        <v>7045</v>
      </c>
      <c r="N446" s="30">
        <v>46388.0</v>
      </c>
      <c r="O446" s="30">
        <v>46752.0</v>
      </c>
      <c r="P446" s="36">
        <v>0.0</v>
      </c>
      <c r="Q446" s="36">
        <v>0.0</v>
      </c>
      <c r="R446" s="35" t="s">
        <v>7045</v>
      </c>
      <c r="S446" s="30">
        <v>46753.0</v>
      </c>
      <c r="T446" s="30">
        <v>47118.0</v>
      </c>
      <c r="U446" s="36">
        <v>0.0</v>
      </c>
      <c r="V446" s="36">
        <v>0.0</v>
      </c>
      <c r="W446" s="35" t="s">
        <v>7045</v>
      </c>
      <c r="X446" s="30">
        <v>47119.0</v>
      </c>
      <c r="Y446" s="30">
        <v>47483.0</v>
      </c>
      <c r="Z446" s="36">
        <v>0.0</v>
      </c>
      <c r="AA446" s="36">
        <v>0.0</v>
      </c>
      <c r="AB446" s="35" t="s">
        <v>7045</v>
      </c>
      <c r="AC446" s="30">
        <v>47484.0</v>
      </c>
      <c r="AD446" s="30">
        <v>47848.0</v>
      </c>
      <c r="AE446" s="36">
        <v>0.0</v>
      </c>
      <c r="AF446" s="36">
        <v>0.0</v>
      </c>
      <c r="AG446" s="35" t="s">
        <v>7045</v>
      </c>
      <c r="AH446" s="30">
        <v>45292.0</v>
      </c>
      <c r="AI446" s="30">
        <v>45657.0</v>
      </c>
      <c r="AJ446" s="36">
        <v>140.99</v>
      </c>
      <c r="AK446" s="36">
        <v>0.0</v>
      </c>
      <c r="AL446" s="38" t="s">
        <v>7047</v>
      </c>
      <c r="AM446" s="30">
        <v>44562.0</v>
      </c>
      <c r="AN446" s="30">
        <v>44926.0</v>
      </c>
      <c r="AO446" s="36">
        <v>34.4</v>
      </c>
      <c r="AP446" s="36">
        <v>0.0</v>
      </c>
      <c r="AQ446" s="38" t="s">
        <v>7047</v>
      </c>
      <c r="AR446" s="30">
        <v>44927.0</v>
      </c>
      <c r="AS446" s="30">
        <v>45291.0</v>
      </c>
      <c r="AT446" s="36">
        <v>40.72</v>
      </c>
      <c r="AU446" s="36">
        <v>0.0</v>
      </c>
      <c r="AV446" s="38" t="s">
        <v>7047</v>
      </c>
    </row>
    <row r="447" ht="14.25" customHeight="1">
      <c r="A447" s="28" t="s">
        <v>4156</v>
      </c>
      <c r="B447" s="29" t="s">
        <v>4157</v>
      </c>
      <c r="C447" s="29" t="s">
        <v>7041</v>
      </c>
      <c r="D447" s="30">
        <v>45658.0</v>
      </c>
      <c r="E447" s="30">
        <v>46022.0</v>
      </c>
      <c r="F447" s="36">
        <v>12.47</v>
      </c>
      <c r="G447" s="36">
        <v>107.2</v>
      </c>
      <c r="H447" s="32" t="s">
        <v>7043</v>
      </c>
      <c r="I447" s="30">
        <v>46023.0</v>
      </c>
      <c r="J447" s="30">
        <v>46387.0</v>
      </c>
      <c r="K447" s="36">
        <v>0.0</v>
      </c>
      <c r="L447" s="36">
        <v>0.0</v>
      </c>
      <c r="M447" s="35" t="s">
        <v>7045</v>
      </c>
      <c r="N447" s="30">
        <v>46388.0</v>
      </c>
      <c r="O447" s="30">
        <v>46752.0</v>
      </c>
      <c r="P447" s="36">
        <v>0.0</v>
      </c>
      <c r="Q447" s="36">
        <v>0.0</v>
      </c>
      <c r="R447" s="35" t="s">
        <v>7045</v>
      </c>
      <c r="S447" s="30">
        <v>46753.0</v>
      </c>
      <c r="T447" s="30">
        <v>47118.0</v>
      </c>
      <c r="U447" s="36">
        <v>0.0</v>
      </c>
      <c r="V447" s="36">
        <v>0.0</v>
      </c>
      <c r="W447" s="35" t="s">
        <v>7045</v>
      </c>
      <c r="X447" s="30">
        <v>47119.0</v>
      </c>
      <c r="Y447" s="30">
        <v>47483.0</v>
      </c>
      <c r="Z447" s="36">
        <v>0.0</v>
      </c>
      <c r="AA447" s="36">
        <v>0.0</v>
      </c>
      <c r="AB447" s="35" t="s">
        <v>7045</v>
      </c>
      <c r="AC447" s="30">
        <v>47484.0</v>
      </c>
      <c r="AD447" s="30">
        <v>47848.0</v>
      </c>
      <c r="AE447" s="36">
        <v>0.0</v>
      </c>
      <c r="AF447" s="36">
        <v>0.0</v>
      </c>
      <c r="AG447" s="35" t="s">
        <v>7045</v>
      </c>
      <c r="AH447" s="30">
        <v>45292.0</v>
      </c>
      <c r="AI447" s="30">
        <v>45657.0</v>
      </c>
      <c r="AJ447" s="36">
        <v>67.16</v>
      </c>
      <c r="AK447" s="36">
        <v>338.2</v>
      </c>
      <c r="AL447" s="32" t="s">
        <v>7043</v>
      </c>
      <c r="AM447" s="30">
        <v>44562.0</v>
      </c>
      <c r="AN447" s="30">
        <v>44926.0</v>
      </c>
      <c r="AO447" s="36">
        <v>196.4</v>
      </c>
      <c r="AP447" s="36">
        <v>0.0</v>
      </c>
      <c r="AQ447" s="38" t="s">
        <v>7047</v>
      </c>
      <c r="AR447" s="30">
        <v>44927.0</v>
      </c>
      <c r="AS447" s="30">
        <v>45291.0</v>
      </c>
      <c r="AT447" s="36">
        <v>202.2</v>
      </c>
      <c r="AU447" s="36">
        <v>246.6</v>
      </c>
      <c r="AV447" s="37" t="s">
        <v>7046</v>
      </c>
    </row>
    <row r="448" ht="14.25" customHeight="1">
      <c r="A448" s="28" t="s">
        <v>3844</v>
      </c>
      <c r="B448" s="29" t="s">
        <v>3845</v>
      </c>
      <c r="C448" s="29" t="s">
        <v>7041</v>
      </c>
      <c r="D448" s="30">
        <v>45658.0</v>
      </c>
      <c r="E448" s="30">
        <v>46022.0</v>
      </c>
      <c r="F448" s="36">
        <v>175.38</v>
      </c>
      <c r="G448" s="36">
        <v>250.0</v>
      </c>
      <c r="H448" s="38" t="s">
        <v>7047</v>
      </c>
      <c r="I448" s="30">
        <v>46023.0</v>
      </c>
      <c r="J448" s="30">
        <v>46387.0</v>
      </c>
      <c r="K448" s="36">
        <v>0.0</v>
      </c>
      <c r="L448" s="36">
        <v>0.0</v>
      </c>
      <c r="M448" s="35" t="s">
        <v>7045</v>
      </c>
      <c r="N448" s="30">
        <v>46388.0</v>
      </c>
      <c r="O448" s="30">
        <v>46752.0</v>
      </c>
      <c r="P448" s="36">
        <v>0.0</v>
      </c>
      <c r="Q448" s="36">
        <v>0.0</v>
      </c>
      <c r="R448" s="35" t="s">
        <v>7045</v>
      </c>
      <c r="S448" s="30">
        <v>46753.0</v>
      </c>
      <c r="T448" s="30">
        <v>47118.0</v>
      </c>
      <c r="U448" s="36">
        <v>0.0</v>
      </c>
      <c r="V448" s="36">
        <v>0.0</v>
      </c>
      <c r="W448" s="35" t="s">
        <v>7045</v>
      </c>
      <c r="X448" s="30">
        <v>47119.0</v>
      </c>
      <c r="Y448" s="30">
        <v>47483.0</v>
      </c>
      <c r="Z448" s="36">
        <v>0.0</v>
      </c>
      <c r="AA448" s="36">
        <v>0.0</v>
      </c>
      <c r="AB448" s="35" t="s">
        <v>7045</v>
      </c>
      <c r="AC448" s="30">
        <v>47484.0</v>
      </c>
      <c r="AD448" s="30">
        <v>47848.0</v>
      </c>
      <c r="AE448" s="36">
        <v>0.0</v>
      </c>
      <c r="AF448" s="36">
        <v>0.0</v>
      </c>
      <c r="AG448" s="35" t="s">
        <v>7045</v>
      </c>
      <c r="AH448" s="30">
        <v>45292.0</v>
      </c>
      <c r="AI448" s="30">
        <v>45657.0</v>
      </c>
      <c r="AJ448" s="36">
        <v>113.45</v>
      </c>
      <c r="AK448" s="36">
        <v>0.0</v>
      </c>
      <c r="AL448" s="38" t="s">
        <v>7047</v>
      </c>
      <c r="AM448" s="30">
        <v>44562.0</v>
      </c>
      <c r="AN448" s="30">
        <v>44926.0</v>
      </c>
      <c r="AO448" s="36">
        <v>0.0</v>
      </c>
      <c r="AP448" s="36">
        <v>0.0</v>
      </c>
      <c r="AQ448" s="35" t="s">
        <v>7045</v>
      </c>
      <c r="AR448" s="30">
        <v>44927.0</v>
      </c>
      <c r="AS448" s="30">
        <v>45291.0</v>
      </c>
      <c r="AT448" s="36">
        <v>7.43</v>
      </c>
      <c r="AU448" s="36">
        <v>0.0</v>
      </c>
      <c r="AV448" s="38" t="s">
        <v>7047</v>
      </c>
    </row>
    <row r="449" ht="14.25" customHeight="1">
      <c r="A449" s="28" t="s">
        <v>6022</v>
      </c>
      <c r="B449" s="29" t="s">
        <v>6023</v>
      </c>
      <c r="C449" s="29" t="s">
        <v>7041</v>
      </c>
      <c r="D449" s="30">
        <v>45658.0</v>
      </c>
      <c r="E449" s="30">
        <v>46022.0</v>
      </c>
      <c r="F449" s="39">
        <v>18.73</v>
      </c>
      <c r="G449" s="39">
        <v>0.0</v>
      </c>
      <c r="H449" s="38" t="s">
        <v>7047</v>
      </c>
      <c r="I449" s="30">
        <v>46023.0</v>
      </c>
      <c r="J449" s="30">
        <v>46387.0</v>
      </c>
      <c r="K449" s="39">
        <v>0.0</v>
      </c>
      <c r="L449" s="39">
        <v>0.0</v>
      </c>
      <c r="M449" s="35" t="s">
        <v>7045</v>
      </c>
      <c r="N449" s="30">
        <v>46388.0</v>
      </c>
      <c r="O449" s="30">
        <v>46752.0</v>
      </c>
      <c r="P449" s="39">
        <v>0.0</v>
      </c>
      <c r="Q449" s="39">
        <v>0.0</v>
      </c>
      <c r="R449" s="35" t="s">
        <v>7045</v>
      </c>
      <c r="S449" s="30">
        <v>46753.0</v>
      </c>
      <c r="T449" s="30">
        <v>47118.0</v>
      </c>
      <c r="U449" s="39">
        <v>0.0</v>
      </c>
      <c r="V449" s="39">
        <v>0.0</v>
      </c>
      <c r="W449" s="35" t="s">
        <v>7045</v>
      </c>
      <c r="X449" s="30">
        <v>47119.0</v>
      </c>
      <c r="Y449" s="30">
        <v>47483.0</v>
      </c>
      <c r="Z449" s="39">
        <v>0.0</v>
      </c>
      <c r="AA449" s="39">
        <v>0.0</v>
      </c>
      <c r="AB449" s="35" t="s">
        <v>7045</v>
      </c>
      <c r="AC449" s="30">
        <v>47484.0</v>
      </c>
      <c r="AD449" s="30">
        <v>47848.0</v>
      </c>
      <c r="AE449" s="39">
        <v>0.0</v>
      </c>
      <c r="AF449" s="39">
        <v>0.0</v>
      </c>
      <c r="AG449" s="35" t="s">
        <v>7045</v>
      </c>
      <c r="AH449" s="30">
        <v>45292.0</v>
      </c>
      <c r="AI449" s="30">
        <v>45657.0</v>
      </c>
      <c r="AJ449" s="39">
        <v>56.37</v>
      </c>
      <c r="AK449" s="39">
        <v>0.0</v>
      </c>
      <c r="AL449" s="38" t="s">
        <v>7047</v>
      </c>
      <c r="AM449" s="30">
        <v>44562.0</v>
      </c>
      <c r="AN449" s="30">
        <v>44926.0</v>
      </c>
      <c r="AO449" s="39">
        <v>102.9</v>
      </c>
      <c r="AP449" s="39">
        <v>0.0</v>
      </c>
      <c r="AQ449" s="38" t="s">
        <v>7047</v>
      </c>
      <c r="AR449" s="30">
        <v>44927.0</v>
      </c>
      <c r="AS449" s="30">
        <v>45291.0</v>
      </c>
      <c r="AT449" s="39">
        <v>67.93</v>
      </c>
      <c r="AU449" s="39">
        <v>0.0</v>
      </c>
      <c r="AV449" s="38" t="s">
        <v>7047</v>
      </c>
    </row>
    <row r="450" ht="14.25" customHeight="1">
      <c r="A450" s="28" t="s">
        <v>6960</v>
      </c>
      <c r="B450" s="29" t="s">
        <v>6961</v>
      </c>
      <c r="C450" s="29" t="s">
        <v>7041</v>
      </c>
      <c r="D450" s="30">
        <v>45658.0</v>
      </c>
      <c r="E450" s="30">
        <v>46022.0</v>
      </c>
      <c r="F450" s="39">
        <v>74.42</v>
      </c>
      <c r="G450" s="39">
        <v>1200.0</v>
      </c>
      <c r="H450" s="32" t="s">
        <v>7043</v>
      </c>
      <c r="I450" s="30">
        <v>46023.0</v>
      </c>
      <c r="J450" s="30">
        <v>46387.0</v>
      </c>
      <c r="K450" s="39">
        <v>0.0</v>
      </c>
      <c r="L450" s="39">
        <v>0.0</v>
      </c>
      <c r="M450" s="35" t="s">
        <v>7045</v>
      </c>
      <c r="N450" s="30">
        <v>46388.0</v>
      </c>
      <c r="O450" s="30">
        <v>46752.0</v>
      </c>
      <c r="P450" s="39">
        <v>0.0</v>
      </c>
      <c r="Q450" s="39">
        <v>0.0</v>
      </c>
      <c r="R450" s="35" t="s">
        <v>7045</v>
      </c>
      <c r="S450" s="30">
        <v>46753.0</v>
      </c>
      <c r="T450" s="30">
        <v>47118.0</v>
      </c>
      <c r="U450" s="39">
        <v>0.0</v>
      </c>
      <c r="V450" s="39">
        <v>0.0</v>
      </c>
      <c r="W450" s="35" t="s">
        <v>7045</v>
      </c>
      <c r="X450" s="30">
        <v>47119.0</v>
      </c>
      <c r="Y450" s="30">
        <v>47483.0</v>
      </c>
      <c r="Z450" s="39">
        <v>0.0</v>
      </c>
      <c r="AA450" s="39">
        <v>0.0</v>
      </c>
      <c r="AB450" s="35" t="s">
        <v>7045</v>
      </c>
      <c r="AC450" s="30">
        <v>47484.0</v>
      </c>
      <c r="AD450" s="30">
        <v>47848.0</v>
      </c>
      <c r="AE450" s="39">
        <v>0.0</v>
      </c>
      <c r="AF450" s="39">
        <v>0.0</v>
      </c>
      <c r="AG450" s="35" t="s">
        <v>7045</v>
      </c>
      <c r="AH450" s="30">
        <v>45292.0</v>
      </c>
      <c r="AI450" s="30">
        <v>45657.0</v>
      </c>
      <c r="AJ450" s="39">
        <v>230.01</v>
      </c>
      <c r="AK450" s="39">
        <v>0.0</v>
      </c>
      <c r="AL450" s="38" t="s">
        <v>7047</v>
      </c>
      <c r="AM450" s="30">
        <v>44562.0</v>
      </c>
      <c r="AN450" s="30">
        <v>44926.0</v>
      </c>
      <c r="AO450" s="39">
        <v>0.0</v>
      </c>
      <c r="AP450" s="39">
        <v>0.0</v>
      </c>
      <c r="AQ450" s="35" t="s">
        <v>7045</v>
      </c>
      <c r="AR450" s="30">
        <v>44927.0</v>
      </c>
      <c r="AS450" s="30">
        <v>45291.0</v>
      </c>
      <c r="AT450" s="39">
        <v>0.0</v>
      </c>
      <c r="AU450" s="39">
        <v>0.0</v>
      </c>
      <c r="AV450" s="35" t="s">
        <v>7045</v>
      </c>
    </row>
    <row r="451" ht="14.25" customHeight="1">
      <c r="A451" s="28" t="s">
        <v>955</v>
      </c>
      <c r="B451" s="29" t="s">
        <v>956</v>
      </c>
      <c r="C451" s="29" t="s">
        <v>7041</v>
      </c>
      <c r="D451" s="30">
        <v>45658.0</v>
      </c>
      <c r="E451" s="30">
        <v>46022.0</v>
      </c>
      <c r="F451" s="39">
        <v>7.5</v>
      </c>
      <c r="G451" s="39">
        <v>200.0</v>
      </c>
      <c r="H451" s="32" t="s">
        <v>7043</v>
      </c>
      <c r="I451" s="30">
        <v>46023.0</v>
      </c>
      <c r="J451" s="30">
        <v>46387.0</v>
      </c>
      <c r="K451" s="39">
        <v>0.0</v>
      </c>
      <c r="L451" s="39">
        <v>0.0</v>
      </c>
      <c r="M451" s="35" t="s">
        <v>7045</v>
      </c>
      <c r="N451" s="30">
        <v>46388.0</v>
      </c>
      <c r="O451" s="30">
        <v>46752.0</v>
      </c>
      <c r="P451" s="39">
        <v>0.0</v>
      </c>
      <c r="Q451" s="39">
        <v>0.0</v>
      </c>
      <c r="R451" s="35" t="s">
        <v>7045</v>
      </c>
      <c r="S451" s="30">
        <v>46753.0</v>
      </c>
      <c r="T451" s="30">
        <v>47118.0</v>
      </c>
      <c r="U451" s="39">
        <v>0.0</v>
      </c>
      <c r="V451" s="39">
        <v>0.0</v>
      </c>
      <c r="W451" s="35" t="s">
        <v>7045</v>
      </c>
      <c r="X451" s="30">
        <v>47119.0</v>
      </c>
      <c r="Y451" s="30">
        <v>47483.0</v>
      </c>
      <c r="Z451" s="39">
        <v>0.0</v>
      </c>
      <c r="AA451" s="39">
        <v>0.0</v>
      </c>
      <c r="AB451" s="35" t="s">
        <v>7045</v>
      </c>
      <c r="AC451" s="30">
        <v>47484.0</v>
      </c>
      <c r="AD451" s="30">
        <v>47848.0</v>
      </c>
      <c r="AE451" s="39">
        <v>0.0</v>
      </c>
      <c r="AF451" s="39">
        <v>0.0</v>
      </c>
      <c r="AG451" s="35" t="s">
        <v>7045</v>
      </c>
      <c r="AH451" s="30">
        <v>45292.0</v>
      </c>
      <c r="AI451" s="30">
        <v>45657.0</v>
      </c>
      <c r="AJ451" s="39">
        <v>7.96</v>
      </c>
      <c r="AK451" s="39">
        <v>0.0</v>
      </c>
      <c r="AL451" s="38" t="s">
        <v>7047</v>
      </c>
      <c r="AM451" s="30">
        <v>44562.0</v>
      </c>
      <c r="AN451" s="30">
        <v>44926.0</v>
      </c>
      <c r="AO451" s="39">
        <v>0.0</v>
      </c>
      <c r="AP451" s="39">
        <v>0.0</v>
      </c>
      <c r="AQ451" s="35" t="s">
        <v>7045</v>
      </c>
      <c r="AR451" s="30">
        <v>44927.0</v>
      </c>
      <c r="AS451" s="30">
        <v>45291.0</v>
      </c>
      <c r="AT451" s="39">
        <v>147.19</v>
      </c>
      <c r="AU451" s="39">
        <v>0.0</v>
      </c>
      <c r="AV451" s="38" t="s">
        <v>7047</v>
      </c>
    </row>
    <row r="452" ht="14.25" customHeight="1">
      <c r="A452" s="28" t="s">
        <v>5488</v>
      </c>
      <c r="B452" s="29" t="s">
        <v>5489</v>
      </c>
      <c r="C452" s="29" t="s">
        <v>7041</v>
      </c>
      <c r="D452" s="30">
        <v>45658.0</v>
      </c>
      <c r="E452" s="30">
        <v>46022.0</v>
      </c>
      <c r="F452" s="39">
        <v>91.12</v>
      </c>
      <c r="G452" s="39">
        <v>200.0</v>
      </c>
      <c r="H452" s="37" t="s">
        <v>7046</v>
      </c>
      <c r="I452" s="30">
        <v>46023.0</v>
      </c>
      <c r="J452" s="30">
        <v>46387.0</v>
      </c>
      <c r="K452" s="39">
        <v>0.0</v>
      </c>
      <c r="L452" s="39">
        <v>0.0</v>
      </c>
      <c r="M452" s="35" t="s">
        <v>7045</v>
      </c>
      <c r="N452" s="30">
        <v>46388.0</v>
      </c>
      <c r="O452" s="30">
        <v>46752.0</v>
      </c>
      <c r="P452" s="39">
        <v>0.0</v>
      </c>
      <c r="Q452" s="39">
        <v>0.0</v>
      </c>
      <c r="R452" s="35" t="s">
        <v>7045</v>
      </c>
      <c r="S452" s="30">
        <v>46753.0</v>
      </c>
      <c r="T452" s="30">
        <v>47118.0</v>
      </c>
      <c r="U452" s="39">
        <v>0.0</v>
      </c>
      <c r="V452" s="39">
        <v>0.0</v>
      </c>
      <c r="W452" s="35" t="s">
        <v>7045</v>
      </c>
      <c r="X452" s="30">
        <v>47119.0</v>
      </c>
      <c r="Y452" s="30">
        <v>47483.0</v>
      </c>
      <c r="Z452" s="39">
        <v>0.0</v>
      </c>
      <c r="AA452" s="39">
        <v>0.0</v>
      </c>
      <c r="AB452" s="35" t="s">
        <v>7045</v>
      </c>
      <c r="AC452" s="30">
        <v>47484.0</v>
      </c>
      <c r="AD452" s="30">
        <v>47848.0</v>
      </c>
      <c r="AE452" s="39">
        <v>0.0</v>
      </c>
      <c r="AF452" s="39">
        <v>0.0</v>
      </c>
      <c r="AG452" s="35" t="s">
        <v>7045</v>
      </c>
      <c r="AH452" s="30">
        <v>45292.0</v>
      </c>
      <c r="AI452" s="30">
        <v>45657.0</v>
      </c>
      <c r="AJ452" s="39">
        <v>144.02</v>
      </c>
      <c r="AK452" s="39">
        <v>200.0</v>
      </c>
      <c r="AL452" s="37" t="s">
        <v>7046</v>
      </c>
      <c r="AM452" s="30">
        <v>44562.0</v>
      </c>
      <c r="AN452" s="30">
        <v>44926.0</v>
      </c>
      <c r="AO452" s="39">
        <v>68.4</v>
      </c>
      <c r="AP452" s="39">
        <v>0.0</v>
      </c>
      <c r="AQ452" s="38" t="s">
        <v>7047</v>
      </c>
      <c r="AR452" s="30">
        <v>44927.0</v>
      </c>
      <c r="AS452" s="30">
        <v>45291.0</v>
      </c>
      <c r="AT452" s="39">
        <v>103.4</v>
      </c>
      <c r="AU452" s="39">
        <v>200.0</v>
      </c>
      <c r="AV452" s="37" t="s">
        <v>7046</v>
      </c>
    </row>
    <row r="453" ht="14.25" customHeight="1">
      <c r="A453" s="28" t="s">
        <v>3816</v>
      </c>
      <c r="B453" s="29" t="s">
        <v>3817</v>
      </c>
      <c r="C453" s="29" t="s">
        <v>7041</v>
      </c>
      <c r="D453" s="30">
        <v>45658.0</v>
      </c>
      <c r="E453" s="30">
        <v>46022.0</v>
      </c>
      <c r="F453" s="39">
        <v>249.91</v>
      </c>
      <c r="G453" s="39">
        <v>300.0</v>
      </c>
      <c r="H453" s="38" t="s">
        <v>7047</v>
      </c>
      <c r="I453" s="30">
        <v>46023.0</v>
      </c>
      <c r="J453" s="30">
        <v>46387.0</v>
      </c>
      <c r="K453" s="39">
        <v>0.0</v>
      </c>
      <c r="L453" s="39">
        <v>0.0</v>
      </c>
      <c r="M453" s="35" t="s">
        <v>7045</v>
      </c>
      <c r="N453" s="30">
        <v>46388.0</v>
      </c>
      <c r="O453" s="30">
        <v>46752.0</v>
      </c>
      <c r="P453" s="39">
        <v>0.0</v>
      </c>
      <c r="Q453" s="39">
        <v>0.0</v>
      </c>
      <c r="R453" s="35" t="s">
        <v>7045</v>
      </c>
      <c r="S453" s="30">
        <v>46753.0</v>
      </c>
      <c r="T453" s="30">
        <v>47118.0</v>
      </c>
      <c r="U453" s="39">
        <v>0.0</v>
      </c>
      <c r="V453" s="39">
        <v>0.0</v>
      </c>
      <c r="W453" s="35" t="s">
        <v>7045</v>
      </c>
      <c r="X453" s="30">
        <v>47119.0</v>
      </c>
      <c r="Y453" s="30">
        <v>47483.0</v>
      </c>
      <c r="Z453" s="39">
        <v>0.0</v>
      </c>
      <c r="AA453" s="39">
        <v>0.0</v>
      </c>
      <c r="AB453" s="35" t="s">
        <v>7045</v>
      </c>
      <c r="AC453" s="30">
        <v>47484.0</v>
      </c>
      <c r="AD453" s="30">
        <v>47848.0</v>
      </c>
      <c r="AE453" s="39">
        <v>0.0</v>
      </c>
      <c r="AF453" s="39">
        <v>0.0</v>
      </c>
      <c r="AG453" s="35" t="s">
        <v>7045</v>
      </c>
      <c r="AH453" s="30">
        <v>45292.0</v>
      </c>
      <c r="AI453" s="30">
        <v>45657.0</v>
      </c>
      <c r="AJ453" s="39">
        <v>132.54</v>
      </c>
      <c r="AK453" s="39">
        <v>596.0</v>
      </c>
      <c r="AL453" s="32" t="s">
        <v>7043</v>
      </c>
      <c r="AM453" s="30">
        <v>44562.0</v>
      </c>
      <c r="AN453" s="30">
        <v>44926.0</v>
      </c>
      <c r="AO453" s="39">
        <v>218.7</v>
      </c>
      <c r="AP453" s="39">
        <v>335.0</v>
      </c>
      <c r="AQ453" s="37" t="s">
        <v>7046</v>
      </c>
      <c r="AR453" s="30">
        <v>44927.0</v>
      </c>
      <c r="AS453" s="30">
        <v>45291.0</v>
      </c>
      <c r="AT453" s="39">
        <v>541.15</v>
      </c>
      <c r="AU453" s="39">
        <v>314.0</v>
      </c>
      <c r="AV453" s="38" t="s">
        <v>7047</v>
      </c>
    </row>
    <row r="454" ht="14.25" customHeight="1">
      <c r="A454" s="28" t="s">
        <v>1595</v>
      </c>
      <c r="B454" s="29" t="s">
        <v>1596</v>
      </c>
      <c r="C454" s="29" t="s">
        <v>7041</v>
      </c>
      <c r="D454" s="30">
        <v>45658.0</v>
      </c>
      <c r="E454" s="30">
        <v>46022.0</v>
      </c>
      <c r="F454" s="39">
        <v>36.18</v>
      </c>
      <c r="G454" s="39">
        <v>205.0</v>
      </c>
      <c r="H454" s="32" t="s">
        <v>7043</v>
      </c>
      <c r="I454" s="30">
        <v>46023.0</v>
      </c>
      <c r="J454" s="30">
        <v>46387.0</v>
      </c>
      <c r="K454" s="39">
        <v>0.0</v>
      </c>
      <c r="L454" s="39">
        <v>0.0</v>
      </c>
      <c r="M454" s="35" t="s">
        <v>7045</v>
      </c>
      <c r="N454" s="30">
        <v>46388.0</v>
      </c>
      <c r="O454" s="30">
        <v>46752.0</v>
      </c>
      <c r="P454" s="39">
        <v>0.0</v>
      </c>
      <c r="Q454" s="39">
        <v>0.0</v>
      </c>
      <c r="R454" s="35" t="s">
        <v>7045</v>
      </c>
      <c r="S454" s="30">
        <v>46753.0</v>
      </c>
      <c r="T454" s="30">
        <v>47118.0</v>
      </c>
      <c r="U454" s="39">
        <v>0.0</v>
      </c>
      <c r="V454" s="39">
        <v>0.0</v>
      </c>
      <c r="W454" s="35" t="s">
        <v>7045</v>
      </c>
      <c r="X454" s="30">
        <v>47119.0</v>
      </c>
      <c r="Y454" s="30">
        <v>47483.0</v>
      </c>
      <c r="Z454" s="39">
        <v>0.0</v>
      </c>
      <c r="AA454" s="39">
        <v>0.0</v>
      </c>
      <c r="AB454" s="35" t="s">
        <v>7045</v>
      </c>
      <c r="AC454" s="30">
        <v>47484.0</v>
      </c>
      <c r="AD454" s="30">
        <v>47848.0</v>
      </c>
      <c r="AE454" s="39">
        <v>0.0</v>
      </c>
      <c r="AF454" s="39">
        <v>0.0</v>
      </c>
      <c r="AG454" s="35" t="s">
        <v>7045</v>
      </c>
      <c r="AH454" s="30">
        <v>45292.0</v>
      </c>
      <c r="AI454" s="30">
        <v>45657.0</v>
      </c>
      <c r="AJ454" s="39">
        <v>102.17</v>
      </c>
      <c r="AK454" s="39">
        <v>205.0</v>
      </c>
      <c r="AL454" s="32" t="s">
        <v>7043</v>
      </c>
      <c r="AM454" s="30">
        <v>44562.0</v>
      </c>
      <c r="AN454" s="30">
        <v>44926.0</v>
      </c>
      <c r="AO454" s="39">
        <v>54.0</v>
      </c>
      <c r="AP454" s="39">
        <v>0.0</v>
      </c>
      <c r="AQ454" s="38" t="s">
        <v>7047</v>
      </c>
      <c r="AR454" s="30">
        <v>44927.0</v>
      </c>
      <c r="AS454" s="30">
        <v>45291.0</v>
      </c>
      <c r="AT454" s="39">
        <v>102.55</v>
      </c>
      <c r="AU454" s="39">
        <v>0.0</v>
      </c>
      <c r="AV454" s="38" t="s">
        <v>7047</v>
      </c>
    </row>
    <row r="455" ht="14.25" customHeight="1">
      <c r="A455" s="28" t="s">
        <v>2611</v>
      </c>
      <c r="B455" s="29" t="s">
        <v>2612</v>
      </c>
      <c r="C455" s="29" t="s">
        <v>7044</v>
      </c>
      <c r="D455" s="30">
        <v>45658.0</v>
      </c>
      <c r="E455" s="30">
        <v>46022.0</v>
      </c>
      <c r="F455" s="39">
        <v>400.0</v>
      </c>
      <c r="G455" s="39">
        <v>4000.0</v>
      </c>
      <c r="H455" s="37" t="s">
        <v>7046</v>
      </c>
      <c r="I455" s="30">
        <v>46023.0</v>
      </c>
      <c r="J455" s="30">
        <v>46387.0</v>
      </c>
      <c r="K455" s="39">
        <v>0.0</v>
      </c>
      <c r="L455" s="39">
        <v>0.0</v>
      </c>
      <c r="M455" s="35" t="s">
        <v>7045</v>
      </c>
      <c r="N455" s="30">
        <v>46388.0</v>
      </c>
      <c r="O455" s="30">
        <v>46752.0</v>
      </c>
      <c r="P455" s="39">
        <v>0.0</v>
      </c>
      <c r="Q455" s="39">
        <v>0.0</v>
      </c>
      <c r="R455" s="35" t="s">
        <v>7045</v>
      </c>
      <c r="S455" s="30">
        <v>46753.0</v>
      </c>
      <c r="T455" s="30">
        <v>47118.0</v>
      </c>
      <c r="U455" s="39">
        <v>0.0</v>
      </c>
      <c r="V455" s="39">
        <v>0.0</v>
      </c>
      <c r="W455" s="35" t="s">
        <v>7045</v>
      </c>
      <c r="X455" s="30">
        <v>47119.0</v>
      </c>
      <c r="Y455" s="30">
        <v>47483.0</v>
      </c>
      <c r="Z455" s="39">
        <v>0.0</v>
      </c>
      <c r="AA455" s="39">
        <v>0.0</v>
      </c>
      <c r="AB455" s="35" t="s">
        <v>7045</v>
      </c>
      <c r="AC455" s="30">
        <v>47484.0</v>
      </c>
      <c r="AD455" s="30">
        <v>47848.0</v>
      </c>
      <c r="AE455" s="39">
        <v>0.0</v>
      </c>
      <c r="AF455" s="39">
        <v>0.0</v>
      </c>
      <c r="AG455" s="35" t="s">
        <v>7045</v>
      </c>
      <c r="AH455" s="30">
        <v>45292.0</v>
      </c>
      <c r="AI455" s="30">
        <v>45657.0</v>
      </c>
      <c r="AJ455" s="39">
        <v>0.0</v>
      </c>
      <c r="AK455" s="39">
        <v>0.0</v>
      </c>
      <c r="AL455" s="35" t="s">
        <v>7045</v>
      </c>
      <c r="AM455" s="30">
        <v>44562.0</v>
      </c>
      <c r="AN455" s="30">
        <v>44926.0</v>
      </c>
      <c r="AO455" s="39">
        <v>0.0</v>
      </c>
      <c r="AP455" s="39">
        <v>0.0</v>
      </c>
      <c r="AQ455" s="35" t="s">
        <v>7045</v>
      </c>
      <c r="AR455" s="30">
        <v>44927.0</v>
      </c>
      <c r="AS455" s="30">
        <v>45291.0</v>
      </c>
      <c r="AT455" s="39">
        <v>0.0</v>
      </c>
      <c r="AU455" s="39">
        <v>0.0</v>
      </c>
      <c r="AV455" s="35" t="s">
        <v>7045</v>
      </c>
    </row>
    <row r="456" ht="14.25" customHeight="1">
      <c r="A456" s="28" t="s">
        <v>854</v>
      </c>
      <c r="B456" s="29" t="s">
        <v>855</v>
      </c>
      <c r="C456" s="29" t="s">
        <v>7041</v>
      </c>
      <c r="D456" s="30">
        <v>45658.0</v>
      </c>
      <c r="E456" s="30">
        <v>46022.0</v>
      </c>
      <c r="F456" s="39">
        <v>60.84</v>
      </c>
      <c r="G456" s="39">
        <v>148.0</v>
      </c>
      <c r="H456" s="37" t="s">
        <v>7046</v>
      </c>
      <c r="I456" s="30">
        <v>46023.0</v>
      </c>
      <c r="J456" s="30">
        <v>46387.0</v>
      </c>
      <c r="K456" s="39">
        <v>0.0</v>
      </c>
      <c r="L456" s="39">
        <v>0.0</v>
      </c>
      <c r="M456" s="35" t="s">
        <v>7045</v>
      </c>
      <c r="N456" s="30">
        <v>46388.0</v>
      </c>
      <c r="O456" s="30">
        <v>46752.0</v>
      </c>
      <c r="P456" s="39">
        <v>0.0</v>
      </c>
      <c r="Q456" s="39">
        <v>0.0</v>
      </c>
      <c r="R456" s="35" t="s">
        <v>7045</v>
      </c>
      <c r="S456" s="30">
        <v>46753.0</v>
      </c>
      <c r="T456" s="30">
        <v>47118.0</v>
      </c>
      <c r="U456" s="39">
        <v>0.0</v>
      </c>
      <c r="V456" s="39">
        <v>0.0</v>
      </c>
      <c r="W456" s="35" t="s">
        <v>7045</v>
      </c>
      <c r="X456" s="30">
        <v>47119.0</v>
      </c>
      <c r="Y456" s="30">
        <v>47483.0</v>
      </c>
      <c r="Z456" s="39">
        <v>0.0</v>
      </c>
      <c r="AA456" s="39">
        <v>0.0</v>
      </c>
      <c r="AB456" s="35" t="s">
        <v>7045</v>
      </c>
      <c r="AC456" s="30">
        <v>47484.0</v>
      </c>
      <c r="AD456" s="30">
        <v>47848.0</v>
      </c>
      <c r="AE456" s="39">
        <v>0.0</v>
      </c>
      <c r="AF456" s="39">
        <v>0.0</v>
      </c>
      <c r="AG456" s="35" t="s">
        <v>7045</v>
      </c>
      <c r="AH456" s="30">
        <v>45292.0</v>
      </c>
      <c r="AI456" s="30">
        <v>45657.0</v>
      </c>
      <c r="AJ456" s="39">
        <v>73.83</v>
      </c>
      <c r="AK456" s="39">
        <v>200.5</v>
      </c>
      <c r="AL456" s="32" t="s">
        <v>7043</v>
      </c>
      <c r="AM456" s="30">
        <v>44562.0</v>
      </c>
      <c r="AN456" s="30">
        <v>44926.0</v>
      </c>
      <c r="AO456" s="39">
        <v>0.0</v>
      </c>
      <c r="AP456" s="39">
        <v>0.0</v>
      </c>
      <c r="AQ456" s="35" t="s">
        <v>7045</v>
      </c>
      <c r="AR456" s="30">
        <v>44927.0</v>
      </c>
      <c r="AS456" s="30">
        <v>45291.0</v>
      </c>
      <c r="AT456" s="39">
        <v>0.0</v>
      </c>
      <c r="AU456" s="39">
        <v>0.0</v>
      </c>
      <c r="AV456" s="35" t="s">
        <v>7045</v>
      </c>
    </row>
    <row r="457" ht="14.25" customHeight="1">
      <c r="A457" s="28" t="s">
        <v>5469</v>
      </c>
      <c r="B457" s="29" t="s">
        <v>5470</v>
      </c>
      <c r="C457" s="29" t="s">
        <v>7041</v>
      </c>
      <c r="D457" s="30">
        <v>45658.0</v>
      </c>
      <c r="E457" s="30">
        <v>46022.0</v>
      </c>
      <c r="F457" s="39">
        <v>19.09</v>
      </c>
      <c r="G457" s="39">
        <v>0.0</v>
      </c>
      <c r="H457" s="38" t="s">
        <v>7047</v>
      </c>
      <c r="I457" s="30">
        <v>46023.0</v>
      </c>
      <c r="J457" s="30">
        <v>46387.0</v>
      </c>
      <c r="K457" s="39">
        <v>0.0</v>
      </c>
      <c r="L457" s="39">
        <v>0.0</v>
      </c>
      <c r="M457" s="35" t="s">
        <v>7045</v>
      </c>
      <c r="N457" s="30">
        <v>46388.0</v>
      </c>
      <c r="O457" s="30">
        <v>46752.0</v>
      </c>
      <c r="P457" s="39">
        <v>0.0</v>
      </c>
      <c r="Q457" s="39">
        <v>0.0</v>
      </c>
      <c r="R457" s="35" t="s">
        <v>7045</v>
      </c>
      <c r="S457" s="30">
        <v>46753.0</v>
      </c>
      <c r="T457" s="30">
        <v>47118.0</v>
      </c>
      <c r="U457" s="39">
        <v>0.0</v>
      </c>
      <c r="V457" s="39">
        <v>0.0</v>
      </c>
      <c r="W457" s="35" t="s">
        <v>7045</v>
      </c>
      <c r="X457" s="30">
        <v>47119.0</v>
      </c>
      <c r="Y457" s="30">
        <v>47483.0</v>
      </c>
      <c r="Z457" s="39">
        <v>0.0</v>
      </c>
      <c r="AA457" s="39">
        <v>0.0</v>
      </c>
      <c r="AB457" s="35" t="s">
        <v>7045</v>
      </c>
      <c r="AC457" s="30">
        <v>47484.0</v>
      </c>
      <c r="AD457" s="30">
        <v>47848.0</v>
      </c>
      <c r="AE457" s="39">
        <v>0.0</v>
      </c>
      <c r="AF457" s="39">
        <v>0.0</v>
      </c>
      <c r="AG457" s="35" t="s">
        <v>7045</v>
      </c>
      <c r="AH457" s="30">
        <v>45292.0</v>
      </c>
      <c r="AI457" s="30">
        <v>45657.0</v>
      </c>
      <c r="AJ457" s="39">
        <v>60.49</v>
      </c>
      <c r="AK457" s="39">
        <v>0.0</v>
      </c>
      <c r="AL457" s="38" t="s">
        <v>7047</v>
      </c>
      <c r="AM457" s="30">
        <v>44562.0</v>
      </c>
      <c r="AN457" s="30">
        <v>44926.0</v>
      </c>
      <c r="AO457" s="39">
        <v>70.7</v>
      </c>
      <c r="AP457" s="39">
        <v>0.0</v>
      </c>
      <c r="AQ457" s="38" t="s">
        <v>7047</v>
      </c>
      <c r="AR457" s="30">
        <v>44927.0</v>
      </c>
      <c r="AS457" s="30">
        <v>45291.0</v>
      </c>
      <c r="AT457" s="39">
        <v>47.13</v>
      </c>
      <c r="AU457" s="39">
        <v>0.0</v>
      </c>
      <c r="AV457" s="38" t="s">
        <v>7047</v>
      </c>
    </row>
    <row r="458" ht="14.25" customHeight="1">
      <c r="A458" s="28" t="s">
        <v>5562</v>
      </c>
      <c r="B458" s="29" t="s">
        <v>5563</v>
      </c>
      <c r="C458" s="29" t="s">
        <v>7041</v>
      </c>
      <c r="D458" s="30">
        <v>45658.0</v>
      </c>
      <c r="E458" s="30">
        <v>46022.0</v>
      </c>
      <c r="F458" s="39">
        <v>47.38</v>
      </c>
      <c r="G458" s="39">
        <v>351.3</v>
      </c>
      <c r="H458" s="32" t="s">
        <v>7043</v>
      </c>
      <c r="I458" s="30">
        <v>46023.0</v>
      </c>
      <c r="J458" s="30">
        <v>46387.0</v>
      </c>
      <c r="K458" s="39">
        <v>0.0</v>
      </c>
      <c r="L458" s="39">
        <v>0.0</v>
      </c>
      <c r="M458" s="35" t="s">
        <v>7045</v>
      </c>
      <c r="N458" s="30">
        <v>46388.0</v>
      </c>
      <c r="O458" s="30">
        <v>46752.0</v>
      </c>
      <c r="P458" s="39">
        <v>0.0</v>
      </c>
      <c r="Q458" s="39">
        <v>0.0</v>
      </c>
      <c r="R458" s="35" t="s">
        <v>7045</v>
      </c>
      <c r="S458" s="30">
        <v>46753.0</v>
      </c>
      <c r="T458" s="30">
        <v>47118.0</v>
      </c>
      <c r="U458" s="39">
        <v>0.0</v>
      </c>
      <c r="V458" s="39">
        <v>0.0</v>
      </c>
      <c r="W458" s="35" t="s">
        <v>7045</v>
      </c>
      <c r="X458" s="30">
        <v>47119.0</v>
      </c>
      <c r="Y458" s="30">
        <v>47483.0</v>
      </c>
      <c r="Z458" s="39">
        <v>0.0</v>
      </c>
      <c r="AA458" s="39">
        <v>0.0</v>
      </c>
      <c r="AB458" s="35" t="s">
        <v>7045</v>
      </c>
      <c r="AC458" s="30">
        <v>47484.0</v>
      </c>
      <c r="AD458" s="30">
        <v>47848.0</v>
      </c>
      <c r="AE458" s="39">
        <v>0.0</v>
      </c>
      <c r="AF458" s="39">
        <v>0.0</v>
      </c>
      <c r="AG458" s="35" t="s">
        <v>7045</v>
      </c>
      <c r="AH458" s="30">
        <v>45292.0</v>
      </c>
      <c r="AI458" s="30">
        <v>45657.0</v>
      </c>
      <c r="AJ458" s="39">
        <v>305.5</v>
      </c>
      <c r="AK458" s="39">
        <v>310.0</v>
      </c>
      <c r="AL458" s="37" t="s">
        <v>7046</v>
      </c>
      <c r="AM458" s="30">
        <v>44562.0</v>
      </c>
      <c r="AN458" s="30">
        <v>44926.0</v>
      </c>
      <c r="AO458" s="39">
        <v>274.5</v>
      </c>
      <c r="AP458" s="39">
        <v>0.0</v>
      </c>
      <c r="AQ458" s="38" t="s">
        <v>7047</v>
      </c>
      <c r="AR458" s="30">
        <v>44927.0</v>
      </c>
      <c r="AS458" s="30">
        <v>45291.0</v>
      </c>
      <c r="AT458" s="39">
        <v>309.72</v>
      </c>
      <c r="AU458" s="39">
        <v>322.0</v>
      </c>
      <c r="AV458" s="37" t="s">
        <v>7046</v>
      </c>
    </row>
    <row r="459" ht="14.25" customHeight="1">
      <c r="A459" s="28" t="s">
        <v>6137</v>
      </c>
      <c r="B459" s="29" t="s">
        <v>6138</v>
      </c>
      <c r="C459" s="29" t="s">
        <v>7041</v>
      </c>
      <c r="D459" s="30">
        <v>45658.0</v>
      </c>
      <c r="E459" s="30">
        <v>46022.0</v>
      </c>
      <c r="F459" s="39">
        <v>17.03</v>
      </c>
      <c r="G459" s="39">
        <v>0.0</v>
      </c>
      <c r="H459" s="38" t="s">
        <v>7047</v>
      </c>
      <c r="I459" s="30">
        <v>46023.0</v>
      </c>
      <c r="J459" s="30">
        <v>46387.0</v>
      </c>
      <c r="K459" s="39">
        <v>0.0</v>
      </c>
      <c r="L459" s="39">
        <v>0.0</v>
      </c>
      <c r="M459" s="35" t="s">
        <v>7045</v>
      </c>
      <c r="N459" s="30">
        <v>46388.0</v>
      </c>
      <c r="O459" s="30">
        <v>46752.0</v>
      </c>
      <c r="P459" s="39">
        <v>0.0</v>
      </c>
      <c r="Q459" s="39">
        <v>0.0</v>
      </c>
      <c r="R459" s="35" t="s">
        <v>7045</v>
      </c>
      <c r="S459" s="30">
        <v>46753.0</v>
      </c>
      <c r="T459" s="30">
        <v>47118.0</v>
      </c>
      <c r="U459" s="39">
        <v>0.0</v>
      </c>
      <c r="V459" s="39">
        <v>0.0</v>
      </c>
      <c r="W459" s="35" t="s">
        <v>7045</v>
      </c>
      <c r="X459" s="30">
        <v>47119.0</v>
      </c>
      <c r="Y459" s="30">
        <v>47483.0</v>
      </c>
      <c r="Z459" s="39">
        <v>0.0</v>
      </c>
      <c r="AA459" s="39">
        <v>0.0</v>
      </c>
      <c r="AB459" s="35" t="s">
        <v>7045</v>
      </c>
      <c r="AC459" s="30">
        <v>47484.0</v>
      </c>
      <c r="AD459" s="30">
        <v>47848.0</v>
      </c>
      <c r="AE459" s="39">
        <v>0.0</v>
      </c>
      <c r="AF459" s="39">
        <v>0.0</v>
      </c>
      <c r="AG459" s="35" t="s">
        <v>7045</v>
      </c>
      <c r="AH459" s="30">
        <v>45292.0</v>
      </c>
      <c r="AI459" s="30">
        <v>45657.0</v>
      </c>
      <c r="AJ459" s="39">
        <v>30.5</v>
      </c>
      <c r="AK459" s="39">
        <v>0.0</v>
      </c>
      <c r="AL459" s="38" t="s">
        <v>7047</v>
      </c>
      <c r="AM459" s="30">
        <v>44562.0</v>
      </c>
      <c r="AN459" s="30">
        <v>44926.0</v>
      </c>
      <c r="AO459" s="39">
        <v>0.0</v>
      </c>
      <c r="AP459" s="39">
        <v>0.0</v>
      </c>
      <c r="AQ459" s="35" t="s">
        <v>7045</v>
      </c>
      <c r="AR459" s="30">
        <v>44927.0</v>
      </c>
      <c r="AS459" s="30">
        <v>45291.0</v>
      </c>
      <c r="AT459" s="39">
        <v>0.0</v>
      </c>
      <c r="AU459" s="39">
        <v>0.0</v>
      </c>
      <c r="AV459" s="35" t="s">
        <v>7045</v>
      </c>
    </row>
    <row r="460" ht="14.25" customHeight="1">
      <c r="A460" s="28" t="s">
        <v>352</v>
      </c>
      <c r="B460" s="29" t="s">
        <v>353</v>
      </c>
      <c r="C460" s="29" t="s">
        <v>7041</v>
      </c>
      <c r="D460" s="30">
        <v>45658.0</v>
      </c>
      <c r="E460" s="30">
        <v>46022.0</v>
      </c>
      <c r="F460" s="36">
        <v>230.01</v>
      </c>
      <c r="G460" s="36">
        <v>999.99</v>
      </c>
      <c r="H460" s="32" t="s">
        <v>7043</v>
      </c>
      <c r="I460" s="30">
        <v>46023.0</v>
      </c>
      <c r="J460" s="30">
        <v>46387.0</v>
      </c>
      <c r="K460" s="36">
        <v>0.0</v>
      </c>
      <c r="L460" s="36">
        <v>0.0</v>
      </c>
      <c r="M460" s="35" t="s">
        <v>7045</v>
      </c>
      <c r="N460" s="30">
        <v>46388.0</v>
      </c>
      <c r="O460" s="30">
        <v>46752.0</v>
      </c>
      <c r="P460" s="36">
        <v>0.0</v>
      </c>
      <c r="Q460" s="36">
        <v>0.0</v>
      </c>
      <c r="R460" s="35" t="s">
        <v>7045</v>
      </c>
      <c r="S460" s="30">
        <v>46753.0</v>
      </c>
      <c r="T460" s="30">
        <v>47118.0</v>
      </c>
      <c r="U460" s="36">
        <v>0.0</v>
      </c>
      <c r="V460" s="36">
        <v>0.0</v>
      </c>
      <c r="W460" s="35" t="s">
        <v>7045</v>
      </c>
      <c r="X460" s="30">
        <v>47119.0</v>
      </c>
      <c r="Y460" s="30">
        <v>47483.0</v>
      </c>
      <c r="Z460" s="36">
        <v>0.0</v>
      </c>
      <c r="AA460" s="36">
        <v>0.0</v>
      </c>
      <c r="AB460" s="35" t="s">
        <v>7045</v>
      </c>
      <c r="AC460" s="30">
        <v>47484.0</v>
      </c>
      <c r="AD460" s="30">
        <v>47848.0</v>
      </c>
      <c r="AE460" s="36">
        <v>0.0</v>
      </c>
      <c r="AF460" s="36">
        <v>0.0</v>
      </c>
      <c r="AG460" s="35" t="s">
        <v>7045</v>
      </c>
      <c r="AH460" s="30">
        <v>45292.0</v>
      </c>
      <c r="AI460" s="30">
        <v>45657.0</v>
      </c>
      <c r="AJ460" s="36">
        <v>257.07</v>
      </c>
      <c r="AK460" s="36">
        <v>0.0</v>
      </c>
      <c r="AL460" s="38" t="s">
        <v>7047</v>
      </c>
      <c r="AM460" s="30">
        <v>44562.0</v>
      </c>
      <c r="AN460" s="30">
        <v>44926.0</v>
      </c>
      <c r="AO460" s="36">
        <v>15.1</v>
      </c>
      <c r="AP460" s="36">
        <v>999.99</v>
      </c>
      <c r="AQ460" s="32" t="s">
        <v>7043</v>
      </c>
      <c r="AR460" s="30">
        <v>44927.0</v>
      </c>
      <c r="AS460" s="30">
        <v>45291.0</v>
      </c>
      <c r="AT460" s="36">
        <v>67.02</v>
      </c>
      <c r="AU460" s="36">
        <v>0.0</v>
      </c>
      <c r="AV460" s="38" t="s">
        <v>7047</v>
      </c>
    </row>
    <row r="461" ht="14.25" customHeight="1">
      <c r="A461" s="28" t="s">
        <v>5120</v>
      </c>
      <c r="B461" s="29" t="s">
        <v>5121</v>
      </c>
      <c r="C461" s="29" t="s">
        <v>7041</v>
      </c>
      <c r="D461" s="30">
        <v>45658.0</v>
      </c>
      <c r="E461" s="30">
        <v>46022.0</v>
      </c>
      <c r="F461" s="39">
        <v>0.0</v>
      </c>
      <c r="G461" s="39">
        <v>0.0</v>
      </c>
      <c r="H461" s="35" t="s">
        <v>7045</v>
      </c>
      <c r="I461" s="30">
        <v>46023.0</v>
      </c>
      <c r="J461" s="30">
        <v>46387.0</v>
      </c>
      <c r="K461" s="39">
        <v>0.0</v>
      </c>
      <c r="L461" s="39">
        <v>0.0</v>
      </c>
      <c r="M461" s="35" t="s">
        <v>7045</v>
      </c>
      <c r="N461" s="30">
        <v>46388.0</v>
      </c>
      <c r="O461" s="30">
        <v>46752.0</v>
      </c>
      <c r="P461" s="39">
        <v>0.0</v>
      </c>
      <c r="Q461" s="39">
        <v>0.0</v>
      </c>
      <c r="R461" s="35" t="s">
        <v>7045</v>
      </c>
      <c r="S461" s="30">
        <v>46753.0</v>
      </c>
      <c r="T461" s="30">
        <v>47118.0</v>
      </c>
      <c r="U461" s="39">
        <v>0.0</v>
      </c>
      <c r="V461" s="39">
        <v>0.0</v>
      </c>
      <c r="W461" s="35" t="s">
        <v>7045</v>
      </c>
      <c r="X461" s="30">
        <v>47119.0</v>
      </c>
      <c r="Y461" s="30">
        <v>47483.0</v>
      </c>
      <c r="Z461" s="39">
        <v>0.0</v>
      </c>
      <c r="AA461" s="39">
        <v>0.0</v>
      </c>
      <c r="AB461" s="35" t="s">
        <v>7045</v>
      </c>
      <c r="AC461" s="30">
        <v>47484.0</v>
      </c>
      <c r="AD461" s="30">
        <v>47848.0</v>
      </c>
      <c r="AE461" s="39">
        <v>0.0</v>
      </c>
      <c r="AF461" s="39">
        <v>0.0</v>
      </c>
      <c r="AG461" s="35" t="s">
        <v>7045</v>
      </c>
      <c r="AH461" s="30">
        <v>45292.0</v>
      </c>
      <c r="AI461" s="30">
        <v>45657.0</v>
      </c>
      <c r="AJ461" s="39">
        <v>0.0</v>
      </c>
      <c r="AK461" s="39">
        <v>0.0</v>
      </c>
      <c r="AL461" s="35" t="s">
        <v>7045</v>
      </c>
      <c r="AM461" s="30">
        <v>44562.0</v>
      </c>
      <c r="AN461" s="30">
        <v>44926.0</v>
      </c>
      <c r="AO461" s="39">
        <v>0.0</v>
      </c>
      <c r="AP461" s="39">
        <v>0.0</v>
      </c>
      <c r="AQ461" s="35" t="s">
        <v>7045</v>
      </c>
      <c r="AR461" s="30">
        <v>44927.0</v>
      </c>
      <c r="AS461" s="30">
        <v>45291.0</v>
      </c>
      <c r="AT461" s="39">
        <v>7.43</v>
      </c>
      <c r="AU461" s="39">
        <v>205.0</v>
      </c>
      <c r="AV461" s="32" t="s">
        <v>7043</v>
      </c>
    </row>
    <row r="462" ht="14.25" customHeight="1">
      <c r="A462" s="28" t="s">
        <v>3873</v>
      </c>
      <c r="B462" s="29" t="s">
        <v>3874</v>
      </c>
      <c r="C462" s="29" t="s">
        <v>7041</v>
      </c>
      <c r="D462" s="30">
        <v>45658.0</v>
      </c>
      <c r="E462" s="30">
        <v>46022.0</v>
      </c>
      <c r="F462" s="36">
        <v>84.95</v>
      </c>
      <c r="G462" s="36">
        <v>385.0</v>
      </c>
      <c r="H462" s="32" t="s">
        <v>7043</v>
      </c>
      <c r="I462" s="30">
        <v>46023.0</v>
      </c>
      <c r="J462" s="30">
        <v>46387.0</v>
      </c>
      <c r="K462" s="36">
        <v>0.0</v>
      </c>
      <c r="L462" s="36">
        <v>0.0</v>
      </c>
      <c r="M462" s="35" t="s">
        <v>7045</v>
      </c>
      <c r="N462" s="30">
        <v>46388.0</v>
      </c>
      <c r="O462" s="30">
        <v>46752.0</v>
      </c>
      <c r="P462" s="36">
        <v>0.0</v>
      </c>
      <c r="Q462" s="36">
        <v>0.0</v>
      </c>
      <c r="R462" s="35" t="s">
        <v>7045</v>
      </c>
      <c r="S462" s="30">
        <v>46753.0</v>
      </c>
      <c r="T462" s="30">
        <v>47118.0</v>
      </c>
      <c r="U462" s="36">
        <v>0.0</v>
      </c>
      <c r="V462" s="36">
        <v>0.0</v>
      </c>
      <c r="W462" s="35" t="s">
        <v>7045</v>
      </c>
      <c r="X462" s="30">
        <v>47119.0</v>
      </c>
      <c r="Y462" s="30">
        <v>47483.0</v>
      </c>
      <c r="Z462" s="36">
        <v>0.0</v>
      </c>
      <c r="AA462" s="36">
        <v>0.0</v>
      </c>
      <c r="AB462" s="35" t="s">
        <v>7045</v>
      </c>
      <c r="AC462" s="30">
        <v>47484.0</v>
      </c>
      <c r="AD462" s="30">
        <v>47848.0</v>
      </c>
      <c r="AE462" s="36">
        <v>0.0</v>
      </c>
      <c r="AF462" s="36">
        <v>0.0</v>
      </c>
      <c r="AG462" s="35" t="s">
        <v>7045</v>
      </c>
      <c r="AH462" s="30">
        <v>45292.0</v>
      </c>
      <c r="AI462" s="30">
        <v>45657.0</v>
      </c>
      <c r="AJ462" s="36">
        <v>299.16</v>
      </c>
      <c r="AK462" s="36">
        <v>0.0</v>
      </c>
      <c r="AL462" s="38" t="s">
        <v>7047</v>
      </c>
      <c r="AM462" s="30">
        <v>44562.0</v>
      </c>
      <c r="AN462" s="30">
        <v>44926.0</v>
      </c>
      <c r="AO462" s="36">
        <v>216.2</v>
      </c>
      <c r="AP462" s="36">
        <v>1059990.78</v>
      </c>
      <c r="AQ462" s="32" t="s">
        <v>7043</v>
      </c>
      <c r="AR462" s="30">
        <v>44927.0</v>
      </c>
      <c r="AS462" s="30">
        <v>45291.0</v>
      </c>
      <c r="AT462" s="36">
        <v>399.92</v>
      </c>
      <c r="AU462" s="36">
        <v>0.0</v>
      </c>
      <c r="AV462" s="38" t="s">
        <v>7047</v>
      </c>
    </row>
    <row r="463" ht="14.25" customHeight="1">
      <c r="A463" s="28" t="s">
        <v>2383</v>
      </c>
      <c r="B463" s="29" t="s">
        <v>2384</v>
      </c>
      <c r="C463" s="29" t="s">
        <v>7041</v>
      </c>
      <c r="D463" s="30">
        <v>45658.0</v>
      </c>
      <c r="E463" s="30">
        <v>46022.0</v>
      </c>
      <c r="F463" s="36">
        <v>0.0</v>
      </c>
      <c r="G463" s="36">
        <v>749.99</v>
      </c>
      <c r="H463" s="32" t="s">
        <v>7043</v>
      </c>
      <c r="I463" s="30">
        <v>46023.0</v>
      </c>
      <c r="J463" s="30">
        <v>46387.0</v>
      </c>
      <c r="K463" s="36">
        <v>0.0</v>
      </c>
      <c r="L463" s="36">
        <v>0.0</v>
      </c>
      <c r="M463" s="35" t="s">
        <v>7045</v>
      </c>
      <c r="N463" s="30">
        <v>46388.0</v>
      </c>
      <c r="O463" s="30">
        <v>46752.0</v>
      </c>
      <c r="P463" s="36">
        <v>0.0</v>
      </c>
      <c r="Q463" s="36">
        <v>0.0</v>
      </c>
      <c r="R463" s="35" t="s">
        <v>7045</v>
      </c>
      <c r="S463" s="30">
        <v>46753.0</v>
      </c>
      <c r="T463" s="30">
        <v>47118.0</v>
      </c>
      <c r="U463" s="36">
        <v>0.0</v>
      </c>
      <c r="V463" s="36">
        <v>0.0</v>
      </c>
      <c r="W463" s="35" t="s">
        <v>7045</v>
      </c>
      <c r="X463" s="30">
        <v>47119.0</v>
      </c>
      <c r="Y463" s="30">
        <v>47483.0</v>
      </c>
      <c r="Z463" s="36">
        <v>0.0</v>
      </c>
      <c r="AA463" s="36">
        <v>0.0</v>
      </c>
      <c r="AB463" s="35" t="s">
        <v>7045</v>
      </c>
      <c r="AC463" s="30">
        <v>47484.0</v>
      </c>
      <c r="AD463" s="30">
        <v>47848.0</v>
      </c>
      <c r="AE463" s="36">
        <v>0.0</v>
      </c>
      <c r="AF463" s="36">
        <v>0.0</v>
      </c>
      <c r="AG463" s="35" t="s">
        <v>7045</v>
      </c>
      <c r="AH463" s="30">
        <v>45292.0</v>
      </c>
      <c r="AI463" s="30">
        <v>45657.0</v>
      </c>
      <c r="AJ463" s="36">
        <v>0.0</v>
      </c>
      <c r="AK463" s="36">
        <v>0.0</v>
      </c>
      <c r="AL463" s="35" t="s">
        <v>7045</v>
      </c>
      <c r="AM463" s="30">
        <v>44562.0</v>
      </c>
      <c r="AN463" s="30">
        <v>44926.0</v>
      </c>
      <c r="AO463" s="36">
        <v>0.0</v>
      </c>
      <c r="AP463" s="36">
        <v>0.0</v>
      </c>
      <c r="AQ463" s="35" t="s">
        <v>7045</v>
      </c>
      <c r="AR463" s="30">
        <v>44927.0</v>
      </c>
      <c r="AS463" s="30">
        <v>45291.0</v>
      </c>
      <c r="AT463" s="36">
        <v>0.0</v>
      </c>
      <c r="AU463" s="36">
        <v>0.0</v>
      </c>
      <c r="AV463" s="35" t="s">
        <v>7045</v>
      </c>
    </row>
    <row r="464" ht="14.25" customHeight="1">
      <c r="A464" s="28" t="s">
        <v>5170</v>
      </c>
      <c r="B464" s="29" t="s">
        <v>5171</v>
      </c>
      <c r="C464" s="29" t="s">
        <v>7041</v>
      </c>
      <c r="D464" s="30">
        <v>45658.0</v>
      </c>
      <c r="E464" s="30">
        <v>46022.0</v>
      </c>
      <c r="F464" s="39">
        <v>188.58</v>
      </c>
      <c r="G464" s="39">
        <v>1150.0</v>
      </c>
      <c r="H464" s="32" t="s">
        <v>7043</v>
      </c>
      <c r="I464" s="30">
        <v>46023.0</v>
      </c>
      <c r="J464" s="30">
        <v>46387.0</v>
      </c>
      <c r="K464" s="39">
        <v>0.0</v>
      </c>
      <c r="L464" s="39">
        <v>0.0</v>
      </c>
      <c r="M464" s="35" t="s">
        <v>7045</v>
      </c>
      <c r="N464" s="30">
        <v>46388.0</v>
      </c>
      <c r="O464" s="30">
        <v>46752.0</v>
      </c>
      <c r="P464" s="39">
        <v>0.0</v>
      </c>
      <c r="Q464" s="39">
        <v>0.0</v>
      </c>
      <c r="R464" s="35" t="s">
        <v>7045</v>
      </c>
      <c r="S464" s="30">
        <v>46753.0</v>
      </c>
      <c r="T464" s="30">
        <v>47118.0</v>
      </c>
      <c r="U464" s="39">
        <v>0.0</v>
      </c>
      <c r="V464" s="39">
        <v>0.0</v>
      </c>
      <c r="W464" s="35" t="s">
        <v>7045</v>
      </c>
      <c r="X464" s="30">
        <v>47119.0</v>
      </c>
      <c r="Y464" s="30">
        <v>47483.0</v>
      </c>
      <c r="Z464" s="39">
        <v>0.0</v>
      </c>
      <c r="AA464" s="39">
        <v>0.0</v>
      </c>
      <c r="AB464" s="35" t="s">
        <v>7045</v>
      </c>
      <c r="AC464" s="30">
        <v>47484.0</v>
      </c>
      <c r="AD464" s="30">
        <v>47848.0</v>
      </c>
      <c r="AE464" s="39">
        <v>0.0</v>
      </c>
      <c r="AF464" s="39">
        <v>0.0</v>
      </c>
      <c r="AG464" s="35" t="s">
        <v>7045</v>
      </c>
      <c r="AH464" s="30">
        <v>45292.0</v>
      </c>
      <c r="AI464" s="30">
        <v>45657.0</v>
      </c>
      <c r="AJ464" s="39">
        <v>16.15</v>
      </c>
      <c r="AK464" s="39">
        <v>0.0</v>
      </c>
      <c r="AL464" s="38" t="s">
        <v>7047</v>
      </c>
      <c r="AM464" s="30">
        <v>44562.0</v>
      </c>
      <c r="AN464" s="30">
        <v>44926.0</v>
      </c>
      <c r="AO464" s="39">
        <v>0.0</v>
      </c>
      <c r="AP464" s="39">
        <v>0.0</v>
      </c>
      <c r="AQ464" s="35" t="s">
        <v>7045</v>
      </c>
      <c r="AR464" s="30">
        <v>44927.0</v>
      </c>
      <c r="AS464" s="30">
        <v>45291.0</v>
      </c>
      <c r="AT464" s="39">
        <v>0.0</v>
      </c>
      <c r="AU464" s="39">
        <v>0.0</v>
      </c>
      <c r="AV464" s="35" t="s">
        <v>7045</v>
      </c>
    </row>
    <row r="465" ht="14.25" customHeight="1">
      <c r="A465" s="28" t="s">
        <v>799</v>
      </c>
      <c r="B465" s="29" t="s">
        <v>800</v>
      </c>
      <c r="C465" s="29" t="s">
        <v>7041</v>
      </c>
      <c r="D465" s="30">
        <v>45658.0</v>
      </c>
      <c r="E465" s="30">
        <v>46022.0</v>
      </c>
      <c r="F465" s="36">
        <v>23.85</v>
      </c>
      <c r="G465" s="36">
        <v>0.0</v>
      </c>
      <c r="H465" s="38" t="s">
        <v>7047</v>
      </c>
      <c r="I465" s="30">
        <v>46023.0</v>
      </c>
      <c r="J465" s="30">
        <v>46387.0</v>
      </c>
      <c r="K465" s="36">
        <v>0.0</v>
      </c>
      <c r="L465" s="36">
        <v>0.0</v>
      </c>
      <c r="M465" s="35" t="s">
        <v>7045</v>
      </c>
      <c r="N465" s="30">
        <v>46388.0</v>
      </c>
      <c r="O465" s="30">
        <v>46752.0</v>
      </c>
      <c r="P465" s="36">
        <v>0.0</v>
      </c>
      <c r="Q465" s="36">
        <v>0.0</v>
      </c>
      <c r="R465" s="35" t="s">
        <v>7045</v>
      </c>
      <c r="S465" s="30">
        <v>46753.0</v>
      </c>
      <c r="T465" s="30">
        <v>47118.0</v>
      </c>
      <c r="U465" s="36">
        <v>0.0</v>
      </c>
      <c r="V465" s="36">
        <v>0.0</v>
      </c>
      <c r="W465" s="35" t="s">
        <v>7045</v>
      </c>
      <c r="X465" s="30">
        <v>47119.0</v>
      </c>
      <c r="Y465" s="30">
        <v>47483.0</v>
      </c>
      <c r="Z465" s="36">
        <v>0.0</v>
      </c>
      <c r="AA465" s="36">
        <v>0.0</v>
      </c>
      <c r="AB465" s="35" t="s">
        <v>7045</v>
      </c>
      <c r="AC465" s="30">
        <v>47484.0</v>
      </c>
      <c r="AD465" s="30">
        <v>47848.0</v>
      </c>
      <c r="AE465" s="36">
        <v>0.0</v>
      </c>
      <c r="AF465" s="36">
        <v>0.0</v>
      </c>
      <c r="AG465" s="35" t="s">
        <v>7045</v>
      </c>
      <c r="AH465" s="30">
        <v>45292.0</v>
      </c>
      <c r="AI465" s="30">
        <v>45657.0</v>
      </c>
      <c r="AJ465" s="36">
        <v>38.53</v>
      </c>
      <c r="AK465" s="36">
        <v>999.99</v>
      </c>
      <c r="AL465" s="32" t="s">
        <v>7043</v>
      </c>
      <c r="AM465" s="30">
        <v>44562.0</v>
      </c>
      <c r="AN465" s="30">
        <v>44926.0</v>
      </c>
      <c r="AO465" s="36">
        <v>4516.16</v>
      </c>
      <c r="AP465" s="36">
        <v>0.0</v>
      </c>
      <c r="AQ465" s="38" t="s">
        <v>7047</v>
      </c>
      <c r="AR465" s="30">
        <v>44927.0</v>
      </c>
      <c r="AS465" s="30">
        <v>45291.0</v>
      </c>
      <c r="AT465" s="36">
        <v>81.53</v>
      </c>
      <c r="AU465" s="36">
        <v>0.0</v>
      </c>
      <c r="AV465" s="38" t="s">
        <v>7047</v>
      </c>
    </row>
    <row r="466" ht="14.25" customHeight="1">
      <c r="A466" s="28" t="s">
        <v>1732</v>
      </c>
      <c r="B466" s="29" t="s">
        <v>1733</v>
      </c>
      <c r="C466" s="29" t="s">
        <v>7041</v>
      </c>
      <c r="D466" s="30">
        <v>45658.0</v>
      </c>
      <c r="E466" s="30">
        <v>46022.0</v>
      </c>
      <c r="F466" s="39">
        <v>19.78</v>
      </c>
      <c r="G466" s="39">
        <v>0.0</v>
      </c>
      <c r="H466" s="38" t="s">
        <v>7047</v>
      </c>
      <c r="I466" s="30">
        <v>46023.0</v>
      </c>
      <c r="J466" s="30">
        <v>46387.0</v>
      </c>
      <c r="K466" s="39">
        <v>0.0</v>
      </c>
      <c r="L466" s="39">
        <v>0.0</v>
      </c>
      <c r="M466" s="35" t="s">
        <v>7045</v>
      </c>
      <c r="N466" s="30">
        <v>46388.0</v>
      </c>
      <c r="O466" s="30">
        <v>46752.0</v>
      </c>
      <c r="P466" s="39">
        <v>0.0</v>
      </c>
      <c r="Q466" s="39">
        <v>0.0</v>
      </c>
      <c r="R466" s="35" t="s">
        <v>7045</v>
      </c>
      <c r="S466" s="30">
        <v>46753.0</v>
      </c>
      <c r="T466" s="30">
        <v>47118.0</v>
      </c>
      <c r="U466" s="39">
        <v>0.0</v>
      </c>
      <c r="V466" s="39">
        <v>0.0</v>
      </c>
      <c r="W466" s="35" t="s">
        <v>7045</v>
      </c>
      <c r="X466" s="30">
        <v>47119.0</v>
      </c>
      <c r="Y466" s="30">
        <v>47483.0</v>
      </c>
      <c r="Z466" s="39">
        <v>0.0</v>
      </c>
      <c r="AA466" s="39">
        <v>0.0</v>
      </c>
      <c r="AB466" s="35" t="s">
        <v>7045</v>
      </c>
      <c r="AC466" s="30">
        <v>47484.0</v>
      </c>
      <c r="AD466" s="30">
        <v>47848.0</v>
      </c>
      <c r="AE466" s="39">
        <v>0.0</v>
      </c>
      <c r="AF466" s="39">
        <v>0.0</v>
      </c>
      <c r="AG466" s="35" t="s">
        <v>7045</v>
      </c>
      <c r="AH466" s="30">
        <v>45292.0</v>
      </c>
      <c r="AI466" s="30">
        <v>45657.0</v>
      </c>
      <c r="AJ466" s="39">
        <v>82.63</v>
      </c>
      <c r="AK466" s="39">
        <v>1200.0</v>
      </c>
      <c r="AL466" s="32" t="s">
        <v>7043</v>
      </c>
      <c r="AM466" s="30">
        <v>44562.0</v>
      </c>
      <c r="AN466" s="30">
        <v>44926.0</v>
      </c>
      <c r="AO466" s="39">
        <v>1426.9</v>
      </c>
      <c r="AP466" s="39">
        <v>800000.0</v>
      </c>
      <c r="AQ466" s="32" t="s">
        <v>7043</v>
      </c>
      <c r="AR466" s="30">
        <v>44927.0</v>
      </c>
      <c r="AS466" s="30">
        <v>45291.0</v>
      </c>
      <c r="AT466" s="39">
        <v>575.48</v>
      </c>
      <c r="AU466" s="39">
        <v>0.0</v>
      </c>
      <c r="AV466" s="38" t="s">
        <v>7047</v>
      </c>
    </row>
    <row r="467" ht="14.25" customHeight="1">
      <c r="A467" s="28" t="s">
        <v>6399</v>
      </c>
      <c r="B467" s="29" t="s">
        <v>6400</v>
      </c>
      <c r="C467" s="29" t="s">
        <v>7041</v>
      </c>
      <c r="D467" s="30">
        <v>45658.0</v>
      </c>
      <c r="E467" s="30">
        <v>46022.0</v>
      </c>
      <c r="F467" s="36">
        <v>7.83</v>
      </c>
      <c r="G467" s="36">
        <v>0.0</v>
      </c>
      <c r="H467" s="35" t="s">
        <v>7047</v>
      </c>
      <c r="I467" s="30">
        <v>46023.0</v>
      </c>
      <c r="J467" s="30">
        <v>46387.0</v>
      </c>
      <c r="K467" s="36">
        <v>0.0</v>
      </c>
      <c r="L467" s="36">
        <v>0.0</v>
      </c>
      <c r="M467" s="35" t="s">
        <v>7045</v>
      </c>
      <c r="N467" s="30">
        <v>46388.0</v>
      </c>
      <c r="O467" s="30">
        <v>46752.0</v>
      </c>
      <c r="P467" s="36">
        <v>0.0</v>
      </c>
      <c r="Q467" s="36">
        <v>0.0</v>
      </c>
      <c r="R467" s="35" t="s">
        <v>7045</v>
      </c>
      <c r="S467" s="30">
        <v>46753.0</v>
      </c>
      <c r="T467" s="30">
        <v>47118.0</v>
      </c>
      <c r="U467" s="36">
        <v>0.0</v>
      </c>
      <c r="V467" s="36">
        <v>0.0</v>
      </c>
      <c r="W467" s="35" t="s">
        <v>7045</v>
      </c>
      <c r="X467" s="30">
        <v>47119.0</v>
      </c>
      <c r="Y467" s="30">
        <v>47483.0</v>
      </c>
      <c r="Z467" s="36">
        <v>0.0</v>
      </c>
      <c r="AA467" s="36">
        <v>0.0</v>
      </c>
      <c r="AB467" s="35" t="s">
        <v>7045</v>
      </c>
      <c r="AC467" s="30">
        <v>47484.0</v>
      </c>
      <c r="AD467" s="30">
        <v>47848.0</v>
      </c>
      <c r="AE467" s="36">
        <v>0.0</v>
      </c>
      <c r="AF467" s="36">
        <v>0.0</v>
      </c>
      <c r="AG467" s="35" t="s">
        <v>7045</v>
      </c>
      <c r="AH467" s="30">
        <v>45292.0</v>
      </c>
      <c r="AI467" s="30">
        <v>45657.0</v>
      </c>
      <c r="AJ467" s="36">
        <v>115.12</v>
      </c>
      <c r="AK467" s="36">
        <v>1986.98</v>
      </c>
      <c r="AL467" s="32" t="s">
        <v>7043</v>
      </c>
      <c r="AM467" s="30">
        <v>44562.0</v>
      </c>
      <c r="AN467" s="30">
        <v>44926.0</v>
      </c>
      <c r="AO467" s="36">
        <v>327.7</v>
      </c>
      <c r="AP467" s="36">
        <v>480.4</v>
      </c>
      <c r="AQ467" s="37" t="s">
        <v>7046</v>
      </c>
      <c r="AR467" s="30">
        <v>44927.0</v>
      </c>
      <c r="AS467" s="30">
        <v>45291.0</v>
      </c>
      <c r="AT467" s="36">
        <v>121.27</v>
      </c>
      <c r="AU467" s="36">
        <v>1065.59</v>
      </c>
      <c r="AV467" s="32" t="s">
        <v>7043</v>
      </c>
    </row>
    <row r="468" ht="14.25" customHeight="1">
      <c r="A468" s="28" t="s">
        <v>6162</v>
      </c>
      <c r="B468" s="29" t="s">
        <v>6163</v>
      </c>
      <c r="C468" s="29" t="s">
        <v>7041</v>
      </c>
      <c r="D468" s="30">
        <v>45658.0</v>
      </c>
      <c r="E468" s="30">
        <v>46022.0</v>
      </c>
      <c r="F468" s="36">
        <v>625.95</v>
      </c>
      <c r="G468" s="36">
        <v>1499.99</v>
      </c>
      <c r="H468" s="37" t="s">
        <v>7046</v>
      </c>
      <c r="I468" s="30">
        <v>46023.0</v>
      </c>
      <c r="J468" s="30">
        <v>46387.0</v>
      </c>
      <c r="K468" s="36">
        <v>0.0</v>
      </c>
      <c r="L468" s="36">
        <v>0.0</v>
      </c>
      <c r="M468" s="35" t="s">
        <v>7045</v>
      </c>
      <c r="N468" s="30">
        <v>46388.0</v>
      </c>
      <c r="O468" s="30">
        <v>46752.0</v>
      </c>
      <c r="P468" s="36">
        <v>0.0</v>
      </c>
      <c r="Q468" s="36">
        <v>0.0</v>
      </c>
      <c r="R468" s="35" t="s">
        <v>7045</v>
      </c>
      <c r="S468" s="30">
        <v>46753.0</v>
      </c>
      <c r="T468" s="30">
        <v>47118.0</v>
      </c>
      <c r="U468" s="36">
        <v>0.0</v>
      </c>
      <c r="V468" s="36">
        <v>0.0</v>
      </c>
      <c r="W468" s="35" t="s">
        <v>7045</v>
      </c>
      <c r="X468" s="30">
        <v>47119.0</v>
      </c>
      <c r="Y468" s="30">
        <v>47483.0</v>
      </c>
      <c r="Z468" s="36">
        <v>0.0</v>
      </c>
      <c r="AA468" s="36">
        <v>0.0</v>
      </c>
      <c r="AB468" s="35" t="s">
        <v>7045</v>
      </c>
      <c r="AC468" s="30">
        <v>47484.0</v>
      </c>
      <c r="AD468" s="30">
        <v>47848.0</v>
      </c>
      <c r="AE468" s="36">
        <v>0.0</v>
      </c>
      <c r="AF468" s="36">
        <v>0.0</v>
      </c>
      <c r="AG468" s="35" t="s">
        <v>7045</v>
      </c>
      <c r="AH468" s="30">
        <v>45292.0</v>
      </c>
      <c r="AI468" s="30">
        <v>45657.0</v>
      </c>
      <c r="AJ468" s="36">
        <v>1025.81</v>
      </c>
      <c r="AK468" s="36">
        <v>999.99</v>
      </c>
      <c r="AL468" s="38" t="s">
        <v>7047</v>
      </c>
      <c r="AM468" s="30">
        <v>44562.0</v>
      </c>
      <c r="AN468" s="30">
        <v>44926.0</v>
      </c>
      <c r="AO468" s="36">
        <v>1610.19</v>
      </c>
      <c r="AP468" s="36">
        <v>0.0</v>
      </c>
      <c r="AQ468" s="38" t="s">
        <v>7047</v>
      </c>
      <c r="AR468" s="30">
        <v>44927.0</v>
      </c>
      <c r="AS468" s="30">
        <v>45291.0</v>
      </c>
      <c r="AT468" s="36">
        <v>954.53</v>
      </c>
      <c r="AU468" s="36">
        <v>1649.99</v>
      </c>
      <c r="AV468" s="37" t="s">
        <v>7046</v>
      </c>
    </row>
    <row r="469" ht="14.25" customHeight="1">
      <c r="A469" s="28" t="s">
        <v>6415</v>
      </c>
      <c r="B469" s="29" t="s">
        <v>6416</v>
      </c>
      <c r="C469" s="29" t="s">
        <v>7041</v>
      </c>
      <c r="D469" s="30">
        <v>45658.0</v>
      </c>
      <c r="E469" s="30">
        <v>46022.0</v>
      </c>
      <c r="F469" s="36">
        <v>0.0</v>
      </c>
      <c r="G469" s="36">
        <v>0.0</v>
      </c>
      <c r="H469" s="35" t="s">
        <v>7045</v>
      </c>
      <c r="I469" s="30">
        <v>46023.0</v>
      </c>
      <c r="J469" s="30">
        <v>46387.0</v>
      </c>
      <c r="K469" s="36">
        <v>0.0</v>
      </c>
      <c r="L469" s="36">
        <v>0.0</v>
      </c>
      <c r="M469" s="35" t="s">
        <v>7045</v>
      </c>
      <c r="N469" s="30">
        <v>46388.0</v>
      </c>
      <c r="O469" s="30">
        <v>46752.0</v>
      </c>
      <c r="P469" s="36">
        <v>0.0</v>
      </c>
      <c r="Q469" s="36">
        <v>0.0</v>
      </c>
      <c r="R469" s="35" t="s">
        <v>7045</v>
      </c>
      <c r="S469" s="30">
        <v>46753.0</v>
      </c>
      <c r="T469" s="30">
        <v>47118.0</v>
      </c>
      <c r="U469" s="36">
        <v>0.0</v>
      </c>
      <c r="V469" s="36">
        <v>0.0</v>
      </c>
      <c r="W469" s="35" t="s">
        <v>7045</v>
      </c>
      <c r="X469" s="30">
        <v>47119.0</v>
      </c>
      <c r="Y469" s="30">
        <v>47483.0</v>
      </c>
      <c r="Z469" s="36">
        <v>0.0</v>
      </c>
      <c r="AA469" s="36">
        <v>0.0</v>
      </c>
      <c r="AB469" s="35" t="s">
        <v>7045</v>
      </c>
      <c r="AC469" s="30">
        <v>47484.0</v>
      </c>
      <c r="AD469" s="30">
        <v>47848.0</v>
      </c>
      <c r="AE469" s="36">
        <v>0.0</v>
      </c>
      <c r="AF469" s="36">
        <v>0.0</v>
      </c>
      <c r="AG469" s="35" t="s">
        <v>7045</v>
      </c>
      <c r="AH469" s="30">
        <v>45292.0</v>
      </c>
      <c r="AI469" s="30">
        <v>45657.0</v>
      </c>
      <c r="AJ469" s="36">
        <v>0.0</v>
      </c>
      <c r="AK469" s="36">
        <v>0.0</v>
      </c>
      <c r="AL469" s="35" t="s">
        <v>7045</v>
      </c>
      <c r="AM469" s="30">
        <v>44562.0</v>
      </c>
      <c r="AN469" s="30">
        <v>44926.0</v>
      </c>
      <c r="AO469" s="36">
        <v>0.0</v>
      </c>
      <c r="AP469" s="36">
        <v>0.0</v>
      </c>
      <c r="AQ469" s="35" t="s">
        <v>7045</v>
      </c>
      <c r="AR469" s="30">
        <v>44927.0</v>
      </c>
      <c r="AS469" s="30">
        <v>45291.0</v>
      </c>
      <c r="AT469" s="36">
        <v>0.0</v>
      </c>
      <c r="AU469" s="36">
        <v>0.0</v>
      </c>
      <c r="AV469" s="35" t="s">
        <v>7045</v>
      </c>
    </row>
    <row r="470" ht="14.25" customHeight="1">
      <c r="A470" s="28" t="s">
        <v>4432</v>
      </c>
      <c r="B470" s="29" t="s">
        <v>4433</v>
      </c>
      <c r="C470" s="29" t="s">
        <v>7041</v>
      </c>
      <c r="D470" s="30">
        <v>45658.0</v>
      </c>
      <c r="E470" s="30">
        <v>46022.0</v>
      </c>
      <c r="F470" s="36">
        <v>0.0</v>
      </c>
      <c r="G470" s="36">
        <v>240.0</v>
      </c>
      <c r="H470" s="32" t="s">
        <v>7043</v>
      </c>
      <c r="I470" s="30">
        <v>46023.0</v>
      </c>
      <c r="J470" s="30">
        <v>46387.0</v>
      </c>
      <c r="K470" s="36">
        <v>0.0</v>
      </c>
      <c r="L470" s="36">
        <v>0.0</v>
      </c>
      <c r="M470" s="35" t="s">
        <v>7045</v>
      </c>
      <c r="N470" s="30">
        <v>46388.0</v>
      </c>
      <c r="O470" s="30">
        <v>46752.0</v>
      </c>
      <c r="P470" s="36">
        <v>0.0</v>
      </c>
      <c r="Q470" s="36">
        <v>0.0</v>
      </c>
      <c r="R470" s="35" t="s">
        <v>7045</v>
      </c>
      <c r="S470" s="30">
        <v>46753.0</v>
      </c>
      <c r="T470" s="30">
        <v>47118.0</v>
      </c>
      <c r="U470" s="36">
        <v>0.0</v>
      </c>
      <c r="V470" s="36">
        <v>0.0</v>
      </c>
      <c r="W470" s="35" t="s">
        <v>7045</v>
      </c>
      <c r="X470" s="30">
        <v>47119.0</v>
      </c>
      <c r="Y470" s="30">
        <v>47483.0</v>
      </c>
      <c r="Z470" s="36">
        <v>0.0</v>
      </c>
      <c r="AA470" s="36">
        <v>0.0</v>
      </c>
      <c r="AB470" s="35" t="s">
        <v>7045</v>
      </c>
      <c r="AC470" s="30">
        <v>47484.0</v>
      </c>
      <c r="AD470" s="30">
        <v>47848.0</v>
      </c>
      <c r="AE470" s="36">
        <v>0.0</v>
      </c>
      <c r="AF470" s="36">
        <v>0.0</v>
      </c>
      <c r="AG470" s="35" t="s">
        <v>7045</v>
      </c>
      <c r="AH470" s="30">
        <v>45292.0</v>
      </c>
      <c r="AI470" s="30">
        <v>45657.0</v>
      </c>
      <c r="AJ470" s="36">
        <v>0.0</v>
      </c>
      <c r="AK470" s="36">
        <v>0.0</v>
      </c>
      <c r="AL470" s="35" t="s">
        <v>7045</v>
      </c>
      <c r="AM470" s="30">
        <v>44562.0</v>
      </c>
      <c r="AN470" s="30">
        <v>44926.0</v>
      </c>
      <c r="AO470" s="36">
        <v>0.0</v>
      </c>
      <c r="AP470" s="36">
        <v>0.0</v>
      </c>
      <c r="AQ470" s="35" t="s">
        <v>7045</v>
      </c>
      <c r="AR470" s="30">
        <v>44927.0</v>
      </c>
      <c r="AS470" s="30">
        <v>45291.0</v>
      </c>
      <c r="AT470" s="36">
        <v>0.0</v>
      </c>
      <c r="AU470" s="36">
        <v>0.0</v>
      </c>
      <c r="AV470" s="35" t="s">
        <v>7045</v>
      </c>
    </row>
    <row r="471" ht="14.25" customHeight="1">
      <c r="A471" s="28" t="s">
        <v>2344</v>
      </c>
      <c r="B471" s="29" t="s">
        <v>2345</v>
      </c>
      <c r="C471" s="29" t="s">
        <v>7041</v>
      </c>
      <c r="D471" s="30">
        <v>45658.0</v>
      </c>
      <c r="E471" s="30">
        <v>46022.0</v>
      </c>
      <c r="F471" s="36">
        <v>0.0</v>
      </c>
      <c r="G471" s="36">
        <v>350.0</v>
      </c>
      <c r="H471" s="32" t="s">
        <v>7043</v>
      </c>
      <c r="I471" s="30">
        <v>46023.0</v>
      </c>
      <c r="J471" s="30">
        <v>46387.0</v>
      </c>
      <c r="K471" s="36">
        <v>0.0</v>
      </c>
      <c r="L471" s="36">
        <v>0.0</v>
      </c>
      <c r="M471" s="35" t="s">
        <v>7045</v>
      </c>
      <c r="N471" s="30">
        <v>46388.0</v>
      </c>
      <c r="O471" s="30">
        <v>46752.0</v>
      </c>
      <c r="P471" s="36">
        <v>0.0</v>
      </c>
      <c r="Q471" s="36">
        <v>0.0</v>
      </c>
      <c r="R471" s="35" t="s">
        <v>7045</v>
      </c>
      <c r="S471" s="30">
        <v>46753.0</v>
      </c>
      <c r="T471" s="30">
        <v>47118.0</v>
      </c>
      <c r="U471" s="36">
        <v>0.0</v>
      </c>
      <c r="V471" s="36">
        <v>0.0</v>
      </c>
      <c r="W471" s="35" t="s">
        <v>7045</v>
      </c>
      <c r="X471" s="30">
        <v>47119.0</v>
      </c>
      <c r="Y471" s="30">
        <v>47483.0</v>
      </c>
      <c r="Z471" s="36">
        <v>0.0</v>
      </c>
      <c r="AA471" s="36">
        <v>0.0</v>
      </c>
      <c r="AB471" s="35" t="s">
        <v>7045</v>
      </c>
      <c r="AC471" s="30">
        <v>47484.0</v>
      </c>
      <c r="AD471" s="30">
        <v>47848.0</v>
      </c>
      <c r="AE471" s="36">
        <v>0.0</v>
      </c>
      <c r="AF471" s="36">
        <v>0.0</v>
      </c>
      <c r="AG471" s="35" t="s">
        <v>7045</v>
      </c>
      <c r="AH471" s="30">
        <v>45292.0</v>
      </c>
      <c r="AI471" s="30">
        <v>45657.0</v>
      </c>
      <c r="AJ471" s="36">
        <v>0.0</v>
      </c>
      <c r="AK471" s="36">
        <v>0.0</v>
      </c>
      <c r="AL471" s="35" t="s">
        <v>7045</v>
      </c>
      <c r="AM471" s="30">
        <v>44562.0</v>
      </c>
      <c r="AN471" s="30">
        <v>44926.0</v>
      </c>
      <c r="AO471" s="36">
        <v>0.0</v>
      </c>
      <c r="AP471" s="36">
        <v>0.0</v>
      </c>
      <c r="AQ471" s="35" t="s">
        <v>7045</v>
      </c>
      <c r="AR471" s="30">
        <v>44927.0</v>
      </c>
      <c r="AS471" s="30">
        <v>45291.0</v>
      </c>
      <c r="AT471" s="36">
        <v>0.0</v>
      </c>
      <c r="AU471" s="36">
        <v>0.0</v>
      </c>
      <c r="AV471" s="35" t="s">
        <v>7045</v>
      </c>
    </row>
    <row r="472" ht="14.25" customHeight="1">
      <c r="A472" s="28" t="s">
        <v>6931</v>
      </c>
      <c r="B472" s="29" t="s">
        <v>6932</v>
      </c>
      <c r="C472" s="29" t="s">
        <v>7041</v>
      </c>
      <c r="D472" s="30">
        <v>45658.0</v>
      </c>
      <c r="E472" s="30">
        <v>46022.0</v>
      </c>
      <c r="F472" s="39">
        <v>30.94</v>
      </c>
      <c r="G472" s="39">
        <v>200.1</v>
      </c>
      <c r="H472" s="32" t="s">
        <v>7043</v>
      </c>
      <c r="I472" s="30">
        <v>46023.0</v>
      </c>
      <c r="J472" s="30">
        <v>46387.0</v>
      </c>
      <c r="K472" s="39">
        <v>0.0</v>
      </c>
      <c r="L472" s="39">
        <v>0.0</v>
      </c>
      <c r="M472" s="35" t="s">
        <v>7045</v>
      </c>
      <c r="N472" s="30">
        <v>46388.0</v>
      </c>
      <c r="O472" s="30">
        <v>46752.0</v>
      </c>
      <c r="P472" s="39">
        <v>0.0</v>
      </c>
      <c r="Q472" s="39">
        <v>0.0</v>
      </c>
      <c r="R472" s="35" t="s">
        <v>7045</v>
      </c>
      <c r="S472" s="30">
        <v>46753.0</v>
      </c>
      <c r="T472" s="30">
        <v>47118.0</v>
      </c>
      <c r="U472" s="39">
        <v>0.0</v>
      </c>
      <c r="V472" s="39">
        <v>0.0</v>
      </c>
      <c r="W472" s="35" t="s">
        <v>7045</v>
      </c>
      <c r="X472" s="30">
        <v>47119.0</v>
      </c>
      <c r="Y472" s="30">
        <v>47483.0</v>
      </c>
      <c r="Z472" s="39">
        <v>0.0</v>
      </c>
      <c r="AA472" s="39">
        <v>0.0</v>
      </c>
      <c r="AB472" s="35" t="s">
        <v>7045</v>
      </c>
      <c r="AC472" s="30">
        <v>47484.0</v>
      </c>
      <c r="AD472" s="30">
        <v>47848.0</v>
      </c>
      <c r="AE472" s="39">
        <v>0.0</v>
      </c>
      <c r="AF472" s="39">
        <v>0.0</v>
      </c>
      <c r="AG472" s="35" t="s">
        <v>7045</v>
      </c>
      <c r="AH472" s="30">
        <v>45292.0</v>
      </c>
      <c r="AI472" s="30">
        <v>45657.0</v>
      </c>
      <c r="AJ472" s="39">
        <v>142.82</v>
      </c>
      <c r="AK472" s="39">
        <v>0.0</v>
      </c>
      <c r="AL472" s="38" t="s">
        <v>7047</v>
      </c>
      <c r="AM472" s="30">
        <v>44562.0</v>
      </c>
      <c r="AN472" s="30">
        <v>44926.0</v>
      </c>
      <c r="AO472" s="39">
        <v>217.0</v>
      </c>
      <c r="AP472" s="39">
        <v>200.0</v>
      </c>
      <c r="AQ472" s="38" t="s">
        <v>7047</v>
      </c>
      <c r="AR472" s="30">
        <v>44927.0</v>
      </c>
      <c r="AS472" s="30">
        <v>45291.0</v>
      </c>
      <c r="AT472" s="39">
        <v>114.71</v>
      </c>
      <c r="AU472" s="39">
        <v>285.0</v>
      </c>
      <c r="AV472" s="32" t="s">
        <v>7043</v>
      </c>
    </row>
    <row r="473" ht="14.25" customHeight="1">
      <c r="A473" s="28" t="s">
        <v>1735</v>
      </c>
      <c r="B473" s="29" t="s">
        <v>1736</v>
      </c>
      <c r="C473" s="29" t="s">
        <v>7041</v>
      </c>
      <c r="D473" s="30">
        <v>45658.0</v>
      </c>
      <c r="E473" s="30">
        <v>46022.0</v>
      </c>
      <c r="F473" s="39">
        <v>167.96</v>
      </c>
      <c r="G473" s="39">
        <v>1043.0</v>
      </c>
      <c r="H473" s="32" t="s">
        <v>7043</v>
      </c>
      <c r="I473" s="30">
        <v>46023.0</v>
      </c>
      <c r="J473" s="30">
        <v>46387.0</v>
      </c>
      <c r="K473" s="39">
        <v>0.0</v>
      </c>
      <c r="L473" s="39">
        <v>0.0</v>
      </c>
      <c r="M473" s="35" t="s">
        <v>7045</v>
      </c>
      <c r="N473" s="30">
        <v>46388.0</v>
      </c>
      <c r="O473" s="30">
        <v>46752.0</v>
      </c>
      <c r="P473" s="39">
        <v>0.0</v>
      </c>
      <c r="Q473" s="39">
        <v>0.0</v>
      </c>
      <c r="R473" s="35" t="s">
        <v>7045</v>
      </c>
      <c r="S473" s="30">
        <v>46753.0</v>
      </c>
      <c r="T473" s="30">
        <v>47118.0</v>
      </c>
      <c r="U473" s="39">
        <v>0.0</v>
      </c>
      <c r="V473" s="39">
        <v>0.0</v>
      </c>
      <c r="W473" s="35" t="s">
        <v>7045</v>
      </c>
      <c r="X473" s="30">
        <v>47119.0</v>
      </c>
      <c r="Y473" s="30">
        <v>47483.0</v>
      </c>
      <c r="Z473" s="39">
        <v>0.0</v>
      </c>
      <c r="AA473" s="39">
        <v>0.0</v>
      </c>
      <c r="AB473" s="35" t="s">
        <v>7045</v>
      </c>
      <c r="AC473" s="30">
        <v>47484.0</v>
      </c>
      <c r="AD473" s="30">
        <v>47848.0</v>
      </c>
      <c r="AE473" s="39">
        <v>0.0</v>
      </c>
      <c r="AF473" s="39">
        <v>0.0</v>
      </c>
      <c r="AG473" s="35" t="s">
        <v>7045</v>
      </c>
      <c r="AH473" s="30">
        <v>45292.0</v>
      </c>
      <c r="AI473" s="30">
        <v>45657.0</v>
      </c>
      <c r="AJ473" s="39">
        <v>29.23</v>
      </c>
      <c r="AK473" s="39">
        <v>1196.0</v>
      </c>
      <c r="AL473" s="32" t="s">
        <v>7043</v>
      </c>
      <c r="AM473" s="30">
        <v>44562.0</v>
      </c>
      <c r="AN473" s="30">
        <v>44926.0</v>
      </c>
      <c r="AO473" s="39">
        <v>467.2</v>
      </c>
      <c r="AP473" s="39">
        <v>1008.0</v>
      </c>
      <c r="AQ473" s="32" t="s">
        <v>7043</v>
      </c>
      <c r="AR473" s="30">
        <v>44927.0</v>
      </c>
      <c r="AS473" s="30">
        <v>45291.0</v>
      </c>
      <c r="AT473" s="39">
        <v>1478.37</v>
      </c>
      <c r="AU473" s="39">
        <v>1005.0</v>
      </c>
      <c r="AV473" s="38" t="s">
        <v>7047</v>
      </c>
    </row>
    <row r="474" ht="14.25" customHeight="1">
      <c r="A474" s="28" t="s">
        <v>4038</v>
      </c>
      <c r="B474" s="29" t="s">
        <v>4039</v>
      </c>
      <c r="C474" s="29" t="s">
        <v>7041</v>
      </c>
      <c r="D474" s="30">
        <v>45658.0</v>
      </c>
      <c r="E474" s="30">
        <v>46022.0</v>
      </c>
      <c r="F474" s="36">
        <v>351.08</v>
      </c>
      <c r="G474" s="36">
        <v>599.99</v>
      </c>
      <c r="H474" s="38" t="s">
        <v>7047</v>
      </c>
      <c r="I474" s="30">
        <v>46023.0</v>
      </c>
      <c r="J474" s="30">
        <v>46387.0</v>
      </c>
      <c r="K474" s="36">
        <v>0.0</v>
      </c>
      <c r="L474" s="36">
        <v>0.0</v>
      </c>
      <c r="M474" s="35" t="s">
        <v>7045</v>
      </c>
      <c r="N474" s="30">
        <v>46388.0</v>
      </c>
      <c r="O474" s="30">
        <v>46752.0</v>
      </c>
      <c r="P474" s="36">
        <v>0.0</v>
      </c>
      <c r="Q474" s="36">
        <v>0.0</v>
      </c>
      <c r="R474" s="35" t="s">
        <v>7045</v>
      </c>
      <c r="S474" s="30">
        <v>46753.0</v>
      </c>
      <c r="T474" s="30">
        <v>47118.0</v>
      </c>
      <c r="U474" s="36">
        <v>0.0</v>
      </c>
      <c r="V474" s="36">
        <v>0.0</v>
      </c>
      <c r="W474" s="35" t="s">
        <v>7045</v>
      </c>
      <c r="X474" s="30">
        <v>47119.0</v>
      </c>
      <c r="Y474" s="30">
        <v>47483.0</v>
      </c>
      <c r="Z474" s="36">
        <v>0.0</v>
      </c>
      <c r="AA474" s="36">
        <v>0.0</v>
      </c>
      <c r="AB474" s="35" t="s">
        <v>7045</v>
      </c>
      <c r="AC474" s="30">
        <v>47484.0</v>
      </c>
      <c r="AD474" s="30">
        <v>47848.0</v>
      </c>
      <c r="AE474" s="36">
        <v>0.0</v>
      </c>
      <c r="AF474" s="36">
        <v>0.0</v>
      </c>
      <c r="AG474" s="35" t="s">
        <v>7045</v>
      </c>
      <c r="AH474" s="30">
        <v>45292.0</v>
      </c>
      <c r="AI474" s="30">
        <v>45657.0</v>
      </c>
      <c r="AJ474" s="36">
        <v>619.28</v>
      </c>
      <c r="AK474" s="36">
        <v>0.0</v>
      </c>
      <c r="AL474" s="38" t="s">
        <v>7047</v>
      </c>
      <c r="AM474" s="30">
        <v>44562.0</v>
      </c>
      <c r="AN474" s="30">
        <v>44926.0</v>
      </c>
      <c r="AO474" s="36">
        <v>0.0</v>
      </c>
      <c r="AP474" s="36">
        <v>0.0</v>
      </c>
      <c r="AQ474" s="35" t="s">
        <v>7045</v>
      </c>
      <c r="AR474" s="30">
        <v>44927.0</v>
      </c>
      <c r="AS474" s="30">
        <v>45291.0</v>
      </c>
      <c r="AT474" s="36">
        <v>58.07</v>
      </c>
      <c r="AU474" s="36">
        <v>0.0</v>
      </c>
      <c r="AV474" s="38" t="s">
        <v>7047</v>
      </c>
    </row>
    <row r="475" ht="14.25" customHeight="1">
      <c r="A475" s="28" t="s">
        <v>5049</v>
      </c>
      <c r="B475" s="29" t="s">
        <v>5050</v>
      </c>
      <c r="C475" s="29" t="s">
        <v>7041</v>
      </c>
      <c r="D475" s="30">
        <v>45658.0</v>
      </c>
      <c r="E475" s="30">
        <v>46022.0</v>
      </c>
      <c r="F475" s="39">
        <v>483.66</v>
      </c>
      <c r="G475" s="39">
        <v>520.0</v>
      </c>
      <c r="H475" s="38" t="s">
        <v>7047</v>
      </c>
      <c r="I475" s="30">
        <v>46023.0</v>
      </c>
      <c r="J475" s="30">
        <v>46387.0</v>
      </c>
      <c r="K475" s="39">
        <v>0.0</v>
      </c>
      <c r="L475" s="39">
        <v>0.0</v>
      </c>
      <c r="M475" s="35" t="s">
        <v>7045</v>
      </c>
      <c r="N475" s="30">
        <v>46388.0</v>
      </c>
      <c r="O475" s="30">
        <v>46752.0</v>
      </c>
      <c r="P475" s="39">
        <v>0.0</v>
      </c>
      <c r="Q475" s="39">
        <v>0.0</v>
      </c>
      <c r="R475" s="35" t="s">
        <v>7045</v>
      </c>
      <c r="S475" s="30">
        <v>46753.0</v>
      </c>
      <c r="T475" s="30">
        <v>47118.0</v>
      </c>
      <c r="U475" s="39">
        <v>0.0</v>
      </c>
      <c r="V475" s="39">
        <v>0.0</v>
      </c>
      <c r="W475" s="35" t="s">
        <v>7045</v>
      </c>
      <c r="X475" s="30">
        <v>47119.0</v>
      </c>
      <c r="Y475" s="30">
        <v>47483.0</v>
      </c>
      <c r="Z475" s="39">
        <v>0.0</v>
      </c>
      <c r="AA475" s="39">
        <v>0.0</v>
      </c>
      <c r="AB475" s="35" t="s">
        <v>7045</v>
      </c>
      <c r="AC475" s="30">
        <v>47484.0</v>
      </c>
      <c r="AD475" s="30">
        <v>47848.0</v>
      </c>
      <c r="AE475" s="39">
        <v>0.0</v>
      </c>
      <c r="AF475" s="39">
        <v>0.0</v>
      </c>
      <c r="AG475" s="35" t="s">
        <v>7045</v>
      </c>
      <c r="AH475" s="30">
        <v>45292.0</v>
      </c>
      <c r="AI475" s="30">
        <v>45657.0</v>
      </c>
      <c r="AJ475" s="39">
        <v>25.95</v>
      </c>
      <c r="AK475" s="39">
        <v>0.0</v>
      </c>
      <c r="AL475" s="38" t="s">
        <v>7047</v>
      </c>
      <c r="AM475" s="30">
        <v>44562.0</v>
      </c>
      <c r="AN475" s="30">
        <v>44926.0</v>
      </c>
      <c r="AO475" s="39">
        <v>0.0</v>
      </c>
      <c r="AP475" s="39">
        <v>0.0</v>
      </c>
      <c r="AQ475" s="35" t="s">
        <v>7045</v>
      </c>
      <c r="AR475" s="30">
        <v>44927.0</v>
      </c>
      <c r="AS475" s="30">
        <v>45291.0</v>
      </c>
      <c r="AT475" s="39">
        <v>303.78</v>
      </c>
      <c r="AU475" s="39">
        <v>0.0</v>
      </c>
      <c r="AV475" s="38" t="s">
        <v>7047</v>
      </c>
    </row>
    <row r="476" ht="14.25" customHeight="1">
      <c r="A476" s="28" t="s">
        <v>6172</v>
      </c>
      <c r="B476" s="29" t="s">
        <v>6173</v>
      </c>
      <c r="C476" s="29" t="s">
        <v>7041</v>
      </c>
      <c r="D476" s="30">
        <v>45658.0</v>
      </c>
      <c r="E476" s="30">
        <v>46022.0</v>
      </c>
      <c r="F476" s="39">
        <v>18.41</v>
      </c>
      <c r="G476" s="39">
        <v>500.0</v>
      </c>
      <c r="H476" s="32" t="s">
        <v>7043</v>
      </c>
      <c r="I476" s="30">
        <v>46023.0</v>
      </c>
      <c r="J476" s="30">
        <v>46387.0</v>
      </c>
      <c r="K476" s="39">
        <v>0.0</v>
      </c>
      <c r="L476" s="39">
        <v>0.0</v>
      </c>
      <c r="M476" s="35" t="s">
        <v>7045</v>
      </c>
      <c r="N476" s="30">
        <v>46388.0</v>
      </c>
      <c r="O476" s="30">
        <v>46752.0</v>
      </c>
      <c r="P476" s="39">
        <v>0.0</v>
      </c>
      <c r="Q476" s="39">
        <v>0.0</v>
      </c>
      <c r="R476" s="35" t="s">
        <v>7045</v>
      </c>
      <c r="S476" s="30">
        <v>46753.0</v>
      </c>
      <c r="T476" s="30">
        <v>47118.0</v>
      </c>
      <c r="U476" s="39">
        <v>0.0</v>
      </c>
      <c r="V476" s="39">
        <v>0.0</v>
      </c>
      <c r="W476" s="35" t="s">
        <v>7045</v>
      </c>
      <c r="X476" s="30">
        <v>47119.0</v>
      </c>
      <c r="Y476" s="30">
        <v>47483.0</v>
      </c>
      <c r="Z476" s="39">
        <v>0.0</v>
      </c>
      <c r="AA476" s="39">
        <v>0.0</v>
      </c>
      <c r="AB476" s="35" t="s">
        <v>7045</v>
      </c>
      <c r="AC476" s="30">
        <v>47484.0</v>
      </c>
      <c r="AD476" s="30">
        <v>47848.0</v>
      </c>
      <c r="AE476" s="39">
        <v>0.0</v>
      </c>
      <c r="AF476" s="39">
        <v>0.0</v>
      </c>
      <c r="AG476" s="35" t="s">
        <v>7045</v>
      </c>
      <c r="AH476" s="30">
        <v>45292.0</v>
      </c>
      <c r="AI476" s="30">
        <v>45657.0</v>
      </c>
      <c r="AJ476" s="40" t="s">
        <v>7049</v>
      </c>
      <c r="AK476" s="39">
        <v>450.0</v>
      </c>
      <c r="AL476" s="32" t="s">
        <v>7043</v>
      </c>
      <c r="AM476" s="30">
        <v>44562.0</v>
      </c>
      <c r="AN476" s="30">
        <v>44926.0</v>
      </c>
      <c r="AO476" s="39">
        <v>19.1</v>
      </c>
      <c r="AP476" s="39">
        <v>0.0</v>
      </c>
      <c r="AQ476" s="38" t="s">
        <v>7047</v>
      </c>
      <c r="AR476" s="30">
        <v>44927.0</v>
      </c>
      <c r="AS476" s="30">
        <v>45291.0</v>
      </c>
      <c r="AT476" s="39">
        <v>111.2</v>
      </c>
      <c r="AU476" s="39">
        <v>0.0</v>
      </c>
      <c r="AV476" s="38" t="s">
        <v>7047</v>
      </c>
    </row>
    <row r="477" ht="14.25" customHeight="1">
      <c r="A477" s="28" t="s">
        <v>5947</v>
      </c>
      <c r="B477" s="29" t="s">
        <v>5948</v>
      </c>
      <c r="C477" s="29" t="s">
        <v>7041</v>
      </c>
      <c r="D477" s="30">
        <v>45658.0</v>
      </c>
      <c r="E477" s="30">
        <v>46022.0</v>
      </c>
      <c r="F477" s="36">
        <v>134.22</v>
      </c>
      <c r="G477" s="36">
        <v>277.9</v>
      </c>
      <c r="H477" s="32" t="s">
        <v>7046</v>
      </c>
      <c r="I477" s="30">
        <v>46023.0</v>
      </c>
      <c r="J477" s="30">
        <v>46387.0</v>
      </c>
      <c r="K477" s="36">
        <v>0.0</v>
      </c>
      <c r="L477" s="36">
        <v>0.0</v>
      </c>
      <c r="M477" s="35" t="s">
        <v>7045</v>
      </c>
      <c r="N477" s="30">
        <v>46388.0</v>
      </c>
      <c r="O477" s="30">
        <v>46752.0</v>
      </c>
      <c r="P477" s="36">
        <v>0.0</v>
      </c>
      <c r="Q477" s="36">
        <v>0.0</v>
      </c>
      <c r="R477" s="35" t="s">
        <v>7045</v>
      </c>
      <c r="S477" s="30">
        <v>46753.0</v>
      </c>
      <c r="T477" s="30">
        <v>47118.0</v>
      </c>
      <c r="U477" s="36">
        <v>0.0</v>
      </c>
      <c r="V477" s="36">
        <v>0.0</v>
      </c>
      <c r="W477" s="35" t="s">
        <v>7045</v>
      </c>
      <c r="X477" s="30">
        <v>47119.0</v>
      </c>
      <c r="Y477" s="30">
        <v>47483.0</v>
      </c>
      <c r="Z477" s="36">
        <v>0.0</v>
      </c>
      <c r="AA477" s="36">
        <v>0.0</v>
      </c>
      <c r="AB477" s="35" t="s">
        <v>7045</v>
      </c>
      <c r="AC477" s="30">
        <v>47484.0</v>
      </c>
      <c r="AD477" s="30">
        <v>47848.0</v>
      </c>
      <c r="AE477" s="36">
        <v>0.0</v>
      </c>
      <c r="AF477" s="36">
        <v>0.0</v>
      </c>
      <c r="AG477" s="35" t="s">
        <v>7045</v>
      </c>
      <c r="AH477" s="30">
        <v>45292.0</v>
      </c>
      <c r="AI477" s="30">
        <v>45657.0</v>
      </c>
      <c r="AJ477" s="36">
        <v>210.57</v>
      </c>
      <c r="AK477" s="36">
        <v>315.0</v>
      </c>
      <c r="AL477" s="37" t="s">
        <v>7046</v>
      </c>
      <c r="AM477" s="30">
        <v>44562.0</v>
      </c>
      <c r="AN477" s="30">
        <v>44926.0</v>
      </c>
      <c r="AO477" s="36">
        <v>205.9</v>
      </c>
      <c r="AP477" s="36">
        <v>0.0</v>
      </c>
      <c r="AQ477" s="38" t="s">
        <v>7047</v>
      </c>
      <c r="AR477" s="30">
        <v>44927.0</v>
      </c>
      <c r="AS477" s="30">
        <v>45291.0</v>
      </c>
      <c r="AT477" s="36">
        <v>392.35</v>
      </c>
      <c r="AU477" s="36">
        <v>0.0</v>
      </c>
      <c r="AV477" s="38" t="s">
        <v>7047</v>
      </c>
    </row>
    <row r="478" ht="14.25" customHeight="1">
      <c r="A478" s="28" t="s">
        <v>2833</v>
      </c>
      <c r="B478" s="29" t="s">
        <v>2834</v>
      </c>
      <c r="C478" s="29" t="s">
        <v>7041</v>
      </c>
      <c r="D478" s="30">
        <v>45658.0</v>
      </c>
      <c r="E478" s="30">
        <v>46022.0</v>
      </c>
      <c r="F478" s="39">
        <v>7.08</v>
      </c>
      <c r="G478" s="39">
        <v>200.0</v>
      </c>
      <c r="H478" s="32" t="s">
        <v>7043</v>
      </c>
      <c r="I478" s="30">
        <v>46023.0</v>
      </c>
      <c r="J478" s="30">
        <v>46387.0</v>
      </c>
      <c r="K478" s="39">
        <v>0.0</v>
      </c>
      <c r="L478" s="39">
        <v>0.0</v>
      </c>
      <c r="M478" s="35" t="s">
        <v>7045</v>
      </c>
      <c r="N478" s="30">
        <v>46388.0</v>
      </c>
      <c r="O478" s="30">
        <v>46752.0</v>
      </c>
      <c r="P478" s="39">
        <v>0.0</v>
      </c>
      <c r="Q478" s="39">
        <v>0.0</v>
      </c>
      <c r="R478" s="35" t="s">
        <v>7045</v>
      </c>
      <c r="S478" s="30">
        <v>46753.0</v>
      </c>
      <c r="T478" s="30">
        <v>47118.0</v>
      </c>
      <c r="U478" s="39">
        <v>0.0</v>
      </c>
      <c r="V478" s="39">
        <v>0.0</v>
      </c>
      <c r="W478" s="35" t="s">
        <v>7045</v>
      </c>
      <c r="X478" s="30">
        <v>47119.0</v>
      </c>
      <c r="Y478" s="30">
        <v>47483.0</v>
      </c>
      <c r="Z478" s="39">
        <v>0.0</v>
      </c>
      <c r="AA478" s="39">
        <v>0.0</v>
      </c>
      <c r="AB478" s="35" t="s">
        <v>7045</v>
      </c>
      <c r="AC478" s="30">
        <v>47484.0</v>
      </c>
      <c r="AD478" s="30">
        <v>47848.0</v>
      </c>
      <c r="AE478" s="39">
        <v>0.0</v>
      </c>
      <c r="AF478" s="39">
        <v>0.0</v>
      </c>
      <c r="AG478" s="35" t="s">
        <v>7045</v>
      </c>
      <c r="AH478" s="30">
        <v>45292.0</v>
      </c>
      <c r="AI478" s="30">
        <v>45657.0</v>
      </c>
      <c r="AJ478" s="39">
        <v>40.2</v>
      </c>
      <c r="AK478" s="39">
        <v>230.0</v>
      </c>
      <c r="AL478" s="32" t="s">
        <v>7043</v>
      </c>
      <c r="AM478" s="30">
        <v>44562.0</v>
      </c>
      <c r="AN478" s="30">
        <v>44926.0</v>
      </c>
      <c r="AO478" s="39">
        <v>0.0</v>
      </c>
      <c r="AP478" s="39">
        <v>0.0</v>
      </c>
      <c r="AQ478" s="35" t="s">
        <v>7045</v>
      </c>
      <c r="AR478" s="30">
        <v>44927.0</v>
      </c>
      <c r="AS478" s="30">
        <v>45291.0</v>
      </c>
      <c r="AT478" s="39">
        <v>18.29</v>
      </c>
      <c r="AU478" s="39">
        <v>0.0</v>
      </c>
      <c r="AV478" s="38" t="s">
        <v>7047</v>
      </c>
    </row>
    <row r="479" ht="14.25" customHeight="1">
      <c r="A479" s="28" t="s">
        <v>551</v>
      </c>
      <c r="B479" s="29" t="s">
        <v>552</v>
      </c>
      <c r="C479" s="29" t="s">
        <v>7041</v>
      </c>
      <c r="D479" s="30">
        <v>45658.0</v>
      </c>
      <c r="E479" s="30">
        <v>46022.0</v>
      </c>
      <c r="F479" s="36">
        <v>0.0</v>
      </c>
      <c r="G479" s="36">
        <v>2399.98</v>
      </c>
      <c r="H479" s="32" t="s">
        <v>7043</v>
      </c>
      <c r="I479" s="30">
        <v>46023.0</v>
      </c>
      <c r="J479" s="30">
        <v>46387.0</v>
      </c>
      <c r="K479" s="36">
        <v>0.0</v>
      </c>
      <c r="L479" s="36">
        <v>0.0</v>
      </c>
      <c r="M479" s="35" t="s">
        <v>7045</v>
      </c>
      <c r="N479" s="30">
        <v>46388.0</v>
      </c>
      <c r="O479" s="30">
        <v>46752.0</v>
      </c>
      <c r="P479" s="36">
        <v>0.0</v>
      </c>
      <c r="Q479" s="36">
        <v>0.0</v>
      </c>
      <c r="R479" s="35" t="s">
        <v>7045</v>
      </c>
      <c r="S479" s="30">
        <v>46753.0</v>
      </c>
      <c r="T479" s="30">
        <v>47118.0</v>
      </c>
      <c r="U479" s="36">
        <v>0.0</v>
      </c>
      <c r="V479" s="36">
        <v>0.0</v>
      </c>
      <c r="W479" s="35" t="s">
        <v>7045</v>
      </c>
      <c r="X479" s="30">
        <v>47119.0</v>
      </c>
      <c r="Y479" s="30">
        <v>47483.0</v>
      </c>
      <c r="Z479" s="36">
        <v>0.0</v>
      </c>
      <c r="AA479" s="36">
        <v>0.0</v>
      </c>
      <c r="AB479" s="35" t="s">
        <v>7045</v>
      </c>
      <c r="AC479" s="30">
        <v>47484.0</v>
      </c>
      <c r="AD479" s="30">
        <v>47848.0</v>
      </c>
      <c r="AE479" s="36">
        <v>0.0</v>
      </c>
      <c r="AF479" s="36">
        <v>0.0</v>
      </c>
      <c r="AG479" s="35" t="s">
        <v>7045</v>
      </c>
      <c r="AH479" s="30">
        <v>45292.0</v>
      </c>
      <c r="AI479" s="30">
        <v>45657.0</v>
      </c>
      <c r="AJ479" s="36">
        <v>0.0</v>
      </c>
      <c r="AK479" s="36">
        <v>0.0</v>
      </c>
      <c r="AL479" s="35" t="s">
        <v>7045</v>
      </c>
      <c r="AM479" s="30">
        <v>44562.0</v>
      </c>
      <c r="AN479" s="30">
        <v>44926.0</v>
      </c>
      <c r="AO479" s="36">
        <v>0.0</v>
      </c>
      <c r="AP479" s="36">
        <v>0.0</v>
      </c>
      <c r="AQ479" s="35" t="s">
        <v>7045</v>
      </c>
      <c r="AR479" s="30">
        <v>44927.0</v>
      </c>
      <c r="AS479" s="30">
        <v>45291.0</v>
      </c>
      <c r="AT479" s="36">
        <v>0.0</v>
      </c>
      <c r="AU479" s="36">
        <v>0.0</v>
      </c>
      <c r="AV479" s="35" t="s">
        <v>7045</v>
      </c>
    </row>
    <row r="480" ht="14.25" customHeight="1">
      <c r="A480" s="28" t="s">
        <v>132</v>
      </c>
      <c r="B480" s="29" t="s">
        <v>133</v>
      </c>
      <c r="C480" s="29" t="s">
        <v>7041</v>
      </c>
      <c r="D480" s="30">
        <v>45658.0</v>
      </c>
      <c r="E480" s="30">
        <v>46022.0</v>
      </c>
      <c r="F480" s="36">
        <v>0.0</v>
      </c>
      <c r="G480" s="36">
        <v>500.0</v>
      </c>
      <c r="H480" s="32" t="s">
        <v>7043</v>
      </c>
      <c r="I480" s="30">
        <v>46023.0</v>
      </c>
      <c r="J480" s="30">
        <v>46387.0</v>
      </c>
      <c r="K480" s="36">
        <v>0.0</v>
      </c>
      <c r="L480" s="36">
        <v>0.0</v>
      </c>
      <c r="M480" s="35" t="s">
        <v>7045</v>
      </c>
      <c r="N480" s="30">
        <v>46388.0</v>
      </c>
      <c r="O480" s="30">
        <v>46752.0</v>
      </c>
      <c r="P480" s="36">
        <v>0.0</v>
      </c>
      <c r="Q480" s="36">
        <v>0.0</v>
      </c>
      <c r="R480" s="35" t="s">
        <v>7045</v>
      </c>
      <c r="S480" s="30">
        <v>46753.0</v>
      </c>
      <c r="T480" s="30">
        <v>47118.0</v>
      </c>
      <c r="U480" s="36">
        <v>0.0</v>
      </c>
      <c r="V480" s="36">
        <v>0.0</v>
      </c>
      <c r="W480" s="35" t="s">
        <v>7045</v>
      </c>
      <c r="X480" s="30">
        <v>47119.0</v>
      </c>
      <c r="Y480" s="30">
        <v>47483.0</v>
      </c>
      <c r="Z480" s="36">
        <v>0.0</v>
      </c>
      <c r="AA480" s="36">
        <v>0.0</v>
      </c>
      <c r="AB480" s="35" t="s">
        <v>7045</v>
      </c>
      <c r="AC480" s="30">
        <v>47484.0</v>
      </c>
      <c r="AD480" s="30">
        <v>47848.0</v>
      </c>
      <c r="AE480" s="36">
        <v>0.0</v>
      </c>
      <c r="AF480" s="36">
        <v>0.0</v>
      </c>
      <c r="AG480" s="35" t="s">
        <v>7045</v>
      </c>
      <c r="AH480" s="30">
        <v>45292.0</v>
      </c>
      <c r="AI480" s="30">
        <v>45657.0</v>
      </c>
      <c r="AJ480" s="36">
        <v>0.0</v>
      </c>
      <c r="AK480" s="36">
        <v>0.0</v>
      </c>
      <c r="AL480" s="35" t="s">
        <v>7045</v>
      </c>
      <c r="AM480" s="30">
        <v>44562.0</v>
      </c>
      <c r="AN480" s="30">
        <v>44926.0</v>
      </c>
      <c r="AO480" s="36">
        <v>0.0</v>
      </c>
      <c r="AP480" s="36">
        <v>0.0</v>
      </c>
      <c r="AQ480" s="35" t="s">
        <v>7045</v>
      </c>
      <c r="AR480" s="30">
        <v>44927.0</v>
      </c>
      <c r="AS480" s="30">
        <v>45291.0</v>
      </c>
      <c r="AT480" s="36">
        <v>0.0</v>
      </c>
      <c r="AU480" s="36">
        <v>0.0</v>
      </c>
      <c r="AV480" s="35" t="s">
        <v>7045</v>
      </c>
    </row>
    <row r="481" ht="14.25" customHeight="1">
      <c r="A481" s="28" t="s">
        <v>5124</v>
      </c>
      <c r="B481" s="29" t="s">
        <v>5125</v>
      </c>
      <c r="C481" s="29" t="s">
        <v>7041</v>
      </c>
      <c r="D481" s="30">
        <v>45658.0</v>
      </c>
      <c r="E481" s="30">
        <v>46022.0</v>
      </c>
      <c r="F481" s="39">
        <v>92.34</v>
      </c>
      <c r="G481" s="39">
        <v>166.0</v>
      </c>
      <c r="H481" s="37" t="s">
        <v>7047</v>
      </c>
      <c r="I481" s="30">
        <v>46023.0</v>
      </c>
      <c r="J481" s="30">
        <v>46387.0</v>
      </c>
      <c r="K481" s="39">
        <v>0.0</v>
      </c>
      <c r="L481" s="39">
        <v>0.0</v>
      </c>
      <c r="M481" s="35" t="s">
        <v>7045</v>
      </c>
      <c r="N481" s="30">
        <v>46388.0</v>
      </c>
      <c r="O481" s="30">
        <v>46752.0</v>
      </c>
      <c r="P481" s="39">
        <v>0.0</v>
      </c>
      <c r="Q481" s="39">
        <v>0.0</v>
      </c>
      <c r="R481" s="35" t="s">
        <v>7045</v>
      </c>
      <c r="S481" s="30">
        <v>46753.0</v>
      </c>
      <c r="T481" s="30">
        <v>47118.0</v>
      </c>
      <c r="U481" s="39">
        <v>0.0</v>
      </c>
      <c r="V481" s="39">
        <v>0.0</v>
      </c>
      <c r="W481" s="35" t="s">
        <v>7045</v>
      </c>
      <c r="X481" s="30">
        <v>47119.0</v>
      </c>
      <c r="Y481" s="30">
        <v>47483.0</v>
      </c>
      <c r="Z481" s="39">
        <v>0.0</v>
      </c>
      <c r="AA481" s="39">
        <v>0.0</v>
      </c>
      <c r="AB481" s="35" t="s">
        <v>7045</v>
      </c>
      <c r="AC481" s="30">
        <v>47484.0</v>
      </c>
      <c r="AD481" s="30">
        <v>47848.0</v>
      </c>
      <c r="AE481" s="39">
        <v>0.0</v>
      </c>
      <c r="AF481" s="39">
        <v>0.0</v>
      </c>
      <c r="AG481" s="35" t="s">
        <v>7045</v>
      </c>
      <c r="AH481" s="30">
        <v>45292.0</v>
      </c>
      <c r="AI481" s="30">
        <v>45657.0</v>
      </c>
      <c r="AJ481" s="39">
        <v>1.05</v>
      </c>
      <c r="AK481" s="39">
        <v>0.0</v>
      </c>
      <c r="AL481" s="38" t="s">
        <v>7047</v>
      </c>
      <c r="AM481" s="30">
        <v>44562.0</v>
      </c>
      <c r="AN481" s="30">
        <v>44926.0</v>
      </c>
      <c r="AO481" s="39">
        <v>0.0</v>
      </c>
      <c r="AP481" s="39">
        <v>0.0</v>
      </c>
      <c r="AQ481" s="35" t="s">
        <v>7045</v>
      </c>
      <c r="AR481" s="30">
        <v>44927.0</v>
      </c>
      <c r="AS481" s="30">
        <v>45291.0</v>
      </c>
      <c r="AT481" s="39">
        <v>0.0</v>
      </c>
      <c r="AU481" s="39">
        <v>0.0</v>
      </c>
      <c r="AV481" s="35" t="s">
        <v>7045</v>
      </c>
    </row>
    <row r="482" ht="14.25" customHeight="1">
      <c r="A482" s="28" t="s">
        <v>4988</v>
      </c>
      <c r="B482" s="29" t="s">
        <v>4989</v>
      </c>
      <c r="C482" s="29" t="s">
        <v>7041</v>
      </c>
      <c r="D482" s="30">
        <v>45658.0</v>
      </c>
      <c r="E482" s="30">
        <v>46022.0</v>
      </c>
      <c r="F482" s="39">
        <v>306.57</v>
      </c>
      <c r="G482" s="39">
        <v>531.0</v>
      </c>
      <c r="H482" s="38" t="s">
        <v>7047</v>
      </c>
      <c r="I482" s="30">
        <v>46023.0</v>
      </c>
      <c r="J482" s="30">
        <v>46387.0</v>
      </c>
      <c r="K482" s="39">
        <v>0.0</v>
      </c>
      <c r="L482" s="39">
        <v>0.0</v>
      </c>
      <c r="M482" s="35" t="s">
        <v>7045</v>
      </c>
      <c r="N482" s="30">
        <v>46388.0</v>
      </c>
      <c r="O482" s="30">
        <v>46752.0</v>
      </c>
      <c r="P482" s="39">
        <v>0.0</v>
      </c>
      <c r="Q482" s="39">
        <v>0.0</v>
      </c>
      <c r="R482" s="35" t="s">
        <v>7045</v>
      </c>
      <c r="S482" s="30">
        <v>46753.0</v>
      </c>
      <c r="T482" s="30">
        <v>47118.0</v>
      </c>
      <c r="U482" s="39">
        <v>0.0</v>
      </c>
      <c r="V482" s="39">
        <v>0.0</v>
      </c>
      <c r="W482" s="35" t="s">
        <v>7045</v>
      </c>
      <c r="X482" s="30">
        <v>47119.0</v>
      </c>
      <c r="Y482" s="30">
        <v>47483.0</v>
      </c>
      <c r="Z482" s="39">
        <v>0.0</v>
      </c>
      <c r="AA482" s="39">
        <v>0.0</v>
      </c>
      <c r="AB482" s="35" t="s">
        <v>7045</v>
      </c>
      <c r="AC482" s="30">
        <v>47484.0</v>
      </c>
      <c r="AD482" s="30">
        <v>47848.0</v>
      </c>
      <c r="AE482" s="39">
        <v>0.0</v>
      </c>
      <c r="AF482" s="39">
        <v>0.0</v>
      </c>
      <c r="AG482" s="35" t="s">
        <v>7045</v>
      </c>
      <c r="AH482" s="30">
        <v>45292.0</v>
      </c>
      <c r="AI482" s="30">
        <v>45657.0</v>
      </c>
      <c r="AJ482" s="39">
        <v>335.96</v>
      </c>
      <c r="AK482" s="39">
        <v>0.0</v>
      </c>
      <c r="AL482" s="38" t="s">
        <v>7047</v>
      </c>
      <c r="AM482" s="30">
        <v>44562.0</v>
      </c>
      <c r="AN482" s="30">
        <v>44926.0</v>
      </c>
      <c r="AO482" s="39">
        <v>434.3</v>
      </c>
      <c r="AP482" s="39">
        <v>218.3</v>
      </c>
      <c r="AQ482" s="38" t="s">
        <v>7047</v>
      </c>
      <c r="AR482" s="30">
        <v>44927.0</v>
      </c>
      <c r="AS482" s="30">
        <v>45291.0</v>
      </c>
      <c r="AT482" s="39">
        <v>506.9</v>
      </c>
      <c r="AU482" s="39">
        <v>565.0</v>
      </c>
      <c r="AV482" s="37" t="s">
        <v>7046</v>
      </c>
    </row>
    <row r="483" ht="14.25" customHeight="1">
      <c r="A483" s="28" t="s">
        <v>867</v>
      </c>
      <c r="B483" s="29" t="s">
        <v>868</v>
      </c>
      <c r="C483" s="29" t="s">
        <v>7041</v>
      </c>
      <c r="D483" s="30">
        <v>45658.0</v>
      </c>
      <c r="E483" s="30">
        <v>46022.0</v>
      </c>
      <c r="F483" s="36">
        <v>7.31</v>
      </c>
      <c r="G483" s="36">
        <v>0.0</v>
      </c>
      <c r="H483" s="38" t="s">
        <v>7047</v>
      </c>
      <c r="I483" s="30">
        <v>46023.0</v>
      </c>
      <c r="J483" s="30">
        <v>46387.0</v>
      </c>
      <c r="K483" s="36">
        <v>0.0</v>
      </c>
      <c r="L483" s="36">
        <v>0.0</v>
      </c>
      <c r="M483" s="35" t="s">
        <v>7045</v>
      </c>
      <c r="N483" s="30">
        <v>46388.0</v>
      </c>
      <c r="O483" s="30">
        <v>46752.0</v>
      </c>
      <c r="P483" s="36">
        <v>0.0</v>
      </c>
      <c r="Q483" s="36">
        <v>0.0</v>
      </c>
      <c r="R483" s="35" t="s">
        <v>7045</v>
      </c>
      <c r="S483" s="30">
        <v>46753.0</v>
      </c>
      <c r="T483" s="30">
        <v>47118.0</v>
      </c>
      <c r="U483" s="36">
        <v>0.0</v>
      </c>
      <c r="V483" s="36">
        <v>0.0</v>
      </c>
      <c r="W483" s="35" t="s">
        <v>7045</v>
      </c>
      <c r="X483" s="30">
        <v>47119.0</v>
      </c>
      <c r="Y483" s="30">
        <v>47483.0</v>
      </c>
      <c r="Z483" s="36">
        <v>0.0</v>
      </c>
      <c r="AA483" s="36">
        <v>0.0</v>
      </c>
      <c r="AB483" s="35" t="s">
        <v>7045</v>
      </c>
      <c r="AC483" s="30">
        <v>47484.0</v>
      </c>
      <c r="AD483" s="30">
        <v>47848.0</v>
      </c>
      <c r="AE483" s="36">
        <v>0.0</v>
      </c>
      <c r="AF483" s="36">
        <v>0.0</v>
      </c>
      <c r="AG483" s="35" t="s">
        <v>7045</v>
      </c>
      <c r="AH483" s="30">
        <v>45292.0</v>
      </c>
      <c r="AI483" s="30">
        <v>45657.0</v>
      </c>
      <c r="AJ483" s="36">
        <v>63.89</v>
      </c>
      <c r="AK483" s="36">
        <v>0.0</v>
      </c>
      <c r="AL483" s="38" t="s">
        <v>7047</v>
      </c>
      <c r="AM483" s="30">
        <v>44562.0</v>
      </c>
      <c r="AN483" s="30">
        <v>44926.0</v>
      </c>
      <c r="AO483" s="36">
        <v>21.9</v>
      </c>
      <c r="AP483" s="36">
        <v>500.0</v>
      </c>
      <c r="AQ483" s="32" t="s">
        <v>7043</v>
      </c>
      <c r="AR483" s="30">
        <v>44927.0</v>
      </c>
      <c r="AS483" s="30">
        <v>45291.0</v>
      </c>
      <c r="AT483" s="36">
        <v>21.15</v>
      </c>
      <c r="AU483" s="36">
        <v>0.0</v>
      </c>
      <c r="AV483" s="38" t="s">
        <v>7047</v>
      </c>
    </row>
    <row r="484" ht="14.25" customHeight="1">
      <c r="A484" s="28" t="s">
        <v>6912</v>
      </c>
      <c r="B484" s="29" t="s">
        <v>6913</v>
      </c>
      <c r="C484" s="29" t="s">
        <v>7041</v>
      </c>
      <c r="D484" s="30">
        <v>45658.0</v>
      </c>
      <c r="E484" s="30">
        <v>46022.0</v>
      </c>
      <c r="F484" s="36">
        <v>1.65</v>
      </c>
      <c r="G484" s="36">
        <v>0.0</v>
      </c>
      <c r="H484" s="38" t="s">
        <v>7047</v>
      </c>
      <c r="I484" s="30">
        <v>46023.0</v>
      </c>
      <c r="J484" s="30">
        <v>46387.0</v>
      </c>
      <c r="K484" s="36">
        <v>0.0</v>
      </c>
      <c r="L484" s="36">
        <v>0.0</v>
      </c>
      <c r="M484" s="35" t="s">
        <v>7045</v>
      </c>
      <c r="N484" s="30">
        <v>46388.0</v>
      </c>
      <c r="O484" s="30">
        <v>46752.0</v>
      </c>
      <c r="P484" s="36">
        <v>0.0</v>
      </c>
      <c r="Q484" s="36">
        <v>0.0</v>
      </c>
      <c r="R484" s="35" t="s">
        <v>7045</v>
      </c>
      <c r="S484" s="30">
        <v>46753.0</v>
      </c>
      <c r="T484" s="30">
        <v>47118.0</v>
      </c>
      <c r="U484" s="36">
        <v>0.0</v>
      </c>
      <c r="V484" s="36">
        <v>0.0</v>
      </c>
      <c r="W484" s="35" t="s">
        <v>7045</v>
      </c>
      <c r="X484" s="30">
        <v>47119.0</v>
      </c>
      <c r="Y484" s="30">
        <v>47483.0</v>
      </c>
      <c r="Z484" s="36">
        <v>0.0</v>
      </c>
      <c r="AA484" s="36">
        <v>0.0</v>
      </c>
      <c r="AB484" s="35" t="s">
        <v>7045</v>
      </c>
      <c r="AC484" s="30">
        <v>47484.0</v>
      </c>
      <c r="AD484" s="30">
        <v>47848.0</v>
      </c>
      <c r="AE484" s="36">
        <v>0.0</v>
      </c>
      <c r="AF484" s="36">
        <v>0.0</v>
      </c>
      <c r="AG484" s="35" t="s">
        <v>7045</v>
      </c>
      <c r="AH484" s="30">
        <v>45292.0</v>
      </c>
      <c r="AI484" s="30">
        <v>45657.0</v>
      </c>
      <c r="AJ484" s="36">
        <v>20.48</v>
      </c>
      <c r="AK484" s="36">
        <v>0.0</v>
      </c>
      <c r="AL484" s="38" t="s">
        <v>7047</v>
      </c>
      <c r="AM484" s="30">
        <v>44562.0</v>
      </c>
      <c r="AN484" s="30">
        <v>44926.0</v>
      </c>
      <c r="AO484" s="36">
        <v>7.6</v>
      </c>
      <c r="AP484" s="36">
        <v>599.99</v>
      </c>
      <c r="AQ484" s="32" t="s">
        <v>7043</v>
      </c>
      <c r="AR484" s="30">
        <v>44927.0</v>
      </c>
      <c r="AS484" s="30">
        <v>45291.0</v>
      </c>
      <c r="AT484" s="36">
        <v>30.97</v>
      </c>
      <c r="AU484" s="36">
        <v>0.0</v>
      </c>
      <c r="AV484" s="38" t="s">
        <v>7047</v>
      </c>
    </row>
    <row r="485" ht="14.25" customHeight="1">
      <c r="A485" s="28" t="s">
        <v>1938</v>
      </c>
      <c r="B485" s="29" t="s">
        <v>1939</v>
      </c>
      <c r="C485" s="29" t="s">
        <v>7041</v>
      </c>
      <c r="D485" s="30">
        <v>45658.0</v>
      </c>
      <c r="E485" s="30">
        <v>46022.0</v>
      </c>
      <c r="F485" s="36">
        <v>631.17</v>
      </c>
      <c r="G485" s="36">
        <v>999.99</v>
      </c>
      <c r="H485" s="38" t="s">
        <v>7047</v>
      </c>
      <c r="I485" s="30">
        <v>46023.0</v>
      </c>
      <c r="J485" s="30">
        <v>46387.0</v>
      </c>
      <c r="K485" s="36">
        <v>0.0</v>
      </c>
      <c r="L485" s="36">
        <v>0.0</v>
      </c>
      <c r="M485" s="35" t="s">
        <v>7045</v>
      </c>
      <c r="N485" s="30">
        <v>46388.0</v>
      </c>
      <c r="O485" s="30">
        <v>46752.0</v>
      </c>
      <c r="P485" s="36">
        <v>0.0</v>
      </c>
      <c r="Q485" s="36">
        <v>0.0</v>
      </c>
      <c r="R485" s="35" t="s">
        <v>7045</v>
      </c>
      <c r="S485" s="30">
        <v>46753.0</v>
      </c>
      <c r="T485" s="30">
        <v>47118.0</v>
      </c>
      <c r="U485" s="36">
        <v>0.0</v>
      </c>
      <c r="V485" s="36">
        <v>0.0</v>
      </c>
      <c r="W485" s="35" t="s">
        <v>7045</v>
      </c>
      <c r="X485" s="30">
        <v>47119.0</v>
      </c>
      <c r="Y485" s="30">
        <v>47483.0</v>
      </c>
      <c r="Z485" s="36">
        <v>0.0</v>
      </c>
      <c r="AA485" s="36">
        <v>0.0</v>
      </c>
      <c r="AB485" s="35" t="s">
        <v>7045</v>
      </c>
      <c r="AC485" s="30">
        <v>47484.0</v>
      </c>
      <c r="AD485" s="30">
        <v>47848.0</v>
      </c>
      <c r="AE485" s="36">
        <v>0.0</v>
      </c>
      <c r="AF485" s="36">
        <v>0.0</v>
      </c>
      <c r="AG485" s="35" t="s">
        <v>7045</v>
      </c>
      <c r="AH485" s="30">
        <v>45292.0</v>
      </c>
      <c r="AI485" s="30">
        <v>45657.0</v>
      </c>
      <c r="AJ485" s="36">
        <v>242.14</v>
      </c>
      <c r="AK485" s="36">
        <v>0.0</v>
      </c>
      <c r="AL485" s="38" t="s">
        <v>7047</v>
      </c>
      <c r="AM485" s="30">
        <v>44562.0</v>
      </c>
      <c r="AN485" s="30">
        <v>44926.0</v>
      </c>
      <c r="AO485" s="36">
        <v>0.0</v>
      </c>
      <c r="AP485" s="36">
        <v>0.0</v>
      </c>
      <c r="AQ485" s="35" t="s">
        <v>7045</v>
      </c>
      <c r="AR485" s="30">
        <v>44927.0</v>
      </c>
      <c r="AS485" s="30">
        <v>45291.0</v>
      </c>
      <c r="AT485" s="36">
        <v>0.0</v>
      </c>
      <c r="AU485" s="36">
        <v>0.0</v>
      </c>
      <c r="AV485" s="35" t="s">
        <v>7045</v>
      </c>
    </row>
    <row r="486" ht="14.25" customHeight="1">
      <c r="A486" s="28" t="s">
        <v>1218</v>
      </c>
      <c r="B486" s="29" t="s">
        <v>1219</v>
      </c>
      <c r="C486" s="29" t="s">
        <v>7041</v>
      </c>
      <c r="D486" s="30">
        <v>45658.0</v>
      </c>
      <c r="E486" s="30">
        <v>46022.0</v>
      </c>
      <c r="F486" s="36">
        <v>22.79</v>
      </c>
      <c r="G486" s="36">
        <v>999.99</v>
      </c>
      <c r="H486" s="32" t="s">
        <v>7043</v>
      </c>
      <c r="I486" s="30">
        <v>46023.0</v>
      </c>
      <c r="J486" s="30">
        <v>46387.0</v>
      </c>
      <c r="K486" s="36">
        <v>0.0</v>
      </c>
      <c r="L486" s="36">
        <v>0.0</v>
      </c>
      <c r="M486" s="35" t="s">
        <v>7045</v>
      </c>
      <c r="N486" s="30">
        <v>46388.0</v>
      </c>
      <c r="O486" s="30">
        <v>46752.0</v>
      </c>
      <c r="P486" s="36">
        <v>0.0</v>
      </c>
      <c r="Q486" s="36">
        <v>0.0</v>
      </c>
      <c r="R486" s="35" t="s">
        <v>7045</v>
      </c>
      <c r="S486" s="30">
        <v>46753.0</v>
      </c>
      <c r="T486" s="30">
        <v>47118.0</v>
      </c>
      <c r="U486" s="36">
        <v>0.0</v>
      </c>
      <c r="V486" s="36">
        <v>0.0</v>
      </c>
      <c r="W486" s="35" t="s">
        <v>7045</v>
      </c>
      <c r="X486" s="30">
        <v>47119.0</v>
      </c>
      <c r="Y486" s="30">
        <v>47483.0</v>
      </c>
      <c r="Z486" s="36">
        <v>0.0</v>
      </c>
      <c r="AA486" s="36">
        <v>0.0</v>
      </c>
      <c r="AB486" s="35" t="s">
        <v>7045</v>
      </c>
      <c r="AC486" s="30">
        <v>47484.0</v>
      </c>
      <c r="AD486" s="30">
        <v>47848.0</v>
      </c>
      <c r="AE486" s="36">
        <v>0.0</v>
      </c>
      <c r="AF486" s="36">
        <v>0.0</v>
      </c>
      <c r="AG486" s="35" t="s">
        <v>7045</v>
      </c>
      <c r="AH486" s="30">
        <v>45292.0</v>
      </c>
      <c r="AI486" s="30">
        <v>45657.0</v>
      </c>
      <c r="AJ486" s="36">
        <v>163.49</v>
      </c>
      <c r="AK486" s="36">
        <v>0.0</v>
      </c>
      <c r="AL486" s="38" t="s">
        <v>7047</v>
      </c>
      <c r="AM486" s="30">
        <v>44562.0</v>
      </c>
      <c r="AN486" s="30">
        <v>44926.0</v>
      </c>
      <c r="AO486" s="36">
        <v>0.0</v>
      </c>
      <c r="AP486" s="36">
        <v>0.0</v>
      </c>
      <c r="AQ486" s="35" t="s">
        <v>7045</v>
      </c>
      <c r="AR486" s="30">
        <v>44927.0</v>
      </c>
      <c r="AS486" s="30">
        <v>45291.0</v>
      </c>
      <c r="AT486" s="36">
        <v>0.0</v>
      </c>
      <c r="AU486" s="36">
        <v>0.0</v>
      </c>
      <c r="AV486" s="35" t="s">
        <v>7045</v>
      </c>
    </row>
    <row r="487" ht="14.25" customHeight="1">
      <c r="A487" s="28" t="s">
        <v>2259</v>
      </c>
      <c r="B487" s="29" t="s">
        <v>2260</v>
      </c>
      <c r="C487" s="29" t="s">
        <v>7041</v>
      </c>
      <c r="D487" s="30">
        <v>45658.0</v>
      </c>
      <c r="E487" s="30">
        <v>46022.0</v>
      </c>
      <c r="F487" s="36">
        <v>64.71</v>
      </c>
      <c r="G487" s="36">
        <v>255.0</v>
      </c>
      <c r="H487" s="37" t="s">
        <v>7043</v>
      </c>
      <c r="I487" s="30">
        <v>46023.0</v>
      </c>
      <c r="J487" s="30">
        <v>46387.0</v>
      </c>
      <c r="K487" s="36">
        <v>0.0</v>
      </c>
      <c r="L487" s="36">
        <v>0.0</v>
      </c>
      <c r="M487" s="35" t="s">
        <v>7045</v>
      </c>
      <c r="N487" s="30">
        <v>46388.0</v>
      </c>
      <c r="O487" s="30">
        <v>46752.0</v>
      </c>
      <c r="P487" s="36">
        <v>0.0</v>
      </c>
      <c r="Q487" s="36">
        <v>0.0</v>
      </c>
      <c r="R487" s="35" t="s">
        <v>7045</v>
      </c>
      <c r="S487" s="30">
        <v>46753.0</v>
      </c>
      <c r="T487" s="30">
        <v>47118.0</v>
      </c>
      <c r="U487" s="36">
        <v>0.0</v>
      </c>
      <c r="V487" s="36">
        <v>0.0</v>
      </c>
      <c r="W487" s="35" t="s">
        <v>7045</v>
      </c>
      <c r="X487" s="30">
        <v>47119.0</v>
      </c>
      <c r="Y487" s="30">
        <v>47483.0</v>
      </c>
      <c r="Z487" s="36">
        <v>0.0</v>
      </c>
      <c r="AA487" s="36">
        <v>0.0</v>
      </c>
      <c r="AB487" s="35" t="s">
        <v>7045</v>
      </c>
      <c r="AC487" s="30">
        <v>47484.0</v>
      </c>
      <c r="AD487" s="30">
        <v>47848.0</v>
      </c>
      <c r="AE487" s="36">
        <v>0.0</v>
      </c>
      <c r="AF487" s="36">
        <v>0.0</v>
      </c>
      <c r="AG487" s="35" t="s">
        <v>7045</v>
      </c>
      <c r="AH487" s="30">
        <v>45292.0</v>
      </c>
      <c r="AI487" s="30">
        <v>45657.0</v>
      </c>
      <c r="AJ487" s="36">
        <v>79.43</v>
      </c>
      <c r="AK487" s="36">
        <v>255.0</v>
      </c>
      <c r="AL487" s="32" t="s">
        <v>7043</v>
      </c>
      <c r="AM487" s="30">
        <v>44562.0</v>
      </c>
      <c r="AN487" s="30">
        <v>44926.0</v>
      </c>
      <c r="AO487" s="36">
        <v>223.9</v>
      </c>
      <c r="AP487" s="36">
        <v>550.0</v>
      </c>
      <c r="AQ487" s="32" t="s">
        <v>7043</v>
      </c>
      <c r="AR487" s="30">
        <v>44927.0</v>
      </c>
      <c r="AS487" s="30">
        <v>45291.0</v>
      </c>
      <c r="AT487" s="36">
        <v>141.02</v>
      </c>
      <c r="AU487" s="36">
        <v>255.0</v>
      </c>
      <c r="AV487" s="37" t="s">
        <v>7046</v>
      </c>
    </row>
    <row r="488" ht="14.25" customHeight="1">
      <c r="A488" s="28" t="s">
        <v>3246</v>
      </c>
      <c r="B488" s="29" t="s">
        <v>3247</v>
      </c>
      <c r="C488" s="29" t="s">
        <v>7041</v>
      </c>
      <c r="D488" s="30">
        <v>45658.0</v>
      </c>
      <c r="E488" s="30">
        <v>46022.0</v>
      </c>
      <c r="F488" s="36">
        <v>23.32</v>
      </c>
      <c r="G488" s="36">
        <v>300.0</v>
      </c>
      <c r="H488" s="32" t="s">
        <v>7043</v>
      </c>
      <c r="I488" s="30">
        <v>46023.0</v>
      </c>
      <c r="J488" s="30">
        <v>46387.0</v>
      </c>
      <c r="K488" s="36">
        <v>0.0</v>
      </c>
      <c r="L488" s="36">
        <v>0.0</v>
      </c>
      <c r="M488" s="35" t="s">
        <v>7045</v>
      </c>
      <c r="N488" s="30">
        <v>46388.0</v>
      </c>
      <c r="O488" s="30">
        <v>46752.0</v>
      </c>
      <c r="P488" s="36">
        <v>0.0</v>
      </c>
      <c r="Q488" s="36">
        <v>0.0</v>
      </c>
      <c r="R488" s="35" t="s">
        <v>7045</v>
      </c>
      <c r="S488" s="30">
        <v>46753.0</v>
      </c>
      <c r="T488" s="30">
        <v>47118.0</v>
      </c>
      <c r="U488" s="36">
        <v>0.0</v>
      </c>
      <c r="V488" s="36">
        <v>0.0</v>
      </c>
      <c r="W488" s="35" t="s">
        <v>7045</v>
      </c>
      <c r="X488" s="30">
        <v>47119.0</v>
      </c>
      <c r="Y488" s="30">
        <v>47483.0</v>
      </c>
      <c r="Z488" s="36">
        <v>0.0</v>
      </c>
      <c r="AA488" s="36">
        <v>0.0</v>
      </c>
      <c r="AB488" s="35" t="s">
        <v>7045</v>
      </c>
      <c r="AC488" s="30">
        <v>47484.0</v>
      </c>
      <c r="AD488" s="30">
        <v>47848.0</v>
      </c>
      <c r="AE488" s="36">
        <v>0.0</v>
      </c>
      <c r="AF488" s="36">
        <v>0.0</v>
      </c>
      <c r="AG488" s="35" t="s">
        <v>7045</v>
      </c>
      <c r="AH488" s="30">
        <v>45292.0</v>
      </c>
      <c r="AI488" s="30">
        <v>45657.0</v>
      </c>
      <c r="AJ488" s="36">
        <v>126.25</v>
      </c>
      <c r="AK488" s="36">
        <v>300.0</v>
      </c>
      <c r="AL488" s="32" t="s">
        <v>7043</v>
      </c>
      <c r="AM488" s="30">
        <v>44562.0</v>
      </c>
      <c r="AN488" s="30">
        <v>44926.0</v>
      </c>
      <c r="AO488" s="36">
        <v>37.7</v>
      </c>
      <c r="AP488" s="36">
        <v>0.0</v>
      </c>
      <c r="AQ488" s="38" t="s">
        <v>7047</v>
      </c>
      <c r="AR488" s="30">
        <v>44927.0</v>
      </c>
      <c r="AS488" s="30">
        <v>45291.0</v>
      </c>
      <c r="AT488" s="36">
        <v>83.24</v>
      </c>
      <c r="AU488" s="36">
        <v>250.0</v>
      </c>
      <c r="AV488" s="32" t="s">
        <v>7043</v>
      </c>
    </row>
    <row r="489" ht="14.25" customHeight="1">
      <c r="A489" s="28" t="s">
        <v>321</v>
      </c>
      <c r="B489" s="29" t="s">
        <v>322</v>
      </c>
      <c r="C489" s="29" t="s">
        <v>7041</v>
      </c>
      <c r="D489" s="30">
        <v>45658.0</v>
      </c>
      <c r="E489" s="30">
        <v>46022.0</v>
      </c>
      <c r="F489" s="36">
        <v>45.04</v>
      </c>
      <c r="G489" s="36">
        <v>300.0</v>
      </c>
      <c r="H489" s="32" t="s">
        <v>7043</v>
      </c>
      <c r="I489" s="30">
        <v>46023.0</v>
      </c>
      <c r="J489" s="30">
        <v>46387.0</v>
      </c>
      <c r="K489" s="36">
        <v>0.0</v>
      </c>
      <c r="L489" s="36">
        <v>0.0</v>
      </c>
      <c r="M489" s="35" t="s">
        <v>7045</v>
      </c>
      <c r="N489" s="30">
        <v>46388.0</v>
      </c>
      <c r="O489" s="30">
        <v>46752.0</v>
      </c>
      <c r="P489" s="36">
        <v>0.0</v>
      </c>
      <c r="Q489" s="36">
        <v>0.0</v>
      </c>
      <c r="R489" s="35" t="s">
        <v>7045</v>
      </c>
      <c r="S489" s="30">
        <v>46753.0</v>
      </c>
      <c r="T489" s="30">
        <v>47118.0</v>
      </c>
      <c r="U489" s="36">
        <v>0.0</v>
      </c>
      <c r="V489" s="36">
        <v>0.0</v>
      </c>
      <c r="W489" s="35" t="s">
        <v>7045</v>
      </c>
      <c r="X489" s="30">
        <v>47119.0</v>
      </c>
      <c r="Y489" s="30">
        <v>47483.0</v>
      </c>
      <c r="Z489" s="36">
        <v>0.0</v>
      </c>
      <c r="AA489" s="36">
        <v>0.0</v>
      </c>
      <c r="AB489" s="35" t="s">
        <v>7045</v>
      </c>
      <c r="AC489" s="30">
        <v>47484.0</v>
      </c>
      <c r="AD489" s="30">
        <v>47848.0</v>
      </c>
      <c r="AE489" s="36">
        <v>0.0</v>
      </c>
      <c r="AF489" s="36">
        <v>0.0</v>
      </c>
      <c r="AG489" s="35" t="s">
        <v>7045</v>
      </c>
      <c r="AH489" s="30">
        <v>45292.0</v>
      </c>
      <c r="AI489" s="30">
        <v>45657.0</v>
      </c>
      <c r="AJ489" s="36">
        <v>149.32</v>
      </c>
      <c r="AK489" s="36">
        <v>300.0</v>
      </c>
      <c r="AL489" s="32" t="s">
        <v>7043</v>
      </c>
      <c r="AM489" s="30">
        <v>44562.0</v>
      </c>
      <c r="AN489" s="30">
        <v>44926.0</v>
      </c>
      <c r="AO489" s="36">
        <v>159.7</v>
      </c>
      <c r="AP489" s="36">
        <v>250.0</v>
      </c>
      <c r="AQ489" s="37" t="s">
        <v>7046</v>
      </c>
      <c r="AR489" s="30">
        <v>44927.0</v>
      </c>
      <c r="AS489" s="30">
        <v>45291.0</v>
      </c>
      <c r="AT489" s="36">
        <v>44.24</v>
      </c>
      <c r="AU489" s="36">
        <v>250.0</v>
      </c>
      <c r="AV489" s="32" t="s">
        <v>7043</v>
      </c>
    </row>
    <row r="490" ht="14.25" customHeight="1">
      <c r="A490" s="28" t="s">
        <v>494</v>
      </c>
      <c r="B490" s="29" t="s">
        <v>495</v>
      </c>
      <c r="C490" s="29" t="s">
        <v>7041</v>
      </c>
      <c r="D490" s="30">
        <v>45658.0</v>
      </c>
      <c r="E490" s="30">
        <v>46022.0</v>
      </c>
      <c r="F490" s="36">
        <v>173.0</v>
      </c>
      <c r="G490" s="36">
        <v>300.0</v>
      </c>
      <c r="H490" s="38" t="s">
        <v>7047</v>
      </c>
      <c r="I490" s="30">
        <v>46023.0</v>
      </c>
      <c r="J490" s="30">
        <v>46387.0</v>
      </c>
      <c r="K490" s="36">
        <v>0.0</v>
      </c>
      <c r="L490" s="36">
        <v>0.0</v>
      </c>
      <c r="M490" s="35" t="s">
        <v>7045</v>
      </c>
      <c r="N490" s="30">
        <v>46388.0</v>
      </c>
      <c r="O490" s="30">
        <v>46752.0</v>
      </c>
      <c r="P490" s="36">
        <v>0.0</v>
      </c>
      <c r="Q490" s="36">
        <v>0.0</v>
      </c>
      <c r="R490" s="35" t="s">
        <v>7045</v>
      </c>
      <c r="S490" s="30">
        <v>46753.0</v>
      </c>
      <c r="T490" s="30">
        <v>47118.0</v>
      </c>
      <c r="U490" s="36">
        <v>0.0</v>
      </c>
      <c r="V490" s="36">
        <v>0.0</v>
      </c>
      <c r="W490" s="35" t="s">
        <v>7045</v>
      </c>
      <c r="X490" s="30">
        <v>47119.0</v>
      </c>
      <c r="Y490" s="30">
        <v>47483.0</v>
      </c>
      <c r="Z490" s="36">
        <v>0.0</v>
      </c>
      <c r="AA490" s="36">
        <v>0.0</v>
      </c>
      <c r="AB490" s="35" t="s">
        <v>7045</v>
      </c>
      <c r="AC490" s="30">
        <v>47484.0</v>
      </c>
      <c r="AD490" s="30">
        <v>47848.0</v>
      </c>
      <c r="AE490" s="36">
        <v>0.0</v>
      </c>
      <c r="AF490" s="36">
        <v>0.0</v>
      </c>
      <c r="AG490" s="35" t="s">
        <v>7045</v>
      </c>
      <c r="AH490" s="30">
        <v>45292.0</v>
      </c>
      <c r="AI490" s="30">
        <v>45657.0</v>
      </c>
      <c r="AJ490" s="36">
        <v>10.94</v>
      </c>
      <c r="AK490" s="36">
        <v>0.0</v>
      </c>
      <c r="AL490" s="38" t="s">
        <v>7047</v>
      </c>
      <c r="AM490" s="30">
        <v>44562.0</v>
      </c>
      <c r="AN490" s="30">
        <v>44926.0</v>
      </c>
      <c r="AO490" s="36">
        <v>40.7</v>
      </c>
      <c r="AP490" s="36">
        <v>400.0</v>
      </c>
      <c r="AQ490" s="32" t="s">
        <v>7043</v>
      </c>
      <c r="AR490" s="30">
        <v>44927.0</v>
      </c>
      <c r="AS490" s="30">
        <v>45291.0</v>
      </c>
      <c r="AT490" s="36">
        <v>87.94</v>
      </c>
      <c r="AU490" s="36">
        <v>300.0</v>
      </c>
      <c r="AV490" s="32" t="s">
        <v>7043</v>
      </c>
    </row>
    <row r="491" ht="14.25" customHeight="1">
      <c r="A491" s="28" t="s">
        <v>1240</v>
      </c>
      <c r="B491" s="29" t="s">
        <v>1241</v>
      </c>
      <c r="C491" s="29" t="s">
        <v>7041</v>
      </c>
      <c r="D491" s="30">
        <v>45658.0</v>
      </c>
      <c r="E491" s="30">
        <v>46022.0</v>
      </c>
      <c r="F491" s="36">
        <v>164.92</v>
      </c>
      <c r="G491" s="36">
        <v>204.0</v>
      </c>
      <c r="H491" s="38" t="s">
        <v>7047</v>
      </c>
      <c r="I491" s="30">
        <v>46023.0</v>
      </c>
      <c r="J491" s="30">
        <v>46387.0</v>
      </c>
      <c r="K491" s="36">
        <v>0.0</v>
      </c>
      <c r="L491" s="36">
        <v>0.0</v>
      </c>
      <c r="M491" s="35" t="s">
        <v>7045</v>
      </c>
      <c r="N491" s="30">
        <v>46388.0</v>
      </c>
      <c r="O491" s="30">
        <v>46752.0</v>
      </c>
      <c r="P491" s="36">
        <v>0.0</v>
      </c>
      <c r="Q491" s="36">
        <v>0.0</v>
      </c>
      <c r="R491" s="35" t="s">
        <v>7045</v>
      </c>
      <c r="S491" s="30">
        <v>46753.0</v>
      </c>
      <c r="T491" s="30">
        <v>47118.0</v>
      </c>
      <c r="U491" s="36">
        <v>0.0</v>
      </c>
      <c r="V491" s="36">
        <v>0.0</v>
      </c>
      <c r="W491" s="35" t="s">
        <v>7045</v>
      </c>
      <c r="X491" s="30">
        <v>47119.0</v>
      </c>
      <c r="Y491" s="30">
        <v>47483.0</v>
      </c>
      <c r="Z491" s="36">
        <v>0.0</v>
      </c>
      <c r="AA491" s="36">
        <v>0.0</v>
      </c>
      <c r="AB491" s="35" t="s">
        <v>7045</v>
      </c>
      <c r="AC491" s="30">
        <v>47484.0</v>
      </c>
      <c r="AD491" s="30">
        <v>47848.0</v>
      </c>
      <c r="AE491" s="36">
        <v>0.0</v>
      </c>
      <c r="AF491" s="36">
        <v>0.0</v>
      </c>
      <c r="AG491" s="35" t="s">
        <v>7045</v>
      </c>
      <c r="AH491" s="30">
        <v>45292.0</v>
      </c>
      <c r="AI491" s="30">
        <v>45657.0</v>
      </c>
      <c r="AJ491" s="36">
        <v>0.0</v>
      </c>
      <c r="AK491" s="36">
        <v>0.0</v>
      </c>
      <c r="AL491" s="35" t="s">
        <v>7045</v>
      </c>
      <c r="AM491" s="30">
        <v>44562.0</v>
      </c>
      <c r="AN491" s="30">
        <v>44926.0</v>
      </c>
      <c r="AO491" s="36">
        <v>0.0</v>
      </c>
      <c r="AP491" s="36">
        <v>0.0</v>
      </c>
      <c r="AQ491" s="35" t="s">
        <v>7045</v>
      </c>
      <c r="AR491" s="30">
        <v>44927.0</v>
      </c>
      <c r="AS491" s="30">
        <v>45291.0</v>
      </c>
      <c r="AT491" s="36">
        <v>0.0</v>
      </c>
      <c r="AU491" s="36">
        <v>0.0</v>
      </c>
      <c r="AV491" s="35" t="s">
        <v>7045</v>
      </c>
    </row>
    <row r="492" ht="14.25" customHeight="1">
      <c r="A492" s="28" t="s">
        <v>6864</v>
      </c>
      <c r="B492" s="29" t="s">
        <v>6865</v>
      </c>
      <c r="C492" s="29" t="s">
        <v>7041</v>
      </c>
      <c r="D492" s="30">
        <v>45658.0</v>
      </c>
      <c r="E492" s="30">
        <v>46022.0</v>
      </c>
      <c r="F492" s="36">
        <v>226.6</v>
      </c>
      <c r="G492" s="36">
        <v>300.0</v>
      </c>
      <c r="H492" s="38" t="s">
        <v>7047</v>
      </c>
      <c r="I492" s="30">
        <v>46023.0</v>
      </c>
      <c r="J492" s="30">
        <v>46387.0</v>
      </c>
      <c r="K492" s="36">
        <v>0.0</v>
      </c>
      <c r="L492" s="36">
        <v>0.0</v>
      </c>
      <c r="M492" s="35" t="s">
        <v>7045</v>
      </c>
      <c r="N492" s="30">
        <v>46388.0</v>
      </c>
      <c r="O492" s="30">
        <v>46752.0</v>
      </c>
      <c r="P492" s="36">
        <v>0.0</v>
      </c>
      <c r="Q492" s="36">
        <v>0.0</v>
      </c>
      <c r="R492" s="35" t="s">
        <v>7045</v>
      </c>
      <c r="S492" s="30">
        <v>46753.0</v>
      </c>
      <c r="T492" s="30">
        <v>47118.0</v>
      </c>
      <c r="U492" s="36">
        <v>0.0</v>
      </c>
      <c r="V492" s="36">
        <v>0.0</v>
      </c>
      <c r="W492" s="35" t="s">
        <v>7045</v>
      </c>
      <c r="X492" s="30">
        <v>47119.0</v>
      </c>
      <c r="Y492" s="30">
        <v>47483.0</v>
      </c>
      <c r="Z492" s="36">
        <v>0.0</v>
      </c>
      <c r="AA492" s="36">
        <v>0.0</v>
      </c>
      <c r="AB492" s="35" t="s">
        <v>7045</v>
      </c>
      <c r="AC492" s="30">
        <v>47484.0</v>
      </c>
      <c r="AD492" s="30">
        <v>47848.0</v>
      </c>
      <c r="AE492" s="36">
        <v>0.0</v>
      </c>
      <c r="AF492" s="36">
        <v>0.0</v>
      </c>
      <c r="AG492" s="35" t="s">
        <v>7045</v>
      </c>
      <c r="AH492" s="30">
        <v>45292.0</v>
      </c>
      <c r="AI492" s="30">
        <v>45657.0</v>
      </c>
      <c r="AJ492" s="36">
        <v>33.52</v>
      </c>
      <c r="AK492" s="36">
        <v>400.0</v>
      </c>
      <c r="AL492" s="32" t="s">
        <v>7043</v>
      </c>
      <c r="AM492" s="30">
        <v>44562.0</v>
      </c>
      <c r="AN492" s="30">
        <v>44926.0</v>
      </c>
      <c r="AO492" s="36">
        <v>75.1</v>
      </c>
      <c r="AP492" s="36">
        <v>285.0</v>
      </c>
      <c r="AQ492" s="32" t="s">
        <v>7043</v>
      </c>
      <c r="AR492" s="30">
        <v>44927.0</v>
      </c>
      <c r="AS492" s="30">
        <v>45291.0</v>
      </c>
      <c r="AT492" s="36">
        <v>165.2</v>
      </c>
      <c r="AU492" s="36">
        <v>305.0</v>
      </c>
      <c r="AV492" s="37" t="s">
        <v>7046</v>
      </c>
    </row>
    <row r="493" ht="14.25" customHeight="1">
      <c r="A493" s="28" t="s">
        <v>6402</v>
      </c>
      <c r="B493" s="29" t="s">
        <v>6403</v>
      </c>
      <c r="C493" s="29" t="s">
        <v>7041</v>
      </c>
      <c r="D493" s="30">
        <v>45658.0</v>
      </c>
      <c r="E493" s="30">
        <v>46022.0</v>
      </c>
      <c r="F493" s="39">
        <v>67.92</v>
      </c>
      <c r="G493" s="39">
        <v>205.0</v>
      </c>
      <c r="H493" s="37" t="s">
        <v>7046</v>
      </c>
      <c r="I493" s="30">
        <v>46023.0</v>
      </c>
      <c r="J493" s="30">
        <v>46387.0</v>
      </c>
      <c r="K493" s="39">
        <v>0.0</v>
      </c>
      <c r="L493" s="39">
        <v>0.0</v>
      </c>
      <c r="M493" s="35" t="s">
        <v>7045</v>
      </c>
      <c r="N493" s="30">
        <v>46388.0</v>
      </c>
      <c r="O493" s="30">
        <v>46752.0</v>
      </c>
      <c r="P493" s="39">
        <v>0.0</v>
      </c>
      <c r="Q493" s="39">
        <v>0.0</v>
      </c>
      <c r="R493" s="35" t="s">
        <v>7045</v>
      </c>
      <c r="S493" s="30">
        <v>46753.0</v>
      </c>
      <c r="T493" s="30">
        <v>47118.0</v>
      </c>
      <c r="U493" s="39">
        <v>0.0</v>
      </c>
      <c r="V493" s="39">
        <v>0.0</v>
      </c>
      <c r="W493" s="35" t="s">
        <v>7045</v>
      </c>
      <c r="X493" s="30">
        <v>47119.0</v>
      </c>
      <c r="Y493" s="30">
        <v>47483.0</v>
      </c>
      <c r="Z493" s="39">
        <v>0.0</v>
      </c>
      <c r="AA493" s="39">
        <v>0.0</v>
      </c>
      <c r="AB493" s="35" t="s">
        <v>7045</v>
      </c>
      <c r="AC493" s="30">
        <v>47484.0</v>
      </c>
      <c r="AD493" s="30">
        <v>47848.0</v>
      </c>
      <c r="AE493" s="39">
        <v>0.0</v>
      </c>
      <c r="AF493" s="39">
        <v>0.0</v>
      </c>
      <c r="AG493" s="35" t="s">
        <v>7045</v>
      </c>
      <c r="AH493" s="30">
        <v>45292.0</v>
      </c>
      <c r="AI493" s="30">
        <v>45657.0</v>
      </c>
      <c r="AJ493" s="39">
        <v>146.36</v>
      </c>
      <c r="AK493" s="39">
        <v>237.0</v>
      </c>
      <c r="AL493" s="37" t="s">
        <v>7046</v>
      </c>
      <c r="AM493" s="30">
        <v>44562.0</v>
      </c>
      <c r="AN493" s="30">
        <v>44926.0</v>
      </c>
      <c r="AO493" s="39">
        <v>240.2</v>
      </c>
      <c r="AP493" s="39">
        <v>248.0</v>
      </c>
      <c r="AQ493" s="37" t="s">
        <v>7046</v>
      </c>
      <c r="AR493" s="30">
        <v>44927.0</v>
      </c>
      <c r="AS493" s="30">
        <v>45291.0</v>
      </c>
      <c r="AT493" s="39">
        <v>114.21</v>
      </c>
      <c r="AU493" s="39">
        <v>305.0</v>
      </c>
      <c r="AV493" s="32" t="s">
        <v>7043</v>
      </c>
    </row>
    <row r="494" ht="14.25" customHeight="1">
      <c r="A494" s="28" t="s">
        <v>2719</v>
      </c>
      <c r="B494" s="29" t="s">
        <v>2720</v>
      </c>
      <c r="C494" s="29" t="s">
        <v>7041</v>
      </c>
      <c r="D494" s="30">
        <v>45658.0</v>
      </c>
      <c r="E494" s="30">
        <v>46022.0</v>
      </c>
      <c r="F494" s="36">
        <v>13.18</v>
      </c>
      <c r="G494" s="36">
        <v>300.0</v>
      </c>
      <c r="H494" s="32" t="s">
        <v>7043</v>
      </c>
      <c r="I494" s="30">
        <v>46023.0</v>
      </c>
      <c r="J494" s="30">
        <v>46387.0</v>
      </c>
      <c r="K494" s="36">
        <v>0.0</v>
      </c>
      <c r="L494" s="36">
        <v>0.0</v>
      </c>
      <c r="M494" s="35" t="s">
        <v>7045</v>
      </c>
      <c r="N494" s="30">
        <v>46388.0</v>
      </c>
      <c r="O494" s="30">
        <v>46752.0</v>
      </c>
      <c r="P494" s="36">
        <v>0.0</v>
      </c>
      <c r="Q494" s="36">
        <v>0.0</v>
      </c>
      <c r="R494" s="35" t="s">
        <v>7045</v>
      </c>
      <c r="S494" s="30">
        <v>46753.0</v>
      </c>
      <c r="T494" s="30">
        <v>47118.0</v>
      </c>
      <c r="U494" s="36">
        <v>0.0</v>
      </c>
      <c r="V494" s="36">
        <v>0.0</v>
      </c>
      <c r="W494" s="35" t="s">
        <v>7045</v>
      </c>
      <c r="X494" s="30">
        <v>47119.0</v>
      </c>
      <c r="Y494" s="30">
        <v>47483.0</v>
      </c>
      <c r="Z494" s="36">
        <v>0.0</v>
      </c>
      <c r="AA494" s="36">
        <v>0.0</v>
      </c>
      <c r="AB494" s="35" t="s">
        <v>7045</v>
      </c>
      <c r="AC494" s="30">
        <v>47484.0</v>
      </c>
      <c r="AD494" s="30">
        <v>47848.0</v>
      </c>
      <c r="AE494" s="36">
        <v>0.0</v>
      </c>
      <c r="AF494" s="36">
        <v>0.0</v>
      </c>
      <c r="AG494" s="35" t="s">
        <v>7045</v>
      </c>
      <c r="AH494" s="30">
        <v>45292.0</v>
      </c>
      <c r="AI494" s="30">
        <v>45657.0</v>
      </c>
      <c r="AJ494" s="36">
        <v>29.84</v>
      </c>
      <c r="AK494" s="36">
        <v>0.0</v>
      </c>
      <c r="AL494" s="38" t="s">
        <v>7047</v>
      </c>
      <c r="AM494" s="30">
        <v>44562.0</v>
      </c>
      <c r="AN494" s="30">
        <v>44926.0</v>
      </c>
      <c r="AO494" s="36">
        <v>98.8</v>
      </c>
      <c r="AP494" s="36">
        <v>400.0</v>
      </c>
      <c r="AQ494" s="32" t="s">
        <v>7043</v>
      </c>
      <c r="AR494" s="30">
        <v>44927.0</v>
      </c>
      <c r="AS494" s="30">
        <v>45291.0</v>
      </c>
      <c r="AT494" s="36">
        <v>44.27</v>
      </c>
      <c r="AU494" s="36">
        <v>450.0</v>
      </c>
      <c r="AV494" s="32" t="s">
        <v>7043</v>
      </c>
    </row>
    <row r="495" ht="14.25" customHeight="1">
      <c r="A495" s="28" t="s">
        <v>2301</v>
      </c>
      <c r="B495" s="29" t="s">
        <v>2302</v>
      </c>
      <c r="C495" s="29" t="s">
        <v>7041</v>
      </c>
      <c r="D495" s="30">
        <v>45658.0</v>
      </c>
      <c r="E495" s="30">
        <v>46022.0</v>
      </c>
      <c r="F495" s="36">
        <v>16.77</v>
      </c>
      <c r="G495" s="36">
        <v>200.0</v>
      </c>
      <c r="H495" s="32" t="s">
        <v>7043</v>
      </c>
      <c r="I495" s="30">
        <v>46023.0</v>
      </c>
      <c r="J495" s="30">
        <v>46387.0</v>
      </c>
      <c r="K495" s="36">
        <v>0.0</v>
      </c>
      <c r="L495" s="36">
        <v>0.0</v>
      </c>
      <c r="M495" s="35" t="s">
        <v>7045</v>
      </c>
      <c r="N495" s="30">
        <v>46388.0</v>
      </c>
      <c r="O495" s="30">
        <v>46752.0</v>
      </c>
      <c r="P495" s="36">
        <v>0.0</v>
      </c>
      <c r="Q495" s="36">
        <v>0.0</v>
      </c>
      <c r="R495" s="35" t="s">
        <v>7045</v>
      </c>
      <c r="S495" s="30">
        <v>46753.0</v>
      </c>
      <c r="T495" s="30">
        <v>47118.0</v>
      </c>
      <c r="U495" s="36">
        <v>0.0</v>
      </c>
      <c r="V495" s="36">
        <v>0.0</v>
      </c>
      <c r="W495" s="35" t="s">
        <v>7045</v>
      </c>
      <c r="X495" s="30">
        <v>47119.0</v>
      </c>
      <c r="Y495" s="30">
        <v>47483.0</v>
      </c>
      <c r="Z495" s="36">
        <v>0.0</v>
      </c>
      <c r="AA495" s="36">
        <v>0.0</v>
      </c>
      <c r="AB495" s="35" t="s">
        <v>7045</v>
      </c>
      <c r="AC495" s="30">
        <v>47484.0</v>
      </c>
      <c r="AD495" s="30">
        <v>47848.0</v>
      </c>
      <c r="AE495" s="36">
        <v>0.0</v>
      </c>
      <c r="AF495" s="36">
        <v>0.0</v>
      </c>
      <c r="AG495" s="35" t="s">
        <v>7045</v>
      </c>
      <c r="AH495" s="30">
        <v>45292.0</v>
      </c>
      <c r="AI495" s="30">
        <v>45657.0</v>
      </c>
      <c r="AJ495" s="36">
        <v>58.17</v>
      </c>
      <c r="AK495" s="36">
        <v>150.0</v>
      </c>
      <c r="AL495" s="32" t="s">
        <v>7043</v>
      </c>
      <c r="AM495" s="30">
        <v>44562.0</v>
      </c>
      <c r="AN495" s="30">
        <v>44926.0</v>
      </c>
      <c r="AO495" s="36">
        <v>92.1</v>
      </c>
      <c r="AP495" s="36">
        <v>304.0</v>
      </c>
      <c r="AQ495" s="32" t="s">
        <v>7043</v>
      </c>
      <c r="AR495" s="30">
        <v>44927.0</v>
      </c>
      <c r="AS495" s="30">
        <v>45291.0</v>
      </c>
      <c r="AT495" s="36">
        <v>47.67</v>
      </c>
      <c r="AU495" s="36">
        <v>150.0</v>
      </c>
      <c r="AV495" s="32" t="s">
        <v>7043</v>
      </c>
    </row>
    <row r="496" ht="14.25" customHeight="1">
      <c r="A496" s="28" t="s">
        <v>3120</v>
      </c>
      <c r="B496" s="29" t="s">
        <v>3121</v>
      </c>
      <c r="C496" s="29" t="s">
        <v>7041</v>
      </c>
      <c r="D496" s="30">
        <v>45658.0</v>
      </c>
      <c r="E496" s="30">
        <v>46022.0</v>
      </c>
      <c r="F496" s="36">
        <v>62.95</v>
      </c>
      <c r="G496" s="36">
        <v>500.0</v>
      </c>
      <c r="H496" s="32" t="s">
        <v>7043</v>
      </c>
      <c r="I496" s="30">
        <v>46023.0</v>
      </c>
      <c r="J496" s="30">
        <v>46387.0</v>
      </c>
      <c r="K496" s="36">
        <v>0.0</v>
      </c>
      <c r="L496" s="36">
        <v>0.0</v>
      </c>
      <c r="M496" s="35" t="s">
        <v>7045</v>
      </c>
      <c r="N496" s="30">
        <v>46388.0</v>
      </c>
      <c r="O496" s="30">
        <v>46752.0</v>
      </c>
      <c r="P496" s="36">
        <v>0.0</v>
      </c>
      <c r="Q496" s="36">
        <v>0.0</v>
      </c>
      <c r="R496" s="35" t="s">
        <v>7045</v>
      </c>
      <c r="S496" s="30">
        <v>46753.0</v>
      </c>
      <c r="T496" s="30">
        <v>47118.0</v>
      </c>
      <c r="U496" s="36">
        <v>0.0</v>
      </c>
      <c r="V496" s="36">
        <v>0.0</v>
      </c>
      <c r="W496" s="35" t="s">
        <v>7045</v>
      </c>
      <c r="X496" s="30">
        <v>47119.0</v>
      </c>
      <c r="Y496" s="30">
        <v>47483.0</v>
      </c>
      <c r="Z496" s="36">
        <v>0.0</v>
      </c>
      <c r="AA496" s="36">
        <v>0.0</v>
      </c>
      <c r="AB496" s="35" t="s">
        <v>7045</v>
      </c>
      <c r="AC496" s="30">
        <v>47484.0</v>
      </c>
      <c r="AD496" s="30">
        <v>47848.0</v>
      </c>
      <c r="AE496" s="36">
        <v>0.0</v>
      </c>
      <c r="AF496" s="36">
        <v>0.0</v>
      </c>
      <c r="AG496" s="35" t="s">
        <v>7045</v>
      </c>
      <c r="AH496" s="30">
        <v>45292.0</v>
      </c>
      <c r="AI496" s="30">
        <v>45657.0</v>
      </c>
      <c r="AJ496" s="36">
        <v>114.76</v>
      </c>
      <c r="AK496" s="36">
        <v>500.0</v>
      </c>
      <c r="AL496" s="32" t="s">
        <v>7043</v>
      </c>
      <c r="AM496" s="30">
        <v>44562.0</v>
      </c>
      <c r="AN496" s="30">
        <v>44926.0</v>
      </c>
      <c r="AO496" s="36">
        <v>705.69</v>
      </c>
      <c r="AP496" s="36">
        <v>500.0</v>
      </c>
      <c r="AQ496" s="38" t="s">
        <v>7047</v>
      </c>
      <c r="AR496" s="30">
        <v>44927.0</v>
      </c>
      <c r="AS496" s="30">
        <v>45291.0</v>
      </c>
      <c r="AT496" s="36">
        <v>442.62</v>
      </c>
      <c r="AU496" s="36">
        <v>749.99</v>
      </c>
      <c r="AV496" s="37" t="s">
        <v>7046</v>
      </c>
    </row>
    <row r="497" ht="14.25" customHeight="1">
      <c r="A497" s="28" t="s">
        <v>7022</v>
      </c>
      <c r="B497" s="29" t="s">
        <v>7023</v>
      </c>
      <c r="C497" s="29" t="s">
        <v>7041</v>
      </c>
      <c r="D497" s="30">
        <v>45658.0</v>
      </c>
      <c r="E497" s="30">
        <v>46022.0</v>
      </c>
      <c r="F497" s="36">
        <v>21.48</v>
      </c>
      <c r="G497" s="36">
        <v>502.0</v>
      </c>
      <c r="H497" s="32" t="s">
        <v>7043</v>
      </c>
      <c r="I497" s="30">
        <v>46023.0</v>
      </c>
      <c r="J497" s="30">
        <v>46387.0</v>
      </c>
      <c r="K497" s="36">
        <v>0.0</v>
      </c>
      <c r="L497" s="36">
        <v>0.0</v>
      </c>
      <c r="M497" s="35" t="s">
        <v>7045</v>
      </c>
      <c r="N497" s="30">
        <v>46388.0</v>
      </c>
      <c r="O497" s="30">
        <v>46752.0</v>
      </c>
      <c r="P497" s="36">
        <v>0.0</v>
      </c>
      <c r="Q497" s="36">
        <v>0.0</v>
      </c>
      <c r="R497" s="35" t="s">
        <v>7045</v>
      </c>
      <c r="S497" s="30">
        <v>46753.0</v>
      </c>
      <c r="T497" s="30">
        <v>47118.0</v>
      </c>
      <c r="U497" s="36">
        <v>0.0</v>
      </c>
      <c r="V497" s="36">
        <v>0.0</v>
      </c>
      <c r="W497" s="35" t="s">
        <v>7045</v>
      </c>
      <c r="X497" s="30">
        <v>47119.0</v>
      </c>
      <c r="Y497" s="30">
        <v>47483.0</v>
      </c>
      <c r="Z497" s="36">
        <v>0.0</v>
      </c>
      <c r="AA497" s="36">
        <v>0.0</v>
      </c>
      <c r="AB497" s="35" t="s">
        <v>7045</v>
      </c>
      <c r="AC497" s="30">
        <v>47484.0</v>
      </c>
      <c r="AD497" s="30">
        <v>47848.0</v>
      </c>
      <c r="AE497" s="36">
        <v>0.0</v>
      </c>
      <c r="AF497" s="36">
        <v>0.0</v>
      </c>
      <c r="AG497" s="35" t="s">
        <v>7045</v>
      </c>
      <c r="AH497" s="30">
        <v>45292.0</v>
      </c>
      <c r="AI497" s="30">
        <v>45657.0</v>
      </c>
      <c r="AJ497" s="36">
        <v>21.51</v>
      </c>
      <c r="AK497" s="36">
        <v>500.0</v>
      </c>
      <c r="AL497" s="32" t="s">
        <v>7043</v>
      </c>
      <c r="AM497" s="30">
        <v>44562.0</v>
      </c>
      <c r="AN497" s="30">
        <v>44926.0</v>
      </c>
      <c r="AO497" s="36">
        <v>201.7</v>
      </c>
      <c r="AP497" s="36">
        <v>500.0</v>
      </c>
      <c r="AQ497" s="32" t="s">
        <v>7043</v>
      </c>
      <c r="AR497" s="30">
        <v>44927.0</v>
      </c>
      <c r="AS497" s="30">
        <v>45291.0</v>
      </c>
      <c r="AT497" s="36">
        <v>65.12</v>
      </c>
      <c r="AU497" s="36">
        <v>500.0</v>
      </c>
      <c r="AV497" s="32" t="s">
        <v>7043</v>
      </c>
    </row>
    <row r="498" ht="14.25" customHeight="1">
      <c r="A498" s="28" t="s">
        <v>6684</v>
      </c>
      <c r="B498" s="29" t="s">
        <v>6685</v>
      </c>
      <c r="C498" s="29" t="s">
        <v>7041</v>
      </c>
      <c r="D498" s="30">
        <v>45658.0</v>
      </c>
      <c r="E498" s="30">
        <v>46022.0</v>
      </c>
      <c r="F498" s="39">
        <v>42.85</v>
      </c>
      <c r="G498" s="39">
        <v>201.0</v>
      </c>
      <c r="H498" s="32" t="s">
        <v>7043</v>
      </c>
      <c r="I498" s="30">
        <v>46023.0</v>
      </c>
      <c r="J498" s="30">
        <v>46387.0</v>
      </c>
      <c r="K498" s="39">
        <v>0.0</v>
      </c>
      <c r="L498" s="39">
        <v>0.0</v>
      </c>
      <c r="M498" s="35" t="s">
        <v>7045</v>
      </c>
      <c r="N498" s="30">
        <v>46388.0</v>
      </c>
      <c r="O498" s="30">
        <v>46752.0</v>
      </c>
      <c r="P498" s="39">
        <v>0.0</v>
      </c>
      <c r="Q498" s="39">
        <v>0.0</v>
      </c>
      <c r="R498" s="35" t="s">
        <v>7045</v>
      </c>
      <c r="S498" s="30">
        <v>46753.0</v>
      </c>
      <c r="T498" s="30">
        <v>47118.0</v>
      </c>
      <c r="U498" s="39">
        <v>0.0</v>
      </c>
      <c r="V498" s="39">
        <v>0.0</v>
      </c>
      <c r="W498" s="35" t="s">
        <v>7045</v>
      </c>
      <c r="X498" s="30">
        <v>47119.0</v>
      </c>
      <c r="Y498" s="30">
        <v>47483.0</v>
      </c>
      <c r="Z498" s="39">
        <v>0.0</v>
      </c>
      <c r="AA498" s="39">
        <v>0.0</v>
      </c>
      <c r="AB498" s="35" t="s">
        <v>7045</v>
      </c>
      <c r="AC498" s="30">
        <v>47484.0</v>
      </c>
      <c r="AD498" s="30">
        <v>47848.0</v>
      </c>
      <c r="AE498" s="39">
        <v>0.0</v>
      </c>
      <c r="AF498" s="39">
        <v>0.0</v>
      </c>
      <c r="AG498" s="35" t="s">
        <v>7045</v>
      </c>
      <c r="AH498" s="30">
        <v>45292.0</v>
      </c>
      <c r="AI498" s="30">
        <v>45657.0</v>
      </c>
      <c r="AJ498" s="39">
        <v>144.14</v>
      </c>
      <c r="AK498" s="39">
        <v>161.5</v>
      </c>
      <c r="AL498" s="37" t="s">
        <v>7046</v>
      </c>
      <c r="AM498" s="30">
        <v>44562.0</v>
      </c>
      <c r="AN498" s="30">
        <v>44926.0</v>
      </c>
      <c r="AO498" s="39">
        <v>98.2</v>
      </c>
      <c r="AP498" s="39">
        <v>0.0</v>
      </c>
      <c r="AQ498" s="38" t="s">
        <v>7047</v>
      </c>
      <c r="AR498" s="30">
        <v>44927.0</v>
      </c>
      <c r="AS498" s="30">
        <v>45291.0</v>
      </c>
      <c r="AT498" s="39">
        <v>125.26</v>
      </c>
      <c r="AU498" s="39">
        <v>205.0</v>
      </c>
      <c r="AV498" s="37" t="s">
        <v>7046</v>
      </c>
    </row>
    <row r="499" ht="14.25" customHeight="1">
      <c r="A499" s="28" t="s">
        <v>4798</v>
      </c>
      <c r="B499" s="29" t="s">
        <v>4799</v>
      </c>
      <c r="C499" s="29" t="s">
        <v>7041</v>
      </c>
      <c r="D499" s="30">
        <v>45658.0</v>
      </c>
      <c r="E499" s="30">
        <v>46022.0</v>
      </c>
      <c r="F499" s="39">
        <v>92.88</v>
      </c>
      <c r="G499" s="39">
        <v>205.0</v>
      </c>
      <c r="H499" s="38" t="s">
        <v>7046</v>
      </c>
      <c r="I499" s="30">
        <v>46023.0</v>
      </c>
      <c r="J499" s="30">
        <v>46387.0</v>
      </c>
      <c r="K499" s="39">
        <v>0.0</v>
      </c>
      <c r="L499" s="39">
        <v>0.0</v>
      </c>
      <c r="M499" s="35" t="s">
        <v>7045</v>
      </c>
      <c r="N499" s="30">
        <v>46388.0</v>
      </c>
      <c r="O499" s="30">
        <v>46752.0</v>
      </c>
      <c r="P499" s="39">
        <v>0.0</v>
      </c>
      <c r="Q499" s="39">
        <v>0.0</v>
      </c>
      <c r="R499" s="35" t="s">
        <v>7045</v>
      </c>
      <c r="S499" s="30">
        <v>46753.0</v>
      </c>
      <c r="T499" s="30">
        <v>47118.0</v>
      </c>
      <c r="U499" s="39">
        <v>0.0</v>
      </c>
      <c r="V499" s="39">
        <v>0.0</v>
      </c>
      <c r="W499" s="35" t="s">
        <v>7045</v>
      </c>
      <c r="X499" s="30">
        <v>47119.0</v>
      </c>
      <c r="Y499" s="30">
        <v>47483.0</v>
      </c>
      <c r="Z499" s="39">
        <v>0.0</v>
      </c>
      <c r="AA499" s="39">
        <v>0.0</v>
      </c>
      <c r="AB499" s="35" t="s">
        <v>7045</v>
      </c>
      <c r="AC499" s="30">
        <v>47484.0</v>
      </c>
      <c r="AD499" s="30">
        <v>47848.0</v>
      </c>
      <c r="AE499" s="39">
        <v>0.0</v>
      </c>
      <c r="AF499" s="39">
        <v>0.0</v>
      </c>
      <c r="AG499" s="35" t="s">
        <v>7045</v>
      </c>
      <c r="AH499" s="30">
        <v>45292.0</v>
      </c>
      <c r="AI499" s="30">
        <v>45657.0</v>
      </c>
      <c r="AJ499" s="39">
        <v>103.11</v>
      </c>
      <c r="AK499" s="39">
        <v>120.0</v>
      </c>
      <c r="AL499" s="37" t="s">
        <v>7046</v>
      </c>
      <c r="AM499" s="30">
        <v>44562.0</v>
      </c>
      <c r="AN499" s="30">
        <v>44926.0</v>
      </c>
      <c r="AO499" s="39">
        <v>132.2</v>
      </c>
      <c r="AP499" s="39">
        <v>260.0</v>
      </c>
      <c r="AQ499" s="37" t="s">
        <v>7046</v>
      </c>
      <c r="AR499" s="30">
        <v>44927.0</v>
      </c>
      <c r="AS499" s="30">
        <v>45291.0</v>
      </c>
      <c r="AT499" s="39">
        <v>95.35</v>
      </c>
      <c r="AU499" s="39">
        <v>151.0</v>
      </c>
      <c r="AV499" s="37" t="s">
        <v>7046</v>
      </c>
    </row>
    <row r="500" ht="14.25" customHeight="1">
      <c r="A500" s="28" t="s">
        <v>3206</v>
      </c>
      <c r="B500" s="29" t="s">
        <v>3207</v>
      </c>
      <c r="C500" s="29" t="s">
        <v>7041</v>
      </c>
      <c r="D500" s="30">
        <v>45658.0</v>
      </c>
      <c r="E500" s="30">
        <v>46022.0</v>
      </c>
      <c r="F500" s="36">
        <v>4.96</v>
      </c>
      <c r="G500" s="36">
        <v>300.0</v>
      </c>
      <c r="H500" s="32" t="s">
        <v>7043</v>
      </c>
      <c r="I500" s="30">
        <v>46023.0</v>
      </c>
      <c r="J500" s="30">
        <v>46387.0</v>
      </c>
      <c r="K500" s="36">
        <v>0.0</v>
      </c>
      <c r="L500" s="36">
        <v>0.0</v>
      </c>
      <c r="M500" s="35" t="s">
        <v>7045</v>
      </c>
      <c r="N500" s="30">
        <v>46388.0</v>
      </c>
      <c r="O500" s="30">
        <v>46752.0</v>
      </c>
      <c r="P500" s="36">
        <v>0.0</v>
      </c>
      <c r="Q500" s="36">
        <v>0.0</v>
      </c>
      <c r="R500" s="35" t="s">
        <v>7045</v>
      </c>
      <c r="S500" s="30">
        <v>46753.0</v>
      </c>
      <c r="T500" s="30">
        <v>47118.0</v>
      </c>
      <c r="U500" s="36">
        <v>0.0</v>
      </c>
      <c r="V500" s="36">
        <v>0.0</v>
      </c>
      <c r="W500" s="35" t="s">
        <v>7045</v>
      </c>
      <c r="X500" s="30">
        <v>47119.0</v>
      </c>
      <c r="Y500" s="30">
        <v>47483.0</v>
      </c>
      <c r="Z500" s="36">
        <v>0.0</v>
      </c>
      <c r="AA500" s="36">
        <v>0.0</v>
      </c>
      <c r="AB500" s="35" t="s">
        <v>7045</v>
      </c>
      <c r="AC500" s="30">
        <v>47484.0</v>
      </c>
      <c r="AD500" s="30">
        <v>47848.0</v>
      </c>
      <c r="AE500" s="36">
        <v>0.0</v>
      </c>
      <c r="AF500" s="36">
        <v>0.0</v>
      </c>
      <c r="AG500" s="35" t="s">
        <v>7045</v>
      </c>
      <c r="AH500" s="30">
        <v>45292.0</v>
      </c>
      <c r="AI500" s="30">
        <v>45657.0</v>
      </c>
      <c r="AJ500" s="36">
        <v>53.56</v>
      </c>
      <c r="AK500" s="36">
        <v>0.0</v>
      </c>
      <c r="AL500" s="38" t="s">
        <v>7047</v>
      </c>
      <c r="AM500" s="30">
        <v>44562.0</v>
      </c>
      <c r="AN500" s="30">
        <v>44926.0</v>
      </c>
      <c r="AO500" s="36">
        <v>51.6</v>
      </c>
      <c r="AP500" s="36">
        <v>0.0</v>
      </c>
      <c r="AQ500" s="38" t="s">
        <v>7047</v>
      </c>
      <c r="AR500" s="30">
        <v>44927.0</v>
      </c>
      <c r="AS500" s="30">
        <v>45291.0</v>
      </c>
      <c r="AT500" s="36">
        <v>165.96</v>
      </c>
      <c r="AU500" s="36">
        <v>0.0</v>
      </c>
      <c r="AV500" s="38" t="s">
        <v>7047</v>
      </c>
    </row>
    <row r="501" ht="14.25" customHeight="1">
      <c r="A501" s="28" t="s">
        <v>3330</v>
      </c>
      <c r="B501" s="29" t="s">
        <v>3331</v>
      </c>
      <c r="C501" s="29" t="s">
        <v>7041</v>
      </c>
      <c r="D501" s="30">
        <v>45658.0</v>
      </c>
      <c r="E501" s="30">
        <v>46022.0</v>
      </c>
      <c r="F501" s="39">
        <v>17.17</v>
      </c>
      <c r="G501" s="39">
        <v>200.0</v>
      </c>
      <c r="H501" s="32" t="s">
        <v>7043</v>
      </c>
      <c r="I501" s="30">
        <v>46023.0</v>
      </c>
      <c r="J501" s="30">
        <v>46387.0</v>
      </c>
      <c r="K501" s="39">
        <v>0.0</v>
      </c>
      <c r="L501" s="39">
        <v>0.0</v>
      </c>
      <c r="M501" s="35" t="s">
        <v>7045</v>
      </c>
      <c r="N501" s="30">
        <v>46388.0</v>
      </c>
      <c r="O501" s="30">
        <v>46752.0</v>
      </c>
      <c r="P501" s="39">
        <v>0.0</v>
      </c>
      <c r="Q501" s="39">
        <v>0.0</v>
      </c>
      <c r="R501" s="35" t="s">
        <v>7045</v>
      </c>
      <c r="S501" s="30">
        <v>46753.0</v>
      </c>
      <c r="T501" s="30">
        <v>47118.0</v>
      </c>
      <c r="U501" s="39">
        <v>0.0</v>
      </c>
      <c r="V501" s="39">
        <v>0.0</v>
      </c>
      <c r="W501" s="35" t="s">
        <v>7045</v>
      </c>
      <c r="X501" s="30">
        <v>47119.0</v>
      </c>
      <c r="Y501" s="30">
        <v>47483.0</v>
      </c>
      <c r="Z501" s="39">
        <v>0.0</v>
      </c>
      <c r="AA501" s="39">
        <v>0.0</v>
      </c>
      <c r="AB501" s="35" t="s">
        <v>7045</v>
      </c>
      <c r="AC501" s="30">
        <v>47484.0</v>
      </c>
      <c r="AD501" s="30">
        <v>47848.0</v>
      </c>
      <c r="AE501" s="39">
        <v>0.0</v>
      </c>
      <c r="AF501" s="39">
        <v>0.0</v>
      </c>
      <c r="AG501" s="35" t="s">
        <v>7045</v>
      </c>
      <c r="AH501" s="30">
        <v>45292.0</v>
      </c>
      <c r="AI501" s="30">
        <v>45657.0</v>
      </c>
      <c r="AJ501" s="39">
        <v>107.51</v>
      </c>
      <c r="AK501" s="39">
        <v>200.0</v>
      </c>
      <c r="AL501" s="37" t="s">
        <v>7046</v>
      </c>
      <c r="AM501" s="30">
        <v>44562.0</v>
      </c>
      <c r="AN501" s="30">
        <v>44926.0</v>
      </c>
      <c r="AO501" s="39">
        <v>82.1</v>
      </c>
      <c r="AP501" s="39">
        <v>0.0</v>
      </c>
      <c r="AQ501" s="38" t="s">
        <v>7047</v>
      </c>
      <c r="AR501" s="30">
        <v>44927.0</v>
      </c>
      <c r="AS501" s="30">
        <v>45291.0</v>
      </c>
      <c r="AT501" s="39">
        <v>161.19</v>
      </c>
      <c r="AU501" s="39">
        <v>0.0</v>
      </c>
      <c r="AV501" s="38" t="s">
        <v>7047</v>
      </c>
    </row>
    <row r="502" ht="14.25" customHeight="1">
      <c r="A502" s="28" t="s">
        <v>4501</v>
      </c>
      <c r="B502" s="29" t="s">
        <v>4502</v>
      </c>
      <c r="C502" s="29" t="s">
        <v>7041</v>
      </c>
      <c r="D502" s="30">
        <v>45658.0</v>
      </c>
      <c r="E502" s="30">
        <v>46022.0</v>
      </c>
      <c r="F502" s="36">
        <v>22.17</v>
      </c>
      <c r="G502" s="36">
        <v>506.5</v>
      </c>
      <c r="H502" s="32" t="s">
        <v>7043</v>
      </c>
      <c r="I502" s="30">
        <v>46023.0</v>
      </c>
      <c r="J502" s="30">
        <v>46387.0</v>
      </c>
      <c r="K502" s="36">
        <v>0.0</v>
      </c>
      <c r="L502" s="36">
        <v>0.0</v>
      </c>
      <c r="M502" s="35" t="s">
        <v>7045</v>
      </c>
      <c r="N502" s="30">
        <v>46388.0</v>
      </c>
      <c r="O502" s="30">
        <v>46752.0</v>
      </c>
      <c r="P502" s="36">
        <v>0.0</v>
      </c>
      <c r="Q502" s="36">
        <v>0.0</v>
      </c>
      <c r="R502" s="35" t="s">
        <v>7045</v>
      </c>
      <c r="S502" s="30">
        <v>46753.0</v>
      </c>
      <c r="T502" s="30">
        <v>47118.0</v>
      </c>
      <c r="U502" s="36">
        <v>0.0</v>
      </c>
      <c r="V502" s="36">
        <v>0.0</v>
      </c>
      <c r="W502" s="35" t="s">
        <v>7045</v>
      </c>
      <c r="X502" s="30">
        <v>47119.0</v>
      </c>
      <c r="Y502" s="30">
        <v>47483.0</v>
      </c>
      <c r="Z502" s="36">
        <v>0.0</v>
      </c>
      <c r="AA502" s="36">
        <v>0.0</v>
      </c>
      <c r="AB502" s="35" t="s">
        <v>7045</v>
      </c>
      <c r="AC502" s="30">
        <v>47484.0</v>
      </c>
      <c r="AD502" s="30">
        <v>47848.0</v>
      </c>
      <c r="AE502" s="36">
        <v>0.0</v>
      </c>
      <c r="AF502" s="36">
        <v>0.0</v>
      </c>
      <c r="AG502" s="35" t="s">
        <v>7045</v>
      </c>
      <c r="AH502" s="30">
        <v>45292.0</v>
      </c>
      <c r="AI502" s="30">
        <v>45657.0</v>
      </c>
      <c r="AJ502" s="36">
        <v>83.36</v>
      </c>
      <c r="AK502" s="36">
        <v>504.6</v>
      </c>
      <c r="AL502" s="32" t="s">
        <v>7043</v>
      </c>
      <c r="AM502" s="30">
        <v>44562.0</v>
      </c>
      <c r="AN502" s="30">
        <v>44926.0</v>
      </c>
      <c r="AO502" s="36">
        <v>458.0</v>
      </c>
      <c r="AP502" s="36">
        <v>529.0</v>
      </c>
      <c r="AQ502" s="37" t="s">
        <v>7046</v>
      </c>
      <c r="AR502" s="30">
        <v>44927.0</v>
      </c>
      <c r="AS502" s="30">
        <v>45291.0</v>
      </c>
      <c r="AT502" s="36">
        <v>256.36</v>
      </c>
      <c r="AU502" s="36">
        <v>550.0</v>
      </c>
      <c r="AV502" s="32" t="s">
        <v>7043</v>
      </c>
    </row>
    <row r="503" ht="14.25" customHeight="1">
      <c r="A503" s="28" t="s">
        <v>3067</v>
      </c>
      <c r="B503" s="29" t="s">
        <v>3068</v>
      </c>
      <c r="C503" s="29" t="s">
        <v>7041</v>
      </c>
      <c r="D503" s="30">
        <v>45658.0</v>
      </c>
      <c r="E503" s="30">
        <v>46022.0</v>
      </c>
      <c r="F503" s="39">
        <v>93.97</v>
      </c>
      <c r="G503" s="39">
        <v>200.0</v>
      </c>
      <c r="H503" s="38" t="s">
        <v>7046</v>
      </c>
      <c r="I503" s="30">
        <v>46023.0</v>
      </c>
      <c r="J503" s="30">
        <v>46387.0</v>
      </c>
      <c r="K503" s="39">
        <v>0.0</v>
      </c>
      <c r="L503" s="39">
        <v>0.0</v>
      </c>
      <c r="M503" s="35" t="s">
        <v>7045</v>
      </c>
      <c r="N503" s="30">
        <v>46388.0</v>
      </c>
      <c r="O503" s="30">
        <v>46752.0</v>
      </c>
      <c r="P503" s="39">
        <v>0.0</v>
      </c>
      <c r="Q503" s="39">
        <v>0.0</v>
      </c>
      <c r="R503" s="35" t="s">
        <v>7045</v>
      </c>
      <c r="S503" s="30">
        <v>46753.0</v>
      </c>
      <c r="T503" s="30">
        <v>47118.0</v>
      </c>
      <c r="U503" s="39">
        <v>0.0</v>
      </c>
      <c r="V503" s="39">
        <v>0.0</v>
      </c>
      <c r="W503" s="35" t="s">
        <v>7045</v>
      </c>
      <c r="X503" s="30">
        <v>47119.0</v>
      </c>
      <c r="Y503" s="30">
        <v>47483.0</v>
      </c>
      <c r="Z503" s="39">
        <v>0.0</v>
      </c>
      <c r="AA503" s="39">
        <v>0.0</v>
      </c>
      <c r="AB503" s="35" t="s">
        <v>7045</v>
      </c>
      <c r="AC503" s="30">
        <v>47484.0</v>
      </c>
      <c r="AD503" s="30">
        <v>47848.0</v>
      </c>
      <c r="AE503" s="39">
        <v>0.0</v>
      </c>
      <c r="AF503" s="39">
        <v>0.0</v>
      </c>
      <c r="AG503" s="35" t="s">
        <v>7045</v>
      </c>
      <c r="AH503" s="30">
        <v>45292.0</v>
      </c>
      <c r="AI503" s="30">
        <v>45657.0</v>
      </c>
      <c r="AJ503" s="39">
        <v>92.11</v>
      </c>
      <c r="AK503" s="39">
        <v>327.0</v>
      </c>
      <c r="AL503" s="32" t="s">
        <v>7043</v>
      </c>
      <c r="AM503" s="30">
        <v>44562.0</v>
      </c>
      <c r="AN503" s="30">
        <v>44926.0</v>
      </c>
      <c r="AO503" s="39">
        <v>134.4</v>
      </c>
      <c r="AP503" s="39">
        <v>0.0</v>
      </c>
      <c r="AQ503" s="38" t="s">
        <v>7047</v>
      </c>
      <c r="AR503" s="30">
        <v>44927.0</v>
      </c>
      <c r="AS503" s="30">
        <v>45291.0</v>
      </c>
      <c r="AT503" s="39">
        <v>339.78</v>
      </c>
      <c r="AU503" s="39">
        <v>0.0</v>
      </c>
      <c r="AV503" s="38" t="s">
        <v>7047</v>
      </c>
    </row>
    <row r="504" ht="14.25" customHeight="1">
      <c r="A504" s="28" t="s">
        <v>6744</v>
      </c>
      <c r="B504" s="29" t="s">
        <v>6745</v>
      </c>
      <c r="C504" s="29" t="s">
        <v>7041</v>
      </c>
      <c r="D504" s="30">
        <v>45658.0</v>
      </c>
      <c r="E504" s="30">
        <v>46022.0</v>
      </c>
      <c r="F504" s="39">
        <v>4.99</v>
      </c>
      <c r="G504" s="39">
        <v>201.0</v>
      </c>
      <c r="H504" s="32" t="s">
        <v>7043</v>
      </c>
      <c r="I504" s="30">
        <v>46023.0</v>
      </c>
      <c r="J504" s="30">
        <v>46387.0</v>
      </c>
      <c r="K504" s="39">
        <v>0.0</v>
      </c>
      <c r="L504" s="39">
        <v>0.0</v>
      </c>
      <c r="M504" s="35" t="s">
        <v>7045</v>
      </c>
      <c r="N504" s="30">
        <v>46388.0</v>
      </c>
      <c r="O504" s="30">
        <v>46752.0</v>
      </c>
      <c r="P504" s="39">
        <v>0.0</v>
      </c>
      <c r="Q504" s="39">
        <v>0.0</v>
      </c>
      <c r="R504" s="35" t="s">
        <v>7045</v>
      </c>
      <c r="S504" s="30">
        <v>46753.0</v>
      </c>
      <c r="T504" s="30">
        <v>47118.0</v>
      </c>
      <c r="U504" s="39">
        <v>0.0</v>
      </c>
      <c r="V504" s="39">
        <v>0.0</v>
      </c>
      <c r="W504" s="35" t="s">
        <v>7045</v>
      </c>
      <c r="X504" s="30">
        <v>47119.0</v>
      </c>
      <c r="Y504" s="30">
        <v>47483.0</v>
      </c>
      <c r="Z504" s="39">
        <v>0.0</v>
      </c>
      <c r="AA504" s="39">
        <v>0.0</v>
      </c>
      <c r="AB504" s="35" t="s">
        <v>7045</v>
      </c>
      <c r="AC504" s="30">
        <v>47484.0</v>
      </c>
      <c r="AD504" s="30">
        <v>47848.0</v>
      </c>
      <c r="AE504" s="39">
        <v>0.0</v>
      </c>
      <c r="AF504" s="39">
        <v>0.0</v>
      </c>
      <c r="AG504" s="35" t="s">
        <v>7045</v>
      </c>
      <c r="AH504" s="30">
        <v>45292.0</v>
      </c>
      <c r="AI504" s="30">
        <v>45657.0</v>
      </c>
      <c r="AJ504" s="39">
        <v>8.93</v>
      </c>
      <c r="AK504" s="39">
        <v>201.0</v>
      </c>
      <c r="AL504" s="32" t="s">
        <v>7043</v>
      </c>
      <c r="AM504" s="30">
        <v>44562.0</v>
      </c>
      <c r="AN504" s="30">
        <v>44926.0</v>
      </c>
      <c r="AO504" s="39">
        <v>66.9</v>
      </c>
      <c r="AP504" s="39">
        <v>250.0</v>
      </c>
      <c r="AQ504" s="32" t="s">
        <v>7043</v>
      </c>
      <c r="AR504" s="30">
        <v>44927.0</v>
      </c>
      <c r="AS504" s="30">
        <v>45291.0</v>
      </c>
      <c r="AT504" s="39">
        <v>31.92</v>
      </c>
      <c r="AU504" s="39">
        <v>61.0</v>
      </c>
      <c r="AV504" s="37" t="s">
        <v>7046</v>
      </c>
    </row>
    <row r="505" ht="14.25" customHeight="1">
      <c r="A505" s="28" t="s">
        <v>4178</v>
      </c>
      <c r="B505" s="29" t="s">
        <v>4179</v>
      </c>
      <c r="C505" s="29" t="s">
        <v>7041</v>
      </c>
      <c r="D505" s="30">
        <v>45658.0</v>
      </c>
      <c r="E505" s="30">
        <v>46022.0</v>
      </c>
      <c r="F505" s="39">
        <v>15.23</v>
      </c>
      <c r="G505" s="39">
        <v>200.0</v>
      </c>
      <c r="H505" s="32" t="s">
        <v>7043</v>
      </c>
      <c r="I505" s="30">
        <v>46023.0</v>
      </c>
      <c r="J505" s="30">
        <v>46387.0</v>
      </c>
      <c r="K505" s="39">
        <v>0.0</v>
      </c>
      <c r="L505" s="39">
        <v>0.0</v>
      </c>
      <c r="M505" s="35" t="s">
        <v>7045</v>
      </c>
      <c r="N505" s="30">
        <v>46388.0</v>
      </c>
      <c r="O505" s="30">
        <v>46752.0</v>
      </c>
      <c r="P505" s="39">
        <v>0.0</v>
      </c>
      <c r="Q505" s="39">
        <v>0.0</v>
      </c>
      <c r="R505" s="35" t="s">
        <v>7045</v>
      </c>
      <c r="S505" s="30">
        <v>46753.0</v>
      </c>
      <c r="T505" s="30">
        <v>47118.0</v>
      </c>
      <c r="U505" s="39">
        <v>0.0</v>
      </c>
      <c r="V505" s="39">
        <v>0.0</v>
      </c>
      <c r="W505" s="35" t="s">
        <v>7045</v>
      </c>
      <c r="X505" s="30">
        <v>47119.0</v>
      </c>
      <c r="Y505" s="30">
        <v>47483.0</v>
      </c>
      <c r="Z505" s="39">
        <v>0.0</v>
      </c>
      <c r="AA505" s="39">
        <v>0.0</v>
      </c>
      <c r="AB505" s="35" t="s">
        <v>7045</v>
      </c>
      <c r="AC505" s="30">
        <v>47484.0</v>
      </c>
      <c r="AD505" s="30">
        <v>47848.0</v>
      </c>
      <c r="AE505" s="39">
        <v>0.0</v>
      </c>
      <c r="AF505" s="39">
        <v>0.0</v>
      </c>
      <c r="AG505" s="35" t="s">
        <v>7045</v>
      </c>
      <c r="AH505" s="30">
        <v>45292.0</v>
      </c>
      <c r="AI505" s="30">
        <v>45657.0</v>
      </c>
      <c r="AJ505" s="39">
        <v>86.14</v>
      </c>
      <c r="AK505" s="39">
        <v>215.0</v>
      </c>
      <c r="AL505" s="32" t="s">
        <v>7043</v>
      </c>
      <c r="AM505" s="30">
        <v>44562.0</v>
      </c>
      <c r="AN505" s="30">
        <v>44926.0</v>
      </c>
      <c r="AO505" s="39">
        <v>79.5</v>
      </c>
      <c r="AP505" s="39">
        <v>270.0</v>
      </c>
      <c r="AQ505" s="32" t="s">
        <v>7043</v>
      </c>
      <c r="AR505" s="30">
        <v>44927.0</v>
      </c>
      <c r="AS505" s="30">
        <v>45291.0</v>
      </c>
      <c r="AT505" s="39">
        <v>150.35</v>
      </c>
      <c r="AU505" s="39">
        <v>218.5</v>
      </c>
      <c r="AV505" s="37" t="s">
        <v>7046</v>
      </c>
    </row>
    <row r="506" ht="14.25" customHeight="1">
      <c r="A506" s="28" t="s">
        <v>6408</v>
      </c>
      <c r="B506" s="29" t="s">
        <v>6409</v>
      </c>
      <c r="C506" s="29" t="s">
        <v>7041</v>
      </c>
      <c r="D506" s="30">
        <v>45658.0</v>
      </c>
      <c r="E506" s="30">
        <v>46022.0</v>
      </c>
      <c r="F506" s="39">
        <v>113.32</v>
      </c>
      <c r="G506" s="39">
        <v>660.0</v>
      </c>
      <c r="H506" s="32" t="s">
        <v>7043</v>
      </c>
      <c r="I506" s="30">
        <v>46023.0</v>
      </c>
      <c r="J506" s="30">
        <v>46387.0</v>
      </c>
      <c r="K506" s="39">
        <v>0.0</v>
      </c>
      <c r="L506" s="39">
        <v>0.0</v>
      </c>
      <c r="M506" s="35" t="s">
        <v>7045</v>
      </c>
      <c r="N506" s="30">
        <v>46388.0</v>
      </c>
      <c r="O506" s="30">
        <v>46752.0</v>
      </c>
      <c r="P506" s="39">
        <v>0.0</v>
      </c>
      <c r="Q506" s="39">
        <v>0.0</v>
      </c>
      <c r="R506" s="35" t="s">
        <v>7045</v>
      </c>
      <c r="S506" s="30">
        <v>46753.0</v>
      </c>
      <c r="T506" s="30">
        <v>47118.0</v>
      </c>
      <c r="U506" s="39">
        <v>0.0</v>
      </c>
      <c r="V506" s="39">
        <v>0.0</v>
      </c>
      <c r="W506" s="35" t="s">
        <v>7045</v>
      </c>
      <c r="X506" s="30">
        <v>47119.0</v>
      </c>
      <c r="Y506" s="30">
        <v>47483.0</v>
      </c>
      <c r="Z506" s="39">
        <v>0.0</v>
      </c>
      <c r="AA506" s="39">
        <v>0.0</v>
      </c>
      <c r="AB506" s="35" t="s">
        <v>7045</v>
      </c>
      <c r="AC506" s="30">
        <v>47484.0</v>
      </c>
      <c r="AD506" s="30">
        <v>47848.0</v>
      </c>
      <c r="AE506" s="39">
        <v>0.0</v>
      </c>
      <c r="AF506" s="39">
        <v>0.0</v>
      </c>
      <c r="AG506" s="35" t="s">
        <v>7045</v>
      </c>
      <c r="AH506" s="30">
        <v>45292.0</v>
      </c>
      <c r="AI506" s="30">
        <v>45657.0</v>
      </c>
      <c r="AJ506" s="39">
        <v>148.36</v>
      </c>
      <c r="AK506" s="39">
        <v>655.0</v>
      </c>
      <c r="AL506" s="32" t="s">
        <v>7043</v>
      </c>
      <c r="AM506" s="30">
        <v>44562.0</v>
      </c>
      <c r="AN506" s="30">
        <v>44926.0</v>
      </c>
      <c r="AO506" s="39">
        <v>391.9</v>
      </c>
      <c r="AP506" s="39">
        <v>479.0</v>
      </c>
      <c r="AQ506" s="37" t="s">
        <v>7046</v>
      </c>
      <c r="AR506" s="30">
        <v>44927.0</v>
      </c>
      <c r="AS506" s="30">
        <v>45291.0</v>
      </c>
      <c r="AT506" s="39">
        <v>574.56</v>
      </c>
      <c r="AU506" s="39">
        <v>653.0</v>
      </c>
      <c r="AV506" s="37" t="s">
        <v>7046</v>
      </c>
    </row>
    <row r="507" ht="14.25" customHeight="1">
      <c r="A507" s="28" t="s">
        <v>6420</v>
      </c>
      <c r="B507" s="29" t="s">
        <v>6421</v>
      </c>
      <c r="C507" s="29" t="s">
        <v>7041</v>
      </c>
      <c r="D507" s="30">
        <v>45658.0</v>
      </c>
      <c r="E507" s="30">
        <v>46022.0</v>
      </c>
      <c r="F507" s="39">
        <v>15.82</v>
      </c>
      <c r="G507" s="39">
        <v>203.0</v>
      </c>
      <c r="H507" s="32" t="s">
        <v>7043</v>
      </c>
      <c r="I507" s="30">
        <v>46023.0</v>
      </c>
      <c r="J507" s="30">
        <v>46387.0</v>
      </c>
      <c r="K507" s="39">
        <v>0.0</v>
      </c>
      <c r="L507" s="39">
        <v>0.0</v>
      </c>
      <c r="M507" s="35" t="s">
        <v>7045</v>
      </c>
      <c r="N507" s="30">
        <v>46388.0</v>
      </c>
      <c r="O507" s="30">
        <v>46752.0</v>
      </c>
      <c r="P507" s="39">
        <v>0.0</v>
      </c>
      <c r="Q507" s="39">
        <v>0.0</v>
      </c>
      <c r="R507" s="35" t="s">
        <v>7045</v>
      </c>
      <c r="S507" s="30">
        <v>46753.0</v>
      </c>
      <c r="T507" s="30">
        <v>47118.0</v>
      </c>
      <c r="U507" s="39">
        <v>0.0</v>
      </c>
      <c r="V507" s="39">
        <v>0.0</v>
      </c>
      <c r="W507" s="35" t="s">
        <v>7045</v>
      </c>
      <c r="X507" s="30">
        <v>47119.0</v>
      </c>
      <c r="Y507" s="30">
        <v>47483.0</v>
      </c>
      <c r="Z507" s="39">
        <v>0.0</v>
      </c>
      <c r="AA507" s="39">
        <v>0.0</v>
      </c>
      <c r="AB507" s="35" t="s">
        <v>7045</v>
      </c>
      <c r="AC507" s="30">
        <v>47484.0</v>
      </c>
      <c r="AD507" s="30">
        <v>47848.0</v>
      </c>
      <c r="AE507" s="39">
        <v>0.0</v>
      </c>
      <c r="AF507" s="39">
        <v>0.0</v>
      </c>
      <c r="AG507" s="35" t="s">
        <v>7045</v>
      </c>
      <c r="AH507" s="30">
        <v>45292.0</v>
      </c>
      <c r="AI507" s="30">
        <v>45657.0</v>
      </c>
      <c r="AJ507" s="39">
        <v>32.44</v>
      </c>
      <c r="AK507" s="39">
        <v>205.0</v>
      </c>
      <c r="AL507" s="32" t="s">
        <v>7043</v>
      </c>
      <c r="AM507" s="30">
        <v>44562.0</v>
      </c>
      <c r="AN507" s="30">
        <v>44926.0</v>
      </c>
      <c r="AO507" s="39">
        <v>48.0</v>
      </c>
      <c r="AP507" s="39">
        <v>105.0</v>
      </c>
      <c r="AQ507" s="32" t="s">
        <v>7043</v>
      </c>
      <c r="AR507" s="30">
        <v>44927.0</v>
      </c>
      <c r="AS507" s="30">
        <v>45291.0</v>
      </c>
      <c r="AT507" s="39">
        <v>64.25</v>
      </c>
      <c r="AU507" s="39">
        <v>101.0</v>
      </c>
      <c r="AV507" s="37" t="s">
        <v>7046</v>
      </c>
    </row>
    <row r="508" ht="14.25" customHeight="1">
      <c r="A508" s="28" t="s">
        <v>1702</v>
      </c>
      <c r="B508" s="29" t="s">
        <v>1703</v>
      </c>
      <c r="C508" s="29" t="s">
        <v>7041</v>
      </c>
      <c r="D508" s="30">
        <v>45658.0</v>
      </c>
      <c r="E508" s="30">
        <v>46022.0</v>
      </c>
      <c r="F508" s="39">
        <v>22.62</v>
      </c>
      <c r="G508" s="39">
        <v>250.0</v>
      </c>
      <c r="H508" s="32" t="s">
        <v>7043</v>
      </c>
      <c r="I508" s="30">
        <v>46023.0</v>
      </c>
      <c r="J508" s="30">
        <v>46387.0</v>
      </c>
      <c r="K508" s="39">
        <v>0.0</v>
      </c>
      <c r="L508" s="39">
        <v>0.0</v>
      </c>
      <c r="M508" s="35" t="s">
        <v>7045</v>
      </c>
      <c r="N508" s="30">
        <v>46388.0</v>
      </c>
      <c r="O508" s="30">
        <v>46752.0</v>
      </c>
      <c r="P508" s="39">
        <v>0.0</v>
      </c>
      <c r="Q508" s="39">
        <v>0.0</v>
      </c>
      <c r="R508" s="35" t="s">
        <v>7045</v>
      </c>
      <c r="S508" s="30">
        <v>46753.0</v>
      </c>
      <c r="T508" s="30">
        <v>47118.0</v>
      </c>
      <c r="U508" s="39">
        <v>0.0</v>
      </c>
      <c r="V508" s="39">
        <v>0.0</v>
      </c>
      <c r="W508" s="35" t="s">
        <v>7045</v>
      </c>
      <c r="X508" s="30">
        <v>47119.0</v>
      </c>
      <c r="Y508" s="30">
        <v>47483.0</v>
      </c>
      <c r="Z508" s="39">
        <v>0.0</v>
      </c>
      <c r="AA508" s="39">
        <v>0.0</v>
      </c>
      <c r="AB508" s="35" t="s">
        <v>7045</v>
      </c>
      <c r="AC508" s="30">
        <v>47484.0</v>
      </c>
      <c r="AD508" s="30">
        <v>47848.0</v>
      </c>
      <c r="AE508" s="39">
        <v>0.0</v>
      </c>
      <c r="AF508" s="39">
        <v>0.0</v>
      </c>
      <c r="AG508" s="35" t="s">
        <v>7045</v>
      </c>
      <c r="AH508" s="30">
        <v>45292.0</v>
      </c>
      <c r="AI508" s="30">
        <v>45657.0</v>
      </c>
      <c r="AJ508" s="39">
        <v>48.76</v>
      </c>
      <c r="AK508" s="39">
        <v>224.0</v>
      </c>
      <c r="AL508" s="32" t="s">
        <v>7043</v>
      </c>
      <c r="AM508" s="30">
        <v>44562.0</v>
      </c>
      <c r="AN508" s="30">
        <v>44926.0</v>
      </c>
      <c r="AO508" s="39">
        <v>205.9</v>
      </c>
      <c r="AP508" s="39">
        <v>259.0</v>
      </c>
      <c r="AQ508" s="37" t="s">
        <v>7046</v>
      </c>
      <c r="AR508" s="30">
        <v>44927.0</v>
      </c>
      <c r="AS508" s="30">
        <v>45291.0</v>
      </c>
      <c r="AT508" s="39">
        <v>183.42</v>
      </c>
      <c r="AU508" s="39">
        <v>409.7</v>
      </c>
      <c r="AV508" s="32" t="s">
        <v>7043</v>
      </c>
    </row>
    <row r="509" ht="14.25" customHeight="1">
      <c r="A509" s="28" t="s">
        <v>2056</v>
      </c>
      <c r="B509" s="29" t="s">
        <v>2057</v>
      </c>
      <c r="C509" s="29" t="s">
        <v>7041</v>
      </c>
      <c r="D509" s="30">
        <v>45658.0</v>
      </c>
      <c r="E509" s="30">
        <v>46022.0</v>
      </c>
      <c r="F509" s="39">
        <v>415.35</v>
      </c>
      <c r="G509" s="39">
        <v>201.0</v>
      </c>
      <c r="H509" s="38" t="s">
        <v>7047</v>
      </c>
      <c r="I509" s="30">
        <v>46023.0</v>
      </c>
      <c r="J509" s="30">
        <v>46387.0</v>
      </c>
      <c r="K509" s="39">
        <v>0.0</v>
      </c>
      <c r="L509" s="39">
        <v>0.0</v>
      </c>
      <c r="M509" s="35" t="s">
        <v>7045</v>
      </c>
      <c r="N509" s="30">
        <v>46388.0</v>
      </c>
      <c r="O509" s="30">
        <v>46752.0</v>
      </c>
      <c r="P509" s="39">
        <v>0.0</v>
      </c>
      <c r="Q509" s="39">
        <v>0.0</v>
      </c>
      <c r="R509" s="35" t="s">
        <v>7045</v>
      </c>
      <c r="S509" s="30">
        <v>46753.0</v>
      </c>
      <c r="T509" s="30">
        <v>47118.0</v>
      </c>
      <c r="U509" s="39">
        <v>0.0</v>
      </c>
      <c r="V509" s="39">
        <v>0.0</v>
      </c>
      <c r="W509" s="35" t="s">
        <v>7045</v>
      </c>
      <c r="X509" s="30">
        <v>47119.0</v>
      </c>
      <c r="Y509" s="30">
        <v>47483.0</v>
      </c>
      <c r="Z509" s="39">
        <v>0.0</v>
      </c>
      <c r="AA509" s="39">
        <v>0.0</v>
      </c>
      <c r="AB509" s="35" t="s">
        <v>7045</v>
      </c>
      <c r="AC509" s="30">
        <v>47484.0</v>
      </c>
      <c r="AD509" s="30">
        <v>47848.0</v>
      </c>
      <c r="AE509" s="39">
        <v>0.0</v>
      </c>
      <c r="AF509" s="39">
        <v>0.0</v>
      </c>
      <c r="AG509" s="35" t="s">
        <v>7045</v>
      </c>
      <c r="AH509" s="30">
        <v>45292.0</v>
      </c>
      <c r="AI509" s="30">
        <v>45657.0</v>
      </c>
      <c r="AJ509" s="39">
        <v>20.55</v>
      </c>
      <c r="AK509" s="39">
        <v>201.0</v>
      </c>
      <c r="AL509" s="32" t="s">
        <v>7043</v>
      </c>
      <c r="AM509" s="30">
        <v>44562.0</v>
      </c>
      <c r="AN509" s="30">
        <v>44926.0</v>
      </c>
      <c r="AO509" s="39">
        <v>247.2</v>
      </c>
      <c r="AP509" s="39">
        <v>0.0</v>
      </c>
      <c r="AQ509" s="38" t="s">
        <v>7047</v>
      </c>
      <c r="AR509" s="30">
        <v>44927.0</v>
      </c>
      <c r="AS509" s="30">
        <v>45291.0</v>
      </c>
      <c r="AT509" s="39">
        <v>129.69</v>
      </c>
      <c r="AU509" s="39">
        <v>200.0</v>
      </c>
      <c r="AV509" s="37" t="s">
        <v>7046</v>
      </c>
    </row>
    <row r="510" ht="14.25" customHeight="1">
      <c r="A510" s="28" t="s">
        <v>2662</v>
      </c>
      <c r="B510" s="29" t="s">
        <v>2663</v>
      </c>
      <c r="C510" s="29" t="s">
        <v>7041</v>
      </c>
      <c r="D510" s="30">
        <v>45658.0</v>
      </c>
      <c r="E510" s="30">
        <v>46022.0</v>
      </c>
      <c r="F510" s="39">
        <v>72.2</v>
      </c>
      <c r="G510" s="39">
        <v>200.0</v>
      </c>
      <c r="H510" s="37" t="s">
        <v>7046</v>
      </c>
      <c r="I510" s="30">
        <v>46023.0</v>
      </c>
      <c r="J510" s="30">
        <v>46387.0</v>
      </c>
      <c r="K510" s="39">
        <v>0.0</v>
      </c>
      <c r="L510" s="39">
        <v>0.0</v>
      </c>
      <c r="M510" s="35" t="s">
        <v>7045</v>
      </c>
      <c r="N510" s="30">
        <v>46388.0</v>
      </c>
      <c r="O510" s="30">
        <v>46752.0</v>
      </c>
      <c r="P510" s="39">
        <v>0.0</v>
      </c>
      <c r="Q510" s="39">
        <v>0.0</v>
      </c>
      <c r="R510" s="35" t="s">
        <v>7045</v>
      </c>
      <c r="S510" s="30">
        <v>46753.0</v>
      </c>
      <c r="T510" s="30">
        <v>47118.0</v>
      </c>
      <c r="U510" s="39">
        <v>0.0</v>
      </c>
      <c r="V510" s="39">
        <v>0.0</v>
      </c>
      <c r="W510" s="35" t="s">
        <v>7045</v>
      </c>
      <c r="X510" s="30">
        <v>47119.0</v>
      </c>
      <c r="Y510" s="30">
        <v>47483.0</v>
      </c>
      <c r="Z510" s="39">
        <v>0.0</v>
      </c>
      <c r="AA510" s="39">
        <v>0.0</v>
      </c>
      <c r="AB510" s="35" t="s">
        <v>7045</v>
      </c>
      <c r="AC510" s="30">
        <v>47484.0</v>
      </c>
      <c r="AD510" s="30">
        <v>47848.0</v>
      </c>
      <c r="AE510" s="39">
        <v>0.0</v>
      </c>
      <c r="AF510" s="39">
        <v>0.0</v>
      </c>
      <c r="AG510" s="35" t="s">
        <v>7045</v>
      </c>
      <c r="AH510" s="30">
        <v>45292.0</v>
      </c>
      <c r="AI510" s="30">
        <v>45657.0</v>
      </c>
      <c r="AJ510" s="39">
        <v>19.25</v>
      </c>
      <c r="AK510" s="39">
        <v>200.0</v>
      </c>
      <c r="AL510" s="32" t="s">
        <v>7043</v>
      </c>
      <c r="AM510" s="30">
        <v>44562.0</v>
      </c>
      <c r="AN510" s="30">
        <v>44926.0</v>
      </c>
      <c r="AO510" s="39">
        <v>223.5</v>
      </c>
      <c r="AP510" s="39">
        <v>200.0</v>
      </c>
      <c r="AQ510" s="38" t="s">
        <v>7047</v>
      </c>
      <c r="AR510" s="30">
        <v>44927.0</v>
      </c>
      <c r="AS510" s="30">
        <v>45291.0</v>
      </c>
      <c r="AT510" s="39">
        <v>5.78</v>
      </c>
      <c r="AU510" s="39">
        <v>225.0</v>
      </c>
      <c r="AV510" s="32" t="s">
        <v>7043</v>
      </c>
    </row>
    <row r="511" ht="14.25" customHeight="1">
      <c r="A511" s="28" t="s">
        <v>5507</v>
      </c>
      <c r="B511" s="29" t="s">
        <v>5508</v>
      </c>
      <c r="C511" s="29" t="s">
        <v>7041</v>
      </c>
      <c r="D511" s="30">
        <v>45658.0</v>
      </c>
      <c r="E511" s="30">
        <v>46022.0</v>
      </c>
      <c r="F511" s="36">
        <v>48.5</v>
      </c>
      <c r="G511" s="36">
        <v>200.0</v>
      </c>
      <c r="H511" s="32" t="s">
        <v>7043</v>
      </c>
      <c r="I511" s="30">
        <v>46023.0</v>
      </c>
      <c r="J511" s="30">
        <v>46387.0</v>
      </c>
      <c r="K511" s="36">
        <v>0.0</v>
      </c>
      <c r="L511" s="36">
        <v>0.0</v>
      </c>
      <c r="M511" s="35" t="s">
        <v>7045</v>
      </c>
      <c r="N511" s="30">
        <v>46388.0</v>
      </c>
      <c r="O511" s="30">
        <v>46752.0</v>
      </c>
      <c r="P511" s="36">
        <v>0.0</v>
      </c>
      <c r="Q511" s="36">
        <v>0.0</v>
      </c>
      <c r="R511" s="35" t="s">
        <v>7045</v>
      </c>
      <c r="S511" s="30">
        <v>46753.0</v>
      </c>
      <c r="T511" s="30">
        <v>47118.0</v>
      </c>
      <c r="U511" s="36">
        <v>0.0</v>
      </c>
      <c r="V511" s="36">
        <v>0.0</v>
      </c>
      <c r="W511" s="35" t="s">
        <v>7045</v>
      </c>
      <c r="X511" s="30">
        <v>47119.0</v>
      </c>
      <c r="Y511" s="30">
        <v>47483.0</v>
      </c>
      <c r="Z511" s="36">
        <v>0.0</v>
      </c>
      <c r="AA511" s="36">
        <v>0.0</v>
      </c>
      <c r="AB511" s="35" t="s">
        <v>7045</v>
      </c>
      <c r="AC511" s="30">
        <v>47484.0</v>
      </c>
      <c r="AD511" s="30">
        <v>47848.0</v>
      </c>
      <c r="AE511" s="36">
        <v>0.0</v>
      </c>
      <c r="AF511" s="36">
        <v>0.0</v>
      </c>
      <c r="AG511" s="35" t="s">
        <v>7045</v>
      </c>
      <c r="AH511" s="30">
        <v>45292.0</v>
      </c>
      <c r="AI511" s="30">
        <v>45657.0</v>
      </c>
      <c r="AJ511" s="36">
        <v>65.82</v>
      </c>
      <c r="AK511" s="36">
        <v>140.0</v>
      </c>
      <c r="AL511" s="32" t="s">
        <v>7043</v>
      </c>
      <c r="AM511" s="30">
        <v>44562.0</v>
      </c>
      <c r="AN511" s="30">
        <v>44926.0</v>
      </c>
      <c r="AO511" s="36">
        <v>49.3</v>
      </c>
      <c r="AP511" s="36">
        <v>0.0</v>
      </c>
      <c r="AQ511" s="38" t="s">
        <v>7047</v>
      </c>
      <c r="AR511" s="30">
        <v>44927.0</v>
      </c>
      <c r="AS511" s="30">
        <v>45291.0</v>
      </c>
      <c r="AT511" s="36">
        <v>82.15</v>
      </c>
      <c r="AU511" s="36">
        <v>140.0</v>
      </c>
      <c r="AV511" s="37" t="s">
        <v>7046</v>
      </c>
    </row>
    <row r="512" ht="14.25" customHeight="1">
      <c r="A512" s="28" t="s">
        <v>165</v>
      </c>
      <c r="B512" s="29" t="s">
        <v>166</v>
      </c>
      <c r="C512" s="29" t="s">
        <v>7041</v>
      </c>
      <c r="D512" s="30">
        <v>45658.0</v>
      </c>
      <c r="E512" s="30">
        <v>46022.0</v>
      </c>
      <c r="F512" s="39">
        <v>83.09</v>
      </c>
      <c r="G512" s="39">
        <v>200.0</v>
      </c>
      <c r="H512" s="37" t="s">
        <v>7046</v>
      </c>
      <c r="I512" s="30">
        <v>46023.0</v>
      </c>
      <c r="J512" s="30">
        <v>46387.0</v>
      </c>
      <c r="K512" s="39">
        <v>0.0</v>
      </c>
      <c r="L512" s="39">
        <v>0.0</v>
      </c>
      <c r="M512" s="35" t="s">
        <v>7045</v>
      </c>
      <c r="N512" s="30">
        <v>46388.0</v>
      </c>
      <c r="O512" s="30">
        <v>46752.0</v>
      </c>
      <c r="P512" s="39">
        <v>0.0</v>
      </c>
      <c r="Q512" s="39">
        <v>0.0</v>
      </c>
      <c r="R512" s="35" t="s">
        <v>7045</v>
      </c>
      <c r="S512" s="30">
        <v>46753.0</v>
      </c>
      <c r="T512" s="30">
        <v>47118.0</v>
      </c>
      <c r="U512" s="39">
        <v>0.0</v>
      </c>
      <c r="V512" s="39">
        <v>0.0</v>
      </c>
      <c r="W512" s="35" t="s">
        <v>7045</v>
      </c>
      <c r="X512" s="30">
        <v>47119.0</v>
      </c>
      <c r="Y512" s="30">
        <v>47483.0</v>
      </c>
      <c r="Z512" s="39">
        <v>0.0</v>
      </c>
      <c r="AA512" s="39">
        <v>0.0</v>
      </c>
      <c r="AB512" s="35" t="s">
        <v>7045</v>
      </c>
      <c r="AC512" s="30">
        <v>47484.0</v>
      </c>
      <c r="AD512" s="30">
        <v>47848.0</v>
      </c>
      <c r="AE512" s="39">
        <v>0.0</v>
      </c>
      <c r="AF512" s="39">
        <v>0.0</v>
      </c>
      <c r="AG512" s="35" t="s">
        <v>7045</v>
      </c>
      <c r="AH512" s="30">
        <v>45292.0</v>
      </c>
      <c r="AI512" s="30">
        <v>45657.0</v>
      </c>
      <c r="AJ512" s="39">
        <v>130.57</v>
      </c>
      <c r="AK512" s="39">
        <v>200.0</v>
      </c>
      <c r="AL512" s="37" t="s">
        <v>7046</v>
      </c>
      <c r="AM512" s="30">
        <v>44562.0</v>
      </c>
      <c r="AN512" s="30">
        <v>44926.0</v>
      </c>
      <c r="AO512" s="39">
        <v>103.7</v>
      </c>
      <c r="AP512" s="39">
        <v>0.0</v>
      </c>
      <c r="AQ512" s="38" t="s">
        <v>7047</v>
      </c>
      <c r="AR512" s="30">
        <v>44927.0</v>
      </c>
      <c r="AS512" s="30">
        <v>45291.0</v>
      </c>
      <c r="AT512" s="39">
        <v>82.13</v>
      </c>
      <c r="AU512" s="39">
        <v>200.0</v>
      </c>
      <c r="AV512" s="32" t="s">
        <v>7043</v>
      </c>
    </row>
    <row r="513" ht="14.25" customHeight="1">
      <c r="A513" s="28" t="s">
        <v>6877</v>
      </c>
      <c r="B513" s="29" t="s">
        <v>6878</v>
      </c>
      <c r="C513" s="29" t="s">
        <v>7041</v>
      </c>
      <c r="D513" s="30">
        <v>45658.0</v>
      </c>
      <c r="E513" s="30">
        <v>46022.0</v>
      </c>
      <c r="F513" s="36">
        <v>97.12</v>
      </c>
      <c r="G513" s="36">
        <v>300.0</v>
      </c>
      <c r="H513" s="32" t="s">
        <v>7046</v>
      </c>
      <c r="I513" s="30">
        <v>46023.0</v>
      </c>
      <c r="J513" s="30">
        <v>46387.0</v>
      </c>
      <c r="K513" s="36">
        <v>0.0</v>
      </c>
      <c r="L513" s="36">
        <v>0.0</v>
      </c>
      <c r="M513" s="35" t="s">
        <v>7045</v>
      </c>
      <c r="N513" s="30">
        <v>46388.0</v>
      </c>
      <c r="O513" s="30">
        <v>46752.0</v>
      </c>
      <c r="P513" s="36">
        <v>0.0</v>
      </c>
      <c r="Q513" s="36">
        <v>0.0</v>
      </c>
      <c r="R513" s="35" t="s">
        <v>7045</v>
      </c>
      <c r="S513" s="30">
        <v>46753.0</v>
      </c>
      <c r="T513" s="30">
        <v>47118.0</v>
      </c>
      <c r="U513" s="36">
        <v>0.0</v>
      </c>
      <c r="V513" s="36">
        <v>0.0</v>
      </c>
      <c r="W513" s="35" t="s">
        <v>7045</v>
      </c>
      <c r="X513" s="30">
        <v>47119.0</v>
      </c>
      <c r="Y513" s="30">
        <v>47483.0</v>
      </c>
      <c r="Z513" s="36">
        <v>0.0</v>
      </c>
      <c r="AA513" s="36">
        <v>0.0</v>
      </c>
      <c r="AB513" s="35" t="s">
        <v>7045</v>
      </c>
      <c r="AC513" s="30">
        <v>47484.0</v>
      </c>
      <c r="AD513" s="30">
        <v>47848.0</v>
      </c>
      <c r="AE513" s="36">
        <v>0.0</v>
      </c>
      <c r="AF513" s="36">
        <v>0.0</v>
      </c>
      <c r="AG513" s="35" t="s">
        <v>7045</v>
      </c>
      <c r="AH513" s="30">
        <v>45292.0</v>
      </c>
      <c r="AI513" s="30">
        <v>45657.0</v>
      </c>
      <c r="AJ513" s="36">
        <v>137.91</v>
      </c>
      <c r="AK513" s="36">
        <v>300.0</v>
      </c>
      <c r="AL513" s="32" t="s">
        <v>7043</v>
      </c>
      <c r="AM513" s="30">
        <v>44562.0</v>
      </c>
      <c r="AN513" s="30">
        <v>44926.0</v>
      </c>
      <c r="AO513" s="36">
        <v>270.4</v>
      </c>
      <c r="AP513" s="36">
        <v>250.0</v>
      </c>
      <c r="AQ513" s="38" t="s">
        <v>7047</v>
      </c>
      <c r="AR513" s="30">
        <v>44927.0</v>
      </c>
      <c r="AS513" s="30">
        <v>45291.0</v>
      </c>
      <c r="AT513" s="36">
        <v>141.66</v>
      </c>
      <c r="AU513" s="36">
        <v>300.0</v>
      </c>
      <c r="AV513" s="32" t="s">
        <v>7043</v>
      </c>
    </row>
    <row r="514" ht="14.25" customHeight="1">
      <c r="A514" s="28" t="s">
        <v>6504</v>
      </c>
      <c r="B514" s="29" t="s">
        <v>6505</v>
      </c>
      <c r="C514" s="29" t="s">
        <v>7041</v>
      </c>
      <c r="D514" s="30">
        <v>45658.0</v>
      </c>
      <c r="E514" s="30">
        <v>46022.0</v>
      </c>
      <c r="F514" s="39">
        <v>33.16</v>
      </c>
      <c r="G514" s="39">
        <v>200.0</v>
      </c>
      <c r="H514" s="32" t="s">
        <v>7043</v>
      </c>
      <c r="I514" s="30">
        <v>46023.0</v>
      </c>
      <c r="J514" s="30">
        <v>46387.0</v>
      </c>
      <c r="K514" s="39">
        <v>0.0</v>
      </c>
      <c r="L514" s="39">
        <v>0.0</v>
      </c>
      <c r="M514" s="35" t="s">
        <v>7045</v>
      </c>
      <c r="N514" s="30">
        <v>46388.0</v>
      </c>
      <c r="O514" s="30">
        <v>46752.0</v>
      </c>
      <c r="P514" s="39">
        <v>0.0</v>
      </c>
      <c r="Q514" s="39">
        <v>0.0</v>
      </c>
      <c r="R514" s="35" t="s">
        <v>7045</v>
      </c>
      <c r="S514" s="30">
        <v>46753.0</v>
      </c>
      <c r="T514" s="30">
        <v>47118.0</v>
      </c>
      <c r="U514" s="39">
        <v>0.0</v>
      </c>
      <c r="V514" s="39">
        <v>0.0</v>
      </c>
      <c r="W514" s="35" t="s">
        <v>7045</v>
      </c>
      <c r="X514" s="30">
        <v>47119.0</v>
      </c>
      <c r="Y514" s="30">
        <v>47483.0</v>
      </c>
      <c r="Z514" s="39">
        <v>0.0</v>
      </c>
      <c r="AA514" s="39">
        <v>0.0</v>
      </c>
      <c r="AB514" s="35" t="s">
        <v>7045</v>
      </c>
      <c r="AC514" s="30">
        <v>47484.0</v>
      </c>
      <c r="AD514" s="30">
        <v>47848.0</v>
      </c>
      <c r="AE514" s="39">
        <v>0.0</v>
      </c>
      <c r="AF514" s="39">
        <v>0.0</v>
      </c>
      <c r="AG514" s="35" t="s">
        <v>7045</v>
      </c>
      <c r="AH514" s="30">
        <v>45292.0</v>
      </c>
      <c r="AI514" s="30">
        <v>45657.0</v>
      </c>
      <c r="AJ514" s="39">
        <v>99.03</v>
      </c>
      <c r="AK514" s="39">
        <v>0.0</v>
      </c>
      <c r="AL514" s="38" t="s">
        <v>7047</v>
      </c>
      <c r="AM514" s="30">
        <v>44562.0</v>
      </c>
      <c r="AN514" s="30">
        <v>44926.0</v>
      </c>
      <c r="AO514" s="39">
        <v>139.0</v>
      </c>
      <c r="AP514" s="39">
        <v>200.0</v>
      </c>
      <c r="AQ514" s="37" t="s">
        <v>7046</v>
      </c>
      <c r="AR514" s="30">
        <v>44927.0</v>
      </c>
      <c r="AS514" s="30">
        <v>45291.0</v>
      </c>
      <c r="AT514" s="39">
        <v>81.97</v>
      </c>
      <c r="AU514" s="39">
        <v>201.9</v>
      </c>
      <c r="AV514" s="32" t="s">
        <v>7043</v>
      </c>
    </row>
    <row r="515" ht="14.25" customHeight="1">
      <c r="A515" s="28" t="s">
        <v>2348</v>
      </c>
      <c r="B515" s="29" t="s">
        <v>2349</v>
      </c>
      <c r="C515" s="29" t="s">
        <v>7041</v>
      </c>
      <c r="D515" s="30">
        <v>45658.0</v>
      </c>
      <c r="E515" s="30">
        <v>46022.0</v>
      </c>
      <c r="F515" s="39">
        <v>97.46</v>
      </c>
      <c r="G515" s="39">
        <v>204.0</v>
      </c>
      <c r="H515" s="37" t="s">
        <v>7046</v>
      </c>
      <c r="I515" s="30">
        <v>46023.0</v>
      </c>
      <c r="J515" s="30">
        <v>46387.0</v>
      </c>
      <c r="K515" s="39">
        <v>0.0</v>
      </c>
      <c r="L515" s="39">
        <v>0.0</v>
      </c>
      <c r="M515" s="35" t="s">
        <v>7045</v>
      </c>
      <c r="N515" s="30">
        <v>46388.0</v>
      </c>
      <c r="O515" s="30">
        <v>46752.0</v>
      </c>
      <c r="P515" s="39">
        <v>0.0</v>
      </c>
      <c r="Q515" s="39">
        <v>0.0</v>
      </c>
      <c r="R515" s="35" t="s">
        <v>7045</v>
      </c>
      <c r="S515" s="30">
        <v>46753.0</v>
      </c>
      <c r="T515" s="30">
        <v>47118.0</v>
      </c>
      <c r="U515" s="39">
        <v>0.0</v>
      </c>
      <c r="V515" s="39">
        <v>0.0</v>
      </c>
      <c r="W515" s="35" t="s">
        <v>7045</v>
      </c>
      <c r="X515" s="30">
        <v>47119.0</v>
      </c>
      <c r="Y515" s="30">
        <v>47483.0</v>
      </c>
      <c r="Z515" s="39">
        <v>0.0</v>
      </c>
      <c r="AA515" s="39">
        <v>0.0</v>
      </c>
      <c r="AB515" s="35" t="s">
        <v>7045</v>
      </c>
      <c r="AC515" s="30">
        <v>47484.0</v>
      </c>
      <c r="AD515" s="30">
        <v>47848.0</v>
      </c>
      <c r="AE515" s="39">
        <v>0.0</v>
      </c>
      <c r="AF515" s="39">
        <v>0.0</v>
      </c>
      <c r="AG515" s="35" t="s">
        <v>7045</v>
      </c>
      <c r="AH515" s="30">
        <v>45292.0</v>
      </c>
      <c r="AI515" s="30">
        <v>45657.0</v>
      </c>
      <c r="AJ515" s="39">
        <v>139.02</v>
      </c>
      <c r="AK515" s="39">
        <v>209.0</v>
      </c>
      <c r="AL515" s="37" t="s">
        <v>7046</v>
      </c>
      <c r="AM515" s="30">
        <v>44562.0</v>
      </c>
      <c r="AN515" s="30">
        <v>44926.0</v>
      </c>
      <c r="AO515" s="39">
        <v>321.2</v>
      </c>
      <c r="AP515" s="39">
        <v>270.0</v>
      </c>
      <c r="AQ515" s="38" t="s">
        <v>7047</v>
      </c>
      <c r="AR515" s="30">
        <v>44927.0</v>
      </c>
      <c r="AS515" s="30">
        <v>45291.0</v>
      </c>
      <c r="AT515" s="39">
        <v>104.11</v>
      </c>
      <c r="AU515" s="39">
        <v>390.0</v>
      </c>
      <c r="AV515" s="32" t="s">
        <v>7043</v>
      </c>
    </row>
    <row r="516" ht="14.25" customHeight="1">
      <c r="A516" s="28" t="s">
        <v>2945</v>
      </c>
      <c r="B516" s="29" t="s">
        <v>2946</v>
      </c>
      <c r="C516" s="29" t="s">
        <v>7041</v>
      </c>
      <c r="D516" s="30">
        <v>45658.0</v>
      </c>
      <c r="E516" s="30">
        <v>46022.0</v>
      </c>
      <c r="F516" s="36">
        <v>0.0</v>
      </c>
      <c r="G516" s="36">
        <v>500.0</v>
      </c>
      <c r="H516" s="32" t="s">
        <v>7043</v>
      </c>
      <c r="I516" s="30">
        <v>46023.0</v>
      </c>
      <c r="J516" s="30">
        <v>46387.0</v>
      </c>
      <c r="K516" s="36">
        <v>0.0</v>
      </c>
      <c r="L516" s="36">
        <v>0.0</v>
      </c>
      <c r="M516" s="35" t="s">
        <v>7045</v>
      </c>
      <c r="N516" s="30">
        <v>46388.0</v>
      </c>
      <c r="O516" s="30">
        <v>46752.0</v>
      </c>
      <c r="P516" s="36">
        <v>0.0</v>
      </c>
      <c r="Q516" s="36">
        <v>0.0</v>
      </c>
      <c r="R516" s="35" t="s">
        <v>7045</v>
      </c>
      <c r="S516" s="30">
        <v>46753.0</v>
      </c>
      <c r="T516" s="30">
        <v>47118.0</v>
      </c>
      <c r="U516" s="36">
        <v>0.0</v>
      </c>
      <c r="V516" s="36">
        <v>0.0</v>
      </c>
      <c r="W516" s="35" t="s">
        <v>7045</v>
      </c>
      <c r="X516" s="30">
        <v>47119.0</v>
      </c>
      <c r="Y516" s="30">
        <v>47483.0</v>
      </c>
      <c r="Z516" s="36">
        <v>0.0</v>
      </c>
      <c r="AA516" s="36">
        <v>0.0</v>
      </c>
      <c r="AB516" s="35" t="s">
        <v>7045</v>
      </c>
      <c r="AC516" s="30">
        <v>47484.0</v>
      </c>
      <c r="AD516" s="30">
        <v>47848.0</v>
      </c>
      <c r="AE516" s="36">
        <v>0.0</v>
      </c>
      <c r="AF516" s="36">
        <v>0.0</v>
      </c>
      <c r="AG516" s="35" t="s">
        <v>7045</v>
      </c>
      <c r="AH516" s="30">
        <v>45292.0</v>
      </c>
      <c r="AI516" s="30">
        <v>45657.0</v>
      </c>
      <c r="AJ516" s="36">
        <v>0.0</v>
      </c>
      <c r="AK516" s="36">
        <v>0.0</v>
      </c>
      <c r="AL516" s="35" t="s">
        <v>7045</v>
      </c>
      <c r="AM516" s="30">
        <v>44562.0</v>
      </c>
      <c r="AN516" s="30">
        <v>44926.0</v>
      </c>
      <c r="AO516" s="36">
        <v>0.0</v>
      </c>
      <c r="AP516" s="36">
        <v>0.0</v>
      </c>
      <c r="AQ516" s="35" t="s">
        <v>7045</v>
      </c>
      <c r="AR516" s="30">
        <v>44927.0</v>
      </c>
      <c r="AS516" s="30">
        <v>45291.0</v>
      </c>
      <c r="AT516" s="36">
        <v>0.0</v>
      </c>
      <c r="AU516" s="36">
        <v>0.0</v>
      </c>
      <c r="AV516" s="35" t="s">
        <v>7045</v>
      </c>
    </row>
    <row r="517" ht="14.25" customHeight="1">
      <c r="A517" s="28" t="s">
        <v>1380</v>
      </c>
      <c r="B517" s="29" t="s">
        <v>1381</v>
      </c>
      <c r="C517" s="29" t="s">
        <v>7041</v>
      </c>
      <c r="D517" s="30">
        <v>45658.0</v>
      </c>
      <c r="E517" s="30">
        <v>46022.0</v>
      </c>
      <c r="F517" s="36">
        <v>26.64</v>
      </c>
      <c r="G517" s="36">
        <v>200.0</v>
      </c>
      <c r="H517" s="32" t="s">
        <v>7043</v>
      </c>
      <c r="I517" s="30">
        <v>46023.0</v>
      </c>
      <c r="J517" s="30">
        <v>46387.0</v>
      </c>
      <c r="K517" s="36">
        <v>0.0</v>
      </c>
      <c r="L517" s="36">
        <v>0.0</v>
      </c>
      <c r="M517" s="35" t="s">
        <v>7045</v>
      </c>
      <c r="N517" s="30">
        <v>46388.0</v>
      </c>
      <c r="O517" s="30">
        <v>46752.0</v>
      </c>
      <c r="P517" s="36">
        <v>0.0</v>
      </c>
      <c r="Q517" s="36">
        <v>0.0</v>
      </c>
      <c r="R517" s="35" t="s">
        <v>7045</v>
      </c>
      <c r="S517" s="30">
        <v>46753.0</v>
      </c>
      <c r="T517" s="30">
        <v>47118.0</v>
      </c>
      <c r="U517" s="36">
        <v>0.0</v>
      </c>
      <c r="V517" s="36">
        <v>0.0</v>
      </c>
      <c r="W517" s="35" t="s">
        <v>7045</v>
      </c>
      <c r="X517" s="30">
        <v>47119.0</v>
      </c>
      <c r="Y517" s="30">
        <v>47483.0</v>
      </c>
      <c r="Z517" s="36">
        <v>0.0</v>
      </c>
      <c r="AA517" s="36">
        <v>0.0</v>
      </c>
      <c r="AB517" s="35" t="s">
        <v>7045</v>
      </c>
      <c r="AC517" s="30">
        <v>47484.0</v>
      </c>
      <c r="AD517" s="30">
        <v>47848.0</v>
      </c>
      <c r="AE517" s="36">
        <v>0.0</v>
      </c>
      <c r="AF517" s="36">
        <v>0.0</v>
      </c>
      <c r="AG517" s="35" t="s">
        <v>7045</v>
      </c>
      <c r="AH517" s="30">
        <v>45292.0</v>
      </c>
      <c r="AI517" s="30">
        <v>45657.0</v>
      </c>
      <c r="AJ517" s="36">
        <v>42.12</v>
      </c>
      <c r="AK517" s="36">
        <v>0.0</v>
      </c>
      <c r="AL517" s="38" t="s">
        <v>7047</v>
      </c>
      <c r="AM517" s="30">
        <v>44562.0</v>
      </c>
      <c r="AN517" s="30">
        <v>44926.0</v>
      </c>
      <c r="AO517" s="36">
        <v>0.0</v>
      </c>
      <c r="AP517" s="36">
        <v>0.0</v>
      </c>
      <c r="AQ517" s="35" t="s">
        <v>7045</v>
      </c>
      <c r="AR517" s="30">
        <v>44927.0</v>
      </c>
      <c r="AS517" s="30">
        <v>45291.0</v>
      </c>
      <c r="AT517" s="36">
        <v>255.52</v>
      </c>
      <c r="AU517" s="36">
        <v>0.0</v>
      </c>
      <c r="AV517" s="38" t="s">
        <v>7047</v>
      </c>
    </row>
    <row r="518" ht="14.25" customHeight="1">
      <c r="A518" s="28" t="s">
        <v>3159</v>
      </c>
      <c r="B518" s="29" t="s">
        <v>3160</v>
      </c>
      <c r="C518" s="29" t="s">
        <v>7041</v>
      </c>
      <c r="D518" s="30">
        <v>45658.0</v>
      </c>
      <c r="E518" s="30">
        <v>46022.0</v>
      </c>
      <c r="F518" s="39">
        <v>252.2</v>
      </c>
      <c r="G518" s="39">
        <v>978.0</v>
      </c>
      <c r="H518" s="32" t="s">
        <v>7043</v>
      </c>
      <c r="I518" s="30">
        <v>46023.0</v>
      </c>
      <c r="J518" s="30">
        <v>46387.0</v>
      </c>
      <c r="K518" s="39">
        <v>0.0</v>
      </c>
      <c r="L518" s="39">
        <v>0.0</v>
      </c>
      <c r="M518" s="35" t="s">
        <v>7045</v>
      </c>
      <c r="N518" s="30">
        <v>46388.0</v>
      </c>
      <c r="O518" s="30">
        <v>46752.0</v>
      </c>
      <c r="P518" s="39">
        <v>0.0</v>
      </c>
      <c r="Q518" s="39">
        <v>0.0</v>
      </c>
      <c r="R518" s="35" t="s">
        <v>7045</v>
      </c>
      <c r="S518" s="30">
        <v>46753.0</v>
      </c>
      <c r="T518" s="30">
        <v>47118.0</v>
      </c>
      <c r="U518" s="39">
        <v>0.0</v>
      </c>
      <c r="V518" s="39">
        <v>0.0</v>
      </c>
      <c r="W518" s="35" t="s">
        <v>7045</v>
      </c>
      <c r="X518" s="30">
        <v>47119.0</v>
      </c>
      <c r="Y518" s="30">
        <v>47483.0</v>
      </c>
      <c r="Z518" s="39">
        <v>0.0</v>
      </c>
      <c r="AA518" s="39">
        <v>0.0</v>
      </c>
      <c r="AB518" s="35" t="s">
        <v>7045</v>
      </c>
      <c r="AC518" s="30">
        <v>47484.0</v>
      </c>
      <c r="AD518" s="30">
        <v>47848.0</v>
      </c>
      <c r="AE518" s="39">
        <v>0.0</v>
      </c>
      <c r="AF518" s="39">
        <v>0.0</v>
      </c>
      <c r="AG518" s="35" t="s">
        <v>7045</v>
      </c>
      <c r="AH518" s="30">
        <v>45292.0</v>
      </c>
      <c r="AI518" s="30">
        <v>45657.0</v>
      </c>
      <c r="AJ518" s="39">
        <v>0.0</v>
      </c>
      <c r="AK518" s="39">
        <v>0.0</v>
      </c>
      <c r="AL518" s="35" t="s">
        <v>7045</v>
      </c>
      <c r="AM518" s="30">
        <v>44562.0</v>
      </c>
      <c r="AN518" s="30">
        <v>44926.0</v>
      </c>
      <c r="AO518" s="39">
        <v>0.0</v>
      </c>
      <c r="AP518" s="39">
        <v>0.0</v>
      </c>
      <c r="AQ518" s="35" t="s">
        <v>7045</v>
      </c>
      <c r="AR518" s="30">
        <v>44927.0</v>
      </c>
      <c r="AS518" s="30">
        <v>45291.0</v>
      </c>
      <c r="AT518" s="39">
        <v>0.0</v>
      </c>
      <c r="AU518" s="39">
        <v>0.0</v>
      </c>
      <c r="AV518" s="35" t="s">
        <v>7045</v>
      </c>
    </row>
    <row r="519" ht="14.25" customHeight="1">
      <c r="A519" s="28" t="s">
        <v>3418</v>
      </c>
      <c r="B519" s="29" t="s">
        <v>3419</v>
      </c>
      <c r="C519" s="29" t="s">
        <v>7041</v>
      </c>
      <c r="D519" s="30">
        <v>45658.0</v>
      </c>
      <c r="E519" s="30">
        <v>46022.0</v>
      </c>
      <c r="F519" s="39">
        <v>123.47</v>
      </c>
      <c r="G519" s="39">
        <v>320.0</v>
      </c>
      <c r="H519" s="37" t="s">
        <v>7046</v>
      </c>
      <c r="I519" s="30">
        <v>46023.0</v>
      </c>
      <c r="J519" s="30">
        <v>46387.0</v>
      </c>
      <c r="K519" s="39">
        <v>0.0</v>
      </c>
      <c r="L519" s="39">
        <v>0.0</v>
      </c>
      <c r="M519" s="35" t="s">
        <v>7045</v>
      </c>
      <c r="N519" s="30">
        <v>46388.0</v>
      </c>
      <c r="O519" s="30">
        <v>46752.0</v>
      </c>
      <c r="P519" s="39">
        <v>0.0</v>
      </c>
      <c r="Q519" s="39">
        <v>0.0</v>
      </c>
      <c r="R519" s="35" t="s">
        <v>7045</v>
      </c>
      <c r="S519" s="30">
        <v>46753.0</v>
      </c>
      <c r="T519" s="30">
        <v>47118.0</v>
      </c>
      <c r="U519" s="39">
        <v>0.0</v>
      </c>
      <c r="V519" s="39">
        <v>0.0</v>
      </c>
      <c r="W519" s="35" t="s">
        <v>7045</v>
      </c>
      <c r="X519" s="30">
        <v>47119.0</v>
      </c>
      <c r="Y519" s="30">
        <v>47483.0</v>
      </c>
      <c r="Z519" s="39">
        <v>0.0</v>
      </c>
      <c r="AA519" s="39">
        <v>0.0</v>
      </c>
      <c r="AB519" s="35" t="s">
        <v>7045</v>
      </c>
      <c r="AC519" s="30">
        <v>47484.0</v>
      </c>
      <c r="AD519" s="30">
        <v>47848.0</v>
      </c>
      <c r="AE519" s="39">
        <v>0.0</v>
      </c>
      <c r="AF519" s="39">
        <v>0.0</v>
      </c>
      <c r="AG519" s="35" t="s">
        <v>7045</v>
      </c>
      <c r="AH519" s="30">
        <v>45292.0</v>
      </c>
      <c r="AI519" s="30">
        <v>45657.0</v>
      </c>
      <c r="AJ519" s="39">
        <v>48.65</v>
      </c>
      <c r="AK519" s="39">
        <v>0.0</v>
      </c>
      <c r="AL519" s="38" t="s">
        <v>7047</v>
      </c>
      <c r="AM519" s="30">
        <v>44562.0</v>
      </c>
      <c r="AN519" s="30">
        <v>44926.0</v>
      </c>
      <c r="AO519" s="39">
        <v>0.0</v>
      </c>
      <c r="AP519" s="39">
        <v>0.0</v>
      </c>
      <c r="AQ519" s="35" t="s">
        <v>7045</v>
      </c>
      <c r="AR519" s="30">
        <v>44927.0</v>
      </c>
      <c r="AS519" s="30">
        <v>45291.0</v>
      </c>
      <c r="AT519" s="39">
        <v>0.0</v>
      </c>
      <c r="AU519" s="39">
        <v>0.0</v>
      </c>
      <c r="AV519" s="35" t="s">
        <v>7045</v>
      </c>
    </row>
    <row r="520" ht="14.25" customHeight="1">
      <c r="A520" s="28" t="s">
        <v>2068</v>
      </c>
      <c r="B520" s="29" t="s">
        <v>2069</v>
      </c>
      <c r="C520" s="29" t="s">
        <v>7041</v>
      </c>
      <c r="D520" s="30">
        <v>45658.0</v>
      </c>
      <c r="E520" s="30">
        <v>46022.0</v>
      </c>
      <c r="F520" s="39">
        <v>19.77</v>
      </c>
      <c r="G520" s="39">
        <v>200.0</v>
      </c>
      <c r="H520" s="32" t="s">
        <v>7043</v>
      </c>
      <c r="I520" s="30">
        <v>46023.0</v>
      </c>
      <c r="J520" s="30">
        <v>46387.0</v>
      </c>
      <c r="K520" s="39">
        <v>0.0</v>
      </c>
      <c r="L520" s="39">
        <v>0.0</v>
      </c>
      <c r="M520" s="35" t="s">
        <v>7045</v>
      </c>
      <c r="N520" s="30">
        <v>46388.0</v>
      </c>
      <c r="O520" s="30">
        <v>46752.0</v>
      </c>
      <c r="P520" s="39">
        <v>0.0</v>
      </c>
      <c r="Q520" s="39">
        <v>0.0</v>
      </c>
      <c r="R520" s="35" t="s">
        <v>7045</v>
      </c>
      <c r="S520" s="30">
        <v>46753.0</v>
      </c>
      <c r="T520" s="30">
        <v>47118.0</v>
      </c>
      <c r="U520" s="39">
        <v>0.0</v>
      </c>
      <c r="V520" s="39">
        <v>0.0</v>
      </c>
      <c r="W520" s="35" t="s">
        <v>7045</v>
      </c>
      <c r="X520" s="30">
        <v>47119.0</v>
      </c>
      <c r="Y520" s="30">
        <v>47483.0</v>
      </c>
      <c r="Z520" s="39">
        <v>0.0</v>
      </c>
      <c r="AA520" s="39">
        <v>0.0</v>
      </c>
      <c r="AB520" s="35" t="s">
        <v>7045</v>
      </c>
      <c r="AC520" s="30">
        <v>47484.0</v>
      </c>
      <c r="AD520" s="30">
        <v>47848.0</v>
      </c>
      <c r="AE520" s="39">
        <v>0.0</v>
      </c>
      <c r="AF520" s="39">
        <v>0.0</v>
      </c>
      <c r="AG520" s="35" t="s">
        <v>7045</v>
      </c>
      <c r="AH520" s="30">
        <v>45292.0</v>
      </c>
      <c r="AI520" s="30">
        <v>45657.0</v>
      </c>
      <c r="AJ520" s="39">
        <v>197.48</v>
      </c>
      <c r="AK520" s="39">
        <v>200.0</v>
      </c>
      <c r="AL520" s="37" t="s">
        <v>7046</v>
      </c>
      <c r="AM520" s="30">
        <v>44562.0</v>
      </c>
      <c r="AN520" s="30">
        <v>44926.0</v>
      </c>
      <c r="AO520" s="39">
        <v>128.1</v>
      </c>
      <c r="AP520" s="39">
        <v>214.0</v>
      </c>
      <c r="AQ520" s="37" t="s">
        <v>7046</v>
      </c>
      <c r="AR520" s="30">
        <v>44927.0</v>
      </c>
      <c r="AS520" s="30">
        <v>45291.0</v>
      </c>
      <c r="AT520" s="39">
        <v>174.18</v>
      </c>
      <c r="AU520" s="39">
        <v>0.0</v>
      </c>
      <c r="AV520" s="38" t="s">
        <v>7047</v>
      </c>
    </row>
    <row r="521" ht="14.25" customHeight="1">
      <c r="A521" s="28" t="s">
        <v>6678</v>
      </c>
      <c r="B521" s="29" t="s">
        <v>6679</v>
      </c>
      <c r="C521" s="29" t="s">
        <v>7041</v>
      </c>
      <c r="D521" s="30">
        <v>45658.0</v>
      </c>
      <c r="E521" s="30">
        <v>46022.0</v>
      </c>
      <c r="F521" s="39">
        <v>0.0</v>
      </c>
      <c r="G521" s="39">
        <v>250.0</v>
      </c>
      <c r="H521" s="32" t="s">
        <v>7043</v>
      </c>
      <c r="I521" s="30">
        <v>46023.0</v>
      </c>
      <c r="J521" s="30">
        <v>46387.0</v>
      </c>
      <c r="K521" s="39">
        <v>0.0</v>
      </c>
      <c r="L521" s="39">
        <v>0.0</v>
      </c>
      <c r="M521" s="35" t="s">
        <v>7045</v>
      </c>
      <c r="N521" s="30">
        <v>46388.0</v>
      </c>
      <c r="O521" s="30">
        <v>46752.0</v>
      </c>
      <c r="P521" s="39">
        <v>0.0</v>
      </c>
      <c r="Q521" s="39">
        <v>0.0</v>
      </c>
      <c r="R521" s="35" t="s">
        <v>7045</v>
      </c>
      <c r="S521" s="30">
        <v>46753.0</v>
      </c>
      <c r="T521" s="30">
        <v>47118.0</v>
      </c>
      <c r="U521" s="39">
        <v>0.0</v>
      </c>
      <c r="V521" s="39">
        <v>0.0</v>
      </c>
      <c r="W521" s="35" t="s">
        <v>7045</v>
      </c>
      <c r="X521" s="30">
        <v>47119.0</v>
      </c>
      <c r="Y521" s="30">
        <v>47483.0</v>
      </c>
      <c r="Z521" s="39">
        <v>0.0</v>
      </c>
      <c r="AA521" s="39">
        <v>0.0</v>
      </c>
      <c r="AB521" s="35" t="s">
        <v>7045</v>
      </c>
      <c r="AC521" s="30">
        <v>47484.0</v>
      </c>
      <c r="AD521" s="30">
        <v>47848.0</v>
      </c>
      <c r="AE521" s="39">
        <v>0.0</v>
      </c>
      <c r="AF521" s="39">
        <v>0.0</v>
      </c>
      <c r="AG521" s="35" t="s">
        <v>7045</v>
      </c>
      <c r="AH521" s="30">
        <v>45292.0</v>
      </c>
      <c r="AI521" s="30">
        <v>45657.0</v>
      </c>
      <c r="AJ521" s="39">
        <v>0.34</v>
      </c>
      <c r="AK521" s="39">
        <v>0.0</v>
      </c>
      <c r="AL521" s="38" t="s">
        <v>7047</v>
      </c>
      <c r="AM521" s="30">
        <v>44562.0</v>
      </c>
      <c r="AN521" s="30">
        <v>44926.0</v>
      </c>
      <c r="AO521" s="39">
        <v>0.0</v>
      </c>
      <c r="AP521" s="39">
        <v>0.0</v>
      </c>
      <c r="AQ521" s="35" t="s">
        <v>7045</v>
      </c>
      <c r="AR521" s="30">
        <v>44927.0</v>
      </c>
      <c r="AS521" s="30">
        <v>45291.0</v>
      </c>
      <c r="AT521" s="39">
        <v>0.0</v>
      </c>
      <c r="AU521" s="39">
        <v>0.0</v>
      </c>
      <c r="AV521" s="35" t="s">
        <v>7045</v>
      </c>
    </row>
    <row r="522" ht="14.25" customHeight="1">
      <c r="A522" s="28" t="s">
        <v>1829</v>
      </c>
      <c r="B522" s="29" t="s">
        <v>1830</v>
      </c>
      <c r="C522" s="29" t="s">
        <v>7041</v>
      </c>
      <c r="D522" s="30">
        <v>45658.0</v>
      </c>
      <c r="E522" s="30">
        <v>46022.0</v>
      </c>
      <c r="F522" s="36">
        <v>10.46</v>
      </c>
      <c r="G522" s="36">
        <v>0.0</v>
      </c>
      <c r="H522" s="35" t="s">
        <v>7047</v>
      </c>
      <c r="I522" s="30">
        <v>46023.0</v>
      </c>
      <c r="J522" s="30">
        <v>46387.0</v>
      </c>
      <c r="K522" s="36">
        <v>0.0</v>
      </c>
      <c r="L522" s="36">
        <v>0.0</v>
      </c>
      <c r="M522" s="35" t="s">
        <v>7045</v>
      </c>
      <c r="N522" s="30">
        <v>46388.0</v>
      </c>
      <c r="O522" s="30">
        <v>46752.0</v>
      </c>
      <c r="P522" s="36">
        <v>0.0</v>
      </c>
      <c r="Q522" s="36">
        <v>0.0</v>
      </c>
      <c r="R522" s="35" t="s">
        <v>7045</v>
      </c>
      <c r="S522" s="30">
        <v>46753.0</v>
      </c>
      <c r="T522" s="30">
        <v>47118.0</v>
      </c>
      <c r="U522" s="36">
        <v>0.0</v>
      </c>
      <c r="V522" s="36">
        <v>0.0</v>
      </c>
      <c r="W522" s="35" t="s">
        <v>7045</v>
      </c>
      <c r="X522" s="30">
        <v>47119.0</v>
      </c>
      <c r="Y522" s="30">
        <v>47483.0</v>
      </c>
      <c r="Z522" s="36">
        <v>0.0</v>
      </c>
      <c r="AA522" s="36">
        <v>0.0</v>
      </c>
      <c r="AB522" s="35" t="s">
        <v>7045</v>
      </c>
      <c r="AC522" s="30">
        <v>47484.0</v>
      </c>
      <c r="AD522" s="30">
        <v>47848.0</v>
      </c>
      <c r="AE522" s="36">
        <v>0.0</v>
      </c>
      <c r="AF522" s="36">
        <v>0.0</v>
      </c>
      <c r="AG522" s="35" t="s">
        <v>7045</v>
      </c>
      <c r="AH522" s="30">
        <v>45292.0</v>
      </c>
      <c r="AI522" s="30">
        <v>45657.0</v>
      </c>
      <c r="AJ522" s="36">
        <v>0.0</v>
      </c>
      <c r="AK522" s="36">
        <v>0.0</v>
      </c>
      <c r="AL522" s="35" t="s">
        <v>7045</v>
      </c>
      <c r="AM522" s="30">
        <v>44562.0</v>
      </c>
      <c r="AN522" s="30">
        <v>44926.0</v>
      </c>
      <c r="AO522" s="36">
        <v>0.0</v>
      </c>
      <c r="AP522" s="36">
        <v>0.0</v>
      </c>
      <c r="AQ522" s="35" t="s">
        <v>7045</v>
      </c>
      <c r="AR522" s="30">
        <v>44927.0</v>
      </c>
      <c r="AS522" s="30">
        <v>45291.0</v>
      </c>
      <c r="AT522" s="36">
        <v>0.0</v>
      </c>
      <c r="AU522" s="36">
        <v>0.0</v>
      </c>
      <c r="AV522" s="35" t="s">
        <v>7045</v>
      </c>
    </row>
    <row r="523" ht="14.25" customHeight="1">
      <c r="A523" s="28" t="s">
        <v>2488</v>
      </c>
      <c r="B523" s="29" t="s">
        <v>2489</v>
      </c>
      <c r="C523" s="29" t="s">
        <v>7041</v>
      </c>
      <c r="D523" s="30">
        <v>45658.0</v>
      </c>
      <c r="E523" s="30">
        <v>46022.0</v>
      </c>
      <c r="F523" s="39">
        <v>0.0</v>
      </c>
      <c r="G523" s="39">
        <v>379.0</v>
      </c>
      <c r="H523" s="32" t="s">
        <v>7043</v>
      </c>
      <c r="I523" s="30">
        <v>46023.0</v>
      </c>
      <c r="J523" s="30">
        <v>46387.0</v>
      </c>
      <c r="K523" s="39">
        <v>0.0</v>
      </c>
      <c r="L523" s="39">
        <v>0.0</v>
      </c>
      <c r="M523" s="35" t="s">
        <v>7045</v>
      </c>
      <c r="N523" s="30">
        <v>46388.0</v>
      </c>
      <c r="O523" s="30">
        <v>46752.0</v>
      </c>
      <c r="P523" s="39">
        <v>0.0</v>
      </c>
      <c r="Q523" s="39">
        <v>0.0</v>
      </c>
      <c r="R523" s="35" t="s">
        <v>7045</v>
      </c>
      <c r="S523" s="30">
        <v>46753.0</v>
      </c>
      <c r="T523" s="30">
        <v>47118.0</v>
      </c>
      <c r="U523" s="39">
        <v>0.0</v>
      </c>
      <c r="V523" s="39">
        <v>0.0</v>
      </c>
      <c r="W523" s="35" t="s">
        <v>7045</v>
      </c>
      <c r="X523" s="30">
        <v>47119.0</v>
      </c>
      <c r="Y523" s="30">
        <v>47483.0</v>
      </c>
      <c r="Z523" s="39">
        <v>0.0</v>
      </c>
      <c r="AA523" s="39">
        <v>0.0</v>
      </c>
      <c r="AB523" s="35" t="s">
        <v>7045</v>
      </c>
      <c r="AC523" s="30">
        <v>47484.0</v>
      </c>
      <c r="AD523" s="30">
        <v>47848.0</v>
      </c>
      <c r="AE523" s="39">
        <v>0.0</v>
      </c>
      <c r="AF523" s="39">
        <v>0.0</v>
      </c>
      <c r="AG523" s="35" t="s">
        <v>7045</v>
      </c>
      <c r="AH523" s="30">
        <v>45292.0</v>
      </c>
      <c r="AI523" s="30">
        <v>45657.0</v>
      </c>
      <c r="AJ523" s="39">
        <v>0.0</v>
      </c>
      <c r="AK523" s="39">
        <v>0.0</v>
      </c>
      <c r="AL523" s="35" t="s">
        <v>7045</v>
      </c>
      <c r="AM523" s="30">
        <v>44562.0</v>
      </c>
      <c r="AN523" s="30">
        <v>44926.0</v>
      </c>
      <c r="AO523" s="39">
        <v>0.0</v>
      </c>
      <c r="AP523" s="39">
        <v>0.0</v>
      </c>
      <c r="AQ523" s="35" t="s">
        <v>7045</v>
      </c>
      <c r="AR523" s="30">
        <v>44927.0</v>
      </c>
      <c r="AS523" s="30">
        <v>45291.0</v>
      </c>
      <c r="AT523" s="39">
        <v>0.0</v>
      </c>
      <c r="AU523" s="39">
        <v>0.0</v>
      </c>
      <c r="AV523" s="35" t="s">
        <v>7045</v>
      </c>
    </row>
    <row r="524" ht="14.25" customHeight="1">
      <c r="A524" s="20" t="s">
        <v>4686</v>
      </c>
      <c r="B524" s="20" t="s">
        <v>4687</v>
      </c>
      <c r="C524" s="20" t="s">
        <v>7041</v>
      </c>
      <c r="D524" s="24">
        <v>45658.0</v>
      </c>
      <c r="E524" s="24">
        <v>46022.0</v>
      </c>
      <c r="F524" s="41">
        <v>5.56</v>
      </c>
      <c r="G524" s="41">
        <v>400.0</v>
      </c>
      <c r="H524" s="20" t="s">
        <v>7043</v>
      </c>
      <c r="I524" s="24">
        <v>46023.0</v>
      </c>
      <c r="J524" s="24">
        <v>46387.0</v>
      </c>
      <c r="K524" s="41">
        <v>0.0</v>
      </c>
      <c r="L524" s="41">
        <v>0.0</v>
      </c>
      <c r="M524" s="20" t="s">
        <v>7045</v>
      </c>
      <c r="N524" s="24">
        <v>46388.0</v>
      </c>
      <c r="O524" s="24">
        <v>46752.0</v>
      </c>
      <c r="P524" s="41">
        <v>0.0</v>
      </c>
      <c r="Q524" s="41">
        <v>0.0</v>
      </c>
      <c r="R524" s="20" t="s">
        <v>7045</v>
      </c>
      <c r="S524" s="24">
        <v>46753.0</v>
      </c>
      <c r="T524" s="24">
        <v>47118.0</v>
      </c>
      <c r="U524" s="41">
        <v>0.0</v>
      </c>
      <c r="V524" s="41">
        <v>0.0</v>
      </c>
      <c r="W524" s="20" t="s">
        <v>7045</v>
      </c>
      <c r="X524" s="24">
        <v>47119.0</v>
      </c>
      <c r="Y524" s="24">
        <v>47483.0</v>
      </c>
      <c r="Z524" s="41">
        <v>0.0</v>
      </c>
      <c r="AA524" s="41">
        <v>0.0</v>
      </c>
      <c r="AB524" s="20" t="s">
        <v>7045</v>
      </c>
      <c r="AC524" s="24">
        <v>47484.0</v>
      </c>
      <c r="AD524" s="24">
        <v>47848.0</v>
      </c>
      <c r="AE524" s="41">
        <v>0.0</v>
      </c>
      <c r="AF524" s="41">
        <v>0.0</v>
      </c>
      <c r="AG524" s="20" t="s">
        <v>7045</v>
      </c>
      <c r="AH524" s="24">
        <v>45292.0</v>
      </c>
      <c r="AI524" s="24">
        <v>45657.0</v>
      </c>
      <c r="AJ524" s="41">
        <v>81.27</v>
      </c>
      <c r="AK524" s="41">
        <v>0.0</v>
      </c>
      <c r="AL524" s="20" t="s">
        <v>7047</v>
      </c>
      <c r="AM524" s="24">
        <v>44562.0</v>
      </c>
      <c r="AN524" s="24">
        <v>44926.0</v>
      </c>
      <c r="AO524" s="41">
        <v>0.0</v>
      </c>
      <c r="AP524" s="41">
        <v>0.0</v>
      </c>
      <c r="AQ524" s="20" t="s">
        <v>7045</v>
      </c>
      <c r="AR524" s="24">
        <v>44927.0</v>
      </c>
      <c r="AS524" s="24">
        <v>45291.0</v>
      </c>
      <c r="AT524" s="41">
        <v>0.0</v>
      </c>
      <c r="AU524" s="41">
        <v>0.0</v>
      </c>
      <c r="AV524" s="20" t="s">
        <v>7045</v>
      </c>
    </row>
    <row r="525" ht="14.25" customHeight="1">
      <c r="A525" s="20" t="s">
        <v>6336</v>
      </c>
      <c r="B525" s="20" t="s">
        <v>6337</v>
      </c>
      <c r="C525" s="20" t="s">
        <v>7041</v>
      </c>
      <c r="D525" s="24">
        <v>45658.0</v>
      </c>
      <c r="E525" s="24">
        <v>46022.0</v>
      </c>
      <c r="F525" s="41">
        <v>0.0</v>
      </c>
      <c r="G525" s="41">
        <v>0.0</v>
      </c>
      <c r="H525" s="20" t="s">
        <v>7045</v>
      </c>
      <c r="I525" s="24">
        <v>46023.0</v>
      </c>
      <c r="J525" s="24">
        <v>46387.0</v>
      </c>
      <c r="K525" s="41">
        <v>0.0</v>
      </c>
      <c r="L525" s="41">
        <v>0.0</v>
      </c>
      <c r="M525" s="20" t="s">
        <v>7045</v>
      </c>
      <c r="N525" s="24">
        <v>46388.0</v>
      </c>
      <c r="O525" s="24">
        <v>46752.0</v>
      </c>
      <c r="P525" s="41">
        <v>0.0</v>
      </c>
      <c r="Q525" s="41">
        <v>0.0</v>
      </c>
      <c r="R525" s="20" t="s">
        <v>7045</v>
      </c>
      <c r="S525" s="24">
        <v>46753.0</v>
      </c>
      <c r="T525" s="24">
        <v>47118.0</v>
      </c>
      <c r="U525" s="41">
        <v>0.0</v>
      </c>
      <c r="V525" s="41">
        <v>0.0</v>
      </c>
      <c r="W525" s="20" t="s">
        <v>7045</v>
      </c>
      <c r="X525" s="24">
        <v>47119.0</v>
      </c>
      <c r="Y525" s="24">
        <v>47483.0</v>
      </c>
      <c r="Z525" s="41">
        <v>0.0</v>
      </c>
      <c r="AA525" s="41">
        <v>0.0</v>
      </c>
      <c r="AB525" s="20" t="s">
        <v>7045</v>
      </c>
      <c r="AC525" s="24">
        <v>47484.0</v>
      </c>
      <c r="AD525" s="24">
        <v>47848.0</v>
      </c>
      <c r="AE525" s="41">
        <v>0.0</v>
      </c>
      <c r="AF525" s="41">
        <v>0.0</v>
      </c>
      <c r="AG525" s="20" t="s">
        <v>7045</v>
      </c>
      <c r="AH525" s="24">
        <v>45292.0</v>
      </c>
      <c r="AI525" s="24">
        <v>45657.0</v>
      </c>
      <c r="AJ525" s="41">
        <v>0.0</v>
      </c>
      <c r="AK525" s="41">
        <v>0.0</v>
      </c>
      <c r="AL525" s="20" t="s">
        <v>7045</v>
      </c>
      <c r="AM525" s="24">
        <v>44562.0</v>
      </c>
      <c r="AN525" s="24">
        <v>44926.0</v>
      </c>
      <c r="AO525" s="41">
        <v>0.0</v>
      </c>
      <c r="AP525" s="41">
        <v>0.0</v>
      </c>
      <c r="AQ525" s="20" t="s">
        <v>7045</v>
      </c>
      <c r="AR525" s="24">
        <v>44927.0</v>
      </c>
      <c r="AS525" s="24">
        <v>45291.0</v>
      </c>
      <c r="AT525" s="41">
        <v>0.0</v>
      </c>
      <c r="AU525" s="41">
        <v>0.0</v>
      </c>
      <c r="AV525" s="20" t="s">
        <v>7045</v>
      </c>
    </row>
    <row r="526" ht="14.25" customHeight="1">
      <c r="A526" s="20" t="s">
        <v>4272</v>
      </c>
      <c r="B526" s="20" t="s">
        <v>4273</v>
      </c>
      <c r="C526" s="20" t="s">
        <v>7041</v>
      </c>
      <c r="D526" s="24">
        <v>45658.0</v>
      </c>
      <c r="E526" s="24">
        <v>46022.0</v>
      </c>
      <c r="F526" s="41">
        <v>45.36</v>
      </c>
      <c r="G526" s="41">
        <v>0.0</v>
      </c>
      <c r="H526" s="20" t="s">
        <v>7047</v>
      </c>
      <c r="I526" s="24">
        <v>46023.0</v>
      </c>
      <c r="J526" s="24">
        <v>46387.0</v>
      </c>
      <c r="K526" s="41">
        <v>0.0</v>
      </c>
      <c r="L526" s="41">
        <v>0.0</v>
      </c>
      <c r="M526" s="20" t="s">
        <v>7045</v>
      </c>
      <c r="N526" s="24">
        <v>46388.0</v>
      </c>
      <c r="O526" s="24">
        <v>46752.0</v>
      </c>
      <c r="P526" s="41">
        <v>0.0</v>
      </c>
      <c r="Q526" s="41">
        <v>0.0</v>
      </c>
      <c r="R526" s="20" t="s">
        <v>7045</v>
      </c>
      <c r="S526" s="24">
        <v>46753.0</v>
      </c>
      <c r="T526" s="24">
        <v>47118.0</v>
      </c>
      <c r="U526" s="41">
        <v>0.0</v>
      </c>
      <c r="V526" s="41">
        <v>0.0</v>
      </c>
      <c r="W526" s="20" t="s">
        <v>7045</v>
      </c>
      <c r="X526" s="24">
        <v>47119.0</v>
      </c>
      <c r="Y526" s="24">
        <v>47483.0</v>
      </c>
      <c r="Z526" s="41">
        <v>0.0</v>
      </c>
      <c r="AA526" s="41">
        <v>0.0</v>
      </c>
      <c r="AB526" s="20" t="s">
        <v>7045</v>
      </c>
      <c r="AC526" s="24">
        <v>47484.0</v>
      </c>
      <c r="AD526" s="24">
        <v>47848.0</v>
      </c>
      <c r="AE526" s="41">
        <v>0.0</v>
      </c>
      <c r="AF526" s="41">
        <v>0.0</v>
      </c>
      <c r="AG526" s="20" t="s">
        <v>7045</v>
      </c>
      <c r="AH526" s="24">
        <v>45292.0</v>
      </c>
      <c r="AI526" s="24">
        <v>45657.0</v>
      </c>
      <c r="AJ526" s="41">
        <v>91.98</v>
      </c>
      <c r="AK526" s="41">
        <v>0.0</v>
      </c>
      <c r="AL526" s="20" t="s">
        <v>7047</v>
      </c>
      <c r="AM526" s="24">
        <v>44562.0</v>
      </c>
      <c r="AN526" s="24">
        <v>44926.0</v>
      </c>
      <c r="AO526" s="41">
        <v>115.1</v>
      </c>
      <c r="AP526" s="41">
        <v>350.0</v>
      </c>
      <c r="AQ526" s="20" t="s">
        <v>7043</v>
      </c>
      <c r="AR526" s="24">
        <v>44927.0</v>
      </c>
      <c r="AS526" s="24">
        <v>45291.0</v>
      </c>
      <c r="AT526" s="41">
        <v>131.29</v>
      </c>
      <c r="AU526" s="41">
        <v>0.0</v>
      </c>
      <c r="AV526" s="20" t="s">
        <v>7047</v>
      </c>
    </row>
    <row r="527" ht="14.25" customHeight="1">
      <c r="A527" s="20" t="s">
        <v>4107</v>
      </c>
      <c r="B527" s="20" t="s">
        <v>4108</v>
      </c>
      <c r="C527" s="20" t="s">
        <v>7041</v>
      </c>
      <c r="D527" s="24">
        <v>45658.0</v>
      </c>
      <c r="E527" s="24">
        <v>46022.0</v>
      </c>
      <c r="F527" s="41">
        <v>0.58</v>
      </c>
      <c r="G527" s="41">
        <v>0.0</v>
      </c>
      <c r="H527" s="20" t="s">
        <v>7047</v>
      </c>
      <c r="I527" s="24">
        <v>46023.0</v>
      </c>
      <c r="J527" s="24">
        <v>46387.0</v>
      </c>
      <c r="K527" s="41">
        <v>0.0</v>
      </c>
      <c r="L527" s="41">
        <v>0.0</v>
      </c>
      <c r="M527" s="20" t="s">
        <v>7045</v>
      </c>
      <c r="N527" s="24">
        <v>46388.0</v>
      </c>
      <c r="O527" s="24">
        <v>46752.0</v>
      </c>
      <c r="P527" s="41">
        <v>0.0</v>
      </c>
      <c r="Q527" s="41">
        <v>0.0</v>
      </c>
      <c r="R527" s="20" t="s">
        <v>7045</v>
      </c>
      <c r="S527" s="24">
        <v>46753.0</v>
      </c>
      <c r="T527" s="24">
        <v>47118.0</v>
      </c>
      <c r="U527" s="41">
        <v>0.0</v>
      </c>
      <c r="V527" s="41">
        <v>0.0</v>
      </c>
      <c r="W527" s="20" t="s">
        <v>7045</v>
      </c>
      <c r="X527" s="24">
        <v>47119.0</v>
      </c>
      <c r="Y527" s="24">
        <v>47483.0</v>
      </c>
      <c r="Z527" s="41">
        <v>0.0</v>
      </c>
      <c r="AA527" s="41">
        <v>0.0</v>
      </c>
      <c r="AB527" s="20" t="s">
        <v>7045</v>
      </c>
      <c r="AC527" s="24">
        <v>47484.0</v>
      </c>
      <c r="AD527" s="24">
        <v>47848.0</v>
      </c>
      <c r="AE527" s="41">
        <v>0.0</v>
      </c>
      <c r="AF527" s="41">
        <v>0.0</v>
      </c>
      <c r="AG527" s="20" t="s">
        <v>7045</v>
      </c>
      <c r="AH527" s="24">
        <v>45292.0</v>
      </c>
      <c r="AI527" s="24">
        <v>45657.0</v>
      </c>
      <c r="AJ527" s="41">
        <v>82.78</v>
      </c>
      <c r="AK527" s="41">
        <v>0.0</v>
      </c>
      <c r="AL527" s="20" t="s">
        <v>7047</v>
      </c>
      <c r="AM527" s="24">
        <v>44562.0</v>
      </c>
      <c r="AN527" s="24">
        <v>44926.0</v>
      </c>
      <c r="AO527" s="41">
        <v>25.4</v>
      </c>
      <c r="AP527" s="41">
        <v>200.0</v>
      </c>
      <c r="AQ527" s="20" t="s">
        <v>7043</v>
      </c>
      <c r="AR527" s="24">
        <v>44927.0</v>
      </c>
      <c r="AS527" s="24">
        <v>45291.0</v>
      </c>
      <c r="AT527" s="41">
        <v>62.3</v>
      </c>
      <c r="AU527" s="41">
        <v>150.0</v>
      </c>
      <c r="AV527" s="20" t="s">
        <v>7043</v>
      </c>
    </row>
    <row r="528" ht="14.25" customHeight="1">
      <c r="A528" s="20" t="s">
        <v>6367</v>
      </c>
      <c r="B528" s="20" t="s">
        <v>6368</v>
      </c>
      <c r="C528" s="20" t="s">
        <v>7041</v>
      </c>
      <c r="D528" s="24">
        <v>45658.0</v>
      </c>
      <c r="E528" s="24">
        <v>46022.0</v>
      </c>
      <c r="F528" s="41">
        <v>2.82</v>
      </c>
      <c r="G528" s="41">
        <v>220.0</v>
      </c>
      <c r="H528" s="20" t="s">
        <v>7043</v>
      </c>
      <c r="I528" s="24">
        <v>46023.0</v>
      </c>
      <c r="J528" s="24">
        <v>46387.0</v>
      </c>
      <c r="K528" s="41">
        <v>0.0</v>
      </c>
      <c r="L528" s="41">
        <v>0.0</v>
      </c>
      <c r="M528" s="20" t="s">
        <v>7045</v>
      </c>
      <c r="N528" s="24">
        <v>46388.0</v>
      </c>
      <c r="O528" s="24">
        <v>46752.0</v>
      </c>
      <c r="P528" s="41">
        <v>0.0</v>
      </c>
      <c r="Q528" s="41">
        <v>0.0</v>
      </c>
      <c r="R528" s="20" t="s">
        <v>7045</v>
      </c>
      <c r="S528" s="24">
        <v>46753.0</v>
      </c>
      <c r="T528" s="24">
        <v>47118.0</v>
      </c>
      <c r="U528" s="41">
        <v>0.0</v>
      </c>
      <c r="V528" s="41">
        <v>0.0</v>
      </c>
      <c r="W528" s="20" t="s">
        <v>7045</v>
      </c>
      <c r="X528" s="24">
        <v>47119.0</v>
      </c>
      <c r="Y528" s="24">
        <v>47483.0</v>
      </c>
      <c r="Z528" s="41">
        <v>0.0</v>
      </c>
      <c r="AA528" s="41">
        <v>0.0</v>
      </c>
      <c r="AB528" s="20" t="s">
        <v>7045</v>
      </c>
      <c r="AC528" s="24">
        <v>47484.0</v>
      </c>
      <c r="AD528" s="24">
        <v>47848.0</v>
      </c>
      <c r="AE528" s="41">
        <v>0.0</v>
      </c>
      <c r="AF528" s="41">
        <v>0.0</v>
      </c>
      <c r="AG528" s="20" t="s">
        <v>7045</v>
      </c>
      <c r="AH528" s="24">
        <v>45292.0</v>
      </c>
      <c r="AI528" s="24">
        <v>45657.0</v>
      </c>
      <c r="AJ528" s="41">
        <v>0.0</v>
      </c>
      <c r="AK528" s="41">
        <v>0.0</v>
      </c>
      <c r="AL528" s="20" t="s">
        <v>7045</v>
      </c>
      <c r="AM528" s="24">
        <v>44562.0</v>
      </c>
      <c r="AN528" s="24">
        <v>44926.0</v>
      </c>
      <c r="AO528" s="41">
        <v>0.0</v>
      </c>
      <c r="AP528" s="41">
        <v>0.0</v>
      </c>
      <c r="AQ528" s="20" t="s">
        <v>7045</v>
      </c>
      <c r="AR528" s="24">
        <v>44927.0</v>
      </c>
      <c r="AS528" s="24">
        <v>45291.0</v>
      </c>
      <c r="AT528" s="41">
        <v>0.0</v>
      </c>
      <c r="AU528" s="41">
        <v>0.0</v>
      </c>
      <c r="AV528" s="20" t="s">
        <v>7045</v>
      </c>
    </row>
    <row r="529" ht="14.25" customHeight="1">
      <c r="A529" s="20" t="s">
        <v>4457</v>
      </c>
      <c r="B529" s="20" t="s">
        <v>4458</v>
      </c>
      <c r="C529" s="20" t="s">
        <v>7041</v>
      </c>
      <c r="D529" s="24">
        <v>45658.0</v>
      </c>
      <c r="E529" s="24">
        <v>46022.0</v>
      </c>
      <c r="F529" s="42">
        <v>0.04</v>
      </c>
      <c r="G529" s="42">
        <v>0.0</v>
      </c>
      <c r="H529" s="20" t="s">
        <v>7047</v>
      </c>
      <c r="I529" s="24">
        <v>46023.0</v>
      </c>
      <c r="J529" s="24">
        <v>46387.0</v>
      </c>
      <c r="K529" s="42">
        <v>0.0</v>
      </c>
      <c r="L529" s="42">
        <v>0.0</v>
      </c>
      <c r="M529" s="20" t="s">
        <v>7045</v>
      </c>
      <c r="N529" s="24">
        <v>46388.0</v>
      </c>
      <c r="O529" s="24">
        <v>46752.0</v>
      </c>
      <c r="P529" s="42">
        <v>0.0</v>
      </c>
      <c r="Q529" s="42">
        <v>0.0</v>
      </c>
      <c r="R529" s="20" t="s">
        <v>7045</v>
      </c>
      <c r="S529" s="24">
        <v>46753.0</v>
      </c>
      <c r="T529" s="24">
        <v>47118.0</v>
      </c>
      <c r="U529" s="42">
        <v>0.0</v>
      </c>
      <c r="V529" s="42">
        <v>0.0</v>
      </c>
      <c r="W529" s="20" t="s">
        <v>7045</v>
      </c>
      <c r="X529" s="24">
        <v>47119.0</v>
      </c>
      <c r="Y529" s="24">
        <v>47483.0</v>
      </c>
      <c r="Z529" s="42">
        <v>0.0</v>
      </c>
      <c r="AA529" s="42">
        <v>0.0</v>
      </c>
      <c r="AB529" s="20" t="s">
        <v>7045</v>
      </c>
      <c r="AC529" s="24">
        <v>47484.0</v>
      </c>
      <c r="AD529" s="24">
        <v>47848.0</v>
      </c>
      <c r="AE529" s="42">
        <v>0.0</v>
      </c>
      <c r="AF529" s="42">
        <v>0.0</v>
      </c>
      <c r="AG529" s="20" t="s">
        <v>7045</v>
      </c>
      <c r="AH529" s="24">
        <v>45292.0</v>
      </c>
      <c r="AI529" s="24">
        <v>45657.0</v>
      </c>
      <c r="AJ529" s="42">
        <v>0.0</v>
      </c>
      <c r="AK529" s="42">
        <v>0.0</v>
      </c>
      <c r="AL529" s="20" t="s">
        <v>7045</v>
      </c>
      <c r="AM529" s="24">
        <v>44562.0</v>
      </c>
      <c r="AN529" s="24">
        <v>44926.0</v>
      </c>
      <c r="AO529" s="42">
        <v>0.0</v>
      </c>
      <c r="AP529" s="42">
        <v>0.0</v>
      </c>
      <c r="AQ529" s="20" t="s">
        <v>7045</v>
      </c>
      <c r="AR529" s="24">
        <v>44927.0</v>
      </c>
      <c r="AS529" s="24">
        <v>45291.0</v>
      </c>
      <c r="AT529" s="42">
        <v>0.0</v>
      </c>
      <c r="AU529" s="42">
        <v>0.0</v>
      </c>
      <c r="AV529" s="20" t="s">
        <v>7045</v>
      </c>
    </row>
    <row r="530" ht="14.25" customHeight="1">
      <c r="A530" s="20" t="s">
        <v>1433</v>
      </c>
      <c r="B530" s="20" t="s">
        <v>1434</v>
      </c>
      <c r="C530" s="20" t="s">
        <v>7041</v>
      </c>
      <c r="D530" s="24">
        <v>45658.0</v>
      </c>
      <c r="E530" s="24">
        <v>46022.0</v>
      </c>
      <c r="F530" s="42">
        <v>0.0</v>
      </c>
      <c r="G530" s="42">
        <v>0.0</v>
      </c>
      <c r="H530" s="20" t="s">
        <v>7045</v>
      </c>
      <c r="I530" s="24">
        <v>46023.0</v>
      </c>
      <c r="J530" s="24">
        <v>46387.0</v>
      </c>
      <c r="K530" s="42">
        <v>0.0</v>
      </c>
      <c r="L530" s="42">
        <v>0.0</v>
      </c>
      <c r="M530" s="20" t="s">
        <v>7045</v>
      </c>
      <c r="N530" s="24">
        <v>46388.0</v>
      </c>
      <c r="O530" s="24">
        <v>46752.0</v>
      </c>
      <c r="P530" s="42">
        <v>0.0</v>
      </c>
      <c r="Q530" s="42">
        <v>0.0</v>
      </c>
      <c r="R530" s="20" t="s">
        <v>7045</v>
      </c>
      <c r="S530" s="24">
        <v>46753.0</v>
      </c>
      <c r="T530" s="24">
        <v>47118.0</v>
      </c>
      <c r="U530" s="42">
        <v>0.0</v>
      </c>
      <c r="V530" s="42">
        <v>0.0</v>
      </c>
      <c r="W530" s="20" t="s">
        <v>7045</v>
      </c>
      <c r="X530" s="24">
        <v>47119.0</v>
      </c>
      <c r="Y530" s="24">
        <v>47483.0</v>
      </c>
      <c r="Z530" s="42">
        <v>0.0</v>
      </c>
      <c r="AA530" s="42">
        <v>0.0</v>
      </c>
      <c r="AB530" s="20" t="s">
        <v>7045</v>
      </c>
      <c r="AC530" s="24">
        <v>47484.0</v>
      </c>
      <c r="AD530" s="24">
        <v>47848.0</v>
      </c>
      <c r="AE530" s="42">
        <v>0.0</v>
      </c>
      <c r="AF530" s="42">
        <v>0.0</v>
      </c>
      <c r="AG530" s="20" t="s">
        <v>7045</v>
      </c>
      <c r="AH530" s="24">
        <v>45292.0</v>
      </c>
      <c r="AI530" s="24">
        <v>45657.0</v>
      </c>
      <c r="AJ530" s="42">
        <v>0.0</v>
      </c>
      <c r="AK530" s="42">
        <v>0.0</v>
      </c>
      <c r="AL530" s="20" t="s">
        <v>7045</v>
      </c>
      <c r="AM530" s="24">
        <v>44562.0</v>
      </c>
      <c r="AN530" s="24">
        <v>44926.0</v>
      </c>
      <c r="AO530" s="42">
        <v>0.0</v>
      </c>
      <c r="AP530" s="42">
        <v>0.0</v>
      </c>
      <c r="AQ530" s="20" t="s">
        <v>7045</v>
      </c>
      <c r="AR530" s="24">
        <v>44927.0</v>
      </c>
      <c r="AS530" s="24">
        <v>45291.0</v>
      </c>
      <c r="AT530" s="42">
        <v>0.0</v>
      </c>
      <c r="AU530" s="42">
        <v>0.0</v>
      </c>
      <c r="AV530" s="20" t="s">
        <v>7045</v>
      </c>
    </row>
    <row r="531" ht="14.25" customHeight="1">
      <c r="A531" s="20" t="s">
        <v>3897</v>
      </c>
      <c r="B531" s="20" t="s">
        <v>3898</v>
      </c>
      <c r="C531" s="20" t="s">
        <v>7041</v>
      </c>
      <c r="D531" s="24">
        <v>45658.0</v>
      </c>
      <c r="E531" s="24">
        <v>46022.0</v>
      </c>
      <c r="F531" s="42">
        <v>1062.74</v>
      </c>
      <c r="G531" s="42">
        <v>0.0</v>
      </c>
      <c r="H531" s="20" t="s">
        <v>7047</v>
      </c>
      <c r="I531" s="24">
        <v>46023.0</v>
      </c>
      <c r="J531" s="24">
        <v>46387.0</v>
      </c>
      <c r="K531" s="42">
        <v>0.0</v>
      </c>
      <c r="L531" s="42">
        <v>0.0</v>
      </c>
      <c r="M531" s="20" t="s">
        <v>7045</v>
      </c>
      <c r="N531" s="24">
        <v>46388.0</v>
      </c>
      <c r="O531" s="24">
        <v>46752.0</v>
      </c>
      <c r="P531" s="42">
        <v>0.0</v>
      </c>
      <c r="Q531" s="42">
        <v>0.0</v>
      </c>
      <c r="R531" s="20" t="s">
        <v>7045</v>
      </c>
      <c r="S531" s="24">
        <v>46753.0</v>
      </c>
      <c r="T531" s="24">
        <v>47118.0</v>
      </c>
      <c r="U531" s="42">
        <v>0.0</v>
      </c>
      <c r="V531" s="42">
        <v>0.0</v>
      </c>
      <c r="W531" s="20" t="s">
        <v>7045</v>
      </c>
      <c r="X531" s="24">
        <v>47119.0</v>
      </c>
      <c r="Y531" s="24">
        <v>47483.0</v>
      </c>
      <c r="Z531" s="42">
        <v>0.0</v>
      </c>
      <c r="AA531" s="42">
        <v>0.0</v>
      </c>
      <c r="AB531" s="20" t="s">
        <v>7045</v>
      </c>
      <c r="AC531" s="24">
        <v>47484.0</v>
      </c>
      <c r="AD531" s="24">
        <v>47848.0</v>
      </c>
      <c r="AE531" s="42">
        <v>0.0</v>
      </c>
      <c r="AF531" s="42">
        <v>0.0</v>
      </c>
      <c r="AG531" s="20" t="s">
        <v>7045</v>
      </c>
      <c r="AH531" s="24">
        <v>45292.0</v>
      </c>
      <c r="AI531" s="24">
        <v>45657.0</v>
      </c>
      <c r="AJ531" s="42">
        <v>0.0</v>
      </c>
      <c r="AK531" s="42">
        <v>0.0</v>
      </c>
      <c r="AL531" s="20" t="s">
        <v>7045</v>
      </c>
      <c r="AM531" s="24">
        <v>44562.0</v>
      </c>
      <c r="AN531" s="24">
        <v>44926.0</v>
      </c>
      <c r="AO531" s="42">
        <v>0.0</v>
      </c>
      <c r="AP531" s="42">
        <v>0.0</v>
      </c>
      <c r="AQ531" s="20" t="s">
        <v>7045</v>
      </c>
      <c r="AR531" s="24">
        <v>44927.0</v>
      </c>
      <c r="AS531" s="24">
        <v>45291.0</v>
      </c>
      <c r="AT531" s="42">
        <v>0.0</v>
      </c>
      <c r="AU531" s="42">
        <v>0.0</v>
      </c>
      <c r="AV531" s="20" t="s">
        <v>7045</v>
      </c>
    </row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80"/>
    <hyperlink r:id="rId2" ref="B172"/>
  </hyperlinks>
  <printOptions/>
  <pageMargins bottom="0.75" footer="0.0" header="0.0" left="0.7" right="0.7" top="0.75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4.71"/>
    <col customWidth="1" min="5" max="5" width="20.14"/>
    <col customWidth="1" min="6" max="7" width="18.14"/>
    <col customWidth="1" min="8" max="8" width="25.43"/>
    <col customWidth="1" min="9" max="9" width="22.43"/>
    <col customWidth="1" min="10" max="10" width="20.14"/>
    <col customWidth="1" min="11" max="12" width="18.14"/>
    <col customWidth="1" min="13" max="13" width="25.43"/>
    <col customWidth="1" min="14" max="14" width="22.43"/>
    <col customWidth="1" min="15" max="15" width="20.14"/>
    <col customWidth="1" min="16" max="17" width="18.14"/>
    <col customWidth="1" min="18" max="18" width="25.43"/>
    <col customWidth="1" min="19" max="19" width="22.43"/>
    <col customWidth="1" min="20" max="20" width="20.14"/>
    <col customWidth="1" min="21" max="22" width="18.14"/>
    <col customWidth="1" min="23" max="23" width="25.43"/>
    <col customWidth="1" min="24" max="24" width="22.43"/>
    <col customWidth="1" min="25" max="25" width="20.14"/>
    <col customWidth="1" min="26" max="27" width="18.14"/>
    <col customWidth="1" min="28" max="28" width="25.43"/>
    <col customWidth="1" min="29" max="29" width="22.43"/>
    <col customWidth="1" min="30" max="30" width="20.14"/>
    <col customWidth="1" min="31" max="32" width="18.14"/>
    <col customWidth="1" min="33" max="33" width="25.43"/>
    <col customWidth="1" min="34" max="34" width="22.43"/>
    <col customWidth="1" min="35" max="35" width="20.14"/>
    <col customWidth="1" min="36" max="37" width="18.14"/>
    <col customWidth="1" min="38" max="38" width="25.43"/>
    <col customWidth="1" min="39" max="39" width="22.43"/>
    <col customWidth="1" min="40" max="40" width="20.14"/>
    <col customWidth="1" min="41" max="42" width="18.14"/>
    <col customWidth="1" min="43" max="43" width="25.43"/>
    <col customWidth="1" min="44" max="44" width="22.43"/>
    <col customWidth="1" min="45" max="45" width="20.14"/>
    <col customWidth="1" min="46" max="47" width="18.14"/>
    <col customWidth="1" min="48" max="48" width="25.43"/>
    <col customWidth="1" min="49" max="49" width="22.43"/>
    <col customWidth="1" min="50" max="50" width="20.14"/>
    <col customWidth="1" min="51" max="52" width="18.14"/>
    <col customWidth="1" min="53" max="53" width="25.43"/>
    <col customWidth="1" min="54" max="54" width="22.43"/>
    <col customWidth="1" min="55" max="55" width="20.14"/>
    <col customWidth="1" min="56" max="57" width="18.14"/>
    <col customWidth="1" min="58" max="58" width="25.43"/>
    <col customWidth="1" min="59" max="59" width="22.43"/>
    <col customWidth="1" min="60" max="60" width="20.14"/>
    <col customWidth="1" min="61" max="62" width="18.14"/>
    <col customWidth="1" min="63" max="63" width="25.43"/>
    <col customWidth="1" min="64" max="64" width="22.43"/>
    <col customWidth="1" min="65" max="65" width="20.14"/>
    <col customWidth="1" min="66" max="67" width="18.14"/>
    <col customWidth="1" min="68" max="68" width="25.43"/>
    <col customWidth="1" min="69" max="69" width="22.43"/>
    <col customWidth="1" min="70" max="70" width="20.14"/>
    <col customWidth="1" min="71" max="72" width="18.14"/>
    <col customWidth="1" min="73" max="73" width="25.43"/>
    <col customWidth="1" min="74" max="74" width="22.43"/>
    <col customWidth="1" min="75" max="75" width="20.14"/>
    <col customWidth="1" min="76" max="77" width="18.14"/>
    <col customWidth="1" min="78" max="78" width="25.43"/>
    <col customWidth="1" min="79" max="79" width="22.43"/>
    <col customWidth="1" min="80" max="80" width="20.14"/>
    <col customWidth="1" min="81" max="82" width="18.14"/>
    <col customWidth="1" min="83" max="83" width="25.43"/>
    <col customWidth="1" min="84" max="84" width="22.43"/>
    <col customWidth="1" min="85" max="85" width="20.14"/>
    <col customWidth="1" min="86" max="87" width="18.14"/>
    <col customWidth="1" min="88" max="88" width="25.43"/>
    <col customWidth="1" min="89" max="89" width="22.43"/>
    <col customWidth="1" min="90" max="90" width="20.14"/>
    <col customWidth="1" min="91" max="92" width="18.14"/>
    <col customWidth="1" min="93" max="93" width="25.43"/>
    <col customWidth="1" min="94" max="94" width="22.43"/>
    <col customWidth="1" min="95" max="95" width="20.14"/>
    <col customWidth="1" min="96" max="97" width="18.14"/>
    <col customWidth="1" min="98" max="98" width="25.43"/>
    <col customWidth="1" min="99" max="99" width="22.43"/>
    <col customWidth="1" min="100" max="100" width="20.14"/>
    <col customWidth="1" min="101" max="102" width="18.14"/>
    <col customWidth="1" min="103" max="103" width="25.43"/>
    <col customWidth="1" min="104" max="104" width="22.43"/>
    <col customWidth="1" min="105" max="105" width="20.14"/>
    <col customWidth="1" min="106" max="107" width="18.14"/>
    <col customWidth="1" min="108" max="108" width="25.43"/>
    <col customWidth="1" min="109" max="109" width="22.43"/>
    <col customWidth="1" min="110" max="110" width="20.14"/>
    <col customWidth="1" min="111" max="112" width="18.14"/>
    <col customWidth="1" min="113" max="113" width="25.43"/>
    <col customWidth="1" min="114" max="114" width="22.43"/>
    <col customWidth="1" min="115" max="115" width="20.14"/>
    <col customWidth="1" min="116" max="117" width="18.14"/>
    <col customWidth="1" min="118" max="118" width="25.43"/>
    <col customWidth="1" min="119" max="119" width="22.43"/>
    <col customWidth="1" min="120" max="120" width="20.14"/>
    <col customWidth="1" min="121" max="122" width="18.14"/>
    <col customWidth="1" min="123" max="123" width="25.43"/>
  </cols>
  <sheetData>
    <row r="1" ht="14.25" customHeight="1">
      <c r="A1" s="27" t="s">
        <v>7033</v>
      </c>
      <c r="B1" s="27" t="s">
        <v>7034</v>
      </c>
      <c r="C1" s="27" t="s">
        <v>7035</v>
      </c>
      <c r="D1" s="27" t="s">
        <v>7036</v>
      </c>
      <c r="E1" s="27" t="s">
        <v>7037</v>
      </c>
      <c r="F1" s="27" t="s">
        <v>7038</v>
      </c>
      <c r="G1" s="27" t="s">
        <v>7039</v>
      </c>
      <c r="H1" s="27" t="s">
        <v>7040</v>
      </c>
      <c r="I1" s="27" t="s">
        <v>7036</v>
      </c>
      <c r="J1" s="27" t="s">
        <v>7037</v>
      </c>
      <c r="K1" s="27" t="s">
        <v>7038</v>
      </c>
      <c r="L1" s="27" t="s">
        <v>7039</v>
      </c>
      <c r="M1" s="27" t="s">
        <v>7040</v>
      </c>
      <c r="N1" s="27" t="s">
        <v>7036</v>
      </c>
      <c r="O1" s="27" t="s">
        <v>7037</v>
      </c>
      <c r="P1" s="27" t="s">
        <v>7038</v>
      </c>
      <c r="Q1" s="27" t="s">
        <v>7039</v>
      </c>
      <c r="R1" s="27" t="s">
        <v>7040</v>
      </c>
      <c r="S1" s="27" t="s">
        <v>7036</v>
      </c>
      <c r="T1" s="27" t="s">
        <v>7037</v>
      </c>
      <c r="U1" s="27" t="s">
        <v>7038</v>
      </c>
      <c r="V1" s="27" t="s">
        <v>7039</v>
      </c>
      <c r="W1" s="27" t="s">
        <v>7040</v>
      </c>
      <c r="X1" s="27" t="s">
        <v>7036</v>
      </c>
      <c r="Y1" s="27" t="s">
        <v>7037</v>
      </c>
      <c r="Z1" s="27" t="s">
        <v>7038</v>
      </c>
      <c r="AA1" s="27" t="s">
        <v>7039</v>
      </c>
      <c r="AB1" s="27" t="s">
        <v>7040</v>
      </c>
      <c r="AC1" s="27" t="s">
        <v>7036</v>
      </c>
      <c r="AD1" s="27" t="s">
        <v>7037</v>
      </c>
      <c r="AE1" s="27" t="s">
        <v>7038</v>
      </c>
      <c r="AF1" s="27" t="s">
        <v>7039</v>
      </c>
      <c r="AG1" s="27" t="s">
        <v>7040</v>
      </c>
      <c r="AH1" s="27" t="s">
        <v>7036</v>
      </c>
      <c r="AI1" s="27" t="s">
        <v>7037</v>
      </c>
      <c r="AJ1" s="27" t="s">
        <v>7038</v>
      </c>
      <c r="AK1" s="27" t="s">
        <v>7039</v>
      </c>
      <c r="AL1" s="27" t="s">
        <v>7040</v>
      </c>
      <c r="AM1" s="27" t="s">
        <v>7036</v>
      </c>
      <c r="AN1" s="27" t="s">
        <v>7037</v>
      </c>
      <c r="AO1" s="27" t="s">
        <v>7038</v>
      </c>
      <c r="AP1" s="27" t="s">
        <v>7039</v>
      </c>
      <c r="AQ1" s="27" t="s">
        <v>7040</v>
      </c>
      <c r="AR1" s="27" t="s">
        <v>7036</v>
      </c>
      <c r="AS1" s="27" t="s">
        <v>7037</v>
      </c>
      <c r="AT1" s="27" t="s">
        <v>7038</v>
      </c>
      <c r="AU1" s="27" t="s">
        <v>7039</v>
      </c>
      <c r="AV1" s="27" t="s">
        <v>7040</v>
      </c>
      <c r="AW1" s="27" t="s">
        <v>7036</v>
      </c>
      <c r="AX1" s="27" t="s">
        <v>7037</v>
      </c>
      <c r="AY1" s="27" t="s">
        <v>7038</v>
      </c>
      <c r="AZ1" s="27" t="s">
        <v>7039</v>
      </c>
      <c r="BA1" s="27" t="s">
        <v>7040</v>
      </c>
      <c r="BB1" s="27" t="s">
        <v>7036</v>
      </c>
      <c r="BC1" s="27" t="s">
        <v>7037</v>
      </c>
      <c r="BD1" s="27" t="s">
        <v>7038</v>
      </c>
      <c r="BE1" s="27" t="s">
        <v>7039</v>
      </c>
      <c r="BF1" s="27" t="s">
        <v>7040</v>
      </c>
      <c r="BG1" s="27" t="s">
        <v>7036</v>
      </c>
      <c r="BH1" s="27" t="s">
        <v>7037</v>
      </c>
      <c r="BI1" s="27" t="s">
        <v>7038</v>
      </c>
      <c r="BJ1" s="27" t="s">
        <v>7039</v>
      </c>
      <c r="BK1" s="27" t="s">
        <v>7040</v>
      </c>
      <c r="BL1" s="27" t="s">
        <v>7036</v>
      </c>
      <c r="BM1" s="27" t="s">
        <v>7037</v>
      </c>
      <c r="BN1" s="27" t="s">
        <v>7038</v>
      </c>
      <c r="BO1" s="27" t="s">
        <v>7039</v>
      </c>
      <c r="BP1" s="27" t="s">
        <v>7040</v>
      </c>
      <c r="BQ1" s="27" t="s">
        <v>7036</v>
      </c>
      <c r="BR1" s="27" t="s">
        <v>7037</v>
      </c>
      <c r="BS1" s="27" t="s">
        <v>7038</v>
      </c>
      <c r="BT1" s="27" t="s">
        <v>7039</v>
      </c>
      <c r="BU1" s="27" t="s">
        <v>7040</v>
      </c>
      <c r="BV1" s="27" t="s">
        <v>7036</v>
      </c>
      <c r="BW1" s="27" t="s">
        <v>7037</v>
      </c>
      <c r="BX1" s="27" t="s">
        <v>7038</v>
      </c>
      <c r="BY1" s="27" t="s">
        <v>7039</v>
      </c>
      <c r="BZ1" s="27" t="s">
        <v>7040</v>
      </c>
      <c r="CA1" s="27" t="s">
        <v>7036</v>
      </c>
      <c r="CB1" s="27" t="s">
        <v>7037</v>
      </c>
      <c r="CC1" s="27" t="s">
        <v>7038</v>
      </c>
      <c r="CD1" s="27" t="s">
        <v>7039</v>
      </c>
      <c r="CE1" s="27" t="s">
        <v>7040</v>
      </c>
      <c r="CF1" s="27" t="s">
        <v>7036</v>
      </c>
      <c r="CG1" s="27" t="s">
        <v>7037</v>
      </c>
      <c r="CH1" s="27" t="s">
        <v>7038</v>
      </c>
      <c r="CI1" s="27" t="s">
        <v>7039</v>
      </c>
      <c r="CJ1" s="27" t="s">
        <v>7040</v>
      </c>
      <c r="CK1" s="27" t="s">
        <v>7036</v>
      </c>
      <c r="CL1" s="27" t="s">
        <v>7037</v>
      </c>
      <c r="CM1" s="27" t="s">
        <v>7038</v>
      </c>
      <c r="CN1" s="27" t="s">
        <v>7039</v>
      </c>
      <c r="CO1" s="27" t="s">
        <v>7040</v>
      </c>
      <c r="CP1" s="27" t="s">
        <v>7036</v>
      </c>
      <c r="CQ1" s="27" t="s">
        <v>7037</v>
      </c>
      <c r="CR1" s="27" t="s">
        <v>7038</v>
      </c>
      <c r="CS1" s="27" t="s">
        <v>7039</v>
      </c>
      <c r="CT1" s="27" t="s">
        <v>7040</v>
      </c>
      <c r="CU1" s="27" t="s">
        <v>7036</v>
      </c>
      <c r="CV1" s="27" t="s">
        <v>7037</v>
      </c>
      <c r="CW1" s="27" t="s">
        <v>7038</v>
      </c>
      <c r="CX1" s="27" t="s">
        <v>7039</v>
      </c>
      <c r="CY1" s="27" t="s">
        <v>7040</v>
      </c>
      <c r="CZ1" s="27" t="s">
        <v>7036</v>
      </c>
      <c r="DA1" s="27" t="s">
        <v>7037</v>
      </c>
      <c r="DB1" s="27" t="s">
        <v>7038</v>
      </c>
      <c r="DC1" s="27" t="s">
        <v>7039</v>
      </c>
      <c r="DD1" s="27" t="s">
        <v>7040</v>
      </c>
      <c r="DE1" s="27" t="s">
        <v>7036</v>
      </c>
      <c r="DF1" s="27" t="s">
        <v>7037</v>
      </c>
      <c r="DG1" s="27" t="s">
        <v>7038</v>
      </c>
      <c r="DH1" s="27" t="s">
        <v>7039</v>
      </c>
      <c r="DI1" s="27" t="s">
        <v>7040</v>
      </c>
      <c r="DJ1" s="27" t="s">
        <v>7036</v>
      </c>
      <c r="DK1" s="27" t="s">
        <v>7037</v>
      </c>
      <c r="DL1" s="27" t="s">
        <v>7038</v>
      </c>
      <c r="DM1" s="27" t="s">
        <v>7039</v>
      </c>
      <c r="DN1" s="27" t="s">
        <v>7040</v>
      </c>
      <c r="DO1" s="27" t="s">
        <v>7036</v>
      </c>
      <c r="DP1" s="27" t="s">
        <v>7037</v>
      </c>
      <c r="DQ1" s="27" t="s">
        <v>7038</v>
      </c>
      <c r="DR1" s="27" t="s">
        <v>7039</v>
      </c>
      <c r="DS1" s="27" t="s">
        <v>7040</v>
      </c>
    </row>
    <row r="2" ht="14.25" customHeight="1">
      <c r="A2" s="28" t="s">
        <v>595</v>
      </c>
      <c r="B2" s="29" t="s">
        <v>596</v>
      </c>
      <c r="C2" s="29" t="s">
        <v>7041</v>
      </c>
      <c r="D2" s="30">
        <v>45658.0</v>
      </c>
      <c r="E2" s="30">
        <v>45747.0</v>
      </c>
      <c r="F2" s="36">
        <v>0.34</v>
      </c>
      <c r="G2" s="36">
        <v>0.0</v>
      </c>
      <c r="H2" s="38" t="s">
        <v>7047</v>
      </c>
      <c r="I2" s="30">
        <v>45748.0</v>
      </c>
      <c r="J2" s="30">
        <v>45838.0</v>
      </c>
      <c r="K2" s="36">
        <v>14.41</v>
      </c>
      <c r="L2" s="36">
        <v>0.0</v>
      </c>
      <c r="M2" s="38" t="s">
        <v>7047</v>
      </c>
      <c r="N2" s="30">
        <v>45839.0</v>
      </c>
      <c r="O2" s="30">
        <v>45930.0</v>
      </c>
      <c r="P2" s="36">
        <v>515.05</v>
      </c>
      <c r="Q2" s="36">
        <v>2918.89</v>
      </c>
      <c r="R2" s="38" t="s">
        <v>7047</v>
      </c>
      <c r="S2" s="30">
        <v>45931.0</v>
      </c>
      <c r="T2" s="30">
        <v>46022.0</v>
      </c>
      <c r="U2" s="36">
        <v>442.45</v>
      </c>
      <c r="V2" s="36">
        <v>2918.89</v>
      </c>
      <c r="W2" s="38" t="s">
        <v>7047</v>
      </c>
      <c r="X2" s="30">
        <v>46023.0</v>
      </c>
      <c r="Y2" s="30">
        <v>46112.0</v>
      </c>
      <c r="Z2" s="36">
        <v>343.19</v>
      </c>
      <c r="AA2" s="36">
        <v>0.0</v>
      </c>
      <c r="AB2" s="38" t="s">
        <v>7047</v>
      </c>
      <c r="AC2" s="30">
        <v>46113.0</v>
      </c>
      <c r="AD2" s="30">
        <v>46203.0</v>
      </c>
      <c r="AE2" s="36">
        <v>56.02</v>
      </c>
      <c r="AF2" s="36">
        <v>0.0</v>
      </c>
      <c r="AG2" s="38" t="s">
        <v>7047</v>
      </c>
      <c r="AH2" s="30">
        <v>46204.0</v>
      </c>
      <c r="AI2" s="30">
        <v>46295.0</v>
      </c>
      <c r="AJ2" s="36">
        <v>144.99</v>
      </c>
      <c r="AK2" s="36">
        <v>0.0</v>
      </c>
      <c r="AL2" s="38" t="s">
        <v>7047</v>
      </c>
      <c r="AM2" s="30">
        <v>46296.0</v>
      </c>
      <c r="AN2" s="30">
        <v>46387.0</v>
      </c>
      <c r="AO2" s="36">
        <v>15866.29</v>
      </c>
      <c r="AP2" s="36">
        <v>0.0</v>
      </c>
      <c r="AQ2" s="38" t="s">
        <v>7047</v>
      </c>
      <c r="AR2" s="30">
        <v>46388.0</v>
      </c>
      <c r="AS2" s="30">
        <v>46477.0</v>
      </c>
      <c r="AT2" s="36">
        <v>0.0</v>
      </c>
      <c r="AU2" s="36">
        <v>0.0</v>
      </c>
      <c r="AV2" s="35" t="s">
        <v>7045</v>
      </c>
      <c r="AW2" s="30">
        <v>46478.0</v>
      </c>
      <c r="AX2" s="30">
        <v>46568.0</v>
      </c>
      <c r="AY2" s="36">
        <v>0.0</v>
      </c>
      <c r="AZ2" s="36">
        <v>0.0</v>
      </c>
      <c r="BA2" s="35" t="s">
        <v>7045</v>
      </c>
      <c r="BB2" s="30">
        <v>46569.0</v>
      </c>
      <c r="BC2" s="30">
        <v>46660.0</v>
      </c>
      <c r="BD2" s="36">
        <v>0.0</v>
      </c>
      <c r="BE2" s="36">
        <v>0.0</v>
      </c>
      <c r="BF2" s="35" t="s">
        <v>7045</v>
      </c>
      <c r="BG2" s="30">
        <v>46661.0</v>
      </c>
      <c r="BH2" s="30">
        <v>46752.0</v>
      </c>
      <c r="BI2" s="36">
        <v>0.0</v>
      </c>
      <c r="BJ2" s="36">
        <v>0.0</v>
      </c>
      <c r="BK2" s="35" t="s">
        <v>7045</v>
      </c>
      <c r="BL2" s="30">
        <v>46753.0</v>
      </c>
      <c r="BM2" s="30">
        <v>46843.0</v>
      </c>
      <c r="BN2" s="36">
        <v>0.0</v>
      </c>
      <c r="BO2" s="36">
        <v>0.0</v>
      </c>
      <c r="BP2" s="35" t="s">
        <v>7045</v>
      </c>
      <c r="BQ2" s="30">
        <v>46844.0</v>
      </c>
      <c r="BR2" s="30">
        <v>46934.0</v>
      </c>
      <c r="BS2" s="36">
        <v>0.0</v>
      </c>
      <c r="BT2" s="36">
        <v>0.0</v>
      </c>
      <c r="BU2" s="35" t="s">
        <v>7045</v>
      </c>
      <c r="BV2" s="30">
        <v>46935.0</v>
      </c>
      <c r="BW2" s="30">
        <v>47026.0</v>
      </c>
      <c r="BX2" s="36">
        <v>0.0</v>
      </c>
      <c r="BY2" s="36">
        <v>0.0</v>
      </c>
      <c r="BZ2" s="35" t="s">
        <v>7045</v>
      </c>
      <c r="CA2" s="30">
        <v>47027.0</v>
      </c>
      <c r="CB2" s="30">
        <v>47118.0</v>
      </c>
      <c r="CC2" s="36">
        <v>0.0</v>
      </c>
      <c r="CD2" s="36">
        <v>0.0</v>
      </c>
      <c r="CE2" s="35" t="s">
        <v>7045</v>
      </c>
      <c r="CF2" s="30">
        <v>47119.0</v>
      </c>
      <c r="CG2" s="30">
        <v>47208.0</v>
      </c>
      <c r="CH2" s="36">
        <v>0.0</v>
      </c>
      <c r="CI2" s="36">
        <v>0.0</v>
      </c>
      <c r="CJ2" s="35" t="s">
        <v>7045</v>
      </c>
      <c r="CK2" s="30">
        <v>47209.0</v>
      </c>
      <c r="CL2" s="30">
        <v>47299.0</v>
      </c>
      <c r="CM2" s="36">
        <v>0.0</v>
      </c>
      <c r="CN2" s="36">
        <v>0.0</v>
      </c>
      <c r="CO2" s="35" t="s">
        <v>7045</v>
      </c>
      <c r="CP2" s="30">
        <v>47300.0</v>
      </c>
      <c r="CQ2" s="30">
        <v>47391.0</v>
      </c>
      <c r="CR2" s="36">
        <v>0.0</v>
      </c>
      <c r="CS2" s="36">
        <v>0.0</v>
      </c>
      <c r="CT2" s="35" t="s">
        <v>7045</v>
      </c>
      <c r="CU2" s="30">
        <v>47392.0</v>
      </c>
      <c r="CV2" s="30">
        <v>47483.0</v>
      </c>
      <c r="CW2" s="36">
        <v>0.0</v>
      </c>
      <c r="CX2" s="36">
        <v>0.0</v>
      </c>
      <c r="CY2" s="35" t="s">
        <v>7045</v>
      </c>
      <c r="CZ2" s="30">
        <v>47484.0</v>
      </c>
      <c r="DA2" s="30">
        <v>47573.0</v>
      </c>
      <c r="DB2" s="36">
        <v>0.0</v>
      </c>
      <c r="DC2" s="36">
        <v>0.0</v>
      </c>
      <c r="DD2" s="35" t="s">
        <v>7045</v>
      </c>
      <c r="DE2" s="30">
        <v>47574.0</v>
      </c>
      <c r="DF2" s="30">
        <v>47664.0</v>
      </c>
      <c r="DG2" s="36">
        <v>0.0</v>
      </c>
      <c r="DH2" s="36">
        <v>0.0</v>
      </c>
      <c r="DI2" s="35" t="s">
        <v>7045</v>
      </c>
      <c r="DJ2" s="30">
        <v>47665.0</v>
      </c>
      <c r="DK2" s="30">
        <v>47756.0</v>
      </c>
      <c r="DL2" s="36">
        <v>0.0</v>
      </c>
      <c r="DM2" s="36">
        <v>0.0</v>
      </c>
      <c r="DN2" s="35" t="s">
        <v>7045</v>
      </c>
      <c r="DO2" s="30">
        <v>47757.0</v>
      </c>
      <c r="DP2" s="30">
        <v>47848.0</v>
      </c>
      <c r="DQ2" s="36">
        <v>0.0</v>
      </c>
      <c r="DR2" s="36">
        <v>0.0</v>
      </c>
      <c r="DS2" s="35" t="s">
        <v>7045</v>
      </c>
    </row>
    <row r="3" ht="14.25" customHeight="1">
      <c r="A3" s="28" t="s">
        <v>1706</v>
      </c>
      <c r="B3" s="29" t="s">
        <v>1707</v>
      </c>
      <c r="C3" s="29" t="s">
        <v>7041</v>
      </c>
      <c r="D3" s="30">
        <v>45658.0</v>
      </c>
      <c r="E3" s="30">
        <v>45747.0</v>
      </c>
      <c r="F3" s="36">
        <v>21.7</v>
      </c>
      <c r="G3" s="36">
        <v>0.0</v>
      </c>
      <c r="H3" s="38" t="s">
        <v>7047</v>
      </c>
      <c r="I3" s="30">
        <v>45748.0</v>
      </c>
      <c r="J3" s="30">
        <v>45838.0</v>
      </c>
      <c r="K3" s="36">
        <v>256.74</v>
      </c>
      <c r="L3" s="36">
        <v>1679.07</v>
      </c>
      <c r="M3" s="37" t="s">
        <v>7043</v>
      </c>
      <c r="N3" s="30">
        <v>45839.0</v>
      </c>
      <c r="O3" s="30">
        <v>45930.0</v>
      </c>
      <c r="P3" s="36">
        <v>330.68</v>
      </c>
      <c r="Q3" s="36">
        <v>848.83</v>
      </c>
      <c r="R3" s="38" t="s">
        <v>7047</v>
      </c>
      <c r="S3" s="30">
        <v>45931.0</v>
      </c>
      <c r="T3" s="30">
        <v>46022.0</v>
      </c>
      <c r="U3" s="36">
        <v>18.11</v>
      </c>
      <c r="V3" s="36">
        <v>302.31</v>
      </c>
      <c r="W3" s="38" t="s">
        <v>7047</v>
      </c>
      <c r="X3" s="30">
        <v>46023.0</v>
      </c>
      <c r="Y3" s="30">
        <v>46112.0</v>
      </c>
      <c r="Z3" s="36">
        <v>8.21</v>
      </c>
      <c r="AA3" s="36">
        <v>0.0</v>
      </c>
      <c r="AB3" s="38" t="s">
        <v>7047</v>
      </c>
      <c r="AC3" s="30">
        <v>46113.0</v>
      </c>
      <c r="AD3" s="30">
        <v>46203.0</v>
      </c>
      <c r="AE3" s="36">
        <v>0.0</v>
      </c>
      <c r="AF3" s="36">
        <v>0.0</v>
      </c>
      <c r="AG3" s="35" t="s">
        <v>7045</v>
      </c>
      <c r="AH3" s="30">
        <v>46204.0</v>
      </c>
      <c r="AI3" s="30">
        <v>46295.0</v>
      </c>
      <c r="AJ3" s="36">
        <v>0.0</v>
      </c>
      <c r="AK3" s="36">
        <v>0.0</v>
      </c>
      <c r="AL3" s="35" t="s">
        <v>7045</v>
      </c>
      <c r="AM3" s="30">
        <v>46296.0</v>
      </c>
      <c r="AN3" s="30">
        <v>46387.0</v>
      </c>
      <c r="AO3" s="36">
        <v>0.0</v>
      </c>
      <c r="AP3" s="36">
        <v>0.0</v>
      </c>
      <c r="AQ3" s="35" t="s">
        <v>7045</v>
      </c>
      <c r="AR3" s="30">
        <v>46388.0</v>
      </c>
      <c r="AS3" s="30">
        <v>46477.0</v>
      </c>
      <c r="AT3" s="36">
        <v>0.0</v>
      </c>
      <c r="AU3" s="36">
        <v>0.0</v>
      </c>
      <c r="AV3" s="35" t="s">
        <v>7045</v>
      </c>
      <c r="AW3" s="30">
        <v>46478.0</v>
      </c>
      <c r="AX3" s="30">
        <v>46568.0</v>
      </c>
      <c r="AY3" s="36">
        <v>0.0</v>
      </c>
      <c r="AZ3" s="36">
        <v>0.0</v>
      </c>
      <c r="BA3" s="35" t="s">
        <v>7045</v>
      </c>
      <c r="BB3" s="30">
        <v>46569.0</v>
      </c>
      <c r="BC3" s="30">
        <v>46660.0</v>
      </c>
      <c r="BD3" s="36">
        <v>0.0</v>
      </c>
      <c r="BE3" s="36">
        <v>0.0</v>
      </c>
      <c r="BF3" s="35" t="s">
        <v>7045</v>
      </c>
      <c r="BG3" s="30">
        <v>46661.0</v>
      </c>
      <c r="BH3" s="30">
        <v>46752.0</v>
      </c>
      <c r="BI3" s="36">
        <v>0.0</v>
      </c>
      <c r="BJ3" s="36">
        <v>0.0</v>
      </c>
      <c r="BK3" s="35" t="s">
        <v>7045</v>
      </c>
      <c r="BL3" s="30">
        <v>46753.0</v>
      </c>
      <c r="BM3" s="30">
        <v>46843.0</v>
      </c>
      <c r="BN3" s="36">
        <v>0.0</v>
      </c>
      <c r="BO3" s="36">
        <v>0.0</v>
      </c>
      <c r="BP3" s="35" t="s">
        <v>7045</v>
      </c>
      <c r="BQ3" s="30">
        <v>46844.0</v>
      </c>
      <c r="BR3" s="30">
        <v>46934.0</v>
      </c>
      <c r="BS3" s="36">
        <v>0.0</v>
      </c>
      <c r="BT3" s="36">
        <v>0.0</v>
      </c>
      <c r="BU3" s="35" t="s">
        <v>7045</v>
      </c>
      <c r="BV3" s="30">
        <v>46935.0</v>
      </c>
      <c r="BW3" s="30">
        <v>47026.0</v>
      </c>
      <c r="BX3" s="36">
        <v>0.0</v>
      </c>
      <c r="BY3" s="36">
        <v>0.0</v>
      </c>
      <c r="BZ3" s="35" t="s">
        <v>7045</v>
      </c>
      <c r="CA3" s="30">
        <v>47027.0</v>
      </c>
      <c r="CB3" s="30">
        <v>47118.0</v>
      </c>
      <c r="CC3" s="36">
        <v>0.0</v>
      </c>
      <c r="CD3" s="36">
        <v>0.0</v>
      </c>
      <c r="CE3" s="35" t="s">
        <v>7045</v>
      </c>
      <c r="CF3" s="30">
        <v>47119.0</v>
      </c>
      <c r="CG3" s="30">
        <v>47208.0</v>
      </c>
      <c r="CH3" s="36">
        <v>0.0</v>
      </c>
      <c r="CI3" s="36">
        <v>0.0</v>
      </c>
      <c r="CJ3" s="35" t="s">
        <v>7045</v>
      </c>
      <c r="CK3" s="30">
        <v>47209.0</v>
      </c>
      <c r="CL3" s="30">
        <v>47299.0</v>
      </c>
      <c r="CM3" s="36">
        <v>0.0</v>
      </c>
      <c r="CN3" s="36">
        <v>0.0</v>
      </c>
      <c r="CO3" s="35" t="s">
        <v>7045</v>
      </c>
      <c r="CP3" s="30">
        <v>47300.0</v>
      </c>
      <c r="CQ3" s="30">
        <v>47391.0</v>
      </c>
      <c r="CR3" s="36">
        <v>0.0</v>
      </c>
      <c r="CS3" s="36">
        <v>0.0</v>
      </c>
      <c r="CT3" s="35" t="s">
        <v>7045</v>
      </c>
      <c r="CU3" s="30">
        <v>47392.0</v>
      </c>
      <c r="CV3" s="30">
        <v>47483.0</v>
      </c>
      <c r="CW3" s="36">
        <v>0.0</v>
      </c>
      <c r="CX3" s="36">
        <v>0.0</v>
      </c>
      <c r="CY3" s="35" t="s">
        <v>7045</v>
      </c>
      <c r="CZ3" s="30">
        <v>47484.0</v>
      </c>
      <c r="DA3" s="30">
        <v>47573.0</v>
      </c>
      <c r="DB3" s="36">
        <v>0.0</v>
      </c>
      <c r="DC3" s="36">
        <v>0.0</v>
      </c>
      <c r="DD3" s="35" t="s">
        <v>7045</v>
      </c>
      <c r="DE3" s="30">
        <v>47574.0</v>
      </c>
      <c r="DF3" s="30">
        <v>47664.0</v>
      </c>
      <c r="DG3" s="36">
        <v>0.0</v>
      </c>
      <c r="DH3" s="36">
        <v>0.0</v>
      </c>
      <c r="DI3" s="35" t="s">
        <v>7045</v>
      </c>
      <c r="DJ3" s="30">
        <v>47665.0</v>
      </c>
      <c r="DK3" s="30">
        <v>47756.0</v>
      </c>
      <c r="DL3" s="36">
        <v>0.0</v>
      </c>
      <c r="DM3" s="36">
        <v>0.0</v>
      </c>
      <c r="DN3" s="35" t="s">
        <v>7045</v>
      </c>
      <c r="DO3" s="30">
        <v>47757.0</v>
      </c>
      <c r="DP3" s="30">
        <v>47848.0</v>
      </c>
      <c r="DQ3" s="36">
        <v>0.0</v>
      </c>
      <c r="DR3" s="36">
        <v>0.0</v>
      </c>
      <c r="DS3" s="35" t="s">
        <v>7045</v>
      </c>
    </row>
    <row r="4" ht="14.25" customHeight="1">
      <c r="A4" s="28" t="s">
        <v>4505</v>
      </c>
      <c r="B4" s="29" t="s">
        <v>4506</v>
      </c>
      <c r="C4" s="29" t="s">
        <v>7041</v>
      </c>
      <c r="D4" s="30">
        <v>45658.0</v>
      </c>
      <c r="E4" s="30">
        <v>45747.0</v>
      </c>
      <c r="F4" s="36">
        <v>2075.09</v>
      </c>
      <c r="G4" s="36">
        <v>0.0</v>
      </c>
      <c r="H4" s="38" t="s">
        <v>7047</v>
      </c>
      <c r="I4" s="30">
        <v>45748.0</v>
      </c>
      <c r="J4" s="30">
        <v>45838.0</v>
      </c>
      <c r="K4" s="36">
        <v>0.39</v>
      </c>
      <c r="L4" s="36">
        <v>1647.71</v>
      </c>
      <c r="M4" s="37" t="s">
        <v>7043</v>
      </c>
      <c r="N4" s="30">
        <v>45839.0</v>
      </c>
      <c r="O4" s="30">
        <v>45930.0</v>
      </c>
      <c r="P4" s="36">
        <v>2651.34</v>
      </c>
      <c r="Q4" s="36">
        <v>1647.71</v>
      </c>
      <c r="R4" s="38" t="s">
        <v>7047</v>
      </c>
      <c r="S4" s="30">
        <v>45931.0</v>
      </c>
      <c r="T4" s="30">
        <v>46022.0</v>
      </c>
      <c r="U4" s="36">
        <v>1926.66</v>
      </c>
      <c r="V4" s="36">
        <v>1647.71</v>
      </c>
      <c r="W4" s="38" t="s">
        <v>7047</v>
      </c>
      <c r="X4" s="30">
        <v>46023.0</v>
      </c>
      <c r="Y4" s="30">
        <v>46112.0</v>
      </c>
      <c r="Z4" s="36">
        <v>468.86</v>
      </c>
      <c r="AA4" s="36">
        <v>0.0</v>
      </c>
      <c r="AB4" s="38" t="s">
        <v>7047</v>
      </c>
      <c r="AC4" s="30">
        <v>46113.0</v>
      </c>
      <c r="AD4" s="30">
        <v>46203.0</v>
      </c>
      <c r="AE4" s="36">
        <v>2172.14</v>
      </c>
      <c r="AF4" s="36">
        <v>0.0</v>
      </c>
      <c r="AG4" s="38" t="s">
        <v>7047</v>
      </c>
      <c r="AH4" s="30">
        <v>46204.0</v>
      </c>
      <c r="AI4" s="30">
        <v>46295.0</v>
      </c>
      <c r="AJ4" s="36">
        <v>0.0</v>
      </c>
      <c r="AK4" s="36">
        <v>0.0</v>
      </c>
      <c r="AL4" s="35" t="s">
        <v>7045</v>
      </c>
      <c r="AM4" s="30">
        <v>46296.0</v>
      </c>
      <c r="AN4" s="30">
        <v>46387.0</v>
      </c>
      <c r="AO4" s="36">
        <v>2.82</v>
      </c>
      <c r="AP4" s="36">
        <v>0.0</v>
      </c>
      <c r="AQ4" s="38" t="s">
        <v>7047</v>
      </c>
      <c r="AR4" s="30">
        <v>46388.0</v>
      </c>
      <c r="AS4" s="30">
        <v>46477.0</v>
      </c>
      <c r="AT4" s="36">
        <v>0.0</v>
      </c>
      <c r="AU4" s="36">
        <v>0.0</v>
      </c>
      <c r="AV4" s="35" t="s">
        <v>7045</v>
      </c>
      <c r="AW4" s="30">
        <v>46478.0</v>
      </c>
      <c r="AX4" s="30">
        <v>46568.0</v>
      </c>
      <c r="AY4" s="36">
        <v>0.0</v>
      </c>
      <c r="AZ4" s="36">
        <v>0.0</v>
      </c>
      <c r="BA4" s="35" t="s">
        <v>7045</v>
      </c>
      <c r="BB4" s="30">
        <v>46569.0</v>
      </c>
      <c r="BC4" s="30">
        <v>46660.0</v>
      </c>
      <c r="BD4" s="36">
        <v>0.0</v>
      </c>
      <c r="BE4" s="36">
        <v>0.0</v>
      </c>
      <c r="BF4" s="35" t="s">
        <v>7045</v>
      </c>
      <c r="BG4" s="30">
        <v>46661.0</v>
      </c>
      <c r="BH4" s="30">
        <v>46752.0</v>
      </c>
      <c r="BI4" s="36">
        <v>0.0</v>
      </c>
      <c r="BJ4" s="36">
        <v>0.0</v>
      </c>
      <c r="BK4" s="35" t="s">
        <v>7045</v>
      </c>
      <c r="BL4" s="30">
        <v>46753.0</v>
      </c>
      <c r="BM4" s="30">
        <v>46843.0</v>
      </c>
      <c r="BN4" s="36">
        <v>0.0</v>
      </c>
      <c r="BO4" s="36">
        <v>0.0</v>
      </c>
      <c r="BP4" s="35" t="s">
        <v>7045</v>
      </c>
      <c r="BQ4" s="30">
        <v>46844.0</v>
      </c>
      <c r="BR4" s="30">
        <v>46934.0</v>
      </c>
      <c r="BS4" s="36">
        <v>0.0</v>
      </c>
      <c r="BT4" s="36">
        <v>0.0</v>
      </c>
      <c r="BU4" s="35" t="s">
        <v>7045</v>
      </c>
      <c r="BV4" s="30">
        <v>46935.0</v>
      </c>
      <c r="BW4" s="30">
        <v>47026.0</v>
      </c>
      <c r="BX4" s="36">
        <v>0.0</v>
      </c>
      <c r="BY4" s="36">
        <v>0.0</v>
      </c>
      <c r="BZ4" s="35" t="s">
        <v>7045</v>
      </c>
      <c r="CA4" s="30">
        <v>47027.0</v>
      </c>
      <c r="CB4" s="30">
        <v>47118.0</v>
      </c>
      <c r="CC4" s="36">
        <v>0.0</v>
      </c>
      <c r="CD4" s="36">
        <v>0.0</v>
      </c>
      <c r="CE4" s="35" t="s">
        <v>7045</v>
      </c>
      <c r="CF4" s="30">
        <v>47119.0</v>
      </c>
      <c r="CG4" s="30">
        <v>47208.0</v>
      </c>
      <c r="CH4" s="36">
        <v>0.0</v>
      </c>
      <c r="CI4" s="36">
        <v>0.0</v>
      </c>
      <c r="CJ4" s="35" t="s">
        <v>7045</v>
      </c>
      <c r="CK4" s="30">
        <v>47209.0</v>
      </c>
      <c r="CL4" s="30">
        <v>47299.0</v>
      </c>
      <c r="CM4" s="36">
        <v>0.0</v>
      </c>
      <c r="CN4" s="36">
        <v>0.0</v>
      </c>
      <c r="CO4" s="35" t="s">
        <v>7045</v>
      </c>
      <c r="CP4" s="30">
        <v>47300.0</v>
      </c>
      <c r="CQ4" s="30">
        <v>47391.0</v>
      </c>
      <c r="CR4" s="36">
        <v>0.0</v>
      </c>
      <c r="CS4" s="36">
        <v>0.0</v>
      </c>
      <c r="CT4" s="35" t="s">
        <v>7045</v>
      </c>
      <c r="CU4" s="30">
        <v>47392.0</v>
      </c>
      <c r="CV4" s="30">
        <v>47483.0</v>
      </c>
      <c r="CW4" s="36">
        <v>0.0</v>
      </c>
      <c r="CX4" s="36">
        <v>0.0</v>
      </c>
      <c r="CY4" s="35" t="s">
        <v>7045</v>
      </c>
      <c r="CZ4" s="30">
        <v>47484.0</v>
      </c>
      <c r="DA4" s="30">
        <v>47573.0</v>
      </c>
      <c r="DB4" s="36">
        <v>0.0</v>
      </c>
      <c r="DC4" s="36">
        <v>0.0</v>
      </c>
      <c r="DD4" s="35" t="s">
        <v>7045</v>
      </c>
      <c r="DE4" s="30">
        <v>47574.0</v>
      </c>
      <c r="DF4" s="30">
        <v>47664.0</v>
      </c>
      <c r="DG4" s="36">
        <v>0.0</v>
      </c>
      <c r="DH4" s="36">
        <v>0.0</v>
      </c>
      <c r="DI4" s="35" t="s">
        <v>7045</v>
      </c>
      <c r="DJ4" s="30">
        <v>47665.0</v>
      </c>
      <c r="DK4" s="30">
        <v>47756.0</v>
      </c>
      <c r="DL4" s="36">
        <v>0.0</v>
      </c>
      <c r="DM4" s="36">
        <v>0.0</v>
      </c>
      <c r="DN4" s="35" t="s">
        <v>7045</v>
      </c>
      <c r="DO4" s="30">
        <v>47757.0</v>
      </c>
      <c r="DP4" s="30">
        <v>47848.0</v>
      </c>
      <c r="DQ4" s="36">
        <v>0.0</v>
      </c>
      <c r="DR4" s="36">
        <v>0.0</v>
      </c>
      <c r="DS4" s="35" t="s">
        <v>7045</v>
      </c>
    </row>
    <row r="5" ht="14.25" customHeight="1">
      <c r="A5" s="28" t="s">
        <v>6860</v>
      </c>
      <c r="B5" s="29" t="s">
        <v>6861</v>
      </c>
      <c r="C5" s="29" t="s">
        <v>7041</v>
      </c>
      <c r="D5" s="30">
        <v>45658.0</v>
      </c>
      <c r="E5" s="30">
        <v>45747.0</v>
      </c>
      <c r="F5" s="39">
        <v>36.3</v>
      </c>
      <c r="G5" s="39">
        <v>0.0</v>
      </c>
      <c r="H5" s="38" t="s">
        <v>7047</v>
      </c>
      <c r="I5" s="30">
        <v>45748.0</v>
      </c>
      <c r="J5" s="30">
        <v>45838.0</v>
      </c>
      <c r="K5" s="39">
        <v>17.3</v>
      </c>
      <c r="L5" s="39">
        <v>2816.18</v>
      </c>
      <c r="M5" s="32" t="s">
        <v>7043</v>
      </c>
      <c r="N5" s="30">
        <v>45839.0</v>
      </c>
      <c r="O5" s="30">
        <v>45930.0</v>
      </c>
      <c r="P5" s="39">
        <v>0.0</v>
      </c>
      <c r="Q5" s="39">
        <v>3066.18</v>
      </c>
      <c r="R5" s="32" t="s">
        <v>7043</v>
      </c>
      <c r="S5" s="30">
        <v>45931.0</v>
      </c>
      <c r="T5" s="30">
        <v>46022.0</v>
      </c>
      <c r="U5" s="39">
        <v>0.0</v>
      </c>
      <c r="V5" s="39">
        <v>2963.24</v>
      </c>
      <c r="W5" s="32" t="s">
        <v>7043</v>
      </c>
      <c r="X5" s="30">
        <v>46023.0</v>
      </c>
      <c r="Y5" s="30">
        <v>46112.0</v>
      </c>
      <c r="Z5" s="39">
        <v>0.0</v>
      </c>
      <c r="AA5" s="39">
        <v>0.0</v>
      </c>
      <c r="AB5" s="35" t="s">
        <v>7045</v>
      </c>
      <c r="AC5" s="30">
        <v>46113.0</v>
      </c>
      <c r="AD5" s="30">
        <v>46203.0</v>
      </c>
      <c r="AE5" s="39">
        <v>0.0</v>
      </c>
      <c r="AF5" s="39">
        <v>0.0</v>
      </c>
      <c r="AG5" s="35" t="s">
        <v>7045</v>
      </c>
      <c r="AH5" s="30">
        <v>46204.0</v>
      </c>
      <c r="AI5" s="30">
        <v>46295.0</v>
      </c>
      <c r="AJ5" s="39">
        <v>0.0</v>
      </c>
      <c r="AK5" s="39">
        <v>0.0</v>
      </c>
      <c r="AL5" s="35" t="s">
        <v>7045</v>
      </c>
      <c r="AM5" s="30">
        <v>46296.0</v>
      </c>
      <c r="AN5" s="30">
        <v>46387.0</v>
      </c>
      <c r="AO5" s="39">
        <v>0.0</v>
      </c>
      <c r="AP5" s="39">
        <v>0.0</v>
      </c>
      <c r="AQ5" s="35" t="s">
        <v>7045</v>
      </c>
      <c r="AR5" s="30">
        <v>46388.0</v>
      </c>
      <c r="AS5" s="30">
        <v>46477.0</v>
      </c>
      <c r="AT5" s="39">
        <v>0.0</v>
      </c>
      <c r="AU5" s="39">
        <v>0.0</v>
      </c>
      <c r="AV5" s="35" t="s">
        <v>7045</v>
      </c>
      <c r="AW5" s="30">
        <v>46478.0</v>
      </c>
      <c r="AX5" s="30">
        <v>46568.0</v>
      </c>
      <c r="AY5" s="39">
        <v>0.0</v>
      </c>
      <c r="AZ5" s="39">
        <v>0.0</v>
      </c>
      <c r="BA5" s="35" t="s">
        <v>7045</v>
      </c>
      <c r="BB5" s="30">
        <v>46569.0</v>
      </c>
      <c r="BC5" s="30">
        <v>46660.0</v>
      </c>
      <c r="BD5" s="39">
        <v>0.0</v>
      </c>
      <c r="BE5" s="39">
        <v>0.0</v>
      </c>
      <c r="BF5" s="35" t="s">
        <v>7045</v>
      </c>
      <c r="BG5" s="30">
        <v>46661.0</v>
      </c>
      <c r="BH5" s="30">
        <v>46752.0</v>
      </c>
      <c r="BI5" s="39">
        <v>0.0</v>
      </c>
      <c r="BJ5" s="39">
        <v>0.0</v>
      </c>
      <c r="BK5" s="35" t="s">
        <v>7045</v>
      </c>
      <c r="BL5" s="30">
        <v>46753.0</v>
      </c>
      <c r="BM5" s="30">
        <v>46843.0</v>
      </c>
      <c r="BN5" s="39">
        <v>0.0</v>
      </c>
      <c r="BO5" s="39">
        <v>0.0</v>
      </c>
      <c r="BP5" s="35" t="s">
        <v>7045</v>
      </c>
      <c r="BQ5" s="30">
        <v>46844.0</v>
      </c>
      <c r="BR5" s="30">
        <v>46934.0</v>
      </c>
      <c r="BS5" s="39">
        <v>0.0</v>
      </c>
      <c r="BT5" s="39">
        <v>0.0</v>
      </c>
      <c r="BU5" s="35" t="s">
        <v>7045</v>
      </c>
      <c r="BV5" s="30">
        <v>46935.0</v>
      </c>
      <c r="BW5" s="30">
        <v>47026.0</v>
      </c>
      <c r="BX5" s="39">
        <v>0.0</v>
      </c>
      <c r="BY5" s="39">
        <v>0.0</v>
      </c>
      <c r="BZ5" s="35" t="s">
        <v>7045</v>
      </c>
      <c r="CA5" s="30">
        <v>47027.0</v>
      </c>
      <c r="CB5" s="30">
        <v>47118.0</v>
      </c>
      <c r="CC5" s="39">
        <v>0.0</v>
      </c>
      <c r="CD5" s="39">
        <v>0.0</v>
      </c>
      <c r="CE5" s="35" t="s">
        <v>7045</v>
      </c>
      <c r="CF5" s="30">
        <v>47119.0</v>
      </c>
      <c r="CG5" s="30">
        <v>47208.0</v>
      </c>
      <c r="CH5" s="39">
        <v>0.0</v>
      </c>
      <c r="CI5" s="39">
        <v>0.0</v>
      </c>
      <c r="CJ5" s="35" t="s">
        <v>7045</v>
      </c>
      <c r="CK5" s="30">
        <v>47209.0</v>
      </c>
      <c r="CL5" s="30">
        <v>47299.0</v>
      </c>
      <c r="CM5" s="39">
        <v>0.0</v>
      </c>
      <c r="CN5" s="39">
        <v>0.0</v>
      </c>
      <c r="CO5" s="35" t="s">
        <v>7045</v>
      </c>
      <c r="CP5" s="30">
        <v>47300.0</v>
      </c>
      <c r="CQ5" s="30">
        <v>47391.0</v>
      </c>
      <c r="CR5" s="39">
        <v>0.0</v>
      </c>
      <c r="CS5" s="39">
        <v>0.0</v>
      </c>
      <c r="CT5" s="35" t="s">
        <v>7045</v>
      </c>
      <c r="CU5" s="30">
        <v>47392.0</v>
      </c>
      <c r="CV5" s="30">
        <v>47483.0</v>
      </c>
      <c r="CW5" s="39">
        <v>0.0</v>
      </c>
      <c r="CX5" s="39">
        <v>0.0</v>
      </c>
      <c r="CY5" s="35" t="s">
        <v>7045</v>
      </c>
      <c r="CZ5" s="30">
        <v>47484.0</v>
      </c>
      <c r="DA5" s="30">
        <v>47573.0</v>
      </c>
      <c r="DB5" s="39">
        <v>0.0</v>
      </c>
      <c r="DC5" s="39">
        <v>0.0</v>
      </c>
      <c r="DD5" s="35" t="s">
        <v>7045</v>
      </c>
      <c r="DE5" s="30">
        <v>47574.0</v>
      </c>
      <c r="DF5" s="30">
        <v>47664.0</v>
      </c>
      <c r="DG5" s="39">
        <v>0.0</v>
      </c>
      <c r="DH5" s="39">
        <v>0.0</v>
      </c>
      <c r="DI5" s="35" t="s">
        <v>7045</v>
      </c>
      <c r="DJ5" s="30">
        <v>47665.0</v>
      </c>
      <c r="DK5" s="30">
        <v>47756.0</v>
      </c>
      <c r="DL5" s="39">
        <v>0.0</v>
      </c>
      <c r="DM5" s="39">
        <v>0.0</v>
      </c>
      <c r="DN5" s="35" t="s">
        <v>7045</v>
      </c>
      <c r="DO5" s="30">
        <v>47757.0</v>
      </c>
      <c r="DP5" s="30">
        <v>47848.0</v>
      </c>
      <c r="DQ5" s="39">
        <v>0.0</v>
      </c>
      <c r="DR5" s="39">
        <v>0.0</v>
      </c>
      <c r="DS5" s="35" t="s">
        <v>7045</v>
      </c>
    </row>
    <row r="6" ht="14.25" customHeight="1">
      <c r="A6" s="28" t="s">
        <v>4875</v>
      </c>
      <c r="B6" s="29" t="s">
        <v>4876</v>
      </c>
      <c r="C6" s="29" t="s">
        <v>7041</v>
      </c>
      <c r="D6" s="30">
        <v>45658.0</v>
      </c>
      <c r="E6" s="30">
        <v>45747.0</v>
      </c>
      <c r="F6" s="39">
        <v>250.03</v>
      </c>
      <c r="G6" s="39">
        <v>0.0</v>
      </c>
      <c r="H6" s="38" t="s">
        <v>7047</v>
      </c>
      <c r="I6" s="30">
        <v>45748.0</v>
      </c>
      <c r="J6" s="30">
        <v>45838.0</v>
      </c>
      <c r="K6" s="39">
        <v>428.88</v>
      </c>
      <c r="L6" s="39">
        <v>10926.15</v>
      </c>
      <c r="M6" s="38" t="s">
        <v>7043</v>
      </c>
      <c r="N6" s="30">
        <v>45839.0</v>
      </c>
      <c r="O6" s="30">
        <v>45930.0</v>
      </c>
      <c r="P6" s="39">
        <v>5717.02</v>
      </c>
      <c r="Q6" s="39">
        <v>10926.15</v>
      </c>
      <c r="R6" s="38" t="s">
        <v>7047</v>
      </c>
      <c r="S6" s="30">
        <v>45931.0</v>
      </c>
      <c r="T6" s="30">
        <v>46022.0</v>
      </c>
      <c r="U6" s="39">
        <v>19427.44</v>
      </c>
      <c r="V6" s="39">
        <v>14756.92</v>
      </c>
      <c r="W6" s="38" t="s">
        <v>7047</v>
      </c>
      <c r="X6" s="30">
        <v>46023.0</v>
      </c>
      <c r="Y6" s="30">
        <v>46112.0</v>
      </c>
      <c r="Z6" s="39">
        <v>2788.78</v>
      </c>
      <c r="AA6" s="39">
        <v>0.0</v>
      </c>
      <c r="AB6" s="38" t="s">
        <v>7047</v>
      </c>
      <c r="AC6" s="30">
        <v>46113.0</v>
      </c>
      <c r="AD6" s="30">
        <v>46203.0</v>
      </c>
      <c r="AE6" s="39">
        <v>2644.32</v>
      </c>
      <c r="AF6" s="39">
        <v>0.0</v>
      </c>
      <c r="AG6" s="38" t="s">
        <v>7047</v>
      </c>
      <c r="AH6" s="30">
        <v>46204.0</v>
      </c>
      <c r="AI6" s="30">
        <v>46295.0</v>
      </c>
      <c r="AJ6" s="39">
        <v>279.77</v>
      </c>
      <c r="AK6" s="39">
        <v>0.0</v>
      </c>
      <c r="AL6" s="38" t="s">
        <v>7047</v>
      </c>
      <c r="AM6" s="30">
        <v>46296.0</v>
      </c>
      <c r="AN6" s="30">
        <v>46387.0</v>
      </c>
      <c r="AO6" s="39">
        <v>2139.98</v>
      </c>
      <c r="AP6" s="39">
        <v>0.0</v>
      </c>
      <c r="AQ6" s="38" t="s">
        <v>7047</v>
      </c>
      <c r="AR6" s="30">
        <v>46388.0</v>
      </c>
      <c r="AS6" s="30">
        <v>46477.0</v>
      </c>
      <c r="AT6" s="39">
        <v>0.0</v>
      </c>
      <c r="AU6" s="39">
        <v>0.0</v>
      </c>
      <c r="AV6" s="35" t="s">
        <v>7045</v>
      </c>
      <c r="AW6" s="30">
        <v>46478.0</v>
      </c>
      <c r="AX6" s="30">
        <v>46568.0</v>
      </c>
      <c r="AY6" s="39">
        <v>0.0</v>
      </c>
      <c r="AZ6" s="39">
        <v>0.0</v>
      </c>
      <c r="BA6" s="35" t="s">
        <v>7045</v>
      </c>
      <c r="BB6" s="30">
        <v>46569.0</v>
      </c>
      <c r="BC6" s="30">
        <v>46660.0</v>
      </c>
      <c r="BD6" s="39">
        <v>0.0</v>
      </c>
      <c r="BE6" s="39">
        <v>0.0</v>
      </c>
      <c r="BF6" s="35" t="s">
        <v>7045</v>
      </c>
      <c r="BG6" s="30">
        <v>46661.0</v>
      </c>
      <c r="BH6" s="30">
        <v>46752.0</v>
      </c>
      <c r="BI6" s="39">
        <v>0.0</v>
      </c>
      <c r="BJ6" s="39">
        <v>0.0</v>
      </c>
      <c r="BK6" s="35" t="s">
        <v>7045</v>
      </c>
      <c r="BL6" s="30">
        <v>46753.0</v>
      </c>
      <c r="BM6" s="30">
        <v>46843.0</v>
      </c>
      <c r="BN6" s="39">
        <v>0.0</v>
      </c>
      <c r="BO6" s="39">
        <v>0.0</v>
      </c>
      <c r="BP6" s="35" t="s">
        <v>7045</v>
      </c>
      <c r="BQ6" s="30">
        <v>46844.0</v>
      </c>
      <c r="BR6" s="30">
        <v>46934.0</v>
      </c>
      <c r="BS6" s="39">
        <v>0.0</v>
      </c>
      <c r="BT6" s="39">
        <v>0.0</v>
      </c>
      <c r="BU6" s="35" t="s">
        <v>7045</v>
      </c>
      <c r="BV6" s="30">
        <v>46935.0</v>
      </c>
      <c r="BW6" s="30">
        <v>47026.0</v>
      </c>
      <c r="BX6" s="39">
        <v>0.0</v>
      </c>
      <c r="BY6" s="39">
        <v>0.0</v>
      </c>
      <c r="BZ6" s="35" t="s">
        <v>7045</v>
      </c>
      <c r="CA6" s="30">
        <v>47027.0</v>
      </c>
      <c r="CB6" s="30">
        <v>47118.0</v>
      </c>
      <c r="CC6" s="39">
        <v>0.0</v>
      </c>
      <c r="CD6" s="39">
        <v>0.0</v>
      </c>
      <c r="CE6" s="35" t="s">
        <v>7045</v>
      </c>
      <c r="CF6" s="30">
        <v>47119.0</v>
      </c>
      <c r="CG6" s="30">
        <v>47208.0</v>
      </c>
      <c r="CH6" s="39">
        <v>0.0</v>
      </c>
      <c r="CI6" s="39">
        <v>0.0</v>
      </c>
      <c r="CJ6" s="35" t="s">
        <v>7045</v>
      </c>
      <c r="CK6" s="30">
        <v>47209.0</v>
      </c>
      <c r="CL6" s="30">
        <v>47299.0</v>
      </c>
      <c r="CM6" s="39">
        <v>0.0</v>
      </c>
      <c r="CN6" s="39">
        <v>0.0</v>
      </c>
      <c r="CO6" s="35" t="s">
        <v>7045</v>
      </c>
      <c r="CP6" s="30">
        <v>47300.0</v>
      </c>
      <c r="CQ6" s="30">
        <v>47391.0</v>
      </c>
      <c r="CR6" s="39">
        <v>0.0</v>
      </c>
      <c r="CS6" s="39">
        <v>0.0</v>
      </c>
      <c r="CT6" s="35" t="s">
        <v>7045</v>
      </c>
      <c r="CU6" s="30">
        <v>47392.0</v>
      </c>
      <c r="CV6" s="30">
        <v>47483.0</v>
      </c>
      <c r="CW6" s="39">
        <v>0.0</v>
      </c>
      <c r="CX6" s="39">
        <v>0.0</v>
      </c>
      <c r="CY6" s="35" t="s">
        <v>7045</v>
      </c>
      <c r="CZ6" s="30">
        <v>47484.0</v>
      </c>
      <c r="DA6" s="30">
        <v>47573.0</v>
      </c>
      <c r="DB6" s="39">
        <v>0.0</v>
      </c>
      <c r="DC6" s="39">
        <v>0.0</v>
      </c>
      <c r="DD6" s="35" t="s">
        <v>7045</v>
      </c>
      <c r="DE6" s="30">
        <v>47574.0</v>
      </c>
      <c r="DF6" s="30">
        <v>47664.0</v>
      </c>
      <c r="DG6" s="39">
        <v>0.0</v>
      </c>
      <c r="DH6" s="39">
        <v>0.0</v>
      </c>
      <c r="DI6" s="35" t="s">
        <v>7045</v>
      </c>
      <c r="DJ6" s="30">
        <v>47665.0</v>
      </c>
      <c r="DK6" s="30">
        <v>47756.0</v>
      </c>
      <c r="DL6" s="39">
        <v>0.0</v>
      </c>
      <c r="DM6" s="39">
        <v>0.0</v>
      </c>
      <c r="DN6" s="35" t="s">
        <v>7045</v>
      </c>
      <c r="DO6" s="30">
        <v>47757.0</v>
      </c>
      <c r="DP6" s="30">
        <v>47848.0</v>
      </c>
      <c r="DQ6" s="39">
        <v>0.0</v>
      </c>
      <c r="DR6" s="39">
        <v>0.0</v>
      </c>
      <c r="DS6" s="35" t="s">
        <v>7045</v>
      </c>
    </row>
    <row r="7" ht="14.25" customHeight="1">
      <c r="A7" s="28" t="s">
        <v>331</v>
      </c>
      <c r="B7" s="29" t="s">
        <v>332</v>
      </c>
      <c r="C7" s="29" t="s">
        <v>7041</v>
      </c>
      <c r="D7" s="30">
        <v>45658.0</v>
      </c>
      <c r="E7" s="30">
        <v>45747.0</v>
      </c>
      <c r="F7" s="36">
        <v>66.94</v>
      </c>
      <c r="G7" s="36">
        <v>0.0</v>
      </c>
      <c r="H7" s="38" t="s">
        <v>7047</v>
      </c>
      <c r="I7" s="30">
        <v>45748.0</v>
      </c>
      <c r="J7" s="30">
        <v>45838.0</v>
      </c>
      <c r="K7" s="36">
        <v>105.99</v>
      </c>
      <c r="L7" s="36">
        <v>2169.97</v>
      </c>
      <c r="M7" s="37" t="s">
        <v>7043</v>
      </c>
      <c r="N7" s="30">
        <v>45839.0</v>
      </c>
      <c r="O7" s="30">
        <v>45930.0</v>
      </c>
      <c r="P7" s="36">
        <v>1111.37</v>
      </c>
      <c r="Q7" s="36">
        <v>2619.96</v>
      </c>
      <c r="R7" s="38" t="s">
        <v>7047</v>
      </c>
      <c r="S7" s="30">
        <v>45931.0</v>
      </c>
      <c r="T7" s="30">
        <v>46022.0</v>
      </c>
      <c r="U7" s="36">
        <v>4066.7</v>
      </c>
      <c r="V7" s="36">
        <v>3139.97</v>
      </c>
      <c r="W7" s="38" t="s">
        <v>7047</v>
      </c>
      <c r="X7" s="30">
        <v>46023.0</v>
      </c>
      <c r="Y7" s="30">
        <v>46112.0</v>
      </c>
      <c r="Z7" s="36">
        <v>3766.68</v>
      </c>
      <c r="AA7" s="36">
        <v>0.0</v>
      </c>
      <c r="AB7" s="38" t="s">
        <v>7047</v>
      </c>
      <c r="AC7" s="30">
        <v>46113.0</v>
      </c>
      <c r="AD7" s="30">
        <v>46203.0</v>
      </c>
      <c r="AE7" s="36">
        <v>824.14</v>
      </c>
      <c r="AF7" s="36">
        <v>0.0</v>
      </c>
      <c r="AG7" s="38" t="s">
        <v>7047</v>
      </c>
      <c r="AH7" s="30">
        <v>46204.0</v>
      </c>
      <c r="AI7" s="30">
        <v>46295.0</v>
      </c>
      <c r="AJ7" s="36">
        <v>238.23</v>
      </c>
      <c r="AK7" s="36">
        <v>0.0</v>
      </c>
      <c r="AL7" s="38" t="s">
        <v>7047</v>
      </c>
      <c r="AM7" s="30">
        <v>46296.0</v>
      </c>
      <c r="AN7" s="30">
        <v>46387.0</v>
      </c>
      <c r="AO7" s="36">
        <v>164.72</v>
      </c>
      <c r="AP7" s="36">
        <v>0.0</v>
      </c>
      <c r="AQ7" s="38" t="s">
        <v>7047</v>
      </c>
      <c r="AR7" s="30">
        <v>46388.0</v>
      </c>
      <c r="AS7" s="30">
        <v>46477.0</v>
      </c>
      <c r="AT7" s="36">
        <v>0.0</v>
      </c>
      <c r="AU7" s="36">
        <v>0.0</v>
      </c>
      <c r="AV7" s="35" t="s">
        <v>7045</v>
      </c>
      <c r="AW7" s="30">
        <v>46478.0</v>
      </c>
      <c r="AX7" s="30">
        <v>46568.0</v>
      </c>
      <c r="AY7" s="36">
        <v>0.0</v>
      </c>
      <c r="AZ7" s="36">
        <v>0.0</v>
      </c>
      <c r="BA7" s="35" t="s">
        <v>7045</v>
      </c>
      <c r="BB7" s="30">
        <v>46569.0</v>
      </c>
      <c r="BC7" s="30">
        <v>46660.0</v>
      </c>
      <c r="BD7" s="36">
        <v>0.0</v>
      </c>
      <c r="BE7" s="36">
        <v>0.0</v>
      </c>
      <c r="BF7" s="35" t="s">
        <v>7045</v>
      </c>
      <c r="BG7" s="30">
        <v>46661.0</v>
      </c>
      <c r="BH7" s="30">
        <v>46752.0</v>
      </c>
      <c r="BI7" s="36">
        <v>0.0</v>
      </c>
      <c r="BJ7" s="36">
        <v>0.0</v>
      </c>
      <c r="BK7" s="35" t="s">
        <v>7045</v>
      </c>
      <c r="BL7" s="30">
        <v>46753.0</v>
      </c>
      <c r="BM7" s="30">
        <v>46843.0</v>
      </c>
      <c r="BN7" s="36">
        <v>0.0</v>
      </c>
      <c r="BO7" s="36">
        <v>0.0</v>
      </c>
      <c r="BP7" s="35" t="s">
        <v>7045</v>
      </c>
      <c r="BQ7" s="30">
        <v>46844.0</v>
      </c>
      <c r="BR7" s="30">
        <v>46934.0</v>
      </c>
      <c r="BS7" s="36">
        <v>0.0</v>
      </c>
      <c r="BT7" s="36">
        <v>0.0</v>
      </c>
      <c r="BU7" s="35" t="s">
        <v>7045</v>
      </c>
      <c r="BV7" s="30">
        <v>46935.0</v>
      </c>
      <c r="BW7" s="30">
        <v>47026.0</v>
      </c>
      <c r="BX7" s="36">
        <v>0.0</v>
      </c>
      <c r="BY7" s="36">
        <v>0.0</v>
      </c>
      <c r="BZ7" s="35" t="s">
        <v>7045</v>
      </c>
      <c r="CA7" s="30">
        <v>47027.0</v>
      </c>
      <c r="CB7" s="30">
        <v>47118.0</v>
      </c>
      <c r="CC7" s="36">
        <v>0.0</v>
      </c>
      <c r="CD7" s="36">
        <v>0.0</v>
      </c>
      <c r="CE7" s="35" t="s">
        <v>7045</v>
      </c>
      <c r="CF7" s="30">
        <v>47119.0</v>
      </c>
      <c r="CG7" s="30">
        <v>47208.0</v>
      </c>
      <c r="CH7" s="36">
        <v>0.0</v>
      </c>
      <c r="CI7" s="36">
        <v>0.0</v>
      </c>
      <c r="CJ7" s="35" t="s">
        <v>7045</v>
      </c>
      <c r="CK7" s="30">
        <v>47209.0</v>
      </c>
      <c r="CL7" s="30">
        <v>47299.0</v>
      </c>
      <c r="CM7" s="36">
        <v>0.0</v>
      </c>
      <c r="CN7" s="36">
        <v>0.0</v>
      </c>
      <c r="CO7" s="35" t="s">
        <v>7045</v>
      </c>
      <c r="CP7" s="30">
        <v>47300.0</v>
      </c>
      <c r="CQ7" s="30">
        <v>47391.0</v>
      </c>
      <c r="CR7" s="36">
        <v>0.0</v>
      </c>
      <c r="CS7" s="36">
        <v>0.0</v>
      </c>
      <c r="CT7" s="35" t="s">
        <v>7045</v>
      </c>
      <c r="CU7" s="30">
        <v>47392.0</v>
      </c>
      <c r="CV7" s="30">
        <v>47483.0</v>
      </c>
      <c r="CW7" s="36">
        <v>0.0</v>
      </c>
      <c r="CX7" s="36">
        <v>0.0</v>
      </c>
      <c r="CY7" s="35" t="s">
        <v>7045</v>
      </c>
      <c r="CZ7" s="30">
        <v>47484.0</v>
      </c>
      <c r="DA7" s="30">
        <v>47573.0</v>
      </c>
      <c r="DB7" s="36">
        <v>0.0</v>
      </c>
      <c r="DC7" s="36">
        <v>0.0</v>
      </c>
      <c r="DD7" s="35" t="s">
        <v>7045</v>
      </c>
      <c r="DE7" s="30">
        <v>47574.0</v>
      </c>
      <c r="DF7" s="30">
        <v>47664.0</v>
      </c>
      <c r="DG7" s="36">
        <v>0.0</v>
      </c>
      <c r="DH7" s="36">
        <v>0.0</v>
      </c>
      <c r="DI7" s="35" t="s">
        <v>7045</v>
      </c>
      <c r="DJ7" s="30">
        <v>47665.0</v>
      </c>
      <c r="DK7" s="30">
        <v>47756.0</v>
      </c>
      <c r="DL7" s="36">
        <v>0.0</v>
      </c>
      <c r="DM7" s="36">
        <v>0.0</v>
      </c>
      <c r="DN7" s="35" t="s">
        <v>7045</v>
      </c>
      <c r="DO7" s="30">
        <v>47757.0</v>
      </c>
      <c r="DP7" s="30">
        <v>47848.0</v>
      </c>
      <c r="DQ7" s="36">
        <v>0.0</v>
      </c>
      <c r="DR7" s="36">
        <v>0.0</v>
      </c>
      <c r="DS7" s="35" t="s">
        <v>7045</v>
      </c>
    </row>
    <row r="8" ht="14.25" customHeight="1">
      <c r="A8" s="28" t="s">
        <v>1833</v>
      </c>
      <c r="B8" s="29" t="s">
        <v>1834</v>
      </c>
      <c r="C8" s="29" t="s">
        <v>7041</v>
      </c>
      <c r="D8" s="30">
        <v>45658.0</v>
      </c>
      <c r="E8" s="30">
        <v>45747.0</v>
      </c>
      <c r="F8" s="39">
        <v>13.6</v>
      </c>
      <c r="G8" s="39">
        <v>0.0</v>
      </c>
      <c r="H8" s="38" t="s">
        <v>7047</v>
      </c>
      <c r="I8" s="30">
        <v>45748.0</v>
      </c>
      <c r="J8" s="30">
        <v>45838.0</v>
      </c>
      <c r="K8" s="39">
        <v>50.0</v>
      </c>
      <c r="L8" s="39">
        <v>1705.88</v>
      </c>
      <c r="M8" s="37" t="s">
        <v>7043</v>
      </c>
      <c r="N8" s="30">
        <v>45839.0</v>
      </c>
      <c r="O8" s="30">
        <v>45930.0</v>
      </c>
      <c r="P8" s="39">
        <v>700.0</v>
      </c>
      <c r="Q8" s="39">
        <v>2558.82</v>
      </c>
      <c r="R8" s="38" t="s">
        <v>7047</v>
      </c>
      <c r="S8" s="30">
        <v>45931.0</v>
      </c>
      <c r="T8" s="30">
        <v>46022.0</v>
      </c>
      <c r="U8" s="39">
        <v>541.5</v>
      </c>
      <c r="V8" s="39">
        <v>2558.82</v>
      </c>
      <c r="W8" s="38" t="s">
        <v>7047</v>
      </c>
      <c r="X8" s="30">
        <v>46023.0</v>
      </c>
      <c r="Y8" s="30">
        <v>46112.0</v>
      </c>
      <c r="Z8" s="39">
        <v>70.0</v>
      </c>
      <c r="AA8" s="39">
        <v>0.0</v>
      </c>
      <c r="AB8" s="35" t="s">
        <v>7047</v>
      </c>
      <c r="AC8" s="30">
        <v>46113.0</v>
      </c>
      <c r="AD8" s="30">
        <v>46203.0</v>
      </c>
      <c r="AE8" s="39">
        <v>0.0</v>
      </c>
      <c r="AF8" s="39">
        <v>0.0</v>
      </c>
      <c r="AG8" s="35" t="s">
        <v>7045</v>
      </c>
      <c r="AH8" s="30">
        <v>46204.0</v>
      </c>
      <c r="AI8" s="30">
        <v>46295.0</v>
      </c>
      <c r="AJ8" s="39">
        <v>0.0</v>
      </c>
      <c r="AK8" s="39">
        <v>0.0</v>
      </c>
      <c r="AL8" s="35" t="s">
        <v>7045</v>
      </c>
      <c r="AM8" s="30">
        <v>46296.0</v>
      </c>
      <c r="AN8" s="30">
        <v>46387.0</v>
      </c>
      <c r="AO8" s="39">
        <v>75.0</v>
      </c>
      <c r="AP8" s="39">
        <v>0.0</v>
      </c>
      <c r="AQ8" s="35" t="s">
        <v>7047</v>
      </c>
      <c r="AR8" s="30">
        <v>46388.0</v>
      </c>
      <c r="AS8" s="30">
        <v>46477.0</v>
      </c>
      <c r="AT8" s="39">
        <v>0.0</v>
      </c>
      <c r="AU8" s="39">
        <v>0.0</v>
      </c>
      <c r="AV8" s="35" t="s">
        <v>7045</v>
      </c>
      <c r="AW8" s="30">
        <v>46478.0</v>
      </c>
      <c r="AX8" s="30">
        <v>46568.0</v>
      </c>
      <c r="AY8" s="39">
        <v>0.0</v>
      </c>
      <c r="AZ8" s="39">
        <v>0.0</v>
      </c>
      <c r="BA8" s="35" t="s">
        <v>7045</v>
      </c>
      <c r="BB8" s="30">
        <v>46569.0</v>
      </c>
      <c r="BC8" s="30">
        <v>46660.0</v>
      </c>
      <c r="BD8" s="39">
        <v>0.0</v>
      </c>
      <c r="BE8" s="39">
        <v>0.0</v>
      </c>
      <c r="BF8" s="35" t="s">
        <v>7045</v>
      </c>
      <c r="BG8" s="30">
        <v>46661.0</v>
      </c>
      <c r="BH8" s="30">
        <v>46752.0</v>
      </c>
      <c r="BI8" s="39">
        <v>0.0</v>
      </c>
      <c r="BJ8" s="39">
        <v>0.0</v>
      </c>
      <c r="BK8" s="35" t="s">
        <v>7045</v>
      </c>
      <c r="BL8" s="30">
        <v>46753.0</v>
      </c>
      <c r="BM8" s="30">
        <v>46843.0</v>
      </c>
      <c r="BN8" s="39">
        <v>0.0</v>
      </c>
      <c r="BO8" s="39">
        <v>0.0</v>
      </c>
      <c r="BP8" s="35" t="s">
        <v>7045</v>
      </c>
      <c r="BQ8" s="30">
        <v>46844.0</v>
      </c>
      <c r="BR8" s="30">
        <v>46934.0</v>
      </c>
      <c r="BS8" s="39">
        <v>0.0</v>
      </c>
      <c r="BT8" s="39">
        <v>0.0</v>
      </c>
      <c r="BU8" s="35" t="s">
        <v>7045</v>
      </c>
      <c r="BV8" s="30">
        <v>46935.0</v>
      </c>
      <c r="BW8" s="30">
        <v>47026.0</v>
      </c>
      <c r="BX8" s="39">
        <v>0.0</v>
      </c>
      <c r="BY8" s="39">
        <v>0.0</v>
      </c>
      <c r="BZ8" s="35" t="s">
        <v>7045</v>
      </c>
      <c r="CA8" s="30">
        <v>47027.0</v>
      </c>
      <c r="CB8" s="30">
        <v>47118.0</v>
      </c>
      <c r="CC8" s="39">
        <v>0.0</v>
      </c>
      <c r="CD8" s="39">
        <v>0.0</v>
      </c>
      <c r="CE8" s="35" t="s">
        <v>7045</v>
      </c>
      <c r="CF8" s="30">
        <v>47119.0</v>
      </c>
      <c r="CG8" s="30">
        <v>47208.0</v>
      </c>
      <c r="CH8" s="39">
        <v>0.0</v>
      </c>
      <c r="CI8" s="39">
        <v>0.0</v>
      </c>
      <c r="CJ8" s="35" t="s">
        <v>7045</v>
      </c>
      <c r="CK8" s="30">
        <v>47209.0</v>
      </c>
      <c r="CL8" s="30">
        <v>47299.0</v>
      </c>
      <c r="CM8" s="39">
        <v>0.0</v>
      </c>
      <c r="CN8" s="39">
        <v>0.0</v>
      </c>
      <c r="CO8" s="35" t="s">
        <v>7045</v>
      </c>
      <c r="CP8" s="30">
        <v>47300.0</v>
      </c>
      <c r="CQ8" s="30">
        <v>47391.0</v>
      </c>
      <c r="CR8" s="39">
        <v>0.0</v>
      </c>
      <c r="CS8" s="39">
        <v>0.0</v>
      </c>
      <c r="CT8" s="35" t="s">
        <v>7045</v>
      </c>
      <c r="CU8" s="30">
        <v>47392.0</v>
      </c>
      <c r="CV8" s="30">
        <v>47483.0</v>
      </c>
      <c r="CW8" s="39">
        <v>0.0</v>
      </c>
      <c r="CX8" s="39">
        <v>0.0</v>
      </c>
      <c r="CY8" s="35" t="s">
        <v>7045</v>
      </c>
      <c r="CZ8" s="30">
        <v>47484.0</v>
      </c>
      <c r="DA8" s="30">
        <v>47573.0</v>
      </c>
      <c r="DB8" s="39">
        <v>0.0</v>
      </c>
      <c r="DC8" s="39">
        <v>0.0</v>
      </c>
      <c r="DD8" s="35" t="s">
        <v>7045</v>
      </c>
      <c r="DE8" s="30">
        <v>47574.0</v>
      </c>
      <c r="DF8" s="30">
        <v>47664.0</v>
      </c>
      <c r="DG8" s="39">
        <v>0.0</v>
      </c>
      <c r="DH8" s="39">
        <v>0.0</v>
      </c>
      <c r="DI8" s="35" t="s">
        <v>7045</v>
      </c>
      <c r="DJ8" s="30">
        <v>47665.0</v>
      </c>
      <c r="DK8" s="30">
        <v>47756.0</v>
      </c>
      <c r="DL8" s="39">
        <v>0.0</v>
      </c>
      <c r="DM8" s="39">
        <v>0.0</v>
      </c>
      <c r="DN8" s="35" t="s">
        <v>7045</v>
      </c>
      <c r="DO8" s="30">
        <v>47757.0</v>
      </c>
      <c r="DP8" s="30">
        <v>47848.0</v>
      </c>
      <c r="DQ8" s="39">
        <v>0.0</v>
      </c>
      <c r="DR8" s="39">
        <v>0.0</v>
      </c>
      <c r="DS8" s="35" t="s">
        <v>7045</v>
      </c>
    </row>
    <row r="9" ht="14.25" customHeight="1">
      <c r="A9" s="28" t="s">
        <v>3406</v>
      </c>
      <c r="B9" s="29" t="s">
        <v>3407</v>
      </c>
      <c r="C9" s="29" t="s">
        <v>7041</v>
      </c>
      <c r="D9" s="30">
        <v>45658.0</v>
      </c>
      <c r="E9" s="30">
        <v>45747.0</v>
      </c>
      <c r="F9" s="39">
        <v>0.77</v>
      </c>
      <c r="G9" s="39">
        <v>0.0</v>
      </c>
      <c r="H9" s="38" t="s">
        <v>7047</v>
      </c>
      <c r="I9" s="30">
        <v>45748.0</v>
      </c>
      <c r="J9" s="30">
        <v>45838.0</v>
      </c>
      <c r="K9" s="39">
        <v>2.12</v>
      </c>
      <c r="L9" s="39">
        <v>1125.0</v>
      </c>
      <c r="M9" s="32" t="s">
        <v>7043</v>
      </c>
      <c r="N9" s="30">
        <v>45839.0</v>
      </c>
      <c r="O9" s="30">
        <v>45930.0</v>
      </c>
      <c r="P9" s="39">
        <v>349.8</v>
      </c>
      <c r="Q9" s="39">
        <v>1163.46</v>
      </c>
      <c r="R9" s="38" t="s">
        <v>7047</v>
      </c>
      <c r="S9" s="30">
        <v>45931.0</v>
      </c>
      <c r="T9" s="30">
        <v>46022.0</v>
      </c>
      <c r="U9" s="39">
        <v>1174.4</v>
      </c>
      <c r="V9" s="39">
        <v>1336.54</v>
      </c>
      <c r="W9" s="38" t="s">
        <v>7047</v>
      </c>
      <c r="X9" s="30">
        <v>46023.0</v>
      </c>
      <c r="Y9" s="30">
        <v>46112.0</v>
      </c>
      <c r="Z9" s="39">
        <v>1918.9</v>
      </c>
      <c r="AA9" s="39">
        <v>0.0</v>
      </c>
      <c r="AB9" s="38" t="s">
        <v>7047</v>
      </c>
      <c r="AC9" s="30">
        <v>46113.0</v>
      </c>
      <c r="AD9" s="30">
        <v>46203.0</v>
      </c>
      <c r="AE9" s="39">
        <v>2848.2</v>
      </c>
      <c r="AF9" s="39">
        <v>0.0</v>
      </c>
      <c r="AG9" s="38" t="s">
        <v>7047</v>
      </c>
      <c r="AH9" s="30">
        <v>46204.0</v>
      </c>
      <c r="AI9" s="30">
        <v>46295.0</v>
      </c>
      <c r="AJ9" s="39">
        <v>528.3</v>
      </c>
      <c r="AK9" s="39">
        <v>0.0</v>
      </c>
      <c r="AL9" s="38" t="s">
        <v>7047</v>
      </c>
      <c r="AM9" s="30">
        <v>46296.0</v>
      </c>
      <c r="AN9" s="30">
        <v>46387.0</v>
      </c>
      <c r="AO9" s="39">
        <v>1189.88</v>
      </c>
      <c r="AP9" s="39">
        <v>0.0</v>
      </c>
      <c r="AQ9" s="38" t="s">
        <v>7047</v>
      </c>
      <c r="AR9" s="30">
        <v>46388.0</v>
      </c>
      <c r="AS9" s="30">
        <v>46477.0</v>
      </c>
      <c r="AT9" s="39">
        <v>0.0</v>
      </c>
      <c r="AU9" s="39">
        <v>0.0</v>
      </c>
      <c r="AV9" s="35" t="s">
        <v>7045</v>
      </c>
      <c r="AW9" s="30">
        <v>46478.0</v>
      </c>
      <c r="AX9" s="30">
        <v>46568.0</v>
      </c>
      <c r="AY9" s="39">
        <v>0.0</v>
      </c>
      <c r="AZ9" s="39">
        <v>0.0</v>
      </c>
      <c r="BA9" s="35" t="s">
        <v>7045</v>
      </c>
      <c r="BB9" s="30">
        <v>46569.0</v>
      </c>
      <c r="BC9" s="30">
        <v>46660.0</v>
      </c>
      <c r="BD9" s="39">
        <v>0.0</v>
      </c>
      <c r="BE9" s="39">
        <v>0.0</v>
      </c>
      <c r="BF9" s="35" t="s">
        <v>7045</v>
      </c>
      <c r="BG9" s="30">
        <v>46661.0</v>
      </c>
      <c r="BH9" s="30">
        <v>46752.0</v>
      </c>
      <c r="BI9" s="39">
        <v>0.0</v>
      </c>
      <c r="BJ9" s="39">
        <v>0.0</v>
      </c>
      <c r="BK9" s="35" t="s">
        <v>7045</v>
      </c>
      <c r="BL9" s="30">
        <v>46753.0</v>
      </c>
      <c r="BM9" s="30">
        <v>46843.0</v>
      </c>
      <c r="BN9" s="39">
        <v>0.0</v>
      </c>
      <c r="BO9" s="39">
        <v>0.0</v>
      </c>
      <c r="BP9" s="35" t="s">
        <v>7045</v>
      </c>
      <c r="BQ9" s="30">
        <v>46844.0</v>
      </c>
      <c r="BR9" s="30">
        <v>46934.0</v>
      </c>
      <c r="BS9" s="39">
        <v>0.0</v>
      </c>
      <c r="BT9" s="39">
        <v>0.0</v>
      </c>
      <c r="BU9" s="35" t="s">
        <v>7045</v>
      </c>
      <c r="BV9" s="30">
        <v>46935.0</v>
      </c>
      <c r="BW9" s="30">
        <v>47026.0</v>
      </c>
      <c r="BX9" s="39">
        <v>0.0</v>
      </c>
      <c r="BY9" s="39">
        <v>0.0</v>
      </c>
      <c r="BZ9" s="35" t="s">
        <v>7045</v>
      </c>
      <c r="CA9" s="30">
        <v>47027.0</v>
      </c>
      <c r="CB9" s="30">
        <v>47118.0</v>
      </c>
      <c r="CC9" s="39">
        <v>0.0</v>
      </c>
      <c r="CD9" s="39">
        <v>0.0</v>
      </c>
      <c r="CE9" s="35" t="s">
        <v>7045</v>
      </c>
      <c r="CF9" s="30">
        <v>47119.0</v>
      </c>
      <c r="CG9" s="30">
        <v>47208.0</v>
      </c>
      <c r="CH9" s="39">
        <v>0.0</v>
      </c>
      <c r="CI9" s="39">
        <v>0.0</v>
      </c>
      <c r="CJ9" s="35" t="s">
        <v>7045</v>
      </c>
      <c r="CK9" s="30">
        <v>47209.0</v>
      </c>
      <c r="CL9" s="30">
        <v>47299.0</v>
      </c>
      <c r="CM9" s="39">
        <v>0.0</v>
      </c>
      <c r="CN9" s="39">
        <v>0.0</v>
      </c>
      <c r="CO9" s="35" t="s">
        <v>7045</v>
      </c>
      <c r="CP9" s="30">
        <v>47300.0</v>
      </c>
      <c r="CQ9" s="30">
        <v>47391.0</v>
      </c>
      <c r="CR9" s="39">
        <v>0.0</v>
      </c>
      <c r="CS9" s="39">
        <v>0.0</v>
      </c>
      <c r="CT9" s="35" t="s">
        <v>7045</v>
      </c>
      <c r="CU9" s="30">
        <v>47392.0</v>
      </c>
      <c r="CV9" s="30">
        <v>47483.0</v>
      </c>
      <c r="CW9" s="39">
        <v>0.0</v>
      </c>
      <c r="CX9" s="39">
        <v>0.0</v>
      </c>
      <c r="CY9" s="35" t="s">
        <v>7045</v>
      </c>
      <c r="CZ9" s="30">
        <v>47484.0</v>
      </c>
      <c r="DA9" s="30">
        <v>47573.0</v>
      </c>
      <c r="DB9" s="39">
        <v>0.0</v>
      </c>
      <c r="DC9" s="39">
        <v>0.0</v>
      </c>
      <c r="DD9" s="35" t="s">
        <v>7045</v>
      </c>
      <c r="DE9" s="30">
        <v>47574.0</v>
      </c>
      <c r="DF9" s="30">
        <v>47664.0</v>
      </c>
      <c r="DG9" s="39">
        <v>0.0</v>
      </c>
      <c r="DH9" s="39">
        <v>0.0</v>
      </c>
      <c r="DI9" s="35" t="s">
        <v>7045</v>
      </c>
      <c r="DJ9" s="30">
        <v>47665.0</v>
      </c>
      <c r="DK9" s="30">
        <v>47756.0</v>
      </c>
      <c r="DL9" s="39">
        <v>0.0</v>
      </c>
      <c r="DM9" s="39">
        <v>0.0</v>
      </c>
      <c r="DN9" s="35" t="s">
        <v>7045</v>
      </c>
      <c r="DO9" s="30">
        <v>47757.0</v>
      </c>
      <c r="DP9" s="30">
        <v>47848.0</v>
      </c>
      <c r="DQ9" s="39">
        <v>0.0</v>
      </c>
      <c r="DR9" s="39">
        <v>0.0</v>
      </c>
      <c r="DS9" s="35" t="s">
        <v>7045</v>
      </c>
    </row>
    <row r="10" ht="14.25" customHeight="1">
      <c r="A10" s="28" t="s">
        <v>6774</v>
      </c>
      <c r="B10" s="29" t="s">
        <v>6775</v>
      </c>
      <c r="C10" s="29" t="s">
        <v>7041</v>
      </c>
      <c r="D10" s="30">
        <v>45658.0</v>
      </c>
      <c r="E10" s="30">
        <v>45747.0</v>
      </c>
      <c r="F10" s="36">
        <v>92.53</v>
      </c>
      <c r="G10" s="36">
        <v>0.0</v>
      </c>
      <c r="H10" s="38" t="s">
        <v>7047</v>
      </c>
      <c r="I10" s="30">
        <v>45748.0</v>
      </c>
      <c r="J10" s="30">
        <v>45838.0</v>
      </c>
      <c r="K10" s="36">
        <v>1.49</v>
      </c>
      <c r="L10" s="36">
        <v>466.67</v>
      </c>
      <c r="M10" s="32" t="s">
        <v>7043</v>
      </c>
      <c r="N10" s="30">
        <v>45839.0</v>
      </c>
      <c r="O10" s="30">
        <v>45930.0</v>
      </c>
      <c r="P10" s="36">
        <v>235.0</v>
      </c>
      <c r="Q10" s="36">
        <v>533.33</v>
      </c>
      <c r="R10" s="38" t="s">
        <v>7047</v>
      </c>
      <c r="S10" s="30">
        <v>45931.0</v>
      </c>
      <c r="T10" s="30">
        <v>46022.0</v>
      </c>
      <c r="U10" s="36">
        <v>100.0</v>
      </c>
      <c r="V10" s="36">
        <v>533.33</v>
      </c>
      <c r="W10" s="38" t="s">
        <v>7047</v>
      </c>
      <c r="X10" s="30">
        <v>46023.0</v>
      </c>
      <c r="Y10" s="30">
        <v>46112.0</v>
      </c>
      <c r="Z10" s="36">
        <v>277.77</v>
      </c>
      <c r="AA10" s="36">
        <v>0.0</v>
      </c>
      <c r="AB10" s="38" t="s">
        <v>7047</v>
      </c>
      <c r="AC10" s="30">
        <v>46113.0</v>
      </c>
      <c r="AD10" s="30">
        <v>46203.0</v>
      </c>
      <c r="AE10" s="36">
        <v>208.31</v>
      </c>
      <c r="AF10" s="36">
        <v>0.0</v>
      </c>
      <c r="AG10" s="38" t="s">
        <v>7047</v>
      </c>
      <c r="AH10" s="30">
        <v>46204.0</v>
      </c>
      <c r="AI10" s="30">
        <v>46295.0</v>
      </c>
      <c r="AJ10" s="36">
        <v>907.84</v>
      </c>
      <c r="AK10" s="36">
        <v>0.0</v>
      </c>
      <c r="AL10" s="38" t="s">
        <v>7047</v>
      </c>
      <c r="AM10" s="30">
        <v>46296.0</v>
      </c>
      <c r="AN10" s="30">
        <v>46387.0</v>
      </c>
      <c r="AO10" s="36">
        <v>0.0</v>
      </c>
      <c r="AP10" s="36">
        <v>0.0</v>
      </c>
      <c r="AQ10" s="35" t="s">
        <v>7045</v>
      </c>
      <c r="AR10" s="30">
        <v>46388.0</v>
      </c>
      <c r="AS10" s="30">
        <v>46477.0</v>
      </c>
      <c r="AT10" s="36">
        <v>0.0</v>
      </c>
      <c r="AU10" s="36">
        <v>0.0</v>
      </c>
      <c r="AV10" s="35" t="s">
        <v>7045</v>
      </c>
      <c r="AW10" s="30">
        <v>46478.0</v>
      </c>
      <c r="AX10" s="30">
        <v>46568.0</v>
      </c>
      <c r="AY10" s="36">
        <v>0.0</v>
      </c>
      <c r="AZ10" s="36">
        <v>0.0</v>
      </c>
      <c r="BA10" s="35" t="s">
        <v>7045</v>
      </c>
      <c r="BB10" s="30">
        <v>46569.0</v>
      </c>
      <c r="BC10" s="30">
        <v>46660.0</v>
      </c>
      <c r="BD10" s="36">
        <v>0.0</v>
      </c>
      <c r="BE10" s="36">
        <v>0.0</v>
      </c>
      <c r="BF10" s="35" t="s">
        <v>7045</v>
      </c>
      <c r="BG10" s="30">
        <v>46661.0</v>
      </c>
      <c r="BH10" s="30">
        <v>46752.0</v>
      </c>
      <c r="BI10" s="36">
        <v>0.0</v>
      </c>
      <c r="BJ10" s="36">
        <v>0.0</v>
      </c>
      <c r="BK10" s="35" t="s">
        <v>7045</v>
      </c>
      <c r="BL10" s="30">
        <v>46753.0</v>
      </c>
      <c r="BM10" s="30">
        <v>46843.0</v>
      </c>
      <c r="BN10" s="36">
        <v>0.0</v>
      </c>
      <c r="BO10" s="36">
        <v>0.0</v>
      </c>
      <c r="BP10" s="35" t="s">
        <v>7045</v>
      </c>
      <c r="BQ10" s="30">
        <v>46844.0</v>
      </c>
      <c r="BR10" s="30">
        <v>46934.0</v>
      </c>
      <c r="BS10" s="36">
        <v>0.0</v>
      </c>
      <c r="BT10" s="36">
        <v>0.0</v>
      </c>
      <c r="BU10" s="35" t="s">
        <v>7045</v>
      </c>
      <c r="BV10" s="30">
        <v>46935.0</v>
      </c>
      <c r="BW10" s="30">
        <v>47026.0</v>
      </c>
      <c r="BX10" s="36">
        <v>0.0</v>
      </c>
      <c r="BY10" s="36">
        <v>0.0</v>
      </c>
      <c r="BZ10" s="35" t="s">
        <v>7045</v>
      </c>
      <c r="CA10" s="30">
        <v>47027.0</v>
      </c>
      <c r="CB10" s="30">
        <v>47118.0</v>
      </c>
      <c r="CC10" s="36">
        <v>0.0</v>
      </c>
      <c r="CD10" s="36">
        <v>0.0</v>
      </c>
      <c r="CE10" s="35" t="s">
        <v>7045</v>
      </c>
      <c r="CF10" s="30">
        <v>47119.0</v>
      </c>
      <c r="CG10" s="30">
        <v>47208.0</v>
      </c>
      <c r="CH10" s="36">
        <v>0.0</v>
      </c>
      <c r="CI10" s="36">
        <v>0.0</v>
      </c>
      <c r="CJ10" s="35" t="s">
        <v>7045</v>
      </c>
      <c r="CK10" s="30">
        <v>47209.0</v>
      </c>
      <c r="CL10" s="30">
        <v>47299.0</v>
      </c>
      <c r="CM10" s="36">
        <v>0.0</v>
      </c>
      <c r="CN10" s="36">
        <v>0.0</v>
      </c>
      <c r="CO10" s="35" t="s">
        <v>7045</v>
      </c>
      <c r="CP10" s="30">
        <v>47300.0</v>
      </c>
      <c r="CQ10" s="30">
        <v>47391.0</v>
      </c>
      <c r="CR10" s="36">
        <v>0.0</v>
      </c>
      <c r="CS10" s="36">
        <v>0.0</v>
      </c>
      <c r="CT10" s="35" t="s">
        <v>7045</v>
      </c>
      <c r="CU10" s="30">
        <v>47392.0</v>
      </c>
      <c r="CV10" s="30">
        <v>47483.0</v>
      </c>
      <c r="CW10" s="36">
        <v>0.0</v>
      </c>
      <c r="CX10" s="36">
        <v>0.0</v>
      </c>
      <c r="CY10" s="35" t="s">
        <v>7045</v>
      </c>
      <c r="CZ10" s="30">
        <v>47484.0</v>
      </c>
      <c r="DA10" s="30">
        <v>47573.0</v>
      </c>
      <c r="DB10" s="36">
        <v>0.0</v>
      </c>
      <c r="DC10" s="36">
        <v>0.0</v>
      </c>
      <c r="DD10" s="35" t="s">
        <v>7045</v>
      </c>
      <c r="DE10" s="30">
        <v>47574.0</v>
      </c>
      <c r="DF10" s="30">
        <v>47664.0</v>
      </c>
      <c r="DG10" s="36">
        <v>0.0</v>
      </c>
      <c r="DH10" s="36">
        <v>0.0</v>
      </c>
      <c r="DI10" s="35" t="s">
        <v>7045</v>
      </c>
      <c r="DJ10" s="30">
        <v>47665.0</v>
      </c>
      <c r="DK10" s="30">
        <v>47756.0</v>
      </c>
      <c r="DL10" s="36">
        <v>0.0</v>
      </c>
      <c r="DM10" s="36">
        <v>0.0</v>
      </c>
      <c r="DN10" s="35" t="s">
        <v>7045</v>
      </c>
      <c r="DO10" s="30">
        <v>47757.0</v>
      </c>
      <c r="DP10" s="30">
        <v>47848.0</v>
      </c>
      <c r="DQ10" s="36">
        <v>0.0</v>
      </c>
      <c r="DR10" s="36">
        <v>0.0</v>
      </c>
      <c r="DS10" s="35" t="s">
        <v>7045</v>
      </c>
    </row>
    <row r="11" ht="14.25" customHeight="1">
      <c r="A11" s="28" t="s">
        <v>2000</v>
      </c>
      <c r="B11" s="29" t="s">
        <v>2001</v>
      </c>
      <c r="C11" s="29" t="s">
        <v>7041</v>
      </c>
      <c r="D11" s="30">
        <v>45658.0</v>
      </c>
      <c r="E11" s="30">
        <v>45747.0</v>
      </c>
      <c r="F11" s="36">
        <v>292.51</v>
      </c>
      <c r="G11" s="36">
        <v>0.0</v>
      </c>
      <c r="H11" s="38" t="s">
        <v>7047</v>
      </c>
      <c r="I11" s="30">
        <v>45748.0</v>
      </c>
      <c r="J11" s="30">
        <v>45838.0</v>
      </c>
      <c r="K11" s="36">
        <v>3.4</v>
      </c>
      <c r="L11" s="36">
        <v>1139.46</v>
      </c>
      <c r="M11" s="38" t="s">
        <v>7043</v>
      </c>
      <c r="N11" s="30">
        <v>45839.0</v>
      </c>
      <c r="O11" s="30">
        <v>45930.0</v>
      </c>
      <c r="P11" s="36">
        <v>1729.99</v>
      </c>
      <c r="Q11" s="36">
        <v>2657.87</v>
      </c>
      <c r="R11" s="38" t="s">
        <v>7047</v>
      </c>
      <c r="S11" s="30">
        <v>45931.0</v>
      </c>
      <c r="T11" s="30">
        <v>46022.0</v>
      </c>
      <c r="U11" s="36">
        <v>989.99</v>
      </c>
      <c r="V11" s="36">
        <v>2399.97</v>
      </c>
      <c r="W11" s="38" t="s">
        <v>7047</v>
      </c>
      <c r="X11" s="30">
        <v>46023.0</v>
      </c>
      <c r="Y11" s="30">
        <v>46112.0</v>
      </c>
      <c r="Z11" s="36">
        <v>102.69</v>
      </c>
      <c r="AA11" s="36">
        <v>0.0</v>
      </c>
      <c r="AB11" s="35" t="s">
        <v>7047</v>
      </c>
      <c r="AC11" s="30">
        <v>46113.0</v>
      </c>
      <c r="AD11" s="30">
        <v>46203.0</v>
      </c>
      <c r="AE11" s="36">
        <v>0.0</v>
      </c>
      <c r="AF11" s="36">
        <v>0.0</v>
      </c>
      <c r="AG11" s="35" t="s">
        <v>7045</v>
      </c>
      <c r="AH11" s="30">
        <v>46204.0</v>
      </c>
      <c r="AI11" s="30">
        <v>46295.0</v>
      </c>
      <c r="AJ11" s="36">
        <v>210.0</v>
      </c>
      <c r="AK11" s="36">
        <v>0.0</v>
      </c>
      <c r="AL11" s="35" t="s">
        <v>7047</v>
      </c>
      <c r="AM11" s="30">
        <v>46296.0</v>
      </c>
      <c r="AN11" s="30">
        <v>46387.0</v>
      </c>
      <c r="AO11" s="36">
        <v>100.0</v>
      </c>
      <c r="AP11" s="36">
        <v>0.0</v>
      </c>
      <c r="AQ11" s="35" t="s">
        <v>7047</v>
      </c>
      <c r="AR11" s="30">
        <v>46388.0</v>
      </c>
      <c r="AS11" s="30">
        <v>46477.0</v>
      </c>
      <c r="AT11" s="36">
        <v>0.0</v>
      </c>
      <c r="AU11" s="36">
        <v>0.0</v>
      </c>
      <c r="AV11" s="35" t="s">
        <v>7045</v>
      </c>
      <c r="AW11" s="30">
        <v>46478.0</v>
      </c>
      <c r="AX11" s="30">
        <v>46568.0</v>
      </c>
      <c r="AY11" s="36">
        <v>0.0</v>
      </c>
      <c r="AZ11" s="36">
        <v>0.0</v>
      </c>
      <c r="BA11" s="35" t="s">
        <v>7045</v>
      </c>
      <c r="BB11" s="30">
        <v>46569.0</v>
      </c>
      <c r="BC11" s="30">
        <v>46660.0</v>
      </c>
      <c r="BD11" s="36">
        <v>0.0</v>
      </c>
      <c r="BE11" s="36">
        <v>0.0</v>
      </c>
      <c r="BF11" s="35" t="s">
        <v>7045</v>
      </c>
      <c r="BG11" s="30">
        <v>46661.0</v>
      </c>
      <c r="BH11" s="30">
        <v>46752.0</v>
      </c>
      <c r="BI11" s="36">
        <v>0.0</v>
      </c>
      <c r="BJ11" s="36">
        <v>0.0</v>
      </c>
      <c r="BK11" s="35" t="s">
        <v>7045</v>
      </c>
      <c r="BL11" s="30">
        <v>46753.0</v>
      </c>
      <c r="BM11" s="30">
        <v>46843.0</v>
      </c>
      <c r="BN11" s="36">
        <v>0.0</v>
      </c>
      <c r="BO11" s="36">
        <v>0.0</v>
      </c>
      <c r="BP11" s="35" t="s">
        <v>7045</v>
      </c>
      <c r="BQ11" s="30">
        <v>46844.0</v>
      </c>
      <c r="BR11" s="30">
        <v>46934.0</v>
      </c>
      <c r="BS11" s="36">
        <v>0.0</v>
      </c>
      <c r="BT11" s="36">
        <v>0.0</v>
      </c>
      <c r="BU11" s="35" t="s">
        <v>7045</v>
      </c>
      <c r="BV11" s="30">
        <v>46935.0</v>
      </c>
      <c r="BW11" s="30">
        <v>47026.0</v>
      </c>
      <c r="BX11" s="36">
        <v>0.0</v>
      </c>
      <c r="BY11" s="36">
        <v>0.0</v>
      </c>
      <c r="BZ11" s="35" t="s">
        <v>7045</v>
      </c>
      <c r="CA11" s="30">
        <v>47027.0</v>
      </c>
      <c r="CB11" s="30">
        <v>47118.0</v>
      </c>
      <c r="CC11" s="36">
        <v>0.0</v>
      </c>
      <c r="CD11" s="36">
        <v>0.0</v>
      </c>
      <c r="CE11" s="35" t="s">
        <v>7045</v>
      </c>
      <c r="CF11" s="30">
        <v>47119.0</v>
      </c>
      <c r="CG11" s="30">
        <v>47208.0</v>
      </c>
      <c r="CH11" s="36">
        <v>0.0</v>
      </c>
      <c r="CI11" s="36">
        <v>0.0</v>
      </c>
      <c r="CJ11" s="35" t="s">
        <v>7045</v>
      </c>
      <c r="CK11" s="30">
        <v>47209.0</v>
      </c>
      <c r="CL11" s="30">
        <v>47299.0</v>
      </c>
      <c r="CM11" s="36">
        <v>0.0</v>
      </c>
      <c r="CN11" s="36">
        <v>0.0</v>
      </c>
      <c r="CO11" s="35" t="s">
        <v>7045</v>
      </c>
      <c r="CP11" s="30">
        <v>47300.0</v>
      </c>
      <c r="CQ11" s="30">
        <v>47391.0</v>
      </c>
      <c r="CR11" s="36">
        <v>0.0</v>
      </c>
      <c r="CS11" s="36">
        <v>0.0</v>
      </c>
      <c r="CT11" s="35" t="s">
        <v>7045</v>
      </c>
      <c r="CU11" s="30">
        <v>47392.0</v>
      </c>
      <c r="CV11" s="30">
        <v>47483.0</v>
      </c>
      <c r="CW11" s="36">
        <v>0.0</v>
      </c>
      <c r="CX11" s="36">
        <v>0.0</v>
      </c>
      <c r="CY11" s="35" t="s">
        <v>7045</v>
      </c>
      <c r="CZ11" s="30">
        <v>47484.0</v>
      </c>
      <c r="DA11" s="30">
        <v>47573.0</v>
      </c>
      <c r="DB11" s="36">
        <v>0.0</v>
      </c>
      <c r="DC11" s="36">
        <v>0.0</v>
      </c>
      <c r="DD11" s="35" t="s">
        <v>7045</v>
      </c>
      <c r="DE11" s="30">
        <v>47574.0</v>
      </c>
      <c r="DF11" s="30">
        <v>47664.0</v>
      </c>
      <c r="DG11" s="36">
        <v>0.0</v>
      </c>
      <c r="DH11" s="36">
        <v>0.0</v>
      </c>
      <c r="DI11" s="35" t="s">
        <v>7045</v>
      </c>
      <c r="DJ11" s="30">
        <v>47665.0</v>
      </c>
      <c r="DK11" s="30">
        <v>47756.0</v>
      </c>
      <c r="DL11" s="36">
        <v>0.0</v>
      </c>
      <c r="DM11" s="36">
        <v>0.0</v>
      </c>
      <c r="DN11" s="35" t="s">
        <v>7045</v>
      </c>
      <c r="DO11" s="30">
        <v>47757.0</v>
      </c>
      <c r="DP11" s="30">
        <v>47848.0</v>
      </c>
      <c r="DQ11" s="36">
        <v>0.0</v>
      </c>
      <c r="DR11" s="36">
        <v>0.0</v>
      </c>
      <c r="DS11" s="35" t="s">
        <v>7045</v>
      </c>
    </row>
    <row r="12" ht="14.25" customHeight="1">
      <c r="A12" s="28" t="s">
        <v>4078</v>
      </c>
      <c r="B12" s="29" t="s">
        <v>4079</v>
      </c>
      <c r="C12" s="29" t="s">
        <v>7041</v>
      </c>
      <c r="D12" s="30">
        <v>45658.0</v>
      </c>
      <c r="E12" s="30">
        <v>45747.0</v>
      </c>
      <c r="F12" s="36">
        <v>656.13</v>
      </c>
      <c r="G12" s="36">
        <v>0.0</v>
      </c>
      <c r="H12" s="38" t="s">
        <v>7047</v>
      </c>
      <c r="I12" s="30">
        <v>45748.0</v>
      </c>
      <c r="J12" s="30">
        <v>45838.0</v>
      </c>
      <c r="K12" s="36">
        <v>180.87</v>
      </c>
      <c r="L12" s="36">
        <v>331.21</v>
      </c>
      <c r="M12" s="38" t="s">
        <v>7046</v>
      </c>
      <c r="N12" s="30">
        <v>45839.0</v>
      </c>
      <c r="O12" s="30">
        <v>45930.0</v>
      </c>
      <c r="P12" s="36">
        <v>759.8</v>
      </c>
      <c r="Q12" s="36">
        <v>486.58</v>
      </c>
      <c r="R12" s="38" t="s">
        <v>7047</v>
      </c>
      <c r="S12" s="30">
        <v>45931.0</v>
      </c>
      <c r="T12" s="30">
        <v>46022.0</v>
      </c>
      <c r="U12" s="36">
        <v>85.95</v>
      </c>
      <c r="V12" s="36">
        <v>518.3</v>
      </c>
      <c r="W12" s="38" t="s">
        <v>7047</v>
      </c>
      <c r="X12" s="30">
        <v>46023.0</v>
      </c>
      <c r="Y12" s="30">
        <v>46112.0</v>
      </c>
      <c r="Z12" s="36">
        <v>897.88</v>
      </c>
      <c r="AA12" s="36">
        <v>0.0</v>
      </c>
      <c r="AB12" s="38" t="s">
        <v>7047</v>
      </c>
      <c r="AC12" s="30">
        <v>46113.0</v>
      </c>
      <c r="AD12" s="30">
        <v>46203.0</v>
      </c>
      <c r="AE12" s="36">
        <v>887.59</v>
      </c>
      <c r="AF12" s="36">
        <v>0.0</v>
      </c>
      <c r="AG12" s="38" t="s">
        <v>7047</v>
      </c>
      <c r="AH12" s="30">
        <v>46204.0</v>
      </c>
      <c r="AI12" s="30">
        <v>46295.0</v>
      </c>
      <c r="AJ12" s="36">
        <v>0.0</v>
      </c>
      <c r="AK12" s="36">
        <v>0.0</v>
      </c>
      <c r="AL12" s="35" t="s">
        <v>7045</v>
      </c>
      <c r="AM12" s="30">
        <v>46296.0</v>
      </c>
      <c r="AN12" s="30">
        <v>46387.0</v>
      </c>
      <c r="AO12" s="36">
        <v>0.0</v>
      </c>
      <c r="AP12" s="36">
        <v>0.0</v>
      </c>
      <c r="AQ12" s="35" t="s">
        <v>7045</v>
      </c>
      <c r="AR12" s="30">
        <v>46388.0</v>
      </c>
      <c r="AS12" s="30">
        <v>46477.0</v>
      </c>
      <c r="AT12" s="36">
        <v>0.0</v>
      </c>
      <c r="AU12" s="36">
        <v>0.0</v>
      </c>
      <c r="AV12" s="35" t="s">
        <v>7045</v>
      </c>
      <c r="AW12" s="30">
        <v>46478.0</v>
      </c>
      <c r="AX12" s="30">
        <v>46568.0</v>
      </c>
      <c r="AY12" s="36">
        <v>0.0</v>
      </c>
      <c r="AZ12" s="36">
        <v>0.0</v>
      </c>
      <c r="BA12" s="35" t="s">
        <v>7045</v>
      </c>
      <c r="BB12" s="30">
        <v>46569.0</v>
      </c>
      <c r="BC12" s="30">
        <v>46660.0</v>
      </c>
      <c r="BD12" s="36">
        <v>0.0</v>
      </c>
      <c r="BE12" s="36">
        <v>0.0</v>
      </c>
      <c r="BF12" s="35" t="s">
        <v>7045</v>
      </c>
      <c r="BG12" s="30">
        <v>46661.0</v>
      </c>
      <c r="BH12" s="30">
        <v>46752.0</v>
      </c>
      <c r="BI12" s="36">
        <v>0.0</v>
      </c>
      <c r="BJ12" s="36">
        <v>0.0</v>
      </c>
      <c r="BK12" s="35" t="s">
        <v>7045</v>
      </c>
      <c r="BL12" s="30">
        <v>46753.0</v>
      </c>
      <c r="BM12" s="30">
        <v>46843.0</v>
      </c>
      <c r="BN12" s="36">
        <v>0.0</v>
      </c>
      <c r="BO12" s="36">
        <v>0.0</v>
      </c>
      <c r="BP12" s="35" t="s">
        <v>7045</v>
      </c>
      <c r="BQ12" s="30">
        <v>46844.0</v>
      </c>
      <c r="BR12" s="30">
        <v>46934.0</v>
      </c>
      <c r="BS12" s="36">
        <v>0.0</v>
      </c>
      <c r="BT12" s="36">
        <v>0.0</v>
      </c>
      <c r="BU12" s="35" t="s">
        <v>7045</v>
      </c>
      <c r="BV12" s="30">
        <v>46935.0</v>
      </c>
      <c r="BW12" s="30">
        <v>47026.0</v>
      </c>
      <c r="BX12" s="36">
        <v>0.0</v>
      </c>
      <c r="BY12" s="36">
        <v>0.0</v>
      </c>
      <c r="BZ12" s="35" t="s">
        <v>7045</v>
      </c>
      <c r="CA12" s="30">
        <v>47027.0</v>
      </c>
      <c r="CB12" s="30">
        <v>47118.0</v>
      </c>
      <c r="CC12" s="36">
        <v>0.0</v>
      </c>
      <c r="CD12" s="36">
        <v>0.0</v>
      </c>
      <c r="CE12" s="35" t="s">
        <v>7045</v>
      </c>
      <c r="CF12" s="30">
        <v>47119.0</v>
      </c>
      <c r="CG12" s="30">
        <v>47208.0</v>
      </c>
      <c r="CH12" s="36">
        <v>0.0</v>
      </c>
      <c r="CI12" s="36">
        <v>0.0</v>
      </c>
      <c r="CJ12" s="35" t="s">
        <v>7045</v>
      </c>
      <c r="CK12" s="30">
        <v>47209.0</v>
      </c>
      <c r="CL12" s="30">
        <v>47299.0</v>
      </c>
      <c r="CM12" s="36">
        <v>0.0</v>
      </c>
      <c r="CN12" s="36">
        <v>0.0</v>
      </c>
      <c r="CO12" s="35" t="s">
        <v>7045</v>
      </c>
      <c r="CP12" s="30">
        <v>47300.0</v>
      </c>
      <c r="CQ12" s="30">
        <v>47391.0</v>
      </c>
      <c r="CR12" s="36">
        <v>0.0</v>
      </c>
      <c r="CS12" s="36">
        <v>0.0</v>
      </c>
      <c r="CT12" s="35" t="s">
        <v>7045</v>
      </c>
      <c r="CU12" s="30">
        <v>47392.0</v>
      </c>
      <c r="CV12" s="30">
        <v>47483.0</v>
      </c>
      <c r="CW12" s="36">
        <v>0.0</v>
      </c>
      <c r="CX12" s="36">
        <v>0.0</v>
      </c>
      <c r="CY12" s="35" t="s">
        <v>7045</v>
      </c>
      <c r="CZ12" s="30">
        <v>47484.0</v>
      </c>
      <c r="DA12" s="30">
        <v>47573.0</v>
      </c>
      <c r="DB12" s="36">
        <v>0.0</v>
      </c>
      <c r="DC12" s="36">
        <v>0.0</v>
      </c>
      <c r="DD12" s="35" t="s">
        <v>7045</v>
      </c>
      <c r="DE12" s="30">
        <v>47574.0</v>
      </c>
      <c r="DF12" s="30">
        <v>47664.0</v>
      </c>
      <c r="DG12" s="36">
        <v>0.0</v>
      </c>
      <c r="DH12" s="36">
        <v>0.0</v>
      </c>
      <c r="DI12" s="35" t="s">
        <v>7045</v>
      </c>
      <c r="DJ12" s="30">
        <v>47665.0</v>
      </c>
      <c r="DK12" s="30">
        <v>47756.0</v>
      </c>
      <c r="DL12" s="36">
        <v>0.0</v>
      </c>
      <c r="DM12" s="36">
        <v>0.0</v>
      </c>
      <c r="DN12" s="35" t="s">
        <v>7045</v>
      </c>
      <c r="DO12" s="30">
        <v>47757.0</v>
      </c>
      <c r="DP12" s="30">
        <v>47848.0</v>
      </c>
      <c r="DQ12" s="36">
        <v>0.0</v>
      </c>
      <c r="DR12" s="36">
        <v>0.0</v>
      </c>
      <c r="DS12" s="35" t="s">
        <v>7045</v>
      </c>
    </row>
    <row r="13" ht="14.25" customHeight="1">
      <c r="A13" s="28" t="s">
        <v>5234</v>
      </c>
      <c r="B13" s="29" t="s">
        <v>5235</v>
      </c>
      <c r="C13" s="29" t="s">
        <v>7041</v>
      </c>
      <c r="D13" s="30">
        <v>45658.0</v>
      </c>
      <c r="E13" s="30">
        <v>45747.0</v>
      </c>
      <c r="F13" s="36">
        <v>60.8</v>
      </c>
      <c r="G13" s="36">
        <v>0.0</v>
      </c>
      <c r="H13" s="38" t="s">
        <v>7047</v>
      </c>
      <c r="I13" s="30">
        <v>45748.0</v>
      </c>
      <c r="J13" s="30">
        <v>45838.0</v>
      </c>
      <c r="K13" s="36">
        <v>61.14</v>
      </c>
      <c r="L13" s="36">
        <v>657.89</v>
      </c>
      <c r="M13" s="38" t="s">
        <v>7043</v>
      </c>
      <c r="N13" s="30">
        <v>45839.0</v>
      </c>
      <c r="O13" s="30">
        <v>45930.0</v>
      </c>
      <c r="P13" s="36">
        <v>1068.61</v>
      </c>
      <c r="Q13" s="36">
        <v>1149.99</v>
      </c>
      <c r="R13" s="38" t="s">
        <v>7047</v>
      </c>
      <c r="S13" s="30">
        <v>45931.0</v>
      </c>
      <c r="T13" s="30">
        <v>46022.0</v>
      </c>
      <c r="U13" s="36">
        <v>4814.33</v>
      </c>
      <c r="V13" s="36">
        <v>899.99</v>
      </c>
      <c r="W13" s="38" t="s">
        <v>7047</v>
      </c>
      <c r="X13" s="30">
        <v>46023.0</v>
      </c>
      <c r="Y13" s="30">
        <v>46112.0</v>
      </c>
      <c r="Z13" s="36">
        <v>5.38</v>
      </c>
      <c r="AA13" s="36">
        <v>0.0</v>
      </c>
      <c r="AB13" s="38" t="s">
        <v>7047</v>
      </c>
      <c r="AC13" s="30">
        <v>46113.0</v>
      </c>
      <c r="AD13" s="30">
        <v>46203.0</v>
      </c>
      <c r="AE13" s="36">
        <v>331.2</v>
      </c>
      <c r="AF13" s="36">
        <v>0.0</v>
      </c>
      <c r="AG13" s="38" t="s">
        <v>7047</v>
      </c>
      <c r="AH13" s="30">
        <v>46204.0</v>
      </c>
      <c r="AI13" s="30">
        <v>46295.0</v>
      </c>
      <c r="AJ13" s="36">
        <v>0.0</v>
      </c>
      <c r="AK13" s="36">
        <v>0.0</v>
      </c>
      <c r="AL13" s="35" t="s">
        <v>7045</v>
      </c>
      <c r="AM13" s="30">
        <v>46296.0</v>
      </c>
      <c r="AN13" s="30">
        <v>46387.0</v>
      </c>
      <c r="AO13" s="36">
        <v>0.0</v>
      </c>
      <c r="AP13" s="36">
        <v>0.0</v>
      </c>
      <c r="AQ13" s="35" t="s">
        <v>7045</v>
      </c>
      <c r="AR13" s="30">
        <v>46388.0</v>
      </c>
      <c r="AS13" s="30">
        <v>46477.0</v>
      </c>
      <c r="AT13" s="36">
        <v>0.0</v>
      </c>
      <c r="AU13" s="36">
        <v>0.0</v>
      </c>
      <c r="AV13" s="35" t="s">
        <v>7045</v>
      </c>
      <c r="AW13" s="30">
        <v>46478.0</v>
      </c>
      <c r="AX13" s="30">
        <v>46568.0</v>
      </c>
      <c r="AY13" s="36">
        <v>0.0</v>
      </c>
      <c r="AZ13" s="36">
        <v>0.0</v>
      </c>
      <c r="BA13" s="35" t="s">
        <v>7045</v>
      </c>
      <c r="BB13" s="30">
        <v>46569.0</v>
      </c>
      <c r="BC13" s="30">
        <v>46660.0</v>
      </c>
      <c r="BD13" s="36">
        <v>0.0</v>
      </c>
      <c r="BE13" s="36">
        <v>0.0</v>
      </c>
      <c r="BF13" s="35" t="s">
        <v>7045</v>
      </c>
      <c r="BG13" s="30">
        <v>46661.0</v>
      </c>
      <c r="BH13" s="30">
        <v>46752.0</v>
      </c>
      <c r="BI13" s="36">
        <v>0.0</v>
      </c>
      <c r="BJ13" s="36">
        <v>0.0</v>
      </c>
      <c r="BK13" s="35" t="s">
        <v>7045</v>
      </c>
      <c r="BL13" s="30">
        <v>46753.0</v>
      </c>
      <c r="BM13" s="30">
        <v>46843.0</v>
      </c>
      <c r="BN13" s="36">
        <v>0.0</v>
      </c>
      <c r="BO13" s="36">
        <v>0.0</v>
      </c>
      <c r="BP13" s="35" t="s">
        <v>7045</v>
      </c>
      <c r="BQ13" s="30">
        <v>46844.0</v>
      </c>
      <c r="BR13" s="30">
        <v>46934.0</v>
      </c>
      <c r="BS13" s="36">
        <v>0.0</v>
      </c>
      <c r="BT13" s="36">
        <v>0.0</v>
      </c>
      <c r="BU13" s="35" t="s">
        <v>7045</v>
      </c>
      <c r="BV13" s="30">
        <v>46935.0</v>
      </c>
      <c r="BW13" s="30">
        <v>47026.0</v>
      </c>
      <c r="BX13" s="36">
        <v>0.0</v>
      </c>
      <c r="BY13" s="36">
        <v>0.0</v>
      </c>
      <c r="BZ13" s="35" t="s">
        <v>7045</v>
      </c>
      <c r="CA13" s="30">
        <v>47027.0</v>
      </c>
      <c r="CB13" s="30">
        <v>47118.0</v>
      </c>
      <c r="CC13" s="36">
        <v>0.0</v>
      </c>
      <c r="CD13" s="36">
        <v>0.0</v>
      </c>
      <c r="CE13" s="35" t="s">
        <v>7045</v>
      </c>
      <c r="CF13" s="30">
        <v>47119.0</v>
      </c>
      <c r="CG13" s="30">
        <v>47208.0</v>
      </c>
      <c r="CH13" s="36">
        <v>0.0</v>
      </c>
      <c r="CI13" s="36">
        <v>0.0</v>
      </c>
      <c r="CJ13" s="35" t="s">
        <v>7045</v>
      </c>
      <c r="CK13" s="30">
        <v>47209.0</v>
      </c>
      <c r="CL13" s="30">
        <v>47299.0</v>
      </c>
      <c r="CM13" s="36">
        <v>0.0</v>
      </c>
      <c r="CN13" s="36">
        <v>0.0</v>
      </c>
      <c r="CO13" s="35" t="s">
        <v>7045</v>
      </c>
      <c r="CP13" s="30">
        <v>47300.0</v>
      </c>
      <c r="CQ13" s="30">
        <v>47391.0</v>
      </c>
      <c r="CR13" s="36">
        <v>0.0</v>
      </c>
      <c r="CS13" s="36">
        <v>0.0</v>
      </c>
      <c r="CT13" s="35" t="s">
        <v>7045</v>
      </c>
      <c r="CU13" s="30">
        <v>47392.0</v>
      </c>
      <c r="CV13" s="30">
        <v>47483.0</v>
      </c>
      <c r="CW13" s="36">
        <v>0.0</v>
      </c>
      <c r="CX13" s="36">
        <v>0.0</v>
      </c>
      <c r="CY13" s="35" t="s">
        <v>7045</v>
      </c>
      <c r="CZ13" s="30">
        <v>47484.0</v>
      </c>
      <c r="DA13" s="30">
        <v>47573.0</v>
      </c>
      <c r="DB13" s="36">
        <v>0.0</v>
      </c>
      <c r="DC13" s="36">
        <v>0.0</v>
      </c>
      <c r="DD13" s="35" t="s">
        <v>7045</v>
      </c>
      <c r="DE13" s="30">
        <v>47574.0</v>
      </c>
      <c r="DF13" s="30">
        <v>47664.0</v>
      </c>
      <c r="DG13" s="36">
        <v>0.0</v>
      </c>
      <c r="DH13" s="36">
        <v>0.0</v>
      </c>
      <c r="DI13" s="35" t="s">
        <v>7045</v>
      </c>
      <c r="DJ13" s="30">
        <v>47665.0</v>
      </c>
      <c r="DK13" s="30">
        <v>47756.0</v>
      </c>
      <c r="DL13" s="36">
        <v>0.0</v>
      </c>
      <c r="DM13" s="36">
        <v>0.0</v>
      </c>
      <c r="DN13" s="35" t="s">
        <v>7045</v>
      </c>
      <c r="DO13" s="30">
        <v>47757.0</v>
      </c>
      <c r="DP13" s="30">
        <v>47848.0</v>
      </c>
      <c r="DQ13" s="36">
        <v>0.0</v>
      </c>
      <c r="DR13" s="36">
        <v>0.0</v>
      </c>
      <c r="DS13" s="35" t="s">
        <v>7045</v>
      </c>
    </row>
    <row r="14" ht="14.25" customHeight="1">
      <c r="A14" s="28" t="s">
        <v>5850</v>
      </c>
      <c r="B14" s="29" t="s">
        <v>5851</v>
      </c>
      <c r="C14" s="29" t="s">
        <v>7041</v>
      </c>
      <c r="D14" s="30">
        <v>45658.0</v>
      </c>
      <c r="E14" s="30">
        <v>45747.0</v>
      </c>
      <c r="F14" s="39">
        <v>73.07</v>
      </c>
      <c r="G14" s="39">
        <v>0.0</v>
      </c>
      <c r="H14" s="38" t="s">
        <v>7047</v>
      </c>
      <c r="I14" s="30">
        <v>45748.0</v>
      </c>
      <c r="J14" s="30">
        <v>45838.0</v>
      </c>
      <c r="K14" s="39">
        <v>1.9</v>
      </c>
      <c r="L14" s="39">
        <v>317.46</v>
      </c>
      <c r="M14" s="38" t="s">
        <v>7043</v>
      </c>
      <c r="N14" s="30">
        <v>45839.0</v>
      </c>
      <c r="O14" s="30">
        <v>45930.0</v>
      </c>
      <c r="P14" s="39">
        <v>522.73</v>
      </c>
      <c r="Q14" s="39">
        <v>936.51</v>
      </c>
      <c r="R14" s="38" t="s">
        <v>7047</v>
      </c>
      <c r="S14" s="30">
        <v>45931.0</v>
      </c>
      <c r="T14" s="30">
        <v>46022.0</v>
      </c>
      <c r="U14" s="39">
        <v>2308.37</v>
      </c>
      <c r="V14" s="39">
        <v>4253.97</v>
      </c>
      <c r="W14" s="38" t="s">
        <v>7047</v>
      </c>
      <c r="X14" s="30">
        <v>46023.0</v>
      </c>
      <c r="Y14" s="30">
        <v>46112.0</v>
      </c>
      <c r="Z14" s="39">
        <v>426.92</v>
      </c>
      <c r="AA14" s="39">
        <v>0.0</v>
      </c>
      <c r="AB14" s="38" t="s">
        <v>7047</v>
      </c>
      <c r="AC14" s="30">
        <v>46113.0</v>
      </c>
      <c r="AD14" s="30">
        <v>46203.0</v>
      </c>
      <c r="AE14" s="39">
        <v>3.13</v>
      </c>
      <c r="AF14" s="39">
        <v>0.0</v>
      </c>
      <c r="AG14" s="38" t="s">
        <v>7047</v>
      </c>
      <c r="AH14" s="30">
        <v>46204.0</v>
      </c>
      <c r="AI14" s="30">
        <v>46295.0</v>
      </c>
      <c r="AJ14" s="39">
        <v>1150.0</v>
      </c>
      <c r="AK14" s="39">
        <v>0.0</v>
      </c>
      <c r="AL14" s="35" t="s">
        <v>7047</v>
      </c>
      <c r="AM14" s="30">
        <v>46296.0</v>
      </c>
      <c r="AN14" s="30">
        <v>46387.0</v>
      </c>
      <c r="AO14" s="39">
        <v>28.33</v>
      </c>
      <c r="AP14" s="39">
        <v>0.0</v>
      </c>
      <c r="AQ14" s="38" t="s">
        <v>7047</v>
      </c>
      <c r="AR14" s="30">
        <v>46388.0</v>
      </c>
      <c r="AS14" s="30">
        <v>46477.0</v>
      </c>
      <c r="AT14" s="39">
        <v>0.0</v>
      </c>
      <c r="AU14" s="39">
        <v>0.0</v>
      </c>
      <c r="AV14" s="35" t="s">
        <v>7045</v>
      </c>
      <c r="AW14" s="30">
        <v>46478.0</v>
      </c>
      <c r="AX14" s="30">
        <v>46568.0</v>
      </c>
      <c r="AY14" s="39">
        <v>0.0</v>
      </c>
      <c r="AZ14" s="39">
        <v>0.0</v>
      </c>
      <c r="BA14" s="35" t="s">
        <v>7045</v>
      </c>
      <c r="BB14" s="30">
        <v>46569.0</v>
      </c>
      <c r="BC14" s="30">
        <v>46660.0</v>
      </c>
      <c r="BD14" s="39">
        <v>0.0</v>
      </c>
      <c r="BE14" s="39">
        <v>0.0</v>
      </c>
      <c r="BF14" s="35" t="s">
        <v>7045</v>
      </c>
      <c r="BG14" s="30">
        <v>46661.0</v>
      </c>
      <c r="BH14" s="30">
        <v>46752.0</v>
      </c>
      <c r="BI14" s="39">
        <v>0.0</v>
      </c>
      <c r="BJ14" s="39">
        <v>0.0</v>
      </c>
      <c r="BK14" s="35" t="s">
        <v>7045</v>
      </c>
      <c r="BL14" s="30">
        <v>46753.0</v>
      </c>
      <c r="BM14" s="30">
        <v>46843.0</v>
      </c>
      <c r="BN14" s="39">
        <v>0.0</v>
      </c>
      <c r="BO14" s="39">
        <v>0.0</v>
      </c>
      <c r="BP14" s="35" t="s">
        <v>7045</v>
      </c>
      <c r="BQ14" s="30">
        <v>46844.0</v>
      </c>
      <c r="BR14" s="30">
        <v>46934.0</v>
      </c>
      <c r="BS14" s="39">
        <v>0.0</v>
      </c>
      <c r="BT14" s="39">
        <v>0.0</v>
      </c>
      <c r="BU14" s="35" t="s">
        <v>7045</v>
      </c>
      <c r="BV14" s="30">
        <v>46935.0</v>
      </c>
      <c r="BW14" s="30">
        <v>47026.0</v>
      </c>
      <c r="BX14" s="39">
        <v>0.0</v>
      </c>
      <c r="BY14" s="39">
        <v>0.0</v>
      </c>
      <c r="BZ14" s="35" t="s">
        <v>7045</v>
      </c>
      <c r="CA14" s="30">
        <v>47027.0</v>
      </c>
      <c r="CB14" s="30">
        <v>47118.0</v>
      </c>
      <c r="CC14" s="39">
        <v>0.0</v>
      </c>
      <c r="CD14" s="39">
        <v>0.0</v>
      </c>
      <c r="CE14" s="35" t="s">
        <v>7045</v>
      </c>
      <c r="CF14" s="30">
        <v>47119.0</v>
      </c>
      <c r="CG14" s="30">
        <v>47208.0</v>
      </c>
      <c r="CH14" s="39">
        <v>0.0</v>
      </c>
      <c r="CI14" s="39">
        <v>0.0</v>
      </c>
      <c r="CJ14" s="35" t="s">
        <v>7045</v>
      </c>
      <c r="CK14" s="30">
        <v>47209.0</v>
      </c>
      <c r="CL14" s="30">
        <v>47299.0</v>
      </c>
      <c r="CM14" s="39">
        <v>0.0</v>
      </c>
      <c r="CN14" s="39">
        <v>0.0</v>
      </c>
      <c r="CO14" s="35" t="s">
        <v>7045</v>
      </c>
      <c r="CP14" s="30">
        <v>47300.0</v>
      </c>
      <c r="CQ14" s="30">
        <v>47391.0</v>
      </c>
      <c r="CR14" s="39">
        <v>0.0</v>
      </c>
      <c r="CS14" s="39">
        <v>0.0</v>
      </c>
      <c r="CT14" s="35" t="s">
        <v>7045</v>
      </c>
      <c r="CU14" s="30">
        <v>47392.0</v>
      </c>
      <c r="CV14" s="30">
        <v>47483.0</v>
      </c>
      <c r="CW14" s="39">
        <v>0.0</v>
      </c>
      <c r="CX14" s="39">
        <v>0.0</v>
      </c>
      <c r="CY14" s="35" t="s">
        <v>7045</v>
      </c>
      <c r="CZ14" s="30">
        <v>47484.0</v>
      </c>
      <c r="DA14" s="30">
        <v>47573.0</v>
      </c>
      <c r="DB14" s="39">
        <v>0.0</v>
      </c>
      <c r="DC14" s="39">
        <v>0.0</v>
      </c>
      <c r="DD14" s="35" t="s">
        <v>7045</v>
      </c>
      <c r="DE14" s="30">
        <v>47574.0</v>
      </c>
      <c r="DF14" s="30">
        <v>47664.0</v>
      </c>
      <c r="DG14" s="39">
        <v>0.0</v>
      </c>
      <c r="DH14" s="39">
        <v>0.0</v>
      </c>
      <c r="DI14" s="35" t="s">
        <v>7045</v>
      </c>
      <c r="DJ14" s="30">
        <v>47665.0</v>
      </c>
      <c r="DK14" s="30">
        <v>47756.0</v>
      </c>
      <c r="DL14" s="39">
        <v>0.0</v>
      </c>
      <c r="DM14" s="39">
        <v>0.0</v>
      </c>
      <c r="DN14" s="35" t="s">
        <v>7045</v>
      </c>
      <c r="DO14" s="30">
        <v>47757.0</v>
      </c>
      <c r="DP14" s="30">
        <v>47848.0</v>
      </c>
      <c r="DQ14" s="39">
        <v>0.0</v>
      </c>
      <c r="DR14" s="39">
        <v>0.0</v>
      </c>
      <c r="DS14" s="35" t="s">
        <v>7045</v>
      </c>
    </row>
    <row r="15" ht="14.25" customHeight="1">
      <c r="A15" s="28" t="s">
        <v>6030</v>
      </c>
      <c r="B15" s="29" t="s">
        <v>6031</v>
      </c>
      <c r="C15" s="29" t="s">
        <v>7041</v>
      </c>
      <c r="D15" s="30">
        <v>45658.0</v>
      </c>
      <c r="E15" s="30">
        <v>45747.0</v>
      </c>
      <c r="F15" s="39">
        <v>3.54</v>
      </c>
      <c r="G15" s="39">
        <v>0.0</v>
      </c>
      <c r="H15" s="38" t="s">
        <v>7047</v>
      </c>
      <c r="I15" s="30">
        <v>45748.0</v>
      </c>
      <c r="J15" s="30">
        <v>45838.0</v>
      </c>
      <c r="K15" s="39">
        <v>0.08</v>
      </c>
      <c r="L15" s="39">
        <v>0.0</v>
      </c>
      <c r="M15" s="38" t="s">
        <v>7047</v>
      </c>
      <c r="N15" s="30">
        <v>45839.0</v>
      </c>
      <c r="O15" s="30">
        <v>45930.0</v>
      </c>
      <c r="P15" s="39">
        <v>2459.29</v>
      </c>
      <c r="Q15" s="39">
        <v>5166.67</v>
      </c>
      <c r="R15" s="38" t="s">
        <v>7047</v>
      </c>
      <c r="S15" s="30">
        <v>45931.0</v>
      </c>
      <c r="T15" s="30">
        <v>46022.0</v>
      </c>
      <c r="U15" s="39">
        <v>4570.15</v>
      </c>
      <c r="V15" s="39">
        <v>5166.67</v>
      </c>
      <c r="W15" s="38" t="s">
        <v>7047</v>
      </c>
      <c r="X15" s="30">
        <v>46023.0</v>
      </c>
      <c r="Y15" s="30">
        <v>46112.0</v>
      </c>
      <c r="Z15" s="39">
        <v>447.49</v>
      </c>
      <c r="AA15" s="39">
        <v>0.0</v>
      </c>
      <c r="AB15" s="38" t="s">
        <v>7047</v>
      </c>
      <c r="AC15" s="30">
        <v>46113.0</v>
      </c>
      <c r="AD15" s="30">
        <v>46203.0</v>
      </c>
      <c r="AE15" s="39">
        <v>1487.34</v>
      </c>
      <c r="AF15" s="39">
        <v>0.0</v>
      </c>
      <c r="AG15" s="38" t="s">
        <v>7047</v>
      </c>
      <c r="AH15" s="30">
        <v>46204.0</v>
      </c>
      <c r="AI15" s="30">
        <v>46295.0</v>
      </c>
      <c r="AJ15" s="39">
        <v>508.91</v>
      </c>
      <c r="AK15" s="39">
        <v>0.0</v>
      </c>
      <c r="AL15" s="38" t="s">
        <v>7047</v>
      </c>
      <c r="AM15" s="30">
        <v>46296.0</v>
      </c>
      <c r="AN15" s="30">
        <v>46387.0</v>
      </c>
      <c r="AO15" s="39">
        <v>548.88</v>
      </c>
      <c r="AP15" s="39">
        <v>0.0</v>
      </c>
      <c r="AQ15" s="38" t="s">
        <v>7047</v>
      </c>
      <c r="AR15" s="30">
        <v>46388.0</v>
      </c>
      <c r="AS15" s="30">
        <v>46477.0</v>
      </c>
      <c r="AT15" s="39">
        <v>0.0</v>
      </c>
      <c r="AU15" s="39">
        <v>0.0</v>
      </c>
      <c r="AV15" s="35" t="s">
        <v>7045</v>
      </c>
      <c r="AW15" s="30">
        <v>46478.0</v>
      </c>
      <c r="AX15" s="30">
        <v>46568.0</v>
      </c>
      <c r="AY15" s="39">
        <v>0.0</v>
      </c>
      <c r="AZ15" s="39">
        <v>0.0</v>
      </c>
      <c r="BA15" s="35" t="s">
        <v>7045</v>
      </c>
      <c r="BB15" s="30">
        <v>46569.0</v>
      </c>
      <c r="BC15" s="30">
        <v>46660.0</v>
      </c>
      <c r="BD15" s="39">
        <v>0.0</v>
      </c>
      <c r="BE15" s="39">
        <v>0.0</v>
      </c>
      <c r="BF15" s="35" t="s">
        <v>7045</v>
      </c>
      <c r="BG15" s="30">
        <v>46661.0</v>
      </c>
      <c r="BH15" s="30">
        <v>46752.0</v>
      </c>
      <c r="BI15" s="39">
        <v>0.0</v>
      </c>
      <c r="BJ15" s="39">
        <v>0.0</v>
      </c>
      <c r="BK15" s="35" t="s">
        <v>7045</v>
      </c>
      <c r="BL15" s="30">
        <v>46753.0</v>
      </c>
      <c r="BM15" s="30">
        <v>46843.0</v>
      </c>
      <c r="BN15" s="39">
        <v>0.0</v>
      </c>
      <c r="BO15" s="39">
        <v>0.0</v>
      </c>
      <c r="BP15" s="35" t="s">
        <v>7045</v>
      </c>
      <c r="BQ15" s="30">
        <v>46844.0</v>
      </c>
      <c r="BR15" s="30">
        <v>46934.0</v>
      </c>
      <c r="BS15" s="39">
        <v>0.0</v>
      </c>
      <c r="BT15" s="39">
        <v>0.0</v>
      </c>
      <c r="BU15" s="35" t="s">
        <v>7045</v>
      </c>
      <c r="BV15" s="30">
        <v>46935.0</v>
      </c>
      <c r="BW15" s="30">
        <v>47026.0</v>
      </c>
      <c r="BX15" s="39">
        <v>0.0</v>
      </c>
      <c r="BY15" s="39">
        <v>0.0</v>
      </c>
      <c r="BZ15" s="35" t="s">
        <v>7045</v>
      </c>
      <c r="CA15" s="30">
        <v>47027.0</v>
      </c>
      <c r="CB15" s="30">
        <v>47118.0</v>
      </c>
      <c r="CC15" s="39">
        <v>0.0</v>
      </c>
      <c r="CD15" s="39">
        <v>0.0</v>
      </c>
      <c r="CE15" s="35" t="s">
        <v>7045</v>
      </c>
      <c r="CF15" s="30">
        <v>47119.0</v>
      </c>
      <c r="CG15" s="30">
        <v>47208.0</v>
      </c>
      <c r="CH15" s="39">
        <v>0.0</v>
      </c>
      <c r="CI15" s="39">
        <v>0.0</v>
      </c>
      <c r="CJ15" s="35" t="s">
        <v>7045</v>
      </c>
      <c r="CK15" s="30">
        <v>47209.0</v>
      </c>
      <c r="CL15" s="30">
        <v>47299.0</v>
      </c>
      <c r="CM15" s="39">
        <v>0.0</v>
      </c>
      <c r="CN15" s="39">
        <v>0.0</v>
      </c>
      <c r="CO15" s="35" t="s">
        <v>7045</v>
      </c>
      <c r="CP15" s="30">
        <v>47300.0</v>
      </c>
      <c r="CQ15" s="30">
        <v>47391.0</v>
      </c>
      <c r="CR15" s="39">
        <v>0.0</v>
      </c>
      <c r="CS15" s="39">
        <v>0.0</v>
      </c>
      <c r="CT15" s="35" t="s">
        <v>7045</v>
      </c>
      <c r="CU15" s="30">
        <v>47392.0</v>
      </c>
      <c r="CV15" s="30">
        <v>47483.0</v>
      </c>
      <c r="CW15" s="39">
        <v>0.0</v>
      </c>
      <c r="CX15" s="39">
        <v>0.0</v>
      </c>
      <c r="CY15" s="35" t="s">
        <v>7045</v>
      </c>
      <c r="CZ15" s="30">
        <v>47484.0</v>
      </c>
      <c r="DA15" s="30">
        <v>47573.0</v>
      </c>
      <c r="DB15" s="39">
        <v>0.0</v>
      </c>
      <c r="DC15" s="39">
        <v>0.0</v>
      </c>
      <c r="DD15" s="35" t="s">
        <v>7045</v>
      </c>
      <c r="DE15" s="30">
        <v>47574.0</v>
      </c>
      <c r="DF15" s="30">
        <v>47664.0</v>
      </c>
      <c r="DG15" s="39">
        <v>0.0</v>
      </c>
      <c r="DH15" s="39">
        <v>0.0</v>
      </c>
      <c r="DI15" s="35" t="s">
        <v>7045</v>
      </c>
      <c r="DJ15" s="30">
        <v>47665.0</v>
      </c>
      <c r="DK15" s="30">
        <v>47756.0</v>
      </c>
      <c r="DL15" s="39">
        <v>0.0</v>
      </c>
      <c r="DM15" s="39">
        <v>0.0</v>
      </c>
      <c r="DN15" s="35" t="s">
        <v>7045</v>
      </c>
      <c r="DO15" s="30">
        <v>47757.0</v>
      </c>
      <c r="DP15" s="30">
        <v>47848.0</v>
      </c>
      <c r="DQ15" s="39">
        <v>0.0</v>
      </c>
      <c r="DR15" s="39">
        <v>0.0</v>
      </c>
      <c r="DS15" s="35" t="s">
        <v>7045</v>
      </c>
    </row>
    <row r="16" ht="14.25" customHeight="1">
      <c r="A16" s="28" t="s">
        <v>6065</v>
      </c>
      <c r="B16" s="29" t="s">
        <v>6066</v>
      </c>
      <c r="C16" s="29" t="s">
        <v>7041</v>
      </c>
      <c r="D16" s="30">
        <v>45658.0</v>
      </c>
      <c r="E16" s="30">
        <v>45747.0</v>
      </c>
      <c r="F16" s="36">
        <v>0.0</v>
      </c>
      <c r="G16" s="36">
        <v>0.0</v>
      </c>
      <c r="H16" s="32" t="s">
        <v>7043</v>
      </c>
      <c r="I16" s="30">
        <v>45748.0</v>
      </c>
      <c r="J16" s="30">
        <v>45838.0</v>
      </c>
      <c r="K16" s="36">
        <v>8.18</v>
      </c>
      <c r="L16" s="36">
        <v>1458.33</v>
      </c>
      <c r="M16" s="32" t="s">
        <v>7043</v>
      </c>
      <c r="N16" s="30">
        <v>45839.0</v>
      </c>
      <c r="O16" s="30">
        <v>45930.0</v>
      </c>
      <c r="P16" s="36">
        <v>767.81</v>
      </c>
      <c r="Q16" s="36">
        <v>1458.33</v>
      </c>
      <c r="R16" s="38" t="s">
        <v>7047</v>
      </c>
      <c r="S16" s="30">
        <v>45931.0</v>
      </c>
      <c r="T16" s="30">
        <v>46022.0</v>
      </c>
      <c r="U16" s="36">
        <v>3996.96</v>
      </c>
      <c r="V16" s="36">
        <v>1458.33</v>
      </c>
      <c r="W16" s="38" t="s">
        <v>7047</v>
      </c>
      <c r="X16" s="30">
        <v>46023.0</v>
      </c>
      <c r="Y16" s="30">
        <v>46112.0</v>
      </c>
      <c r="Z16" s="36">
        <v>4540.39</v>
      </c>
      <c r="AA16" s="36">
        <v>0.0</v>
      </c>
      <c r="AB16" s="38" t="s">
        <v>7047</v>
      </c>
      <c r="AC16" s="30">
        <v>46113.0</v>
      </c>
      <c r="AD16" s="30">
        <v>46203.0</v>
      </c>
      <c r="AE16" s="36">
        <v>2615.97</v>
      </c>
      <c r="AF16" s="36">
        <v>0.0</v>
      </c>
      <c r="AG16" s="38" t="s">
        <v>7047</v>
      </c>
      <c r="AH16" s="30">
        <v>46204.0</v>
      </c>
      <c r="AI16" s="30">
        <v>46295.0</v>
      </c>
      <c r="AJ16" s="36">
        <v>300.0</v>
      </c>
      <c r="AK16" s="36">
        <v>0.0</v>
      </c>
      <c r="AL16" s="38" t="s">
        <v>7047</v>
      </c>
      <c r="AM16" s="30">
        <v>46296.0</v>
      </c>
      <c r="AN16" s="30">
        <v>46387.0</v>
      </c>
      <c r="AO16" s="36">
        <v>20.44</v>
      </c>
      <c r="AP16" s="36">
        <v>0.0</v>
      </c>
      <c r="AQ16" s="38" t="s">
        <v>7047</v>
      </c>
      <c r="AR16" s="30">
        <v>46388.0</v>
      </c>
      <c r="AS16" s="30">
        <v>46477.0</v>
      </c>
      <c r="AT16" s="36">
        <v>0.0</v>
      </c>
      <c r="AU16" s="36">
        <v>0.0</v>
      </c>
      <c r="AV16" s="35" t="s">
        <v>7045</v>
      </c>
      <c r="AW16" s="30">
        <v>46478.0</v>
      </c>
      <c r="AX16" s="30">
        <v>46568.0</v>
      </c>
      <c r="AY16" s="36">
        <v>0.0</v>
      </c>
      <c r="AZ16" s="36">
        <v>0.0</v>
      </c>
      <c r="BA16" s="35" t="s">
        <v>7045</v>
      </c>
      <c r="BB16" s="30">
        <v>46569.0</v>
      </c>
      <c r="BC16" s="30">
        <v>46660.0</v>
      </c>
      <c r="BD16" s="36">
        <v>0.0</v>
      </c>
      <c r="BE16" s="36">
        <v>0.0</v>
      </c>
      <c r="BF16" s="35" t="s">
        <v>7045</v>
      </c>
      <c r="BG16" s="30">
        <v>46661.0</v>
      </c>
      <c r="BH16" s="30">
        <v>46752.0</v>
      </c>
      <c r="BI16" s="36">
        <v>0.0</v>
      </c>
      <c r="BJ16" s="36">
        <v>0.0</v>
      </c>
      <c r="BK16" s="35" t="s">
        <v>7045</v>
      </c>
      <c r="BL16" s="30">
        <v>46753.0</v>
      </c>
      <c r="BM16" s="30">
        <v>46843.0</v>
      </c>
      <c r="BN16" s="36">
        <v>0.0</v>
      </c>
      <c r="BO16" s="36">
        <v>0.0</v>
      </c>
      <c r="BP16" s="35" t="s">
        <v>7045</v>
      </c>
      <c r="BQ16" s="30">
        <v>46844.0</v>
      </c>
      <c r="BR16" s="30">
        <v>46934.0</v>
      </c>
      <c r="BS16" s="36">
        <v>0.0</v>
      </c>
      <c r="BT16" s="36">
        <v>0.0</v>
      </c>
      <c r="BU16" s="35" t="s">
        <v>7045</v>
      </c>
      <c r="BV16" s="30">
        <v>46935.0</v>
      </c>
      <c r="BW16" s="30">
        <v>47026.0</v>
      </c>
      <c r="BX16" s="36">
        <v>0.0</v>
      </c>
      <c r="BY16" s="36">
        <v>0.0</v>
      </c>
      <c r="BZ16" s="35" t="s">
        <v>7045</v>
      </c>
      <c r="CA16" s="30">
        <v>47027.0</v>
      </c>
      <c r="CB16" s="30">
        <v>47118.0</v>
      </c>
      <c r="CC16" s="36">
        <v>0.0</v>
      </c>
      <c r="CD16" s="36">
        <v>0.0</v>
      </c>
      <c r="CE16" s="35" t="s">
        <v>7045</v>
      </c>
      <c r="CF16" s="30">
        <v>47119.0</v>
      </c>
      <c r="CG16" s="30">
        <v>47208.0</v>
      </c>
      <c r="CH16" s="36">
        <v>0.0</v>
      </c>
      <c r="CI16" s="36">
        <v>0.0</v>
      </c>
      <c r="CJ16" s="35" t="s">
        <v>7045</v>
      </c>
      <c r="CK16" s="30">
        <v>47209.0</v>
      </c>
      <c r="CL16" s="30">
        <v>47299.0</v>
      </c>
      <c r="CM16" s="36">
        <v>0.0</v>
      </c>
      <c r="CN16" s="36">
        <v>0.0</v>
      </c>
      <c r="CO16" s="35" t="s">
        <v>7045</v>
      </c>
      <c r="CP16" s="30">
        <v>47300.0</v>
      </c>
      <c r="CQ16" s="30">
        <v>47391.0</v>
      </c>
      <c r="CR16" s="36">
        <v>0.0</v>
      </c>
      <c r="CS16" s="36">
        <v>0.0</v>
      </c>
      <c r="CT16" s="35" t="s">
        <v>7045</v>
      </c>
      <c r="CU16" s="30">
        <v>47392.0</v>
      </c>
      <c r="CV16" s="30">
        <v>47483.0</v>
      </c>
      <c r="CW16" s="36">
        <v>0.0</v>
      </c>
      <c r="CX16" s="36">
        <v>0.0</v>
      </c>
      <c r="CY16" s="35" t="s">
        <v>7045</v>
      </c>
      <c r="CZ16" s="30">
        <v>47484.0</v>
      </c>
      <c r="DA16" s="30">
        <v>47573.0</v>
      </c>
      <c r="DB16" s="36">
        <v>0.0</v>
      </c>
      <c r="DC16" s="36">
        <v>0.0</v>
      </c>
      <c r="DD16" s="35" t="s">
        <v>7045</v>
      </c>
      <c r="DE16" s="30">
        <v>47574.0</v>
      </c>
      <c r="DF16" s="30">
        <v>47664.0</v>
      </c>
      <c r="DG16" s="36">
        <v>0.0</v>
      </c>
      <c r="DH16" s="36">
        <v>0.0</v>
      </c>
      <c r="DI16" s="35" t="s">
        <v>7045</v>
      </c>
      <c r="DJ16" s="30">
        <v>47665.0</v>
      </c>
      <c r="DK16" s="30">
        <v>47756.0</v>
      </c>
      <c r="DL16" s="36">
        <v>0.0</v>
      </c>
      <c r="DM16" s="36">
        <v>0.0</v>
      </c>
      <c r="DN16" s="35" t="s">
        <v>7045</v>
      </c>
      <c r="DO16" s="30">
        <v>47757.0</v>
      </c>
      <c r="DP16" s="30">
        <v>47848.0</v>
      </c>
      <c r="DQ16" s="36">
        <v>0.0</v>
      </c>
      <c r="DR16" s="36">
        <v>0.0</v>
      </c>
      <c r="DS16" s="35" t="s">
        <v>7045</v>
      </c>
    </row>
    <row r="17" ht="14.25" customHeight="1">
      <c r="A17" s="28" t="s">
        <v>6432</v>
      </c>
      <c r="B17" s="29" t="s">
        <v>6433</v>
      </c>
      <c r="C17" s="29" t="s">
        <v>7041</v>
      </c>
      <c r="D17" s="30">
        <v>45658.0</v>
      </c>
      <c r="E17" s="30">
        <v>45747.0</v>
      </c>
      <c r="F17" s="39">
        <v>2.44</v>
      </c>
      <c r="G17" s="39">
        <v>0.0</v>
      </c>
      <c r="H17" s="38" t="s">
        <v>7047</v>
      </c>
      <c r="I17" s="30">
        <v>45748.0</v>
      </c>
      <c r="J17" s="30">
        <v>45838.0</v>
      </c>
      <c r="K17" s="39">
        <v>10.08</v>
      </c>
      <c r="L17" s="39">
        <v>1721.21</v>
      </c>
      <c r="M17" s="37" t="s">
        <v>7043</v>
      </c>
      <c r="N17" s="30">
        <v>45839.0</v>
      </c>
      <c r="O17" s="30">
        <v>45930.0</v>
      </c>
      <c r="P17" s="39">
        <v>1015.82</v>
      </c>
      <c r="Q17" s="39">
        <v>2136.36</v>
      </c>
      <c r="R17" s="38" t="s">
        <v>7047</v>
      </c>
      <c r="S17" s="30">
        <v>45931.0</v>
      </c>
      <c r="T17" s="30">
        <v>46022.0</v>
      </c>
      <c r="U17" s="39">
        <v>3208.57</v>
      </c>
      <c r="V17" s="39">
        <v>2363.64</v>
      </c>
      <c r="W17" s="38" t="s">
        <v>7047</v>
      </c>
      <c r="X17" s="30">
        <v>46023.0</v>
      </c>
      <c r="Y17" s="30">
        <v>46112.0</v>
      </c>
      <c r="Z17" s="39">
        <v>992.99</v>
      </c>
      <c r="AA17" s="39">
        <v>0.0</v>
      </c>
      <c r="AB17" s="38" t="s">
        <v>7047</v>
      </c>
      <c r="AC17" s="30">
        <v>46113.0</v>
      </c>
      <c r="AD17" s="30">
        <v>46203.0</v>
      </c>
      <c r="AE17" s="39">
        <v>1124.04</v>
      </c>
      <c r="AF17" s="39">
        <v>0.0</v>
      </c>
      <c r="AG17" s="38" t="s">
        <v>7047</v>
      </c>
      <c r="AH17" s="30">
        <v>46204.0</v>
      </c>
      <c r="AI17" s="30">
        <v>46295.0</v>
      </c>
      <c r="AJ17" s="39">
        <v>575.02</v>
      </c>
      <c r="AK17" s="39">
        <v>0.0</v>
      </c>
      <c r="AL17" s="38" t="s">
        <v>7047</v>
      </c>
      <c r="AM17" s="30">
        <v>46296.0</v>
      </c>
      <c r="AN17" s="30">
        <v>46387.0</v>
      </c>
      <c r="AO17" s="39">
        <v>1396.24</v>
      </c>
      <c r="AP17" s="39">
        <v>0.0</v>
      </c>
      <c r="AQ17" s="38" t="s">
        <v>7047</v>
      </c>
      <c r="AR17" s="30">
        <v>46388.0</v>
      </c>
      <c r="AS17" s="30">
        <v>46477.0</v>
      </c>
      <c r="AT17" s="39">
        <v>0.0</v>
      </c>
      <c r="AU17" s="39">
        <v>0.0</v>
      </c>
      <c r="AV17" s="35" t="s">
        <v>7045</v>
      </c>
      <c r="AW17" s="30">
        <v>46478.0</v>
      </c>
      <c r="AX17" s="30">
        <v>46568.0</v>
      </c>
      <c r="AY17" s="39">
        <v>0.0</v>
      </c>
      <c r="AZ17" s="39">
        <v>0.0</v>
      </c>
      <c r="BA17" s="35" t="s">
        <v>7045</v>
      </c>
      <c r="BB17" s="30">
        <v>46569.0</v>
      </c>
      <c r="BC17" s="30">
        <v>46660.0</v>
      </c>
      <c r="BD17" s="39">
        <v>0.0</v>
      </c>
      <c r="BE17" s="39">
        <v>0.0</v>
      </c>
      <c r="BF17" s="35" t="s">
        <v>7045</v>
      </c>
      <c r="BG17" s="30">
        <v>46661.0</v>
      </c>
      <c r="BH17" s="30">
        <v>46752.0</v>
      </c>
      <c r="BI17" s="39">
        <v>0.0</v>
      </c>
      <c r="BJ17" s="39">
        <v>0.0</v>
      </c>
      <c r="BK17" s="35" t="s">
        <v>7045</v>
      </c>
      <c r="BL17" s="30">
        <v>46753.0</v>
      </c>
      <c r="BM17" s="30">
        <v>46843.0</v>
      </c>
      <c r="BN17" s="39">
        <v>0.0</v>
      </c>
      <c r="BO17" s="39">
        <v>0.0</v>
      </c>
      <c r="BP17" s="35" t="s">
        <v>7045</v>
      </c>
      <c r="BQ17" s="30">
        <v>46844.0</v>
      </c>
      <c r="BR17" s="30">
        <v>46934.0</v>
      </c>
      <c r="BS17" s="39">
        <v>0.0</v>
      </c>
      <c r="BT17" s="39">
        <v>0.0</v>
      </c>
      <c r="BU17" s="35" t="s">
        <v>7045</v>
      </c>
      <c r="BV17" s="30">
        <v>46935.0</v>
      </c>
      <c r="BW17" s="30">
        <v>47026.0</v>
      </c>
      <c r="BX17" s="39">
        <v>0.0</v>
      </c>
      <c r="BY17" s="39">
        <v>0.0</v>
      </c>
      <c r="BZ17" s="35" t="s">
        <v>7045</v>
      </c>
      <c r="CA17" s="30">
        <v>47027.0</v>
      </c>
      <c r="CB17" s="30">
        <v>47118.0</v>
      </c>
      <c r="CC17" s="39">
        <v>0.0</v>
      </c>
      <c r="CD17" s="39">
        <v>0.0</v>
      </c>
      <c r="CE17" s="35" t="s">
        <v>7045</v>
      </c>
      <c r="CF17" s="30">
        <v>47119.0</v>
      </c>
      <c r="CG17" s="30">
        <v>47208.0</v>
      </c>
      <c r="CH17" s="39">
        <v>0.0</v>
      </c>
      <c r="CI17" s="39">
        <v>0.0</v>
      </c>
      <c r="CJ17" s="35" t="s">
        <v>7045</v>
      </c>
      <c r="CK17" s="30">
        <v>47209.0</v>
      </c>
      <c r="CL17" s="30">
        <v>47299.0</v>
      </c>
      <c r="CM17" s="39">
        <v>0.0</v>
      </c>
      <c r="CN17" s="39">
        <v>0.0</v>
      </c>
      <c r="CO17" s="35" t="s">
        <v>7045</v>
      </c>
      <c r="CP17" s="30">
        <v>47300.0</v>
      </c>
      <c r="CQ17" s="30">
        <v>47391.0</v>
      </c>
      <c r="CR17" s="39">
        <v>0.0</v>
      </c>
      <c r="CS17" s="39">
        <v>0.0</v>
      </c>
      <c r="CT17" s="35" t="s">
        <v>7045</v>
      </c>
      <c r="CU17" s="30">
        <v>47392.0</v>
      </c>
      <c r="CV17" s="30">
        <v>47483.0</v>
      </c>
      <c r="CW17" s="39">
        <v>0.0</v>
      </c>
      <c r="CX17" s="39">
        <v>0.0</v>
      </c>
      <c r="CY17" s="35" t="s">
        <v>7045</v>
      </c>
      <c r="CZ17" s="30">
        <v>47484.0</v>
      </c>
      <c r="DA17" s="30">
        <v>47573.0</v>
      </c>
      <c r="DB17" s="39">
        <v>0.0</v>
      </c>
      <c r="DC17" s="39">
        <v>0.0</v>
      </c>
      <c r="DD17" s="35" t="s">
        <v>7045</v>
      </c>
      <c r="DE17" s="30">
        <v>47574.0</v>
      </c>
      <c r="DF17" s="30">
        <v>47664.0</v>
      </c>
      <c r="DG17" s="39">
        <v>0.0</v>
      </c>
      <c r="DH17" s="39">
        <v>0.0</v>
      </c>
      <c r="DI17" s="35" t="s">
        <v>7045</v>
      </c>
      <c r="DJ17" s="30">
        <v>47665.0</v>
      </c>
      <c r="DK17" s="30">
        <v>47756.0</v>
      </c>
      <c r="DL17" s="39">
        <v>0.0</v>
      </c>
      <c r="DM17" s="39">
        <v>0.0</v>
      </c>
      <c r="DN17" s="35" t="s">
        <v>7045</v>
      </c>
      <c r="DO17" s="30">
        <v>47757.0</v>
      </c>
      <c r="DP17" s="30">
        <v>47848.0</v>
      </c>
      <c r="DQ17" s="39">
        <v>0.0</v>
      </c>
      <c r="DR17" s="39">
        <v>0.0</v>
      </c>
      <c r="DS17" s="35" t="s">
        <v>7045</v>
      </c>
    </row>
    <row r="18" ht="14.25" customHeight="1">
      <c r="A18" s="28" t="s">
        <v>184</v>
      </c>
      <c r="B18" s="29" t="s">
        <v>185</v>
      </c>
      <c r="C18" s="29" t="s">
        <v>7041</v>
      </c>
      <c r="D18" s="30">
        <v>45658.0</v>
      </c>
      <c r="E18" s="30">
        <v>45747.0</v>
      </c>
      <c r="F18" s="36">
        <v>44.0</v>
      </c>
      <c r="G18" s="36">
        <v>0.0</v>
      </c>
      <c r="H18" s="38" t="s">
        <v>7047</v>
      </c>
      <c r="I18" s="30">
        <v>45748.0</v>
      </c>
      <c r="J18" s="30">
        <v>45838.0</v>
      </c>
      <c r="K18" s="36">
        <v>29.0</v>
      </c>
      <c r="L18" s="36">
        <v>3416.62</v>
      </c>
      <c r="M18" s="37" t="s">
        <v>7043</v>
      </c>
      <c r="N18" s="30">
        <v>45839.0</v>
      </c>
      <c r="O18" s="30">
        <v>45930.0</v>
      </c>
      <c r="P18" s="36">
        <v>1788.03</v>
      </c>
      <c r="Q18" s="36">
        <v>3416.97</v>
      </c>
      <c r="R18" s="38" t="s">
        <v>7047</v>
      </c>
      <c r="S18" s="30">
        <v>45931.0</v>
      </c>
      <c r="T18" s="30">
        <v>46022.0</v>
      </c>
      <c r="U18" s="36">
        <v>542.99</v>
      </c>
      <c r="V18" s="36">
        <v>3416.97</v>
      </c>
      <c r="W18" s="38" t="s">
        <v>7047</v>
      </c>
      <c r="X18" s="30">
        <v>46023.0</v>
      </c>
      <c r="Y18" s="30">
        <v>46112.0</v>
      </c>
      <c r="Z18" s="36">
        <v>56.8</v>
      </c>
      <c r="AA18" s="36">
        <v>0.0</v>
      </c>
      <c r="AB18" s="38" t="s">
        <v>7047</v>
      </c>
      <c r="AC18" s="30">
        <v>46113.0</v>
      </c>
      <c r="AD18" s="30">
        <v>46203.0</v>
      </c>
      <c r="AE18" s="36">
        <v>79.0</v>
      </c>
      <c r="AF18" s="36">
        <v>0.0</v>
      </c>
      <c r="AG18" s="38" t="s">
        <v>7047</v>
      </c>
      <c r="AH18" s="30">
        <v>46204.0</v>
      </c>
      <c r="AI18" s="30">
        <v>46295.0</v>
      </c>
      <c r="AJ18" s="36">
        <v>0.0</v>
      </c>
      <c r="AK18" s="36">
        <v>0.0</v>
      </c>
      <c r="AL18" s="35" t="s">
        <v>7045</v>
      </c>
      <c r="AM18" s="30">
        <v>46296.0</v>
      </c>
      <c r="AN18" s="30">
        <v>46387.0</v>
      </c>
      <c r="AO18" s="36">
        <v>0.0</v>
      </c>
      <c r="AP18" s="36">
        <v>0.0</v>
      </c>
      <c r="AQ18" s="35" t="s">
        <v>7045</v>
      </c>
      <c r="AR18" s="30">
        <v>46388.0</v>
      </c>
      <c r="AS18" s="30">
        <v>46477.0</v>
      </c>
      <c r="AT18" s="36">
        <v>0.0</v>
      </c>
      <c r="AU18" s="36">
        <v>0.0</v>
      </c>
      <c r="AV18" s="35" t="s">
        <v>7045</v>
      </c>
      <c r="AW18" s="30">
        <v>46478.0</v>
      </c>
      <c r="AX18" s="30">
        <v>46568.0</v>
      </c>
      <c r="AY18" s="36">
        <v>0.0</v>
      </c>
      <c r="AZ18" s="36">
        <v>0.0</v>
      </c>
      <c r="BA18" s="35" t="s">
        <v>7045</v>
      </c>
      <c r="BB18" s="30">
        <v>46569.0</v>
      </c>
      <c r="BC18" s="30">
        <v>46660.0</v>
      </c>
      <c r="BD18" s="36">
        <v>0.0</v>
      </c>
      <c r="BE18" s="36">
        <v>0.0</v>
      </c>
      <c r="BF18" s="35" t="s">
        <v>7045</v>
      </c>
      <c r="BG18" s="30">
        <v>46661.0</v>
      </c>
      <c r="BH18" s="30">
        <v>46752.0</v>
      </c>
      <c r="BI18" s="36">
        <v>0.0</v>
      </c>
      <c r="BJ18" s="36">
        <v>0.0</v>
      </c>
      <c r="BK18" s="35" t="s">
        <v>7045</v>
      </c>
      <c r="BL18" s="30">
        <v>46753.0</v>
      </c>
      <c r="BM18" s="30">
        <v>46843.0</v>
      </c>
      <c r="BN18" s="36">
        <v>0.0</v>
      </c>
      <c r="BO18" s="36">
        <v>0.0</v>
      </c>
      <c r="BP18" s="35" t="s">
        <v>7045</v>
      </c>
      <c r="BQ18" s="30">
        <v>46844.0</v>
      </c>
      <c r="BR18" s="30">
        <v>46934.0</v>
      </c>
      <c r="BS18" s="36">
        <v>0.0</v>
      </c>
      <c r="BT18" s="36">
        <v>0.0</v>
      </c>
      <c r="BU18" s="35" t="s">
        <v>7045</v>
      </c>
      <c r="BV18" s="30">
        <v>46935.0</v>
      </c>
      <c r="BW18" s="30">
        <v>47026.0</v>
      </c>
      <c r="BX18" s="36">
        <v>0.0</v>
      </c>
      <c r="BY18" s="36">
        <v>0.0</v>
      </c>
      <c r="BZ18" s="35" t="s">
        <v>7045</v>
      </c>
      <c r="CA18" s="30">
        <v>47027.0</v>
      </c>
      <c r="CB18" s="30">
        <v>47118.0</v>
      </c>
      <c r="CC18" s="36">
        <v>0.0</v>
      </c>
      <c r="CD18" s="36">
        <v>0.0</v>
      </c>
      <c r="CE18" s="35" t="s">
        <v>7045</v>
      </c>
      <c r="CF18" s="30">
        <v>47119.0</v>
      </c>
      <c r="CG18" s="30">
        <v>47208.0</v>
      </c>
      <c r="CH18" s="36">
        <v>0.0</v>
      </c>
      <c r="CI18" s="36">
        <v>0.0</v>
      </c>
      <c r="CJ18" s="35" t="s">
        <v>7045</v>
      </c>
      <c r="CK18" s="30">
        <v>47209.0</v>
      </c>
      <c r="CL18" s="30">
        <v>47299.0</v>
      </c>
      <c r="CM18" s="36">
        <v>0.0</v>
      </c>
      <c r="CN18" s="36">
        <v>0.0</v>
      </c>
      <c r="CO18" s="35" t="s">
        <v>7045</v>
      </c>
      <c r="CP18" s="30">
        <v>47300.0</v>
      </c>
      <c r="CQ18" s="30">
        <v>47391.0</v>
      </c>
      <c r="CR18" s="36">
        <v>0.0</v>
      </c>
      <c r="CS18" s="36">
        <v>0.0</v>
      </c>
      <c r="CT18" s="35" t="s">
        <v>7045</v>
      </c>
      <c r="CU18" s="30">
        <v>47392.0</v>
      </c>
      <c r="CV18" s="30">
        <v>47483.0</v>
      </c>
      <c r="CW18" s="36">
        <v>0.0</v>
      </c>
      <c r="CX18" s="36">
        <v>0.0</v>
      </c>
      <c r="CY18" s="35" t="s">
        <v>7045</v>
      </c>
      <c r="CZ18" s="30">
        <v>47484.0</v>
      </c>
      <c r="DA18" s="30">
        <v>47573.0</v>
      </c>
      <c r="DB18" s="36">
        <v>0.0</v>
      </c>
      <c r="DC18" s="36">
        <v>0.0</v>
      </c>
      <c r="DD18" s="35" t="s">
        <v>7045</v>
      </c>
      <c r="DE18" s="30">
        <v>47574.0</v>
      </c>
      <c r="DF18" s="30">
        <v>47664.0</v>
      </c>
      <c r="DG18" s="36">
        <v>0.0</v>
      </c>
      <c r="DH18" s="36">
        <v>0.0</v>
      </c>
      <c r="DI18" s="35" t="s">
        <v>7045</v>
      </c>
      <c r="DJ18" s="30">
        <v>47665.0</v>
      </c>
      <c r="DK18" s="30">
        <v>47756.0</v>
      </c>
      <c r="DL18" s="36">
        <v>0.0</v>
      </c>
      <c r="DM18" s="36">
        <v>0.0</v>
      </c>
      <c r="DN18" s="35" t="s">
        <v>7045</v>
      </c>
      <c r="DO18" s="30">
        <v>47757.0</v>
      </c>
      <c r="DP18" s="30">
        <v>47848.0</v>
      </c>
      <c r="DQ18" s="36">
        <v>0.0</v>
      </c>
      <c r="DR18" s="36">
        <v>0.0</v>
      </c>
      <c r="DS18" s="35" t="s">
        <v>7045</v>
      </c>
    </row>
    <row r="19" ht="14.25" customHeight="1">
      <c r="A19" s="28" t="s">
        <v>3203</v>
      </c>
      <c r="B19" s="29" t="s">
        <v>3204</v>
      </c>
      <c r="C19" s="29" t="s">
        <v>7041</v>
      </c>
      <c r="D19" s="30">
        <v>45658.0</v>
      </c>
      <c r="E19" s="30">
        <v>45747.0</v>
      </c>
      <c r="F19" s="36">
        <v>213.13</v>
      </c>
      <c r="G19" s="36">
        <v>0.0</v>
      </c>
      <c r="H19" s="38" t="s">
        <v>7047</v>
      </c>
      <c r="I19" s="30">
        <v>45748.0</v>
      </c>
      <c r="J19" s="30">
        <v>45838.0</v>
      </c>
      <c r="K19" s="36">
        <v>3.53</v>
      </c>
      <c r="L19" s="36">
        <v>570.37</v>
      </c>
      <c r="M19" s="37" t="s">
        <v>7043</v>
      </c>
      <c r="N19" s="30">
        <v>45839.0</v>
      </c>
      <c r="O19" s="30">
        <v>45930.0</v>
      </c>
      <c r="P19" s="36">
        <v>367.97</v>
      </c>
      <c r="Q19" s="36">
        <v>701.85</v>
      </c>
      <c r="R19" s="38" t="s">
        <v>7047</v>
      </c>
      <c r="S19" s="30">
        <v>45931.0</v>
      </c>
      <c r="T19" s="30">
        <v>46022.0</v>
      </c>
      <c r="U19" s="36">
        <v>322.33</v>
      </c>
      <c r="V19" s="36">
        <v>759.25</v>
      </c>
      <c r="W19" s="38" t="s">
        <v>7047</v>
      </c>
      <c r="X19" s="30">
        <v>46023.0</v>
      </c>
      <c r="Y19" s="30">
        <v>46112.0</v>
      </c>
      <c r="Z19" s="36">
        <v>271.93</v>
      </c>
      <c r="AA19" s="36">
        <v>0.0</v>
      </c>
      <c r="AB19" s="38" t="s">
        <v>7047</v>
      </c>
      <c r="AC19" s="30">
        <v>46113.0</v>
      </c>
      <c r="AD19" s="30">
        <v>46203.0</v>
      </c>
      <c r="AE19" s="36">
        <v>462.87</v>
      </c>
      <c r="AF19" s="36">
        <v>0.0</v>
      </c>
      <c r="AG19" s="38" t="s">
        <v>7047</v>
      </c>
      <c r="AH19" s="30">
        <v>46204.0</v>
      </c>
      <c r="AI19" s="30">
        <v>46295.0</v>
      </c>
      <c r="AJ19" s="36">
        <v>0.0</v>
      </c>
      <c r="AK19" s="36">
        <v>0.0</v>
      </c>
      <c r="AL19" s="35" t="s">
        <v>7045</v>
      </c>
      <c r="AM19" s="30">
        <v>46296.0</v>
      </c>
      <c r="AN19" s="30">
        <v>46387.0</v>
      </c>
      <c r="AO19" s="36">
        <v>0.37</v>
      </c>
      <c r="AP19" s="36">
        <v>0.0</v>
      </c>
      <c r="AQ19" s="38" t="s">
        <v>7047</v>
      </c>
      <c r="AR19" s="30">
        <v>46388.0</v>
      </c>
      <c r="AS19" s="30">
        <v>46477.0</v>
      </c>
      <c r="AT19" s="36">
        <v>0.0</v>
      </c>
      <c r="AU19" s="36">
        <v>0.0</v>
      </c>
      <c r="AV19" s="35" t="s">
        <v>7045</v>
      </c>
      <c r="AW19" s="30">
        <v>46478.0</v>
      </c>
      <c r="AX19" s="30">
        <v>46568.0</v>
      </c>
      <c r="AY19" s="36">
        <v>0.0</v>
      </c>
      <c r="AZ19" s="36">
        <v>0.0</v>
      </c>
      <c r="BA19" s="35" t="s">
        <v>7045</v>
      </c>
      <c r="BB19" s="30">
        <v>46569.0</v>
      </c>
      <c r="BC19" s="30">
        <v>46660.0</v>
      </c>
      <c r="BD19" s="36">
        <v>0.0</v>
      </c>
      <c r="BE19" s="36">
        <v>0.0</v>
      </c>
      <c r="BF19" s="35" t="s">
        <v>7045</v>
      </c>
      <c r="BG19" s="30">
        <v>46661.0</v>
      </c>
      <c r="BH19" s="30">
        <v>46752.0</v>
      </c>
      <c r="BI19" s="36">
        <v>0.0</v>
      </c>
      <c r="BJ19" s="36">
        <v>0.0</v>
      </c>
      <c r="BK19" s="35" t="s">
        <v>7045</v>
      </c>
      <c r="BL19" s="30">
        <v>46753.0</v>
      </c>
      <c r="BM19" s="30">
        <v>46843.0</v>
      </c>
      <c r="BN19" s="36">
        <v>0.0</v>
      </c>
      <c r="BO19" s="36">
        <v>0.0</v>
      </c>
      <c r="BP19" s="35" t="s">
        <v>7045</v>
      </c>
      <c r="BQ19" s="30">
        <v>46844.0</v>
      </c>
      <c r="BR19" s="30">
        <v>46934.0</v>
      </c>
      <c r="BS19" s="36">
        <v>0.0</v>
      </c>
      <c r="BT19" s="36">
        <v>0.0</v>
      </c>
      <c r="BU19" s="35" t="s">
        <v>7045</v>
      </c>
      <c r="BV19" s="30">
        <v>46935.0</v>
      </c>
      <c r="BW19" s="30">
        <v>47026.0</v>
      </c>
      <c r="BX19" s="36">
        <v>0.0</v>
      </c>
      <c r="BY19" s="36">
        <v>0.0</v>
      </c>
      <c r="BZ19" s="35" t="s">
        <v>7045</v>
      </c>
      <c r="CA19" s="30">
        <v>47027.0</v>
      </c>
      <c r="CB19" s="30">
        <v>47118.0</v>
      </c>
      <c r="CC19" s="36">
        <v>0.0</v>
      </c>
      <c r="CD19" s="36">
        <v>0.0</v>
      </c>
      <c r="CE19" s="35" t="s">
        <v>7045</v>
      </c>
      <c r="CF19" s="30">
        <v>47119.0</v>
      </c>
      <c r="CG19" s="30">
        <v>47208.0</v>
      </c>
      <c r="CH19" s="36">
        <v>0.0</v>
      </c>
      <c r="CI19" s="36">
        <v>0.0</v>
      </c>
      <c r="CJ19" s="35" t="s">
        <v>7045</v>
      </c>
      <c r="CK19" s="30">
        <v>47209.0</v>
      </c>
      <c r="CL19" s="30">
        <v>47299.0</v>
      </c>
      <c r="CM19" s="36">
        <v>0.0</v>
      </c>
      <c r="CN19" s="36">
        <v>0.0</v>
      </c>
      <c r="CO19" s="35" t="s">
        <v>7045</v>
      </c>
      <c r="CP19" s="30">
        <v>47300.0</v>
      </c>
      <c r="CQ19" s="30">
        <v>47391.0</v>
      </c>
      <c r="CR19" s="36">
        <v>0.0</v>
      </c>
      <c r="CS19" s="36">
        <v>0.0</v>
      </c>
      <c r="CT19" s="35" t="s">
        <v>7045</v>
      </c>
      <c r="CU19" s="30">
        <v>47392.0</v>
      </c>
      <c r="CV19" s="30">
        <v>47483.0</v>
      </c>
      <c r="CW19" s="36">
        <v>0.0</v>
      </c>
      <c r="CX19" s="36">
        <v>0.0</v>
      </c>
      <c r="CY19" s="35" t="s">
        <v>7045</v>
      </c>
      <c r="CZ19" s="30">
        <v>47484.0</v>
      </c>
      <c r="DA19" s="30">
        <v>47573.0</v>
      </c>
      <c r="DB19" s="36">
        <v>0.0</v>
      </c>
      <c r="DC19" s="36">
        <v>0.0</v>
      </c>
      <c r="DD19" s="35" t="s">
        <v>7045</v>
      </c>
      <c r="DE19" s="30">
        <v>47574.0</v>
      </c>
      <c r="DF19" s="30">
        <v>47664.0</v>
      </c>
      <c r="DG19" s="36">
        <v>0.0</v>
      </c>
      <c r="DH19" s="36">
        <v>0.0</v>
      </c>
      <c r="DI19" s="35" t="s">
        <v>7045</v>
      </c>
      <c r="DJ19" s="30">
        <v>47665.0</v>
      </c>
      <c r="DK19" s="30">
        <v>47756.0</v>
      </c>
      <c r="DL19" s="36">
        <v>0.0</v>
      </c>
      <c r="DM19" s="36">
        <v>0.0</v>
      </c>
      <c r="DN19" s="35" t="s">
        <v>7045</v>
      </c>
      <c r="DO19" s="30">
        <v>47757.0</v>
      </c>
      <c r="DP19" s="30">
        <v>47848.0</v>
      </c>
      <c r="DQ19" s="36">
        <v>0.0</v>
      </c>
      <c r="DR19" s="36">
        <v>0.0</v>
      </c>
      <c r="DS19" s="35" t="s">
        <v>7045</v>
      </c>
    </row>
    <row r="20" ht="14.25" customHeight="1">
      <c r="A20" s="28" t="s">
        <v>3966</v>
      </c>
      <c r="B20" s="29" t="s">
        <v>3967</v>
      </c>
      <c r="C20" s="29" t="s">
        <v>7041</v>
      </c>
      <c r="D20" s="30">
        <v>45658.0</v>
      </c>
      <c r="E20" s="30">
        <v>45747.0</v>
      </c>
      <c r="F20" s="36">
        <v>28.38</v>
      </c>
      <c r="G20" s="36">
        <v>0.0</v>
      </c>
      <c r="H20" s="38" t="s">
        <v>7047</v>
      </c>
      <c r="I20" s="30">
        <v>45748.0</v>
      </c>
      <c r="J20" s="30">
        <v>45838.0</v>
      </c>
      <c r="K20" s="36">
        <v>53.57</v>
      </c>
      <c r="L20" s="36">
        <v>464.64</v>
      </c>
      <c r="M20" s="38" t="s">
        <v>7043</v>
      </c>
      <c r="N20" s="30">
        <v>45839.0</v>
      </c>
      <c r="O20" s="30">
        <v>45930.0</v>
      </c>
      <c r="P20" s="36">
        <v>1242.68</v>
      </c>
      <c r="Q20" s="36">
        <v>1706.67</v>
      </c>
      <c r="R20" s="38" t="s">
        <v>7047</v>
      </c>
      <c r="S20" s="30">
        <v>45931.0</v>
      </c>
      <c r="T20" s="30">
        <v>46022.0</v>
      </c>
      <c r="U20" s="36">
        <v>1035.7</v>
      </c>
      <c r="V20" s="36">
        <v>966.65</v>
      </c>
      <c r="W20" s="38" t="s">
        <v>7047</v>
      </c>
      <c r="X20" s="30">
        <v>46023.0</v>
      </c>
      <c r="Y20" s="30">
        <v>46112.0</v>
      </c>
      <c r="Z20" s="36">
        <v>0.0</v>
      </c>
      <c r="AA20" s="36">
        <v>0.0</v>
      </c>
      <c r="AB20" s="35" t="s">
        <v>7045</v>
      </c>
      <c r="AC20" s="30">
        <v>46113.0</v>
      </c>
      <c r="AD20" s="30">
        <v>46203.0</v>
      </c>
      <c r="AE20" s="36">
        <v>56.8</v>
      </c>
      <c r="AF20" s="36">
        <v>0.0</v>
      </c>
      <c r="AG20" s="35" t="s">
        <v>7047</v>
      </c>
      <c r="AH20" s="30">
        <v>46204.0</v>
      </c>
      <c r="AI20" s="30">
        <v>46295.0</v>
      </c>
      <c r="AJ20" s="36">
        <v>276.76</v>
      </c>
      <c r="AK20" s="36">
        <v>0.0</v>
      </c>
      <c r="AL20" s="35" t="s">
        <v>7047</v>
      </c>
      <c r="AM20" s="30">
        <v>46296.0</v>
      </c>
      <c r="AN20" s="30">
        <v>46387.0</v>
      </c>
      <c r="AO20" s="36">
        <v>0.0</v>
      </c>
      <c r="AP20" s="36">
        <v>0.0</v>
      </c>
      <c r="AQ20" s="35" t="s">
        <v>7045</v>
      </c>
      <c r="AR20" s="30">
        <v>46388.0</v>
      </c>
      <c r="AS20" s="30">
        <v>46477.0</v>
      </c>
      <c r="AT20" s="36">
        <v>0.0</v>
      </c>
      <c r="AU20" s="36">
        <v>0.0</v>
      </c>
      <c r="AV20" s="35" t="s">
        <v>7045</v>
      </c>
      <c r="AW20" s="30">
        <v>46478.0</v>
      </c>
      <c r="AX20" s="30">
        <v>46568.0</v>
      </c>
      <c r="AY20" s="36">
        <v>0.0</v>
      </c>
      <c r="AZ20" s="36">
        <v>0.0</v>
      </c>
      <c r="BA20" s="35" t="s">
        <v>7045</v>
      </c>
      <c r="BB20" s="30">
        <v>46569.0</v>
      </c>
      <c r="BC20" s="30">
        <v>46660.0</v>
      </c>
      <c r="BD20" s="36">
        <v>0.0</v>
      </c>
      <c r="BE20" s="36">
        <v>0.0</v>
      </c>
      <c r="BF20" s="35" t="s">
        <v>7045</v>
      </c>
      <c r="BG20" s="30">
        <v>46661.0</v>
      </c>
      <c r="BH20" s="30">
        <v>46752.0</v>
      </c>
      <c r="BI20" s="36">
        <v>0.0</v>
      </c>
      <c r="BJ20" s="36">
        <v>0.0</v>
      </c>
      <c r="BK20" s="35" t="s">
        <v>7045</v>
      </c>
      <c r="BL20" s="30">
        <v>46753.0</v>
      </c>
      <c r="BM20" s="30">
        <v>46843.0</v>
      </c>
      <c r="BN20" s="36">
        <v>0.0</v>
      </c>
      <c r="BO20" s="36">
        <v>0.0</v>
      </c>
      <c r="BP20" s="35" t="s">
        <v>7045</v>
      </c>
      <c r="BQ20" s="30">
        <v>46844.0</v>
      </c>
      <c r="BR20" s="30">
        <v>46934.0</v>
      </c>
      <c r="BS20" s="36">
        <v>0.0</v>
      </c>
      <c r="BT20" s="36">
        <v>0.0</v>
      </c>
      <c r="BU20" s="35" t="s">
        <v>7045</v>
      </c>
      <c r="BV20" s="30">
        <v>46935.0</v>
      </c>
      <c r="BW20" s="30">
        <v>47026.0</v>
      </c>
      <c r="BX20" s="36">
        <v>0.0</v>
      </c>
      <c r="BY20" s="36">
        <v>0.0</v>
      </c>
      <c r="BZ20" s="35" t="s">
        <v>7045</v>
      </c>
      <c r="CA20" s="30">
        <v>47027.0</v>
      </c>
      <c r="CB20" s="30">
        <v>47118.0</v>
      </c>
      <c r="CC20" s="36">
        <v>0.0</v>
      </c>
      <c r="CD20" s="36">
        <v>0.0</v>
      </c>
      <c r="CE20" s="35" t="s">
        <v>7045</v>
      </c>
      <c r="CF20" s="30">
        <v>47119.0</v>
      </c>
      <c r="CG20" s="30">
        <v>47208.0</v>
      </c>
      <c r="CH20" s="36">
        <v>0.0</v>
      </c>
      <c r="CI20" s="36">
        <v>0.0</v>
      </c>
      <c r="CJ20" s="35" t="s">
        <v>7045</v>
      </c>
      <c r="CK20" s="30">
        <v>47209.0</v>
      </c>
      <c r="CL20" s="30">
        <v>47299.0</v>
      </c>
      <c r="CM20" s="36">
        <v>0.0</v>
      </c>
      <c r="CN20" s="36">
        <v>0.0</v>
      </c>
      <c r="CO20" s="35" t="s">
        <v>7045</v>
      </c>
      <c r="CP20" s="30">
        <v>47300.0</v>
      </c>
      <c r="CQ20" s="30">
        <v>47391.0</v>
      </c>
      <c r="CR20" s="36">
        <v>0.0</v>
      </c>
      <c r="CS20" s="36">
        <v>0.0</v>
      </c>
      <c r="CT20" s="35" t="s">
        <v>7045</v>
      </c>
      <c r="CU20" s="30">
        <v>47392.0</v>
      </c>
      <c r="CV20" s="30">
        <v>47483.0</v>
      </c>
      <c r="CW20" s="36">
        <v>0.0</v>
      </c>
      <c r="CX20" s="36">
        <v>0.0</v>
      </c>
      <c r="CY20" s="35" t="s">
        <v>7045</v>
      </c>
      <c r="CZ20" s="30">
        <v>47484.0</v>
      </c>
      <c r="DA20" s="30">
        <v>47573.0</v>
      </c>
      <c r="DB20" s="36">
        <v>0.0</v>
      </c>
      <c r="DC20" s="36">
        <v>0.0</v>
      </c>
      <c r="DD20" s="35" t="s">
        <v>7045</v>
      </c>
      <c r="DE20" s="30">
        <v>47574.0</v>
      </c>
      <c r="DF20" s="30">
        <v>47664.0</v>
      </c>
      <c r="DG20" s="36">
        <v>0.0</v>
      </c>
      <c r="DH20" s="36">
        <v>0.0</v>
      </c>
      <c r="DI20" s="35" t="s">
        <v>7045</v>
      </c>
      <c r="DJ20" s="30">
        <v>47665.0</v>
      </c>
      <c r="DK20" s="30">
        <v>47756.0</v>
      </c>
      <c r="DL20" s="36">
        <v>0.0</v>
      </c>
      <c r="DM20" s="36">
        <v>0.0</v>
      </c>
      <c r="DN20" s="35" t="s">
        <v>7045</v>
      </c>
      <c r="DO20" s="30">
        <v>47757.0</v>
      </c>
      <c r="DP20" s="30">
        <v>47848.0</v>
      </c>
      <c r="DQ20" s="36">
        <v>0.0</v>
      </c>
      <c r="DR20" s="36">
        <v>0.0</v>
      </c>
      <c r="DS20" s="35" t="s">
        <v>7045</v>
      </c>
    </row>
    <row r="21" ht="14.25" customHeight="1">
      <c r="A21" s="28" t="s">
        <v>2007</v>
      </c>
      <c r="B21" s="29" t="s">
        <v>2004</v>
      </c>
      <c r="C21" s="29" t="s">
        <v>7041</v>
      </c>
      <c r="D21" s="30">
        <v>45658.0</v>
      </c>
      <c r="E21" s="30">
        <v>45747.0</v>
      </c>
      <c r="F21" s="36">
        <v>0.33</v>
      </c>
      <c r="G21" s="36">
        <v>0.0</v>
      </c>
      <c r="H21" s="38" t="s">
        <v>7047</v>
      </c>
      <c r="I21" s="30">
        <v>45748.0</v>
      </c>
      <c r="J21" s="30">
        <v>45838.0</v>
      </c>
      <c r="K21" s="36">
        <v>0.64</v>
      </c>
      <c r="L21" s="36">
        <v>969.33</v>
      </c>
      <c r="M21" s="32" t="s">
        <v>7043</v>
      </c>
      <c r="N21" s="30">
        <v>45839.0</v>
      </c>
      <c r="O21" s="30">
        <v>45930.0</v>
      </c>
      <c r="P21" s="36">
        <v>487.98</v>
      </c>
      <c r="Q21" s="36">
        <v>1453.32</v>
      </c>
      <c r="R21" s="38" t="s">
        <v>7047</v>
      </c>
      <c r="S21" s="30">
        <v>45931.0</v>
      </c>
      <c r="T21" s="30">
        <v>46022.0</v>
      </c>
      <c r="U21" s="36">
        <v>131.09</v>
      </c>
      <c r="V21" s="36">
        <v>1453.67</v>
      </c>
      <c r="W21" s="38" t="s">
        <v>7047</v>
      </c>
      <c r="X21" s="30">
        <v>46023.0</v>
      </c>
      <c r="Y21" s="30">
        <v>46112.0</v>
      </c>
      <c r="Z21" s="36">
        <v>349.59</v>
      </c>
      <c r="AA21" s="36">
        <v>0.0</v>
      </c>
      <c r="AB21" s="35" t="s">
        <v>7047</v>
      </c>
      <c r="AC21" s="30">
        <v>46113.0</v>
      </c>
      <c r="AD21" s="30">
        <v>46203.0</v>
      </c>
      <c r="AE21" s="36">
        <v>0.0</v>
      </c>
      <c r="AF21" s="36">
        <v>0.0</v>
      </c>
      <c r="AG21" s="35" t="s">
        <v>7045</v>
      </c>
      <c r="AH21" s="30">
        <v>46204.0</v>
      </c>
      <c r="AI21" s="30">
        <v>46295.0</v>
      </c>
      <c r="AJ21" s="36">
        <v>0.0</v>
      </c>
      <c r="AK21" s="36">
        <v>0.0</v>
      </c>
      <c r="AL21" s="35" t="s">
        <v>7045</v>
      </c>
      <c r="AM21" s="30">
        <v>46296.0</v>
      </c>
      <c r="AN21" s="30">
        <v>46387.0</v>
      </c>
      <c r="AO21" s="36">
        <v>0.0</v>
      </c>
      <c r="AP21" s="36">
        <v>0.0</v>
      </c>
      <c r="AQ21" s="35" t="s">
        <v>7045</v>
      </c>
      <c r="AR21" s="30">
        <v>46388.0</v>
      </c>
      <c r="AS21" s="30">
        <v>46477.0</v>
      </c>
      <c r="AT21" s="36">
        <v>0.0</v>
      </c>
      <c r="AU21" s="36">
        <v>0.0</v>
      </c>
      <c r="AV21" s="35" t="s">
        <v>7045</v>
      </c>
      <c r="AW21" s="30">
        <v>46478.0</v>
      </c>
      <c r="AX21" s="30">
        <v>46568.0</v>
      </c>
      <c r="AY21" s="36">
        <v>0.0</v>
      </c>
      <c r="AZ21" s="36">
        <v>0.0</v>
      </c>
      <c r="BA21" s="35" t="s">
        <v>7045</v>
      </c>
      <c r="BB21" s="30">
        <v>46569.0</v>
      </c>
      <c r="BC21" s="30">
        <v>46660.0</v>
      </c>
      <c r="BD21" s="36">
        <v>0.0</v>
      </c>
      <c r="BE21" s="36">
        <v>0.0</v>
      </c>
      <c r="BF21" s="35" t="s">
        <v>7045</v>
      </c>
      <c r="BG21" s="30">
        <v>46661.0</v>
      </c>
      <c r="BH21" s="30">
        <v>46752.0</v>
      </c>
      <c r="BI21" s="36">
        <v>0.0</v>
      </c>
      <c r="BJ21" s="36">
        <v>0.0</v>
      </c>
      <c r="BK21" s="35" t="s">
        <v>7045</v>
      </c>
      <c r="BL21" s="30">
        <v>46753.0</v>
      </c>
      <c r="BM21" s="30">
        <v>46843.0</v>
      </c>
      <c r="BN21" s="36">
        <v>0.0</v>
      </c>
      <c r="BO21" s="36">
        <v>0.0</v>
      </c>
      <c r="BP21" s="35" t="s">
        <v>7045</v>
      </c>
      <c r="BQ21" s="30">
        <v>46844.0</v>
      </c>
      <c r="BR21" s="30">
        <v>46934.0</v>
      </c>
      <c r="BS21" s="36">
        <v>0.0</v>
      </c>
      <c r="BT21" s="36">
        <v>0.0</v>
      </c>
      <c r="BU21" s="35" t="s">
        <v>7045</v>
      </c>
      <c r="BV21" s="30">
        <v>46935.0</v>
      </c>
      <c r="BW21" s="30">
        <v>47026.0</v>
      </c>
      <c r="BX21" s="36">
        <v>0.0</v>
      </c>
      <c r="BY21" s="36">
        <v>0.0</v>
      </c>
      <c r="BZ21" s="35" t="s">
        <v>7045</v>
      </c>
      <c r="CA21" s="30">
        <v>47027.0</v>
      </c>
      <c r="CB21" s="30">
        <v>47118.0</v>
      </c>
      <c r="CC21" s="36">
        <v>0.0</v>
      </c>
      <c r="CD21" s="36">
        <v>0.0</v>
      </c>
      <c r="CE21" s="35" t="s">
        <v>7045</v>
      </c>
      <c r="CF21" s="30">
        <v>47119.0</v>
      </c>
      <c r="CG21" s="30">
        <v>47208.0</v>
      </c>
      <c r="CH21" s="36">
        <v>0.0</v>
      </c>
      <c r="CI21" s="36">
        <v>0.0</v>
      </c>
      <c r="CJ21" s="35" t="s">
        <v>7045</v>
      </c>
      <c r="CK21" s="30">
        <v>47209.0</v>
      </c>
      <c r="CL21" s="30">
        <v>47299.0</v>
      </c>
      <c r="CM21" s="36">
        <v>0.0</v>
      </c>
      <c r="CN21" s="36">
        <v>0.0</v>
      </c>
      <c r="CO21" s="35" t="s">
        <v>7045</v>
      </c>
      <c r="CP21" s="30">
        <v>47300.0</v>
      </c>
      <c r="CQ21" s="30">
        <v>47391.0</v>
      </c>
      <c r="CR21" s="36">
        <v>0.0</v>
      </c>
      <c r="CS21" s="36">
        <v>0.0</v>
      </c>
      <c r="CT21" s="35" t="s">
        <v>7045</v>
      </c>
      <c r="CU21" s="30">
        <v>47392.0</v>
      </c>
      <c r="CV21" s="30">
        <v>47483.0</v>
      </c>
      <c r="CW21" s="36">
        <v>0.0</v>
      </c>
      <c r="CX21" s="36">
        <v>0.0</v>
      </c>
      <c r="CY21" s="35" t="s">
        <v>7045</v>
      </c>
      <c r="CZ21" s="30">
        <v>47484.0</v>
      </c>
      <c r="DA21" s="30">
        <v>47573.0</v>
      </c>
      <c r="DB21" s="36">
        <v>0.0</v>
      </c>
      <c r="DC21" s="36">
        <v>0.0</v>
      </c>
      <c r="DD21" s="35" t="s">
        <v>7045</v>
      </c>
      <c r="DE21" s="30">
        <v>47574.0</v>
      </c>
      <c r="DF21" s="30">
        <v>47664.0</v>
      </c>
      <c r="DG21" s="36">
        <v>0.0</v>
      </c>
      <c r="DH21" s="36">
        <v>0.0</v>
      </c>
      <c r="DI21" s="35" t="s">
        <v>7045</v>
      </c>
      <c r="DJ21" s="30">
        <v>47665.0</v>
      </c>
      <c r="DK21" s="30">
        <v>47756.0</v>
      </c>
      <c r="DL21" s="36">
        <v>0.0</v>
      </c>
      <c r="DM21" s="36">
        <v>0.0</v>
      </c>
      <c r="DN21" s="35" t="s">
        <v>7045</v>
      </c>
      <c r="DO21" s="30">
        <v>47757.0</v>
      </c>
      <c r="DP21" s="30">
        <v>47848.0</v>
      </c>
      <c r="DQ21" s="36">
        <v>0.0</v>
      </c>
      <c r="DR21" s="36">
        <v>0.0</v>
      </c>
      <c r="DS21" s="35" t="s">
        <v>7045</v>
      </c>
    </row>
    <row r="22" ht="14.25" customHeight="1">
      <c r="A22" s="28" t="s">
        <v>4794</v>
      </c>
      <c r="B22" s="29" t="s">
        <v>4795</v>
      </c>
      <c r="C22" s="29" t="s">
        <v>7041</v>
      </c>
      <c r="D22" s="30">
        <v>45658.0</v>
      </c>
      <c r="E22" s="30">
        <v>45747.0</v>
      </c>
      <c r="F22" s="39">
        <v>2.71</v>
      </c>
      <c r="G22" s="39">
        <v>0.0</v>
      </c>
      <c r="H22" s="38" t="s">
        <v>7047</v>
      </c>
      <c r="I22" s="30">
        <v>45748.0</v>
      </c>
      <c r="J22" s="30">
        <v>45838.0</v>
      </c>
      <c r="K22" s="39">
        <v>48.31</v>
      </c>
      <c r="L22" s="39">
        <v>2000.0</v>
      </c>
      <c r="M22" s="37" t="s">
        <v>7043</v>
      </c>
      <c r="N22" s="30">
        <v>45839.0</v>
      </c>
      <c r="O22" s="30">
        <v>45930.0</v>
      </c>
      <c r="P22" s="39">
        <v>2432.84</v>
      </c>
      <c r="Q22" s="39">
        <v>11800.0</v>
      </c>
      <c r="R22" s="38" t="s">
        <v>7047</v>
      </c>
      <c r="S22" s="30">
        <v>45931.0</v>
      </c>
      <c r="T22" s="30">
        <v>46022.0</v>
      </c>
      <c r="U22" s="39">
        <v>45242.67</v>
      </c>
      <c r="V22" s="39">
        <v>16771.43</v>
      </c>
      <c r="W22" s="38" t="s">
        <v>7047</v>
      </c>
      <c r="X22" s="30">
        <v>46023.0</v>
      </c>
      <c r="Y22" s="30">
        <v>46112.0</v>
      </c>
      <c r="Z22" s="39">
        <v>15982.27</v>
      </c>
      <c r="AA22" s="39">
        <v>0.0</v>
      </c>
      <c r="AB22" s="38" t="s">
        <v>7047</v>
      </c>
      <c r="AC22" s="30">
        <v>46113.0</v>
      </c>
      <c r="AD22" s="30">
        <v>46203.0</v>
      </c>
      <c r="AE22" s="39">
        <v>7149.17</v>
      </c>
      <c r="AF22" s="39">
        <v>0.0</v>
      </c>
      <c r="AG22" s="38" t="s">
        <v>7047</v>
      </c>
      <c r="AH22" s="30">
        <v>46204.0</v>
      </c>
      <c r="AI22" s="30">
        <v>46295.0</v>
      </c>
      <c r="AJ22" s="39">
        <v>842.36</v>
      </c>
      <c r="AK22" s="39">
        <v>0.0</v>
      </c>
      <c r="AL22" s="38" t="s">
        <v>7047</v>
      </c>
      <c r="AM22" s="30">
        <v>46296.0</v>
      </c>
      <c r="AN22" s="30">
        <v>46387.0</v>
      </c>
      <c r="AO22" s="39">
        <v>3460.53</v>
      </c>
      <c r="AP22" s="39">
        <v>0.0</v>
      </c>
      <c r="AQ22" s="38" t="s">
        <v>7047</v>
      </c>
      <c r="AR22" s="30">
        <v>46388.0</v>
      </c>
      <c r="AS22" s="30">
        <v>46477.0</v>
      </c>
      <c r="AT22" s="39">
        <v>0.0</v>
      </c>
      <c r="AU22" s="39">
        <v>0.0</v>
      </c>
      <c r="AV22" s="35" t="s">
        <v>7045</v>
      </c>
      <c r="AW22" s="30">
        <v>46478.0</v>
      </c>
      <c r="AX22" s="30">
        <v>46568.0</v>
      </c>
      <c r="AY22" s="39">
        <v>0.0</v>
      </c>
      <c r="AZ22" s="39">
        <v>0.0</v>
      </c>
      <c r="BA22" s="35" t="s">
        <v>7045</v>
      </c>
      <c r="BB22" s="30">
        <v>46569.0</v>
      </c>
      <c r="BC22" s="30">
        <v>46660.0</v>
      </c>
      <c r="BD22" s="39">
        <v>0.0</v>
      </c>
      <c r="BE22" s="39">
        <v>0.0</v>
      </c>
      <c r="BF22" s="35" t="s">
        <v>7045</v>
      </c>
      <c r="BG22" s="30">
        <v>46661.0</v>
      </c>
      <c r="BH22" s="30">
        <v>46752.0</v>
      </c>
      <c r="BI22" s="39">
        <v>0.0</v>
      </c>
      <c r="BJ22" s="39">
        <v>0.0</v>
      </c>
      <c r="BK22" s="35" t="s">
        <v>7045</v>
      </c>
      <c r="BL22" s="30">
        <v>46753.0</v>
      </c>
      <c r="BM22" s="30">
        <v>46843.0</v>
      </c>
      <c r="BN22" s="39">
        <v>0.0</v>
      </c>
      <c r="BO22" s="39">
        <v>0.0</v>
      </c>
      <c r="BP22" s="35" t="s">
        <v>7045</v>
      </c>
      <c r="BQ22" s="30">
        <v>46844.0</v>
      </c>
      <c r="BR22" s="30">
        <v>46934.0</v>
      </c>
      <c r="BS22" s="39">
        <v>0.0</v>
      </c>
      <c r="BT22" s="39">
        <v>0.0</v>
      </c>
      <c r="BU22" s="35" t="s">
        <v>7045</v>
      </c>
      <c r="BV22" s="30">
        <v>46935.0</v>
      </c>
      <c r="BW22" s="30">
        <v>47026.0</v>
      </c>
      <c r="BX22" s="39">
        <v>0.0</v>
      </c>
      <c r="BY22" s="39">
        <v>0.0</v>
      </c>
      <c r="BZ22" s="35" t="s">
        <v>7045</v>
      </c>
      <c r="CA22" s="30">
        <v>47027.0</v>
      </c>
      <c r="CB22" s="30">
        <v>47118.0</v>
      </c>
      <c r="CC22" s="39">
        <v>0.0</v>
      </c>
      <c r="CD22" s="39">
        <v>0.0</v>
      </c>
      <c r="CE22" s="35" t="s">
        <v>7045</v>
      </c>
      <c r="CF22" s="30">
        <v>47119.0</v>
      </c>
      <c r="CG22" s="30">
        <v>47208.0</v>
      </c>
      <c r="CH22" s="39">
        <v>0.0</v>
      </c>
      <c r="CI22" s="39">
        <v>0.0</v>
      </c>
      <c r="CJ22" s="35" t="s">
        <v>7045</v>
      </c>
      <c r="CK22" s="30">
        <v>47209.0</v>
      </c>
      <c r="CL22" s="30">
        <v>47299.0</v>
      </c>
      <c r="CM22" s="39">
        <v>0.0</v>
      </c>
      <c r="CN22" s="39">
        <v>0.0</v>
      </c>
      <c r="CO22" s="35" t="s">
        <v>7045</v>
      </c>
      <c r="CP22" s="30">
        <v>47300.0</v>
      </c>
      <c r="CQ22" s="30">
        <v>47391.0</v>
      </c>
      <c r="CR22" s="39">
        <v>0.0</v>
      </c>
      <c r="CS22" s="39">
        <v>0.0</v>
      </c>
      <c r="CT22" s="35" t="s">
        <v>7045</v>
      </c>
      <c r="CU22" s="30">
        <v>47392.0</v>
      </c>
      <c r="CV22" s="30">
        <v>47483.0</v>
      </c>
      <c r="CW22" s="39">
        <v>0.0</v>
      </c>
      <c r="CX22" s="39">
        <v>0.0</v>
      </c>
      <c r="CY22" s="35" t="s">
        <v>7045</v>
      </c>
      <c r="CZ22" s="30">
        <v>47484.0</v>
      </c>
      <c r="DA22" s="30">
        <v>47573.0</v>
      </c>
      <c r="DB22" s="39">
        <v>0.0</v>
      </c>
      <c r="DC22" s="39">
        <v>0.0</v>
      </c>
      <c r="DD22" s="35" t="s">
        <v>7045</v>
      </c>
      <c r="DE22" s="30">
        <v>47574.0</v>
      </c>
      <c r="DF22" s="30">
        <v>47664.0</v>
      </c>
      <c r="DG22" s="39">
        <v>0.0</v>
      </c>
      <c r="DH22" s="39">
        <v>0.0</v>
      </c>
      <c r="DI22" s="35" t="s">
        <v>7045</v>
      </c>
      <c r="DJ22" s="30">
        <v>47665.0</v>
      </c>
      <c r="DK22" s="30">
        <v>47756.0</v>
      </c>
      <c r="DL22" s="39">
        <v>0.0</v>
      </c>
      <c r="DM22" s="39">
        <v>0.0</v>
      </c>
      <c r="DN22" s="35" t="s">
        <v>7045</v>
      </c>
      <c r="DO22" s="30">
        <v>47757.0</v>
      </c>
      <c r="DP22" s="30">
        <v>47848.0</v>
      </c>
      <c r="DQ22" s="39">
        <v>0.0</v>
      </c>
      <c r="DR22" s="39">
        <v>0.0</v>
      </c>
      <c r="DS22" s="35" t="s">
        <v>7045</v>
      </c>
    </row>
    <row r="23" ht="14.25" customHeight="1">
      <c r="A23" s="28" t="s">
        <v>5579</v>
      </c>
      <c r="B23" s="29" t="s">
        <v>5580</v>
      </c>
      <c r="C23" s="29" t="s">
        <v>7041</v>
      </c>
      <c r="D23" s="30">
        <v>45658.0</v>
      </c>
      <c r="E23" s="30">
        <v>45747.0</v>
      </c>
      <c r="F23" s="36">
        <v>19.17</v>
      </c>
      <c r="G23" s="36">
        <v>0.0</v>
      </c>
      <c r="H23" s="38" t="s">
        <v>7047</v>
      </c>
      <c r="I23" s="30">
        <v>45748.0</v>
      </c>
      <c r="J23" s="30">
        <v>45838.0</v>
      </c>
      <c r="K23" s="36">
        <v>13.19</v>
      </c>
      <c r="L23" s="36">
        <v>2336.66</v>
      </c>
      <c r="M23" s="38" t="s">
        <v>7043</v>
      </c>
      <c r="N23" s="30">
        <v>45839.0</v>
      </c>
      <c r="O23" s="30">
        <v>45930.0</v>
      </c>
      <c r="P23" s="36">
        <v>6370.78</v>
      </c>
      <c r="Q23" s="36">
        <v>1400.0</v>
      </c>
      <c r="R23" s="38" t="s">
        <v>7047</v>
      </c>
      <c r="S23" s="30">
        <v>45931.0</v>
      </c>
      <c r="T23" s="30">
        <v>46022.0</v>
      </c>
      <c r="U23" s="36">
        <v>280.83</v>
      </c>
      <c r="V23" s="36">
        <v>1716.67</v>
      </c>
      <c r="W23" s="38" t="s">
        <v>7047</v>
      </c>
      <c r="X23" s="30">
        <v>46023.0</v>
      </c>
      <c r="Y23" s="30">
        <v>46112.0</v>
      </c>
      <c r="Z23" s="36">
        <v>186.71</v>
      </c>
      <c r="AA23" s="36">
        <v>0.0</v>
      </c>
      <c r="AB23" s="38" t="s">
        <v>7047</v>
      </c>
      <c r="AC23" s="30">
        <v>46113.0</v>
      </c>
      <c r="AD23" s="30">
        <v>46203.0</v>
      </c>
      <c r="AE23" s="36">
        <v>125.66</v>
      </c>
      <c r="AF23" s="36">
        <v>0.0</v>
      </c>
      <c r="AG23" s="38" t="s">
        <v>7047</v>
      </c>
      <c r="AH23" s="30">
        <v>46204.0</v>
      </c>
      <c r="AI23" s="30">
        <v>46295.0</v>
      </c>
      <c r="AJ23" s="36">
        <v>0.38</v>
      </c>
      <c r="AK23" s="36">
        <v>0.0</v>
      </c>
      <c r="AL23" s="38" t="s">
        <v>7047</v>
      </c>
      <c r="AM23" s="30">
        <v>46296.0</v>
      </c>
      <c r="AN23" s="30">
        <v>46387.0</v>
      </c>
      <c r="AO23" s="36">
        <v>15.82</v>
      </c>
      <c r="AP23" s="36">
        <v>0.0</v>
      </c>
      <c r="AQ23" s="38" t="s">
        <v>7047</v>
      </c>
      <c r="AR23" s="30">
        <v>46388.0</v>
      </c>
      <c r="AS23" s="30">
        <v>46477.0</v>
      </c>
      <c r="AT23" s="36">
        <v>0.0</v>
      </c>
      <c r="AU23" s="36">
        <v>0.0</v>
      </c>
      <c r="AV23" s="35" t="s">
        <v>7045</v>
      </c>
      <c r="AW23" s="30">
        <v>46478.0</v>
      </c>
      <c r="AX23" s="30">
        <v>46568.0</v>
      </c>
      <c r="AY23" s="36">
        <v>0.0</v>
      </c>
      <c r="AZ23" s="36">
        <v>0.0</v>
      </c>
      <c r="BA23" s="35" t="s">
        <v>7045</v>
      </c>
      <c r="BB23" s="30">
        <v>46569.0</v>
      </c>
      <c r="BC23" s="30">
        <v>46660.0</v>
      </c>
      <c r="BD23" s="36">
        <v>0.0</v>
      </c>
      <c r="BE23" s="36">
        <v>0.0</v>
      </c>
      <c r="BF23" s="35" t="s">
        <v>7045</v>
      </c>
      <c r="BG23" s="30">
        <v>46661.0</v>
      </c>
      <c r="BH23" s="30">
        <v>46752.0</v>
      </c>
      <c r="BI23" s="36">
        <v>0.0</v>
      </c>
      <c r="BJ23" s="36">
        <v>0.0</v>
      </c>
      <c r="BK23" s="35" t="s">
        <v>7045</v>
      </c>
      <c r="BL23" s="30">
        <v>46753.0</v>
      </c>
      <c r="BM23" s="30">
        <v>46843.0</v>
      </c>
      <c r="BN23" s="36">
        <v>0.0</v>
      </c>
      <c r="BO23" s="36">
        <v>0.0</v>
      </c>
      <c r="BP23" s="35" t="s">
        <v>7045</v>
      </c>
      <c r="BQ23" s="30">
        <v>46844.0</v>
      </c>
      <c r="BR23" s="30">
        <v>46934.0</v>
      </c>
      <c r="BS23" s="36">
        <v>0.0</v>
      </c>
      <c r="BT23" s="36">
        <v>0.0</v>
      </c>
      <c r="BU23" s="35" t="s">
        <v>7045</v>
      </c>
      <c r="BV23" s="30">
        <v>46935.0</v>
      </c>
      <c r="BW23" s="30">
        <v>47026.0</v>
      </c>
      <c r="BX23" s="36">
        <v>0.0</v>
      </c>
      <c r="BY23" s="36">
        <v>0.0</v>
      </c>
      <c r="BZ23" s="35" t="s">
        <v>7045</v>
      </c>
      <c r="CA23" s="30">
        <v>47027.0</v>
      </c>
      <c r="CB23" s="30">
        <v>47118.0</v>
      </c>
      <c r="CC23" s="36">
        <v>0.0</v>
      </c>
      <c r="CD23" s="36">
        <v>0.0</v>
      </c>
      <c r="CE23" s="35" t="s">
        <v>7045</v>
      </c>
      <c r="CF23" s="30">
        <v>47119.0</v>
      </c>
      <c r="CG23" s="30">
        <v>47208.0</v>
      </c>
      <c r="CH23" s="36">
        <v>0.0</v>
      </c>
      <c r="CI23" s="36">
        <v>0.0</v>
      </c>
      <c r="CJ23" s="35" t="s">
        <v>7045</v>
      </c>
      <c r="CK23" s="30">
        <v>47209.0</v>
      </c>
      <c r="CL23" s="30">
        <v>47299.0</v>
      </c>
      <c r="CM23" s="36">
        <v>0.0</v>
      </c>
      <c r="CN23" s="36">
        <v>0.0</v>
      </c>
      <c r="CO23" s="35" t="s">
        <v>7045</v>
      </c>
      <c r="CP23" s="30">
        <v>47300.0</v>
      </c>
      <c r="CQ23" s="30">
        <v>47391.0</v>
      </c>
      <c r="CR23" s="36">
        <v>0.0</v>
      </c>
      <c r="CS23" s="36">
        <v>0.0</v>
      </c>
      <c r="CT23" s="35" t="s">
        <v>7045</v>
      </c>
      <c r="CU23" s="30">
        <v>47392.0</v>
      </c>
      <c r="CV23" s="30">
        <v>47483.0</v>
      </c>
      <c r="CW23" s="36">
        <v>0.0</v>
      </c>
      <c r="CX23" s="36">
        <v>0.0</v>
      </c>
      <c r="CY23" s="35" t="s">
        <v>7045</v>
      </c>
      <c r="CZ23" s="30">
        <v>47484.0</v>
      </c>
      <c r="DA23" s="30">
        <v>47573.0</v>
      </c>
      <c r="DB23" s="36">
        <v>0.0</v>
      </c>
      <c r="DC23" s="36">
        <v>0.0</v>
      </c>
      <c r="DD23" s="35" t="s">
        <v>7045</v>
      </c>
      <c r="DE23" s="30">
        <v>47574.0</v>
      </c>
      <c r="DF23" s="30">
        <v>47664.0</v>
      </c>
      <c r="DG23" s="36">
        <v>0.0</v>
      </c>
      <c r="DH23" s="36">
        <v>0.0</v>
      </c>
      <c r="DI23" s="35" t="s">
        <v>7045</v>
      </c>
      <c r="DJ23" s="30">
        <v>47665.0</v>
      </c>
      <c r="DK23" s="30">
        <v>47756.0</v>
      </c>
      <c r="DL23" s="36">
        <v>0.0</v>
      </c>
      <c r="DM23" s="36">
        <v>0.0</v>
      </c>
      <c r="DN23" s="35" t="s">
        <v>7045</v>
      </c>
      <c r="DO23" s="30">
        <v>47757.0</v>
      </c>
      <c r="DP23" s="30">
        <v>47848.0</v>
      </c>
      <c r="DQ23" s="36">
        <v>0.0</v>
      </c>
      <c r="DR23" s="36">
        <v>0.0</v>
      </c>
      <c r="DS23" s="35" t="s">
        <v>7045</v>
      </c>
    </row>
    <row r="24" ht="14.25" customHeight="1">
      <c r="A24" s="28" t="s">
        <v>255</v>
      </c>
      <c r="B24" s="29" t="s">
        <v>256</v>
      </c>
      <c r="C24" s="29" t="s">
        <v>7041</v>
      </c>
      <c r="D24" s="30">
        <v>45658.0</v>
      </c>
      <c r="E24" s="30">
        <v>45747.0</v>
      </c>
      <c r="F24" s="39">
        <v>755.0</v>
      </c>
      <c r="G24" s="39">
        <v>0.0</v>
      </c>
      <c r="H24" s="38" t="s">
        <v>7047</v>
      </c>
      <c r="I24" s="30">
        <v>45748.0</v>
      </c>
      <c r="J24" s="30">
        <v>45838.0</v>
      </c>
      <c r="K24" s="39">
        <v>770.0</v>
      </c>
      <c r="L24" s="39">
        <v>0.0</v>
      </c>
      <c r="M24" s="38" t="s">
        <v>7047</v>
      </c>
      <c r="N24" s="30">
        <v>45839.0</v>
      </c>
      <c r="O24" s="30">
        <v>45930.0</v>
      </c>
      <c r="P24" s="39">
        <v>296.0</v>
      </c>
      <c r="Q24" s="39">
        <v>0.0</v>
      </c>
      <c r="R24" s="38" t="s">
        <v>7047</v>
      </c>
      <c r="S24" s="30">
        <v>45931.0</v>
      </c>
      <c r="T24" s="30">
        <v>46022.0</v>
      </c>
      <c r="U24" s="39">
        <v>5.85</v>
      </c>
      <c r="V24" s="39">
        <v>0.0</v>
      </c>
      <c r="W24" s="38" t="s">
        <v>7047</v>
      </c>
      <c r="X24" s="30">
        <v>46023.0</v>
      </c>
      <c r="Y24" s="30">
        <v>46112.0</v>
      </c>
      <c r="Z24" s="39">
        <v>0.0</v>
      </c>
      <c r="AA24" s="39">
        <v>0.0</v>
      </c>
      <c r="AB24" s="35" t="s">
        <v>7045</v>
      </c>
      <c r="AC24" s="30">
        <v>46113.0</v>
      </c>
      <c r="AD24" s="30">
        <v>46203.0</v>
      </c>
      <c r="AE24" s="39">
        <v>20.0</v>
      </c>
      <c r="AF24" s="39">
        <v>0.0</v>
      </c>
      <c r="AG24" s="38" t="s">
        <v>7047</v>
      </c>
      <c r="AH24" s="30">
        <v>46204.0</v>
      </c>
      <c r="AI24" s="30">
        <v>46295.0</v>
      </c>
      <c r="AJ24" s="39">
        <v>0.0</v>
      </c>
      <c r="AK24" s="39">
        <v>0.0</v>
      </c>
      <c r="AL24" s="35" t="s">
        <v>7045</v>
      </c>
      <c r="AM24" s="30">
        <v>46296.0</v>
      </c>
      <c r="AN24" s="30">
        <v>46387.0</v>
      </c>
      <c r="AO24" s="39">
        <v>500.0</v>
      </c>
      <c r="AP24" s="39">
        <v>0.0</v>
      </c>
      <c r="AQ24" s="38" t="s">
        <v>7047</v>
      </c>
      <c r="AR24" s="30">
        <v>46388.0</v>
      </c>
      <c r="AS24" s="30">
        <v>46477.0</v>
      </c>
      <c r="AT24" s="39">
        <v>0.0</v>
      </c>
      <c r="AU24" s="39">
        <v>0.0</v>
      </c>
      <c r="AV24" s="35" t="s">
        <v>7045</v>
      </c>
      <c r="AW24" s="30">
        <v>46478.0</v>
      </c>
      <c r="AX24" s="30">
        <v>46568.0</v>
      </c>
      <c r="AY24" s="39">
        <v>0.0</v>
      </c>
      <c r="AZ24" s="39">
        <v>0.0</v>
      </c>
      <c r="BA24" s="35" t="s">
        <v>7045</v>
      </c>
      <c r="BB24" s="30">
        <v>46569.0</v>
      </c>
      <c r="BC24" s="30">
        <v>46660.0</v>
      </c>
      <c r="BD24" s="39">
        <v>0.0</v>
      </c>
      <c r="BE24" s="39">
        <v>0.0</v>
      </c>
      <c r="BF24" s="35" t="s">
        <v>7045</v>
      </c>
      <c r="BG24" s="30">
        <v>46661.0</v>
      </c>
      <c r="BH24" s="30">
        <v>46752.0</v>
      </c>
      <c r="BI24" s="39">
        <v>0.0</v>
      </c>
      <c r="BJ24" s="39">
        <v>0.0</v>
      </c>
      <c r="BK24" s="35" t="s">
        <v>7045</v>
      </c>
      <c r="BL24" s="30">
        <v>46753.0</v>
      </c>
      <c r="BM24" s="30">
        <v>46843.0</v>
      </c>
      <c r="BN24" s="39">
        <v>0.0</v>
      </c>
      <c r="BO24" s="39">
        <v>0.0</v>
      </c>
      <c r="BP24" s="35" t="s">
        <v>7045</v>
      </c>
      <c r="BQ24" s="30">
        <v>46844.0</v>
      </c>
      <c r="BR24" s="30">
        <v>46934.0</v>
      </c>
      <c r="BS24" s="39">
        <v>0.0</v>
      </c>
      <c r="BT24" s="39">
        <v>0.0</v>
      </c>
      <c r="BU24" s="35" t="s">
        <v>7045</v>
      </c>
      <c r="BV24" s="30">
        <v>46935.0</v>
      </c>
      <c r="BW24" s="30">
        <v>47026.0</v>
      </c>
      <c r="BX24" s="39">
        <v>0.0</v>
      </c>
      <c r="BY24" s="39">
        <v>0.0</v>
      </c>
      <c r="BZ24" s="35" t="s">
        <v>7045</v>
      </c>
      <c r="CA24" s="30">
        <v>47027.0</v>
      </c>
      <c r="CB24" s="30">
        <v>47118.0</v>
      </c>
      <c r="CC24" s="39">
        <v>0.0</v>
      </c>
      <c r="CD24" s="39">
        <v>0.0</v>
      </c>
      <c r="CE24" s="35" t="s">
        <v>7045</v>
      </c>
      <c r="CF24" s="30">
        <v>47119.0</v>
      </c>
      <c r="CG24" s="30">
        <v>47208.0</v>
      </c>
      <c r="CH24" s="39">
        <v>0.0</v>
      </c>
      <c r="CI24" s="39">
        <v>0.0</v>
      </c>
      <c r="CJ24" s="35" t="s">
        <v>7045</v>
      </c>
      <c r="CK24" s="30">
        <v>47209.0</v>
      </c>
      <c r="CL24" s="30">
        <v>47299.0</v>
      </c>
      <c r="CM24" s="39">
        <v>0.0</v>
      </c>
      <c r="CN24" s="39">
        <v>0.0</v>
      </c>
      <c r="CO24" s="35" t="s">
        <v>7045</v>
      </c>
      <c r="CP24" s="30">
        <v>47300.0</v>
      </c>
      <c r="CQ24" s="30">
        <v>47391.0</v>
      </c>
      <c r="CR24" s="39">
        <v>0.0</v>
      </c>
      <c r="CS24" s="39">
        <v>0.0</v>
      </c>
      <c r="CT24" s="35" t="s">
        <v>7045</v>
      </c>
      <c r="CU24" s="30">
        <v>47392.0</v>
      </c>
      <c r="CV24" s="30">
        <v>47483.0</v>
      </c>
      <c r="CW24" s="39">
        <v>0.0</v>
      </c>
      <c r="CX24" s="39">
        <v>0.0</v>
      </c>
      <c r="CY24" s="35" t="s">
        <v>7045</v>
      </c>
      <c r="CZ24" s="30">
        <v>47484.0</v>
      </c>
      <c r="DA24" s="30">
        <v>47573.0</v>
      </c>
      <c r="DB24" s="39">
        <v>0.0</v>
      </c>
      <c r="DC24" s="39">
        <v>0.0</v>
      </c>
      <c r="DD24" s="35" t="s">
        <v>7045</v>
      </c>
      <c r="DE24" s="30">
        <v>47574.0</v>
      </c>
      <c r="DF24" s="30">
        <v>47664.0</v>
      </c>
      <c r="DG24" s="39">
        <v>0.0</v>
      </c>
      <c r="DH24" s="39">
        <v>0.0</v>
      </c>
      <c r="DI24" s="35" t="s">
        <v>7045</v>
      </c>
      <c r="DJ24" s="30">
        <v>47665.0</v>
      </c>
      <c r="DK24" s="30">
        <v>47756.0</v>
      </c>
      <c r="DL24" s="39">
        <v>0.0</v>
      </c>
      <c r="DM24" s="39">
        <v>0.0</v>
      </c>
      <c r="DN24" s="35" t="s">
        <v>7045</v>
      </c>
      <c r="DO24" s="30">
        <v>47757.0</v>
      </c>
      <c r="DP24" s="30">
        <v>47848.0</v>
      </c>
      <c r="DQ24" s="39">
        <v>0.0</v>
      </c>
      <c r="DR24" s="39">
        <v>0.0</v>
      </c>
      <c r="DS24" s="35" t="s">
        <v>7045</v>
      </c>
    </row>
    <row r="25" ht="14.25" customHeight="1">
      <c r="A25" s="28" t="s">
        <v>6657</v>
      </c>
      <c r="B25" s="29" t="s">
        <v>6658</v>
      </c>
      <c r="C25" s="29" t="s">
        <v>7041</v>
      </c>
      <c r="D25" s="30">
        <v>45658.0</v>
      </c>
      <c r="E25" s="30">
        <v>45747.0</v>
      </c>
      <c r="F25" s="36">
        <v>4.04</v>
      </c>
      <c r="G25" s="36">
        <v>0.0</v>
      </c>
      <c r="H25" s="38" t="s">
        <v>7047</v>
      </c>
      <c r="I25" s="30">
        <v>45748.0</v>
      </c>
      <c r="J25" s="30">
        <v>45838.0</v>
      </c>
      <c r="K25" s="36">
        <v>10.96</v>
      </c>
      <c r="L25" s="36">
        <v>1488.09</v>
      </c>
      <c r="M25" s="38" t="s">
        <v>7043</v>
      </c>
      <c r="N25" s="30">
        <v>45839.0</v>
      </c>
      <c r="O25" s="30">
        <v>45930.0</v>
      </c>
      <c r="P25" s="36">
        <v>1814.5</v>
      </c>
      <c r="Q25" s="36">
        <v>1488.09</v>
      </c>
      <c r="R25" s="38" t="s">
        <v>7047</v>
      </c>
      <c r="S25" s="30">
        <v>45931.0</v>
      </c>
      <c r="T25" s="30">
        <v>46022.0</v>
      </c>
      <c r="U25" s="36">
        <v>3415.56</v>
      </c>
      <c r="V25" s="36">
        <v>1488.09</v>
      </c>
      <c r="W25" s="38" t="s">
        <v>7047</v>
      </c>
      <c r="X25" s="30">
        <v>46023.0</v>
      </c>
      <c r="Y25" s="30">
        <v>46112.0</v>
      </c>
      <c r="Z25" s="36">
        <v>147.74</v>
      </c>
      <c r="AA25" s="36">
        <v>0.0</v>
      </c>
      <c r="AB25" s="38" t="s">
        <v>7047</v>
      </c>
      <c r="AC25" s="30">
        <v>46113.0</v>
      </c>
      <c r="AD25" s="30">
        <v>46203.0</v>
      </c>
      <c r="AE25" s="36">
        <v>735.84</v>
      </c>
      <c r="AF25" s="36">
        <v>0.0</v>
      </c>
      <c r="AG25" s="38" t="s">
        <v>7047</v>
      </c>
      <c r="AH25" s="30">
        <v>46204.0</v>
      </c>
      <c r="AI25" s="30">
        <v>46295.0</v>
      </c>
      <c r="AJ25" s="36">
        <v>251.61</v>
      </c>
      <c r="AK25" s="36">
        <v>0.0</v>
      </c>
      <c r="AL25" s="38" t="s">
        <v>7047</v>
      </c>
      <c r="AM25" s="30">
        <v>46296.0</v>
      </c>
      <c r="AN25" s="30">
        <v>46387.0</v>
      </c>
      <c r="AO25" s="36">
        <v>87.86</v>
      </c>
      <c r="AP25" s="36">
        <v>0.0</v>
      </c>
      <c r="AQ25" s="38" t="s">
        <v>7047</v>
      </c>
      <c r="AR25" s="30">
        <v>46388.0</v>
      </c>
      <c r="AS25" s="30">
        <v>46477.0</v>
      </c>
      <c r="AT25" s="36">
        <v>0.0</v>
      </c>
      <c r="AU25" s="36">
        <v>0.0</v>
      </c>
      <c r="AV25" s="35" t="s">
        <v>7045</v>
      </c>
      <c r="AW25" s="30">
        <v>46478.0</v>
      </c>
      <c r="AX25" s="30">
        <v>46568.0</v>
      </c>
      <c r="AY25" s="36">
        <v>0.0</v>
      </c>
      <c r="AZ25" s="36">
        <v>0.0</v>
      </c>
      <c r="BA25" s="35" t="s">
        <v>7045</v>
      </c>
      <c r="BB25" s="30">
        <v>46569.0</v>
      </c>
      <c r="BC25" s="30">
        <v>46660.0</v>
      </c>
      <c r="BD25" s="36">
        <v>0.0</v>
      </c>
      <c r="BE25" s="36">
        <v>0.0</v>
      </c>
      <c r="BF25" s="35" t="s">
        <v>7045</v>
      </c>
      <c r="BG25" s="30">
        <v>46661.0</v>
      </c>
      <c r="BH25" s="30">
        <v>46752.0</v>
      </c>
      <c r="BI25" s="36">
        <v>0.0</v>
      </c>
      <c r="BJ25" s="36">
        <v>0.0</v>
      </c>
      <c r="BK25" s="35" t="s">
        <v>7045</v>
      </c>
      <c r="BL25" s="30">
        <v>46753.0</v>
      </c>
      <c r="BM25" s="30">
        <v>46843.0</v>
      </c>
      <c r="BN25" s="36">
        <v>0.0</v>
      </c>
      <c r="BO25" s="36">
        <v>0.0</v>
      </c>
      <c r="BP25" s="35" t="s">
        <v>7045</v>
      </c>
      <c r="BQ25" s="30">
        <v>46844.0</v>
      </c>
      <c r="BR25" s="30">
        <v>46934.0</v>
      </c>
      <c r="BS25" s="36">
        <v>0.0</v>
      </c>
      <c r="BT25" s="36">
        <v>0.0</v>
      </c>
      <c r="BU25" s="35" t="s">
        <v>7045</v>
      </c>
      <c r="BV25" s="30">
        <v>46935.0</v>
      </c>
      <c r="BW25" s="30">
        <v>47026.0</v>
      </c>
      <c r="BX25" s="36">
        <v>0.0</v>
      </c>
      <c r="BY25" s="36">
        <v>0.0</v>
      </c>
      <c r="BZ25" s="35" t="s">
        <v>7045</v>
      </c>
      <c r="CA25" s="30">
        <v>47027.0</v>
      </c>
      <c r="CB25" s="30">
        <v>47118.0</v>
      </c>
      <c r="CC25" s="36">
        <v>0.0</v>
      </c>
      <c r="CD25" s="36">
        <v>0.0</v>
      </c>
      <c r="CE25" s="35" t="s">
        <v>7045</v>
      </c>
      <c r="CF25" s="30">
        <v>47119.0</v>
      </c>
      <c r="CG25" s="30">
        <v>47208.0</v>
      </c>
      <c r="CH25" s="36">
        <v>0.0</v>
      </c>
      <c r="CI25" s="36">
        <v>0.0</v>
      </c>
      <c r="CJ25" s="35" t="s">
        <v>7045</v>
      </c>
      <c r="CK25" s="30">
        <v>47209.0</v>
      </c>
      <c r="CL25" s="30">
        <v>47299.0</v>
      </c>
      <c r="CM25" s="36">
        <v>0.0</v>
      </c>
      <c r="CN25" s="36">
        <v>0.0</v>
      </c>
      <c r="CO25" s="35" t="s">
        <v>7045</v>
      </c>
      <c r="CP25" s="30">
        <v>47300.0</v>
      </c>
      <c r="CQ25" s="30">
        <v>47391.0</v>
      </c>
      <c r="CR25" s="36">
        <v>0.0</v>
      </c>
      <c r="CS25" s="36">
        <v>0.0</v>
      </c>
      <c r="CT25" s="35" t="s">
        <v>7045</v>
      </c>
      <c r="CU25" s="30">
        <v>47392.0</v>
      </c>
      <c r="CV25" s="30">
        <v>47483.0</v>
      </c>
      <c r="CW25" s="36">
        <v>0.0</v>
      </c>
      <c r="CX25" s="36">
        <v>0.0</v>
      </c>
      <c r="CY25" s="35" t="s">
        <v>7045</v>
      </c>
      <c r="CZ25" s="30">
        <v>47484.0</v>
      </c>
      <c r="DA25" s="30">
        <v>47573.0</v>
      </c>
      <c r="DB25" s="36">
        <v>0.0</v>
      </c>
      <c r="DC25" s="36">
        <v>0.0</v>
      </c>
      <c r="DD25" s="35" t="s">
        <v>7045</v>
      </c>
      <c r="DE25" s="30">
        <v>47574.0</v>
      </c>
      <c r="DF25" s="30">
        <v>47664.0</v>
      </c>
      <c r="DG25" s="36">
        <v>0.0</v>
      </c>
      <c r="DH25" s="36">
        <v>0.0</v>
      </c>
      <c r="DI25" s="35" t="s">
        <v>7045</v>
      </c>
      <c r="DJ25" s="30">
        <v>47665.0</v>
      </c>
      <c r="DK25" s="30">
        <v>47756.0</v>
      </c>
      <c r="DL25" s="36">
        <v>0.0</v>
      </c>
      <c r="DM25" s="36">
        <v>0.0</v>
      </c>
      <c r="DN25" s="35" t="s">
        <v>7045</v>
      </c>
      <c r="DO25" s="30">
        <v>47757.0</v>
      </c>
      <c r="DP25" s="30">
        <v>47848.0</v>
      </c>
      <c r="DQ25" s="36">
        <v>0.0</v>
      </c>
      <c r="DR25" s="36">
        <v>0.0</v>
      </c>
      <c r="DS25" s="35" t="s">
        <v>7045</v>
      </c>
    </row>
    <row r="26" ht="14.25" customHeight="1">
      <c r="A26" s="28" t="s">
        <v>2647</v>
      </c>
      <c r="B26" s="29" t="s">
        <v>2648</v>
      </c>
      <c r="C26" s="29" t="s">
        <v>7041</v>
      </c>
      <c r="D26" s="30">
        <v>45658.0</v>
      </c>
      <c r="E26" s="30">
        <v>45747.0</v>
      </c>
      <c r="F26" s="36">
        <v>15.56</v>
      </c>
      <c r="G26" s="36">
        <v>0.0</v>
      </c>
      <c r="H26" s="38" t="s">
        <v>7047</v>
      </c>
      <c r="I26" s="30">
        <v>45748.0</v>
      </c>
      <c r="J26" s="30">
        <v>45838.0</v>
      </c>
      <c r="K26" s="36">
        <v>19.12</v>
      </c>
      <c r="L26" s="36">
        <v>429.62</v>
      </c>
      <c r="M26" s="38" t="s">
        <v>7043</v>
      </c>
      <c r="N26" s="30">
        <v>45839.0</v>
      </c>
      <c r="O26" s="30">
        <v>45930.0</v>
      </c>
      <c r="P26" s="36">
        <v>1280.1</v>
      </c>
      <c r="Q26" s="36">
        <v>644.44</v>
      </c>
      <c r="R26" s="38" t="s">
        <v>7047</v>
      </c>
      <c r="S26" s="30">
        <v>45931.0</v>
      </c>
      <c r="T26" s="30">
        <v>46022.0</v>
      </c>
      <c r="U26" s="36">
        <v>746.29</v>
      </c>
      <c r="V26" s="36">
        <v>644.44</v>
      </c>
      <c r="W26" s="38" t="s">
        <v>7047</v>
      </c>
      <c r="X26" s="30">
        <v>46023.0</v>
      </c>
      <c r="Y26" s="30">
        <v>46112.0</v>
      </c>
      <c r="Z26" s="36">
        <v>43.09</v>
      </c>
      <c r="AA26" s="36">
        <v>0.0</v>
      </c>
      <c r="AB26" s="38" t="s">
        <v>7047</v>
      </c>
      <c r="AC26" s="30">
        <v>46113.0</v>
      </c>
      <c r="AD26" s="30">
        <v>46203.0</v>
      </c>
      <c r="AE26" s="36">
        <v>26.86</v>
      </c>
      <c r="AF26" s="36">
        <v>0.0</v>
      </c>
      <c r="AG26" s="38" t="s">
        <v>7047</v>
      </c>
      <c r="AH26" s="30">
        <v>46204.0</v>
      </c>
      <c r="AI26" s="30">
        <v>46295.0</v>
      </c>
      <c r="AJ26" s="36">
        <v>153.83</v>
      </c>
      <c r="AK26" s="36">
        <v>0.0</v>
      </c>
      <c r="AL26" s="38" t="s">
        <v>7047</v>
      </c>
      <c r="AM26" s="30">
        <v>46296.0</v>
      </c>
      <c r="AN26" s="30">
        <v>46387.0</v>
      </c>
      <c r="AO26" s="36">
        <v>0.0</v>
      </c>
      <c r="AP26" s="36">
        <v>0.0</v>
      </c>
      <c r="AQ26" s="35" t="s">
        <v>7045</v>
      </c>
      <c r="AR26" s="30">
        <v>46388.0</v>
      </c>
      <c r="AS26" s="30">
        <v>46477.0</v>
      </c>
      <c r="AT26" s="36">
        <v>0.0</v>
      </c>
      <c r="AU26" s="36">
        <v>0.0</v>
      </c>
      <c r="AV26" s="35" t="s">
        <v>7045</v>
      </c>
      <c r="AW26" s="30">
        <v>46478.0</v>
      </c>
      <c r="AX26" s="30">
        <v>46568.0</v>
      </c>
      <c r="AY26" s="36">
        <v>0.0</v>
      </c>
      <c r="AZ26" s="36">
        <v>0.0</v>
      </c>
      <c r="BA26" s="35" t="s">
        <v>7045</v>
      </c>
      <c r="BB26" s="30">
        <v>46569.0</v>
      </c>
      <c r="BC26" s="30">
        <v>46660.0</v>
      </c>
      <c r="BD26" s="36">
        <v>0.0</v>
      </c>
      <c r="BE26" s="36">
        <v>0.0</v>
      </c>
      <c r="BF26" s="35" t="s">
        <v>7045</v>
      </c>
      <c r="BG26" s="30">
        <v>46661.0</v>
      </c>
      <c r="BH26" s="30">
        <v>46752.0</v>
      </c>
      <c r="BI26" s="36">
        <v>0.0</v>
      </c>
      <c r="BJ26" s="36">
        <v>0.0</v>
      </c>
      <c r="BK26" s="35" t="s">
        <v>7045</v>
      </c>
      <c r="BL26" s="30">
        <v>46753.0</v>
      </c>
      <c r="BM26" s="30">
        <v>46843.0</v>
      </c>
      <c r="BN26" s="36">
        <v>0.0</v>
      </c>
      <c r="BO26" s="36">
        <v>0.0</v>
      </c>
      <c r="BP26" s="35" t="s">
        <v>7045</v>
      </c>
      <c r="BQ26" s="30">
        <v>46844.0</v>
      </c>
      <c r="BR26" s="30">
        <v>46934.0</v>
      </c>
      <c r="BS26" s="36">
        <v>0.0</v>
      </c>
      <c r="BT26" s="36">
        <v>0.0</v>
      </c>
      <c r="BU26" s="35" t="s">
        <v>7045</v>
      </c>
      <c r="BV26" s="30">
        <v>46935.0</v>
      </c>
      <c r="BW26" s="30">
        <v>47026.0</v>
      </c>
      <c r="BX26" s="36">
        <v>0.0</v>
      </c>
      <c r="BY26" s="36">
        <v>0.0</v>
      </c>
      <c r="BZ26" s="35" t="s">
        <v>7045</v>
      </c>
      <c r="CA26" s="30">
        <v>47027.0</v>
      </c>
      <c r="CB26" s="30">
        <v>47118.0</v>
      </c>
      <c r="CC26" s="36">
        <v>0.0</v>
      </c>
      <c r="CD26" s="36">
        <v>0.0</v>
      </c>
      <c r="CE26" s="35" t="s">
        <v>7045</v>
      </c>
      <c r="CF26" s="30">
        <v>47119.0</v>
      </c>
      <c r="CG26" s="30">
        <v>47208.0</v>
      </c>
      <c r="CH26" s="36">
        <v>0.0</v>
      </c>
      <c r="CI26" s="36">
        <v>0.0</v>
      </c>
      <c r="CJ26" s="35" t="s">
        <v>7045</v>
      </c>
      <c r="CK26" s="30">
        <v>47209.0</v>
      </c>
      <c r="CL26" s="30">
        <v>47299.0</v>
      </c>
      <c r="CM26" s="36">
        <v>0.0</v>
      </c>
      <c r="CN26" s="36">
        <v>0.0</v>
      </c>
      <c r="CO26" s="35" t="s">
        <v>7045</v>
      </c>
      <c r="CP26" s="30">
        <v>47300.0</v>
      </c>
      <c r="CQ26" s="30">
        <v>47391.0</v>
      </c>
      <c r="CR26" s="36">
        <v>0.0</v>
      </c>
      <c r="CS26" s="36">
        <v>0.0</v>
      </c>
      <c r="CT26" s="35" t="s">
        <v>7045</v>
      </c>
      <c r="CU26" s="30">
        <v>47392.0</v>
      </c>
      <c r="CV26" s="30">
        <v>47483.0</v>
      </c>
      <c r="CW26" s="36">
        <v>0.0</v>
      </c>
      <c r="CX26" s="36">
        <v>0.0</v>
      </c>
      <c r="CY26" s="35" t="s">
        <v>7045</v>
      </c>
      <c r="CZ26" s="30">
        <v>47484.0</v>
      </c>
      <c r="DA26" s="30">
        <v>47573.0</v>
      </c>
      <c r="DB26" s="36">
        <v>0.0</v>
      </c>
      <c r="DC26" s="36">
        <v>0.0</v>
      </c>
      <c r="DD26" s="35" t="s">
        <v>7045</v>
      </c>
      <c r="DE26" s="30">
        <v>47574.0</v>
      </c>
      <c r="DF26" s="30">
        <v>47664.0</v>
      </c>
      <c r="DG26" s="36">
        <v>0.0</v>
      </c>
      <c r="DH26" s="36">
        <v>0.0</v>
      </c>
      <c r="DI26" s="35" t="s">
        <v>7045</v>
      </c>
      <c r="DJ26" s="30">
        <v>47665.0</v>
      </c>
      <c r="DK26" s="30">
        <v>47756.0</v>
      </c>
      <c r="DL26" s="36">
        <v>0.0</v>
      </c>
      <c r="DM26" s="36">
        <v>0.0</v>
      </c>
      <c r="DN26" s="35" t="s">
        <v>7045</v>
      </c>
      <c r="DO26" s="30">
        <v>47757.0</v>
      </c>
      <c r="DP26" s="30">
        <v>47848.0</v>
      </c>
      <c r="DQ26" s="36">
        <v>0.0</v>
      </c>
      <c r="DR26" s="36">
        <v>0.0</v>
      </c>
      <c r="DS26" s="35" t="s">
        <v>7045</v>
      </c>
    </row>
    <row r="27" ht="14.25" customHeight="1">
      <c r="A27" s="28" t="s">
        <v>3123</v>
      </c>
      <c r="B27" s="29" t="s">
        <v>3124</v>
      </c>
      <c r="C27" s="29" t="s">
        <v>7041</v>
      </c>
      <c r="D27" s="30">
        <v>45658.0</v>
      </c>
      <c r="E27" s="30">
        <v>45747.0</v>
      </c>
      <c r="F27" s="36">
        <v>440.0</v>
      </c>
      <c r="G27" s="36">
        <v>0.0</v>
      </c>
      <c r="H27" s="38" t="s">
        <v>7047</v>
      </c>
      <c r="I27" s="30">
        <v>45748.0</v>
      </c>
      <c r="J27" s="30">
        <v>45838.0</v>
      </c>
      <c r="K27" s="36">
        <v>171.56</v>
      </c>
      <c r="L27" s="36">
        <v>1017.84</v>
      </c>
      <c r="M27" s="37" t="s">
        <v>7043</v>
      </c>
      <c r="N27" s="30">
        <v>45839.0</v>
      </c>
      <c r="O27" s="30">
        <v>45930.0</v>
      </c>
      <c r="P27" s="36">
        <v>504.19</v>
      </c>
      <c r="Q27" s="36">
        <v>1517.85</v>
      </c>
      <c r="R27" s="38" t="s">
        <v>7047</v>
      </c>
      <c r="S27" s="30">
        <v>45931.0</v>
      </c>
      <c r="T27" s="30">
        <v>46022.0</v>
      </c>
      <c r="U27" s="36">
        <v>954.99</v>
      </c>
      <c r="V27" s="36">
        <v>1571.42</v>
      </c>
      <c r="W27" s="38" t="s">
        <v>7047</v>
      </c>
      <c r="X27" s="30">
        <v>46023.0</v>
      </c>
      <c r="Y27" s="30">
        <v>46112.0</v>
      </c>
      <c r="Z27" s="36">
        <v>140.0</v>
      </c>
      <c r="AA27" s="36">
        <v>0.0</v>
      </c>
      <c r="AB27" s="38" t="s">
        <v>7047</v>
      </c>
      <c r="AC27" s="30">
        <v>46113.0</v>
      </c>
      <c r="AD27" s="30">
        <v>46203.0</v>
      </c>
      <c r="AE27" s="36">
        <v>704.99</v>
      </c>
      <c r="AF27" s="36">
        <v>0.0</v>
      </c>
      <c r="AG27" s="35" t="s">
        <v>7047</v>
      </c>
      <c r="AH27" s="30">
        <v>46204.0</v>
      </c>
      <c r="AI27" s="30">
        <v>46295.0</v>
      </c>
      <c r="AJ27" s="36">
        <v>286.5</v>
      </c>
      <c r="AK27" s="36">
        <v>0.0</v>
      </c>
      <c r="AL27" s="35" t="s">
        <v>7047</v>
      </c>
      <c r="AM27" s="30">
        <v>46296.0</v>
      </c>
      <c r="AN27" s="30">
        <v>46387.0</v>
      </c>
      <c r="AO27" s="36">
        <v>630.0</v>
      </c>
      <c r="AP27" s="36">
        <v>0.0</v>
      </c>
      <c r="AQ27" s="38" t="s">
        <v>7047</v>
      </c>
      <c r="AR27" s="30">
        <v>46388.0</v>
      </c>
      <c r="AS27" s="30">
        <v>46477.0</v>
      </c>
      <c r="AT27" s="36">
        <v>0.0</v>
      </c>
      <c r="AU27" s="36">
        <v>0.0</v>
      </c>
      <c r="AV27" s="35" t="s">
        <v>7045</v>
      </c>
      <c r="AW27" s="30">
        <v>46478.0</v>
      </c>
      <c r="AX27" s="30">
        <v>46568.0</v>
      </c>
      <c r="AY27" s="36">
        <v>0.0</v>
      </c>
      <c r="AZ27" s="36">
        <v>0.0</v>
      </c>
      <c r="BA27" s="35" t="s">
        <v>7045</v>
      </c>
      <c r="BB27" s="30">
        <v>46569.0</v>
      </c>
      <c r="BC27" s="30">
        <v>46660.0</v>
      </c>
      <c r="BD27" s="36">
        <v>0.0</v>
      </c>
      <c r="BE27" s="36">
        <v>0.0</v>
      </c>
      <c r="BF27" s="35" t="s">
        <v>7045</v>
      </c>
      <c r="BG27" s="30">
        <v>46661.0</v>
      </c>
      <c r="BH27" s="30">
        <v>46752.0</v>
      </c>
      <c r="BI27" s="36">
        <v>0.0</v>
      </c>
      <c r="BJ27" s="36">
        <v>0.0</v>
      </c>
      <c r="BK27" s="35" t="s">
        <v>7045</v>
      </c>
      <c r="BL27" s="30">
        <v>46753.0</v>
      </c>
      <c r="BM27" s="30">
        <v>46843.0</v>
      </c>
      <c r="BN27" s="36">
        <v>0.0</v>
      </c>
      <c r="BO27" s="36">
        <v>0.0</v>
      </c>
      <c r="BP27" s="35" t="s">
        <v>7045</v>
      </c>
      <c r="BQ27" s="30">
        <v>46844.0</v>
      </c>
      <c r="BR27" s="30">
        <v>46934.0</v>
      </c>
      <c r="BS27" s="36">
        <v>0.0</v>
      </c>
      <c r="BT27" s="36">
        <v>0.0</v>
      </c>
      <c r="BU27" s="35" t="s">
        <v>7045</v>
      </c>
      <c r="BV27" s="30">
        <v>46935.0</v>
      </c>
      <c r="BW27" s="30">
        <v>47026.0</v>
      </c>
      <c r="BX27" s="36">
        <v>0.0</v>
      </c>
      <c r="BY27" s="36">
        <v>0.0</v>
      </c>
      <c r="BZ27" s="35" t="s">
        <v>7045</v>
      </c>
      <c r="CA27" s="30">
        <v>47027.0</v>
      </c>
      <c r="CB27" s="30">
        <v>47118.0</v>
      </c>
      <c r="CC27" s="36">
        <v>0.0</v>
      </c>
      <c r="CD27" s="36">
        <v>0.0</v>
      </c>
      <c r="CE27" s="35" t="s">
        <v>7045</v>
      </c>
      <c r="CF27" s="30">
        <v>47119.0</v>
      </c>
      <c r="CG27" s="30">
        <v>47208.0</v>
      </c>
      <c r="CH27" s="36">
        <v>0.0</v>
      </c>
      <c r="CI27" s="36">
        <v>0.0</v>
      </c>
      <c r="CJ27" s="35" t="s">
        <v>7045</v>
      </c>
      <c r="CK27" s="30">
        <v>47209.0</v>
      </c>
      <c r="CL27" s="30">
        <v>47299.0</v>
      </c>
      <c r="CM27" s="36">
        <v>0.0</v>
      </c>
      <c r="CN27" s="36">
        <v>0.0</v>
      </c>
      <c r="CO27" s="35" t="s">
        <v>7045</v>
      </c>
      <c r="CP27" s="30">
        <v>47300.0</v>
      </c>
      <c r="CQ27" s="30">
        <v>47391.0</v>
      </c>
      <c r="CR27" s="36">
        <v>0.0</v>
      </c>
      <c r="CS27" s="36">
        <v>0.0</v>
      </c>
      <c r="CT27" s="35" t="s">
        <v>7045</v>
      </c>
      <c r="CU27" s="30">
        <v>47392.0</v>
      </c>
      <c r="CV27" s="30">
        <v>47483.0</v>
      </c>
      <c r="CW27" s="36">
        <v>0.0</v>
      </c>
      <c r="CX27" s="36">
        <v>0.0</v>
      </c>
      <c r="CY27" s="35" t="s">
        <v>7045</v>
      </c>
      <c r="CZ27" s="30">
        <v>47484.0</v>
      </c>
      <c r="DA27" s="30">
        <v>47573.0</v>
      </c>
      <c r="DB27" s="36">
        <v>0.0</v>
      </c>
      <c r="DC27" s="36">
        <v>0.0</v>
      </c>
      <c r="DD27" s="35" t="s">
        <v>7045</v>
      </c>
      <c r="DE27" s="30">
        <v>47574.0</v>
      </c>
      <c r="DF27" s="30">
        <v>47664.0</v>
      </c>
      <c r="DG27" s="36">
        <v>0.0</v>
      </c>
      <c r="DH27" s="36">
        <v>0.0</v>
      </c>
      <c r="DI27" s="35" t="s">
        <v>7045</v>
      </c>
      <c r="DJ27" s="30">
        <v>47665.0</v>
      </c>
      <c r="DK27" s="30">
        <v>47756.0</v>
      </c>
      <c r="DL27" s="36">
        <v>0.0</v>
      </c>
      <c r="DM27" s="36">
        <v>0.0</v>
      </c>
      <c r="DN27" s="35" t="s">
        <v>7045</v>
      </c>
      <c r="DO27" s="30">
        <v>47757.0</v>
      </c>
      <c r="DP27" s="30">
        <v>47848.0</v>
      </c>
      <c r="DQ27" s="36">
        <v>0.0</v>
      </c>
      <c r="DR27" s="36">
        <v>0.0</v>
      </c>
      <c r="DS27" s="35" t="s">
        <v>7045</v>
      </c>
    </row>
    <row r="28" ht="14.25" customHeight="1">
      <c r="A28" s="28" t="s">
        <v>6092</v>
      </c>
      <c r="B28" s="29" t="s">
        <v>6093</v>
      </c>
      <c r="C28" s="29" t="s">
        <v>7041</v>
      </c>
      <c r="D28" s="30">
        <v>45658.0</v>
      </c>
      <c r="E28" s="30">
        <v>45747.0</v>
      </c>
      <c r="F28" s="39">
        <v>22.63</v>
      </c>
      <c r="G28" s="39">
        <v>0.0</v>
      </c>
      <c r="H28" s="38" t="s">
        <v>7047</v>
      </c>
      <c r="I28" s="30">
        <v>45748.0</v>
      </c>
      <c r="J28" s="30">
        <v>45838.0</v>
      </c>
      <c r="K28" s="39">
        <v>89.34</v>
      </c>
      <c r="L28" s="39">
        <v>0.0</v>
      </c>
      <c r="M28" s="38" t="s">
        <v>7047</v>
      </c>
      <c r="N28" s="30">
        <v>45839.0</v>
      </c>
      <c r="O28" s="30">
        <v>45930.0</v>
      </c>
      <c r="P28" s="39">
        <v>1387.58</v>
      </c>
      <c r="Q28" s="39">
        <v>3006.33</v>
      </c>
      <c r="R28" s="38" t="s">
        <v>7047</v>
      </c>
      <c r="S28" s="30">
        <v>45931.0</v>
      </c>
      <c r="T28" s="30">
        <v>46022.0</v>
      </c>
      <c r="U28" s="39">
        <v>4689.95</v>
      </c>
      <c r="V28" s="39">
        <v>3006.33</v>
      </c>
      <c r="W28" s="38" t="s">
        <v>7047</v>
      </c>
      <c r="X28" s="30">
        <v>46023.0</v>
      </c>
      <c r="Y28" s="30">
        <v>46112.0</v>
      </c>
      <c r="Z28" s="39">
        <v>569.95</v>
      </c>
      <c r="AA28" s="39">
        <v>0.0</v>
      </c>
      <c r="AB28" s="38" t="s">
        <v>7047</v>
      </c>
      <c r="AC28" s="30">
        <v>46113.0</v>
      </c>
      <c r="AD28" s="30">
        <v>46203.0</v>
      </c>
      <c r="AE28" s="39">
        <v>1171.63</v>
      </c>
      <c r="AF28" s="39">
        <v>0.0</v>
      </c>
      <c r="AG28" s="38" t="s">
        <v>7047</v>
      </c>
      <c r="AH28" s="30">
        <v>46204.0</v>
      </c>
      <c r="AI28" s="30">
        <v>46295.0</v>
      </c>
      <c r="AJ28" s="39">
        <v>1939.9</v>
      </c>
      <c r="AK28" s="39">
        <v>0.0</v>
      </c>
      <c r="AL28" s="38" t="s">
        <v>7047</v>
      </c>
      <c r="AM28" s="30">
        <v>46296.0</v>
      </c>
      <c r="AN28" s="30">
        <v>46387.0</v>
      </c>
      <c r="AO28" s="39">
        <v>51.31</v>
      </c>
      <c r="AP28" s="39">
        <v>0.0</v>
      </c>
      <c r="AQ28" s="38" t="s">
        <v>7047</v>
      </c>
      <c r="AR28" s="30">
        <v>46388.0</v>
      </c>
      <c r="AS28" s="30">
        <v>46477.0</v>
      </c>
      <c r="AT28" s="39">
        <v>0.0</v>
      </c>
      <c r="AU28" s="39">
        <v>0.0</v>
      </c>
      <c r="AV28" s="35" t="s">
        <v>7045</v>
      </c>
      <c r="AW28" s="30">
        <v>46478.0</v>
      </c>
      <c r="AX28" s="30">
        <v>46568.0</v>
      </c>
      <c r="AY28" s="39">
        <v>0.0</v>
      </c>
      <c r="AZ28" s="39">
        <v>0.0</v>
      </c>
      <c r="BA28" s="35" t="s">
        <v>7045</v>
      </c>
      <c r="BB28" s="30">
        <v>46569.0</v>
      </c>
      <c r="BC28" s="30">
        <v>46660.0</v>
      </c>
      <c r="BD28" s="39">
        <v>0.0</v>
      </c>
      <c r="BE28" s="39">
        <v>0.0</v>
      </c>
      <c r="BF28" s="35" t="s">
        <v>7045</v>
      </c>
      <c r="BG28" s="30">
        <v>46661.0</v>
      </c>
      <c r="BH28" s="30">
        <v>46752.0</v>
      </c>
      <c r="BI28" s="39">
        <v>0.0</v>
      </c>
      <c r="BJ28" s="39">
        <v>0.0</v>
      </c>
      <c r="BK28" s="35" t="s">
        <v>7045</v>
      </c>
      <c r="BL28" s="30">
        <v>46753.0</v>
      </c>
      <c r="BM28" s="30">
        <v>46843.0</v>
      </c>
      <c r="BN28" s="39">
        <v>0.0</v>
      </c>
      <c r="BO28" s="39">
        <v>0.0</v>
      </c>
      <c r="BP28" s="35" t="s">
        <v>7045</v>
      </c>
      <c r="BQ28" s="30">
        <v>46844.0</v>
      </c>
      <c r="BR28" s="30">
        <v>46934.0</v>
      </c>
      <c r="BS28" s="39">
        <v>0.0</v>
      </c>
      <c r="BT28" s="39">
        <v>0.0</v>
      </c>
      <c r="BU28" s="35" t="s">
        <v>7045</v>
      </c>
      <c r="BV28" s="30">
        <v>46935.0</v>
      </c>
      <c r="BW28" s="30">
        <v>47026.0</v>
      </c>
      <c r="BX28" s="39">
        <v>0.0</v>
      </c>
      <c r="BY28" s="39">
        <v>0.0</v>
      </c>
      <c r="BZ28" s="35" t="s">
        <v>7045</v>
      </c>
      <c r="CA28" s="30">
        <v>47027.0</v>
      </c>
      <c r="CB28" s="30">
        <v>47118.0</v>
      </c>
      <c r="CC28" s="39">
        <v>0.0</v>
      </c>
      <c r="CD28" s="39">
        <v>0.0</v>
      </c>
      <c r="CE28" s="35" t="s">
        <v>7045</v>
      </c>
      <c r="CF28" s="30">
        <v>47119.0</v>
      </c>
      <c r="CG28" s="30">
        <v>47208.0</v>
      </c>
      <c r="CH28" s="39">
        <v>0.0</v>
      </c>
      <c r="CI28" s="39">
        <v>0.0</v>
      </c>
      <c r="CJ28" s="35" t="s">
        <v>7045</v>
      </c>
      <c r="CK28" s="30">
        <v>47209.0</v>
      </c>
      <c r="CL28" s="30">
        <v>47299.0</v>
      </c>
      <c r="CM28" s="39">
        <v>0.0</v>
      </c>
      <c r="CN28" s="39">
        <v>0.0</v>
      </c>
      <c r="CO28" s="35" t="s">
        <v>7045</v>
      </c>
      <c r="CP28" s="30">
        <v>47300.0</v>
      </c>
      <c r="CQ28" s="30">
        <v>47391.0</v>
      </c>
      <c r="CR28" s="39">
        <v>0.0</v>
      </c>
      <c r="CS28" s="39">
        <v>0.0</v>
      </c>
      <c r="CT28" s="35" t="s">
        <v>7045</v>
      </c>
      <c r="CU28" s="30">
        <v>47392.0</v>
      </c>
      <c r="CV28" s="30">
        <v>47483.0</v>
      </c>
      <c r="CW28" s="39">
        <v>0.0</v>
      </c>
      <c r="CX28" s="39">
        <v>0.0</v>
      </c>
      <c r="CY28" s="35" t="s">
        <v>7045</v>
      </c>
      <c r="CZ28" s="30">
        <v>47484.0</v>
      </c>
      <c r="DA28" s="30">
        <v>47573.0</v>
      </c>
      <c r="DB28" s="39">
        <v>0.0</v>
      </c>
      <c r="DC28" s="39">
        <v>0.0</v>
      </c>
      <c r="DD28" s="35" t="s">
        <v>7045</v>
      </c>
      <c r="DE28" s="30">
        <v>47574.0</v>
      </c>
      <c r="DF28" s="30">
        <v>47664.0</v>
      </c>
      <c r="DG28" s="39">
        <v>0.0</v>
      </c>
      <c r="DH28" s="39">
        <v>0.0</v>
      </c>
      <c r="DI28" s="35" t="s">
        <v>7045</v>
      </c>
      <c r="DJ28" s="30">
        <v>47665.0</v>
      </c>
      <c r="DK28" s="30">
        <v>47756.0</v>
      </c>
      <c r="DL28" s="39">
        <v>0.0</v>
      </c>
      <c r="DM28" s="39">
        <v>0.0</v>
      </c>
      <c r="DN28" s="35" t="s">
        <v>7045</v>
      </c>
      <c r="DO28" s="30">
        <v>47757.0</v>
      </c>
      <c r="DP28" s="30">
        <v>47848.0</v>
      </c>
      <c r="DQ28" s="39">
        <v>0.0</v>
      </c>
      <c r="DR28" s="39">
        <v>0.0</v>
      </c>
      <c r="DS28" s="35" t="s">
        <v>7045</v>
      </c>
    </row>
    <row r="29" ht="14.25" customHeight="1">
      <c r="A29" s="28" t="s">
        <v>6391</v>
      </c>
      <c r="B29" s="29" t="s">
        <v>6392</v>
      </c>
      <c r="C29" s="29" t="s">
        <v>7041</v>
      </c>
      <c r="D29" s="30">
        <v>45658.0</v>
      </c>
      <c r="E29" s="30">
        <v>45747.0</v>
      </c>
      <c r="F29" s="39">
        <v>0.0</v>
      </c>
      <c r="G29" s="39">
        <v>0.0</v>
      </c>
      <c r="H29" s="32" t="s">
        <v>7043</v>
      </c>
      <c r="I29" s="30">
        <v>45748.0</v>
      </c>
      <c r="J29" s="30">
        <v>45838.0</v>
      </c>
      <c r="K29" s="39">
        <v>2.0</v>
      </c>
      <c r="L29" s="39">
        <v>0.0</v>
      </c>
      <c r="M29" s="38" t="s">
        <v>7047</v>
      </c>
      <c r="N29" s="30">
        <v>45839.0</v>
      </c>
      <c r="O29" s="30">
        <v>45930.0</v>
      </c>
      <c r="P29" s="39">
        <v>55.19</v>
      </c>
      <c r="Q29" s="39">
        <v>0.0</v>
      </c>
      <c r="R29" s="38" t="s">
        <v>7047</v>
      </c>
      <c r="S29" s="30">
        <v>45931.0</v>
      </c>
      <c r="T29" s="30">
        <v>46022.0</v>
      </c>
      <c r="U29" s="39">
        <v>7.4</v>
      </c>
      <c r="V29" s="39">
        <v>0.0</v>
      </c>
      <c r="W29" s="35" t="s">
        <v>7047</v>
      </c>
      <c r="X29" s="30">
        <v>46023.0</v>
      </c>
      <c r="Y29" s="30">
        <v>46112.0</v>
      </c>
      <c r="Z29" s="39">
        <v>0.0</v>
      </c>
      <c r="AA29" s="39">
        <v>0.0</v>
      </c>
      <c r="AB29" s="35" t="s">
        <v>7045</v>
      </c>
      <c r="AC29" s="30">
        <v>46113.0</v>
      </c>
      <c r="AD29" s="30">
        <v>46203.0</v>
      </c>
      <c r="AE29" s="39">
        <v>0.0</v>
      </c>
      <c r="AF29" s="39">
        <v>0.0</v>
      </c>
      <c r="AG29" s="35" t="s">
        <v>7045</v>
      </c>
      <c r="AH29" s="30">
        <v>46204.0</v>
      </c>
      <c r="AI29" s="30">
        <v>46295.0</v>
      </c>
      <c r="AJ29" s="39">
        <v>0.0</v>
      </c>
      <c r="AK29" s="39">
        <v>0.0</v>
      </c>
      <c r="AL29" s="35" t="s">
        <v>7045</v>
      </c>
      <c r="AM29" s="30">
        <v>46296.0</v>
      </c>
      <c r="AN29" s="30">
        <v>46387.0</v>
      </c>
      <c r="AO29" s="39">
        <v>0.0</v>
      </c>
      <c r="AP29" s="39">
        <v>0.0</v>
      </c>
      <c r="AQ29" s="35" t="s">
        <v>7045</v>
      </c>
      <c r="AR29" s="30">
        <v>46388.0</v>
      </c>
      <c r="AS29" s="30">
        <v>46477.0</v>
      </c>
      <c r="AT29" s="39">
        <v>0.0</v>
      </c>
      <c r="AU29" s="39">
        <v>0.0</v>
      </c>
      <c r="AV29" s="35" t="s">
        <v>7045</v>
      </c>
      <c r="AW29" s="30">
        <v>46478.0</v>
      </c>
      <c r="AX29" s="30">
        <v>46568.0</v>
      </c>
      <c r="AY29" s="39">
        <v>0.0</v>
      </c>
      <c r="AZ29" s="39">
        <v>0.0</v>
      </c>
      <c r="BA29" s="35" t="s">
        <v>7045</v>
      </c>
      <c r="BB29" s="30">
        <v>46569.0</v>
      </c>
      <c r="BC29" s="30">
        <v>46660.0</v>
      </c>
      <c r="BD29" s="39">
        <v>0.0</v>
      </c>
      <c r="BE29" s="39">
        <v>0.0</v>
      </c>
      <c r="BF29" s="35" t="s">
        <v>7045</v>
      </c>
      <c r="BG29" s="30">
        <v>46661.0</v>
      </c>
      <c r="BH29" s="30">
        <v>46752.0</v>
      </c>
      <c r="BI29" s="39">
        <v>0.0</v>
      </c>
      <c r="BJ29" s="39">
        <v>0.0</v>
      </c>
      <c r="BK29" s="35" t="s">
        <v>7045</v>
      </c>
      <c r="BL29" s="30">
        <v>46753.0</v>
      </c>
      <c r="BM29" s="30">
        <v>46843.0</v>
      </c>
      <c r="BN29" s="39">
        <v>0.0</v>
      </c>
      <c r="BO29" s="39">
        <v>0.0</v>
      </c>
      <c r="BP29" s="35" t="s">
        <v>7045</v>
      </c>
      <c r="BQ29" s="30">
        <v>46844.0</v>
      </c>
      <c r="BR29" s="30">
        <v>46934.0</v>
      </c>
      <c r="BS29" s="39">
        <v>0.0</v>
      </c>
      <c r="BT29" s="39">
        <v>0.0</v>
      </c>
      <c r="BU29" s="35" t="s">
        <v>7045</v>
      </c>
      <c r="BV29" s="30">
        <v>46935.0</v>
      </c>
      <c r="BW29" s="30">
        <v>47026.0</v>
      </c>
      <c r="BX29" s="39">
        <v>0.0</v>
      </c>
      <c r="BY29" s="39">
        <v>0.0</v>
      </c>
      <c r="BZ29" s="35" t="s">
        <v>7045</v>
      </c>
      <c r="CA29" s="30">
        <v>47027.0</v>
      </c>
      <c r="CB29" s="30">
        <v>47118.0</v>
      </c>
      <c r="CC29" s="39">
        <v>0.0</v>
      </c>
      <c r="CD29" s="39">
        <v>0.0</v>
      </c>
      <c r="CE29" s="35" t="s">
        <v>7045</v>
      </c>
      <c r="CF29" s="30">
        <v>47119.0</v>
      </c>
      <c r="CG29" s="30">
        <v>47208.0</v>
      </c>
      <c r="CH29" s="39">
        <v>0.0</v>
      </c>
      <c r="CI29" s="39">
        <v>0.0</v>
      </c>
      <c r="CJ29" s="35" t="s">
        <v>7045</v>
      </c>
      <c r="CK29" s="30">
        <v>47209.0</v>
      </c>
      <c r="CL29" s="30">
        <v>47299.0</v>
      </c>
      <c r="CM29" s="39">
        <v>0.0</v>
      </c>
      <c r="CN29" s="39">
        <v>0.0</v>
      </c>
      <c r="CO29" s="35" t="s">
        <v>7045</v>
      </c>
      <c r="CP29" s="30">
        <v>47300.0</v>
      </c>
      <c r="CQ29" s="30">
        <v>47391.0</v>
      </c>
      <c r="CR29" s="39">
        <v>0.0</v>
      </c>
      <c r="CS29" s="39">
        <v>0.0</v>
      </c>
      <c r="CT29" s="35" t="s">
        <v>7045</v>
      </c>
      <c r="CU29" s="30">
        <v>47392.0</v>
      </c>
      <c r="CV29" s="30">
        <v>47483.0</v>
      </c>
      <c r="CW29" s="39">
        <v>0.0</v>
      </c>
      <c r="CX29" s="39">
        <v>0.0</v>
      </c>
      <c r="CY29" s="35" t="s">
        <v>7045</v>
      </c>
      <c r="CZ29" s="30">
        <v>47484.0</v>
      </c>
      <c r="DA29" s="30">
        <v>47573.0</v>
      </c>
      <c r="DB29" s="39">
        <v>0.0</v>
      </c>
      <c r="DC29" s="39">
        <v>0.0</v>
      </c>
      <c r="DD29" s="35" t="s">
        <v>7045</v>
      </c>
      <c r="DE29" s="30">
        <v>47574.0</v>
      </c>
      <c r="DF29" s="30">
        <v>47664.0</v>
      </c>
      <c r="DG29" s="39">
        <v>0.0</v>
      </c>
      <c r="DH29" s="39">
        <v>0.0</v>
      </c>
      <c r="DI29" s="35" t="s">
        <v>7045</v>
      </c>
      <c r="DJ29" s="30">
        <v>47665.0</v>
      </c>
      <c r="DK29" s="30">
        <v>47756.0</v>
      </c>
      <c r="DL29" s="39">
        <v>0.0</v>
      </c>
      <c r="DM29" s="39">
        <v>0.0</v>
      </c>
      <c r="DN29" s="35" t="s">
        <v>7045</v>
      </c>
      <c r="DO29" s="30">
        <v>47757.0</v>
      </c>
      <c r="DP29" s="30">
        <v>47848.0</v>
      </c>
      <c r="DQ29" s="39">
        <v>0.0</v>
      </c>
      <c r="DR29" s="39">
        <v>0.0</v>
      </c>
      <c r="DS29" s="35" t="s">
        <v>7045</v>
      </c>
    </row>
    <row r="30" ht="14.25" customHeight="1">
      <c r="A30" s="28" t="s">
        <v>6660</v>
      </c>
      <c r="B30" s="29" t="s">
        <v>6661</v>
      </c>
      <c r="C30" s="29" t="s">
        <v>7041</v>
      </c>
      <c r="D30" s="30">
        <v>45658.0</v>
      </c>
      <c r="E30" s="30">
        <v>45747.0</v>
      </c>
      <c r="F30" s="36">
        <v>209.7</v>
      </c>
      <c r="G30" s="36">
        <v>0.0</v>
      </c>
      <c r="H30" s="38" t="s">
        <v>7047</v>
      </c>
      <c r="I30" s="30">
        <v>45748.0</v>
      </c>
      <c r="J30" s="30">
        <v>45838.0</v>
      </c>
      <c r="K30" s="36">
        <v>1599.98</v>
      </c>
      <c r="L30" s="36">
        <v>116.64</v>
      </c>
      <c r="M30" s="38" t="s">
        <v>7047</v>
      </c>
      <c r="N30" s="30">
        <v>45839.0</v>
      </c>
      <c r="O30" s="30">
        <v>45930.0</v>
      </c>
      <c r="P30" s="36">
        <v>1929.65</v>
      </c>
      <c r="Q30" s="36">
        <v>83.34</v>
      </c>
      <c r="R30" s="38" t="s">
        <v>7047</v>
      </c>
      <c r="S30" s="30">
        <v>45931.0</v>
      </c>
      <c r="T30" s="30">
        <v>46022.0</v>
      </c>
      <c r="U30" s="36">
        <v>1599.98</v>
      </c>
      <c r="V30" s="36">
        <v>133.32</v>
      </c>
      <c r="W30" s="38" t="s">
        <v>7047</v>
      </c>
      <c r="X30" s="30">
        <v>46023.0</v>
      </c>
      <c r="Y30" s="30">
        <v>46112.0</v>
      </c>
      <c r="Z30" s="36">
        <v>0.0</v>
      </c>
      <c r="AA30" s="36">
        <v>0.0</v>
      </c>
      <c r="AB30" s="35" t="s">
        <v>7045</v>
      </c>
      <c r="AC30" s="30">
        <v>46113.0</v>
      </c>
      <c r="AD30" s="30">
        <v>46203.0</v>
      </c>
      <c r="AE30" s="36">
        <v>0.0</v>
      </c>
      <c r="AF30" s="36">
        <v>0.0</v>
      </c>
      <c r="AG30" s="35" t="s">
        <v>7045</v>
      </c>
      <c r="AH30" s="30">
        <v>46204.0</v>
      </c>
      <c r="AI30" s="30">
        <v>46295.0</v>
      </c>
      <c r="AJ30" s="36">
        <v>0.0</v>
      </c>
      <c r="AK30" s="36">
        <v>0.0</v>
      </c>
      <c r="AL30" s="35" t="s">
        <v>7045</v>
      </c>
      <c r="AM30" s="30">
        <v>46296.0</v>
      </c>
      <c r="AN30" s="30">
        <v>46387.0</v>
      </c>
      <c r="AO30" s="36">
        <v>0.0</v>
      </c>
      <c r="AP30" s="36">
        <v>0.0</v>
      </c>
      <c r="AQ30" s="35" t="s">
        <v>7045</v>
      </c>
      <c r="AR30" s="30">
        <v>46388.0</v>
      </c>
      <c r="AS30" s="30">
        <v>46477.0</v>
      </c>
      <c r="AT30" s="36">
        <v>0.0</v>
      </c>
      <c r="AU30" s="36">
        <v>0.0</v>
      </c>
      <c r="AV30" s="35" t="s">
        <v>7045</v>
      </c>
      <c r="AW30" s="30">
        <v>46478.0</v>
      </c>
      <c r="AX30" s="30">
        <v>46568.0</v>
      </c>
      <c r="AY30" s="36">
        <v>0.0</v>
      </c>
      <c r="AZ30" s="36">
        <v>0.0</v>
      </c>
      <c r="BA30" s="35" t="s">
        <v>7045</v>
      </c>
      <c r="BB30" s="30">
        <v>46569.0</v>
      </c>
      <c r="BC30" s="30">
        <v>46660.0</v>
      </c>
      <c r="BD30" s="36">
        <v>0.0</v>
      </c>
      <c r="BE30" s="36">
        <v>0.0</v>
      </c>
      <c r="BF30" s="35" t="s">
        <v>7045</v>
      </c>
      <c r="BG30" s="30">
        <v>46661.0</v>
      </c>
      <c r="BH30" s="30">
        <v>46752.0</v>
      </c>
      <c r="BI30" s="36">
        <v>0.0</v>
      </c>
      <c r="BJ30" s="36">
        <v>0.0</v>
      </c>
      <c r="BK30" s="35" t="s">
        <v>7045</v>
      </c>
      <c r="BL30" s="30">
        <v>46753.0</v>
      </c>
      <c r="BM30" s="30">
        <v>46843.0</v>
      </c>
      <c r="BN30" s="36">
        <v>0.0</v>
      </c>
      <c r="BO30" s="36">
        <v>0.0</v>
      </c>
      <c r="BP30" s="35" t="s">
        <v>7045</v>
      </c>
      <c r="BQ30" s="30">
        <v>46844.0</v>
      </c>
      <c r="BR30" s="30">
        <v>46934.0</v>
      </c>
      <c r="BS30" s="36">
        <v>0.0</v>
      </c>
      <c r="BT30" s="36">
        <v>0.0</v>
      </c>
      <c r="BU30" s="35" t="s">
        <v>7045</v>
      </c>
      <c r="BV30" s="30">
        <v>46935.0</v>
      </c>
      <c r="BW30" s="30">
        <v>47026.0</v>
      </c>
      <c r="BX30" s="36">
        <v>0.0</v>
      </c>
      <c r="BY30" s="36">
        <v>0.0</v>
      </c>
      <c r="BZ30" s="35" t="s">
        <v>7045</v>
      </c>
      <c r="CA30" s="30">
        <v>47027.0</v>
      </c>
      <c r="CB30" s="30">
        <v>47118.0</v>
      </c>
      <c r="CC30" s="36">
        <v>0.0</v>
      </c>
      <c r="CD30" s="36">
        <v>0.0</v>
      </c>
      <c r="CE30" s="35" t="s">
        <v>7045</v>
      </c>
      <c r="CF30" s="30">
        <v>47119.0</v>
      </c>
      <c r="CG30" s="30">
        <v>47208.0</v>
      </c>
      <c r="CH30" s="36">
        <v>0.0</v>
      </c>
      <c r="CI30" s="36">
        <v>0.0</v>
      </c>
      <c r="CJ30" s="35" t="s">
        <v>7045</v>
      </c>
      <c r="CK30" s="30">
        <v>47209.0</v>
      </c>
      <c r="CL30" s="30">
        <v>47299.0</v>
      </c>
      <c r="CM30" s="36">
        <v>0.0</v>
      </c>
      <c r="CN30" s="36">
        <v>0.0</v>
      </c>
      <c r="CO30" s="35" t="s">
        <v>7045</v>
      </c>
      <c r="CP30" s="30">
        <v>47300.0</v>
      </c>
      <c r="CQ30" s="30">
        <v>47391.0</v>
      </c>
      <c r="CR30" s="36">
        <v>0.0</v>
      </c>
      <c r="CS30" s="36">
        <v>0.0</v>
      </c>
      <c r="CT30" s="35" t="s">
        <v>7045</v>
      </c>
      <c r="CU30" s="30">
        <v>47392.0</v>
      </c>
      <c r="CV30" s="30">
        <v>47483.0</v>
      </c>
      <c r="CW30" s="36">
        <v>0.0</v>
      </c>
      <c r="CX30" s="36">
        <v>0.0</v>
      </c>
      <c r="CY30" s="35" t="s">
        <v>7045</v>
      </c>
      <c r="CZ30" s="30">
        <v>47484.0</v>
      </c>
      <c r="DA30" s="30">
        <v>47573.0</v>
      </c>
      <c r="DB30" s="36">
        <v>0.0</v>
      </c>
      <c r="DC30" s="36">
        <v>0.0</v>
      </c>
      <c r="DD30" s="35" t="s">
        <v>7045</v>
      </c>
      <c r="DE30" s="30">
        <v>47574.0</v>
      </c>
      <c r="DF30" s="30">
        <v>47664.0</v>
      </c>
      <c r="DG30" s="36">
        <v>0.0</v>
      </c>
      <c r="DH30" s="36">
        <v>0.0</v>
      </c>
      <c r="DI30" s="35" t="s">
        <v>7045</v>
      </c>
      <c r="DJ30" s="30">
        <v>47665.0</v>
      </c>
      <c r="DK30" s="30">
        <v>47756.0</v>
      </c>
      <c r="DL30" s="36">
        <v>0.0</v>
      </c>
      <c r="DM30" s="36">
        <v>0.0</v>
      </c>
      <c r="DN30" s="35" t="s">
        <v>7045</v>
      </c>
      <c r="DO30" s="30">
        <v>47757.0</v>
      </c>
      <c r="DP30" s="30">
        <v>47848.0</v>
      </c>
      <c r="DQ30" s="36">
        <v>0.0</v>
      </c>
      <c r="DR30" s="36">
        <v>0.0</v>
      </c>
      <c r="DS30" s="35" t="s">
        <v>7045</v>
      </c>
    </row>
    <row r="31" ht="14.25" customHeight="1">
      <c r="A31" s="28" t="s">
        <v>4788</v>
      </c>
      <c r="B31" s="29" t="s">
        <v>4789</v>
      </c>
      <c r="C31" s="29" t="s">
        <v>7041</v>
      </c>
      <c r="D31" s="30">
        <v>45658.0</v>
      </c>
      <c r="E31" s="30">
        <v>45747.0</v>
      </c>
      <c r="F31" s="39">
        <v>4.79</v>
      </c>
      <c r="G31" s="39">
        <v>0.0</v>
      </c>
      <c r="H31" s="38" t="s">
        <v>7047</v>
      </c>
      <c r="I31" s="30">
        <v>45748.0</v>
      </c>
      <c r="J31" s="30">
        <v>45838.0</v>
      </c>
      <c r="K31" s="39">
        <v>26.11</v>
      </c>
      <c r="L31" s="39">
        <v>493.62</v>
      </c>
      <c r="M31" s="32" t="s">
        <v>7043</v>
      </c>
      <c r="N31" s="30">
        <v>45839.0</v>
      </c>
      <c r="O31" s="30">
        <v>45930.0</v>
      </c>
      <c r="P31" s="39">
        <v>211.32</v>
      </c>
      <c r="Q31" s="39">
        <v>419.15</v>
      </c>
      <c r="R31" s="38" t="s">
        <v>7047</v>
      </c>
      <c r="S31" s="30">
        <v>45931.0</v>
      </c>
      <c r="T31" s="30">
        <v>46022.0</v>
      </c>
      <c r="U31" s="39">
        <v>1244.79</v>
      </c>
      <c r="V31" s="39">
        <v>493.62</v>
      </c>
      <c r="W31" s="38" t="s">
        <v>7047</v>
      </c>
      <c r="X31" s="30">
        <v>46023.0</v>
      </c>
      <c r="Y31" s="30">
        <v>46112.0</v>
      </c>
      <c r="Z31" s="39">
        <v>205.4</v>
      </c>
      <c r="AA31" s="39">
        <v>0.0</v>
      </c>
      <c r="AB31" s="38" t="s">
        <v>7047</v>
      </c>
      <c r="AC31" s="30">
        <v>46113.0</v>
      </c>
      <c r="AD31" s="30">
        <v>46203.0</v>
      </c>
      <c r="AE31" s="39">
        <v>377.83</v>
      </c>
      <c r="AF31" s="39">
        <v>0.0</v>
      </c>
      <c r="AG31" s="38" t="s">
        <v>7047</v>
      </c>
      <c r="AH31" s="30">
        <v>46204.0</v>
      </c>
      <c r="AI31" s="30">
        <v>46295.0</v>
      </c>
      <c r="AJ31" s="39">
        <v>385.88</v>
      </c>
      <c r="AK31" s="39">
        <v>0.0</v>
      </c>
      <c r="AL31" s="38" t="s">
        <v>7047</v>
      </c>
      <c r="AM31" s="30">
        <v>46296.0</v>
      </c>
      <c r="AN31" s="30">
        <v>46387.0</v>
      </c>
      <c r="AO31" s="39">
        <v>127.63</v>
      </c>
      <c r="AP31" s="39">
        <v>0.0</v>
      </c>
      <c r="AQ31" s="38" t="s">
        <v>7047</v>
      </c>
      <c r="AR31" s="30">
        <v>46388.0</v>
      </c>
      <c r="AS31" s="30">
        <v>46477.0</v>
      </c>
      <c r="AT31" s="39">
        <v>0.0</v>
      </c>
      <c r="AU31" s="39">
        <v>0.0</v>
      </c>
      <c r="AV31" s="35" t="s">
        <v>7045</v>
      </c>
      <c r="AW31" s="30">
        <v>46478.0</v>
      </c>
      <c r="AX31" s="30">
        <v>46568.0</v>
      </c>
      <c r="AY31" s="39">
        <v>0.0</v>
      </c>
      <c r="AZ31" s="39">
        <v>0.0</v>
      </c>
      <c r="BA31" s="35" t="s">
        <v>7045</v>
      </c>
      <c r="BB31" s="30">
        <v>46569.0</v>
      </c>
      <c r="BC31" s="30">
        <v>46660.0</v>
      </c>
      <c r="BD31" s="39">
        <v>0.0</v>
      </c>
      <c r="BE31" s="39">
        <v>0.0</v>
      </c>
      <c r="BF31" s="35" t="s">
        <v>7045</v>
      </c>
      <c r="BG31" s="30">
        <v>46661.0</v>
      </c>
      <c r="BH31" s="30">
        <v>46752.0</v>
      </c>
      <c r="BI31" s="39">
        <v>0.0</v>
      </c>
      <c r="BJ31" s="39">
        <v>0.0</v>
      </c>
      <c r="BK31" s="35" t="s">
        <v>7045</v>
      </c>
      <c r="BL31" s="30">
        <v>46753.0</v>
      </c>
      <c r="BM31" s="30">
        <v>46843.0</v>
      </c>
      <c r="BN31" s="39">
        <v>0.0</v>
      </c>
      <c r="BO31" s="39">
        <v>0.0</v>
      </c>
      <c r="BP31" s="35" t="s">
        <v>7045</v>
      </c>
      <c r="BQ31" s="30">
        <v>46844.0</v>
      </c>
      <c r="BR31" s="30">
        <v>46934.0</v>
      </c>
      <c r="BS31" s="39">
        <v>0.0</v>
      </c>
      <c r="BT31" s="39">
        <v>0.0</v>
      </c>
      <c r="BU31" s="35" t="s">
        <v>7045</v>
      </c>
      <c r="BV31" s="30">
        <v>46935.0</v>
      </c>
      <c r="BW31" s="30">
        <v>47026.0</v>
      </c>
      <c r="BX31" s="39">
        <v>0.0</v>
      </c>
      <c r="BY31" s="39">
        <v>0.0</v>
      </c>
      <c r="BZ31" s="35" t="s">
        <v>7045</v>
      </c>
      <c r="CA31" s="30">
        <v>47027.0</v>
      </c>
      <c r="CB31" s="30">
        <v>47118.0</v>
      </c>
      <c r="CC31" s="39">
        <v>0.0</v>
      </c>
      <c r="CD31" s="39">
        <v>0.0</v>
      </c>
      <c r="CE31" s="35" t="s">
        <v>7045</v>
      </c>
      <c r="CF31" s="30">
        <v>47119.0</v>
      </c>
      <c r="CG31" s="30">
        <v>47208.0</v>
      </c>
      <c r="CH31" s="39">
        <v>0.0</v>
      </c>
      <c r="CI31" s="39">
        <v>0.0</v>
      </c>
      <c r="CJ31" s="35" t="s">
        <v>7045</v>
      </c>
      <c r="CK31" s="30">
        <v>47209.0</v>
      </c>
      <c r="CL31" s="30">
        <v>47299.0</v>
      </c>
      <c r="CM31" s="39">
        <v>0.0</v>
      </c>
      <c r="CN31" s="39">
        <v>0.0</v>
      </c>
      <c r="CO31" s="35" t="s">
        <v>7045</v>
      </c>
      <c r="CP31" s="30">
        <v>47300.0</v>
      </c>
      <c r="CQ31" s="30">
        <v>47391.0</v>
      </c>
      <c r="CR31" s="39">
        <v>0.0</v>
      </c>
      <c r="CS31" s="39">
        <v>0.0</v>
      </c>
      <c r="CT31" s="35" t="s">
        <v>7045</v>
      </c>
      <c r="CU31" s="30">
        <v>47392.0</v>
      </c>
      <c r="CV31" s="30">
        <v>47483.0</v>
      </c>
      <c r="CW31" s="39">
        <v>0.0</v>
      </c>
      <c r="CX31" s="39">
        <v>0.0</v>
      </c>
      <c r="CY31" s="35" t="s">
        <v>7045</v>
      </c>
      <c r="CZ31" s="30">
        <v>47484.0</v>
      </c>
      <c r="DA31" s="30">
        <v>47573.0</v>
      </c>
      <c r="DB31" s="39">
        <v>0.0</v>
      </c>
      <c r="DC31" s="39">
        <v>0.0</v>
      </c>
      <c r="DD31" s="35" t="s">
        <v>7045</v>
      </c>
      <c r="DE31" s="30">
        <v>47574.0</v>
      </c>
      <c r="DF31" s="30">
        <v>47664.0</v>
      </c>
      <c r="DG31" s="39">
        <v>0.0</v>
      </c>
      <c r="DH31" s="39">
        <v>0.0</v>
      </c>
      <c r="DI31" s="35" t="s">
        <v>7045</v>
      </c>
      <c r="DJ31" s="30">
        <v>47665.0</v>
      </c>
      <c r="DK31" s="30">
        <v>47756.0</v>
      </c>
      <c r="DL31" s="39">
        <v>0.0</v>
      </c>
      <c r="DM31" s="39">
        <v>0.0</v>
      </c>
      <c r="DN31" s="35" t="s">
        <v>7045</v>
      </c>
      <c r="DO31" s="30">
        <v>47757.0</v>
      </c>
      <c r="DP31" s="30">
        <v>47848.0</v>
      </c>
      <c r="DQ31" s="39">
        <v>0.0</v>
      </c>
      <c r="DR31" s="39">
        <v>0.0</v>
      </c>
      <c r="DS31" s="35" t="s">
        <v>7045</v>
      </c>
    </row>
    <row r="32" ht="14.25" customHeight="1">
      <c r="A32" s="28" t="s">
        <v>4783</v>
      </c>
      <c r="B32" s="29" t="s">
        <v>4784</v>
      </c>
      <c r="C32" s="29" t="s">
        <v>7041</v>
      </c>
      <c r="D32" s="30">
        <v>45658.0</v>
      </c>
      <c r="E32" s="30">
        <v>45747.0</v>
      </c>
      <c r="F32" s="39">
        <v>11.37</v>
      </c>
      <c r="G32" s="39">
        <v>0.0</v>
      </c>
      <c r="H32" s="38" t="s">
        <v>7047</v>
      </c>
      <c r="I32" s="30">
        <v>45748.0</v>
      </c>
      <c r="J32" s="30">
        <v>45838.0</v>
      </c>
      <c r="K32" s="39">
        <v>7.92</v>
      </c>
      <c r="L32" s="39">
        <v>0.0</v>
      </c>
      <c r="M32" s="38" t="s">
        <v>7047</v>
      </c>
      <c r="N32" s="30">
        <v>45839.0</v>
      </c>
      <c r="O32" s="30">
        <v>45930.0</v>
      </c>
      <c r="P32" s="39">
        <v>394.96</v>
      </c>
      <c r="Q32" s="39">
        <v>1264.47</v>
      </c>
      <c r="R32" s="38" t="s">
        <v>7047</v>
      </c>
      <c r="S32" s="30">
        <v>45931.0</v>
      </c>
      <c r="T32" s="30">
        <v>46022.0</v>
      </c>
      <c r="U32" s="39">
        <v>1845.72</v>
      </c>
      <c r="V32" s="39">
        <v>1267.11</v>
      </c>
      <c r="W32" s="38" t="s">
        <v>7047</v>
      </c>
      <c r="X32" s="30">
        <v>46023.0</v>
      </c>
      <c r="Y32" s="30">
        <v>46112.0</v>
      </c>
      <c r="Z32" s="39">
        <v>2950.0</v>
      </c>
      <c r="AA32" s="39">
        <v>0.0</v>
      </c>
      <c r="AB32" s="38" t="s">
        <v>7047</v>
      </c>
      <c r="AC32" s="30">
        <v>46113.0</v>
      </c>
      <c r="AD32" s="30">
        <v>46203.0</v>
      </c>
      <c r="AE32" s="39">
        <v>407.19</v>
      </c>
      <c r="AF32" s="39">
        <v>0.0</v>
      </c>
      <c r="AG32" s="38" t="s">
        <v>7047</v>
      </c>
      <c r="AH32" s="30">
        <v>46204.0</v>
      </c>
      <c r="AI32" s="30">
        <v>46295.0</v>
      </c>
      <c r="AJ32" s="39">
        <v>200.0</v>
      </c>
      <c r="AK32" s="39">
        <v>0.0</v>
      </c>
      <c r="AL32" s="35" t="s">
        <v>7047</v>
      </c>
      <c r="AM32" s="30">
        <v>46296.0</v>
      </c>
      <c r="AN32" s="30">
        <v>46387.0</v>
      </c>
      <c r="AO32" s="39">
        <v>405.86</v>
      </c>
      <c r="AP32" s="39">
        <v>0.0</v>
      </c>
      <c r="AQ32" s="38" t="s">
        <v>7047</v>
      </c>
      <c r="AR32" s="30">
        <v>46388.0</v>
      </c>
      <c r="AS32" s="30">
        <v>46477.0</v>
      </c>
      <c r="AT32" s="39">
        <v>0.0</v>
      </c>
      <c r="AU32" s="39">
        <v>0.0</v>
      </c>
      <c r="AV32" s="35" t="s">
        <v>7045</v>
      </c>
      <c r="AW32" s="30">
        <v>46478.0</v>
      </c>
      <c r="AX32" s="30">
        <v>46568.0</v>
      </c>
      <c r="AY32" s="39">
        <v>0.0</v>
      </c>
      <c r="AZ32" s="39">
        <v>0.0</v>
      </c>
      <c r="BA32" s="35" t="s">
        <v>7045</v>
      </c>
      <c r="BB32" s="30">
        <v>46569.0</v>
      </c>
      <c r="BC32" s="30">
        <v>46660.0</v>
      </c>
      <c r="BD32" s="39">
        <v>0.0</v>
      </c>
      <c r="BE32" s="39">
        <v>0.0</v>
      </c>
      <c r="BF32" s="35" t="s">
        <v>7045</v>
      </c>
      <c r="BG32" s="30">
        <v>46661.0</v>
      </c>
      <c r="BH32" s="30">
        <v>46752.0</v>
      </c>
      <c r="BI32" s="39">
        <v>0.0</v>
      </c>
      <c r="BJ32" s="39">
        <v>0.0</v>
      </c>
      <c r="BK32" s="35" t="s">
        <v>7045</v>
      </c>
      <c r="BL32" s="30">
        <v>46753.0</v>
      </c>
      <c r="BM32" s="30">
        <v>46843.0</v>
      </c>
      <c r="BN32" s="39">
        <v>0.0</v>
      </c>
      <c r="BO32" s="39">
        <v>0.0</v>
      </c>
      <c r="BP32" s="35" t="s">
        <v>7045</v>
      </c>
      <c r="BQ32" s="30">
        <v>46844.0</v>
      </c>
      <c r="BR32" s="30">
        <v>46934.0</v>
      </c>
      <c r="BS32" s="39">
        <v>0.0</v>
      </c>
      <c r="BT32" s="39">
        <v>0.0</v>
      </c>
      <c r="BU32" s="35" t="s">
        <v>7045</v>
      </c>
      <c r="BV32" s="30">
        <v>46935.0</v>
      </c>
      <c r="BW32" s="30">
        <v>47026.0</v>
      </c>
      <c r="BX32" s="39">
        <v>0.0</v>
      </c>
      <c r="BY32" s="39">
        <v>0.0</v>
      </c>
      <c r="BZ32" s="35" t="s">
        <v>7045</v>
      </c>
      <c r="CA32" s="30">
        <v>47027.0</v>
      </c>
      <c r="CB32" s="30">
        <v>47118.0</v>
      </c>
      <c r="CC32" s="39">
        <v>0.0</v>
      </c>
      <c r="CD32" s="39">
        <v>0.0</v>
      </c>
      <c r="CE32" s="35" t="s">
        <v>7045</v>
      </c>
      <c r="CF32" s="30">
        <v>47119.0</v>
      </c>
      <c r="CG32" s="30">
        <v>47208.0</v>
      </c>
      <c r="CH32" s="39">
        <v>0.0</v>
      </c>
      <c r="CI32" s="39">
        <v>0.0</v>
      </c>
      <c r="CJ32" s="35" t="s">
        <v>7045</v>
      </c>
      <c r="CK32" s="30">
        <v>47209.0</v>
      </c>
      <c r="CL32" s="30">
        <v>47299.0</v>
      </c>
      <c r="CM32" s="39">
        <v>0.0</v>
      </c>
      <c r="CN32" s="39">
        <v>0.0</v>
      </c>
      <c r="CO32" s="35" t="s">
        <v>7045</v>
      </c>
      <c r="CP32" s="30">
        <v>47300.0</v>
      </c>
      <c r="CQ32" s="30">
        <v>47391.0</v>
      </c>
      <c r="CR32" s="39">
        <v>0.0</v>
      </c>
      <c r="CS32" s="39">
        <v>0.0</v>
      </c>
      <c r="CT32" s="35" t="s">
        <v>7045</v>
      </c>
      <c r="CU32" s="30">
        <v>47392.0</v>
      </c>
      <c r="CV32" s="30">
        <v>47483.0</v>
      </c>
      <c r="CW32" s="39">
        <v>0.0</v>
      </c>
      <c r="CX32" s="39">
        <v>0.0</v>
      </c>
      <c r="CY32" s="35" t="s">
        <v>7045</v>
      </c>
      <c r="CZ32" s="30">
        <v>47484.0</v>
      </c>
      <c r="DA32" s="30">
        <v>47573.0</v>
      </c>
      <c r="DB32" s="39">
        <v>0.0</v>
      </c>
      <c r="DC32" s="39">
        <v>0.0</v>
      </c>
      <c r="DD32" s="35" t="s">
        <v>7045</v>
      </c>
      <c r="DE32" s="30">
        <v>47574.0</v>
      </c>
      <c r="DF32" s="30">
        <v>47664.0</v>
      </c>
      <c r="DG32" s="39">
        <v>0.0</v>
      </c>
      <c r="DH32" s="39">
        <v>0.0</v>
      </c>
      <c r="DI32" s="35" t="s">
        <v>7045</v>
      </c>
      <c r="DJ32" s="30">
        <v>47665.0</v>
      </c>
      <c r="DK32" s="30">
        <v>47756.0</v>
      </c>
      <c r="DL32" s="39">
        <v>0.0</v>
      </c>
      <c r="DM32" s="39">
        <v>0.0</v>
      </c>
      <c r="DN32" s="35" t="s">
        <v>7045</v>
      </c>
      <c r="DO32" s="30">
        <v>47757.0</v>
      </c>
      <c r="DP32" s="30">
        <v>47848.0</v>
      </c>
      <c r="DQ32" s="39">
        <v>0.0</v>
      </c>
      <c r="DR32" s="39">
        <v>0.0</v>
      </c>
      <c r="DS32" s="35" t="s">
        <v>7045</v>
      </c>
    </row>
    <row r="33" ht="14.25" customHeight="1">
      <c r="A33" s="28" t="s">
        <v>4845</v>
      </c>
      <c r="B33" s="29" t="s">
        <v>4846</v>
      </c>
      <c r="C33" s="29" t="s">
        <v>7041</v>
      </c>
      <c r="D33" s="30">
        <v>45658.0</v>
      </c>
      <c r="E33" s="30">
        <v>45747.0</v>
      </c>
      <c r="F33" s="39">
        <v>25.31</v>
      </c>
      <c r="G33" s="39">
        <v>0.0</v>
      </c>
      <c r="H33" s="38" t="s">
        <v>7047</v>
      </c>
      <c r="I33" s="30">
        <v>45748.0</v>
      </c>
      <c r="J33" s="30">
        <v>45838.0</v>
      </c>
      <c r="K33" s="39">
        <v>10.75</v>
      </c>
      <c r="L33" s="39">
        <v>812.5</v>
      </c>
      <c r="M33" s="32" t="s">
        <v>7043</v>
      </c>
      <c r="N33" s="30">
        <v>45839.0</v>
      </c>
      <c r="O33" s="30">
        <v>45930.0</v>
      </c>
      <c r="P33" s="39">
        <v>144.54</v>
      </c>
      <c r="Q33" s="39">
        <v>812.5</v>
      </c>
      <c r="R33" s="38" t="s">
        <v>7047</v>
      </c>
      <c r="S33" s="30">
        <v>45931.0</v>
      </c>
      <c r="T33" s="30">
        <v>46022.0</v>
      </c>
      <c r="U33" s="39">
        <v>730.29</v>
      </c>
      <c r="V33" s="39">
        <v>812.5</v>
      </c>
      <c r="W33" s="38" t="s">
        <v>7047</v>
      </c>
      <c r="X33" s="30">
        <v>46023.0</v>
      </c>
      <c r="Y33" s="30">
        <v>46112.0</v>
      </c>
      <c r="Z33" s="39">
        <v>1043.0</v>
      </c>
      <c r="AA33" s="39">
        <v>0.0</v>
      </c>
      <c r="AB33" s="38" t="s">
        <v>7047</v>
      </c>
      <c r="AC33" s="30">
        <v>46113.0</v>
      </c>
      <c r="AD33" s="30">
        <v>46203.0</v>
      </c>
      <c r="AE33" s="39">
        <v>380.92</v>
      </c>
      <c r="AF33" s="39">
        <v>0.0</v>
      </c>
      <c r="AG33" s="38" t="s">
        <v>7047</v>
      </c>
      <c r="AH33" s="30">
        <v>46204.0</v>
      </c>
      <c r="AI33" s="30">
        <v>46295.0</v>
      </c>
      <c r="AJ33" s="39">
        <v>0.0</v>
      </c>
      <c r="AK33" s="39">
        <v>0.0</v>
      </c>
      <c r="AL33" s="35" t="s">
        <v>7045</v>
      </c>
      <c r="AM33" s="30">
        <v>46296.0</v>
      </c>
      <c r="AN33" s="30">
        <v>46387.0</v>
      </c>
      <c r="AO33" s="39">
        <v>131.81</v>
      </c>
      <c r="AP33" s="39">
        <v>0.0</v>
      </c>
      <c r="AQ33" s="38" t="s">
        <v>7047</v>
      </c>
      <c r="AR33" s="30">
        <v>46388.0</v>
      </c>
      <c r="AS33" s="30">
        <v>46477.0</v>
      </c>
      <c r="AT33" s="39">
        <v>0.0</v>
      </c>
      <c r="AU33" s="39">
        <v>0.0</v>
      </c>
      <c r="AV33" s="35" t="s">
        <v>7045</v>
      </c>
      <c r="AW33" s="30">
        <v>46478.0</v>
      </c>
      <c r="AX33" s="30">
        <v>46568.0</v>
      </c>
      <c r="AY33" s="39">
        <v>0.0</v>
      </c>
      <c r="AZ33" s="39">
        <v>0.0</v>
      </c>
      <c r="BA33" s="35" t="s">
        <v>7045</v>
      </c>
      <c r="BB33" s="30">
        <v>46569.0</v>
      </c>
      <c r="BC33" s="30">
        <v>46660.0</v>
      </c>
      <c r="BD33" s="39">
        <v>0.0</v>
      </c>
      <c r="BE33" s="39">
        <v>0.0</v>
      </c>
      <c r="BF33" s="35" t="s">
        <v>7045</v>
      </c>
      <c r="BG33" s="30">
        <v>46661.0</v>
      </c>
      <c r="BH33" s="30">
        <v>46752.0</v>
      </c>
      <c r="BI33" s="39">
        <v>0.0</v>
      </c>
      <c r="BJ33" s="39">
        <v>0.0</v>
      </c>
      <c r="BK33" s="35" t="s">
        <v>7045</v>
      </c>
      <c r="BL33" s="30">
        <v>46753.0</v>
      </c>
      <c r="BM33" s="30">
        <v>46843.0</v>
      </c>
      <c r="BN33" s="39">
        <v>0.0</v>
      </c>
      <c r="BO33" s="39">
        <v>0.0</v>
      </c>
      <c r="BP33" s="35" t="s">
        <v>7045</v>
      </c>
      <c r="BQ33" s="30">
        <v>46844.0</v>
      </c>
      <c r="BR33" s="30">
        <v>46934.0</v>
      </c>
      <c r="BS33" s="39">
        <v>0.0</v>
      </c>
      <c r="BT33" s="39">
        <v>0.0</v>
      </c>
      <c r="BU33" s="35" t="s">
        <v>7045</v>
      </c>
      <c r="BV33" s="30">
        <v>46935.0</v>
      </c>
      <c r="BW33" s="30">
        <v>47026.0</v>
      </c>
      <c r="BX33" s="39">
        <v>0.0</v>
      </c>
      <c r="BY33" s="39">
        <v>0.0</v>
      </c>
      <c r="BZ33" s="35" t="s">
        <v>7045</v>
      </c>
      <c r="CA33" s="30">
        <v>47027.0</v>
      </c>
      <c r="CB33" s="30">
        <v>47118.0</v>
      </c>
      <c r="CC33" s="39">
        <v>0.0</v>
      </c>
      <c r="CD33" s="39">
        <v>0.0</v>
      </c>
      <c r="CE33" s="35" t="s">
        <v>7045</v>
      </c>
      <c r="CF33" s="30">
        <v>47119.0</v>
      </c>
      <c r="CG33" s="30">
        <v>47208.0</v>
      </c>
      <c r="CH33" s="39">
        <v>0.0</v>
      </c>
      <c r="CI33" s="39">
        <v>0.0</v>
      </c>
      <c r="CJ33" s="35" t="s">
        <v>7045</v>
      </c>
      <c r="CK33" s="30">
        <v>47209.0</v>
      </c>
      <c r="CL33" s="30">
        <v>47299.0</v>
      </c>
      <c r="CM33" s="39">
        <v>0.0</v>
      </c>
      <c r="CN33" s="39">
        <v>0.0</v>
      </c>
      <c r="CO33" s="35" t="s">
        <v>7045</v>
      </c>
      <c r="CP33" s="30">
        <v>47300.0</v>
      </c>
      <c r="CQ33" s="30">
        <v>47391.0</v>
      </c>
      <c r="CR33" s="39">
        <v>0.0</v>
      </c>
      <c r="CS33" s="39">
        <v>0.0</v>
      </c>
      <c r="CT33" s="35" t="s">
        <v>7045</v>
      </c>
      <c r="CU33" s="30">
        <v>47392.0</v>
      </c>
      <c r="CV33" s="30">
        <v>47483.0</v>
      </c>
      <c r="CW33" s="39">
        <v>0.0</v>
      </c>
      <c r="CX33" s="39">
        <v>0.0</v>
      </c>
      <c r="CY33" s="35" t="s">
        <v>7045</v>
      </c>
      <c r="CZ33" s="30">
        <v>47484.0</v>
      </c>
      <c r="DA33" s="30">
        <v>47573.0</v>
      </c>
      <c r="DB33" s="39">
        <v>0.0</v>
      </c>
      <c r="DC33" s="39">
        <v>0.0</v>
      </c>
      <c r="DD33" s="35" t="s">
        <v>7045</v>
      </c>
      <c r="DE33" s="30">
        <v>47574.0</v>
      </c>
      <c r="DF33" s="30">
        <v>47664.0</v>
      </c>
      <c r="DG33" s="39">
        <v>0.0</v>
      </c>
      <c r="DH33" s="39">
        <v>0.0</v>
      </c>
      <c r="DI33" s="35" t="s">
        <v>7045</v>
      </c>
      <c r="DJ33" s="30">
        <v>47665.0</v>
      </c>
      <c r="DK33" s="30">
        <v>47756.0</v>
      </c>
      <c r="DL33" s="39">
        <v>0.0</v>
      </c>
      <c r="DM33" s="39">
        <v>0.0</v>
      </c>
      <c r="DN33" s="35" t="s">
        <v>7045</v>
      </c>
      <c r="DO33" s="30">
        <v>47757.0</v>
      </c>
      <c r="DP33" s="30">
        <v>47848.0</v>
      </c>
      <c r="DQ33" s="39">
        <v>0.0</v>
      </c>
      <c r="DR33" s="39">
        <v>0.0</v>
      </c>
      <c r="DS33" s="35" t="s">
        <v>7045</v>
      </c>
    </row>
    <row r="34" ht="14.25" customHeight="1">
      <c r="A34" s="28" t="s">
        <v>4849</v>
      </c>
      <c r="B34" s="29" t="s">
        <v>4850</v>
      </c>
      <c r="C34" s="29" t="s">
        <v>7041</v>
      </c>
      <c r="D34" s="30">
        <v>45658.0</v>
      </c>
      <c r="E34" s="30">
        <v>45747.0</v>
      </c>
      <c r="F34" s="39">
        <v>2.73</v>
      </c>
      <c r="G34" s="39">
        <v>0.0</v>
      </c>
      <c r="H34" s="38" t="s">
        <v>7047</v>
      </c>
      <c r="I34" s="30">
        <v>45748.0</v>
      </c>
      <c r="J34" s="30">
        <v>45838.0</v>
      </c>
      <c r="K34" s="39">
        <v>2.89</v>
      </c>
      <c r="L34" s="39">
        <v>267.24</v>
      </c>
      <c r="M34" s="37" t="s">
        <v>7043</v>
      </c>
      <c r="N34" s="30">
        <v>45839.0</v>
      </c>
      <c r="O34" s="30">
        <v>45930.0</v>
      </c>
      <c r="P34" s="39">
        <v>1131.8</v>
      </c>
      <c r="Q34" s="39">
        <v>267.24</v>
      </c>
      <c r="R34" s="38" t="s">
        <v>7047</v>
      </c>
      <c r="S34" s="30">
        <v>45931.0</v>
      </c>
      <c r="T34" s="30">
        <v>46022.0</v>
      </c>
      <c r="U34" s="39">
        <v>130.44</v>
      </c>
      <c r="V34" s="39">
        <v>267.24</v>
      </c>
      <c r="W34" s="38" t="s">
        <v>7047</v>
      </c>
      <c r="X34" s="30">
        <v>46023.0</v>
      </c>
      <c r="Y34" s="30">
        <v>46112.0</v>
      </c>
      <c r="Z34" s="39">
        <v>83.71</v>
      </c>
      <c r="AA34" s="39">
        <v>0.0</v>
      </c>
      <c r="AB34" s="38" t="s">
        <v>7047</v>
      </c>
      <c r="AC34" s="30">
        <v>46113.0</v>
      </c>
      <c r="AD34" s="30">
        <v>46203.0</v>
      </c>
      <c r="AE34" s="39">
        <v>270.32</v>
      </c>
      <c r="AF34" s="39">
        <v>0.0</v>
      </c>
      <c r="AG34" s="38" t="s">
        <v>7047</v>
      </c>
      <c r="AH34" s="30">
        <v>46204.0</v>
      </c>
      <c r="AI34" s="30">
        <v>46295.0</v>
      </c>
      <c r="AJ34" s="39">
        <v>104.08</v>
      </c>
      <c r="AK34" s="39">
        <v>0.0</v>
      </c>
      <c r="AL34" s="38" t="s">
        <v>7047</v>
      </c>
      <c r="AM34" s="30">
        <v>46296.0</v>
      </c>
      <c r="AN34" s="30">
        <v>46387.0</v>
      </c>
      <c r="AO34" s="39">
        <v>0.0</v>
      </c>
      <c r="AP34" s="39">
        <v>0.0</v>
      </c>
      <c r="AQ34" s="35" t="s">
        <v>7045</v>
      </c>
      <c r="AR34" s="30">
        <v>46388.0</v>
      </c>
      <c r="AS34" s="30">
        <v>46477.0</v>
      </c>
      <c r="AT34" s="39">
        <v>0.0</v>
      </c>
      <c r="AU34" s="39">
        <v>0.0</v>
      </c>
      <c r="AV34" s="35" t="s">
        <v>7045</v>
      </c>
      <c r="AW34" s="30">
        <v>46478.0</v>
      </c>
      <c r="AX34" s="30">
        <v>46568.0</v>
      </c>
      <c r="AY34" s="39">
        <v>0.0</v>
      </c>
      <c r="AZ34" s="39">
        <v>0.0</v>
      </c>
      <c r="BA34" s="35" t="s">
        <v>7045</v>
      </c>
      <c r="BB34" s="30">
        <v>46569.0</v>
      </c>
      <c r="BC34" s="30">
        <v>46660.0</v>
      </c>
      <c r="BD34" s="39">
        <v>0.0</v>
      </c>
      <c r="BE34" s="39">
        <v>0.0</v>
      </c>
      <c r="BF34" s="35" t="s">
        <v>7045</v>
      </c>
      <c r="BG34" s="30">
        <v>46661.0</v>
      </c>
      <c r="BH34" s="30">
        <v>46752.0</v>
      </c>
      <c r="BI34" s="39">
        <v>0.0</v>
      </c>
      <c r="BJ34" s="39">
        <v>0.0</v>
      </c>
      <c r="BK34" s="35" t="s">
        <v>7045</v>
      </c>
      <c r="BL34" s="30">
        <v>46753.0</v>
      </c>
      <c r="BM34" s="30">
        <v>46843.0</v>
      </c>
      <c r="BN34" s="39">
        <v>0.0</v>
      </c>
      <c r="BO34" s="39">
        <v>0.0</v>
      </c>
      <c r="BP34" s="35" t="s">
        <v>7045</v>
      </c>
      <c r="BQ34" s="30">
        <v>46844.0</v>
      </c>
      <c r="BR34" s="30">
        <v>46934.0</v>
      </c>
      <c r="BS34" s="39">
        <v>0.0</v>
      </c>
      <c r="BT34" s="39">
        <v>0.0</v>
      </c>
      <c r="BU34" s="35" t="s">
        <v>7045</v>
      </c>
      <c r="BV34" s="30">
        <v>46935.0</v>
      </c>
      <c r="BW34" s="30">
        <v>47026.0</v>
      </c>
      <c r="BX34" s="39">
        <v>0.0</v>
      </c>
      <c r="BY34" s="39">
        <v>0.0</v>
      </c>
      <c r="BZ34" s="35" t="s">
        <v>7045</v>
      </c>
      <c r="CA34" s="30">
        <v>47027.0</v>
      </c>
      <c r="CB34" s="30">
        <v>47118.0</v>
      </c>
      <c r="CC34" s="39">
        <v>0.0</v>
      </c>
      <c r="CD34" s="39">
        <v>0.0</v>
      </c>
      <c r="CE34" s="35" t="s">
        <v>7045</v>
      </c>
      <c r="CF34" s="30">
        <v>47119.0</v>
      </c>
      <c r="CG34" s="30">
        <v>47208.0</v>
      </c>
      <c r="CH34" s="39">
        <v>0.0</v>
      </c>
      <c r="CI34" s="39">
        <v>0.0</v>
      </c>
      <c r="CJ34" s="35" t="s">
        <v>7045</v>
      </c>
      <c r="CK34" s="30">
        <v>47209.0</v>
      </c>
      <c r="CL34" s="30">
        <v>47299.0</v>
      </c>
      <c r="CM34" s="39">
        <v>0.0</v>
      </c>
      <c r="CN34" s="39">
        <v>0.0</v>
      </c>
      <c r="CO34" s="35" t="s">
        <v>7045</v>
      </c>
      <c r="CP34" s="30">
        <v>47300.0</v>
      </c>
      <c r="CQ34" s="30">
        <v>47391.0</v>
      </c>
      <c r="CR34" s="39">
        <v>0.0</v>
      </c>
      <c r="CS34" s="39">
        <v>0.0</v>
      </c>
      <c r="CT34" s="35" t="s">
        <v>7045</v>
      </c>
      <c r="CU34" s="30">
        <v>47392.0</v>
      </c>
      <c r="CV34" s="30">
        <v>47483.0</v>
      </c>
      <c r="CW34" s="39">
        <v>0.0</v>
      </c>
      <c r="CX34" s="39">
        <v>0.0</v>
      </c>
      <c r="CY34" s="35" t="s">
        <v>7045</v>
      </c>
      <c r="CZ34" s="30">
        <v>47484.0</v>
      </c>
      <c r="DA34" s="30">
        <v>47573.0</v>
      </c>
      <c r="DB34" s="39">
        <v>0.0</v>
      </c>
      <c r="DC34" s="39">
        <v>0.0</v>
      </c>
      <c r="DD34" s="35" t="s">
        <v>7045</v>
      </c>
      <c r="DE34" s="30">
        <v>47574.0</v>
      </c>
      <c r="DF34" s="30">
        <v>47664.0</v>
      </c>
      <c r="DG34" s="39">
        <v>0.0</v>
      </c>
      <c r="DH34" s="39">
        <v>0.0</v>
      </c>
      <c r="DI34" s="35" t="s">
        <v>7045</v>
      </c>
      <c r="DJ34" s="30">
        <v>47665.0</v>
      </c>
      <c r="DK34" s="30">
        <v>47756.0</v>
      </c>
      <c r="DL34" s="39">
        <v>0.0</v>
      </c>
      <c r="DM34" s="39">
        <v>0.0</v>
      </c>
      <c r="DN34" s="35" t="s">
        <v>7045</v>
      </c>
      <c r="DO34" s="30">
        <v>47757.0</v>
      </c>
      <c r="DP34" s="30">
        <v>47848.0</v>
      </c>
      <c r="DQ34" s="39">
        <v>0.0</v>
      </c>
      <c r="DR34" s="39">
        <v>0.0</v>
      </c>
      <c r="DS34" s="35" t="s">
        <v>7045</v>
      </c>
    </row>
    <row r="35" ht="14.25" customHeight="1">
      <c r="A35" s="28" t="s">
        <v>4838</v>
      </c>
      <c r="B35" s="29" t="s">
        <v>4839</v>
      </c>
      <c r="C35" s="29" t="s">
        <v>7041</v>
      </c>
      <c r="D35" s="30">
        <v>45658.0</v>
      </c>
      <c r="E35" s="30">
        <v>45747.0</v>
      </c>
      <c r="F35" s="36">
        <v>13.28</v>
      </c>
      <c r="G35" s="36">
        <v>0.0</v>
      </c>
      <c r="H35" s="38" t="s">
        <v>7047</v>
      </c>
      <c r="I35" s="30">
        <v>45748.0</v>
      </c>
      <c r="J35" s="30">
        <v>45838.0</v>
      </c>
      <c r="K35" s="36">
        <v>13.28</v>
      </c>
      <c r="L35" s="36">
        <v>0.0</v>
      </c>
      <c r="M35" s="38" t="s">
        <v>7047</v>
      </c>
      <c r="N35" s="30">
        <v>45839.0</v>
      </c>
      <c r="O35" s="30">
        <v>45930.0</v>
      </c>
      <c r="P35" s="36">
        <v>41.09</v>
      </c>
      <c r="Q35" s="36">
        <v>0.0</v>
      </c>
      <c r="R35" s="38" t="s">
        <v>7047</v>
      </c>
      <c r="S35" s="30">
        <v>45931.0</v>
      </c>
      <c r="T35" s="30">
        <v>46022.0</v>
      </c>
      <c r="U35" s="36">
        <v>0.0</v>
      </c>
      <c r="V35" s="36">
        <v>0.0</v>
      </c>
      <c r="W35" s="35" t="s">
        <v>7045</v>
      </c>
      <c r="X35" s="30">
        <v>46023.0</v>
      </c>
      <c r="Y35" s="30">
        <v>46112.0</v>
      </c>
      <c r="Z35" s="36">
        <v>0.0</v>
      </c>
      <c r="AA35" s="36">
        <v>0.0</v>
      </c>
      <c r="AB35" s="35" t="s">
        <v>7045</v>
      </c>
      <c r="AC35" s="30">
        <v>46113.0</v>
      </c>
      <c r="AD35" s="30">
        <v>46203.0</v>
      </c>
      <c r="AE35" s="36">
        <v>0.0</v>
      </c>
      <c r="AF35" s="36">
        <v>0.0</v>
      </c>
      <c r="AG35" s="35" t="s">
        <v>7045</v>
      </c>
      <c r="AH35" s="30">
        <v>46204.0</v>
      </c>
      <c r="AI35" s="30">
        <v>46295.0</v>
      </c>
      <c r="AJ35" s="36">
        <v>0.0</v>
      </c>
      <c r="AK35" s="36">
        <v>0.0</v>
      </c>
      <c r="AL35" s="35" t="s">
        <v>7045</v>
      </c>
      <c r="AM35" s="30">
        <v>46296.0</v>
      </c>
      <c r="AN35" s="30">
        <v>46387.0</v>
      </c>
      <c r="AO35" s="36">
        <v>0.0</v>
      </c>
      <c r="AP35" s="36">
        <v>0.0</v>
      </c>
      <c r="AQ35" s="35" t="s">
        <v>7045</v>
      </c>
      <c r="AR35" s="30">
        <v>46388.0</v>
      </c>
      <c r="AS35" s="30">
        <v>46477.0</v>
      </c>
      <c r="AT35" s="36">
        <v>0.0</v>
      </c>
      <c r="AU35" s="36">
        <v>0.0</v>
      </c>
      <c r="AV35" s="35" t="s">
        <v>7045</v>
      </c>
      <c r="AW35" s="30">
        <v>46478.0</v>
      </c>
      <c r="AX35" s="30">
        <v>46568.0</v>
      </c>
      <c r="AY35" s="36">
        <v>0.0</v>
      </c>
      <c r="AZ35" s="36">
        <v>0.0</v>
      </c>
      <c r="BA35" s="35" t="s">
        <v>7045</v>
      </c>
      <c r="BB35" s="30">
        <v>46569.0</v>
      </c>
      <c r="BC35" s="30">
        <v>46660.0</v>
      </c>
      <c r="BD35" s="36">
        <v>0.0</v>
      </c>
      <c r="BE35" s="36">
        <v>0.0</v>
      </c>
      <c r="BF35" s="35" t="s">
        <v>7045</v>
      </c>
      <c r="BG35" s="30">
        <v>46661.0</v>
      </c>
      <c r="BH35" s="30">
        <v>46752.0</v>
      </c>
      <c r="BI35" s="36">
        <v>0.0</v>
      </c>
      <c r="BJ35" s="36">
        <v>0.0</v>
      </c>
      <c r="BK35" s="35" t="s">
        <v>7045</v>
      </c>
      <c r="BL35" s="30">
        <v>46753.0</v>
      </c>
      <c r="BM35" s="30">
        <v>46843.0</v>
      </c>
      <c r="BN35" s="36">
        <v>0.0</v>
      </c>
      <c r="BO35" s="36">
        <v>0.0</v>
      </c>
      <c r="BP35" s="35" t="s">
        <v>7045</v>
      </c>
      <c r="BQ35" s="30">
        <v>46844.0</v>
      </c>
      <c r="BR35" s="30">
        <v>46934.0</v>
      </c>
      <c r="BS35" s="36">
        <v>0.0</v>
      </c>
      <c r="BT35" s="36">
        <v>0.0</v>
      </c>
      <c r="BU35" s="35" t="s">
        <v>7045</v>
      </c>
      <c r="BV35" s="30">
        <v>46935.0</v>
      </c>
      <c r="BW35" s="30">
        <v>47026.0</v>
      </c>
      <c r="BX35" s="36">
        <v>0.0</v>
      </c>
      <c r="BY35" s="36">
        <v>0.0</v>
      </c>
      <c r="BZ35" s="35" t="s">
        <v>7045</v>
      </c>
      <c r="CA35" s="30">
        <v>47027.0</v>
      </c>
      <c r="CB35" s="30">
        <v>47118.0</v>
      </c>
      <c r="CC35" s="36">
        <v>0.0</v>
      </c>
      <c r="CD35" s="36">
        <v>0.0</v>
      </c>
      <c r="CE35" s="35" t="s">
        <v>7045</v>
      </c>
      <c r="CF35" s="30">
        <v>47119.0</v>
      </c>
      <c r="CG35" s="30">
        <v>47208.0</v>
      </c>
      <c r="CH35" s="36">
        <v>0.0</v>
      </c>
      <c r="CI35" s="36">
        <v>0.0</v>
      </c>
      <c r="CJ35" s="35" t="s">
        <v>7045</v>
      </c>
      <c r="CK35" s="30">
        <v>47209.0</v>
      </c>
      <c r="CL35" s="30">
        <v>47299.0</v>
      </c>
      <c r="CM35" s="36">
        <v>0.0</v>
      </c>
      <c r="CN35" s="36">
        <v>0.0</v>
      </c>
      <c r="CO35" s="35" t="s">
        <v>7045</v>
      </c>
      <c r="CP35" s="30">
        <v>47300.0</v>
      </c>
      <c r="CQ35" s="30">
        <v>47391.0</v>
      </c>
      <c r="CR35" s="36">
        <v>0.0</v>
      </c>
      <c r="CS35" s="36">
        <v>0.0</v>
      </c>
      <c r="CT35" s="35" t="s">
        <v>7045</v>
      </c>
      <c r="CU35" s="30">
        <v>47392.0</v>
      </c>
      <c r="CV35" s="30">
        <v>47483.0</v>
      </c>
      <c r="CW35" s="36">
        <v>0.0</v>
      </c>
      <c r="CX35" s="36">
        <v>0.0</v>
      </c>
      <c r="CY35" s="35" t="s">
        <v>7045</v>
      </c>
      <c r="CZ35" s="30">
        <v>47484.0</v>
      </c>
      <c r="DA35" s="30">
        <v>47573.0</v>
      </c>
      <c r="DB35" s="36">
        <v>0.0</v>
      </c>
      <c r="DC35" s="36">
        <v>0.0</v>
      </c>
      <c r="DD35" s="35" t="s">
        <v>7045</v>
      </c>
      <c r="DE35" s="30">
        <v>47574.0</v>
      </c>
      <c r="DF35" s="30">
        <v>47664.0</v>
      </c>
      <c r="DG35" s="36">
        <v>0.0</v>
      </c>
      <c r="DH35" s="36">
        <v>0.0</v>
      </c>
      <c r="DI35" s="35" t="s">
        <v>7045</v>
      </c>
      <c r="DJ35" s="30">
        <v>47665.0</v>
      </c>
      <c r="DK35" s="30">
        <v>47756.0</v>
      </c>
      <c r="DL35" s="36">
        <v>0.0</v>
      </c>
      <c r="DM35" s="36">
        <v>0.0</v>
      </c>
      <c r="DN35" s="35" t="s">
        <v>7045</v>
      </c>
      <c r="DO35" s="30">
        <v>47757.0</v>
      </c>
      <c r="DP35" s="30">
        <v>47848.0</v>
      </c>
      <c r="DQ35" s="36">
        <v>0.0</v>
      </c>
      <c r="DR35" s="36">
        <v>0.0</v>
      </c>
      <c r="DS35" s="35" t="s">
        <v>7045</v>
      </c>
    </row>
    <row r="36" ht="14.25" customHeight="1">
      <c r="A36" s="28" t="s">
        <v>5513</v>
      </c>
      <c r="B36" s="29" t="s">
        <v>5514</v>
      </c>
      <c r="C36" s="29" t="s">
        <v>7041</v>
      </c>
      <c r="D36" s="30">
        <v>45658.0</v>
      </c>
      <c r="E36" s="30">
        <v>45747.0</v>
      </c>
      <c r="F36" s="36">
        <v>13.29</v>
      </c>
      <c r="G36" s="36">
        <v>0.0</v>
      </c>
      <c r="H36" s="38" t="s">
        <v>7047</v>
      </c>
      <c r="I36" s="30">
        <v>45748.0</v>
      </c>
      <c r="J36" s="30">
        <v>45838.0</v>
      </c>
      <c r="K36" s="36">
        <v>54.92</v>
      </c>
      <c r="L36" s="36">
        <v>255.15</v>
      </c>
      <c r="M36" s="37" t="s">
        <v>7043</v>
      </c>
      <c r="N36" s="30">
        <v>45839.0</v>
      </c>
      <c r="O36" s="30">
        <v>45930.0</v>
      </c>
      <c r="P36" s="36">
        <v>379.85</v>
      </c>
      <c r="Q36" s="36">
        <v>383.79</v>
      </c>
      <c r="R36" s="38" t="s">
        <v>7047</v>
      </c>
      <c r="S36" s="30">
        <v>45931.0</v>
      </c>
      <c r="T36" s="30">
        <v>46022.0</v>
      </c>
      <c r="U36" s="36">
        <v>201.37</v>
      </c>
      <c r="V36" s="36">
        <v>383.79</v>
      </c>
      <c r="W36" s="38" t="s">
        <v>7047</v>
      </c>
      <c r="X36" s="30">
        <v>46023.0</v>
      </c>
      <c r="Y36" s="30">
        <v>46112.0</v>
      </c>
      <c r="Z36" s="36">
        <v>32.96</v>
      </c>
      <c r="AA36" s="36">
        <v>0.0</v>
      </c>
      <c r="AB36" s="38" t="s">
        <v>7047</v>
      </c>
      <c r="AC36" s="30">
        <v>46113.0</v>
      </c>
      <c r="AD36" s="30">
        <v>46203.0</v>
      </c>
      <c r="AE36" s="36">
        <v>143.25</v>
      </c>
      <c r="AF36" s="36">
        <v>0.0</v>
      </c>
      <c r="AG36" s="38" t="s">
        <v>7047</v>
      </c>
      <c r="AH36" s="30">
        <v>46204.0</v>
      </c>
      <c r="AI36" s="30">
        <v>46295.0</v>
      </c>
      <c r="AJ36" s="36">
        <v>0.0</v>
      </c>
      <c r="AK36" s="36">
        <v>0.0</v>
      </c>
      <c r="AL36" s="35" t="s">
        <v>7045</v>
      </c>
      <c r="AM36" s="30">
        <v>46296.0</v>
      </c>
      <c r="AN36" s="30">
        <v>46387.0</v>
      </c>
      <c r="AO36" s="36">
        <v>0.0</v>
      </c>
      <c r="AP36" s="36">
        <v>0.0</v>
      </c>
      <c r="AQ36" s="35" t="s">
        <v>7045</v>
      </c>
      <c r="AR36" s="30">
        <v>46388.0</v>
      </c>
      <c r="AS36" s="30">
        <v>46477.0</v>
      </c>
      <c r="AT36" s="36">
        <v>0.0</v>
      </c>
      <c r="AU36" s="36">
        <v>0.0</v>
      </c>
      <c r="AV36" s="35" t="s">
        <v>7045</v>
      </c>
      <c r="AW36" s="30">
        <v>46478.0</v>
      </c>
      <c r="AX36" s="30">
        <v>46568.0</v>
      </c>
      <c r="AY36" s="36">
        <v>0.0</v>
      </c>
      <c r="AZ36" s="36">
        <v>0.0</v>
      </c>
      <c r="BA36" s="35" t="s">
        <v>7045</v>
      </c>
      <c r="BB36" s="30">
        <v>46569.0</v>
      </c>
      <c r="BC36" s="30">
        <v>46660.0</v>
      </c>
      <c r="BD36" s="36">
        <v>0.0</v>
      </c>
      <c r="BE36" s="36">
        <v>0.0</v>
      </c>
      <c r="BF36" s="35" t="s">
        <v>7045</v>
      </c>
      <c r="BG36" s="30">
        <v>46661.0</v>
      </c>
      <c r="BH36" s="30">
        <v>46752.0</v>
      </c>
      <c r="BI36" s="36">
        <v>0.0</v>
      </c>
      <c r="BJ36" s="36">
        <v>0.0</v>
      </c>
      <c r="BK36" s="35" t="s">
        <v>7045</v>
      </c>
      <c r="BL36" s="30">
        <v>46753.0</v>
      </c>
      <c r="BM36" s="30">
        <v>46843.0</v>
      </c>
      <c r="BN36" s="36">
        <v>0.0</v>
      </c>
      <c r="BO36" s="36">
        <v>0.0</v>
      </c>
      <c r="BP36" s="35" t="s">
        <v>7045</v>
      </c>
      <c r="BQ36" s="30">
        <v>46844.0</v>
      </c>
      <c r="BR36" s="30">
        <v>46934.0</v>
      </c>
      <c r="BS36" s="36">
        <v>0.0</v>
      </c>
      <c r="BT36" s="36">
        <v>0.0</v>
      </c>
      <c r="BU36" s="35" t="s">
        <v>7045</v>
      </c>
      <c r="BV36" s="30">
        <v>46935.0</v>
      </c>
      <c r="BW36" s="30">
        <v>47026.0</v>
      </c>
      <c r="BX36" s="36">
        <v>0.0</v>
      </c>
      <c r="BY36" s="36">
        <v>0.0</v>
      </c>
      <c r="BZ36" s="35" t="s">
        <v>7045</v>
      </c>
      <c r="CA36" s="30">
        <v>47027.0</v>
      </c>
      <c r="CB36" s="30">
        <v>47118.0</v>
      </c>
      <c r="CC36" s="36">
        <v>0.0</v>
      </c>
      <c r="CD36" s="36">
        <v>0.0</v>
      </c>
      <c r="CE36" s="35" t="s">
        <v>7045</v>
      </c>
      <c r="CF36" s="30">
        <v>47119.0</v>
      </c>
      <c r="CG36" s="30">
        <v>47208.0</v>
      </c>
      <c r="CH36" s="36">
        <v>0.0</v>
      </c>
      <c r="CI36" s="36">
        <v>0.0</v>
      </c>
      <c r="CJ36" s="35" t="s">
        <v>7045</v>
      </c>
      <c r="CK36" s="30">
        <v>47209.0</v>
      </c>
      <c r="CL36" s="30">
        <v>47299.0</v>
      </c>
      <c r="CM36" s="36">
        <v>0.0</v>
      </c>
      <c r="CN36" s="36">
        <v>0.0</v>
      </c>
      <c r="CO36" s="35" t="s">
        <v>7045</v>
      </c>
      <c r="CP36" s="30">
        <v>47300.0</v>
      </c>
      <c r="CQ36" s="30">
        <v>47391.0</v>
      </c>
      <c r="CR36" s="36">
        <v>0.0</v>
      </c>
      <c r="CS36" s="36">
        <v>0.0</v>
      </c>
      <c r="CT36" s="35" t="s">
        <v>7045</v>
      </c>
      <c r="CU36" s="30">
        <v>47392.0</v>
      </c>
      <c r="CV36" s="30">
        <v>47483.0</v>
      </c>
      <c r="CW36" s="36">
        <v>0.0</v>
      </c>
      <c r="CX36" s="36">
        <v>0.0</v>
      </c>
      <c r="CY36" s="35" t="s">
        <v>7045</v>
      </c>
      <c r="CZ36" s="30">
        <v>47484.0</v>
      </c>
      <c r="DA36" s="30">
        <v>47573.0</v>
      </c>
      <c r="DB36" s="36">
        <v>0.0</v>
      </c>
      <c r="DC36" s="36">
        <v>0.0</v>
      </c>
      <c r="DD36" s="35" t="s">
        <v>7045</v>
      </c>
      <c r="DE36" s="30">
        <v>47574.0</v>
      </c>
      <c r="DF36" s="30">
        <v>47664.0</v>
      </c>
      <c r="DG36" s="36">
        <v>0.0</v>
      </c>
      <c r="DH36" s="36">
        <v>0.0</v>
      </c>
      <c r="DI36" s="35" t="s">
        <v>7045</v>
      </c>
      <c r="DJ36" s="30">
        <v>47665.0</v>
      </c>
      <c r="DK36" s="30">
        <v>47756.0</v>
      </c>
      <c r="DL36" s="36">
        <v>0.0</v>
      </c>
      <c r="DM36" s="36">
        <v>0.0</v>
      </c>
      <c r="DN36" s="35" t="s">
        <v>7045</v>
      </c>
      <c r="DO36" s="30">
        <v>47757.0</v>
      </c>
      <c r="DP36" s="30">
        <v>47848.0</v>
      </c>
      <c r="DQ36" s="36">
        <v>0.0</v>
      </c>
      <c r="DR36" s="36">
        <v>0.0</v>
      </c>
      <c r="DS36" s="35" t="s">
        <v>7045</v>
      </c>
    </row>
    <row r="37" ht="14.25" customHeight="1">
      <c r="A37" s="28" t="s">
        <v>1956</v>
      </c>
      <c r="B37" s="29" t="s">
        <v>1957</v>
      </c>
      <c r="C37" s="29" t="s">
        <v>7041</v>
      </c>
      <c r="D37" s="30">
        <v>45658.0</v>
      </c>
      <c r="E37" s="30">
        <v>45747.0</v>
      </c>
      <c r="F37" s="36">
        <v>50.0</v>
      </c>
      <c r="G37" s="36">
        <v>0.0</v>
      </c>
      <c r="H37" s="38" t="s">
        <v>7047</v>
      </c>
      <c r="I37" s="30">
        <v>45748.0</v>
      </c>
      <c r="J37" s="30">
        <v>45838.0</v>
      </c>
      <c r="K37" s="36">
        <v>104.99</v>
      </c>
      <c r="L37" s="36">
        <v>0.0</v>
      </c>
      <c r="M37" s="38" t="s">
        <v>7047</v>
      </c>
      <c r="N37" s="30">
        <v>45839.0</v>
      </c>
      <c r="O37" s="30">
        <v>45930.0</v>
      </c>
      <c r="P37" s="36">
        <v>2562.98</v>
      </c>
      <c r="Q37" s="36">
        <v>0.0</v>
      </c>
      <c r="R37" s="38" t="s">
        <v>7047</v>
      </c>
      <c r="S37" s="30">
        <v>45931.0</v>
      </c>
      <c r="T37" s="30">
        <v>46022.0</v>
      </c>
      <c r="U37" s="36">
        <v>4760.96</v>
      </c>
      <c r="V37" s="36">
        <v>0.0</v>
      </c>
      <c r="W37" s="38" t="s">
        <v>7047</v>
      </c>
      <c r="X37" s="30">
        <v>46023.0</v>
      </c>
      <c r="Y37" s="30">
        <v>46112.0</v>
      </c>
      <c r="Z37" s="36">
        <v>289.99</v>
      </c>
      <c r="AA37" s="36">
        <v>0.0</v>
      </c>
      <c r="AB37" s="38" t="s">
        <v>7047</v>
      </c>
      <c r="AC37" s="30">
        <v>46113.0</v>
      </c>
      <c r="AD37" s="30">
        <v>46203.0</v>
      </c>
      <c r="AE37" s="36">
        <v>0.0</v>
      </c>
      <c r="AF37" s="36">
        <v>0.0</v>
      </c>
      <c r="AG37" s="35" t="s">
        <v>7045</v>
      </c>
      <c r="AH37" s="30">
        <v>46204.0</v>
      </c>
      <c r="AI37" s="30">
        <v>46295.0</v>
      </c>
      <c r="AJ37" s="36">
        <v>0.0</v>
      </c>
      <c r="AK37" s="36">
        <v>0.0</v>
      </c>
      <c r="AL37" s="35" t="s">
        <v>7045</v>
      </c>
      <c r="AM37" s="30">
        <v>46296.0</v>
      </c>
      <c r="AN37" s="30">
        <v>46387.0</v>
      </c>
      <c r="AO37" s="36">
        <v>0.0</v>
      </c>
      <c r="AP37" s="36">
        <v>0.0</v>
      </c>
      <c r="AQ37" s="35" t="s">
        <v>7045</v>
      </c>
      <c r="AR37" s="30">
        <v>46388.0</v>
      </c>
      <c r="AS37" s="30">
        <v>46477.0</v>
      </c>
      <c r="AT37" s="36">
        <v>0.0</v>
      </c>
      <c r="AU37" s="36">
        <v>0.0</v>
      </c>
      <c r="AV37" s="35" t="s">
        <v>7045</v>
      </c>
      <c r="AW37" s="30">
        <v>46478.0</v>
      </c>
      <c r="AX37" s="30">
        <v>46568.0</v>
      </c>
      <c r="AY37" s="36">
        <v>0.0</v>
      </c>
      <c r="AZ37" s="36">
        <v>0.0</v>
      </c>
      <c r="BA37" s="35" t="s">
        <v>7045</v>
      </c>
      <c r="BB37" s="30">
        <v>46569.0</v>
      </c>
      <c r="BC37" s="30">
        <v>46660.0</v>
      </c>
      <c r="BD37" s="36">
        <v>0.0</v>
      </c>
      <c r="BE37" s="36">
        <v>0.0</v>
      </c>
      <c r="BF37" s="35" t="s">
        <v>7045</v>
      </c>
      <c r="BG37" s="30">
        <v>46661.0</v>
      </c>
      <c r="BH37" s="30">
        <v>46752.0</v>
      </c>
      <c r="BI37" s="36">
        <v>0.0</v>
      </c>
      <c r="BJ37" s="36">
        <v>0.0</v>
      </c>
      <c r="BK37" s="35" t="s">
        <v>7045</v>
      </c>
      <c r="BL37" s="30">
        <v>46753.0</v>
      </c>
      <c r="BM37" s="30">
        <v>46843.0</v>
      </c>
      <c r="BN37" s="36">
        <v>0.0</v>
      </c>
      <c r="BO37" s="36">
        <v>0.0</v>
      </c>
      <c r="BP37" s="35" t="s">
        <v>7045</v>
      </c>
      <c r="BQ37" s="30">
        <v>46844.0</v>
      </c>
      <c r="BR37" s="30">
        <v>46934.0</v>
      </c>
      <c r="BS37" s="36">
        <v>0.0</v>
      </c>
      <c r="BT37" s="36">
        <v>0.0</v>
      </c>
      <c r="BU37" s="35" t="s">
        <v>7045</v>
      </c>
      <c r="BV37" s="30">
        <v>46935.0</v>
      </c>
      <c r="BW37" s="30">
        <v>47026.0</v>
      </c>
      <c r="BX37" s="36">
        <v>0.0</v>
      </c>
      <c r="BY37" s="36">
        <v>0.0</v>
      </c>
      <c r="BZ37" s="35" t="s">
        <v>7045</v>
      </c>
      <c r="CA37" s="30">
        <v>47027.0</v>
      </c>
      <c r="CB37" s="30">
        <v>47118.0</v>
      </c>
      <c r="CC37" s="36">
        <v>0.0</v>
      </c>
      <c r="CD37" s="36">
        <v>0.0</v>
      </c>
      <c r="CE37" s="35" t="s">
        <v>7045</v>
      </c>
      <c r="CF37" s="30">
        <v>47119.0</v>
      </c>
      <c r="CG37" s="30">
        <v>47208.0</v>
      </c>
      <c r="CH37" s="36">
        <v>0.0</v>
      </c>
      <c r="CI37" s="36">
        <v>0.0</v>
      </c>
      <c r="CJ37" s="35" t="s">
        <v>7045</v>
      </c>
      <c r="CK37" s="30">
        <v>47209.0</v>
      </c>
      <c r="CL37" s="30">
        <v>47299.0</v>
      </c>
      <c r="CM37" s="36">
        <v>0.0</v>
      </c>
      <c r="CN37" s="36">
        <v>0.0</v>
      </c>
      <c r="CO37" s="35" t="s">
        <v>7045</v>
      </c>
      <c r="CP37" s="30">
        <v>47300.0</v>
      </c>
      <c r="CQ37" s="30">
        <v>47391.0</v>
      </c>
      <c r="CR37" s="36">
        <v>0.0</v>
      </c>
      <c r="CS37" s="36">
        <v>0.0</v>
      </c>
      <c r="CT37" s="35" t="s">
        <v>7045</v>
      </c>
      <c r="CU37" s="30">
        <v>47392.0</v>
      </c>
      <c r="CV37" s="30">
        <v>47483.0</v>
      </c>
      <c r="CW37" s="36">
        <v>0.0</v>
      </c>
      <c r="CX37" s="36">
        <v>0.0</v>
      </c>
      <c r="CY37" s="35" t="s">
        <v>7045</v>
      </c>
      <c r="CZ37" s="30">
        <v>47484.0</v>
      </c>
      <c r="DA37" s="30">
        <v>47573.0</v>
      </c>
      <c r="DB37" s="36">
        <v>0.0</v>
      </c>
      <c r="DC37" s="36">
        <v>0.0</v>
      </c>
      <c r="DD37" s="35" t="s">
        <v>7045</v>
      </c>
      <c r="DE37" s="30">
        <v>47574.0</v>
      </c>
      <c r="DF37" s="30">
        <v>47664.0</v>
      </c>
      <c r="DG37" s="36">
        <v>0.0</v>
      </c>
      <c r="DH37" s="36">
        <v>0.0</v>
      </c>
      <c r="DI37" s="35" t="s">
        <v>7045</v>
      </c>
      <c r="DJ37" s="30">
        <v>47665.0</v>
      </c>
      <c r="DK37" s="30">
        <v>47756.0</v>
      </c>
      <c r="DL37" s="36">
        <v>0.0</v>
      </c>
      <c r="DM37" s="36">
        <v>0.0</v>
      </c>
      <c r="DN37" s="35" t="s">
        <v>7045</v>
      </c>
      <c r="DO37" s="30">
        <v>47757.0</v>
      </c>
      <c r="DP37" s="30">
        <v>47848.0</v>
      </c>
      <c r="DQ37" s="36">
        <v>0.0</v>
      </c>
      <c r="DR37" s="36">
        <v>0.0</v>
      </c>
      <c r="DS37" s="35" t="s">
        <v>7045</v>
      </c>
    </row>
    <row r="38" ht="14.25" customHeight="1">
      <c r="A38" s="28" t="s">
        <v>4981</v>
      </c>
      <c r="B38" s="29" t="s">
        <v>4982</v>
      </c>
      <c r="C38" s="29" t="s">
        <v>7041</v>
      </c>
      <c r="D38" s="30">
        <v>45658.0</v>
      </c>
      <c r="E38" s="30">
        <v>45747.0</v>
      </c>
      <c r="F38" s="36">
        <v>10.51</v>
      </c>
      <c r="G38" s="36">
        <v>0.0</v>
      </c>
      <c r="H38" s="38" t="s">
        <v>7047</v>
      </c>
      <c r="I38" s="30">
        <v>45748.0</v>
      </c>
      <c r="J38" s="30">
        <v>45838.0</v>
      </c>
      <c r="K38" s="36">
        <v>22.74</v>
      </c>
      <c r="L38" s="36">
        <v>470.0</v>
      </c>
      <c r="M38" s="38" t="s">
        <v>7043</v>
      </c>
      <c r="N38" s="30">
        <v>45839.0</v>
      </c>
      <c r="O38" s="30">
        <v>45930.0</v>
      </c>
      <c r="P38" s="36">
        <v>415.78</v>
      </c>
      <c r="Q38" s="36">
        <v>536.83</v>
      </c>
      <c r="R38" s="38" t="s">
        <v>7047</v>
      </c>
      <c r="S38" s="30">
        <v>45931.0</v>
      </c>
      <c r="T38" s="30">
        <v>46022.0</v>
      </c>
      <c r="U38" s="36">
        <v>2636.97</v>
      </c>
      <c r="V38" s="36">
        <v>536.83</v>
      </c>
      <c r="W38" s="38" t="s">
        <v>7047</v>
      </c>
      <c r="X38" s="30">
        <v>46023.0</v>
      </c>
      <c r="Y38" s="30">
        <v>46112.0</v>
      </c>
      <c r="Z38" s="36">
        <v>652.91</v>
      </c>
      <c r="AA38" s="36">
        <v>0.0</v>
      </c>
      <c r="AB38" s="38" t="s">
        <v>7047</v>
      </c>
      <c r="AC38" s="30">
        <v>46113.0</v>
      </c>
      <c r="AD38" s="30">
        <v>46203.0</v>
      </c>
      <c r="AE38" s="36">
        <v>0.0</v>
      </c>
      <c r="AF38" s="36">
        <v>0.0</v>
      </c>
      <c r="AG38" s="35" t="s">
        <v>7045</v>
      </c>
      <c r="AH38" s="30">
        <v>46204.0</v>
      </c>
      <c r="AI38" s="30">
        <v>46295.0</v>
      </c>
      <c r="AJ38" s="36">
        <v>12.22</v>
      </c>
      <c r="AK38" s="36">
        <v>0.0</v>
      </c>
      <c r="AL38" s="38" t="s">
        <v>7047</v>
      </c>
      <c r="AM38" s="30">
        <v>46296.0</v>
      </c>
      <c r="AN38" s="30">
        <v>46387.0</v>
      </c>
      <c r="AO38" s="36">
        <v>0.0</v>
      </c>
      <c r="AP38" s="36">
        <v>0.0</v>
      </c>
      <c r="AQ38" s="35" t="s">
        <v>7045</v>
      </c>
      <c r="AR38" s="30">
        <v>46388.0</v>
      </c>
      <c r="AS38" s="30">
        <v>46477.0</v>
      </c>
      <c r="AT38" s="36">
        <v>0.0</v>
      </c>
      <c r="AU38" s="36">
        <v>0.0</v>
      </c>
      <c r="AV38" s="35" t="s">
        <v>7045</v>
      </c>
      <c r="AW38" s="30">
        <v>46478.0</v>
      </c>
      <c r="AX38" s="30">
        <v>46568.0</v>
      </c>
      <c r="AY38" s="36">
        <v>0.0</v>
      </c>
      <c r="AZ38" s="36">
        <v>0.0</v>
      </c>
      <c r="BA38" s="35" t="s">
        <v>7045</v>
      </c>
      <c r="BB38" s="30">
        <v>46569.0</v>
      </c>
      <c r="BC38" s="30">
        <v>46660.0</v>
      </c>
      <c r="BD38" s="36">
        <v>0.0</v>
      </c>
      <c r="BE38" s="36">
        <v>0.0</v>
      </c>
      <c r="BF38" s="35" t="s">
        <v>7045</v>
      </c>
      <c r="BG38" s="30">
        <v>46661.0</v>
      </c>
      <c r="BH38" s="30">
        <v>46752.0</v>
      </c>
      <c r="BI38" s="36">
        <v>0.0</v>
      </c>
      <c r="BJ38" s="36">
        <v>0.0</v>
      </c>
      <c r="BK38" s="35" t="s">
        <v>7045</v>
      </c>
      <c r="BL38" s="30">
        <v>46753.0</v>
      </c>
      <c r="BM38" s="30">
        <v>46843.0</v>
      </c>
      <c r="BN38" s="36">
        <v>0.0</v>
      </c>
      <c r="BO38" s="36">
        <v>0.0</v>
      </c>
      <c r="BP38" s="35" t="s">
        <v>7045</v>
      </c>
      <c r="BQ38" s="30">
        <v>46844.0</v>
      </c>
      <c r="BR38" s="30">
        <v>46934.0</v>
      </c>
      <c r="BS38" s="36">
        <v>0.0</v>
      </c>
      <c r="BT38" s="36">
        <v>0.0</v>
      </c>
      <c r="BU38" s="35" t="s">
        <v>7045</v>
      </c>
      <c r="BV38" s="30">
        <v>46935.0</v>
      </c>
      <c r="BW38" s="30">
        <v>47026.0</v>
      </c>
      <c r="BX38" s="36">
        <v>0.0</v>
      </c>
      <c r="BY38" s="36">
        <v>0.0</v>
      </c>
      <c r="BZ38" s="35" t="s">
        <v>7045</v>
      </c>
      <c r="CA38" s="30">
        <v>47027.0</v>
      </c>
      <c r="CB38" s="30">
        <v>47118.0</v>
      </c>
      <c r="CC38" s="36">
        <v>0.0</v>
      </c>
      <c r="CD38" s="36">
        <v>0.0</v>
      </c>
      <c r="CE38" s="35" t="s">
        <v>7045</v>
      </c>
      <c r="CF38" s="30">
        <v>47119.0</v>
      </c>
      <c r="CG38" s="30">
        <v>47208.0</v>
      </c>
      <c r="CH38" s="36">
        <v>0.0</v>
      </c>
      <c r="CI38" s="36">
        <v>0.0</v>
      </c>
      <c r="CJ38" s="35" t="s">
        <v>7045</v>
      </c>
      <c r="CK38" s="30">
        <v>47209.0</v>
      </c>
      <c r="CL38" s="30">
        <v>47299.0</v>
      </c>
      <c r="CM38" s="36">
        <v>0.0</v>
      </c>
      <c r="CN38" s="36">
        <v>0.0</v>
      </c>
      <c r="CO38" s="35" t="s">
        <v>7045</v>
      </c>
      <c r="CP38" s="30">
        <v>47300.0</v>
      </c>
      <c r="CQ38" s="30">
        <v>47391.0</v>
      </c>
      <c r="CR38" s="36">
        <v>0.0</v>
      </c>
      <c r="CS38" s="36">
        <v>0.0</v>
      </c>
      <c r="CT38" s="35" t="s">
        <v>7045</v>
      </c>
      <c r="CU38" s="30">
        <v>47392.0</v>
      </c>
      <c r="CV38" s="30">
        <v>47483.0</v>
      </c>
      <c r="CW38" s="36">
        <v>0.0</v>
      </c>
      <c r="CX38" s="36">
        <v>0.0</v>
      </c>
      <c r="CY38" s="35" t="s">
        <v>7045</v>
      </c>
      <c r="CZ38" s="30">
        <v>47484.0</v>
      </c>
      <c r="DA38" s="30">
        <v>47573.0</v>
      </c>
      <c r="DB38" s="36">
        <v>0.0</v>
      </c>
      <c r="DC38" s="36">
        <v>0.0</v>
      </c>
      <c r="DD38" s="35" t="s">
        <v>7045</v>
      </c>
      <c r="DE38" s="30">
        <v>47574.0</v>
      </c>
      <c r="DF38" s="30">
        <v>47664.0</v>
      </c>
      <c r="DG38" s="36">
        <v>0.0</v>
      </c>
      <c r="DH38" s="36">
        <v>0.0</v>
      </c>
      <c r="DI38" s="35" t="s">
        <v>7045</v>
      </c>
      <c r="DJ38" s="30">
        <v>47665.0</v>
      </c>
      <c r="DK38" s="30">
        <v>47756.0</v>
      </c>
      <c r="DL38" s="36">
        <v>0.0</v>
      </c>
      <c r="DM38" s="36">
        <v>0.0</v>
      </c>
      <c r="DN38" s="35" t="s">
        <v>7045</v>
      </c>
      <c r="DO38" s="30">
        <v>47757.0</v>
      </c>
      <c r="DP38" s="30">
        <v>47848.0</v>
      </c>
      <c r="DQ38" s="36">
        <v>0.0</v>
      </c>
      <c r="DR38" s="36">
        <v>0.0</v>
      </c>
      <c r="DS38" s="35" t="s">
        <v>7045</v>
      </c>
    </row>
    <row r="39" ht="14.25" customHeight="1">
      <c r="A39" s="28" t="s">
        <v>654</v>
      </c>
      <c r="B39" s="29" t="s">
        <v>655</v>
      </c>
      <c r="C39" s="29" t="s">
        <v>7041</v>
      </c>
      <c r="D39" s="30">
        <v>45658.0</v>
      </c>
      <c r="E39" s="30">
        <v>45747.0</v>
      </c>
      <c r="F39" s="36">
        <v>13.85</v>
      </c>
      <c r="G39" s="36">
        <v>0.0</v>
      </c>
      <c r="H39" s="38" t="s">
        <v>7047</v>
      </c>
      <c r="I39" s="30">
        <v>45748.0</v>
      </c>
      <c r="J39" s="30">
        <v>45838.0</v>
      </c>
      <c r="K39" s="36">
        <v>6.13</v>
      </c>
      <c r="L39" s="36">
        <v>1291.67</v>
      </c>
      <c r="M39" s="32" t="s">
        <v>7043</v>
      </c>
      <c r="N39" s="30">
        <v>45839.0</v>
      </c>
      <c r="O39" s="30">
        <v>45930.0</v>
      </c>
      <c r="P39" s="36">
        <v>229.14</v>
      </c>
      <c r="Q39" s="36">
        <v>1291.67</v>
      </c>
      <c r="R39" s="38" t="s">
        <v>7047</v>
      </c>
      <c r="S39" s="30">
        <v>45931.0</v>
      </c>
      <c r="T39" s="30">
        <v>46022.0</v>
      </c>
      <c r="U39" s="36">
        <v>1124.39</v>
      </c>
      <c r="V39" s="36">
        <v>1291.67</v>
      </c>
      <c r="W39" s="38" t="s">
        <v>7047</v>
      </c>
      <c r="X39" s="30">
        <v>46023.0</v>
      </c>
      <c r="Y39" s="30">
        <v>46112.0</v>
      </c>
      <c r="Z39" s="36">
        <v>1.47</v>
      </c>
      <c r="AA39" s="36">
        <v>0.0</v>
      </c>
      <c r="AB39" s="38" t="s">
        <v>7047</v>
      </c>
      <c r="AC39" s="30">
        <v>46113.0</v>
      </c>
      <c r="AD39" s="30">
        <v>46203.0</v>
      </c>
      <c r="AE39" s="36">
        <v>110.0</v>
      </c>
      <c r="AF39" s="36">
        <v>0.0</v>
      </c>
      <c r="AG39" s="35" t="s">
        <v>7047</v>
      </c>
      <c r="AH39" s="30">
        <v>46204.0</v>
      </c>
      <c r="AI39" s="30">
        <v>46295.0</v>
      </c>
      <c r="AJ39" s="36">
        <v>0.0</v>
      </c>
      <c r="AK39" s="36">
        <v>0.0</v>
      </c>
      <c r="AL39" s="35" t="s">
        <v>7045</v>
      </c>
      <c r="AM39" s="30">
        <v>46296.0</v>
      </c>
      <c r="AN39" s="30">
        <v>46387.0</v>
      </c>
      <c r="AO39" s="36">
        <v>0.0</v>
      </c>
      <c r="AP39" s="36">
        <v>0.0</v>
      </c>
      <c r="AQ39" s="35" t="s">
        <v>7045</v>
      </c>
      <c r="AR39" s="30">
        <v>46388.0</v>
      </c>
      <c r="AS39" s="30">
        <v>46477.0</v>
      </c>
      <c r="AT39" s="36">
        <v>0.0</v>
      </c>
      <c r="AU39" s="36">
        <v>0.0</v>
      </c>
      <c r="AV39" s="35" t="s">
        <v>7045</v>
      </c>
      <c r="AW39" s="30">
        <v>46478.0</v>
      </c>
      <c r="AX39" s="30">
        <v>46568.0</v>
      </c>
      <c r="AY39" s="36">
        <v>0.0</v>
      </c>
      <c r="AZ39" s="36">
        <v>0.0</v>
      </c>
      <c r="BA39" s="35" t="s">
        <v>7045</v>
      </c>
      <c r="BB39" s="30">
        <v>46569.0</v>
      </c>
      <c r="BC39" s="30">
        <v>46660.0</v>
      </c>
      <c r="BD39" s="36">
        <v>0.0</v>
      </c>
      <c r="BE39" s="36">
        <v>0.0</v>
      </c>
      <c r="BF39" s="35" t="s">
        <v>7045</v>
      </c>
      <c r="BG39" s="30">
        <v>46661.0</v>
      </c>
      <c r="BH39" s="30">
        <v>46752.0</v>
      </c>
      <c r="BI39" s="36">
        <v>0.0</v>
      </c>
      <c r="BJ39" s="36">
        <v>0.0</v>
      </c>
      <c r="BK39" s="35" t="s">
        <v>7045</v>
      </c>
      <c r="BL39" s="30">
        <v>46753.0</v>
      </c>
      <c r="BM39" s="30">
        <v>46843.0</v>
      </c>
      <c r="BN39" s="36">
        <v>0.0</v>
      </c>
      <c r="BO39" s="36">
        <v>0.0</v>
      </c>
      <c r="BP39" s="35" t="s">
        <v>7045</v>
      </c>
      <c r="BQ39" s="30">
        <v>46844.0</v>
      </c>
      <c r="BR39" s="30">
        <v>46934.0</v>
      </c>
      <c r="BS39" s="36">
        <v>0.0</v>
      </c>
      <c r="BT39" s="36">
        <v>0.0</v>
      </c>
      <c r="BU39" s="35" t="s">
        <v>7045</v>
      </c>
      <c r="BV39" s="30">
        <v>46935.0</v>
      </c>
      <c r="BW39" s="30">
        <v>47026.0</v>
      </c>
      <c r="BX39" s="36">
        <v>0.0</v>
      </c>
      <c r="BY39" s="36">
        <v>0.0</v>
      </c>
      <c r="BZ39" s="35" t="s">
        <v>7045</v>
      </c>
      <c r="CA39" s="30">
        <v>47027.0</v>
      </c>
      <c r="CB39" s="30">
        <v>47118.0</v>
      </c>
      <c r="CC39" s="36">
        <v>0.0</v>
      </c>
      <c r="CD39" s="36">
        <v>0.0</v>
      </c>
      <c r="CE39" s="35" t="s">
        <v>7045</v>
      </c>
      <c r="CF39" s="30">
        <v>47119.0</v>
      </c>
      <c r="CG39" s="30">
        <v>47208.0</v>
      </c>
      <c r="CH39" s="36">
        <v>0.0</v>
      </c>
      <c r="CI39" s="36">
        <v>0.0</v>
      </c>
      <c r="CJ39" s="35" t="s">
        <v>7045</v>
      </c>
      <c r="CK39" s="30">
        <v>47209.0</v>
      </c>
      <c r="CL39" s="30">
        <v>47299.0</v>
      </c>
      <c r="CM39" s="36">
        <v>0.0</v>
      </c>
      <c r="CN39" s="36">
        <v>0.0</v>
      </c>
      <c r="CO39" s="35" t="s">
        <v>7045</v>
      </c>
      <c r="CP39" s="30">
        <v>47300.0</v>
      </c>
      <c r="CQ39" s="30">
        <v>47391.0</v>
      </c>
      <c r="CR39" s="36">
        <v>0.0</v>
      </c>
      <c r="CS39" s="36">
        <v>0.0</v>
      </c>
      <c r="CT39" s="35" t="s">
        <v>7045</v>
      </c>
      <c r="CU39" s="30">
        <v>47392.0</v>
      </c>
      <c r="CV39" s="30">
        <v>47483.0</v>
      </c>
      <c r="CW39" s="36">
        <v>0.0</v>
      </c>
      <c r="CX39" s="36">
        <v>0.0</v>
      </c>
      <c r="CY39" s="35" t="s">
        <v>7045</v>
      </c>
      <c r="CZ39" s="30">
        <v>47484.0</v>
      </c>
      <c r="DA39" s="30">
        <v>47573.0</v>
      </c>
      <c r="DB39" s="36">
        <v>0.0</v>
      </c>
      <c r="DC39" s="36">
        <v>0.0</v>
      </c>
      <c r="DD39" s="35" t="s">
        <v>7045</v>
      </c>
      <c r="DE39" s="30">
        <v>47574.0</v>
      </c>
      <c r="DF39" s="30">
        <v>47664.0</v>
      </c>
      <c r="DG39" s="36">
        <v>0.0</v>
      </c>
      <c r="DH39" s="36">
        <v>0.0</v>
      </c>
      <c r="DI39" s="35" t="s">
        <v>7045</v>
      </c>
      <c r="DJ39" s="30">
        <v>47665.0</v>
      </c>
      <c r="DK39" s="30">
        <v>47756.0</v>
      </c>
      <c r="DL39" s="36">
        <v>0.0</v>
      </c>
      <c r="DM39" s="36">
        <v>0.0</v>
      </c>
      <c r="DN39" s="35" t="s">
        <v>7045</v>
      </c>
      <c r="DO39" s="30">
        <v>47757.0</v>
      </c>
      <c r="DP39" s="30">
        <v>47848.0</v>
      </c>
      <c r="DQ39" s="36">
        <v>0.0</v>
      </c>
      <c r="DR39" s="36">
        <v>0.0</v>
      </c>
      <c r="DS39" s="35" t="s">
        <v>7045</v>
      </c>
    </row>
    <row r="40" ht="14.25" customHeight="1">
      <c r="A40" s="28" t="s">
        <v>2137</v>
      </c>
      <c r="B40" s="29" t="s">
        <v>2138</v>
      </c>
      <c r="C40" s="29" t="s">
        <v>7041</v>
      </c>
      <c r="D40" s="30">
        <v>45658.0</v>
      </c>
      <c r="E40" s="30">
        <v>45747.0</v>
      </c>
      <c r="F40" s="36">
        <v>4.78</v>
      </c>
      <c r="G40" s="36">
        <v>0.0</v>
      </c>
      <c r="H40" s="38" t="s">
        <v>7047</v>
      </c>
      <c r="I40" s="30">
        <v>45748.0</v>
      </c>
      <c r="J40" s="30">
        <v>45838.0</v>
      </c>
      <c r="K40" s="36">
        <v>15.86</v>
      </c>
      <c r="L40" s="36">
        <v>0.0</v>
      </c>
      <c r="M40" s="38" t="s">
        <v>7047</v>
      </c>
      <c r="N40" s="30">
        <v>45839.0</v>
      </c>
      <c r="O40" s="30">
        <v>45930.0</v>
      </c>
      <c r="P40" s="36">
        <v>37.27</v>
      </c>
      <c r="Q40" s="36">
        <v>1586.84</v>
      </c>
      <c r="R40" s="38" t="s">
        <v>7043</v>
      </c>
      <c r="S40" s="30">
        <v>45931.0</v>
      </c>
      <c r="T40" s="30">
        <v>46022.0</v>
      </c>
      <c r="U40" s="36">
        <v>65.8</v>
      </c>
      <c r="V40" s="36">
        <v>555.26</v>
      </c>
      <c r="W40" s="38" t="s">
        <v>7047</v>
      </c>
      <c r="X40" s="30">
        <v>46023.0</v>
      </c>
      <c r="Y40" s="30">
        <v>46112.0</v>
      </c>
      <c r="Z40" s="36">
        <v>0.0</v>
      </c>
      <c r="AA40" s="36">
        <v>0.0</v>
      </c>
      <c r="AB40" s="35" t="s">
        <v>7045</v>
      </c>
      <c r="AC40" s="30">
        <v>46113.0</v>
      </c>
      <c r="AD40" s="30">
        <v>46203.0</v>
      </c>
      <c r="AE40" s="36">
        <v>579.0</v>
      </c>
      <c r="AF40" s="36">
        <v>0.0</v>
      </c>
      <c r="AG40" s="38" t="s">
        <v>7047</v>
      </c>
      <c r="AH40" s="30">
        <v>46204.0</v>
      </c>
      <c r="AI40" s="30">
        <v>46295.0</v>
      </c>
      <c r="AJ40" s="36">
        <v>0.0</v>
      </c>
      <c r="AK40" s="36">
        <v>0.0</v>
      </c>
      <c r="AL40" s="35" t="s">
        <v>7045</v>
      </c>
      <c r="AM40" s="30">
        <v>46296.0</v>
      </c>
      <c r="AN40" s="30">
        <v>46387.0</v>
      </c>
      <c r="AO40" s="36">
        <v>17.35</v>
      </c>
      <c r="AP40" s="36">
        <v>0.0</v>
      </c>
      <c r="AQ40" s="38" t="s">
        <v>7047</v>
      </c>
      <c r="AR40" s="30">
        <v>46388.0</v>
      </c>
      <c r="AS40" s="30">
        <v>46477.0</v>
      </c>
      <c r="AT40" s="36">
        <v>0.0</v>
      </c>
      <c r="AU40" s="36">
        <v>0.0</v>
      </c>
      <c r="AV40" s="35" t="s">
        <v>7045</v>
      </c>
      <c r="AW40" s="30">
        <v>46478.0</v>
      </c>
      <c r="AX40" s="30">
        <v>46568.0</v>
      </c>
      <c r="AY40" s="36">
        <v>0.0</v>
      </c>
      <c r="AZ40" s="36">
        <v>0.0</v>
      </c>
      <c r="BA40" s="35" t="s">
        <v>7045</v>
      </c>
      <c r="BB40" s="30">
        <v>46569.0</v>
      </c>
      <c r="BC40" s="30">
        <v>46660.0</v>
      </c>
      <c r="BD40" s="36">
        <v>0.0</v>
      </c>
      <c r="BE40" s="36">
        <v>0.0</v>
      </c>
      <c r="BF40" s="35" t="s">
        <v>7045</v>
      </c>
      <c r="BG40" s="30">
        <v>46661.0</v>
      </c>
      <c r="BH40" s="30">
        <v>46752.0</v>
      </c>
      <c r="BI40" s="36">
        <v>0.0</v>
      </c>
      <c r="BJ40" s="36">
        <v>0.0</v>
      </c>
      <c r="BK40" s="35" t="s">
        <v>7045</v>
      </c>
      <c r="BL40" s="30">
        <v>46753.0</v>
      </c>
      <c r="BM40" s="30">
        <v>46843.0</v>
      </c>
      <c r="BN40" s="36">
        <v>0.0</v>
      </c>
      <c r="BO40" s="36">
        <v>0.0</v>
      </c>
      <c r="BP40" s="35" t="s">
        <v>7045</v>
      </c>
      <c r="BQ40" s="30">
        <v>46844.0</v>
      </c>
      <c r="BR40" s="30">
        <v>46934.0</v>
      </c>
      <c r="BS40" s="36">
        <v>0.0</v>
      </c>
      <c r="BT40" s="36">
        <v>0.0</v>
      </c>
      <c r="BU40" s="35" t="s">
        <v>7045</v>
      </c>
      <c r="BV40" s="30">
        <v>46935.0</v>
      </c>
      <c r="BW40" s="30">
        <v>47026.0</v>
      </c>
      <c r="BX40" s="36">
        <v>0.0</v>
      </c>
      <c r="BY40" s="36">
        <v>0.0</v>
      </c>
      <c r="BZ40" s="35" t="s">
        <v>7045</v>
      </c>
      <c r="CA40" s="30">
        <v>47027.0</v>
      </c>
      <c r="CB40" s="30">
        <v>47118.0</v>
      </c>
      <c r="CC40" s="36">
        <v>0.0</v>
      </c>
      <c r="CD40" s="36">
        <v>0.0</v>
      </c>
      <c r="CE40" s="35" t="s">
        <v>7045</v>
      </c>
      <c r="CF40" s="30">
        <v>47119.0</v>
      </c>
      <c r="CG40" s="30">
        <v>47208.0</v>
      </c>
      <c r="CH40" s="36">
        <v>0.0</v>
      </c>
      <c r="CI40" s="36">
        <v>0.0</v>
      </c>
      <c r="CJ40" s="35" t="s">
        <v>7045</v>
      </c>
      <c r="CK40" s="30">
        <v>47209.0</v>
      </c>
      <c r="CL40" s="30">
        <v>47299.0</v>
      </c>
      <c r="CM40" s="36">
        <v>0.0</v>
      </c>
      <c r="CN40" s="36">
        <v>0.0</v>
      </c>
      <c r="CO40" s="35" t="s">
        <v>7045</v>
      </c>
      <c r="CP40" s="30">
        <v>47300.0</v>
      </c>
      <c r="CQ40" s="30">
        <v>47391.0</v>
      </c>
      <c r="CR40" s="36">
        <v>0.0</v>
      </c>
      <c r="CS40" s="36">
        <v>0.0</v>
      </c>
      <c r="CT40" s="35" t="s">
        <v>7045</v>
      </c>
      <c r="CU40" s="30">
        <v>47392.0</v>
      </c>
      <c r="CV40" s="30">
        <v>47483.0</v>
      </c>
      <c r="CW40" s="36">
        <v>0.0</v>
      </c>
      <c r="CX40" s="36">
        <v>0.0</v>
      </c>
      <c r="CY40" s="35" t="s">
        <v>7045</v>
      </c>
      <c r="CZ40" s="30">
        <v>47484.0</v>
      </c>
      <c r="DA40" s="30">
        <v>47573.0</v>
      </c>
      <c r="DB40" s="36">
        <v>0.0</v>
      </c>
      <c r="DC40" s="36">
        <v>0.0</v>
      </c>
      <c r="DD40" s="35" t="s">
        <v>7045</v>
      </c>
      <c r="DE40" s="30">
        <v>47574.0</v>
      </c>
      <c r="DF40" s="30">
        <v>47664.0</v>
      </c>
      <c r="DG40" s="36">
        <v>0.0</v>
      </c>
      <c r="DH40" s="36">
        <v>0.0</v>
      </c>
      <c r="DI40" s="35" t="s">
        <v>7045</v>
      </c>
      <c r="DJ40" s="30">
        <v>47665.0</v>
      </c>
      <c r="DK40" s="30">
        <v>47756.0</v>
      </c>
      <c r="DL40" s="36">
        <v>0.0</v>
      </c>
      <c r="DM40" s="36">
        <v>0.0</v>
      </c>
      <c r="DN40" s="35" t="s">
        <v>7045</v>
      </c>
      <c r="DO40" s="30">
        <v>47757.0</v>
      </c>
      <c r="DP40" s="30">
        <v>47848.0</v>
      </c>
      <c r="DQ40" s="36">
        <v>0.0</v>
      </c>
      <c r="DR40" s="36">
        <v>0.0</v>
      </c>
      <c r="DS40" s="35" t="s">
        <v>7045</v>
      </c>
    </row>
    <row r="41" ht="14.25" customHeight="1">
      <c r="A41" s="28" t="s">
        <v>1124</v>
      </c>
      <c r="B41" s="29" t="s">
        <v>1125</v>
      </c>
      <c r="C41" s="29" t="s">
        <v>7041</v>
      </c>
      <c r="D41" s="30">
        <v>45658.0</v>
      </c>
      <c r="E41" s="30">
        <v>45747.0</v>
      </c>
      <c r="F41" s="36">
        <v>2.0</v>
      </c>
      <c r="G41" s="36">
        <v>0.0</v>
      </c>
      <c r="H41" s="38" t="s">
        <v>7047</v>
      </c>
      <c r="I41" s="30">
        <v>45748.0</v>
      </c>
      <c r="J41" s="30">
        <v>45838.0</v>
      </c>
      <c r="K41" s="36">
        <v>3.16</v>
      </c>
      <c r="L41" s="36">
        <v>1260.6</v>
      </c>
      <c r="M41" s="32" t="s">
        <v>7043</v>
      </c>
      <c r="N41" s="30">
        <v>45839.0</v>
      </c>
      <c r="O41" s="30">
        <v>45930.0</v>
      </c>
      <c r="P41" s="36">
        <v>972.1</v>
      </c>
      <c r="Q41" s="36">
        <v>1193.93</v>
      </c>
      <c r="R41" s="38" t="s">
        <v>7047</v>
      </c>
      <c r="S41" s="30">
        <v>45931.0</v>
      </c>
      <c r="T41" s="30">
        <v>46022.0</v>
      </c>
      <c r="U41" s="36">
        <v>217.97</v>
      </c>
      <c r="V41" s="36">
        <v>1172.71</v>
      </c>
      <c r="W41" s="38" t="s">
        <v>7047</v>
      </c>
      <c r="X41" s="30">
        <v>46023.0</v>
      </c>
      <c r="Y41" s="30">
        <v>46112.0</v>
      </c>
      <c r="Z41" s="36">
        <v>226.72</v>
      </c>
      <c r="AA41" s="36">
        <v>0.0</v>
      </c>
      <c r="AB41" s="38" t="s">
        <v>7047</v>
      </c>
      <c r="AC41" s="30">
        <v>46113.0</v>
      </c>
      <c r="AD41" s="30">
        <v>46203.0</v>
      </c>
      <c r="AE41" s="36">
        <v>111.89</v>
      </c>
      <c r="AF41" s="36">
        <v>0.0</v>
      </c>
      <c r="AG41" s="38" t="s">
        <v>7047</v>
      </c>
      <c r="AH41" s="30">
        <v>46204.0</v>
      </c>
      <c r="AI41" s="30">
        <v>46295.0</v>
      </c>
      <c r="AJ41" s="36">
        <v>3.33</v>
      </c>
      <c r="AK41" s="36">
        <v>0.0</v>
      </c>
      <c r="AL41" s="38" t="s">
        <v>7047</v>
      </c>
      <c r="AM41" s="30">
        <v>46296.0</v>
      </c>
      <c r="AN41" s="30">
        <v>46387.0</v>
      </c>
      <c r="AO41" s="36">
        <v>4.22</v>
      </c>
      <c r="AP41" s="36">
        <v>0.0</v>
      </c>
      <c r="AQ41" s="38" t="s">
        <v>7047</v>
      </c>
      <c r="AR41" s="30">
        <v>46388.0</v>
      </c>
      <c r="AS41" s="30">
        <v>46477.0</v>
      </c>
      <c r="AT41" s="36">
        <v>0.0</v>
      </c>
      <c r="AU41" s="36">
        <v>0.0</v>
      </c>
      <c r="AV41" s="35" t="s">
        <v>7045</v>
      </c>
      <c r="AW41" s="30">
        <v>46478.0</v>
      </c>
      <c r="AX41" s="30">
        <v>46568.0</v>
      </c>
      <c r="AY41" s="36">
        <v>0.0</v>
      </c>
      <c r="AZ41" s="36">
        <v>0.0</v>
      </c>
      <c r="BA41" s="35" t="s">
        <v>7045</v>
      </c>
      <c r="BB41" s="30">
        <v>46569.0</v>
      </c>
      <c r="BC41" s="30">
        <v>46660.0</v>
      </c>
      <c r="BD41" s="36">
        <v>0.0</v>
      </c>
      <c r="BE41" s="36">
        <v>0.0</v>
      </c>
      <c r="BF41" s="35" t="s">
        <v>7045</v>
      </c>
      <c r="BG41" s="30">
        <v>46661.0</v>
      </c>
      <c r="BH41" s="30">
        <v>46752.0</v>
      </c>
      <c r="BI41" s="36">
        <v>0.0</v>
      </c>
      <c r="BJ41" s="36">
        <v>0.0</v>
      </c>
      <c r="BK41" s="35" t="s">
        <v>7045</v>
      </c>
      <c r="BL41" s="30">
        <v>46753.0</v>
      </c>
      <c r="BM41" s="30">
        <v>46843.0</v>
      </c>
      <c r="BN41" s="36">
        <v>0.0</v>
      </c>
      <c r="BO41" s="36">
        <v>0.0</v>
      </c>
      <c r="BP41" s="35" t="s">
        <v>7045</v>
      </c>
      <c r="BQ41" s="30">
        <v>46844.0</v>
      </c>
      <c r="BR41" s="30">
        <v>46934.0</v>
      </c>
      <c r="BS41" s="36">
        <v>0.0</v>
      </c>
      <c r="BT41" s="36">
        <v>0.0</v>
      </c>
      <c r="BU41" s="35" t="s">
        <v>7045</v>
      </c>
      <c r="BV41" s="30">
        <v>46935.0</v>
      </c>
      <c r="BW41" s="30">
        <v>47026.0</v>
      </c>
      <c r="BX41" s="36">
        <v>0.0</v>
      </c>
      <c r="BY41" s="36">
        <v>0.0</v>
      </c>
      <c r="BZ41" s="35" t="s">
        <v>7045</v>
      </c>
      <c r="CA41" s="30">
        <v>47027.0</v>
      </c>
      <c r="CB41" s="30">
        <v>47118.0</v>
      </c>
      <c r="CC41" s="36">
        <v>0.0</v>
      </c>
      <c r="CD41" s="36">
        <v>0.0</v>
      </c>
      <c r="CE41" s="35" t="s">
        <v>7045</v>
      </c>
      <c r="CF41" s="30">
        <v>47119.0</v>
      </c>
      <c r="CG41" s="30">
        <v>47208.0</v>
      </c>
      <c r="CH41" s="36">
        <v>0.0</v>
      </c>
      <c r="CI41" s="36">
        <v>0.0</v>
      </c>
      <c r="CJ41" s="35" t="s">
        <v>7045</v>
      </c>
      <c r="CK41" s="30">
        <v>47209.0</v>
      </c>
      <c r="CL41" s="30">
        <v>47299.0</v>
      </c>
      <c r="CM41" s="36">
        <v>0.0</v>
      </c>
      <c r="CN41" s="36">
        <v>0.0</v>
      </c>
      <c r="CO41" s="35" t="s">
        <v>7045</v>
      </c>
      <c r="CP41" s="30">
        <v>47300.0</v>
      </c>
      <c r="CQ41" s="30">
        <v>47391.0</v>
      </c>
      <c r="CR41" s="36">
        <v>0.0</v>
      </c>
      <c r="CS41" s="36">
        <v>0.0</v>
      </c>
      <c r="CT41" s="35" t="s">
        <v>7045</v>
      </c>
      <c r="CU41" s="30">
        <v>47392.0</v>
      </c>
      <c r="CV41" s="30">
        <v>47483.0</v>
      </c>
      <c r="CW41" s="36">
        <v>0.0</v>
      </c>
      <c r="CX41" s="36">
        <v>0.0</v>
      </c>
      <c r="CY41" s="35" t="s">
        <v>7045</v>
      </c>
      <c r="CZ41" s="30">
        <v>47484.0</v>
      </c>
      <c r="DA41" s="30">
        <v>47573.0</v>
      </c>
      <c r="DB41" s="36">
        <v>0.0</v>
      </c>
      <c r="DC41" s="36">
        <v>0.0</v>
      </c>
      <c r="DD41" s="35" t="s">
        <v>7045</v>
      </c>
      <c r="DE41" s="30">
        <v>47574.0</v>
      </c>
      <c r="DF41" s="30">
        <v>47664.0</v>
      </c>
      <c r="DG41" s="36">
        <v>0.0</v>
      </c>
      <c r="DH41" s="36">
        <v>0.0</v>
      </c>
      <c r="DI41" s="35" t="s">
        <v>7045</v>
      </c>
      <c r="DJ41" s="30">
        <v>47665.0</v>
      </c>
      <c r="DK41" s="30">
        <v>47756.0</v>
      </c>
      <c r="DL41" s="36">
        <v>0.0</v>
      </c>
      <c r="DM41" s="36">
        <v>0.0</v>
      </c>
      <c r="DN41" s="35" t="s">
        <v>7045</v>
      </c>
      <c r="DO41" s="30">
        <v>47757.0</v>
      </c>
      <c r="DP41" s="30">
        <v>47848.0</v>
      </c>
      <c r="DQ41" s="36">
        <v>0.0</v>
      </c>
      <c r="DR41" s="36">
        <v>0.0</v>
      </c>
      <c r="DS41" s="35" t="s">
        <v>7045</v>
      </c>
    </row>
    <row r="42" ht="14.25" customHeight="1">
      <c r="A42" s="28" t="s">
        <v>6915</v>
      </c>
      <c r="B42" s="29" t="s">
        <v>6916</v>
      </c>
      <c r="C42" s="29" t="s">
        <v>7041</v>
      </c>
      <c r="D42" s="30">
        <v>45658.0</v>
      </c>
      <c r="E42" s="30">
        <v>45747.0</v>
      </c>
      <c r="F42" s="36">
        <v>16.27</v>
      </c>
      <c r="G42" s="36">
        <v>0.0</v>
      </c>
      <c r="H42" s="38" t="s">
        <v>7047</v>
      </c>
      <c r="I42" s="30">
        <v>45748.0</v>
      </c>
      <c r="J42" s="30">
        <v>45838.0</v>
      </c>
      <c r="K42" s="36">
        <v>8.37</v>
      </c>
      <c r="L42" s="36">
        <v>1125.0</v>
      </c>
      <c r="M42" s="38" t="s">
        <v>7043</v>
      </c>
      <c r="N42" s="30">
        <v>45839.0</v>
      </c>
      <c r="O42" s="30">
        <v>45930.0</v>
      </c>
      <c r="P42" s="36">
        <v>1904.02</v>
      </c>
      <c r="Q42" s="36">
        <v>1125.0</v>
      </c>
      <c r="R42" s="38" t="s">
        <v>7047</v>
      </c>
      <c r="S42" s="30">
        <v>45931.0</v>
      </c>
      <c r="T42" s="30">
        <v>46022.0</v>
      </c>
      <c r="U42" s="36">
        <v>2446.58</v>
      </c>
      <c r="V42" s="36">
        <v>1125.0</v>
      </c>
      <c r="W42" s="38" t="s">
        <v>7047</v>
      </c>
      <c r="X42" s="30">
        <v>46023.0</v>
      </c>
      <c r="Y42" s="30">
        <v>46112.0</v>
      </c>
      <c r="Z42" s="36">
        <v>628.24</v>
      </c>
      <c r="AA42" s="36">
        <v>0.0</v>
      </c>
      <c r="AB42" s="38" t="s">
        <v>7047</v>
      </c>
      <c r="AC42" s="30">
        <v>46113.0</v>
      </c>
      <c r="AD42" s="30">
        <v>46203.0</v>
      </c>
      <c r="AE42" s="36">
        <v>7.22</v>
      </c>
      <c r="AF42" s="36">
        <v>0.0</v>
      </c>
      <c r="AG42" s="35" t="s">
        <v>7047</v>
      </c>
      <c r="AH42" s="30">
        <v>46204.0</v>
      </c>
      <c r="AI42" s="30">
        <v>46295.0</v>
      </c>
      <c r="AJ42" s="36">
        <v>0.0</v>
      </c>
      <c r="AK42" s="36">
        <v>0.0</v>
      </c>
      <c r="AL42" s="35" t="s">
        <v>7045</v>
      </c>
      <c r="AM42" s="30">
        <v>46296.0</v>
      </c>
      <c r="AN42" s="30">
        <v>46387.0</v>
      </c>
      <c r="AO42" s="36">
        <v>10.45</v>
      </c>
      <c r="AP42" s="36">
        <v>0.0</v>
      </c>
      <c r="AQ42" s="38" t="s">
        <v>7047</v>
      </c>
      <c r="AR42" s="30">
        <v>46388.0</v>
      </c>
      <c r="AS42" s="30">
        <v>46477.0</v>
      </c>
      <c r="AT42" s="36">
        <v>0.0</v>
      </c>
      <c r="AU42" s="36">
        <v>0.0</v>
      </c>
      <c r="AV42" s="35" t="s">
        <v>7045</v>
      </c>
      <c r="AW42" s="30">
        <v>46478.0</v>
      </c>
      <c r="AX42" s="30">
        <v>46568.0</v>
      </c>
      <c r="AY42" s="36">
        <v>0.0</v>
      </c>
      <c r="AZ42" s="36">
        <v>0.0</v>
      </c>
      <c r="BA42" s="35" t="s">
        <v>7045</v>
      </c>
      <c r="BB42" s="30">
        <v>46569.0</v>
      </c>
      <c r="BC42" s="30">
        <v>46660.0</v>
      </c>
      <c r="BD42" s="36">
        <v>0.0</v>
      </c>
      <c r="BE42" s="36">
        <v>0.0</v>
      </c>
      <c r="BF42" s="35" t="s">
        <v>7045</v>
      </c>
      <c r="BG42" s="30">
        <v>46661.0</v>
      </c>
      <c r="BH42" s="30">
        <v>46752.0</v>
      </c>
      <c r="BI42" s="36">
        <v>0.0</v>
      </c>
      <c r="BJ42" s="36">
        <v>0.0</v>
      </c>
      <c r="BK42" s="35" t="s">
        <v>7045</v>
      </c>
      <c r="BL42" s="30">
        <v>46753.0</v>
      </c>
      <c r="BM42" s="30">
        <v>46843.0</v>
      </c>
      <c r="BN42" s="36">
        <v>0.0</v>
      </c>
      <c r="BO42" s="36">
        <v>0.0</v>
      </c>
      <c r="BP42" s="35" t="s">
        <v>7045</v>
      </c>
      <c r="BQ42" s="30">
        <v>46844.0</v>
      </c>
      <c r="BR42" s="30">
        <v>46934.0</v>
      </c>
      <c r="BS42" s="36">
        <v>0.0</v>
      </c>
      <c r="BT42" s="36">
        <v>0.0</v>
      </c>
      <c r="BU42" s="35" t="s">
        <v>7045</v>
      </c>
      <c r="BV42" s="30">
        <v>46935.0</v>
      </c>
      <c r="BW42" s="30">
        <v>47026.0</v>
      </c>
      <c r="BX42" s="36">
        <v>0.0</v>
      </c>
      <c r="BY42" s="36">
        <v>0.0</v>
      </c>
      <c r="BZ42" s="35" t="s">
        <v>7045</v>
      </c>
      <c r="CA42" s="30">
        <v>47027.0</v>
      </c>
      <c r="CB42" s="30">
        <v>47118.0</v>
      </c>
      <c r="CC42" s="36">
        <v>0.0</v>
      </c>
      <c r="CD42" s="36">
        <v>0.0</v>
      </c>
      <c r="CE42" s="35" t="s">
        <v>7045</v>
      </c>
      <c r="CF42" s="30">
        <v>47119.0</v>
      </c>
      <c r="CG42" s="30">
        <v>47208.0</v>
      </c>
      <c r="CH42" s="36">
        <v>0.0</v>
      </c>
      <c r="CI42" s="36">
        <v>0.0</v>
      </c>
      <c r="CJ42" s="35" t="s">
        <v>7045</v>
      </c>
      <c r="CK42" s="30">
        <v>47209.0</v>
      </c>
      <c r="CL42" s="30">
        <v>47299.0</v>
      </c>
      <c r="CM42" s="36">
        <v>0.0</v>
      </c>
      <c r="CN42" s="36">
        <v>0.0</v>
      </c>
      <c r="CO42" s="35" t="s">
        <v>7045</v>
      </c>
      <c r="CP42" s="30">
        <v>47300.0</v>
      </c>
      <c r="CQ42" s="30">
        <v>47391.0</v>
      </c>
      <c r="CR42" s="36">
        <v>0.0</v>
      </c>
      <c r="CS42" s="36">
        <v>0.0</v>
      </c>
      <c r="CT42" s="35" t="s">
        <v>7045</v>
      </c>
      <c r="CU42" s="30">
        <v>47392.0</v>
      </c>
      <c r="CV42" s="30">
        <v>47483.0</v>
      </c>
      <c r="CW42" s="36">
        <v>0.0</v>
      </c>
      <c r="CX42" s="36">
        <v>0.0</v>
      </c>
      <c r="CY42" s="35" t="s">
        <v>7045</v>
      </c>
      <c r="CZ42" s="30">
        <v>47484.0</v>
      </c>
      <c r="DA42" s="30">
        <v>47573.0</v>
      </c>
      <c r="DB42" s="36">
        <v>0.0</v>
      </c>
      <c r="DC42" s="36">
        <v>0.0</v>
      </c>
      <c r="DD42" s="35" t="s">
        <v>7045</v>
      </c>
      <c r="DE42" s="30">
        <v>47574.0</v>
      </c>
      <c r="DF42" s="30">
        <v>47664.0</v>
      </c>
      <c r="DG42" s="36">
        <v>0.0</v>
      </c>
      <c r="DH42" s="36">
        <v>0.0</v>
      </c>
      <c r="DI42" s="35" t="s">
        <v>7045</v>
      </c>
      <c r="DJ42" s="30">
        <v>47665.0</v>
      </c>
      <c r="DK42" s="30">
        <v>47756.0</v>
      </c>
      <c r="DL42" s="36">
        <v>0.0</v>
      </c>
      <c r="DM42" s="36">
        <v>0.0</v>
      </c>
      <c r="DN42" s="35" t="s">
        <v>7045</v>
      </c>
      <c r="DO42" s="30">
        <v>47757.0</v>
      </c>
      <c r="DP42" s="30">
        <v>47848.0</v>
      </c>
      <c r="DQ42" s="36">
        <v>0.0</v>
      </c>
      <c r="DR42" s="36">
        <v>0.0</v>
      </c>
      <c r="DS42" s="35" t="s">
        <v>7045</v>
      </c>
    </row>
    <row r="43" ht="14.25" customHeight="1">
      <c r="A43" s="28" t="s">
        <v>463</v>
      </c>
      <c r="B43" s="29" t="s">
        <v>464</v>
      </c>
      <c r="C43" s="29" t="s">
        <v>7041</v>
      </c>
      <c r="D43" s="30">
        <v>45658.0</v>
      </c>
      <c r="E43" s="30">
        <v>45747.0</v>
      </c>
      <c r="F43" s="36">
        <v>23.32</v>
      </c>
      <c r="G43" s="36">
        <v>0.0</v>
      </c>
      <c r="H43" s="38" t="s">
        <v>7047</v>
      </c>
      <c r="I43" s="30">
        <v>45748.0</v>
      </c>
      <c r="J43" s="30">
        <v>45838.0</v>
      </c>
      <c r="K43" s="36">
        <v>6.87</v>
      </c>
      <c r="L43" s="36">
        <v>279.68</v>
      </c>
      <c r="M43" s="32" t="s">
        <v>7043</v>
      </c>
      <c r="N43" s="30">
        <v>45839.0</v>
      </c>
      <c r="O43" s="30">
        <v>45930.0</v>
      </c>
      <c r="P43" s="36">
        <v>80.05</v>
      </c>
      <c r="Q43" s="36">
        <v>421.86</v>
      </c>
      <c r="R43" s="38" t="s">
        <v>7047</v>
      </c>
      <c r="S43" s="30">
        <v>45931.0</v>
      </c>
      <c r="T43" s="30">
        <v>46022.0</v>
      </c>
      <c r="U43" s="36">
        <v>190.48</v>
      </c>
      <c r="V43" s="36">
        <v>421.86</v>
      </c>
      <c r="W43" s="38" t="s">
        <v>7047</v>
      </c>
      <c r="X43" s="30">
        <v>46023.0</v>
      </c>
      <c r="Y43" s="30">
        <v>46112.0</v>
      </c>
      <c r="Z43" s="36">
        <v>204.24</v>
      </c>
      <c r="AA43" s="36">
        <v>0.0</v>
      </c>
      <c r="AB43" s="38" t="s">
        <v>7047</v>
      </c>
      <c r="AC43" s="30">
        <v>46113.0</v>
      </c>
      <c r="AD43" s="30">
        <v>46203.0</v>
      </c>
      <c r="AE43" s="36">
        <v>280.0</v>
      </c>
      <c r="AF43" s="36">
        <v>0.0</v>
      </c>
      <c r="AG43" s="38" t="s">
        <v>7047</v>
      </c>
      <c r="AH43" s="30">
        <v>46204.0</v>
      </c>
      <c r="AI43" s="30">
        <v>46295.0</v>
      </c>
      <c r="AJ43" s="36">
        <v>4.51</v>
      </c>
      <c r="AK43" s="36">
        <v>0.0</v>
      </c>
      <c r="AL43" s="35" t="s">
        <v>7047</v>
      </c>
      <c r="AM43" s="30">
        <v>46296.0</v>
      </c>
      <c r="AN43" s="30">
        <v>46387.0</v>
      </c>
      <c r="AO43" s="36">
        <v>0.0</v>
      </c>
      <c r="AP43" s="36">
        <v>0.0</v>
      </c>
      <c r="AQ43" s="35" t="s">
        <v>7045</v>
      </c>
      <c r="AR43" s="30">
        <v>46388.0</v>
      </c>
      <c r="AS43" s="30">
        <v>46477.0</v>
      </c>
      <c r="AT43" s="36">
        <v>0.0</v>
      </c>
      <c r="AU43" s="36">
        <v>0.0</v>
      </c>
      <c r="AV43" s="35" t="s">
        <v>7045</v>
      </c>
      <c r="AW43" s="30">
        <v>46478.0</v>
      </c>
      <c r="AX43" s="30">
        <v>46568.0</v>
      </c>
      <c r="AY43" s="36">
        <v>0.0</v>
      </c>
      <c r="AZ43" s="36">
        <v>0.0</v>
      </c>
      <c r="BA43" s="35" t="s">
        <v>7045</v>
      </c>
      <c r="BB43" s="30">
        <v>46569.0</v>
      </c>
      <c r="BC43" s="30">
        <v>46660.0</v>
      </c>
      <c r="BD43" s="36">
        <v>0.0</v>
      </c>
      <c r="BE43" s="36">
        <v>0.0</v>
      </c>
      <c r="BF43" s="35" t="s">
        <v>7045</v>
      </c>
      <c r="BG43" s="30">
        <v>46661.0</v>
      </c>
      <c r="BH43" s="30">
        <v>46752.0</v>
      </c>
      <c r="BI43" s="36">
        <v>0.0</v>
      </c>
      <c r="BJ43" s="36">
        <v>0.0</v>
      </c>
      <c r="BK43" s="35" t="s">
        <v>7045</v>
      </c>
      <c r="BL43" s="30">
        <v>46753.0</v>
      </c>
      <c r="BM43" s="30">
        <v>46843.0</v>
      </c>
      <c r="BN43" s="36">
        <v>0.0</v>
      </c>
      <c r="BO43" s="36">
        <v>0.0</v>
      </c>
      <c r="BP43" s="35" t="s">
        <v>7045</v>
      </c>
      <c r="BQ43" s="30">
        <v>46844.0</v>
      </c>
      <c r="BR43" s="30">
        <v>46934.0</v>
      </c>
      <c r="BS43" s="36">
        <v>0.0</v>
      </c>
      <c r="BT43" s="36">
        <v>0.0</v>
      </c>
      <c r="BU43" s="35" t="s">
        <v>7045</v>
      </c>
      <c r="BV43" s="30">
        <v>46935.0</v>
      </c>
      <c r="BW43" s="30">
        <v>47026.0</v>
      </c>
      <c r="BX43" s="36">
        <v>0.0</v>
      </c>
      <c r="BY43" s="36">
        <v>0.0</v>
      </c>
      <c r="BZ43" s="35" t="s">
        <v>7045</v>
      </c>
      <c r="CA43" s="30">
        <v>47027.0</v>
      </c>
      <c r="CB43" s="30">
        <v>47118.0</v>
      </c>
      <c r="CC43" s="36">
        <v>0.0</v>
      </c>
      <c r="CD43" s="36">
        <v>0.0</v>
      </c>
      <c r="CE43" s="35" t="s">
        <v>7045</v>
      </c>
      <c r="CF43" s="30">
        <v>47119.0</v>
      </c>
      <c r="CG43" s="30">
        <v>47208.0</v>
      </c>
      <c r="CH43" s="36">
        <v>0.0</v>
      </c>
      <c r="CI43" s="36">
        <v>0.0</v>
      </c>
      <c r="CJ43" s="35" t="s">
        <v>7045</v>
      </c>
      <c r="CK43" s="30">
        <v>47209.0</v>
      </c>
      <c r="CL43" s="30">
        <v>47299.0</v>
      </c>
      <c r="CM43" s="36">
        <v>0.0</v>
      </c>
      <c r="CN43" s="36">
        <v>0.0</v>
      </c>
      <c r="CO43" s="35" t="s">
        <v>7045</v>
      </c>
      <c r="CP43" s="30">
        <v>47300.0</v>
      </c>
      <c r="CQ43" s="30">
        <v>47391.0</v>
      </c>
      <c r="CR43" s="36">
        <v>0.0</v>
      </c>
      <c r="CS43" s="36">
        <v>0.0</v>
      </c>
      <c r="CT43" s="35" t="s">
        <v>7045</v>
      </c>
      <c r="CU43" s="30">
        <v>47392.0</v>
      </c>
      <c r="CV43" s="30">
        <v>47483.0</v>
      </c>
      <c r="CW43" s="36">
        <v>0.0</v>
      </c>
      <c r="CX43" s="36">
        <v>0.0</v>
      </c>
      <c r="CY43" s="35" t="s">
        <v>7045</v>
      </c>
      <c r="CZ43" s="30">
        <v>47484.0</v>
      </c>
      <c r="DA43" s="30">
        <v>47573.0</v>
      </c>
      <c r="DB43" s="36">
        <v>0.0</v>
      </c>
      <c r="DC43" s="36">
        <v>0.0</v>
      </c>
      <c r="DD43" s="35" t="s">
        <v>7045</v>
      </c>
      <c r="DE43" s="30">
        <v>47574.0</v>
      </c>
      <c r="DF43" s="30">
        <v>47664.0</v>
      </c>
      <c r="DG43" s="36">
        <v>0.0</v>
      </c>
      <c r="DH43" s="36">
        <v>0.0</v>
      </c>
      <c r="DI43" s="35" t="s">
        <v>7045</v>
      </c>
      <c r="DJ43" s="30">
        <v>47665.0</v>
      </c>
      <c r="DK43" s="30">
        <v>47756.0</v>
      </c>
      <c r="DL43" s="36">
        <v>0.0</v>
      </c>
      <c r="DM43" s="36">
        <v>0.0</v>
      </c>
      <c r="DN43" s="35" t="s">
        <v>7045</v>
      </c>
      <c r="DO43" s="30">
        <v>47757.0</v>
      </c>
      <c r="DP43" s="30">
        <v>47848.0</v>
      </c>
      <c r="DQ43" s="36">
        <v>0.0</v>
      </c>
      <c r="DR43" s="36">
        <v>0.0</v>
      </c>
      <c r="DS43" s="35" t="s">
        <v>7045</v>
      </c>
    </row>
    <row r="44" ht="14.25" customHeight="1">
      <c r="A44" s="28" t="s">
        <v>4326</v>
      </c>
      <c r="B44" s="29" t="s">
        <v>4327</v>
      </c>
      <c r="C44" s="29" t="s">
        <v>7041</v>
      </c>
      <c r="D44" s="30">
        <v>45658.0</v>
      </c>
      <c r="E44" s="30">
        <v>45747.0</v>
      </c>
      <c r="F44" s="36">
        <v>60.94</v>
      </c>
      <c r="G44" s="36">
        <v>0.0</v>
      </c>
      <c r="H44" s="38" t="s">
        <v>7047</v>
      </c>
      <c r="I44" s="30">
        <v>45748.0</v>
      </c>
      <c r="J44" s="30">
        <v>45838.0</v>
      </c>
      <c r="K44" s="36">
        <v>7.31</v>
      </c>
      <c r="L44" s="36">
        <v>634.33</v>
      </c>
      <c r="M44" s="37" t="s">
        <v>7043</v>
      </c>
      <c r="N44" s="30">
        <v>45839.0</v>
      </c>
      <c r="O44" s="30">
        <v>45930.0</v>
      </c>
      <c r="P44" s="36">
        <v>81.84</v>
      </c>
      <c r="Q44" s="36">
        <v>951.31</v>
      </c>
      <c r="R44" s="38" t="s">
        <v>7046</v>
      </c>
      <c r="S44" s="30">
        <v>45931.0</v>
      </c>
      <c r="T44" s="30">
        <v>46022.0</v>
      </c>
      <c r="U44" s="36">
        <v>99.91</v>
      </c>
      <c r="V44" s="36">
        <v>951.31</v>
      </c>
      <c r="W44" s="38" t="s">
        <v>7047</v>
      </c>
      <c r="X44" s="30">
        <v>46023.0</v>
      </c>
      <c r="Y44" s="30">
        <v>46112.0</v>
      </c>
      <c r="Z44" s="36">
        <v>100.0</v>
      </c>
      <c r="AA44" s="36">
        <v>0.0</v>
      </c>
      <c r="AB44" s="35" t="s">
        <v>7047</v>
      </c>
      <c r="AC44" s="30">
        <v>46113.0</v>
      </c>
      <c r="AD44" s="30">
        <v>46203.0</v>
      </c>
      <c r="AE44" s="36">
        <v>1046.99</v>
      </c>
      <c r="AF44" s="36">
        <v>0.0</v>
      </c>
      <c r="AG44" s="38" t="s">
        <v>7047</v>
      </c>
      <c r="AH44" s="30">
        <v>46204.0</v>
      </c>
      <c r="AI44" s="30">
        <v>46295.0</v>
      </c>
      <c r="AJ44" s="36">
        <v>0.0</v>
      </c>
      <c r="AK44" s="36">
        <v>0.0</v>
      </c>
      <c r="AL44" s="35" t="s">
        <v>7045</v>
      </c>
      <c r="AM44" s="30">
        <v>46296.0</v>
      </c>
      <c r="AN44" s="30">
        <v>46387.0</v>
      </c>
      <c r="AO44" s="36">
        <v>0.0</v>
      </c>
      <c r="AP44" s="36">
        <v>0.0</v>
      </c>
      <c r="AQ44" s="35" t="s">
        <v>7045</v>
      </c>
      <c r="AR44" s="30">
        <v>46388.0</v>
      </c>
      <c r="AS44" s="30">
        <v>46477.0</v>
      </c>
      <c r="AT44" s="36">
        <v>0.0</v>
      </c>
      <c r="AU44" s="36">
        <v>0.0</v>
      </c>
      <c r="AV44" s="35" t="s">
        <v>7045</v>
      </c>
      <c r="AW44" s="30">
        <v>46478.0</v>
      </c>
      <c r="AX44" s="30">
        <v>46568.0</v>
      </c>
      <c r="AY44" s="36">
        <v>0.0</v>
      </c>
      <c r="AZ44" s="36">
        <v>0.0</v>
      </c>
      <c r="BA44" s="35" t="s">
        <v>7045</v>
      </c>
      <c r="BB44" s="30">
        <v>46569.0</v>
      </c>
      <c r="BC44" s="30">
        <v>46660.0</v>
      </c>
      <c r="BD44" s="36">
        <v>0.0</v>
      </c>
      <c r="BE44" s="36">
        <v>0.0</v>
      </c>
      <c r="BF44" s="35" t="s">
        <v>7045</v>
      </c>
      <c r="BG44" s="30">
        <v>46661.0</v>
      </c>
      <c r="BH44" s="30">
        <v>46752.0</v>
      </c>
      <c r="BI44" s="36">
        <v>0.0</v>
      </c>
      <c r="BJ44" s="36">
        <v>0.0</v>
      </c>
      <c r="BK44" s="35" t="s">
        <v>7045</v>
      </c>
      <c r="BL44" s="30">
        <v>46753.0</v>
      </c>
      <c r="BM44" s="30">
        <v>46843.0</v>
      </c>
      <c r="BN44" s="36">
        <v>0.0</v>
      </c>
      <c r="BO44" s="36">
        <v>0.0</v>
      </c>
      <c r="BP44" s="35" t="s">
        <v>7045</v>
      </c>
      <c r="BQ44" s="30">
        <v>46844.0</v>
      </c>
      <c r="BR44" s="30">
        <v>46934.0</v>
      </c>
      <c r="BS44" s="36">
        <v>0.0</v>
      </c>
      <c r="BT44" s="36">
        <v>0.0</v>
      </c>
      <c r="BU44" s="35" t="s">
        <v>7045</v>
      </c>
      <c r="BV44" s="30">
        <v>46935.0</v>
      </c>
      <c r="BW44" s="30">
        <v>47026.0</v>
      </c>
      <c r="BX44" s="36">
        <v>0.0</v>
      </c>
      <c r="BY44" s="36">
        <v>0.0</v>
      </c>
      <c r="BZ44" s="35" t="s">
        <v>7045</v>
      </c>
      <c r="CA44" s="30">
        <v>47027.0</v>
      </c>
      <c r="CB44" s="30">
        <v>47118.0</v>
      </c>
      <c r="CC44" s="36">
        <v>0.0</v>
      </c>
      <c r="CD44" s="36">
        <v>0.0</v>
      </c>
      <c r="CE44" s="35" t="s">
        <v>7045</v>
      </c>
      <c r="CF44" s="30">
        <v>47119.0</v>
      </c>
      <c r="CG44" s="30">
        <v>47208.0</v>
      </c>
      <c r="CH44" s="36">
        <v>0.0</v>
      </c>
      <c r="CI44" s="36">
        <v>0.0</v>
      </c>
      <c r="CJ44" s="35" t="s">
        <v>7045</v>
      </c>
      <c r="CK44" s="30">
        <v>47209.0</v>
      </c>
      <c r="CL44" s="30">
        <v>47299.0</v>
      </c>
      <c r="CM44" s="36">
        <v>0.0</v>
      </c>
      <c r="CN44" s="36">
        <v>0.0</v>
      </c>
      <c r="CO44" s="35" t="s">
        <v>7045</v>
      </c>
      <c r="CP44" s="30">
        <v>47300.0</v>
      </c>
      <c r="CQ44" s="30">
        <v>47391.0</v>
      </c>
      <c r="CR44" s="36">
        <v>0.0</v>
      </c>
      <c r="CS44" s="36">
        <v>0.0</v>
      </c>
      <c r="CT44" s="35" t="s">
        <v>7045</v>
      </c>
      <c r="CU44" s="30">
        <v>47392.0</v>
      </c>
      <c r="CV44" s="30">
        <v>47483.0</v>
      </c>
      <c r="CW44" s="36">
        <v>0.0</v>
      </c>
      <c r="CX44" s="36">
        <v>0.0</v>
      </c>
      <c r="CY44" s="35" t="s">
        <v>7045</v>
      </c>
      <c r="CZ44" s="30">
        <v>47484.0</v>
      </c>
      <c r="DA44" s="30">
        <v>47573.0</v>
      </c>
      <c r="DB44" s="36">
        <v>0.0</v>
      </c>
      <c r="DC44" s="36">
        <v>0.0</v>
      </c>
      <c r="DD44" s="35" t="s">
        <v>7045</v>
      </c>
      <c r="DE44" s="30">
        <v>47574.0</v>
      </c>
      <c r="DF44" s="30">
        <v>47664.0</v>
      </c>
      <c r="DG44" s="36">
        <v>0.0</v>
      </c>
      <c r="DH44" s="36">
        <v>0.0</v>
      </c>
      <c r="DI44" s="35" t="s">
        <v>7045</v>
      </c>
      <c r="DJ44" s="30">
        <v>47665.0</v>
      </c>
      <c r="DK44" s="30">
        <v>47756.0</v>
      </c>
      <c r="DL44" s="36">
        <v>0.0</v>
      </c>
      <c r="DM44" s="36">
        <v>0.0</v>
      </c>
      <c r="DN44" s="35" t="s">
        <v>7045</v>
      </c>
      <c r="DO44" s="30">
        <v>47757.0</v>
      </c>
      <c r="DP44" s="30">
        <v>47848.0</v>
      </c>
      <c r="DQ44" s="36">
        <v>0.0</v>
      </c>
      <c r="DR44" s="36">
        <v>0.0</v>
      </c>
      <c r="DS44" s="35" t="s">
        <v>7045</v>
      </c>
    </row>
    <row r="45" ht="14.25" customHeight="1">
      <c r="A45" s="28" t="s">
        <v>2853</v>
      </c>
      <c r="B45" s="29" t="s">
        <v>2854</v>
      </c>
      <c r="C45" s="29" t="s">
        <v>7041</v>
      </c>
      <c r="D45" s="30">
        <v>45658.0</v>
      </c>
      <c r="E45" s="30">
        <v>45747.0</v>
      </c>
      <c r="F45" s="36">
        <v>16.59</v>
      </c>
      <c r="G45" s="36">
        <v>0.0</v>
      </c>
      <c r="H45" s="38" t="s">
        <v>7047</v>
      </c>
      <c r="I45" s="30">
        <v>45748.0</v>
      </c>
      <c r="J45" s="30">
        <v>45838.0</v>
      </c>
      <c r="K45" s="36">
        <v>43.77</v>
      </c>
      <c r="L45" s="36">
        <v>0.0</v>
      </c>
      <c r="M45" s="38" t="s">
        <v>7047</v>
      </c>
      <c r="N45" s="30">
        <v>45839.0</v>
      </c>
      <c r="O45" s="30">
        <v>45930.0</v>
      </c>
      <c r="P45" s="36">
        <v>30.0</v>
      </c>
      <c r="Q45" s="36">
        <v>0.0</v>
      </c>
      <c r="R45" s="38" t="s">
        <v>7047</v>
      </c>
      <c r="S45" s="30">
        <v>45931.0</v>
      </c>
      <c r="T45" s="30">
        <v>46022.0</v>
      </c>
      <c r="U45" s="36">
        <v>34.99</v>
      </c>
      <c r="V45" s="36">
        <v>0.0</v>
      </c>
      <c r="W45" s="38" t="s">
        <v>7047</v>
      </c>
      <c r="X45" s="30">
        <v>46023.0</v>
      </c>
      <c r="Y45" s="30">
        <v>46112.0</v>
      </c>
      <c r="Z45" s="36">
        <v>0.0</v>
      </c>
      <c r="AA45" s="36">
        <v>0.0</v>
      </c>
      <c r="AB45" s="35" t="s">
        <v>7045</v>
      </c>
      <c r="AC45" s="30">
        <v>46113.0</v>
      </c>
      <c r="AD45" s="30">
        <v>46203.0</v>
      </c>
      <c r="AE45" s="36">
        <v>0.0</v>
      </c>
      <c r="AF45" s="36">
        <v>0.0</v>
      </c>
      <c r="AG45" s="35" t="s">
        <v>7045</v>
      </c>
      <c r="AH45" s="30">
        <v>46204.0</v>
      </c>
      <c r="AI45" s="30">
        <v>46295.0</v>
      </c>
      <c r="AJ45" s="36">
        <v>0.0</v>
      </c>
      <c r="AK45" s="36">
        <v>0.0</v>
      </c>
      <c r="AL45" s="35" t="s">
        <v>7045</v>
      </c>
      <c r="AM45" s="30">
        <v>46296.0</v>
      </c>
      <c r="AN45" s="30">
        <v>46387.0</v>
      </c>
      <c r="AO45" s="36">
        <v>0.0</v>
      </c>
      <c r="AP45" s="36">
        <v>0.0</v>
      </c>
      <c r="AQ45" s="35" t="s">
        <v>7045</v>
      </c>
      <c r="AR45" s="30">
        <v>46388.0</v>
      </c>
      <c r="AS45" s="30">
        <v>46477.0</v>
      </c>
      <c r="AT45" s="36">
        <v>0.0</v>
      </c>
      <c r="AU45" s="36">
        <v>0.0</v>
      </c>
      <c r="AV45" s="35" t="s">
        <v>7045</v>
      </c>
      <c r="AW45" s="30">
        <v>46478.0</v>
      </c>
      <c r="AX45" s="30">
        <v>46568.0</v>
      </c>
      <c r="AY45" s="36">
        <v>0.0</v>
      </c>
      <c r="AZ45" s="36">
        <v>0.0</v>
      </c>
      <c r="BA45" s="35" t="s">
        <v>7045</v>
      </c>
      <c r="BB45" s="30">
        <v>46569.0</v>
      </c>
      <c r="BC45" s="30">
        <v>46660.0</v>
      </c>
      <c r="BD45" s="36">
        <v>0.0</v>
      </c>
      <c r="BE45" s="36">
        <v>0.0</v>
      </c>
      <c r="BF45" s="35" t="s">
        <v>7045</v>
      </c>
      <c r="BG45" s="30">
        <v>46661.0</v>
      </c>
      <c r="BH45" s="30">
        <v>46752.0</v>
      </c>
      <c r="BI45" s="36">
        <v>0.0</v>
      </c>
      <c r="BJ45" s="36">
        <v>0.0</v>
      </c>
      <c r="BK45" s="35" t="s">
        <v>7045</v>
      </c>
      <c r="BL45" s="30">
        <v>46753.0</v>
      </c>
      <c r="BM45" s="30">
        <v>46843.0</v>
      </c>
      <c r="BN45" s="36">
        <v>0.0</v>
      </c>
      <c r="BO45" s="36">
        <v>0.0</v>
      </c>
      <c r="BP45" s="35" t="s">
        <v>7045</v>
      </c>
      <c r="BQ45" s="30">
        <v>46844.0</v>
      </c>
      <c r="BR45" s="30">
        <v>46934.0</v>
      </c>
      <c r="BS45" s="36">
        <v>0.0</v>
      </c>
      <c r="BT45" s="36">
        <v>0.0</v>
      </c>
      <c r="BU45" s="35" t="s">
        <v>7045</v>
      </c>
      <c r="BV45" s="30">
        <v>46935.0</v>
      </c>
      <c r="BW45" s="30">
        <v>47026.0</v>
      </c>
      <c r="BX45" s="36">
        <v>0.0</v>
      </c>
      <c r="BY45" s="36">
        <v>0.0</v>
      </c>
      <c r="BZ45" s="35" t="s">
        <v>7045</v>
      </c>
      <c r="CA45" s="30">
        <v>47027.0</v>
      </c>
      <c r="CB45" s="30">
        <v>47118.0</v>
      </c>
      <c r="CC45" s="36">
        <v>0.0</v>
      </c>
      <c r="CD45" s="36">
        <v>0.0</v>
      </c>
      <c r="CE45" s="35" t="s">
        <v>7045</v>
      </c>
      <c r="CF45" s="30">
        <v>47119.0</v>
      </c>
      <c r="CG45" s="30">
        <v>47208.0</v>
      </c>
      <c r="CH45" s="36">
        <v>0.0</v>
      </c>
      <c r="CI45" s="36">
        <v>0.0</v>
      </c>
      <c r="CJ45" s="35" t="s">
        <v>7045</v>
      </c>
      <c r="CK45" s="30">
        <v>47209.0</v>
      </c>
      <c r="CL45" s="30">
        <v>47299.0</v>
      </c>
      <c r="CM45" s="36">
        <v>0.0</v>
      </c>
      <c r="CN45" s="36">
        <v>0.0</v>
      </c>
      <c r="CO45" s="35" t="s">
        <v>7045</v>
      </c>
      <c r="CP45" s="30">
        <v>47300.0</v>
      </c>
      <c r="CQ45" s="30">
        <v>47391.0</v>
      </c>
      <c r="CR45" s="36">
        <v>0.0</v>
      </c>
      <c r="CS45" s="36">
        <v>0.0</v>
      </c>
      <c r="CT45" s="35" t="s">
        <v>7045</v>
      </c>
      <c r="CU45" s="30">
        <v>47392.0</v>
      </c>
      <c r="CV45" s="30">
        <v>47483.0</v>
      </c>
      <c r="CW45" s="36">
        <v>0.0</v>
      </c>
      <c r="CX45" s="36">
        <v>0.0</v>
      </c>
      <c r="CY45" s="35" t="s">
        <v>7045</v>
      </c>
      <c r="CZ45" s="30">
        <v>47484.0</v>
      </c>
      <c r="DA45" s="30">
        <v>47573.0</v>
      </c>
      <c r="DB45" s="36">
        <v>0.0</v>
      </c>
      <c r="DC45" s="36">
        <v>0.0</v>
      </c>
      <c r="DD45" s="35" t="s">
        <v>7045</v>
      </c>
      <c r="DE45" s="30">
        <v>47574.0</v>
      </c>
      <c r="DF45" s="30">
        <v>47664.0</v>
      </c>
      <c r="DG45" s="36">
        <v>0.0</v>
      </c>
      <c r="DH45" s="36">
        <v>0.0</v>
      </c>
      <c r="DI45" s="35" t="s">
        <v>7045</v>
      </c>
      <c r="DJ45" s="30">
        <v>47665.0</v>
      </c>
      <c r="DK45" s="30">
        <v>47756.0</v>
      </c>
      <c r="DL45" s="36">
        <v>0.0</v>
      </c>
      <c r="DM45" s="36">
        <v>0.0</v>
      </c>
      <c r="DN45" s="35" t="s">
        <v>7045</v>
      </c>
      <c r="DO45" s="30">
        <v>47757.0</v>
      </c>
      <c r="DP45" s="30">
        <v>47848.0</v>
      </c>
      <c r="DQ45" s="36">
        <v>0.0</v>
      </c>
      <c r="DR45" s="36">
        <v>0.0</v>
      </c>
      <c r="DS45" s="35" t="s">
        <v>7045</v>
      </c>
    </row>
    <row r="46" ht="14.25" customHeight="1">
      <c r="A46" s="28" t="s">
        <v>2092</v>
      </c>
      <c r="B46" s="29" t="s">
        <v>2093</v>
      </c>
      <c r="C46" s="29" t="s">
        <v>7041</v>
      </c>
      <c r="D46" s="30">
        <v>45658.0</v>
      </c>
      <c r="E46" s="30">
        <v>45747.0</v>
      </c>
      <c r="F46" s="36">
        <v>183.57</v>
      </c>
      <c r="G46" s="36">
        <v>0.0</v>
      </c>
      <c r="H46" s="38" t="s">
        <v>7047</v>
      </c>
      <c r="I46" s="30">
        <v>45748.0</v>
      </c>
      <c r="J46" s="30">
        <v>45838.0</v>
      </c>
      <c r="K46" s="36">
        <v>3253.86</v>
      </c>
      <c r="L46" s="36">
        <v>0.0</v>
      </c>
      <c r="M46" s="38" t="s">
        <v>7047</v>
      </c>
      <c r="N46" s="30">
        <v>45839.0</v>
      </c>
      <c r="O46" s="30">
        <v>45930.0</v>
      </c>
      <c r="P46" s="36">
        <v>458.28</v>
      </c>
      <c r="Q46" s="36">
        <v>0.0</v>
      </c>
      <c r="R46" s="38" t="s">
        <v>7047</v>
      </c>
      <c r="S46" s="30">
        <v>45931.0</v>
      </c>
      <c r="T46" s="30">
        <v>46022.0</v>
      </c>
      <c r="U46" s="36">
        <v>350.62</v>
      </c>
      <c r="V46" s="36">
        <v>0.0</v>
      </c>
      <c r="W46" s="38" t="s">
        <v>7047</v>
      </c>
      <c r="X46" s="30">
        <v>46023.0</v>
      </c>
      <c r="Y46" s="30">
        <v>46112.0</v>
      </c>
      <c r="Z46" s="36">
        <v>0.0</v>
      </c>
      <c r="AA46" s="36">
        <v>0.0</v>
      </c>
      <c r="AB46" s="35" t="s">
        <v>7045</v>
      </c>
      <c r="AC46" s="30">
        <v>46113.0</v>
      </c>
      <c r="AD46" s="30">
        <v>46203.0</v>
      </c>
      <c r="AE46" s="36">
        <v>0.0</v>
      </c>
      <c r="AF46" s="36">
        <v>0.0</v>
      </c>
      <c r="AG46" s="35" t="s">
        <v>7045</v>
      </c>
      <c r="AH46" s="30">
        <v>46204.0</v>
      </c>
      <c r="AI46" s="30">
        <v>46295.0</v>
      </c>
      <c r="AJ46" s="36">
        <v>0.0</v>
      </c>
      <c r="AK46" s="36">
        <v>0.0</v>
      </c>
      <c r="AL46" s="35" t="s">
        <v>7045</v>
      </c>
      <c r="AM46" s="30">
        <v>46296.0</v>
      </c>
      <c r="AN46" s="30">
        <v>46387.0</v>
      </c>
      <c r="AO46" s="36">
        <v>0.0</v>
      </c>
      <c r="AP46" s="36">
        <v>0.0</v>
      </c>
      <c r="AQ46" s="35" t="s">
        <v>7045</v>
      </c>
      <c r="AR46" s="30">
        <v>46388.0</v>
      </c>
      <c r="AS46" s="30">
        <v>46477.0</v>
      </c>
      <c r="AT46" s="36">
        <v>0.0</v>
      </c>
      <c r="AU46" s="36">
        <v>0.0</v>
      </c>
      <c r="AV46" s="35" t="s">
        <v>7045</v>
      </c>
      <c r="AW46" s="30">
        <v>46478.0</v>
      </c>
      <c r="AX46" s="30">
        <v>46568.0</v>
      </c>
      <c r="AY46" s="36">
        <v>0.0</v>
      </c>
      <c r="AZ46" s="36">
        <v>0.0</v>
      </c>
      <c r="BA46" s="35" t="s">
        <v>7045</v>
      </c>
      <c r="BB46" s="30">
        <v>46569.0</v>
      </c>
      <c r="BC46" s="30">
        <v>46660.0</v>
      </c>
      <c r="BD46" s="36">
        <v>0.0</v>
      </c>
      <c r="BE46" s="36">
        <v>0.0</v>
      </c>
      <c r="BF46" s="35" t="s">
        <v>7045</v>
      </c>
      <c r="BG46" s="30">
        <v>46661.0</v>
      </c>
      <c r="BH46" s="30">
        <v>46752.0</v>
      </c>
      <c r="BI46" s="36">
        <v>0.0</v>
      </c>
      <c r="BJ46" s="36">
        <v>0.0</v>
      </c>
      <c r="BK46" s="35" t="s">
        <v>7045</v>
      </c>
      <c r="BL46" s="30">
        <v>46753.0</v>
      </c>
      <c r="BM46" s="30">
        <v>46843.0</v>
      </c>
      <c r="BN46" s="36">
        <v>0.0</v>
      </c>
      <c r="BO46" s="36">
        <v>0.0</v>
      </c>
      <c r="BP46" s="35" t="s">
        <v>7045</v>
      </c>
      <c r="BQ46" s="30">
        <v>46844.0</v>
      </c>
      <c r="BR46" s="30">
        <v>46934.0</v>
      </c>
      <c r="BS46" s="36">
        <v>0.0</v>
      </c>
      <c r="BT46" s="36">
        <v>0.0</v>
      </c>
      <c r="BU46" s="35" t="s">
        <v>7045</v>
      </c>
      <c r="BV46" s="30">
        <v>46935.0</v>
      </c>
      <c r="BW46" s="30">
        <v>47026.0</v>
      </c>
      <c r="BX46" s="36">
        <v>0.0</v>
      </c>
      <c r="BY46" s="36">
        <v>0.0</v>
      </c>
      <c r="BZ46" s="35" t="s">
        <v>7045</v>
      </c>
      <c r="CA46" s="30">
        <v>47027.0</v>
      </c>
      <c r="CB46" s="30">
        <v>47118.0</v>
      </c>
      <c r="CC46" s="36">
        <v>0.0</v>
      </c>
      <c r="CD46" s="36">
        <v>0.0</v>
      </c>
      <c r="CE46" s="35" t="s">
        <v>7045</v>
      </c>
      <c r="CF46" s="30">
        <v>47119.0</v>
      </c>
      <c r="CG46" s="30">
        <v>47208.0</v>
      </c>
      <c r="CH46" s="36">
        <v>0.0</v>
      </c>
      <c r="CI46" s="36">
        <v>0.0</v>
      </c>
      <c r="CJ46" s="35" t="s">
        <v>7045</v>
      </c>
      <c r="CK46" s="30">
        <v>47209.0</v>
      </c>
      <c r="CL46" s="30">
        <v>47299.0</v>
      </c>
      <c r="CM46" s="36">
        <v>0.0</v>
      </c>
      <c r="CN46" s="36">
        <v>0.0</v>
      </c>
      <c r="CO46" s="35" t="s">
        <v>7045</v>
      </c>
      <c r="CP46" s="30">
        <v>47300.0</v>
      </c>
      <c r="CQ46" s="30">
        <v>47391.0</v>
      </c>
      <c r="CR46" s="36">
        <v>0.0</v>
      </c>
      <c r="CS46" s="36">
        <v>0.0</v>
      </c>
      <c r="CT46" s="35" t="s">
        <v>7045</v>
      </c>
      <c r="CU46" s="30">
        <v>47392.0</v>
      </c>
      <c r="CV46" s="30">
        <v>47483.0</v>
      </c>
      <c r="CW46" s="36">
        <v>0.0</v>
      </c>
      <c r="CX46" s="36">
        <v>0.0</v>
      </c>
      <c r="CY46" s="35" t="s">
        <v>7045</v>
      </c>
      <c r="CZ46" s="30">
        <v>47484.0</v>
      </c>
      <c r="DA46" s="30">
        <v>47573.0</v>
      </c>
      <c r="DB46" s="36">
        <v>0.0</v>
      </c>
      <c r="DC46" s="36">
        <v>0.0</v>
      </c>
      <c r="DD46" s="35" t="s">
        <v>7045</v>
      </c>
      <c r="DE46" s="30">
        <v>47574.0</v>
      </c>
      <c r="DF46" s="30">
        <v>47664.0</v>
      </c>
      <c r="DG46" s="36">
        <v>0.0</v>
      </c>
      <c r="DH46" s="36">
        <v>0.0</v>
      </c>
      <c r="DI46" s="35" t="s">
        <v>7045</v>
      </c>
      <c r="DJ46" s="30">
        <v>47665.0</v>
      </c>
      <c r="DK46" s="30">
        <v>47756.0</v>
      </c>
      <c r="DL46" s="36">
        <v>0.0</v>
      </c>
      <c r="DM46" s="36">
        <v>0.0</v>
      </c>
      <c r="DN46" s="35" t="s">
        <v>7045</v>
      </c>
      <c r="DO46" s="30">
        <v>47757.0</v>
      </c>
      <c r="DP46" s="30">
        <v>47848.0</v>
      </c>
      <c r="DQ46" s="36">
        <v>0.0</v>
      </c>
      <c r="DR46" s="36">
        <v>0.0</v>
      </c>
      <c r="DS46" s="35" t="s">
        <v>7045</v>
      </c>
    </row>
    <row r="47" ht="14.25" customHeight="1">
      <c r="A47" s="28" t="s">
        <v>6898</v>
      </c>
      <c r="B47" s="29" t="s">
        <v>6899</v>
      </c>
      <c r="C47" s="29" t="s">
        <v>7041</v>
      </c>
      <c r="D47" s="30">
        <v>45658.0</v>
      </c>
      <c r="E47" s="30">
        <v>45747.0</v>
      </c>
      <c r="F47" s="36">
        <v>12.95</v>
      </c>
      <c r="G47" s="36">
        <v>0.0</v>
      </c>
      <c r="H47" s="38" t="s">
        <v>7047</v>
      </c>
      <c r="I47" s="30">
        <v>45748.0</v>
      </c>
      <c r="J47" s="30">
        <v>45838.0</v>
      </c>
      <c r="K47" s="36">
        <v>178.72</v>
      </c>
      <c r="L47" s="36">
        <v>2983.3</v>
      </c>
      <c r="M47" s="32" t="s">
        <v>7043</v>
      </c>
      <c r="N47" s="30">
        <v>45839.0</v>
      </c>
      <c r="O47" s="30">
        <v>45930.0</v>
      </c>
      <c r="P47" s="36">
        <v>565.58</v>
      </c>
      <c r="Q47" s="36">
        <v>3149.97</v>
      </c>
      <c r="R47" s="38" t="s">
        <v>7047</v>
      </c>
      <c r="S47" s="30">
        <v>45931.0</v>
      </c>
      <c r="T47" s="30">
        <v>46022.0</v>
      </c>
      <c r="U47" s="36">
        <v>609.67</v>
      </c>
      <c r="V47" s="36">
        <v>3416.62</v>
      </c>
      <c r="W47" s="38" t="s">
        <v>7047</v>
      </c>
      <c r="X47" s="30">
        <v>46023.0</v>
      </c>
      <c r="Y47" s="30">
        <v>46112.0</v>
      </c>
      <c r="Z47" s="36">
        <v>181.84</v>
      </c>
      <c r="AA47" s="36">
        <v>0.0</v>
      </c>
      <c r="AB47" s="38" t="s">
        <v>7047</v>
      </c>
      <c r="AC47" s="30">
        <v>46113.0</v>
      </c>
      <c r="AD47" s="30">
        <v>46203.0</v>
      </c>
      <c r="AE47" s="36">
        <v>485.79</v>
      </c>
      <c r="AF47" s="36">
        <v>0.0</v>
      </c>
      <c r="AG47" s="38" t="s">
        <v>7047</v>
      </c>
      <c r="AH47" s="30">
        <v>46204.0</v>
      </c>
      <c r="AI47" s="30">
        <v>46295.0</v>
      </c>
      <c r="AJ47" s="36">
        <v>100.0</v>
      </c>
      <c r="AK47" s="36">
        <v>0.0</v>
      </c>
      <c r="AL47" s="38" t="s">
        <v>7047</v>
      </c>
      <c r="AM47" s="30">
        <v>46296.0</v>
      </c>
      <c r="AN47" s="30">
        <v>46387.0</v>
      </c>
      <c r="AO47" s="36">
        <v>359.99</v>
      </c>
      <c r="AP47" s="36">
        <v>0.0</v>
      </c>
      <c r="AQ47" s="38" t="s">
        <v>7047</v>
      </c>
      <c r="AR47" s="30">
        <v>46388.0</v>
      </c>
      <c r="AS47" s="30">
        <v>46477.0</v>
      </c>
      <c r="AT47" s="36">
        <v>0.0</v>
      </c>
      <c r="AU47" s="36">
        <v>0.0</v>
      </c>
      <c r="AV47" s="35" t="s">
        <v>7045</v>
      </c>
      <c r="AW47" s="30">
        <v>46478.0</v>
      </c>
      <c r="AX47" s="30">
        <v>46568.0</v>
      </c>
      <c r="AY47" s="36">
        <v>0.0</v>
      </c>
      <c r="AZ47" s="36">
        <v>0.0</v>
      </c>
      <c r="BA47" s="35" t="s">
        <v>7045</v>
      </c>
      <c r="BB47" s="30">
        <v>46569.0</v>
      </c>
      <c r="BC47" s="30">
        <v>46660.0</v>
      </c>
      <c r="BD47" s="36">
        <v>0.0</v>
      </c>
      <c r="BE47" s="36">
        <v>0.0</v>
      </c>
      <c r="BF47" s="35" t="s">
        <v>7045</v>
      </c>
      <c r="BG47" s="30">
        <v>46661.0</v>
      </c>
      <c r="BH47" s="30">
        <v>46752.0</v>
      </c>
      <c r="BI47" s="36">
        <v>0.0</v>
      </c>
      <c r="BJ47" s="36">
        <v>0.0</v>
      </c>
      <c r="BK47" s="35" t="s">
        <v>7045</v>
      </c>
      <c r="BL47" s="30">
        <v>46753.0</v>
      </c>
      <c r="BM47" s="30">
        <v>46843.0</v>
      </c>
      <c r="BN47" s="36">
        <v>0.0</v>
      </c>
      <c r="BO47" s="36">
        <v>0.0</v>
      </c>
      <c r="BP47" s="35" t="s">
        <v>7045</v>
      </c>
      <c r="BQ47" s="30">
        <v>46844.0</v>
      </c>
      <c r="BR47" s="30">
        <v>46934.0</v>
      </c>
      <c r="BS47" s="36">
        <v>0.0</v>
      </c>
      <c r="BT47" s="36">
        <v>0.0</v>
      </c>
      <c r="BU47" s="35" t="s">
        <v>7045</v>
      </c>
      <c r="BV47" s="30">
        <v>46935.0</v>
      </c>
      <c r="BW47" s="30">
        <v>47026.0</v>
      </c>
      <c r="BX47" s="36">
        <v>0.0</v>
      </c>
      <c r="BY47" s="36">
        <v>0.0</v>
      </c>
      <c r="BZ47" s="35" t="s">
        <v>7045</v>
      </c>
      <c r="CA47" s="30">
        <v>47027.0</v>
      </c>
      <c r="CB47" s="30">
        <v>47118.0</v>
      </c>
      <c r="CC47" s="36">
        <v>0.0</v>
      </c>
      <c r="CD47" s="36">
        <v>0.0</v>
      </c>
      <c r="CE47" s="35" t="s">
        <v>7045</v>
      </c>
      <c r="CF47" s="30">
        <v>47119.0</v>
      </c>
      <c r="CG47" s="30">
        <v>47208.0</v>
      </c>
      <c r="CH47" s="36">
        <v>0.0</v>
      </c>
      <c r="CI47" s="36">
        <v>0.0</v>
      </c>
      <c r="CJ47" s="35" t="s">
        <v>7045</v>
      </c>
      <c r="CK47" s="30">
        <v>47209.0</v>
      </c>
      <c r="CL47" s="30">
        <v>47299.0</v>
      </c>
      <c r="CM47" s="36">
        <v>0.0</v>
      </c>
      <c r="CN47" s="36">
        <v>0.0</v>
      </c>
      <c r="CO47" s="35" t="s">
        <v>7045</v>
      </c>
      <c r="CP47" s="30">
        <v>47300.0</v>
      </c>
      <c r="CQ47" s="30">
        <v>47391.0</v>
      </c>
      <c r="CR47" s="36">
        <v>0.0</v>
      </c>
      <c r="CS47" s="36">
        <v>0.0</v>
      </c>
      <c r="CT47" s="35" t="s">
        <v>7045</v>
      </c>
      <c r="CU47" s="30">
        <v>47392.0</v>
      </c>
      <c r="CV47" s="30">
        <v>47483.0</v>
      </c>
      <c r="CW47" s="36">
        <v>0.0</v>
      </c>
      <c r="CX47" s="36">
        <v>0.0</v>
      </c>
      <c r="CY47" s="35" t="s">
        <v>7045</v>
      </c>
      <c r="CZ47" s="30">
        <v>47484.0</v>
      </c>
      <c r="DA47" s="30">
        <v>47573.0</v>
      </c>
      <c r="DB47" s="36">
        <v>0.0</v>
      </c>
      <c r="DC47" s="36">
        <v>0.0</v>
      </c>
      <c r="DD47" s="35" t="s">
        <v>7045</v>
      </c>
      <c r="DE47" s="30">
        <v>47574.0</v>
      </c>
      <c r="DF47" s="30">
        <v>47664.0</v>
      </c>
      <c r="DG47" s="36">
        <v>0.0</v>
      </c>
      <c r="DH47" s="36">
        <v>0.0</v>
      </c>
      <c r="DI47" s="35" t="s">
        <v>7045</v>
      </c>
      <c r="DJ47" s="30">
        <v>47665.0</v>
      </c>
      <c r="DK47" s="30">
        <v>47756.0</v>
      </c>
      <c r="DL47" s="36">
        <v>0.0</v>
      </c>
      <c r="DM47" s="36">
        <v>0.0</v>
      </c>
      <c r="DN47" s="35" t="s">
        <v>7045</v>
      </c>
      <c r="DO47" s="30">
        <v>47757.0</v>
      </c>
      <c r="DP47" s="30">
        <v>47848.0</v>
      </c>
      <c r="DQ47" s="36">
        <v>0.0</v>
      </c>
      <c r="DR47" s="36">
        <v>0.0</v>
      </c>
      <c r="DS47" s="35" t="s">
        <v>7045</v>
      </c>
    </row>
    <row r="48" ht="14.25" customHeight="1">
      <c r="A48" s="28" t="s">
        <v>4448</v>
      </c>
      <c r="B48" s="29" t="s">
        <v>4449</v>
      </c>
      <c r="C48" s="29" t="s">
        <v>7041</v>
      </c>
      <c r="D48" s="30">
        <v>45658.0</v>
      </c>
      <c r="E48" s="30">
        <v>45747.0</v>
      </c>
      <c r="F48" s="36">
        <v>18.37</v>
      </c>
      <c r="G48" s="36">
        <v>0.0</v>
      </c>
      <c r="H48" s="38" t="s">
        <v>7047</v>
      </c>
      <c r="I48" s="30">
        <v>45748.0</v>
      </c>
      <c r="J48" s="30">
        <v>45838.0</v>
      </c>
      <c r="K48" s="36">
        <v>20.0</v>
      </c>
      <c r="L48" s="36">
        <v>576.92</v>
      </c>
      <c r="M48" s="37" t="s">
        <v>7043</v>
      </c>
      <c r="N48" s="30">
        <v>45839.0</v>
      </c>
      <c r="O48" s="30">
        <v>45930.0</v>
      </c>
      <c r="P48" s="36">
        <v>185.0</v>
      </c>
      <c r="Q48" s="36">
        <v>576.92</v>
      </c>
      <c r="R48" s="38" t="s">
        <v>7047</v>
      </c>
      <c r="S48" s="30">
        <v>45931.0</v>
      </c>
      <c r="T48" s="30">
        <v>46022.0</v>
      </c>
      <c r="U48" s="36">
        <v>361.09</v>
      </c>
      <c r="V48" s="36">
        <v>576.92</v>
      </c>
      <c r="W48" s="38" t="s">
        <v>7047</v>
      </c>
      <c r="X48" s="30">
        <v>46023.0</v>
      </c>
      <c r="Y48" s="30">
        <v>46112.0</v>
      </c>
      <c r="Z48" s="36">
        <v>0.0</v>
      </c>
      <c r="AA48" s="36">
        <v>0.0</v>
      </c>
      <c r="AB48" s="35" t="s">
        <v>7045</v>
      </c>
      <c r="AC48" s="30">
        <v>46113.0</v>
      </c>
      <c r="AD48" s="30">
        <v>46203.0</v>
      </c>
      <c r="AE48" s="36">
        <v>0.0</v>
      </c>
      <c r="AF48" s="36">
        <v>0.0</v>
      </c>
      <c r="AG48" s="35" t="s">
        <v>7045</v>
      </c>
      <c r="AH48" s="30">
        <v>46204.0</v>
      </c>
      <c r="AI48" s="30">
        <v>46295.0</v>
      </c>
      <c r="AJ48" s="36">
        <v>0.0</v>
      </c>
      <c r="AK48" s="36">
        <v>0.0</v>
      </c>
      <c r="AL48" s="35" t="s">
        <v>7045</v>
      </c>
      <c r="AM48" s="30">
        <v>46296.0</v>
      </c>
      <c r="AN48" s="30">
        <v>46387.0</v>
      </c>
      <c r="AO48" s="36">
        <v>0.0</v>
      </c>
      <c r="AP48" s="36">
        <v>0.0</v>
      </c>
      <c r="AQ48" s="35" t="s">
        <v>7045</v>
      </c>
      <c r="AR48" s="30">
        <v>46388.0</v>
      </c>
      <c r="AS48" s="30">
        <v>46477.0</v>
      </c>
      <c r="AT48" s="36">
        <v>0.0</v>
      </c>
      <c r="AU48" s="36">
        <v>0.0</v>
      </c>
      <c r="AV48" s="35" t="s">
        <v>7045</v>
      </c>
      <c r="AW48" s="30">
        <v>46478.0</v>
      </c>
      <c r="AX48" s="30">
        <v>46568.0</v>
      </c>
      <c r="AY48" s="36">
        <v>0.0</v>
      </c>
      <c r="AZ48" s="36">
        <v>0.0</v>
      </c>
      <c r="BA48" s="35" t="s">
        <v>7045</v>
      </c>
      <c r="BB48" s="30">
        <v>46569.0</v>
      </c>
      <c r="BC48" s="30">
        <v>46660.0</v>
      </c>
      <c r="BD48" s="36">
        <v>0.0</v>
      </c>
      <c r="BE48" s="36">
        <v>0.0</v>
      </c>
      <c r="BF48" s="35" t="s">
        <v>7045</v>
      </c>
      <c r="BG48" s="30">
        <v>46661.0</v>
      </c>
      <c r="BH48" s="30">
        <v>46752.0</v>
      </c>
      <c r="BI48" s="36">
        <v>0.0</v>
      </c>
      <c r="BJ48" s="36">
        <v>0.0</v>
      </c>
      <c r="BK48" s="35" t="s">
        <v>7045</v>
      </c>
      <c r="BL48" s="30">
        <v>46753.0</v>
      </c>
      <c r="BM48" s="30">
        <v>46843.0</v>
      </c>
      <c r="BN48" s="36">
        <v>0.0</v>
      </c>
      <c r="BO48" s="36">
        <v>0.0</v>
      </c>
      <c r="BP48" s="35" t="s">
        <v>7045</v>
      </c>
      <c r="BQ48" s="30">
        <v>46844.0</v>
      </c>
      <c r="BR48" s="30">
        <v>46934.0</v>
      </c>
      <c r="BS48" s="36">
        <v>0.0</v>
      </c>
      <c r="BT48" s="36">
        <v>0.0</v>
      </c>
      <c r="BU48" s="35" t="s">
        <v>7045</v>
      </c>
      <c r="BV48" s="30">
        <v>46935.0</v>
      </c>
      <c r="BW48" s="30">
        <v>47026.0</v>
      </c>
      <c r="BX48" s="36">
        <v>0.0</v>
      </c>
      <c r="BY48" s="36">
        <v>0.0</v>
      </c>
      <c r="BZ48" s="35" t="s">
        <v>7045</v>
      </c>
      <c r="CA48" s="30">
        <v>47027.0</v>
      </c>
      <c r="CB48" s="30">
        <v>47118.0</v>
      </c>
      <c r="CC48" s="36">
        <v>0.0</v>
      </c>
      <c r="CD48" s="36">
        <v>0.0</v>
      </c>
      <c r="CE48" s="35" t="s">
        <v>7045</v>
      </c>
      <c r="CF48" s="30">
        <v>47119.0</v>
      </c>
      <c r="CG48" s="30">
        <v>47208.0</v>
      </c>
      <c r="CH48" s="36">
        <v>0.0</v>
      </c>
      <c r="CI48" s="36">
        <v>0.0</v>
      </c>
      <c r="CJ48" s="35" t="s">
        <v>7045</v>
      </c>
      <c r="CK48" s="30">
        <v>47209.0</v>
      </c>
      <c r="CL48" s="30">
        <v>47299.0</v>
      </c>
      <c r="CM48" s="36">
        <v>0.0</v>
      </c>
      <c r="CN48" s="36">
        <v>0.0</v>
      </c>
      <c r="CO48" s="35" t="s">
        <v>7045</v>
      </c>
      <c r="CP48" s="30">
        <v>47300.0</v>
      </c>
      <c r="CQ48" s="30">
        <v>47391.0</v>
      </c>
      <c r="CR48" s="36">
        <v>0.0</v>
      </c>
      <c r="CS48" s="36">
        <v>0.0</v>
      </c>
      <c r="CT48" s="35" t="s">
        <v>7045</v>
      </c>
      <c r="CU48" s="30">
        <v>47392.0</v>
      </c>
      <c r="CV48" s="30">
        <v>47483.0</v>
      </c>
      <c r="CW48" s="36">
        <v>0.0</v>
      </c>
      <c r="CX48" s="36">
        <v>0.0</v>
      </c>
      <c r="CY48" s="35" t="s">
        <v>7045</v>
      </c>
      <c r="CZ48" s="30">
        <v>47484.0</v>
      </c>
      <c r="DA48" s="30">
        <v>47573.0</v>
      </c>
      <c r="DB48" s="36">
        <v>0.0</v>
      </c>
      <c r="DC48" s="36">
        <v>0.0</v>
      </c>
      <c r="DD48" s="35" t="s">
        <v>7045</v>
      </c>
      <c r="DE48" s="30">
        <v>47574.0</v>
      </c>
      <c r="DF48" s="30">
        <v>47664.0</v>
      </c>
      <c r="DG48" s="36">
        <v>0.0</v>
      </c>
      <c r="DH48" s="36">
        <v>0.0</v>
      </c>
      <c r="DI48" s="35" t="s">
        <v>7045</v>
      </c>
      <c r="DJ48" s="30">
        <v>47665.0</v>
      </c>
      <c r="DK48" s="30">
        <v>47756.0</v>
      </c>
      <c r="DL48" s="36">
        <v>0.0</v>
      </c>
      <c r="DM48" s="36">
        <v>0.0</v>
      </c>
      <c r="DN48" s="35" t="s">
        <v>7045</v>
      </c>
      <c r="DO48" s="30">
        <v>47757.0</v>
      </c>
      <c r="DP48" s="30">
        <v>47848.0</v>
      </c>
      <c r="DQ48" s="36">
        <v>0.0</v>
      </c>
      <c r="DR48" s="36">
        <v>0.0</v>
      </c>
      <c r="DS48" s="35" t="s">
        <v>7045</v>
      </c>
    </row>
    <row r="49" ht="14.25" customHeight="1">
      <c r="A49" s="28" t="s">
        <v>1156</v>
      </c>
      <c r="B49" s="29" t="s">
        <v>1157</v>
      </c>
      <c r="C49" s="29" t="s">
        <v>7041</v>
      </c>
      <c r="D49" s="30">
        <v>45658.0</v>
      </c>
      <c r="E49" s="30">
        <v>45747.0</v>
      </c>
      <c r="F49" s="36">
        <v>5.15</v>
      </c>
      <c r="G49" s="36">
        <v>0.0</v>
      </c>
      <c r="H49" s="38" t="s">
        <v>7047</v>
      </c>
      <c r="I49" s="30">
        <v>45748.0</v>
      </c>
      <c r="J49" s="30">
        <v>45838.0</v>
      </c>
      <c r="K49" s="36">
        <v>1.0</v>
      </c>
      <c r="L49" s="36">
        <v>0.0</v>
      </c>
      <c r="M49" s="38" t="s">
        <v>7047</v>
      </c>
      <c r="N49" s="30">
        <v>45839.0</v>
      </c>
      <c r="O49" s="30">
        <v>45930.0</v>
      </c>
      <c r="P49" s="36">
        <v>60.14</v>
      </c>
      <c r="Q49" s="36">
        <v>0.0</v>
      </c>
      <c r="R49" s="38" t="s">
        <v>7047</v>
      </c>
      <c r="S49" s="30">
        <v>45931.0</v>
      </c>
      <c r="T49" s="30">
        <v>46022.0</v>
      </c>
      <c r="U49" s="36">
        <v>240.0</v>
      </c>
      <c r="V49" s="36">
        <v>0.0</v>
      </c>
      <c r="W49" s="38" t="s">
        <v>7047</v>
      </c>
      <c r="X49" s="30">
        <v>46023.0</v>
      </c>
      <c r="Y49" s="30">
        <v>46112.0</v>
      </c>
      <c r="Z49" s="36">
        <v>0.0</v>
      </c>
      <c r="AA49" s="36">
        <v>0.0</v>
      </c>
      <c r="AB49" s="35" t="s">
        <v>7045</v>
      </c>
      <c r="AC49" s="30">
        <v>46113.0</v>
      </c>
      <c r="AD49" s="30">
        <v>46203.0</v>
      </c>
      <c r="AE49" s="36">
        <v>0.0</v>
      </c>
      <c r="AF49" s="36">
        <v>0.0</v>
      </c>
      <c r="AG49" s="35" t="s">
        <v>7045</v>
      </c>
      <c r="AH49" s="30">
        <v>46204.0</v>
      </c>
      <c r="AI49" s="30">
        <v>46295.0</v>
      </c>
      <c r="AJ49" s="36">
        <v>0.0</v>
      </c>
      <c r="AK49" s="36">
        <v>0.0</v>
      </c>
      <c r="AL49" s="35" t="s">
        <v>7045</v>
      </c>
      <c r="AM49" s="30">
        <v>46296.0</v>
      </c>
      <c r="AN49" s="30">
        <v>46387.0</v>
      </c>
      <c r="AO49" s="36">
        <v>0.0</v>
      </c>
      <c r="AP49" s="36">
        <v>0.0</v>
      </c>
      <c r="AQ49" s="35" t="s">
        <v>7045</v>
      </c>
      <c r="AR49" s="30">
        <v>46388.0</v>
      </c>
      <c r="AS49" s="30">
        <v>46477.0</v>
      </c>
      <c r="AT49" s="36">
        <v>0.0</v>
      </c>
      <c r="AU49" s="36">
        <v>0.0</v>
      </c>
      <c r="AV49" s="35" t="s">
        <v>7045</v>
      </c>
      <c r="AW49" s="30">
        <v>46478.0</v>
      </c>
      <c r="AX49" s="30">
        <v>46568.0</v>
      </c>
      <c r="AY49" s="36">
        <v>0.0</v>
      </c>
      <c r="AZ49" s="36">
        <v>0.0</v>
      </c>
      <c r="BA49" s="35" t="s">
        <v>7045</v>
      </c>
      <c r="BB49" s="30">
        <v>46569.0</v>
      </c>
      <c r="BC49" s="30">
        <v>46660.0</v>
      </c>
      <c r="BD49" s="36">
        <v>0.0</v>
      </c>
      <c r="BE49" s="36">
        <v>0.0</v>
      </c>
      <c r="BF49" s="35" t="s">
        <v>7045</v>
      </c>
      <c r="BG49" s="30">
        <v>46661.0</v>
      </c>
      <c r="BH49" s="30">
        <v>46752.0</v>
      </c>
      <c r="BI49" s="36">
        <v>0.0</v>
      </c>
      <c r="BJ49" s="36">
        <v>0.0</v>
      </c>
      <c r="BK49" s="35" t="s">
        <v>7045</v>
      </c>
      <c r="BL49" s="30">
        <v>46753.0</v>
      </c>
      <c r="BM49" s="30">
        <v>46843.0</v>
      </c>
      <c r="BN49" s="36">
        <v>0.0</v>
      </c>
      <c r="BO49" s="36">
        <v>0.0</v>
      </c>
      <c r="BP49" s="35" t="s">
        <v>7045</v>
      </c>
      <c r="BQ49" s="30">
        <v>46844.0</v>
      </c>
      <c r="BR49" s="30">
        <v>46934.0</v>
      </c>
      <c r="BS49" s="36">
        <v>0.0</v>
      </c>
      <c r="BT49" s="36">
        <v>0.0</v>
      </c>
      <c r="BU49" s="35" t="s">
        <v>7045</v>
      </c>
      <c r="BV49" s="30">
        <v>46935.0</v>
      </c>
      <c r="BW49" s="30">
        <v>47026.0</v>
      </c>
      <c r="BX49" s="36">
        <v>0.0</v>
      </c>
      <c r="BY49" s="36">
        <v>0.0</v>
      </c>
      <c r="BZ49" s="35" t="s">
        <v>7045</v>
      </c>
      <c r="CA49" s="30">
        <v>47027.0</v>
      </c>
      <c r="CB49" s="30">
        <v>47118.0</v>
      </c>
      <c r="CC49" s="36">
        <v>0.0</v>
      </c>
      <c r="CD49" s="36">
        <v>0.0</v>
      </c>
      <c r="CE49" s="35" t="s">
        <v>7045</v>
      </c>
      <c r="CF49" s="30">
        <v>47119.0</v>
      </c>
      <c r="CG49" s="30">
        <v>47208.0</v>
      </c>
      <c r="CH49" s="36">
        <v>0.0</v>
      </c>
      <c r="CI49" s="36">
        <v>0.0</v>
      </c>
      <c r="CJ49" s="35" t="s">
        <v>7045</v>
      </c>
      <c r="CK49" s="30">
        <v>47209.0</v>
      </c>
      <c r="CL49" s="30">
        <v>47299.0</v>
      </c>
      <c r="CM49" s="36">
        <v>0.0</v>
      </c>
      <c r="CN49" s="36">
        <v>0.0</v>
      </c>
      <c r="CO49" s="35" t="s">
        <v>7045</v>
      </c>
      <c r="CP49" s="30">
        <v>47300.0</v>
      </c>
      <c r="CQ49" s="30">
        <v>47391.0</v>
      </c>
      <c r="CR49" s="36">
        <v>0.0</v>
      </c>
      <c r="CS49" s="36">
        <v>0.0</v>
      </c>
      <c r="CT49" s="35" t="s">
        <v>7045</v>
      </c>
      <c r="CU49" s="30">
        <v>47392.0</v>
      </c>
      <c r="CV49" s="30">
        <v>47483.0</v>
      </c>
      <c r="CW49" s="36">
        <v>0.0</v>
      </c>
      <c r="CX49" s="36">
        <v>0.0</v>
      </c>
      <c r="CY49" s="35" t="s">
        <v>7045</v>
      </c>
      <c r="CZ49" s="30">
        <v>47484.0</v>
      </c>
      <c r="DA49" s="30">
        <v>47573.0</v>
      </c>
      <c r="DB49" s="36">
        <v>0.0</v>
      </c>
      <c r="DC49" s="36">
        <v>0.0</v>
      </c>
      <c r="DD49" s="35" t="s">
        <v>7045</v>
      </c>
      <c r="DE49" s="30">
        <v>47574.0</v>
      </c>
      <c r="DF49" s="30">
        <v>47664.0</v>
      </c>
      <c r="DG49" s="36">
        <v>0.0</v>
      </c>
      <c r="DH49" s="36">
        <v>0.0</v>
      </c>
      <c r="DI49" s="35" t="s">
        <v>7045</v>
      </c>
      <c r="DJ49" s="30">
        <v>47665.0</v>
      </c>
      <c r="DK49" s="30">
        <v>47756.0</v>
      </c>
      <c r="DL49" s="36">
        <v>0.0</v>
      </c>
      <c r="DM49" s="36">
        <v>0.0</v>
      </c>
      <c r="DN49" s="35" t="s">
        <v>7045</v>
      </c>
      <c r="DO49" s="30">
        <v>47757.0</v>
      </c>
      <c r="DP49" s="30">
        <v>47848.0</v>
      </c>
      <c r="DQ49" s="36">
        <v>0.0</v>
      </c>
      <c r="DR49" s="36">
        <v>0.0</v>
      </c>
      <c r="DS49" s="35" t="s">
        <v>7045</v>
      </c>
    </row>
    <row r="50" ht="14.25" customHeight="1">
      <c r="A50" s="28" t="s">
        <v>1267</v>
      </c>
      <c r="B50" s="29" t="s">
        <v>1268</v>
      </c>
      <c r="C50" s="29" t="s">
        <v>7041</v>
      </c>
      <c r="D50" s="30">
        <v>45658.0</v>
      </c>
      <c r="E50" s="30">
        <v>45747.0</v>
      </c>
      <c r="F50" s="36">
        <v>300.0</v>
      </c>
      <c r="G50" s="36">
        <v>0.0</v>
      </c>
      <c r="H50" s="38" t="s">
        <v>7047</v>
      </c>
      <c r="I50" s="30">
        <v>45748.0</v>
      </c>
      <c r="J50" s="30">
        <v>45838.0</v>
      </c>
      <c r="K50" s="36">
        <v>6.16</v>
      </c>
      <c r="L50" s="36">
        <v>377.05</v>
      </c>
      <c r="M50" s="38" t="s">
        <v>7043</v>
      </c>
      <c r="N50" s="30">
        <v>45839.0</v>
      </c>
      <c r="O50" s="30">
        <v>45930.0</v>
      </c>
      <c r="P50" s="36">
        <v>416.16</v>
      </c>
      <c r="Q50" s="36">
        <v>573.76</v>
      </c>
      <c r="R50" s="38" t="s">
        <v>7047</v>
      </c>
      <c r="S50" s="30">
        <v>45931.0</v>
      </c>
      <c r="T50" s="30">
        <v>46022.0</v>
      </c>
      <c r="U50" s="36">
        <v>582.49</v>
      </c>
      <c r="V50" s="36">
        <v>491.8</v>
      </c>
      <c r="W50" s="38" t="s">
        <v>7047</v>
      </c>
      <c r="X50" s="30">
        <v>46023.0</v>
      </c>
      <c r="Y50" s="30">
        <v>46112.0</v>
      </c>
      <c r="Z50" s="36">
        <v>30.0</v>
      </c>
      <c r="AA50" s="36">
        <v>0.0</v>
      </c>
      <c r="AB50" s="35" t="s">
        <v>7047</v>
      </c>
      <c r="AC50" s="30">
        <v>46113.0</v>
      </c>
      <c r="AD50" s="30">
        <v>46203.0</v>
      </c>
      <c r="AE50" s="36">
        <v>30.0</v>
      </c>
      <c r="AF50" s="36">
        <v>0.0</v>
      </c>
      <c r="AG50" s="35" t="s">
        <v>7047</v>
      </c>
      <c r="AH50" s="30">
        <v>46204.0</v>
      </c>
      <c r="AI50" s="30">
        <v>46295.0</v>
      </c>
      <c r="AJ50" s="36">
        <v>0.0</v>
      </c>
      <c r="AK50" s="36">
        <v>0.0</v>
      </c>
      <c r="AL50" s="35" t="s">
        <v>7045</v>
      </c>
      <c r="AM50" s="30">
        <v>46296.0</v>
      </c>
      <c r="AN50" s="30">
        <v>46387.0</v>
      </c>
      <c r="AO50" s="36">
        <v>0.0</v>
      </c>
      <c r="AP50" s="36">
        <v>0.0</v>
      </c>
      <c r="AQ50" s="35" t="s">
        <v>7045</v>
      </c>
      <c r="AR50" s="30">
        <v>46388.0</v>
      </c>
      <c r="AS50" s="30">
        <v>46477.0</v>
      </c>
      <c r="AT50" s="36">
        <v>0.0</v>
      </c>
      <c r="AU50" s="36">
        <v>0.0</v>
      </c>
      <c r="AV50" s="35" t="s">
        <v>7045</v>
      </c>
      <c r="AW50" s="30">
        <v>46478.0</v>
      </c>
      <c r="AX50" s="30">
        <v>46568.0</v>
      </c>
      <c r="AY50" s="36">
        <v>0.0</v>
      </c>
      <c r="AZ50" s="36">
        <v>0.0</v>
      </c>
      <c r="BA50" s="35" t="s">
        <v>7045</v>
      </c>
      <c r="BB50" s="30">
        <v>46569.0</v>
      </c>
      <c r="BC50" s="30">
        <v>46660.0</v>
      </c>
      <c r="BD50" s="36">
        <v>0.0</v>
      </c>
      <c r="BE50" s="36">
        <v>0.0</v>
      </c>
      <c r="BF50" s="35" t="s">
        <v>7045</v>
      </c>
      <c r="BG50" s="30">
        <v>46661.0</v>
      </c>
      <c r="BH50" s="30">
        <v>46752.0</v>
      </c>
      <c r="BI50" s="36">
        <v>0.0</v>
      </c>
      <c r="BJ50" s="36">
        <v>0.0</v>
      </c>
      <c r="BK50" s="35" t="s">
        <v>7045</v>
      </c>
      <c r="BL50" s="30">
        <v>46753.0</v>
      </c>
      <c r="BM50" s="30">
        <v>46843.0</v>
      </c>
      <c r="BN50" s="36">
        <v>0.0</v>
      </c>
      <c r="BO50" s="36">
        <v>0.0</v>
      </c>
      <c r="BP50" s="35" t="s">
        <v>7045</v>
      </c>
      <c r="BQ50" s="30">
        <v>46844.0</v>
      </c>
      <c r="BR50" s="30">
        <v>46934.0</v>
      </c>
      <c r="BS50" s="36">
        <v>0.0</v>
      </c>
      <c r="BT50" s="36">
        <v>0.0</v>
      </c>
      <c r="BU50" s="35" t="s">
        <v>7045</v>
      </c>
      <c r="BV50" s="30">
        <v>46935.0</v>
      </c>
      <c r="BW50" s="30">
        <v>47026.0</v>
      </c>
      <c r="BX50" s="36">
        <v>0.0</v>
      </c>
      <c r="BY50" s="36">
        <v>0.0</v>
      </c>
      <c r="BZ50" s="35" t="s">
        <v>7045</v>
      </c>
      <c r="CA50" s="30">
        <v>47027.0</v>
      </c>
      <c r="CB50" s="30">
        <v>47118.0</v>
      </c>
      <c r="CC50" s="36">
        <v>0.0</v>
      </c>
      <c r="CD50" s="36">
        <v>0.0</v>
      </c>
      <c r="CE50" s="35" t="s">
        <v>7045</v>
      </c>
      <c r="CF50" s="30">
        <v>47119.0</v>
      </c>
      <c r="CG50" s="30">
        <v>47208.0</v>
      </c>
      <c r="CH50" s="36">
        <v>0.0</v>
      </c>
      <c r="CI50" s="36">
        <v>0.0</v>
      </c>
      <c r="CJ50" s="35" t="s">
        <v>7045</v>
      </c>
      <c r="CK50" s="30">
        <v>47209.0</v>
      </c>
      <c r="CL50" s="30">
        <v>47299.0</v>
      </c>
      <c r="CM50" s="36">
        <v>0.0</v>
      </c>
      <c r="CN50" s="36">
        <v>0.0</v>
      </c>
      <c r="CO50" s="35" t="s">
        <v>7045</v>
      </c>
      <c r="CP50" s="30">
        <v>47300.0</v>
      </c>
      <c r="CQ50" s="30">
        <v>47391.0</v>
      </c>
      <c r="CR50" s="36">
        <v>0.0</v>
      </c>
      <c r="CS50" s="36">
        <v>0.0</v>
      </c>
      <c r="CT50" s="35" t="s">
        <v>7045</v>
      </c>
      <c r="CU50" s="30">
        <v>47392.0</v>
      </c>
      <c r="CV50" s="30">
        <v>47483.0</v>
      </c>
      <c r="CW50" s="36">
        <v>0.0</v>
      </c>
      <c r="CX50" s="36">
        <v>0.0</v>
      </c>
      <c r="CY50" s="35" t="s">
        <v>7045</v>
      </c>
      <c r="CZ50" s="30">
        <v>47484.0</v>
      </c>
      <c r="DA50" s="30">
        <v>47573.0</v>
      </c>
      <c r="DB50" s="36">
        <v>0.0</v>
      </c>
      <c r="DC50" s="36">
        <v>0.0</v>
      </c>
      <c r="DD50" s="35" t="s">
        <v>7045</v>
      </c>
      <c r="DE50" s="30">
        <v>47574.0</v>
      </c>
      <c r="DF50" s="30">
        <v>47664.0</v>
      </c>
      <c r="DG50" s="36">
        <v>0.0</v>
      </c>
      <c r="DH50" s="36">
        <v>0.0</v>
      </c>
      <c r="DI50" s="35" t="s">
        <v>7045</v>
      </c>
      <c r="DJ50" s="30">
        <v>47665.0</v>
      </c>
      <c r="DK50" s="30">
        <v>47756.0</v>
      </c>
      <c r="DL50" s="36">
        <v>0.0</v>
      </c>
      <c r="DM50" s="36">
        <v>0.0</v>
      </c>
      <c r="DN50" s="35" t="s">
        <v>7045</v>
      </c>
      <c r="DO50" s="30">
        <v>47757.0</v>
      </c>
      <c r="DP50" s="30">
        <v>47848.0</v>
      </c>
      <c r="DQ50" s="36">
        <v>0.0</v>
      </c>
      <c r="DR50" s="36">
        <v>0.0</v>
      </c>
      <c r="DS50" s="35" t="s">
        <v>7045</v>
      </c>
    </row>
    <row r="51" ht="14.25" customHeight="1">
      <c r="A51" s="28" t="s">
        <v>5825</v>
      </c>
      <c r="B51" s="29" t="s">
        <v>5826</v>
      </c>
      <c r="C51" s="29" t="s">
        <v>7041</v>
      </c>
      <c r="D51" s="30">
        <v>45658.0</v>
      </c>
      <c r="E51" s="30">
        <v>45747.0</v>
      </c>
      <c r="F51" s="36">
        <v>0.0</v>
      </c>
      <c r="G51" s="36">
        <v>0.0</v>
      </c>
      <c r="H51" s="35" t="s">
        <v>7045</v>
      </c>
      <c r="I51" s="30">
        <v>45748.0</v>
      </c>
      <c r="J51" s="30">
        <v>45838.0</v>
      </c>
      <c r="K51" s="36">
        <v>50.0</v>
      </c>
      <c r="L51" s="36">
        <v>0.0</v>
      </c>
      <c r="M51" s="38" t="s">
        <v>7047</v>
      </c>
      <c r="N51" s="30">
        <v>45839.0</v>
      </c>
      <c r="O51" s="30">
        <v>45930.0</v>
      </c>
      <c r="P51" s="36">
        <v>541.13</v>
      </c>
      <c r="Q51" s="36">
        <v>0.0</v>
      </c>
      <c r="R51" s="35" t="s">
        <v>7047</v>
      </c>
      <c r="S51" s="30">
        <v>45931.0</v>
      </c>
      <c r="T51" s="30">
        <v>46022.0</v>
      </c>
      <c r="U51" s="36">
        <v>0.0</v>
      </c>
      <c r="V51" s="36">
        <v>0.0</v>
      </c>
      <c r="W51" s="35" t="s">
        <v>7045</v>
      </c>
      <c r="X51" s="30">
        <v>46023.0</v>
      </c>
      <c r="Y51" s="30">
        <v>46112.0</v>
      </c>
      <c r="Z51" s="36">
        <v>0.0</v>
      </c>
      <c r="AA51" s="36">
        <v>0.0</v>
      </c>
      <c r="AB51" s="35" t="s">
        <v>7045</v>
      </c>
      <c r="AC51" s="30">
        <v>46113.0</v>
      </c>
      <c r="AD51" s="30">
        <v>46203.0</v>
      </c>
      <c r="AE51" s="36">
        <v>0.0</v>
      </c>
      <c r="AF51" s="36">
        <v>0.0</v>
      </c>
      <c r="AG51" s="35" t="s">
        <v>7045</v>
      </c>
      <c r="AH51" s="30">
        <v>46204.0</v>
      </c>
      <c r="AI51" s="30">
        <v>46295.0</v>
      </c>
      <c r="AJ51" s="36">
        <v>0.0</v>
      </c>
      <c r="AK51" s="36">
        <v>0.0</v>
      </c>
      <c r="AL51" s="35" t="s">
        <v>7045</v>
      </c>
      <c r="AM51" s="30">
        <v>46296.0</v>
      </c>
      <c r="AN51" s="30">
        <v>46387.0</v>
      </c>
      <c r="AO51" s="36">
        <v>0.0</v>
      </c>
      <c r="AP51" s="36">
        <v>0.0</v>
      </c>
      <c r="AQ51" s="35" t="s">
        <v>7045</v>
      </c>
      <c r="AR51" s="30">
        <v>46388.0</v>
      </c>
      <c r="AS51" s="30">
        <v>46477.0</v>
      </c>
      <c r="AT51" s="36">
        <v>0.0</v>
      </c>
      <c r="AU51" s="36">
        <v>0.0</v>
      </c>
      <c r="AV51" s="35" t="s">
        <v>7045</v>
      </c>
      <c r="AW51" s="30">
        <v>46478.0</v>
      </c>
      <c r="AX51" s="30">
        <v>46568.0</v>
      </c>
      <c r="AY51" s="36">
        <v>0.0</v>
      </c>
      <c r="AZ51" s="36">
        <v>0.0</v>
      </c>
      <c r="BA51" s="35" t="s">
        <v>7045</v>
      </c>
      <c r="BB51" s="30">
        <v>46569.0</v>
      </c>
      <c r="BC51" s="30">
        <v>46660.0</v>
      </c>
      <c r="BD51" s="36">
        <v>0.0</v>
      </c>
      <c r="BE51" s="36">
        <v>0.0</v>
      </c>
      <c r="BF51" s="35" t="s">
        <v>7045</v>
      </c>
      <c r="BG51" s="30">
        <v>46661.0</v>
      </c>
      <c r="BH51" s="30">
        <v>46752.0</v>
      </c>
      <c r="BI51" s="36">
        <v>0.0</v>
      </c>
      <c r="BJ51" s="36">
        <v>0.0</v>
      </c>
      <c r="BK51" s="35" t="s">
        <v>7045</v>
      </c>
      <c r="BL51" s="30">
        <v>46753.0</v>
      </c>
      <c r="BM51" s="30">
        <v>46843.0</v>
      </c>
      <c r="BN51" s="36">
        <v>0.0</v>
      </c>
      <c r="BO51" s="36">
        <v>0.0</v>
      </c>
      <c r="BP51" s="35" t="s">
        <v>7045</v>
      </c>
      <c r="BQ51" s="30">
        <v>46844.0</v>
      </c>
      <c r="BR51" s="30">
        <v>46934.0</v>
      </c>
      <c r="BS51" s="36">
        <v>0.0</v>
      </c>
      <c r="BT51" s="36">
        <v>0.0</v>
      </c>
      <c r="BU51" s="35" t="s">
        <v>7045</v>
      </c>
      <c r="BV51" s="30">
        <v>46935.0</v>
      </c>
      <c r="BW51" s="30">
        <v>47026.0</v>
      </c>
      <c r="BX51" s="36">
        <v>0.0</v>
      </c>
      <c r="BY51" s="36">
        <v>0.0</v>
      </c>
      <c r="BZ51" s="35" t="s">
        <v>7045</v>
      </c>
      <c r="CA51" s="30">
        <v>47027.0</v>
      </c>
      <c r="CB51" s="30">
        <v>47118.0</v>
      </c>
      <c r="CC51" s="36">
        <v>0.0</v>
      </c>
      <c r="CD51" s="36">
        <v>0.0</v>
      </c>
      <c r="CE51" s="35" t="s">
        <v>7045</v>
      </c>
      <c r="CF51" s="30">
        <v>47119.0</v>
      </c>
      <c r="CG51" s="30">
        <v>47208.0</v>
      </c>
      <c r="CH51" s="36">
        <v>0.0</v>
      </c>
      <c r="CI51" s="36">
        <v>0.0</v>
      </c>
      <c r="CJ51" s="35" t="s">
        <v>7045</v>
      </c>
      <c r="CK51" s="30">
        <v>47209.0</v>
      </c>
      <c r="CL51" s="30">
        <v>47299.0</v>
      </c>
      <c r="CM51" s="36">
        <v>0.0</v>
      </c>
      <c r="CN51" s="36">
        <v>0.0</v>
      </c>
      <c r="CO51" s="35" t="s">
        <v>7045</v>
      </c>
      <c r="CP51" s="30">
        <v>47300.0</v>
      </c>
      <c r="CQ51" s="30">
        <v>47391.0</v>
      </c>
      <c r="CR51" s="36">
        <v>0.0</v>
      </c>
      <c r="CS51" s="36">
        <v>0.0</v>
      </c>
      <c r="CT51" s="35" t="s">
        <v>7045</v>
      </c>
      <c r="CU51" s="30">
        <v>47392.0</v>
      </c>
      <c r="CV51" s="30">
        <v>47483.0</v>
      </c>
      <c r="CW51" s="36">
        <v>0.0</v>
      </c>
      <c r="CX51" s="36">
        <v>0.0</v>
      </c>
      <c r="CY51" s="35" t="s">
        <v>7045</v>
      </c>
      <c r="CZ51" s="30">
        <v>47484.0</v>
      </c>
      <c r="DA51" s="30">
        <v>47573.0</v>
      </c>
      <c r="DB51" s="36">
        <v>0.0</v>
      </c>
      <c r="DC51" s="36">
        <v>0.0</v>
      </c>
      <c r="DD51" s="35" t="s">
        <v>7045</v>
      </c>
      <c r="DE51" s="30">
        <v>47574.0</v>
      </c>
      <c r="DF51" s="30">
        <v>47664.0</v>
      </c>
      <c r="DG51" s="36">
        <v>0.0</v>
      </c>
      <c r="DH51" s="36">
        <v>0.0</v>
      </c>
      <c r="DI51" s="35" t="s">
        <v>7045</v>
      </c>
      <c r="DJ51" s="30">
        <v>47665.0</v>
      </c>
      <c r="DK51" s="30">
        <v>47756.0</v>
      </c>
      <c r="DL51" s="36">
        <v>0.0</v>
      </c>
      <c r="DM51" s="36">
        <v>0.0</v>
      </c>
      <c r="DN51" s="35" t="s">
        <v>7045</v>
      </c>
      <c r="DO51" s="30">
        <v>47757.0</v>
      </c>
      <c r="DP51" s="30">
        <v>47848.0</v>
      </c>
      <c r="DQ51" s="36">
        <v>0.0</v>
      </c>
      <c r="DR51" s="36">
        <v>0.0</v>
      </c>
      <c r="DS51" s="35" t="s">
        <v>7045</v>
      </c>
    </row>
    <row r="52" ht="14.25" customHeight="1">
      <c r="A52" s="28" t="s">
        <v>1561</v>
      </c>
      <c r="B52" s="29" t="s">
        <v>1562</v>
      </c>
      <c r="C52" s="29" t="s">
        <v>7041</v>
      </c>
      <c r="D52" s="30">
        <v>45658.0</v>
      </c>
      <c r="E52" s="30">
        <v>45747.0</v>
      </c>
      <c r="F52" s="36">
        <v>5.0</v>
      </c>
      <c r="G52" s="36">
        <v>0.0</v>
      </c>
      <c r="H52" s="38" t="s">
        <v>7047</v>
      </c>
      <c r="I52" s="30">
        <v>45748.0</v>
      </c>
      <c r="J52" s="30">
        <v>45838.0</v>
      </c>
      <c r="K52" s="36">
        <v>6.0</v>
      </c>
      <c r="L52" s="36">
        <v>344.82</v>
      </c>
      <c r="M52" s="32" t="s">
        <v>7043</v>
      </c>
      <c r="N52" s="30">
        <v>45839.0</v>
      </c>
      <c r="O52" s="30">
        <v>45930.0</v>
      </c>
      <c r="P52" s="36">
        <v>50.0</v>
      </c>
      <c r="Q52" s="36">
        <v>287.35</v>
      </c>
      <c r="R52" s="38" t="s">
        <v>7047</v>
      </c>
      <c r="S52" s="30">
        <v>45931.0</v>
      </c>
      <c r="T52" s="30">
        <v>46022.0</v>
      </c>
      <c r="U52" s="36">
        <v>20.0</v>
      </c>
      <c r="V52" s="36">
        <v>287.35</v>
      </c>
      <c r="W52" s="32" t="s">
        <v>7047</v>
      </c>
      <c r="X52" s="30">
        <v>46023.0</v>
      </c>
      <c r="Y52" s="30">
        <v>46112.0</v>
      </c>
      <c r="Z52" s="36">
        <v>0.0</v>
      </c>
      <c r="AA52" s="36">
        <v>0.0</v>
      </c>
      <c r="AB52" s="35" t="s">
        <v>7045</v>
      </c>
      <c r="AC52" s="30">
        <v>46113.0</v>
      </c>
      <c r="AD52" s="30">
        <v>46203.0</v>
      </c>
      <c r="AE52" s="36">
        <v>0.0</v>
      </c>
      <c r="AF52" s="36">
        <v>0.0</v>
      </c>
      <c r="AG52" s="35" t="s">
        <v>7045</v>
      </c>
      <c r="AH52" s="30">
        <v>46204.0</v>
      </c>
      <c r="AI52" s="30">
        <v>46295.0</v>
      </c>
      <c r="AJ52" s="36">
        <v>0.0</v>
      </c>
      <c r="AK52" s="36">
        <v>0.0</v>
      </c>
      <c r="AL52" s="35" t="s">
        <v>7045</v>
      </c>
      <c r="AM52" s="30">
        <v>46296.0</v>
      </c>
      <c r="AN52" s="30">
        <v>46387.0</v>
      </c>
      <c r="AO52" s="36">
        <v>0.0</v>
      </c>
      <c r="AP52" s="36">
        <v>0.0</v>
      </c>
      <c r="AQ52" s="35" t="s">
        <v>7045</v>
      </c>
      <c r="AR52" s="30">
        <v>46388.0</v>
      </c>
      <c r="AS52" s="30">
        <v>46477.0</v>
      </c>
      <c r="AT52" s="36">
        <v>0.0</v>
      </c>
      <c r="AU52" s="36">
        <v>0.0</v>
      </c>
      <c r="AV52" s="35" t="s">
        <v>7045</v>
      </c>
      <c r="AW52" s="30">
        <v>46478.0</v>
      </c>
      <c r="AX52" s="30">
        <v>46568.0</v>
      </c>
      <c r="AY52" s="36">
        <v>0.0</v>
      </c>
      <c r="AZ52" s="36">
        <v>0.0</v>
      </c>
      <c r="BA52" s="35" t="s">
        <v>7045</v>
      </c>
      <c r="BB52" s="30">
        <v>46569.0</v>
      </c>
      <c r="BC52" s="30">
        <v>46660.0</v>
      </c>
      <c r="BD52" s="36">
        <v>0.0</v>
      </c>
      <c r="BE52" s="36">
        <v>0.0</v>
      </c>
      <c r="BF52" s="35" t="s">
        <v>7045</v>
      </c>
      <c r="BG52" s="30">
        <v>46661.0</v>
      </c>
      <c r="BH52" s="30">
        <v>46752.0</v>
      </c>
      <c r="BI52" s="36">
        <v>0.0</v>
      </c>
      <c r="BJ52" s="36">
        <v>0.0</v>
      </c>
      <c r="BK52" s="35" t="s">
        <v>7045</v>
      </c>
      <c r="BL52" s="30">
        <v>46753.0</v>
      </c>
      <c r="BM52" s="30">
        <v>46843.0</v>
      </c>
      <c r="BN52" s="36">
        <v>0.0</v>
      </c>
      <c r="BO52" s="36">
        <v>0.0</v>
      </c>
      <c r="BP52" s="35" t="s">
        <v>7045</v>
      </c>
      <c r="BQ52" s="30">
        <v>46844.0</v>
      </c>
      <c r="BR52" s="30">
        <v>46934.0</v>
      </c>
      <c r="BS52" s="36">
        <v>0.0</v>
      </c>
      <c r="BT52" s="36">
        <v>0.0</v>
      </c>
      <c r="BU52" s="35" t="s">
        <v>7045</v>
      </c>
      <c r="BV52" s="30">
        <v>46935.0</v>
      </c>
      <c r="BW52" s="30">
        <v>47026.0</v>
      </c>
      <c r="BX52" s="36">
        <v>0.0</v>
      </c>
      <c r="BY52" s="36">
        <v>0.0</v>
      </c>
      <c r="BZ52" s="35" t="s">
        <v>7045</v>
      </c>
      <c r="CA52" s="30">
        <v>47027.0</v>
      </c>
      <c r="CB52" s="30">
        <v>47118.0</v>
      </c>
      <c r="CC52" s="36">
        <v>0.0</v>
      </c>
      <c r="CD52" s="36">
        <v>0.0</v>
      </c>
      <c r="CE52" s="35" t="s">
        <v>7045</v>
      </c>
      <c r="CF52" s="30">
        <v>47119.0</v>
      </c>
      <c r="CG52" s="30">
        <v>47208.0</v>
      </c>
      <c r="CH52" s="36">
        <v>0.0</v>
      </c>
      <c r="CI52" s="36">
        <v>0.0</v>
      </c>
      <c r="CJ52" s="35" t="s">
        <v>7045</v>
      </c>
      <c r="CK52" s="30">
        <v>47209.0</v>
      </c>
      <c r="CL52" s="30">
        <v>47299.0</v>
      </c>
      <c r="CM52" s="36">
        <v>0.0</v>
      </c>
      <c r="CN52" s="36">
        <v>0.0</v>
      </c>
      <c r="CO52" s="35" t="s">
        <v>7045</v>
      </c>
      <c r="CP52" s="30">
        <v>47300.0</v>
      </c>
      <c r="CQ52" s="30">
        <v>47391.0</v>
      </c>
      <c r="CR52" s="36">
        <v>0.0</v>
      </c>
      <c r="CS52" s="36">
        <v>0.0</v>
      </c>
      <c r="CT52" s="35" t="s">
        <v>7045</v>
      </c>
      <c r="CU52" s="30">
        <v>47392.0</v>
      </c>
      <c r="CV52" s="30">
        <v>47483.0</v>
      </c>
      <c r="CW52" s="36">
        <v>0.0</v>
      </c>
      <c r="CX52" s="36">
        <v>0.0</v>
      </c>
      <c r="CY52" s="35" t="s">
        <v>7045</v>
      </c>
      <c r="CZ52" s="30">
        <v>47484.0</v>
      </c>
      <c r="DA52" s="30">
        <v>47573.0</v>
      </c>
      <c r="DB52" s="36">
        <v>0.0</v>
      </c>
      <c r="DC52" s="36">
        <v>0.0</v>
      </c>
      <c r="DD52" s="35" t="s">
        <v>7045</v>
      </c>
      <c r="DE52" s="30">
        <v>47574.0</v>
      </c>
      <c r="DF52" s="30">
        <v>47664.0</v>
      </c>
      <c r="DG52" s="36">
        <v>0.0</v>
      </c>
      <c r="DH52" s="36">
        <v>0.0</v>
      </c>
      <c r="DI52" s="35" t="s">
        <v>7045</v>
      </c>
      <c r="DJ52" s="30">
        <v>47665.0</v>
      </c>
      <c r="DK52" s="30">
        <v>47756.0</v>
      </c>
      <c r="DL52" s="36">
        <v>0.0</v>
      </c>
      <c r="DM52" s="36">
        <v>0.0</v>
      </c>
      <c r="DN52" s="35" t="s">
        <v>7045</v>
      </c>
      <c r="DO52" s="30">
        <v>47757.0</v>
      </c>
      <c r="DP52" s="30">
        <v>47848.0</v>
      </c>
      <c r="DQ52" s="36">
        <v>0.0</v>
      </c>
      <c r="DR52" s="36">
        <v>0.0</v>
      </c>
      <c r="DS52" s="35" t="s">
        <v>7045</v>
      </c>
    </row>
    <row r="53" ht="14.25" customHeight="1">
      <c r="A53" s="28" t="s">
        <v>5036</v>
      </c>
      <c r="B53" s="29" t="s">
        <v>5037</v>
      </c>
      <c r="C53" s="29" t="s">
        <v>7041</v>
      </c>
      <c r="D53" s="30">
        <v>45658.0</v>
      </c>
      <c r="E53" s="30">
        <v>45747.0</v>
      </c>
      <c r="F53" s="36">
        <v>20.0</v>
      </c>
      <c r="G53" s="36">
        <v>0.0</v>
      </c>
      <c r="H53" s="38" t="s">
        <v>7047</v>
      </c>
      <c r="I53" s="30">
        <v>45748.0</v>
      </c>
      <c r="J53" s="30">
        <v>45838.0</v>
      </c>
      <c r="K53" s="36">
        <v>3.42</v>
      </c>
      <c r="L53" s="36">
        <v>677.41</v>
      </c>
      <c r="M53" s="38" t="s">
        <v>7043</v>
      </c>
      <c r="N53" s="30">
        <v>45839.0</v>
      </c>
      <c r="O53" s="30">
        <v>45930.0</v>
      </c>
      <c r="P53" s="36">
        <v>1925.41</v>
      </c>
      <c r="Q53" s="36">
        <v>1400.0</v>
      </c>
      <c r="R53" s="38" t="s">
        <v>7047</v>
      </c>
      <c r="S53" s="30">
        <v>45931.0</v>
      </c>
      <c r="T53" s="30">
        <v>46022.0</v>
      </c>
      <c r="U53" s="36">
        <v>190.0</v>
      </c>
      <c r="V53" s="36">
        <v>400.0</v>
      </c>
      <c r="W53" s="38" t="s">
        <v>7047</v>
      </c>
      <c r="X53" s="30">
        <v>46023.0</v>
      </c>
      <c r="Y53" s="30">
        <v>46112.0</v>
      </c>
      <c r="Z53" s="36">
        <v>0.0</v>
      </c>
      <c r="AA53" s="36">
        <v>0.0</v>
      </c>
      <c r="AB53" s="35" t="s">
        <v>7045</v>
      </c>
      <c r="AC53" s="30">
        <v>46113.0</v>
      </c>
      <c r="AD53" s="30">
        <v>46203.0</v>
      </c>
      <c r="AE53" s="36">
        <v>0.0</v>
      </c>
      <c r="AF53" s="36">
        <v>0.0</v>
      </c>
      <c r="AG53" s="35" t="s">
        <v>7045</v>
      </c>
      <c r="AH53" s="30">
        <v>46204.0</v>
      </c>
      <c r="AI53" s="30">
        <v>46295.0</v>
      </c>
      <c r="AJ53" s="36">
        <v>0.0</v>
      </c>
      <c r="AK53" s="36">
        <v>0.0</v>
      </c>
      <c r="AL53" s="35" t="s">
        <v>7045</v>
      </c>
      <c r="AM53" s="30">
        <v>46296.0</v>
      </c>
      <c r="AN53" s="30">
        <v>46387.0</v>
      </c>
      <c r="AO53" s="36">
        <v>0.0</v>
      </c>
      <c r="AP53" s="36">
        <v>0.0</v>
      </c>
      <c r="AQ53" s="35" t="s">
        <v>7045</v>
      </c>
      <c r="AR53" s="30">
        <v>46388.0</v>
      </c>
      <c r="AS53" s="30">
        <v>46477.0</v>
      </c>
      <c r="AT53" s="36">
        <v>0.0</v>
      </c>
      <c r="AU53" s="36">
        <v>0.0</v>
      </c>
      <c r="AV53" s="35" t="s">
        <v>7045</v>
      </c>
      <c r="AW53" s="30">
        <v>46478.0</v>
      </c>
      <c r="AX53" s="30">
        <v>46568.0</v>
      </c>
      <c r="AY53" s="36">
        <v>0.0</v>
      </c>
      <c r="AZ53" s="36">
        <v>0.0</v>
      </c>
      <c r="BA53" s="35" t="s">
        <v>7045</v>
      </c>
      <c r="BB53" s="30">
        <v>46569.0</v>
      </c>
      <c r="BC53" s="30">
        <v>46660.0</v>
      </c>
      <c r="BD53" s="36">
        <v>0.0</v>
      </c>
      <c r="BE53" s="36">
        <v>0.0</v>
      </c>
      <c r="BF53" s="35" t="s">
        <v>7045</v>
      </c>
      <c r="BG53" s="30">
        <v>46661.0</v>
      </c>
      <c r="BH53" s="30">
        <v>46752.0</v>
      </c>
      <c r="BI53" s="36">
        <v>0.0</v>
      </c>
      <c r="BJ53" s="36">
        <v>0.0</v>
      </c>
      <c r="BK53" s="35" t="s">
        <v>7045</v>
      </c>
      <c r="BL53" s="30">
        <v>46753.0</v>
      </c>
      <c r="BM53" s="30">
        <v>46843.0</v>
      </c>
      <c r="BN53" s="36">
        <v>0.0</v>
      </c>
      <c r="BO53" s="36">
        <v>0.0</v>
      </c>
      <c r="BP53" s="35" t="s">
        <v>7045</v>
      </c>
      <c r="BQ53" s="30">
        <v>46844.0</v>
      </c>
      <c r="BR53" s="30">
        <v>46934.0</v>
      </c>
      <c r="BS53" s="36">
        <v>0.0</v>
      </c>
      <c r="BT53" s="36">
        <v>0.0</v>
      </c>
      <c r="BU53" s="35" t="s">
        <v>7045</v>
      </c>
      <c r="BV53" s="30">
        <v>46935.0</v>
      </c>
      <c r="BW53" s="30">
        <v>47026.0</v>
      </c>
      <c r="BX53" s="36">
        <v>0.0</v>
      </c>
      <c r="BY53" s="36">
        <v>0.0</v>
      </c>
      <c r="BZ53" s="35" t="s">
        <v>7045</v>
      </c>
      <c r="CA53" s="30">
        <v>47027.0</v>
      </c>
      <c r="CB53" s="30">
        <v>47118.0</v>
      </c>
      <c r="CC53" s="36">
        <v>0.0</v>
      </c>
      <c r="CD53" s="36">
        <v>0.0</v>
      </c>
      <c r="CE53" s="35" t="s">
        <v>7045</v>
      </c>
      <c r="CF53" s="30">
        <v>47119.0</v>
      </c>
      <c r="CG53" s="30">
        <v>47208.0</v>
      </c>
      <c r="CH53" s="36">
        <v>0.0</v>
      </c>
      <c r="CI53" s="36">
        <v>0.0</v>
      </c>
      <c r="CJ53" s="35" t="s">
        <v>7045</v>
      </c>
      <c r="CK53" s="30">
        <v>47209.0</v>
      </c>
      <c r="CL53" s="30">
        <v>47299.0</v>
      </c>
      <c r="CM53" s="36">
        <v>0.0</v>
      </c>
      <c r="CN53" s="36">
        <v>0.0</v>
      </c>
      <c r="CO53" s="35" t="s">
        <v>7045</v>
      </c>
      <c r="CP53" s="30">
        <v>47300.0</v>
      </c>
      <c r="CQ53" s="30">
        <v>47391.0</v>
      </c>
      <c r="CR53" s="36">
        <v>0.0</v>
      </c>
      <c r="CS53" s="36">
        <v>0.0</v>
      </c>
      <c r="CT53" s="35" t="s">
        <v>7045</v>
      </c>
      <c r="CU53" s="30">
        <v>47392.0</v>
      </c>
      <c r="CV53" s="30">
        <v>47483.0</v>
      </c>
      <c r="CW53" s="36">
        <v>0.0</v>
      </c>
      <c r="CX53" s="36">
        <v>0.0</v>
      </c>
      <c r="CY53" s="35" t="s">
        <v>7045</v>
      </c>
      <c r="CZ53" s="30">
        <v>47484.0</v>
      </c>
      <c r="DA53" s="30">
        <v>47573.0</v>
      </c>
      <c r="DB53" s="36">
        <v>0.0</v>
      </c>
      <c r="DC53" s="36">
        <v>0.0</v>
      </c>
      <c r="DD53" s="35" t="s">
        <v>7045</v>
      </c>
      <c r="DE53" s="30">
        <v>47574.0</v>
      </c>
      <c r="DF53" s="30">
        <v>47664.0</v>
      </c>
      <c r="DG53" s="36">
        <v>0.0</v>
      </c>
      <c r="DH53" s="36">
        <v>0.0</v>
      </c>
      <c r="DI53" s="35" t="s">
        <v>7045</v>
      </c>
      <c r="DJ53" s="30">
        <v>47665.0</v>
      </c>
      <c r="DK53" s="30">
        <v>47756.0</v>
      </c>
      <c r="DL53" s="36">
        <v>0.0</v>
      </c>
      <c r="DM53" s="36">
        <v>0.0</v>
      </c>
      <c r="DN53" s="35" t="s">
        <v>7045</v>
      </c>
      <c r="DO53" s="30">
        <v>47757.0</v>
      </c>
      <c r="DP53" s="30">
        <v>47848.0</v>
      </c>
      <c r="DQ53" s="36">
        <v>0.0</v>
      </c>
      <c r="DR53" s="36">
        <v>0.0</v>
      </c>
      <c r="DS53" s="35" t="s">
        <v>7045</v>
      </c>
    </row>
    <row r="54" ht="14.25" customHeight="1">
      <c r="A54" s="28" t="s">
        <v>4958</v>
      </c>
      <c r="B54" s="29" t="s">
        <v>4959</v>
      </c>
      <c r="C54" s="29" t="s">
        <v>7041</v>
      </c>
      <c r="D54" s="30">
        <v>45658.0</v>
      </c>
      <c r="E54" s="30">
        <v>45747.0</v>
      </c>
      <c r="F54" s="36">
        <v>10.0</v>
      </c>
      <c r="G54" s="36">
        <v>0.0</v>
      </c>
      <c r="H54" s="38" t="s">
        <v>7047</v>
      </c>
      <c r="I54" s="30">
        <v>45748.0</v>
      </c>
      <c r="J54" s="30">
        <v>45838.0</v>
      </c>
      <c r="K54" s="36">
        <v>1.2</v>
      </c>
      <c r="L54" s="36">
        <v>250.01</v>
      </c>
      <c r="M54" s="32" t="s">
        <v>7043</v>
      </c>
      <c r="N54" s="30">
        <v>45839.0</v>
      </c>
      <c r="O54" s="30">
        <v>45930.0</v>
      </c>
      <c r="P54" s="36">
        <v>621.29</v>
      </c>
      <c r="Q54" s="36">
        <v>250.01</v>
      </c>
      <c r="R54" s="38" t="s">
        <v>7047</v>
      </c>
      <c r="S54" s="30">
        <v>45931.0</v>
      </c>
      <c r="T54" s="30">
        <v>46022.0</v>
      </c>
      <c r="U54" s="36">
        <v>30.0</v>
      </c>
      <c r="V54" s="36">
        <v>250.01</v>
      </c>
      <c r="W54" s="38" t="s">
        <v>7047</v>
      </c>
      <c r="X54" s="30">
        <v>46023.0</v>
      </c>
      <c r="Y54" s="30">
        <v>46112.0</v>
      </c>
      <c r="Z54" s="36">
        <v>0.0</v>
      </c>
      <c r="AA54" s="36">
        <v>0.0</v>
      </c>
      <c r="AB54" s="35" t="s">
        <v>7045</v>
      </c>
      <c r="AC54" s="30">
        <v>46113.0</v>
      </c>
      <c r="AD54" s="30">
        <v>46203.0</v>
      </c>
      <c r="AE54" s="36">
        <v>75.0</v>
      </c>
      <c r="AF54" s="36">
        <v>0.0</v>
      </c>
      <c r="AG54" s="38" t="s">
        <v>7047</v>
      </c>
      <c r="AH54" s="30">
        <v>46204.0</v>
      </c>
      <c r="AI54" s="30">
        <v>46295.0</v>
      </c>
      <c r="AJ54" s="36">
        <v>0.0</v>
      </c>
      <c r="AK54" s="36">
        <v>0.0</v>
      </c>
      <c r="AL54" s="35" t="s">
        <v>7045</v>
      </c>
      <c r="AM54" s="30">
        <v>46296.0</v>
      </c>
      <c r="AN54" s="30">
        <v>46387.0</v>
      </c>
      <c r="AO54" s="36">
        <v>0.0</v>
      </c>
      <c r="AP54" s="36">
        <v>0.0</v>
      </c>
      <c r="AQ54" s="35" t="s">
        <v>7045</v>
      </c>
      <c r="AR54" s="30">
        <v>46388.0</v>
      </c>
      <c r="AS54" s="30">
        <v>46477.0</v>
      </c>
      <c r="AT54" s="36">
        <v>0.0</v>
      </c>
      <c r="AU54" s="36">
        <v>0.0</v>
      </c>
      <c r="AV54" s="35" t="s">
        <v>7045</v>
      </c>
      <c r="AW54" s="30">
        <v>46478.0</v>
      </c>
      <c r="AX54" s="30">
        <v>46568.0</v>
      </c>
      <c r="AY54" s="36">
        <v>0.0</v>
      </c>
      <c r="AZ54" s="36">
        <v>0.0</v>
      </c>
      <c r="BA54" s="35" t="s">
        <v>7045</v>
      </c>
      <c r="BB54" s="30">
        <v>46569.0</v>
      </c>
      <c r="BC54" s="30">
        <v>46660.0</v>
      </c>
      <c r="BD54" s="36">
        <v>0.0</v>
      </c>
      <c r="BE54" s="36">
        <v>0.0</v>
      </c>
      <c r="BF54" s="35" t="s">
        <v>7045</v>
      </c>
      <c r="BG54" s="30">
        <v>46661.0</v>
      </c>
      <c r="BH54" s="30">
        <v>46752.0</v>
      </c>
      <c r="BI54" s="36">
        <v>0.0</v>
      </c>
      <c r="BJ54" s="36">
        <v>0.0</v>
      </c>
      <c r="BK54" s="35" t="s">
        <v>7045</v>
      </c>
      <c r="BL54" s="30">
        <v>46753.0</v>
      </c>
      <c r="BM54" s="30">
        <v>46843.0</v>
      </c>
      <c r="BN54" s="36">
        <v>0.0</v>
      </c>
      <c r="BO54" s="36">
        <v>0.0</v>
      </c>
      <c r="BP54" s="35" t="s">
        <v>7045</v>
      </c>
      <c r="BQ54" s="30">
        <v>46844.0</v>
      </c>
      <c r="BR54" s="30">
        <v>46934.0</v>
      </c>
      <c r="BS54" s="36">
        <v>0.0</v>
      </c>
      <c r="BT54" s="36">
        <v>0.0</v>
      </c>
      <c r="BU54" s="35" t="s">
        <v>7045</v>
      </c>
      <c r="BV54" s="30">
        <v>46935.0</v>
      </c>
      <c r="BW54" s="30">
        <v>47026.0</v>
      </c>
      <c r="BX54" s="36">
        <v>0.0</v>
      </c>
      <c r="BY54" s="36">
        <v>0.0</v>
      </c>
      <c r="BZ54" s="35" t="s">
        <v>7045</v>
      </c>
      <c r="CA54" s="30">
        <v>47027.0</v>
      </c>
      <c r="CB54" s="30">
        <v>47118.0</v>
      </c>
      <c r="CC54" s="36">
        <v>0.0</v>
      </c>
      <c r="CD54" s="36">
        <v>0.0</v>
      </c>
      <c r="CE54" s="35" t="s">
        <v>7045</v>
      </c>
      <c r="CF54" s="30">
        <v>47119.0</v>
      </c>
      <c r="CG54" s="30">
        <v>47208.0</v>
      </c>
      <c r="CH54" s="36">
        <v>0.0</v>
      </c>
      <c r="CI54" s="36">
        <v>0.0</v>
      </c>
      <c r="CJ54" s="35" t="s">
        <v>7045</v>
      </c>
      <c r="CK54" s="30">
        <v>47209.0</v>
      </c>
      <c r="CL54" s="30">
        <v>47299.0</v>
      </c>
      <c r="CM54" s="36">
        <v>0.0</v>
      </c>
      <c r="CN54" s="36">
        <v>0.0</v>
      </c>
      <c r="CO54" s="35" t="s">
        <v>7045</v>
      </c>
      <c r="CP54" s="30">
        <v>47300.0</v>
      </c>
      <c r="CQ54" s="30">
        <v>47391.0</v>
      </c>
      <c r="CR54" s="36">
        <v>0.0</v>
      </c>
      <c r="CS54" s="36">
        <v>0.0</v>
      </c>
      <c r="CT54" s="35" t="s">
        <v>7045</v>
      </c>
      <c r="CU54" s="30">
        <v>47392.0</v>
      </c>
      <c r="CV54" s="30">
        <v>47483.0</v>
      </c>
      <c r="CW54" s="36">
        <v>0.0</v>
      </c>
      <c r="CX54" s="36">
        <v>0.0</v>
      </c>
      <c r="CY54" s="35" t="s">
        <v>7045</v>
      </c>
      <c r="CZ54" s="30">
        <v>47484.0</v>
      </c>
      <c r="DA54" s="30">
        <v>47573.0</v>
      </c>
      <c r="DB54" s="36">
        <v>0.0</v>
      </c>
      <c r="DC54" s="36">
        <v>0.0</v>
      </c>
      <c r="DD54" s="35" t="s">
        <v>7045</v>
      </c>
      <c r="DE54" s="30">
        <v>47574.0</v>
      </c>
      <c r="DF54" s="30">
        <v>47664.0</v>
      </c>
      <c r="DG54" s="36">
        <v>0.0</v>
      </c>
      <c r="DH54" s="36">
        <v>0.0</v>
      </c>
      <c r="DI54" s="35" t="s">
        <v>7045</v>
      </c>
      <c r="DJ54" s="30">
        <v>47665.0</v>
      </c>
      <c r="DK54" s="30">
        <v>47756.0</v>
      </c>
      <c r="DL54" s="36">
        <v>0.0</v>
      </c>
      <c r="DM54" s="36">
        <v>0.0</v>
      </c>
      <c r="DN54" s="35" t="s">
        <v>7045</v>
      </c>
      <c r="DO54" s="30">
        <v>47757.0</v>
      </c>
      <c r="DP54" s="30">
        <v>47848.0</v>
      </c>
      <c r="DQ54" s="36">
        <v>0.0</v>
      </c>
      <c r="DR54" s="36">
        <v>0.0</v>
      </c>
      <c r="DS54" s="35" t="s">
        <v>7045</v>
      </c>
    </row>
    <row r="55" ht="14.25" customHeight="1">
      <c r="A55" s="28" t="s">
        <v>604</v>
      </c>
      <c r="B55" s="29" t="s">
        <v>605</v>
      </c>
      <c r="C55" s="29" t="s">
        <v>7041</v>
      </c>
      <c r="D55" s="30">
        <v>45658.0</v>
      </c>
      <c r="E55" s="30">
        <v>45747.0</v>
      </c>
      <c r="F55" s="36">
        <v>149.99</v>
      </c>
      <c r="G55" s="36">
        <v>0.0</v>
      </c>
      <c r="H55" s="38" t="s">
        <v>7047</v>
      </c>
      <c r="I55" s="30">
        <v>45748.0</v>
      </c>
      <c r="J55" s="30">
        <v>45838.0</v>
      </c>
      <c r="K55" s="36">
        <v>1.45</v>
      </c>
      <c r="L55" s="36">
        <v>0.0</v>
      </c>
      <c r="M55" s="38" t="s">
        <v>7047</v>
      </c>
      <c r="N55" s="30">
        <v>45839.0</v>
      </c>
      <c r="O55" s="30">
        <v>45930.0</v>
      </c>
      <c r="P55" s="36">
        <v>493.44</v>
      </c>
      <c r="Q55" s="36">
        <v>732.13</v>
      </c>
      <c r="R55" s="38" t="s">
        <v>7047</v>
      </c>
      <c r="S55" s="30">
        <v>45931.0</v>
      </c>
      <c r="T55" s="30">
        <v>46022.0</v>
      </c>
      <c r="U55" s="36">
        <v>1169.06</v>
      </c>
      <c r="V55" s="36">
        <v>732.13</v>
      </c>
      <c r="W55" s="38" t="s">
        <v>7047</v>
      </c>
      <c r="X55" s="30">
        <v>46023.0</v>
      </c>
      <c r="Y55" s="30">
        <v>46112.0</v>
      </c>
      <c r="Z55" s="36">
        <v>0.0</v>
      </c>
      <c r="AA55" s="36">
        <v>0.0</v>
      </c>
      <c r="AB55" s="35" t="s">
        <v>7045</v>
      </c>
      <c r="AC55" s="30">
        <v>46113.0</v>
      </c>
      <c r="AD55" s="30">
        <v>46203.0</v>
      </c>
      <c r="AE55" s="36">
        <v>6.04</v>
      </c>
      <c r="AF55" s="36">
        <v>0.0</v>
      </c>
      <c r="AG55" s="38" t="s">
        <v>7047</v>
      </c>
      <c r="AH55" s="30">
        <v>46204.0</v>
      </c>
      <c r="AI55" s="30">
        <v>46295.0</v>
      </c>
      <c r="AJ55" s="36">
        <v>5.72</v>
      </c>
      <c r="AK55" s="36">
        <v>0.0</v>
      </c>
      <c r="AL55" s="35" t="s">
        <v>7047</v>
      </c>
      <c r="AM55" s="30">
        <v>46296.0</v>
      </c>
      <c r="AN55" s="30">
        <v>46387.0</v>
      </c>
      <c r="AO55" s="36">
        <v>0.0</v>
      </c>
      <c r="AP55" s="36">
        <v>0.0</v>
      </c>
      <c r="AQ55" s="35" t="s">
        <v>7045</v>
      </c>
      <c r="AR55" s="30">
        <v>46388.0</v>
      </c>
      <c r="AS55" s="30">
        <v>46477.0</v>
      </c>
      <c r="AT55" s="36">
        <v>0.0</v>
      </c>
      <c r="AU55" s="36">
        <v>0.0</v>
      </c>
      <c r="AV55" s="35" t="s">
        <v>7045</v>
      </c>
      <c r="AW55" s="30">
        <v>46478.0</v>
      </c>
      <c r="AX55" s="30">
        <v>46568.0</v>
      </c>
      <c r="AY55" s="36">
        <v>0.0</v>
      </c>
      <c r="AZ55" s="36">
        <v>0.0</v>
      </c>
      <c r="BA55" s="35" t="s">
        <v>7045</v>
      </c>
      <c r="BB55" s="30">
        <v>46569.0</v>
      </c>
      <c r="BC55" s="30">
        <v>46660.0</v>
      </c>
      <c r="BD55" s="36">
        <v>0.0</v>
      </c>
      <c r="BE55" s="36">
        <v>0.0</v>
      </c>
      <c r="BF55" s="35" t="s">
        <v>7045</v>
      </c>
      <c r="BG55" s="30">
        <v>46661.0</v>
      </c>
      <c r="BH55" s="30">
        <v>46752.0</v>
      </c>
      <c r="BI55" s="36">
        <v>0.0</v>
      </c>
      <c r="BJ55" s="36">
        <v>0.0</v>
      </c>
      <c r="BK55" s="35" t="s">
        <v>7045</v>
      </c>
      <c r="BL55" s="30">
        <v>46753.0</v>
      </c>
      <c r="BM55" s="30">
        <v>46843.0</v>
      </c>
      <c r="BN55" s="36">
        <v>0.0</v>
      </c>
      <c r="BO55" s="36">
        <v>0.0</v>
      </c>
      <c r="BP55" s="35" t="s">
        <v>7045</v>
      </c>
      <c r="BQ55" s="30">
        <v>46844.0</v>
      </c>
      <c r="BR55" s="30">
        <v>46934.0</v>
      </c>
      <c r="BS55" s="36">
        <v>0.0</v>
      </c>
      <c r="BT55" s="36">
        <v>0.0</v>
      </c>
      <c r="BU55" s="35" t="s">
        <v>7045</v>
      </c>
      <c r="BV55" s="30">
        <v>46935.0</v>
      </c>
      <c r="BW55" s="30">
        <v>47026.0</v>
      </c>
      <c r="BX55" s="36">
        <v>0.0</v>
      </c>
      <c r="BY55" s="36">
        <v>0.0</v>
      </c>
      <c r="BZ55" s="35" t="s">
        <v>7045</v>
      </c>
      <c r="CA55" s="30">
        <v>47027.0</v>
      </c>
      <c r="CB55" s="30">
        <v>47118.0</v>
      </c>
      <c r="CC55" s="36">
        <v>0.0</v>
      </c>
      <c r="CD55" s="36">
        <v>0.0</v>
      </c>
      <c r="CE55" s="35" t="s">
        <v>7045</v>
      </c>
      <c r="CF55" s="30">
        <v>47119.0</v>
      </c>
      <c r="CG55" s="30">
        <v>47208.0</v>
      </c>
      <c r="CH55" s="36">
        <v>0.0</v>
      </c>
      <c r="CI55" s="36">
        <v>0.0</v>
      </c>
      <c r="CJ55" s="35" t="s">
        <v>7045</v>
      </c>
      <c r="CK55" s="30">
        <v>47209.0</v>
      </c>
      <c r="CL55" s="30">
        <v>47299.0</v>
      </c>
      <c r="CM55" s="36">
        <v>0.0</v>
      </c>
      <c r="CN55" s="36">
        <v>0.0</v>
      </c>
      <c r="CO55" s="35" t="s">
        <v>7045</v>
      </c>
      <c r="CP55" s="30">
        <v>47300.0</v>
      </c>
      <c r="CQ55" s="30">
        <v>47391.0</v>
      </c>
      <c r="CR55" s="36">
        <v>0.0</v>
      </c>
      <c r="CS55" s="36">
        <v>0.0</v>
      </c>
      <c r="CT55" s="35" t="s">
        <v>7045</v>
      </c>
      <c r="CU55" s="30">
        <v>47392.0</v>
      </c>
      <c r="CV55" s="30">
        <v>47483.0</v>
      </c>
      <c r="CW55" s="36">
        <v>0.0</v>
      </c>
      <c r="CX55" s="36">
        <v>0.0</v>
      </c>
      <c r="CY55" s="35" t="s">
        <v>7045</v>
      </c>
      <c r="CZ55" s="30">
        <v>47484.0</v>
      </c>
      <c r="DA55" s="30">
        <v>47573.0</v>
      </c>
      <c r="DB55" s="36">
        <v>0.0</v>
      </c>
      <c r="DC55" s="36">
        <v>0.0</v>
      </c>
      <c r="DD55" s="35" t="s">
        <v>7045</v>
      </c>
      <c r="DE55" s="30">
        <v>47574.0</v>
      </c>
      <c r="DF55" s="30">
        <v>47664.0</v>
      </c>
      <c r="DG55" s="36">
        <v>0.0</v>
      </c>
      <c r="DH55" s="36">
        <v>0.0</v>
      </c>
      <c r="DI55" s="35" t="s">
        <v>7045</v>
      </c>
      <c r="DJ55" s="30">
        <v>47665.0</v>
      </c>
      <c r="DK55" s="30">
        <v>47756.0</v>
      </c>
      <c r="DL55" s="36">
        <v>0.0</v>
      </c>
      <c r="DM55" s="36">
        <v>0.0</v>
      </c>
      <c r="DN55" s="35" t="s">
        <v>7045</v>
      </c>
      <c r="DO55" s="30">
        <v>47757.0</v>
      </c>
      <c r="DP55" s="30">
        <v>47848.0</v>
      </c>
      <c r="DQ55" s="36">
        <v>0.0</v>
      </c>
      <c r="DR55" s="36">
        <v>0.0</v>
      </c>
      <c r="DS55" s="35" t="s">
        <v>7045</v>
      </c>
    </row>
    <row r="56" ht="14.25" customHeight="1">
      <c r="A56" s="28" t="s">
        <v>1457</v>
      </c>
      <c r="B56" s="29" t="s">
        <v>1458</v>
      </c>
      <c r="C56" s="29" t="s">
        <v>7041</v>
      </c>
      <c r="D56" s="30">
        <v>45658.0</v>
      </c>
      <c r="E56" s="30">
        <v>45747.0</v>
      </c>
      <c r="F56" s="39">
        <v>1.7</v>
      </c>
      <c r="G56" s="39">
        <v>0.0</v>
      </c>
      <c r="H56" s="38" t="s">
        <v>7047</v>
      </c>
      <c r="I56" s="30">
        <v>45748.0</v>
      </c>
      <c r="J56" s="30">
        <v>45838.0</v>
      </c>
      <c r="K56" s="39">
        <v>12.76</v>
      </c>
      <c r="L56" s="39">
        <v>230.68</v>
      </c>
      <c r="M56" s="38" t="s">
        <v>7043</v>
      </c>
      <c r="N56" s="30">
        <v>45839.0</v>
      </c>
      <c r="O56" s="30">
        <v>45930.0</v>
      </c>
      <c r="P56" s="39">
        <v>12.56</v>
      </c>
      <c r="Q56" s="39">
        <v>256.62</v>
      </c>
      <c r="R56" s="38" t="s">
        <v>7043</v>
      </c>
      <c r="S56" s="30">
        <v>45931.0</v>
      </c>
      <c r="T56" s="30">
        <v>46022.0</v>
      </c>
      <c r="U56" s="39">
        <v>1154.71</v>
      </c>
      <c r="V56" s="39">
        <v>625.41</v>
      </c>
      <c r="W56" s="38" t="s">
        <v>7047</v>
      </c>
      <c r="X56" s="30">
        <v>46023.0</v>
      </c>
      <c r="Y56" s="30">
        <v>46112.0</v>
      </c>
      <c r="Z56" s="39">
        <v>105.35</v>
      </c>
      <c r="AA56" s="39">
        <v>0.0</v>
      </c>
      <c r="AB56" s="38" t="s">
        <v>7047</v>
      </c>
      <c r="AC56" s="30">
        <v>46113.0</v>
      </c>
      <c r="AD56" s="30">
        <v>46203.0</v>
      </c>
      <c r="AE56" s="39">
        <v>142.86</v>
      </c>
      <c r="AF56" s="39">
        <v>0.0</v>
      </c>
      <c r="AG56" s="38" t="s">
        <v>7047</v>
      </c>
      <c r="AH56" s="30">
        <v>46204.0</v>
      </c>
      <c r="AI56" s="30">
        <v>46295.0</v>
      </c>
      <c r="AJ56" s="39">
        <v>357.58</v>
      </c>
      <c r="AK56" s="39">
        <v>0.0</v>
      </c>
      <c r="AL56" s="38" t="s">
        <v>7047</v>
      </c>
      <c r="AM56" s="30">
        <v>46296.0</v>
      </c>
      <c r="AN56" s="30">
        <v>46387.0</v>
      </c>
      <c r="AO56" s="39">
        <v>17.71</v>
      </c>
      <c r="AP56" s="39">
        <v>0.0</v>
      </c>
      <c r="AQ56" s="38" t="s">
        <v>7047</v>
      </c>
      <c r="AR56" s="30">
        <v>46388.0</v>
      </c>
      <c r="AS56" s="30">
        <v>46477.0</v>
      </c>
      <c r="AT56" s="39">
        <v>0.0</v>
      </c>
      <c r="AU56" s="39">
        <v>0.0</v>
      </c>
      <c r="AV56" s="35" t="s">
        <v>7045</v>
      </c>
      <c r="AW56" s="30">
        <v>46478.0</v>
      </c>
      <c r="AX56" s="30">
        <v>46568.0</v>
      </c>
      <c r="AY56" s="39">
        <v>0.0</v>
      </c>
      <c r="AZ56" s="39">
        <v>0.0</v>
      </c>
      <c r="BA56" s="35" t="s">
        <v>7045</v>
      </c>
      <c r="BB56" s="30">
        <v>46569.0</v>
      </c>
      <c r="BC56" s="30">
        <v>46660.0</v>
      </c>
      <c r="BD56" s="39">
        <v>0.0</v>
      </c>
      <c r="BE56" s="39">
        <v>0.0</v>
      </c>
      <c r="BF56" s="35" t="s">
        <v>7045</v>
      </c>
      <c r="BG56" s="30">
        <v>46661.0</v>
      </c>
      <c r="BH56" s="30">
        <v>46752.0</v>
      </c>
      <c r="BI56" s="39">
        <v>0.0</v>
      </c>
      <c r="BJ56" s="39">
        <v>0.0</v>
      </c>
      <c r="BK56" s="35" t="s">
        <v>7045</v>
      </c>
      <c r="BL56" s="30">
        <v>46753.0</v>
      </c>
      <c r="BM56" s="30">
        <v>46843.0</v>
      </c>
      <c r="BN56" s="39">
        <v>0.0</v>
      </c>
      <c r="BO56" s="39">
        <v>0.0</v>
      </c>
      <c r="BP56" s="35" t="s">
        <v>7045</v>
      </c>
      <c r="BQ56" s="30">
        <v>46844.0</v>
      </c>
      <c r="BR56" s="30">
        <v>46934.0</v>
      </c>
      <c r="BS56" s="39">
        <v>0.0</v>
      </c>
      <c r="BT56" s="39">
        <v>0.0</v>
      </c>
      <c r="BU56" s="35" t="s">
        <v>7045</v>
      </c>
      <c r="BV56" s="30">
        <v>46935.0</v>
      </c>
      <c r="BW56" s="30">
        <v>47026.0</v>
      </c>
      <c r="BX56" s="39">
        <v>0.0</v>
      </c>
      <c r="BY56" s="39">
        <v>0.0</v>
      </c>
      <c r="BZ56" s="35" t="s">
        <v>7045</v>
      </c>
      <c r="CA56" s="30">
        <v>47027.0</v>
      </c>
      <c r="CB56" s="30">
        <v>47118.0</v>
      </c>
      <c r="CC56" s="39">
        <v>0.0</v>
      </c>
      <c r="CD56" s="39">
        <v>0.0</v>
      </c>
      <c r="CE56" s="35" t="s">
        <v>7045</v>
      </c>
      <c r="CF56" s="30">
        <v>47119.0</v>
      </c>
      <c r="CG56" s="30">
        <v>47208.0</v>
      </c>
      <c r="CH56" s="39">
        <v>0.0</v>
      </c>
      <c r="CI56" s="39">
        <v>0.0</v>
      </c>
      <c r="CJ56" s="35" t="s">
        <v>7045</v>
      </c>
      <c r="CK56" s="30">
        <v>47209.0</v>
      </c>
      <c r="CL56" s="30">
        <v>47299.0</v>
      </c>
      <c r="CM56" s="39">
        <v>0.0</v>
      </c>
      <c r="CN56" s="39">
        <v>0.0</v>
      </c>
      <c r="CO56" s="35" t="s">
        <v>7045</v>
      </c>
      <c r="CP56" s="30">
        <v>47300.0</v>
      </c>
      <c r="CQ56" s="30">
        <v>47391.0</v>
      </c>
      <c r="CR56" s="39">
        <v>0.0</v>
      </c>
      <c r="CS56" s="39">
        <v>0.0</v>
      </c>
      <c r="CT56" s="35" t="s">
        <v>7045</v>
      </c>
      <c r="CU56" s="30">
        <v>47392.0</v>
      </c>
      <c r="CV56" s="30">
        <v>47483.0</v>
      </c>
      <c r="CW56" s="39">
        <v>0.0</v>
      </c>
      <c r="CX56" s="39">
        <v>0.0</v>
      </c>
      <c r="CY56" s="35" t="s">
        <v>7045</v>
      </c>
      <c r="CZ56" s="30">
        <v>47484.0</v>
      </c>
      <c r="DA56" s="30">
        <v>47573.0</v>
      </c>
      <c r="DB56" s="39">
        <v>0.0</v>
      </c>
      <c r="DC56" s="39">
        <v>0.0</v>
      </c>
      <c r="DD56" s="35" t="s">
        <v>7045</v>
      </c>
      <c r="DE56" s="30">
        <v>47574.0</v>
      </c>
      <c r="DF56" s="30">
        <v>47664.0</v>
      </c>
      <c r="DG56" s="39">
        <v>0.0</v>
      </c>
      <c r="DH56" s="39">
        <v>0.0</v>
      </c>
      <c r="DI56" s="35" t="s">
        <v>7045</v>
      </c>
      <c r="DJ56" s="30">
        <v>47665.0</v>
      </c>
      <c r="DK56" s="30">
        <v>47756.0</v>
      </c>
      <c r="DL56" s="39">
        <v>0.0</v>
      </c>
      <c r="DM56" s="39">
        <v>0.0</v>
      </c>
      <c r="DN56" s="35" t="s">
        <v>7045</v>
      </c>
      <c r="DO56" s="30">
        <v>47757.0</v>
      </c>
      <c r="DP56" s="30">
        <v>47848.0</v>
      </c>
      <c r="DQ56" s="39">
        <v>0.0</v>
      </c>
      <c r="DR56" s="39">
        <v>0.0</v>
      </c>
      <c r="DS56" s="35" t="s">
        <v>7045</v>
      </c>
    </row>
    <row r="57" ht="14.25" customHeight="1">
      <c r="A57" s="28" t="s">
        <v>5024</v>
      </c>
      <c r="B57" s="29" t="s">
        <v>5025</v>
      </c>
      <c r="C57" s="29" t="s">
        <v>7041</v>
      </c>
      <c r="D57" s="30">
        <v>45658.0</v>
      </c>
      <c r="E57" s="30">
        <v>45747.0</v>
      </c>
      <c r="F57" s="39">
        <v>542.52</v>
      </c>
      <c r="G57" s="39">
        <v>0.0</v>
      </c>
      <c r="H57" s="38" t="s">
        <v>7047</v>
      </c>
      <c r="I57" s="30">
        <v>45748.0</v>
      </c>
      <c r="J57" s="30">
        <v>45838.0</v>
      </c>
      <c r="K57" s="39">
        <v>4.89</v>
      </c>
      <c r="L57" s="39">
        <v>906.41</v>
      </c>
      <c r="M57" s="32" t="s">
        <v>7043</v>
      </c>
      <c r="N57" s="30">
        <v>45839.0</v>
      </c>
      <c r="O57" s="30">
        <v>45930.0</v>
      </c>
      <c r="P57" s="39">
        <v>378.96</v>
      </c>
      <c r="Q57" s="39">
        <v>262.82</v>
      </c>
      <c r="R57" s="38" t="s">
        <v>7047</v>
      </c>
      <c r="S57" s="30">
        <v>45931.0</v>
      </c>
      <c r="T57" s="30">
        <v>46022.0</v>
      </c>
      <c r="U57" s="39">
        <v>826.26</v>
      </c>
      <c r="V57" s="39">
        <v>366.67</v>
      </c>
      <c r="W57" s="38" t="s">
        <v>7047</v>
      </c>
      <c r="X57" s="30">
        <v>46023.0</v>
      </c>
      <c r="Y57" s="30">
        <v>46112.0</v>
      </c>
      <c r="Z57" s="39">
        <v>285.04</v>
      </c>
      <c r="AA57" s="39">
        <v>0.0</v>
      </c>
      <c r="AB57" s="38" t="s">
        <v>7047</v>
      </c>
      <c r="AC57" s="30">
        <v>46113.0</v>
      </c>
      <c r="AD57" s="30">
        <v>46203.0</v>
      </c>
      <c r="AE57" s="39">
        <v>2520.0</v>
      </c>
      <c r="AF57" s="39">
        <v>0.0</v>
      </c>
      <c r="AG57" s="38" t="s">
        <v>7047</v>
      </c>
      <c r="AH57" s="30">
        <v>46204.0</v>
      </c>
      <c r="AI57" s="30">
        <v>46295.0</v>
      </c>
      <c r="AJ57" s="39">
        <v>0.0</v>
      </c>
      <c r="AK57" s="39">
        <v>0.0</v>
      </c>
      <c r="AL57" s="35" t="s">
        <v>7045</v>
      </c>
      <c r="AM57" s="30">
        <v>46296.0</v>
      </c>
      <c r="AN57" s="30">
        <v>46387.0</v>
      </c>
      <c r="AO57" s="39">
        <v>312.0</v>
      </c>
      <c r="AP57" s="39">
        <v>0.0</v>
      </c>
      <c r="AQ57" s="38" t="s">
        <v>7047</v>
      </c>
      <c r="AR57" s="30">
        <v>46388.0</v>
      </c>
      <c r="AS57" s="30">
        <v>46477.0</v>
      </c>
      <c r="AT57" s="39">
        <v>0.0</v>
      </c>
      <c r="AU57" s="39">
        <v>0.0</v>
      </c>
      <c r="AV57" s="35" t="s">
        <v>7045</v>
      </c>
      <c r="AW57" s="30">
        <v>46478.0</v>
      </c>
      <c r="AX57" s="30">
        <v>46568.0</v>
      </c>
      <c r="AY57" s="39">
        <v>0.0</v>
      </c>
      <c r="AZ57" s="39">
        <v>0.0</v>
      </c>
      <c r="BA57" s="35" t="s">
        <v>7045</v>
      </c>
      <c r="BB57" s="30">
        <v>46569.0</v>
      </c>
      <c r="BC57" s="30">
        <v>46660.0</v>
      </c>
      <c r="BD57" s="39">
        <v>0.0</v>
      </c>
      <c r="BE57" s="39">
        <v>0.0</v>
      </c>
      <c r="BF57" s="35" t="s">
        <v>7045</v>
      </c>
      <c r="BG57" s="30">
        <v>46661.0</v>
      </c>
      <c r="BH57" s="30">
        <v>46752.0</v>
      </c>
      <c r="BI57" s="39">
        <v>0.0</v>
      </c>
      <c r="BJ57" s="39">
        <v>0.0</v>
      </c>
      <c r="BK57" s="35" t="s">
        <v>7045</v>
      </c>
      <c r="BL57" s="30">
        <v>46753.0</v>
      </c>
      <c r="BM57" s="30">
        <v>46843.0</v>
      </c>
      <c r="BN57" s="39">
        <v>0.0</v>
      </c>
      <c r="BO57" s="39">
        <v>0.0</v>
      </c>
      <c r="BP57" s="35" t="s">
        <v>7045</v>
      </c>
      <c r="BQ57" s="30">
        <v>46844.0</v>
      </c>
      <c r="BR57" s="30">
        <v>46934.0</v>
      </c>
      <c r="BS57" s="39">
        <v>0.0</v>
      </c>
      <c r="BT57" s="39">
        <v>0.0</v>
      </c>
      <c r="BU57" s="35" t="s">
        <v>7045</v>
      </c>
      <c r="BV57" s="30">
        <v>46935.0</v>
      </c>
      <c r="BW57" s="30">
        <v>47026.0</v>
      </c>
      <c r="BX57" s="39">
        <v>0.0</v>
      </c>
      <c r="BY57" s="39">
        <v>0.0</v>
      </c>
      <c r="BZ57" s="35" t="s">
        <v>7045</v>
      </c>
      <c r="CA57" s="30">
        <v>47027.0</v>
      </c>
      <c r="CB57" s="30">
        <v>47118.0</v>
      </c>
      <c r="CC57" s="39">
        <v>0.0</v>
      </c>
      <c r="CD57" s="39">
        <v>0.0</v>
      </c>
      <c r="CE57" s="35" t="s">
        <v>7045</v>
      </c>
      <c r="CF57" s="30">
        <v>47119.0</v>
      </c>
      <c r="CG57" s="30">
        <v>47208.0</v>
      </c>
      <c r="CH57" s="39">
        <v>0.0</v>
      </c>
      <c r="CI57" s="39">
        <v>0.0</v>
      </c>
      <c r="CJ57" s="35" t="s">
        <v>7045</v>
      </c>
      <c r="CK57" s="30">
        <v>47209.0</v>
      </c>
      <c r="CL57" s="30">
        <v>47299.0</v>
      </c>
      <c r="CM57" s="39">
        <v>0.0</v>
      </c>
      <c r="CN57" s="39">
        <v>0.0</v>
      </c>
      <c r="CO57" s="35" t="s">
        <v>7045</v>
      </c>
      <c r="CP57" s="30">
        <v>47300.0</v>
      </c>
      <c r="CQ57" s="30">
        <v>47391.0</v>
      </c>
      <c r="CR57" s="39">
        <v>0.0</v>
      </c>
      <c r="CS57" s="39">
        <v>0.0</v>
      </c>
      <c r="CT57" s="35" t="s">
        <v>7045</v>
      </c>
      <c r="CU57" s="30">
        <v>47392.0</v>
      </c>
      <c r="CV57" s="30">
        <v>47483.0</v>
      </c>
      <c r="CW57" s="39">
        <v>0.0</v>
      </c>
      <c r="CX57" s="39">
        <v>0.0</v>
      </c>
      <c r="CY57" s="35" t="s">
        <v>7045</v>
      </c>
      <c r="CZ57" s="30">
        <v>47484.0</v>
      </c>
      <c r="DA57" s="30">
        <v>47573.0</v>
      </c>
      <c r="DB57" s="39">
        <v>0.0</v>
      </c>
      <c r="DC57" s="39">
        <v>0.0</v>
      </c>
      <c r="DD57" s="35" t="s">
        <v>7045</v>
      </c>
      <c r="DE57" s="30">
        <v>47574.0</v>
      </c>
      <c r="DF57" s="30">
        <v>47664.0</v>
      </c>
      <c r="DG57" s="39">
        <v>0.0</v>
      </c>
      <c r="DH57" s="39">
        <v>0.0</v>
      </c>
      <c r="DI57" s="35" t="s">
        <v>7045</v>
      </c>
      <c r="DJ57" s="30">
        <v>47665.0</v>
      </c>
      <c r="DK57" s="30">
        <v>47756.0</v>
      </c>
      <c r="DL57" s="39">
        <v>0.0</v>
      </c>
      <c r="DM57" s="39">
        <v>0.0</v>
      </c>
      <c r="DN57" s="35" t="s">
        <v>7045</v>
      </c>
      <c r="DO57" s="30">
        <v>47757.0</v>
      </c>
      <c r="DP57" s="30">
        <v>47848.0</v>
      </c>
      <c r="DQ57" s="39">
        <v>0.0</v>
      </c>
      <c r="DR57" s="39">
        <v>0.0</v>
      </c>
      <c r="DS57" s="35" t="s">
        <v>7045</v>
      </c>
    </row>
    <row r="58" ht="14.25" customHeight="1">
      <c r="A58" s="28" t="s">
        <v>5129</v>
      </c>
      <c r="B58" s="29" t="s">
        <v>5130</v>
      </c>
      <c r="C58" s="29" t="s">
        <v>7041</v>
      </c>
      <c r="D58" s="30">
        <v>45658.0</v>
      </c>
      <c r="E58" s="30">
        <v>45747.0</v>
      </c>
      <c r="F58" s="36">
        <v>2.46</v>
      </c>
      <c r="G58" s="36">
        <v>0.0</v>
      </c>
      <c r="H58" s="38" t="s">
        <v>7047</v>
      </c>
      <c r="I58" s="30">
        <v>45748.0</v>
      </c>
      <c r="J58" s="30">
        <v>45838.0</v>
      </c>
      <c r="K58" s="36">
        <v>14.24</v>
      </c>
      <c r="L58" s="36">
        <v>1334.34</v>
      </c>
      <c r="M58" s="32" t="s">
        <v>7043</v>
      </c>
      <c r="N58" s="30">
        <v>45839.0</v>
      </c>
      <c r="O58" s="30">
        <v>45930.0</v>
      </c>
      <c r="P58" s="36">
        <v>247.04</v>
      </c>
      <c r="Q58" s="36">
        <v>2517.14</v>
      </c>
      <c r="R58" s="38" t="s">
        <v>7046</v>
      </c>
      <c r="S58" s="30">
        <v>45931.0</v>
      </c>
      <c r="T58" s="30">
        <v>46022.0</v>
      </c>
      <c r="U58" s="36">
        <v>2154.98</v>
      </c>
      <c r="V58" s="36">
        <v>3960.89</v>
      </c>
      <c r="W58" s="38" t="s">
        <v>7047</v>
      </c>
      <c r="X58" s="30">
        <v>46023.0</v>
      </c>
      <c r="Y58" s="30">
        <v>46112.0</v>
      </c>
      <c r="Z58" s="36">
        <v>724.99</v>
      </c>
      <c r="AA58" s="36">
        <v>0.0</v>
      </c>
      <c r="AB58" s="38" t="s">
        <v>7047</v>
      </c>
      <c r="AC58" s="30">
        <v>46113.0</v>
      </c>
      <c r="AD58" s="30">
        <v>46203.0</v>
      </c>
      <c r="AE58" s="36">
        <v>0.0</v>
      </c>
      <c r="AF58" s="36">
        <v>0.0</v>
      </c>
      <c r="AG58" s="35" t="s">
        <v>7045</v>
      </c>
      <c r="AH58" s="30">
        <v>46204.0</v>
      </c>
      <c r="AI58" s="30">
        <v>46295.0</v>
      </c>
      <c r="AJ58" s="36">
        <v>0.0</v>
      </c>
      <c r="AK58" s="36">
        <v>0.0</v>
      </c>
      <c r="AL58" s="35" t="s">
        <v>7045</v>
      </c>
      <c r="AM58" s="30">
        <v>46296.0</v>
      </c>
      <c r="AN58" s="30">
        <v>46387.0</v>
      </c>
      <c r="AO58" s="36">
        <v>0.0</v>
      </c>
      <c r="AP58" s="36">
        <v>0.0</v>
      </c>
      <c r="AQ58" s="35" t="s">
        <v>7045</v>
      </c>
      <c r="AR58" s="30">
        <v>46388.0</v>
      </c>
      <c r="AS58" s="30">
        <v>46477.0</v>
      </c>
      <c r="AT58" s="36">
        <v>0.0</v>
      </c>
      <c r="AU58" s="36">
        <v>0.0</v>
      </c>
      <c r="AV58" s="35" t="s">
        <v>7045</v>
      </c>
      <c r="AW58" s="30">
        <v>46478.0</v>
      </c>
      <c r="AX58" s="30">
        <v>46568.0</v>
      </c>
      <c r="AY58" s="36">
        <v>0.0</v>
      </c>
      <c r="AZ58" s="36">
        <v>0.0</v>
      </c>
      <c r="BA58" s="35" t="s">
        <v>7045</v>
      </c>
      <c r="BB58" s="30">
        <v>46569.0</v>
      </c>
      <c r="BC58" s="30">
        <v>46660.0</v>
      </c>
      <c r="BD58" s="36">
        <v>0.0</v>
      </c>
      <c r="BE58" s="36">
        <v>0.0</v>
      </c>
      <c r="BF58" s="35" t="s">
        <v>7045</v>
      </c>
      <c r="BG58" s="30">
        <v>46661.0</v>
      </c>
      <c r="BH58" s="30">
        <v>46752.0</v>
      </c>
      <c r="BI58" s="36">
        <v>0.0</v>
      </c>
      <c r="BJ58" s="36">
        <v>0.0</v>
      </c>
      <c r="BK58" s="35" t="s">
        <v>7045</v>
      </c>
      <c r="BL58" s="30">
        <v>46753.0</v>
      </c>
      <c r="BM58" s="30">
        <v>46843.0</v>
      </c>
      <c r="BN58" s="36">
        <v>0.0</v>
      </c>
      <c r="BO58" s="36">
        <v>0.0</v>
      </c>
      <c r="BP58" s="35" t="s">
        <v>7045</v>
      </c>
      <c r="BQ58" s="30">
        <v>46844.0</v>
      </c>
      <c r="BR58" s="30">
        <v>46934.0</v>
      </c>
      <c r="BS58" s="36">
        <v>0.0</v>
      </c>
      <c r="BT58" s="36">
        <v>0.0</v>
      </c>
      <c r="BU58" s="35" t="s">
        <v>7045</v>
      </c>
      <c r="BV58" s="30">
        <v>46935.0</v>
      </c>
      <c r="BW58" s="30">
        <v>47026.0</v>
      </c>
      <c r="BX58" s="36">
        <v>0.0</v>
      </c>
      <c r="BY58" s="36">
        <v>0.0</v>
      </c>
      <c r="BZ58" s="35" t="s">
        <v>7045</v>
      </c>
      <c r="CA58" s="30">
        <v>47027.0</v>
      </c>
      <c r="CB58" s="30">
        <v>47118.0</v>
      </c>
      <c r="CC58" s="36">
        <v>0.0</v>
      </c>
      <c r="CD58" s="36">
        <v>0.0</v>
      </c>
      <c r="CE58" s="35" t="s">
        <v>7045</v>
      </c>
      <c r="CF58" s="30">
        <v>47119.0</v>
      </c>
      <c r="CG58" s="30">
        <v>47208.0</v>
      </c>
      <c r="CH58" s="36">
        <v>0.0</v>
      </c>
      <c r="CI58" s="36">
        <v>0.0</v>
      </c>
      <c r="CJ58" s="35" t="s">
        <v>7045</v>
      </c>
      <c r="CK58" s="30">
        <v>47209.0</v>
      </c>
      <c r="CL58" s="30">
        <v>47299.0</v>
      </c>
      <c r="CM58" s="36">
        <v>0.0</v>
      </c>
      <c r="CN58" s="36">
        <v>0.0</v>
      </c>
      <c r="CO58" s="35" t="s">
        <v>7045</v>
      </c>
      <c r="CP58" s="30">
        <v>47300.0</v>
      </c>
      <c r="CQ58" s="30">
        <v>47391.0</v>
      </c>
      <c r="CR58" s="36">
        <v>0.0</v>
      </c>
      <c r="CS58" s="36">
        <v>0.0</v>
      </c>
      <c r="CT58" s="35" t="s">
        <v>7045</v>
      </c>
      <c r="CU58" s="30">
        <v>47392.0</v>
      </c>
      <c r="CV58" s="30">
        <v>47483.0</v>
      </c>
      <c r="CW58" s="36">
        <v>0.0</v>
      </c>
      <c r="CX58" s="36">
        <v>0.0</v>
      </c>
      <c r="CY58" s="35" t="s">
        <v>7045</v>
      </c>
      <c r="CZ58" s="30">
        <v>47484.0</v>
      </c>
      <c r="DA58" s="30">
        <v>47573.0</v>
      </c>
      <c r="DB58" s="36">
        <v>0.0</v>
      </c>
      <c r="DC58" s="36">
        <v>0.0</v>
      </c>
      <c r="DD58" s="35" t="s">
        <v>7045</v>
      </c>
      <c r="DE58" s="30">
        <v>47574.0</v>
      </c>
      <c r="DF58" s="30">
        <v>47664.0</v>
      </c>
      <c r="DG58" s="36">
        <v>0.0</v>
      </c>
      <c r="DH58" s="36">
        <v>0.0</v>
      </c>
      <c r="DI58" s="35" t="s">
        <v>7045</v>
      </c>
      <c r="DJ58" s="30">
        <v>47665.0</v>
      </c>
      <c r="DK58" s="30">
        <v>47756.0</v>
      </c>
      <c r="DL58" s="36">
        <v>0.0</v>
      </c>
      <c r="DM58" s="36">
        <v>0.0</v>
      </c>
      <c r="DN58" s="35" t="s">
        <v>7045</v>
      </c>
      <c r="DO58" s="30">
        <v>47757.0</v>
      </c>
      <c r="DP58" s="30">
        <v>47848.0</v>
      </c>
      <c r="DQ58" s="36">
        <v>0.0</v>
      </c>
      <c r="DR58" s="36">
        <v>0.0</v>
      </c>
      <c r="DS58" s="35" t="s">
        <v>7045</v>
      </c>
    </row>
    <row r="59" ht="14.25" customHeight="1">
      <c r="A59" s="28" t="s">
        <v>4213</v>
      </c>
      <c r="B59" s="29" t="s">
        <v>4214</v>
      </c>
      <c r="C59" s="29" t="s">
        <v>7041</v>
      </c>
      <c r="D59" s="30">
        <v>45658.0</v>
      </c>
      <c r="E59" s="30">
        <v>45747.0</v>
      </c>
      <c r="F59" s="39">
        <v>810.0</v>
      </c>
      <c r="G59" s="39">
        <v>0.0</v>
      </c>
      <c r="H59" s="38" t="s">
        <v>7047</v>
      </c>
      <c r="I59" s="30">
        <v>45748.0</v>
      </c>
      <c r="J59" s="30">
        <v>45838.0</v>
      </c>
      <c r="K59" s="39">
        <v>11.42</v>
      </c>
      <c r="L59" s="39">
        <v>2400.0</v>
      </c>
      <c r="M59" s="32" t="s">
        <v>7043</v>
      </c>
      <c r="N59" s="30">
        <v>45839.0</v>
      </c>
      <c r="O59" s="30">
        <v>45930.0</v>
      </c>
      <c r="P59" s="39">
        <v>1177.9</v>
      </c>
      <c r="Q59" s="39">
        <v>2000.0</v>
      </c>
      <c r="R59" s="38" t="s">
        <v>7047</v>
      </c>
      <c r="S59" s="30">
        <v>45931.0</v>
      </c>
      <c r="T59" s="30">
        <v>46022.0</v>
      </c>
      <c r="U59" s="39">
        <v>1493.36</v>
      </c>
      <c r="V59" s="39">
        <v>3333.33</v>
      </c>
      <c r="W59" s="38" t="s">
        <v>7047</v>
      </c>
      <c r="X59" s="30">
        <v>46023.0</v>
      </c>
      <c r="Y59" s="30">
        <v>46112.0</v>
      </c>
      <c r="Z59" s="39">
        <v>5.15</v>
      </c>
      <c r="AA59" s="39">
        <v>0.0</v>
      </c>
      <c r="AB59" s="38" t="s">
        <v>7047</v>
      </c>
      <c r="AC59" s="30">
        <v>46113.0</v>
      </c>
      <c r="AD59" s="30">
        <v>46203.0</v>
      </c>
      <c r="AE59" s="39">
        <v>13.14</v>
      </c>
      <c r="AF59" s="39">
        <v>0.0</v>
      </c>
      <c r="AG59" s="38" t="s">
        <v>7047</v>
      </c>
      <c r="AH59" s="30">
        <v>46204.0</v>
      </c>
      <c r="AI59" s="30">
        <v>46295.0</v>
      </c>
      <c r="AJ59" s="39">
        <v>0.68</v>
      </c>
      <c r="AK59" s="39">
        <v>0.0</v>
      </c>
      <c r="AL59" s="38" t="s">
        <v>7047</v>
      </c>
      <c r="AM59" s="30">
        <v>46296.0</v>
      </c>
      <c r="AN59" s="30">
        <v>46387.0</v>
      </c>
      <c r="AO59" s="39">
        <v>1545.79</v>
      </c>
      <c r="AP59" s="39">
        <v>0.0</v>
      </c>
      <c r="AQ59" s="38" t="s">
        <v>7047</v>
      </c>
      <c r="AR59" s="30">
        <v>46388.0</v>
      </c>
      <c r="AS59" s="30">
        <v>46477.0</v>
      </c>
      <c r="AT59" s="39">
        <v>0.0</v>
      </c>
      <c r="AU59" s="39">
        <v>0.0</v>
      </c>
      <c r="AV59" s="35" t="s">
        <v>7045</v>
      </c>
      <c r="AW59" s="30">
        <v>46478.0</v>
      </c>
      <c r="AX59" s="30">
        <v>46568.0</v>
      </c>
      <c r="AY59" s="39">
        <v>0.0</v>
      </c>
      <c r="AZ59" s="39">
        <v>0.0</v>
      </c>
      <c r="BA59" s="35" t="s">
        <v>7045</v>
      </c>
      <c r="BB59" s="30">
        <v>46569.0</v>
      </c>
      <c r="BC59" s="30">
        <v>46660.0</v>
      </c>
      <c r="BD59" s="39">
        <v>0.0</v>
      </c>
      <c r="BE59" s="39">
        <v>0.0</v>
      </c>
      <c r="BF59" s="35" t="s">
        <v>7045</v>
      </c>
      <c r="BG59" s="30">
        <v>46661.0</v>
      </c>
      <c r="BH59" s="30">
        <v>46752.0</v>
      </c>
      <c r="BI59" s="39">
        <v>0.0</v>
      </c>
      <c r="BJ59" s="39">
        <v>0.0</v>
      </c>
      <c r="BK59" s="35" t="s">
        <v>7045</v>
      </c>
      <c r="BL59" s="30">
        <v>46753.0</v>
      </c>
      <c r="BM59" s="30">
        <v>46843.0</v>
      </c>
      <c r="BN59" s="39">
        <v>0.0</v>
      </c>
      <c r="BO59" s="39">
        <v>0.0</v>
      </c>
      <c r="BP59" s="35" t="s">
        <v>7045</v>
      </c>
      <c r="BQ59" s="30">
        <v>46844.0</v>
      </c>
      <c r="BR59" s="30">
        <v>46934.0</v>
      </c>
      <c r="BS59" s="39">
        <v>0.0</v>
      </c>
      <c r="BT59" s="39">
        <v>0.0</v>
      </c>
      <c r="BU59" s="35" t="s">
        <v>7045</v>
      </c>
      <c r="BV59" s="30">
        <v>46935.0</v>
      </c>
      <c r="BW59" s="30">
        <v>47026.0</v>
      </c>
      <c r="BX59" s="39">
        <v>0.0</v>
      </c>
      <c r="BY59" s="39">
        <v>0.0</v>
      </c>
      <c r="BZ59" s="35" t="s">
        <v>7045</v>
      </c>
      <c r="CA59" s="30">
        <v>47027.0</v>
      </c>
      <c r="CB59" s="30">
        <v>47118.0</v>
      </c>
      <c r="CC59" s="39">
        <v>0.0</v>
      </c>
      <c r="CD59" s="39">
        <v>0.0</v>
      </c>
      <c r="CE59" s="35" t="s">
        <v>7045</v>
      </c>
      <c r="CF59" s="30">
        <v>47119.0</v>
      </c>
      <c r="CG59" s="30">
        <v>47208.0</v>
      </c>
      <c r="CH59" s="39">
        <v>0.0</v>
      </c>
      <c r="CI59" s="39">
        <v>0.0</v>
      </c>
      <c r="CJ59" s="35" t="s">
        <v>7045</v>
      </c>
      <c r="CK59" s="30">
        <v>47209.0</v>
      </c>
      <c r="CL59" s="30">
        <v>47299.0</v>
      </c>
      <c r="CM59" s="39">
        <v>0.0</v>
      </c>
      <c r="CN59" s="39">
        <v>0.0</v>
      </c>
      <c r="CO59" s="35" t="s">
        <v>7045</v>
      </c>
      <c r="CP59" s="30">
        <v>47300.0</v>
      </c>
      <c r="CQ59" s="30">
        <v>47391.0</v>
      </c>
      <c r="CR59" s="39">
        <v>0.0</v>
      </c>
      <c r="CS59" s="39">
        <v>0.0</v>
      </c>
      <c r="CT59" s="35" t="s">
        <v>7045</v>
      </c>
      <c r="CU59" s="30">
        <v>47392.0</v>
      </c>
      <c r="CV59" s="30">
        <v>47483.0</v>
      </c>
      <c r="CW59" s="39">
        <v>0.0</v>
      </c>
      <c r="CX59" s="39">
        <v>0.0</v>
      </c>
      <c r="CY59" s="35" t="s">
        <v>7045</v>
      </c>
      <c r="CZ59" s="30">
        <v>47484.0</v>
      </c>
      <c r="DA59" s="30">
        <v>47573.0</v>
      </c>
      <c r="DB59" s="39">
        <v>0.0</v>
      </c>
      <c r="DC59" s="39">
        <v>0.0</v>
      </c>
      <c r="DD59" s="35" t="s">
        <v>7045</v>
      </c>
      <c r="DE59" s="30">
        <v>47574.0</v>
      </c>
      <c r="DF59" s="30">
        <v>47664.0</v>
      </c>
      <c r="DG59" s="39">
        <v>0.0</v>
      </c>
      <c r="DH59" s="39">
        <v>0.0</v>
      </c>
      <c r="DI59" s="35" t="s">
        <v>7045</v>
      </c>
      <c r="DJ59" s="30">
        <v>47665.0</v>
      </c>
      <c r="DK59" s="30">
        <v>47756.0</v>
      </c>
      <c r="DL59" s="39">
        <v>0.0</v>
      </c>
      <c r="DM59" s="39">
        <v>0.0</v>
      </c>
      <c r="DN59" s="35" t="s">
        <v>7045</v>
      </c>
      <c r="DO59" s="30">
        <v>47757.0</v>
      </c>
      <c r="DP59" s="30">
        <v>47848.0</v>
      </c>
      <c r="DQ59" s="39">
        <v>0.0</v>
      </c>
      <c r="DR59" s="39">
        <v>0.0</v>
      </c>
      <c r="DS59" s="35" t="s">
        <v>7045</v>
      </c>
    </row>
    <row r="60" ht="14.25" customHeight="1">
      <c r="A60" s="28" t="s">
        <v>5988</v>
      </c>
      <c r="B60" s="29" t="s">
        <v>5989</v>
      </c>
      <c r="C60" s="29" t="s">
        <v>7041</v>
      </c>
      <c r="D60" s="30">
        <v>45658.0</v>
      </c>
      <c r="E60" s="30">
        <v>45747.0</v>
      </c>
      <c r="F60" s="39">
        <v>27.8</v>
      </c>
      <c r="G60" s="39">
        <v>0.0</v>
      </c>
      <c r="H60" s="38" t="s">
        <v>7047</v>
      </c>
      <c r="I60" s="30">
        <v>45748.0</v>
      </c>
      <c r="J60" s="30">
        <v>45838.0</v>
      </c>
      <c r="K60" s="39">
        <v>22.37</v>
      </c>
      <c r="L60" s="39">
        <v>0.0</v>
      </c>
      <c r="M60" s="38" t="s">
        <v>7047</v>
      </c>
      <c r="N60" s="30">
        <v>45839.0</v>
      </c>
      <c r="O60" s="30">
        <v>45930.0</v>
      </c>
      <c r="P60" s="39">
        <v>393.88</v>
      </c>
      <c r="Q60" s="39">
        <v>768.29</v>
      </c>
      <c r="R60" s="38" t="s">
        <v>7047</v>
      </c>
      <c r="S60" s="30">
        <v>45931.0</v>
      </c>
      <c r="T60" s="30">
        <v>46022.0</v>
      </c>
      <c r="U60" s="39">
        <v>1799.95</v>
      </c>
      <c r="V60" s="39">
        <v>1095.12</v>
      </c>
      <c r="W60" s="38" t="s">
        <v>7047</v>
      </c>
      <c r="X60" s="30">
        <v>46023.0</v>
      </c>
      <c r="Y60" s="30">
        <v>46112.0</v>
      </c>
      <c r="Z60" s="39">
        <v>388.82</v>
      </c>
      <c r="AA60" s="39">
        <v>0.0</v>
      </c>
      <c r="AB60" s="38" t="s">
        <v>7047</v>
      </c>
      <c r="AC60" s="30">
        <v>46113.0</v>
      </c>
      <c r="AD60" s="30">
        <v>46203.0</v>
      </c>
      <c r="AE60" s="39">
        <v>32.85</v>
      </c>
      <c r="AF60" s="39">
        <v>0.0</v>
      </c>
      <c r="AG60" s="38" t="s">
        <v>7047</v>
      </c>
      <c r="AH60" s="30">
        <v>46204.0</v>
      </c>
      <c r="AI60" s="30">
        <v>46295.0</v>
      </c>
      <c r="AJ60" s="39">
        <v>4.65</v>
      </c>
      <c r="AK60" s="39">
        <v>0.0</v>
      </c>
      <c r="AL60" s="38" t="s">
        <v>7047</v>
      </c>
      <c r="AM60" s="30">
        <v>46296.0</v>
      </c>
      <c r="AN60" s="30">
        <v>46387.0</v>
      </c>
      <c r="AO60" s="39">
        <v>21.51</v>
      </c>
      <c r="AP60" s="39">
        <v>0.0</v>
      </c>
      <c r="AQ60" s="38" t="s">
        <v>7047</v>
      </c>
      <c r="AR60" s="30">
        <v>46388.0</v>
      </c>
      <c r="AS60" s="30">
        <v>46477.0</v>
      </c>
      <c r="AT60" s="39">
        <v>0.0</v>
      </c>
      <c r="AU60" s="39">
        <v>0.0</v>
      </c>
      <c r="AV60" s="35" t="s">
        <v>7045</v>
      </c>
      <c r="AW60" s="30">
        <v>46478.0</v>
      </c>
      <c r="AX60" s="30">
        <v>46568.0</v>
      </c>
      <c r="AY60" s="39">
        <v>0.0</v>
      </c>
      <c r="AZ60" s="39">
        <v>0.0</v>
      </c>
      <c r="BA60" s="35" t="s">
        <v>7045</v>
      </c>
      <c r="BB60" s="30">
        <v>46569.0</v>
      </c>
      <c r="BC60" s="30">
        <v>46660.0</v>
      </c>
      <c r="BD60" s="39">
        <v>0.0</v>
      </c>
      <c r="BE60" s="39">
        <v>0.0</v>
      </c>
      <c r="BF60" s="35" t="s">
        <v>7045</v>
      </c>
      <c r="BG60" s="30">
        <v>46661.0</v>
      </c>
      <c r="BH60" s="30">
        <v>46752.0</v>
      </c>
      <c r="BI60" s="39">
        <v>0.0</v>
      </c>
      <c r="BJ60" s="39">
        <v>0.0</v>
      </c>
      <c r="BK60" s="35" t="s">
        <v>7045</v>
      </c>
      <c r="BL60" s="30">
        <v>46753.0</v>
      </c>
      <c r="BM60" s="30">
        <v>46843.0</v>
      </c>
      <c r="BN60" s="39">
        <v>0.0</v>
      </c>
      <c r="BO60" s="39">
        <v>0.0</v>
      </c>
      <c r="BP60" s="35" t="s">
        <v>7045</v>
      </c>
      <c r="BQ60" s="30">
        <v>46844.0</v>
      </c>
      <c r="BR60" s="30">
        <v>46934.0</v>
      </c>
      <c r="BS60" s="39">
        <v>0.0</v>
      </c>
      <c r="BT60" s="39">
        <v>0.0</v>
      </c>
      <c r="BU60" s="35" t="s">
        <v>7045</v>
      </c>
      <c r="BV60" s="30">
        <v>46935.0</v>
      </c>
      <c r="BW60" s="30">
        <v>47026.0</v>
      </c>
      <c r="BX60" s="39">
        <v>0.0</v>
      </c>
      <c r="BY60" s="39">
        <v>0.0</v>
      </c>
      <c r="BZ60" s="35" t="s">
        <v>7045</v>
      </c>
      <c r="CA60" s="30">
        <v>47027.0</v>
      </c>
      <c r="CB60" s="30">
        <v>47118.0</v>
      </c>
      <c r="CC60" s="39">
        <v>0.0</v>
      </c>
      <c r="CD60" s="39">
        <v>0.0</v>
      </c>
      <c r="CE60" s="35" t="s">
        <v>7045</v>
      </c>
      <c r="CF60" s="30">
        <v>47119.0</v>
      </c>
      <c r="CG60" s="30">
        <v>47208.0</v>
      </c>
      <c r="CH60" s="39">
        <v>0.0</v>
      </c>
      <c r="CI60" s="39">
        <v>0.0</v>
      </c>
      <c r="CJ60" s="35" t="s">
        <v>7045</v>
      </c>
      <c r="CK60" s="30">
        <v>47209.0</v>
      </c>
      <c r="CL60" s="30">
        <v>47299.0</v>
      </c>
      <c r="CM60" s="39">
        <v>0.0</v>
      </c>
      <c r="CN60" s="39">
        <v>0.0</v>
      </c>
      <c r="CO60" s="35" t="s">
        <v>7045</v>
      </c>
      <c r="CP60" s="30">
        <v>47300.0</v>
      </c>
      <c r="CQ60" s="30">
        <v>47391.0</v>
      </c>
      <c r="CR60" s="39">
        <v>0.0</v>
      </c>
      <c r="CS60" s="39">
        <v>0.0</v>
      </c>
      <c r="CT60" s="35" t="s">
        <v>7045</v>
      </c>
      <c r="CU60" s="30">
        <v>47392.0</v>
      </c>
      <c r="CV60" s="30">
        <v>47483.0</v>
      </c>
      <c r="CW60" s="39">
        <v>0.0</v>
      </c>
      <c r="CX60" s="39">
        <v>0.0</v>
      </c>
      <c r="CY60" s="35" t="s">
        <v>7045</v>
      </c>
      <c r="CZ60" s="30">
        <v>47484.0</v>
      </c>
      <c r="DA60" s="30">
        <v>47573.0</v>
      </c>
      <c r="DB60" s="39">
        <v>0.0</v>
      </c>
      <c r="DC60" s="39">
        <v>0.0</v>
      </c>
      <c r="DD60" s="35" t="s">
        <v>7045</v>
      </c>
      <c r="DE60" s="30">
        <v>47574.0</v>
      </c>
      <c r="DF60" s="30">
        <v>47664.0</v>
      </c>
      <c r="DG60" s="39">
        <v>0.0</v>
      </c>
      <c r="DH60" s="39">
        <v>0.0</v>
      </c>
      <c r="DI60" s="35" t="s">
        <v>7045</v>
      </c>
      <c r="DJ60" s="30">
        <v>47665.0</v>
      </c>
      <c r="DK60" s="30">
        <v>47756.0</v>
      </c>
      <c r="DL60" s="39">
        <v>0.0</v>
      </c>
      <c r="DM60" s="39">
        <v>0.0</v>
      </c>
      <c r="DN60" s="35" t="s">
        <v>7045</v>
      </c>
      <c r="DO60" s="30">
        <v>47757.0</v>
      </c>
      <c r="DP60" s="30">
        <v>47848.0</v>
      </c>
      <c r="DQ60" s="39">
        <v>0.0</v>
      </c>
      <c r="DR60" s="39">
        <v>0.0</v>
      </c>
      <c r="DS60" s="35" t="s">
        <v>7045</v>
      </c>
    </row>
    <row r="61" ht="14.25" customHeight="1">
      <c r="A61" s="28" t="s">
        <v>5757</v>
      </c>
      <c r="B61" s="29" t="s">
        <v>5758</v>
      </c>
      <c r="C61" s="29" t="s">
        <v>7041</v>
      </c>
      <c r="D61" s="30">
        <v>45658.0</v>
      </c>
      <c r="E61" s="30">
        <v>45747.0</v>
      </c>
      <c r="F61" s="36">
        <v>80.0</v>
      </c>
      <c r="G61" s="36">
        <v>0.0</v>
      </c>
      <c r="H61" s="38" t="s">
        <v>7047</v>
      </c>
      <c r="I61" s="30">
        <v>45748.0</v>
      </c>
      <c r="J61" s="30">
        <v>45838.0</v>
      </c>
      <c r="K61" s="36">
        <v>10.0</v>
      </c>
      <c r="L61" s="36">
        <v>366.65</v>
      </c>
      <c r="M61" s="37" t="s">
        <v>7043</v>
      </c>
      <c r="N61" s="30">
        <v>45839.0</v>
      </c>
      <c r="O61" s="30">
        <v>45930.0</v>
      </c>
      <c r="P61" s="36">
        <v>99.15</v>
      </c>
      <c r="Q61" s="36">
        <v>616.66</v>
      </c>
      <c r="R61" s="38" t="s">
        <v>7047</v>
      </c>
      <c r="S61" s="30">
        <v>45931.0</v>
      </c>
      <c r="T61" s="30">
        <v>46022.0</v>
      </c>
      <c r="U61" s="36">
        <v>459.51</v>
      </c>
      <c r="V61" s="36">
        <v>650.01</v>
      </c>
      <c r="W61" s="32" t="s">
        <v>7047</v>
      </c>
      <c r="X61" s="30">
        <v>46023.0</v>
      </c>
      <c r="Y61" s="30">
        <v>46112.0</v>
      </c>
      <c r="Z61" s="36">
        <v>80.0</v>
      </c>
      <c r="AA61" s="36">
        <v>0.0</v>
      </c>
      <c r="AB61" s="38" t="s">
        <v>7047</v>
      </c>
      <c r="AC61" s="30">
        <v>46113.0</v>
      </c>
      <c r="AD61" s="30">
        <v>46203.0</v>
      </c>
      <c r="AE61" s="36">
        <v>0.0</v>
      </c>
      <c r="AF61" s="36">
        <v>0.0</v>
      </c>
      <c r="AG61" s="35" t="s">
        <v>7045</v>
      </c>
      <c r="AH61" s="30">
        <v>46204.0</v>
      </c>
      <c r="AI61" s="30">
        <v>46295.0</v>
      </c>
      <c r="AJ61" s="36">
        <v>0.0</v>
      </c>
      <c r="AK61" s="36">
        <v>0.0</v>
      </c>
      <c r="AL61" s="35" t="s">
        <v>7045</v>
      </c>
      <c r="AM61" s="30">
        <v>46296.0</v>
      </c>
      <c r="AN61" s="30">
        <v>46387.0</v>
      </c>
      <c r="AO61" s="36">
        <v>0.0</v>
      </c>
      <c r="AP61" s="36">
        <v>0.0</v>
      </c>
      <c r="AQ61" s="35" t="s">
        <v>7045</v>
      </c>
      <c r="AR61" s="30">
        <v>46388.0</v>
      </c>
      <c r="AS61" s="30">
        <v>46477.0</v>
      </c>
      <c r="AT61" s="36">
        <v>0.0</v>
      </c>
      <c r="AU61" s="36">
        <v>0.0</v>
      </c>
      <c r="AV61" s="35" t="s">
        <v>7045</v>
      </c>
      <c r="AW61" s="30">
        <v>46478.0</v>
      </c>
      <c r="AX61" s="30">
        <v>46568.0</v>
      </c>
      <c r="AY61" s="36">
        <v>0.0</v>
      </c>
      <c r="AZ61" s="36">
        <v>0.0</v>
      </c>
      <c r="BA61" s="35" t="s">
        <v>7045</v>
      </c>
      <c r="BB61" s="30">
        <v>46569.0</v>
      </c>
      <c r="BC61" s="30">
        <v>46660.0</v>
      </c>
      <c r="BD61" s="36">
        <v>0.0</v>
      </c>
      <c r="BE61" s="36">
        <v>0.0</v>
      </c>
      <c r="BF61" s="35" t="s">
        <v>7045</v>
      </c>
      <c r="BG61" s="30">
        <v>46661.0</v>
      </c>
      <c r="BH61" s="30">
        <v>46752.0</v>
      </c>
      <c r="BI61" s="36">
        <v>0.0</v>
      </c>
      <c r="BJ61" s="36">
        <v>0.0</v>
      </c>
      <c r="BK61" s="35" t="s">
        <v>7045</v>
      </c>
      <c r="BL61" s="30">
        <v>46753.0</v>
      </c>
      <c r="BM61" s="30">
        <v>46843.0</v>
      </c>
      <c r="BN61" s="36">
        <v>0.0</v>
      </c>
      <c r="BO61" s="36">
        <v>0.0</v>
      </c>
      <c r="BP61" s="35" t="s">
        <v>7045</v>
      </c>
      <c r="BQ61" s="30">
        <v>46844.0</v>
      </c>
      <c r="BR61" s="30">
        <v>46934.0</v>
      </c>
      <c r="BS61" s="36">
        <v>0.0</v>
      </c>
      <c r="BT61" s="36">
        <v>0.0</v>
      </c>
      <c r="BU61" s="35" t="s">
        <v>7045</v>
      </c>
      <c r="BV61" s="30">
        <v>46935.0</v>
      </c>
      <c r="BW61" s="30">
        <v>47026.0</v>
      </c>
      <c r="BX61" s="36">
        <v>0.0</v>
      </c>
      <c r="BY61" s="36">
        <v>0.0</v>
      </c>
      <c r="BZ61" s="35" t="s">
        <v>7045</v>
      </c>
      <c r="CA61" s="30">
        <v>47027.0</v>
      </c>
      <c r="CB61" s="30">
        <v>47118.0</v>
      </c>
      <c r="CC61" s="36">
        <v>0.0</v>
      </c>
      <c r="CD61" s="36">
        <v>0.0</v>
      </c>
      <c r="CE61" s="35" t="s">
        <v>7045</v>
      </c>
      <c r="CF61" s="30">
        <v>47119.0</v>
      </c>
      <c r="CG61" s="30">
        <v>47208.0</v>
      </c>
      <c r="CH61" s="36">
        <v>0.0</v>
      </c>
      <c r="CI61" s="36">
        <v>0.0</v>
      </c>
      <c r="CJ61" s="35" t="s">
        <v>7045</v>
      </c>
      <c r="CK61" s="30">
        <v>47209.0</v>
      </c>
      <c r="CL61" s="30">
        <v>47299.0</v>
      </c>
      <c r="CM61" s="36">
        <v>0.0</v>
      </c>
      <c r="CN61" s="36">
        <v>0.0</v>
      </c>
      <c r="CO61" s="35" t="s">
        <v>7045</v>
      </c>
      <c r="CP61" s="30">
        <v>47300.0</v>
      </c>
      <c r="CQ61" s="30">
        <v>47391.0</v>
      </c>
      <c r="CR61" s="36">
        <v>0.0</v>
      </c>
      <c r="CS61" s="36">
        <v>0.0</v>
      </c>
      <c r="CT61" s="35" t="s">
        <v>7045</v>
      </c>
      <c r="CU61" s="30">
        <v>47392.0</v>
      </c>
      <c r="CV61" s="30">
        <v>47483.0</v>
      </c>
      <c r="CW61" s="36">
        <v>0.0</v>
      </c>
      <c r="CX61" s="36">
        <v>0.0</v>
      </c>
      <c r="CY61" s="35" t="s">
        <v>7045</v>
      </c>
      <c r="CZ61" s="30">
        <v>47484.0</v>
      </c>
      <c r="DA61" s="30">
        <v>47573.0</v>
      </c>
      <c r="DB61" s="36">
        <v>0.0</v>
      </c>
      <c r="DC61" s="36">
        <v>0.0</v>
      </c>
      <c r="DD61" s="35" t="s">
        <v>7045</v>
      </c>
      <c r="DE61" s="30">
        <v>47574.0</v>
      </c>
      <c r="DF61" s="30">
        <v>47664.0</v>
      </c>
      <c r="DG61" s="36">
        <v>0.0</v>
      </c>
      <c r="DH61" s="36">
        <v>0.0</v>
      </c>
      <c r="DI61" s="35" t="s">
        <v>7045</v>
      </c>
      <c r="DJ61" s="30">
        <v>47665.0</v>
      </c>
      <c r="DK61" s="30">
        <v>47756.0</v>
      </c>
      <c r="DL61" s="36">
        <v>0.0</v>
      </c>
      <c r="DM61" s="36">
        <v>0.0</v>
      </c>
      <c r="DN61" s="35" t="s">
        <v>7045</v>
      </c>
      <c r="DO61" s="30">
        <v>47757.0</v>
      </c>
      <c r="DP61" s="30">
        <v>47848.0</v>
      </c>
      <c r="DQ61" s="36">
        <v>0.0</v>
      </c>
      <c r="DR61" s="36">
        <v>0.0</v>
      </c>
      <c r="DS61" s="35" t="s">
        <v>7045</v>
      </c>
    </row>
    <row r="62" ht="14.25" customHeight="1">
      <c r="A62" s="28" t="s">
        <v>3503</v>
      </c>
      <c r="B62" s="29" t="s">
        <v>3504</v>
      </c>
      <c r="C62" s="29" t="s">
        <v>7041</v>
      </c>
      <c r="D62" s="30">
        <v>45658.0</v>
      </c>
      <c r="E62" s="30">
        <v>45747.0</v>
      </c>
      <c r="F62" s="36">
        <v>0.78</v>
      </c>
      <c r="G62" s="36">
        <v>0.0</v>
      </c>
      <c r="H62" s="38" t="s">
        <v>7047</v>
      </c>
      <c r="I62" s="30">
        <v>45748.0</v>
      </c>
      <c r="J62" s="30">
        <v>45838.0</v>
      </c>
      <c r="K62" s="36">
        <v>94.47</v>
      </c>
      <c r="L62" s="36">
        <v>0.0</v>
      </c>
      <c r="M62" s="38" t="s">
        <v>7047</v>
      </c>
      <c r="N62" s="30">
        <v>45839.0</v>
      </c>
      <c r="O62" s="30">
        <v>45930.0</v>
      </c>
      <c r="P62" s="36">
        <v>299.3</v>
      </c>
      <c r="Q62" s="36">
        <v>0.0</v>
      </c>
      <c r="R62" s="38" t="s">
        <v>7047</v>
      </c>
      <c r="S62" s="30">
        <v>45931.0</v>
      </c>
      <c r="T62" s="30">
        <v>46022.0</v>
      </c>
      <c r="U62" s="36">
        <v>5753.51</v>
      </c>
      <c r="V62" s="36">
        <v>0.0</v>
      </c>
      <c r="W62" s="38" t="s">
        <v>7047</v>
      </c>
      <c r="X62" s="30">
        <v>46023.0</v>
      </c>
      <c r="Y62" s="30">
        <v>46112.0</v>
      </c>
      <c r="Z62" s="36">
        <v>199.99</v>
      </c>
      <c r="AA62" s="36">
        <v>0.0</v>
      </c>
      <c r="AB62" s="35" t="s">
        <v>7047</v>
      </c>
      <c r="AC62" s="30">
        <v>46113.0</v>
      </c>
      <c r="AD62" s="30">
        <v>46203.0</v>
      </c>
      <c r="AE62" s="36">
        <v>1306.99</v>
      </c>
      <c r="AF62" s="36">
        <v>0.0</v>
      </c>
      <c r="AG62" s="38" t="s">
        <v>7047</v>
      </c>
      <c r="AH62" s="30">
        <v>46204.0</v>
      </c>
      <c r="AI62" s="30">
        <v>46295.0</v>
      </c>
      <c r="AJ62" s="36">
        <v>76.8</v>
      </c>
      <c r="AK62" s="36">
        <v>0.0</v>
      </c>
      <c r="AL62" s="38" t="s">
        <v>7047</v>
      </c>
      <c r="AM62" s="30">
        <v>46296.0</v>
      </c>
      <c r="AN62" s="30">
        <v>46387.0</v>
      </c>
      <c r="AO62" s="36">
        <v>2017.6</v>
      </c>
      <c r="AP62" s="36">
        <v>0.0</v>
      </c>
      <c r="AQ62" s="38" t="s">
        <v>7047</v>
      </c>
      <c r="AR62" s="30">
        <v>46388.0</v>
      </c>
      <c r="AS62" s="30">
        <v>46477.0</v>
      </c>
      <c r="AT62" s="36">
        <v>0.0</v>
      </c>
      <c r="AU62" s="36">
        <v>0.0</v>
      </c>
      <c r="AV62" s="35" t="s">
        <v>7045</v>
      </c>
      <c r="AW62" s="30">
        <v>46478.0</v>
      </c>
      <c r="AX62" s="30">
        <v>46568.0</v>
      </c>
      <c r="AY62" s="36">
        <v>0.0</v>
      </c>
      <c r="AZ62" s="36">
        <v>0.0</v>
      </c>
      <c r="BA62" s="35" t="s">
        <v>7045</v>
      </c>
      <c r="BB62" s="30">
        <v>46569.0</v>
      </c>
      <c r="BC62" s="30">
        <v>46660.0</v>
      </c>
      <c r="BD62" s="36">
        <v>0.0</v>
      </c>
      <c r="BE62" s="36">
        <v>0.0</v>
      </c>
      <c r="BF62" s="35" t="s">
        <v>7045</v>
      </c>
      <c r="BG62" s="30">
        <v>46661.0</v>
      </c>
      <c r="BH62" s="30">
        <v>46752.0</v>
      </c>
      <c r="BI62" s="36">
        <v>0.0</v>
      </c>
      <c r="BJ62" s="36">
        <v>0.0</v>
      </c>
      <c r="BK62" s="35" t="s">
        <v>7045</v>
      </c>
      <c r="BL62" s="30">
        <v>46753.0</v>
      </c>
      <c r="BM62" s="30">
        <v>46843.0</v>
      </c>
      <c r="BN62" s="36">
        <v>0.0</v>
      </c>
      <c r="BO62" s="36">
        <v>0.0</v>
      </c>
      <c r="BP62" s="35" t="s">
        <v>7045</v>
      </c>
      <c r="BQ62" s="30">
        <v>46844.0</v>
      </c>
      <c r="BR62" s="30">
        <v>46934.0</v>
      </c>
      <c r="BS62" s="36">
        <v>0.0</v>
      </c>
      <c r="BT62" s="36">
        <v>0.0</v>
      </c>
      <c r="BU62" s="35" t="s">
        <v>7045</v>
      </c>
      <c r="BV62" s="30">
        <v>46935.0</v>
      </c>
      <c r="BW62" s="30">
        <v>47026.0</v>
      </c>
      <c r="BX62" s="36">
        <v>0.0</v>
      </c>
      <c r="BY62" s="36">
        <v>0.0</v>
      </c>
      <c r="BZ62" s="35" t="s">
        <v>7045</v>
      </c>
      <c r="CA62" s="30">
        <v>47027.0</v>
      </c>
      <c r="CB62" s="30">
        <v>47118.0</v>
      </c>
      <c r="CC62" s="36">
        <v>0.0</v>
      </c>
      <c r="CD62" s="36">
        <v>0.0</v>
      </c>
      <c r="CE62" s="35" t="s">
        <v>7045</v>
      </c>
      <c r="CF62" s="30">
        <v>47119.0</v>
      </c>
      <c r="CG62" s="30">
        <v>47208.0</v>
      </c>
      <c r="CH62" s="36">
        <v>0.0</v>
      </c>
      <c r="CI62" s="36">
        <v>0.0</v>
      </c>
      <c r="CJ62" s="35" t="s">
        <v>7045</v>
      </c>
      <c r="CK62" s="30">
        <v>47209.0</v>
      </c>
      <c r="CL62" s="30">
        <v>47299.0</v>
      </c>
      <c r="CM62" s="36">
        <v>0.0</v>
      </c>
      <c r="CN62" s="36">
        <v>0.0</v>
      </c>
      <c r="CO62" s="35" t="s">
        <v>7045</v>
      </c>
      <c r="CP62" s="30">
        <v>47300.0</v>
      </c>
      <c r="CQ62" s="30">
        <v>47391.0</v>
      </c>
      <c r="CR62" s="36">
        <v>0.0</v>
      </c>
      <c r="CS62" s="36">
        <v>0.0</v>
      </c>
      <c r="CT62" s="35" t="s">
        <v>7045</v>
      </c>
      <c r="CU62" s="30">
        <v>47392.0</v>
      </c>
      <c r="CV62" s="30">
        <v>47483.0</v>
      </c>
      <c r="CW62" s="36">
        <v>0.0</v>
      </c>
      <c r="CX62" s="36">
        <v>0.0</v>
      </c>
      <c r="CY62" s="35" t="s">
        <v>7045</v>
      </c>
      <c r="CZ62" s="30">
        <v>47484.0</v>
      </c>
      <c r="DA62" s="30">
        <v>47573.0</v>
      </c>
      <c r="DB62" s="36">
        <v>0.0</v>
      </c>
      <c r="DC62" s="36">
        <v>0.0</v>
      </c>
      <c r="DD62" s="35" t="s">
        <v>7045</v>
      </c>
      <c r="DE62" s="30">
        <v>47574.0</v>
      </c>
      <c r="DF62" s="30">
        <v>47664.0</v>
      </c>
      <c r="DG62" s="36">
        <v>0.0</v>
      </c>
      <c r="DH62" s="36">
        <v>0.0</v>
      </c>
      <c r="DI62" s="35" t="s">
        <v>7045</v>
      </c>
      <c r="DJ62" s="30">
        <v>47665.0</v>
      </c>
      <c r="DK62" s="30">
        <v>47756.0</v>
      </c>
      <c r="DL62" s="36">
        <v>0.0</v>
      </c>
      <c r="DM62" s="36">
        <v>0.0</v>
      </c>
      <c r="DN62" s="35" t="s">
        <v>7045</v>
      </c>
      <c r="DO62" s="30">
        <v>47757.0</v>
      </c>
      <c r="DP62" s="30">
        <v>47848.0</v>
      </c>
      <c r="DQ62" s="36">
        <v>0.0</v>
      </c>
      <c r="DR62" s="36">
        <v>0.0</v>
      </c>
      <c r="DS62" s="35" t="s">
        <v>7045</v>
      </c>
    </row>
    <row r="63" ht="14.25" customHeight="1">
      <c r="A63" s="28" t="s">
        <v>5498</v>
      </c>
      <c r="B63" s="29" t="s">
        <v>5499</v>
      </c>
      <c r="C63" s="29" t="s">
        <v>7041</v>
      </c>
      <c r="D63" s="30">
        <v>45658.0</v>
      </c>
      <c r="E63" s="30">
        <v>45747.0</v>
      </c>
      <c r="F63" s="39">
        <v>6.3</v>
      </c>
      <c r="G63" s="39">
        <v>0.0</v>
      </c>
      <c r="H63" s="38" t="s">
        <v>7047</v>
      </c>
      <c r="I63" s="30">
        <v>45748.0</v>
      </c>
      <c r="J63" s="30">
        <v>45838.0</v>
      </c>
      <c r="K63" s="39">
        <v>11.12</v>
      </c>
      <c r="L63" s="39">
        <v>0.0</v>
      </c>
      <c r="M63" s="38" t="s">
        <v>7047</v>
      </c>
      <c r="N63" s="30">
        <v>45839.0</v>
      </c>
      <c r="O63" s="30">
        <v>45930.0</v>
      </c>
      <c r="P63" s="39">
        <v>1067.31</v>
      </c>
      <c r="Q63" s="39">
        <v>483.05</v>
      </c>
      <c r="R63" s="38" t="s">
        <v>7047</v>
      </c>
      <c r="S63" s="30">
        <v>45931.0</v>
      </c>
      <c r="T63" s="30">
        <v>46022.0</v>
      </c>
      <c r="U63" s="39">
        <v>920.0</v>
      </c>
      <c r="V63" s="39">
        <v>635.59</v>
      </c>
      <c r="W63" s="38" t="s">
        <v>7047</v>
      </c>
      <c r="X63" s="30">
        <v>46023.0</v>
      </c>
      <c r="Y63" s="30">
        <v>46112.0</v>
      </c>
      <c r="Z63" s="39">
        <v>38.0</v>
      </c>
      <c r="AA63" s="39">
        <v>0.0</v>
      </c>
      <c r="AB63" s="35" t="s">
        <v>7047</v>
      </c>
      <c r="AC63" s="30">
        <v>46113.0</v>
      </c>
      <c r="AD63" s="30">
        <v>46203.0</v>
      </c>
      <c r="AE63" s="39">
        <v>960.6</v>
      </c>
      <c r="AF63" s="39">
        <v>0.0</v>
      </c>
      <c r="AG63" s="38" t="s">
        <v>7047</v>
      </c>
      <c r="AH63" s="30">
        <v>46204.0</v>
      </c>
      <c r="AI63" s="30">
        <v>46295.0</v>
      </c>
      <c r="AJ63" s="39">
        <v>417.45</v>
      </c>
      <c r="AK63" s="39">
        <v>0.0</v>
      </c>
      <c r="AL63" s="38" t="s">
        <v>7047</v>
      </c>
      <c r="AM63" s="30">
        <v>46296.0</v>
      </c>
      <c r="AN63" s="30">
        <v>46387.0</v>
      </c>
      <c r="AO63" s="39">
        <v>0.0</v>
      </c>
      <c r="AP63" s="39">
        <v>0.0</v>
      </c>
      <c r="AQ63" s="35" t="s">
        <v>7045</v>
      </c>
      <c r="AR63" s="30">
        <v>46388.0</v>
      </c>
      <c r="AS63" s="30">
        <v>46477.0</v>
      </c>
      <c r="AT63" s="39">
        <v>0.0</v>
      </c>
      <c r="AU63" s="39">
        <v>0.0</v>
      </c>
      <c r="AV63" s="35" t="s">
        <v>7045</v>
      </c>
      <c r="AW63" s="30">
        <v>46478.0</v>
      </c>
      <c r="AX63" s="30">
        <v>46568.0</v>
      </c>
      <c r="AY63" s="39">
        <v>0.0</v>
      </c>
      <c r="AZ63" s="39">
        <v>0.0</v>
      </c>
      <c r="BA63" s="35" t="s">
        <v>7045</v>
      </c>
      <c r="BB63" s="30">
        <v>46569.0</v>
      </c>
      <c r="BC63" s="30">
        <v>46660.0</v>
      </c>
      <c r="BD63" s="39">
        <v>0.0</v>
      </c>
      <c r="BE63" s="39">
        <v>0.0</v>
      </c>
      <c r="BF63" s="35" t="s">
        <v>7045</v>
      </c>
      <c r="BG63" s="30">
        <v>46661.0</v>
      </c>
      <c r="BH63" s="30">
        <v>46752.0</v>
      </c>
      <c r="BI63" s="39">
        <v>0.0</v>
      </c>
      <c r="BJ63" s="39">
        <v>0.0</v>
      </c>
      <c r="BK63" s="35" t="s">
        <v>7045</v>
      </c>
      <c r="BL63" s="30">
        <v>46753.0</v>
      </c>
      <c r="BM63" s="30">
        <v>46843.0</v>
      </c>
      <c r="BN63" s="39">
        <v>0.0</v>
      </c>
      <c r="BO63" s="39">
        <v>0.0</v>
      </c>
      <c r="BP63" s="35" t="s">
        <v>7045</v>
      </c>
      <c r="BQ63" s="30">
        <v>46844.0</v>
      </c>
      <c r="BR63" s="30">
        <v>46934.0</v>
      </c>
      <c r="BS63" s="39">
        <v>0.0</v>
      </c>
      <c r="BT63" s="39">
        <v>0.0</v>
      </c>
      <c r="BU63" s="35" t="s">
        <v>7045</v>
      </c>
      <c r="BV63" s="30">
        <v>46935.0</v>
      </c>
      <c r="BW63" s="30">
        <v>47026.0</v>
      </c>
      <c r="BX63" s="39">
        <v>0.0</v>
      </c>
      <c r="BY63" s="39">
        <v>0.0</v>
      </c>
      <c r="BZ63" s="35" t="s">
        <v>7045</v>
      </c>
      <c r="CA63" s="30">
        <v>47027.0</v>
      </c>
      <c r="CB63" s="30">
        <v>47118.0</v>
      </c>
      <c r="CC63" s="39">
        <v>0.0</v>
      </c>
      <c r="CD63" s="39">
        <v>0.0</v>
      </c>
      <c r="CE63" s="35" t="s">
        <v>7045</v>
      </c>
      <c r="CF63" s="30">
        <v>47119.0</v>
      </c>
      <c r="CG63" s="30">
        <v>47208.0</v>
      </c>
      <c r="CH63" s="39">
        <v>0.0</v>
      </c>
      <c r="CI63" s="39">
        <v>0.0</v>
      </c>
      <c r="CJ63" s="35" t="s">
        <v>7045</v>
      </c>
      <c r="CK63" s="30">
        <v>47209.0</v>
      </c>
      <c r="CL63" s="30">
        <v>47299.0</v>
      </c>
      <c r="CM63" s="39">
        <v>0.0</v>
      </c>
      <c r="CN63" s="39">
        <v>0.0</v>
      </c>
      <c r="CO63" s="35" t="s">
        <v>7045</v>
      </c>
      <c r="CP63" s="30">
        <v>47300.0</v>
      </c>
      <c r="CQ63" s="30">
        <v>47391.0</v>
      </c>
      <c r="CR63" s="39">
        <v>0.0</v>
      </c>
      <c r="CS63" s="39">
        <v>0.0</v>
      </c>
      <c r="CT63" s="35" t="s">
        <v>7045</v>
      </c>
      <c r="CU63" s="30">
        <v>47392.0</v>
      </c>
      <c r="CV63" s="30">
        <v>47483.0</v>
      </c>
      <c r="CW63" s="39">
        <v>0.0</v>
      </c>
      <c r="CX63" s="39">
        <v>0.0</v>
      </c>
      <c r="CY63" s="35" t="s">
        <v>7045</v>
      </c>
      <c r="CZ63" s="30">
        <v>47484.0</v>
      </c>
      <c r="DA63" s="30">
        <v>47573.0</v>
      </c>
      <c r="DB63" s="39">
        <v>0.0</v>
      </c>
      <c r="DC63" s="39">
        <v>0.0</v>
      </c>
      <c r="DD63" s="35" t="s">
        <v>7045</v>
      </c>
      <c r="DE63" s="30">
        <v>47574.0</v>
      </c>
      <c r="DF63" s="30">
        <v>47664.0</v>
      </c>
      <c r="DG63" s="39">
        <v>0.0</v>
      </c>
      <c r="DH63" s="39">
        <v>0.0</v>
      </c>
      <c r="DI63" s="35" t="s">
        <v>7045</v>
      </c>
      <c r="DJ63" s="30">
        <v>47665.0</v>
      </c>
      <c r="DK63" s="30">
        <v>47756.0</v>
      </c>
      <c r="DL63" s="39">
        <v>0.0</v>
      </c>
      <c r="DM63" s="39">
        <v>0.0</v>
      </c>
      <c r="DN63" s="35" t="s">
        <v>7045</v>
      </c>
      <c r="DO63" s="30">
        <v>47757.0</v>
      </c>
      <c r="DP63" s="30">
        <v>47848.0</v>
      </c>
      <c r="DQ63" s="39">
        <v>0.0</v>
      </c>
      <c r="DR63" s="39">
        <v>0.0</v>
      </c>
      <c r="DS63" s="35" t="s">
        <v>7045</v>
      </c>
    </row>
    <row r="64" ht="14.25" customHeight="1">
      <c r="A64" s="28" t="s">
        <v>2928</v>
      </c>
      <c r="B64" s="29" t="s">
        <v>2929</v>
      </c>
      <c r="C64" s="29" t="s">
        <v>7041</v>
      </c>
      <c r="D64" s="30">
        <v>45658.0</v>
      </c>
      <c r="E64" s="30">
        <v>45747.0</v>
      </c>
      <c r="F64" s="36">
        <v>15.44</v>
      </c>
      <c r="G64" s="36">
        <v>0.0</v>
      </c>
      <c r="H64" s="38" t="s">
        <v>7047</v>
      </c>
      <c r="I64" s="30">
        <v>45748.0</v>
      </c>
      <c r="J64" s="30">
        <v>45838.0</v>
      </c>
      <c r="K64" s="36">
        <v>12.52</v>
      </c>
      <c r="L64" s="36">
        <v>0.0</v>
      </c>
      <c r="M64" s="38" t="s">
        <v>7047</v>
      </c>
      <c r="N64" s="30">
        <v>45839.0</v>
      </c>
      <c r="O64" s="30">
        <v>45930.0</v>
      </c>
      <c r="P64" s="36">
        <v>457.31</v>
      </c>
      <c r="Q64" s="36">
        <v>418.98</v>
      </c>
      <c r="R64" s="38" t="s">
        <v>7047</v>
      </c>
      <c r="S64" s="30">
        <v>45931.0</v>
      </c>
      <c r="T64" s="30">
        <v>46022.0</v>
      </c>
      <c r="U64" s="36">
        <v>7.81</v>
      </c>
      <c r="V64" s="36">
        <v>512.32</v>
      </c>
      <c r="W64" s="38" t="s">
        <v>7047</v>
      </c>
      <c r="X64" s="30">
        <v>46023.0</v>
      </c>
      <c r="Y64" s="30">
        <v>46112.0</v>
      </c>
      <c r="Z64" s="36">
        <v>0.0</v>
      </c>
      <c r="AA64" s="36">
        <v>0.0</v>
      </c>
      <c r="AB64" s="35" t="s">
        <v>7045</v>
      </c>
      <c r="AC64" s="30">
        <v>46113.0</v>
      </c>
      <c r="AD64" s="30">
        <v>46203.0</v>
      </c>
      <c r="AE64" s="36">
        <v>4.05</v>
      </c>
      <c r="AF64" s="36">
        <v>0.0</v>
      </c>
      <c r="AG64" s="38" t="s">
        <v>7047</v>
      </c>
      <c r="AH64" s="30">
        <v>46204.0</v>
      </c>
      <c r="AI64" s="30">
        <v>46295.0</v>
      </c>
      <c r="AJ64" s="36">
        <v>0.0</v>
      </c>
      <c r="AK64" s="36">
        <v>0.0</v>
      </c>
      <c r="AL64" s="35" t="s">
        <v>7045</v>
      </c>
      <c r="AM64" s="30">
        <v>46296.0</v>
      </c>
      <c r="AN64" s="30">
        <v>46387.0</v>
      </c>
      <c r="AO64" s="36">
        <v>0.24</v>
      </c>
      <c r="AP64" s="36">
        <v>0.0</v>
      </c>
      <c r="AQ64" s="38" t="s">
        <v>7047</v>
      </c>
      <c r="AR64" s="30">
        <v>46388.0</v>
      </c>
      <c r="AS64" s="30">
        <v>46477.0</v>
      </c>
      <c r="AT64" s="36">
        <v>0.0</v>
      </c>
      <c r="AU64" s="36">
        <v>0.0</v>
      </c>
      <c r="AV64" s="35" t="s">
        <v>7045</v>
      </c>
      <c r="AW64" s="30">
        <v>46478.0</v>
      </c>
      <c r="AX64" s="30">
        <v>46568.0</v>
      </c>
      <c r="AY64" s="36">
        <v>0.0</v>
      </c>
      <c r="AZ64" s="36">
        <v>0.0</v>
      </c>
      <c r="BA64" s="35" t="s">
        <v>7045</v>
      </c>
      <c r="BB64" s="30">
        <v>46569.0</v>
      </c>
      <c r="BC64" s="30">
        <v>46660.0</v>
      </c>
      <c r="BD64" s="36">
        <v>0.0</v>
      </c>
      <c r="BE64" s="36">
        <v>0.0</v>
      </c>
      <c r="BF64" s="35" t="s">
        <v>7045</v>
      </c>
      <c r="BG64" s="30">
        <v>46661.0</v>
      </c>
      <c r="BH64" s="30">
        <v>46752.0</v>
      </c>
      <c r="BI64" s="36">
        <v>0.0</v>
      </c>
      <c r="BJ64" s="36">
        <v>0.0</v>
      </c>
      <c r="BK64" s="35" t="s">
        <v>7045</v>
      </c>
      <c r="BL64" s="30">
        <v>46753.0</v>
      </c>
      <c r="BM64" s="30">
        <v>46843.0</v>
      </c>
      <c r="BN64" s="36">
        <v>0.0</v>
      </c>
      <c r="BO64" s="36">
        <v>0.0</v>
      </c>
      <c r="BP64" s="35" t="s">
        <v>7045</v>
      </c>
      <c r="BQ64" s="30">
        <v>46844.0</v>
      </c>
      <c r="BR64" s="30">
        <v>46934.0</v>
      </c>
      <c r="BS64" s="36">
        <v>0.0</v>
      </c>
      <c r="BT64" s="36">
        <v>0.0</v>
      </c>
      <c r="BU64" s="35" t="s">
        <v>7045</v>
      </c>
      <c r="BV64" s="30">
        <v>46935.0</v>
      </c>
      <c r="BW64" s="30">
        <v>47026.0</v>
      </c>
      <c r="BX64" s="36">
        <v>0.0</v>
      </c>
      <c r="BY64" s="36">
        <v>0.0</v>
      </c>
      <c r="BZ64" s="35" t="s">
        <v>7045</v>
      </c>
      <c r="CA64" s="30">
        <v>47027.0</v>
      </c>
      <c r="CB64" s="30">
        <v>47118.0</v>
      </c>
      <c r="CC64" s="36">
        <v>0.0</v>
      </c>
      <c r="CD64" s="36">
        <v>0.0</v>
      </c>
      <c r="CE64" s="35" t="s">
        <v>7045</v>
      </c>
      <c r="CF64" s="30">
        <v>47119.0</v>
      </c>
      <c r="CG64" s="30">
        <v>47208.0</v>
      </c>
      <c r="CH64" s="36">
        <v>0.0</v>
      </c>
      <c r="CI64" s="36">
        <v>0.0</v>
      </c>
      <c r="CJ64" s="35" t="s">
        <v>7045</v>
      </c>
      <c r="CK64" s="30">
        <v>47209.0</v>
      </c>
      <c r="CL64" s="30">
        <v>47299.0</v>
      </c>
      <c r="CM64" s="36">
        <v>0.0</v>
      </c>
      <c r="CN64" s="36">
        <v>0.0</v>
      </c>
      <c r="CO64" s="35" t="s">
        <v>7045</v>
      </c>
      <c r="CP64" s="30">
        <v>47300.0</v>
      </c>
      <c r="CQ64" s="30">
        <v>47391.0</v>
      </c>
      <c r="CR64" s="36">
        <v>0.0</v>
      </c>
      <c r="CS64" s="36">
        <v>0.0</v>
      </c>
      <c r="CT64" s="35" t="s">
        <v>7045</v>
      </c>
      <c r="CU64" s="30">
        <v>47392.0</v>
      </c>
      <c r="CV64" s="30">
        <v>47483.0</v>
      </c>
      <c r="CW64" s="36">
        <v>0.0</v>
      </c>
      <c r="CX64" s="36">
        <v>0.0</v>
      </c>
      <c r="CY64" s="35" t="s">
        <v>7045</v>
      </c>
      <c r="CZ64" s="30">
        <v>47484.0</v>
      </c>
      <c r="DA64" s="30">
        <v>47573.0</v>
      </c>
      <c r="DB64" s="36">
        <v>0.0</v>
      </c>
      <c r="DC64" s="36">
        <v>0.0</v>
      </c>
      <c r="DD64" s="35" t="s">
        <v>7045</v>
      </c>
      <c r="DE64" s="30">
        <v>47574.0</v>
      </c>
      <c r="DF64" s="30">
        <v>47664.0</v>
      </c>
      <c r="DG64" s="36">
        <v>0.0</v>
      </c>
      <c r="DH64" s="36">
        <v>0.0</v>
      </c>
      <c r="DI64" s="35" t="s">
        <v>7045</v>
      </c>
      <c r="DJ64" s="30">
        <v>47665.0</v>
      </c>
      <c r="DK64" s="30">
        <v>47756.0</v>
      </c>
      <c r="DL64" s="36">
        <v>0.0</v>
      </c>
      <c r="DM64" s="36">
        <v>0.0</v>
      </c>
      <c r="DN64" s="35" t="s">
        <v>7045</v>
      </c>
      <c r="DO64" s="30">
        <v>47757.0</v>
      </c>
      <c r="DP64" s="30">
        <v>47848.0</v>
      </c>
      <c r="DQ64" s="36">
        <v>0.0</v>
      </c>
      <c r="DR64" s="36">
        <v>0.0</v>
      </c>
      <c r="DS64" s="35" t="s">
        <v>7045</v>
      </c>
    </row>
    <row r="65" ht="14.25" customHeight="1">
      <c r="A65" s="28" t="s">
        <v>3443</v>
      </c>
      <c r="B65" s="29" t="s">
        <v>3444</v>
      </c>
      <c r="C65" s="29" t="s">
        <v>7041</v>
      </c>
      <c r="D65" s="30">
        <v>45658.0</v>
      </c>
      <c r="E65" s="30">
        <v>45747.0</v>
      </c>
      <c r="F65" s="36">
        <v>8.0</v>
      </c>
      <c r="G65" s="36">
        <v>0.0</v>
      </c>
      <c r="H65" s="38" t="s">
        <v>7047</v>
      </c>
      <c r="I65" s="30">
        <v>45748.0</v>
      </c>
      <c r="J65" s="30">
        <v>45838.0</v>
      </c>
      <c r="K65" s="36">
        <v>10.0</v>
      </c>
      <c r="L65" s="36">
        <v>0.0</v>
      </c>
      <c r="M65" s="38" t="s">
        <v>7047</v>
      </c>
      <c r="N65" s="30">
        <v>45839.0</v>
      </c>
      <c r="O65" s="30">
        <v>45930.0</v>
      </c>
      <c r="P65" s="36">
        <v>817.99</v>
      </c>
      <c r="Q65" s="36">
        <v>0.0</v>
      </c>
      <c r="R65" s="38" t="s">
        <v>7047</v>
      </c>
      <c r="S65" s="30">
        <v>45931.0</v>
      </c>
      <c r="T65" s="30">
        <v>46022.0</v>
      </c>
      <c r="U65" s="36">
        <v>950.0</v>
      </c>
      <c r="V65" s="36">
        <v>0.0</v>
      </c>
      <c r="W65" s="38" t="s">
        <v>7047</v>
      </c>
      <c r="X65" s="30">
        <v>46023.0</v>
      </c>
      <c r="Y65" s="30">
        <v>46112.0</v>
      </c>
      <c r="Z65" s="36">
        <v>0.0</v>
      </c>
      <c r="AA65" s="36">
        <v>0.0</v>
      </c>
      <c r="AB65" s="35" t="s">
        <v>7045</v>
      </c>
      <c r="AC65" s="30">
        <v>46113.0</v>
      </c>
      <c r="AD65" s="30">
        <v>46203.0</v>
      </c>
      <c r="AE65" s="36">
        <v>0.0</v>
      </c>
      <c r="AF65" s="36">
        <v>0.0</v>
      </c>
      <c r="AG65" s="35" t="s">
        <v>7045</v>
      </c>
      <c r="AH65" s="30">
        <v>46204.0</v>
      </c>
      <c r="AI65" s="30">
        <v>46295.0</v>
      </c>
      <c r="AJ65" s="36">
        <v>0.0</v>
      </c>
      <c r="AK65" s="36">
        <v>0.0</v>
      </c>
      <c r="AL65" s="35" t="s">
        <v>7045</v>
      </c>
      <c r="AM65" s="30">
        <v>46296.0</v>
      </c>
      <c r="AN65" s="30">
        <v>46387.0</v>
      </c>
      <c r="AO65" s="36">
        <v>0.0</v>
      </c>
      <c r="AP65" s="36">
        <v>0.0</v>
      </c>
      <c r="AQ65" s="35" t="s">
        <v>7045</v>
      </c>
      <c r="AR65" s="30">
        <v>46388.0</v>
      </c>
      <c r="AS65" s="30">
        <v>46477.0</v>
      </c>
      <c r="AT65" s="36">
        <v>0.0</v>
      </c>
      <c r="AU65" s="36">
        <v>0.0</v>
      </c>
      <c r="AV65" s="35" t="s">
        <v>7045</v>
      </c>
      <c r="AW65" s="30">
        <v>46478.0</v>
      </c>
      <c r="AX65" s="30">
        <v>46568.0</v>
      </c>
      <c r="AY65" s="36">
        <v>0.0</v>
      </c>
      <c r="AZ65" s="36">
        <v>0.0</v>
      </c>
      <c r="BA65" s="35" t="s">
        <v>7045</v>
      </c>
      <c r="BB65" s="30">
        <v>46569.0</v>
      </c>
      <c r="BC65" s="30">
        <v>46660.0</v>
      </c>
      <c r="BD65" s="36">
        <v>0.0</v>
      </c>
      <c r="BE65" s="36">
        <v>0.0</v>
      </c>
      <c r="BF65" s="35" t="s">
        <v>7045</v>
      </c>
      <c r="BG65" s="30">
        <v>46661.0</v>
      </c>
      <c r="BH65" s="30">
        <v>46752.0</v>
      </c>
      <c r="BI65" s="36">
        <v>0.0</v>
      </c>
      <c r="BJ65" s="36">
        <v>0.0</v>
      </c>
      <c r="BK65" s="35" t="s">
        <v>7045</v>
      </c>
      <c r="BL65" s="30">
        <v>46753.0</v>
      </c>
      <c r="BM65" s="30">
        <v>46843.0</v>
      </c>
      <c r="BN65" s="36">
        <v>0.0</v>
      </c>
      <c r="BO65" s="36">
        <v>0.0</v>
      </c>
      <c r="BP65" s="35" t="s">
        <v>7045</v>
      </c>
      <c r="BQ65" s="30">
        <v>46844.0</v>
      </c>
      <c r="BR65" s="30">
        <v>46934.0</v>
      </c>
      <c r="BS65" s="36">
        <v>0.0</v>
      </c>
      <c r="BT65" s="36">
        <v>0.0</v>
      </c>
      <c r="BU65" s="35" t="s">
        <v>7045</v>
      </c>
      <c r="BV65" s="30">
        <v>46935.0</v>
      </c>
      <c r="BW65" s="30">
        <v>47026.0</v>
      </c>
      <c r="BX65" s="36">
        <v>0.0</v>
      </c>
      <c r="BY65" s="36">
        <v>0.0</v>
      </c>
      <c r="BZ65" s="35" t="s">
        <v>7045</v>
      </c>
      <c r="CA65" s="30">
        <v>47027.0</v>
      </c>
      <c r="CB65" s="30">
        <v>47118.0</v>
      </c>
      <c r="CC65" s="36">
        <v>0.0</v>
      </c>
      <c r="CD65" s="36">
        <v>0.0</v>
      </c>
      <c r="CE65" s="35" t="s">
        <v>7045</v>
      </c>
      <c r="CF65" s="30">
        <v>47119.0</v>
      </c>
      <c r="CG65" s="30">
        <v>47208.0</v>
      </c>
      <c r="CH65" s="36">
        <v>0.0</v>
      </c>
      <c r="CI65" s="36">
        <v>0.0</v>
      </c>
      <c r="CJ65" s="35" t="s">
        <v>7045</v>
      </c>
      <c r="CK65" s="30">
        <v>47209.0</v>
      </c>
      <c r="CL65" s="30">
        <v>47299.0</v>
      </c>
      <c r="CM65" s="36">
        <v>0.0</v>
      </c>
      <c r="CN65" s="36">
        <v>0.0</v>
      </c>
      <c r="CO65" s="35" t="s">
        <v>7045</v>
      </c>
      <c r="CP65" s="30">
        <v>47300.0</v>
      </c>
      <c r="CQ65" s="30">
        <v>47391.0</v>
      </c>
      <c r="CR65" s="36">
        <v>0.0</v>
      </c>
      <c r="CS65" s="36">
        <v>0.0</v>
      </c>
      <c r="CT65" s="35" t="s">
        <v>7045</v>
      </c>
      <c r="CU65" s="30">
        <v>47392.0</v>
      </c>
      <c r="CV65" s="30">
        <v>47483.0</v>
      </c>
      <c r="CW65" s="36">
        <v>0.0</v>
      </c>
      <c r="CX65" s="36">
        <v>0.0</v>
      </c>
      <c r="CY65" s="35" t="s">
        <v>7045</v>
      </c>
      <c r="CZ65" s="30">
        <v>47484.0</v>
      </c>
      <c r="DA65" s="30">
        <v>47573.0</v>
      </c>
      <c r="DB65" s="36">
        <v>0.0</v>
      </c>
      <c r="DC65" s="36">
        <v>0.0</v>
      </c>
      <c r="DD65" s="35" t="s">
        <v>7045</v>
      </c>
      <c r="DE65" s="30">
        <v>47574.0</v>
      </c>
      <c r="DF65" s="30">
        <v>47664.0</v>
      </c>
      <c r="DG65" s="36">
        <v>0.0</v>
      </c>
      <c r="DH65" s="36">
        <v>0.0</v>
      </c>
      <c r="DI65" s="35" t="s">
        <v>7045</v>
      </c>
      <c r="DJ65" s="30">
        <v>47665.0</v>
      </c>
      <c r="DK65" s="30">
        <v>47756.0</v>
      </c>
      <c r="DL65" s="36">
        <v>0.0</v>
      </c>
      <c r="DM65" s="36">
        <v>0.0</v>
      </c>
      <c r="DN65" s="35" t="s">
        <v>7045</v>
      </c>
      <c r="DO65" s="30">
        <v>47757.0</v>
      </c>
      <c r="DP65" s="30">
        <v>47848.0</v>
      </c>
      <c r="DQ65" s="36">
        <v>0.0</v>
      </c>
      <c r="DR65" s="36">
        <v>0.0</v>
      </c>
      <c r="DS65" s="35" t="s">
        <v>7045</v>
      </c>
    </row>
    <row r="66" ht="14.25" customHeight="1">
      <c r="A66" s="28" t="s">
        <v>262</v>
      </c>
      <c r="B66" s="29" t="s">
        <v>263</v>
      </c>
      <c r="C66" s="29" t="s">
        <v>7041</v>
      </c>
      <c r="D66" s="30">
        <v>45658.0</v>
      </c>
      <c r="E66" s="30">
        <v>45747.0</v>
      </c>
      <c r="F66" s="39">
        <v>20.77</v>
      </c>
      <c r="G66" s="39">
        <v>0.0</v>
      </c>
      <c r="H66" s="38" t="s">
        <v>7047</v>
      </c>
      <c r="I66" s="30">
        <v>45748.0</v>
      </c>
      <c r="J66" s="30">
        <v>45838.0</v>
      </c>
      <c r="K66" s="39">
        <v>13.83</v>
      </c>
      <c r="L66" s="39">
        <v>4078.95</v>
      </c>
      <c r="M66" s="32" t="s">
        <v>7043</v>
      </c>
      <c r="N66" s="30">
        <v>45839.0</v>
      </c>
      <c r="O66" s="30">
        <v>45930.0</v>
      </c>
      <c r="P66" s="39">
        <v>1779.24</v>
      </c>
      <c r="Q66" s="39">
        <v>4254.39</v>
      </c>
      <c r="R66" s="38" t="s">
        <v>7047</v>
      </c>
      <c r="S66" s="30">
        <v>45931.0</v>
      </c>
      <c r="T66" s="30">
        <v>46022.0</v>
      </c>
      <c r="U66" s="39">
        <v>1581.27</v>
      </c>
      <c r="V66" s="39">
        <v>4254.39</v>
      </c>
      <c r="W66" s="38" t="s">
        <v>7047</v>
      </c>
      <c r="X66" s="30">
        <v>46023.0</v>
      </c>
      <c r="Y66" s="30">
        <v>46112.0</v>
      </c>
      <c r="Z66" s="39">
        <v>1135.42</v>
      </c>
      <c r="AA66" s="39">
        <v>0.0</v>
      </c>
      <c r="AB66" s="38" t="s">
        <v>7047</v>
      </c>
      <c r="AC66" s="30">
        <v>46113.0</v>
      </c>
      <c r="AD66" s="30">
        <v>46203.0</v>
      </c>
      <c r="AE66" s="39">
        <v>155.13</v>
      </c>
      <c r="AF66" s="39">
        <v>0.0</v>
      </c>
      <c r="AG66" s="38" t="s">
        <v>7047</v>
      </c>
      <c r="AH66" s="30">
        <v>46204.0</v>
      </c>
      <c r="AI66" s="30">
        <v>46295.0</v>
      </c>
      <c r="AJ66" s="39">
        <v>1583.03</v>
      </c>
      <c r="AK66" s="39">
        <v>0.0</v>
      </c>
      <c r="AL66" s="38" t="s">
        <v>7047</v>
      </c>
      <c r="AM66" s="30">
        <v>46296.0</v>
      </c>
      <c r="AN66" s="30">
        <v>46387.0</v>
      </c>
      <c r="AO66" s="39">
        <v>554.94</v>
      </c>
      <c r="AP66" s="39">
        <v>0.0</v>
      </c>
      <c r="AQ66" s="38" t="s">
        <v>7047</v>
      </c>
      <c r="AR66" s="30">
        <v>46388.0</v>
      </c>
      <c r="AS66" s="30">
        <v>46477.0</v>
      </c>
      <c r="AT66" s="39">
        <v>0.0</v>
      </c>
      <c r="AU66" s="39">
        <v>0.0</v>
      </c>
      <c r="AV66" s="35" t="s">
        <v>7045</v>
      </c>
      <c r="AW66" s="30">
        <v>46478.0</v>
      </c>
      <c r="AX66" s="30">
        <v>46568.0</v>
      </c>
      <c r="AY66" s="39">
        <v>0.0</v>
      </c>
      <c r="AZ66" s="39">
        <v>0.0</v>
      </c>
      <c r="BA66" s="35" t="s">
        <v>7045</v>
      </c>
      <c r="BB66" s="30">
        <v>46569.0</v>
      </c>
      <c r="BC66" s="30">
        <v>46660.0</v>
      </c>
      <c r="BD66" s="39">
        <v>0.0</v>
      </c>
      <c r="BE66" s="39">
        <v>0.0</v>
      </c>
      <c r="BF66" s="35" t="s">
        <v>7045</v>
      </c>
      <c r="BG66" s="30">
        <v>46661.0</v>
      </c>
      <c r="BH66" s="30">
        <v>46752.0</v>
      </c>
      <c r="BI66" s="39">
        <v>0.0</v>
      </c>
      <c r="BJ66" s="39">
        <v>0.0</v>
      </c>
      <c r="BK66" s="35" t="s">
        <v>7045</v>
      </c>
      <c r="BL66" s="30">
        <v>46753.0</v>
      </c>
      <c r="BM66" s="30">
        <v>46843.0</v>
      </c>
      <c r="BN66" s="39">
        <v>0.0</v>
      </c>
      <c r="BO66" s="39">
        <v>0.0</v>
      </c>
      <c r="BP66" s="35" t="s">
        <v>7045</v>
      </c>
      <c r="BQ66" s="30">
        <v>46844.0</v>
      </c>
      <c r="BR66" s="30">
        <v>46934.0</v>
      </c>
      <c r="BS66" s="39">
        <v>0.0</v>
      </c>
      <c r="BT66" s="39">
        <v>0.0</v>
      </c>
      <c r="BU66" s="35" t="s">
        <v>7045</v>
      </c>
      <c r="BV66" s="30">
        <v>46935.0</v>
      </c>
      <c r="BW66" s="30">
        <v>47026.0</v>
      </c>
      <c r="BX66" s="39">
        <v>0.0</v>
      </c>
      <c r="BY66" s="39">
        <v>0.0</v>
      </c>
      <c r="BZ66" s="35" t="s">
        <v>7045</v>
      </c>
      <c r="CA66" s="30">
        <v>47027.0</v>
      </c>
      <c r="CB66" s="30">
        <v>47118.0</v>
      </c>
      <c r="CC66" s="39">
        <v>0.0</v>
      </c>
      <c r="CD66" s="39">
        <v>0.0</v>
      </c>
      <c r="CE66" s="35" t="s">
        <v>7045</v>
      </c>
      <c r="CF66" s="30">
        <v>47119.0</v>
      </c>
      <c r="CG66" s="30">
        <v>47208.0</v>
      </c>
      <c r="CH66" s="39">
        <v>0.0</v>
      </c>
      <c r="CI66" s="39">
        <v>0.0</v>
      </c>
      <c r="CJ66" s="35" t="s">
        <v>7045</v>
      </c>
      <c r="CK66" s="30">
        <v>47209.0</v>
      </c>
      <c r="CL66" s="30">
        <v>47299.0</v>
      </c>
      <c r="CM66" s="39">
        <v>0.0</v>
      </c>
      <c r="CN66" s="39">
        <v>0.0</v>
      </c>
      <c r="CO66" s="35" t="s">
        <v>7045</v>
      </c>
      <c r="CP66" s="30">
        <v>47300.0</v>
      </c>
      <c r="CQ66" s="30">
        <v>47391.0</v>
      </c>
      <c r="CR66" s="39">
        <v>0.0</v>
      </c>
      <c r="CS66" s="39">
        <v>0.0</v>
      </c>
      <c r="CT66" s="35" t="s">
        <v>7045</v>
      </c>
      <c r="CU66" s="30">
        <v>47392.0</v>
      </c>
      <c r="CV66" s="30">
        <v>47483.0</v>
      </c>
      <c r="CW66" s="39">
        <v>0.0</v>
      </c>
      <c r="CX66" s="39">
        <v>0.0</v>
      </c>
      <c r="CY66" s="35" t="s">
        <v>7045</v>
      </c>
      <c r="CZ66" s="30">
        <v>47484.0</v>
      </c>
      <c r="DA66" s="30">
        <v>47573.0</v>
      </c>
      <c r="DB66" s="39">
        <v>0.0</v>
      </c>
      <c r="DC66" s="39">
        <v>0.0</v>
      </c>
      <c r="DD66" s="35" t="s">
        <v>7045</v>
      </c>
      <c r="DE66" s="30">
        <v>47574.0</v>
      </c>
      <c r="DF66" s="30">
        <v>47664.0</v>
      </c>
      <c r="DG66" s="39">
        <v>0.0</v>
      </c>
      <c r="DH66" s="39">
        <v>0.0</v>
      </c>
      <c r="DI66" s="35" t="s">
        <v>7045</v>
      </c>
      <c r="DJ66" s="30">
        <v>47665.0</v>
      </c>
      <c r="DK66" s="30">
        <v>47756.0</v>
      </c>
      <c r="DL66" s="39">
        <v>0.0</v>
      </c>
      <c r="DM66" s="39">
        <v>0.0</v>
      </c>
      <c r="DN66" s="35" t="s">
        <v>7045</v>
      </c>
      <c r="DO66" s="30">
        <v>47757.0</v>
      </c>
      <c r="DP66" s="30">
        <v>47848.0</v>
      </c>
      <c r="DQ66" s="39">
        <v>0.0</v>
      </c>
      <c r="DR66" s="39">
        <v>0.0</v>
      </c>
      <c r="DS66" s="35" t="s">
        <v>7045</v>
      </c>
    </row>
    <row r="67" ht="14.25" customHeight="1">
      <c r="A67" s="28" t="s">
        <v>811</v>
      </c>
      <c r="B67" s="29" t="s">
        <v>812</v>
      </c>
      <c r="C67" s="29" t="s">
        <v>7041</v>
      </c>
      <c r="D67" s="30">
        <v>45658.0</v>
      </c>
      <c r="E67" s="30">
        <v>45747.0</v>
      </c>
      <c r="F67" s="39">
        <v>70.83</v>
      </c>
      <c r="G67" s="39">
        <v>0.0</v>
      </c>
      <c r="H67" s="38" t="s">
        <v>7047</v>
      </c>
      <c r="I67" s="30">
        <v>45748.0</v>
      </c>
      <c r="J67" s="30">
        <v>45838.0</v>
      </c>
      <c r="K67" s="39">
        <v>11.5</v>
      </c>
      <c r="L67" s="39">
        <v>766.67</v>
      </c>
      <c r="M67" s="37" t="s">
        <v>7043</v>
      </c>
      <c r="N67" s="30">
        <v>45839.0</v>
      </c>
      <c r="O67" s="30">
        <v>45930.0</v>
      </c>
      <c r="P67" s="39">
        <v>87.0</v>
      </c>
      <c r="Q67" s="39">
        <v>766.67</v>
      </c>
      <c r="R67" s="38" t="s">
        <v>7047</v>
      </c>
      <c r="S67" s="30">
        <v>45931.0</v>
      </c>
      <c r="T67" s="30">
        <v>46022.0</v>
      </c>
      <c r="U67" s="39">
        <v>370.0</v>
      </c>
      <c r="V67" s="39">
        <v>766.67</v>
      </c>
      <c r="W67" s="38" t="s">
        <v>7047</v>
      </c>
      <c r="X67" s="30">
        <v>46023.0</v>
      </c>
      <c r="Y67" s="30">
        <v>46112.0</v>
      </c>
      <c r="Z67" s="39">
        <v>58.0</v>
      </c>
      <c r="AA67" s="39">
        <v>0.0</v>
      </c>
      <c r="AB67" s="38" t="s">
        <v>7047</v>
      </c>
      <c r="AC67" s="30">
        <v>46113.0</v>
      </c>
      <c r="AD67" s="30">
        <v>46203.0</v>
      </c>
      <c r="AE67" s="39">
        <v>100.0</v>
      </c>
      <c r="AF67" s="39">
        <v>0.0</v>
      </c>
      <c r="AG67" s="38" t="s">
        <v>7047</v>
      </c>
      <c r="AH67" s="30">
        <v>46204.0</v>
      </c>
      <c r="AI67" s="30">
        <v>46295.0</v>
      </c>
      <c r="AJ67" s="39">
        <v>0.0</v>
      </c>
      <c r="AK67" s="39">
        <v>0.0</v>
      </c>
      <c r="AL67" s="35" t="s">
        <v>7045</v>
      </c>
      <c r="AM67" s="30">
        <v>46296.0</v>
      </c>
      <c r="AN67" s="30">
        <v>46387.0</v>
      </c>
      <c r="AO67" s="39">
        <v>0.0</v>
      </c>
      <c r="AP67" s="39">
        <v>0.0</v>
      </c>
      <c r="AQ67" s="35" t="s">
        <v>7045</v>
      </c>
      <c r="AR67" s="30">
        <v>46388.0</v>
      </c>
      <c r="AS67" s="30">
        <v>46477.0</v>
      </c>
      <c r="AT67" s="39">
        <v>0.0</v>
      </c>
      <c r="AU67" s="39">
        <v>0.0</v>
      </c>
      <c r="AV67" s="35" t="s">
        <v>7045</v>
      </c>
      <c r="AW67" s="30">
        <v>46478.0</v>
      </c>
      <c r="AX67" s="30">
        <v>46568.0</v>
      </c>
      <c r="AY67" s="39">
        <v>0.0</v>
      </c>
      <c r="AZ67" s="39">
        <v>0.0</v>
      </c>
      <c r="BA67" s="35" t="s">
        <v>7045</v>
      </c>
      <c r="BB67" s="30">
        <v>46569.0</v>
      </c>
      <c r="BC67" s="30">
        <v>46660.0</v>
      </c>
      <c r="BD67" s="39">
        <v>0.0</v>
      </c>
      <c r="BE67" s="39">
        <v>0.0</v>
      </c>
      <c r="BF67" s="35" t="s">
        <v>7045</v>
      </c>
      <c r="BG67" s="30">
        <v>46661.0</v>
      </c>
      <c r="BH67" s="30">
        <v>46752.0</v>
      </c>
      <c r="BI67" s="39">
        <v>0.0</v>
      </c>
      <c r="BJ67" s="39">
        <v>0.0</v>
      </c>
      <c r="BK67" s="35" t="s">
        <v>7045</v>
      </c>
      <c r="BL67" s="30">
        <v>46753.0</v>
      </c>
      <c r="BM67" s="30">
        <v>46843.0</v>
      </c>
      <c r="BN67" s="39">
        <v>0.0</v>
      </c>
      <c r="BO67" s="39">
        <v>0.0</v>
      </c>
      <c r="BP67" s="35" t="s">
        <v>7045</v>
      </c>
      <c r="BQ67" s="30">
        <v>46844.0</v>
      </c>
      <c r="BR67" s="30">
        <v>46934.0</v>
      </c>
      <c r="BS67" s="39">
        <v>0.0</v>
      </c>
      <c r="BT67" s="39">
        <v>0.0</v>
      </c>
      <c r="BU67" s="35" t="s">
        <v>7045</v>
      </c>
      <c r="BV67" s="30">
        <v>46935.0</v>
      </c>
      <c r="BW67" s="30">
        <v>47026.0</v>
      </c>
      <c r="BX67" s="39">
        <v>0.0</v>
      </c>
      <c r="BY67" s="39">
        <v>0.0</v>
      </c>
      <c r="BZ67" s="35" t="s">
        <v>7045</v>
      </c>
      <c r="CA67" s="30">
        <v>47027.0</v>
      </c>
      <c r="CB67" s="30">
        <v>47118.0</v>
      </c>
      <c r="CC67" s="39">
        <v>0.0</v>
      </c>
      <c r="CD67" s="39">
        <v>0.0</v>
      </c>
      <c r="CE67" s="35" t="s">
        <v>7045</v>
      </c>
      <c r="CF67" s="30">
        <v>47119.0</v>
      </c>
      <c r="CG67" s="30">
        <v>47208.0</v>
      </c>
      <c r="CH67" s="39">
        <v>0.0</v>
      </c>
      <c r="CI67" s="39">
        <v>0.0</v>
      </c>
      <c r="CJ67" s="35" t="s">
        <v>7045</v>
      </c>
      <c r="CK67" s="30">
        <v>47209.0</v>
      </c>
      <c r="CL67" s="30">
        <v>47299.0</v>
      </c>
      <c r="CM67" s="39">
        <v>0.0</v>
      </c>
      <c r="CN67" s="39">
        <v>0.0</v>
      </c>
      <c r="CO67" s="35" t="s">
        <v>7045</v>
      </c>
      <c r="CP67" s="30">
        <v>47300.0</v>
      </c>
      <c r="CQ67" s="30">
        <v>47391.0</v>
      </c>
      <c r="CR67" s="39">
        <v>0.0</v>
      </c>
      <c r="CS67" s="39">
        <v>0.0</v>
      </c>
      <c r="CT67" s="35" t="s">
        <v>7045</v>
      </c>
      <c r="CU67" s="30">
        <v>47392.0</v>
      </c>
      <c r="CV67" s="30">
        <v>47483.0</v>
      </c>
      <c r="CW67" s="39">
        <v>0.0</v>
      </c>
      <c r="CX67" s="39">
        <v>0.0</v>
      </c>
      <c r="CY67" s="35" t="s">
        <v>7045</v>
      </c>
      <c r="CZ67" s="30">
        <v>47484.0</v>
      </c>
      <c r="DA67" s="30">
        <v>47573.0</v>
      </c>
      <c r="DB67" s="39">
        <v>0.0</v>
      </c>
      <c r="DC67" s="39">
        <v>0.0</v>
      </c>
      <c r="DD67" s="35" t="s">
        <v>7045</v>
      </c>
      <c r="DE67" s="30">
        <v>47574.0</v>
      </c>
      <c r="DF67" s="30">
        <v>47664.0</v>
      </c>
      <c r="DG67" s="39">
        <v>0.0</v>
      </c>
      <c r="DH67" s="39">
        <v>0.0</v>
      </c>
      <c r="DI67" s="35" t="s">
        <v>7045</v>
      </c>
      <c r="DJ67" s="30">
        <v>47665.0</v>
      </c>
      <c r="DK67" s="30">
        <v>47756.0</v>
      </c>
      <c r="DL67" s="39">
        <v>0.0</v>
      </c>
      <c r="DM67" s="39">
        <v>0.0</v>
      </c>
      <c r="DN67" s="35" t="s">
        <v>7045</v>
      </c>
      <c r="DO67" s="30">
        <v>47757.0</v>
      </c>
      <c r="DP67" s="30">
        <v>47848.0</v>
      </c>
      <c r="DQ67" s="39">
        <v>0.0</v>
      </c>
      <c r="DR67" s="39">
        <v>0.0</v>
      </c>
      <c r="DS67" s="35" t="s">
        <v>7045</v>
      </c>
    </row>
    <row r="68" ht="14.25" customHeight="1">
      <c r="A68" s="28" t="s">
        <v>622</v>
      </c>
      <c r="B68" s="29" t="s">
        <v>623</v>
      </c>
      <c r="C68" s="29" t="s">
        <v>7041</v>
      </c>
      <c r="D68" s="30">
        <v>45658.0</v>
      </c>
      <c r="E68" s="30">
        <v>45747.0</v>
      </c>
      <c r="F68" s="39">
        <v>3.52</v>
      </c>
      <c r="G68" s="39">
        <v>0.0</v>
      </c>
      <c r="H68" s="38" t="s">
        <v>7047</v>
      </c>
      <c r="I68" s="30">
        <v>45748.0</v>
      </c>
      <c r="J68" s="30">
        <v>45838.0</v>
      </c>
      <c r="K68" s="39">
        <v>43.0</v>
      </c>
      <c r="L68" s="39">
        <v>1108.11</v>
      </c>
      <c r="M68" s="32" t="s">
        <v>7043</v>
      </c>
      <c r="N68" s="30">
        <v>45839.0</v>
      </c>
      <c r="O68" s="30">
        <v>45930.0</v>
      </c>
      <c r="P68" s="39">
        <v>1159.81</v>
      </c>
      <c r="Q68" s="39">
        <v>1324.32</v>
      </c>
      <c r="R68" s="38" t="s">
        <v>7047</v>
      </c>
      <c r="S68" s="30">
        <v>45931.0</v>
      </c>
      <c r="T68" s="30">
        <v>46022.0</v>
      </c>
      <c r="U68" s="39">
        <v>1324.57</v>
      </c>
      <c r="V68" s="39">
        <v>1351.35</v>
      </c>
      <c r="W68" s="38" t="s">
        <v>7047</v>
      </c>
      <c r="X68" s="30">
        <v>46023.0</v>
      </c>
      <c r="Y68" s="30">
        <v>46112.0</v>
      </c>
      <c r="Z68" s="39">
        <v>630.0</v>
      </c>
      <c r="AA68" s="39">
        <v>0.0</v>
      </c>
      <c r="AB68" s="38" t="s">
        <v>7047</v>
      </c>
      <c r="AC68" s="30">
        <v>46113.0</v>
      </c>
      <c r="AD68" s="30">
        <v>46203.0</v>
      </c>
      <c r="AE68" s="39">
        <v>383.0</v>
      </c>
      <c r="AF68" s="39">
        <v>0.0</v>
      </c>
      <c r="AG68" s="38" t="s">
        <v>7047</v>
      </c>
      <c r="AH68" s="30">
        <v>46204.0</v>
      </c>
      <c r="AI68" s="30">
        <v>46295.0</v>
      </c>
      <c r="AJ68" s="39">
        <v>250.0</v>
      </c>
      <c r="AK68" s="39">
        <v>0.0</v>
      </c>
      <c r="AL68" s="38" t="s">
        <v>7047</v>
      </c>
      <c r="AM68" s="30">
        <v>46296.0</v>
      </c>
      <c r="AN68" s="30">
        <v>46387.0</v>
      </c>
      <c r="AO68" s="39">
        <v>170.0</v>
      </c>
      <c r="AP68" s="39">
        <v>0.0</v>
      </c>
      <c r="AQ68" s="38" t="s">
        <v>7047</v>
      </c>
      <c r="AR68" s="30">
        <v>46388.0</v>
      </c>
      <c r="AS68" s="30">
        <v>46477.0</v>
      </c>
      <c r="AT68" s="39">
        <v>0.0</v>
      </c>
      <c r="AU68" s="39">
        <v>0.0</v>
      </c>
      <c r="AV68" s="35" t="s">
        <v>7045</v>
      </c>
      <c r="AW68" s="30">
        <v>46478.0</v>
      </c>
      <c r="AX68" s="30">
        <v>46568.0</v>
      </c>
      <c r="AY68" s="39">
        <v>0.0</v>
      </c>
      <c r="AZ68" s="39">
        <v>0.0</v>
      </c>
      <c r="BA68" s="35" t="s">
        <v>7045</v>
      </c>
      <c r="BB68" s="30">
        <v>46569.0</v>
      </c>
      <c r="BC68" s="30">
        <v>46660.0</v>
      </c>
      <c r="BD68" s="39">
        <v>0.0</v>
      </c>
      <c r="BE68" s="39">
        <v>0.0</v>
      </c>
      <c r="BF68" s="35" t="s">
        <v>7045</v>
      </c>
      <c r="BG68" s="30">
        <v>46661.0</v>
      </c>
      <c r="BH68" s="30">
        <v>46752.0</v>
      </c>
      <c r="BI68" s="39">
        <v>0.0</v>
      </c>
      <c r="BJ68" s="39">
        <v>0.0</v>
      </c>
      <c r="BK68" s="35" t="s">
        <v>7045</v>
      </c>
      <c r="BL68" s="30">
        <v>46753.0</v>
      </c>
      <c r="BM68" s="30">
        <v>46843.0</v>
      </c>
      <c r="BN68" s="39">
        <v>0.0</v>
      </c>
      <c r="BO68" s="39">
        <v>0.0</v>
      </c>
      <c r="BP68" s="35" t="s">
        <v>7045</v>
      </c>
      <c r="BQ68" s="30">
        <v>46844.0</v>
      </c>
      <c r="BR68" s="30">
        <v>46934.0</v>
      </c>
      <c r="BS68" s="39">
        <v>0.0</v>
      </c>
      <c r="BT68" s="39">
        <v>0.0</v>
      </c>
      <c r="BU68" s="35" t="s">
        <v>7045</v>
      </c>
      <c r="BV68" s="30">
        <v>46935.0</v>
      </c>
      <c r="BW68" s="30">
        <v>47026.0</v>
      </c>
      <c r="BX68" s="39">
        <v>0.0</v>
      </c>
      <c r="BY68" s="39">
        <v>0.0</v>
      </c>
      <c r="BZ68" s="35" t="s">
        <v>7045</v>
      </c>
      <c r="CA68" s="30">
        <v>47027.0</v>
      </c>
      <c r="CB68" s="30">
        <v>47118.0</v>
      </c>
      <c r="CC68" s="39">
        <v>0.0</v>
      </c>
      <c r="CD68" s="39">
        <v>0.0</v>
      </c>
      <c r="CE68" s="35" t="s">
        <v>7045</v>
      </c>
      <c r="CF68" s="30">
        <v>47119.0</v>
      </c>
      <c r="CG68" s="30">
        <v>47208.0</v>
      </c>
      <c r="CH68" s="39">
        <v>0.0</v>
      </c>
      <c r="CI68" s="39">
        <v>0.0</v>
      </c>
      <c r="CJ68" s="35" t="s">
        <v>7045</v>
      </c>
      <c r="CK68" s="30">
        <v>47209.0</v>
      </c>
      <c r="CL68" s="30">
        <v>47299.0</v>
      </c>
      <c r="CM68" s="39">
        <v>0.0</v>
      </c>
      <c r="CN68" s="39">
        <v>0.0</v>
      </c>
      <c r="CO68" s="35" t="s">
        <v>7045</v>
      </c>
      <c r="CP68" s="30">
        <v>47300.0</v>
      </c>
      <c r="CQ68" s="30">
        <v>47391.0</v>
      </c>
      <c r="CR68" s="39">
        <v>0.0</v>
      </c>
      <c r="CS68" s="39">
        <v>0.0</v>
      </c>
      <c r="CT68" s="35" t="s">
        <v>7045</v>
      </c>
      <c r="CU68" s="30">
        <v>47392.0</v>
      </c>
      <c r="CV68" s="30">
        <v>47483.0</v>
      </c>
      <c r="CW68" s="39">
        <v>0.0</v>
      </c>
      <c r="CX68" s="39">
        <v>0.0</v>
      </c>
      <c r="CY68" s="35" t="s">
        <v>7045</v>
      </c>
      <c r="CZ68" s="30">
        <v>47484.0</v>
      </c>
      <c r="DA68" s="30">
        <v>47573.0</v>
      </c>
      <c r="DB68" s="39">
        <v>0.0</v>
      </c>
      <c r="DC68" s="39">
        <v>0.0</v>
      </c>
      <c r="DD68" s="35" t="s">
        <v>7045</v>
      </c>
      <c r="DE68" s="30">
        <v>47574.0</v>
      </c>
      <c r="DF68" s="30">
        <v>47664.0</v>
      </c>
      <c r="DG68" s="39">
        <v>0.0</v>
      </c>
      <c r="DH68" s="39">
        <v>0.0</v>
      </c>
      <c r="DI68" s="35" t="s">
        <v>7045</v>
      </c>
      <c r="DJ68" s="30">
        <v>47665.0</v>
      </c>
      <c r="DK68" s="30">
        <v>47756.0</v>
      </c>
      <c r="DL68" s="39">
        <v>0.0</v>
      </c>
      <c r="DM68" s="39">
        <v>0.0</v>
      </c>
      <c r="DN68" s="35" t="s">
        <v>7045</v>
      </c>
      <c r="DO68" s="30">
        <v>47757.0</v>
      </c>
      <c r="DP68" s="30">
        <v>47848.0</v>
      </c>
      <c r="DQ68" s="39">
        <v>0.0</v>
      </c>
      <c r="DR68" s="39">
        <v>0.0</v>
      </c>
      <c r="DS68" s="35" t="s">
        <v>7045</v>
      </c>
    </row>
    <row r="69" ht="14.25" customHeight="1">
      <c r="A69" s="28" t="s">
        <v>1146</v>
      </c>
      <c r="B69" s="29" t="s">
        <v>1147</v>
      </c>
      <c r="C69" s="29" t="s">
        <v>7041</v>
      </c>
      <c r="D69" s="30">
        <v>45658.0</v>
      </c>
      <c r="E69" s="30">
        <v>45747.0</v>
      </c>
      <c r="F69" s="39">
        <v>29.54</v>
      </c>
      <c r="G69" s="39">
        <v>0.0</v>
      </c>
      <c r="H69" s="38" t="s">
        <v>7047</v>
      </c>
      <c r="I69" s="30">
        <v>45748.0</v>
      </c>
      <c r="J69" s="30">
        <v>45838.0</v>
      </c>
      <c r="K69" s="39">
        <v>43.92</v>
      </c>
      <c r="L69" s="39">
        <v>0.0</v>
      </c>
      <c r="M69" s="38" t="s">
        <v>7047</v>
      </c>
      <c r="N69" s="30">
        <v>45839.0</v>
      </c>
      <c r="O69" s="30">
        <v>45930.0</v>
      </c>
      <c r="P69" s="39">
        <v>1142.88</v>
      </c>
      <c r="Q69" s="39">
        <v>1266.13</v>
      </c>
      <c r="R69" s="38" t="s">
        <v>7047</v>
      </c>
      <c r="S69" s="30">
        <v>45931.0</v>
      </c>
      <c r="T69" s="30">
        <v>46022.0</v>
      </c>
      <c r="U69" s="39">
        <v>2072.39</v>
      </c>
      <c r="V69" s="39">
        <v>1266.13</v>
      </c>
      <c r="W69" s="38" t="s">
        <v>7047</v>
      </c>
      <c r="X69" s="30">
        <v>46023.0</v>
      </c>
      <c r="Y69" s="30">
        <v>46112.0</v>
      </c>
      <c r="Z69" s="39">
        <v>196.95</v>
      </c>
      <c r="AA69" s="39">
        <v>0.0</v>
      </c>
      <c r="AB69" s="38" t="s">
        <v>7047</v>
      </c>
      <c r="AC69" s="30">
        <v>46113.0</v>
      </c>
      <c r="AD69" s="30">
        <v>46203.0</v>
      </c>
      <c r="AE69" s="39">
        <v>286.72</v>
      </c>
      <c r="AF69" s="39">
        <v>0.0</v>
      </c>
      <c r="AG69" s="38" t="s">
        <v>7047</v>
      </c>
      <c r="AH69" s="30">
        <v>46204.0</v>
      </c>
      <c r="AI69" s="30">
        <v>46295.0</v>
      </c>
      <c r="AJ69" s="39">
        <v>3101.44</v>
      </c>
      <c r="AK69" s="39">
        <v>0.0</v>
      </c>
      <c r="AL69" s="38" t="s">
        <v>7047</v>
      </c>
      <c r="AM69" s="30">
        <v>46296.0</v>
      </c>
      <c r="AN69" s="30">
        <v>46387.0</v>
      </c>
      <c r="AO69" s="39">
        <v>260.0</v>
      </c>
      <c r="AP69" s="39">
        <v>0.0</v>
      </c>
      <c r="AQ69" s="38" t="s">
        <v>7047</v>
      </c>
      <c r="AR69" s="30">
        <v>46388.0</v>
      </c>
      <c r="AS69" s="30">
        <v>46477.0</v>
      </c>
      <c r="AT69" s="39">
        <v>0.0</v>
      </c>
      <c r="AU69" s="39">
        <v>0.0</v>
      </c>
      <c r="AV69" s="35" t="s">
        <v>7045</v>
      </c>
      <c r="AW69" s="30">
        <v>46478.0</v>
      </c>
      <c r="AX69" s="30">
        <v>46568.0</v>
      </c>
      <c r="AY69" s="39">
        <v>0.0</v>
      </c>
      <c r="AZ69" s="39">
        <v>0.0</v>
      </c>
      <c r="BA69" s="35" t="s">
        <v>7045</v>
      </c>
      <c r="BB69" s="30">
        <v>46569.0</v>
      </c>
      <c r="BC69" s="30">
        <v>46660.0</v>
      </c>
      <c r="BD69" s="39">
        <v>0.0</v>
      </c>
      <c r="BE69" s="39">
        <v>0.0</v>
      </c>
      <c r="BF69" s="35" t="s">
        <v>7045</v>
      </c>
      <c r="BG69" s="30">
        <v>46661.0</v>
      </c>
      <c r="BH69" s="30">
        <v>46752.0</v>
      </c>
      <c r="BI69" s="39">
        <v>0.0</v>
      </c>
      <c r="BJ69" s="39">
        <v>0.0</v>
      </c>
      <c r="BK69" s="35" t="s">
        <v>7045</v>
      </c>
      <c r="BL69" s="30">
        <v>46753.0</v>
      </c>
      <c r="BM69" s="30">
        <v>46843.0</v>
      </c>
      <c r="BN69" s="39">
        <v>0.0</v>
      </c>
      <c r="BO69" s="39">
        <v>0.0</v>
      </c>
      <c r="BP69" s="35" t="s">
        <v>7045</v>
      </c>
      <c r="BQ69" s="30">
        <v>46844.0</v>
      </c>
      <c r="BR69" s="30">
        <v>46934.0</v>
      </c>
      <c r="BS69" s="39">
        <v>0.0</v>
      </c>
      <c r="BT69" s="39">
        <v>0.0</v>
      </c>
      <c r="BU69" s="35" t="s">
        <v>7045</v>
      </c>
      <c r="BV69" s="30">
        <v>46935.0</v>
      </c>
      <c r="BW69" s="30">
        <v>47026.0</v>
      </c>
      <c r="BX69" s="39">
        <v>0.0</v>
      </c>
      <c r="BY69" s="39">
        <v>0.0</v>
      </c>
      <c r="BZ69" s="35" t="s">
        <v>7045</v>
      </c>
      <c r="CA69" s="30">
        <v>47027.0</v>
      </c>
      <c r="CB69" s="30">
        <v>47118.0</v>
      </c>
      <c r="CC69" s="39">
        <v>0.0</v>
      </c>
      <c r="CD69" s="39">
        <v>0.0</v>
      </c>
      <c r="CE69" s="35" t="s">
        <v>7045</v>
      </c>
      <c r="CF69" s="30">
        <v>47119.0</v>
      </c>
      <c r="CG69" s="30">
        <v>47208.0</v>
      </c>
      <c r="CH69" s="39">
        <v>0.0</v>
      </c>
      <c r="CI69" s="39">
        <v>0.0</v>
      </c>
      <c r="CJ69" s="35" t="s">
        <v>7045</v>
      </c>
      <c r="CK69" s="30">
        <v>47209.0</v>
      </c>
      <c r="CL69" s="30">
        <v>47299.0</v>
      </c>
      <c r="CM69" s="39">
        <v>0.0</v>
      </c>
      <c r="CN69" s="39">
        <v>0.0</v>
      </c>
      <c r="CO69" s="35" t="s">
        <v>7045</v>
      </c>
      <c r="CP69" s="30">
        <v>47300.0</v>
      </c>
      <c r="CQ69" s="30">
        <v>47391.0</v>
      </c>
      <c r="CR69" s="39">
        <v>0.0</v>
      </c>
      <c r="CS69" s="39">
        <v>0.0</v>
      </c>
      <c r="CT69" s="35" t="s">
        <v>7045</v>
      </c>
      <c r="CU69" s="30">
        <v>47392.0</v>
      </c>
      <c r="CV69" s="30">
        <v>47483.0</v>
      </c>
      <c r="CW69" s="39">
        <v>0.0</v>
      </c>
      <c r="CX69" s="39">
        <v>0.0</v>
      </c>
      <c r="CY69" s="35" t="s">
        <v>7045</v>
      </c>
      <c r="CZ69" s="30">
        <v>47484.0</v>
      </c>
      <c r="DA69" s="30">
        <v>47573.0</v>
      </c>
      <c r="DB69" s="39">
        <v>0.0</v>
      </c>
      <c r="DC69" s="39">
        <v>0.0</v>
      </c>
      <c r="DD69" s="35" t="s">
        <v>7045</v>
      </c>
      <c r="DE69" s="30">
        <v>47574.0</v>
      </c>
      <c r="DF69" s="30">
        <v>47664.0</v>
      </c>
      <c r="DG69" s="39">
        <v>0.0</v>
      </c>
      <c r="DH69" s="39">
        <v>0.0</v>
      </c>
      <c r="DI69" s="35" t="s">
        <v>7045</v>
      </c>
      <c r="DJ69" s="30">
        <v>47665.0</v>
      </c>
      <c r="DK69" s="30">
        <v>47756.0</v>
      </c>
      <c r="DL69" s="39">
        <v>0.0</v>
      </c>
      <c r="DM69" s="39">
        <v>0.0</v>
      </c>
      <c r="DN69" s="35" t="s">
        <v>7045</v>
      </c>
      <c r="DO69" s="30">
        <v>47757.0</v>
      </c>
      <c r="DP69" s="30">
        <v>47848.0</v>
      </c>
      <c r="DQ69" s="39">
        <v>0.0</v>
      </c>
      <c r="DR69" s="39">
        <v>0.0</v>
      </c>
      <c r="DS69" s="35" t="s">
        <v>7045</v>
      </c>
    </row>
    <row r="70" ht="14.25" customHeight="1">
      <c r="A70" s="28" t="s">
        <v>6303</v>
      </c>
      <c r="B70" s="29" t="s">
        <v>6304</v>
      </c>
      <c r="C70" s="29" t="s">
        <v>7041</v>
      </c>
      <c r="D70" s="30">
        <v>45658.0</v>
      </c>
      <c r="E70" s="30">
        <v>45747.0</v>
      </c>
      <c r="F70" s="39">
        <v>2.75</v>
      </c>
      <c r="G70" s="39">
        <v>0.0</v>
      </c>
      <c r="H70" s="38" t="s">
        <v>7047</v>
      </c>
      <c r="I70" s="30">
        <v>45748.0</v>
      </c>
      <c r="J70" s="30">
        <v>45838.0</v>
      </c>
      <c r="K70" s="39">
        <v>0.52</v>
      </c>
      <c r="L70" s="39">
        <v>471.7</v>
      </c>
      <c r="M70" s="38" t="s">
        <v>7043</v>
      </c>
      <c r="N70" s="30">
        <v>45839.0</v>
      </c>
      <c r="O70" s="30">
        <v>45930.0</v>
      </c>
      <c r="P70" s="39">
        <v>98.48</v>
      </c>
      <c r="Q70" s="39">
        <v>471.7</v>
      </c>
      <c r="R70" s="38" t="s">
        <v>7047</v>
      </c>
      <c r="S70" s="30">
        <v>45931.0</v>
      </c>
      <c r="T70" s="30">
        <v>46022.0</v>
      </c>
      <c r="U70" s="39">
        <v>1109.98</v>
      </c>
      <c r="V70" s="39">
        <v>471.7</v>
      </c>
      <c r="W70" s="38" t="s">
        <v>7047</v>
      </c>
      <c r="X70" s="30">
        <v>46023.0</v>
      </c>
      <c r="Y70" s="30">
        <v>46112.0</v>
      </c>
      <c r="Z70" s="39">
        <v>22.53</v>
      </c>
      <c r="AA70" s="39">
        <v>0.0</v>
      </c>
      <c r="AB70" s="38" t="s">
        <v>7047</v>
      </c>
      <c r="AC70" s="30">
        <v>46113.0</v>
      </c>
      <c r="AD70" s="30">
        <v>46203.0</v>
      </c>
      <c r="AE70" s="39">
        <v>87.24</v>
      </c>
      <c r="AF70" s="39">
        <v>0.0</v>
      </c>
      <c r="AG70" s="38" t="s">
        <v>7047</v>
      </c>
      <c r="AH70" s="30">
        <v>46204.0</v>
      </c>
      <c r="AI70" s="30">
        <v>46295.0</v>
      </c>
      <c r="AJ70" s="39">
        <v>5114.5</v>
      </c>
      <c r="AK70" s="39">
        <v>0.0</v>
      </c>
      <c r="AL70" s="38" t="s">
        <v>7047</v>
      </c>
      <c r="AM70" s="30">
        <v>46296.0</v>
      </c>
      <c r="AN70" s="30">
        <v>46387.0</v>
      </c>
      <c r="AO70" s="39">
        <v>1.39</v>
      </c>
      <c r="AP70" s="39">
        <v>0.0</v>
      </c>
      <c r="AQ70" s="38" t="s">
        <v>7047</v>
      </c>
      <c r="AR70" s="30">
        <v>46388.0</v>
      </c>
      <c r="AS70" s="30">
        <v>46477.0</v>
      </c>
      <c r="AT70" s="39">
        <v>0.0</v>
      </c>
      <c r="AU70" s="39">
        <v>0.0</v>
      </c>
      <c r="AV70" s="35" t="s">
        <v>7045</v>
      </c>
      <c r="AW70" s="30">
        <v>46478.0</v>
      </c>
      <c r="AX70" s="30">
        <v>46568.0</v>
      </c>
      <c r="AY70" s="39">
        <v>0.0</v>
      </c>
      <c r="AZ70" s="39">
        <v>0.0</v>
      </c>
      <c r="BA70" s="35" t="s">
        <v>7045</v>
      </c>
      <c r="BB70" s="30">
        <v>46569.0</v>
      </c>
      <c r="BC70" s="30">
        <v>46660.0</v>
      </c>
      <c r="BD70" s="39">
        <v>0.0</v>
      </c>
      <c r="BE70" s="39">
        <v>0.0</v>
      </c>
      <c r="BF70" s="35" t="s">
        <v>7045</v>
      </c>
      <c r="BG70" s="30">
        <v>46661.0</v>
      </c>
      <c r="BH70" s="30">
        <v>46752.0</v>
      </c>
      <c r="BI70" s="39">
        <v>0.0</v>
      </c>
      <c r="BJ70" s="39">
        <v>0.0</v>
      </c>
      <c r="BK70" s="35" t="s">
        <v>7045</v>
      </c>
      <c r="BL70" s="30">
        <v>46753.0</v>
      </c>
      <c r="BM70" s="30">
        <v>46843.0</v>
      </c>
      <c r="BN70" s="39">
        <v>0.0</v>
      </c>
      <c r="BO70" s="39">
        <v>0.0</v>
      </c>
      <c r="BP70" s="35" t="s">
        <v>7045</v>
      </c>
      <c r="BQ70" s="30">
        <v>46844.0</v>
      </c>
      <c r="BR70" s="30">
        <v>46934.0</v>
      </c>
      <c r="BS70" s="39">
        <v>0.0</v>
      </c>
      <c r="BT70" s="39">
        <v>0.0</v>
      </c>
      <c r="BU70" s="35" t="s">
        <v>7045</v>
      </c>
      <c r="BV70" s="30">
        <v>46935.0</v>
      </c>
      <c r="BW70" s="30">
        <v>47026.0</v>
      </c>
      <c r="BX70" s="39">
        <v>0.0</v>
      </c>
      <c r="BY70" s="39">
        <v>0.0</v>
      </c>
      <c r="BZ70" s="35" t="s">
        <v>7045</v>
      </c>
      <c r="CA70" s="30">
        <v>47027.0</v>
      </c>
      <c r="CB70" s="30">
        <v>47118.0</v>
      </c>
      <c r="CC70" s="39">
        <v>0.0</v>
      </c>
      <c r="CD70" s="39">
        <v>0.0</v>
      </c>
      <c r="CE70" s="35" t="s">
        <v>7045</v>
      </c>
      <c r="CF70" s="30">
        <v>47119.0</v>
      </c>
      <c r="CG70" s="30">
        <v>47208.0</v>
      </c>
      <c r="CH70" s="39">
        <v>0.0</v>
      </c>
      <c r="CI70" s="39">
        <v>0.0</v>
      </c>
      <c r="CJ70" s="35" t="s">
        <v>7045</v>
      </c>
      <c r="CK70" s="30">
        <v>47209.0</v>
      </c>
      <c r="CL70" s="30">
        <v>47299.0</v>
      </c>
      <c r="CM70" s="39">
        <v>0.0</v>
      </c>
      <c r="CN70" s="39">
        <v>0.0</v>
      </c>
      <c r="CO70" s="35" t="s">
        <v>7045</v>
      </c>
      <c r="CP70" s="30">
        <v>47300.0</v>
      </c>
      <c r="CQ70" s="30">
        <v>47391.0</v>
      </c>
      <c r="CR70" s="39">
        <v>0.0</v>
      </c>
      <c r="CS70" s="39">
        <v>0.0</v>
      </c>
      <c r="CT70" s="35" t="s">
        <v>7045</v>
      </c>
      <c r="CU70" s="30">
        <v>47392.0</v>
      </c>
      <c r="CV70" s="30">
        <v>47483.0</v>
      </c>
      <c r="CW70" s="39">
        <v>0.0</v>
      </c>
      <c r="CX70" s="39">
        <v>0.0</v>
      </c>
      <c r="CY70" s="35" t="s">
        <v>7045</v>
      </c>
      <c r="CZ70" s="30">
        <v>47484.0</v>
      </c>
      <c r="DA70" s="30">
        <v>47573.0</v>
      </c>
      <c r="DB70" s="39">
        <v>0.0</v>
      </c>
      <c r="DC70" s="39">
        <v>0.0</v>
      </c>
      <c r="DD70" s="35" t="s">
        <v>7045</v>
      </c>
      <c r="DE70" s="30">
        <v>47574.0</v>
      </c>
      <c r="DF70" s="30">
        <v>47664.0</v>
      </c>
      <c r="DG70" s="39">
        <v>0.0</v>
      </c>
      <c r="DH70" s="39">
        <v>0.0</v>
      </c>
      <c r="DI70" s="35" t="s">
        <v>7045</v>
      </c>
      <c r="DJ70" s="30">
        <v>47665.0</v>
      </c>
      <c r="DK70" s="30">
        <v>47756.0</v>
      </c>
      <c r="DL70" s="39">
        <v>0.0</v>
      </c>
      <c r="DM70" s="39">
        <v>0.0</v>
      </c>
      <c r="DN70" s="35" t="s">
        <v>7045</v>
      </c>
      <c r="DO70" s="30">
        <v>47757.0</v>
      </c>
      <c r="DP70" s="30">
        <v>47848.0</v>
      </c>
      <c r="DQ70" s="39">
        <v>0.0</v>
      </c>
      <c r="DR70" s="39">
        <v>0.0</v>
      </c>
      <c r="DS70" s="35" t="s">
        <v>7045</v>
      </c>
    </row>
    <row r="71" ht="14.25" customHeight="1">
      <c r="A71" s="28" t="s">
        <v>1674</v>
      </c>
      <c r="B71" s="29" t="s">
        <v>1675</v>
      </c>
      <c r="C71" s="29" t="s">
        <v>7041</v>
      </c>
      <c r="D71" s="30">
        <v>45658.0</v>
      </c>
      <c r="E71" s="30">
        <v>45747.0</v>
      </c>
      <c r="F71" s="39">
        <v>36.92</v>
      </c>
      <c r="G71" s="39">
        <v>0.0</v>
      </c>
      <c r="H71" s="38" t="s">
        <v>7047</v>
      </c>
      <c r="I71" s="30">
        <v>45748.0</v>
      </c>
      <c r="J71" s="30">
        <v>45838.0</v>
      </c>
      <c r="K71" s="39">
        <v>2.86</v>
      </c>
      <c r="L71" s="39">
        <v>1373.33</v>
      </c>
      <c r="M71" s="38" t="s">
        <v>7043</v>
      </c>
      <c r="N71" s="30">
        <v>45839.0</v>
      </c>
      <c r="O71" s="30">
        <v>45930.0</v>
      </c>
      <c r="P71" s="39">
        <v>1163.74</v>
      </c>
      <c r="Q71" s="39">
        <v>2137.78</v>
      </c>
      <c r="R71" s="38" t="s">
        <v>7047</v>
      </c>
      <c r="S71" s="30">
        <v>45931.0</v>
      </c>
      <c r="T71" s="30">
        <v>46022.0</v>
      </c>
      <c r="U71" s="39">
        <v>2548.02</v>
      </c>
      <c r="V71" s="39">
        <v>2202.22</v>
      </c>
      <c r="W71" s="38" t="s">
        <v>7047</v>
      </c>
      <c r="X71" s="30">
        <v>46023.0</v>
      </c>
      <c r="Y71" s="30">
        <v>46112.0</v>
      </c>
      <c r="Z71" s="39">
        <v>1264.63</v>
      </c>
      <c r="AA71" s="39">
        <v>0.0</v>
      </c>
      <c r="AB71" s="38" t="s">
        <v>7047</v>
      </c>
      <c r="AC71" s="30">
        <v>46113.0</v>
      </c>
      <c r="AD71" s="30">
        <v>46203.0</v>
      </c>
      <c r="AE71" s="39">
        <v>399.29</v>
      </c>
      <c r="AF71" s="39">
        <v>0.0</v>
      </c>
      <c r="AG71" s="38" t="s">
        <v>7047</v>
      </c>
      <c r="AH71" s="30">
        <v>46204.0</v>
      </c>
      <c r="AI71" s="30">
        <v>46295.0</v>
      </c>
      <c r="AJ71" s="39">
        <v>49.49</v>
      </c>
      <c r="AK71" s="39">
        <v>0.0</v>
      </c>
      <c r="AL71" s="38" t="s">
        <v>7047</v>
      </c>
      <c r="AM71" s="30">
        <v>46296.0</v>
      </c>
      <c r="AN71" s="30">
        <v>46387.0</v>
      </c>
      <c r="AO71" s="39">
        <v>826.33</v>
      </c>
      <c r="AP71" s="39">
        <v>0.0</v>
      </c>
      <c r="AQ71" s="38" t="s">
        <v>7047</v>
      </c>
      <c r="AR71" s="30">
        <v>46388.0</v>
      </c>
      <c r="AS71" s="30">
        <v>46477.0</v>
      </c>
      <c r="AT71" s="39">
        <v>0.0</v>
      </c>
      <c r="AU71" s="39">
        <v>0.0</v>
      </c>
      <c r="AV71" s="35" t="s">
        <v>7045</v>
      </c>
      <c r="AW71" s="30">
        <v>46478.0</v>
      </c>
      <c r="AX71" s="30">
        <v>46568.0</v>
      </c>
      <c r="AY71" s="39">
        <v>0.0</v>
      </c>
      <c r="AZ71" s="39">
        <v>0.0</v>
      </c>
      <c r="BA71" s="35" t="s">
        <v>7045</v>
      </c>
      <c r="BB71" s="30">
        <v>46569.0</v>
      </c>
      <c r="BC71" s="30">
        <v>46660.0</v>
      </c>
      <c r="BD71" s="39">
        <v>0.0</v>
      </c>
      <c r="BE71" s="39">
        <v>0.0</v>
      </c>
      <c r="BF71" s="35" t="s">
        <v>7045</v>
      </c>
      <c r="BG71" s="30">
        <v>46661.0</v>
      </c>
      <c r="BH71" s="30">
        <v>46752.0</v>
      </c>
      <c r="BI71" s="39">
        <v>0.0</v>
      </c>
      <c r="BJ71" s="39">
        <v>0.0</v>
      </c>
      <c r="BK71" s="35" t="s">
        <v>7045</v>
      </c>
      <c r="BL71" s="30">
        <v>46753.0</v>
      </c>
      <c r="BM71" s="30">
        <v>46843.0</v>
      </c>
      <c r="BN71" s="39">
        <v>0.0</v>
      </c>
      <c r="BO71" s="39">
        <v>0.0</v>
      </c>
      <c r="BP71" s="35" t="s">
        <v>7045</v>
      </c>
      <c r="BQ71" s="30">
        <v>46844.0</v>
      </c>
      <c r="BR71" s="30">
        <v>46934.0</v>
      </c>
      <c r="BS71" s="39">
        <v>0.0</v>
      </c>
      <c r="BT71" s="39">
        <v>0.0</v>
      </c>
      <c r="BU71" s="35" t="s">
        <v>7045</v>
      </c>
      <c r="BV71" s="30">
        <v>46935.0</v>
      </c>
      <c r="BW71" s="30">
        <v>47026.0</v>
      </c>
      <c r="BX71" s="39">
        <v>0.0</v>
      </c>
      <c r="BY71" s="39">
        <v>0.0</v>
      </c>
      <c r="BZ71" s="35" t="s">
        <v>7045</v>
      </c>
      <c r="CA71" s="30">
        <v>47027.0</v>
      </c>
      <c r="CB71" s="30">
        <v>47118.0</v>
      </c>
      <c r="CC71" s="39">
        <v>0.0</v>
      </c>
      <c r="CD71" s="39">
        <v>0.0</v>
      </c>
      <c r="CE71" s="35" t="s">
        <v>7045</v>
      </c>
      <c r="CF71" s="30">
        <v>47119.0</v>
      </c>
      <c r="CG71" s="30">
        <v>47208.0</v>
      </c>
      <c r="CH71" s="39">
        <v>0.0</v>
      </c>
      <c r="CI71" s="39">
        <v>0.0</v>
      </c>
      <c r="CJ71" s="35" t="s">
        <v>7045</v>
      </c>
      <c r="CK71" s="30">
        <v>47209.0</v>
      </c>
      <c r="CL71" s="30">
        <v>47299.0</v>
      </c>
      <c r="CM71" s="39">
        <v>0.0</v>
      </c>
      <c r="CN71" s="39">
        <v>0.0</v>
      </c>
      <c r="CO71" s="35" t="s">
        <v>7045</v>
      </c>
      <c r="CP71" s="30">
        <v>47300.0</v>
      </c>
      <c r="CQ71" s="30">
        <v>47391.0</v>
      </c>
      <c r="CR71" s="39">
        <v>0.0</v>
      </c>
      <c r="CS71" s="39">
        <v>0.0</v>
      </c>
      <c r="CT71" s="35" t="s">
        <v>7045</v>
      </c>
      <c r="CU71" s="30">
        <v>47392.0</v>
      </c>
      <c r="CV71" s="30">
        <v>47483.0</v>
      </c>
      <c r="CW71" s="39">
        <v>0.0</v>
      </c>
      <c r="CX71" s="39">
        <v>0.0</v>
      </c>
      <c r="CY71" s="35" t="s">
        <v>7045</v>
      </c>
      <c r="CZ71" s="30">
        <v>47484.0</v>
      </c>
      <c r="DA71" s="30">
        <v>47573.0</v>
      </c>
      <c r="DB71" s="39">
        <v>0.0</v>
      </c>
      <c r="DC71" s="39">
        <v>0.0</v>
      </c>
      <c r="DD71" s="35" t="s">
        <v>7045</v>
      </c>
      <c r="DE71" s="30">
        <v>47574.0</v>
      </c>
      <c r="DF71" s="30">
        <v>47664.0</v>
      </c>
      <c r="DG71" s="39">
        <v>0.0</v>
      </c>
      <c r="DH71" s="39">
        <v>0.0</v>
      </c>
      <c r="DI71" s="35" t="s">
        <v>7045</v>
      </c>
      <c r="DJ71" s="30">
        <v>47665.0</v>
      </c>
      <c r="DK71" s="30">
        <v>47756.0</v>
      </c>
      <c r="DL71" s="39">
        <v>0.0</v>
      </c>
      <c r="DM71" s="39">
        <v>0.0</v>
      </c>
      <c r="DN71" s="35" t="s">
        <v>7045</v>
      </c>
      <c r="DO71" s="30">
        <v>47757.0</v>
      </c>
      <c r="DP71" s="30">
        <v>47848.0</v>
      </c>
      <c r="DQ71" s="39">
        <v>0.0</v>
      </c>
      <c r="DR71" s="39">
        <v>0.0</v>
      </c>
      <c r="DS71" s="35" t="s">
        <v>7045</v>
      </c>
    </row>
    <row r="72" ht="14.25" customHeight="1">
      <c r="A72" s="28" t="s">
        <v>6482</v>
      </c>
      <c r="B72" s="29" t="s">
        <v>6483</v>
      </c>
      <c r="C72" s="29" t="s">
        <v>7041</v>
      </c>
      <c r="D72" s="30">
        <v>45658.0</v>
      </c>
      <c r="E72" s="30">
        <v>45747.0</v>
      </c>
      <c r="F72" s="39">
        <v>15.0</v>
      </c>
      <c r="G72" s="39">
        <v>0.0</v>
      </c>
      <c r="H72" s="38" t="s">
        <v>7047</v>
      </c>
      <c r="I72" s="30">
        <v>45748.0</v>
      </c>
      <c r="J72" s="30">
        <v>45838.0</v>
      </c>
      <c r="K72" s="39">
        <v>0.18</v>
      </c>
      <c r="L72" s="39">
        <v>0.0</v>
      </c>
      <c r="M72" s="38" t="s">
        <v>7047</v>
      </c>
      <c r="N72" s="30">
        <v>45839.0</v>
      </c>
      <c r="O72" s="30">
        <v>45930.0</v>
      </c>
      <c r="P72" s="39">
        <v>521.4</v>
      </c>
      <c r="Q72" s="39">
        <v>844.59</v>
      </c>
      <c r="R72" s="38" t="s">
        <v>7047</v>
      </c>
      <c r="S72" s="30">
        <v>45931.0</v>
      </c>
      <c r="T72" s="30">
        <v>46022.0</v>
      </c>
      <c r="U72" s="39">
        <v>448.67</v>
      </c>
      <c r="V72" s="39">
        <v>1074.32</v>
      </c>
      <c r="W72" s="38" t="s">
        <v>7047</v>
      </c>
      <c r="X72" s="30">
        <v>46023.0</v>
      </c>
      <c r="Y72" s="30">
        <v>46112.0</v>
      </c>
      <c r="Z72" s="39">
        <v>183.39</v>
      </c>
      <c r="AA72" s="39">
        <v>0.0</v>
      </c>
      <c r="AB72" s="38" t="s">
        <v>7047</v>
      </c>
      <c r="AC72" s="30">
        <v>46113.0</v>
      </c>
      <c r="AD72" s="30">
        <v>46203.0</v>
      </c>
      <c r="AE72" s="39">
        <v>70.97</v>
      </c>
      <c r="AF72" s="39">
        <v>0.0</v>
      </c>
      <c r="AG72" s="38" t="s">
        <v>7047</v>
      </c>
      <c r="AH72" s="30">
        <v>46204.0</v>
      </c>
      <c r="AI72" s="30">
        <v>46295.0</v>
      </c>
      <c r="AJ72" s="39">
        <v>5.35</v>
      </c>
      <c r="AK72" s="39">
        <v>0.0</v>
      </c>
      <c r="AL72" s="38" t="s">
        <v>7047</v>
      </c>
      <c r="AM72" s="30">
        <v>46296.0</v>
      </c>
      <c r="AN72" s="30">
        <v>46387.0</v>
      </c>
      <c r="AO72" s="39">
        <v>37.0</v>
      </c>
      <c r="AP72" s="39">
        <v>0.0</v>
      </c>
      <c r="AQ72" s="38" t="s">
        <v>7047</v>
      </c>
      <c r="AR72" s="30">
        <v>46388.0</v>
      </c>
      <c r="AS72" s="30">
        <v>46477.0</v>
      </c>
      <c r="AT72" s="39">
        <v>0.0</v>
      </c>
      <c r="AU72" s="39">
        <v>0.0</v>
      </c>
      <c r="AV72" s="35" t="s">
        <v>7045</v>
      </c>
      <c r="AW72" s="30">
        <v>46478.0</v>
      </c>
      <c r="AX72" s="30">
        <v>46568.0</v>
      </c>
      <c r="AY72" s="39">
        <v>0.0</v>
      </c>
      <c r="AZ72" s="39">
        <v>0.0</v>
      </c>
      <c r="BA72" s="35" t="s">
        <v>7045</v>
      </c>
      <c r="BB72" s="30">
        <v>46569.0</v>
      </c>
      <c r="BC72" s="30">
        <v>46660.0</v>
      </c>
      <c r="BD72" s="39">
        <v>0.0</v>
      </c>
      <c r="BE72" s="39">
        <v>0.0</v>
      </c>
      <c r="BF72" s="35" t="s">
        <v>7045</v>
      </c>
      <c r="BG72" s="30">
        <v>46661.0</v>
      </c>
      <c r="BH72" s="30">
        <v>46752.0</v>
      </c>
      <c r="BI72" s="39">
        <v>0.0</v>
      </c>
      <c r="BJ72" s="39">
        <v>0.0</v>
      </c>
      <c r="BK72" s="35" t="s">
        <v>7045</v>
      </c>
      <c r="BL72" s="30">
        <v>46753.0</v>
      </c>
      <c r="BM72" s="30">
        <v>46843.0</v>
      </c>
      <c r="BN72" s="39">
        <v>0.0</v>
      </c>
      <c r="BO72" s="39">
        <v>0.0</v>
      </c>
      <c r="BP72" s="35" t="s">
        <v>7045</v>
      </c>
      <c r="BQ72" s="30">
        <v>46844.0</v>
      </c>
      <c r="BR72" s="30">
        <v>46934.0</v>
      </c>
      <c r="BS72" s="39">
        <v>0.0</v>
      </c>
      <c r="BT72" s="39">
        <v>0.0</v>
      </c>
      <c r="BU72" s="35" t="s">
        <v>7045</v>
      </c>
      <c r="BV72" s="30">
        <v>46935.0</v>
      </c>
      <c r="BW72" s="30">
        <v>47026.0</v>
      </c>
      <c r="BX72" s="39">
        <v>0.0</v>
      </c>
      <c r="BY72" s="39">
        <v>0.0</v>
      </c>
      <c r="BZ72" s="35" t="s">
        <v>7045</v>
      </c>
      <c r="CA72" s="30">
        <v>47027.0</v>
      </c>
      <c r="CB72" s="30">
        <v>47118.0</v>
      </c>
      <c r="CC72" s="39">
        <v>0.0</v>
      </c>
      <c r="CD72" s="39">
        <v>0.0</v>
      </c>
      <c r="CE72" s="35" t="s">
        <v>7045</v>
      </c>
      <c r="CF72" s="30">
        <v>47119.0</v>
      </c>
      <c r="CG72" s="30">
        <v>47208.0</v>
      </c>
      <c r="CH72" s="39">
        <v>0.0</v>
      </c>
      <c r="CI72" s="39">
        <v>0.0</v>
      </c>
      <c r="CJ72" s="35" t="s">
        <v>7045</v>
      </c>
      <c r="CK72" s="30">
        <v>47209.0</v>
      </c>
      <c r="CL72" s="30">
        <v>47299.0</v>
      </c>
      <c r="CM72" s="39">
        <v>0.0</v>
      </c>
      <c r="CN72" s="39">
        <v>0.0</v>
      </c>
      <c r="CO72" s="35" t="s">
        <v>7045</v>
      </c>
      <c r="CP72" s="30">
        <v>47300.0</v>
      </c>
      <c r="CQ72" s="30">
        <v>47391.0</v>
      </c>
      <c r="CR72" s="39">
        <v>0.0</v>
      </c>
      <c r="CS72" s="39">
        <v>0.0</v>
      </c>
      <c r="CT72" s="35" t="s">
        <v>7045</v>
      </c>
      <c r="CU72" s="30">
        <v>47392.0</v>
      </c>
      <c r="CV72" s="30">
        <v>47483.0</v>
      </c>
      <c r="CW72" s="39">
        <v>0.0</v>
      </c>
      <c r="CX72" s="39">
        <v>0.0</v>
      </c>
      <c r="CY72" s="35" t="s">
        <v>7045</v>
      </c>
      <c r="CZ72" s="30">
        <v>47484.0</v>
      </c>
      <c r="DA72" s="30">
        <v>47573.0</v>
      </c>
      <c r="DB72" s="39">
        <v>0.0</v>
      </c>
      <c r="DC72" s="39">
        <v>0.0</v>
      </c>
      <c r="DD72" s="35" t="s">
        <v>7045</v>
      </c>
      <c r="DE72" s="30">
        <v>47574.0</v>
      </c>
      <c r="DF72" s="30">
        <v>47664.0</v>
      </c>
      <c r="DG72" s="39">
        <v>0.0</v>
      </c>
      <c r="DH72" s="39">
        <v>0.0</v>
      </c>
      <c r="DI72" s="35" t="s">
        <v>7045</v>
      </c>
      <c r="DJ72" s="30">
        <v>47665.0</v>
      </c>
      <c r="DK72" s="30">
        <v>47756.0</v>
      </c>
      <c r="DL72" s="39">
        <v>0.0</v>
      </c>
      <c r="DM72" s="39">
        <v>0.0</v>
      </c>
      <c r="DN72" s="35" t="s">
        <v>7045</v>
      </c>
      <c r="DO72" s="30">
        <v>47757.0</v>
      </c>
      <c r="DP72" s="30">
        <v>47848.0</v>
      </c>
      <c r="DQ72" s="39">
        <v>0.0</v>
      </c>
      <c r="DR72" s="39">
        <v>0.0</v>
      </c>
      <c r="DS72" s="35" t="s">
        <v>7045</v>
      </c>
    </row>
    <row r="73" ht="14.25" customHeight="1">
      <c r="A73" s="28" t="s">
        <v>6731</v>
      </c>
      <c r="B73" s="29" t="s">
        <v>6732</v>
      </c>
      <c r="C73" s="29" t="s">
        <v>7041</v>
      </c>
      <c r="D73" s="30">
        <v>45658.0</v>
      </c>
      <c r="E73" s="30">
        <v>45747.0</v>
      </c>
      <c r="F73" s="39">
        <v>1.25</v>
      </c>
      <c r="G73" s="39">
        <v>0.0</v>
      </c>
      <c r="H73" s="38" t="s">
        <v>7047</v>
      </c>
      <c r="I73" s="30">
        <v>45748.0</v>
      </c>
      <c r="J73" s="30">
        <v>45838.0</v>
      </c>
      <c r="K73" s="39">
        <v>4.34</v>
      </c>
      <c r="L73" s="39">
        <v>2151.52</v>
      </c>
      <c r="M73" s="32" t="s">
        <v>7043</v>
      </c>
      <c r="N73" s="30">
        <v>45839.0</v>
      </c>
      <c r="O73" s="30">
        <v>45930.0</v>
      </c>
      <c r="P73" s="39">
        <v>323.58</v>
      </c>
      <c r="Q73" s="39">
        <v>2151.52</v>
      </c>
      <c r="R73" s="38" t="s">
        <v>7047</v>
      </c>
      <c r="S73" s="30">
        <v>45931.0</v>
      </c>
      <c r="T73" s="30">
        <v>46022.0</v>
      </c>
      <c r="U73" s="39">
        <v>1130.24</v>
      </c>
      <c r="V73" s="39">
        <v>2181.82</v>
      </c>
      <c r="W73" s="38" t="s">
        <v>7047</v>
      </c>
      <c r="X73" s="30">
        <v>46023.0</v>
      </c>
      <c r="Y73" s="30">
        <v>46112.0</v>
      </c>
      <c r="Z73" s="39">
        <v>222.15</v>
      </c>
      <c r="AA73" s="39">
        <v>0.0</v>
      </c>
      <c r="AB73" s="38" t="s">
        <v>7047</v>
      </c>
      <c r="AC73" s="30">
        <v>46113.0</v>
      </c>
      <c r="AD73" s="30">
        <v>46203.0</v>
      </c>
      <c r="AE73" s="39">
        <v>232.03</v>
      </c>
      <c r="AF73" s="39">
        <v>0.0</v>
      </c>
      <c r="AG73" s="38" t="s">
        <v>7047</v>
      </c>
      <c r="AH73" s="30">
        <v>46204.0</v>
      </c>
      <c r="AI73" s="30">
        <v>46295.0</v>
      </c>
      <c r="AJ73" s="39">
        <v>48.62</v>
      </c>
      <c r="AK73" s="39">
        <v>0.0</v>
      </c>
      <c r="AL73" s="38" t="s">
        <v>7047</v>
      </c>
      <c r="AM73" s="30">
        <v>46296.0</v>
      </c>
      <c r="AN73" s="30">
        <v>46387.0</v>
      </c>
      <c r="AO73" s="39">
        <v>147.62</v>
      </c>
      <c r="AP73" s="39">
        <v>0.0</v>
      </c>
      <c r="AQ73" s="38" t="s">
        <v>7047</v>
      </c>
      <c r="AR73" s="30">
        <v>46388.0</v>
      </c>
      <c r="AS73" s="30">
        <v>46477.0</v>
      </c>
      <c r="AT73" s="39">
        <v>0.0</v>
      </c>
      <c r="AU73" s="39">
        <v>0.0</v>
      </c>
      <c r="AV73" s="35" t="s">
        <v>7045</v>
      </c>
      <c r="AW73" s="30">
        <v>46478.0</v>
      </c>
      <c r="AX73" s="30">
        <v>46568.0</v>
      </c>
      <c r="AY73" s="39">
        <v>0.0</v>
      </c>
      <c r="AZ73" s="39">
        <v>0.0</v>
      </c>
      <c r="BA73" s="35" t="s">
        <v>7045</v>
      </c>
      <c r="BB73" s="30">
        <v>46569.0</v>
      </c>
      <c r="BC73" s="30">
        <v>46660.0</v>
      </c>
      <c r="BD73" s="39">
        <v>0.0</v>
      </c>
      <c r="BE73" s="39">
        <v>0.0</v>
      </c>
      <c r="BF73" s="35" t="s">
        <v>7045</v>
      </c>
      <c r="BG73" s="30">
        <v>46661.0</v>
      </c>
      <c r="BH73" s="30">
        <v>46752.0</v>
      </c>
      <c r="BI73" s="39">
        <v>0.0</v>
      </c>
      <c r="BJ73" s="39">
        <v>0.0</v>
      </c>
      <c r="BK73" s="35" t="s">
        <v>7045</v>
      </c>
      <c r="BL73" s="30">
        <v>46753.0</v>
      </c>
      <c r="BM73" s="30">
        <v>46843.0</v>
      </c>
      <c r="BN73" s="39">
        <v>0.0</v>
      </c>
      <c r="BO73" s="39">
        <v>0.0</v>
      </c>
      <c r="BP73" s="35" t="s">
        <v>7045</v>
      </c>
      <c r="BQ73" s="30">
        <v>46844.0</v>
      </c>
      <c r="BR73" s="30">
        <v>46934.0</v>
      </c>
      <c r="BS73" s="39">
        <v>0.0</v>
      </c>
      <c r="BT73" s="39">
        <v>0.0</v>
      </c>
      <c r="BU73" s="35" t="s">
        <v>7045</v>
      </c>
      <c r="BV73" s="30">
        <v>46935.0</v>
      </c>
      <c r="BW73" s="30">
        <v>47026.0</v>
      </c>
      <c r="BX73" s="39">
        <v>0.0</v>
      </c>
      <c r="BY73" s="39">
        <v>0.0</v>
      </c>
      <c r="BZ73" s="35" t="s">
        <v>7045</v>
      </c>
      <c r="CA73" s="30">
        <v>47027.0</v>
      </c>
      <c r="CB73" s="30">
        <v>47118.0</v>
      </c>
      <c r="CC73" s="39">
        <v>0.0</v>
      </c>
      <c r="CD73" s="39">
        <v>0.0</v>
      </c>
      <c r="CE73" s="35" t="s">
        <v>7045</v>
      </c>
      <c r="CF73" s="30">
        <v>47119.0</v>
      </c>
      <c r="CG73" s="30">
        <v>47208.0</v>
      </c>
      <c r="CH73" s="39">
        <v>0.0</v>
      </c>
      <c r="CI73" s="39">
        <v>0.0</v>
      </c>
      <c r="CJ73" s="35" t="s">
        <v>7045</v>
      </c>
      <c r="CK73" s="30">
        <v>47209.0</v>
      </c>
      <c r="CL73" s="30">
        <v>47299.0</v>
      </c>
      <c r="CM73" s="39">
        <v>0.0</v>
      </c>
      <c r="CN73" s="39">
        <v>0.0</v>
      </c>
      <c r="CO73" s="35" t="s">
        <v>7045</v>
      </c>
      <c r="CP73" s="30">
        <v>47300.0</v>
      </c>
      <c r="CQ73" s="30">
        <v>47391.0</v>
      </c>
      <c r="CR73" s="39">
        <v>0.0</v>
      </c>
      <c r="CS73" s="39">
        <v>0.0</v>
      </c>
      <c r="CT73" s="35" t="s">
        <v>7045</v>
      </c>
      <c r="CU73" s="30">
        <v>47392.0</v>
      </c>
      <c r="CV73" s="30">
        <v>47483.0</v>
      </c>
      <c r="CW73" s="39">
        <v>0.0</v>
      </c>
      <c r="CX73" s="39">
        <v>0.0</v>
      </c>
      <c r="CY73" s="35" t="s">
        <v>7045</v>
      </c>
      <c r="CZ73" s="30">
        <v>47484.0</v>
      </c>
      <c r="DA73" s="30">
        <v>47573.0</v>
      </c>
      <c r="DB73" s="39">
        <v>0.0</v>
      </c>
      <c r="DC73" s="39">
        <v>0.0</v>
      </c>
      <c r="DD73" s="35" t="s">
        <v>7045</v>
      </c>
      <c r="DE73" s="30">
        <v>47574.0</v>
      </c>
      <c r="DF73" s="30">
        <v>47664.0</v>
      </c>
      <c r="DG73" s="39">
        <v>0.0</v>
      </c>
      <c r="DH73" s="39">
        <v>0.0</v>
      </c>
      <c r="DI73" s="35" t="s">
        <v>7045</v>
      </c>
      <c r="DJ73" s="30">
        <v>47665.0</v>
      </c>
      <c r="DK73" s="30">
        <v>47756.0</v>
      </c>
      <c r="DL73" s="39">
        <v>0.0</v>
      </c>
      <c r="DM73" s="39">
        <v>0.0</v>
      </c>
      <c r="DN73" s="35" t="s">
        <v>7045</v>
      </c>
      <c r="DO73" s="30">
        <v>47757.0</v>
      </c>
      <c r="DP73" s="30">
        <v>47848.0</v>
      </c>
      <c r="DQ73" s="39">
        <v>0.0</v>
      </c>
      <c r="DR73" s="39">
        <v>0.0</v>
      </c>
      <c r="DS73" s="35" t="s">
        <v>7045</v>
      </c>
    </row>
    <row r="74" ht="14.25" customHeight="1">
      <c r="A74" s="28" t="s">
        <v>6217</v>
      </c>
      <c r="B74" s="29" t="s">
        <v>6218</v>
      </c>
      <c r="C74" s="29" t="s">
        <v>7041</v>
      </c>
      <c r="D74" s="30">
        <v>45658.0</v>
      </c>
      <c r="E74" s="30">
        <v>45747.0</v>
      </c>
      <c r="F74" s="36">
        <v>0.0</v>
      </c>
      <c r="G74" s="36">
        <v>0.0</v>
      </c>
      <c r="H74" s="38" t="s">
        <v>7043</v>
      </c>
      <c r="I74" s="30">
        <v>45748.0</v>
      </c>
      <c r="J74" s="30">
        <v>45838.0</v>
      </c>
      <c r="K74" s="36">
        <v>0.78</v>
      </c>
      <c r="L74" s="36">
        <v>685.73</v>
      </c>
      <c r="M74" s="37" t="s">
        <v>7043</v>
      </c>
      <c r="N74" s="30">
        <v>45839.0</v>
      </c>
      <c r="O74" s="30">
        <v>45930.0</v>
      </c>
      <c r="P74" s="36">
        <v>339.39</v>
      </c>
      <c r="Q74" s="36">
        <v>714.27</v>
      </c>
      <c r="R74" s="38" t="s">
        <v>7047</v>
      </c>
      <c r="S74" s="30">
        <v>45931.0</v>
      </c>
      <c r="T74" s="30">
        <v>46022.0</v>
      </c>
      <c r="U74" s="36">
        <v>160.88</v>
      </c>
      <c r="V74" s="36">
        <v>800.0</v>
      </c>
      <c r="W74" s="38" t="s">
        <v>7047</v>
      </c>
      <c r="X74" s="30">
        <v>46023.0</v>
      </c>
      <c r="Y74" s="30">
        <v>46112.0</v>
      </c>
      <c r="Z74" s="36">
        <v>11.14</v>
      </c>
      <c r="AA74" s="36">
        <v>0.0</v>
      </c>
      <c r="AB74" s="38" t="s">
        <v>7047</v>
      </c>
      <c r="AC74" s="30">
        <v>46113.0</v>
      </c>
      <c r="AD74" s="30">
        <v>46203.0</v>
      </c>
      <c r="AE74" s="36">
        <v>15.35</v>
      </c>
      <c r="AF74" s="36">
        <v>0.0</v>
      </c>
      <c r="AG74" s="38" t="s">
        <v>7047</v>
      </c>
      <c r="AH74" s="30">
        <v>46204.0</v>
      </c>
      <c r="AI74" s="30">
        <v>46295.0</v>
      </c>
      <c r="AJ74" s="36">
        <v>0.21</v>
      </c>
      <c r="AK74" s="36">
        <v>0.0</v>
      </c>
      <c r="AL74" s="38" t="s">
        <v>7047</v>
      </c>
      <c r="AM74" s="30">
        <v>46296.0</v>
      </c>
      <c r="AN74" s="30">
        <v>46387.0</v>
      </c>
      <c r="AO74" s="36">
        <v>4.82</v>
      </c>
      <c r="AP74" s="36">
        <v>0.0</v>
      </c>
      <c r="AQ74" s="38" t="s">
        <v>7047</v>
      </c>
      <c r="AR74" s="30">
        <v>46388.0</v>
      </c>
      <c r="AS74" s="30">
        <v>46477.0</v>
      </c>
      <c r="AT74" s="36">
        <v>0.0</v>
      </c>
      <c r="AU74" s="36">
        <v>0.0</v>
      </c>
      <c r="AV74" s="35" t="s">
        <v>7045</v>
      </c>
      <c r="AW74" s="30">
        <v>46478.0</v>
      </c>
      <c r="AX74" s="30">
        <v>46568.0</v>
      </c>
      <c r="AY74" s="36">
        <v>0.0</v>
      </c>
      <c r="AZ74" s="36">
        <v>0.0</v>
      </c>
      <c r="BA74" s="35" t="s">
        <v>7045</v>
      </c>
      <c r="BB74" s="30">
        <v>46569.0</v>
      </c>
      <c r="BC74" s="30">
        <v>46660.0</v>
      </c>
      <c r="BD74" s="36">
        <v>0.0</v>
      </c>
      <c r="BE74" s="36">
        <v>0.0</v>
      </c>
      <c r="BF74" s="35" t="s">
        <v>7045</v>
      </c>
      <c r="BG74" s="30">
        <v>46661.0</v>
      </c>
      <c r="BH74" s="30">
        <v>46752.0</v>
      </c>
      <c r="BI74" s="36">
        <v>0.0</v>
      </c>
      <c r="BJ74" s="36">
        <v>0.0</v>
      </c>
      <c r="BK74" s="35" t="s">
        <v>7045</v>
      </c>
      <c r="BL74" s="30">
        <v>46753.0</v>
      </c>
      <c r="BM74" s="30">
        <v>46843.0</v>
      </c>
      <c r="BN74" s="36">
        <v>0.0</v>
      </c>
      <c r="BO74" s="36">
        <v>0.0</v>
      </c>
      <c r="BP74" s="35" t="s">
        <v>7045</v>
      </c>
      <c r="BQ74" s="30">
        <v>46844.0</v>
      </c>
      <c r="BR74" s="30">
        <v>46934.0</v>
      </c>
      <c r="BS74" s="36">
        <v>0.0</v>
      </c>
      <c r="BT74" s="36">
        <v>0.0</v>
      </c>
      <c r="BU74" s="35" t="s">
        <v>7045</v>
      </c>
      <c r="BV74" s="30">
        <v>46935.0</v>
      </c>
      <c r="BW74" s="30">
        <v>47026.0</v>
      </c>
      <c r="BX74" s="36">
        <v>0.0</v>
      </c>
      <c r="BY74" s="36">
        <v>0.0</v>
      </c>
      <c r="BZ74" s="35" t="s">
        <v>7045</v>
      </c>
      <c r="CA74" s="30">
        <v>47027.0</v>
      </c>
      <c r="CB74" s="30">
        <v>47118.0</v>
      </c>
      <c r="CC74" s="36">
        <v>0.0</v>
      </c>
      <c r="CD74" s="36">
        <v>0.0</v>
      </c>
      <c r="CE74" s="35" t="s">
        <v>7045</v>
      </c>
      <c r="CF74" s="30">
        <v>47119.0</v>
      </c>
      <c r="CG74" s="30">
        <v>47208.0</v>
      </c>
      <c r="CH74" s="36">
        <v>0.0</v>
      </c>
      <c r="CI74" s="36">
        <v>0.0</v>
      </c>
      <c r="CJ74" s="35" t="s">
        <v>7045</v>
      </c>
      <c r="CK74" s="30">
        <v>47209.0</v>
      </c>
      <c r="CL74" s="30">
        <v>47299.0</v>
      </c>
      <c r="CM74" s="36">
        <v>0.0</v>
      </c>
      <c r="CN74" s="36">
        <v>0.0</v>
      </c>
      <c r="CO74" s="35" t="s">
        <v>7045</v>
      </c>
      <c r="CP74" s="30">
        <v>47300.0</v>
      </c>
      <c r="CQ74" s="30">
        <v>47391.0</v>
      </c>
      <c r="CR74" s="36">
        <v>0.0</v>
      </c>
      <c r="CS74" s="36">
        <v>0.0</v>
      </c>
      <c r="CT74" s="35" t="s">
        <v>7045</v>
      </c>
      <c r="CU74" s="30">
        <v>47392.0</v>
      </c>
      <c r="CV74" s="30">
        <v>47483.0</v>
      </c>
      <c r="CW74" s="36">
        <v>0.0</v>
      </c>
      <c r="CX74" s="36">
        <v>0.0</v>
      </c>
      <c r="CY74" s="35" t="s">
        <v>7045</v>
      </c>
      <c r="CZ74" s="30">
        <v>47484.0</v>
      </c>
      <c r="DA74" s="30">
        <v>47573.0</v>
      </c>
      <c r="DB74" s="36">
        <v>0.0</v>
      </c>
      <c r="DC74" s="36">
        <v>0.0</v>
      </c>
      <c r="DD74" s="35" t="s">
        <v>7045</v>
      </c>
      <c r="DE74" s="30">
        <v>47574.0</v>
      </c>
      <c r="DF74" s="30">
        <v>47664.0</v>
      </c>
      <c r="DG74" s="36">
        <v>0.0</v>
      </c>
      <c r="DH74" s="36">
        <v>0.0</v>
      </c>
      <c r="DI74" s="35" t="s">
        <v>7045</v>
      </c>
      <c r="DJ74" s="30">
        <v>47665.0</v>
      </c>
      <c r="DK74" s="30">
        <v>47756.0</v>
      </c>
      <c r="DL74" s="36">
        <v>0.0</v>
      </c>
      <c r="DM74" s="36">
        <v>0.0</v>
      </c>
      <c r="DN74" s="35" t="s">
        <v>7045</v>
      </c>
      <c r="DO74" s="30">
        <v>47757.0</v>
      </c>
      <c r="DP74" s="30">
        <v>47848.0</v>
      </c>
      <c r="DQ74" s="36">
        <v>0.0</v>
      </c>
      <c r="DR74" s="36">
        <v>0.0</v>
      </c>
      <c r="DS74" s="35" t="s">
        <v>7045</v>
      </c>
    </row>
    <row r="75" ht="14.25" customHeight="1">
      <c r="A75" s="28" t="s">
        <v>6141</v>
      </c>
      <c r="B75" s="29" t="s">
        <v>6142</v>
      </c>
      <c r="C75" s="29" t="s">
        <v>7041</v>
      </c>
      <c r="D75" s="30">
        <v>45658.0</v>
      </c>
      <c r="E75" s="30">
        <v>45747.0</v>
      </c>
      <c r="F75" s="39">
        <v>9.73</v>
      </c>
      <c r="G75" s="39">
        <v>0.0</v>
      </c>
      <c r="H75" s="38" t="s">
        <v>7047</v>
      </c>
      <c r="I75" s="30">
        <v>45748.0</v>
      </c>
      <c r="J75" s="30">
        <v>45838.0</v>
      </c>
      <c r="K75" s="39">
        <v>3.72</v>
      </c>
      <c r="L75" s="39">
        <v>0.0</v>
      </c>
      <c r="M75" s="38" t="s">
        <v>7047</v>
      </c>
      <c r="N75" s="30">
        <v>45839.0</v>
      </c>
      <c r="O75" s="30">
        <v>45930.0</v>
      </c>
      <c r="P75" s="39">
        <v>37.57</v>
      </c>
      <c r="Q75" s="39">
        <v>0.0</v>
      </c>
      <c r="R75" s="38" t="s">
        <v>7047</v>
      </c>
      <c r="S75" s="30">
        <v>45931.0</v>
      </c>
      <c r="T75" s="30">
        <v>46022.0</v>
      </c>
      <c r="U75" s="39">
        <v>711.29</v>
      </c>
      <c r="V75" s="39">
        <v>0.0</v>
      </c>
      <c r="W75" s="38" t="s">
        <v>7047</v>
      </c>
      <c r="X75" s="30">
        <v>46023.0</v>
      </c>
      <c r="Y75" s="30">
        <v>46112.0</v>
      </c>
      <c r="Z75" s="39">
        <v>81.53</v>
      </c>
      <c r="AA75" s="39">
        <v>0.0</v>
      </c>
      <c r="AB75" s="38" t="s">
        <v>7047</v>
      </c>
      <c r="AC75" s="30">
        <v>46113.0</v>
      </c>
      <c r="AD75" s="30">
        <v>46203.0</v>
      </c>
      <c r="AE75" s="39">
        <v>62.01</v>
      </c>
      <c r="AF75" s="39">
        <v>0.0</v>
      </c>
      <c r="AG75" s="38" t="s">
        <v>7047</v>
      </c>
      <c r="AH75" s="30">
        <v>46204.0</v>
      </c>
      <c r="AI75" s="30">
        <v>46295.0</v>
      </c>
      <c r="AJ75" s="39">
        <v>0.61</v>
      </c>
      <c r="AK75" s="39">
        <v>0.0</v>
      </c>
      <c r="AL75" s="38" t="s">
        <v>7047</v>
      </c>
      <c r="AM75" s="30">
        <v>46296.0</v>
      </c>
      <c r="AN75" s="30">
        <v>46387.0</v>
      </c>
      <c r="AO75" s="39">
        <v>0.0</v>
      </c>
      <c r="AP75" s="39">
        <v>0.0</v>
      </c>
      <c r="AQ75" s="35" t="s">
        <v>7045</v>
      </c>
      <c r="AR75" s="30">
        <v>46388.0</v>
      </c>
      <c r="AS75" s="30">
        <v>46477.0</v>
      </c>
      <c r="AT75" s="39">
        <v>0.0</v>
      </c>
      <c r="AU75" s="39">
        <v>0.0</v>
      </c>
      <c r="AV75" s="35" t="s">
        <v>7045</v>
      </c>
      <c r="AW75" s="30">
        <v>46478.0</v>
      </c>
      <c r="AX75" s="30">
        <v>46568.0</v>
      </c>
      <c r="AY75" s="39">
        <v>0.0</v>
      </c>
      <c r="AZ75" s="39">
        <v>0.0</v>
      </c>
      <c r="BA75" s="35" t="s">
        <v>7045</v>
      </c>
      <c r="BB75" s="30">
        <v>46569.0</v>
      </c>
      <c r="BC75" s="30">
        <v>46660.0</v>
      </c>
      <c r="BD75" s="39">
        <v>0.0</v>
      </c>
      <c r="BE75" s="39">
        <v>0.0</v>
      </c>
      <c r="BF75" s="35" t="s">
        <v>7045</v>
      </c>
      <c r="BG75" s="30">
        <v>46661.0</v>
      </c>
      <c r="BH75" s="30">
        <v>46752.0</v>
      </c>
      <c r="BI75" s="39">
        <v>0.0</v>
      </c>
      <c r="BJ75" s="39">
        <v>0.0</v>
      </c>
      <c r="BK75" s="35" t="s">
        <v>7045</v>
      </c>
      <c r="BL75" s="30">
        <v>46753.0</v>
      </c>
      <c r="BM75" s="30">
        <v>46843.0</v>
      </c>
      <c r="BN75" s="39">
        <v>0.0</v>
      </c>
      <c r="BO75" s="39">
        <v>0.0</v>
      </c>
      <c r="BP75" s="35" t="s">
        <v>7045</v>
      </c>
      <c r="BQ75" s="30">
        <v>46844.0</v>
      </c>
      <c r="BR75" s="30">
        <v>46934.0</v>
      </c>
      <c r="BS75" s="39">
        <v>0.0</v>
      </c>
      <c r="BT75" s="39">
        <v>0.0</v>
      </c>
      <c r="BU75" s="35" t="s">
        <v>7045</v>
      </c>
      <c r="BV75" s="30">
        <v>46935.0</v>
      </c>
      <c r="BW75" s="30">
        <v>47026.0</v>
      </c>
      <c r="BX75" s="39">
        <v>0.0</v>
      </c>
      <c r="BY75" s="39">
        <v>0.0</v>
      </c>
      <c r="BZ75" s="35" t="s">
        <v>7045</v>
      </c>
      <c r="CA75" s="30">
        <v>47027.0</v>
      </c>
      <c r="CB75" s="30">
        <v>47118.0</v>
      </c>
      <c r="CC75" s="39">
        <v>0.0</v>
      </c>
      <c r="CD75" s="39">
        <v>0.0</v>
      </c>
      <c r="CE75" s="35" t="s">
        <v>7045</v>
      </c>
      <c r="CF75" s="30">
        <v>47119.0</v>
      </c>
      <c r="CG75" s="30">
        <v>47208.0</v>
      </c>
      <c r="CH75" s="39">
        <v>0.0</v>
      </c>
      <c r="CI75" s="39">
        <v>0.0</v>
      </c>
      <c r="CJ75" s="35" t="s">
        <v>7045</v>
      </c>
      <c r="CK75" s="30">
        <v>47209.0</v>
      </c>
      <c r="CL75" s="30">
        <v>47299.0</v>
      </c>
      <c r="CM75" s="39">
        <v>0.0</v>
      </c>
      <c r="CN75" s="39">
        <v>0.0</v>
      </c>
      <c r="CO75" s="35" t="s">
        <v>7045</v>
      </c>
      <c r="CP75" s="30">
        <v>47300.0</v>
      </c>
      <c r="CQ75" s="30">
        <v>47391.0</v>
      </c>
      <c r="CR75" s="39">
        <v>0.0</v>
      </c>
      <c r="CS75" s="39">
        <v>0.0</v>
      </c>
      <c r="CT75" s="35" t="s">
        <v>7045</v>
      </c>
      <c r="CU75" s="30">
        <v>47392.0</v>
      </c>
      <c r="CV75" s="30">
        <v>47483.0</v>
      </c>
      <c r="CW75" s="39">
        <v>0.0</v>
      </c>
      <c r="CX75" s="39">
        <v>0.0</v>
      </c>
      <c r="CY75" s="35" t="s">
        <v>7045</v>
      </c>
      <c r="CZ75" s="30">
        <v>47484.0</v>
      </c>
      <c r="DA75" s="30">
        <v>47573.0</v>
      </c>
      <c r="DB75" s="39">
        <v>0.0</v>
      </c>
      <c r="DC75" s="39">
        <v>0.0</v>
      </c>
      <c r="DD75" s="35" t="s">
        <v>7045</v>
      </c>
      <c r="DE75" s="30">
        <v>47574.0</v>
      </c>
      <c r="DF75" s="30">
        <v>47664.0</v>
      </c>
      <c r="DG75" s="39">
        <v>0.0</v>
      </c>
      <c r="DH75" s="39">
        <v>0.0</v>
      </c>
      <c r="DI75" s="35" t="s">
        <v>7045</v>
      </c>
      <c r="DJ75" s="30">
        <v>47665.0</v>
      </c>
      <c r="DK75" s="30">
        <v>47756.0</v>
      </c>
      <c r="DL75" s="39">
        <v>0.0</v>
      </c>
      <c r="DM75" s="39">
        <v>0.0</v>
      </c>
      <c r="DN75" s="35" t="s">
        <v>7045</v>
      </c>
      <c r="DO75" s="30">
        <v>47757.0</v>
      </c>
      <c r="DP75" s="30">
        <v>47848.0</v>
      </c>
      <c r="DQ75" s="39">
        <v>0.0</v>
      </c>
      <c r="DR75" s="39">
        <v>0.0</v>
      </c>
      <c r="DS75" s="35" t="s">
        <v>7045</v>
      </c>
    </row>
    <row r="76" ht="14.25" customHeight="1">
      <c r="A76" s="28" t="s">
        <v>4711</v>
      </c>
      <c r="B76" s="29" t="s">
        <v>4712</v>
      </c>
      <c r="C76" s="29" t="s">
        <v>7041</v>
      </c>
      <c r="D76" s="30">
        <v>45658.0</v>
      </c>
      <c r="E76" s="30">
        <v>45747.0</v>
      </c>
      <c r="F76" s="39">
        <v>10.0</v>
      </c>
      <c r="G76" s="39">
        <v>0.0</v>
      </c>
      <c r="H76" s="38" t="s">
        <v>7047</v>
      </c>
      <c r="I76" s="30">
        <v>45748.0</v>
      </c>
      <c r="J76" s="30">
        <v>45838.0</v>
      </c>
      <c r="K76" s="39">
        <v>100.0</v>
      </c>
      <c r="L76" s="39">
        <v>0.0</v>
      </c>
      <c r="M76" s="38" t="s">
        <v>7047</v>
      </c>
      <c r="N76" s="30">
        <v>45839.0</v>
      </c>
      <c r="O76" s="30">
        <v>45930.0</v>
      </c>
      <c r="P76" s="39">
        <v>751.83</v>
      </c>
      <c r="Q76" s="39">
        <v>0.0</v>
      </c>
      <c r="R76" s="38" t="s">
        <v>7047</v>
      </c>
      <c r="S76" s="30">
        <v>45931.0</v>
      </c>
      <c r="T76" s="30">
        <v>46022.0</v>
      </c>
      <c r="U76" s="39">
        <v>6030.77</v>
      </c>
      <c r="V76" s="39">
        <v>0.0</v>
      </c>
      <c r="W76" s="38" t="s">
        <v>7047</v>
      </c>
      <c r="X76" s="30">
        <v>46023.0</v>
      </c>
      <c r="Y76" s="30">
        <v>46112.0</v>
      </c>
      <c r="Z76" s="39">
        <v>797.39</v>
      </c>
      <c r="AA76" s="39">
        <v>0.0</v>
      </c>
      <c r="AB76" s="38" t="s">
        <v>7047</v>
      </c>
      <c r="AC76" s="30">
        <v>46113.0</v>
      </c>
      <c r="AD76" s="30">
        <v>46203.0</v>
      </c>
      <c r="AE76" s="39">
        <v>0.0</v>
      </c>
      <c r="AF76" s="39">
        <v>0.0</v>
      </c>
      <c r="AG76" s="35" t="s">
        <v>7045</v>
      </c>
      <c r="AH76" s="30">
        <v>46204.0</v>
      </c>
      <c r="AI76" s="30">
        <v>46295.0</v>
      </c>
      <c r="AJ76" s="39">
        <v>0.0</v>
      </c>
      <c r="AK76" s="39">
        <v>0.0</v>
      </c>
      <c r="AL76" s="35" t="s">
        <v>7045</v>
      </c>
      <c r="AM76" s="30">
        <v>46296.0</v>
      </c>
      <c r="AN76" s="30">
        <v>46387.0</v>
      </c>
      <c r="AO76" s="39">
        <v>0.0</v>
      </c>
      <c r="AP76" s="39">
        <v>0.0</v>
      </c>
      <c r="AQ76" s="35" t="s">
        <v>7045</v>
      </c>
      <c r="AR76" s="30">
        <v>46388.0</v>
      </c>
      <c r="AS76" s="30">
        <v>46477.0</v>
      </c>
      <c r="AT76" s="39">
        <v>0.0</v>
      </c>
      <c r="AU76" s="39">
        <v>0.0</v>
      </c>
      <c r="AV76" s="35" t="s">
        <v>7045</v>
      </c>
      <c r="AW76" s="30">
        <v>46478.0</v>
      </c>
      <c r="AX76" s="30">
        <v>46568.0</v>
      </c>
      <c r="AY76" s="39">
        <v>0.0</v>
      </c>
      <c r="AZ76" s="39">
        <v>0.0</v>
      </c>
      <c r="BA76" s="35" t="s">
        <v>7045</v>
      </c>
      <c r="BB76" s="30">
        <v>46569.0</v>
      </c>
      <c r="BC76" s="30">
        <v>46660.0</v>
      </c>
      <c r="BD76" s="39">
        <v>0.0</v>
      </c>
      <c r="BE76" s="39">
        <v>0.0</v>
      </c>
      <c r="BF76" s="35" t="s">
        <v>7045</v>
      </c>
      <c r="BG76" s="30">
        <v>46661.0</v>
      </c>
      <c r="BH76" s="30">
        <v>46752.0</v>
      </c>
      <c r="BI76" s="39">
        <v>0.0</v>
      </c>
      <c r="BJ76" s="39">
        <v>0.0</v>
      </c>
      <c r="BK76" s="35" t="s">
        <v>7045</v>
      </c>
      <c r="BL76" s="30">
        <v>46753.0</v>
      </c>
      <c r="BM76" s="30">
        <v>46843.0</v>
      </c>
      <c r="BN76" s="39">
        <v>0.0</v>
      </c>
      <c r="BO76" s="39">
        <v>0.0</v>
      </c>
      <c r="BP76" s="35" t="s">
        <v>7045</v>
      </c>
      <c r="BQ76" s="30">
        <v>46844.0</v>
      </c>
      <c r="BR76" s="30">
        <v>46934.0</v>
      </c>
      <c r="BS76" s="39">
        <v>0.0</v>
      </c>
      <c r="BT76" s="39">
        <v>0.0</v>
      </c>
      <c r="BU76" s="35" t="s">
        <v>7045</v>
      </c>
      <c r="BV76" s="30">
        <v>46935.0</v>
      </c>
      <c r="BW76" s="30">
        <v>47026.0</v>
      </c>
      <c r="BX76" s="39">
        <v>0.0</v>
      </c>
      <c r="BY76" s="39">
        <v>0.0</v>
      </c>
      <c r="BZ76" s="35" t="s">
        <v>7045</v>
      </c>
      <c r="CA76" s="30">
        <v>47027.0</v>
      </c>
      <c r="CB76" s="30">
        <v>47118.0</v>
      </c>
      <c r="CC76" s="39">
        <v>0.0</v>
      </c>
      <c r="CD76" s="39">
        <v>0.0</v>
      </c>
      <c r="CE76" s="35" t="s">
        <v>7045</v>
      </c>
      <c r="CF76" s="30">
        <v>47119.0</v>
      </c>
      <c r="CG76" s="30">
        <v>47208.0</v>
      </c>
      <c r="CH76" s="39">
        <v>0.0</v>
      </c>
      <c r="CI76" s="39">
        <v>0.0</v>
      </c>
      <c r="CJ76" s="35" t="s">
        <v>7045</v>
      </c>
      <c r="CK76" s="30">
        <v>47209.0</v>
      </c>
      <c r="CL76" s="30">
        <v>47299.0</v>
      </c>
      <c r="CM76" s="39">
        <v>0.0</v>
      </c>
      <c r="CN76" s="39">
        <v>0.0</v>
      </c>
      <c r="CO76" s="35" t="s">
        <v>7045</v>
      </c>
      <c r="CP76" s="30">
        <v>47300.0</v>
      </c>
      <c r="CQ76" s="30">
        <v>47391.0</v>
      </c>
      <c r="CR76" s="39">
        <v>0.0</v>
      </c>
      <c r="CS76" s="39">
        <v>0.0</v>
      </c>
      <c r="CT76" s="35" t="s">
        <v>7045</v>
      </c>
      <c r="CU76" s="30">
        <v>47392.0</v>
      </c>
      <c r="CV76" s="30">
        <v>47483.0</v>
      </c>
      <c r="CW76" s="39">
        <v>0.0</v>
      </c>
      <c r="CX76" s="39">
        <v>0.0</v>
      </c>
      <c r="CY76" s="35" t="s">
        <v>7045</v>
      </c>
      <c r="CZ76" s="30">
        <v>47484.0</v>
      </c>
      <c r="DA76" s="30">
        <v>47573.0</v>
      </c>
      <c r="DB76" s="39">
        <v>0.0</v>
      </c>
      <c r="DC76" s="39">
        <v>0.0</v>
      </c>
      <c r="DD76" s="35" t="s">
        <v>7045</v>
      </c>
      <c r="DE76" s="30">
        <v>47574.0</v>
      </c>
      <c r="DF76" s="30">
        <v>47664.0</v>
      </c>
      <c r="DG76" s="39">
        <v>0.0</v>
      </c>
      <c r="DH76" s="39">
        <v>0.0</v>
      </c>
      <c r="DI76" s="35" t="s">
        <v>7045</v>
      </c>
      <c r="DJ76" s="30">
        <v>47665.0</v>
      </c>
      <c r="DK76" s="30">
        <v>47756.0</v>
      </c>
      <c r="DL76" s="39">
        <v>0.0</v>
      </c>
      <c r="DM76" s="39">
        <v>0.0</v>
      </c>
      <c r="DN76" s="35" t="s">
        <v>7045</v>
      </c>
      <c r="DO76" s="30">
        <v>47757.0</v>
      </c>
      <c r="DP76" s="30">
        <v>47848.0</v>
      </c>
      <c r="DQ76" s="39">
        <v>0.0</v>
      </c>
      <c r="DR76" s="39">
        <v>0.0</v>
      </c>
      <c r="DS76" s="35" t="s">
        <v>7045</v>
      </c>
    </row>
    <row r="77" ht="14.25" customHeight="1">
      <c r="A77" s="28" t="s">
        <v>5367</v>
      </c>
      <c r="B77" s="29" t="s">
        <v>5368</v>
      </c>
      <c r="C77" s="29" t="s">
        <v>7041</v>
      </c>
      <c r="D77" s="30">
        <v>45658.0</v>
      </c>
      <c r="E77" s="30">
        <v>45747.0</v>
      </c>
      <c r="F77" s="39">
        <v>25.0</v>
      </c>
      <c r="G77" s="39">
        <v>0.0</v>
      </c>
      <c r="H77" s="38" t="s">
        <v>7047</v>
      </c>
      <c r="I77" s="30">
        <v>45748.0</v>
      </c>
      <c r="J77" s="30">
        <v>45838.0</v>
      </c>
      <c r="K77" s="39">
        <v>0.29</v>
      </c>
      <c r="L77" s="39">
        <v>458.33</v>
      </c>
      <c r="M77" s="32" t="s">
        <v>7043</v>
      </c>
      <c r="N77" s="30">
        <v>45839.0</v>
      </c>
      <c r="O77" s="30">
        <v>45930.0</v>
      </c>
      <c r="P77" s="39">
        <v>44.65</v>
      </c>
      <c r="Q77" s="39">
        <v>489.58</v>
      </c>
      <c r="R77" s="38" t="s">
        <v>7046</v>
      </c>
      <c r="S77" s="30">
        <v>45931.0</v>
      </c>
      <c r="T77" s="30">
        <v>46022.0</v>
      </c>
      <c r="U77" s="39">
        <v>784.86</v>
      </c>
      <c r="V77" s="39">
        <v>489.58</v>
      </c>
      <c r="W77" s="38" t="s">
        <v>7047</v>
      </c>
      <c r="X77" s="30">
        <v>46023.0</v>
      </c>
      <c r="Y77" s="30">
        <v>46112.0</v>
      </c>
      <c r="Z77" s="39">
        <v>9.96</v>
      </c>
      <c r="AA77" s="39">
        <v>0.0</v>
      </c>
      <c r="AB77" s="38" t="s">
        <v>7047</v>
      </c>
      <c r="AC77" s="30">
        <v>46113.0</v>
      </c>
      <c r="AD77" s="30">
        <v>46203.0</v>
      </c>
      <c r="AE77" s="39">
        <v>4.92</v>
      </c>
      <c r="AF77" s="39">
        <v>0.0</v>
      </c>
      <c r="AG77" s="38" t="s">
        <v>7047</v>
      </c>
      <c r="AH77" s="30">
        <v>46204.0</v>
      </c>
      <c r="AI77" s="30">
        <v>46295.0</v>
      </c>
      <c r="AJ77" s="39">
        <v>500.0</v>
      </c>
      <c r="AK77" s="39">
        <v>0.0</v>
      </c>
      <c r="AL77" s="38" t="s">
        <v>7047</v>
      </c>
      <c r="AM77" s="30">
        <v>46296.0</v>
      </c>
      <c r="AN77" s="30">
        <v>46387.0</v>
      </c>
      <c r="AO77" s="39">
        <v>802.31</v>
      </c>
      <c r="AP77" s="39">
        <v>0.0</v>
      </c>
      <c r="AQ77" s="38" t="s">
        <v>7047</v>
      </c>
      <c r="AR77" s="30">
        <v>46388.0</v>
      </c>
      <c r="AS77" s="30">
        <v>46477.0</v>
      </c>
      <c r="AT77" s="39">
        <v>0.0</v>
      </c>
      <c r="AU77" s="39">
        <v>0.0</v>
      </c>
      <c r="AV77" s="35" t="s">
        <v>7045</v>
      </c>
      <c r="AW77" s="30">
        <v>46478.0</v>
      </c>
      <c r="AX77" s="30">
        <v>46568.0</v>
      </c>
      <c r="AY77" s="39">
        <v>0.0</v>
      </c>
      <c r="AZ77" s="39">
        <v>0.0</v>
      </c>
      <c r="BA77" s="35" t="s">
        <v>7045</v>
      </c>
      <c r="BB77" s="30">
        <v>46569.0</v>
      </c>
      <c r="BC77" s="30">
        <v>46660.0</v>
      </c>
      <c r="BD77" s="39">
        <v>0.0</v>
      </c>
      <c r="BE77" s="39">
        <v>0.0</v>
      </c>
      <c r="BF77" s="35" t="s">
        <v>7045</v>
      </c>
      <c r="BG77" s="30">
        <v>46661.0</v>
      </c>
      <c r="BH77" s="30">
        <v>46752.0</v>
      </c>
      <c r="BI77" s="39">
        <v>0.0</v>
      </c>
      <c r="BJ77" s="39">
        <v>0.0</v>
      </c>
      <c r="BK77" s="35" t="s">
        <v>7045</v>
      </c>
      <c r="BL77" s="30">
        <v>46753.0</v>
      </c>
      <c r="BM77" s="30">
        <v>46843.0</v>
      </c>
      <c r="BN77" s="39">
        <v>0.0</v>
      </c>
      <c r="BO77" s="39">
        <v>0.0</v>
      </c>
      <c r="BP77" s="35" t="s">
        <v>7045</v>
      </c>
      <c r="BQ77" s="30">
        <v>46844.0</v>
      </c>
      <c r="BR77" s="30">
        <v>46934.0</v>
      </c>
      <c r="BS77" s="39">
        <v>0.0</v>
      </c>
      <c r="BT77" s="39">
        <v>0.0</v>
      </c>
      <c r="BU77" s="35" t="s">
        <v>7045</v>
      </c>
      <c r="BV77" s="30">
        <v>46935.0</v>
      </c>
      <c r="BW77" s="30">
        <v>47026.0</v>
      </c>
      <c r="BX77" s="39">
        <v>0.0</v>
      </c>
      <c r="BY77" s="39">
        <v>0.0</v>
      </c>
      <c r="BZ77" s="35" t="s">
        <v>7045</v>
      </c>
      <c r="CA77" s="30">
        <v>47027.0</v>
      </c>
      <c r="CB77" s="30">
        <v>47118.0</v>
      </c>
      <c r="CC77" s="39">
        <v>0.0</v>
      </c>
      <c r="CD77" s="39">
        <v>0.0</v>
      </c>
      <c r="CE77" s="35" t="s">
        <v>7045</v>
      </c>
      <c r="CF77" s="30">
        <v>47119.0</v>
      </c>
      <c r="CG77" s="30">
        <v>47208.0</v>
      </c>
      <c r="CH77" s="39">
        <v>0.0</v>
      </c>
      <c r="CI77" s="39">
        <v>0.0</v>
      </c>
      <c r="CJ77" s="35" t="s">
        <v>7045</v>
      </c>
      <c r="CK77" s="30">
        <v>47209.0</v>
      </c>
      <c r="CL77" s="30">
        <v>47299.0</v>
      </c>
      <c r="CM77" s="39">
        <v>0.0</v>
      </c>
      <c r="CN77" s="39">
        <v>0.0</v>
      </c>
      <c r="CO77" s="35" t="s">
        <v>7045</v>
      </c>
      <c r="CP77" s="30">
        <v>47300.0</v>
      </c>
      <c r="CQ77" s="30">
        <v>47391.0</v>
      </c>
      <c r="CR77" s="39">
        <v>0.0</v>
      </c>
      <c r="CS77" s="39">
        <v>0.0</v>
      </c>
      <c r="CT77" s="35" t="s">
        <v>7045</v>
      </c>
      <c r="CU77" s="30">
        <v>47392.0</v>
      </c>
      <c r="CV77" s="30">
        <v>47483.0</v>
      </c>
      <c r="CW77" s="39">
        <v>0.0</v>
      </c>
      <c r="CX77" s="39">
        <v>0.0</v>
      </c>
      <c r="CY77" s="35" t="s">
        <v>7045</v>
      </c>
      <c r="CZ77" s="30">
        <v>47484.0</v>
      </c>
      <c r="DA77" s="30">
        <v>47573.0</v>
      </c>
      <c r="DB77" s="39">
        <v>0.0</v>
      </c>
      <c r="DC77" s="39">
        <v>0.0</v>
      </c>
      <c r="DD77" s="35" t="s">
        <v>7045</v>
      </c>
      <c r="DE77" s="30">
        <v>47574.0</v>
      </c>
      <c r="DF77" s="30">
        <v>47664.0</v>
      </c>
      <c r="DG77" s="39">
        <v>0.0</v>
      </c>
      <c r="DH77" s="39">
        <v>0.0</v>
      </c>
      <c r="DI77" s="35" t="s">
        <v>7045</v>
      </c>
      <c r="DJ77" s="30">
        <v>47665.0</v>
      </c>
      <c r="DK77" s="30">
        <v>47756.0</v>
      </c>
      <c r="DL77" s="39">
        <v>0.0</v>
      </c>
      <c r="DM77" s="39">
        <v>0.0</v>
      </c>
      <c r="DN77" s="35" t="s">
        <v>7045</v>
      </c>
      <c r="DO77" s="30">
        <v>47757.0</v>
      </c>
      <c r="DP77" s="30">
        <v>47848.0</v>
      </c>
      <c r="DQ77" s="39">
        <v>0.0</v>
      </c>
      <c r="DR77" s="39">
        <v>0.0</v>
      </c>
      <c r="DS77" s="35" t="s">
        <v>7045</v>
      </c>
    </row>
    <row r="78" ht="14.25" customHeight="1">
      <c r="A78" s="28" t="s">
        <v>5281</v>
      </c>
      <c r="B78" s="29" t="s">
        <v>5282</v>
      </c>
      <c r="C78" s="29" t="s">
        <v>7041</v>
      </c>
      <c r="D78" s="30">
        <v>45658.0</v>
      </c>
      <c r="E78" s="30">
        <v>45747.0</v>
      </c>
      <c r="F78" s="39">
        <v>37.42</v>
      </c>
      <c r="G78" s="39">
        <v>0.0</v>
      </c>
      <c r="H78" s="38" t="s">
        <v>7047</v>
      </c>
      <c r="I78" s="30">
        <v>45748.0</v>
      </c>
      <c r="J78" s="30">
        <v>45838.0</v>
      </c>
      <c r="K78" s="39">
        <v>34.33</v>
      </c>
      <c r="L78" s="39">
        <v>0.0</v>
      </c>
      <c r="M78" s="38" t="s">
        <v>7047</v>
      </c>
      <c r="N78" s="30">
        <v>45839.0</v>
      </c>
      <c r="O78" s="30">
        <v>45930.0</v>
      </c>
      <c r="P78" s="39">
        <v>35.19</v>
      </c>
      <c r="Q78" s="39">
        <v>0.0</v>
      </c>
      <c r="R78" s="38" t="s">
        <v>7047</v>
      </c>
      <c r="S78" s="30">
        <v>45931.0</v>
      </c>
      <c r="T78" s="30">
        <v>46022.0</v>
      </c>
      <c r="U78" s="39">
        <v>92.39</v>
      </c>
      <c r="V78" s="39">
        <v>0.0</v>
      </c>
      <c r="W78" s="38" t="s">
        <v>7047</v>
      </c>
      <c r="X78" s="30">
        <v>46023.0</v>
      </c>
      <c r="Y78" s="30">
        <v>46112.0</v>
      </c>
      <c r="Z78" s="39">
        <v>4.01</v>
      </c>
      <c r="AA78" s="39">
        <v>0.0</v>
      </c>
      <c r="AB78" s="38" t="s">
        <v>7047</v>
      </c>
      <c r="AC78" s="30">
        <v>46113.0</v>
      </c>
      <c r="AD78" s="30">
        <v>46203.0</v>
      </c>
      <c r="AE78" s="39">
        <v>0.14</v>
      </c>
      <c r="AF78" s="39">
        <v>0.0</v>
      </c>
      <c r="AG78" s="35" t="s">
        <v>7047</v>
      </c>
      <c r="AH78" s="30">
        <v>46204.0</v>
      </c>
      <c r="AI78" s="30">
        <v>46295.0</v>
      </c>
      <c r="AJ78" s="39">
        <v>0.0</v>
      </c>
      <c r="AK78" s="39">
        <v>0.0</v>
      </c>
      <c r="AL78" s="35" t="s">
        <v>7045</v>
      </c>
      <c r="AM78" s="30">
        <v>46296.0</v>
      </c>
      <c r="AN78" s="30">
        <v>46387.0</v>
      </c>
      <c r="AO78" s="39">
        <v>0.0</v>
      </c>
      <c r="AP78" s="39">
        <v>0.0</v>
      </c>
      <c r="AQ78" s="35" t="s">
        <v>7045</v>
      </c>
      <c r="AR78" s="30">
        <v>46388.0</v>
      </c>
      <c r="AS78" s="30">
        <v>46477.0</v>
      </c>
      <c r="AT78" s="39">
        <v>0.0</v>
      </c>
      <c r="AU78" s="39">
        <v>0.0</v>
      </c>
      <c r="AV78" s="35" t="s">
        <v>7045</v>
      </c>
      <c r="AW78" s="30">
        <v>46478.0</v>
      </c>
      <c r="AX78" s="30">
        <v>46568.0</v>
      </c>
      <c r="AY78" s="39">
        <v>0.0</v>
      </c>
      <c r="AZ78" s="39">
        <v>0.0</v>
      </c>
      <c r="BA78" s="35" t="s">
        <v>7045</v>
      </c>
      <c r="BB78" s="30">
        <v>46569.0</v>
      </c>
      <c r="BC78" s="30">
        <v>46660.0</v>
      </c>
      <c r="BD78" s="39">
        <v>0.0</v>
      </c>
      <c r="BE78" s="39">
        <v>0.0</v>
      </c>
      <c r="BF78" s="35" t="s">
        <v>7045</v>
      </c>
      <c r="BG78" s="30">
        <v>46661.0</v>
      </c>
      <c r="BH78" s="30">
        <v>46752.0</v>
      </c>
      <c r="BI78" s="39">
        <v>0.0</v>
      </c>
      <c r="BJ78" s="39">
        <v>0.0</v>
      </c>
      <c r="BK78" s="35" t="s">
        <v>7045</v>
      </c>
      <c r="BL78" s="30">
        <v>46753.0</v>
      </c>
      <c r="BM78" s="30">
        <v>46843.0</v>
      </c>
      <c r="BN78" s="39">
        <v>0.0</v>
      </c>
      <c r="BO78" s="39">
        <v>0.0</v>
      </c>
      <c r="BP78" s="35" t="s">
        <v>7045</v>
      </c>
      <c r="BQ78" s="30">
        <v>46844.0</v>
      </c>
      <c r="BR78" s="30">
        <v>46934.0</v>
      </c>
      <c r="BS78" s="39">
        <v>0.0</v>
      </c>
      <c r="BT78" s="39">
        <v>0.0</v>
      </c>
      <c r="BU78" s="35" t="s">
        <v>7045</v>
      </c>
      <c r="BV78" s="30">
        <v>46935.0</v>
      </c>
      <c r="BW78" s="30">
        <v>47026.0</v>
      </c>
      <c r="BX78" s="39">
        <v>0.0</v>
      </c>
      <c r="BY78" s="39">
        <v>0.0</v>
      </c>
      <c r="BZ78" s="35" t="s">
        <v>7045</v>
      </c>
      <c r="CA78" s="30">
        <v>47027.0</v>
      </c>
      <c r="CB78" s="30">
        <v>47118.0</v>
      </c>
      <c r="CC78" s="39">
        <v>0.0</v>
      </c>
      <c r="CD78" s="39">
        <v>0.0</v>
      </c>
      <c r="CE78" s="35" t="s">
        <v>7045</v>
      </c>
      <c r="CF78" s="30">
        <v>47119.0</v>
      </c>
      <c r="CG78" s="30">
        <v>47208.0</v>
      </c>
      <c r="CH78" s="39">
        <v>0.0</v>
      </c>
      <c r="CI78" s="39">
        <v>0.0</v>
      </c>
      <c r="CJ78" s="35" t="s">
        <v>7045</v>
      </c>
      <c r="CK78" s="30">
        <v>47209.0</v>
      </c>
      <c r="CL78" s="30">
        <v>47299.0</v>
      </c>
      <c r="CM78" s="39">
        <v>0.0</v>
      </c>
      <c r="CN78" s="39">
        <v>0.0</v>
      </c>
      <c r="CO78" s="35" t="s">
        <v>7045</v>
      </c>
      <c r="CP78" s="30">
        <v>47300.0</v>
      </c>
      <c r="CQ78" s="30">
        <v>47391.0</v>
      </c>
      <c r="CR78" s="39">
        <v>0.0</v>
      </c>
      <c r="CS78" s="39">
        <v>0.0</v>
      </c>
      <c r="CT78" s="35" t="s">
        <v>7045</v>
      </c>
      <c r="CU78" s="30">
        <v>47392.0</v>
      </c>
      <c r="CV78" s="30">
        <v>47483.0</v>
      </c>
      <c r="CW78" s="39">
        <v>0.0</v>
      </c>
      <c r="CX78" s="39">
        <v>0.0</v>
      </c>
      <c r="CY78" s="35" t="s">
        <v>7045</v>
      </c>
      <c r="CZ78" s="30">
        <v>47484.0</v>
      </c>
      <c r="DA78" s="30">
        <v>47573.0</v>
      </c>
      <c r="DB78" s="39">
        <v>0.0</v>
      </c>
      <c r="DC78" s="39">
        <v>0.0</v>
      </c>
      <c r="DD78" s="35" t="s">
        <v>7045</v>
      </c>
      <c r="DE78" s="30">
        <v>47574.0</v>
      </c>
      <c r="DF78" s="30">
        <v>47664.0</v>
      </c>
      <c r="DG78" s="39">
        <v>0.0</v>
      </c>
      <c r="DH78" s="39">
        <v>0.0</v>
      </c>
      <c r="DI78" s="35" t="s">
        <v>7045</v>
      </c>
      <c r="DJ78" s="30">
        <v>47665.0</v>
      </c>
      <c r="DK78" s="30">
        <v>47756.0</v>
      </c>
      <c r="DL78" s="39">
        <v>0.0</v>
      </c>
      <c r="DM78" s="39">
        <v>0.0</v>
      </c>
      <c r="DN78" s="35" t="s">
        <v>7045</v>
      </c>
      <c r="DO78" s="30">
        <v>47757.0</v>
      </c>
      <c r="DP78" s="30">
        <v>47848.0</v>
      </c>
      <c r="DQ78" s="39">
        <v>0.0</v>
      </c>
      <c r="DR78" s="39">
        <v>0.0</v>
      </c>
      <c r="DS78" s="35" t="s">
        <v>7045</v>
      </c>
    </row>
    <row r="79" ht="14.25" customHeight="1">
      <c r="A79" s="28" t="s">
        <v>898</v>
      </c>
      <c r="B79" s="29" t="s">
        <v>899</v>
      </c>
      <c r="C79" s="29" t="s">
        <v>7041</v>
      </c>
      <c r="D79" s="30">
        <v>45658.0</v>
      </c>
      <c r="E79" s="30">
        <v>45747.0</v>
      </c>
      <c r="F79" s="39">
        <v>75.0</v>
      </c>
      <c r="G79" s="39">
        <v>0.0</v>
      </c>
      <c r="H79" s="38" t="s">
        <v>7047</v>
      </c>
      <c r="I79" s="30">
        <v>45748.0</v>
      </c>
      <c r="J79" s="30">
        <v>45838.0</v>
      </c>
      <c r="K79" s="39">
        <v>9.0</v>
      </c>
      <c r="L79" s="39">
        <v>0.0</v>
      </c>
      <c r="M79" s="38" t="s">
        <v>7047</v>
      </c>
      <c r="N79" s="30">
        <v>45839.0</v>
      </c>
      <c r="O79" s="30">
        <v>45930.0</v>
      </c>
      <c r="P79" s="39">
        <v>73.3</v>
      </c>
      <c r="Q79" s="39">
        <v>0.0</v>
      </c>
      <c r="R79" s="38" t="s">
        <v>7047</v>
      </c>
      <c r="S79" s="30">
        <v>45931.0</v>
      </c>
      <c r="T79" s="30">
        <v>46022.0</v>
      </c>
      <c r="U79" s="39">
        <v>135.8</v>
      </c>
      <c r="V79" s="39">
        <v>0.0</v>
      </c>
      <c r="W79" s="35" t="s">
        <v>7047</v>
      </c>
      <c r="X79" s="30">
        <v>46023.0</v>
      </c>
      <c r="Y79" s="30">
        <v>46112.0</v>
      </c>
      <c r="Z79" s="39">
        <v>0.0</v>
      </c>
      <c r="AA79" s="39">
        <v>0.0</v>
      </c>
      <c r="AB79" s="35" t="s">
        <v>7045</v>
      </c>
      <c r="AC79" s="30">
        <v>46113.0</v>
      </c>
      <c r="AD79" s="30">
        <v>46203.0</v>
      </c>
      <c r="AE79" s="39">
        <v>0.0</v>
      </c>
      <c r="AF79" s="39">
        <v>0.0</v>
      </c>
      <c r="AG79" s="35" t="s">
        <v>7045</v>
      </c>
      <c r="AH79" s="30">
        <v>46204.0</v>
      </c>
      <c r="AI79" s="30">
        <v>46295.0</v>
      </c>
      <c r="AJ79" s="39">
        <v>0.0</v>
      </c>
      <c r="AK79" s="39">
        <v>0.0</v>
      </c>
      <c r="AL79" s="35" t="s">
        <v>7045</v>
      </c>
      <c r="AM79" s="30">
        <v>46296.0</v>
      </c>
      <c r="AN79" s="30">
        <v>46387.0</v>
      </c>
      <c r="AO79" s="39">
        <v>0.0</v>
      </c>
      <c r="AP79" s="39">
        <v>0.0</v>
      </c>
      <c r="AQ79" s="35" t="s">
        <v>7045</v>
      </c>
      <c r="AR79" s="30">
        <v>46388.0</v>
      </c>
      <c r="AS79" s="30">
        <v>46477.0</v>
      </c>
      <c r="AT79" s="39">
        <v>0.0</v>
      </c>
      <c r="AU79" s="39">
        <v>0.0</v>
      </c>
      <c r="AV79" s="35" t="s">
        <v>7045</v>
      </c>
      <c r="AW79" s="30">
        <v>46478.0</v>
      </c>
      <c r="AX79" s="30">
        <v>46568.0</v>
      </c>
      <c r="AY79" s="39">
        <v>0.0</v>
      </c>
      <c r="AZ79" s="39">
        <v>0.0</v>
      </c>
      <c r="BA79" s="35" t="s">
        <v>7045</v>
      </c>
      <c r="BB79" s="30">
        <v>46569.0</v>
      </c>
      <c r="BC79" s="30">
        <v>46660.0</v>
      </c>
      <c r="BD79" s="39">
        <v>0.0</v>
      </c>
      <c r="BE79" s="39">
        <v>0.0</v>
      </c>
      <c r="BF79" s="35" t="s">
        <v>7045</v>
      </c>
      <c r="BG79" s="30">
        <v>46661.0</v>
      </c>
      <c r="BH79" s="30">
        <v>46752.0</v>
      </c>
      <c r="BI79" s="39">
        <v>0.0</v>
      </c>
      <c r="BJ79" s="39">
        <v>0.0</v>
      </c>
      <c r="BK79" s="35" t="s">
        <v>7045</v>
      </c>
      <c r="BL79" s="30">
        <v>46753.0</v>
      </c>
      <c r="BM79" s="30">
        <v>46843.0</v>
      </c>
      <c r="BN79" s="39">
        <v>0.0</v>
      </c>
      <c r="BO79" s="39">
        <v>0.0</v>
      </c>
      <c r="BP79" s="35" t="s">
        <v>7045</v>
      </c>
      <c r="BQ79" s="30">
        <v>46844.0</v>
      </c>
      <c r="BR79" s="30">
        <v>46934.0</v>
      </c>
      <c r="BS79" s="39">
        <v>0.0</v>
      </c>
      <c r="BT79" s="39">
        <v>0.0</v>
      </c>
      <c r="BU79" s="35" t="s">
        <v>7045</v>
      </c>
      <c r="BV79" s="30">
        <v>46935.0</v>
      </c>
      <c r="BW79" s="30">
        <v>47026.0</v>
      </c>
      <c r="BX79" s="39">
        <v>0.0</v>
      </c>
      <c r="BY79" s="39">
        <v>0.0</v>
      </c>
      <c r="BZ79" s="35" t="s">
        <v>7045</v>
      </c>
      <c r="CA79" s="30">
        <v>47027.0</v>
      </c>
      <c r="CB79" s="30">
        <v>47118.0</v>
      </c>
      <c r="CC79" s="39">
        <v>0.0</v>
      </c>
      <c r="CD79" s="39">
        <v>0.0</v>
      </c>
      <c r="CE79" s="35" t="s">
        <v>7045</v>
      </c>
      <c r="CF79" s="30">
        <v>47119.0</v>
      </c>
      <c r="CG79" s="30">
        <v>47208.0</v>
      </c>
      <c r="CH79" s="39">
        <v>0.0</v>
      </c>
      <c r="CI79" s="39">
        <v>0.0</v>
      </c>
      <c r="CJ79" s="35" t="s">
        <v>7045</v>
      </c>
      <c r="CK79" s="30">
        <v>47209.0</v>
      </c>
      <c r="CL79" s="30">
        <v>47299.0</v>
      </c>
      <c r="CM79" s="39">
        <v>0.0</v>
      </c>
      <c r="CN79" s="39">
        <v>0.0</v>
      </c>
      <c r="CO79" s="35" t="s">
        <v>7045</v>
      </c>
      <c r="CP79" s="30">
        <v>47300.0</v>
      </c>
      <c r="CQ79" s="30">
        <v>47391.0</v>
      </c>
      <c r="CR79" s="39">
        <v>0.0</v>
      </c>
      <c r="CS79" s="39">
        <v>0.0</v>
      </c>
      <c r="CT79" s="35" t="s">
        <v>7045</v>
      </c>
      <c r="CU79" s="30">
        <v>47392.0</v>
      </c>
      <c r="CV79" s="30">
        <v>47483.0</v>
      </c>
      <c r="CW79" s="39">
        <v>0.0</v>
      </c>
      <c r="CX79" s="39">
        <v>0.0</v>
      </c>
      <c r="CY79" s="35" t="s">
        <v>7045</v>
      </c>
      <c r="CZ79" s="30">
        <v>47484.0</v>
      </c>
      <c r="DA79" s="30">
        <v>47573.0</v>
      </c>
      <c r="DB79" s="39">
        <v>0.0</v>
      </c>
      <c r="DC79" s="39">
        <v>0.0</v>
      </c>
      <c r="DD79" s="35" t="s">
        <v>7045</v>
      </c>
      <c r="DE79" s="30">
        <v>47574.0</v>
      </c>
      <c r="DF79" s="30">
        <v>47664.0</v>
      </c>
      <c r="DG79" s="39">
        <v>0.0</v>
      </c>
      <c r="DH79" s="39">
        <v>0.0</v>
      </c>
      <c r="DI79" s="35" t="s">
        <v>7045</v>
      </c>
      <c r="DJ79" s="30">
        <v>47665.0</v>
      </c>
      <c r="DK79" s="30">
        <v>47756.0</v>
      </c>
      <c r="DL79" s="39">
        <v>0.0</v>
      </c>
      <c r="DM79" s="39">
        <v>0.0</v>
      </c>
      <c r="DN79" s="35" t="s">
        <v>7045</v>
      </c>
      <c r="DO79" s="30">
        <v>47757.0</v>
      </c>
      <c r="DP79" s="30">
        <v>47848.0</v>
      </c>
      <c r="DQ79" s="39">
        <v>0.0</v>
      </c>
      <c r="DR79" s="39">
        <v>0.0</v>
      </c>
      <c r="DS79" s="35" t="s">
        <v>7045</v>
      </c>
    </row>
    <row r="80" ht="14.25" customHeight="1">
      <c r="A80" s="28" t="s">
        <v>1840</v>
      </c>
      <c r="B80" s="34" t="s">
        <v>1841</v>
      </c>
      <c r="C80" s="29" t="s">
        <v>7041</v>
      </c>
      <c r="D80" s="30">
        <v>45658.0</v>
      </c>
      <c r="E80" s="30">
        <v>45747.0</v>
      </c>
      <c r="F80" s="39">
        <v>25.0</v>
      </c>
      <c r="G80" s="39">
        <v>0.0</v>
      </c>
      <c r="H80" s="38" t="s">
        <v>7047</v>
      </c>
      <c r="I80" s="30">
        <v>45748.0</v>
      </c>
      <c r="J80" s="30">
        <v>45838.0</v>
      </c>
      <c r="K80" s="39">
        <v>0.0</v>
      </c>
      <c r="L80" s="39">
        <v>0.0</v>
      </c>
      <c r="M80" s="35" t="s">
        <v>7045</v>
      </c>
      <c r="N80" s="30">
        <v>45839.0</v>
      </c>
      <c r="O80" s="30">
        <v>45930.0</v>
      </c>
      <c r="P80" s="39">
        <v>52.0</v>
      </c>
      <c r="Q80" s="39">
        <v>0.0</v>
      </c>
      <c r="R80" s="35" t="s">
        <v>7047</v>
      </c>
      <c r="S80" s="30">
        <v>45931.0</v>
      </c>
      <c r="T80" s="30">
        <v>46022.0</v>
      </c>
      <c r="U80" s="39">
        <v>20.0</v>
      </c>
      <c r="V80" s="39">
        <v>0.0</v>
      </c>
      <c r="W80" s="35" t="s">
        <v>7047</v>
      </c>
      <c r="X80" s="30">
        <v>46023.0</v>
      </c>
      <c r="Y80" s="30">
        <v>46112.0</v>
      </c>
      <c r="Z80" s="39">
        <v>0.0</v>
      </c>
      <c r="AA80" s="39">
        <v>0.0</v>
      </c>
      <c r="AB80" s="35" t="s">
        <v>7045</v>
      </c>
      <c r="AC80" s="30">
        <v>46113.0</v>
      </c>
      <c r="AD80" s="30">
        <v>46203.0</v>
      </c>
      <c r="AE80" s="39">
        <v>0.0</v>
      </c>
      <c r="AF80" s="39">
        <v>0.0</v>
      </c>
      <c r="AG80" s="35" t="s">
        <v>7045</v>
      </c>
      <c r="AH80" s="30">
        <v>46204.0</v>
      </c>
      <c r="AI80" s="30">
        <v>46295.0</v>
      </c>
      <c r="AJ80" s="39">
        <v>0.0</v>
      </c>
      <c r="AK80" s="39">
        <v>0.0</v>
      </c>
      <c r="AL80" s="35" t="s">
        <v>7045</v>
      </c>
      <c r="AM80" s="30">
        <v>46296.0</v>
      </c>
      <c r="AN80" s="30">
        <v>46387.0</v>
      </c>
      <c r="AO80" s="39">
        <v>0.0</v>
      </c>
      <c r="AP80" s="39">
        <v>0.0</v>
      </c>
      <c r="AQ80" s="35" t="s">
        <v>7045</v>
      </c>
      <c r="AR80" s="30">
        <v>46388.0</v>
      </c>
      <c r="AS80" s="30">
        <v>46477.0</v>
      </c>
      <c r="AT80" s="39">
        <v>0.0</v>
      </c>
      <c r="AU80" s="39">
        <v>0.0</v>
      </c>
      <c r="AV80" s="35" t="s">
        <v>7045</v>
      </c>
      <c r="AW80" s="30">
        <v>46478.0</v>
      </c>
      <c r="AX80" s="30">
        <v>46568.0</v>
      </c>
      <c r="AY80" s="39">
        <v>0.0</v>
      </c>
      <c r="AZ80" s="39">
        <v>0.0</v>
      </c>
      <c r="BA80" s="35" t="s">
        <v>7045</v>
      </c>
      <c r="BB80" s="30">
        <v>46569.0</v>
      </c>
      <c r="BC80" s="30">
        <v>46660.0</v>
      </c>
      <c r="BD80" s="39">
        <v>0.0</v>
      </c>
      <c r="BE80" s="39">
        <v>0.0</v>
      </c>
      <c r="BF80" s="35" t="s">
        <v>7045</v>
      </c>
      <c r="BG80" s="30">
        <v>46661.0</v>
      </c>
      <c r="BH80" s="30">
        <v>46752.0</v>
      </c>
      <c r="BI80" s="39">
        <v>0.0</v>
      </c>
      <c r="BJ80" s="39">
        <v>0.0</v>
      </c>
      <c r="BK80" s="35" t="s">
        <v>7045</v>
      </c>
      <c r="BL80" s="30">
        <v>46753.0</v>
      </c>
      <c r="BM80" s="30">
        <v>46843.0</v>
      </c>
      <c r="BN80" s="39">
        <v>0.0</v>
      </c>
      <c r="BO80" s="39">
        <v>0.0</v>
      </c>
      <c r="BP80" s="35" t="s">
        <v>7045</v>
      </c>
      <c r="BQ80" s="30">
        <v>46844.0</v>
      </c>
      <c r="BR80" s="30">
        <v>46934.0</v>
      </c>
      <c r="BS80" s="39">
        <v>0.0</v>
      </c>
      <c r="BT80" s="39">
        <v>0.0</v>
      </c>
      <c r="BU80" s="35" t="s">
        <v>7045</v>
      </c>
      <c r="BV80" s="30">
        <v>46935.0</v>
      </c>
      <c r="BW80" s="30">
        <v>47026.0</v>
      </c>
      <c r="BX80" s="39">
        <v>0.0</v>
      </c>
      <c r="BY80" s="39">
        <v>0.0</v>
      </c>
      <c r="BZ80" s="35" t="s">
        <v>7045</v>
      </c>
      <c r="CA80" s="30">
        <v>47027.0</v>
      </c>
      <c r="CB80" s="30">
        <v>47118.0</v>
      </c>
      <c r="CC80" s="39">
        <v>0.0</v>
      </c>
      <c r="CD80" s="39">
        <v>0.0</v>
      </c>
      <c r="CE80" s="35" t="s">
        <v>7045</v>
      </c>
      <c r="CF80" s="30">
        <v>47119.0</v>
      </c>
      <c r="CG80" s="30">
        <v>47208.0</v>
      </c>
      <c r="CH80" s="39">
        <v>0.0</v>
      </c>
      <c r="CI80" s="39">
        <v>0.0</v>
      </c>
      <c r="CJ80" s="35" t="s">
        <v>7045</v>
      </c>
      <c r="CK80" s="30">
        <v>47209.0</v>
      </c>
      <c r="CL80" s="30">
        <v>47299.0</v>
      </c>
      <c r="CM80" s="39">
        <v>0.0</v>
      </c>
      <c r="CN80" s="39">
        <v>0.0</v>
      </c>
      <c r="CO80" s="35" t="s">
        <v>7045</v>
      </c>
      <c r="CP80" s="30">
        <v>47300.0</v>
      </c>
      <c r="CQ80" s="30">
        <v>47391.0</v>
      </c>
      <c r="CR80" s="39">
        <v>0.0</v>
      </c>
      <c r="CS80" s="39">
        <v>0.0</v>
      </c>
      <c r="CT80" s="35" t="s">
        <v>7045</v>
      </c>
      <c r="CU80" s="30">
        <v>47392.0</v>
      </c>
      <c r="CV80" s="30">
        <v>47483.0</v>
      </c>
      <c r="CW80" s="39">
        <v>0.0</v>
      </c>
      <c r="CX80" s="39">
        <v>0.0</v>
      </c>
      <c r="CY80" s="35" t="s">
        <v>7045</v>
      </c>
      <c r="CZ80" s="30">
        <v>47484.0</v>
      </c>
      <c r="DA80" s="30">
        <v>47573.0</v>
      </c>
      <c r="DB80" s="39">
        <v>0.0</v>
      </c>
      <c r="DC80" s="39">
        <v>0.0</v>
      </c>
      <c r="DD80" s="35" t="s">
        <v>7045</v>
      </c>
      <c r="DE80" s="30">
        <v>47574.0</v>
      </c>
      <c r="DF80" s="30">
        <v>47664.0</v>
      </c>
      <c r="DG80" s="39">
        <v>0.0</v>
      </c>
      <c r="DH80" s="39">
        <v>0.0</v>
      </c>
      <c r="DI80" s="35" t="s">
        <v>7045</v>
      </c>
      <c r="DJ80" s="30">
        <v>47665.0</v>
      </c>
      <c r="DK80" s="30">
        <v>47756.0</v>
      </c>
      <c r="DL80" s="39">
        <v>0.0</v>
      </c>
      <c r="DM80" s="39">
        <v>0.0</v>
      </c>
      <c r="DN80" s="35" t="s">
        <v>7045</v>
      </c>
      <c r="DO80" s="30">
        <v>47757.0</v>
      </c>
      <c r="DP80" s="30">
        <v>47848.0</v>
      </c>
      <c r="DQ80" s="39">
        <v>0.0</v>
      </c>
      <c r="DR80" s="39">
        <v>0.0</v>
      </c>
      <c r="DS80" s="35" t="s">
        <v>7045</v>
      </c>
    </row>
    <row r="81" ht="14.25" customHeight="1">
      <c r="A81" s="28" t="s">
        <v>5008</v>
      </c>
      <c r="B81" s="29" t="s">
        <v>5009</v>
      </c>
      <c r="C81" s="29" t="s">
        <v>7041</v>
      </c>
      <c r="D81" s="30">
        <v>45658.0</v>
      </c>
      <c r="E81" s="30">
        <v>45747.0</v>
      </c>
      <c r="F81" s="39">
        <v>49.7</v>
      </c>
      <c r="G81" s="39">
        <v>0.0</v>
      </c>
      <c r="H81" s="38" t="s">
        <v>7047</v>
      </c>
      <c r="I81" s="30">
        <v>45748.0</v>
      </c>
      <c r="J81" s="30">
        <v>45838.0</v>
      </c>
      <c r="K81" s="39">
        <v>436.24</v>
      </c>
      <c r="L81" s="39">
        <v>7289.16</v>
      </c>
      <c r="M81" s="37" t="s">
        <v>7043</v>
      </c>
      <c r="N81" s="30">
        <v>45839.0</v>
      </c>
      <c r="O81" s="30">
        <v>45930.0</v>
      </c>
      <c r="P81" s="39">
        <v>4893.63</v>
      </c>
      <c r="Q81" s="39">
        <v>7289.16</v>
      </c>
      <c r="R81" s="38" t="s">
        <v>7047</v>
      </c>
      <c r="S81" s="30">
        <v>45931.0</v>
      </c>
      <c r="T81" s="30">
        <v>46022.0</v>
      </c>
      <c r="U81" s="39">
        <v>14411.77</v>
      </c>
      <c r="V81" s="39">
        <v>7289.16</v>
      </c>
      <c r="W81" s="38" t="s">
        <v>7047</v>
      </c>
      <c r="X81" s="30">
        <v>46023.0</v>
      </c>
      <c r="Y81" s="30">
        <v>46112.0</v>
      </c>
      <c r="Z81" s="39">
        <v>1112.01</v>
      </c>
      <c r="AA81" s="39">
        <v>0.0</v>
      </c>
      <c r="AB81" s="38" t="s">
        <v>7047</v>
      </c>
      <c r="AC81" s="30">
        <v>46113.0</v>
      </c>
      <c r="AD81" s="30">
        <v>46203.0</v>
      </c>
      <c r="AE81" s="39">
        <v>1164.39</v>
      </c>
      <c r="AF81" s="39">
        <v>0.0</v>
      </c>
      <c r="AG81" s="38" t="s">
        <v>7047</v>
      </c>
      <c r="AH81" s="30">
        <v>46204.0</v>
      </c>
      <c r="AI81" s="30">
        <v>46295.0</v>
      </c>
      <c r="AJ81" s="39">
        <v>67.1</v>
      </c>
      <c r="AK81" s="39">
        <v>0.0</v>
      </c>
      <c r="AL81" s="38" t="s">
        <v>7047</v>
      </c>
      <c r="AM81" s="30">
        <v>46296.0</v>
      </c>
      <c r="AN81" s="30">
        <v>46387.0</v>
      </c>
      <c r="AO81" s="39">
        <v>1130.77</v>
      </c>
      <c r="AP81" s="39">
        <v>0.0</v>
      </c>
      <c r="AQ81" s="38" t="s">
        <v>7047</v>
      </c>
      <c r="AR81" s="30">
        <v>46388.0</v>
      </c>
      <c r="AS81" s="30">
        <v>46477.0</v>
      </c>
      <c r="AT81" s="39">
        <v>0.0</v>
      </c>
      <c r="AU81" s="39">
        <v>0.0</v>
      </c>
      <c r="AV81" s="35" t="s">
        <v>7045</v>
      </c>
      <c r="AW81" s="30">
        <v>46478.0</v>
      </c>
      <c r="AX81" s="30">
        <v>46568.0</v>
      </c>
      <c r="AY81" s="39">
        <v>0.0</v>
      </c>
      <c r="AZ81" s="39">
        <v>0.0</v>
      </c>
      <c r="BA81" s="35" t="s">
        <v>7045</v>
      </c>
      <c r="BB81" s="30">
        <v>46569.0</v>
      </c>
      <c r="BC81" s="30">
        <v>46660.0</v>
      </c>
      <c r="BD81" s="39">
        <v>0.0</v>
      </c>
      <c r="BE81" s="39">
        <v>0.0</v>
      </c>
      <c r="BF81" s="35" t="s">
        <v>7045</v>
      </c>
      <c r="BG81" s="30">
        <v>46661.0</v>
      </c>
      <c r="BH81" s="30">
        <v>46752.0</v>
      </c>
      <c r="BI81" s="39">
        <v>0.0</v>
      </c>
      <c r="BJ81" s="39">
        <v>0.0</v>
      </c>
      <c r="BK81" s="35" t="s">
        <v>7045</v>
      </c>
      <c r="BL81" s="30">
        <v>46753.0</v>
      </c>
      <c r="BM81" s="30">
        <v>46843.0</v>
      </c>
      <c r="BN81" s="39">
        <v>0.0</v>
      </c>
      <c r="BO81" s="39">
        <v>0.0</v>
      </c>
      <c r="BP81" s="35" t="s">
        <v>7045</v>
      </c>
      <c r="BQ81" s="30">
        <v>46844.0</v>
      </c>
      <c r="BR81" s="30">
        <v>46934.0</v>
      </c>
      <c r="BS81" s="39">
        <v>0.0</v>
      </c>
      <c r="BT81" s="39">
        <v>0.0</v>
      </c>
      <c r="BU81" s="35" t="s">
        <v>7045</v>
      </c>
      <c r="BV81" s="30">
        <v>46935.0</v>
      </c>
      <c r="BW81" s="30">
        <v>47026.0</v>
      </c>
      <c r="BX81" s="39">
        <v>0.0</v>
      </c>
      <c r="BY81" s="39">
        <v>0.0</v>
      </c>
      <c r="BZ81" s="35" t="s">
        <v>7045</v>
      </c>
      <c r="CA81" s="30">
        <v>47027.0</v>
      </c>
      <c r="CB81" s="30">
        <v>47118.0</v>
      </c>
      <c r="CC81" s="39">
        <v>0.0</v>
      </c>
      <c r="CD81" s="39">
        <v>0.0</v>
      </c>
      <c r="CE81" s="35" t="s">
        <v>7045</v>
      </c>
      <c r="CF81" s="30">
        <v>47119.0</v>
      </c>
      <c r="CG81" s="30">
        <v>47208.0</v>
      </c>
      <c r="CH81" s="39">
        <v>0.0</v>
      </c>
      <c r="CI81" s="39">
        <v>0.0</v>
      </c>
      <c r="CJ81" s="35" t="s">
        <v>7045</v>
      </c>
      <c r="CK81" s="30">
        <v>47209.0</v>
      </c>
      <c r="CL81" s="30">
        <v>47299.0</v>
      </c>
      <c r="CM81" s="39">
        <v>0.0</v>
      </c>
      <c r="CN81" s="39">
        <v>0.0</v>
      </c>
      <c r="CO81" s="35" t="s">
        <v>7045</v>
      </c>
      <c r="CP81" s="30">
        <v>47300.0</v>
      </c>
      <c r="CQ81" s="30">
        <v>47391.0</v>
      </c>
      <c r="CR81" s="39">
        <v>0.0</v>
      </c>
      <c r="CS81" s="39">
        <v>0.0</v>
      </c>
      <c r="CT81" s="35" t="s">
        <v>7045</v>
      </c>
      <c r="CU81" s="30">
        <v>47392.0</v>
      </c>
      <c r="CV81" s="30">
        <v>47483.0</v>
      </c>
      <c r="CW81" s="39">
        <v>0.0</v>
      </c>
      <c r="CX81" s="39">
        <v>0.0</v>
      </c>
      <c r="CY81" s="35" t="s">
        <v>7045</v>
      </c>
      <c r="CZ81" s="30">
        <v>47484.0</v>
      </c>
      <c r="DA81" s="30">
        <v>47573.0</v>
      </c>
      <c r="DB81" s="39">
        <v>0.0</v>
      </c>
      <c r="DC81" s="39">
        <v>0.0</v>
      </c>
      <c r="DD81" s="35" t="s">
        <v>7045</v>
      </c>
      <c r="DE81" s="30">
        <v>47574.0</v>
      </c>
      <c r="DF81" s="30">
        <v>47664.0</v>
      </c>
      <c r="DG81" s="39">
        <v>0.0</v>
      </c>
      <c r="DH81" s="39">
        <v>0.0</v>
      </c>
      <c r="DI81" s="35" t="s">
        <v>7045</v>
      </c>
      <c r="DJ81" s="30">
        <v>47665.0</v>
      </c>
      <c r="DK81" s="30">
        <v>47756.0</v>
      </c>
      <c r="DL81" s="39">
        <v>0.0</v>
      </c>
      <c r="DM81" s="39">
        <v>0.0</v>
      </c>
      <c r="DN81" s="35" t="s">
        <v>7045</v>
      </c>
      <c r="DO81" s="30">
        <v>47757.0</v>
      </c>
      <c r="DP81" s="30">
        <v>47848.0</v>
      </c>
      <c r="DQ81" s="39">
        <v>0.0</v>
      </c>
      <c r="DR81" s="39">
        <v>0.0</v>
      </c>
      <c r="DS81" s="35" t="s">
        <v>7045</v>
      </c>
    </row>
    <row r="82" ht="14.25" customHeight="1">
      <c r="A82" s="28" t="s">
        <v>3336</v>
      </c>
      <c r="B82" s="29" t="s">
        <v>3337</v>
      </c>
      <c r="C82" s="29" t="s">
        <v>7041</v>
      </c>
      <c r="D82" s="30">
        <v>45658.0</v>
      </c>
      <c r="E82" s="30">
        <v>45747.0</v>
      </c>
      <c r="F82" s="39">
        <v>0.0</v>
      </c>
      <c r="G82" s="39">
        <v>0.0</v>
      </c>
      <c r="H82" s="35" t="s">
        <v>7045</v>
      </c>
      <c r="I82" s="30">
        <v>45748.0</v>
      </c>
      <c r="J82" s="30">
        <v>45838.0</v>
      </c>
      <c r="K82" s="39">
        <v>31.04</v>
      </c>
      <c r="L82" s="39">
        <v>1634.33</v>
      </c>
      <c r="M82" s="32" t="s">
        <v>7043</v>
      </c>
      <c r="N82" s="30">
        <v>45839.0</v>
      </c>
      <c r="O82" s="30">
        <v>45930.0</v>
      </c>
      <c r="P82" s="39">
        <v>50.0</v>
      </c>
      <c r="Q82" s="39">
        <v>1634.33</v>
      </c>
      <c r="R82" s="38" t="s">
        <v>7047</v>
      </c>
      <c r="S82" s="30">
        <v>45931.0</v>
      </c>
      <c r="T82" s="30">
        <v>46022.0</v>
      </c>
      <c r="U82" s="39">
        <v>0.0</v>
      </c>
      <c r="V82" s="39">
        <v>1634.33</v>
      </c>
      <c r="W82" s="32" t="s">
        <v>7043</v>
      </c>
      <c r="X82" s="30">
        <v>46023.0</v>
      </c>
      <c r="Y82" s="30">
        <v>46112.0</v>
      </c>
      <c r="Z82" s="39">
        <v>50.0</v>
      </c>
      <c r="AA82" s="39">
        <v>0.0</v>
      </c>
      <c r="AB82" s="35" t="s">
        <v>7047</v>
      </c>
      <c r="AC82" s="30">
        <v>46113.0</v>
      </c>
      <c r="AD82" s="30">
        <v>46203.0</v>
      </c>
      <c r="AE82" s="39">
        <v>15.0</v>
      </c>
      <c r="AF82" s="39">
        <v>0.0</v>
      </c>
      <c r="AG82" s="35" t="s">
        <v>7047</v>
      </c>
      <c r="AH82" s="30">
        <v>46204.0</v>
      </c>
      <c r="AI82" s="30">
        <v>46295.0</v>
      </c>
      <c r="AJ82" s="39">
        <v>0.0</v>
      </c>
      <c r="AK82" s="39">
        <v>0.0</v>
      </c>
      <c r="AL82" s="35" t="s">
        <v>7045</v>
      </c>
      <c r="AM82" s="30">
        <v>46296.0</v>
      </c>
      <c r="AN82" s="30">
        <v>46387.0</v>
      </c>
      <c r="AO82" s="39">
        <v>0.0</v>
      </c>
      <c r="AP82" s="39">
        <v>0.0</v>
      </c>
      <c r="AQ82" s="35" t="s">
        <v>7045</v>
      </c>
      <c r="AR82" s="30">
        <v>46388.0</v>
      </c>
      <c r="AS82" s="30">
        <v>46477.0</v>
      </c>
      <c r="AT82" s="39">
        <v>0.0</v>
      </c>
      <c r="AU82" s="39">
        <v>0.0</v>
      </c>
      <c r="AV82" s="35" t="s">
        <v>7045</v>
      </c>
      <c r="AW82" s="30">
        <v>46478.0</v>
      </c>
      <c r="AX82" s="30">
        <v>46568.0</v>
      </c>
      <c r="AY82" s="39">
        <v>0.0</v>
      </c>
      <c r="AZ82" s="39">
        <v>0.0</v>
      </c>
      <c r="BA82" s="35" t="s">
        <v>7045</v>
      </c>
      <c r="BB82" s="30">
        <v>46569.0</v>
      </c>
      <c r="BC82" s="30">
        <v>46660.0</v>
      </c>
      <c r="BD82" s="39">
        <v>0.0</v>
      </c>
      <c r="BE82" s="39">
        <v>0.0</v>
      </c>
      <c r="BF82" s="35" t="s">
        <v>7045</v>
      </c>
      <c r="BG82" s="30">
        <v>46661.0</v>
      </c>
      <c r="BH82" s="30">
        <v>46752.0</v>
      </c>
      <c r="BI82" s="39">
        <v>0.0</v>
      </c>
      <c r="BJ82" s="39">
        <v>0.0</v>
      </c>
      <c r="BK82" s="35" t="s">
        <v>7045</v>
      </c>
      <c r="BL82" s="30">
        <v>46753.0</v>
      </c>
      <c r="BM82" s="30">
        <v>46843.0</v>
      </c>
      <c r="BN82" s="39">
        <v>0.0</v>
      </c>
      <c r="BO82" s="39">
        <v>0.0</v>
      </c>
      <c r="BP82" s="35" t="s">
        <v>7045</v>
      </c>
      <c r="BQ82" s="30">
        <v>46844.0</v>
      </c>
      <c r="BR82" s="30">
        <v>46934.0</v>
      </c>
      <c r="BS82" s="39">
        <v>0.0</v>
      </c>
      <c r="BT82" s="39">
        <v>0.0</v>
      </c>
      <c r="BU82" s="35" t="s">
        <v>7045</v>
      </c>
      <c r="BV82" s="30">
        <v>46935.0</v>
      </c>
      <c r="BW82" s="30">
        <v>47026.0</v>
      </c>
      <c r="BX82" s="39">
        <v>0.0</v>
      </c>
      <c r="BY82" s="39">
        <v>0.0</v>
      </c>
      <c r="BZ82" s="35" t="s">
        <v>7045</v>
      </c>
      <c r="CA82" s="30">
        <v>47027.0</v>
      </c>
      <c r="CB82" s="30">
        <v>47118.0</v>
      </c>
      <c r="CC82" s="39">
        <v>0.0</v>
      </c>
      <c r="CD82" s="39">
        <v>0.0</v>
      </c>
      <c r="CE82" s="35" t="s">
        <v>7045</v>
      </c>
      <c r="CF82" s="30">
        <v>47119.0</v>
      </c>
      <c r="CG82" s="30">
        <v>47208.0</v>
      </c>
      <c r="CH82" s="39">
        <v>0.0</v>
      </c>
      <c r="CI82" s="39">
        <v>0.0</v>
      </c>
      <c r="CJ82" s="35" t="s">
        <v>7045</v>
      </c>
      <c r="CK82" s="30">
        <v>47209.0</v>
      </c>
      <c r="CL82" s="30">
        <v>47299.0</v>
      </c>
      <c r="CM82" s="39">
        <v>0.0</v>
      </c>
      <c r="CN82" s="39">
        <v>0.0</v>
      </c>
      <c r="CO82" s="35" t="s">
        <v>7045</v>
      </c>
      <c r="CP82" s="30">
        <v>47300.0</v>
      </c>
      <c r="CQ82" s="30">
        <v>47391.0</v>
      </c>
      <c r="CR82" s="39">
        <v>0.0</v>
      </c>
      <c r="CS82" s="39">
        <v>0.0</v>
      </c>
      <c r="CT82" s="35" t="s">
        <v>7045</v>
      </c>
      <c r="CU82" s="30">
        <v>47392.0</v>
      </c>
      <c r="CV82" s="30">
        <v>47483.0</v>
      </c>
      <c r="CW82" s="39">
        <v>0.0</v>
      </c>
      <c r="CX82" s="39">
        <v>0.0</v>
      </c>
      <c r="CY82" s="35" t="s">
        <v>7045</v>
      </c>
      <c r="CZ82" s="30">
        <v>47484.0</v>
      </c>
      <c r="DA82" s="30">
        <v>47573.0</v>
      </c>
      <c r="DB82" s="39">
        <v>0.0</v>
      </c>
      <c r="DC82" s="39">
        <v>0.0</v>
      </c>
      <c r="DD82" s="35" t="s">
        <v>7045</v>
      </c>
      <c r="DE82" s="30">
        <v>47574.0</v>
      </c>
      <c r="DF82" s="30">
        <v>47664.0</v>
      </c>
      <c r="DG82" s="39">
        <v>0.0</v>
      </c>
      <c r="DH82" s="39">
        <v>0.0</v>
      </c>
      <c r="DI82" s="35" t="s">
        <v>7045</v>
      </c>
      <c r="DJ82" s="30">
        <v>47665.0</v>
      </c>
      <c r="DK82" s="30">
        <v>47756.0</v>
      </c>
      <c r="DL82" s="39">
        <v>0.0</v>
      </c>
      <c r="DM82" s="39">
        <v>0.0</v>
      </c>
      <c r="DN82" s="35" t="s">
        <v>7045</v>
      </c>
      <c r="DO82" s="30">
        <v>47757.0</v>
      </c>
      <c r="DP82" s="30">
        <v>47848.0</v>
      </c>
      <c r="DQ82" s="39">
        <v>0.0</v>
      </c>
      <c r="DR82" s="39">
        <v>0.0</v>
      </c>
      <c r="DS82" s="35" t="s">
        <v>7045</v>
      </c>
    </row>
    <row r="83" ht="14.25" customHeight="1">
      <c r="A83" s="28" t="s">
        <v>4961</v>
      </c>
      <c r="B83" s="29" t="s">
        <v>4962</v>
      </c>
      <c r="C83" s="29" t="s">
        <v>7041</v>
      </c>
      <c r="D83" s="30">
        <v>45658.0</v>
      </c>
      <c r="E83" s="30">
        <v>45747.0</v>
      </c>
      <c r="F83" s="39">
        <v>0.0</v>
      </c>
      <c r="G83" s="39">
        <v>0.0</v>
      </c>
      <c r="H83" s="32" t="s">
        <v>7043</v>
      </c>
      <c r="I83" s="30">
        <v>45748.0</v>
      </c>
      <c r="J83" s="30">
        <v>45838.0</v>
      </c>
      <c r="K83" s="39">
        <v>0.0</v>
      </c>
      <c r="L83" s="39">
        <v>875.0</v>
      </c>
      <c r="M83" s="32" t="s">
        <v>7043</v>
      </c>
      <c r="N83" s="30">
        <v>45839.0</v>
      </c>
      <c r="O83" s="30">
        <v>45930.0</v>
      </c>
      <c r="P83" s="39">
        <v>0.0</v>
      </c>
      <c r="Q83" s="39">
        <v>875.0</v>
      </c>
      <c r="R83" s="32" t="s">
        <v>7043</v>
      </c>
      <c r="S83" s="30">
        <v>45931.0</v>
      </c>
      <c r="T83" s="30">
        <v>46022.0</v>
      </c>
      <c r="U83" s="39">
        <v>23.0</v>
      </c>
      <c r="V83" s="39">
        <v>875.0</v>
      </c>
      <c r="W83" s="38" t="s">
        <v>7047</v>
      </c>
      <c r="X83" s="30">
        <v>46023.0</v>
      </c>
      <c r="Y83" s="30">
        <v>46112.0</v>
      </c>
      <c r="Z83" s="39">
        <v>0.0</v>
      </c>
      <c r="AA83" s="39">
        <v>0.0</v>
      </c>
      <c r="AB83" s="35" t="s">
        <v>7045</v>
      </c>
      <c r="AC83" s="30">
        <v>46113.0</v>
      </c>
      <c r="AD83" s="30">
        <v>46203.0</v>
      </c>
      <c r="AE83" s="39">
        <v>0.0</v>
      </c>
      <c r="AF83" s="39">
        <v>0.0</v>
      </c>
      <c r="AG83" s="35" t="s">
        <v>7045</v>
      </c>
      <c r="AH83" s="30">
        <v>46204.0</v>
      </c>
      <c r="AI83" s="30">
        <v>46295.0</v>
      </c>
      <c r="AJ83" s="39">
        <v>0.0</v>
      </c>
      <c r="AK83" s="39">
        <v>0.0</v>
      </c>
      <c r="AL83" s="35" t="s">
        <v>7045</v>
      </c>
      <c r="AM83" s="30">
        <v>46296.0</v>
      </c>
      <c r="AN83" s="30">
        <v>46387.0</v>
      </c>
      <c r="AO83" s="39">
        <v>0.0</v>
      </c>
      <c r="AP83" s="39">
        <v>0.0</v>
      </c>
      <c r="AQ83" s="35" t="s">
        <v>7045</v>
      </c>
      <c r="AR83" s="30">
        <v>46388.0</v>
      </c>
      <c r="AS83" s="30">
        <v>46477.0</v>
      </c>
      <c r="AT83" s="39">
        <v>0.0</v>
      </c>
      <c r="AU83" s="39">
        <v>0.0</v>
      </c>
      <c r="AV83" s="35" t="s">
        <v>7045</v>
      </c>
      <c r="AW83" s="30">
        <v>46478.0</v>
      </c>
      <c r="AX83" s="30">
        <v>46568.0</v>
      </c>
      <c r="AY83" s="39">
        <v>0.0</v>
      </c>
      <c r="AZ83" s="39">
        <v>0.0</v>
      </c>
      <c r="BA83" s="35" t="s">
        <v>7045</v>
      </c>
      <c r="BB83" s="30">
        <v>46569.0</v>
      </c>
      <c r="BC83" s="30">
        <v>46660.0</v>
      </c>
      <c r="BD83" s="39">
        <v>0.0</v>
      </c>
      <c r="BE83" s="39">
        <v>0.0</v>
      </c>
      <c r="BF83" s="35" t="s">
        <v>7045</v>
      </c>
      <c r="BG83" s="30">
        <v>46661.0</v>
      </c>
      <c r="BH83" s="30">
        <v>46752.0</v>
      </c>
      <c r="BI83" s="39">
        <v>0.0</v>
      </c>
      <c r="BJ83" s="39">
        <v>0.0</v>
      </c>
      <c r="BK83" s="35" t="s">
        <v>7045</v>
      </c>
      <c r="BL83" s="30">
        <v>46753.0</v>
      </c>
      <c r="BM83" s="30">
        <v>46843.0</v>
      </c>
      <c r="BN83" s="39">
        <v>0.0</v>
      </c>
      <c r="BO83" s="39">
        <v>0.0</v>
      </c>
      <c r="BP83" s="35" t="s">
        <v>7045</v>
      </c>
      <c r="BQ83" s="30">
        <v>46844.0</v>
      </c>
      <c r="BR83" s="30">
        <v>46934.0</v>
      </c>
      <c r="BS83" s="39">
        <v>0.0</v>
      </c>
      <c r="BT83" s="39">
        <v>0.0</v>
      </c>
      <c r="BU83" s="35" t="s">
        <v>7045</v>
      </c>
      <c r="BV83" s="30">
        <v>46935.0</v>
      </c>
      <c r="BW83" s="30">
        <v>47026.0</v>
      </c>
      <c r="BX83" s="39">
        <v>0.0</v>
      </c>
      <c r="BY83" s="39">
        <v>0.0</v>
      </c>
      <c r="BZ83" s="35" t="s">
        <v>7045</v>
      </c>
      <c r="CA83" s="30">
        <v>47027.0</v>
      </c>
      <c r="CB83" s="30">
        <v>47118.0</v>
      </c>
      <c r="CC83" s="39">
        <v>0.0</v>
      </c>
      <c r="CD83" s="39">
        <v>0.0</v>
      </c>
      <c r="CE83" s="35" t="s">
        <v>7045</v>
      </c>
      <c r="CF83" s="30">
        <v>47119.0</v>
      </c>
      <c r="CG83" s="30">
        <v>47208.0</v>
      </c>
      <c r="CH83" s="39">
        <v>0.0</v>
      </c>
      <c r="CI83" s="39">
        <v>0.0</v>
      </c>
      <c r="CJ83" s="35" t="s">
        <v>7045</v>
      </c>
      <c r="CK83" s="30">
        <v>47209.0</v>
      </c>
      <c r="CL83" s="30">
        <v>47299.0</v>
      </c>
      <c r="CM83" s="39">
        <v>0.0</v>
      </c>
      <c r="CN83" s="39">
        <v>0.0</v>
      </c>
      <c r="CO83" s="35" t="s">
        <v>7045</v>
      </c>
      <c r="CP83" s="30">
        <v>47300.0</v>
      </c>
      <c r="CQ83" s="30">
        <v>47391.0</v>
      </c>
      <c r="CR83" s="39">
        <v>0.0</v>
      </c>
      <c r="CS83" s="39">
        <v>0.0</v>
      </c>
      <c r="CT83" s="35" t="s">
        <v>7045</v>
      </c>
      <c r="CU83" s="30">
        <v>47392.0</v>
      </c>
      <c r="CV83" s="30">
        <v>47483.0</v>
      </c>
      <c r="CW83" s="39">
        <v>0.0</v>
      </c>
      <c r="CX83" s="39">
        <v>0.0</v>
      </c>
      <c r="CY83" s="35" t="s">
        <v>7045</v>
      </c>
      <c r="CZ83" s="30">
        <v>47484.0</v>
      </c>
      <c r="DA83" s="30">
        <v>47573.0</v>
      </c>
      <c r="DB83" s="39">
        <v>0.0</v>
      </c>
      <c r="DC83" s="39">
        <v>0.0</v>
      </c>
      <c r="DD83" s="35" t="s">
        <v>7045</v>
      </c>
      <c r="DE83" s="30">
        <v>47574.0</v>
      </c>
      <c r="DF83" s="30">
        <v>47664.0</v>
      </c>
      <c r="DG83" s="39">
        <v>0.0</v>
      </c>
      <c r="DH83" s="39">
        <v>0.0</v>
      </c>
      <c r="DI83" s="35" t="s">
        <v>7045</v>
      </c>
      <c r="DJ83" s="30">
        <v>47665.0</v>
      </c>
      <c r="DK83" s="30">
        <v>47756.0</v>
      </c>
      <c r="DL83" s="39">
        <v>0.0</v>
      </c>
      <c r="DM83" s="39">
        <v>0.0</v>
      </c>
      <c r="DN83" s="35" t="s">
        <v>7045</v>
      </c>
      <c r="DO83" s="30">
        <v>47757.0</v>
      </c>
      <c r="DP83" s="30">
        <v>47848.0</v>
      </c>
      <c r="DQ83" s="39">
        <v>0.0</v>
      </c>
      <c r="DR83" s="39">
        <v>0.0</v>
      </c>
      <c r="DS83" s="35" t="s">
        <v>7045</v>
      </c>
    </row>
    <row r="84" ht="14.25" customHeight="1">
      <c r="A84" s="28" t="s">
        <v>3173</v>
      </c>
      <c r="B84" s="29" t="s">
        <v>3174</v>
      </c>
      <c r="C84" s="29" t="s">
        <v>7041</v>
      </c>
      <c r="D84" s="30">
        <v>45658.0</v>
      </c>
      <c r="E84" s="30">
        <v>45747.0</v>
      </c>
      <c r="F84" s="39">
        <v>27.53</v>
      </c>
      <c r="G84" s="39">
        <v>0.0</v>
      </c>
      <c r="H84" s="38" t="s">
        <v>7047</v>
      </c>
      <c r="I84" s="30">
        <v>45748.0</v>
      </c>
      <c r="J84" s="30">
        <v>45838.0</v>
      </c>
      <c r="K84" s="39">
        <v>35.09</v>
      </c>
      <c r="L84" s="39">
        <v>1590.0</v>
      </c>
      <c r="M84" s="37" t="s">
        <v>7043</v>
      </c>
      <c r="N84" s="30">
        <v>45839.0</v>
      </c>
      <c r="O84" s="30">
        <v>45930.0</v>
      </c>
      <c r="P84" s="39">
        <v>745.82</v>
      </c>
      <c r="Q84" s="39">
        <v>1590.0</v>
      </c>
      <c r="R84" s="38" t="s">
        <v>7047</v>
      </c>
      <c r="S84" s="30">
        <v>45931.0</v>
      </c>
      <c r="T84" s="30">
        <v>46022.0</v>
      </c>
      <c r="U84" s="39">
        <v>1046.79</v>
      </c>
      <c r="V84" s="39">
        <v>1590.0</v>
      </c>
      <c r="W84" s="38" t="s">
        <v>7047</v>
      </c>
      <c r="X84" s="30">
        <v>46023.0</v>
      </c>
      <c r="Y84" s="30">
        <v>46112.0</v>
      </c>
      <c r="Z84" s="39">
        <v>150.09</v>
      </c>
      <c r="AA84" s="39">
        <v>0.0</v>
      </c>
      <c r="AB84" s="38" t="s">
        <v>7047</v>
      </c>
      <c r="AC84" s="30">
        <v>46113.0</v>
      </c>
      <c r="AD84" s="30">
        <v>46203.0</v>
      </c>
      <c r="AE84" s="39">
        <v>242.4</v>
      </c>
      <c r="AF84" s="39">
        <v>0.0</v>
      </c>
      <c r="AG84" s="38" t="s">
        <v>7047</v>
      </c>
      <c r="AH84" s="30">
        <v>46204.0</v>
      </c>
      <c r="AI84" s="30">
        <v>46295.0</v>
      </c>
      <c r="AJ84" s="39">
        <v>77.0</v>
      </c>
      <c r="AK84" s="39">
        <v>0.0</v>
      </c>
      <c r="AL84" s="38" t="s">
        <v>7047</v>
      </c>
      <c r="AM84" s="30">
        <v>46296.0</v>
      </c>
      <c r="AN84" s="30">
        <v>46387.0</v>
      </c>
      <c r="AO84" s="39">
        <v>63.13</v>
      </c>
      <c r="AP84" s="39">
        <v>0.0</v>
      </c>
      <c r="AQ84" s="38" t="s">
        <v>7047</v>
      </c>
      <c r="AR84" s="30">
        <v>46388.0</v>
      </c>
      <c r="AS84" s="30">
        <v>46477.0</v>
      </c>
      <c r="AT84" s="39">
        <v>0.0</v>
      </c>
      <c r="AU84" s="39">
        <v>0.0</v>
      </c>
      <c r="AV84" s="35" t="s">
        <v>7045</v>
      </c>
      <c r="AW84" s="30">
        <v>46478.0</v>
      </c>
      <c r="AX84" s="30">
        <v>46568.0</v>
      </c>
      <c r="AY84" s="39">
        <v>0.0</v>
      </c>
      <c r="AZ84" s="39">
        <v>0.0</v>
      </c>
      <c r="BA84" s="35" t="s">
        <v>7045</v>
      </c>
      <c r="BB84" s="30">
        <v>46569.0</v>
      </c>
      <c r="BC84" s="30">
        <v>46660.0</v>
      </c>
      <c r="BD84" s="39">
        <v>0.0</v>
      </c>
      <c r="BE84" s="39">
        <v>0.0</v>
      </c>
      <c r="BF84" s="35" t="s">
        <v>7045</v>
      </c>
      <c r="BG84" s="30">
        <v>46661.0</v>
      </c>
      <c r="BH84" s="30">
        <v>46752.0</v>
      </c>
      <c r="BI84" s="39">
        <v>0.0</v>
      </c>
      <c r="BJ84" s="39">
        <v>0.0</v>
      </c>
      <c r="BK84" s="35" t="s">
        <v>7045</v>
      </c>
      <c r="BL84" s="30">
        <v>46753.0</v>
      </c>
      <c r="BM84" s="30">
        <v>46843.0</v>
      </c>
      <c r="BN84" s="39">
        <v>0.0</v>
      </c>
      <c r="BO84" s="39">
        <v>0.0</v>
      </c>
      <c r="BP84" s="35" t="s">
        <v>7045</v>
      </c>
      <c r="BQ84" s="30">
        <v>46844.0</v>
      </c>
      <c r="BR84" s="30">
        <v>46934.0</v>
      </c>
      <c r="BS84" s="39">
        <v>0.0</v>
      </c>
      <c r="BT84" s="39">
        <v>0.0</v>
      </c>
      <c r="BU84" s="35" t="s">
        <v>7045</v>
      </c>
      <c r="BV84" s="30">
        <v>46935.0</v>
      </c>
      <c r="BW84" s="30">
        <v>47026.0</v>
      </c>
      <c r="BX84" s="39">
        <v>0.0</v>
      </c>
      <c r="BY84" s="39">
        <v>0.0</v>
      </c>
      <c r="BZ84" s="35" t="s">
        <v>7045</v>
      </c>
      <c r="CA84" s="30">
        <v>47027.0</v>
      </c>
      <c r="CB84" s="30">
        <v>47118.0</v>
      </c>
      <c r="CC84" s="39">
        <v>0.0</v>
      </c>
      <c r="CD84" s="39">
        <v>0.0</v>
      </c>
      <c r="CE84" s="35" t="s">
        <v>7045</v>
      </c>
      <c r="CF84" s="30">
        <v>47119.0</v>
      </c>
      <c r="CG84" s="30">
        <v>47208.0</v>
      </c>
      <c r="CH84" s="39">
        <v>0.0</v>
      </c>
      <c r="CI84" s="39">
        <v>0.0</v>
      </c>
      <c r="CJ84" s="35" t="s">
        <v>7045</v>
      </c>
      <c r="CK84" s="30">
        <v>47209.0</v>
      </c>
      <c r="CL84" s="30">
        <v>47299.0</v>
      </c>
      <c r="CM84" s="39">
        <v>0.0</v>
      </c>
      <c r="CN84" s="39">
        <v>0.0</v>
      </c>
      <c r="CO84" s="35" t="s">
        <v>7045</v>
      </c>
      <c r="CP84" s="30">
        <v>47300.0</v>
      </c>
      <c r="CQ84" s="30">
        <v>47391.0</v>
      </c>
      <c r="CR84" s="39">
        <v>0.0</v>
      </c>
      <c r="CS84" s="39">
        <v>0.0</v>
      </c>
      <c r="CT84" s="35" t="s">
        <v>7045</v>
      </c>
      <c r="CU84" s="30">
        <v>47392.0</v>
      </c>
      <c r="CV84" s="30">
        <v>47483.0</v>
      </c>
      <c r="CW84" s="39">
        <v>0.0</v>
      </c>
      <c r="CX84" s="39">
        <v>0.0</v>
      </c>
      <c r="CY84" s="35" t="s">
        <v>7045</v>
      </c>
      <c r="CZ84" s="30">
        <v>47484.0</v>
      </c>
      <c r="DA84" s="30">
        <v>47573.0</v>
      </c>
      <c r="DB84" s="39">
        <v>0.0</v>
      </c>
      <c r="DC84" s="39">
        <v>0.0</v>
      </c>
      <c r="DD84" s="35" t="s">
        <v>7045</v>
      </c>
      <c r="DE84" s="30">
        <v>47574.0</v>
      </c>
      <c r="DF84" s="30">
        <v>47664.0</v>
      </c>
      <c r="DG84" s="39">
        <v>0.0</v>
      </c>
      <c r="DH84" s="39">
        <v>0.0</v>
      </c>
      <c r="DI84" s="35" t="s">
        <v>7045</v>
      </c>
      <c r="DJ84" s="30">
        <v>47665.0</v>
      </c>
      <c r="DK84" s="30">
        <v>47756.0</v>
      </c>
      <c r="DL84" s="39">
        <v>0.0</v>
      </c>
      <c r="DM84" s="39">
        <v>0.0</v>
      </c>
      <c r="DN84" s="35" t="s">
        <v>7045</v>
      </c>
      <c r="DO84" s="30">
        <v>47757.0</v>
      </c>
      <c r="DP84" s="30">
        <v>47848.0</v>
      </c>
      <c r="DQ84" s="39">
        <v>0.0</v>
      </c>
      <c r="DR84" s="39">
        <v>0.0</v>
      </c>
      <c r="DS84" s="35" t="s">
        <v>7045</v>
      </c>
    </row>
    <row r="85" ht="14.25" customHeight="1">
      <c r="A85" s="28" t="s">
        <v>2741</v>
      </c>
      <c r="B85" s="29" t="s">
        <v>2742</v>
      </c>
      <c r="C85" s="29" t="s">
        <v>7041</v>
      </c>
      <c r="D85" s="30">
        <v>45658.0</v>
      </c>
      <c r="E85" s="30">
        <v>45747.0</v>
      </c>
      <c r="F85" s="39">
        <v>1.39</v>
      </c>
      <c r="G85" s="39">
        <v>0.0</v>
      </c>
      <c r="H85" s="38" t="s">
        <v>7047</v>
      </c>
      <c r="I85" s="30">
        <v>45748.0</v>
      </c>
      <c r="J85" s="30">
        <v>45838.0</v>
      </c>
      <c r="K85" s="39">
        <v>67.64</v>
      </c>
      <c r="L85" s="39">
        <v>1583.33</v>
      </c>
      <c r="M85" s="37" t="s">
        <v>7043</v>
      </c>
      <c r="N85" s="30">
        <v>45839.0</v>
      </c>
      <c r="O85" s="30">
        <v>45930.0</v>
      </c>
      <c r="P85" s="39">
        <v>346.07</v>
      </c>
      <c r="Q85" s="39">
        <v>1583.33</v>
      </c>
      <c r="R85" s="38" t="s">
        <v>7047</v>
      </c>
      <c r="S85" s="30">
        <v>45931.0</v>
      </c>
      <c r="T85" s="30">
        <v>46022.0</v>
      </c>
      <c r="U85" s="39">
        <v>419.95</v>
      </c>
      <c r="V85" s="39">
        <v>1583.33</v>
      </c>
      <c r="W85" s="38" t="s">
        <v>7047</v>
      </c>
      <c r="X85" s="30">
        <v>46023.0</v>
      </c>
      <c r="Y85" s="30">
        <v>46112.0</v>
      </c>
      <c r="Z85" s="39">
        <v>12.0</v>
      </c>
      <c r="AA85" s="39">
        <v>0.0</v>
      </c>
      <c r="AB85" s="38" t="s">
        <v>7047</v>
      </c>
      <c r="AC85" s="30">
        <v>46113.0</v>
      </c>
      <c r="AD85" s="30">
        <v>46203.0</v>
      </c>
      <c r="AE85" s="39">
        <v>7.16</v>
      </c>
      <c r="AF85" s="39">
        <v>0.0</v>
      </c>
      <c r="AG85" s="38" t="s">
        <v>7047</v>
      </c>
      <c r="AH85" s="30">
        <v>46204.0</v>
      </c>
      <c r="AI85" s="30">
        <v>46295.0</v>
      </c>
      <c r="AJ85" s="39">
        <v>15.0</v>
      </c>
      <c r="AK85" s="39">
        <v>0.0</v>
      </c>
      <c r="AL85" s="38" t="s">
        <v>7047</v>
      </c>
      <c r="AM85" s="30">
        <v>46296.0</v>
      </c>
      <c r="AN85" s="30">
        <v>46387.0</v>
      </c>
      <c r="AO85" s="39">
        <v>200.0</v>
      </c>
      <c r="AP85" s="39">
        <v>0.0</v>
      </c>
      <c r="AQ85" s="38" t="s">
        <v>7047</v>
      </c>
      <c r="AR85" s="30">
        <v>46388.0</v>
      </c>
      <c r="AS85" s="30">
        <v>46477.0</v>
      </c>
      <c r="AT85" s="39">
        <v>0.0</v>
      </c>
      <c r="AU85" s="39">
        <v>0.0</v>
      </c>
      <c r="AV85" s="35" t="s">
        <v>7045</v>
      </c>
      <c r="AW85" s="30">
        <v>46478.0</v>
      </c>
      <c r="AX85" s="30">
        <v>46568.0</v>
      </c>
      <c r="AY85" s="39">
        <v>0.0</v>
      </c>
      <c r="AZ85" s="39">
        <v>0.0</v>
      </c>
      <c r="BA85" s="35" t="s">
        <v>7045</v>
      </c>
      <c r="BB85" s="30">
        <v>46569.0</v>
      </c>
      <c r="BC85" s="30">
        <v>46660.0</v>
      </c>
      <c r="BD85" s="39">
        <v>0.0</v>
      </c>
      <c r="BE85" s="39">
        <v>0.0</v>
      </c>
      <c r="BF85" s="35" t="s">
        <v>7045</v>
      </c>
      <c r="BG85" s="30">
        <v>46661.0</v>
      </c>
      <c r="BH85" s="30">
        <v>46752.0</v>
      </c>
      <c r="BI85" s="39">
        <v>0.0</v>
      </c>
      <c r="BJ85" s="39">
        <v>0.0</v>
      </c>
      <c r="BK85" s="35" t="s">
        <v>7045</v>
      </c>
      <c r="BL85" s="30">
        <v>46753.0</v>
      </c>
      <c r="BM85" s="30">
        <v>46843.0</v>
      </c>
      <c r="BN85" s="39">
        <v>0.0</v>
      </c>
      <c r="BO85" s="39">
        <v>0.0</v>
      </c>
      <c r="BP85" s="35" t="s">
        <v>7045</v>
      </c>
      <c r="BQ85" s="30">
        <v>46844.0</v>
      </c>
      <c r="BR85" s="30">
        <v>46934.0</v>
      </c>
      <c r="BS85" s="39">
        <v>0.0</v>
      </c>
      <c r="BT85" s="39">
        <v>0.0</v>
      </c>
      <c r="BU85" s="35" t="s">
        <v>7045</v>
      </c>
      <c r="BV85" s="30">
        <v>46935.0</v>
      </c>
      <c r="BW85" s="30">
        <v>47026.0</v>
      </c>
      <c r="BX85" s="39">
        <v>0.0</v>
      </c>
      <c r="BY85" s="39">
        <v>0.0</v>
      </c>
      <c r="BZ85" s="35" t="s">
        <v>7045</v>
      </c>
      <c r="CA85" s="30">
        <v>47027.0</v>
      </c>
      <c r="CB85" s="30">
        <v>47118.0</v>
      </c>
      <c r="CC85" s="39">
        <v>0.0</v>
      </c>
      <c r="CD85" s="39">
        <v>0.0</v>
      </c>
      <c r="CE85" s="35" t="s">
        <v>7045</v>
      </c>
      <c r="CF85" s="30">
        <v>47119.0</v>
      </c>
      <c r="CG85" s="30">
        <v>47208.0</v>
      </c>
      <c r="CH85" s="39">
        <v>0.0</v>
      </c>
      <c r="CI85" s="39">
        <v>0.0</v>
      </c>
      <c r="CJ85" s="35" t="s">
        <v>7045</v>
      </c>
      <c r="CK85" s="30">
        <v>47209.0</v>
      </c>
      <c r="CL85" s="30">
        <v>47299.0</v>
      </c>
      <c r="CM85" s="39">
        <v>0.0</v>
      </c>
      <c r="CN85" s="39">
        <v>0.0</v>
      </c>
      <c r="CO85" s="35" t="s">
        <v>7045</v>
      </c>
      <c r="CP85" s="30">
        <v>47300.0</v>
      </c>
      <c r="CQ85" s="30">
        <v>47391.0</v>
      </c>
      <c r="CR85" s="39">
        <v>0.0</v>
      </c>
      <c r="CS85" s="39">
        <v>0.0</v>
      </c>
      <c r="CT85" s="35" t="s">
        <v>7045</v>
      </c>
      <c r="CU85" s="30">
        <v>47392.0</v>
      </c>
      <c r="CV85" s="30">
        <v>47483.0</v>
      </c>
      <c r="CW85" s="39">
        <v>0.0</v>
      </c>
      <c r="CX85" s="39">
        <v>0.0</v>
      </c>
      <c r="CY85" s="35" t="s">
        <v>7045</v>
      </c>
      <c r="CZ85" s="30">
        <v>47484.0</v>
      </c>
      <c r="DA85" s="30">
        <v>47573.0</v>
      </c>
      <c r="DB85" s="39">
        <v>0.0</v>
      </c>
      <c r="DC85" s="39">
        <v>0.0</v>
      </c>
      <c r="DD85" s="35" t="s">
        <v>7045</v>
      </c>
      <c r="DE85" s="30">
        <v>47574.0</v>
      </c>
      <c r="DF85" s="30">
        <v>47664.0</v>
      </c>
      <c r="DG85" s="39">
        <v>0.0</v>
      </c>
      <c r="DH85" s="39">
        <v>0.0</v>
      </c>
      <c r="DI85" s="35" t="s">
        <v>7045</v>
      </c>
      <c r="DJ85" s="30">
        <v>47665.0</v>
      </c>
      <c r="DK85" s="30">
        <v>47756.0</v>
      </c>
      <c r="DL85" s="39">
        <v>0.0</v>
      </c>
      <c r="DM85" s="39">
        <v>0.0</v>
      </c>
      <c r="DN85" s="35" t="s">
        <v>7045</v>
      </c>
      <c r="DO85" s="30">
        <v>47757.0</v>
      </c>
      <c r="DP85" s="30">
        <v>47848.0</v>
      </c>
      <c r="DQ85" s="39">
        <v>0.0</v>
      </c>
      <c r="DR85" s="39">
        <v>0.0</v>
      </c>
      <c r="DS85" s="35" t="s">
        <v>7045</v>
      </c>
    </row>
    <row r="86" ht="14.25" customHeight="1">
      <c r="A86" s="28" t="s">
        <v>6026</v>
      </c>
      <c r="B86" s="29" t="s">
        <v>6027</v>
      </c>
      <c r="C86" s="29" t="s">
        <v>7041</v>
      </c>
      <c r="D86" s="30">
        <v>45658.0</v>
      </c>
      <c r="E86" s="30">
        <v>45747.0</v>
      </c>
      <c r="F86" s="39">
        <v>20.0</v>
      </c>
      <c r="G86" s="39">
        <v>0.0</v>
      </c>
      <c r="H86" s="38" t="s">
        <v>7047</v>
      </c>
      <c r="I86" s="30">
        <v>45748.0</v>
      </c>
      <c r="J86" s="30">
        <v>45838.0</v>
      </c>
      <c r="K86" s="39">
        <v>20.0</v>
      </c>
      <c r="L86" s="39">
        <v>0.0</v>
      </c>
      <c r="M86" s="38" t="s">
        <v>7047</v>
      </c>
      <c r="N86" s="30">
        <v>45839.0</v>
      </c>
      <c r="O86" s="30">
        <v>45930.0</v>
      </c>
      <c r="P86" s="39">
        <v>25.0</v>
      </c>
      <c r="Q86" s="39">
        <v>0.0</v>
      </c>
      <c r="R86" s="38" t="s">
        <v>7047</v>
      </c>
      <c r="S86" s="30">
        <v>45931.0</v>
      </c>
      <c r="T86" s="30">
        <v>46022.0</v>
      </c>
      <c r="U86" s="39">
        <v>10.0</v>
      </c>
      <c r="V86" s="39">
        <v>0.0</v>
      </c>
      <c r="W86" s="38" t="s">
        <v>7047</v>
      </c>
      <c r="X86" s="30">
        <v>46023.0</v>
      </c>
      <c r="Y86" s="30">
        <v>46112.0</v>
      </c>
      <c r="Z86" s="39">
        <v>10.0</v>
      </c>
      <c r="AA86" s="39">
        <v>0.0</v>
      </c>
      <c r="AB86" s="35" t="s">
        <v>7047</v>
      </c>
      <c r="AC86" s="30">
        <v>46113.0</v>
      </c>
      <c r="AD86" s="30">
        <v>46203.0</v>
      </c>
      <c r="AE86" s="39">
        <v>18.0</v>
      </c>
      <c r="AF86" s="39">
        <v>0.0</v>
      </c>
      <c r="AG86" s="38" t="s">
        <v>7047</v>
      </c>
      <c r="AH86" s="30">
        <v>46204.0</v>
      </c>
      <c r="AI86" s="30">
        <v>46295.0</v>
      </c>
      <c r="AJ86" s="39">
        <v>0.0</v>
      </c>
      <c r="AK86" s="39">
        <v>0.0</v>
      </c>
      <c r="AL86" s="35" t="s">
        <v>7045</v>
      </c>
      <c r="AM86" s="30">
        <v>46296.0</v>
      </c>
      <c r="AN86" s="30">
        <v>46387.0</v>
      </c>
      <c r="AO86" s="39">
        <v>0.0</v>
      </c>
      <c r="AP86" s="39">
        <v>0.0</v>
      </c>
      <c r="AQ86" s="35" t="s">
        <v>7045</v>
      </c>
      <c r="AR86" s="30">
        <v>46388.0</v>
      </c>
      <c r="AS86" s="30">
        <v>46477.0</v>
      </c>
      <c r="AT86" s="39">
        <v>0.0</v>
      </c>
      <c r="AU86" s="39">
        <v>0.0</v>
      </c>
      <c r="AV86" s="35" t="s">
        <v>7045</v>
      </c>
      <c r="AW86" s="30">
        <v>46478.0</v>
      </c>
      <c r="AX86" s="30">
        <v>46568.0</v>
      </c>
      <c r="AY86" s="39">
        <v>0.0</v>
      </c>
      <c r="AZ86" s="39">
        <v>0.0</v>
      </c>
      <c r="BA86" s="35" t="s">
        <v>7045</v>
      </c>
      <c r="BB86" s="30">
        <v>46569.0</v>
      </c>
      <c r="BC86" s="30">
        <v>46660.0</v>
      </c>
      <c r="BD86" s="39">
        <v>0.0</v>
      </c>
      <c r="BE86" s="39">
        <v>0.0</v>
      </c>
      <c r="BF86" s="35" t="s">
        <v>7045</v>
      </c>
      <c r="BG86" s="30">
        <v>46661.0</v>
      </c>
      <c r="BH86" s="30">
        <v>46752.0</v>
      </c>
      <c r="BI86" s="39">
        <v>0.0</v>
      </c>
      <c r="BJ86" s="39">
        <v>0.0</v>
      </c>
      <c r="BK86" s="35" t="s">
        <v>7045</v>
      </c>
      <c r="BL86" s="30">
        <v>46753.0</v>
      </c>
      <c r="BM86" s="30">
        <v>46843.0</v>
      </c>
      <c r="BN86" s="39">
        <v>0.0</v>
      </c>
      <c r="BO86" s="39">
        <v>0.0</v>
      </c>
      <c r="BP86" s="35" t="s">
        <v>7045</v>
      </c>
      <c r="BQ86" s="30">
        <v>46844.0</v>
      </c>
      <c r="BR86" s="30">
        <v>46934.0</v>
      </c>
      <c r="BS86" s="39">
        <v>0.0</v>
      </c>
      <c r="BT86" s="39">
        <v>0.0</v>
      </c>
      <c r="BU86" s="35" t="s">
        <v>7045</v>
      </c>
      <c r="BV86" s="30">
        <v>46935.0</v>
      </c>
      <c r="BW86" s="30">
        <v>47026.0</v>
      </c>
      <c r="BX86" s="39">
        <v>0.0</v>
      </c>
      <c r="BY86" s="39">
        <v>0.0</v>
      </c>
      <c r="BZ86" s="35" t="s">
        <v>7045</v>
      </c>
      <c r="CA86" s="30">
        <v>47027.0</v>
      </c>
      <c r="CB86" s="30">
        <v>47118.0</v>
      </c>
      <c r="CC86" s="39">
        <v>0.0</v>
      </c>
      <c r="CD86" s="39">
        <v>0.0</v>
      </c>
      <c r="CE86" s="35" t="s">
        <v>7045</v>
      </c>
      <c r="CF86" s="30">
        <v>47119.0</v>
      </c>
      <c r="CG86" s="30">
        <v>47208.0</v>
      </c>
      <c r="CH86" s="39">
        <v>0.0</v>
      </c>
      <c r="CI86" s="39">
        <v>0.0</v>
      </c>
      <c r="CJ86" s="35" t="s">
        <v>7045</v>
      </c>
      <c r="CK86" s="30">
        <v>47209.0</v>
      </c>
      <c r="CL86" s="30">
        <v>47299.0</v>
      </c>
      <c r="CM86" s="39">
        <v>0.0</v>
      </c>
      <c r="CN86" s="39">
        <v>0.0</v>
      </c>
      <c r="CO86" s="35" t="s">
        <v>7045</v>
      </c>
      <c r="CP86" s="30">
        <v>47300.0</v>
      </c>
      <c r="CQ86" s="30">
        <v>47391.0</v>
      </c>
      <c r="CR86" s="39">
        <v>0.0</v>
      </c>
      <c r="CS86" s="39">
        <v>0.0</v>
      </c>
      <c r="CT86" s="35" t="s">
        <v>7045</v>
      </c>
      <c r="CU86" s="30">
        <v>47392.0</v>
      </c>
      <c r="CV86" s="30">
        <v>47483.0</v>
      </c>
      <c r="CW86" s="39">
        <v>0.0</v>
      </c>
      <c r="CX86" s="39">
        <v>0.0</v>
      </c>
      <c r="CY86" s="35" t="s">
        <v>7045</v>
      </c>
      <c r="CZ86" s="30">
        <v>47484.0</v>
      </c>
      <c r="DA86" s="30">
        <v>47573.0</v>
      </c>
      <c r="DB86" s="39">
        <v>0.0</v>
      </c>
      <c r="DC86" s="39">
        <v>0.0</v>
      </c>
      <c r="DD86" s="35" t="s">
        <v>7045</v>
      </c>
      <c r="DE86" s="30">
        <v>47574.0</v>
      </c>
      <c r="DF86" s="30">
        <v>47664.0</v>
      </c>
      <c r="DG86" s="39">
        <v>0.0</v>
      </c>
      <c r="DH86" s="39">
        <v>0.0</v>
      </c>
      <c r="DI86" s="35" t="s">
        <v>7045</v>
      </c>
      <c r="DJ86" s="30">
        <v>47665.0</v>
      </c>
      <c r="DK86" s="30">
        <v>47756.0</v>
      </c>
      <c r="DL86" s="39">
        <v>0.0</v>
      </c>
      <c r="DM86" s="39">
        <v>0.0</v>
      </c>
      <c r="DN86" s="35" t="s">
        <v>7045</v>
      </c>
      <c r="DO86" s="30">
        <v>47757.0</v>
      </c>
      <c r="DP86" s="30">
        <v>47848.0</v>
      </c>
      <c r="DQ86" s="39">
        <v>0.0</v>
      </c>
      <c r="DR86" s="39">
        <v>0.0</v>
      </c>
      <c r="DS86" s="35" t="s">
        <v>7045</v>
      </c>
    </row>
    <row r="87" ht="14.25" customHeight="1">
      <c r="A87" s="28" t="s">
        <v>3893</v>
      </c>
      <c r="B87" s="29" t="s">
        <v>3894</v>
      </c>
      <c r="C87" s="29" t="s">
        <v>7041</v>
      </c>
      <c r="D87" s="30">
        <v>45658.0</v>
      </c>
      <c r="E87" s="30">
        <v>45747.0</v>
      </c>
      <c r="F87" s="39">
        <v>5.11</v>
      </c>
      <c r="G87" s="39">
        <v>0.0</v>
      </c>
      <c r="H87" s="38" t="s">
        <v>7047</v>
      </c>
      <c r="I87" s="30">
        <v>45748.0</v>
      </c>
      <c r="J87" s="30">
        <v>45838.0</v>
      </c>
      <c r="K87" s="39">
        <v>4.97</v>
      </c>
      <c r="L87" s="39">
        <v>342.47</v>
      </c>
      <c r="M87" s="37" t="s">
        <v>7043</v>
      </c>
      <c r="N87" s="30">
        <v>45839.0</v>
      </c>
      <c r="O87" s="30">
        <v>45930.0</v>
      </c>
      <c r="P87" s="39">
        <v>123.11</v>
      </c>
      <c r="Q87" s="39">
        <v>342.47</v>
      </c>
      <c r="R87" s="38" t="s">
        <v>7047</v>
      </c>
      <c r="S87" s="30">
        <v>45931.0</v>
      </c>
      <c r="T87" s="30">
        <v>46022.0</v>
      </c>
      <c r="U87" s="39">
        <v>213.2</v>
      </c>
      <c r="V87" s="39">
        <v>342.47</v>
      </c>
      <c r="W87" s="38" t="s">
        <v>7047</v>
      </c>
      <c r="X87" s="30">
        <v>46023.0</v>
      </c>
      <c r="Y87" s="30">
        <v>46112.0</v>
      </c>
      <c r="Z87" s="39">
        <v>5.0</v>
      </c>
      <c r="AA87" s="39">
        <v>0.0</v>
      </c>
      <c r="AB87" s="38" t="s">
        <v>7047</v>
      </c>
      <c r="AC87" s="30">
        <v>46113.0</v>
      </c>
      <c r="AD87" s="30">
        <v>46203.0</v>
      </c>
      <c r="AE87" s="39">
        <v>0.0</v>
      </c>
      <c r="AF87" s="39">
        <v>0.0</v>
      </c>
      <c r="AG87" s="35" t="s">
        <v>7045</v>
      </c>
      <c r="AH87" s="30">
        <v>46204.0</v>
      </c>
      <c r="AI87" s="30">
        <v>46295.0</v>
      </c>
      <c r="AJ87" s="39">
        <v>0.0</v>
      </c>
      <c r="AK87" s="39">
        <v>0.0</v>
      </c>
      <c r="AL87" s="35" t="s">
        <v>7045</v>
      </c>
      <c r="AM87" s="30">
        <v>46296.0</v>
      </c>
      <c r="AN87" s="30">
        <v>46387.0</v>
      </c>
      <c r="AO87" s="39">
        <v>0.0</v>
      </c>
      <c r="AP87" s="39">
        <v>0.0</v>
      </c>
      <c r="AQ87" s="35" t="s">
        <v>7045</v>
      </c>
      <c r="AR87" s="30">
        <v>46388.0</v>
      </c>
      <c r="AS87" s="30">
        <v>46477.0</v>
      </c>
      <c r="AT87" s="39">
        <v>0.0</v>
      </c>
      <c r="AU87" s="39">
        <v>0.0</v>
      </c>
      <c r="AV87" s="35" t="s">
        <v>7045</v>
      </c>
      <c r="AW87" s="30">
        <v>46478.0</v>
      </c>
      <c r="AX87" s="30">
        <v>46568.0</v>
      </c>
      <c r="AY87" s="39">
        <v>0.0</v>
      </c>
      <c r="AZ87" s="39">
        <v>0.0</v>
      </c>
      <c r="BA87" s="35" t="s">
        <v>7045</v>
      </c>
      <c r="BB87" s="30">
        <v>46569.0</v>
      </c>
      <c r="BC87" s="30">
        <v>46660.0</v>
      </c>
      <c r="BD87" s="39">
        <v>0.0</v>
      </c>
      <c r="BE87" s="39">
        <v>0.0</v>
      </c>
      <c r="BF87" s="35" t="s">
        <v>7045</v>
      </c>
      <c r="BG87" s="30">
        <v>46661.0</v>
      </c>
      <c r="BH87" s="30">
        <v>46752.0</v>
      </c>
      <c r="BI87" s="39">
        <v>0.0</v>
      </c>
      <c r="BJ87" s="39">
        <v>0.0</v>
      </c>
      <c r="BK87" s="35" t="s">
        <v>7045</v>
      </c>
      <c r="BL87" s="30">
        <v>46753.0</v>
      </c>
      <c r="BM87" s="30">
        <v>46843.0</v>
      </c>
      <c r="BN87" s="39">
        <v>0.0</v>
      </c>
      <c r="BO87" s="39">
        <v>0.0</v>
      </c>
      <c r="BP87" s="35" t="s">
        <v>7045</v>
      </c>
      <c r="BQ87" s="30">
        <v>46844.0</v>
      </c>
      <c r="BR87" s="30">
        <v>46934.0</v>
      </c>
      <c r="BS87" s="39">
        <v>0.0</v>
      </c>
      <c r="BT87" s="39">
        <v>0.0</v>
      </c>
      <c r="BU87" s="35" t="s">
        <v>7045</v>
      </c>
      <c r="BV87" s="30">
        <v>46935.0</v>
      </c>
      <c r="BW87" s="30">
        <v>47026.0</v>
      </c>
      <c r="BX87" s="39">
        <v>0.0</v>
      </c>
      <c r="BY87" s="39">
        <v>0.0</v>
      </c>
      <c r="BZ87" s="35" t="s">
        <v>7045</v>
      </c>
      <c r="CA87" s="30">
        <v>47027.0</v>
      </c>
      <c r="CB87" s="30">
        <v>47118.0</v>
      </c>
      <c r="CC87" s="39">
        <v>0.0</v>
      </c>
      <c r="CD87" s="39">
        <v>0.0</v>
      </c>
      <c r="CE87" s="35" t="s">
        <v>7045</v>
      </c>
      <c r="CF87" s="30">
        <v>47119.0</v>
      </c>
      <c r="CG87" s="30">
        <v>47208.0</v>
      </c>
      <c r="CH87" s="39">
        <v>0.0</v>
      </c>
      <c r="CI87" s="39">
        <v>0.0</v>
      </c>
      <c r="CJ87" s="35" t="s">
        <v>7045</v>
      </c>
      <c r="CK87" s="30">
        <v>47209.0</v>
      </c>
      <c r="CL87" s="30">
        <v>47299.0</v>
      </c>
      <c r="CM87" s="39">
        <v>0.0</v>
      </c>
      <c r="CN87" s="39">
        <v>0.0</v>
      </c>
      <c r="CO87" s="35" t="s">
        <v>7045</v>
      </c>
      <c r="CP87" s="30">
        <v>47300.0</v>
      </c>
      <c r="CQ87" s="30">
        <v>47391.0</v>
      </c>
      <c r="CR87" s="39">
        <v>0.0</v>
      </c>
      <c r="CS87" s="39">
        <v>0.0</v>
      </c>
      <c r="CT87" s="35" t="s">
        <v>7045</v>
      </c>
      <c r="CU87" s="30">
        <v>47392.0</v>
      </c>
      <c r="CV87" s="30">
        <v>47483.0</v>
      </c>
      <c r="CW87" s="39">
        <v>0.0</v>
      </c>
      <c r="CX87" s="39">
        <v>0.0</v>
      </c>
      <c r="CY87" s="35" t="s">
        <v>7045</v>
      </c>
      <c r="CZ87" s="30">
        <v>47484.0</v>
      </c>
      <c r="DA87" s="30">
        <v>47573.0</v>
      </c>
      <c r="DB87" s="39">
        <v>0.0</v>
      </c>
      <c r="DC87" s="39">
        <v>0.0</v>
      </c>
      <c r="DD87" s="35" t="s">
        <v>7045</v>
      </c>
      <c r="DE87" s="30">
        <v>47574.0</v>
      </c>
      <c r="DF87" s="30">
        <v>47664.0</v>
      </c>
      <c r="DG87" s="39">
        <v>0.0</v>
      </c>
      <c r="DH87" s="39">
        <v>0.0</v>
      </c>
      <c r="DI87" s="35" t="s">
        <v>7045</v>
      </c>
      <c r="DJ87" s="30">
        <v>47665.0</v>
      </c>
      <c r="DK87" s="30">
        <v>47756.0</v>
      </c>
      <c r="DL87" s="39">
        <v>0.0</v>
      </c>
      <c r="DM87" s="39">
        <v>0.0</v>
      </c>
      <c r="DN87" s="35" t="s">
        <v>7045</v>
      </c>
      <c r="DO87" s="30">
        <v>47757.0</v>
      </c>
      <c r="DP87" s="30">
        <v>47848.0</v>
      </c>
      <c r="DQ87" s="39">
        <v>0.0</v>
      </c>
      <c r="DR87" s="39">
        <v>0.0</v>
      </c>
      <c r="DS87" s="35" t="s">
        <v>7045</v>
      </c>
    </row>
    <row r="88" ht="14.25" customHeight="1">
      <c r="A88" s="28" t="s">
        <v>1366</v>
      </c>
      <c r="B88" s="29" t="s">
        <v>1367</v>
      </c>
      <c r="C88" s="29" t="s">
        <v>7041</v>
      </c>
      <c r="D88" s="30">
        <v>45658.0</v>
      </c>
      <c r="E88" s="30">
        <v>45747.0</v>
      </c>
      <c r="F88" s="39">
        <v>0.0</v>
      </c>
      <c r="G88" s="39">
        <v>0.0</v>
      </c>
      <c r="H88" s="32" t="s">
        <v>7043</v>
      </c>
      <c r="I88" s="30">
        <v>45748.0</v>
      </c>
      <c r="J88" s="30">
        <v>45838.0</v>
      </c>
      <c r="K88" s="39">
        <v>18.91</v>
      </c>
      <c r="L88" s="39">
        <v>621.6</v>
      </c>
      <c r="M88" s="32" t="s">
        <v>7043</v>
      </c>
      <c r="N88" s="30">
        <v>45839.0</v>
      </c>
      <c r="O88" s="30">
        <v>45930.0</v>
      </c>
      <c r="P88" s="39">
        <v>35.0</v>
      </c>
      <c r="Q88" s="39">
        <v>621.6</v>
      </c>
      <c r="R88" s="38" t="s">
        <v>7046</v>
      </c>
      <c r="S88" s="30">
        <v>45931.0</v>
      </c>
      <c r="T88" s="30">
        <v>46022.0</v>
      </c>
      <c r="U88" s="39">
        <v>302.0</v>
      </c>
      <c r="V88" s="39">
        <v>621.6</v>
      </c>
      <c r="W88" s="32" t="s">
        <v>7047</v>
      </c>
      <c r="X88" s="30">
        <v>46023.0</v>
      </c>
      <c r="Y88" s="30">
        <v>46112.0</v>
      </c>
      <c r="Z88" s="39">
        <v>0.0</v>
      </c>
      <c r="AA88" s="39">
        <v>0.0</v>
      </c>
      <c r="AB88" s="35" t="s">
        <v>7045</v>
      </c>
      <c r="AC88" s="30">
        <v>46113.0</v>
      </c>
      <c r="AD88" s="30">
        <v>46203.0</v>
      </c>
      <c r="AE88" s="39">
        <v>0.0</v>
      </c>
      <c r="AF88" s="39">
        <v>0.0</v>
      </c>
      <c r="AG88" s="35" t="s">
        <v>7045</v>
      </c>
      <c r="AH88" s="30">
        <v>46204.0</v>
      </c>
      <c r="AI88" s="30">
        <v>46295.0</v>
      </c>
      <c r="AJ88" s="39">
        <v>0.0</v>
      </c>
      <c r="AK88" s="39">
        <v>0.0</v>
      </c>
      <c r="AL88" s="35" t="s">
        <v>7045</v>
      </c>
      <c r="AM88" s="30">
        <v>46296.0</v>
      </c>
      <c r="AN88" s="30">
        <v>46387.0</v>
      </c>
      <c r="AO88" s="39">
        <v>0.0</v>
      </c>
      <c r="AP88" s="39">
        <v>0.0</v>
      </c>
      <c r="AQ88" s="35" t="s">
        <v>7045</v>
      </c>
      <c r="AR88" s="30">
        <v>46388.0</v>
      </c>
      <c r="AS88" s="30">
        <v>46477.0</v>
      </c>
      <c r="AT88" s="39">
        <v>0.0</v>
      </c>
      <c r="AU88" s="39">
        <v>0.0</v>
      </c>
      <c r="AV88" s="35" t="s">
        <v>7045</v>
      </c>
      <c r="AW88" s="30">
        <v>46478.0</v>
      </c>
      <c r="AX88" s="30">
        <v>46568.0</v>
      </c>
      <c r="AY88" s="39">
        <v>0.0</v>
      </c>
      <c r="AZ88" s="39">
        <v>0.0</v>
      </c>
      <c r="BA88" s="35" t="s">
        <v>7045</v>
      </c>
      <c r="BB88" s="30">
        <v>46569.0</v>
      </c>
      <c r="BC88" s="30">
        <v>46660.0</v>
      </c>
      <c r="BD88" s="39">
        <v>0.0</v>
      </c>
      <c r="BE88" s="39">
        <v>0.0</v>
      </c>
      <c r="BF88" s="35" t="s">
        <v>7045</v>
      </c>
      <c r="BG88" s="30">
        <v>46661.0</v>
      </c>
      <c r="BH88" s="30">
        <v>46752.0</v>
      </c>
      <c r="BI88" s="39">
        <v>0.0</v>
      </c>
      <c r="BJ88" s="39">
        <v>0.0</v>
      </c>
      <c r="BK88" s="35" t="s">
        <v>7045</v>
      </c>
      <c r="BL88" s="30">
        <v>46753.0</v>
      </c>
      <c r="BM88" s="30">
        <v>46843.0</v>
      </c>
      <c r="BN88" s="39">
        <v>0.0</v>
      </c>
      <c r="BO88" s="39">
        <v>0.0</v>
      </c>
      <c r="BP88" s="35" t="s">
        <v>7045</v>
      </c>
      <c r="BQ88" s="30">
        <v>46844.0</v>
      </c>
      <c r="BR88" s="30">
        <v>46934.0</v>
      </c>
      <c r="BS88" s="39">
        <v>0.0</v>
      </c>
      <c r="BT88" s="39">
        <v>0.0</v>
      </c>
      <c r="BU88" s="35" t="s">
        <v>7045</v>
      </c>
      <c r="BV88" s="30">
        <v>46935.0</v>
      </c>
      <c r="BW88" s="30">
        <v>47026.0</v>
      </c>
      <c r="BX88" s="39">
        <v>0.0</v>
      </c>
      <c r="BY88" s="39">
        <v>0.0</v>
      </c>
      <c r="BZ88" s="35" t="s">
        <v>7045</v>
      </c>
      <c r="CA88" s="30">
        <v>47027.0</v>
      </c>
      <c r="CB88" s="30">
        <v>47118.0</v>
      </c>
      <c r="CC88" s="39">
        <v>0.0</v>
      </c>
      <c r="CD88" s="39">
        <v>0.0</v>
      </c>
      <c r="CE88" s="35" t="s">
        <v>7045</v>
      </c>
      <c r="CF88" s="30">
        <v>47119.0</v>
      </c>
      <c r="CG88" s="30">
        <v>47208.0</v>
      </c>
      <c r="CH88" s="39">
        <v>0.0</v>
      </c>
      <c r="CI88" s="39">
        <v>0.0</v>
      </c>
      <c r="CJ88" s="35" t="s">
        <v>7045</v>
      </c>
      <c r="CK88" s="30">
        <v>47209.0</v>
      </c>
      <c r="CL88" s="30">
        <v>47299.0</v>
      </c>
      <c r="CM88" s="39">
        <v>0.0</v>
      </c>
      <c r="CN88" s="39">
        <v>0.0</v>
      </c>
      <c r="CO88" s="35" t="s">
        <v>7045</v>
      </c>
      <c r="CP88" s="30">
        <v>47300.0</v>
      </c>
      <c r="CQ88" s="30">
        <v>47391.0</v>
      </c>
      <c r="CR88" s="39">
        <v>0.0</v>
      </c>
      <c r="CS88" s="39">
        <v>0.0</v>
      </c>
      <c r="CT88" s="35" t="s">
        <v>7045</v>
      </c>
      <c r="CU88" s="30">
        <v>47392.0</v>
      </c>
      <c r="CV88" s="30">
        <v>47483.0</v>
      </c>
      <c r="CW88" s="39">
        <v>0.0</v>
      </c>
      <c r="CX88" s="39">
        <v>0.0</v>
      </c>
      <c r="CY88" s="35" t="s">
        <v>7045</v>
      </c>
      <c r="CZ88" s="30">
        <v>47484.0</v>
      </c>
      <c r="DA88" s="30">
        <v>47573.0</v>
      </c>
      <c r="DB88" s="39">
        <v>0.0</v>
      </c>
      <c r="DC88" s="39">
        <v>0.0</v>
      </c>
      <c r="DD88" s="35" t="s">
        <v>7045</v>
      </c>
      <c r="DE88" s="30">
        <v>47574.0</v>
      </c>
      <c r="DF88" s="30">
        <v>47664.0</v>
      </c>
      <c r="DG88" s="39">
        <v>0.0</v>
      </c>
      <c r="DH88" s="39">
        <v>0.0</v>
      </c>
      <c r="DI88" s="35" t="s">
        <v>7045</v>
      </c>
      <c r="DJ88" s="30">
        <v>47665.0</v>
      </c>
      <c r="DK88" s="30">
        <v>47756.0</v>
      </c>
      <c r="DL88" s="39">
        <v>0.0</v>
      </c>
      <c r="DM88" s="39">
        <v>0.0</v>
      </c>
      <c r="DN88" s="35" t="s">
        <v>7045</v>
      </c>
      <c r="DO88" s="30">
        <v>47757.0</v>
      </c>
      <c r="DP88" s="30">
        <v>47848.0</v>
      </c>
      <c r="DQ88" s="39">
        <v>0.0</v>
      </c>
      <c r="DR88" s="39">
        <v>0.0</v>
      </c>
      <c r="DS88" s="35" t="s">
        <v>7045</v>
      </c>
    </row>
    <row r="89" ht="14.25" customHeight="1">
      <c r="A89" s="28" t="s">
        <v>6495</v>
      </c>
      <c r="B89" s="29" t="s">
        <v>6496</v>
      </c>
      <c r="C89" s="29" t="s">
        <v>7041</v>
      </c>
      <c r="D89" s="30">
        <v>45658.0</v>
      </c>
      <c r="E89" s="30">
        <v>45747.0</v>
      </c>
      <c r="F89" s="39">
        <v>65.0</v>
      </c>
      <c r="G89" s="39">
        <v>0.0</v>
      </c>
      <c r="H89" s="38" t="s">
        <v>7047</v>
      </c>
      <c r="I89" s="30">
        <v>45748.0</v>
      </c>
      <c r="J89" s="30">
        <v>45838.0</v>
      </c>
      <c r="K89" s="39">
        <v>30.0</v>
      </c>
      <c r="L89" s="39">
        <v>1066.67</v>
      </c>
      <c r="M89" s="32" t="s">
        <v>7043</v>
      </c>
      <c r="N89" s="30">
        <v>45839.0</v>
      </c>
      <c r="O89" s="30">
        <v>45930.0</v>
      </c>
      <c r="P89" s="39">
        <v>136.0</v>
      </c>
      <c r="Q89" s="39">
        <v>1600.0</v>
      </c>
      <c r="R89" s="38" t="s">
        <v>7047</v>
      </c>
      <c r="S89" s="30">
        <v>45931.0</v>
      </c>
      <c r="T89" s="30">
        <v>46022.0</v>
      </c>
      <c r="U89" s="39">
        <v>1282.2</v>
      </c>
      <c r="V89" s="39">
        <v>1603.33</v>
      </c>
      <c r="W89" s="38" t="s">
        <v>7047</v>
      </c>
      <c r="X89" s="30">
        <v>46023.0</v>
      </c>
      <c r="Y89" s="30">
        <v>46112.0</v>
      </c>
      <c r="Z89" s="39">
        <v>150.0</v>
      </c>
      <c r="AA89" s="39">
        <v>0.0</v>
      </c>
      <c r="AB89" s="38" t="s">
        <v>7047</v>
      </c>
      <c r="AC89" s="30">
        <v>46113.0</v>
      </c>
      <c r="AD89" s="30">
        <v>46203.0</v>
      </c>
      <c r="AE89" s="39">
        <v>10.0</v>
      </c>
      <c r="AF89" s="39">
        <v>0.0</v>
      </c>
      <c r="AG89" s="38" t="s">
        <v>7047</v>
      </c>
      <c r="AH89" s="30">
        <v>46204.0</v>
      </c>
      <c r="AI89" s="30">
        <v>46295.0</v>
      </c>
      <c r="AJ89" s="39">
        <v>0.0</v>
      </c>
      <c r="AK89" s="39">
        <v>0.0</v>
      </c>
      <c r="AL89" s="35" t="s">
        <v>7045</v>
      </c>
      <c r="AM89" s="30">
        <v>46296.0</v>
      </c>
      <c r="AN89" s="30">
        <v>46387.0</v>
      </c>
      <c r="AO89" s="39">
        <v>200.0</v>
      </c>
      <c r="AP89" s="39">
        <v>0.0</v>
      </c>
      <c r="AQ89" s="38" t="s">
        <v>7047</v>
      </c>
      <c r="AR89" s="30">
        <v>46388.0</v>
      </c>
      <c r="AS89" s="30">
        <v>46477.0</v>
      </c>
      <c r="AT89" s="39">
        <v>0.0</v>
      </c>
      <c r="AU89" s="39">
        <v>0.0</v>
      </c>
      <c r="AV89" s="35" t="s">
        <v>7045</v>
      </c>
      <c r="AW89" s="30">
        <v>46478.0</v>
      </c>
      <c r="AX89" s="30">
        <v>46568.0</v>
      </c>
      <c r="AY89" s="39">
        <v>0.0</v>
      </c>
      <c r="AZ89" s="39">
        <v>0.0</v>
      </c>
      <c r="BA89" s="35" t="s">
        <v>7045</v>
      </c>
      <c r="BB89" s="30">
        <v>46569.0</v>
      </c>
      <c r="BC89" s="30">
        <v>46660.0</v>
      </c>
      <c r="BD89" s="39">
        <v>0.0</v>
      </c>
      <c r="BE89" s="39">
        <v>0.0</v>
      </c>
      <c r="BF89" s="35" t="s">
        <v>7045</v>
      </c>
      <c r="BG89" s="30">
        <v>46661.0</v>
      </c>
      <c r="BH89" s="30">
        <v>46752.0</v>
      </c>
      <c r="BI89" s="39">
        <v>0.0</v>
      </c>
      <c r="BJ89" s="39">
        <v>0.0</v>
      </c>
      <c r="BK89" s="35" t="s">
        <v>7045</v>
      </c>
      <c r="BL89" s="30">
        <v>46753.0</v>
      </c>
      <c r="BM89" s="30">
        <v>46843.0</v>
      </c>
      <c r="BN89" s="39">
        <v>0.0</v>
      </c>
      <c r="BO89" s="39">
        <v>0.0</v>
      </c>
      <c r="BP89" s="35" t="s">
        <v>7045</v>
      </c>
      <c r="BQ89" s="30">
        <v>46844.0</v>
      </c>
      <c r="BR89" s="30">
        <v>46934.0</v>
      </c>
      <c r="BS89" s="39">
        <v>0.0</v>
      </c>
      <c r="BT89" s="39">
        <v>0.0</v>
      </c>
      <c r="BU89" s="35" t="s">
        <v>7045</v>
      </c>
      <c r="BV89" s="30">
        <v>46935.0</v>
      </c>
      <c r="BW89" s="30">
        <v>47026.0</v>
      </c>
      <c r="BX89" s="39">
        <v>0.0</v>
      </c>
      <c r="BY89" s="39">
        <v>0.0</v>
      </c>
      <c r="BZ89" s="35" t="s">
        <v>7045</v>
      </c>
      <c r="CA89" s="30">
        <v>47027.0</v>
      </c>
      <c r="CB89" s="30">
        <v>47118.0</v>
      </c>
      <c r="CC89" s="39">
        <v>0.0</v>
      </c>
      <c r="CD89" s="39">
        <v>0.0</v>
      </c>
      <c r="CE89" s="35" t="s">
        <v>7045</v>
      </c>
      <c r="CF89" s="30">
        <v>47119.0</v>
      </c>
      <c r="CG89" s="30">
        <v>47208.0</v>
      </c>
      <c r="CH89" s="39">
        <v>0.0</v>
      </c>
      <c r="CI89" s="39">
        <v>0.0</v>
      </c>
      <c r="CJ89" s="35" t="s">
        <v>7045</v>
      </c>
      <c r="CK89" s="30">
        <v>47209.0</v>
      </c>
      <c r="CL89" s="30">
        <v>47299.0</v>
      </c>
      <c r="CM89" s="39">
        <v>0.0</v>
      </c>
      <c r="CN89" s="39">
        <v>0.0</v>
      </c>
      <c r="CO89" s="35" t="s">
        <v>7045</v>
      </c>
      <c r="CP89" s="30">
        <v>47300.0</v>
      </c>
      <c r="CQ89" s="30">
        <v>47391.0</v>
      </c>
      <c r="CR89" s="39">
        <v>0.0</v>
      </c>
      <c r="CS89" s="39">
        <v>0.0</v>
      </c>
      <c r="CT89" s="35" t="s">
        <v>7045</v>
      </c>
      <c r="CU89" s="30">
        <v>47392.0</v>
      </c>
      <c r="CV89" s="30">
        <v>47483.0</v>
      </c>
      <c r="CW89" s="39">
        <v>0.0</v>
      </c>
      <c r="CX89" s="39">
        <v>0.0</v>
      </c>
      <c r="CY89" s="35" t="s">
        <v>7045</v>
      </c>
      <c r="CZ89" s="30">
        <v>47484.0</v>
      </c>
      <c r="DA89" s="30">
        <v>47573.0</v>
      </c>
      <c r="DB89" s="39">
        <v>0.0</v>
      </c>
      <c r="DC89" s="39">
        <v>0.0</v>
      </c>
      <c r="DD89" s="35" t="s">
        <v>7045</v>
      </c>
      <c r="DE89" s="30">
        <v>47574.0</v>
      </c>
      <c r="DF89" s="30">
        <v>47664.0</v>
      </c>
      <c r="DG89" s="39">
        <v>0.0</v>
      </c>
      <c r="DH89" s="39">
        <v>0.0</v>
      </c>
      <c r="DI89" s="35" t="s">
        <v>7045</v>
      </c>
      <c r="DJ89" s="30">
        <v>47665.0</v>
      </c>
      <c r="DK89" s="30">
        <v>47756.0</v>
      </c>
      <c r="DL89" s="39">
        <v>0.0</v>
      </c>
      <c r="DM89" s="39">
        <v>0.0</v>
      </c>
      <c r="DN89" s="35" t="s">
        <v>7045</v>
      </c>
      <c r="DO89" s="30">
        <v>47757.0</v>
      </c>
      <c r="DP89" s="30">
        <v>47848.0</v>
      </c>
      <c r="DQ89" s="39">
        <v>0.0</v>
      </c>
      <c r="DR89" s="39">
        <v>0.0</v>
      </c>
      <c r="DS89" s="35" t="s">
        <v>7045</v>
      </c>
    </row>
    <row r="90" ht="14.25" customHeight="1">
      <c r="A90" s="28" t="s">
        <v>1667</v>
      </c>
      <c r="B90" s="29" t="s">
        <v>1668</v>
      </c>
      <c r="C90" s="29" t="s">
        <v>7041</v>
      </c>
      <c r="D90" s="30">
        <v>45658.0</v>
      </c>
      <c r="E90" s="30">
        <v>45747.0</v>
      </c>
      <c r="F90" s="39">
        <v>40.01</v>
      </c>
      <c r="G90" s="39">
        <v>0.0</v>
      </c>
      <c r="H90" s="38" t="s">
        <v>7047</v>
      </c>
      <c r="I90" s="30">
        <v>45748.0</v>
      </c>
      <c r="J90" s="30">
        <v>45838.0</v>
      </c>
      <c r="K90" s="39">
        <v>7.06</v>
      </c>
      <c r="L90" s="39">
        <v>2000.0</v>
      </c>
      <c r="M90" s="32" t="s">
        <v>7043</v>
      </c>
      <c r="N90" s="30">
        <v>45839.0</v>
      </c>
      <c r="O90" s="30">
        <v>45930.0</v>
      </c>
      <c r="P90" s="39">
        <v>570.13</v>
      </c>
      <c r="Q90" s="39">
        <v>3000.0</v>
      </c>
      <c r="R90" s="38" t="s">
        <v>7047</v>
      </c>
      <c r="S90" s="30">
        <v>45931.0</v>
      </c>
      <c r="T90" s="30">
        <v>46022.0</v>
      </c>
      <c r="U90" s="39">
        <v>3865.78</v>
      </c>
      <c r="V90" s="39">
        <v>3000.0</v>
      </c>
      <c r="W90" s="38" t="s">
        <v>7047</v>
      </c>
      <c r="X90" s="30">
        <v>46023.0</v>
      </c>
      <c r="Y90" s="30">
        <v>46112.0</v>
      </c>
      <c r="Z90" s="39">
        <v>401.38</v>
      </c>
      <c r="AA90" s="39">
        <v>0.0</v>
      </c>
      <c r="AB90" s="38" t="s">
        <v>7047</v>
      </c>
      <c r="AC90" s="30">
        <v>46113.0</v>
      </c>
      <c r="AD90" s="30">
        <v>46203.0</v>
      </c>
      <c r="AE90" s="39">
        <v>7809.37</v>
      </c>
      <c r="AF90" s="39">
        <v>0.0</v>
      </c>
      <c r="AG90" s="38" t="s">
        <v>7047</v>
      </c>
      <c r="AH90" s="30">
        <v>46204.0</v>
      </c>
      <c r="AI90" s="30">
        <v>46295.0</v>
      </c>
      <c r="AJ90" s="39">
        <v>134.85</v>
      </c>
      <c r="AK90" s="39">
        <v>0.0</v>
      </c>
      <c r="AL90" s="38" t="s">
        <v>7047</v>
      </c>
      <c r="AM90" s="30">
        <v>46296.0</v>
      </c>
      <c r="AN90" s="30">
        <v>46387.0</v>
      </c>
      <c r="AO90" s="39">
        <v>3301.26</v>
      </c>
      <c r="AP90" s="39">
        <v>0.0</v>
      </c>
      <c r="AQ90" s="38" t="s">
        <v>7047</v>
      </c>
      <c r="AR90" s="30">
        <v>46388.0</v>
      </c>
      <c r="AS90" s="30">
        <v>46477.0</v>
      </c>
      <c r="AT90" s="39">
        <v>0.0</v>
      </c>
      <c r="AU90" s="39">
        <v>0.0</v>
      </c>
      <c r="AV90" s="35" t="s">
        <v>7045</v>
      </c>
      <c r="AW90" s="30">
        <v>46478.0</v>
      </c>
      <c r="AX90" s="30">
        <v>46568.0</v>
      </c>
      <c r="AY90" s="39">
        <v>0.0</v>
      </c>
      <c r="AZ90" s="39">
        <v>0.0</v>
      </c>
      <c r="BA90" s="35" t="s">
        <v>7045</v>
      </c>
      <c r="BB90" s="30">
        <v>46569.0</v>
      </c>
      <c r="BC90" s="30">
        <v>46660.0</v>
      </c>
      <c r="BD90" s="39">
        <v>0.0</v>
      </c>
      <c r="BE90" s="39">
        <v>0.0</v>
      </c>
      <c r="BF90" s="35" t="s">
        <v>7045</v>
      </c>
      <c r="BG90" s="30">
        <v>46661.0</v>
      </c>
      <c r="BH90" s="30">
        <v>46752.0</v>
      </c>
      <c r="BI90" s="39">
        <v>0.0</v>
      </c>
      <c r="BJ90" s="39">
        <v>0.0</v>
      </c>
      <c r="BK90" s="35" t="s">
        <v>7045</v>
      </c>
      <c r="BL90" s="30">
        <v>46753.0</v>
      </c>
      <c r="BM90" s="30">
        <v>46843.0</v>
      </c>
      <c r="BN90" s="39">
        <v>0.0</v>
      </c>
      <c r="BO90" s="39">
        <v>0.0</v>
      </c>
      <c r="BP90" s="35" t="s">
        <v>7045</v>
      </c>
      <c r="BQ90" s="30">
        <v>46844.0</v>
      </c>
      <c r="BR90" s="30">
        <v>46934.0</v>
      </c>
      <c r="BS90" s="39">
        <v>0.0</v>
      </c>
      <c r="BT90" s="39">
        <v>0.0</v>
      </c>
      <c r="BU90" s="35" t="s">
        <v>7045</v>
      </c>
      <c r="BV90" s="30">
        <v>46935.0</v>
      </c>
      <c r="BW90" s="30">
        <v>47026.0</v>
      </c>
      <c r="BX90" s="39">
        <v>0.0</v>
      </c>
      <c r="BY90" s="39">
        <v>0.0</v>
      </c>
      <c r="BZ90" s="35" t="s">
        <v>7045</v>
      </c>
      <c r="CA90" s="30">
        <v>47027.0</v>
      </c>
      <c r="CB90" s="30">
        <v>47118.0</v>
      </c>
      <c r="CC90" s="39">
        <v>0.0</v>
      </c>
      <c r="CD90" s="39">
        <v>0.0</v>
      </c>
      <c r="CE90" s="35" t="s">
        <v>7045</v>
      </c>
      <c r="CF90" s="30">
        <v>47119.0</v>
      </c>
      <c r="CG90" s="30">
        <v>47208.0</v>
      </c>
      <c r="CH90" s="39">
        <v>0.0</v>
      </c>
      <c r="CI90" s="39">
        <v>0.0</v>
      </c>
      <c r="CJ90" s="35" t="s">
        <v>7045</v>
      </c>
      <c r="CK90" s="30">
        <v>47209.0</v>
      </c>
      <c r="CL90" s="30">
        <v>47299.0</v>
      </c>
      <c r="CM90" s="39">
        <v>0.0</v>
      </c>
      <c r="CN90" s="39">
        <v>0.0</v>
      </c>
      <c r="CO90" s="35" t="s">
        <v>7045</v>
      </c>
      <c r="CP90" s="30">
        <v>47300.0</v>
      </c>
      <c r="CQ90" s="30">
        <v>47391.0</v>
      </c>
      <c r="CR90" s="39">
        <v>0.0</v>
      </c>
      <c r="CS90" s="39">
        <v>0.0</v>
      </c>
      <c r="CT90" s="35" t="s">
        <v>7045</v>
      </c>
      <c r="CU90" s="30">
        <v>47392.0</v>
      </c>
      <c r="CV90" s="30">
        <v>47483.0</v>
      </c>
      <c r="CW90" s="39">
        <v>0.0</v>
      </c>
      <c r="CX90" s="39">
        <v>0.0</v>
      </c>
      <c r="CY90" s="35" t="s">
        <v>7045</v>
      </c>
      <c r="CZ90" s="30">
        <v>47484.0</v>
      </c>
      <c r="DA90" s="30">
        <v>47573.0</v>
      </c>
      <c r="DB90" s="39">
        <v>0.0</v>
      </c>
      <c r="DC90" s="39">
        <v>0.0</v>
      </c>
      <c r="DD90" s="35" t="s">
        <v>7045</v>
      </c>
      <c r="DE90" s="30">
        <v>47574.0</v>
      </c>
      <c r="DF90" s="30">
        <v>47664.0</v>
      </c>
      <c r="DG90" s="39">
        <v>0.0</v>
      </c>
      <c r="DH90" s="39">
        <v>0.0</v>
      </c>
      <c r="DI90" s="35" t="s">
        <v>7045</v>
      </c>
      <c r="DJ90" s="30">
        <v>47665.0</v>
      </c>
      <c r="DK90" s="30">
        <v>47756.0</v>
      </c>
      <c r="DL90" s="39">
        <v>0.0</v>
      </c>
      <c r="DM90" s="39">
        <v>0.0</v>
      </c>
      <c r="DN90" s="35" t="s">
        <v>7045</v>
      </c>
      <c r="DO90" s="30">
        <v>47757.0</v>
      </c>
      <c r="DP90" s="30">
        <v>47848.0</v>
      </c>
      <c r="DQ90" s="39">
        <v>0.0</v>
      </c>
      <c r="DR90" s="39">
        <v>0.0</v>
      </c>
      <c r="DS90" s="35" t="s">
        <v>7045</v>
      </c>
    </row>
    <row r="91" ht="14.25" customHeight="1">
      <c r="A91" s="28" t="s">
        <v>1873</v>
      </c>
      <c r="B91" s="29" t="s">
        <v>1874</v>
      </c>
      <c r="C91" s="29" t="s">
        <v>7041</v>
      </c>
      <c r="D91" s="30">
        <v>45658.0</v>
      </c>
      <c r="E91" s="30">
        <v>45747.0</v>
      </c>
      <c r="F91" s="39">
        <v>0.0</v>
      </c>
      <c r="G91" s="39">
        <v>0.0</v>
      </c>
      <c r="H91" s="32" t="s">
        <v>7043</v>
      </c>
      <c r="I91" s="30">
        <v>45748.0</v>
      </c>
      <c r="J91" s="30">
        <v>45838.0</v>
      </c>
      <c r="K91" s="39">
        <v>3.03</v>
      </c>
      <c r="L91" s="39">
        <v>519.61</v>
      </c>
      <c r="M91" s="32" t="s">
        <v>7043</v>
      </c>
      <c r="N91" s="30">
        <v>45839.0</v>
      </c>
      <c r="O91" s="30">
        <v>45930.0</v>
      </c>
      <c r="P91" s="39">
        <v>218.14</v>
      </c>
      <c r="Q91" s="39">
        <v>803.92</v>
      </c>
      <c r="R91" s="38" t="s">
        <v>7047</v>
      </c>
      <c r="S91" s="30">
        <v>45931.0</v>
      </c>
      <c r="T91" s="30">
        <v>46022.0</v>
      </c>
      <c r="U91" s="39">
        <v>388.0</v>
      </c>
      <c r="V91" s="39">
        <v>754.9</v>
      </c>
      <c r="W91" s="38" t="s">
        <v>7047</v>
      </c>
      <c r="X91" s="30">
        <v>46023.0</v>
      </c>
      <c r="Y91" s="30">
        <v>46112.0</v>
      </c>
      <c r="Z91" s="39">
        <v>30.0</v>
      </c>
      <c r="AA91" s="39">
        <v>0.0</v>
      </c>
      <c r="AB91" s="38" t="s">
        <v>7047</v>
      </c>
      <c r="AC91" s="30">
        <v>46113.0</v>
      </c>
      <c r="AD91" s="30">
        <v>46203.0</v>
      </c>
      <c r="AE91" s="39">
        <v>566.2</v>
      </c>
      <c r="AF91" s="39">
        <v>0.0</v>
      </c>
      <c r="AG91" s="35" t="s">
        <v>7047</v>
      </c>
      <c r="AH91" s="30">
        <v>46204.0</v>
      </c>
      <c r="AI91" s="30">
        <v>46295.0</v>
      </c>
      <c r="AJ91" s="39">
        <v>20.0</v>
      </c>
      <c r="AK91" s="39">
        <v>0.0</v>
      </c>
      <c r="AL91" s="38" t="s">
        <v>7047</v>
      </c>
      <c r="AM91" s="30">
        <v>46296.0</v>
      </c>
      <c r="AN91" s="30">
        <v>46387.0</v>
      </c>
      <c r="AO91" s="39">
        <v>0.0</v>
      </c>
      <c r="AP91" s="39">
        <v>0.0</v>
      </c>
      <c r="AQ91" s="35" t="s">
        <v>7045</v>
      </c>
      <c r="AR91" s="30">
        <v>46388.0</v>
      </c>
      <c r="AS91" s="30">
        <v>46477.0</v>
      </c>
      <c r="AT91" s="39">
        <v>0.0</v>
      </c>
      <c r="AU91" s="39">
        <v>0.0</v>
      </c>
      <c r="AV91" s="35" t="s">
        <v>7045</v>
      </c>
      <c r="AW91" s="30">
        <v>46478.0</v>
      </c>
      <c r="AX91" s="30">
        <v>46568.0</v>
      </c>
      <c r="AY91" s="39">
        <v>0.0</v>
      </c>
      <c r="AZ91" s="39">
        <v>0.0</v>
      </c>
      <c r="BA91" s="35" t="s">
        <v>7045</v>
      </c>
      <c r="BB91" s="30">
        <v>46569.0</v>
      </c>
      <c r="BC91" s="30">
        <v>46660.0</v>
      </c>
      <c r="BD91" s="39">
        <v>0.0</v>
      </c>
      <c r="BE91" s="39">
        <v>0.0</v>
      </c>
      <c r="BF91" s="35" t="s">
        <v>7045</v>
      </c>
      <c r="BG91" s="30">
        <v>46661.0</v>
      </c>
      <c r="BH91" s="30">
        <v>46752.0</v>
      </c>
      <c r="BI91" s="39">
        <v>0.0</v>
      </c>
      <c r="BJ91" s="39">
        <v>0.0</v>
      </c>
      <c r="BK91" s="35" t="s">
        <v>7045</v>
      </c>
      <c r="BL91" s="30">
        <v>46753.0</v>
      </c>
      <c r="BM91" s="30">
        <v>46843.0</v>
      </c>
      <c r="BN91" s="39">
        <v>0.0</v>
      </c>
      <c r="BO91" s="39">
        <v>0.0</v>
      </c>
      <c r="BP91" s="35" t="s">
        <v>7045</v>
      </c>
      <c r="BQ91" s="30">
        <v>46844.0</v>
      </c>
      <c r="BR91" s="30">
        <v>46934.0</v>
      </c>
      <c r="BS91" s="39">
        <v>0.0</v>
      </c>
      <c r="BT91" s="39">
        <v>0.0</v>
      </c>
      <c r="BU91" s="35" t="s">
        <v>7045</v>
      </c>
      <c r="BV91" s="30">
        <v>46935.0</v>
      </c>
      <c r="BW91" s="30">
        <v>47026.0</v>
      </c>
      <c r="BX91" s="39">
        <v>0.0</v>
      </c>
      <c r="BY91" s="39">
        <v>0.0</v>
      </c>
      <c r="BZ91" s="35" t="s">
        <v>7045</v>
      </c>
      <c r="CA91" s="30">
        <v>47027.0</v>
      </c>
      <c r="CB91" s="30">
        <v>47118.0</v>
      </c>
      <c r="CC91" s="39">
        <v>0.0</v>
      </c>
      <c r="CD91" s="39">
        <v>0.0</v>
      </c>
      <c r="CE91" s="35" t="s">
        <v>7045</v>
      </c>
      <c r="CF91" s="30">
        <v>47119.0</v>
      </c>
      <c r="CG91" s="30">
        <v>47208.0</v>
      </c>
      <c r="CH91" s="39">
        <v>0.0</v>
      </c>
      <c r="CI91" s="39">
        <v>0.0</v>
      </c>
      <c r="CJ91" s="35" t="s">
        <v>7045</v>
      </c>
      <c r="CK91" s="30">
        <v>47209.0</v>
      </c>
      <c r="CL91" s="30">
        <v>47299.0</v>
      </c>
      <c r="CM91" s="39">
        <v>0.0</v>
      </c>
      <c r="CN91" s="39">
        <v>0.0</v>
      </c>
      <c r="CO91" s="35" t="s">
        <v>7045</v>
      </c>
      <c r="CP91" s="30">
        <v>47300.0</v>
      </c>
      <c r="CQ91" s="30">
        <v>47391.0</v>
      </c>
      <c r="CR91" s="39">
        <v>0.0</v>
      </c>
      <c r="CS91" s="39">
        <v>0.0</v>
      </c>
      <c r="CT91" s="35" t="s">
        <v>7045</v>
      </c>
      <c r="CU91" s="30">
        <v>47392.0</v>
      </c>
      <c r="CV91" s="30">
        <v>47483.0</v>
      </c>
      <c r="CW91" s="39">
        <v>0.0</v>
      </c>
      <c r="CX91" s="39">
        <v>0.0</v>
      </c>
      <c r="CY91" s="35" t="s">
        <v>7045</v>
      </c>
      <c r="CZ91" s="30">
        <v>47484.0</v>
      </c>
      <c r="DA91" s="30">
        <v>47573.0</v>
      </c>
      <c r="DB91" s="39">
        <v>0.0</v>
      </c>
      <c r="DC91" s="39">
        <v>0.0</v>
      </c>
      <c r="DD91" s="35" t="s">
        <v>7045</v>
      </c>
      <c r="DE91" s="30">
        <v>47574.0</v>
      </c>
      <c r="DF91" s="30">
        <v>47664.0</v>
      </c>
      <c r="DG91" s="39">
        <v>0.0</v>
      </c>
      <c r="DH91" s="39">
        <v>0.0</v>
      </c>
      <c r="DI91" s="35" t="s">
        <v>7045</v>
      </c>
      <c r="DJ91" s="30">
        <v>47665.0</v>
      </c>
      <c r="DK91" s="30">
        <v>47756.0</v>
      </c>
      <c r="DL91" s="39">
        <v>0.0</v>
      </c>
      <c r="DM91" s="39">
        <v>0.0</v>
      </c>
      <c r="DN91" s="35" t="s">
        <v>7045</v>
      </c>
      <c r="DO91" s="30">
        <v>47757.0</v>
      </c>
      <c r="DP91" s="30">
        <v>47848.0</v>
      </c>
      <c r="DQ91" s="39">
        <v>0.0</v>
      </c>
      <c r="DR91" s="39">
        <v>0.0</v>
      </c>
      <c r="DS91" s="35" t="s">
        <v>7045</v>
      </c>
    </row>
    <row r="92" ht="14.25" customHeight="1">
      <c r="A92" s="28" t="s">
        <v>3155</v>
      </c>
      <c r="B92" s="29" t="s">
        <v>3156</v>
      </c>
      <c r="C92" s="29" t="s">
        <v>7041</v>
      </c>
      <c r="D92" s="30">
        <v>45658.0</v>
      </c>
      <c r="E92" s="30">
        <v>45747.0</v>
      </c>
      <c r="F92" s="39">
        <v>12.02</v>
      </c>
      <c r="G92" s="39">
        <v>1689.0</v>
      </c>
      <c r="H92" s="32" t="s">
        <v>7043</v>
      </c>
      <c r="I92" s="30">
        <v>45748.0</v>
      </c>
      <c r="J92" s="30">
        <v>45838.0</v>
      </c>
      <c r="K92" s="39">
        <v>6.41</v>
      </c>
      <c r="L92" s="39">
        <v>1405.41</v>
      </c>
      <c r="M92" s="32" t="s">
        <v>7043</v>
      </c>
      <c r="N92" s="30">
        <v>45839.0</v>
      </c>
      <c r="O92" s="30">
        <v>45930.0</v>
      </c>
      <c r="P92" s="39">
        <v>604.58</v>
      </c>
      <c r="Q92" s="39">
        <v>2108.11</v>
      </c>
      <c r="R92" s="38" t="s">
        <v>7047</v>
      </c>
      <c r="S92" s="30">
        <v>45931.0</v>
      </c>
      <c r="T92" s="30">
        <v>46022.0</v>
      </c>
      <c r="U92" s="39">
        <v>1813.96</v>
      </c>
      <c r="V92" s="39">
        <v>2108.11</v>
      </c>
      <c r="W92" s="38" t="s">
        <v>7047</v>
      </c>
      <c r="X92" s="30">
        <v>46023.0</v>
      </c>
      <c r="Y92" s="30">
        <v>46112.0</v>
      </c>
      <c r="Z92" s="39">
        <v>166.36</v>
      </c>
      <c r="AA92" s="39">
        <v>0.0</v>
      </c>
      <c r="AB92" s="38" t="s">
        <v>7047</v>
      </c>
      <c r="AC92" s="30">
        <v>46113.0</v>
      </c>
      <c r="AD92" s="30">
        <v>46203.0</v>
      </c>
      <c r="AE92" s="39">
        <v>188.37</v>
      </c>
      <c r="AF92" s="39">
        <v>0.0</v>
      </c>
      <c r="AG92" s="38" t="s">
        <v>7047</v>
      </c>
      <c r="AH92" s="30">
        <v>46204.0</v>
      </c>
      <c r="AI92" s="30">
        <v>46295.0</v>
      </c>
      <c r="AJ92" s="39">
        <v>23.73</v>
      </c>
      <c r="AK92" s="39">
        <v>0.0</v>
      </c>
      <c r="AL92" s="38" t="s">
        <v>7047</v>
      </c>
      <c r="AM92" s="30">
        <v>46296.0</v>
      </c>
      <c r="AN92" s="30">
        <v>46387.0</v>
      </c>
      <c r="AO92" s="39">
        <v>103.4</v>
      </c>
      <c r="AP92" s="39">
        <v>0.0</v>
      </c>
      <c r="AQ92" s="38" t="s">
        <v>7047</v>
      </c>
      <c r="AR92" s="30">
        <v>46388.0</v>
      </c>
      <c r="AS92" s="30">
        <v>46477.0</v>
      </c>
      <c r="AT92" s="39">
        <v>0.0</v>
      </c>
      <c r="AU92" s="39">
        <v>0.0</v>
      </c>
      <c r="AV92" s="35" t="s">
        <v>7045</v>
      </c>
      <c r="AW92" s="30">
        <v>46478.0</v>
      </c>
      <c r="AX92" s="30">
        <v>46568.0</v>
      </c>
      <c r="AY92" s="39">
        <v>0.0</v>
      </c>
      <c r="AZ92" s="39">
        <v>0.0</v>
      </c>
      <c r="BA92" s="35" t="s">
        <v>7045</v>
      </c>
      <c r="BB92" s="30">
        <v>46569.0</v>
      </c>
      <c r="BC92" s="30">
        <v>46660.0</v>
      </c>
      <c r="BD92" s="39">
        <v>0.0</v>
      </c>
      <c r="BE92" s="39">
        <v>0.0</v>
      </c>
      <c r="BF92" s="35" t="s">
        <v>7045</v>
      </c>
      <c r="BG92" s="30">
        <v>46661.0</v>
      </c>
      <c r="BH92" s="30">
        <v>46752.0</v>
      </c>
      <c r="BI92" s="39">
        <v>0.0</v>
      </c>
      <c r="BJ92" s="39">
        <v>0.0</v>
      </c>
      <c r="BK92" s="35" t="s">
        <v>7045</v>
      </c>
      <c r="BL92" s="30">
        <v>46753.0</v>
      </c>
      <c r="BM92" s="30">
        <v>46843.0</v>
      </c>
      <c r="BN92" s="39">
        <v>0.0</v>
      </c>
      <c r="BO92" s="39">
        <v>0.0</v>
      </c>
      <c r="BP92" s="35" t="s">
        <v>7045</v>
      </c>
      <c r="BQ92" s="30">
        <v>46844.0</v>
      </c>
      <c r="BR92" s="30">
        <v>46934.0</v>
      </c>
      <c r="BS92" s="39">
        <v>0.0</v>
      </c>
      <c r="BT92" s="39">
        <v>0.0</v>
      </c>
      <c r="BU92" s="35" t="s">
        <v>7045</v>
      </c>
      <c r="BV92" s="30">
        <v>46935.0</v>
      </c>
      <c r="BW92" s="30">
        <v>47026.0</v>
      </c>
      <c r="BX92" s="39">
        <v>0.0</v>
      </c>
      <c r="BY92" s="39">
        <v>0.0</v>
      </c>
      <c r="BZ92" s="35" t="s">
        <v>7045</v>
      </c>
      <c r="CA92" s="30">
        <v>47027.0</v>
      </c>
      <c r="CB92" s="30">
        <v>47118.0</v>
      </c>
      <c r="CC92" s="39">
        <v>0.0</v>
      </c>
      <c r="CD92" s="39">
        <v>0.0</v>
      </c>
      <c r="CE92" s="35" t="s">
        <v>7045</v>
      </c>
      <c r="CF92" s="30">
        <v>47119.0</v>
      </c>
      <c r="CG92" s="30">
        <v>47208.0</v>
      </c>
      <c r="CH92" s="39">
        <v>0.0</v>
      </c>
      <c r="CI92" s="39">
        <v>0.0</v>
      </c>
      <c r="CJ92" s="35" t="s">
        <v>7045</v>
      </c>
      <c r="CK92" s="30">
        <v>47209.0</v>
      </c>
      <c r="CL92" s="30">
        <v>47299.0</v>
      </c>
      <c r="CM92" s="39">
        <v>0.0</v>
      </c>
      <c r="CN92" s="39">
        <v>0.0</v>
      </c>
      <c r="CO92" s="35" t="s">
        <v>7045</v>
      </c>
      <c r="CP92" s="30">
        <v>47300.0</v>
      </c>
      <c r="CQ92" s="30">
        <v>47391.0</v>
      </c>
      <c r="CR92" s="39">
        <v>0.0</v>
      </c>
      <c r="CS92" s="39">
        <v>0.0</v>
      </c>
      <c r="CT92" s="35" t="s">
        <v>7045</v>
      </c>
      <c r="CU92" s="30">
        <v>47392.0</v>
      </c>
      <c r="CV92" s="30">
        <v>47483.0</v>
      </c>
      <c r="CW92" s="39">
        <v>0.0</v>
      </c>
      <c r="CX92" s="39">
        <v>0.0</v>
      </c>
      <c r="CY92" s="35" t="s">
        <v>7045</v>
      </c>
      <c r="CZ92" s="30">
        <v>47484.0</v>
      </c>
      <c r="DA92" s="30">
        <v>47573.0</v>
      </c>
      <c r="DB92" s="39">
        <v>0.0</v>
      </c>
      <c r="DC92" s="39">
        <v>0.0</v>
      </c>
      <c r="DD92" s="35" t="s">
        <v>7045</v>
      </c>
      <c r="DE92" s="30">
        <v>47574.0</v>
      </c>
      <c r="DF92" s="30">
        <v>47664.0</v>
      </c>
      <c r="DG92" s="39">
        <v>0.0</v>
      </c>
      <c r="DH92" s="39">
        <v>0.0</v>
      </c>
      <c r="DI92" s="35" t="s">
        <v>7045</v>
      </c>
      <c r="DJ92" s="30">
        <v>47665.0</v>
      </c>
      <c r="DK92" s="30">
        <v>47756.0</v>
      </c>
      <c r="DL92" s="39">
        <v>0.0</v>
      </c>
      <c r="DM92" s="39">
        <v>0.0</v>
      </c>
      <c r="DN92" s="35" t="s">
        <v>7045</v>
      </c>
      <c r="DO92" s="30">
        <v>47757.0</v>
      </c>
      <c r="DP92" s="30">
        <v>47848.0</v>
      </c>
      <c r="DQ92" s="39">
        <v>0.0</v>
      </c>
      <c r="DR92" s="39">
        <v>0.0</v>
      </c>
      <c r="DS92" s="35" t="s">
        <v>7045</v>
      </c>
    </row>
    <row r="93" ht="14.25" customHeight="1">
      <c r="A93" s="28" t="s">
        <v>6018</v>
      </c>
      <c r="B93" s="29" t="s">
        <v>6019</v>
      </c>
      <c r="C93" s="29" t="s">
        <v>7041</v>
      </c>
      <c r="D93" s="30">
        <v>45658.0</v>
      </c>
      <c r="E93" s="30">
        <v>45747.0</v>
      </c>
      <c r="F93" s="39">
        <v>15.28</v>
      </c>
      <c r="G93" s="39">
        <v>0.0</v>
      </c>
      <c r="H93" s="38" t="s">
        <v>7047</v>
      </c>
      <c r="I93" s="30">
        <v>45748.0</v>
      </c>
      <c r="J93" s="30">
        <v>45838.0</v>
      </c>
      <c r="K93" s="39">
        <v>8.72</v>
      </c>
      <c r="L93" s="39">
        <v>551.43</v>
      </c>
      <c r="M93" s="32" t="s">
        <v>7043</v>
      </c>
      <c r="N93" s="30">
        <v>45839.0</v>
      </c>
      <c r="O93" s="30">
        <v>45930.0</v>
      </c>
      <c r="P93" s="39">
        <v>337.21</v>
      </c>
      <c r="Q93" s="39">
        <v>1028.57</v>
      </c>
      <c r="R93" s="38" t="s">
        <v>7047</v>
      </c>
      <c r="S93" s="30">
        <v>45931.0</v>
      </c>
      <c r="T93" s="30">
        <v>46022.0</v>
      </c>
      <c r="U93" s="39">
        <v>443.1</v>
      </c>
      <c r="V93" s="39">
        <v>1348.57</v>
      </c>
      <c r="W93" s="38" t="s">
        <v>7047</v>
      </c>
      <c r="X93" s="30">
        <v>46023.0</v>
      </c>
      <c r="Y93" s="30">
        <v>46112.0</v>
      </c>
      <c r="Z93" s="39">
        <v>16.0</v>
      </c>
      <c r="AA93" s="39">
        <v>0.0</v>
      </c>
      <c r="AB93" s="38" t="s">
        <v>7047</v>
      </c>
      <c r="AC93" s="30">
        <v>46113.0</v>
      </c>
      <c r="AD93" s="30">
        <v>46203.0</v>
      </c>
      <c r="AE93" s="39">
        <v>125.0</v>
      </c>
      <c r="AF93" s="39">
        <v>0.0</v>
      </c>
      <c r="AG93" s="38" t="s">
        <v>7047</v>
      </c>
      <c r="AH93" s="30">
        <v>46204.0</v>
      </c>
      <c r="AI93" s="30">
        <v>46295.0</v>
      </c>
      <c r="AJ93" s="39">
        <v>0.0</v>
      </c>
      <c r="AK93" s="39">
        <v>0.0</v>
      </c>
      <c r="AL93" s="35" t="s">
        <v>7045</v>
      </c>
      <c r="AM93" s="30">
        <v>46296.0</v>
      </c>
      <c r="AN93" s="30">
        <v>46387.0</v>
      </c>
      <c r="AO93" s="39">
        <v>0.0</v>
      </c>
      <c r="AP93" s="39">
        <v>0.0</v>
      </c>
      <c r="AQ93" s="35" t="s">
        <v>7045</v>
      </c>
      <c r="AR93" s="30">
        <v>46388.0</v>
      </c>
      <c r="AS93" s="30">
        <v>46477.0</v>
      </c>
      <c r="AT93" s="39">
        <v>0.0</v>
      </c>
      <c r="AU93" s="39">
        <v>0.0</v>
      </c>
      <c r="AV93" s="35" t="s">
        <v>7045</v>
      </c>
      <c r="AW93" s="30">
        <v>46478.0</v>
      </c>
      <c r="AX93" s="30">
        <v>46568.0</v>
      </c>
      <c r="AY93" s="39">
        <v>0.0</v>
      </c>
      <c r="AZ93" s="39">
        <v>0.0</v>
      </c>
      <c r="BA93" s="35" t="s">
        <v>7045</v>
      </c>
      <c r="BB93" s="30">
        <v>46569.0</v>
      </c>
      <c r="BC93" s="30">
        <v>46660.0</v>
      </c>
      <c r="BD93" s="39">
        <v>0.0</v>
      </c>
      <c r="BE93" s="39">
        <v>0.0</v>
      </c>
      <c r="BF93" s="35" t="s">
        <v>7045</v>
      </c>
      <c r="BG93" s="30">
        <v>46661.0</v>
      </c>
      <c r="BH93" s="30">
        <v>46752.0</v>
      </c>
      <c r="BI93" s="39">
        <v>0.0</v>
      </c>
      <c r="BJ93" s="39">
        <v>0.0</v>
      </c>
      <c r="BK93" s="35" t="s">
        <v>7045</v>
      </c>
      <c r="BL93" s="30">
        <v>46753.0</v>
      </c>
      <c r="BM93" s="30">
        <v>46843.0</v>
      </c>
      <c r="BN93" s="39">
        <v>0.0</v>
      </c>
      <c r="BO93" s="39">
        <v>0.0</v>
      </c>
      <c r="BP93" s="35" t="s">
        <v>7045</v>
      </c>
      <c r="BQ93" s="30">
        <v>46844.0</v>
      </c>
      <c r="BR93" s="30">
        <v>46934.0</v>
      </c>
      <c r="BS93" s="39">
        <v>0.0</v>
      </c>
      <c r="BT93" s="39">
        <v>0.0</v>
      </c>
      <c r="BU93" s="35" t="s">
        <v>7045</v>
      </c>
      <c r="BV93" s="30">
        <v>46935.0</v>
      </c>
      <c r="BW93" s="30">
        <v>47026.0</v>
      </c>
      <c r="BX93" s="39">
        <v>0.0</v>
      </c>
      <c r="BY93" s="39">
        <v>0.0</v>
      </c>
      <c r="BZ93" s="35" t="s">
        <v>7045</v>
      </c>
      <c r="CA93" s="30">
        <v>47027.0</v>
      </c>
      <c r="CB93" s="30">
        <v>47118.0</v>
      </c>
      <c r="CC93" s="39">
        <v>0.0</v>
      </c>
      <c r="CD93" s="39">
        <v>0.0</v>
      </c>
      <c r="CE93" s="35" t="s">
        <v>7045</v>
      </c>
      <c r="CF93" s="30">
        <v>47119.0</v>
      </c>
      <c r="CG93" s="30">
        <v>47208.0</v>
      </c>
      <c r="CH93" s="39">
        <v>0.0</v>
      </c>
      <c r="CI93" s="39">
        <v>0.0</v>
      </c>
      <c r="CJ93" s="35" t="s">
        <v>7045</v>
      </c>
      <c r="CK93" s="30">
        <v>47209.0</v>
      </c>
      <c r="CL93" s="30">
        <v>47299.0</v>
      </c>
      <c r="CM93" s="39">
        <v>0.0</v>
      </c>
      <c r="CN93" s="39">
        <v>0.0</v>
      </c>
      <c r="CO93" s="35" t="s">
        <v>7045</v>
      </c>
      <c r="CP93" s="30">
        <v>47300.0</v>
      </c>
      <c r="CQ93" s="30">
        <v>47391.0</v>
      </c>
      <c r="CR93" s="39">
        <v>0.0</v>
      </c>
      <c r="CS93" s="39">
        <v>0.0</v>
      </c>
      <c r="CT93" s="35" t="s">
        <v>7045</v>
      </c>
      <c r="CU93" s="30">
        <v>47392.0</v>
      </c>
      <c r="CV93" s="30">
        <v>47483.0</v>
      </c>
      <c r="CW93" s="39">
        <v>0.0</v>
      </c>
      <c r="CX93" s="39">
        <v>0.0</v>
      </c>
      <c r="CY93" s="35" t="s">
        <v>7045</v>
      </c>
      <c r="CZ93" s="30">
        <v>47484.0</v>
      </c>
      <c r="DA93" s="30">
        <v>47573.0</v>
      </c>
      <c r="DB93" s="39">
        <v>0.0</v>
      </c>
      <c r="DC93" s="39">
        <v>0.0</v>
      </c>
      <c r="DD93" s="35" t="s">
        <v>7045</v>
      </c>
      <c r="DE93" s="30">
        <v>47574.0</v>
      </c>
      <c r="DF93" s="30">
        <v>47664.0</v>
      </c>
      <c r="DG93" s="39">
        <v>0.0</v>
      </c>
      <c r="DH93" s="39">
        <v>0.0</v>
      </c>
      <c r="DI93" s="35" t="s">
        <v>7045</v>
      </c>
      <c r="DJ93" s="30">
        <v>47665.0</v>
      </c>
      <c r="DK93" s="30">
        <v>47756.0</v>
      </c>
      <c r="DL93" s="39">
        <v>0.0</v>
      </c>
      <c r="DM93" s="39">
        <v>0.0</v>
      </c>
      <c r="DN93" s="35" t="s">
        <v>7045</v>
      </c>
      <c r="DO93" s="30">
        <v>47757.0</v>
      </c>
      <c r="DP93" s="30">
        <v>47848.0</v>
      </c>
      <c r="DQ93" s="39">
        <v>0.0</v>
      </c>
      <c r="DR93" s="39">
        <v>0.0</v>
      </c>
      <c r="DS93" s="35" t="s">
        <v>7045</v>
      </c>
    </row>
    <row r="94" ht="14.25" customHeight="1">
      <c r="A94" s="28" t="s">
        <v>6461</v>
      </c>
      <c r="B94" s="29" t="s">
        <v>6462</v>
      </c>
      <c r="C94" s="29" t="s">
        <v>7041</v>
      </c>
      <c r="D94" s="30">
        <v>45658.0</v>
      </c>
      <c r="E94" s="30">
        <v>45747.0</v>
      </c>
      <c r="F94" s="39">
        <v>3.55</v>
      </c>
      <c r="G94" s="39">
        <v>0.0</v>
      </c>
      <c r="H94" s="38" t="s">
        <v>7047</v>
      </c>
      <c r="I94" s="30">
        <v>45748.0</v>
      </c>
      <c r="J94" s="30">
        <v>45838.0</v>
      </c>
      <c r="K94" s="39">
        <v>11.77</v>
      </c>
      <c r="L94" s="39">
        <v>952.77</v>
      </c>
      <c r="M94" s="32" t="s">
        <v>7043</v>
      </c>
      <c r="N94" s="30">
        <v>45839.0</v>
      </c>
      <c r="O94" s="30">
        <v>45930.0</v>
      </c>
      <c r="P94" s="39">
        <v>927.86</v>
      </c>
      <c r="Q94" s="39">
        <v>1429.15</v>
      </c>
      <c r="R94" s="38" t="s">
        <v>7047</v>
      </c>
      <c r="S94" s="30">
        <v>45931.0</v>
      </c>
      <c r="T94" s="30">
        <v>46022.0</v>
      </c>
      <c r="U94" s="39">
        <v>860.75</v>
      </c>
      <c r="V94" s="39">
        <v>1429.15</v>
      </c>
      <c r="W94" s="38" t="s">
        <v>7047</v>
      </c>
      <c r="X94" s="30">
        <v>46023.0</v>
      </c>
      <c r="Y94" s="30">
        <v>46112.0</v>
      </c>
      <c r="Z94" s="39">
        <v>212.09</v>
      </c>
      <c r="AA94" s="39">
        <v>0.0</v>
      </c>
      <c r="AB94" s="38" t="s">
        <v>7047</v>
      </c>
      <c r="AC94" s="30">
        <v>46113.0</v>
      </c>
      <c r="AD94" s="30">
        <v>46203.0</v>
      </c>
      <c r="AE94" s="39">
        <v>465.62</v>
      </c>
      <c r="AF94" s="39">
        <v>0.0</v>
      </c>
      <c r="AG94" s="38" t="s">
        <v>7047</v>
      </c>
      <c r="AH94" s="30">
        <v>46204.0</v>
      </c>
      <c r="AI94" s="30">
        <v>46295.0</v>
      </c>
      <c r="AJ94" s="39">
        <v>154.69</v>
      </c>
      <c r="AK94" s="39">
        <v>0.0</v>
      </c>
      <c r="AL94" s="38" t="s">
        <v>7047</v>
      </c>
      <c r="AM94" s="30">
        <v>46296.0</v>
      </c>
      <c r="AN94" s="30">
        <v>46387.0</v>
      </c>
      <c r="AO94" s="39">
        <v>40.88</v>
      </c>
      <c r="AP94" s="39">
        <v>0.0</v>
      </c>
      <c r="AQ94" s="38" t="s">
        <v>7047</v>
      </c>
      <c r="AR94" s="30">
        <v>46388.0</v>
      </c>
      <c r="AS94" s="30">
        <v>46477.0</v>
      </c>
      <c r="AT94" s="39">
        <v>0.0</v>
      </c>
      <c r="AU94" s="39">
        <v>0.0</v>
      </c>
      <c r="AV94" s="35" t="s">
        <v>7045</v>
      </c>
      <c r="AW94" s="30">
        <v>46478.0</v>
      </c>
      <c r="AX94" s="30">
        <v>46568.0</v>
      </c>
      <c r="AY94" s="39">
        <v>0.0</v>
      </c>
      <c r="AZ94" s="39">
        <v>0.0</v>
      </c>
      <c r="BA94" s="35" t="s">
        <v>7045</v>
      </c>
      <c r="BB94" s="30">
        <v>46569.0</v>
      </c>
      <c r="BC94" s="30">
        <v>46660.0</v>
      </c>
      <c r="BD94" s="39">
        <v>0.0</v>
      </c>
      <c r="BE94" s="39">
        <v>0.0</v>
      </c>
      <c r="BF94" s="35" t="s">
        <v>7045</v>
      </c>
      <c r="BG94" s="30">
        <v>46661.0</v>
      </c>
      <c r="BH94" s="30">
        <v>46752.0</v>
      </c>
      <c r="BI94" s="39">
        <v>0.0</v>
      </c>
      <c r="BJ94" s="39">
        <v>0.0</v>
      </c>
      <c r="BK94" s="35" t="s">
        <v>7045</v>
      </c>
      <c r="BL94" s="30">
        <v>46753.0</v>
      </c>
      <c r="BM94" s="30">
        <v>46843.0</v>
      </c>
      <c r="BN94" s="39">
        <v>0.0</v>
      </c>
      <c r="BO94" s="39">
        <v>0.0</v>
      </c>
      <c r="BP94" s="35" t="s">
        <v>7045</v>
      </c>
      <c r="BQ94" s="30">
        <v>46844.0</v>
      </c>
      <c r="BR94" s="30">
        <v>46934.0</v>
      </c>
      <c r="BS94" s="39">
        <v>0.0</v>
      </c>
      <c r="BT94" s="39">
        <v>0.0</v>
      </c>
      <c r="BU94" s="35" t="s">
        <v>7045</v>
      </c>
      <c r="BV94" s="30">
        <v>46935.0</v>
      </c>
      <c r="BW94" s="30">
        <v>47026.0</v>
      </c>
      <c r="BX94" s="39">
        <v>0.0</v>
      </c>
      <c r="BY94" s="39">
        <v>0.0</v>
      </c>
      <c r="BZ94" s="35" t="s">
        <v>7045</v>
      </c>
      <c r="CA94" s="30">
        <v>47027.0</v>
      </c>
      <c r="CB94" s="30">
        <v>47118.0</v>
      </c>
      <c r="CC94" s="39">
        <v>0.0</v>
      </c>
      <c r="CD94" s="39">
        <v>0.0</v>
      </c>
      <c r="CE94" s="35" t="s">
        <v>7045</v>
      </c>
      <c r="CF94" s="30">
        <v>47119.0</v>
      </c>
      <c r="CG94" s="30">
        <v>47208.0</v>
      </c>
      <c r="CH94" s="39">
        <v>0.0</v>
      </c>
      <c r="CI94" s="39">
        <v>0.0</v>
      </c>
      <c r="CJ94" s="35" t="s">
        <v>7045</v>
      </c>
      <c r="CK94" s="30">
        <v>47209.0</v>
      </c>
      <c r="CL94" s="30">
        <v>47299.0</v>
      </c>
      <c r="CM94" s="39">
        <v>0.0</v>
      </c>
      <c r="CN94" s="39">
        <v>0.0</v>
      </c>
      <c r="CO94" s="35" t="s">
        <v>7045</v>
      </c>
      <c r="CP94" s="30">
        <v>47300.0</v>
      </c>
      <c r="CQ94" s="30">
        <v>47391.0</v>
      </c>
      <c r="CR94" s="39">
        <v>0.0</v>
      </c>
      <c r="CS94" s="39">
        <v>0.0</v>
      </c>
      <c r="CT94" s="35" t="s">
        <v>7045</v>
      </c>
      <c r="CU94" s="30">
        <v>47392.0</v>
      </c>
      <c r="CV94" s="30">
        <v>47483.0</v>
      </c>
      <c r="CW94" s="39">
        <v>0.0</v>
      </c>
      <c r="CX94" s="39">
        <v>0.0</v>
      </c>
      <c r="CY94" s="35" t="s">
        <v>7045</v>
      </c>
      <c r="CZ94" s="30">
        <v>47484.0</v>
      </c>
      <c r="DA94" s="30">
        <v>47573.0</v>
      </c>
      <c r="DB94" s="39">
        <v>0.0</v>
      </c>
      <c r="DC94" s="39">
        <v>0.0</v>
      </c>
      <c r="DD94" s="35" t="s">
        <v>7045</v>
      </c>
      <c r="DE94" s="30">
        <v>47574.0</v>
      </c>
      <c r="DF94" s="30">
        <v>47664.0</v>
      </c>
      <c r="DG94" s="39">
        <v>0.0</v>
      </c>
      <c r="DH94" s="39">
        <v>0.0</v>
      </c>
      <c r="DI94" s="35" t="s">
        <v>7045</v>
      </c>
      <c r="DJ94" s="30">
        <v>47665.0</v>
      </c>
      <c r="DK94" s="30">
        <v>47756.0</v>
      </c>
      <c r="DL94" s="39">
        <v>0.0</v>
      </c>
      <c r="DM94" s="39">
        <v>0.0</v>
      </c>
      <c r="DN94" s="35" t="s">
        <v>7045</v>
      </c>
      <c r="DO94" s="30">
        <v>47757.0</v>
      </c>
      <c r="DP94" s="30">
        <v>47848.0</v>
      </c>
      <c r="DQ94" s="39">
        <v>0.0</v>
      </c>
      <c r="DR94" s="39">
        <v>0.0</v>
      </c>
      <c r="DS94" s="35" t="s">
        <v>7045</v>
      </c>
    </row>
    <row r="95" ht="14.25" customHeight="1">
      <c r="A95" s="28" t="s">
        <v>6464</v>
      </c>
      <c r="B95" s="29" t="s">
        <v>6465</v>
      </c>
      <c r="C95" s="29" t="s">
        <v>7041</v>
      </c>
      <c r="D95" s="30">
        <v>45658.0</v>
      </c>
      <c r="E95" s="30">
        <v>45747.0</v>
      </c>
      <c r="F95" s="39">
        <v>2.32</v>
      </c>
      <c r="G95" s="39">
        <v>0.0</v>
      </c>
      <c r="H95" s="38" t="s">
        <v>7047</v>
      </c>
      <c r="I95" s="30">
        <v>45748.0</v>
      </c>
      <c r="J95" s="30">
        <v>45838.0</v>
      </c>
      <c r="K95" s="39">
        <v>6.24</v>
      </c>
      <c r="L95" s="39">
        <v>1255.33</v>
      </c>
      <c r="M95" s="32" t="s">
        <v>7043</v>
      </c>
      <c r="N95" s="30">
        <v>45839.0</v>
      </c>
      <c r="O95" s="30">
        <v>45930.0</v>
      </c>
      <c r="P95" s="39">
        <v>310.3</v>
      </c>
      <c r="Q95" s="39">
        <v>1883.0</v>
      </c>
      <c r="R95" s="38" t="s">
        <v>7047</v>
      </c>
      <c r="S95" s="30">
        <v>45931.0</v>
      </c>
      <c r="T95" s="30">
        <v>46022.0</v>
      </c>
      <c r="U95" s="39">
        <v>3142.28</v>
      </c>
      <c r="V95" s="39">
        <v>1883.0</v>
      </c>
      <c r="W95" s="38" t="s">
        <v>7047</v>
      </c>
      <c r="X95" s="30">
        <v>46023.0</v>
      </c>
      <c r="Y95" s="30">
        <v>46112.0</v>
      </c>
      <c r="Z95" s="39">
        <v>238.96</v>
      </c>
      <c r="AA95" s="39">
        <v>0.0</v>
      </c>
      <c r="AB95" s="38" t="s">
        <v>7047</v>
      </c>
      <c r="AC95" s="30">
        <v>46113.0</v>
      </c>
      <c r="AD95" s="30">
        <v>46203.0</v>
      </c>
      <c r="AE95" s="39">
        <v>777.32</v>
      </c>
      <c r="AF95" s="39">
        <v>0.0</v>
      </c>
      <c r="AG95" s="38" t="s">
        <v>7047</v>
      </c>
      <c r="AH95" s="30">
        <v>46204.0</v>
      </c>
      <c r="AI95" s="30">
        <v>46295.0</v>
      </c>
      <c r="AJ95" s="39">
        <v>56.16</v>
      </c>
      <c r="AK95" s="39">
        <v>0.0</v>
      </c>
      <c r="AL95" s="38" t="s">
        <v>7047</v>
      </c>
      <c r="AM95" s="30">
        <v>46296.0</v>
      </c>
      <c r="AN95" s="30">
        <v>46387.0</v>
      </c>
      <c r="AO95" s="39">
        <v>76.87</v>
      </c>
      <c r="AP95" s="39">
        <v>0.0</v>
      </c>
      <c r="AQ95" s="38" t="s">
        <v>7047</v>
      </c>
      <c r="AR95" s="30">
        <v>46388.0</v>
      </c>
      <c r="AS95" s="30">
        <v>46477.0</v>
      </c>
      <c r="AT95" s="39">
        <v>0.0</v>
      </c>
      <c r="AU95" s="39">
        <v>0.0</v>
      </c>
      <c r="AV95" s="35" t="s">
        <v>7045</v>
      </c>
      <c r="AW95" s="30">
        <v>46478.0</v>
      </c>
      <c r="AX95" s="30">
        <v>46568.0</v>
      </c>
      <c r="AY95" s="39">
        <v>0.0</v>
      </c>
      <c r="AZ95" s="39">
        <v>0.0</v>
      </c>
      <c r="BA95" s="35" t="s">
        <v>7045</v>
      </c>
      <c r="BB95" s="30">
        <v>46569.0</v>
      </c>
      <c r="BC95" s="30">
        <v>46660.0</v>
      </c>
      <c r="BD95" s="39">
        <v>0.0</v>
      </c>
      <c r="BE95" s="39">
        <v>0.0</v>
      </c>
      <c r="BF95" s="35" t="s">
        <v>7045</v>
      </c>
      <c r="BG95" s="30">
        <v>46661.0</v>
      </c>
      <c r="BH95" s="30">
        <v>46752.0</v>
      </c>
      <c r="BI95" s="39">
        <v>0.0</v>
      </c>
      <c r="BJ95" s="39">
        <v>0.0</v>
      </c>
      <c r="BK95" s="35" t="s">
        <v>7045</v>
      </c>
      <c r="BL95" s="30">
        <v>46753.0</v>
      </c>
      <c r="BM95" s="30">
        <v>46843.0</v>
      </c>
      <c r="BN95" s="39">
        <v>0.0</v>
      </c>
      <c r="BO95" s="39">
        <v>0.0</v>
      </c>
      <c r="BP95" s="35" t="s">
        <v>7045</v>
      </c>
      <c r="BQ95" s="30">
        <v>46844.0</v>
      </c>
      <c r="BR95" s="30">
        <v>46934.0</v>
      </c>
      <c r="BS95" s="39">
        <v>0.0</v>
      </c>
      <c r="BT95" s="39">
        <v>0.0</v>
      </c>
      <c r="BU95" s="35" t="s">
        <v>7045</v>
      </c>
      <c r="BV95" s="30">
        <v>46935.0</v>
      </c>
      <c r="BW95" s="30">
        <v>47026.0</v>
      </c>
      <c r="BX95" s="39">
        <v>0.0</v>
      </c>
      <c r="BY95" s="39">
        <v>0.0</v>
      </c>
      <c r="BZ95" s="35" t="s">
        <v>7045</v>
      </c>
      <c r="CA95" s="30">
        <v>47027.0</v>
      </c>
      <c r="CB95" s="30">
        <v>47118.0</v>
      </c>
      <c r="CC95" s="39">
        <v>0.0</v>
      </c>
      <c r="CD95" s="39">
        <v>0.0</v>
      </c>
      <c r="CE95" s="35" t="s">
        <v>7045</v>
      </c>
      <c r="CF95" s="30">
        <v>47119.0</v>
      </c>
      <c r="CG95" s="30">
        <v>47208.0</v>
      </c>
      <c r="CH95" s="39">
        <v>0.0</v>
      </c>
      <c r="CI95" s="39">
        <v>0.0</v>
      </c>
      <c r="CJ95" s="35" t="s">
        <v>7045</v>
      </c>
      <c r="CK95" s="30">
        <v>47209.0</v>
      </c>
      <c r="CL95" s="30">
        <v>47299.0</v>
      </c>
      <c r="CM95" s="39">
        <v>0.0</v>
      </c>
      <c r="CN95" s="39">
        <v>0.0</v>
      </c>
      <c r="CO95" s="35" t="s">
        <v>7045</v>
      </c>
      <c r="CP95" s="30">
        <v>47300.0</v>
      </c>
      <c r="CQ95" s="30">
        <v>47391.0</v>
      </c>
      <c r="CR95" s="39">
        <v>0.0</v>
      </c>
      <c r="CS95" s="39">
        <v>0.0</v>
      </c>
      <c r="CT95" s="35" t="s">
        <v>7045</v>
      </c>
      <c r="CU95" s="30">
        <v>47392.0</v>
      </c>
      <c r="CV95" s="30">
        <v>47483.0</v>
      </c>
      <c r="CW95" s="39">
        <v>0.0</v>
      </c>
      <c r="CX95" s="39">
        <v>0.0</v>
      </c>
      <c r="CY95" s="35" t="s">
        <v>7045</v>
      </c>
      <c r="CZ95" s="30">
        <v>47484.0</v>
      </c>
      <c r="DA95" s="30">
        <v>47573.0</v>
      </c>
      <c r="DB95" s="39">
        <v>0.0</v>
      </c>
      <c r="DC95" s="39">
        <v>0.0</v>
      </c>
      <c r="DD95" s="35" t="s">
        <v>7045</v>
      </c>
      <c r="DE95" s="30">
        <v>47574.0</v>
      </c>
      <c r="DF95" s="30">
        <v>47664.0</v>
      </c>
      <c r="DG95" s="39">
        <v>0.0</v>
      </c>
      <c r="DH95" s="39">
        <v>0.0</v>
      </c>
      <c r="DI95" s="35" t="s">
        <v>7045</v>
      </c>
      <c r="DJ95" s="30">
        <v>47665.0</v>
      </c>
      <c r="DK95" s="30">
        <v>47756.0</v>
      </c>
      <c r="DL95" s="39">
        <v>0.0</v>
      </c>
      <c r="DM95" s="39">
        <v>0.0</v>
      </c>
      <c r="DN95" s="35" t="s">
        <v>7045</v>
      </c>
      <c r="DO95" s="30">
        <v>47757.0</v>
      </c>
      <c r="DP95" s="30">
        <v>47848.0</v>
      </c>
      <c r="DQ95" s="39">
        <v>0.0</v>
      </c>
      <c r="DR95" s="39">
        <v>0.0</v>
      </c>
      <c r="DS95" s="35" t="s">
        <v>7045</v>
      </c>
    </row>
    <row r="96" ht="14.25" customHeight="1">
      <c r="A96" s="28" t="s">
        <v>3234</v>
      </c>
      <c r="B96" s="29" t="s">
        <v>3235</v>
      </c>
      <c r="C96" s="29" t="s">
        <v>7041</v>
      </c>
      <c r="D96" s="30">
        <v>45658.0</v>
      </c>
      <c r="E96" s="30">
        <v>45747.0</v>
      </c>
      <c r="F96" s="39">
        <v>11.93</v>
      </c>
      <c r="G96" s="39">
        <v>0.0</v>
      </c>
      <c r="H96" s="38" t="s">
        <v>7047</v>
      </c>
      <c r="I96" s="30">
        <v>45748.0</v>
      </c>
      <c r="J96" s="30">
        <v>45838.0</v>
      </c>
      <c r="K96" s="39">
        <v>0.69</v>
      </c>
      <c r="L96" s="39">
        <v>772.31</v>
      </c>
      <c r="M96" s="38" t="s">
        <v>7043</v>
      </c>
      <c r="N96" s="30">
        <v>45839.0</v>
      </c>
      <c r="O96" s="30">
        <v>45930.0</v>
      </c>
      <c r="P96" s="39">
        <v>301.35</v>
      </c>
      <c r="Q96" s="39">
        <v>1150.77</v>
      </c>
      <c r="R96" s="38" t="s">
        <v>7047</v>
      </c>
      <c r="S96" s="30">
        <v>45931.0</v>
      </c>
      <c r="T96" s="30">
        <v>46022.0</v>
      </c>
      <c r="U96" s="39">
        <v>1554.98</v>
      </c>
      <c r="V96" s="39">
        <v>1150.77</v>
      </c>
      <c r="W96" s="38" t="s">
        <v>7047</v>
      </c>
      <c r="X96" s="30">
        <v>46023.0</v>
      </c>
      <c r="Y96" s="30">
        <v>46112.0</v>
      </c>
      <c r="Z96" s="39">
        <v>634.58</v>
      </c>
      <c r="AA96" s="39">
        <v>0.0</v>
      </c>
      <c r="AB96" s="38" t="s">
        <v>7047</v>
      </c>
      <c r="AC96" s="30">
        <v>46113.0</v>
      </c>
      <c r="AD96" s="30">
        <v>46203.0</v>
      </c>
      <c r="AE96" s="39">
        <v>832.25</v>
      </c>
      <c r="AF96" s="39">
        <v>0.0</v>
      </c>
      <c r="AG96" s="38" t="s">
        <v>7047</v>
      </c>
      <c r="AH96" s="30">
        <v>46204.0</v>
      </c>
      <c r="AI96" s="30">
        <v>46295.0</v>
      </c>
      <c r="AJ96" s="39">
        <v>1120.0</v>
      </c>
      <c r="AK96" s="39">
        <v>0.0</v>
      </c>
      <c r="AL96" s="38" t="s">
        <v>7047</v>
      </c>
      <c r="AM96" s="30">
        <v>46296.0</v>
      </c>
      <c r="AN96" s="30">
        <v>46387.0</v>
      </c>
      <c r="AO96" s="39">
        <v>8.48</v>
      </c>
      <c r="AP96" s="39">
        <v>0.0</v>
      </c>
      <c r="AQ96" s="38" t="s">
        <v>7047</v>
      </c>
      <c r="AR96" s="30">
        <v>46388.0</v>
      </c>
      <c r="AS96" s="30">
        <v>46477.0</v>
      </c>
      <c r="AT96" s="39">
        <v>0.0</v>
      </c>
      <c r="AU96" s="39">
        <v>0.0</v>
      </c>
      <c r="AV96" s="35" t="s">
        <v>7045</v>
      </c>
      <c r="AW96" s="30">
        <v>46478.0</v>
      </c>
      <c r="AX96" s="30">
        <v>46568.0</v>
      </c>
      <c r="AY96" s="39">
        <v>0.0</v>
      </c>
      <c r="AZ96" s="39">
        <v>0.0</v>
      </c>
      <c r="BA96" s="35" t="s">
        <v>7045</v>
      </c>
      <c r="BB96" s="30">
        <v>46569.0</v>
      </c>
      <c r="BC96" s="30">
        <v>46660.0</v>
      </c>
      <c r="BD96" s="39">
        <v>0.0</v>
      </c>
      <c r="BE96" s="39">
        <v>0.0</v>
      </c>
      <c r="BF96" s="35" t="s">
        <v>7045</v>
      </c>
      <c r="BG96" s="30">
        <v>46661.0</v>
      </c>
      <c r="BH96" s="30">
        <v>46752.0</v>
      </c>
      <c r="BI96" s="39">
        <v>0.0</v>
      </c>
      <c r="BJ96" s="39">
        <v>0.0</v>
      </c>
      <c r="BK96" s="35" t="s">
        <v>7045</v>
      </c>
      <c r="BL96" s="30">
        <v>46753.0</v>
      </c>
      <c r="BM96" s="30">
        <v>46843.0</v>
      </c>
      <c r="BN96" s="39">
        <v>0.0</v>
      </c>
      <c r="BO96" s="39">
        <v>0.0</v>
      </c>
      <c r="BP96" s="35" t="s">
        <v>7045</v>
      </c>
      <c r="BQ96" s="30">
        <v>46844.0</v>
      </c>
      <c r="BR96" s="30">
        <v>46934.0</v>
      </c>
      <c r="BS96" s="39">
        <v>0.0</v>
      </c>
      <c r="BT96" s="39">
        <v>0.0</v>
      </c>
      <c r="BU96" s="35" t="s">
        <v>7045</v>
      </c>
      <c r="BV96" s="30">
        <v>46935.0</v>
      </c>
      <c r="BW96" s="30">
        <v>47026.0</v>
      </c>
      <c r="BX96" s="39">
        <v>0.0</v>
      </c>
      <c r="BY96" s="39">
        <v>0.0</v>
      </c>
      <c r="BZ96" s="35" t="s">
        <v>7045</v>
      </c>
      <c r="CA96" s="30">
        <v>47027.0</v>
      </c>
      <c r="CB96" s="30">
        <v>47118.0</v>
      </c>
      <c r="CC96" s="39">
        <v>0.0</v>
      </c>
      <c r="CD96" s="39">
        <v>0.0</v>
      </c>
      <c r="CE96" s="35" t="s">
        <v>7045</v>
      </c>
      <c r="CF96" s="30">
        <v>47119.0</v>
      </c>
      <c r="CG96" s="30">
        <v>47208.0</v>
      </c>
      <c r="CH96" s="39">
        <v>0.0</v>
      </c>
      <c r="CI96" s="39">
        <v>0.0</v>
      </c>
      <c r="CJ96" s="35" t="s">
        <v>7045</v>
      </c>
      <c r="CK96" s="30">
        <v>47209.0</v>
      </c>
      <c r="CL96" s="30">
        <v>47299.0</v>
      </c>
      <c r="CM96" s="39">
        <v>0.0</v>
      </c>
      <c r="CN96" s="39">
        <v>0.0</v>
      </c>
      <c r="CO96" s="35" t="s">
        <v>7045</v>
      </c>
      <c r="CP96" s="30">
        <v>47300.0</v>
      </c>
      <c r="CQ96" s="30">
        <v>47391.0</v>
      </c>
      <c r="CR96" s="39">
        <v>0.0</v>
      </c>
      <c r="CS96" s="39">
        <v>0.0</v>
      </c>
      <c r="CT96" s="35" t="s">
        <v>7045</v>
      </c>
      <c r="CU96" s="30">
        <v>47392.0</v>
      </c>
      <c r="CV96" s="30">
        <v>47483.0</v>
      </c>
      <c r="CW96" s="39">
        <v>0.0</v>
      </c>
      <c r="CX96" s="39">
        <v>0.0</v>
      </c>
      <c r="CY96" s="35" t="s">
        <v>7045</v>
      </c>
      <c r="CZ96" s="30">
        <v>47484.0</v>
      </c>
      <c r="DA96" s="30">
        <v>47573.0</v>
      </c>
      <c r="DB96" s="39">
        <v>0.0</v>
      </c>
      <c r="DC96" s="39">
        <v>0.0</v>
      </c>
      <c r="DD96" s="35" t="s">
        <v>7045</v>
      </c>
      <c r="DE96" s="30">
        <v>47574.0</v>
      </c>
      <c r="DF96" s="30">
        <v>47664.0</v>
      </c>
      <c r="DG96" s="39">
        <v>0.0</v>
      </c>
      <c r="DH96" s="39">
        <v>0.0</v>
      </c>
      <c r="DI96" s="35" t="s">
        <v>7045</v>
      </c>
      <c r="DJ96" s="30">
        <v>47665.0</v>
      </c>
      <c r="DK96" s="30">
        <v>47756.0</v>
      </c>
      <c r="DL96" s="39">
        <v>0.0</v>
      </c>
      <c r="DM96" s="39">
        <v>0.0</v>
      </c>
      <c r="DN96" s="35" t="s">
        <v>7045</v>
      </c>
      <c r="DO96" s="30">
        <v>47757.0</v>
      </c>
      <c r="DP96" s="30">
        <v>47848.0</v>
      </c>
      <c r="DQ96" s="39">
        <v>0.0</v>
      </c>
      <c r="DR96" s="39">
        <v>0.0</v>
      </c>
      <c r="DS96" s="35" t="s">
        <v>7045</v>
      </c>
    </row>
    <row r="97" ht="14.25" customHeight="1">
      <c r="A97" s="28" t="s">
        <v>2105</v>
      </c>
      <c r="B97" s="29" t="s">
        <v>2106</v>
      </c>
      <c r="C97" s="29" t="s">
        <v>7041</v>
      </c>
      <c r="D97" s="30">
        <v>45658.0</v>
      </c>
      <c r="E97" s="30">
        <v>45747.0</v>
      </c>
      <c r="F97" s="39">
        <v>0.0</v>
      </c>
      <c r="G97" s="39">
        <v>0.0</v>
      </c>
      <c r="H97" s="35" t="s">
        <v>7045</v>
      </c>
      <c r="I97" s="30">
        <v>45748.0</v>
      </c>
      <c r="J97" s="30">
        <v>45838.0</v>
      </c>
      <c r="K97" s="39">
        <v>0.0</v>
      </c>
      <c r="L97" s="39">
        <v>0.0</v>
      </c>
      <c r="M97" s="35" t="s">
        <v>7045</v>
      </c>
      <c r="N97" s="30">
        <v>45839.0</v>
      </c>
      <c r="O97" s="30">
        <v>45930.0</v>
      </c>
      <c r="P97" s="39">
        <v>0.0</v>
      </c>
      <c r="Q97" s="39">
        <v>0.0</v>
      </c>
      <c r="R97" s="35" t="s">
        <v>7045</v>
      </c>
      <c r="S97" s="30">
        <v>45931.0</v>
      </c>
      <c r="T97" s="30">
        <v>46022.0</v>
      </c>
      <c r="U97" s="39">
        <v>0.0</v>
      </c>
      <c r="V97" s="39">
        <v>0.0</v>
      </c>
      <c r="W97" s="35" t="s">
        <v>7045</v>
      </c>
      <c r="X97" s="30">
        <v>46023.0</v>
      </c>
      <c r="Y97" s="30">
        <v>46112.0</v>
      </c>
      <c r="Z97" s="39">
        <v>0.0</v>
      </c>
      <c r="AA97" s="39">
        <v>0.0</v>
      </c>
      <c r="AB97" s="35" t="s">
        <v>7045</v>
      </c>
      <c r="AC97" s="30">
        <v>46113.0</v>
      </c>
      <c r="AD97" s="30">
        <v>46203.0</v>
      </c>
      <c r="AE97" s="39">
        <v>0.0</v>
      </c>
      <c r="AF97" s="39">
        <v>0.0</v>
      </c>
      <c r="AG97" s="35" t="s">
        <v>7045</v>
      </c>
      <c r="AH97" s="30">
        <v>46204.0</v>
      </c>
      <c r="AI97" s="30">
        <v>46295.0</v>
      </c>
      <c r="AJ97" s="39">
        <v>0.0</v>
      </c>
      <c r="AK97" s="39">
        <v>0.0</v>
      </c>
      <c r="AL97" s="35" t="s">
        <v>7045</v>
      </c>
      <c r="AM97" s="30">
        <v>46296.0</v>
      </c>
      <c r="AN97" s="30">
        <v>46387.0</v>
      </c>
      <c r="AO97" s="39">
        <v>0.0</v>
      </c>
      <c r="AP97" s="39">
        <v>0.0</v>
      </c>
      <c r="AQ97" s="35" t="s">
        <v>7045</v>
      </c>
      <c r="AR97" s="30">
        <v>46388.0</v>
      </c>
      <c r="AS97" s="30">
        <v>46477.0</v>
      </c>
      <c r="AT97" s="39">
        <v>0.0</v>
      </c>
      <c r="AU97" s="39">
        <v>0.0</v>
      </c>
      <c r="AV97" s="35" t="s">
        <v>7045</v>
      </c>
      <c r="AW97" s="30">
        <v>46478.0</v>
      </c>
      <c r="AX97" s="30">
        <v>46568.0</v>
      </c>
      <c r="AY97" s="39">
        <v>0.0</v>
      </c>
      <c r="AZ97" s="39">
        <v>0.0</v>
      </c>
      <c r="BA97" s="35" t="s">
        <v>7045</v>
      </c>
      <c r="BB97" s="30">
        <v>46569.0</v>
      </c>
      <c r="BC97" s="30">
        <v>46660.0</v>
      </c>
      <c r="BD97" s="39">
        <v>0.0</v>
      </c>
      <c r="BE97" s="39">
        <v>0.0</v>
      </c>
      <c r="BF97" s="35" t="s">
        <v>7045</v>
      </c>
      <c r="BG97" s="30">
        <v>46661.0</v>
      </c>
      <c r="BH97" s="30">
        <v>46752.0</v>
      </c>
      <c r="BI97" s="39">
        <v>0.0</v>
      </c>
      <c r="BJ97" s="39">
        <v>0.0</v>
      </c>
      <c r="BK97" s="35" t="s">
        <v>7045</v>
      </c>
      <c r="BL97" s="30">
        <v>46753.0</v>
      </c>
      <c r="BM97" s="30">
        <v>46843.0</v>
      </c>
      <c r="BN97" s="39">
        <v>0.0</v>
      </c>
      <c r="BO97" s="39">
        <v>0.0</v>
      </c>
      <c r="BP97" s="35" t="s">
        <v>7045</v>
      </c>
      <c r="BQ97" s="30">
        <v>46844.0</v>
      </c>
      <c r="BR97" s="30">
        <v>46934.0</v>
      </c>
      <c r="BS97" s="39">
        <v>0.0</v>
      </c>
      <c r="BT97" s="39">
        <v>0.0</v>
      </c>
      <c r="BU97" s="35" t="s">
        <v>7045</v>
      </c>
      <c r="BV97" s="30">
        <v>46935.0</v>
      </c>
      <c r="BW97" s="30">
        <v>47026.0</v>
      </c>
      <c r="BX97" s="39">
        <v>0.0</v>
      </c>
      <c r="BY97" s="39">
        <v>0.0</v>
      </c>
      <c r="BZ97" s="35" t="s">
        <v>7045</v>
      </c>
      <c r="CA97" s="30">
        <v>47027.0</v>
      </c>
      <c r="CB97" s="30">
        <v>47118.0</v>
      </c>
      <c r="CC97" s="39">
        <v>0.0</v>
      </c>
      <c r="CD97" s="39">
        <v>0.0</v>
      </c>
      <c r="CE97" s="35" t="s">
        <v>7045</v>
      </c>
      <c r="CF97" s="30">
        <v>47119.0</v>
      </c>
      <c r="CG97" s="30">
        <v>47208.0</v>
      </c>
      <c r="CH97" s="39">
        <v>0.0</v>
      </c>
      <c r="CI97" s="39">
        <v>0.0</v>
      </c>
      <c r="CJ97" s="35" t="s">
        <v>7045</v>
      </c>
      <c r="CK97" s="30">
        <v>47209.0</v>
      </c>
      <c r="CL97" s="30">
        <v>47299.0</v>
      </c>
      <c r="CM97" s="39">
        <v>0.0</v>
      </c>
      <c r="CN97" s="39">
        <v>0.0</v>
      </c>
      <c r="CO97" s="35" t="s">
        <v>7045</v>
      </c>
      <c r="CP97" s="30">
        <v>47300.0</v>
      </c>
      <c r="CQ97" s="30">
        <v>47391.0</v>
      </c>
      <c r="CR97" s="39">
        <v>0.0</v>
      </c>
      <c r="CS97" s="39">
        <v>0.0</v>
      </c>
      <c r="CT97" s="35" t="s">
        <v>7045</v>
      </c>
      <c r="CU97" s="30">
        <v>47392.0</v>
      </c>
      <c r="CV97" s="30">
        <v>47483.0</v>
      </c>
      <c r="CW97" s="39">
        <v>0.0</v>
      </c>
      <c r="CX97" s="39">
        <v>0.0</v>
      </c>
      <c r="CY97" s="35" t="s">
        <v>7045</v>
      </c>
      <c r="CZ97" s="30">
        <v>47484.0</v>
      </c>
      <c r="DA97" s="30">
        <v>47573.0</v>
      </c>
      <c r="DB97" s="39">
        <v>0.0</v>
      </c>
      <c r="DC97" s="39">
        <v>0.0</v>
      </c>
      <c r="DD97" s="35" t="s">
        <v>7045</v>
      </c>
      <c r="DE97" s="30">
        <v>47574.0</v>
      </c>
      <c r="DF97" s="30">
        <v>47664.0</v>
      </c>
      <c r="DG97" s="39">
        <v>0.0</v>
      </c>
      <c r="DH97" s="39">
        <v>0.0</v>
      </c>
      <c r="DI97" s="35" t="s">
        <v>7045</v>
      </c>
      <c r="DJ97" s="30">
        <v>47665.0</v>
      </c>
      <c r="DK97" s="30">
        <v>47756.0</v>
      </c>
      <c r="DL97" s="39">
        <v>0.0</v>
      </c>
      <c r="DM97" s="39">
        <v>0.0</v>
      </c>
      <c r="DN97" s="35" t="s">
        <v>7045</v>
      </c>
      <c r="DO97" s="30">
        <v>47757.0</v>
      </c>
      <c r="DP97" s="30">
        <v>47848.0</v>
      </c>
      <c r="DQ97" s="39">
        <v>0.0</v>
      </c>
      <c r="DR97" s="39">
        <v>0.0</v>
      </c>
      <c r="DS97" s="35" t="s">
        <v>7045</v>
      </c>
    </row>
    <row r="98" ht="14.25" customHeight="1">
      <c r="A98" s="28" t="s">
        <v>5272</v>
      </c>
      <c r="B98" s="29" t="s">
        <v>5273</v>
      </c>
      <c r="C98" s="29" t="s">
        <v>7041</v>
      </c>
      <c r="D98" s="30">
        <v>45658.0</v>
      </c>
      <c r="E98" s="30">
        <v>45747.0</v>
      </c>
      <c r="F98" s="39">
        <v>0.13</v>
      </c>
      <c r="G98" s="39">
        <v>0.0</v>
      </c>
      <c r="H98" s="38" t="s">
        <v>7047</v>
      </c>
      <c r="I98" s="30">
        <v>45748.0</v>
      </c>
      <c r="J98" s="30">
        <v>45838.0</v>
      </c>
      <c r="K98" s="39">
        <v>0.27</v>
      </c>
      <c r="L98" s="39">
        <v>233.77</v>
      </c>
      <c r="M98" s="37" t="s">
        <v>7043</v>
      </c>
      <c r="N98" s="30">
        <v>45839.0</v>
      </c>
      <c r="O98" s="30">
        <v>45930.0</v>
      </c>
      <c r="P98" s="39">
        <v>117.66</v>
      </c>
      <c r="Q98" s="39">
        <v>349.35</v>
      </c>
      <c r="R98" s="38" t="s">
        <v>7047</v>
      </c>
      <c r="S98" s="30">
        <v>45931.0</v>
      </c>
      <c r="T98" s="30">
        <v>46022.0</v>
      </c>
      <c r="U98" s="39">
        <v>234.58</v>
      </c>
      <c r="V98" s="39">
        <v>351.95</v>
      </c>
      <c r="W98" s="38" t="s">
        <v>7047</v>
      </c>
      <c r="X98" s="30">
        <v>46023.0</v>
      </c>
      <c r="Y98" s="30">
        <v>46112.0</v>
      </c>
      <c r="Z98" s="39">
        <v>252.68</v>
      </c>
      <c r="AA98" s="39">
        <v>0.0</v>
      </c>
      <c r="AB98" s="38" t="s">
        <v>7047</v>
      </c>
      <c r="AC98" s="30">
        <v>46113.0</v>
      </c>
      <c r="AD98" s="30">
        <v>46203.0</v>
      </c>
      <c r="AE98" s="39">
        <v>0.0</v>
      </c>
      <c r="AF98" s="39">
        <v>0.0</v>
      </c>
      <c r="AG98" s="35" t="s">
        <v>7045</v>
      </c>
      <c r="AH98" s="30">
        <v>46204.0</v>
      </c>
      <c r="AI98" s="30">
        <v>46295.0</v>
      </c>
      <c r="AJ98" s="39">
        <v>34.61</v>
      </c>
      <c r="AK98" s="39">
        <v>0.0</v>
      </c>
      <c r="AL98" s="38" t="s">
        <v>7047</v>
      </c>
      <c r="AM98" s="30">
        <v>46296.0</v>
      </c>
      <c r="AN98" s="30">
        <v>46387.0</v>
      </c>
      <c r="AO98" s="39">
        <v>128.66</v>
      </c>
      <c r="AP98" s="39">
        <v>0.0</v>
      </c>
      <c r="AQ98" s="38" t="s">
        <v>7047</v>
      </c>
      <c r="AR98" s="30">
        <v>46388.0</v>
      </c>
      <c r="AS98" s="30">
        <v>46477.0</v>
      </c>
      <c r="AT98" s="39">
        <v>0.0</v>
      </c>
      <c r="AU98" s="39">
        <v>0.0</v>
      </c>
      <c r="AV98" s="35" t="s">
        <v>7045</v>
      </c>
      <c r="AW98" s="30">
        <v>46478.0</v>
      </c>
      <c r="AX98" s="30">
        <v>46568.0</v>
      </c>
      <c r="AY98" s="39">
        <v>0.0</v>
      </c>
      <c r="AZ98" s="39">
        <v>0.0</v>
      </c>
      <c r="BA98" s="35" t="s">
        <v>7045</v>
      </c>
      <c r="BB98" s="30">
        <v>46569.0</v>
      </c>
      <c r="BC98" s="30">
        <v>46660.0</v>
      </c>
      <c r="BD98" s="39">
        <v>0.0</v>
      </c>
      <c r="BE98" s="39">
        <v>0.0</v>
      </c>
      <c r="BF98" s="35" t="s">
        <v>7045</v>
      </c>
      <c r="BG98" s="30">
        <v>46661.0</v>
      </c>
      <c r="BH98" s="30">
        <v>46752.0</v>
      </c>
      <c r="BI98" s="39">
        <v>0.0</v>
      </c>
      <c r="BJ98" s="39">
        <v>0.0</v>
      </c>
      <c r="BK98" s="35" t="s">
        <v>7045</v>
      </c>
      <c r="BL98" s="30">
        <v>46753.0</v>
      </c>
      <c r="BM98" s="30">
        <v>46843.0</v>
      </c>
      <c r="BN98" s="39">
        <v>0.0</v>
      </c>
      <c r="BO98" s="39">
        <v>0.0</v>
      </c>
      <c r="BP98" s="35" t="s">
        <v>7045</v>
      </c>
      <c r="BQ98" s="30">
        <v>46844.0</v>
      </c>
      <c r="BR98" s="30">
        <v>46934.0</v>
      </c>
      <c r="BS98" s="39">
        <v>0.0</v>
      </c>
      <c r="BT98" s="39">
        <v>0.0</v>
      </c>
      <c r="BU98" s="35" t="s">
        <v>7045</v>
      </c>
      <c r="BV98" s="30">
        <v>46935.0</v>
      </c>
      <c r="BW98" s="30">
        <v>47026.0</v>
      </c>
      <c r="BX98" s="39">
        <v>0.0</v>
      </c>
      <c r="BY98" s="39">
        <v>0.0</v>
      </c>
      <c r="BZ98" s="35" t="s">
        <v>7045</v>
      </c>
      <c r="CA98" s="30">
        <v>47027.0</v>
      </c>
      <c r="CB98" s="30">
        <v>47118.0</v>
      </c>
      <c r="CC98" s="39">
        <v>0.0</v>
      </c>
      <c r="CD98" s="39">
        <v>0.0</v>
      </c>
      <c r="CE98" s="35" t="s">
        <v>7045</v>
      </c>
      <c r="CF98" s="30">
        <v>47119.0</v>
      </c>
      <c r="CG98" s="30">
        <v>47208.0</v>
      </c>
      <c r="CH98" s="39">
        <v>0.0</v>
      </c>
      <c r="CI98" s="39">
        <v>0.0</v>
      </c>
      <c r="CJ98" s="35" t="s">
        <v>7045</v>
      </c>
      <c r="CK98" s="30">
        <v>47209.0</v>
      </c>
      <c r="CL98" s="30">
        <v>47299.0</v>
      </c>
      <c r="CM98" s="39">
        <v>0.0</v>
      </c>
      <c r="CN98" s="39">
        <v>0.0</v>
      </c>
      <c r="CO98" s="35" t="s">
        <v>7045</v>
      </c>
      <c r="CP98" s="30">
        <v>47300.0</v>
      </c>
      <c r="CQ98" s="30">
        <v>47391.0</v>
      </c>
      <c r="CR98" s="39">
        <v>0.0</v>
      </c>
      <c r="CS98" s="39">
        <v>0.0</v>
      </c>
      <c r="CT98" s="35" t="s">
        <v>7045</v>
      </c>
      <c r="CU98" s="30">
        <v>47392.0</v>
      </c>
      <c r="CV98" s="30">
        <v>47483.0</v>
      </c>
      <c r="CW98" s="39">
        <v>0.0</v>
      </c>
      <c r="CX98" s="39">
        <v>0.0</v>
      </c>
      <c r="CY98" s="35" t="s">
        <v>7045</v>
      </c>
      <c r="CZ98" s="30">
        <v>47484.0</v>
      </c>
      <c r="DA98" s="30">
        <v>47573.0</v>
      </c>
      <c r="DB98" s="39">
        <v>0.0</v>
      </c>
      <c r="DC98" s="39">
        <v>0.0</v>
      </c>
      <c r="DD98" s="35" t="s">
        <v>7045</v>
      </c>
      <c r="DE98" s="30">
        <v>47574.0</v>
      </c>
      <c r="DF98" s="30">
        <v>47664.0</v>
      </c>
      <c r="DG98" s="39">
        <v>0.0</v>
      </c>
      <c r="DH98" s="39">
        <v>0.0</v>
      </c>
      <c r="DI98" s="35" t="s">
        <v>7045</v>
      </c>
      <c r="DJ98" s="30">
        <v>47665.0</v>
      </c>
      <c r="DK98" s="30">
        <v>47756.0</v>
      </c>
      <c r="DL98" s="39">
        <v>0.0</v>
      </c>
      <c r="DM98" s="39">
        <v>0.0</v>
      </c>
      <c r="DN98" s="35" t="s">
        <v>7045</v>
      </c>
      <c r="DO98" s="30">
        <v>47757.0</v>
      </c>
      <c r="DP98" s="30">
        <v>47848.0</v>
      </c>
      <c r="DQ98" s="39">
        <v>0.0</v>
      </c>
      <c r="DR98" s="39">
        <v>0.0</v>
      </c>
      <c r="DS98" s="35" t="s">
        <v>7045</v>
      </c>
    </row>
    <row r="99" ht="14.25" customHeight="1">
      <c r="A99" s="28" t="s">
        <v>6300</v>
      </c>
      <c r="B99" s="29" t="s">
        <v>6301</v>
      </c>
      <c r="C99" s="29" t="s">
        <v>7041</v>
      </c>
      <c r="D99" s="30">
        <v>45658.0</v>
      </c>
      <c r="E99" s="30">
        <v>45747.0</v>
      </c>
      <c r="F99" s="39">
        <v>7.38</v>
      </c>
      <c r="G99" s="39">
        <v>0.0</v>
      </c>
      <c r="H99" s="38" t="s">
        <v>7047</v>
      </c>
      <c r="I99" s="30">
        <v>45748.0</v>
      </c>
      <c r="J99" s="30">
        <v>45838.0</v>
      </c>
      <c r="K99" s="39">
        <v>12.67</v>
      </c>
      <c r="L99" s="39">
        <v>814.89</v>
      </c>
      <c r="M99" s="37" t="s">
        <v>7043</v>
      </c>
      <c r="N99" s="30">
        <v>45839.0</v>
      </c>
      <c r="O99" s="30">
        <v>45930.0</v>
      </c>
      <c r="P99" s="39">
        <v>453.5</v>
      </c>
      <c r="Q99" s="39">
        <v>772.34</v>
      </c>
      <c r="R99" s="38" t="s">
        <v>7047</v>
      </c>
      <c r="S99" s="30">
        <v>45931.0</v>
      </c>
      <c r="T99" s="30">
        <v>46022.0</v>
      </c>
      <c r="U99" s="39">
        <v>1334.62</v>
      </c>
      <c r="V99" s="39">
        <v>893.62</v>
      </c>
      <c r="W99" s="38" t="s">
        <v>7047</v>
      </c>
      <c r="X99" s="30">
        <v>46023.0</v>
      </c>
      <c r="Y99" s="30">
        <v>46112.0</v>
      </c>
      <c r="Z99" s="39">
        <v>261.21</v>
      </c>
      <c r="AA99" s="39">
        <v>0.0</v>
      </c>
      <c r="AB99" s="38" t="s">
        <v>7047</v>
      </c>
      <c r="AC99" s="30">
        <v>46113.0</v>
      </c>
      <c r="AD99" s="30">
        <v>46203.0</v>
      </c>
      <c r="AE99" s="39">
        <v>780.41</v>
      </c>
      <c r="AF99" s="39">
        <v>0.0</v>
      </c>
      <c r="AG99" s="38" t="s">
        <v>7047</v>
      </c>
      <c r="AH99" s="30">
        <v>46204.0</v>
      </c>
      <c r="AI99" s="30">
        <v>46295.0</v>
      </c>
      <c r="AJ99" s="39">
        <v>0.0</v>
      </c>
      <c r="AK99" s="39">
        <v>0.0</v>
      </c>
      <c r="AL99" s="35" t="s">
        <v>7045</v>
      </c>
      <c r="AM99" s="30">
        <v>46296.0</v>
      </c>
      <c r="AN99" s="30">
        <v>46387.0</v>
      </c>
      <c r="AO99" s="39">
        <v>525.14</v>
      </c>
      <c r="AP99" s="39">
        <v>0.0</v>
      </c>
      <c r="AQ99" s="38" t="s">
        <v>7047</v>
      </c>
      <c r="AR99" s="30">
        <v>46388.0</v>
      </c>
      <c r="AS99" s="30">
        <v>46477.0</v>
      </c>
      <c r="AT99" s="39">
        <v>0.0</v>
      </c>
      <c r="AU99" s="39">
        <v>0.0</v>
      </c>
      <c r="AV99" s="35" t="s">
        <v>7045</v>
      </c>
      <c r="AW99" s="30">
        <v>46478.0</v>
      </c>
      <c r="AX99" s="30">
        <v>46568.0</v>
      </c>
      <c r="AY99" s="39">
        <v>0.0</v>
      </c>
      <c r="AZ99" s="39">
        <v>0.0</v>
      </c>
      <c r="BA99" s="35" t="s">
        <v>7045</v>
      </c>
      <c r="BB99" s="30">
        <v>46569.0</v>
      </c>
      <c r="BC99" s="30">
        <v>46660.0</v>
      </c>
      <c r="BD99" s="39">
        <v>0.0</v>
      </c>
      <c r="BE99" s="39">
        <v>0.0</v>
      </c>
      <c r="BF99" s="35" t="s">
        <v>7045</v>
      </c>
      <c r="BG99" s="30">
        <v>46661.0</v>
      </c>
      <c r="BH99" s="30">
        <v>46752.0</v>
      </c>
      <c r="BI99" s="39">
        <v>0.0</v>
      </c>
      <c r="BJ99" s="39">
        <v>0.0</v>
      </c>
      <c r="BK99" s="35" t="s">
        <v>7045</v>
      </c>
      <c r="BL99" s="30">
        <v>46753.0</v>
      </c>
      <c r="BM99" s="30">
        <v>46843.0</v>
      </c>
      <c r="BN99" s="39">
        <v>0.0</v>
      </c>
      <c r="BO99" s="39">
        <v>0.0</v>
      </c>
      <c r="BP99" s="35" t="s">
        <v>7045</v>
      </c>
      <c r="BQ99" s="30">
        <v>46844.0</v>
      </c>
      <c r="BR99" s="30">
        <v>46934.0</v>
      </c>
      <c r="BS99" s="39">
        <v>0.0</v>
      </c>
      <c r="BT99" s="39">
        <v>0.0</v>
      </c>
      <c r="BU99" s="35" t="s">
        <v>7045</v>
      </c>
      <c r="BV99" s="30">
        <v>46935.0</v>
      </c>
      <c r="BW99" s="30">
        <v>47026.0</v>
      </c>
      <c r="BX99" s="39">
        <v>0.0</v>
      </c>
      <c r="BY99" s="39">
        <v>0.0</v>
      </c>
      <c r="BZ99" s="35" t="s">
        <v>7045</v>
      </c>
      <c r="CA99" s="30">
        <v>47027.0</v>
      </c>
      <c r="CB99" s="30">
        <v>47118.0</v>
      </c>
      <c r="CC99" s="39">
        <v>0.0</v>
      </c>
      <c r="CD99" s="39">
        <v>0.0</v>
      </c>
      <c r="CE99" s="35" t="s">
        <v>7045</v>
      </c>
      <c r="CF99" s="30">
        <v>47119.0</v>
      </c>
      <c r="CG99" s="30">
        <v>47208.0</v>
      </c>
      <c r="CH99" s="39">
        <v>0.0</v>
      </c>
      <c r="CI99" s="39">
        <v>0.0</v>
      </c>
      <c r="CJ99" s="35" t="s">
        <v>7045</v>
      </c>
      <c r="CK99" s="30">
        <v>47209.0</v>
      </c>
      <c r="CL99" s="30">
        <v>47299.0</v>
      </c>
      <c r="CM99" s="39">
        <v>0.0</v>
      </c>
      <c r="CN99" s="39">
        <v>0.0</v>
      </c>
      <c r="CO99" s="35" t="s">
        <v>7045</v>
      </c>
      <c r="CP99" s="30">
        <v>47300.0</v>
      </c>
      <c r="CQ99" s="30">
        <v>47391.0</v>
      </c>
      <c r="CR99" s="39">
        <v>0.0</v>
      </c>
      <c r="CS99" s="39">
        <v>0.0</v>
      </c>
      <c r="CT99" s="35" t="s">
        <v>7045</v>
      </c>
      <c r="CU99" s="30">
        <v>47392.0</v>
      </c>
      <c r="CV99" s="30">
        <v>47483.0</v>
      </c>
      <c r="CW99" s="39">
        <v>0.0</v>
      </c>
      <c r="CX99" s="39">
        <v>0.0</v>
      </c>
      <c r="CY99" s="35" t="s">
        <v>7045</v>
      </c>
      <c r="CZ99" s="30">
        <v>47484.0</v>
      </c>
      <c r="DA99" s="30">
        <v>47573.0</v>
      </c>
      <c r="DB99" s="39">
        <v>0.0</v>
      </c>
      <c r="DC99" s="39">
        <v>0.0</v>
      </c>
      <c r="DD99" s="35" t="s">
        <v>7045</v>
      </c>
      <c r="DE99" s="30">
        <v>47574.0</v>
      </c>
      <c r="DF99" s="30">
        <v>47664.0</v>
      </c>
      <c r="DG99" s="39">
        <v>0.0</v>
      </c>
      <c r="DH99" s="39">
        <v>0.0</v>
      </c>
      <c r="DI99" s="35" t="s">
        <v>7045</v>
      </c>
      <c r="DJ99" s="30">
        <v>47665.0</v>
      </c>
      <c r="DK99" s="30">
        <v>47756.0</v>
      </c>
      <c r="DL99" s="39">
        <v>0.0</v>
      </c>
      <c r="DM99" s="39">
        <v>0.0</v>
      </c>
      <c r="DN99" s="35" t="s">
        <v>7045</v>
      </c>
      <c r="DO99" s="30">
        <v>47757.0</v>
      </c>
      <c r="DP99" s="30">
        <v>47848.0</v>
      </c>
      <c r="DQ99" s="39">
        <v>0.0</v>
      </c>
      <c r="DR99" s="39">
        <v>0.0</v>
      </c>
      <c r="DS99" s="35" t="s">
        <v>7045</v>
      </c>
    </row>
    <row r="100" ht="14.25" customHeight="1">
      <c r="A100" s="28" t="s">
        <v>2608</v>
      </c>
      <c r="B100" s="29" t="s">
        <v>2609</v>
      </c>
      <c r="C100" s="29" t="s">
        <v>7041</v>
      </c>
      <c r="D100" s="30">
        <v>45658.0</v>
      </c>
      <c r="E100" s="30">
        <v>45747.0</v>
      </c>
      <c r="F100" s="39">
        <v>1.51</v>
      </c>
      <c r="G100" s="39">
        <v>0.0</v>
      </c>
      <c r="H100" s="38" t="s">
        <v>7047</v>
      </c>
      <c r="I100" s="30">
        <v>45748.0</v>
      </c>
      <c r="J100" s="30">
        <v>45838.0</v>
      </c>
      <c r="K100" s="39">
        <v>1.51</v>
      </c>
      <c r="L100" s="39">
        <v>746.67</v>
      </c>
      <c r="M100" s="32" t="s">
        <v>7043</v>
      </c>
      <c r="N100" s="30">
        <v>45839.0</v>
      </c>
      <c r="O100" s="30">
        <v>45930.0</v>
      </c>
      <c r="P100" s="39">
        <v>36.51</v>
      </c>
      <c r="Q100" s="39">
        <v>700.0</v>
      </c>
      <c r="R100" s="38" t="s">
        <v>7047</v>
      </c>
      <c r="S100" s="30">
        <v>45931.0</v>
      </c>
      <c r="T100" s="30">
        <v>46022.0</v>
      </c>
      <c r="U100" s="39">
        <v>47.0</v>
      </c>
      <c r="V100" s="39">
        <v>811.67</v>
      </c>
      <c r="W100" s="38" t="s">
        <v>7047</v>
      </c>
      <c r="X100" s="30">
        <v>46023.0</v>
      </c>
      <c r="Y100" s="30">
        <v>46112.0</v>
      </c>
      <c r="Z100" s="39">
        <v>162.0</v>
      </c>
      <c r="AA100" s="39">
        <v>0.0</v>
      </c>
      <c r="AB100" s="35" t="s">
        <v>7047</v>
      </c>
      <c r="AC100" s="30">
        <v>46113.0</v>
      </c>
      <c r="AD100" s="30">
        <v>46203.0</v>
      </c>
      <c r="AE100" s="39">
        <v>164.0</v>
      </c>
      <c r="AF100" s="39">
        <v>0.0</v>
      </c>
      <c r="AG100" s="38" t="s">
        <v>7047</v>
      </c>
      <c r="AH100" s="30">
        <v>46204.0</v>
      </c>
      <c r="AI100" s="30">
        <v>46295.0</v>
      </c>
      <c r="AJ100" s="39">
        <v>0.0</v>
      </c>
      <c r="AK100" s="39">
        <v>0.0</v>
      </c>
      <c r="AL100" s="35" t="s">
        <v>7045</v>
      </c>
      <c r="AM100" s="30">
        <v>46296.0</v>
      </c>
      <c r="AN100" s="30">
        <v>46387.0</v>
      </c>
      <c r="AO100" s="39">
        <v>99.87</v>
      </c>
      <c r="AP100" s="39">
        <v>0.0</v>
      </c>
      <c r="AQ100" s="38" t="s">
        <v>7047</v>
      </c>
      <c r="AR100" s="30">
        <v>46388.0</v>
      </c>
      <c r="AS100" s="30">
        <v>46477.0</v>
      </c>
      <c r="AT100" s="39">
        <v>0.0</v>
      </c>
      <c r="AU100" s="39">
        <v>0.0</v>
      </c>
      <c r="AV100" s="35" t="s">
        <v>7045</v>
      </c>
      <c r="AW100" s="30">
        <v>46478.0</v>
      </c>
      <c r="AX100" s="30">
        <v>46568.0</v>
      </c>
      <c r="AY100" s="39">
        <v>0.0</v>
      </c>
      <c r="AZ100" s="39">
        <v>0.0</v>
      </c>
      <c r="BA100" s="35" t="s">
        <v>7045</v>
      </c>
      <c r="BB100" s="30">
        <v>46569.0</v>
      </c>
      <c r="BC100" s="30">
        <v>46660.0</v>
      </c>
      <c r="BD100" s="39">
        <v>0.0</v>
      </c>
      <c r="BE100" s="39">
        <v>0.0</v>
      </c>
      <c r="BF100" s="35" t="s">
        <v>7045</v>
      </c>
      <c r="BG100" s="30">
        <v>46661.0</v>
      </c>
      <c r="BH100" s="30">
        <v>46752.0</v>
      </c>
      <c r="BI100" s="39">
        <v>0.0</v>
      </c>
      <c r="BJ100" s="39">
        <v>0.0</v>
      </c>
      <c r="BK100" s="35" t="s">
        <v>7045</v>
      </c>
      <c r="BL100" s="30">
        <v>46753.0</v>
      </c>
      <c r="BM100" s="30">
        <v>46843.0</v>
      </c>
      <c r="BN100" s="39">
        <v>0.0</v>
      </c>
      <c r="BO100" s="39">
        <v>0.0</v>
      </c>
      <c r="BP100" s="35" t="s">
        <v>7045</v>
      </c>
      <c r="BQ100" s="30">
        <v>46844.0</v>
      </c>
      <c r="BR100" s="30">
        <v>46934.0</v>
      </c>
      <c r="BS100" s="39">
        <v>0.0</v>
      </c>
      <c r="BT100" s="39">
        <v>0.0</v>
      </c>
      <c r="BU100" s="35" t="s">
        <v>7045</v>
      </c>
      <c r="BV100" s="30">
        <v>46935.0</v>
      </c>
      <c r="BW100" s="30">
        <v>47026.0</v>
      </c>
      <c r="BX100" s="39">
        <v>0.0</v>
      </c>
      <c r="BY100" s="39">
        <v>0.0</v>
      </c>
      <c r="BZ100" s="35" t="s">
        <v>7045</v>
      </c>
      <c r="CA100" s="30">
        <v>47027.0</v>
      </c>
      <c r="CB100" s="30">
        <v>47118.0</v>
      </c>
      <c r="CC100" s="39">
        <v>0.0</v>
      </c>
      <c r="CD100" s="39">
        <v>0.0</v>
      </c>
      <c r="CE100" s="35" t="s">
        <v>7045</v>
      </c>
      <c r="CF100" s="30">
        <v>47119.0</v>
      </c>
      <c r="CG100" s="30">
        <v>47208.0</v>
      </c>
      <c r="CH100" s="39">
        <v>0.0</v>
      </c>
      <c r="CI100" s="39">
        <v>0.0</v>
      </c>
      <c r="CJ100" s="35" t="s">
        <v>7045</v>
      </c>
      <c r="CK100" s="30">
        <v>47209.0</v>
      </c>
      <c r="CL100" s="30">
        <v>47299.0</v>
      </c>
      <c r="CM100" s="39">
        <v>0.0</v>
      </c>
      <c r="CN100" s="39">
        <v>0.0</v>
      </c>
      <c r="CO100" s="35" t="s">
        <v>7045</v>
      </c>
      <c r="CP100" s="30">
        <v>47300.0</v>
      </c>
      <c r="CQ100" s="30">
        <v>47391.0</v>
      </c>
      <c r="CR100" s="39">
        <v>0.0</v>
      </c>
      <c r="CS100" s="39">
        <v>0.0</v>
      </c>
      <c r="CT100" s="35" t="s">
        <v>7045</v>
      </c>
      <c r="CU100" s="30">
        <v>47392.0</v>
      </c>
      <c r="CV100" s="30">
        <v>47483.0</v>
      </c>
      <c r="CW100" s="39">
        <v>0.0</v>
      </c>
      <c r="CX100" s="39">
        <v>0.0</v>
      </c>
      <c r="CY100" s="35" t="s">
        <v>7045</v>
      </c>
      <c r="CZ100" s="30">
        <v>47484.0</v>
      </c>
      <c r="DA100" s="30">
        <v>47573.0</v>
      </c>
      <c r="DB100" s="39">
        <v>0.0</v>
      </c>
      <c r="DC100" s="39">
        <v>0.0</v>
      </c>
      <c r="DD100" s="35" t="s">
        <v>7045</v>
      </c>
      <c r="DE100" s="30">
        <v>47574.0</v>
      </c>
      <c r="DF100" s="30">
        <v>47664.0</v>
      </c>
      <c r="DG100" s="39">
        <v>0.0</v>
      </c>
      <c r="DH100" s="39">
        <v>0.0</v>
      </c>
      <c r="DI100" s="35" t="s">
        <v>7045</v>
      </c>
      <c r="DJ100" s="30">
        <v>47665.0</v>
      </c>
      <c r="DK100" s="30">
        <v>47756.0</v>
      </c>
      <c r="DL100" s="39">
        <v>0.0</v>
      </c>
      <c r="DM100" s="39">
        <v>0.0</v>
      </c>
      <c r="DN100" s="35" t="s">
        <v>7045</v>
      </c>
      <c r="DO100" s="30">
        <v>47757.0</v>
      </c>
      <c r="DP100" s="30">
        <v>47848.0</v>
      </c>
      <c r="DQ100" s="39">
        <v>0.0</v>
      </c>
      <c r="DR100" s="39">
        <v>0.0</v>
      </c>
      <c r="DS100" s="35" t="s">
        <v>7045</v>
      </c>
    </row>
    <row r="101" ht="14.25" customHeight="1">
      <c r="A101" s="28" t="s">
        <v>5450</v>
      </c>
      <c r="B101" s="29" t="s">
        <v>5451</v>
      </c>
      <c r="C101" s="29" t="s">
        <v>7041</v>
      </c>
      <c r="D101" s="30">
        <v>45658.0</v>
      </c>
      <c r="E101" s="30">
        <v>45747.0</v>
      </c>
      <c r="F101" s="39">
        <v>80.0</v>
      </c>
      <c r="G101" s="39">
        <v>0.0</v>
      </c>
      <c r="H101" s="38" t="s">
        <v>7047</v>
      </c>
      <c r="I101" s="30">
        <v>45748.0</v>
      </c>
      <c r="J101" s="30">
        <v>45838.0</v>
      </c>
      <c r="K101" s="39">
        <v>15.0</v>
      </c>
      <c r="L101" s="39">
        <v>250.0</v>
      </c>
      <c r="M101" s="38" t="s">
        <v>7043</v>
      </c>
      <c r="N101" s="30">
        <v>45839.0</v>
      </c>
      <c r="O101" s="30">
        <v>45930.0</v>
      </c>
      <c r="P101" s="39">
        <v>414.1</v>
      </c>
      <c r="Q101" s="39">
        <v>375.0</v>
      </c>
      <c r="R101" s="38" t="s">
        <v>7047</v>
      </c>
      <c r="S101" s="30">
        <v>45931.0</v>
      </c>
      <c r="T101" s="30">
        <v>46022.0</v>
      </c>
      <c r="U101" s="39">
        <v>1297.4</v>
      </c>
      <c r="V101" s="39">
        <v>375.0</v>
      </c>
      <c r="W101" s="38" t="s">
        <v>7047</v>
      </c>
      <c r="X101" s="30">
        <v>46023.0</v>
      </c>
      <c r="Y101" s="30">
        <v>46112.0</v>
      </c>
      <c r="Z101" s="39">
        <v>475.0</v>
      </c>
      <c r="AA101" s="39">
        <v>0.0</v>
      </c>
      <c r="AB101" s="38" t="s">
        <v>7047</v>
      </c>
      <c r="AC101" s="30">
        <v>46113.0</v>
      </c>
      <c r="AD101" s="30">
        <v>46203.0</v>
      </c>
      <c r="AE101" s="39">
        <v>0.0</v>
      </c>
      <c r="AF101" s="39">
        <v>0.0</v>
      </c>
      <c r="AG101" s="35" t="s">
        <v>7045</v>
      </c>
      <c r="AH101" s="30">
        <v>46204.0</v>
      </c>
      <c r="AI101" s="30">
        <v>46295.0</v>
      </c>
      <c r="AJ101" s="39">
        <v>0.0</v>
      </c>
      <c r="AK101" s="39">
        <v>0.0</v>
      </c>
      <c r="AL101" s="35" t="s">
        <v>7045</v>
      </c>
      <c r="AM101" s="30">
        <v>46296.0</v>
      </c>
      <c r="AN101" s="30">
        <v>46387.0</v>
      </c>
      <c r="AO101" s="39">
        <v>800.0</v>
      </c>
      <c r="AP101" s="39">
        <v>0.0</v>
      </c>
      <c r="AQ101" s="38" t="s">
        <v>7047</v>
      </c>
      <c r="AR101" s="30">
        <v>46388.0</v>
      </c>
      <c r="AS101" s="30">
        <v>46477.0</v>
      </c>
      <c r="AT101" s="39">
        <v>0.0</v>
      </c>
      <c r="AU101" s="39">
        <v>0.0</v>
      </c>
      <c r="AV101" s="35" t="s">
        <v>7045</v>
      </c>
      <c r="AW101" s="30">
        <v>46478.0</v>
      </c>
      <c r="AX101" s="30">
        <v>46568.0</v>
      </c>
      <c r="AY101" s="39">
        <v>0.0</v>
      </c>
      <c r="AZ101" s="39">
        <v>0.0</v>
      </c>
      <c r="BA101" s="35" t="s">
        <v>7045</v>
      </c>
      <c r="BB101" s="30">
        <v>46569.0</v>
      </c>
      <c r="BC101" s="30">
        <v>46660.0</v>
      </c>
      <c r="BD101" s="39">
        <v>0.0</v>
      </c>
      <c r="BE101" s="39">
        <v>0.0</v>
      </c>
      <c r="BF101" s="35" t="s">
        <v>7045</v>
      </c>
      <c r="BG101" s="30">
        <v>46661.0</v>
      </c>
      <c r="BH101" s="30">
        <v>46752.0</v>
      </c>
      <c r="BI101" s="39">
        <v>0.0</v>
      </c>
      <c r="BJ101" s="39">
        <v>0.0</v>
      </c>
      <c r="BK101" s="35" t="s">
        <v>7045</v>
      </c>
      <c r="BL101" s="30">
        <v>46753.0</v>
      </c>
      <c r="BM101" s="30">
        <v>46843.0</v>
      </c>
      <c r="BN101" s="39">
        <v>0.0</v>
      </c>
      <c r="BO101" s="39">
        <v>0.0</v>
      </c>
      <c r="BP101" s="35" t="s">
        <v>7045</v>
      </c>
      <c r="BQ101" s="30">
        <v>46844.0</v>
      </c>
      <c r="BR101" s="30">
        <v>46934.0</v>
      </c>
      <c r="BS101" s="39">
        <v>0.0</v>
      </c>
      <c r="BT101" s="39">
        <v>0.0</v>
      </c>
      <c r="BU101" s="35" t="s">
        <v>7045</v>
      </c>
      <c r="BV101" s="30">
        <v>46935.0</v>
      </c>
      <c r="BW101" s="30">
        <v>47026.0</v>
      </c>
      <c r="BX101" s="39">
        <v>0.0</v>
      </c>
      <c r="BY101" s="39">
        <v>0.0</v>
      </c>
      <c r="BZ101" s="35" t="s">
        <v>7045</v>
      </c>
      <c r="CA101" s="30">
        <v>47027.0</v>
      </c>
      <c r="CB101" s="30">
        <v>47118.0</v>
      </c>
      <c r="CC101" s="39">
        <v>0.0</v>
      </c>
      <c r="CD101" s="39">
        <v>0.0</v>
      </c>
      <c r="CE101" s="35" t="s">
        <v>7045</v>
      </c>
      <c r="CF101" s="30">
        <v>47119.0</v>
      </c>
      <c r="CG101" s="30">
        <v>47208.0</v>
      </c>
      <c r="CH101" s="39">
        <v>0.0</v>
      </c>
      <c r="CI101" s="39">
        <v>0.0</v>
      </c>
      <c r="CJ101" s="35" t="s">
        <v>7045</v>
      </c>
      <c r="CK101" s="30">
        <v>47209.0</v>
      </c>
      <c r="CL101" s="30">
        <v>47299.0</v>
      </c>
      <c r="CM101" s="39">
        <v>0.0</v>
      </c>
      <c r="CN101" s="39">
        <v>0.0</v>
      </c>
      <c r="CO101" s="35" t="s">
        <v>7045</v>
      </c>
      <c r="CP101" s="30">
        <v>47300.0</v>
      </c>
      <c r="CQ101" s="30">
        <v>47391.0</v>
      </c>
      <c r="CR101" s="39">
        <v>0.0</v>
      </c>
      <c r="CS101" s="39">
        <v>0.0</v>
      </c>
      <c r="CT101" s="35" t="s">
        <v>7045</v>
      </c>
      <c r="CU101" s="30">
        <v>47392.0</v>
      </c>
      <c r="CV101" s="30">
        <v>47483.0</v>
      </c>
      <c r="CW101" s="39">
        <v>0.0</v>
      </c>
      <c r="CX101" s="39">
        <v>0.0</v>
      </c>
      <c r="CY101" s="35" t="s">
        <v>7045</v>
      </c>
      <c r="CZ101" s="30">
        <v>47484.0</v>
      </c>
      <c r="DA101" s="30">
        <v>47573.0</v>
      </c>
      <c r="DB101" s="39">
        <v>0.0</v>
      </c>
      <c r="DC101" s="39">
        <v>0.0</v>
      </c>
      <c r="DD101" s="35" t="s">
        <v>7045</v>
      </c>
      <c r="DE101" s="30">
        <v>47574.0</v>
      </c>
      <c r="DF101" s="30">
        <v>47664.0</v>
      </c>
      <c r="DG101" s="39">
        <v>0.0</v>
      </c>
      <c r="DH101" s="39">
        <v>0.0</v>
      </c>
      <c r="DI101" s="35" t="s">
        <v>7045</v>
      </c>
      <c r="DJ101" s="30">
        <v>47665.0</v>
      </c>
      <c r="DK101" s="30">
        <v>47756.0</v>
      </c>
      <c r="DL101" s="39">
        <v>0.0</v>
      </c>
      <c r="DM101" s="39">
        <v>0.0</v>
      </c>
      <c r="DN101" s="35" t="s">
        <v>7045</v>
      </c>
      <c r="DO101" s="30">
        <v>47757.0</v>
      </c>
      <c r="DP101" s="30">
        <v>47848.0</v>
      </c>
      <c r="DQ101" s="39">
        <v>0.0</v>
      </c>
      <c r="DR101" s="39">
        <v>0.0</v>
      </c>
      <c r="DS101" s="35" t="s">
        <v>7045</v>
      </c>
    </row>
    <row r="102" ht="14.25" customHeight="1">
      <c r="A102" s="28" t="s">
        <v>6089</v>
      </c>
      <c r="B102" s="29" t="s">
        <v>6090</v>
      </c>
      <c r="C102" s="29" t="s">
        <v>7041</v>
      </c>
      <c r="D102" s="30">
        <v>45658.0</v>
      </c>
      <c r="E102" s="30">
        <v>45747.0</v>
      </c>
      <c r="F102" s="39">
        <v>12.0</v>
      </c>
      <c r="G102" s="39">
        <v>0.0</v>
      </c>
      <c r="H102" s="38" t="s">
        <v>7047</v>
      </c>
      <c r="I102" s="30">
        <v>45748.0</v>
      </c>
      <c r="J102" s="30">
        <v>45838.0</v>
      </c>
      <c r="K102" s="39">
        <v>21.0</v>
      </c>
      <c r="L102" s="39">
        <v>0.0</v>
      </c>
      <c r="M102" s="38" t="s">
        <v>7047</v>
      </c>
      <c r="N102" s="30">
        <v>45839.0</v>
      </c>
      <c r="O102" s="30">
        <v>45930.0</v>
      </c>
      <c r="P102" s="39">
        <v>12.0</v>
      </c>
      <c r="Q102" s="39">
        <v>0.0</v>
      </c>
      <c r="R102" s="38" t="s">
        <v>7047</v>
      </c>
      <c r="S102" s="30">
        <v>45931.0</v>
      </c>
      <c r="T102" s="30">
        <v>46022.0</v>
      </c>
      <c r="U102" s="39">
        <v>249.0</v>
      </c>
      <c r="V102" s="39">
        <v>0.0</v>
      </c>
      <c r="W102" s="38" t="s">
        <v>7047</v>
      </c>
      <c r="X102" s="30">
        <v>46023.0</v>
      </c>
      <c r="Y102" s="30">
        <v>46112.0</v>
      </c>
      <c r="Z102" s="39">
        <v>0.0</v>
      </c>
      <c r="AA102" s="39">
        <v>0.0</v>
      </c>
      <c r="AB102" s="35" t="s">
        <v>7045</v>
      </c>
      <c r="AC102" s="30">
        <v>46113.0</v>
      </c>
      <c r="AD102" s="30">
        <v>46203.0</v>
      </c>
      <c r="AE102" s="39">
        <v>620.0</v>
      </c>
      <c r="AF102" s="39">
        <v>0.0</v>
      </c>
      <c r="AG102" s="38" t="s">
        <v>7047</v>
      </c>
      <c r="AH102" s="30">
        <v>46204.0</v>
      </c>
      <c r="AI102" s="30">
        <v>46295.0</v>
      </c>
      <c r="AJ102" s="39">
        <v>0.0</v>
      </c>
      <c r="AK102" s="39">
        <v>0.0</v>
      </c>
      <c r="AL102" s="35" t="s">
        <v>7045</v>
      </c>
      <c r="AM102" s="30">
        <v>46296.0</v>
      </c>
      <c r="AN102" s="30">
        <v>46387.0</v>
      </c>
      <c r="AO102" s="39">
        <v>8000.0</v>
      </c>
      <c r="AP102" s="39">
        <v>0.0</v>
      </c>
      <c r="AQ102" s="38" t="s">
        <v>7047</v>
      </c>
      <c r="AR102" s="30">
        <v>46388.0</v>
      </c>
      <c r="AS102" s="30">
        <v>46477.0</v>
      </c>
      <c r="AT102" s="39">
        <v>0.0</v>
      </c>
      <c r="AU102" s="39">
        <v>0.0</v>
      </c>
      <c r="AV102" s="35" t="s">
        <v>7045</v>
      </c>
      <c r="AW102" s="30">
        <v>46478.0</v>
      </c>
      <c r="AX102" s="30">
        <v>46568.0</v>
      </c>
      <c r="AY102" s="39">
        <v>0.0</v>
      </c>
      <c r="AZ102" s="39">
        <v>0.0</v>
      </c>
      <c r="BA102" s="35" t="s">
        <v>7045</v>
      </c>
      <c r="BB102" s="30">
        <v>46569.0</v>
      </c>
      <c r="BC102" s="30">
        <v>46660.0</v>
      </c>
      <c r="BD102" s="39">
        <v>0.0</v>
      </c>
      <c r="BE102" s="39">
        <v>0.0</v>
      </c>
      <c r="BF102" s="35" t="s">
        <v>7045</v>
      </c>
      <c r="BG102" s="30">
        <v>46661.0</v>
      </c>
      <c r="BH102" s="30">
        <v>46752.0</v>
      </c>
      <c r="BI102" s="39">
        <v>0.0</v>
      </c>
      <c r="BJ102" s="39">
        <v>0.0</v>
      </c>
      <c r="BK102" s="35" t="s">
        <v>7045</v>
      </c>
      <c r="BL102" s="30">
        <v>46753.0</v>
      </c>
      <c r="BM102" s="30">
        <v>46843.0</v>
      </c>
      <c r="BN102" s="39">
        <v>0.0</v>
      </c>
      <c r="BO102" s="39">
        <v>0.0</v>
      </c>
      <c r="BP102" s="35" t="s">
        <v>7045</v>
      </c>
      <c r="BQ102" s="30">
        <v>46844.0</v>
      </c>
      <c r="BR102" s="30">
        <v>46934.0</v>
      </c>
      <c r="BS102" s="39">
        <v>0.0</v>
      </c>
      <c r="BT102" s="39">
        <v>0.0</v>
      </c>
      <c r="BU102" s="35" t="s">
        <v>7045</v>
      </c>
      <c r="BV102" s="30">
        <v>46935.0</v>
      </c>
      <c r="BW102" s="30">
        <v>47026.0</v>
      </c>
      <c r="BX102" s="39">
        <v>0.0</v>
      </c>
      <c r="BY102" s="39">
        <v>0.0</v>
      </c>
      <c r="BZ102" s="35" t="s">
        <v>7045</v>
      </c>
      <c r="CA102" s="30">
        <v>47027.0</v>
      </c>
      <c r="CB102" s="30">
        <v>47118.0</v>
      </c>
      <c r="CC102" s="39">
        <v>0.0</v>
      </c>
      <c r="CD102" s="39">
        <v>0.0</v>
      </c>
      <c r="CE102" s="35" t="s">
        <v>7045</v>
      </c>
      <c r="CF102" s="30">
        <v>47119.0</v>
      </c>
      <c r="CG102" s="30">
        <v>47208.0</v>
      </c>
      <c r="CH102" s="39">
        <v>0.0</v>
      </c>
      <c r="CI102" s="39">
        <v>0.0</v>
      </c>
      <c r="CJ102" s="35" t="s">
        <v>7045</v>
      </c>
      <c r="CK102" s="30">
        <v>47209.0</v>
      </c>
      <c r="CL102" s="30">
        <v>47299.0</v>
      </c>
      <c r="CM102" s="39">
        <v>0.0</v>
      </c>
      <c r="CN102" s="39">
        <v>0.0</v>
      </c>
      <c r="CO102" s="35" t="s">
        <v>7045</v>
      </c>
      <c r="CP102" s="30">
        <v>47300.0</v>
      </c>
      <c r="CQ102" s="30">
        <v>47391.0</v>
      </c>
      <c r="CR102" s="39">
        <v>0.0</v>
      </c>
      <c r="CS102" s="39">
        <v>0.0</v>
      </c>
      <c r="CT102" s="35" t="s">
        <v>7045</v>
      </c>
      <c r="CU102" s="30">
        <v>47392.0</v>
      </c>
      <c r="CV102" s="30">
        <v>47483.0</v>
      </c>
      <c r="CW102" s="39">
        <v>0.0</v>
      </c>
      <c r="CX102" s="39">
        <v>0.0</v>
      </c>
      <c r="CY102" s="35" t="s">
        <v>7045</v>
      </c>
      <c r="CZ102" s="30">
        <v>47484.0</v>
      </c>
      <c r="DA102" s="30">
        <v>47573.0</v>
      </c>
      <c r="DB102" s="39">
        <v>0.0</v>
      </c>
      <c r="DC102" s="39">
        <v>0.0</v>
      </c>
      <c r="DD102" s="35" t="s">
        <v>7045</v>
      </c>
      <c r="DE102" s="30">
        <v>47574.0</v>
      </c>
      <c r="DF102" s="30">
        <v>47664.0</v>
      </c>
      <c r="DG102" s="39">
        <v>0.0</v>
      </c>
      <c r="DH102" s="39">
        <v>0.0</v>
      </c>
      <c r="DI102" s="35" t="s">
        <v>7045</v>
      </c>
      <c r="DJ102" s="30">
        <v>47665.0</v>
      </c>
      <c r="DK102" s="30">
        <v>47756.0</v>
      </c>
      <c r="DL102" s="39">
        <v>0.0</v>
      </c>
      <c r="DM102" s="39">
        <v>0.0</v>
      </c>
      <c r="DN102" s="35" t="s">
        <v>7045</v>
      </c>
      <c r="DO102" s="30">
        <v>47757.0</v>
      </c>
      <c r="DP102" s="30">
        <v>47848.0</v>
      </c>
      <c r="DQ102" s="39">
        <v>0.0</v>
      </c>
      <c r="DR102" s="39">
        <v>0.0</v>
      </c>
      <c r="DS102" s="35" t="s">
        <v>7045</v>
      </c>
    </row>
    <row r="103" ht="14.25" customHeight="1">
      <c r="A103" s="28" t="s">
        <v>6583</v>
      </c>
      <c r="B103" s="29" t="s">
        <v>6584</v>
      </c>
      <c r="C103" s="29" t="s">
        <v>7041</v>
      </c>
      <c r="D103" s="30">
        <v>45658.0</v>
      </c>
      <c r="E103" s="30">
        <v>45747.0</v>
      </c>
      <c r="F103" s="39">
        <v>0.0</v>
      </c>
      <c r="G103" s="39">
        <v>0.0</v>
      </c>
      <c r="H103" s="35" t="s">
        <v>7045</v>
      </c>
      <c r="I103" s="30">
        <v>45748.0</v>
      </c>
      <c r="J103" s="30">
        <v>45838.0</v>
      </c>
      <c r="K103" s="39">
        <v>0.0</v>
      </c>
      <c r="L103" s="39">
        <v>0.0</v>
      </c>
      <c r="M103" s="35" t="s">
        <v>7045</v>
      </c>
      <c r="N103" s="30">
        <v>45839.0</v>
      </c>
      <c r="O103" s="30">
        <v>45930.0</v>
      </c>
      <c r="P103" s="39">
        <v>0.0</v>
      </c>
      <c r="Q103" s="39">
        <v>0.0</v>
      </c>
      <c r="R103" s="35" t="s">
        <v>7045</v>
      </c>
      <c r="S103" s="30">
        <v>45931.0</v>
      </c>
      <c r="T103" s="30">
        <v>46022.0</v>
      </c>
      <c r="U103" s="39">
        <v>0.0</v>
      </c>
      <c r="V103" s="39">
        <v>0.0</v>
      </c>
      <c r="W103" s="35" t="s">
        <v>7045</v>
      </c>
      <c r="X103" s="30">
        <v>46023.0</v>
      </c>
      <c r="Y103" s="30">
        <v>46112.0</v>
      </c>
      <c r="Z103" s="39">
        <v>0.0</v>
      </c>
      <c r="AA103" s="39">
        <v>0.0</v>
      </c>
      <c r="AB103" s="35" t="s">
        <v>7045</v>
      </c>
      <c r="AC103" s="30">
        <v>46113.0</v>
      </c>
      <c r="AD103" s="30">
        <v>46203.0</v>
      </c>
      <c r="AE103" s="39">
        <v>0.0</v>
      </c>
      <c r="AF103" s="39">
        <v>0.0</v>
      </c>
      <c r="AG103" s="35" t="s">
        <v>7045</v>
      </c>
      <c r="AH103" s="30">
        <v>46204.0</v>
      </c>
      <c r="AI103" s="30">
        <v>46295.0</v>
      </c>
      <c r="AJ103" s="39">
        <v>0.0</v>
      </c>
      <c r="AK103" s="39">
        <v>0.0</v>
      </c>
      <c r="AL103" s="35" t="s">
        <v>7045</v>
      </c>
      <c r="AM103" s="30">
        <v>46296.0</v>
      </c>
      <c r="AN103" s="30">
        <v>46387.0</v>
      </c>
      <c r="AO103" s="39">
        <v>0.0</v>
      </c>
      <c r="AP103" s="39">
        <v>0.0</v>
      </c>
      <c r="AQ103" s="35" t="s">
        <v>7045</v>
      </c>
      <c r="AR103" s="30">
        <v>46388.0</v>
      </c>
      <c r="AS103" s="30">
        <v>46477.0</v>
      </c>
      <c r="AT103" s="39">
        <v>0.0</v>
      </c>
      <c r="AU103" s="39">
        <v>0.0</v>
      </c>
      <c r="AV103" s="35" t="s">
        <v>7045</v>
      </c>
      <c r="AW103" s="30">
        <v>46478.0</v>
      </c>
      <c r="AX103" s="30">
        <v>46568.0</v>
      </c>
      <c r="AY103" s="39">
        <v>0.0</v>
      </c>
      <c r="AZ103" s="39">
        <v>0.0</v>
      </c>
      <c r="BA103" s="35" t="s">
        <v>7045</v>
      </c>
      <c r="BB103" s="30">
        <v>46569.0</v>
      </c>
      <c r="BC103" s="30">
        <v>46660.0</v>
      </c>
      <c r="BD103" s="39">
        <v>0.0</v>
      </c>
      <c r="BE103" s="39">
        <v>0.0</v>
      </c>
      <c r="BF103" s="35" t="s">
        <v>7045</v>
      </c>
      <c r="BG103" s="30">
        <v>46661.0</v>
      </c>
      <c r="BH103" s="30">
        <v>46752.0</v>
      </c>
      <c r="BI103" s="39">
        <v>0.0</v>
      </c>
      <c r="BJ103" s="39">
        <v>0.0</v>
      </c>
      <c r="BK103" s="35" t="s">
        <v>7045</v>
      </c>
      <c r="BL103" s="30">
        <v>46753.0</v>
      </c>
      <c r="BM103" s="30">
        <v>46843.0</v>
      </c>
      <c r="BN103" s="39">
        <v>0.0</v>
      </c>
      <c r="BO103" s="39">
        <v>0.0</v>
      </c>
      <c r="BP103" s="35" t="s">
        <v>7045</v>
      </c>
      <c r="BQ103" s="30">
        <v>46844.0</v>
      </c>
      <c r="BR103" s="30">
        <v>46934.0</v>
      </c>
      <c r="BS103" s="39">
        <v>0.0</v>
      </c>
      <c r="BT103" s="39">
        <v>0.0</v>
      </c>
      <c r="BU103" s="35" t="s">
        <v>7045</v>
      </c>
      <c r="BV103" s="30">
        <v>46935.0</v>
      </c>
      <c r="BW103" s="30">
        <v>47026.0</v>
      </c>
      <c r="BX103" s="39">
        <v>0.0</v>
      </c>
      <c r="BY103" s="39">
        <v>0.0</v>
      </c>
      <c r="BZ103" s="35" t="s">
        <v>7045</v>
      </c>
      <c r="CA103" s="30">
        <v>47027.0</v>
      </c>
      <c r="CB103" s="30">
        <v>47118.0</v>
      </c>
      <c r="CC103" s="39">
        <v>0.0</v>
      </c>
      <c r="CD103" s="39">
        <v>0.0</v>
      </c>
      <c r="CE103" s="35" t="s">
        <v>7045</v>
      </c>
      <c r="CF103" s="30">
        <v>47119.0</v>
      </c>
      <c r="CG103" s="30">
        <v>47208.0</v>
      </c>
      <c r="CH103" s="39">
        <v>0.0</v>
      </c>
      <c r="CI103" s="39">
        <v>0.0</v>
      </c>
      <c r="CJ103" s="35" t="s">
        <v>7045</v>
      </c>
      <c r="CK103" s="30">
        <v>47209.0</v>
      </c>
      <c r="CL103" s="30">
        <v>47299.0</v>
      </c>
      <c r="CM103" s="39">
        <v>0.0</v>
      </c>
      <c r="CN103" s="39">
        <v>0.0</v>
      </c>
      <c r="CO103" s="35" t="s">
        <v>7045</v>
      </c>
      <c r="CP103" s="30">
        <v>47300.0</v>
      </c>
      <c r="CQ103" s="30">
        <v>47391.0</v>
      </c>
      <c r="CR103" s="39">
        <v>0.0</v>
      </c>
      <c r="CS103" s="39">
        <v>0.0</v>
      </c>
      <c r="CT103" s="35" t="s">
        <v>7045</v>
      </c>
      <c r="CU103" s="30">
        <v>47392.0</v>
      </c>
      <c r="CV103" s="30">
        <v>47483.0</v>
      </c>
      <c r="CW103" s="39">
        <v>0.0</v>
      </c>
      <c r="CX103" s="39">
        <v>0.0</v>
      </c>
      <c r="CY103" s="35" t="s">
        <v>7045</v>
      </c>
      <c r="CZ103" s="30">
        <v>47484.0</v>
      </c>
      <c r="DA103" s="30">
        <v>47573.0</v>
      </c>
      <c r="DB103" s="39">
        <v>0.0</v>
      </c>
      <c r="DC103" s="39">
        <v>0.0</v>
      </c>
      <c r="DD103" s="35" t="s">
        <v>7045</v>
      </c>
      <c r="DE103" s="30">
        <v>47574.0</v>
      </c>
      <c r="DF103" s="30">
        <v>47664.0</v>
      </c>
      <c r="DG103" s="39">
        <v>0.0</v>
      </c>
      <c r="DH103" s="39">
        <v>0.0</v>
      </c>
      <c r="DI103" s="35" t="s">
        <v>7045</v>
      </c>
      <c r="DJ103" s="30">
        <v>47665.0</v>
      </c>
      <c r="DK103" s="30">
        <v>47756.0</v>
      </c>
      <c r="DL103" s="39">
        <v>0.0</v>
      </c>
      <c r="DM103" s="39">
        <v>0.0</v>
      </c>
      <c r="DN103" s="35" t="s">
        <v>7045</v>
      </c>
      <c r="DO103" s="30">
        <v>47757.0</v>
      </c>
      <c r="DP103" s="30">
        <v>47848.0</v>
      </c>
      <c r="DQ103" s="39">
        <v>0.0</v>
      </c>
      <c r="DR103" s="39">
        <v>0.0</v>
      </c>
      <c r="DS103" s="35" t="s">
        <v>7045</v>
      </c>
    </row>
    <row r="104" ht="14.25" customHeight="1">
      <c r="A104" s="28" t="s">
        <v>2234</v>
      </c>
      <c r="B104" s="29" t="s">
        <v>2235</v>
      </c>
      <c r="C104" s="29" t="s">
        <v>7041</v>
      </c>
      <c r="D104" s="30">
        <v>45658.0</v>
      </c>
      <c r="E104" s="30">
        <v>45747.0</v>
      </c>
      <c r="F104" s="36">
        <v>35.7</v>
      </c>
      <c r="G104" s="36">
        <v>0.0</v>
      </c>
      <c r="H104" s="38" t="s">
        <v>7047</v>
      </c>
      <c r="I104" s="30">
        <v>45748.0</v>
      </c>
      <c r="J104" s="30">
        <v>45838.0</v>
      </c>
      <c r="K104" s="36">
        <v>14.86</v>
      </c>
      <c r="L104" s="36">
        <v>1666.67</v>
      </c>
      <c r="M104" s="32" t="s">
        <v>7043</v>
      </c>
      <c r="N104" s="30">
        <v>45839.0</v>
      </c>
      <c r="O104" s="30">
        <v>45930.0</v>
      </c>
      <c r="P104" s="36">
        <v>681.78</v>
      </c>
      <c r="Q104" s="36">
        <v>1428.56</v>
      </c>
      <c r="R104" s="38" t="s">
        <v>7047</v>
      </c>
      <c r="S104" s="30">
        <v>45931.0</v>
      </c>
      <c r="T104" s="30">
        <v>46022.0</v>
      </c>
      <c r="U104" s="36">
        <v>1130.33</v>
      </c>
      <c r="V104" s="36">
        <v>1666.67</v>
      </c>
      <c r="W104" s="38" t="s">
        <v>7047</v>
      </c>
      <c r="X104" s="30">
        <v>46023.0</v>
      </c>
      <c r="Y104" s="30">
        <v>46112.0</v>
      </c>
      <c r="Z104" s="36">
        <v>523.21</v>
      </c>
      <c r="AA104" s="36">
        <v>0.0</v>
      </c>
      <c r="AB104" s="38" t="s">
        <v>7047</v>
      </c>
      <c r="AC104" s="30">
        <v>46113.0</v>
      </c>
      <c r="AD104" s="30">
        <v>46203.0</v>
      </c>
      <c r="AE104" s="36">
        <v>139.49</v>
      </c>
      <c r="AF104" s="36">
        <v>0.0</v>
      </c>
      <c r="AG104" s="38" t="s">
        <v>7047</v>
      </c>
      <c r="AH104" s="30">
        <v>46204.0</v>
      </c>
      <c r="AI104" s="30">
        <v>46295.0</v>
      </c>
      <c r="AJ104" s="36">
        <v>1.46</v>
      </c>
      <c r="AK104" s="36">
        <v>0.0</v>
      </c>
      <c r="AL104" s="38" t="s">
        <v>7047</v>
      </c>
      <c r="AM104" s="30">
        <v>46296.0</v>
      </c>
      <c r="AN104" s="30">
        <v>46387.0</v>
      </c>
      <c r="AO104" s="36">
        <v>1685.78</v>
      </c>
      <c r="AP104" s="36">
        <v>0.0</v>
      </c>
      <c r="AQ104" s="38" t="s">
        <v>7047</v>
      </c>
      <c r="AR104" s="30">
        <v>46388.0</v>
      </c>
      <c r="AS104" s="30">
        <v>46477.0</v>
      </c>
      <c r="AT104" s="36">
        <v>0.0</v>
      </c>
      <c r="AU104" s="36">
        <v>0.0</v>
      </c>
      <c r="AV104" s="35" t="s">
        <v>7045</v>
      </c>
      <c r="AW104" s="30">
        <v>46478.0</v>
      </c>
      <c r="AX104" s="30">
        <v>46568.0</v>
      </c>
      <c r="AY104" s="36">
        <v>0.0</v>
      </c>
      <c r="AZ104" s="36">
        <v>0.0</v>
      </c>
      <c r="BA104" s="35" t="s">
        <v>7045</v>
      </c>
      <c r="BB104" s="30">
        <v>46569.0</v>
      </c>
      <c r="BC104" s="30">
        <v>46660.0</v>
      </c>
      <c r="BD104" s="36">
        <v>0.0</v>
      </c>
      <c r="BE104" s="36">
        <v>0.0</v>
      </c>
      <c r="BF104" s="35" t="s">
        <v>7045</v>
      </c>
      <c r="BG104" s="30">
        <v>46661.0</v>
      </c>
      <c r="BH104" s="30">
        <v>46752.0</v>
      </c>
      <c r="BI104" s="36">
        <v>0.0</v>
      </c>
      <c r="BJ104" s="36">
        <v>0.0</v>
      </c>
      <c r="BK104" s="35" t="s">
        <v>7045</v>
      </c>
      <c r="BL104" s="30">
        <v>46753.0</v>
      </c>
      <c r="BM104" s="30">
        <v>46843.0</v>
      </c>
      <c r="BN104" s="36">
        <v>0.0</v>
      </c>
      <c r="BO104" s="36">
        <v>0.0</v>
      </c>
      <c r="BP104" s="35" t="s">
        <v>7045</v>
      </c>
      <c r="BQ104" s="30">
        <v>46844.0</v>
      </c>
      <c r="BR104" s="30">
        <v>46934.0</v>
      </c>
      <c r="BS104" s="36">
        <v>0.0</v>
      </c>
      <c r="BT104" s="36">
        <v>0.0</v>
      </c>
      <c r="BU104" s="35" t="s">
        <v>7045</v>
      </c>
      <c r="BV104" s="30">
        <v>46935.0</v>
      </c>
      <c r="BW104" s="30">
        <v>47026.0</v>
      </c>
      <c r="BX104" s="36">
        <v>0.0</v>
      </c>
      <c r="BY104" s="36">
        <v>0.0</v>
      </c>
      <c r="BZ104" s="35" t="s">
        <v>7045</v>
      </c>
      <c r="CA104" s="30">
        <v>47027.0</v>
      </c>
      <c r="CB104" s="30">
        <v>47118.0</v>
      </c>
      <c r="CC104" s="36">
        <v>0.0</v>
      </c>
      <c r="CD104" s="36">
        <v>0.0</v>
      </c>
      <c r="CE104" s="35" t="s">
        <v>7045</v>
      </c>
      <c r="CF104" s="30">
        <v>47119.0</v>
      </c>
      <c r="CG104" s="30">
        <v>47208.0</v>
      </c>
      <c r="CH104" s="36">
        <v>0.0</v>
      </c>
      <c r="CI104" s="36">
        <v>0.0</v>
      </c>
      <c r="CJ104" s="35" t="s">
        <v>7045</v>
      </c>
      <c r="CK104" s="30">
        <v>47209.0</v>
      </c>
      <c r="CL104" s="30">
        <v>47299.0</v>
      </c>
      <c r="CM104" s="36">
        <v>0.0</v>
      </c>
      <c r="CN104" s="36">
        <v>0.0</v>
      </c>
      <c r="CO104" s="35" t="s">
        <v>7045</v>
      </c>
      <c r="CP104" s="30">
        <v>47300.0</v>
      </c>
      <c r="CQ104" s="30">
        <v>47391.0</v>
      </c>
      <c r="CR104" s="36">
        <v>0.0</v>
      </c>
      <c r="CS104" s="36">
        <v>0.0</v>
      </c>
      <c r="CT104" s="35" t="s">
        <v>7045</v>
      </c>
      <c r="CU104" s="30">
        <v>47392.0</v>
      </c>
      <c r="CV104" s="30">
        <v>47483.0</v>
      </c>
      <c r="CW104" s="36">
        <v>0.0</v>
      </c>
      <c r="CX104" s="36">
        <v>0.0</v>
      </c>
      <c r="CY104" s="35" t="s">
        <v>7045</v>
      </c>
      <c r="CZ104" s="30">
        <v>47484.0</v>
      </c>
      <c r="DA104" s="30">
        <v>47573.0</v>
      </c>
      <c r="DB104" s="36">
        <v>0.0</v>
      </c>
      <c r="DC104" s="36">
        <v>0.0</v>
      </c>
      <c r="DD104" s="35" t="s">
        <v>7045</v>
      </c>
      <c r="DE104" s="30">
        <v>47574.0</v>
      </c>
      <c r="DF104" s="30">
        <v>47664.0</v>
      </c>
      <c r="DG104" s="36">
        <v>0.0</v>
      </c>
      <c r="DH104" s="36">
        <v>0.0</v>
      </c>
      <c r="DI104" s="35" t="s">
        <v>7045</v>
      </c>
      <c r="DJ104" s="30">
        <v>47665.0</v>
      </c>
      <c r="DK104" s="30">
        <v>47756.0</v>
      </c>
      <c r="DL104" s="36">
        <v>0.0</v>
      </c>
      <c r="DM104" s="36">
        <v>0.0</v>
      </c>
      <c r="DN104" s="35" t="s">
        <v>7045</v>
      </c>
      <c r="DO104" s="30">
        <v>47757.0</v>
      </c>
      <c r="DP104" s="30">
        <v>47848.0</v>
      </c>
      <c r="DQ104" s="36">
        <v>0.0</v>
      </c>
      <c r="DR104" s="36">
        <v>0.0</v>
      </c>
      <c r="DS104" s="35" t="s">
        <v>7045</v>
      </c>
    </row>
    <row r="105" ht="14.25" customHeight="1">
      <c r="A105" s="28" t="s">
        <v>2894</v>
      </c>
      <c r="B105" s="29" t="s">
        <v>2895</v>
      </c>
      <c r="C105" s="29" t="s">
        <v>7041</v>
      </c>
      <c r="D105" s="30">
        <v>45658.0</v>
      </c>
      <c r="E105" s="30">
        <v>45747.0</v>
      </c>
      <c r="F105" s="39">
        <v>4.21</v>
      </c>
      <c r="G105" s="39">
        <v>0.0</v>
      </c>
      <c r="H105" s="38" t="s">
        <v>7047</v>
      </c>
      <c r="I105" s="30">
        <v>45748.0</v>
      </c>
      <c r="J105" s="30">
        <v>45838.0</v>
      </c>
      <c r="K105" s="39">
        <v>46.87</v>
      </c>
      <c r="L105" s="39">
        <v>1171.28</v>
      </c>
      <c r="M105" s="37" t="s">
        <v>7043</v>
      </c>
      <c r="N105" s="30">
        <v>45839.0</v>
      </c>
      <c r="O105" s="30">
        <v>45930.0</v>
      </c>
      <c r="P105" s="39">
        <v>335.92</v>
      </c>
      <c r="Q105" s="39">
        <v>1179.79</v>
      </c>
      <c r="R105" s="38" t="s">
        <v>7047</v>
      </c>
      <c r="S105" s="30">
        <v>45931.0</v>
      </c>
      <c r="T105" s="30">
        <v>46022.0</v>
      </c>
      <c r="U105" s="39">
        <v>768.11</v>
      </c>
      <c r="V105" s="39">
        <v>1298.94</v>
      </c>
      <c r="W105" s="38" t="s">
        <v>7047</v>
      </c>
      <c r="X105" s="30">
        <v>46023.0</v>
      </c>
      <c r="Y105" s="30">
        <v>46112.0</v>
      </c>
      <c r="Z105" s="39">
        <v>25.93</v>
      </c>
      <c r="AA105" s="39">
        <v>0.0</v>
      </c>
      <c r="AB105" s="38" t="s">
        <v>7047</v>
      </c>
      <c r="AC105" s="30">
        <v>46113.0</v>
      </c>
      <c r="AD105" s="30">
        <v>46203.0</v>
      </c>
      <c r="AE105" s="39">
        <v>840.08</v>
      </c>
      <c r="AF105" s="39">
        <v>0.0</v>
      </c>
      <c r="AG105" s="38" t="s">
        <v>7047</v>
      </c>
      <c r="AH105" s="30">
        <v>46204.0</v>
      </c>
      <c r="AI105" s="30">
        <v>46295.0</v>
      </c>
      <c r="AJ105" s="39">
        <v>21.8</v>
      </c>
      <c r="AK105" s="39">
        <v>0.0</v>
      </c>
      <c r="AL105" s="38" t="s">
        <v>7047</v>
      </c>
      <c r="AM105" s="30">
        <v>46296.0</v>
      </c>
      <c r="AN105" s="30">
        <v>46387.0</v>
      </c>
      <c r="AO105" s="39">
        <v>402.95</v>
      </c>
      <c r="AP105" s="39">
        <v>0.0</v>
      </c>
      <c r="AQ105" s="38" t="s">
        <v>7047</v>
      </c>
      <c r="AR105" s="30">
        <v>46388.0</v>
      </c>
      <c r="AS105" s="30">
        <v>46477.0</v>
      </c>
      <c r="AT105" s="39">
        <v>0.0</v>
      </c>
      <c r="AU105" s="39">
        <v>0.0</v>
      </c>
      <c r="AV105" s="35" t="s">
        <v>7045</v>
      </c>
      <c r="AW105" s="30">
        <v>46478.0</v>
      </c>
      <c r="AX105" s="30">
        <v>46568.0</v>
      </c>
      <c r="AY105" s="39">
        <v>0.0</v>
      </c>
      <c r="AZ105" s="39">
        <v>0.0</v>
      </c>
      <c r="BA105" s="35" t="s">
        <v>7045</v>
      </c>
      <c r="BB105" s="30">
        <v>46569.0</v>
      </c>
      <c r="BC105" s="30">
        <v>46660.0</v>
      </c>
      <c r="BD105" s="39">
        <v>0.0</v>
      </c>
      <c r="BE105" s="39">
        <v>0.0</v>
      </c>
      <c r="BF105" s="35" t="s">
        <v>7045</v>
      </c>
      <c r="BG105" s="30">
        <v>46661.0</v>
      </c>
      <c r="BH105" s="30">
        <v>46752.0</v>
      </c>
      <c r="BI105" s="39">
        <v>0.0</v>
      </c>
      <c r="BJ105" s="39">
        <v>0.0</v>
      </c>
      <c r="BK105" s="35" t="s">
        <v>7045</v>
      </c>
      <c r="BL105" s="30">
        <v>46753.0</v>
      </c>
      <c r="BM105" s="30">
        <v>46843.0</v>
      </c>
      <c r="BN105" s="39">
        <v>0.0</v>
      </c>
      <c r="BO105" s="39">
        <v>0.0</v>
      </c>
      <c r="BP105" s="35" t="s">
        <v>7045</v>
      </c>
      <c r="BQ105" s="30">
        <v>46844.0</v>
      </c>
      <c r="BR105" s="30">
        <v>46934.0</v>
      </c>
      <c r="BS105" s="39">
        <v>0.0</v>
      </c>
      <c r="BT105" s="39">
        <v>0.0</v>
      </c>
      <c r="BU105" s="35" t="s">
        <v>7045</v>
      </c>
      <c r="BV105" s="30">
        <v>46935.0</v>
      </c>
      <c r="BW105" s="30">
        <v>47026.0</v>
      </c>
      <c r="BX105" s="39">
        <v>0.0</v>
      </c>
      <c r="BY105" s="39">
        <v>0.0</v>
      </c>
      <c r="BZ105" s="35" t="s">
        <v>7045</v>
      </c>
      <c r="CA105" s="30">
        <v>47027.0</v>
      </c>
      <c r="CB105" s="30">
        <v>47118.0</v>
      </c>
      <c r="CC105" s="39">
        <v>0.0</v>
      </c>
      <c r="CD105" s="39">
        <v>0.0</v>
      </c>
      <c r="CE105" s="35" t="s">
        <v>7045</v>
      </c>
      <c r="CF105" s="30">
        <v>47119.0</v>
      </c>
      <c r="CG105" s="30">
        <v>47208.0</v>
      </c>
      <c r="CH105" s="39">
        <v>0.0</v>
      </c>
      <c r="CI105" s="39">
        <v>0.0</v>
      </c>
      <c r="CJ105" s="35" t="s">
        <v>7045</v>
      </c>
      <c r="CK105" s="30">
        <v>47209.0</v>
      </c>
      <c r="CL105" s="30">
        <v>47299.0</v>
      </c>
      <c r="CM105" s="39">
        <v>0.0</v>
      </c>
      <c r="CN105" s="39">
        <v>0.0</v>
      </c>
      <c r="CO105" s="35" t="s">
        <v>7045</v>
      </c>
      <c r="CP105" s="30">
        <v>47300.0</v>
      </c>
      <c r="CQ105" s="30">
        <v>47391.0</v>
      </c>
      <c r="CR105" s="39">
        <v>0.0</v>
      </c>
      <c r="CS105" s="39">
        <v>0.0</v>
      </c>
      <c r="CT105" s="35" t="s">
        <v>7045</v>
      </c>
      <c r="CU105" s="30">
        <v>47392.0</v>
      </c>
      <c r="CV105" s="30">
        <v>47483.0</v>
      </c>
      <c r="CW105" s="39">
        <v>0.0</v>
      </c>
      <c r="CX105" s="39">
        <v>0.0</v>
      </c>
      <c r="CY105" s="35" t="s">
        <v>7045</v>
      </c>
      <c r="CZ105" s="30">
        <v>47484.0</v>
      </c>
      <c r="DA105" s="30">
        <v>47573.0</v>
      </c>
      <c r="DB105" s="39">
        <v>0.0</v>
      </c>
      <c r="DC105" s="39">
        <v>0.0</v>
      </c>
      <c r="DD105" s="35" t="s">
        <v>7045</v>
      </c>
      <c r="DE105" s="30">
        <v>47574.0</v>
      </c>
      <c r="DF105" s="30">
        <v>47664.0</v>
      </c>
      <c r="DG105" s="39">
        <v>0.0</v>
      </c>
      <c r="DH105" s="39">
        <v>0.0</v>
      </c>
      <c r="DI105" s="35" t="s">
        <v>7045</v>
      </c>
      <c r="DJ105" s="30">
        <v>47665.0</v>
      </c>
      <c r="DK105" s="30">
        <v>47756.0</v>
      </c>
      <c r="DL105" s="39">
        <v>0.0</v>
      </c>
      <c r="DM105" s="39">
        <v>0.0</v>
      </c>
      <c r="DN105" s="35" t="s">
        <v>7045</v>
      </c>
      <c r="DO105" s="30">
        <v>47757.0</v>
      </c>
      <c r="DP105" s="30">
        <v>47848.0</v>
      </c>
      <c r="DQ105" s="39">
        <v>0.0</v>
      </c>
      <c r="DR105" s="39">
        <v>0.0</v>
      </c>
      <c r="DS105" s="35" t="s">
        <v>7045</v>
      </c>
    </row>
    <row r="106" ht="14.25" customHeight="1">
      <c r="A106" s="28" t="s">
        <v>3881</v>
      </c>
      <c r="B106" s="29" t="s">
        <v>3882</v>
      </c>
      <c r="C106" s="29" t="s">
        <v>7041</v>
      </c>
      <c r="D106" s="30">
        <v>45658.0</v>
      </c>
      <c r="E106" s="30">
        <v>45747.0</v>
      </c>
      <c r="F106" s="36">
        <v>0.0</v>
      </c>
      <c r="G106" s="36">
        <v>0.0</v>
      </c>
      <c r="H106" s="35" t="s">
        <v>7045</v>
      </c>
      <c r="I106" s="30">
        <v>45748.0</v>
      </c>
      <c r="J106" s="30">
        <v>45838.0</v>
      </c>
      <c r="K106" s="36">
        <v>263.96</v>
      </c>
      <c r="L106" s="36">
        <v>0.0</v>
      </c>
      <c r="M106" s="38" t="s">
        <v>7047</v>
      </c>
      <c r="N106" s="30">
        <v>45839.0</v>
      </c>
      <c r="O106" s="30">
        <v>45930.0</v>
      </c>
      <c r="P106" s="36">
        <v>263.96</v>
      </c>
      <c r="Q106" s="36">
        <v>0.0</v>
      </c>
      <c r="R106" s="35" t="s">
        <v>7047</v>
      </c>
      <c r="S106" s="30">
        <v>45931.0</v>
      </c>
      <c r="T106" s="30">
        <v>46022.0</v>
      </c>
      <c r="U106" s="36">
        <v>1031.17</v>
      </c>
      <c r="V106" s="36">
        <v>0.0</v>
      </c>
      <c r="W106" s="38" t="s">
        <v>7047</v>
      </c>
      <c r="X106" s="30">
        <v>46023.0</v>
      </c>
      <c r="Y106" s="30">
        <v>46112.0</v>
      </c>
      <c r="Z106" s="36">
        <v>0.0</v>
      </c>
      <c r="AA106" s="36">
        <v>0.0</v>
      </c>
      <c r="AB106" s="35" t="s">
        <v>7045</v>
      </c>
      <c r="AC106" s="30">
        <v>46113.0</v>
      </c>
      <c r="AD106" s="30">
        <v>46203.0</v>
      </c>
      <c r="AE106" s="36">
        <v>949.54</v>
      </c>
      <c r="AF106" s="36">
        <v>0.0</v>
      </c>
      <c r="AG106" s="38" t="s">
        <v>7047</v>
      </c>
      <c r="AH106" s="30">
        <v>46204.0</v>
      </c>
      <c r="AI106" s="30">
        <v>46295.0</v>
      </c>
      <c r="AJ106" s="36">
        <v>0.0</v>
      </c>
      <c r="AK106" s="36">
        <v>0.0</v>
      </c>
      <c r="AL106" s="35" t="s">
        <v>7045</v>
      </c>
      <c r="AM106" s="30">
        <v>46296.0</v>
      </c>
      <c r="AN106" s="30">
        <v>46387.0</v>
      </c>
      <c r="AO106" s="36">
        <v>0.0</v>
      </c>
      <c r="AP106" s="36">
        <v>0.0</v>
      </c>
      <c r="AQ106" s="35" t="s">
        <v>7045</v>
      </c>
      <c r="AR106" s="30">
        <v>46388.0</v>
      </c>
      <c r="AS106" s="30">
        <v>46477.0</v>
      </c>
      <c r="AT106" s="36">
        <v>0.0</v>
      </c>
      <c r="AU106" s="36">
        <v>0.0</v>
      </c>
      <c r="AV106" s="35" t="s">
        <v>7045</v>
      </c>
      <c r="AW106" s="30">
        <v>46478.0</v>
      </c>
      <c r="AX106" s="30">
        <v>46568.0</v>
      </c>
      <c r="AY106" s="36">
        <v>0.0</v>
      </c>
      <c r="AZ106" s="36">
        <v>0.0</v>
      </c>
      <c r="BA106" s="35" t="s">
        <v>7045</v>
      </c>
      <c r="BB106" s="30">
        <v>46569.0</v>
      </c>
      <c r="BC106" s="30">
        <v>46660.0</v>
      </c>
      <c r="BD106" s="36">
        <v>0.0</v>
      </c>
      <c r="BE106" s="36">
        <v>0.0</v>
      </c>
      <c r="BF106" s="35" t="s">
        <v>7045</v>
      </c>
      <c r="BG106" s="30">
        <v>46661.0</v>
      </c>
      <c r="BH106" s="30">
        <v>46752.0</v>
      </c>
      <c r="BI106" s="36">
        <v>0.0</v>
      </c>
      <c r="BJ106" s="36">
        <v>0.0</v>
      </c>
      <c r="BK106" s="35" t="s">
        <v>7045</v>
      </c>
      <c r="BL106" s="30">
        <v>46753.0</v>
      </c>
      <c r="BM106" s="30">
        <v>46843.0</v>
      </c>
      <c r="BN106" s="36">
        <v>0.0</v>
      </c>
      <c r="BO106" s="36">
        <v>0.0</v>
      </c>
      <c r="BP106" s="35" t="s">
        <v>7045</v>
      </c>
      <c r="BQ106" s="30">
        <v>46844.0</v>
      </c>
      <c r="BR106" s="30">
        <v>46934.0</v>
      </c>
      <c r="BS106" s="36">
        <v>0.0</v>
      </c>
      <c r="BT106" s="36">
        <v>0.0</v>
      </c>
      <c r="BU106" s="35" t="s">
        <v>7045</v>
      </c>
      <c r="BV106" s="30">
        <v>46935.0</v>
      </c>
      <c r="BW106" s="30">
        <v>47026.0</v>
      </c>
      <c r="BX106" s="36">
        <v>0.0</v>
      </c>
      <c r="BY106" s="36">
        <v>0.0</v>
      </c>
      <c r="BZ106" s="35" t="s">
        <v>7045</v>
      </c>
      <c r="CA106" s="30">
        <v>47027.0</v>
      </c>
      <c r="CB106" s="30">
        <v>47118.0</v>
      </c>
      <c r="CC106" s="36">
        <v>0.0</v>
      </c>
      <c r="CD106" s="36">
        <v>0.0</v>
      </c>
      <c r="CE106" s="35" t="s">
        <v>7045</v>
      </c>
      <c r="CF106" s="30">
        <v>47119.0</v>
      </c>
      <c r="CG106" s="30">
        <v>47208.0</v>
      </c>
      <c r="CH106" s="36">
        <v>0.0</v>
      </c>
      <c r="CI106" s="36">
        <v>0.0</v>
      </c>
      <c r="CJ106" s="35" t="s">
        <v>7045</v>
      </c>
      <c r="CK106" s="30">
        <v>47209.0</v>
      </c>
      <c r="CL106" s="30">
        <v>47299.0</v>
      </c>
      <c r="CM106" s="36">
        <v>0.0</v>
      </c>
      <c r="CN106" s="36">
        <v>0.0</v>
      </c>
      <c r="CO106" s="35" t="s">
        <v>7045</v>
      </c>
      <c r="CP106" s="30">
        <v>47300.0</v>
      </c>
      <c r="CQ106" s="30">
        <v>47391.0</v>
      </c>
      <c r="CR106" s="36">
        <v>0.0</v>
      </c>
      <c r="CS106" s="36">
        <v>0.0</v>
      </c>
      <c r="CT106" s="35" t="s">
        <v>7045</v>
      </c>
      <c r="CU106" s="30">
        <v>47392.0</v>
      </c>
      <c r="CV106" s="30">
        <v>47483.0</v>
      </c>
      <c r="CW106" s="36">
        <v>0.0</v>
      </c>
      <c r="CX106" s="36">
        <v>0.0</v>
      </c>
      <c r="CY106" s="35" t="s">
        <v>7045</v>
      </c>
      <c r="CZ106" s="30">
        <v>47484.0</v>
      </c>
      <c r="DA106" s="30">
        <v>47573.0</v>
      </c>
      <c r="DB106" s="36">
        <v>0.0</v>
      </c>
      <c r="DC106" s="36">
        <v>0.0</v>
      </c>
      <c r="DD106" s="35" t="s">
        <v>7045</v>
      </c>
      <c r="DE106" s="30">
        <v>47574.0</v>
      </c>
      <c r="DF106" s="30">
        <v>47664.0</v>
      </c>
      <c r="DG106" s="36">
        <v>0.0</v>
      </c>
      <c r="DH106" s="36">
        <v>0.0</v>
      </c>
      <c r="DI106" s="35" t="s">
        <v>7045</v>
      </c>
      <c r="DJ106" s="30">
        <v>47665.0</v>
      </c>
      <c r="DK106" s="30">
        <v>47756.0</v>
      </c>
      <c r="DL106" s="36">
        <v>0.0</v>
      </c>
      <c r="DM106" s="36">
        <v>0.0</v>
      </c>
      <c r="DN106" s="35" t="s">
        <v>7045</v>
      </c>
      <c r="DO106" s="30">
        <v>47757.0</v>
      </c>
      <c r="DP106" s="30">
        <v>47848.0</v>
      </c>
      <c r="DQ106" s="36">
        <v>0.0</v>
      </c>
      <c r="DR106" s="36">
        <v>0.0</v>
      </c>
      <c r="DS106" s="35" t="s">
        <v>7045</v>
      </c>
    </row>
    <row r="107" ht="14.25" customHeight="1">
      <c r="A107" s="28" t="s">
        <v>5787</v>
      </c>
      <c r="B107" s="29" t="s">
        <v>5788</v>
      </c>
      <c r="C107" s="29" t="s">
        <v>7041</v>
      </c>
      <c r="D107" s="30">
        <v>45658.0</v>
      </c>
      <c r="E107" s="30">
        <v>45747.0</v>
      </c>
      <c r="F107" s="36">
        <v>0.0</v>
      </c>
      <c r="G107" s="36">
        <v>0.0</v>
      </c>
      <c r="H107" s="35" t="s">
        <v>7045</v>
      </c>
      <c r="I107" s="30">
        <v>45748.0</v>
      </c>
      <c r="J107" s="30">
        <v>45838.0</v>
      </c>
      <c r="K107" s="36">
        <v>0.0</v>
      </c>
      <c r="L107" s="36">
        <v>0.0</v>
      </c>
      <c r="M107" s="35" t="s">
        <v>7045</v>
      </c>
      <c r="N107" s="30">
        <v>45839.0</v>
      </c>
      <c r="O107" s="30">
        <v>45930.0</v>
      </c>
      <c r="P107" s="36">
        <v>0.0</v>
      </c>
      <c r="Q107" s="36">
        <v>0.0</v>
      </c>
      <c r="R107" s="35" t="s">
        <v>7045</v>
      </c>
      <c r="S107" s="30">
        <v>45931.0</v>
      </c>
      <c r="T107" s="30">
        <v>46022.0</v>
      </c>
      <c r="U107" s="36">
        <v>0.0</v>
      </c>
      <c r="V107" s="36">
        <v>0.0</v>
      </c>
      <c r="W107" s="35" t="s">
        <v>7045</v>
      </c>
      <c r="X107" s="30">
        <v>46023.0</v>
      </c>
      <c r="Y107" s="30">
        <v>46112.0</v>
      </c>
      <c r="Z107" s="36">
        <v>0.0</v>
      </c>
      <c r="AA107" s="36">
        <v>0.0</v>
      </c>
      <c r="AB107" s="35" t="s">
        <v>7045</v>
      </c>
      <c r="AC107" s="30">
        <v>46113.0</v>
      </c>
      <c r="AD107" s="30">
        <v>46203.0</v>
      </c>
      <c r="AE107" s="36">
        <v>0.0</v>
      </c>
      <c r="AF107" s="36">
        <v>0.0</v>
      </c>
      <c r="AG107" s="35" t="s">
        <v>7045</v>
      </c>
      <c r="AH107" s="30">
        <v>46204.0</v>
      </c>
      <c r="AI107" s="30">
        <v>46295.0</v>
      </c>
      <c r="AJ107" s="36">
        <v>0.0</v>
      </c>
      <c r="AK107" s="36">
        <v>0.0</v>
      </c>
      <c r="AL107" s="35" t="s">
        <v>7045</v>
      </c>
      <c r="AM107" s="30">
        <v>46296.0</v>
      </c>
      <c r="AN107" s="30">
        <v>46387.0</v>
      </c>
      <c r="AO107" s="36">
        <v>0.0</v>
      </c>
      <c r="AP107" s="36">
        <v>0.0</v>
      </c>
      <c r="AQ107" s="35" t="s">
        <v>7045</v>
      </c>
      <c r="AR107" s="30">
        <v>46388.0</v>
      </c>
      <c r="AS107" s="30">
        <v>46477.0</v>
      </c>
      <c r="AT107" s="36">
        <v>0.0</v>
      </c>
      <c r="AU107" s="36">
        <v>0.0</v>
      </c>
      <c r="AV107" s="35" t="s">
        <v>7045</v>
      </c>
      <c r="AW107" s="30">
        <v>46478.0</v>
      </c>
      <c r="AX107" s="30">
        <v>46568.0</v>
      </c>
      <c r="AY107" s="36">
        <v>0.0</v>
      </c>
      <c r="AZ107" s="36">
        <v>0.0</v>
      </c>
      <c r="BA107" s="35" t="s">
        <v>7045</v>
      </c>
      <c r="BB107" s="30">
        <v>46569.0</v>
      </c>
      <c r="BC107" s="30">
        <v>46660.0</v>
      </c>
      <c r="BD107" s="36">
        <v>0.0</v>
      </c>
      <c r="BE107" s="36">
        <v>0.0</v>
      </c>
      <c r="BF107" s="35" t="s">
        <v>7045</v>
      </c>
      <c r="BG107" s="30">
        <v>46661.0</v>
      </c>
      <c r="BH107" s="30">
        <v>46752.0</v>
      </c>
      <c r="BI107" s="36">
        <v>0.0</v>
      </c>
      <c r="BJ107" s="36">
        <v>0.0</v>
      </c>
      <c r="BK107" s="35" t="s">
        <v>7045</v>
      </c>
      <c r="BL107" s="30">
        <v>46753.0</v>
      </c>
      <c r="BM107" s="30">
        <v>46843.0</v>
      </c>
      <c r="BN107" s="36">
        <v>0.0</v>
      </c>
      <c r="BO107" s="36">
        <v>0.0</v>
      </c>
      <c r="BP107" s="35" t="s">
        <v>7045</v>
      </c>
      <c r="BQ107" s="30">
        <v>46844.0</v>
      </c>
      <c r="BR107" s="30">
        <v>46934.0</v>
      </c>
      <c r="BS107" s="36">
        <v>0.0</v>
      </c>
      <c r="BT107" s="36">
        <v>0.0</v>
      </c>
      <c r="BU107" s="35" t="s">
        <v>7045</v>
      </c>
      <c r="BV107" s="30">
        <v>46935.0</v>
      </c>
      <c r="BW107" s="30">
        <v>47026.0</v>
      </c>
      <c r="BX107" s="36">
        <v>0.0</v>
      </c>
      <c r="BY107" s="36">
        <v>0.0</v>
      </c>
      <c r="BZ107" s="35" t="s">
        <v>7045</v>
      </c>
      <c r="CA107" s="30">
        <v>47027.0</v>
      </c>
      <c r="CB107" s="30">
        <v>47118.0</v>
      </c>
      <c r="CC107" s="36">
        <v>0.0</v>
      </c>
      <c r="CD107" s="36">
        <v>0.0</v>
      </c>
      <c r="CE107" s="35" t="s">
        <v>7045</v>
      </c>
      <c r="CF107" s="30">
        <v>47119.0</v>
      </c>
      <c r="CG107" s="30">
        <v>47208.0</v>
      </c>
      <c r="CH107" s="36">
        <v>0.0</v>
      </c>
      <c r="CI107" s="36">
        <v>0.0</v>
      </c>
      <c r="CJ107" s="35" t="s">
        <v>7045</v>
      </c>
      <c r="CK107" s="30">
        <v>47209.0</v>
      </c>
      <c r="CL107" s="30">
        <v>47299.0</v>
      </c>
      <c r="CM107" s="36">
        <v>0.0</v>
      </c>
      <c r="CN107" s="36">
        <v>0.0</v>
      </c>
      <c r="CO107" s="35" t="s">
        <v>7045</v>
      </c>
      <c r="CP107" s="30">
        <v>47300.0</v>
      </c>
      <c r="CQ107" s="30">
        <v>47391.0</v>
      </c>
      <c r="CR107" s="36">
        <v>0.0</v>
      </c>
      <c r="CS107" s="36">
        <v>0.0</v>
      </c>
      <c r="CT107" s="35" t="s">
        <v>7045</v>
      </c>
      <c r="CU107" s="30">
        <v>47392.0</v>
      </c>
      <c r="CV107" s="30">
        <v>47483.0</v>
      </c>
      <c r="CW107" s="36">
        <v>0.0</v>
      </c>
      <c r="CX107" s="36">
        <v>0.0</v>
      </c>
      <c r="CY107" s="35" t="s">
        <v>7045</v>
      </c>
      <c r="CZ107" s="30">
        <v>47484.0</v>
      </c>
      <c r="DA107" s="30">
        <v>47573.0</v>
      </c>
      <c r="DB107" s="36">
        <v>0.0</v>
      </c>
      <c r="DC107" s="36">
        <v>0.0</v>
      </c>
      <c r="DD107" s="35" t="s">
        <v>7045</v>
      </c>
      <c r="DE107" s="30">
        <v>47574.0</v>
      </c>
      <c r="DF107" s="30">
        <v>47664.0</v>
      </c>
      <c r="DG107" s="36">
        <v>0.0</v>
      </c>
      <c r="DH107" s="36">
        <v>0.0</v>
      </c>
      <c r="DI107" s="35" t="s">
        <v>7045</v>
      </c>
      <c r="DJ107" s="30">
        <v>47665.0</v>
      </c>
      <c r="DK107" s="30">
        <v>47756.0</v>
      </c>
      <c r="DL107" s="36">
        <v>0.0</v>
      </c>
      <c r="DM107" s="36">
        <v>0.0</v>
      </c>
      <c r="DN107" s="35" t="s">
        <v>7045</v>
      </c>
      <c r="DO107" s="30">
        <v>47757.0</v>
      </c>
      <c r="DP107" s="30">
        <v>47848.0</v>
      </c>
      <c r="DQ107" s="36">
        <v>0.0</v>
      </c>
      <c r="DR107" s="36">
        <v>0.0</v>
      </c>
      <c r="DS107" s="35" t="s">
        <v>7045</v>
      </c>
    </row>
    <row r="108" ht="14.25" customHeight="1">
      <c r="A108" s="28" t="s">
        <v>3459</v>
      </c>
      <c r="B108" s="29" t="s">
        <v>3460</v>
      </c>
      <c r="C108" s="29" t="s">
        <v>7041</v>
      </c>
      <c r="D108" s="30">
        <v>45658.0</v>
      </c>
      <c r="E108" s="30">
        <v>45747.0</v>
      </c>
      <c r="F108" s="36">
        <v>13.05</v>
      </c>
      <c r="G108" s="36">
        <v>0.0</v>
      </c>
      <c r="H108" s="38" t="s">
        <v>7047</v>
      </c>
      <c r="I108" s="30">
        <v>45748.0</v>
      </c>
      <c r="J108" s="30">
        <v>45838.0</v>
      </c>
      <c r="K108" s="36">
        <v>25.07</v>
      </c>
      <c r="L108" s="36">
        <v>1883.3</v>
      </c>
      <c r="M108" s="32" t="s">
        <v>7043</v>
      </c>
      <c r="N108" s="30">
        <v>45839.0</v>
      </c>
      <c r="O108" s="30">
        <v>45930.0</v>
      </c>
      <c r="P108" s="36">
        <v>66.54</v>
      </c>
      <c r="Q108" s="36">
        <v>5316.63</v>
      </c>
      <c r="R108" s="38" t="s">
        <v>7043</v>
      </c>
      <c r="S108" s="30">
        <v>45931.0</v>
      </c>
      <c r="T108" s="30">
        <v>46022.0</v>
      </c>
      <c r="U108" s="36">
        <v>5169.93</v>
      </c>
      <c r="V108" s="36">
        <v>3966.63</v>
      </c>
      <c r="W108" s="38" t="s">
        <v>7047</v>
      </c>
      <c r="X108" s="30">
        <v>46023.0</v>
      </c>
      <c r="Y108" s="30">
        <v>46112.0</v>
      </c>
      <c r="Z108" s="36">
        <v>6267.99</v>
      </c>
      <c r="AA108" s="36">
        <v>0.0</v>
      </c>
      <c r="AB108" s="35" t="s">
        <v>7047</v>
      </c>
      <c r="AC108" s="30">
        <v>46113.0</v>
      </c>
      <c r="AD108" s="30">
        <v>46203.0</v>
      </c>
      <c r="AE108" s="36">
        <v>6.0</v>
      </c>
      <c r="AF108" s="36">
        <v>0.0</v>
      </c>
      <c r="AG108" s="38" t="s">
        <v>7047</v>
      </c>
      <c r="AH108" s="30">
        <v>46204.0</v>
      </c>
      <c r="AI108" s="30">
        <v>46295.0</v>
      </c>
      <c r="AJ108" s="36">
        <v>0.0</v>
      </c>
      <c r="AK108" s="36">
        <v>0.0</v>
      </c>
      <c r="AL108" s="35" t="s">
        <v>7045</v>
      </c>
      <c r="AM108" s="30">
        <v>46296.0</v>
      </c>
      <c r="AN108" s="30">
        <v>46387.0</v>
      </c>
      <c r="AO108" s="36">
        <v>6624.78</v>
      </c>
      <c r="AP108" s="36">
        <v>0.0</v>
      </c>
      <c r="AQ108" s="38" t="s">
        <v>7047</v>
      </c>
      <c r="AR108" s="30">
        <v>46388.0</v>
      </c>
      <c r="AS108" s="30">
        <v>46477.0</v>
      </c>
      <c r="AT108" s="36">
        <v>0.0</v>
      </c>
      <c r="AU108" s="36">
        <v>0.0</v>
      </c>
      <c r="AV108" s="35" t="s">
        <v>7045</v>
      </c>
      <c r="AW108" s="30">
        <v>46478.0</v>
      </c>
      <c r="AX108" s="30">
        <v>46568.0</v>
      </c>
      <c r="AY108" s="36">
        <v>0.0</v>
      </c>
      <c r="AZ108" s="36">
        <v>0.0</v>
      </c>
      <c r="BA108" s="35" t="s">
        <v>7045</v>
      </c>
      <c r="BB108" s="30">
        <v>46569.0</v>
      </c>
      <c r="BC108" s="30">
        <v>46660.0</v>
      </c>
      <c r="BD108" s="36">
        <v>0.0</v>
      </c>
      <c r="BE108" s="36">
        <v>0.0</v>
      </c>
      <c r="BF108" s="35" t="s">
        <v>7045</v>
      </c>
      <c r="BG108" s="30">
        <v>46661.0</v>
      </c>
      <c r="BH108" s="30">
        <v>46752.0</v>
      </c>
      <c r="BI108" s="36">
        <v>0.0</v>
      </c>
      <c r="BJ108" s="36">
        <v>0.0</v>
      </c>
      <c r="BK108" s="35" t="s">
        <v>7045</v>
      </c>
      <c r="BL108" s="30">
        <v>46753.0</v>
      </c>
      <c r="BM108" s="30">
        <v>46843.0</v>
      </c>
      <c r="BN108" s="36">
        <v>0.0</v>
      </c>
      <c r="BO108" s="36">
        <v>0.0</v>
      </c>
      <c r="BP108" s="35" t="s">
        <v>7045</v>
      </c>
      <c r="BQ108" s="30">
        <v>46844.0</v>
      </c>
      <c r="BR108" s="30">
        <v>46934.0</v>
      </c>
      <c r="BS108" s="36">
        <v>0.0</v>
      </c>
      <c r="BT108" s="36">
        <v>0.0</v>
      </c>
      <c r="BU108" s="35" t="s">
        <v>7045</v>
      </c>
      <c r="BV108" s="30">
        <v>46935.0</v>
      </c>
      <c r="BW108" s="30">
        <v>47026.0</v>
      </c>
      <c r="BX108" s="36">
        <v>0.0</v>
      </c>
      <c r="BY108" s="36">
        <v>0.0</v>
      </c>
      <c r="BZ108" s="35" t="s">
        <v>7045</v>
      </c>
      <c r="CA108" s="30">
        <v>47027.0</v>
      </c>
      <c r="CB108" s="30">
        <v>47118.0</v>
      </c>
      <c r="CC108" s="36">
        <v>0.0</v>
      </c>
      <c r="CD108" s="36">
        <v>0.0</v>
      </c>
      <c r="CE108" s="35" t="s">
        <v>7045</v>
      </c>
      <c r="CF108" s="30">
        <v>47119.0</v>
      </c>
      <c r="CG108" s="30">
        <v>47208.0</v>
      </c>
      <c r="CH108" s="36">
        <v>0.0</v>
      </c>
      <c r="CI108" s="36">
        <v>0.0</v>
      </c>
      <c r="CJ108" s="35" t="s">
        <v>7045</v>
      </c>
      <c r="CK108" s="30">
        <v>47209.0</v>
      </c>
      <c r="CL108" s="30">
        <v>47299.0</v>
      </c>
      <c r="CM108" s="36">
        <v>0.0</v>
      </c>
      <c r="CN108" s="36">
        <v>0.0</v>
      </c>
      <c r="CO108" s="35" t="s">
        <v>7045</v>
      </c>
      <c r="CP108" s="30">
        <v>47300.0</v>
      </c>
      <c r="CQ108" s="30">
        <v>47391.0</v>
      </c>
      <c r="CR108" s="36">
        <v>0.0</v>
      </c>
      <c r="CS108" s="36">
        <v>0.0</v>
      </c>
      <c r="CT108" s="35" t="s">
        <v>7045</v>
      </c>
      <c r="CU108" s="30">
        <v>47392.0</v>
      </c>
      <c r="CV108" s="30">
        <v>47483.0</v>
      </c>
      <c r="CW108" s="36">
        <v>0.0</v>
      </c>
      <c r="CX108" s="36">
        <v>0.0</v>
      </c>
      <c r="CY108" s="35" t="s">
        <v>7045</v>
      </c>
      <c r="CZ108" s="30">
        <v>47484.0</v>
      </c>
      <c r="DA108" s="30">
        <v>47573.0</v>
      </c>
      <c r="DB108" s="36">
        <v>0.0</v>
      </c>
      <c r="DC108" s="36">
        <v>0.0</v>
      </c>
      <c r="DD108" s="35" t="s">
        <v>7045</v>
      </c>
      <c r="DE108" s="30">
        <v>47574.0</v>
      </c>
      <c r="DF108" s="30">
        <v>47664.0</v>
      </c>
      <c r="DG108" s="36">
        <v>0.0</v>
      </c>
      <c r="DH108" s="36">
        <v>0.0</v>
      </c>
      <c r="DI108" s="35" t="s">
        <v>7045</v>
      </c>
      <c r="DJ108" s="30">
        <v>47665.0</v>
      </c>
      <c r="DK108" s="30">
        <v>47756.0</v>
      </c>
      <c r="DL108" s="36">
        <v>0.0</v>
      </c>
      <c r="DM108" s="36">
        <v>0.0</v>
      </c>
      <c r="DN108" s="35" t="s">
        <v>7045</v>
      </c>
      <c r="DO108" s="30">
        <v>47757.0</v>
      </c>
      <c r="DP108" s="30">
        <v>47848.0</v>
      </c>
      <c r="DQ108" s="36">
        <v>0.0</v>
      </c>
      <c r="DR108" s="36">
        <v>0.0</v>
      </c>
      <c r="DS108" s="35" t="s">
        <v>7045</v>
      </c>
    </row>
    <row r="109" ht="14.25" customHeight="1">
      <c r="A109" s="28" t="s">
        <v>367</v>
      </c>
      <c r="B109" s="29" t="s">
        <v>368</v>
      </c>
      <c r="C109" s="29" t="s">
        <v>7041</v>
      </c>
      <c r="D109" s="30">
        <v>45658.0</v>
      </c>
      <c r="E109" s="30">
        <v>45747.0</v>
      </c>
      <c r="F109" s="36">
        <v>9.14</v>
      </c>
      <c r="G109" s="36">
        <v>0.0</v>
      </c>
      <c r="H109" s="38" t="s">
        <v>7047</v>
      </c>
      <c r="I109" s="30">
        <v>45748.0</v>
      </c>
      <c r="J109" s="30">
        <v>45838.0</v>
      </c>
      <c r="K109" s="36">
        <v>0.2</v>
      </c>
      <c r="L109" s="36">
        <v>7272.67</v>
      </c>
      <c r="M109" s="32" t="s">
        <v>7043</v>
      </c>
      <c r="N109" s="30">
        <v>45839.0</v>
      </c>
      <c r="O109" s="30">
        <v>45930.0</v>
      </c>
      <c r="P109" s="36">
        <v>522.43</v>
      </c>
      <c r="Q109" s="36">
        <v>7272.67</v>
      </c>
      <c r="R109" s="38" t="s">
        <v>7043</v>
      </c>
      <c r="S109" s="30">
        <v>45931.0</v>
      </c>
      <c r="T109" s="30">
        <v>46022.0</v>
      </c>
      <c r="U109" s="36">
        <v>246.55</v>
      </c>
      <c r="V109" s="36">
        <v>12424.15</v>
      </c>
      <c r="W109" s="38" t="s">
        <v>7047</v>
      </c>
      <c r="X109" s="30">
        <v>46023.0</v>
      </c>
      <c r="Y109" s="30">
        <v>46112.0</v>
      </c>
      <c r="Z109" s="36">
        <v>2.55</v>
      </c>
      <c r="AA109" s="36">
        <v>0.0</v>
      </c>
      <c r="AB109" s="38" t="s">
        <v>7047</v>
      </c>
      <c r="AC109" s="30">
        <v>46113.0</v>
      </c>
      <c r="AD109" s="30">
        <v>46203.0</v>
      </c>
      <c r="AE109" s="36">
        <v>0.0</v>
      </c>
      <c r="AF109" s="36">
        <v>0.0</v>
      </c>
      <c r="AG109" s="35" t="s">
        <v>7045</v>
      </c>
      <c r="AH109" s="30">
        <v>46204.0</v>
      </c>
      <c r="AI109" s="30">
        <v>46295.0</v>
      </c>
      <c r="AJ109" s="36">
        <v>0.0</v>
      </c>
      <c r="AK109" s="36">
        <v>0.0</v>
      </c>
      <c r="AL109" s="35" t="s">
        <v>7045</v>
      </c>
      <c r="AM109" s="30">
        <v>46296.0</v>
      </c>
      <c r="AN109" s="30">
        <v>46387.0</v>
      </c>
      <c r="AO109" s="36">
        <v>0.0</v>
      </c>
      <c r="AP109" s="36">
        <v>0.0</v>
      </c>
      <c r="AQ109" s="35" t="s">
        <v>7045</v>
      </c>
      <c r="AR109" s="30">
        <v>46388.0</v>
      </c>
      <c r="AS109" s="30">
        <v>46477.0</v>
      </c>
      <c r="AT109" s="36">
        <v>0.0</v>
      </c>
      <c r="AU109" s="36">
        <v>0.0</v>
      </c>
      <c r="AV109" s="35" t="s">
        <v>7045</v>
      </c>
      <c r="AW109" s="30">
        <v>46478.0</v>
      </c>
      <c r="AX109" s="30">
        <v>46568.0</v>
      </c>
      <c r="AY109" s="36">
        <v>0.0</v>
      </c>
      <c r="AZ109" s="36">
        <v>0.0</v>
      </c>
      <c r="BA109" s="35" t="s">
        <v>7045</v>
      </c>
      <c r="BB109" s="30">
        <v>46569.0</v>
      </c>
      <c r="BC109" s="30">
        <v>46660.0</v>
      </c>
      <c r="BD109" s="36">
        <v>0.0</v>
      </c>
      <c r="BE109" s="36">
        <v>0.0</v>
      </c>
      <c r="BF109" s="35" t="s">
        <v>7045</v>
      </c>
      <c r="BG109" s="30">
        <v>46661.0</v>
      </c>
      <c r="BH109" s="30">
        <v>46752.0</v>
      </c>
      <c r="BI109" s="36">
        <v>0.0</v>
      </c>
      <c r="BJ109" s="36">
        <v>0.0</v>
      </c>
      <c r="BK109" s="35" t="s">
        <v>7045</v>
      </c>
      <c r="BL109" s="30">
        <v>46753.0</v>
      </c>
      <c r="BM109" s="30">
        <v>46843.0</v>
      </c>
      <c r="BN109" s="36">
        <v>0.0</v>
      </c>
      <c r="BO109" s="36">
        <v>0.0</v>
      </c>
      <c r="BP109" s="35" t="s">
        <v>7045</v>
      </c>
      <c r="BQ109" s="30">
        <v>46844.0</v>
      </c>
      <c r="BR109" s="30">
        <v>46934.0</v>
      </c>
      <c r="BS109" s="36">
        <v>0.0</v>
      </c>
      <c r="BT109" s="36">
        <v>0.0</v>
      </c>
      <c r="BU109" s="35" t="s">
        <v>7045</v>
      </c>
      <c r="BV109" s="30">
        <v>46935.0</v>
      </c>
      <c r="BW109" s="30">
        <v>47026.0</v>
      </c>
      <c r="BX109" s="36">
        <v>0.0</v>
      </c>
      <c r="BY109" s="36">
        <v>0.0</v>
      </c>
      <c r="BZ109" s="35" t="s">
        <v>7045</v>
      </c>
      <c r="CA109" s="30">
        <v>47027.0</v>
      </c>
      <c r="CB109" s="30">
        <v>47118.0</v>
      </c>
      <c r="CC109" s="36">
        <v>0.0</v>
      </c>
      <c r="CD109" s="36">
        <v>0.0</v>
      </c>
      <c r="CE109" s="35" t="s">
        <v>7045</v>
      </c>
      <c r="CF109" s="30">
        <v>47119.0</v>
      </c>
      <c r="CG109" s="30">
        <v>47208.0</v>
      </c>
      <c r="CH109" s="36">
        <v>0.0</v>
      </c>
      <c r="CI109" s="36">
        <v>0.0</v>
      </c>
      <c r="CJ109" s="35" t="s">
        <v>7045</v>
      </c>
      <c r="CK109" s="30">
        <v>47209.0</v>
      </c>
      <c r="CL109" s="30">
        <v>47299.0</v>
      </c>
      <c r="CM109" s="36">
        <v>0.0</v>
      </c>
      <c r="CN109" s="36">
        <v>0.0</v>
      </c>
      <c r="CO109" s="35" t="s">
        <v>7045</v>
      </c>
      <c r="CP109" s="30">
        <v>47300.0</v>
      </c>
      <c r="CQ109" s="30">
        <v>47391.0</v>
      </c>
      <c r="CR109" s="36">
        <v>0.0</v>
      </c>
      <c r="CS109" s="36">
        <v>0.0</v>
      </c>
      <c r="CT109" s="35" t="s">
        <v>7045</v>
      </c>
      <c r="CU109" s="30">
        <v>47392.0</v>
      </c>
      <c r="CV109" s="30">
        <v>47483.0</v>
      </c>
      <c r="CW109" s="36">
        <v>0.0</v>
      </c>
      <c r="CX109" s="36">
        <v>0.0</v>
      </c>
      <c r="CY109" s="35" t="s">
        <v>7045</v>
      </c>
      <c r="CZ109" s="30">
        <v>47484.0</v>
      </c>
      <c r="DA109" s="30">
        <v>47573.0</v>
      </c>
      <c r="DB109" s="36">
        <v>0.0</v>
      </c>
      <c r="DC109" s="36">
        <v>0.0</v>
      </c>
      <c r="DD109" s="35" t="s">
        <v>7045</v>
      </c>
      <c r="DE109" s="30">
        <v>47574.0</v>
      </c>
      <c r="DF109" s="30">
        <v>47664.0</v>
      </c>
      <c r="DG109" s="36">
        <v>0.0</v>
      </c>
      <c r="DH109" s="36">
        <v>0.0</v>
      </c>
      <c r="DI109" s="35" t="s">
        <v>7045</v>
      </c>
      <c r="DJ109" s="30">
        <v>47665.0</v>
      </c>
      <c r="DK109" s="30">
        <v>47756.0</v>
      </c>
      <c r="DL109" s="36">
        <v>0.0</v>
      </c>
      <c r="DM109" s="36">
        <v>0.0</v>
      </c>
      <c r="DN109" s="35" t="s">
        <v>7045</v>
      </c>
      <c r="DO109" s="30">
        <v>47757.0</v>
      </c>
      <c r="DP109" s="30">
        <v>47848.0</v>
      </c>
      <c r="DQ109" s="36">
        <v>0.0</v>
      </c>
      <c r="DR109" s="36">
        <v>0.0</v>
      </c>
      <c r="DS109" s="35" t="s">
        <v>7045</v>
      </c>
    </row>
    <row r="110" ht="14.25" customHeight="1">
      <c r="A110" s="28" t="s">
        <v>2633</v>
      </c>
      <c r="B110" s="29" t="s">
        <v>2634</v>
      </c>
      <c r="C110" s="29" t="s">
        <v>7041</v>
      </c>
      <c r="D110" s="30">
        <v>45658.0</v>
      </c>
      <c r="E110" s="30">
        <v>45747.0</v>
      </c>
      <c r="F110" s="36">
        <v>26.96</v>
      </c>
      <c r="G110" s="36">
        <v>0.0</v>
      </c>
      <c r="H110" s="38" t="s">
        <v>7047</v>
      </c>
      <c r="I110" s="30">
        <v>45748.0</v>
      </c>
      <c r="J110" s="30">
        <v>45838.0</v>
      </c>
      <c r="K110" s="36">
        <v>21.76</v>
      </c>
      <c r="L110" s="36">
        <v>2999.97</v>
      </c>
      <c r="M110" s="32" t="s">
        <v>7043</v>
      </c>
      <c r="N110" s="30">
        <v>45839.0</v>
      </c>
      <c r="O110" s="30">
        <v>45930.0</v>
      </c>
      <c r="P110" s="36">
        <v>1694.95</v>
      </c>
      <c r="Q110" s="36">
        <v>3777.74</v>
      </c>
      <c r="R110" s="38" t="s">
        <v>7047</v>
      </c>
      <c r="S110" s="30">
        <v>45931.0</v>
      </c>
      <c r="T110" s="30">
        <v>46022.0</v>
      </c>
      <c r="U110" s="36">
        <v>1970.4</v>
      </c>
      <c r="V110" s="36">
        <v>6555.51</v>
      </c>
      <c r="W110" s="38" t="s">
        <v>7047</v>
      </c>
      <c r="X110" s="30">
        <v>46023.0</v>
      </c>
      <c r="Y110" s="30">
        <v>46112.0</v>
      </c>
      <c r="Z110" s="36">
        <v>1680.99</v>
      </c>
      <c r="AA110" s="36">
        <v>0.0</v>
      </c>
      <c r="AB110" s="38" t="s">
        <v>7047</v>
      </c>
      <c r="AC110" s="30">
        <v>46113.0</v>
      </c>
      <c r="AD110" s="30">
        <v>46203.0</v>
      </c>
      <c r="AE110" s="36">
        <v>0.0</v>
      </c>
      <c r="AF110" s="36">
        <v>0.0</v>
      </c>
      <c r="AG110" s="35" t="s">
        <v>7045</v>
      </c>
      <c r="AH110" s="30">
        <v>46204.0</v>
      </c>
      <c r="AI110" s="30">
        <v>46295.0</v>
      </c>
      <c r="AJ110" s="36">
        <v>0.0</v>
      </c>
      <c r="AK110" s="36">
        <v>0.0</v>
      </c>
      <c r="AL110" s="35" t="s">
        <v>7045</v>
      </c>
      <c r="AM110" s="30">
        <v>46296.0</v>
      </c>
      <c r="AN110" s="30">
        <v>46387.0</v>
      </c>
      <c r="AO110" s="36">
        <v>0.0</v>
      </c>
      <c r="AP110" s="36">
        <v>0.0</v>
      </c>
      <c r="AQ110" s="35" t="s">
        <v>7045</v>
      </c>
      <c r="AR110" s="30">
        <v>46388.0</v>
      </c>
      <c r="AS110" s="30">
        <v>46477.0</v>
      </c>
      <c r="AT110" s="36">
        <v>0.0</v>
      </c>
      <c r="AU110" s="36">
        <v>0.0</v>
      </c>
      <c r="AV110" s="35" t="s">
        <v>7045</v>
      </c>
      <c r="AW110" s="30">
        <v>46478.0</v>
      </c>
      <c r="AX110" s="30">
        <v>46568.0</v>
      </c>
      <c r="AY110" s="36">
        <v>0.0</v>
      </c>
      <c r="AZ110" s="36">
        <v>0.0</v>
      </c>
      <c r="BA110" s="35" t="s">
        <v>7045</v>
      </c>
      <c r="BB110" s="30">
        <v>46569.0</v>
      </c>
      <c r="BC110" s="30">
        <v>46660.0</v>
      </c>
      <c r="BD110" s="36">
        <v>0.0</v>
      </c>
      <c r="BE110" s="36">
        <v>0.0</v>
      </c>
      <c r="BF110" s="35" t="s">
        <v>7045</v>
      </c>
      <c r="BG110" s="30">
        <v>46661.0</v>
      </c>
      <c r="BH110" s="30">
        <v>46752.0</v>
      </c>
      <c r="BI110" s="36">
        <v>0.0</v>
      </c>
      <c r="BJ110" s="36">
        <v>0.0</v>
      </c>
      <c r="BK110" s="35" t="s">
        <v>7045</v>
      </c>
      <c r="BL110" s="30">
        <v>46753.0</v>
      </c>
      <c r="BM110" s="30">
        <v>46843.0</v>
      </c>
      <c r="BN110" s="36">
        <v>0.0</v>
      </c>
      <c r="BO110" s="36">
        <v>0.0</v>
      </c>
      <c r="BP110" s="35" t="s">
        <v>7045</v>
      </c>
      <c r="BQ110" s="30">
        <v>46844.0</v>
      </c>
      <c r="BR110" s="30">
        <v>46934.0</v>
      </c>
      <c r="BS110" s="36">
        <v>0.0</v>
      </c>
      <c r="BT110" s="36">
        <v>0.0</v>
      </c>
      <c r="BU110" s="35" t="s">
        <v>7045</v>
      </c>
      <c r="BV110" s="30">
        <v>46935.0</v>
      </c>
      <c r="BW110" s="30">
        <v>47026.0</v>
      </c>
      <c r="BX110" s="36">
        <v>0.0</v>
      </c>
      <c r="BY110" s="36">
        <v>0.0</v>
      </c>
      <c r="BZ110" s="35" t="s">
        <v>7045</v>
      </c>
      <c r="CA110" s="30">
        <v>47027.0</v>
      </c>
      <c r="CB110" s="30">
        <v>47118.0</v>
      </c>
      <c r="CC110" s="36">
        <v>0.0</v>
      </c>
      <c r="CD110" s="36">
        <v>0.0</v>
      </c>
      <c r="CE110" s="35" t="s">
        <v>7045</v>
      </c>
      <c r="CF110" s="30">
        <v>47119.0</v>
      </c>
      <c r="CG110" s="30">
        <v>47208.0</v>
      </c>
      <c r="CH110" s="36">
        <v>0.0</v>
      </c>
      <c r="CI110" s="36">
        <v>0.0</v>
      </c>
      <c r="CJ110" s="35" t="s">
        <v>7045</v>
      </c>
      <c r="CK110" s="30">
        <v>47209.0</v>
      </c>
      <c r="CL110" s="30">
        <v>47299.0</v>
      </c>
      <c r="CM110" s="36">
        <v>0.0</v>
      </c>
      <c r="CN110" s="36">
        <v>0.0</v>
      </c>
      <c r="CO110" s="35" t="s">
        <v>7045</v>
      </c>
      <c r="CP110" s="30">
        <v>47300.0</v>
      </c>
      <c r="CQ110" s="30">
        <v>47391.0</v>
      </c>
      <c r="CR110" s="36">
        <v>0.0</v>
      </c>
      <c r="CS110" s="36">
        <v>0.0</v>
      </c>
      <c r="CT110" s="35" t="s">
        <v>7045</v>
      </c>
      <c r="CU110" s="30">
        <v>47392.0</v>
      </c>
      <c r="CV110" s="30">
        <v>47483.0</v>
      </c>
      <c r="CW110" s="36">
        <v>0.0</v>
      </c>
      <c r="CX110" s="36">
        <v>0.0</v>
      </c>
      <c r="CY110" s="35" t="s">
        <v>7045</v>
      </c>
      <c r="CZ110" s="30">
        <v>47484.0</v>
      </c>
      <c r="DA110" s="30">
        <v>47573.0</v>
      </c>
      <c r="DB110" s="36">
        <v>0.0</v>
      </c>
      <c r="DC110" s="36">
        <v>0.0</v>
      </c>
      <c r="DD110" s="35" t="s">
        <v>7045</v>
      </c>
      <c r="DE110" s="30">
        <v>47574.0</v>
      </c>
      <c r="DF110" s="30">
        <v>47664.0</v>
      </c>
      <c r="DG110" s="36">
        <v>0.0</v>
      </c>
      <c r="DH110" s="36">
        <v>0.0</v>
      </c>
      <c r="DI110" s="35" t="s">
        <v>7045</v>
      </c>
      <c r="DJ110" s="30">
        <v>47665.0</v>
      </c>
      <c r="DK110" s="30">
        <v>47756.0</v>
      </c>
      <c r="DL110" s="36">
        <v>0.0</v>
      </c>
      <c r="DM110" s="36">
        <v>0.0</v>
      </c>
      <c r="DN110" s="35" t="s">
        <v>7045</v>
      </c>
      <c r="DO110" s="30">
        <v>47757.0</v>
      </c>
      <c r="DP110" s="30">
        <v>47848.0</v>
      </c>
      <c r="DQ110" s="36">
        <v>0.0</v>
      </c>
      <c r="DR110" s="36">
        <v>0.0</v>
      </c>
      <c r="DS110" s="35" t="s">
        <v>7045</v>
      </c>
    </row>
    <row r="111" ht="14.25" customHeight="1">
      <c r="A111" s="28" t="s">
        <v>702</v>
      </c>
      <c r="B111" s="29" t="s">
        <v>703</v>
      </c>
      <c r="C111" s="29" t="s">
        <v>7041</v>
      </c>
      <c r="D111" s="30">
        <v>45658.0</v>
      </c>
      <c r="E111" s="30">
        <v>45747.0</v>
      </c>
      <c r="F111" s="39">
        <v>5.0</v>
      </c>
      <c r="G111" s="39">
        <v>0.0</v>
      </c>
      <c r="H111" s="38" t="s">
        <v>7047</v>
      </c>
      <c r="I111" s="30">
        <v>45748.0</v>
      </c>
      <c r="J111" s="30">
        <v>45838.0</v>
      </c>
      <c r="K111" s="39">
        <v>6.08</v>
      </c>
      <c r="L111" s="39">
        <v>0.0</v>
      </c>
      <c r="M111" s="38" t="s">
        <v>7047</v>
      </c>
      <c r="N111" s="30">
        <v>45839.0</v>
      </c>
      <c r="O111" s="30">
        <v>45930.0</v>
      </c>
      <c r="P111" s="39">
        <v>76.32</v>
      </c>
      <c r="Q111" s="39">
        <v>9446.3</v>
      </c>
      <c r="R111" s="38" t="s">
        <v>7047</v>
      </c>
      <c r="S111" s="30">
        <v>45931.0</v>
      </c>
      <c r="T111" s="30">
        <v>46022.0</v>
      </c>
      <c r="U111" s="39">
        <v>86.09</v>
      </c>
      <c r="V111" s="39">
        <v>10212.96</v>
      </c>
      <c r="W111" s="38" t="s">
        <v>7047</v>
      </c>
      <c r="X111" s="30">
        <v>46023.0</v>
      </c>
      <c r="Y111" s="30">
        <v>46112.0</v>
      </c>
      <c r="Z111" s="39">
        <v>0.0</v>
      </c>
      <c r="AA111" s="39">
        <v>0.0</v>
      </c>
      <c r="AB111" s="35" t="s">
        <v>7045</v>
      </c>
      <c r="AC111" s="30">
        <v>46113.0</v>
      </c>
      <c r="AD111" s="30">
        <v>46203.0</v>
      </c>
      <c r="AE111" s="39">
        <v>0.0</v>
      </c>
      <c r="AF111" s="39">
        <v>0.0</v>
      </c>
      <c r="AG111" s="35" t="s">
        <v>7045</v>
      </c>
      <c r="AH111" s="30">
        <v>46204.0</v>
      </c>
      <c r="AI111" s="30">
        <v>46295.0</v>
      </c>
      <c r="AJ111" s="39">
        <v>0.0</v>
      </c>
      <c r="AK111" s="39">
        <v>0.0</v>
      </c>
      <c r="AL111" s="35" t="s">
        <v>7045</v>
      </c>
      <c r="AM111" s="30">
        <v>46296.0</v>
      </c>
      <c r="AN111" s="30">
        <v>46387.0</v>
      </c>
      <c r="AO111" s="39">
        <v>0.0</v>
      </c>
      <c r="AP111" s="39">
        <v>0.0</v>
      </c>
      <c r="AQ111" s="35" t="s">
        <v>7045</v>
      </c>
      <c r="AR111" s="30">
        <v>46388.0</v>
      </c>
      <c r="AS111" s="30">
        <v>46477.0</v>
      </c>
      <c r="AT111" s="39">
        <v>0.0</v>
      </c>
      <c r="AU111" s="39">
        <v>0.0</v>
      </c>
      <c r="AV111" s="35" t="s">
        <v>7045</v>
      </c>
      <c r="AW111" s="30">
        <v>46478.0</v>
      </c>
      <c r="AX111" s="30">
        <v>46568.0</v>
      </c>
      <c r="AY111" s="39">
        <v>0.0</v>
      </c>
      <c r="AZ111" s="39">
        <v>0.0</v>
      </c>
      <c r="BA111" s="35" t="s">
        <v>7045</v>
      </c>
      <c r="BB111" s="30">
        <v>46569.0</v>
      </c>
      <c r="BC111" s="30">
        <v>46660.0</v>
      </c>
      <c r="BD111" s="39">
        <v>0.0</v>
      </c>
      <c r="BE111" s="39">
        <v>0.0</v>
      </c>
      <c r="BF111" s="35" t="s">
        <v>7045</v>
      </c>
      <c r="BG111" s="30">
        <v>46661.0</v>
      </c>
      <c r="BH111" s="30">
        <v>46752.0</v>
      </c>
      <c r="BI111" s="39">
        <v>0.0</v>
      </c>
      <c r="BJ111" s="39">
        <v>0.0</v>
      </c>
      <c r="BK111" s="35" t="s">
        <v>7045</v>
      </c>
      <c r="BL111" s="30">
        <v>46753.0</v>
      </c>
      <c r="BM111" s="30">
        <v>46843.0</v>
      </c>
      <c r="BN111" s="39">
        <v>0.0</v>
      </c>
      <c r="BO111" s="39">
        <v>0.0</v>
      </c>
      <c r="BP111" s="35" t="s">
        <v>7045</v>
      </c>
      <c r="BQ111" s="30">
        <v>46844.0</v>
      </c>
      <c r="BR111" s="30">
        <v>46934.0</v>
      </c>
      <c r="BS111" s="39">
        <v>0.0</v>
      </c>
      <c r="BT111" s="39">
        <v>0.0</v>
      </c>
      <c r="BU111" s="35" t="s">
        <v>7045</v>
      </c>
      <c r="BV111" s="30">
        <v>46935.0</v>
      </c>
      <c r="BW111" s="30">
        <v>47026.0</v>
      </c>
      <c r="BX111" s="39">
        <v>0.0</v>
      </c>
      <c r="BY111" s="39">
        <v>0.0</v>
      </c>
      <c r="BZ111" s="35" t="s">
        <v>7045</v>
      </c>
      <c r="CA111" s="30">
        <v>47027.0</v>
      </c>
      <c r="CB111" s="30">
        <v>47118.0</v>
      </c>
      <c r="CC111" s="39">
        <v>0.0</v>
      </c>
      <c r="CD111" s="39">
        <v>0.0</v>
      </c>
      <c r="CE111" s="35" t="s">
        <v>7045</v>
      </c>
      <c r="CF111" s="30">
        <v>47119.0</v>
      </c>
      <c r="CG111" s="30">
        <v>47208.0</v>
      </c>
      <c r="CH111" s="39">
        <v>0.0</v>
      </c>
      <c r="CI111" s="39">
        <v>0.0</v>
      </c>
      <c r="CJ111" s="35" t="s">
        <v>7045</v>
      </c>
      <c r="CK111" s="30">
        <v>47209.0</v>
      </c>
      <c r="CL111" s="30">
        <v>47299.0</v>
      </c>
      <c r="CM111" s="39">
        <v>0.0</v>
      </c>
      <c r="CN111" s="39">
        <v>0.0</v>
      </c>
      <c r="CO111" s="35" t="s">
        <v>7045</v>
      </c>
      <c r="CP111" s="30">
        <v>47300.0</v>
      </c>
      <c r="CQ111" s="30">
        <v>47391.0</v>
      </c>
      <c r="CR111" s="39">
        <v>0.0</v>
      </c>
      <c r="CS111" s="39">
        <v>0.0</v>
      </c>
      <c r="CT111" s="35" t="s">
        <v>7045</v>
      </c>
      <c r="CU111" s="30">
        <v>47392.0</v>
      </c>
      <c r="CV111" s="30">
        <v>47483.0</v>
      </c>
      <c r="CW111" s="39">
        <v>0.0</v>
      </c>
      <c r="CX111" s="39">
        <v>0.0</v>
      </c>
      <c r="CY111" s="35" t="s">
        <v>7045</v>
      </c>
      <c r="CZ111" s="30">
        <v>47484.0</v>
      </c>
      <c r="DA111" s="30">
        <v>47573.0</v>
      </c>
      <c r="DB111" s="39">
        <v>0.0</v>
      </c>
      <c r="DC111" s="39">
        <v>0.0</v>
      </c>
      <c r="DD111" s="35" t="s">
        <v>7045</v>
      </c>
      <c r="DE111" s="30">
        <v>47574.0</v>
      </c>
      <c r="DF111" s="30">
        <v>47664.0</v>
      </c>
      <c r="DG111" s="39">
        <v>0.0</v>
      </c>
      <c r="DH111" s="39">
        <v>0.0</v>
      </c>
      <c r="DI111" s="35" t="s">
        <v>7045</v>
      </c>
      <c r="DJ111" s="30">
        <v>47665.0</v>
      </c>
      <c r="DK111" s="30">
        <v>47756.0</v>
      </c>
      <c r="DL111" s="39">
        <v>0.0</v>
      </c>
      <c r="DM111" s="39">
        <v>0.0</v>
      </c>
      <c r="DN111" s="35" t="s">
        <v>7045</v>
      </c>
      <c r="DO111" s="30">
        <v>47757.0</v>
      </c>
      <c r="DP111" s="30">
        <v>47848.0</v>
      </c>
      <c r="DQ111" s="39">
        <v>0.0</v>
      </c>
      <c r="DR111" s="39">
        <v>0.0</v>
      </c>
      <c r="DS111" s="35" t="s">
        <v>7045</v>
      </c>
    </row>
    <row r="112" ht="14.25" customHeight="1">
      <c r="A112" s="28" t="s">
        <v>904</v>
      </c>
      <c r="B112" s="29" t="s">
        <v>905</v>
      </c>
      <c r="C112" s="29" t="s">
        <v>7041</v>
      </c>
      <c r="D112" s="30">
        <v>45658.0</v>
      </c>
      <c r="E112" s="30">
        <v>45747.0</v>
      </c>
      <c r="F112" s="36">
        <v>3.08</v>
      </c>
      <c r="G112" s="36">
        <v>0.0</v>
      </c>
      <c r="H112" s="38" t="s">
        <v>7047</v>
      </c>
      <c r="I112" s="30">
        <v>45748.0</v>
      </c>
      <c r="J112" s="30">
        <v>45838.0</v>
      </c>
      <c r="K112" s="36">
        <v>8.97</v>
      </c>
      <c r="L112" s="36">
        <v>6881.01</v>
      </c>
      <c r="M112" s="32" t="s">
        <v>7043</v>
      </c>
      <c r="N112" s="30">
        <v>45839.0</v>
      </c>
      <c r="O112" s="30">
        <v>45930.0</v>
      </c>
      <c r="P112" s="36">
        <v>296.05</v>
      </c>
      <c r="Q112" s="36">
        <v>10318.83</v>
      </c>
      <c r="R112" s="38" t="s">
        <v>7043</v>
      </c>
      <c r="S112" s="30">
        <v>45931.0</v>
      </c>
      <c r="T112" s="30">
        <v>46022.0</v>
      </c>
      <c r="U112" s="36">
        <v>18.91</v>
      </c>
      <c r="V112" s="36">
        <v>10316.12</v>
      </c>
      <c r="W112" s="38" t="s">
        <v>7047</v>
      </c>
      <c r="X112" s="30">
        <v>46023.0</v>
      </c>
      <c r="Y112" s="30">
        <v>46112.0</v>
      </c>
      <c r="Z112" s="36">
        <v>2.74</v>
      </c>
      <c r="AA112" s="36">
        <v>0.0</v>
      </c>
      <c r="AB112" s="38" t="s">
        <v>7047</v>
      </c>
      <c r="AC112" s="30">
        <v>46113.0</v>
      </c>
      <c r="AD112" s="30">
        <v>46203.0</v>
      </c>
      <c r="AE112" s="36">
        <v>28.22</v>
      </c>
      <c r="AF112" s="36">
        <v>0.0</v>
      </c>
      <c r="AG112" s="38" t="s">
        <v>7047</v>
      </c>
      <c r="AH112" s="30">
        <v>46204.0</v>
      </c>
      <c r="AI112" s="30">
        <v>46295.0</v>
      </c>
      <c r="AJ112" s="36">
        <v>8.38</v>
      </c>
      <c r="AK112" s="36">
        <v>0.0</v>
      </c>
      <c r="AL112" s="38" t="s">
        <v>7047</v>
      </c>
      <c r="AM112" s="30">
        <v>46296.0</v>
      </c>
      <c r="AN112" s="30">
        <v>46387.0</v>
      </c>
      <c r="AO112" s="36">
        <v>0.0</v>
      </c>
      <c r="AP112" s="36">
        <v>0.0</v>
      </c>
      <c r="AQ112" s="35" t="s">
        <v>7045</v>
      </c>
      <c r="AR112" s="30">
        <v>46388.0</v>
      </c>
      <c r="AS112" s="30">
        <v>46477.0</v>
      </c>
      <c r="AT112" s="36">
        <v>0.0</v>
      </c>
      <c r="AU112" s="36">
        <v>0.0</v>
      </c>
      <c r="AV112" s="35" t="s">
        <v>7045</v>
      </c>
      <c r="AW112" s="30">
        <v>46478.0</v>
      </c>
      <c r="AX112" s="30">
        <v>46568.0</v>
      </c>
      <c r="AY112" s="36">
        <v>0.0</v>
      </c>
      <c r="AZ112" s="36">
        <v>0.0</v>
      </c>
      <c r="BA112" s="35" t="s">
        <v>7045</v>
      </c>
      <c r="BB112" s="30">
        <v>46569.0</v>
      </c>
      <c r="BC112" s="30">
        <v>46660.0</v>
      </c>
      <c r="BD112" s="36">
        <v>0.0</v>
      </c>
      <c r="BE112" s="36">
        <v>0.0</v>
      </c>
      <c r="BF112" s="35" t="s">
        <v>7045</v>
      </c>
      <c r="BG112" s="30">
        <v>46661.0</v>
      </c>
      <c r="BH112" s="30">
        <v>46752.0</v>
      </c>
      <c r="BI112" s="36">
        <v>0.0</v>
      </c>
      <c r="BJ112" s="36">
        <v>0.0</v>
      </c>
      <c r="BK112" s="35" t="s">
        <v>7045</v>
      </c>
      <c r="BL112" s="30">
        <v>46753.0</v>
      </c>
      <c r="BM112" s="30">
        <v>46843.0</v>
      </c>
      <c r="BN112" s="36">
        <v>0.0</v>
      </c>
      <c r="BO112" s="36">
        <v>0.0</v>
      </c>
      <c r="BP112" s="35" t="s">
        <v>7045</v>
      </c>
      <c r="BQ112" s="30">
        <v>46844.0</v>
      </c>
      <c r="BR112" s="30">
        <v>46934.0</v>
      </c>
      <c r="BS112" s="36">
        <v>0.0</v>
      </c>
      <c r="BT112" s="36">
        <v>0.0</v>
      </c>
      <c r="BU112" s="35" t="s">
        <v>7045</v>
      </c>
      <c r="BV112" s="30">
        <v>46935.0</v>
      </c>
      <c r="BW112" s="30">
        <v>47026.0</v>
      </c>
      <c r="BX112" s="36">
        <v>0.0</v>
      </c>
      <c r="BY112" s="36">
        <v>0.0</v>
      </c>
      <c r="BZ112" s="35" t="s">
        <v>7045</v>
      </c>
      <c r="CA112" s="30">
        <v>47027.0</v>
      </c>
      <c r="CB112" s="30">
        <v>47118.0</v>
      </c>
      <c r="CC112" s="36">
        <v>0.0</v>
      </c>
      <c r="CD112" s="36">
        <v>0.0</v>
      </c>
      <c r="CE112" s="35" t="s">
        <v>7045</v>
      </c>
      <c r="CF112" s="30">
        <v>47119.0</v>
      </c>
      <c r="CG112" s="30">
        <v>47208.0</v>
      </c>
      <c r="CH112" s="36">
        <v>0.0</v>
      </c>
      <c r="CI112" s="36">
        <v>0.0</v>
      </c>
      <c r="CJ112" s="35" t="s">
        <v>7045</v>
      </c>
      <c r="CK112" s="30">
        <v>47209.0</v>
      </c>
      <c r="CL112" s="30">
        <v>47299.0</v>
      </c>
      <c r="CM112" s="36">
        <v>0.0</v>
      </c>
      <c r="CN112" s="36">
        <v>0.0</v>
      </c>
      <c r="CO112" s="35" t="s">
        <v>7045</v>
      </c>
      <c r="CP112" s="30">
        <v>47300.0</v>
      </c>
      <c r="CQ112" s="30">
        <v>47391.0</v>
      </c>
      <c r="CR112" s="36">
        <v>0.0</v>
      </c>
      <c r="CS112" s="36">
        <v>0.0</v>
      </c>
      <c r="CT112" s="35" t="s">
        <v>7045</v>
      </c>
      <c r="CU112" s="30">
        <v>47392.0</v>
      </c>
      <c r="CV112" s="30">
        <v>47483.0</v>
      </c>
      <c r="CW112" s="36">
        <v>0.0</v>
      </c>
      <c r="CX112" s="36">
        <v>0.0</v>
      </c>
      <c r="CY112" s="35" t="s">
        <v>7045</v>
      </c>
      <c r="CZ112" s="30">
        <v>47484.0</v>
      </c>
      <c r="DA112" s="30">
        <v>47573.0</v>
      </c>
      <c r="DB112" s="36">
        <v>0.0</v>
      </c>
      <c r="DC112" s="36">
        <v>0.0</v>
      </c>
      <c r="DD112" s="35" t="s">
        <v>7045</v>
      </c>
      <c r="DE112" s="30">
        <v>47574.0</v>
      </c>
      <c r="DF112" s="30">
        <v>47664.0</v>
      </c>
      <c r="DG112" s="36">
        <v>0.0</v>
      </c>
      <c r="DH112" s="36">
        <v>0.0</v>
      </c>
      <c r="DI112" s="35" t="s">
        <v>7045</v>
      </c>
      <c r="DJ112" s="30">
        <v>47665.0</v>
      </c>
      <c r="DK112" s="30">
        <v>47756.0</v>
      </c>
      <c r="DL112" s="36">
        <v>0.0</v>
      </c>
      <c r="DM112" s="36">
        <v>0.0</v>
      </c>
      <c r="DN112" s="35" t="s">
        <v>7045</v>
      </c>
      <c r="DO112" s="30">
        <v>47757.0</v>
      </c>
      <c r="DP112" s="30">
        <v>47848.0</v>
      </c>
      <c r="DQ112" s="36">
        <v>0.0</v>
      </c>
      <c r="DR112" s="36">
        <v>0.0</v>
      </c>
      <c r="DS112" s="35" t="s">
        <v>7045</v>
      </c>
    </row>
    <row r="113" ht="14.25" customHeight="1">
      <c r="A113" s="28" t="s">
        <v>608</v>
      </c>
      <c r="B113" s="29" t="s">
        <v>609</v>
      </c>
      <c r="C113" s="29" t="s">
        <v>7041</v>
      </c>
      <c r="D113" s="30">
        <v>45658.0</v>
      </c>
      <c r="E113" s="30">
        <v>45747.0</v>
      </c>
      <c r="F113" s="36">
        <v>10.11</v>
      </c>
      <c r="G113" s="36">
        <v>0.0</v>
      </c>
      <c r="H113" s="38" t="s">
        <v>7047</v>
      </c>
      <c r="I113" s="30">
        <v>45748.0</v>
      </c>
      <c r="J113" s="30">
        <v>45838.0</v>
      </c>
      <c r="K113" s="36">
        <v>107.37</v>
      </c>
      <c r="L113" s="36">
        <v>3129.96</v>
      </c>
      <c r="M113" s="32" t="s">
        <v>7043</v>
      </c>
      <c r="N113" s="30">
        <v>45839.0</v>
      </c>
      <c r="O113" s="30">
        <v>45930.0</v>
      </c>
      <c r="P113" s="36">
        <v>2891.2</v>
      </c>
      <c r="Q113" s="36">
        <v>3556.65</v>
      </c>
      <c r="R113" s="38" t="s">
        <v>7047</v>
      </c>
      <c r="S113" s="30">
        <v>45931.0</v>
      </c>
      <c r="T113" s="30">
        <v>46022.0</v>
      </c>
      <c r="U113" s="36">
        <v>4371.11</v>
      </c>
      <c r="V113" s="36">
        <v>3943.32</v>
      </c>
      <c r="W113" s="38" t="s">
        <v>7047</v>
      </c>
      <c r="X113" s="30">
        <v>46023.0</v>
      </c>
      <c r="Y113" s="30">
        <v>46112.0</v>
      </c>
      <c r="Z113" s="36">
        <v>697.0</v>
      </c>
      <c r="AA113" s="36">
        <v>0.0</v>
      </c>
      <c r="AB113" s="38" t="s">
        <v>7047</v>
      </c>
      <c r="AC113" s="30">
        <v>46113.0</v>
      </c>
      <c r="AD113" s="30">
        <v>46203.0</v>
      </c>
      <c r="AE113" s="36">
        <v>12.06</v>
      </c>
      <c r="AF113" s="36">
        <v>0.0</v>
      </c>
      <c r="AG113" s="35" t="s">
        <v>7047</v>
      </c>
      <c r="AH113" s="30">
        <v>46204.0</v>
      </c>
      <c r="AI113" s="30">
        <v>46295.0</v>
      </c>
      <c r="AJ113" s="36">
        <v>0.0</v>
      </c>
      <c r="AK113" s="36">
        <v>0.0</v>
      </c>
      <c r="AL113" s="35" t="s">
        <v>7045</v>
      </c>
      <c r="AM113" s="30">
        <v>46296.0</v>
      </c>
      <c r="AN113" s="30">
        <v>46387.0</v>
      </c>
      <c r="AO113" s="36">
        <v>0.0</v>
      </c>
      <c r="AP113" s="36">
        <v>0.0</v>
      </c>
      <c r="AQ113" s="35" t="s">
        <v>7045</v>
      </c>
      <c r="AR113" s="30">
        <v>46388.0</v>
      </c>
      <c r="AS113" s="30">
        <v>46477.0</v>
      </c>
      <c r="AT113" s="36">
        <v>0.0</v>
      </c>
      <c r="AU113" s="36">
        <v>0.0</v>
      </c>
      <c r="AV113" s="35" t="s">
        <v>7045</v>
      </c>
      <c r="AW113" s="30">
        <v>46478.0</v>
      </c>
      <c r="AX113" s="30">
        <v>46568.0</v>
      </c>
      <c r="AY113" s="36">
        <v>0.0</v>
      </c>
      <c r="AZ113" s="36">
        <v>0.0</v>
      </c>
      <c r="BA113" s="35" t="s">
        <v>7045</v>
      </c>
      <c r="BB113" s="30">
        <v>46569.0</v>
      </c>
      <c r="BC113" s="30">
        <v>46660.0</v>
      </c>
      <c r="BD113" s="36">
        <v>0.0</v>
      </c>
      <c r="BE113" s="36">
        <v>0.0</v>
      </c>
      <c r="BF113" s="35" t="s">
        <v>7045</v>
      </c>
      <c r="BG113" s="30">
        <v>46661.0</v>
      </c>
      <c r="BH113" s="30">
        <v>46752.0</v>
      </c>
      <c r="BI113" s="36">
        <v>0.0</v>
      </c>
      <c r="BJ113" s="36">
        <v>0.0</v>
      </c>
      <c r="BK113" s="35" t="s">
        <v>7045</v>
      </c>
      <c r="BL113" s="30">
        <v>46753.0</v>
      </c>
      <c r="BM113" s="30">
        <v>46843.0</v>
      </c>
      <c r="BN113" s="36">
        <v>0.0</v>
      </c>
      <c r="BO113" s="36">
        <v>0.0</v>
      </c>
      <c r="BP113" s="35" t="s">
        <v>7045</v>
      </c>
      <c r="BQ113" s="30">
        <v>46844.0</v>
      </c>
      <c r="BR113" s="30">
        <v>46934.0</v>
      </c>
      <c r="BS113" s="36">
        <v>0.0</v>
      </c>
      <c r="BT113" s="36">
        <v>0.0</v>
      </c>
      <c r="BU113" s="35" t="s">
        <v>7045</v>
      </c>
      <c r="BV113" s="30">
        <v>46935.0</v>
      </c>
      <c r="BW113" s="30">
        <v>47026.0</v>
      </c>
      <c r="BX113" s="36">
        <v>0.0</v>
      </c>
      <c r="BY113" s="36">
        <v>0.0</v>
      </c>
      <c r="BZ113" s="35" t="s">
        <v>7045</v>
      </c>
      <c r="CA113" s="30">
        <v>47027.0</v>
      </c>
      <c r="CB113" s="30">
        <v>47118.0</v>
      </c>
      <c r="CC113" s="36">
        <v>0.0</v>
      </c>
      <c r="CD113" s="36">
        <v>0.0</v>
      </c>
      <c r="CE113" s="35" t="s">
        <v>7045</v>
      </c>
      <c r="CF113" s="30">
        <v>47119.0</v>
      </c>
      <c r="CG113" s="30">
        <v>47208.0</v>
      </c>
      <c r="CH113" s="36">
        <v>0.0</v>
      </c>
      <c r="CI113" s="36">
        <v>0.0</v>
      </c>
      <c r="CJ113" s="35" t="s">
        <v>7045</v>
      </c>
      <c r="CK113" s="30">
        <v>47209.0</v>
      </c>
      <c r="CL113" s="30">
        <v>47299.0</v>
      </c>
      <c r="CM113" s="36">
        <v>0.0</v>
      </c>
      <c r="CN113" s="36">
        <v>0.0</v>
      </c>
      <c r="CO113" s="35" t="s">
        <v>7045</v>
      </c>
      <c r="CP113" s="30">
        <v>47300.0</v>
      </c>
      <c r="CQ113" s="30">
        <v>47391.0</v>
      </c>
      <c r="CR113" s="36">
        <v>0.0</v>
      </c>
      <c r="CS113" s="36">
        <v>0.0</v>
      </c>
      <c r="CT113" s="35" t="s">
        <v>7045</v>
      </c>
      <c r="CU113" s="30">
        <v>47392.0</v>
      </c>
      <c r="CV113" s="30">
        <v>47483.0</v>
      </c>
      <c r="CW113" s="36">
        <v>0.0</v>
      </c>
      <c r="CX113" s="36">
        <v>0.0</v>
      </c>
      <c r="CY113" s="35" t="s">
        <v>7045</v>
      </c>
      <c r="CZ113" s="30">
        <v>47484.0</v>
      </c>
      <c r="DA113" s="30">
        <v>47573.0</v>
      </c>
      <c r="DB113" s="36">
        <v>0.0</v>
      </c>
      <c r="DC113" s="36">
        <v>0.0</v>
      </c>
      <c r="DD113" s="35" t="s">
        <v>7045</v>
      </c>
      <c r="DE113" s="30">
        <v>47574.0</v>
      </c>
      <c r="DF113" s="30">
        <v>47664.0</v>
      </c>
      <c r="DG113" s="36">
        <v>0.0</v>
      </c>
      <c r="DH113" s="36">
        <v>0.0</v>
      </c>
      <c r="DI113" s="35" t="s">
        <v>7045</v>
      </c>
      <c r="DJ113" s="30">
        <v>47665.0</v>
      </c>
      <c r="DK113" s="30">
        <v>47756.0</v>
      </c>
      <c r="DL113" s="36">
        <v>0.0</v>
      </c>
      <c r="DM113" s="36">
        <v>0.0</v>
      </c>
      <c r="DN113" s="35" t="s">
        <v>7045</v>
      </c>
      <c r="DO113" s="30">
        <v>47757.0</v>
      </c>
      <c r="DP113" s="30">
        <v>47848.0</v>
      </c>
      <c r="DQ113" s="36">
        <v>0.0</v>
      </c>
      <c r="DR113" s="36">
        <v>0.0</v>
      </c>
      <c r="DS113" s="35" t="s">
        <v>7045</v>
      </c>
    </row>
    <row r="114" ht="14.25" customHeight="1">
      <c r="A114" s="28" t="s">
        <v>733</v>
      </c>
      <c r="B114" s="29" t="s">
        <v>734</v>
      </c>
      <c r="C114" s="29" t="s">
        <v>7041</v>
      </c>
      <c r="D114" s="30">
        <v>45658.0</v>
      </c>
      <c r="E114" s="30">
        <v>45747.0</v>
      </c>
      <c r="F114" s="39">
        <v>14.52</v>
      </c>
      <c r="G114" s="39">
        <v>0.0</v>
      </c>
      <c r="H114" s="38" t="s">
        <v>7047</v>
      </c>
      <c r="I114" s="30">
        <v>45748.0</v>
      </c>
      <c r="J114" s="30">
        <v>45838.0</v>
      </c>
      <c r="K114" s="39">
        <v>7.05</v>
      </c>
      <c r="L114" s="39">
        <v>1066.67</v>
      </c>
      <c r="M114" s="32" t="s">
        <v>7043</v>
      </c>
      <c r="N114" s="30">
        <v>45839.0</v>
      </c>
      <c r="O114" s="30">
        <v>45930.0</v>
      </c>
      <c r="P114" s="39">
        <v>318.42</v>
      </c>
      <c r="Q114" s="39">
        <v>1600.0</v>
      </c>
      <c r="R114" s="38" t="s">
        <v>7047</v>
      </c>
      <c r="S114" s="30">
        <v>45931.0</v>
      </c>
      <c r="T114" s="30">
        <v>46022.0</v>
      </c>
      <c r="U114" s="39">
        <v>282.09</v>
      </c>
      <c r="V114" s="39">
        <v>1600.0</v>
      </c>
      <c r="W114" s="38" t="s">
        <v>7047</v>
      </c>
      <c r="X114" s="30">
        <v>46023.0</v>
      </c>
      <c r="Y114" s="30">
        <v>46112.0</v>
      </c>
      <c r="Z114" s="39">
        <v>17.75</v>
      </c>
      <c r="AA114" s="39">
        <v>0.0</v>
      </c>
      <c r="AB114" s="38" t="s">
        <v>7047</v>
      </c>
      <c r="AC114" s="30">
        <v>46113.0</v>
      </c>
      <c r="AD114" s="30">
        <v>46203.0</v>
      </c>
      <c r="AE114" s="39">
        <v>114.76</v>
      </c>
      <c r="AF114" s="39">
        <v>0.0</v>
      </c>
      <c r="AG114" s="38" t="s">
        <v>7047</v>
      </c>
      <c r="AH114" s="30">
        <v>46204.0</v>
      </c>
      <c r="AI114" s="30">
        <v>46295.0</v>
      </c>
      <c r="AJ114" s="39">
        <v>27.16</v>
      </c>
      <c r="AK114" s="39">
        <v>0.0</v>
      </c>
      <c r="AL114" s="38" t="s">
        <v>7047</v>
      </c>
      <c r="AM114" s="30">
        <v>46296.0</v>
      </c>
      <c r="AN114" s="30">
        <v>46387.0</v>
      </c>
      <c r="AO114" s="39">
        <v>52.99</v>
      </c>
      <c r="AP114" s="39">
        <v>0.0</v>
      </c>
      <c r="AQ114" s="38" t="s">
        <v>7047</v>
      </c>
      <c r="AR114" s="30">
        <v>46388.0</v>
      </c>
      <c r="AS114" s="30">
        <v>46477.0</v>
      </c>
      <c r="AT114" s="39">
        <v>0.0</v>
      </c>
      <c r="AU114" s="39">
        <v>0.0</v>
      </c>
      <c r="AV114" s="35" t="s">
        <v>7045</v>
      </c>
      <c r="AW114" s="30">
        <v>46478.0</v>
      </c>
      <c r="AX114" s="30">
        <v>46568.0</v>
      </c>
      <c r="AY114" s="39">
        <v>0.0</v>
      </c>
      <c r="AZ114" s="39">
        <v>0.0</v>
      </c>
      <c r="BA114" s="35" t="s">
        <v>7045</v>
      </c>
      <c r="BB114" s="30">
        <v>46569.0</v>
      </c>
      <c r="BC114" s="30">
        <v>46660.0</v>
      </c>
      <c r="BD114" s="39">
        <v>0.0</v>
      </c>
      <c r="BE114" s="39">
        <v>0.0</v>
      </c>
      <c r="BF114" s="35" t="s">
        <v>7045</v>
      </c>
      <c r="BG114" s="30">
        <v>46661.0</v>
      </c>
      <c r="BH114" s="30">
        <v>46752.0</v>
      </c>
      <c r="BI114" s="39">
        <v>0.0</v>
      </c>
      <c r="BJ114" s="39">
        <v>0.0</v>
      </c>
      <c r="BK114" s="35" t="s">
        <v>7045</v>
      </c>
      <c r="BL114" s="30">
        <v>46753.0</v>
      </c>
      <c r="BM114" s="30">
        <v>46843.0</v>
      </c>
      <c r="BN114" s="39">
        <v>0.0</v>
      </c>
      <c r="BO114" s="39">
        <v>0.0</v>
      </c>
      <c r="BP114" s="35" t="s">
        <v>7045</v>
      </c>
      <c r="BQ114" s="30">
        <v>46844.0</v>
      </c>
      <c r="BR114" s="30">
        <v>46934.0</v>
      </c>
      <c r="BS114" s="39">
        <v>0.0</v>
      </c>
      <c r="BT114" s="39">
        <v>0.0</v>
      </c>
      <c r="BU114" s="35" t="s">
        <v>7045</v>
      </c>
      <c r="BV114" s="30">
        <v>46935.0</v>
      </c>
      <c r="BW114" s="30">
        <v>47026.0</v>
      </c>
      <c r="BX114" s="39">
        <v>0.0</v>
      </c>
      <c r="BY114" s="39">
        <v>0.0</v>
      </c>
      <c r="BZ114" s="35" t="s">
        <v>7045</v>
      </c>
      <c r="CA114" s="30">
        <v>47027.0</v>
      </c>
      <c r="CB114" s="30">
        <v>47118.0</v>
      </c>
      <c r="CC114" s="39">
        <v>0.0</v>
      </c>
      <c r="CD114" s="39">
        <v>0.0</v>
      </c>
      <c r="CE114" s="35" t="s">
        <v>7045</v>
      </c>
      <c r="CF114" s="30">
        <v>47119.0</v>
      </c>
      <c r="CG114" s="30">
        <v>47208.0</v>
      </c>
      <c r="CH114" s="39">
        <v>0.0</v>
      </c>
      <c r="CI114" s="39">
        <v>0.0</v>
      </c>
      <c r="CJ114" s="35" t="s">
        <v>7045</v>
      </c>
      <c r="CK114" s="30">
        <v>47209.0</v>
      </c>
      <c r="CL114" s="30">
        <v>47299.0</v>
      </c>
      <c r="CM114" s="39">
        <v>0.0</v>
      </c>
      <c r="CN114" s="39">
        <v>0.0</v>
      </c>
      <c r="CO114" s="35" t="s">
        <v>7045</v>
      </c>
      <c r="CP114" s="30">
        <v>47300.0</v>
      </c>
      <c r="CQ114" s="30">
        <v>47391.0</v>
      </c>
      <c r="CR114" s="39">
        <v>0.0</v>
      </c>
      <c r="CS114" s="39">
        <v>0.0</v>
      </c>
      <c r="CT114" s="35" t="s">
        <v>7045</v>
      </c>
      <c r="CU114" s="30">
        <v>47392.0</v>
      </c>
      <c r="CV114" s="30">
        <v>47483.0</v>
      </c>
      <c r="CW114" s="39">
        <v>0.0</v>
      </c>
      <c r="CX114" s="39">
        <v>0.0</v>
      </c>
      <c r="CY114" s="35" t="s">
        <v>7045</v>
      </c>
      <c r="CZ114" s="30">
        <v>47484.0</v>
      </c>
      <c r="DA114" s="30">
        <v>47573.0</v>
      </c>
      <c r="DB114" s="39">
        <v>0.0</v>
      </c>
      <c r="DC114" s="39">
        <v>0.0</v>
      </c>
      <c r="DD114" s="35" t="s">
        <v>7045</v>
      </c>
      <c r="DE114" s="30">
        <v>47574.0</v>
      </c>
      <c r="DF114" s="30">
        <v>47664.0</v>
      </c>
      <c r="DG114" s="39">
        <v>0.0</v>
      </c>
      <c r="DH114" s="39">
        <v>0.0</v>
      </c>
      <c r="DI114" s="35" t="s">
        <v>7045</v>
      </c>
      <c r="DJ114" s="30">
        <v>47665.0</v>
      </c>
      <c r="DK114" s="30">
        <v>47756.0</v>
      </c>
      <c r="DL114" s="39">
        <v>0.0</v>
      </c>
      <c r="DM114" s="39">
        <v>0.0</v>
      </c>
      <c r="DN114" s="35" t="s">
        <v>7045</v>
      </c>
      <c r="DO114" s="30">
        <v>47757.0</v>
      </c>
      <c r="DP114" s="30">
        <v>47848.0</v>
      </c>
      <c r="DQ114" s="39">
        <v>0.0</v>
      </c>
      <c r="DR114" s="39">
        <v>0.0</v>
      </c>
      <c r="DS114" s="35" t="s">
        <v>7045</v>
      </c>
    </row>
    <row r="115" ht="14.25" customHeight="1">
      <c r="A115" s="28" t="s">
        <v>948</v>
      </c>
      <c r="B115" s="29" t="s">
        <v>949</v>
      </c>
      <c r="C115" s="29" t="s">
        <v>7041</v>
      </c>
      <c r="D115" s="30">
        <v>45658.0</v>
      </c>
      <c r="E115" s="30">
        <v>45747.0</v>
      </c>
      <c r="F115" s="36">
        <v>14.49</v>
      </c>
      <c r="G115" s="36">
        <v>0.0</v>
      </c>
      <c r="H115" s="38" t="s">
        <v>7047</v>
      </c>
      <c r="I115" s="30">
        <v>45748.0</v>
      </c>
      <c r="J115" s="30">
        <v>45838.0</v>
      </c>
      <c r="K115" s="36">
        <v>17.91</v>
      </c>
      <c r="L115" s="36">
        <v>845.58</v>
      </c>
      <c r="M115" s="32" t="s">
        <v>7043</v>
      </c>
      <c r="N115" s="30">
        <v>45839.0</v>
      </c>
      <c r="O115" s="30">
        <v>45930.0</v>
      </c>
      <c r="P115" s="36">
        <v>93.62</v>
      </c>
      <c r="Q115" s="36">
        <v>1269.09</v>
      </c>
      <c r="R115" s="38" t="s">
        <v>7047</v>
      </c>
      <c r="S115" s="30">
        <v>45931.0</v>
      </c>
      <c r="T115" s="30">
        <v>46022.0</v>
      </c>
      <c r="U115" s="36">
        <v>184.87</v>
      </c>
      <c r="V115" s="36">
        <v>1269.09</v>
      </c>
      <c r="W115" s="38" t="s">
        <v>7047</v>
      </c>
      <c r="X115" s="30">
        <v>46023.0</v>
      </c>
      <c r="Y115" s="30">
        <v>46112.0</v>
      </c>
      <c r="Z115" s="36">
        <v>41.46</v>
      </c>
      <c r="AA115" s="36">
        <v>0.0</v>
      </c>
      <c r="AB115" s="38" t="s">
        <v>7047</v>
      </c>
      <c r="AC115" s="30">
        <v>46113.0</v>
      </c>
      <c r="AD115" s="30">
        <v>46203.0</v>
      </c>
      <c r="AE115" s="36">
        <v>64.23</v>
      </c>
      <c r="AF115" s="36">
        <v>0.0</v>
      </c>
      <c r="AG115" s="38" t="s">
        <v>7047</v>
      </c>
      <c r="AH115" s="30">
        <v>46204.0</v>
      </c>
      <c r="AI115" s="30">
        <v>46295.0</v>
      </c>
      <c r="AJ115" s="36">
        <v>0.0</v>
      </c>
      <c r="AK115" s="36">
        <v>0.0</v>
      </c>
      <c r="AL115" s="35" t="s">
        <v>7045</v>
      </c>
      <c r="AM115" s="30">
        <v>46296.0</v>
      </c>
      <c r="AN115" s="30">
        <v>46387.0</v>
      </c>
      <c r="AO115" s="36">
        <v>7.26</v>
      </c>
      <c r="AP115" s="36">
        <v>0.0</v>
      </c>
      <c r="AQ115" s="38" t="s">
        <v>7047</v>
      </c>
      <c r="AR115" s="30">
        <v>46388.0</v>
      </c>
      <c r="AS115" s="30">
        <v>46477.0</v>
      </c>
      <c r="AT115" s="36">
        <v>0.0</v>
      </c>
      <c r="AU115" s="36">
        <v>0.0</v>
      </c>
      <c r="AV115" s="35" t="s">
        <v>7045</v>
      </c>
      <c r="AW115" s="30">
        <v>46478.0</v>
      </c>
      <c r="AX115" s="30">
        <v>46568.0</v>
      </c>
      <c r="AY115" s="36">
        <v>0.0</v>
      </c>
      <c r="AZ115" s="36">
        <v>0.0</v>
      </c>
      <c r="BA115" s="35" t="s">
        <v>7045</v>
      </c>
      <c r="BB115" s="30">
        <v>46569.0</v>
      </c>
      <c r="BC115" s="30">
        <v>46660.0</v>
      </c>
      <c r="BD115" s="36">
        <v>0.0</v>
      </c>
      <c r="BE115" s="36">
        <v>0.0</v>
      </c>
      <c r="BF115" s="35" t="s">
        <v>7045</v>
      </c>
      <c r="BG115" s="30">
        <v>46661.0</v>
      </c>
      <c r="BH115" s="30">
        <v>46752.0</v>
      </c>
      <c r="BI115" s="36">
        <v>0.0</v>
      </c>
      <c r="BJ115" s="36">
        <v>0.0</v>
      </c>
      <c r="BK115" s="35" t="s">
        <v>7045</v>
      </c>
      <c r="BL115" s="30">
        <v>46753.0</v>
      </c>
      <c r="BM115" s="30">
        <v>46843.0</v>
      </c>
      <c r="BN115" s="36">
        <v>0.0</v>
      </c>
      <c r="BO115" s="36">
        <v>0.0</v>
      </c>
      <c r="BP115" s="35" t="s">
        <v>7045</v>
      </c>
      <c r="BQ115" s="30">
        <v>46844.0</v>
      </c>
      <c r="BR115" s="30">
        <v>46934.0</v>
      </c>
      <c r="BS115" s="36">
        <v>0.0</v>
      </c>
      <c r="BT115" s="36">
        <v>0.0</v>
      </c>
      <c r="BU115" s="35" t="s">
        <v>7045</v>
      </c>
      <c r="BV115" s="30">
        <v>46935.0</v>
      </c>
      <c r="BW115" s="30">
        <v>47026.0</v>
      </c>
      <c r="BX115" s="36">
        <v>0.0</v>
      </c>
      <c r="BY115" s="36">
        <v>0.0</v>
      </c>
      <c r="BZ115" s="35" t="s">
        <v>7045</v>
      </c>
      <c r="CA115" s="30">
        <v>47027.0</v>
      </c>
      <c r="CB115" s="30">
        <v>47118.0</v>
      </c>
      <c r="CC115" s="36">
        <v>0.0</v>
      </c>
      <c r="CD115" s="36">
        <v>0.0</v>
      </c>
      <c r="CE115" s="35" t="s">
        <v>7045</v>
      </c>
      <c r="CF115" s="30">
        <v>47119.0</v>
      </c>
      <c r="CG115" s="30">
        <v>47208.0</v>
      </c>
      <c r="CH115" s="36">
        <v>0.0</v>
      </c>
      <c r="CI115" s="36">
        <v>0.0</v>
      </c>
      <c r="CJ115" s="35" t="s">
        <v>7045</v>
      </c>
      <c r="CK115" s="30">
        <v>47209.0</v>
      </c>
      <c r="CL115" s="30">
        <v>47299.0</v>
      </c>
      <c r="CM115" s="36">
        <v>0.0</v>
      </c>
      <c r="CN115" s="36">
        <v>0.0</v>
      </c>
      <c r="CO115" s="35" t="s">
        <v>7045</v>
      </c>
      <c r="CP115" s="30">
        <v>47300.0</v>
      </c>
      <c r="CQ115" s="30">
        <v>47391.0</v>
      </c>
      <c r="CR115" s="36">
        <v>0.0</v>
      </c>
      <c r="CS115" s="36">
        <v>0.0</v>
      </c>
      <c r="CT115" s="35" t="s">
        <v>7045</v>
      </c>
      <c r="CU115" s="30">
        <v>47392.0</v>
      </c>
      <c r="CV115" s="30">
        <v>47483.0</v>
      </c>
      <c r="CW115" s="36">
        <v>0.0</v>
      </c>
      <c r="CX115" s="36">
        <v>0.0</v>
      </c>
      <c r="CY115" s="35" t="s">
        <v>7045</v>
      </c>
      <c r="CZ115" s="30">
        <v>47484.0</v>
      </c>
      <c r="DA115" s="30">
        <v>47573.0</v>
      </c>
      <c r="DB115" s="36">
        <v>0.0</v>
      </c>
      <c r="DC115" s="36">
        <v>0.0</v>
      </c>
      <c r="DD115" s="35" t="s">
        <v>7045</v>
      </c>
      <c r="DE115" s="30">
        <v>47574.0</v>
      </c>
      <c r="DF115" s="30">
        <v>47664.0</v>
      </c>
      <c r="DG115" s="36">
        <v>0.0</v>
      </c>
      <c r="DH115" s="36">
        <v>0.0</v>
      </c>
      <c r="DI115" s="35" t="s">
        <v>7045</v>
      </c>
      <c r="DJ115" s="30">
        <v>47665.0</v>
      </c>
      <c r="DK115" s="30">
        <v>47756.0</v>
      </c>
      <c r="DL115" s="36">
        <v>0.0</v>
      </c>
      <c r="DM115" s="36">
        <v>0.0</v>
      </c>
      <c r="DN115" s="35" t="s">
        <v>7045</v>
      </c>
      <c r="DO115" s="30">
        <v>47757.0</v>
      </c>
      <c r="DP115" s="30">
        <v>47848.0</v>
      </c>
      <c r="DQ115" s="36">
        <v>0.0</v>
      </c>
      <c r="DR115" s="36">
        <v>0.0</v>
      </c>
      <c r="DS115" s="35" t="s">
        <v>7045</v>
      </c>
    </row>
    <row r="116" ht="14.25" customHeight="1">
      <c r="A116" s="28" t="s">
        <v>2654</v>
      </c>
      <c r="B116" s="29" t="s">
        <v>2655</v>
      </c>
      <c r="C116" s="29" t="s">
        <v>7041</v>
      </c>
      <c r="D116" s="30">
        <v>45658.0</v>
      </c>
      <c r="E116" s="30">
        <v>45747.0</v>
      </c>
      <c r="F116" s="39">
        <v>119.74</v>
      </c>
      <c r="G116" s="39">
        <v>0.0</v>
      </c>
      <c r="H116" s="38" t="s">
        <v>7047</v>
      </c>
      <c r="I116" s="30">
        <v>45748.0</v>
      </c>
      <c r="J116" s="30">
        <v>45838.0</v>
      </c>
      <c r="K116" s="39">
        <v>23.18</v>
      </c>
      <c r="L116" s="39">
        <v>3937.5</v>
      </c>
      <c r="M116" s="37" t="s">
        <v>7043</v>
      </c>
      <c r="N116" s="30">
        <v>45839.0</v>
      </c>
      <c r="O116" s="30">
        <v>45930.0</v>
      </c>
      <c r="P116" s="39">
        <v>2894.47</v>
      </c>
      <c r="Q116" s="39">
        <v>5145.83</v>
      </c>
      <c r="R116" s="38" t="s">
        <v>7047</v>
      </c>
      <c r="S116" s="30">
        <v>45931.0</v>
      </c>
      <c r="T116" s="30">
        <v>46022.0</v>
      </c>
      <c r="U116" s="39">
        <v>14088.73</v>
      </c>
      <c r="V116" s="39">
        <v>4410.42</v>
      </c>
      <c r="W116" s="38" t="s">
        <v>7047</v>
      </c>
      <c r="X116" s="30">
        <v>46023.0</v>
      </c>
      <c r="Y116" s="30">
        <v>46112.0</v>
      </c>
      <c r="Z116" s="39">
        <v>17351.63</v>
      </c>
      <c r="AA116" s="39">
        <v>0.0</v>
      </c>
      <c r="AB116" s="38" t="s">
        <v>7047</v>
      </c>
      <c r="AC116" s="30">
        <v>46113.0</v>
      </c>
      <c r="AD116" s="30">
        <v>46203.0</v>
      </c>
      <c r="AE116" s="39">
        <v>8606.62</v>
      </c>
      <c r="AF116" s="39">
        <v>0.0</v>
      </c>
      <c r="AG116" s="38" t="s">
        <v>7047</v>
      </c>
      <c r="AH116" s="30">
        <v>46204.0</v>
      </c>
      <c r="AI116" s="30">
        <v>46295.0</v>
      </c>
      <c r="AJ116" s="39">
        <v>2920.0</v>
      </c>
      <c r="AK116" s="39">
        <v>0.0</v>
      </c>
      <c r="AL116" s="38" t="s">
        <v>7047</v>
      </c>
      <c r="AM116" s="30">
        <v>46296.0</v>
      </c>
      <c r="AN116" s="30">
        <v>46387.0</v>
      </c>
      <c r="AO116" s="39">
        <v>2730.0</v>
      </c>
      <c r="AP116" s="39">
        <v>0.0</v>
      </c>
      <c r="AQ116" s="38" t="s">
        <v>7047</v>
      </c>
      <c r="AR116" s="30">
        <v>46388.0</v>
      </c>
      <c r="AS116" s="30">
        <v>46477.0</v>
      </c>
      <c r="AT116" s="39">
        <v>0.0</v>
      </c>
      <c r="AU116" s="39">
        <v>0.0</v>
      </c>
      <c r="AV116" s="35" t="s">
        <v>7045</v>
      </c>
      <c r="AW116" s="30">
        <v>46478.0</v>
      </c>
      <c r="AX116" s="30">
        <v>46568.0</v>
      </c>
      <c r="AY116" s="39">
        <v>0.0</v>
      </c>
      <c r="AZ116" s="39">
        <v>0.0</v>
      </c>
      <c r="BA116" s="35" t="s">
        <v>7045</v>
      </c>
      <c r="BB116" s="30">
        <v>46569.0</v>
      </c>
      <c r="BC116" s="30">
        <v>46660.0</v>
      </c>
      <c r="BD116" s="39">
        <v>0.0</v>
      </c>
      <c r="BE116" s="39">
        <v>0.0</v>
      </c>
      <c r="BF116" s="35" t="s">
        <v>7045</v>
      </c>
      <c r="BG116" s="30">
        <v>46661.0</v>
      </c>
      <c r="BH116" s="30">
        <v>46752.0</v>
      </c>
      <c r="BI116" s="39">
        <v>0.0</v>
      </c>
      <c r="BJ116" s="39">
        <v>0.0</v>
      </c>
      <c r="BK116" s="35" t="s">
        <v>7045</v>
      </c>
      <c r="BL116" s="30">
        <v>46753.0</v>
      </c>
      <c r="BM116" s="30">
        <v>46843.0</v>
      </c>
      <c r="BN116" s="39">
        <v>0.0</v>
      </c>
      <c r="BO116" s="39">
        <v>0.0</v>
      </c>
      <c r="BP116" s="35" t="s">
        <v>7045</v>
      </c>
      <c r="BQ116" s="30">
        <v>46844.0</v>
      </c>
      <c r="BR116" s="30">
        <v>46934.0</v>
      </c>
      <c r="BS116" s="39">
        <v>0.0</v>
      </c>
      <c r="BT116" s="39">
        <v>0.0</v>
      </c>
      <c r="BU116" s="35" t="s">
        <v>7045</v>
      </c>
      <c r="BV116" s="30">
        <v>46935.0</v>
      </c>
      <c r="BW116" s="30">
        <v>47026.0</v>
      </c>
      <c r="BX116" s="39">
        <v>0.0</v>
      </c>
      <c r="BY116" s="39">
        <v>0.0</v>
      </c>
      <c r="BZ116" s="35" t="s">
        <v>7045</v>
      </c>
      <c r="CA116" s="30">
        <v>47027.0</v>
      </c>
      <c r="CB116" s="30">
        <v>47118.0</v>
      </c>
      <c r="CC116" s="39">
        <v>0.0</v>
      </c>
      <c r="CD116" s="39">
        <v>0.0</v>
      </c>
      <c r="CE116" s="35" t="s">
        <v>7045</v>
      </c>
      <c r="CF116" s="30">
        <v>47119.0</v>
      </c>
      <c r="CG116" s="30">
        <v>47208.0</v>
      </c>
      <c r="CH116" s="39">
        <v>0.0</v>
      </c>
      <c r="CI116" s="39">
        <v>0.0</v>
      </c>
      <c r="CJ116" s="35" t="s">
        <v>7045</v>
      </c>
      <c r="CK116" s="30">
        <v>47209.0</v>
      </c>
      <c r="CL116" s="30">
        <v>47299.0</v>
      </c>
      <c r="CM116" s="39">
        <v>0.0</v>
      </c>
      <c r="CN116" s="39">
        <v>0.0</v>
      </c>
      <c r="CO116" s="35" t="s">
        <v>7045</v>
      </c>
      <c r="CP116" s="30">
        <v>47300.0</v>
      </c>
      <c r="CQ116" s="30">
        <v>47391.0</v>
      </c>
      <c r="CR116" s="39">
        <v>0.0</v>
      </c>
      <c r="CS116" s="39">
        <v>0.0</v>
      </c>
      <c r="CT116" s="35" t="s">
        <v>7045</v>
      </c>
      <c r="CU116" s="30">
        <v>47392.0</v>
      </c>
      <c r="CV116" s="30">
        <v>47483.0</v>
      </c>
      <c r="CW116" s="39">
        <v>0.0</v>
      </c>
      <c r="CX116" s="39">
        <v>0.0</v>
      </c>
      <c r="CY116" s="35" t="s">
        <v>7045</v>
      </c>
      <c r="CZ116" s="30">
        <v>47484.0</v>
      </c>
      <c r="DA116" s="30">
        <v>47573.0</v>
      </c>
      <c r="DB116" s="39">
        <v>0.0</v>
      </c>
      <c r="DC116" s="39">
        <v>0.0</v>
      </c>
      <c r="DD116" s="35" t="s">
        <v>7045</v>
      </c>
      <c r="DE116" s="30">
        <v>47574.0</v>
      </c>
      <c r="DF116" s="30">
        <v>47664.0</v>
      </c>
      <c r="DG116" s="39">
        <v>0.0</v>
      </c>
      <c r="DH116" s="39">
        <v>0.0</v>
      </c>
      <c r="DI116" s="35" t="s">
        <v>7045</v>
      </c>
      <c r="DJ116" s="30">
        <v>47665.0</v>
      </c>
      <c r="DK116" s="30">
        <v>47756.0</v>
      </c>
      <c r="DL116" s="39">
        <v>0.0</v>
      </c>
      <c r="DM116" s="39">
        <v>0.0</v>
      </c>
      <c r="DN116" s="35" t="s">
        <v>7045</v>
      </c>
      <c r="DO116" s="30">
        <v>47757.0</v>
      </c>
      <c r="DP116" s="30">
        <v>47848.0</v>
      </c>
      <c r="DQ116" s="39">
        <v>0.0</v>
      </c>
      <c r="DR116" s="39">
        <v>0.0</v>
      </c>
      <c r="DS116" s="35" t="s">
        <v>7045</v>
      </c>
    </row>
    <row r="117" ht="14.25" customHeight="1">
      <c r="A117" s="28" t="s">
        <v>3658</v>
      </c>
      <c r="B117" s="29" t="s">
        <v>3659</v>
      </c>
      <c r="C117" s="29" t="s">
        <v>7041</v>
      </c>
      <c r="D117" s="30">
        <v>45658.0</v>
      </c>
      <c r="E117" s="30">
        <v>45747.0</v>
      </c>
      <c r="F117" s="39">
        <v>0.5</v>
      </c>
      <c r="G117" s="39">
        <v>0.0</v>
      </c>
      <c r="H117" s="38" t="s">
        <v>7047</v>
      </c>
      <c r="I117" s="30">
        <v>45748.0</v>
      </c>
      <c r="J117" s="30">
        <v>45838.0</v>
      </c>
      <c r="K117" s="39">
        <v>4.11</v>
      </c>
      <c r="L117" s="39">
        <v>7558.13</v>
      </c>
      <c r="M117" s="32" t="s">
        <v>7043</v>
      </c>
      <c r="N117" s="30">
        <v>45839.0</v>
      </c>
      <c r="O117" s="30">
        <v>45930.0</v>
      </c>
      <c r="P117" s="39">
        <v>117.7</v>
      </c>
      <c r="Q117" s="39">
        <v>6982.38</v>
      </c>
      <c r="R117" s="38" t="s">
        <v>7043</v>
      </c>
      <c r="S117" s="30">
        <v>45931.0</v>
      </c>
      <c r="T117" s="30">
        <v>46022.0</v>
      </c>
      <c r="U117" s="39">
        <v>80.96</v>
      </c>
      <c r="V117" s="39">
        <v>8962.88</v>
      </c>
      <c r="W117" s="38" t="s">
        <v>7047</v>
      </c>
      <c r="X117" s="30">
        <v>46023.0</v>
      </c>
      <c r="Y117" s="30">
        <v>46112.0</v>
      </c>
      <c r="Z117" s="39">
        <v>0.0</v>
      </c>
      <c r="AA117" s="39">
        <v>0.0</v>
      </c>
      <c r="AB117" s="35" t="s">
        <v>7045</v>
      </c>
      <c r="AC117" s="30">
        <v>46113.0</v>
      </c>
      <c r="AD117" s="30">
        <v>46203.0</v>
      </c>
      <c r="AE117" s="39">
        <v>0.0</v>
      </c>
      <c r="AF117" s="39">
        <v>0.0</v>
      </c>
      <c r="AG117" s="35" t="s">
        <v>7045</v>
      </c>
      <c r="AH117" s="30">
        <v>46204.0</v>
      </c>
      <c r="AI117" s="30">
        <v>46295.0</v>
      </c>
      <c r="AJ117" s="39">
        <v>0.0</v>
      </c>
      <c r="AK117" s="39">
        <v>0.0</v>
      </c>
      <c r="AL117" s="35" t="s">
        <v>7045</v>
      </c>
      <c r="AM117" s="30">
        <v>46296.0</v>
      </c>
      <c r="AN117" s="30">
        <v>46387.0</v>
      </c>
      <c r="AO117" s="39">
        <v>0.0</v>
      </c>
      <c r="AP117" s="39">
        <v>0.0</v>
      </c>
      <c r="AQ117" s="35" t="s">
        <v>7045</v>
      </c>
      <c r="AR117" s="30">
        <v>46388.0</v>
      </c>
      <c r="AS117" s="30">
        <v>46477.0</v>
      </c>
      <c r="AT117" s="39">
        <v>0.0</v>
      </c>
      <c r="AU117" s="39">
        <v>0.0</v>
      </c>
      <c r="AV117" s="35" t="s">
        <v>7045</v>
      </c>
      <c r="AW117" s="30">
        <v>46478.0</v>
      </c>
      <c r="AX117" s="30">
        <v>46568.0</v>
      </c>
      <c r="AY117" s="39">
        <v>0.0</v>
      </c>
      <c r="AZ117" s="39">
        <v>0.0</v>
      </c>
      <c r="BA117" s="35" t="s">
        <v>7045</v>
      </c>
      <c r="BB117" s="30">
        <v>46569.0</v>
      </c>
      <c r="BC117" s="30">
        <v>46660.0</v>
      </c>
      <c r="BD117" s="39">
        <v>0.0</v>
      </c>
      <c r="BE117" s="39">
        <v>0.0</v>
      </c>
      <c r="BF117" s="35" t="s">
        <v>7045</v>
      </c>
      <c r="BG117" s="30">
        <v>46661.0</v>
      </c>
      <c r="BH117" s="30">
        <v>46752.0</v>
      </c>
      <c r="BI117" s="39">
        <v>0.0</v>
      </c>
      <c r="BJ117" s="39">
        <v>0.0</v>
      </c>
      <c r="BK117" s="35" t="s">
        <v>7045</v>
      </c>
      <c r="BL117" s="30">
        <v>46753.0</v>
      </c>
      <c r="BM117" s="30">
        <v>46843.0</v>
      </c>
      <c r="BN117" s="39">
        <v>0.0</v>
      </c>
      <c r="BO117" s="39">
        <v>0.0</v>
      </c>
      <c r="BP117" s="35" t="s">
        <v>7045</v>
      </c>
      <c r="BQ117" s="30">
        <v>46844.0</v>
      </c>
      <c r="BR117" s="30">
        <v>46934.0</v>
      </c>
      <c r="BS117" s="39">
        <v>0.0</v>
      </c>
      <c r="BT117" s="39">
        <v>0.0</v>
      </c>
      <c r="BU117" s="35" t="s">
        <v>7045</v>
      </c>
      <c r="BV117" s="30">
        <v>46935.0</v>
      </c>
      <c r="BW117" s="30">
        <v>47026.0</v>
      </c>
      <c r="BX117" s="39">
        <v>0.0</v>
      </c>
      <c r="BY117" s="39">
        <v>0.0</v>
      </c>
      <c r="BZ117" s="35" t="s">
        <v>7045</v>
      </c>
      <c r="CA117" s="30">
        <v>47027.0</v>
      </c>
      <c r="CB117" s="30">
        <v>47118.0</v>
      </c>
      <c r="CC117" s="39">
        <v>0.0</v>
      </c>
      <c r="CD117" s="39">
        <v>0.0</v>
      </c>
      <c r="CE117" s="35" t="s">
        <v>7045</v>
      </c>
      <c r="CF117" s="30">
        <v>47119.0</v>
      </c>
      <c r="CG117" s="30">
        <v>47208.0</v>
      </c>
      <c r="CH117" s="39">
        <v>0.0</v>
      </c>
      <c r="CI117" s="39">
        <v>0.0</v>
      </c>
      <c r="CJ117" s="35" t="s">
        <v>7045</v>
      </c>
      <c r="CK117" s="30">
        <v>47209.0</v>
      </c>
      <c r="CL117" s="30">
        <v>47299.0</v>
      </c>
      <c r="CM117" s="39">
        <v>0.0</v>
      </c>
      <c r="CN117" s="39">
        <v>0.0</v>
      </c>
      <c r="CO117" s="35" t="s">
        <v>7045</v>
      </c>
      <c r="CP117" s="30">
        <v>47300.0</v>
      </c>
      <c r="CQ117" s="30">
        <v>47391.0</v>
      </c>
      <c r="CR117" s="39">
        <v>0.0</v>
      </c>
      <c r="CS117" s="39">
        <v>0.0</v>
      </c>
      <c r="CT117" s="35" t="s">
        <v>7045</v>
      </c>
      <c r="CU117" s="30">
        <v>47392.0</v>
      </c>
      <c r="CV117" s="30">
        <v>47483.0</v>
      </c>
      <c r="CW117" s="39">
        <v>0.0</v>
      </c>
      <c r="CX117" s="39">
        <v>0.0</v>
      </c>
      <c r="CY117" s="35" t="s">
        <v>7045</v>
      </c>
      <c r="CZ117" s="30">
        <v>47484.0</v>
      </c>
      <c r="DA117" s="30">
        <v>47573.0</v>
      </c>
      <c r="DB117" s="39">
        <v>0.0</v>
      </c>
      <c r="DC117" s="39">
        <v>0.0</v>
      </c>
      <c r="DD117" s="35" t="s">
        <v>7045</v>
      </c>
      <c r="DE117" s="30">
        <v>47574.0</v>
      </c>
      <c r="DF117" s="30">
        <v>47664.0</v>
      </c>
      <c r="DG117" s="39">
        <v>0.0</v>
      </c>
      <c r="DH117" s="39">
        <v>0.0</v>
      </c>
      <c r="DI117" s="35" t="s">
        <v>7045</v>
      </c>
      <c r="DJ117" s="30">
        <v>47665.0</v>
      </c>
      <c r="DK117" s="30">
        <v>47756.0</v>
      </c>
      <c r="DL117" s="39">
        <v>0.0</v>
      </c>
      <c r="DM117" s="39">
        <v>0.0</v>
      </c>
      <c r="DN117" s="35" t="s">
        <v>7045</v>
      </c>
      <c r="DO117" s="30">
        <v>47757.0</v>
      </c>
      <c r="DP117" s="30">
        <v>47848.0</v>
      </c>
      <c r="DQ117" s="39">
        <v>0.0</v>
      </c>
      <c r="DR117" s="39">
        <v>0.0</v>
      </c>
      <c r="DS117" s="35" t="s">
        <v>7045</v>
      </c>
    </row>
    <row r="118" ht="14.25" customHeight="1">
      <c r="A118" s="28" t="s">
        <v>3684</v>
      </c>
      <c r="B118" s="29" t="s">
        <v>3685</v>
      </c>
      <c r="C118" s="29" t="s">
        <v>7041</v>
      </c>
      <c r="D118" s="30">
        <v>45658.0</v>
      </c>
      <c r="E118" s="30">
        <v>45747.0</v>
      </c>
      <c r="F118" s="39">
        <v>51.82</v>
      </c>
      <c r="G118" s="39">
        <v>0.0</v>
      </c>
      <c r="H118" s="38" t="s">
        <v>7047</v>
      </c>
      <c r="I118" s="30">
        <v>45748.0</v>
      </c>
      <c r="J118" s="30">
        <v>45838.0</v>
      </c>
      <c r="K118" s="39">
        <v>14.8</v>
      </c>
      <c r="L118" s="39">
        <v>1922.22</v>
      </c>
      <c r="M118" s="32" t="s">
        <v>7043</v>
      </c>
      <c r="N118" s="30">
        <v>45839.0</v>
      </c>
      <c r="O118" s="30">
        <v>45930.0</v>
      </c>
      <c r="P118" s="39">
        <v>127.71</v>
      </c>
      <c r="Q118" s="39">
        <v>2787.3</v>
      </c>
      <c r="R118" s="38" t="s">
        <v>7043</v>
      </c>
      <c r="S118" s="30">
        <v>45931.0</v>
      </c>
      <c r="T118" s="30">
        <v>46022.0</v>
      </c>
      <c r="U118" s="39">
        <v>667.73</v>
      </c>
      <c r="V118" s="39">
        <v>2884.13</v>
      </c>
      <c r="W118" s="38" t="s">
        <v>7047</v>
      </c>
      <c r="X118" s="30">
        <v>46023.0</v>
      </c>
      <c r="Y118" s="30">
        <v>46112.0</v>
      </c>
      <c r="Z118" s="39">
        <v>34.4</v>
      </c>
      <c r="AA118" s="39">
        <v>0.0</v>
      </c>
      <c r="AB118" s="38" t="s">
        <v>7047</v>
      </c>
      <c r="AC118" s="30">
        <v>46113.0</v>
      </c>
      <c r="AD118" s="30">
        <v>46203.0</v>
      </c>
      <c r="AE118" s="39">
        <v>68.18</v>
      </c>
      <c r="AF118" s="39">
        <v>0.0</v>
      </c>
      <c r="AG118" s="38" t="s">
        <v>7047</v>
      </c>
      <c r="AH118" s="30">
        <v>46204.0</v>
      </c>
      <c r="AI118" s="30">
        <v>46295.0</v>
      </c>
      <c r="AJ118" s="39">
        <v>16.88</v>
      </c>
      <c r="AK118" s="39">
        <v>0.0</v>
      </c>
      <c r="AL118" s="38" t="s">
        <v>7047</v>
      </c>
      <c r="AM118" s="30">
        <v>46296.0</v>
      </c>
      <c r="AN118" s="30">
        <v>46387.0</v>
      </c>
      <c r="AO118" s="39">
        <v>206.64</v>
      </c>
      <c r="AP118" s="39">
        <v>0.0</v>
      </c>
      <c r="AQ118" s="38" t="s">
        <v>7047</v>
      </c>
      <c r="AR118" s="30">
        <v>46388.0</v>
      </c>
      <c r="AS118" s="30">
        <v>46477.0</v>
      </c>
      <c r="AT118" s="39">
        <v>0.0</v>
      </c>
      <c r="AU118" s="39">
        <v>0.0</v>
      </c>
      <c r="AV118" s="35" t="s">
        <v>7045</v>
      </c>
      <c r="AW118" s="30">
        <v>46478.0</v>
      </c>
      <c r="AX118" s="30">
        <v>46568.0</v>
      </c>
      <c r="AY118" s="39">
        <v>0.0</v>
      </c>
      <c r="AZ118" s="39">
        <v>0.0</v>
      </c>
      <c r="BA118" s="35" t="s">
        <v>7045</v>
      </c>
      <c r="BB118" s="30">
        <v>46569.0</v>
      </c>
      <c r="BC118" s="30">
        <v>46660.0</v>
      </c>
      <c r="BD118" s="39">
        <v>0.0</v>
      </c>
      <c r="BE118" s="39">
        <v>0.0</v>
      </c>
      <c r="BF118" s="35" t="s">
        <v>7045</v>
      </c>
      <c r="BG118" s="30">
        <v>46661.0</v>
      </c>
      <c r="BH118" s="30">
        <v>46752.0</v>
      </c>
      <c r="BI118" s="39">
        <v>0.0</v>
      </c>
      <c r="BJ118" s="39">
        <v>0.0</v>
      </c>
      <c r="BK118" s="35" t="s">
        <v>7045</v>
      </c>
      <c r="BL118" s="30">
        <v>46753.0</v>
      </c>
      <c r="BM118" s="30">
        <v>46843.0</v>
      </c>
      <c r="BN118" s="39">
        <v>0.0</v>
      </c>
      <c r="BO118" s="39">
        <v>0.0</v>
      </c>
      <c r="BP118" s="35" t="s">
        <v>7045</v>
      </c>
      <c r="BQ118" s="30">
        <v>46844.0</v>
      </c>
      <c r="BR118" s="30">
        <v>46934.0</v>
      </c>
      <c r="BS118" s="39">
        <v>0.0</v>
      </c>
      <c r="BT118" s="39">
        <v>0.0</v>
      </c>
      <c r="BU118" s="35" t="s">
        <v>7045</v>
      </c>
      <c r="BV118" s="30">
        <v>46935.0</v>
      </c>
      <c r="BW118" s="30">
        <v>47026.0</v>
      </c>
      <c r="BX118" s="39">
        <v>0.0</v>
      </c>
      <c r="BY118" s="39">
        <v>0.0</v>
      </c>
      <c r="BZ118" s="35" t="s">
        <v>7045</v>
      </c>
      <c r="CA118" s="30">
        <v>47027.0</v>
      </c>
      <c r="CB118" s="30">
        <v>47118.0</v>
      </c>
      <c r="CC118" s="39">
        <v>0.0</v>
      </c>
      <c r="CD118" s="39">
        <v>0.0</v>
      </c>
      <c r="CE118" s="35" t="s">
        <v>7045</v>
      </c>
      <c r="CF118" s="30">
        <v>47119.0</v>
      </c>
      <c r="CG118" s="30">
        <v>47208.0</v>
      </c>
      <c r="CH118" s="39">
        <v>0.0</v>
      </c>
      <c r="CI118" s="39">
        <v>0.0</v>
      </c>
      <c r="CJ118" s="35" t="s">
        <v>7045</v>
      </c>
      <c r="CK118" s="30">
        <v>47209.0</v>
      </c>
      <c r="CL118" s="30">
        <v>47299.0</v>
      </c>
      <c r="CM118" s="39">
        <v>0.0</v>
      </c>
      <c r="CN118" s="39">
        <v>0.0</v>
      </c>
      <c r="CO118" s="35" t="s">
        <v>7045</v>
      </c>
      <c r="CP118" s="30">
        <v>47300.0</v>
      </c>
      <c r="CQ118" s="30">
        <v>47391.0</v>
      </c>
      <c r="CR118" s="39">
        <v>0.0</v>
      </c>
      <c r="CS118" s="39">
        <v>0.0</v>
      </c>
      <c r="CT118" s="35" t="s">
        <v>7045</v>
      </c>
      <c r="CU118" s="30">
        <v>47392.0</v>
      </c>
      <c r="CV118" s="30">
        <v>47483.0</v>
      </c>
      <c r="CW118" s="39">
        <v>0.0</v>
      </c>
      <c r="CX118" s="39">
        <v>0.0</v>
      </c>
      <c r="CY118" s="35" t="s">
        <v>7045</v>
      </c>
      <c r="CZ118" s="30">
        <v>47484.0</v>
      </c>
      <c r="DA118" s="30">
        <v>47573.0</v>
      </c>
      <c r="DB118" s="39">
        <v>0.0</v>
      </c>
      <c r="DC118" s="39">
        <v>0.0</v>
      </c>
      <c r="DD118" s="35" t="s">
        <v>7045</v>
      </c>
      <c r="DE118" s="30">
        <v>47574.0</v>
      </c>
      <c r="DF118" s="30">
        <v>47664.0</v>
      </c>
      <c r="DG118" s="39">
        <v>0.0</v>
      </c>
      <c r="DH118" s="39">
        <v>0.0</v>
      </c>
      <c r="DI118" s="35" t="s">
        <v>7045</v>
      </c>
      <c r="DJ118" s="30">
        <v>47665.0</v>
      </c>
      <c r="DK118" s="30">
        <v>47756.0</v>
      </c>
      <c r="DL118" s="39">
        <v>0.0</v>
      </c>
      <c r="DM118" s="39">
        <v>0.0</v>
      </c>
      <c r="DN118" s="35" t="s">
        <v>7045</v>
      </c>
      <c r="DO118" s="30">
        <v>47757.0</v>
      </c>
      <c r="DP118" s="30">
        <v>47848.0</v>
      </c>
      <c r="DQ118" s="39">
        <v>0.0</v>
      </c>
      <c r="DR118" s="39">
        <v>0.0</v>
      </c>
      <c r="DS118" s="35" t="s">
        <v>7045</v>
      </c>
    </row>
    <row r="119" ht="14.25" customHeight="1">
      <c r="A119" s="28" t="s">
        <v>3672</v>
      </c>
      <c r="B119" s="29" t="s">
        <v>3673</v>
      </c>
      <c r="C119" s="29" t="s">
        <v>7041</v>
      </c>
      <c r="D119" s="30">
        <v>45658.0</v>
      </c>
      <c r="E119" s="30">
        <v>45747.0</v>
      </c>
      <c r="F119" s="39">
        <v>63.9</v>
      </c>
      <c r="G119" s="39">
        <v>0.0</v>
      </c>
      <c r="H119" s="38" t="s">
        <v>7047</v>
      </c>
      <c r="I119" s="30">
        <v>45748.0</v>
      </c>
      <c r="J119" s="30">
        <v>45838.0</v>
      </c>
      <c r="K119" s="39">
        <v>33.19</v>
      </c>
      <c r="L119" s="39">
        <v>0.0</v>
      </c>
      <c r="M119" s="38" t="s">
        <v>7047</v>
      </c>
      <c r="N119" s="30">
        <v>45839.0</v>
      </c>
      <c r="O119" s="30">
        <v>45930.0</v>
      </c>
      <c r="P119" s="39">
        <v>361.79</v>
      </c>
      <c r="Q119" s="39">
        <v>0.0</v>
      </c>
      <c r="R119" s="38" t="s">
        <v>7047</v>
      </c>
      <c r="S119" s="30">
        <v>45931.0</v>
      </c>
      <c r="T119" s="30">
        <v>46022.0</v>
      </c>
      <c r="U119" s="39">
        <v>229.88</v>
      </c>
      <c r="V119" s="39">
        <v>0.0</v>
      </c>
      <c r="W119" s="38" t="s">
        <v>7047</v>
      </c>
      <c r="X119" s="30">
        <v>46023.0</v>
      </c>
      <c r="Y119" s="30">
        <v>46112.0</v>
      </c>
      <c r="Z119" s="39">
        <v>231.33</v>
      </c>
      <c r="AA119" s="39">
        <v>0.0</v>
      </c>
      <c r="AB119" s="38" t="s">
        <v>7047</v>
      </c>
      <c r="AC119" s="30">
        <v>46113.0</v>
      </c>
      <c r="AD119" s="30">
        <v>46203.0</v>
      </c>
      <c r="AE119" s="39">
        <v>65.67</v>
      </c>
      <c r="AF119" s="39">
        <v>0.0</v>
      </c>
      <c r="AG119" s="38" t="s">
        <v>7047</v>
      </c>
      <c r="AH119" s="30">
        <v>46204.0</v>
      </c>
      <c r="AI119" s="30">
        <v>46295.0</v>
      </c>
      <c r="AJ119" s="39">
        <v>64.08</v>
      </c>
      <c r="AK119" s="39">
        <v>0.0</v>
      </c>
      <c r="AL119" s="38" t="s">
        <v>7047</v>
      </c>
      <c r="AM119" s="30">
        <v>46296.0</v>
      </c>
      <c r="AN119" s="30">
        <v>46387.0</v>
      </c>
      <c r="AO119" s="39">
        <v>76.29</v>
      </c>
      <c r="AP119" s="39">
        <v>0.0</v>
      </c>
      <c r="AQ119" s="38" t="s">
        <v>7047</v>
      </c>
      <c r="AR119" s="30">
        <v>46388.0</v>
      </c>
      <c r="AS119" s="30">
        <v>46477.0</v>
      </c>
      <c r="AT119" s="39">
        <v>0.0</v>
      </c>
      <c r="AU119" s="39">
        <v>0.0</v>
      </c>
      <c r="AV119" s="35" t="s">
        <v>7045</v>
      </c>
      <c r="AW119" s="30">
        <v>46478.0</v>
      </c>
      <c r="AX119" s="30">
        <v>46568.0</v>
      </c>
      <c r="AY119" s="39">
        <v>0.0</v>
      </c>
      <c r="AZ119" s="39">
        <v>0.0</v>
      </c>
      <c r="BA119" s="35" t="s">
        <v>7045</v>
      </c>
      <c r="BB119" s="30">
        <v>46569.0</v>
      </c>
      <c r="BC119" s="30">
        <v>46660.0</v>
      </c>
      <c r="BD119" s="39">
        <v>0.0</v>
      </c>
      <c r="BE119" s="39">
        <v>0.0</v>
      </c>
      <c r="BF119" s="35" t="s">
        <v>7045</v>
      </c>
      <c r="BG119" s="30">
        <v>46661.0</v>
      </c>
      <c r="BH119" s="30">
        <v>46752.0</v>
      </c>
      <c r="BI119" s="39">
        <v>0.0</v>
      </c>
      <c r="BJ119" s="39">
        <v>0.0</v>
      </c>
      <c r="BK119" s="35" t="s">
        <v>7045</v>
      </c>
      <c r="BL119" s="30">
        <v>46753.0</v>
      </c>
      <c r="BM119" s="30">
        <v>46843.0</v>
      </c>
      <c r="BN119" s="39">
        <v>0.0</v>
      </c>
      <c r="BO119" s="39">
        <v>0.0</v>
      </c>
      <c r="BP119" s="35" t="s">
        <v>7045</v>
      </c>
      <c r="BQ119" s="30">
        <v>46844.0</v>
      </c>
      <c r="BR119" s="30">
        <v>46934.0</v>
      </c>
      <c r="BS119" s="39">
        <v>0.0</v>
      </c>
      <c r="BT119" s="39">
        <v>0.0</v>
      </c>
      <c r="BU119" s="35" t="s">
        <v>7045</v>
      </c>
      <c r="BV119" s="30">
        <v>46935.0</v>
      </c>
      <c r="BW119" s="30">
        <v>47026.0</v>
      </c>
      <c r="BX119" s="39">
        <v>0.0</v>
      </c>
      <c r="BY119" s="39">
        <v>0.0</v>
      </c>
      <c r="BZ119" s="35" t="s">
        <v>7045</v>
      </c>
      <c r="CA119" s="30">
        <v>47027.0</v>
      </c>
      <c r="CB119" s="30">
        <v>47118.0</v>
      </c>
      <c r="CC119" s="39">
        <v>0.0</v>
      </c>
      <c r="CD119" s="39">
        <v>0.0</v>
      </c>
      <c r="CE119" s="35" t="s">
        <v>7045</v>
      </c>
      <c r="CF119" s="30">
        <v>47119.0</v>
      </c>
      <c r="CG119" s="30">
        <v>47208.0</v>
      </c>
      <c r="CH119" s="39">
        <v>0.0</v>
      </c>
      <c r="CI119" s="39">
        <v>0.0</v>
      </c>
      <c r="CJ119" s="35" t="s">
        <v>7045</v>
      </c>
      <c r="CK119" s="30">
        <v>47209.0</v>
      </c>
      <c r="CL119" s="30">
        <v>47299.0</v>
      </c>
      <c r="CM119" s="39">
        <v>0.0</v>
      </c>
      <c r="CN119" s="39">
        <v>0.0</v>
      </c>
      <c r="CO119" s="35" t="s">
        <v>7045</v>
      </c>
      <c r="CP119" s="30">
        <v>47300.0</v>
      </c>
      <c r="CQ119" s="30">
        <v>47391.0</v>
      </c>
      <c r="CR119" s="39">
        <v>0.0</v>
      </c>
      <c r="CS119" s="39">
        <v>0.0</v>
      </c>
      <c r="CT119" s="35" t="s">
        <v>7045</v>
      </c>
      <c r="CU119" s="30">
        <v>47392.0</v>
      </c>
      <c r="CV119" s="30">
        <v>47483.0</v>
      </c>
      <c r="CW119" s="39">
        <v>0.0</v>
      </c>
      <c r="CX119" s="39">
        <v>0.0</v>
      </c>
      <c r="CY119" s="35" t="s">
        <v>7045</v>
      </c>
      <c r="CZ119" s="30">
        <v>47484.0</v>
      </c>
      <c r="DA119" s="30">
        <v>47573.0</v>
      </c>
      <c r="DB119" s="39">
        <v>0.0</v>
      </c>
      <c r="DC119" s="39">
        <v>0.0</v>
      </c>
      <c r="DD119" s="35" t="s">
        <v>7045</v>
      </c>
      <c r="DE119" s="30">
        <v>47574.0</v>
      </c>
      <c r="DF119" s="30">
        <v>47664.0</v>
      </c>
      <c r="DG119" s="39">
        <v>0.0</v>
      </c>
      <c r="DH119" s="39">
        <v>0.0</v>
      </c>
      <c r="DI119" s="35" t="s">
        <v>7045</v>
      </c>
      <c r="DJ119" s="30">
        <v>47665.0</v>
      </c>
      <c r="DK119" s="30">
        <v>47756.0</v>
      </c>
      <c r="DL119" s="39">
        <v>0.0</v>
      </c>
      <c r="DM119" s="39">
        <v>0.0</v>
      </c>
      <c r="DN119" s="35" t="s">
        <v>7045</v>
      </c>
      <c r="DO119" s="30">
        <v>47757.0</v>
      </c>
      <c r="DP119" s="30">
        <v>47848.0</v>
      </c>
      <c r="DQ119" s="39">
        <v>0.0</v>
      </c>
      <c r="DR119" s="39">
        <v>0.0</v>
      </c>
      <c r="DS119" s="35" t="s">
        <v>7045</v>
      </c>
    </row>
    <row r="120" ht="14.25" customHeight="1">
      <c r="A120" s="28" t="s">
        <v>6242</v>
      </c>
      <c r="B120" s="29" t="s">
        <v>6243</v>
      </c>
      <c r="C120" s="29" t="s">
        <v>7041</v>
      </c>
      <c r="D120" s="30">
        <v>45658.0</v>
      </c>
      <c r="E120" s="30">
        <v>45747.0</v>
      </c>
      <c r="F120" s="36">
        <v>1.02</v>
      </c>
      <c r="G120" s="36">
        <v>0.0</v>
      </c>
      <c r="H120" s="38" t="s">
        <v>7047</v>
      </c>
      <c r="I120" s="30">
        <v>45748.0</v>
      </c>
      <c r="J120" s="30">
        <v>45838.0</v>
      </c>
      <c r="K120" s="36">
        <v>19.12</v>
      </c>
      <c r="L120" s="36">
        <v>1208.44</v>
      </c>
      <c r="M120" s="32" t="s">
        <v>7043</v>
      </c>
      <c r="N120" s="30">
        <v>45839.0</v>
      </c>
      <c r="O120" s="30">
        <v>45930.0</v>
      </c>
      <c r="P120" s="36">
        <v>82.56</v>
      </c>
      <c r="Q120" s="36">
        <v>1807.03</v>
      </c>
      <c r="R120" s="38" t="s">
        <v>7043</v>
      </c>
      <c r="S120" s="30">
        <v>45931.0</v>
      </c>
      <c r="T120" s="30">
        <v>46022.0</v>
      </c>
      <c r="U120" s="36">
        <v>32.02</v>
      </c>
      <c r="V120" s="36">
        <v>1807.03</v>
      </c>
      <c r="W120" s="38" t="s">
        <v>7047</v>
      </c>
      <c r="X120" s="30">
        <v>46023.0</v>
      </c>
      <c r="Y120" s="30">
        <v>46112.0</v>
      </c>
      <c r="Z120" s="36">
        <v>76.77</v>
      </c>
      <c r="AA120" s="36">
        <v>0.0</v>
      </c>
      <c r="AB120" s="38" t="s">
        <v>7047</v>
      </c>
      <c r="AC120" s="30">
        <v>46113.0</v>
      </c>
      <c r="AD120" s="30">
        <v>46203.0</v>
      </c>
      <c r="AE120" s="36">
        <v>52.55</v>
      </c>
      <c r="AF120" s="36">
        <v>0.0</v>
      </c>
      <c r="AG120" s="38" t="s">
        <v>7047</v>
      </c>
      <c r="AH120" s="30">
        <v>46204.0</v>
      </c>
      <c r="AI120" s="30">
        <v>46295.0</v>
      </c>
      <c r="AJ120" s="36">
        <v>6.28</v>
      </c>
      <c r="AK120" s="36">
        <v>0.0</v>
      </c>
      <c r="AL120" s="38" t="s">
        <v>7047</v>
      </c>
      <c r="AM120" s="30">
        <v>46296.0</v>
      </c>
      <c r="AN120" s="30">
        <v>46387.0</v>
      </c>
      <c r="AO120" s="36">
        <v>33.9</v>
      </c>
      <c r="AP120" s="36">
        <v>0.0</v>
      </c>
      <c r="AQ120" s="38" t="s">
        <v>7047</v>
      </c>
      <c r="AR120" s="30">
        <v>46388.0</v>
      </c>
      <c r="AS120" s="30">
        <v>46477.0</v>
      </c>
      <c r="AT120" s="36">
        <v>0.0</v>
      </c>
      <c r="AU120" s="36">
        <v>0.0</v>
      </c>
      <c r="AV120" s="35" t="s">
        <v>7045</v>
      </c>
      <c r="AW120" s="30">
        <v>46478.0</v>
      </c>
      <c r="AX120" s="30">
        <v>46568.0</v>
      </c>
      <c r="AY120" s="36">
        <v>0.0</v>
      </c>
      <c r="AZ120" s="36">
        <v>0.0</v>
      </c>
      <c r="BA120" s="35" t="s">
        <v>7045</v>
      </c>
      <c r="BB120" s="30">
        <v>46569.0</v>
      </c>
      <c r="BC120" s="30">
        <v>46660.0</v>
      </c>
      <c r="BD120" s="36">
        <v>0.0</v>
      </c>
      <c r="BE120" s="36">
        <v>0.0</v>
      </c>
      <c r="BF120" s="35" t="s">
        <v>7045</v>
      </c>
      <c r="BG120" s="30">
        <v>46661.0</v>
      </c>
      <c r="BH120" s="30">
        <v>46752.0</v>
      </c>
      <c r="BI120" s="36">
        <v>0.0</v>
      </c>
      <c r="BJ120" s="36">
        <v>0.0</v>
      </c>
      <c r="BK120" s="35" t="s">
        <v>7045</v>
      </c>
      <c r="BL120" s="30">
        <v>46753.0</v>
      </c>
      <c r="BM120" s="30">
        <v>46843.0</v>
      </c>
      <c r="BN120" s="36">
        <v>0.0</v>
      </c>
      <c r="BO120" s="36">
        <v>0.0</v>
      </c>
      <c r="BP120" s="35" t="s">
        <v>7045</v>
      </c>
      <c r="BQ120" s="30">
        <v>46844.0</v>
      </c>
      <c r="BR120" s="30">
        <v>46934.0</v>
      </c>
      <c r="BS120" s="36">
        <v>0.0</v>
      </c>
      <c r="BT120" s="36">
        <v>0.0</v>
      </c>
      <c r="BU120" s="35" t="s">
        <v>7045</v>
      </c>
      <c r="BV120" s="30">
        <v>46935.0</v>
      </c>
      <c r="BW120" s="30">
        <v>47026.0</v>
      </c>
      <c r="BX120" s="36">
        <v>0.0</v>
      </c>
      <c r="BY120" s="36">
        <v>0.0</v>
      </c>
      <c r="BZ120" s="35" t="s">
        <v>7045</v>
      </c>
      <c r="CA120" s="30">
        <v>47027.0</v>
      </c>
      <c r="CB120" s="30">
        <v>47118.0</v>
      </c>
      <c r="CC120" s="36">
        <v>0.0</v>
      </c>
      <c r="CD120" s="36">
        <v>0.0</v>
      </c>
      <c r="CE120" s="35" t="s">
        <v>7045</v>
      </c>
      <c r="CF120" s="30">
        <v>47119.0</v>
      </c>
      <c r="CG120" s="30">
        <v>47208.0</v>
      </c>
      <c r="CH120" s="36">
        <v>0.0</v>
      </c>
      <c r="CI120" s="36">
        <v>0.0</v>
      </c>
      <c r="CJ120" s="35" t="s">
        <v>7045</v>
      </c>
      <c r="CK120" s="30">
        <v>47209.0</v>
      </c>
      <c r="CL120" s="30">
        <v>47299.0</v>
      </c>
      <c r="CM120" s="36">
        <v>0.0</v>
      </c>
      <c r="CN120" s="36">
        <v>0.0</v>
      </c>
      <c r="CO120" s="35" t="s">
        <v>7045</v>
      </c>
      <c r="CP120" s="30">
        <v>47300.0</v>
      </c>
      <c r="CQ120" s="30">
        <v>47391.0</v>
      </c>
      <c r="CR120" s="36">
        <v>0.0</v>
      </c>
      <c r="CS120" s="36">
        <v>0.0</v>
      </c>
      <c r="CT120" s="35" t="s">
        <v>7045</v>
      </c>
      <c r="CU120" s="30">
        <v>47392.0</v>
      </c>
      <c r="CV120" s="30">
        <v>47483.0</v>
      </c>
      <c r="CW120" s="36">
        <v>0.0</v>
      </c>
      <c r="CX120" s="36">
        <v>0.0</v>
      </c>
      <c r="CY120" s="35" t="s">
        <v>7045</v>
      </c>
      <c r="CZ120" s="30">
        <v>47484.0</v>
      </c>
      <c r="DA120" s="30">
        <v>47573.0</v>
      </c>
      <c r="DB120" s="36">
        <v>0.0</v>
      </c>
      <c r="DC120" s="36">
        <v>0.0</v>
      </c>
      <c r="DD120" s="35" t="s">
        <v>7045</v>
      </c>
      <c r="DE120" s="30">
        <v>47574.0</v>
      </c>
      <c r="DF120" s="30">
        <v>47664.0</v>
      </c>
      <c r="DG120" s="36">
        <v>0.0</v>
      </c>
      <c r="DH120" s="36">
        <v>0.0</v>
      </c>
      <c r="DI120" s="35" t="s">
        <v>7045</v>
      </c>
      <c r="DJ120" s="30">
        <v>47665.0</v>
      </c>
      <c r="DK120" s="30">
        <v>47756.0</v>
      </c>
      <c r="DL120" s="36">
        <v>0.0</v>
      </c>
      <c r="DM120" s="36">
        <v>0.0</v>
      </c>
      <c r="DN120" s="35" t="s">
        <v>7045</v>
      </c>
      <c r="DO120" s="30">
        <v>47757.0</v>
      </c>
      <c r="DP120" s="30">
        <v>47848.0</v>
      </c>
      <c r="DQ120" s="36">
        <v>0.0</v>
      </c>
      <c r="DR120" s="36">
        <v>0.0</v>
      </c>
      <c r="DS120" s="35" t="s">
        <v>7045</v>
      </c>
    </row>
    <row r="121" ht="14.25" customHeight="1">
      <c r="A121" s="28" t="s">
        <v>3272</v>
      </c>
      <c r="B121" s="29" t="s">
        <v>3273</v>
      </c>
      <c r="C121" s="29" t="s">
        <v>7041</v>
      </c>
      <c r="D121" s="30">
        <v>45658.0</v>
      </c>
      <c r="E121" s="30">
        <v>45747.0</v>
      </c>
      <c r="F121" s="36">
        <v>1.25</v>
      </c>
      <c r="G121" s="36">
        <v>0.0</v>
      </c>
      <c r="H121" s="38" t="s">
        <v>7047</v>
      </c>
      <c r="I121" s="30">
        <v>45748.0</v>
      </c>
      <c r="J121" s="30">
        <v>45838.0</v>
      </c>
      <c r="K121" s="36">
        <v>25.76</v>
      </c>
      <c r="L121" s="36">
        <v>4656.62</v>
      </c>
      <c r="M121" s="32" t="s">
        <v>7043</v>
      </c>
      <c r="N121" s="30">
        <v>45839.0</v>
      </c>
      <c r="O121" s="30">
        <v>45930.0</v>
      </c>
      <c r="P121" s="36">
        <v>154.87</v>
      </c>
      <c r="Q121" s="36">
        <v>6983.28</v>
      </c>
      <c r="R121" s="38" t="s">
        <v>7043</v>
      </c>
      <c r="S121" s="30">
        <v>45931.0</v>
      </c>
      <c r="T121" s="30">
        <v>46022.0</v>
      </c>
      <c r="U121" s="36">
        <v>44.91</v>
      </c>
      <c r="V121" s="36">
        <v>6976.61</v>
      </c>
      <c r="W121" s="38" t="s">
        <v>7047</v>
      </c>
      <c r="X121" s="30">
        <v>46023.0</v>
      </c>
      <c r="Y121" s="30">
        <v>46112.0</v>
      </c>
      <c r="Z121" s="36">
        <v>142.5</v>
      </c>
      <c r="AA121" s="36">
        <v>0.0</v>
      </c>
      <c r="AB121" s="38" t="s">
        <v>7047</v>
      </c>
      <c r="AC121" s="30">
        <v>46113.0</v>
      </c>
      <c r="AD121" s="30">
        <v>46203.0</v>
      </c>
      <c r="AE121" s="36">
        <v>297.08</v>
      </c>
      <c r="AF121" s="36">
        <v>0.0</v>
      </c>
      <c r="AG121" s="38" t="s">
        <v>7047</v>
      </c>
      <c r="AH121" s="30">
        <v>46204.0</v>
      </c>
      <c r="AI121" s="30">
        <v>46295.0</v>
      </c>
      <c r="AJ121" s="36">
        <v>429.68</v>
      </c>
      <c r="AK121" s="36">
        <v>0.0</v>
      </c>
      <c r="AL121" s="38" t="s">
        <v>7047</v>
      </c>
      <c r="AM121" s="30">
        <v>46296.0</v>
      </c>
      <c r="AN121" s="30">
        <v>46387.0</v>
      </c>
      <c r="AO121" s="36">
        <v>14.17</v>
      </c>
      <c r="AP121" s="36">
        <v>0.0</v>
      </c>
      <c r="AQ121" s="38" t="s">
        <v>7047</v>
      </c>
      <c r="AR121" s="30">
        <v>46388.0</v>
      </c>
      <c r="AS121" s="30">
        <v>46477.0</v>
      </c>
      <c r="AT121" s="36">
        <v>0.0</v>
      </c>
      <c r="AU121" s="36">
        <v>0.0</v>
      </c>
      <c r="AV121" s="35" t="s">
        <v>7045</v>
      </c>
      <c r="AW121" s="30">
        <v>46478.0</v>
      </c>
      <c r="AX121" s="30">
        <v>46568.0</v>
      </c>
      <c r="AY121" s="36">
        <v>0.0</v>
      </c>
      <c r="AZ121" s="36">
        <v>0.0</v>
      </c>
      <c r="BA121" s="35" t="s">
        <v>7045</v>
      </c>
      <c r="BB121" s="30">
        <v>46569.0</v>
      </c>
      <c r="BC121" s="30">
        <v>46660.0</v>
      </c>
      <c r="BD121" s="36">
        <v>0.0</v>
      </c>
      <c r="BE121" s="36">
        <v>0.0</v>
      </c>
      <c r="BF121" s="35" t="s">
        <v>7045</v>
      </c>
      <c r="BG121" s="30">
        <v>46661.0</v>
      </c>
      <c r="BH121" s="30">
        <v>46752.0</v>
      </c>
      <c r="BI121" s="36">
        <v>0.0</v>
      </c>
      <c r="BJ121" s="36">
        <v>0.0</v>
      </c>
      <c r="BK121" s="35" t="s">
        <v>7045</v>
      </c>
      <c r="BL121" s="30">
        <v>46753.0</v>
      </c>
      <c r="BM121" s="30">
        <v>46843.0</v>
      </c>
      <c r="BN121" s="36">
        <v>0.0</v>
      </c>
      <c r="BO121" s="36">
        <v>0.0</v>
      </c>
      <c r="BP121" s="35" t="s">
        <v>7045</v>
      </c>
      <c r="BQ121" s="30">
        <v>46844.0</v>
      </c>
      <c r="BR121" s="30">
        <v>46934.0</v>
      </c>
      <c r="BS121" s="36">
        <v>0.0</v>
      </c>
      <c r="BT121" s="36">
        <v>0.0</v>
      </c>
      <c r="BU121" s="35" t="s">
        <v>7045</v>
      </c>
      <c r="BV121" s="30">
        <v>46935.0</v>
      </c>
      <c r="BW121" s="30">
        <v>47026.0</v>
      </c>
      <c r="BX121" s="36">
        <v>0.0</v>
      </c>
      <c r="BY121" s="36">
        <v>0.0</v>
      </c>
      <c r="BZ121" s="35" t="s">
        <v>7045</v>
      </c>
      <c r="CA121" s="30">
        <v>47027.0</v>
      </c>
      <c r="CB121" s="30">
        <v>47118.0</v>
      </c>
      <c r="CC121" s="36">
        <v>0.0</v>
      </c>
      <c r="CD121" s="36">
        <v>0.0</v>
      </c>
      <c r="CE121" s="35" t="s">
        <v>7045</v>
      </c>
      <c r="CF121" s="30">
        <v>47119.0</v>
      </c>
      <c r="CG121" s="30">
        <v>47208.0</v>
      </c>
      <c r="CH121" s="36">
        <v>0.0</v>
      </c>
      <c r="CI121" s="36">
        <v>0.0</v>
      </c>
      <c r="CJ121" s="35" t="s">
        <v>7045</v>
      </c>
      <c r="CK121" s="30">
        <v>47209.0</v>
      </c>
      <c r="CL121" s="30">
        <v>47299.0</v>
      </c>
      <c r="CM121" s="36">
        <v>0.0</v>
      </c>
      <c r="CN121" s="36">
        <v>0.0</v>
      </c>
      <c r="CO121" s="35" t="s">
        <v>7045</v>
      </c>
      <c r="CP121" s="30">
        <v>47300.0</v>
      </c>
      <c r="CQ121" s="30">
        <v>47391.0</v>
      </c>
      <c r="CR121" s="36">
        <v>0.0</v>
      </c>
      <c r="CS121" s="36">
        <v>0.0</v>
      </c>
      <c r="CT121" s="35" t="s">
        <v>7045</v>
      </c>
      <c r="CU121" s="30">
        <v>47392.0</v>
      </c>
      <c r="CV121" s="30">
        <v>47483.0</v>
      </c>
      <c r="CW121" s="36">
        <v>0.0</v>
      </c>
      <c r="CX121" s="36">
        <v>0.0</v>
      </c>
      <c r="CY121" s="35" t="s">
        <v>7045</v>
      </c>
      <c r="CZ121" s="30">
        <v>47484.0</v>
      </c>
      <c r="DA121" s="30">
        <v>47573.0</v>
      </c>
      <c r="DB121" s="36">
        <v>0.0</v>
      </c>
      <c r="DC121" s="36">
        <v>0.0</v>
      </c>
      <c r="DD121" s="35" t="s">
        <v>7045</v>
      </c>
      <c r="DE121" s="30">
        <v>47574.0</v>
      </c>
      <c r="DF121" s="30">
        <v>47664.0</v>
      </c>
      <c r="DG121" s="36">
        <v>0.0</v>
      </c>
      <c r="DH121" s="36">
        <v>0.0</v>
      </c>
      <c r="DI121" s="35" t="s">
        <v>7045</v>
      </c>
      <c r="DJ121" s="30">
        <v>47665.0</v>
      </c>
      <c r="DK121" s="30">
        <v>47756.0</v>
      </c>
      <c r="DL121" s="36">
        <v>0.0</v>
      </c>
      <c r="DM121" s="36">
        <v>0.0</v>
      </c>
      <c r="DN121" s="35" t="s">
        <v>7045</v>
      </c>
      <c r="DO121" s="30">
        <v>47757.0</v>
      </c>
      <c r="DP121" s="30">
        <v>47848.0</v>
      </c>
      <c r="DQ121" s="36">
        <v>0.0</v>
      </c>
      <c r="DR121" s="36">
        <v>0.0</v>
      </c>
      <c r="DS121" s="35" t="s">
        <v>7045</v>
      </c>
    </row>
    <row r="122" ht="14.25" customHeight="1">
      <c r="A122" s="28" t="s">
        <v>4125</v>
      </c>
      <c r="B122" s="29" t="s">
        <v>4126</v>
      </c>
      <c r="C122" s="29" t="s">
        <v>7041</v>
      </c>
      <c r="D122" s="30">
        <v>45658.0</v>
      </c>
      <c r="E122" s="30">
        <v>45747.0</v>
      </c>
      <c r="F122" s="39">
        <v>0.71</v>
      </c>
      <c r="G122" s="39">
        <v>0.0</v>
      </c>
      <c r="H122" s="38" t="s">
        <v>7047</v>
      </c>
      <c r="I122" s="30">
        <v>45748.0</v>
      </c>
      <c r="J122" s="30">
        <v>45838.0</v>
      </c>
      <c r="K122" s="39">
        <v>2.92</v>
      </c>
      <c r="L122" s="39">
        <v>3015.67</v>
      </c>
      <c r="M122" s="32" t="s">
        <v>7043</v>
      </c>
      <c r="N122" s="30">
        <v>45839.0</v>
      </c>
      <c r="O122" s="30">
        <v>45930.0</v>
      </c>
      <c r="P122" s="39">
        <v>344.17</v>
      </c>
      <c r="Q122" s="39">
        <v>2890.0</v>
      </c>
      <c r="R122" s="38" t="s">
        <v>7046</v>
      </c>
      <c r="S122" s="30">
        <v>45931.0</v>
      </c>
      <c r="T122" s="30">
        <v>46022.0</v>
      </c>
      <c r="U122" s="39">
        <v>1575.66</v>
      </c>
      <c r="V122" s="39">
        <v>3393.33</v>
      </c>
      <c r="W122" s="38" t="s">
        <v>7047</v>
      </c>
      <c r="X122" s="30">
        <v>46023.0</v>
      </c>
      <c r="Y122" s="30">
        <v>46112.0</v>
      </c>
      <c r="Z122" s="39">
        <v>8.82</v>
      </c>
      <c r="AA122" s="39">
        <v>0.0</v>
      </c>
      <c r="AB122" s="38" t="s">
        <v>7047</v>
      </c>
      <c r="AC122" s="30">
        <v>46113.0</v>
      </c>
      <c r="AD122" s="30">
        <v>46203.0</v>
      </c>
      <c r="AE122" s="39">
        <v>41.51</v>
      </c>
      <c r="AF122" s="39">
        <v>0.0</v>
      </c>
      <c r="AG122" s="38" t="s">
        <v>7047</v>
      </c>
      <c r="AH122" s="30">
        <v>46204.0</v>
      </c>
      <c r="AI122" s="30">
        <v>46295.0</v>
      </c>
      <c r="AJ122" s="39">
        <v>2.29</v>
      </c>
      <c r="AK122" s="39">
        <v>0.0</v>
      </c>
      <c r="AL122" s="38" t="s">
        <v>7047</v>
      </c>
      <c r="AM122" s="30">
        <v>46296.0</v>
      </c>
      <c r="AN122" s="30">
        <v>46387.0</v>
      </c>
      <c r="AO122" s="39">
        <v>33.64</v>
      </c>
      <c r="AP122" s="39">
        <v>0.0</v>
      </c>
      <c r="AQ122" s="38" t="s">
        <v>7047</v>
      </c>
      <c r="AR122" s="30">
        <v>46388.0</v>
      </c>
      <c r="AS122" s="30">
        <v>46477.0</v>
      </c>
      <c r="AT122" s="39">
        <v>0.0</v>
      </c>
      <c r="AU122" s="39">
        <v>0.0</v>
      </c>
      <c r="AV122" s="35" t="s">
        <v>7045</v>
      </c>
      <c r="AW122" s="30">
        <v>46478.0</v>
      </c>
      <c r="AX122" s="30">
        <v>46568.0</v>
      </c>
      <c r="AY122" s="39">
        <v>0.0</v>
      </c>
      <c r="AZ122" s="39">
        <v>0.0</v>
      </c>
      <c r="BA122" s="35" t="s">
        <v>7045</v>
      </c>
      <c r="BB122" s="30">
        <v>46569.0</v>
      </c>
      <c r="BC122" s="30">
        <v>46660.0</v>
      </c>
      <c r="BD122" s="39">
        <v>0.0</v>
      </c>
      <c r="BE122" s="39">
        <v>0.0</v>
      </c>
      <c r="BF122" s="35" t="s">
        <v>7045</v>
      </c>
      <c r="BG122" s="30">
        <v>46661.0</v>
      </c>
      <c r="BH122" s="30">
        <v>46752.0</v>
      </c>
      <c r="BI122" s="39">
        <v>0.0</v>
      </c>
      <c r="BJ122" s="39">
        <v>0.0</v>
      </c>
      <c r="BK122" s="35" t="s">
        <v>7045</v>
      </c>
      <c r="BL122" s="30">
        <v>46753.0</v>
      </c>
      <c r="BM122" s="30">
        <v>46843.0</v>
      </c>
      <c r="BN122" s="39">
        <v>0.0</v>
      </c>
      <c r="BO122" s="39">
        <v>0.0</v>
      </c>
      <c r="BP122" s="35" t="s">
        <v>7045</v>
      </c>
      <c r="BQ122" s="30">
        <v>46844.0</v>
      </c>
      <c r="BR122" s="30">
        <v>46934.0</v>
      </c>
      <c r="BS122" s="39">
        <v>0.0</v>
      </c>
      <c r="BT122" s="39">
        <v>0.0</v>
      </c>
      <c r="BU122" s="35" t="s">
        <v>7045</v>
      </c>
      <c r="BV122" s="30">
        <v>46935.0</v>
      </c>
      <c r="BW122" s="30">
        <v>47026.0</v>
      </c>
      <c r="BX122" s="39">
        <v>0.0</v>
      </c>
      <c r="BY122" s="39">
        <v>0.0</v>
      </c>
      <c r="BZ122" s="35" t="s">
        <v>7045</v>
      </c>
      <c r="CA122" s="30">
        <v>47027.0</v>
      </c>
      <c r="CB122" s="30">
        <v>47118.0</v>
      </c>
      <c r="CC122" s="39">
        <v>0.0</v>
      </c>
      <c r="CD122" s="39">
        <v>0.0</v>
      </c>
      <c r="CE122" s="35" t="s">
        <v>7045</v>
      </c>
      <c r="CF122" s="30">
        <v>47119.0</v>
      </c>
      <c r="CG122" s="30">
        <v>47208.0</v>
      </c>
      <c r="CH122" s="39">
        <v>0.0</v>
      </c>
      <c r="CI122" s="39">
        <v>0.0</v>
      </c>
      <c r="CJ122" s="35" t="s">
        <v>7045</v>
      </c>
      <c r="CK122" s="30">
        <v>47209.0</v>
      </c>
      <c r="CL122" s="30">
        <v>47299.0</v>
      </c>
      <c r="CM122" s="39">
        <v>0.0</v>
      </c>
      <c r="CN122" s="39">
        <v>0.0</v>
      </c>
      <c r="CO122" s="35" t="s">
        <v>7045</v>
      </c>
      <c r="CP122" s="30">
        <v>47300.0</v>
      </c>
      <c r="CQ122" s="30">
        <v>47391.0</v>
      </c>
      <c r="CR122" s="39">
        <v>0.0</v>
      </c>
      <c r="CS122" s="39">
        <v>0.0</v>
      </c>
      <c r="CT122" s="35" t="s">
        <v>7045</v>
      </c>
      <c r="CU122" s="30">
        <v>47392.0</v>
      </c>
      <c r="CV122" s="30">
        <v>47483.0</v>
      </c>
      <c r="CW122" s="39">
        <v>0.0</v>
      </c>
      <c r="CX122" s="39">
        <v>0.0</v>
      </c>
      <c r="CY122" s="35" t="s">
        <v>7045</v>
      </c>
      <c r="CZ122" s="30">
        <v>47484.0</v>
      </c>
      <c r="DA122" s="30">
        <v>47573.0</v>
      </c>
      <c r="DB122" s="39">
        <v>0.0</v>
      </c>
      <c r="DC122" s="39">
        <v>0.0</v>
      </c>
      <c r="DD122" s="35" t="s">
        <v>7045</v>
      </c>
      <c r="DE122" s="30">
        <v>47574.0</v>
      </c>
      <c r="DF122" s="30">
        <v>47664.0</v>
      </c>
      <c r="DG122" s="39">
        <v>0.0</v>
      </c>
      <c r="DH122" s="39">
        <v>0.0</v>
      </c>
      <c r="DI122" s="35" t="s">
        <v>7045</v>
      </c>
      <c r="DJ122" s="30">
        <v>47665.0</v>
      </c>
      <c r="DK122" s="30">
        <v>47756.0</v>
      </c>
      <c r="DL122" s="39">
        <v>0.0</v>
      </c>
      <c r="DM122" s="39">
        <v>0.0</v>
      </c>
      <c r="DN122" s="35" t="s">
        <v>7045</v>
      </c>
      <c r="DO122" s="30">
        <v>47757.0</v>
      </c>
      <c r="DP122" s="30">
        <v>47848.0</v>
      </c>
      <c r="DQ122" s="39">
        <v>0.0</v>
      </c>
      <c r="DR122" s="39">
        <v>0.0</v>
      </c>
      <c r="DS122" s="35" t="s">
        <v>7045</v>
      </c>
    </row>
    <row r="123" ht="14.25" customHeight="1">
      <c r="A123" s="28" t="s">
        <v>4868</v>
      </c>
      <c r="B123" s="29" t="s">
        <v>4869</v>
      </c>
      <c r="C123" s="29" t="s">
        <v>7041</v>
      </c>
      <c r="D123" s="30">
        <v>45658.0</v>
      </c>
      <c r="E123" s="30">
        <v>45747.0</v>
      </c>
      <c r="F123" s="39">
        <v>19.89</v>
      </c>
      <c r="G123" s="39">
        <v>0.0</v>
      </c>
      <c r="H123" s="38" t="s">
        <v>7047</v>
      </c>
      <c r="I123" s="30">
        <v>45748.0</v>
      </c>
      <c r="J123" s="30">
        <v>45838.0</v>
      </c>
      <c r="K123" s="39">
        <v>3.7</v>
      </c>
      <c r="L123" s="39">
        <v>1835.71</v>
      </c>
      <c r="M123" s="32" t="s">
        <v>7043</v>
      </c>
      <c r="N123" s="30">
        <v>45839.0</v>
      </c>
      <c r="O123" s="30">
        <v>45930.0</v>
      </c>
      <c r="P123" s="39">
        <v>176.36</v>
      </c>
      <c r="Q123" s="39">
        <v>1811.9</v>
      </c>
      <c r="R123" s="38" t="s">
        <v>7046</v>
      </c>
      <c r="S123" s="30">
        <v>45931.0</v>
      </c>
      <c r="T123" s="30">
        <v>46022.0</v>
      </c>
      <c r="U123" s="39">
        <v>102.95</v>
      </c>
      <c r="V123" s="39">
        <v>2009.52</v>
      </c>
      <c r="W123" s="38" t="s">
        <v>7047</v>
      </c>
      <c r="X123" s="30">
        <v>46023.0</v>
      </c>
      <c r="Y123" s="30">
        <v>46112.0</v>
      </c>
      <c r="Z123" s="39">
        <v>106.54</v>
      </c>
      <c r="AA123" s="39">
        <v>0.0</v>
      </c>
      <c r="AB123" s="38" t="s">
        <v>7047</v>
      </c>
      <c r="AC123" s="30">
        <v>46113.0</v>
      </c>
      <c r="AD123" s="30">
        <v>46203.0</v>
      </c>
      <c r="AE123" s="39">
        <v>237.66</v>
      </c>
      <c r="AF123" s="39">
        <v>0.0</v>
      </c>
      <c r="AG123" s="38" t="s">
        <v>7047</v>
      </c>
      <c r="AH123" s="30">
        <v>46204.0</v>
      </c>
      <c r="AI123" s="30">
        <v>46295.0</v>
      </c>
      <c r="AJ123" s="39">
        <v>0.69</v>
      </c>
      <c r="AK123" s="39">
        <v>0.0</v>
      </c>
      <c r="AL123" s="35" t="s">
        <v>7047</v>
      </c>
      <c r="AM123" s="30">
        <v>46296.0</v>
      </c>
      <c r="AN123" s="30">
        <v>46387.0</v>
      </c>
      <c r="AO123" s="39">
        <v>4.37</v>
      </c>
      <c r="AP123" s="39">
        <v>0.0</v>
      </c>
      <c r="AQ123" s="38" t="s">
        <v>7047</v>
      </c>
      <c r="AR123" s="30">
        <v>46388.0</v>
      </c>
      <c r="AS123" s="30">
        <v>46477.0</v>
      </c>
      <c r="AT123" s="39">
        <v>0.0</v>
      </c>
      <c r="AU123" s="39">
        <v>0.0</v>
      </c>
      <c r="AV123" s="35" t="s">
        <v>7045</v>
      </c>
      <c r="AW123" s="30">
        <v>46478.0</v>
      </c>
      <c r="AX123" s="30">
        <v>46568.0</v>
      </c>
      <c r="AY123" s="39">
        <v>0.0</v>
      </c>
      <c r="AZ123" s="39">
        <v>0.0</v>
      </c>
      <c r="BA123" s="35" t="s">
        <v>7045</v>
      </c>
      <c r="BB123" s="30">
        <v>46569.0</v>
      </c>
      <c r="BC123" s="30">
        <v>46660.0</v>
      </c>
      <c r="BD123" s="39">
        <v>0.0</v>
      </c>
      <c r="BE123" s="39">
        <v>0.0</v>
      </c>
      <c r="BF123" s="35" t="s">
        <v>7045</v>
      </c>
      <c r="BG123" s="30">
        <v>46661.0</v>
      </c>
      <c r="BH123" s="30">
        <v>46752.0</v>
      </c>
      <c r="BI123" s="39">
        <v>0.0</v>
      </c>
      <c r="BJ123" s="39">
        <v>0.0</v>
      </c>
      <c r="BK123" s="35" t="s">
        <v>7045</v>
      </c>
      <c r="BL123" s="30">
        <v>46753.0</v>
      </c>
      <c r="BM123" s="30">
        <v>46843.0</v>
      </c>
      <c r="BN123" s="39">
        <v>0.0</v>
      </c>
      <c r="BO123" s="39">
        <v>0.0</v>
      </c>
      <c r="BP123" s="35" t="s">
        <v>7045</v>
      </c>
      <c r="BQ123" s="30">
        <v>46844.0</v>
      </c>
      <c r="BR123" s="30">
        <v>46934.0</v>
      </c>
      <c r="BS123" s="39">
        <v>0.0</v>
      </c>
      <c r="BT123" s="39">
        <v>0.0</v>
      </c>
      <c r="BU123" s="35" t="s">
        <v>7045</v>
      </c>
      <c r="BV123" s="30">
        <v>46935.0</v>
      </c>
      <c r="BW123" s="30">
        <v>47026.0</v>
      </c>
      <c r="BX123" s="39">
        <v>0.0</v>
      </c>
      <c r="BY123" s="39">
        <v>0.0</v>
      </c>
      <c r="BZ123" s="35" t="s">
        <v>7045</v>
      </c>
      <c r="CA123" s="30">
        <v>47027.0</v>
      </c>
      <c r="CB123" s="30">
        <v>47118.0</v>
      </c>
      <c r="CC123" s="39">
        <v>0.0</v>
      </c>
      <c r="CD123" s="39">
        <v>0.0</v>
      </c>
      <c r="CE123" s="35" t="s">
        <v>7045</v>
      </c>
      <c r="CF123" s="30">
        <v>47119.0</v>
      </c>
      <c r="CG123" s="30">
        <v>47208.0</v>
      </c>
      <c r="CH123" s="39">
        <v>0.0</v>
      </c>
      <c r="CI123" s="39">
        <v>0.0</v>
      </c>
      <c r="CJ123" s="35" t="s">
        <v>7045</v>
      </c>
      <c r="CK123" s="30">
        <v>47209.0</v>
      </c>
      <c r="CL123" s="30">
        <v>47299.0</v>
      </c>
      <c r="CM123" s="39">
        <v>0.0</v>
      </c>
      <c r="CN123" s="39">
        <v>0.0</v>
      </c>
      <c r="CO123" s="35" t="s">
        <v>7045</v>
      </c>
      <c r="CP123" s="30">
        <v>47300.0</v>
      </c>
      <c r="CQ123" s="30">
        <v>47391.0</v>
      </c>
      <c r="CR123" s="39">
        <v>0.0</v>
      </c>
      <c r="CS123" s="39">
        <v>0.0</v>
      </c>
      <c r="CT123" s="35" t="s">
        <v>7045</v>
      </c>
      <c r="CU123" s="30">
        <v>47392.0</v>
      </c>
      <c r="CV123" s="30">
        <v>47483.0</v>
      </c>
      <c r="CW123" s="39">
        <v>0.0</v>
      </c>
      <c r="CX123" s="39">
        <v>0.0</v>
      </c>
      <c r="CY123" s="35" t="s">
        <v>7045</v>
      </c>
      <c r="CZ123" s="30">
        <v>47484.0</v>
      </c>
      <c r="DA123" s="30">
        <v>47573.0</v>
      </c>
      <c r="DB123" s="39">
        <v>0.0</v>
      </c>
      <c r="DC123" s="39">
        <v>0.0</v>
      </c>
      <c r="DD123" s="35" t="s">
        <v>7045</v>
      </c>
      <c r="DE123" s="30">
        <v>47574.0</v>
      </c>
      <c r="DF123" s="30">
        <v>47664.0</v>
      </c>
      <c r="DG123" s="39">
        <v>0.0</v>
      </c>
      <c r="DH123" s="39">
        <v>0.0</v>
      </c>
      <c r="DI123" s="35" t="s">
        <v>7045</v>
      </c>
      <c r="DJ123" s="30">
        <v>47665.0</v>
      </c>
      <c r="DK123" s="30">
        <v>47756.0</v>
      </c>
      <c r="DL123" s="39">
        <v>0.0</v>
      </c>
      <c r="DM123" s="39">
        <v>0.0</v>
      </c>
      <c r="DN123" s="35" t="s">
        <v>7045</v>
      </c>
      <c r="DO123" s="30">
        <v>47757.0</v>
      </c>
      <c r="DP123" s="30">
        <v>47848.0</v>
      </c>
      <c r="DQ123" s="39">
        <v>0.0</v>
      </c>
      <c r="DR123" s="39">
        <v>0.0</v>
      </c>
      <c r="DS123" s="35" t="s">
        <v>7045</v>
      </c>
    </row>
    <row r="124" ht="14.25" customHeight="1">
      <c r="A124" s="28" t="s">
        <v>3916</v>
      </c>
      <c r="B124" s="29" t="s">
        <v>3917</v>
      </c>
      <c r="C124" s="29" t="s">
        <v>7041</v>
      </c>
      <c r="D124" s="30">
        <v>45658.0</v>
      </c>
      <c r="E124" s="30">
        <v>45747.0</v>
      </c>
      <c r="F124" s="39">
        <v>2.16</v>
      </c>
      <c r="G124" s="39">
        <v>0.0</v>
      </c>
      <c r="H124" s="38" t="s">
        <v>7047</v>
      </c>
      <c r="I124" s="30">
        <v>45748.0</v>
      </c>
      <c r="J124" s="30">
        <v>45838.0</v>
      </c>
      <c r="K124" s="39">
        <v>15.14</v>
      </c>
      <c r="L124" s="39">
        <v>9083.33</v>
      </c>
      <c r="M124" s="32" t="s">
        <v>7043</v>
      </c>
      <c r="N124" s="30">
        <v>45839.0</v>
      </c>
      <c r="O124" s="30">
        <v>45930.0</v>
      </c>
      <c r="P124" s="39">
        <v>530.27</v>
      </c>
      <c r="Q124" s="39">
        <v>9083.33</v>
      </c>
      <c r="R124" s="38" t="s">
        <v>7043</v>
      </c>
      <c r="S124" s="30">
        <v>45931.0</v>
      </c>
      <c r="T124" s="30">
        <v>46022.0</v>
      </c>
      <c r="U124" s="39">
        <v>623.26</v>
      </c>
      <c r="V124" s="39">
        <v>9083.33</v>
      </c>
      <c r="W124" s="38" t="s">
        <v>7047</v>
      </c>
      <c r="X124" s="30">
        <v>46023.0</v>
      </c>
      <c r="Y124" s="30">
        <v>46112.0</v>
      </c>
      <c r="Z124" s="39">
        <v>110.46</v>
      </c>
      <c r="AA124" s="39">
        <v>0.0</v>
      </c>
      <c r="AB124" s="38" t="s">
        <v>7047</v>
      </c>
      <c r="AC124" s="30">
        <v>46113.0</v>
      </c>
      <c r="AD124" s="30">
        <v>46203.0</v>
      </c>
      <c r="AE124" s="39">
        <v>205.25</v>
      </c>
      <c r="AF124" s="39">
        <v>0.0</v>
      </c>
      <c r="AG124" s="38" t="s">
        <v>7047</v>
      </c>
      <c r="AH124" s="30">
        <v>46204.0</v>
      </c>
      <c r="AI124" s="30">
        <v>46295.0</v>
      </c>
      <c r="AJ124" s="39">
        <v>56.56</v>
      </c>
      <c r="AK124" s="39">
        <v>0.0</v>
      </c>
      <c r="AL124" s="38" t="s">
        <v>7047</v>
      </c>
      <c r="AM124" s="30">
        <v>46296.0</v>
      </c>
      <c r="AN124" s="30">
        <v>46387.0</v>
      </c>
      <c r="AO124" s="39">
        <v>67.41</v>
      </c>
      <c r="AP124" s="39">
        <v>0.0</v>
      </c>
      <c r="AQ124" s="38" t="s">
        <v>7047</v>
      </c>
      <c r="AR124" s="30">
        <v>46388.0</v>
      </c>
      <c r="AS124" s="30">
        <v>46477.0</v>
      </c>
      <c r="AT124" s="39">
        <v>0.0</v>
      </c>
      <c r="AU124" s="39">
        <v>0.0</v>
      </c>
      <c r="AV124" s="35" t="s">
        <v>7045</v>
      </c>
      <c r="AW124" s="30">
        <v>46478.0</v>
      </c>
      <c r="AX124" s="30">
        <v>46568.0</v>
      </c>
      <c r="AY124" s="39">
        <v>0.0</v>
      </c>
      <c r="AZ124" s="39">
        <v>0.0</v>
      </c>
      <c r="BA124" s="35" t="s">
        <v>7045</v>
      </c>
      <c r="BB124" s="30">
        <v>46569.0</v>
      </c>
      <c r="BC124" s="30">
        <v>46660.0</v>
      </c>
      <c r="BD124" s="39">
        <v>0.0</v>
      </c>
      <c r="BE124" s="39">
        <v>0.0</v>
      </c>
      <c r="BF124" s="35" t="s">
        <v>7045</v>
      </c>
      <c r="BG124" s="30">
        <v>46661.0</v>
      </c>
      <c r="BH124" s="30">
        <v>46752.0</v>
      </c>
      <c r="BI124" s="39">
        <v>0.0</v>
      </c>
      <c r="BJ124" s="39">
        <v>0.0</v>
      </c>
      <c r="BK124" s="35" t="s">
        <v>7045</v>
      </c>
      <c r="BL124" s="30">
        <v>46753.0</v>
      </c>
      <c r="BM124" s="30">
        <v>46843.0</v>
      </c>
      <c r="BN124" s="39">
        <v>0.0</v>
      </c>
      <c r="BO124" s="39">
        <v>0.0</v>
      </c>
      <c r="BP124" s="35" t="s">
        <v>7045</v>
      </c>
      <c r="BQ124" s="30">
        <v>46844.0</v>
      </c>
      <c r="BR124" s="30">
        <v>46934.0</v>
      </c>
      <c r="BS124" s="39">
        <v>0.0</v>
      </c>
      <c r="BT124" s="39">
        <v>0.0</v>
      </c>
      <c r="BU124" s="35" t="s">
        <v>7045</v>
      </c>
      <c r="BV124" s="30">
        <v>46935.0</v>
      </c>
      <c r="BW124" s="30">
        <v>47026.0</v>
      </c>
      <c r="BX124" s="39">
        <v>0.0</v>
      </c>
      <c r="BY124" s="39">
        <v>0.0</v>
      </c>
      <c r="BZ124" s="35" t="s">
        <v>7045</v>
      </c>
      <c r="CA124" s="30">
        <v>47027.0</v>
      </c>
      <c r="CB124" s="30">
        <v>47118.0</v>
      </c>
      <c r="CC124" s="39">
        <v>0.0</v>
      </c>
      <c r="CD124" s="39">
        <v>0.0</v>
      </c>
      <c r="CE124" s="35" t="s">
        <v>7045</v>
      </c>
      <c r="CF124" s="30">
        <v>47119.0</v>
      </c>
      <c r="CG124" s="30">
        <v>47208.0</v>
      </c>
      <c r="CH124" s="39">
        <v>0.0</v>
      </c>
      <c r="CI124" s="39">
        <v>0.0</v>
      </c>
      <c r="CJ124" s="35" t="s">
        <v>7045</v>
      </c>
      <c r="CK124" s="30">
        <v>47209.0</v>
      </c>
      <c r="CL124" s="30">
        <v>47299.0</v>
      </c>
      <c r="CM124" s="39">
        <v>0.0</v>
      </c>
      <c r="CN124" s="39">
        <v>0.0</v>
      </c>
      <c r="CO124" s="35" t="s">
        <v>7045</v>
      </c>
      <c r="CP124" s="30">
        <v>47300.0</v>
      </c>
      <c r="CQ124" s="30">
        <v>47391.0</v>
      </c>
      <c r="CR124" s="39">
        <v>0.0</v>
      </c>
      <c r="CS124" s="39">
        <v>0.0</v>
      </c>
      <c r="CT124" s="35" t="s">
        <v>7045</v>
      </c>
      <c r="CU124" s="30">
        <v>47392.0</v>
      </c>
      <c r="CV124" s="30">
        <v>47483.0</v>
      </c>
      <c r="CW124" s="39">
        <v>0.0</v>
      </c>
      <c r="CX124" s="39">
        <v>0.0</v>
      </c>
      <c r="CY124" s="35" t="s">
        <v>7045</v>
      </c>
      <c r="CZ124" s="30">
        <v>47484.0</v>
      </c>
      <c r="DA124" s="30">
        <v>47573.0</v>
      </c>
      <c r="DB124" s="39">
        <v>0.0</v>
      </c>
      <c r="DC124" s="39">
        <v>0.0</v>
      </c>
      <c r="DD124" s="35" t="s">
        <v>7045</v>
      </c>
      <c r="DE124" s="30">
        <v>47574.0</v>
      </c>
      <c r="DF124" s="30">
        <v>47664.0</v>
      </c>
      <c r="DG124" s="39">
        <v>0.0</v>
      </c>
      <c r="DH124" s="39">
        <v>0.0</v>
      </c>
      <c r="DI124" s="35" t="s">
        <v>7045</v>
      </c>
      <c r="DJ124" s="30">
        <v>47665.0</v>
      </c>
      <c r="DK124" s="30">
        <v>47756.0</v>
      </c>
      <c r="DL124" s="39">
        <v>0.0</v>
      </c>
      <c r="DM124" s="39">
        <v>0.0</v>
      </c>
      <c r="DN124" s="35" t="s">
        <v>7045</v>
      </c>
      <c r="DO124" s="30">
        <v>47757.0</v>
      </c>
      <c r="DP124" s="30">
        <v>47848.0</v>
      </c>
      <c r="DQ124" s="39">
        <v>0.0</v>
      </c>
      <c r="DR124" s="39">
        <v>0.0</v>
      </c>
      <c r="DS124" s="35" t="s">
        <v>7045</v>
      </c>
    </row>
    <row r="125" ht="14.25" customHeight="1">
      <c r="A125" s="28" t="s">
        <v>4002</v>
      </c>
      <c r="B125" s="29" t="s">
        <v>4003</v>
      </c>
      <c r="C125" s="29" t="s">
        <v>7041</v>
      </c>
      <c r="D125" s="30">
        <v>45658.0</v>
      </c>
      <c r="E125" s="30">
        <v>45747.0</v>
      </c>
      <c r="F125" s="36">
        <v>0.72</v>
      </c>
      <c r="G125" s="36">
        <v>0.0</v>
      </c>
      <c r="H125" s="38" t="s">
        <v>7047</v>
      </c>
      <c r="I125" s="30">
        <v>45748.0</v>
      </c>
      <c r="J125" s="30">
        <v>45838.0</v>
      </c>
      <c r="K125" s="36">
        <v>67.47</v>
      </c>
      <c r="L125" s="36">
        <v>2545.43</v>
      </c>
      <c r="M125" s="32" t="s">
        <v>7043</v>
      </c>
      <c r="N125" s="30">
        <v>45839.0</v>
      </c>
      <c r="O125" s="30">
        <v>45930.0</v>
      </c>
      <c r="P125" s="36">
        <v>361.28</v>
      </c>
      <c r="Q125" s="36">
        <v>2981.8</v>
      </c>
      <c r="R125" s="38" t="s">
        <v>7047</v>
      </c>
      <c r="S125" s="30">
        <v>45931.0</v>
      </c>
      <c r="T125" s="30">
        <v>46022.0</v>
      </c>
      <c r="U125" s="36">
        <v>4504.09</v>
      </c>
      <c r="V125" s="36">
        <v>3018.16</v>
      </c>
      <c r="W125" s="38" t="s">
        <v>7047</v>
      </c>
      <c r="X125" s="30">
        <v>46023.0</v>
      </c>
      <c r="Y125" s="30">
        <v>46112.0</v>
      </c>
      <c r="Z125" s="36">
        <v>2.63</v>
      </c>
      <c r="AA125" s="36">
        <v>0.0</v>
      </c>
      <c r="AB125" s="38" t="s">
        <v>7047</v>
      </c>
      <c r="AC125" s="30">
        <v>46113.0</v>
      </c>
      <c r="AD125" s="30">
        <v>46203.0</v>
      </c>
      <c r="AE125" s="36">
        <v>35.53</v>
      </c>
      <c r="AF125" s="36">
        <v>0.0</v>
      </c>
      <c r="AG125" s="38" t="s">
        <v>7047</v>
      </c>
      <c r="AH125" s="30">
        <v>46204.0</v>
      </c>
      <c r="AI125" s="30">
        <v>46295.0</v>
      </c>
      <c r="AJ125" s="36">
        <v>0.0</v>
      </c>
      <c r="AK125" s="36">
        <v>0.0</v>
      </c>
      <c r="AL125" s="35" t="s">
        <v>7045</v>
      </c>
      <c r="AM125" s="30">
        <v>46296.0</v>
      </c>
      <c r="AN125" s="30">
        <v>46387.0</v>
      </c>
      <c r="AO125" s="36">
        <v>51.32</v>
      </c>
      <c r="AP125" s="36">
        <v>0.0</v>
      </c>
      <c r="AQ125" s="38" t="s">
        <v>7047</v>
      </c>
      <c r="AR125" s="30">
        <v>46388.0</v>
      </c>
      <c r="AS125" s="30">
        <v>46477.0</v>
      </c>
      <c r="AT125" s="36">
        <v>0.0</v>
      </c>
      <c r="AU125" s="36">
        <v>0.0</v>
      </c>
      <c r="AV125" s="35" t="s">
        <v>7045</v>
      </c>
      <c r="AW125" s="30">
        <v>46478.0</v>
      </c>
      <c r="AX125" s="30">
        <v>46568.0</v>
      </c>
      <c r="AY125" s="36">
        <v>0.0</v>
      </c>
      <c r="AZ125" s="36">
        <v>0.0</v>
      </c>
      <c r="BA125" s="35" t="s">
        <v>7045</v>
      </c>
      <c r="BB125" s="30">
        <v>46569.0</v>
      </c>
      <c r="BC125" s="30">
        <v>46660.0</v>
      </c>
      <c r="BD125" s="36">
        <v>0.0</v>
      </c>
      <c r="BE125" s="36">
        <v>0.0</v>
      </c>
      <c r="BF125" s="35" t="s">
        <v>7045</v>
      </c>
      <c r="BG125" s="30">
        <v>46661.0</v>
      </c>
      <c r="BH125" s="30">
        <v>46752.0</v>
      </c>
      <c r="BI125" s="36">
        <v>0.0</v>
      </c>
      <c r="BJ125" s="36">
        <v>0.0</v>
      </c>
      <c r="BK125" s="35" t="s">
        <v>7045</v>
      </c>
      <c r="BL125" s="30">
        <v>46753.0</v>
      </c>
      <c r="BM125" s="30">
        <v>46843.0</v>
      </c>
      <c r="BN125" s="36">
        <v>0.0</v>
      </c>
      <c r="BO125" s="36">
        <v>0.0</v>
      </c>
      <c r="BP125" s="35" t="s">
        <v>7045</v>
      </c>
      <c r="BQ125" s="30">
        <v>46844.0</v>
      </c>
      <c r="BR125" s="30">
        <v>46934.0</v>
      </c>
      <c r="BS125" s="36">
        <v>0.0</v>
      </c>
      <c r="BT125" s="36">
        <v>0.0</v>
      </c>
      <c r="BU125" s="35" t="s">
        <v>7045</v>
      </c>
      <c r="BV125" s="30">
        <v>46935.0</v>
      </c>
      <c r="BW125" s="30">
        <v>47026.0</v>
      </c>
      <c r="BX125" s="36">
        <v>0.0</v>
      </c>
      <c r="BY125" s="36">
        <v>0.0</v>
      </c>
      <c r="BZ125" s="35" t="s">
        <v>7045</v>
      </c>
      <c r="CA125" s="30">
        <v>47027.0</v>
      </c>
      <c r="CB125" s="30">
        <v>47118.0</v>
      </c>
      <c r="CC125" s="36">
        <v>0.0</v>
      </c>
      <c r="CD125" s="36">
        <v>0.0</v>
      </c>
      <c r="CE125" s="35" t="s">
        <v>7045</v>
      </c>
      <c r="CF125" s="30">
        <v>47119.0</v>
      </c>
      <c r="CG125" s="30">
        <v>47208.0</v>
      </c>
      <c r="CH125" s="36">
        <v>0.0</v>
      </c>
      <c r="CI125" s="36">
        <v>0.0</v>
      </c>
      <c r="CJ125" s="35" t="s">
        <v>7045</v>
      </c>
      <c r="CK125" s="30">
        <v>47209.0</v>
      </c>
      <c r="CL125" s="30">
        <v>47299.0</v>
      </c>
      <c r="CM125" s="36">
        <v>0.0</v>
      </c>
      <c r="CN125" s="36">
        <v>0.0</v>
      </c>
      <c r="CO125" s="35" t="s">
        <v>7045</v>
      </c>
      <c r="CP125" s="30">
        <v>47300.0</v>
      </c>
      <c r="CQ125" s="30">
        <v>47391.0</v>
      </c>
      <c r="CR125" s="36">
        <v>0.0</v>
      </c>
      <c r="CS125" s="36">
        <v>0.0</v>
      </c>
      <c r="CT125" s="35" t="s">
        <v>7045</v>
      </c>
      <c r="CU125" s="30">
        <v>47392.0</v>
      </c>
      <c r="CV125" s="30">
        <v>47483.0</v>
      </c>
      <c r="CW125" s="36">
        <v>0.0</v>
      </c>
      <c r="CX125" s="36">
        <v>0.0</v>
      </c>
      <c r="CY125" s="35" t="s">
        <v>7045</v>
      </c>
      <c r="CZ125" s="30">
        <v>47484.0</v>
      </c>
      <c r="DA125" s="30">
        <v>47573.0</v>
      </c>
      <c r="DB125" s="36">
        <v>0.0</v>
      </c>
      <c r="DC125" s="36">
        <v>0.0</v>
      </c>
      <c r="DD125" s="35" t="s">
        <v>7045</v>
      </c>
      <c r="DE125" s="30">
        <v>47574.0</v>
      </c>
      <c r="DF125" s="30">
        <v>47664.0</v>
      </c>
      <c r="DG125" s="36">
        <v>0.0</v>
      </c>
      <c r="DH125" s="36">
        <v>0.0</v>
      </c>
      <c r="DI125" s="35" t="s">
        <v>7045</v>
      </c>
      <c r="DJ125" s="30">
        <v>47665.0</v>
      </c>
      <c r="DK125" s="30">
        <v>47756.0</v>
      </c>
      <c r="DL125" s="36">
        <v>0.0</v>
      </c>
      <c r="DM125" s="36">
        <v>0.0</v>
      </c>
      <c r="DN125" s="35" t="s">
        <v>7045</v>
      </c>
      <c r="DO125" s="30">
        <v>47757.0</v>
      </c>
      <c r="DP125" s="30">
        <v>47848.0</v>
      </c>
      <c r="DQ125" s="36">
        <v>0.0</v>
      </c>
      <c r="DR125" s="36">
        <v>0.0</v>
      </c>
      <c r="DS125" s="35" t="s">
        <v>7045</v>
      </c>
    </row>
    <row r="126" ht="14.25" customHeight="1">
      <c r="A126" s="28" t="s">
        <v>5960</v>
      </c>
      <c r="B126" s="29" t="s">
        <v>5961</v>
      </c>
      <c r="C126" s="29" t="s">
        <v>7041</v>
      </c>
      <c r="D126" s="30">
        <v>45658.0</v>
      </c>
      <c r="E126" s="30">
        <v>45747.0</v>
      </c>
      <c r="F126" s="39">
        <v>1.32</v>
      </c>
      <c r="G126" s="39">
        <v>0.0</v>
      </c>
      <c r="H126" s="38" t="s">
        <v>7047</v>
      </c>
      <c r="I126" s="30">
        <v>45748.0</v>
      </c>
      <c r="J126" s="30">
        <v>45838.0</v>
      </c>
      <c r="K126" s="39">
        <v>1.18</v>
      </c>
      <c r="L126" s="39">
        <v>1298.0</v>
      </c>
      <c r="M126" s="32" t="s">
        <v>7043</v>
      </c>
      <c r="N126" s="30">
        <v>45839.0</v>
      </c>
      <c r="O126" s="30">
        <v>45930.0</v>
      </c>
      <c r="P126" s="39">
        <v>55.56</v>
      </c>
      <c r="Q126" s="39">
        <v>1332.0</v>
      </c>
      <c r="R126" s="38" t="s">
        <v>7043</v>
      </c>
      <c r="S126" s="30">
        <v>45931.0</v>
      </c>
      <c r="T126" s="30">
        <v>46022.0</v>
      </c>
      <c r="U126" s="39">
        <v>541.91</v>
      </c>
      <c r="V126" s="39">
        <v>1780.0</v>
      </c>
      <c r="W126" s="38" t="s">
        <v>7047</v>
      </c>
      <c r="X126" s="30">
        <v>46023.0</v>
      </c>
      <c r="Y126" s="30">
        <v>46112.0</v>
      </c>
      <c r="Z126" s="39">
        <v>229.81</v>
      </c>
      <c r="AA126" s="39">
        <v>0.0</v>
      </c>
      <c r="AB126" s="38" t="s">
        <v>7047</v>
      </c>
      <c r="AC126" s="30">
        <v>46113.0</v>
      </c>
      <c r="AD126" s="30">
        <v>46203.0</v>
      </c>
      <c r="AE126" s="39">
        <v>7.6</v>
      </c>
      <c r="AF126" s="39">
        <v>0.0</v>
      </c>
      <c r="AG126" s="38" t="s">
        <v>7047</v>
      </c>
      <c r="AH126" s="30">
        <v>46204.0</v>
      </c>
      <c r="AI126" s="30">
        <v>46295.0</v>
      </c>
      <c r="AJ126" s="39">
        <v>0.0</v>
      </c>
      <c r="AK126" s="39">
        <v>0.0</v>
      </c>
      <c r="AL126" s="35" t="s">
        <v>7045</v>
      </c>
      <c r="AM126" s="30">
        <v>46296.0</v>
      </c>
      <c r="AN126" s="30">
        <v>46387.0</v>
      </c>
      <c r="AO126" s="39">
        <v>0.0</v>
      </c>
      <c r="AP126" s="39">
        <v>0.0</v>
      </c>
      <c r="AQ126" s="35" t="s">
        <v>7045</v>
      </c>
      <c r="AR126" s="30">
        <v>46388.0</v>
      </c>
      <c r="AS126" s="30">
        <v>46477.0</v>
      </c>
      <c r="AT126" s="39">
        <v>0.0</v>
      </c>
      <c r="AU126" s="39">
        <v>0.0</v>
      </c>
      <c r="AV126" s="35" t="s">
        <v>7045</v>
      </c>
      <c r="AW126" s="30">
        <v>46478.0</v>
      </c>
      <c r="AX126" s="30">
        <v>46568.0</v>
      </c>
      <c r="AY126" s="39">
        <v>0.0</v>
      </c>
      <c r="AZ126" s="39">
        <v>0.0</v>
      </c>
      <c r="BA126" s="35" t="s">
        <v>7045</v>
      </c>
      <c r="BB126" s="30">
        <v>46569.0</v>
      </c>
      <c r="BC126" s="30">
        <v>46660.0</v>
      </c>
      <c r="BD126" s="39">
        <v>0.0</v>
      </c>
      <c r="BE126" s="39">
        <v>0.0</v>
      </c>
      <c r="BF126" s="35" t="s">
        <v>7045</v>
      </c>
      <c r="BG126" s="30">
        <v>46661.0</v>
      </c>
      <c r="BH126" s="30">
        <v>46752.0</v>
      </c>
      <c r="BI126" s="39">
        <v>0.0</v>
      </c>
      <c r="BJ126" s="39">
        <v>0.0</v>
      </c>
      <c r="BK126" s="35" t="s">
        <v>7045</v>
      </c>
      <c r="BL126" s="30">
        <v>46753.0</v>
      </c>
      <c r="BM126" s="30">
        <v>46843.0</v>
      </c>
      <c r="BN126" s="39">
        <v>0.0</v>
      </c>
      <c r="BO126" s="39">
        <v>0.0</v>
      </c>
      <c r="BP126" s="35" t="s">
        <v>7045</v>
      </c>
      <c r="BQ126" s="30">
        <v>46844.0</v>
      </c>
      <c r="BR126" s="30">
        <v>46934.0</v>
      </c>
      <c r="BS126" s="39">
        <v>0.0</v>
      </c>
      <c r="BT126" s="39">
        <v>0.0</v>
      </c>
      <c r="BU126" s="35" t="s">
        <v>7045</v>
      </c>
      <c r="BV126" s="30">
        <v>46935.0</v>
      </c>
      <c r="BW126" s="30">
        <v>47026.0</v>
      </c>
      <c r="BX126" s="39">
        <v>0.0</v>
      </c>
      <c r="BY126" s="39">
        <v>0.0</v>
      </c>
      <c r="BZ126" s="35" t="s">
        <v>7045</v>
      </c>
      <c r="CA126" s="30">
        <v>47027.0</v>
      </c>
      <c r="CB126" s="30">
        <v>47118.0</v>
      </c>
      <c r="CC126" s="39">
        <v>0.0</v>
      </c>
      <c r="CD126" s="39">
        <v>0.0</v>
      </c>
      <c r="CE126" s="35" t="s">
        <v>7045</v>
      </c>
      <c r="CF126" s="30">
        <v>47119.0</v>
      </c>
      <c r="CG126" s="30">
        <v>47208.0</v>
      </c>
      <c r="CH126" s="39">
        <v>0.0</v>
      </c>
      <c r="CI126" s="39">
        <v>0.0</v>
      </c>
      <c r="CJ126" s="35" t="s">
        <v>7045</v>
      </c>
      <c r="CK126" s="30">
        <v>47209.0</v>
      </c>
      <c r="CL126" s="30">
        <v>47299.0</v>
      </c>
      <c r="CM126" s="39">
        <v>0.0</v>
      </c>
      <c r="CN126" s="39">
        <v>0.0</v>
      </c>
      <c r="CO126" s="35" t="s">
        <v>7045</v>
      </c>
      <c r="CP126" s="30">
        <v>47300.0</v>
      </c>
      <c r="CQ126" s="30">
        <v>47391.0</v>
      </c>
      <c r="CR126" s="39">
        <v>0.0</v>
      </c>
      <c r="CS126" s="39">
        <v>0.0</v>
      </c>
      <c r="CT126" s="35" t="s">
        <v>7045</v>
      </c>
      <c r="CU126" s="30">
        <v>47392.0</v>
      </c>
      <c r="CV126" s="30">
        <v>47483.0</v>
      </c>
      <c r="CW126" s="39">
        <v>0.0</v>
      </c>
      <c r="CX126" s="39">
        <v>0.0</v>
      </c>
      <c r="CY126" s="35" t="s">
        <v>7045</v>
      </c>
      <c r="CZ126" s="30">
        <v>47484.0</v>
      </c>
      <c r="DA126" s="30">
        <v>47573.0</v>
      </c>
      <c r="DB126" s="39">
        <v>0.0</v>
      </c>
      <c r="DC126" s="39">
        <v>0.0</v>
      </c>
      <c r="DD126" s="35" t="s">
        <v>7045</v>
      </c>
      <c r="DE126" s="30">
        <v>47574.0</v>
      </c>
      <c r="DF126" s="30">
        <v>47664.0</v>
      </c>
      <c r="DG126" s="39">
        <v>0.0</v>
      </c>
      <c r="DH126" s="39">
        <v>0.0</v>
      </c>
      <c r="DI126" s="35" t="s">
        <v>7045</v>
      </c>
      <c r="DJ126" s="30">
        <v>47665.0</v>
      </c>
      <c r="DK126" s="30">
        <v>47756.0</v>
      </c>
      <c r="DL126" s="39">
        <v>0.0</v>
      </c>
      <c r="DM126" s="39">
        <v>0.0</v>
      </c>
      <c r="DN126" s="35" t="s">
        <v>7045</v>
      </c>
      <c r="DO126" s="30">
        <v>47757.0</v>
      </c>
      <c r="DP126" s="30">
        <v>47848.0</v>
      </c>
      <c r="DQ126" s="39">
        <v>0.0</v>
      </c>
      <c r="DR126" s="39">
        <v>0.0</v>
      </c>
      <c r="DS126" s="35" t="s">
        <v>7045</v>
      </c>
    </row>
    <row r="127" ht="14.25" customHeight="1">
      <c r="A127" s="28" t="s">
        <v>6269</v>
      </c>
      <c r="B127" s="29" t="s">
        <v>6270</v>
      </c>
      <c r="C127" s="29" t="s">
        <v>7041</v>
      </c>
      <c r="D127" s="30">
        <v>45658.0</v>
      </c>
      <c r="E127" s="30">
        <v>45747.0</v>
      </c>
      <c r="F127" s="36">
        <v>15.0</v>
      </c>
      <c r="G127" s="36">
        <v>0.0</v>
      </c>
      <c r="H127" s="38" t="s">
        <v>7047</v>
      </c>
      <c r="I127" s="30">
        <v>45748.0</v>
      </c>
      <c r="J127" s="30">
        <v>45838.0</v>
      </c>
      <c r="K127" s="36">
        <v>15.32</v>
      </c>
      <c r="L127" s="36">
        <v>0.0</v>
      </c>
      <c r="M127" s="38" t="s">
        <v>7047</v>
      </c>
      <c r="N127" s="30">
        <v>45839.0</v>
      </c>
      <c r="O127" s="30">
        <v>45930.0</v>
      </c>
      <c r="P127" s="36">
        <v>1754.26</v>
      </c>
      <c r="Q127" s="36">
        <v>0.0</v>
      </c>
      <c r="R127" s="38" t="s">
        <v>7047</v>
      </c>
      <c r="S127" s="30">
        <v>45931.0</v>
      </c>
      <c r="T127" s="30">
        <v>46022.0</v>
      </c>
      <c r="U127" s="36">
        <v>4880.36</v>
      </c>
      <c r="V127" s="36">
        <v>0.0</v>
      </c>
      <c r="W127" s="38" t="s">
        <v>7047</v>
      </c>
      <c r="X127" s="30">
        <v>46023.0</v>
      </c>
      <c r="Y127" s="30">
        <v>46112.0</v>
      </c>
      <c r="Z127" s="36">
        <v>1188.24</v>
      </c>
      <c r="AA127" s="36">
        <v>0.0</v>
      </c>
      <c r="AB127" s="38" t="s">
        <v>7047</v>
      </c>
      <c r="AC127" s="30">
        <v>46113.0</v>
      </c>
      <c r="AD127" s="30">
        <v>46203.0</v>
      </c>
      <c r="AE127" s="36">
        <v>82.26</v>
      </c>
      <c r="AF127" s="36">
        <v>0.0</v>
      </c>
      <c r="AG127" s="38" t="s">
        <v>7047</v>
      </c>
      <c r="AH127" s="30">
        <v>46204.0</v>
      </c>
      <c r="AI127" s="30">
        <v>46295.0</v>
      </c>
      <c r="AJ127" s="36">
        <v>0.0</v>
      </c>
      <c r="AK127" s="36">
        <v>0.0</v>
      </c>
      <c r="AL127" s="35" t="s">
        <v>7045</v>
      </c>
      <c r="AM127" s="30">
        <v>46296.0</v>
      </c>
      <c r="AN127" s="30">
        <v>46387.0</v>
      </c>
      <c r="AO127" s="36">
        <v>43.71</v>
      </c>
      <c r="AP127" s="36">
        <v>0.0</v>
      </c>
      <c r="AQ127" s="38" t="s">
        <v>7047</v>
      </c>
      <c r="AR127" s="30">
        <v>46388.0</v>
      </c>
      <c r="AS127" s="30">
        <v>46477.0</v>
      </c>
      <c r="AT127" s="36">
        <v>0.0</v>
      </c>
      <c r="AU127" s="36">
        <v>0.0</v>
      </c>
      <c r="AV127" s="35" t="s">
        <v>7045</v>
      </c>
      <c r="AW127" s="30">
        <v>46478.0</v>
      </c>
      <c r="AX127" s="30">
        <v>46568.0</v>
      </c>
      <c r="AY127" s="36">
        <v>0.0</v>
      </c>
      <c r="AZ127" s="36">
        <v>0.0</v>
      </c>
      <c r="BA127" s="35" t="s">
        <v>7045</v>
      </c>
      <c r="BB127" s="30">
        <v>46569.0</v>
      </c>
      <c r="BC127" s="30">
        <v>46660.0</v>
      </c>
      <c r="BD127" s="36">
        <v>0.0</v>
      </c>
      <c r="BE127" s="36">
        <v>0.0</v>
      </c>
      <c r="BF127" s="35" t="s">
        <v>7045</v>
      </c>
      <c r="BG127" s="30">
        <v>46661.0</v>
      </c>
      <c r="BH127" s="30">
        <v>46752.0</v>
      </c>
      <c r="BI127" s="36">
        <v>0.0</v>
      </c>
      <c r="BJ127" s="36">
        <v>0.0</v>
      </c>
      <c r="BK127" s="35" t="s">
        <v>7045</v>
      </c>
      <c r="BL127" s="30">
        <v>46753.0</v>
      </c>
      <c r="BM127" s="30">
        <v>46843.0</v>
      </c>
      <c r="BN127" s="36">
        <v>0.0</v>
      </c>
      <c r="BO127" s="36">
        <v>0.0</v>
      </c>
      <c r="BP127" s="35" t="s">
        <v>7045</v>
      </c>
      <c r="BQ127" s="30">
        <v>46844.0</v>
      </c>
      <c r="BR127" s="30">
        <v>46934.0</v>
      </c>
      <c r="BS127" s="36">
        <v>0.0</v>
      </c>
      <c r="BT127" s="36">
        <v>0.0</v>
      </c>
      <c r="BU127" s="35" t="s">
        <v>7045</v>
      </c>
      <c r="BV127" s="30">
        <v>46935.0</v>
      </c>
      <c r="BW127" s="30">
        <v>47026.0</v>
      </c>
      <c r="BX127" s="36">
        <v>0.0</v>
      </c>
      <c r="BY127" s="36">
        <v>0.0</v>
      </c>
      <c r="BZ127" s="35" t="s">
        <v>7045</v>
      </c>
      <c r="CA127" s="30">
        <v>47027.0</v>
      </c>
      <c r="CB127" s="30">
        <v>47118.0</v>
      </c>
      <c r="CC127" s="36">
        <v>0.0</v>
      </c>
      <c r="CD127" s="36">
        <v>0.0</v>
      </c>
      <c r="CE127" s="35" t="s">
        <v>7045</v>
      </c>
      <c r="CF127" s="30">
        <v>47119.0</v>
      </c>
      <c r="CG127" s="30">
        <v>47208.0</v>
      </c>
      <c r="CH127" s="36">
        <v>0.0</v>
      </c>
      <c r="CI127" s="36">
        <v>0.0</v>
      </c>
      <c r="CJ127" s="35" t="s">
        <v>7045</v>
      </c>
      <c r="CK127" s="30">
        <v>47209.0</v>
      </c>
      <c r="CL127" s="30">
        <v>47299.0</v>
      </c>
      <c r="CM127" s="36">
        <v>0.0</v>
      </c>
      <c r="CN127" s="36">
        <v>0.0</v>
      </c>
      <c r="CO127" s="35" t="s">
        <v>7045</v>
      </c>
      <c r="CP127" s="30">
        <v>47300.0</v>
      </c>
      <c r="CQ127" s="30">
        <v>47391.0</v>
      </c>
      <c r="CR127" s="36">
        <v>0.0</v>
      </c>
      <c r="CS127" s="36">
        <v>0.0</v>
      </c>
      <c r="CT127" s="35" t="s">
        <v>7045</v>
      </c>
      <c r="CU127" s="30">
        <v>47392.0</v>
      </c>
      <c r="CV127" s="30">
        <v>47483.0</v>
      </c>
      <c r="CW127" s="36">
        <v>0.0</v>
      </c>
      <c r="CX127" s="36">
        <v>0.0</v>
      </c>
      <c r="CY127" s="35" t="s">
        <v>7045</v>
      </c>
      <c r="CZ127" s="30">
        <v>47484.0</v>
      </c>
      <c r="DA127" s="30">
        <v>47573.0</v>
      </c>
      <c r="DB127" s="36">
        <v>0.0</v>
      </c>
      <c r="DC127" s="36">
        <v>0.0</v>
      </c>
      <c r="DD127" s="35" t="s">
        <v>7045</v>
      </c>
      <c r="DE127" s="30">
        <v>47574.0</v>
      </c>
      <c r="DF127" s="30">
        <v>47664.0</v>
      </c>
      <c r="DG127" s="36">
        <v>0.0</v>
      </c>
      <c r="DH127" s="36">
        <v>0.0</v>
      </c>
      <c r="DI127" s="35" t="s">
        <v>7045</v>
      </c>
      <c r="DJ127" s="30">
        <v>47665.0</v>
      </c>
      <c r="DK127" s="30">
        <v>47756.0</v>
      </c>
      <c r="DL127" s="36">
        <v>0.0</v>
      </c>
      <c r="DM127" s="36">
        <v>0.0</v>
      </c>
      <c r="DN127" s="35" t="s">
        <v>7045</v>
      </c>
      <c r="DO127" s="30">
        <v>47757.0</v>
      </c>
      <c r="DP127" s="30">
        <v>47848.0</v>
      </c>
      <c r="DQ127" s="36">
        <v>0.0</v>
      </c>
      <c r="DR127" s="36">
        <v>0.0</v>
      </c>
      <c r="DS127" s="35" t="s">
        <v>7045</v>
      </c>
    </row>
    <row r="128" ht="14.25" customHeight="1">
      <c r="A128" s="28" t="s">
        <v>2390</v>
      </c>
      <c r="B128" s="29" t="s">
        <v>2391</v>
      </c>
      <c r="C128" s="29" t="s">
        <v>7041</v>
      </c>
      <c r="D128" s="30">
        <v>45658.0</v>
      </c>
      <c r="E128" s="30">
        <v>45747.0</v>
      </c>
      <c r="F128" s="39">
        <v>0.0</v>
      </c>
      <c r="G128" s="39">
        <v>0.0</v>
      </c>
      <c r="H128" s="35" t="s">
        <v>7045</v>
      </c>
      <c r="I128" s="30">
        <v>45748.0</v>
      </c>
      <c r="J128" s="30">
        <v>45838.0</v>
      </c>
      <c r="K128" s="39">
        <v>4.0</v>
      </c>
      <c r="L128" s="39">
        <v>208.33</v>
      </c>
      <c r="M128" s="32" t="s">
        <v>7043</v>
      </c>
      <c r="N128" s="30">
        <v>45839.0</v>
      </c>
      <c r="O128" s="30">
        <v>45930.0</v>
      </c>
      <c r="P128" s="39">
        <v>57.5</v>
      </c>
      <c r="Q128" s="39">
        <v>208.33</v>
      </c>
      <c r="R128" s="38" t="s">
        <v>7047</v>
      </c>
      <c r="S128" s="30">
        <v>45931.0</v>
      </c>
      <c r="T128" s="30">
        <v>46022.0</v>
      </c>
      <c r="U128" s="39">
        <v>55.0</v>
      </c>
      <c r="V128" s="39">
        <v>208.33</v>
      </c>
      <c r="W128" s="38" t="s">
        <v>7047</v>
      </c>
      <c r="X128" s="30">
        <v>46023.0</v>
      </c>
      <c r="Y128" s="30">
        <v>46112.0</v>
      </c>
      <c r="Z128" s="39">
        <v>77.5</v>
      </c>
      <c r="AA128" s="39">
        <v>0.0</v>
      </c>
      <c r="AB128" s="38" t="s">
        <v>7047</v>
      </c>
      <c r="AC128" s="30">
        <v>46113.0</v>
      </c>
      <c r="AD128" s="30">
        <v>46203.0</v>
      </c>
      <c r="AE128" s="39">
        <v>0.0</v>
      </c>
      <c r="AF128" s="39">
        <v>0.0</v>
      </c>
      <c r="AG128" s="35" t="s">
        <v>7045</v>
      </c>
      <c r="AH128" s="30">
        <v>46204.0</v>
      </c>
      <c r="AI128" s="30">
        <v>46295.0</v>
      </c>
      <c r="AJ128" s="39">
        <v>0.0</v>
      </c>
      <c r="AK128" s="39">
        <v>0.0</v>
      </c>
      <c r="AL128" s="35" t="s">
        <v>7045</v>
      </c>
      <c r="AM128" s="30">
        <v>46296.0</v>
      </c>
      <c r="AN128" s="30">
        <v>46387.0</v>
      </c>
      <c r="AO128" s="39">
        <v>520.0</v>
      </c>
      <c r="AP128" s="39">
        <v>0.0</v>
      </c>
      <c r="AQ128" s="38" t="s">
        <v>7047</v>
      </c>
      <c r="AR128" s="30">
        <v>46388.0</v>
      </c>
      <c r="AS128" s="30">
        <v>46477.0</v>
      </c>
      <c r="AT128" s="39">
        <v>0.0</v>
      </c>
      <c r="AU128" s="39">
        <v>0.0</v>
      </c>
      <c r="AV128" s="35" t="s">
        <v>7045</v>
      </c>
      <c r="AW128" s="30">
        <v>46478.0</v>
      </c>
      <c r="AX128" s="30">
        <v>46568.0</v>
      </c>
      <c r="AY128" s="39">
        <v>0.0</v>
      </c>
      <c r="AZ128" s="39">
        <v>0.0</v>
      </c>
      <c r="BA128" s="35" t="s">
        <v>7045</v>
      </c>
      <c r="BB128" s="30">
        <v>46569.0</v>
      </c>
      <c r="BC128" s="30">
        <v>46660.0</v>
      </c>
      <c r="BD128" s="39">
        <v>0.0</v>
      </c>
      <c r="BE128" s="39">
        <v>0.0</v>
      </c>
      <c r="BF128" s="35" t="s">
        <v>7045</v>
      </c>
      <c r="BG128" s="30">
        <v>46661.0</v>
      </c>
      <c r="BH128" s="30">
        <v>46752.0</v>
      </c>
      <c r="BI128" s="39">
        <v>0.0</v>
      </c>
      <c r="BJ128" s="39">
        <v>0.0</v>
      </c>
      <c r="BK128" s="35" t="s">
        <v>7045</v>
      </c>
      <c r="BL128" s="30">
        <v>46753.0</v>
      </c>
      <c r="BM128" s="30">
        <v>46843.0</v>
      </c>
      <c r="BN128" s="39">
        <v>0.0</v>
      </c>
      <c r="BO128" s="39">
        <v>0.0</v>
      </c>
      <c r="BP128" s="35" t="s">
        <v>7045</v>
      </c>
      <c r="BQ128" s="30">
        <v>46844.0</v>
      </c>
      <c r="BR128" s="30">
        <v>46934.0</v>
      </c>
      <c r="BS128" s="39">
        <v>0.0</v>
      </c>
      <c r="BT128" s="39">
        <v>0.0</v>
      </c>
      <c r="BU128" s="35" t="s">
        <v>7045</v>
      </c>
      <c r="BV128" s="30">
        <v>46935.0</v>
      </c>
      <c r="BW128" s="30">
        <v>47026.0</v>
      </c>
      <c r="BX128" s="39">
        <v>0.0</v>
      </c>
      <c r="BY128" s="39">
        <v>0.0</v>
      </c>
      <c r="BZ128" s="35" t="s">
        <v>7045</v>
      </c>
      <c r="CA128" s="30">
        <v>47027.0</v>
      </c>
      <c r="CB128" s="30">
        <v>47118.0</v>
      </c>
      <c r="CC128" s="39">
        <v>0.0</v>
      </c>
      <c r="CD128" s="39">
        <v>0.0</v>
      </c>
      <c r="CE128" s="35" t="s">
        <v>7045</v>
      </c>
      <c r="CF128" s="30">
        <v>47119.0</v>
      </c>
      <c r="CG128" s="30">
        <v>47208.0</v>
      </c>
      <c r="CH128" s="39">
        <v>0.0</v>
      </c>
      <c r="CI128" s="39">
        <v>0.0</v>
      </c>
      <c r="CJ128" s="35" t="s">
        <v>7045</v>
      </c>
      <c r="CK128" s="30">
        <v>47209.0</v>
      </c>
      <c r="CL128" s="30">
        <v>47299.0</v>
      </c>
      <c r="CM128" s="39">
        <v>0.0</v>
      </c>
      <c r="CN128" s="39">
        <v>0.0</v>
      </c>
      <c r="CO128" s="35" t="s">
        <v>7045</v>
      </c>
      <c r="CP128" s="30">
        <v>47300.0</v>
      </c>
      <c r="CQ128" s="30">
        <v>47391.0</v>
      </c>
      <c r="CR128" s="39">
        <v>0.0</v>
      </c>
      <c r="CS128" s="39">
        <v>0.0</v>
      </c>
      <c r="CT128" s="35" t="s">
        <v>7045</v>
      </c>
      <c r="CU128" s="30">
        <v>47392.0</v>
      </c>
      <c r="CV128" s="30">
        <v>47483.0</v>
      </c>
      <c r="CW128" s="39">
        <v>0.0</v>
      </c>
      <c r="CX128" s="39">
        <v>0.0</v>
      </c>
      <c r="CY128" s="35" t="s">
        <v>7045</v>
      </c>
      <c r="CZ128" s="30">
        <v>47484.0</v>
      </c>
      <c r="DA128" s="30">
        <v>47573.0</v>
      </c>
      <c r="DB128" s="39">
        <v>0.0</v>
      </c>
      <c r="DC128" s="39">
        <v>0.0</v>
      </c>
      <c r="DD128" s="35" t="s">
        <v>7045</v>
      </c>
      <c r="DE128" s="30">
        <v>47574.0</v>
      </c>
      <c r="DF128" s="30">
        <v>47664.0</v>
      </c>
      <c r="DG128" s="39">
        <v>0.0</v>
      </c>
      <c r="DH128" s="39">
        <v>0.0</v>
      </c>
      <c r="DI128" s="35" t="s">
        <v>7045</v>
      </c>
      <c r="DJ128" s="30">
        <v>47665.0</v>
      </c>
      <c r="DK128" s="30">
        <v>47756.0</v>
      </c>
      <c r="DL128" s="39">
        <v>0.0</v>
      </c>
      <c r="DM128" s="39">
        <v>0.0</v>
      </c>
      <c r="DN128" s="35" t="s">
        <v>7045</v>
      </c>
      <c r="DO128" s="30">
        <v>47757.0</v>
      </c>
      <c r="DP128" s="30">
        <v>47848.0</v>
      </c>
      <c r="DQ128" s="39">
        <v>0.0</v>
      </c>
      <c r="DR128" s="39">
        <v>0.0</v>
      </c>
      <c r="DS128" s="35" t="s">
        <v>7045</v>
      </c>
    </row>
    <row r="129" ht="14.25" customHeight="1">
      <c r="A129" s="28" t="s">
        <v>316</v>
      </c>
      <c r="B129" s="29" t="s">
        <v>317</v>
      </c>
      <c r="C129" s="29" t="s">
        <v>7041</v>
      </c>
      <c r="D129" s="30">
        <v>45658.0</v>
      </c>
      <c r="E129" s="30">
        <v>45747.0</v>
      </c>
      <c r="F129" s="39">
        <v>0.0</v>
      </c>
      <c r="G129" s="39">
        <v>0.0</v>
      </c>
      <c r="H129" s="35" t="s">
        <v>7045</v>
      </c>
      <c r="I129" s="30">
        <v>45748.0</v>
      </c>
      <c r="J129" s="30">
        <v>45838.0</v>
      </c>
      <c r="K129" s="39">
        <v>0.0</v>
      </c>
      <c r="L129" s="39">
        <v>0.0</v>
      </c>
      <c r="M129" s="35" t="s">
        <v>7045</v>
      </c>
      <c r="N129" s="30">
        <v>45839.0</v>
      </c>
      <c r="O129" s="30">
        <v>45930.0</v>
      </c>
      <c r="P129" s="39">
        <v>0.0</v>
      </c>
      <c r="Q129" s="39">
        <v>0.0</v>
      </c>
      <c r="R129" s="35" t="s">
        <v>7045</v>
      </c>
      <c r="S129" s="30">
        <v>45931.0</v>
      </c>
      <c r="T129" s="30">
        <v>46022.0</v>
      </c>
      <c r="U129" s="39">
        <v>0.0</v>
      </c>
      <c r="V129" s="39">
        <v>0.0</v>
      </c>
      <c r="W129" s="35" t="s">
        <v>7045</v>
      </c>
      <c r="X129" s="30">
        <v>46023.0</v>
      </c>
      <c r="Y129" s="30">
        <v>46112.0</v>
      </c>
      <c r="Z129" s="39">
        <v>0.0</v>
      </c>
      <c r="AA129" s="39">
        <v>0.0</v>
      </c>
      <c r="AB129" s="35" t="s">
        <v>7045</v>
      </c>
      <c r="AC129" s="30">
        <v>46113.0</v>
      </c>
      <c r="AD129" s="30">
        <v>46203.0</v>
      </c>
      <c r="AE129" s="39">
        <v>0.0</v>
      </c>
      <c r="AF129" s="39">
        <v>0.0</v>
      </c>
      <c r="AG129" s="35" t="s">
        <v>7045</v>
      </c>
      <c r="AH129" s="30">
        <v>46204.0</v>
      </c>
      <c r="AI129" s="30">
        <v>46295.0</v>
      </c>
      <c r="AJ129" s="39">
        <v>0.0</v>
      </c>
      <c r="AK129" s="39">
        <v>0.0</v>
      </c>
      <c r="AL129" s="35" t="s">
        <v>7045</v>
      </c>
      <c r="AM129" s="30">
        <v>46296.0</v>
      </c>
      <c r="AN129" s="30">
        <v>46387.0</v>
      </c>
      <c r="AO129" s="39">
        <v>0.0</v>
      </c>
      <c r="AP129" s="39">
        <v>0.0</v>
      </c>
      <c r="AQ129" s="35" t="s">
        <v>7045</v>
      </c>
      <c r="AR129" s="30">
        <v>46388.0</v>
      </c>
      <c r="AS129" s="30">
        <v>46477.0</v>
      </c>
      <c r="AT129" s="39">
        <v>0.0</v>
      </c>
      <c r="AU129" s="39">
        <v>0.0</v>
      </c>
      <c r="AV129" s="35" t="s">
        <v>7045</v>
      </c>
      <c r="AW129" s="30">
        <v>46478.0</v>
      </c>
      <c r="AX129" s="30">
        <v>46568.0</v>
      </c>
      <c r="AY129" s="39">
        <v>0.0</v>
      </c>
      <c r="AZ129" s="39">
        <v>0.0</v>
      </c>
      <c r="BA129" s="35" t="s">
        <v>7045</v>
      </c>
      <c r="BB129" s="30">
        <v>46569.0</v>
      </c>
      <c r="BC129" s="30">
        <v>46660.0</v>
      </c>
      <c r="BD129" s="39">
        <v>0.0</v>
      </c>
      <c r="BE129" s="39">
        <v>0.0</v>
      </c>
      <c r="BF129" s="35" t="s">
        <v>7045</v>
      </c>
      <c r="BG129" s="30">
        <v>46661.0</v>
      </c>
      <c r="BH129" s="30">
        <v>46752.0</v>
      </c>
      <c r="BI129" s="39">
        <v>0.0</v>
      </c>
      <c r="BJ129" s="39">
        <v>0.0</v>
      </c>
      <c r="BK129" s="35" t="s">
        <v>7045</v>
      </c>
      <c r="BL129" s="30">
        <v>46753.0</v>
      </c>
      <c r="BM129" s="30">
        <v>46843.0</v>
      </c>
      <c r="BN129" s="39">
        <v>0.0</v>
      </c>
      <c r="BO129" s="39">
        <v>0.0</v>
      </c>
      <c r="BP129" s="35" t="s">
        <v>7045</v>
      </c>
      <c r="BQ129" s="30">
        <v>46844.0</v>
      </c>
      <c r="BR129" s="30">
        <v>46934.0</v>
      </c>
      <c r="BS129" s="39">
        <v>0.0</v>
      </c>
      <c r="BT129" s="39">
        <v>0.0</v>
      </c>
      <c r="BU129" s="35" t="s">
        <v>7045</v>
      </c>
      <c r="BV129" s="30">
        <v>46935.0</v>
      </c>
      <c r="BW129" s="30">
        <v>47026.0</v>
      </c>
      <c r="BX129" s="39">
        <v>0.0</v>
      </c>
      <c r="BY129" s="39">
        <v>0.0</v>
      </c>
      <c r="BZ129" s="35" t="s">
        <v>7045</v>
      </c>
      <c r="CA129" s="30">
        <v>47027.0</v>
      </c>
      <c r="CB129" s="30">
        <v>47118.0</v>
      </c>
      <c r="CC129" s="39">
        <v>0.0</v>
      </c>
      <c r="CD129" s="39">
        <v>0.0</v>
      </c>
      <c r="CE129" s="35" t="s">
        <v>7045</v>
      </c>
      <c r="CF129" s="30">
        <v>47119.0</v>
      </c>
      <c r="CG129" s="30">
        <v>47208.0</v>
      </c>
      <c r="CH129" s="39">
        <v>0.0</v>
      </c>
      <c r="CI129" s="39">
        <v>0.0</v>
      </c>
      <c r="CJ129" s="35" t="s">
        <v>7045</v>
      </c>
      <c r="CK129" s="30">
        <v>47209.0</v>
      </c>
      <c r="CL129" s="30">
        <v>47299.0</v>
      </c>
      <c r="CM129" s="39">
        <v>0.0</v>
      </c>
      <c r="CN129" s="39">
        <v>0.0</v>
      </c>
      <c r="CO129" s="35" t="s">
        <v>7045</v>
      </c>
      <c r="CP129" s="30">
        <v>47300.0</v>
      </c>
      <c r="CQ129" s="30">
        <v>47391.0</v>
      </c>
      <c r="CR129" s="39">
        <v>0.0</v>
      </c>
      <c r="CS129" s="39">
        <v>0.0</v>
      </c>
      <c r="CT129" s="35" t="s">
        <v>7045</v>
      </c>
      <c r="CU129" s="30">
        <v>47392.0</v>
      </c>
      <c r="CV129" s="30">
        <v>47483.0</v>
      </c>
      <c r="CW129" s="39">
        <v>0.0</v>
      </c>
      <c r="CX129" s="39">
        <v>0.0</v>
      </c>
      <c r="CY129" s="35" t="s">
        <v>7045</v>
      </c>
      <c r="CZ129" s="30">
        <v>47484.0</v>
      </c>
      <c r="DA129" s="30">
        <v>47573.0</v>
      </c>
      <c r="DB129" s="39">
        <v>0.0</v>
      </c>
      <c r="DC129" s="39">
        <v>0.0</v>
      </c>
      <c r="DD129" s="35" t="s">
        <v>7045</v>
      </c>
      <c r="DE129" s="30">
        <v>47574.0</v>
      </c>
      <c r="DF129" s="30">
        <v>47664.0</v>
      </c>
      <c r="DG129" s="39">
        <v>0.0</v>
      </c>
      <c r="DH129" s="39">
        <v>0.0</v>
      </c>
      <c r="DI129" s="35" t="s">
        <v>7045</v>
      </c>
      <c r="DJ129" s="30">
        <v>47665.0</v>
      </c>
      <c r="DK129" s="30">
        <v>47756.0</v>
      </c>
      <c r="DL129" s="39">
        <v>0.0</v>
      </c>
      <c r="DM129" s="39">
        <v>0.0</v>
      </c>
      <c r="DN129" s="35" t="s">
        <v>7045</v>
      </c>
      <c r="DO129" s="30">
        <v>47757.0</v>
      </c>
      <c r="DP129" s="30">
        <v>47848.0</v>
      </c>
      <c r="DQ129" s="39">
        <v>0.0</v>
      </c>
      <c r="DR129" s="39">
        <v>0.0</v>
      </c>
      <c r="DS129" s="35" t="s">
        <v>7045</v>
      </c>
    </row>
    <row r="130" ht="14.25" customHeight="1">
      <c r="A130" s="28" t="s">
        <v>585</v>
      </c>
      <c r="B130" s="29" t="s">
        <v>586</v>
      </c>
      <c r="C130" s="29" t="s">
        <v>7041</v>
      </c>
      <c r="D130" s="30">
        <v>45658.0</v>
      </c>
      <c r="E130" s="30">
        <v>45747.0</v>
      </c>
      <c r="F130" s="39">
        <v>0.0</v>
      </c>
      <c r="G130" s="39">
        <v>0.0</v>
      </c>
      <c r="H130" s="35" t="s">
        <v>7045</v>
      </c>
      <c r="I130" s="30">
        <v>45748.0</v>
      </c>
      <c r="J130" s="30">
        <v>45838.0</v>
      </c>
      <c r="K130" s="39">
        <v>60.0</v>
      </c>
      <c r="L130" s="39">
        <v>0.0</v>
      </c>
      <c r="M130" s="35" t="s">
        <v>7047</v>
      </c>
      <c r="N130" s="30">
        <v>45839.0</v>
      </c>
      <c r="O130" s="30">
        <v>45930.0</v>
      </c>
      <c r="P130" s="39">
        <v>20.0</v>
      </c>
      <c r="Q130" s="39">
        <v>0.0</v>
      </c>
      <c r="R130" s="38" t="s">
        <v>7047</v>
      </c>
      <c r="S130" s="30">
        <v>45931.0</v>
      </c>
      <c r="T130" s="30">
        <v>46022.0</v>
      </c>
      <c r="U130" s="39">
        <v>0.0</v>
      </c>
      <c r="V130" s="39">
        <v>0.0</v>
      </c>
      <c r="W130" s="35" t="s">
        <v>7045</v>
      </c>
      <c r="X130" s="30">
        <v>46023.0</v>
      </c>
      <c r="Y130" s="30">
        <v>46112.0</v>
      </c>
      <c r="Z130" s="39">
        <v>0.0</v>
      </c>
      <c r="AA130" s="39">
        <v>0.0</v>
      </c>
      <c r="AB130" s="35" t="s">
        <v>7045</v>
      </c>
      <c r="AC130" s="30">
        <v>46113.0</v>
      </c>
      <c r="AD130" s="30">
        <v>46203.0</v>
      </c>
      <c r="AE130" s="39">
        <v>0.0</v>
      </c>
      <c r="AF130" s="39">
        <v>0.0</v>
      </c>
      <c r="AG130" s="35" t="s">
        <v>7045</v>
      </c>
      <c r="AH130" s="30">
        <v>46204.0</v>
      </c>
      <c r="AI130" s="30">
        <v>46295.0</v>
      </c>
      <c r="AJ130" s="39">
        <v>0.0</v>
      </c>
      <c r="AK130" s="39">
        <v>0.0</v>
      </c>
      <c r="AL130" s="35" t="s">
        <v>7045</v>
      </c>
      <c r="AM130" s="30">
        <v>46296.0</v>
      </c>
      <c r="AN130" s="30">
        <v>46387.0</v>
      </c>
      <c r="AO130" s="39">
        <v>0.0</v>
      </c>
      <c r="AP130" s="39">
        <v>0.0</v>
      </c>
      <c r="AQ130" s="35" t="s">
        <v>7045</v>
      </c>
      <c r="AR130" s="30">
        <v>46388.0</v>
      </c>
      <c r="AS130" s="30">
        <v>46477.0</v>
      </c>
      <c r="AT130" s="39">
        <v>0.0</v>
      </c>
      <c r="AU130" s="39">
        <v>0.0</v>
      </c>
      <c r="AV130" s="35" t="s">
        <v>7045</v>
      </c>
      <c r="AW130" s="30">
        <v>46478.0</v>
      </c>
      <c r="AX130" s="30">
        <v>46568.0</v>
      </c>
      <c r="AY130" s="39">
        <v>0.0</v>
      </c>
      <c r="AZ130" s="39">
        <v>0.0</v>
      </c>
      <c r="BA130" s="35" t="s">
        <v>7045</v>
      </c>
      <c r="BB130" s="30">
        <v>46569.0</v>
      </c>
      <c r="BC130" s="30">
        <v>46660.0</v>
      </c>
      <c r="BD130" s="39">
        <v>0.0</v>
      </c>
      <c r="BE130" s="39">
        <v>0.0</v>
      </c>
      <c r="BF130" s="35" t="s">
        <v>7045</v>
      </c>
      <c r="BG130" s="30">
        <v>46661.0</v>
      </c>
      <c r="BH130" s="30">
        <v>46752.0</v>
      </c>
      <c r="BI130" s="39">
        <v>0.0</v>
      </c>
      <c r="BJ130" s="39">
        <v>0.0</v>
      </c>
      <c r="BK130" s="35" t="s">
        <v>7045</v>
      </c>
      <c r="BL130" s="30">
        <v>46753.0</v>
      </c>
      <c r="BM130" s="30">
        <v>46843.0</v>
      </c>
      <c r="BN130" s="39">
        <v>0.0</v>
      </c>
      <c r="BO130" s="39">
        <v>0.0</v>
      </c>
      <c r="BP130" s="35" t="s">
        <v>7045</v>
      </c>
      <c r="BQ130" s="30">
        <v>46844.0</v>
      </c>
      <c r="BR130" s="30">
        <v>46934.0</v>
      </c>
      <c r="BS130" s="39">
        <v>0.0</v>
      </c>
      <c r="BT130" s="39">
        <v>0.0</v>
      </c>
      <c r="BU130" s="35" t="s">
        <v>7045</v>
      </c>
      <c r="BV130" s="30">
        <v>46935.0</v>
      </c>
      <c r="BW130" s="30">
        <v>47026.0</v>
      </c>
      <c r="BX130" s="39">
        <v>0.0</v>
      </c>
      <c r="BY130" s="39">
        <v>0.0</v>
      </c>
      <c r="BZ130" s="35" t="s">
        <v>7045</v>
      </c>
      <c r="CA130" s="30">
        <v>47027.0</v>
      </c>
      <c r="CB130" s="30">
        <v>47118.0</v>
      </c>
      <c r="CC130" s="39">
        <v>0.0</v>
      </c>
      <c r="CD130" s="39">
        <v>0.0</v>
      </c>
      <c r="CE130" s="35" t="s">
        <v>7045</v>
      </c>
      <c r="CF130" s="30">
        <v>47119.0</v>
      </c>
      <c r="CG130" s="30">
        <v>47208.0</v>
      </c>
      <c r="CH130" s="39">
        <v>0.0</v>
      </c>
      <c r="CI130" s="39">
        <v>0.0</v>
      </c>
      <c r="CJ130" s="35" t="s">
        <v>7045</v>
      </c>
      <c r="CK130" s="30">
        <v>47209.0</v>
      </c>
      <c r="CL130" s="30">
        <v>47299.0</v>
      </c>
      <c r="CM130" s="39">
        <v>0.0</v>
      </c>
      <c r="CN130" s="39">
        <v>0.0</v>
      </c>
      <c r="CO130" s="35" t="s">
        <v>7045</v>
      </c>
      <c r="CP130" s="30">
        <v>47300.0</v>
      </c>
      <c r="CQ130" s="30">
        <v>47391.0</v>
      </c>
      <c r="CR130" s="39">
        <v>0.0</v>
      </c>
      <c r="CS130" s="39">
        <v>0.0</v>
      </c>
      <c r="CT130" s="35" t="s">
        <v>7045</v>
      </c>
      <c r="CU130" s="30">
        <v>47392.0</v>
      </c>
      <c r="CV130" s="30">
        <v>47483.0</v>
      </c>
      <c r="CW130" s="39">
        <v>0.0</v>
      </c>
      <c r="CX130" s="39">
        <v>0.0</v>
      </c>
      <c r="CY130" s="35" t="s">
        <v>7045</v>
      </c>
      <c r="CZ130" s="30">
        <v>47484.0</v>
      </c>
      <c r="DA130" s="30">
        <v>47573.0</v>
      </c>
      <c r="DB130" s="39">
        <v>0.0</v>
      </c>
      <c r="DC130" s="39">
        <v>0.0</v>
      </c>
      <c r="DD130" s="35" t="s">
        <v>7045</v>
      </c>
      <c r="DE130" s="30">
        <v>47574.0</v>
      </c>
      <c r="DF130" s="30">
        <v>47664.0</v>
      </c>
      <c r="DG130" s="39">
        <v>0.0</v>
      </c>
      <c r="DH130" s="39">
        <v>0.0</v>
      </c>
      <c r="DI130" s="35" t="s">
        <v>7045</v>
      </c>
      <c r="DJ130" s="30">
        <v>47665.0</v>
      </c>
      <c r="DK130" s="30">
        <v>47756.0</v>
      </c>
      <c r="DL130" s="39">
        <v>0.0</v>
      </c>
      <c r="DM130" s="39">
        <v>0.0</v>
      </c>
      <c r="DN130" s="35" t="s">
        <v>7045</v>
      </c>
      <c r="DO130" s="30">
        <v>47757.0</v>
      </c>
      <c r="DP130" s="30">
        <v>47848.0</v>
      </c>
      <c r="DQ130" s="39">
        <v>0.0</v>
      </c>
      <c r="DR130" s="39">
        <v>0.0</v>
      </c>
      <c r="DS130" s="35" t="s">
        <v>7045</v>
      </c>
    </row>
    <row r="131" ht="14.25" customHeight="1">
      <c r="A131" s="28" t="s">
        <v>737</v>
      </c>
      <c r="B131" s="29" t="s">
        <v>738</v>
      </c>
      <c r="C131" s="29" t="s">
        <v>7041</v>
      </c>
      <c r="D131" s="30">
        <v>45658.0</v>
      </c>
      <c r="E131" s="30">
        <v>45747.0</v>
      </c>
      <c r="F131" s="39">
        <v>5.0</v>
      </c>
      <c r="G131" s="39">
        <v>0.0</v>
      </c>
      <c r="H131" s="38" t="s">
        <v>7047</v>
      </c>
      <c r="I131" s="30">
        <v>45748.0</v>
      </c>
      <c r="J131" s="30">
        <v>45838.0</v>
      </c>
      <c r="K131" s="39">
        <v>1.5</v>
      </c>
      <c r="L131" s="39">
        <v>0.0</v>
      </c>
      <c r="M131" s="38" t="s">
        <v>7047</v>
      </c>
      <c r="N131" s="30">
        <v>45839.0</v>
      </c>
      <c r="O131" s="30">
        <v>45930.0</v>
      </c>
      <c r="P131" s="39">
        <v>8.0</v>
      </c>
      <c r="Q131" s="39">
        <v>0.0</v>
      </c>
      <c r="R131" s="38" t="s">
        <v>7047</v>
      </c>
      <c r="S131" s="30">
        <v>45931.0</v>
      </c>
      <c r="T131" s="30">
        <v>46022.0</v>
      </c>
      <c r="U131" s="39">
        <v>6.5</v>
      </c>
      <c r="V131" s="39">
        <v>0.0</v>
      </c>
      <c r="W131" s="38" t="s">
        <v>7047</v>
      </c>
      <c r="X131" s="30">
        <v>46023.0</v>
      </c>
      <c r="Y131" s="30">
        <v>46112.0</v>
      </c>
      <c r="Z131" s="39">
        <v>0.0</v>
      </c>
      <c r="AA131" s="39">
        <v>0.0</v>
      </c>
      <c r="AB131" s="35" t="s">
        <v>7045</v>
      </c>
      <c r="AC131" s="30">
        <v>46113.0</v>
      </c>
      <c r="AD131" s="30">
        <v>46203.0</v>
      </c>
      <c r="AE131" s="39">
        <v>11.64</v>
      </c>
      <c r="AF131" s="39">
        <v>0.0</v>
      </c>
      <c r="AG131" s="38" t="s">
        <v>7047</v>
      </c>
      <c r="AH131" s="30">
        <v>46204.0</v>
      </c>
      <c r="AI131" s="30">
        <v>46295.0</v>
      </c>
      <c r="AJ131" s="39">
        <v>0.0</v>
      </c>
      <c r="AK131" s="39">
        <v>0.0</v>
      </c>
      <c r="AL131" s="35" t="s">
        <v>7045</v>
      </c>
      <c r="AM131" s="30">
        <v>46296.0</v>
      </c>
      <c r="AN131" s="30">
        <v>46387.0</v>
      </c>
      <c r="AO131" s="39">
        <v>0.0</v>
      </c>
      <c r="AP131" s="39">
        <v>0.0</v>
      </c>
      <c r="AQ131" s="35" t="s">
        <v>7045</v>
      </c>
      <c r="AR131" s="30">
        <v>46388.0</v>
      </c>
      <c r="AS131" s="30">
        <v>46477.0</v>
      </c>
      <c r="AT131" s="39">
        <v>0.0</v>
      </c>
      <c r="AU131" s="39">
        <v>0.0</v>
      </c>
      <c r="AV131" s="35" t="s">
        <v>7045</v>
      </c>
      <c r="AW131" s="30">
        <v>46478.0</v>
      </c>
      <c r="AX131" s="30">
        <v>46568.0</v>
      </c>
      <c r="AY131" s="39">
        <v>0.0</v>
      </c>
      <c r="AZ131" s="39">
        <v>0.0</v>
      </c>
      <c r="BA131" s="35" t="s">
        <v>7045</v>
      </c>
      <c r="BB131" s="30">
        <v>46569.0</v>
      </c>
      <c r="BC131" s="30">
        <v>46660.0</v>
      </c>
      <c r="BD131" s="39">
        <v>0.0</v>
      </c>
      <c r="BE131" s="39">
        <v>0.0</v>
      </c>
      <c r="BF131" s="35" t="s">
        <v>7045</v>
      </c>
      <c r="BG131" s="30">
        <v>46661.0</v>
      </c>
      <c r="BH131" s="30">
        <v>46752.0</v>
      </c>
      <c r="BI131" s="39">
        <v>0.0</v>
      </c>
      <c r="BJ131" s="39">
        <v>0.0</v>
      </c>
      <c r="BK131" s="35" t="s">
        <v>7045</v>
      </c>
      <c r="BL131" s="30">
        <v>46753.0</v>
      </c>
      <c r="BM131" s="30">
        <v>46843.0</v>
      </c>
      <c r="BN131" s="39">
        <v>0.0</v>
      </c>
      <c r="BO131" s="39">
        <v>0.0</v>
      </c>
      <c r="BP131" s="35" t="s">
        <v>7045</v>
      </c>
      <c r="BQ131" s="30">
        <v>46844.0</v>
      </c>
      <c r="BR131" s="30">
        <v>46934.0</v>
      </c>
      <c r="BS131" s="39">
        <v>0.0</v>
      </c>
      <c r="BT131" s="39">
        <v>0.0</v>
      </c>
      <c r="BU131" s="35" t="s">
        <v>7045</v>
      </c>
      <c r="BV131" s="30">
        <v>46935.0</v>
      </c>
      <c r="BW131" s="30">
        <v>47026.0</v>
      </c>
      <c r="BX131" s="39">
        <v>0.0</v>
      </c>
      <c r="BY131" s="39">
        <v>0.0</v>
      </c>
      <c r="BZ131" s="35" t="s">
        <v>7045</v>
      </c>
      <c r="CA131" s="30">
        <v>47027.0</v>
      </c>
      <c r="CB131" s="30">
        <v>47118.0</v>
      </c>
      <c r="CC131" s="39">
        <v>0.0</v>
      </c>
      <c r="CD131" s="39">
        <v>0.0</v>
      </c>
      <c r="CE131" s="35" t="s">
        <v>7045</v>
      </c>
      <c r="CF131" s="30">
        <v>47119.0</v>
      </c>
      <c r="CG131" s="30">
        <v>47208.0</v>
      </c>
      <c r="CH131" s="39">
        <v>0.0</v>
      </c>
      <c r="CI131" s="39">
        <v>0.0</v>
      </c>
      <c r="CJ131" s="35" t="s">
        <v>7045</v>
      </c>
      <c r="CK131" s="30">
        <v>47209.0</v>
      </c>
      <c r="CL131" s="30">
        <v>47299.0</v>
      </c>
      <c r="CM131" s="39">
        <v>0.0</v>
      </c>
      <c r="CN131" s="39">
        <v>0.0</v>
      </c>
      <c r="CO131" s="35" t="s">
        <v>7045</v>
      </c>
      <c r="CP131" s="30">
        <v>47300.0</v>
      </c>
      <c r="CQ131" s="30">
        <v>47391.0</v>
      </c>
      <c r="CR131" s="39">
        <v>0.0</v>
      </c>
      <c r="CS131" s="39">
        <v>0.0</v>
      </c>
      <c r="CT131" s="35" t="s">
        <v>7045</v>
      </c>
      <c r="CU131" s="30">
        <v>47392.0</v>
      </c>
      <c r="CV131" s="30">
        <v>47483.0</v>
      </c>
      <c r="CW131" s="39">
        <v>0.0</v>
      </c>
      <c r="CX131" s="39">
        <v>0.0</v>
      </c>
      <c r="CY131" s="35" t="s">
        <v>7045</v>
      </c>
      <c r="CZ131" s="30">
        <v>47484.0</v>
      </c>
      <c r="DA131" s="30">
        <v>47573.0</v>
      </c>
      <c r="DB131" s="39">
        <v>0.0</v>
      </c>
      <c r="DC131" s="39">
        <v>0.0</v>
      </c>
      <c r="DD131" s="35" t="s">
        <v>7045</v>
      </c>
      <c r="DE131" s="30">
        <v>47574.0</v>
      </c>
      <c r="DF131" s="30">
        <v>47664.0</v>
      </c>
      <c r="DG131" s="39">
        <v>0.0</v>
      </c>
      <c r="DH131" s="39">
        <v>0.0</v>
      </c>
      <c r="DI131" s="35" t="s">
        <v>7045</v>
      </c>
      <c r="DJ131" s="30">
        <v>47665.0</v>
      </c>
      <c r="DK131" s="30">
        <v>47756.0</v>
      </c>
      <c r="DL131" s="39">
        <v>0.0</v>
      </c>
      <c r="DM131" s="39">
        <v>0.0</v>
      </c>
      <c r="DN131" s="35" t="s">
        <v>7045</v>
      </c>
      <c r="DO131" s="30">
        <v>47757.0</v>
      </c>
      <c r="DP131" s="30">
        <v>47848.0</v>
      </c>
      <c r="DQ131" s="39">
        <v>0.0</v>
      </c>
      <c r="DR131" s="39">
        <v>0.0</v>
      </c>
      <c r="DS131" s="35" t="s">
        <v>7045</v>
      </c>
    </row>
    <row r="132" ht="14.25" customHeight="1">
      <c r="A132" s="28" t="s">
        <v>827</v>
      </c>
      <c r="B132" s="29" t="s">
        <v>828</v>
      </c>
      <c r="C132" s="29" t="s">
        <v>7041</v>
      </c>
      <c r="D132" s="30">
        <v>45658.0</v>
      </c>
      <c r="E132" s="30">
        <v>45747.0</v>
      </c>
      <c r="F132" s="39">
        <v>15.28</v>
      </c>
      <c r="G132" s="39">
        <v>0.0</v>
      </c>
      <c r="H132" s="38" t="s">
        <v>7047</v>
      </c>
      <c r="I132" s="30">
        <v>45748.0</v>
      </c>
      <c r="J132" s="30">
        <v>45838.0</v>
      </c>
      <c r="K132" s="39">
        <v>292.4</v>
      </c>
      <c r="L132" s="39">
        <v>0.0</v>
      </c>
      <c r="M132" s="38" t="s">
        <v>7047</v>
      </c>
      <c r="N132" s="30">
        <v>45839.0</v>
      </c>
      <c r="O132" s="30">
        <v>45930.0</v>
      </c>
      <c r="P132" s="39">
        <v>0.0</v>
      </c>
      <c r="Q132" s="39">
        <v>0.0</v>
      </c>
      <c r="R132" s="35" t="s">
        <v>7045</v>
      </c>
      <c r="S132" s="30">
        <v>45931.0</v>
      </c>
      <c r="T132" s="30">
        <v>46022.0</v>
      </c>
      <c r="U132" s="39">
        <v>0.0</v>
      </c>
      <c r="V132" s="39">
        <v>0.0</v>
      </c>
      <c r="W132" s="35" t="s">
        <v>7045</v>
      </c>
      <c r="X132" s="30">
        <v>46023.0</v>
      </c>
      <c r="Y132" s="30">
        <v>46112.0</v>
      </c>
      <c r="Z132" s="39">
        <v>0.0</v>
      </c>
      <c r="AA132" s="39">
        <v>0.0</v>
      </c>
      <c r="AB132" s="35" t="s">
        <v>7045</v>
      </c>
      <c r="AC132" s="30">
        <v>46113.0</v>
      </c>
      <c r="AD132" s="30">
        <v>46203.0</v>
      </c>
      <c r="AE132" s="39">
        <v>0.0</v>
      </c>
      <c r="AF132" s="39">
        <v>0.0</v>
      </c>
      <c r="AG132" s="35" t="s">
        <v>7045</v>
      </c>
      <c r="AH132" s="30">
        <v>46204.0</v>
      </c>
      <c r="AI132" s="30">
        <v>46295.0</v>
      </c>
      <c r="AJ132" s="39">
        <v>0.0</v>
      </c>
      <c r="AK132" s="39">
        <v>0.0</v>
      </c>
      <c r="AL132" s="35" t="s">
        <v>7045</v>
      </c>
      <c r="AM132" s="30">
        <v>46296.0</v>
      </c>
      <c r="AN132" s="30">
        <v>46387.0</v>
      </c>
      <c r="AO132" s="39">
        <v>0.0</v>
      </c>
      <c r="AP132" s="39">
        <v>0.0</v>
      </c>
      <c r="AQ132" s="35" t="s">
        <v>7045</v>
      </c>
      <c r="AR132" s="30">
        <v>46388.0</v>
      </c>
      <c r="AS132" s="30">
        <v>46477.0</v>
      </c>
      <c r="AT132" s="39">
        <v>0.0</v>
      </c>
      <c r="AU132" s="39">
        <v>0.0</v>
      </c>
      <c r="AV132" s="35" t="s">
        <v>7045</v>
      </c>
      <c r="AW132" s="30">
        <v>46478.0</v>
      </c>
      <c r="AX132" s="30">
        <v>46568.0</v>
      </c>
      <c r="AY132" s="39">
        <v>0.0</v>
      </c>
      <c r="AZ132" s="39">
        <v>0.0</v>
      </c>
      <c r="BA132" s="35" t="s">
        <v>7045</v>
      </c>
      <c r="BB132" s="30">
        <v>46569.0</v>
      </c>
      <c r="BC132" s="30">
        <v>46660.0</v>
      </c>
      <c r="BD132" s="39">
        <v>0.0</v>
      </c>
      <c r="BE132" s="39">
        <v>0.0</v>
      </c>
      <c r="BF132" s="35" t="s">
        <v>7045</v>
      </c>
      <c r="BG132" s="30">
        <v>46661.0</v>
      </c>
      <c r="BH132" s="30">
        <v>46752.0</v>
      </c>
      <c r="BI132" s="39">
        <v>0.0</v>
      </c>
      <c r="BJ132" s="39">
        <v>0.0</v>
      </c>
      <c r="BK132" s="35" t="s">
        <v>7045</v>
      </c>
      <c r="BL132" s="30">
        <v>46753.0</v>
      </c>
      <c r="BM132" s="30">
        <v>46843.0</v>
      </c>
      <c r="BN132" s="39">
        <v>0.0</v>
      </c>
      <c r="BO132" s="39">
        <v>0.0</v>
      </c>
      <c r="BP132" s="35" t="s">
        <v>7045</v>
      </c>
      <c r="BQ132" s="30">
        <v>46844.0</v>
      </c>
      <c r="BR132" s="30">
        <v>46934.0</v>
      </c>
      <c r="BS132" s="39">
        <v>0.0</v>
      </c>
      <c r="BT132" s="39">
        <v>0.0</v>
      </c>
      <c r="BU132" s="35" t="s">
        <v>7045</v>
      </c>
      <c r="BV132" s="30">
        <v>46935.0</v>
      </c>
      <c r="BW132" s="30">
        <v>47026.0</v>
      </c>
      <c r="BX132" s="39">
        <v>0.0</v>
      </c>
      <c r="BY132" s="39">
        <v>0.0</v>
      </c>
      <c r="BZ132" s="35" t="s">
        <v>7045</v>
      </c>
      <c r="CA132" s="30">
        <v>47027.0</v>
      </c>
      <c r="CB132" s="30">
        <v>47118.0</v>
      </c>
      <c r="CC132" s="39">
        <v>0.0</v>
      </c>
      <c r="CD132" s="39">
        <v>0.0</v>
      </c>
      <c r="CE132" s="35" t="s">
        <v>7045</v>
      </c>
      <c r="CF132" s="30">
        <v>47119.0</v>
      </c>
      <c r="CG132" s="30">
        <v>47208.0</v>
      </c>
      <c r="CH132" s="39">
        <v>0.0</v>
      </c>
      <c r="CI132" s="39">
        <v>0.0</v>
      </c>
      <c r="CJ132" s="35" t="s">
        <v>7045</v>
      </c>
      <c r="CK132" s="30">
        <v>47209.0</v>
      </c>
      <c r="CL132" s="30">
        <v>47299.0</v>
      </c>
      <c r="CM132" s="39">
        <v>0.0</v>
      </c>
      <c r="CN132" s="39">
        <v>0.0</v>
      </c>
      <c r="CO132" s="35" t="s">
        <v>7045</v>
      </c>
      <c r="CP132" s="30">
        <v>47300.0</v>
      </c>
      <c r="CQ132" s="30">
        <v>47391.0</v>
      </c>
      <c r="CR132" s="39">
        <v>0.0</v>
      </c>
      <c r="CS132" s="39">
        <v>0.0</v>
      </c>
      <c r="CT132" s="35" t="s">
        <v>7045</v>
      </c>
      <c r="CU132" s="30">
        <v>47392.0</v>
      </c>
      <c r="CV132" s="30">
        <v>47483.0</v>
      </c>
      <c r="CW132" s="39">
        <v>0.0</v>
      </c>
      <c r="CX132" s="39">
        <v>0.0</v>
      </c>
      <c r="CY132" s="35" t="s">
        <v>7045</v>
      </c>
      <c r="CZ132" s="30">
        <v>47484.0</v>
      </c>
      <c r="DA132" s="30">
        <v>47573.0</v>
      </c>
      <c r="DB132" s="39">
        <v>0.0</v>
      </c>
      <c r="DC132" s="39">
        <v>0.0</v>
      </c>
      <c r="DD132" s="35" t="s">
        <v>7045</v>
      </c>
      <c r="DE132" s="30">
        <v>47574.0</v>
      </c>
      <c r="DF132" s="30">
        <v>47664.0</v>
      </c>
      <c r="DG132" s="39">
        <v>0.0</v>
      </c>
      <c r="DH132" s="39">
        <v>0.0</v>
      </c>
      <c r="DI132" s="35" t="s">
        <v>7045</v>
      </c>
      <c r="DJ132" s="30">
        <v>47665.0</v>
      </c>
      <c r="DK132" s="30">
        <v>47756.0</v>
      </c>
      <c r="DL132" s="39">
        <v>0.0</v>
      </c>
      <c r="DM132" s="39">
        <v>0.0</v>
      </c>
      <c r="DN132" s="35" t="s">
        <v>7045</v>
      </c>
      <c r="DO132" s="30">
        <v>47757.0</v>
      </c>
      <c r="DP132" s="30">
        <v>47848.0</v>
      </c>
      <c r="DQ132" s="39">
        <v>0.0</v>
      </c>
      <c r="DR132" s="39">
        <v>0.0</v>
      </c>
      <c r="DS132" s="35" t="s">
        <v>7045</v>
      </c>
    </row>
    <row r="133" ht="14.25" customHeight="1">
      <c r="A133" s="28" t="s">
        <v>941</v>
      </c>
      <c r="B133" s="29" t="s">
        <v>942</v>
      </c>
      <c r="C133" s="29" t="s">
        <v>7041</v>
      </c>
      <c r="D133" s="30">
        <v>45658.0</v>
      </c>
      <c r="E133" s="30">
        <v>45747.0</v>
      </c>
      <c r="F133" s="39">
        <v>0.0</v>
      </c>
      <c r="G133" s="39">
        <v>0.0</v>
      </c>
      <c r="H133" s="35" t="s">
        <v>7045</v>
      </c>
      <c r="I133" s="30">
        <v>45748.0</v>
      </c>
      <c r="J133" s="30">
        <v>45838.0</v>
      </c>
      <c r="K133" s="39">
        <v>0.0</v>
      </c>
      <c r="L133" s="39">
        <v>0.0</v>
      </c>
      <c r="M133" s="35" t="s">
        <v>7045</v>
      </c>
      <c r="N133" s="30">
        <v>45839.0</v>
      </c>
      <c r="O133" s="30">
        <v>45930.0</v>
      </c>
      <c r="P133" s="39">
        <v>130.43</v>
      </c>
      <c r="Q133" s="39">
        <v>0.0</v>
      </c>
      <c r="R133" s="38" t="s">
        <v>7047</v>
      </c>
      <c r="S133" s="30">
        <v>45931.0</v>
      </c>
      <c r="T133" s="30">
        <v>46022.0</v>
      </c>
      <c r="U133" s="39">
        <v>0.0</v>
      </c>
      <c r="V133" s="39">
        <v>0.0</v>
      </c>
      <c r="W133" s="35" t="s">
        <v>7045</v>
      </c>
      <c r="X133" s="30">
        <v>46023.0</v>
      </c>
      <c r="Y133" s="30">
        <v>46112.0</v>
      </c>
      <c r="Z133" s="39">
        <v>0.0</v>
      </c>
      <c r="AA133" s="39">
        <v>0.0</v>
      </c>
      <c r="AB133" s="35" t="s">
        <v>7045</v>
      </c>
      <c r="AC133" s="30">
        <v>46113.0</v>
      </c>
      <c r="AD133" s="30">
        <v>46203.0</v>
      </c>
      <c r="AE133" s="39">
        <v>130.43</v>
      </c>
      <c r="AF133" s="39">
        <v>0.0</v>
      </c>
      <c r="AG133" s="38" t="s">
        <v>7047</v>
      </c>
      <c r="AH133" s="30">
        <v>46204.0</v>
      </c>
      <c r="AI133" s="30">
        <v>46295.0</v>
      </c>
      <c r="AJ133" s="39">
        <v>0.0</v>
      </c>
      <c r="AK133" s="39">
        <v>0.0</v>
      </c>
      <c r="AL133" s="35" t="s">
        <v>7045</v>
      </c>
      <c r="AM133" s="30">
        <v>46296.0</v>
      </c>
      <c r="AN133" s="30">
        <v>46387.0</v>
      </c>
      <c r="AO133" s="39">
        <v>0.0</v>
      </c>
      <c r="AP133" s="39">
        <v>0.0</v>
      </c>
      <c r="AQ133" s="35" t="s">
        <v>7045</v>
      </c>
      <c r="AR133" s="30">
        <v>46388.0</v>
      </c>
      <c r="AS133" s="30">
        <v>46477.0</v>
      </c>
      <c r="AT133" s="39">
        <v>0.0</v>
      </c>
      <c r="AU133" s="39">
        <v>0.0</v>
      </c>
      <c r="AV133" s="35" t="s">
        <v>7045</v>
      </c>
      <c r="AW133" s="30">
        <v>46478.0</v>
      </c>
      <c r="AX133" s="30">
        <v>46568.0</v>
      </c>
      <c r="AY133" s="39">
        <v>0.0</v>
      </c>
      <c r="AZ133" s="39">
        <v>0.0</v>
      </c>
      <c r="BA133" s="35" t="s">
        <v>7045</v>
      </c>
      <c r="BB133" s="30">
        <v>46569.0</v>
      </c>
      <c r="BC133" s="30">
        <v>46660.0</v>
      </c>
      <c r="BD133" s="39">
        <v>0.0</v>
      </c>
      <c r="BE133" s="39">
        <v>0.0</v>
      </c>
      <c r="BF133" s="35" t="s">
        <v>7045</v>
      </c>
      <c r="BG133" s="30">
        <v>46661.0</v>
      </c>
      <c r="BH133" s="30">
        <v>46752.0</v>
      </c>
      <c r="BI133" s="39">
        <v>0.0</v>
      </c>
      <c r="BJ133" s="39">
        <v>0.0</v>
      </c>
      <c r="BK133" s="35" t="s">
        <v>7045</v>
      </c>
      <c r="BL133" s="30">
        <v>46753.0</v>
      </c>
      <c r="BM133" s="30">
        <v>46843.0</v>
      </c>
      <c r="BN133" s="39">
        <v>0.0</v>
      </c>
      <c r="BO133" s="39">
        <v>0.0</v>
      </c>
      <c r="BP133" s="35" t="s">
        <v>7045</v>
      </c>
      <c r="BQ133" s="30">
        <v>46844.0</v>
      </c>
      <c r="BR133" s="30">
        <v>46934.0</v>
      </c>
      <c r="BS133" s="39">
        <v>0.0</v>
      </c>
      <c r="BT133" s="39">
        <v>0.0</v>
      </c>
      <c r="BU133" s="35" t="s">
        <v>7045</v>
      </c>
      <c r="BV133" s="30">
        <v>46935.0</v>
      </c>
      <c r="BW133" s="30">
        <v>47026.0</v>
      </c>
      <c r="BX133" s="39">
        <v>0.0</v>
      </c>
      <c r="BY133" s="39">
        <v>0.0</v>
      </c>
      <c r="BZ133" s="35" t="s">
        <v>7045</v>
      </c>
      <c r="CA133" s="30">
        <v>47027.0</v>
      </c>
      <c r="CB133" s="30">
        <v>47118.0</v>
      </c>
      <c r="CC133" s="39">
        <v>0.0</v>
      </c>
      <c r="CD133" s="39">
        <v>0.0</v>
      </c>
      <c r="CE133" s="35" t="s">
        <v>7045</v>
      </c>
      <c r="CF133" s="30">
        <v>47119.0</v>
      </c>
      <c r="CG133" s="30">
        <v>47208.0</v>
      </c>
      <c r="CH133" s="39">
        <v>0.0</v>
      </c>
      <c r="CI133" s="39">
        <v>0.0</v>
      </c>
      <c r="CJ133" s="35" t="s">
        <v>7045</v>
      </c>
      <c r="CK133" s="30">
        <v>47209.0</v>
      </c>
      <c r="CL133" s="30">
        <v>47299.0</v>
      </c>
      <c r="CM133" s="39">
        <v>0.0</v>
      </c>
      <c r="CN133" s="39">
        <v>0.0</v>
      </c>
      <c r="CO133" s="35" t="s">
        <v>7045</v>
      </c>
      <c r="CP133" s="30">
        <v>47300.0</v>
      </c>
      <c r="CQ133" s="30">
        <v>47391.0</v>
      </c>
      <c r="CR133" s="39">
        <v>0.0</v>
      </c>
      <c r="CS133" s="39">
        <v>0.0</v>
      </c>
      <c r="CT133" s="35" t="s">
        <v>7045</v>
      </c>
      <c r="CU133" s="30">
        <v>47392.0</v>
      </c>
      <c r="CV133" s="30">
        <v>47483.0</v>
      </c>
      <c r="CW133" s="39">
        <v>0.0</v>
      </c>
      <c r="CX133" s="39">
        <v>0.0</v>
      </c>
      <c r="CY133" s="35" t="s">
        <v>7045</v>
      </c>
      <c r="CZ133" s="30">
        <v>47484.0</v>
      </c>
      <c r="DA133" s="30">
        <v>47573.0</v>
      </c>
      <c r="DB133" s="39">
        <v>0.0</v>
      </c>
      <c r="DC133" s="39">
        <v>0.0</v>
      </c>
      <c r="DD133" s="35" t="s">
        <v>7045</v>
      </c>
      <c r="DE133" s="30">
        <v>47574.0</v>
      </c>
      <c r="DF133" s="30">
        <v>47664.0</v>
      </c>
      <c r="DG133" s="39">
        <v>0.0</v>
      </c>
      <c r="DH133" s="39">
        <v>0.0</v>
      </c>
      <c r="DI133" s="35" t="s">
        <v>7045</v>
      </c>
      <c r="DJ133" s="30">
        <v>47665.0</v>
      </c>
      <c r="DK133" s="30">
        <v>47756.0</v>
      </c>
      <c r="DL133" s="39">
        <v>0.0</v>
      </c>
      <c r="DM133" s="39">
        <v>0.0</v>
      </c>
      <c r="DN133" s="35" t="s">
        <v>7045</v>
      </c>
      <c r="DO133" s="30">
        <v>47757.0</v>
      </c>
      <c r="DP133" s="30">
        <v>47848.0</v>
      </c>
      <c r="DQ133" s="39">
        <v>0.0</v>
      </c>
      <c r="DR133" s="39">
        <v>0.0</v>
      </c>
      <c r="DS133" s="35" t="s">
        <v>7045</v>
      </c>
    </row>
    <row r="134" ht="14.25" customHeight="1">
      <c r="A134" s="28" t="s">
        <v>1036</v>
      </c>
      <c r="B134" s="29" t="s">
        <v>1037</v>
      </c>
      <c r="C134" s="29" t="s">
        <v>7041</v>
      </c>
      <c r="D134" s="30">
        <v>45658.0</v>
      </c>
      <c r="E134" s="30">
        <v>45747.0</v>
      </c>
      <c r="F134" s="39">
        <v>20.0</v>
      </c>
      <c r="G134" s="39">
        <v>0.0</v>
      </c>
      <c r="H134" s="38" t="s">
        <v>7047</v>
      </c>
      <c r="I134" s="30">
        <v>45748.0</v>
      </c>
      <c r="J134" s="30">
        <v>45838.0</v>
      </c>
      <c r="K134" s="39">
        <v>20.0</v>
      </c>
      <c r="L134" s="39">
        <v>0.0</v>
      </c>
      <c r="M134" s="38" t="s">
        <v>7047</v>
      </c>
      <c r="N134" s="30">
        <v>45839.0</v>
      </c>
      <c r="O134" s="30">
        <v>45930.0</v>
      </c>
      <c r="P134" s="39">
        <v>20.0</v>
      </c>
      <c r="Q134" s="39">
        <v>0.0</v>
      </c>
      <c r="R134" s="38" t="s">
        <v>7047</v>
      </c>
      <c r="S134" s="30">
        <v>45931.0</v>
      </c>
      <c r="T134" s="30">
        <v>46022.0</v>
      </c>
      <c r="U134" s="39">
        <v>0.0</v>
      </c>
      <c r="V134" s="39">
        <v>0.0</v>
      </c>
      <c r="W134" s="35" t="s">
        <v>7045</v>
      </c>
      <c r="X134" s="30">
        <v>46023.0</v>
      </c>
      <c r="Y134" s="30">
        <v>46112.0</v>
      </c>
      <c r="Z134" s="39">
        <v>0.0</v>
      </c>
      <c r="AA134" s="39">
        <v>0.0</v>
      </c>
      <c r="AB134" s="35" t="s">
        <v>7045</v>
      </c>
      <c r="AC134" s="30">
        <v>46113.0</v>
      </c>
      <c r="AD134" s="30">
        <v>46203.0</v>
      </c>
      <c r="AE134" s="39">
        <v>0.0</v>
      </c>
      <c r="AF134" s="39">
        <v>0.0</v>
      </c>
      <c r="AG134" s="35" t="s">
        <v>7045</v>
      </c>
      <c r="AH134" s="30">
        <v>46204.0</v>
      </c>
      <c r="AI134" s="30">
        <v>46295.0</v>
      </c>
      <c r="AJ134" s="39">
        <v>0.0</v>
      </c>
      <c r="AK134" s="39">
        <v>0.0</v>
      </c>
      <c r="AL134" s="35" t="s">
        <v>7045</v>
      </c>
      <c r="AM134" s="30">
        <v>46296.0</v>
      </c>
      <c r="AN134" s="30">
        <v>46387.0</v>
      </c>
      <c r="AO134" s="39">
        <v>0.0</v>
      </c>
      <c r="AP134" s="39">
        <v>0.0</v>
      </c>
      <c r="AQ134" s="35" t="s">
        <v>7045</v>
      </c>
      <c r="AR134" s="30">
        <v>46388.0</v>
      </c>
      <c r="AS134" s="30">
        <v>46477.0</v>
      </c>
      <c r="AT134" s="39">
        <v>0.0</v>
      </c>
      <c r="AU134" s="39">
        <v>0.0</v>
      </c>
      <c r="AV134" s="35" t="s">
        <v>7045</v>
      </c>
      <c r="AW134" s="30">
        <v>46478.0</v>
      </c>
      <c r="AX134" s="30">
        <v>46568.0</v>
      </c>
      <c r="AY134" s="39">
        <v>0.0</v>
      </c>
      <c r="AZ134" s="39">
        <v>0.0</v>
      </c>
      <c r="BA134" s="35" t="s">
        <v>7045</v>
      </c>
      <c r="BB134" s="30">
        <v>46569.0</v>
      </c>
      <c r="BC134" s="30">
        <v>46660.0</v>
      </c>
      <c r="BD134" s="39">
        <v>0.0</v>
      </c>
      <c r="BE134" s="39">
        <v>0.0</v>
      </c>
      <c r="BF134" s="35" t="s">
        <v>7045</v>
      </c>
      <c r="BG134" s="30">
        <v>46661.0</v>
      </c>
      <c r="BH134" s="30">
        <v>46752.0</v>
      </c>
      <c r="BI134" s="39">
        <v>0.0</v>
      </c>
      <c r="BJ134" s="39">
        <v>0.0</v>
      </c>
      <c r="BK134" s="35" t="s">
        <v>7045</v>
      </c>
      <c r="BL134" s="30">
        <v>46753.0</v>
      </c>
      <c r="BM134" s="30">
        <v>46843.0</v>
      </c>
      <c r="BN134" s="39">
        <v>0.0</v>
      </c>
      <c r="BO134" s="39">
        <v>0.0</v>
      </c>
      <c r="BP134" s="35" t="s">
        <v>7045</v>
      </c>
      <c r="BQ134" s="30">
        <v>46844.0</v>
      </c>
      <c r="BR134" s="30">
        <v>46934.0</v>
      </c>
      <c r="BS134" s="39">
        <v>0.0</v>
      </c>
      <c r="BT134" s="39">
        <v>0.0</v>
      </c>
      <c r="BU134" s="35" t="s">
        <v>7045</v>
      </c>
      <c r="BV134" s="30">
        <v>46935.0</v>
      </c>
      <c r="BW134" s="30">
        <v>47026.0</v>
      </c>
      <c r="BX134" s="39">
        <v>0.0</v>
      </c>
      <c r="BY134" s="39">
        <v>0.0</v>
      </c>
      <c r="BZ134" s="35" t="s">
        <v>7045</v>
      </c>
      <c r="CA134" s="30">
        <v>47027.0</v>
      </c>
      <c r="CB134" s="30">
        <v>47118.0</v>
      </c>
      <c r="CC134" s="39">
        <v>0.0</v>
      </c>
      <c r="CD134" s="39">
        <v>0.0</v>
      </c>
      <c r="CE134" s="35" t="s">
        <v>7045</v>
      </c>
      <c r="CF134" s="30">
        <v>47119.0</v>
      </c>
      <c r="CG134" s="30">
        <v>47208.0</v>
      </c>
      <c r="CH134" s="39">
        <v>0.0</v>
      </c>
      <c r="CI134" s="39">
        <v>0.0</v>
      </c>
      <c r="CJ134" s="35" t="s">
        <v>7045</v>
      </c>
      <c r="CK134" s="30">
        <v>47209.0</v>
      </c>
      <c r="CL134" s="30">
        <v>47299.0</v>
      </c>
      <c r="CM134" s="39">
        <v>0.0</v>
      </c>
      <c r="CN134" s="39">
        <v>0.0</v>
      </c>
      <c r="CO134" s="35" t="s">
        <v>7045</v>
      </c>
      <c r="CP134" s="30">
        <v>47300.0</v>
      </c>
      <c r="CQ134" s="30">
        <v>47391.0</v>
      </c>
      <c r="CR134" s="39">
        <v>0.0</v>
      </c>
      <c r="CS134" s="39">
        <v>0.0</v>
      </c>
      <c r="CT134" s="35" t="s">
        <v>7045</v>
      </c>
      <c r="CU134" s="30">
        <v>47392.0</v>
      </c>
      <c r="CV134" s="30">
        <v>47483.0</v>
      </c>
      <c r="CW134" s="39">
        <v>0.0</v>
      </c>
      <c r="CX134" s="39">
        <v>0.0</v>
      </c>
      <c r="CY134" s="35" t="s">
        <v>7045</v>
      </c>
      <c r="CZ134" s="30">
        <v>47484.0</v>
      </c>
      <c r="DA134" s="30">
        <v>47573.0</v>
      </c>
      <c r="DB134" s="39">
        <v>0.0</v>
      </c>
      <c r="DC134" s="39">
        <v>0.0</v>
      </c>
      <c r="DD134" s="35" t="s">
        <v>7045</v>
      </c>
      <c r="DE134" s="30">
        <v>47574.0</v>
      </c>
      <c r="DF134" s="30">
        <v>47664.0</v>
      </c>
      <c r="DG134" s="39">
        <v>0.0</v>
      </c>
      <c r="DH134" s="39">
        <v>0.0</v>
      </c>
      <c r="DI134" s="35" t="s">
        <v>7045</v>
      </c>
      <c r="DJ134" s="30">
        <v>47665.0</v>
      </c>
      <c r="DK134" s="30">
        <v>47756.0</v>
      </c>
      <c r="DL134" s="39">
        <v>0.0</v>
      </c>
      <c r="DM134" s="39">
        <v>0.0</v>
      </c>
      <c r="DN134" s="35" t="s">
        <v>7045</v>
      </c>
      <c r="DO134" s="30">
        <v>47757.0</v>
      </c>
      <c r="DP134" s="30">
        <v>47848.0</v>
      </c>
      <c r="DQ134" s="39">
        <v>0.0</v>
      </c>
      <c r="DR134" s="39">
        <v>0.0</v>
      </c>
      <c r="DS134" s="35" t="s">
        <v>7045</v>
      </c>
    </row>
    <row r="135" ht="14.25" customHeight="1">
      <c r="A135" s="28" t="s">
        <v>1057</v>
      </c>
      <c r="B135" s="29" t="s">
        <v>1058</v>
      </c>
      <c r="C135" s="29" t="s">
        <v>7041</v>
      </c>
      <c r="D135" s="30">
        <v>45658.0</v>
      </c>
      <c r="E135" s="30">
        <v>45747.0</v>
      </c>
      <c r="F135" s="36">
        <v>24.6</v>
      </c>
      <c r="G135" s="36">
        <v>0.0</v>
      </c>
      <c r="H135" s="38" t="s">
        <v>7047</v>
      </c>
      <c r="I135" s="30">
        <v>45748.0</v>
      </c>
      <c r="J135" s="30">
        <v>45838.0</v>
      </c>
      <c r="K135" s="36">
        <v>2.97</v>
      </c>
      <c r="L135" s="36">
        <v>690.45</v>
      </c>
      <c r="M135" s="32" t="s">
        <v>7043</v>
      </c>
      <c r="N135" s="30">
        <v>45839.0</v>
      </c>
      <c r="O135" s="30">
        <v>45930.0</v>
      </c>
      <c r="P135" s="36">
        <v>355.08</v>
      </c>
      <c r="Q135" s="36">
        <v>1033.35</v>
      </c>
      <c r="R135" s="38" t="s">
        <v>7047</v>
      </c>
      <c r="S135" s="30">
        <v>45931.0</v>
      </c>
      <c r="T135" s="30">
        <v>46022.0</v>
      </c>
      <c r="U135" s="36">
        <v>114.94</v>
      </c>
      <c r="V135" s="36">
        <v>1049.98</v>
      </c>
      <c r="W135" s="38" t="s">
        <v>7047</v>
      </c>
      <c r="X135" s="30">
        <v>46023.0</v>
      </c>
      <c r="Y135" s="30">
        <v>46112.0</v>
      </c>
      <c r="Z135" s="36">
        <v>11.99</v>
      </c>
      <c r="AA135" s="36">
        <v>0.0</v>
      </c>
      <c r="AB135" s="38" t="s">
        <v>7047</v>
      </c>
      <c r="AC135" s="30">
        <v>46113.0</v>
      </c>
      <c r="AD135" s="30">
        <v>46203.0</v>
      </c>
      <c r="AE135" s="36">
        <v>779.93</v>
      </c>
      <c r="AF135" s="36">
        <v>0.0</v>
      </c>
      <c r="AG135" s="38" t="s">
        <v>7047</v>
      </c>
      <c r="AH135" s="30">
        <v>46204.0</v>
      </c>
      <c r="AI135" s="30">
        <v>46295.0</v>
      </c>
      <c r="AJ135" s="36">
        <v>0.0</v>
      </c>
      <c r="AK135" s="36">
        <v>0.0</v>
      </c>
      <c r="AL135" s="35" t="s">
        <v>7045</v>
      </c>
      <c r="AM135" s="30">
        <v>46296.0</v>
      </c>
      <c r="AN135" s="30">
        <v>46387.0</v>
      </c>
      <c r="AO135" s="36">
        <v>1.7</v>
      </c>
      <c r="AP135" s="36">
        <v>0.0</v>
      </c>
      <c r="AQ135" s="38" t="s">
        <v>7047</v>
      </c>
      <c r="AR135" s="30">
        <v>46388.0</v>
      </c>
      <c r="AS135" s="30">
        <v>46477.0</v>
      </c>
      <c r="AT135" s="36">
        <v>0.0</v>
      </c>
      <c r="AU135" s="36">
        <v>0.0</v>
      </c>
      <c r="AV135" s="35" t="s">
        <v>7045</v>
      </c>
      <c r="AW135" s="30">
        <v>46478.0</v>
      </c>
      <c r="AX135" s="30">
        <v>46568.0</v>
      </c>
      <c r="AY135" s="36">
        <v>0.0</v>
      </c>
      <c r="AZ135" s="36">
        <v>0.0</v>
      </c>
      <c r="BA135" s="35" t="s">
        <v>7045</v>
      </c>
      <c r="BB135" s="30">
        <v>46569.0</v>
      </c>
      <c r="BC135" s="30">
        <v>46660.0</v>
      </c>
      <c r="BD135" s="36">
        <v>0.0</v>
      </c>
      <c r="BE135" s="36">
        <v>0.0</v>
      </c>
      <c r="BF135" s="35" t="s">
        <v>7045</v>
      </c>
      <c r="BG135" s="30">
        <v>46661.0</v>
      </c>
      <c r="BH135" s="30">
        <v>46752.0</v>
      </c>
      <c r="BI135" s="36">
        <v>0.0</v>
      </c>
      <c r="BJ135" s="36">
        <v>0.0</v>
      </c>
      <c r="BK135" s="35" t="s">
        <v>7045</v>
      </c>
      <c r="BL135" s="30">
        <v>46753.0</v>
      </c>
      <c r="BM135" s="30">
        <v>46843.0</v>
      </c>
      <c r="BN135" s="36">
        <v>0.0</v>
      </c>
      <c r="BO135" s="36">
        <v>0.0</v>
      </c>
      <c r="BP135" s="35" t="s">
        <v>7045</v>
      </c>
      <c r="BQ135" s="30">
        <v>46844.0</v>
      </c>
      <c r="BR135" s="30">
        <v>46934.0</v>
      </c>
      <c r="BS135" s="36">
        <v>0.0</v>
      </c>
      <c r="BT135" s="36">
        <v>0.0</v>
      </c>
      <c r="BU135" s="35" t="s">
        <v>7045</v>
      </c>
      <c r="BV135" s="30">
        <v>46935.0</v>
      </c>
      <c r="BW135" s="30">
        <v>47026.0</v>
      </c>
      <c r="BX135" s="36">
        <v>0.0</v>
      </c>
      <c r="BY135" s="36">
        <v>0.0</v>
      </c>
      <c r="BZ135" s="35" t="s">
        <v>7045</v>
      </c>
      <c r="CA135" s="30">
        <v>47027.0</v>
      </c>
      <c r="CB135" s="30">
        <v>47118.0</v>
      </c>
      <c r="CC135" s="36">
        <v>0.0</v>
      </c>
      <c r="CD135" s="36">
        <v>0.0</v>
      </c>
      <c r="CE135" s="35" t="s">
        <v>7045</v>
      </c>
      <c r="CF135" s="30">
        <v>47119.0</v>
      </c>
      <c r="CG135" s="30">
        <v>47208.0</v>
      </c>
      <c r="CH135" s="36">
        <v>0.0</v>
      </c>
      <c r="CI135" s="36">
        <v>0.0</v>
      </c>
      <c r="CJ135" s="35" t="s">
        <v>7045</v>
      </c>
      <c r="CK135" s="30">
        <v>47209.0</v>
      </c>
      <c r="CL135" s="30">
        <v>47299.0</v>
      </c>
      <c r="CM135" s="36">
        <v>0.0</v>
      </c>
      <c r="CN135" s="36">
        <v>0.0</v>
      </c>
      <c r="CO135" s="35" t="s">
        <v>7045</v>
      </c>
      <c r="CP135" s="30">
        <v>47300.0</v>
      </c>
      <c r="CQ135" s="30">
        <v>47391.0</v>
      </c>
      <c r="CR135" s="36">
        <v>0.0</v>
      </c>
      <c r="CS135" s="36">
        <v>0.0</v>
      </c>
      <c r="CT135" s="35" t="s">
        <v>7045</v>
      </c>
      <c r="CU135" s="30">
        <v>47392.0</v>
      </c>
      <c r="CV135" s="30">
        <v>47483.0</v>
      </c>
      <c r="CW135" s="36">
        <v>0.0</v>
      </c>
      <c r="CX135" s="36">
        <v>0.0</v>
      </c>
      <c r="CY135" s="35" t="s">
        <v>7045</v>
      </c>
      <c r="CZ135" s="30">
        <v>47484.0</v>
      </c>
      <c r="DA135" s="30">
        <v>47573.0</v>
      </c>
      <c r="DB135" s="36">
        <v>0.0</v>
      </c>
      <c r="DC135" s="36">
        <v>0.0</v>
      </c>
      <c r="DD135" s="35" t="s">
        <v>7045</v>
      </c>
      <c r="DE135" s="30">
        <v>47574.0</v>
      </c>
      <c r="DF135" s="30">
        <v>47664.0</v>
      </c>
      <c r="DG135" s="36">
        <v>0.0</v>
      </c>
      <c r="DH135" s="36">
        <v>0.0</v>
      </c>
      <c r="DI135" s="35" t="s">
        <v>7045</v>
      </c>
      <c r="DJ135" s="30">
        <v>47665.0</v>
      </c>
      <c r="DK135" s="30">
        <v>47756.0</v>
      </c>
      <c r="DL135" s="36">
        <v>0.0</v>
      </c>
      <c r="DM135" s="36">
        <v>0.0</v>
      </c>
      <c r="DN135" s="35" t="s">
        <v>7045</v>
      </c>
      <c r="DO135" s="30">
        <v>47757.0</v>
      </c>
      <c r="DP135" s="30">
        <v>47848.0</v>
      </c>
      <c r="DQ135" s="36">
        <v>0.0</v>
      </c>
      <c r="DR135" s="36">
        <v>0.0</v>
      </c>
      <c r="DS135" s="35" t="s">
        <v>7045</v>
      </c>
    </row>
    <row r="136" ht="14.25" customHeight="1">
      <c r="A136" s="28" t="s">
        <v>1109</v>
      </c>
      <c r="B136" s="29" t="s">
        <v>1110</v>
      </c>
      <c r="C136" s="29" t="s">
        <v>7041</v>
      </c>
      <c r="D136" s="30">
        <v>45658.0</v>
      </c>
      <c r="E136" s="30">
        <v>45747.0</v>
      </c>
      <c r="F136" s="39">
        <v>2.5</v>
      </c>
      <c r="G136" s="39">
        <v>0.0</v>
      </c>
      <c r="H136" s="38" t="s">
        <v>7047</v>
      </c>
      <c r="I136" s="30">
        <v>45748.0</v>
      </c>
      <c r="J136" s="30">
        <v>45838.0</v>
      </c>
      <c r="K136" s="39">
        <v>40.0</v>
      </c>
      <c r="L136" s="39">
        <v>166.67</v>
      </c>
      <c r="M136" s="38" t="s">
        <v>7047</v>
      </c>
      <c r="N136" s="30">
        <v>45839.0</v>
      </c>
      <c r="O136" s="30">
        <v>45930.0</v>
      </c>
      <c r="P136" s="39">
        <v>90.0</v>
      </c>
      <c r="Q136" s="39">
        <v>166.67</v>
      </c>
      <c r="R136" s="38" t="s">
        <v>7047</v>
      </c>
      <c r="S136" s="30">
        <v>45931.0</v>
      </c>
      <c r="T136" s="30">
        <v>46022.0</v>
      </c>
      <c r="U136" s="39">
        <v>133.0</v>
      </c>
      <c r="V136" s="39">
        <v>166.67</v>
      </c>
      <c r="W136" s="38" t="s">
        <v>7047</v>
      </c>
      <c r="X136" s="30">
        <v>46023.0</v>
      </c>
      <c r="Y136" s="30">
        <v>46112.0</v>
      </c>
      <c r="Z136" s="39">
        <v>0.0</v>
      </c>
      <c r="AA136" s="39">
        <v>0.0</v>
      </c>
      <c r="AB136" s="35" t="s">
        <v>7045</v>
      </c>
      <c r="AC136" s="30">
        <v>46113.0</v>
      </c>
      <c r="AD136" s="30">
        <v>46203.0</v>
      </c>
      <c r="AE136" s="39">
        <v>0.0</v>
      </c>
      <c r="AF136" s="39">
        <v>0.0</v>
      </c>
      <c r="AG136" s="35" t="s">
        <v>7045</v>
      </c>
      <c r="AH136" s="30">
        <v>46204.0</v>
      </c>
      <c r="AI136" s="30">
        <v>46295.0</v>
      </c>
      <c r="AJ136" s="39">
        <v>0.0</v>
      </c>
      <c r="AK136" s="39">
        <v>0.0</v>
      </c>
      <c r="AL136" s="35" t="s">
        <v>7045</v>
      </c>
      <c r="AM136" s="30">
        <v>46296.0</v>
      </c>
      <c r="AN136" s="30">
        <v>46387.0</v>
      </c>
      <c r="AO136" s="39">
        <v>0.0</v>
      </c>
      <c r="AP136" s="39">
        <v>0.0</v>
      </c>
      <c r="AQ136" s="35" t="s">
        <v>7045</v>
      </c>
      <c r="AR136" s="30">
        <v>46388.0</v>
      </c>
      <c r="AS136" s="30">
        <v>46477.0</v>
      </c>
      <c r="AT136" s="39">
        <v>0.0</v>
      </c>
      <c r="AU136" s="39">
        <v>0.0</v>
      </c>
      <c r="AV136" s="35" t="s">
        <v>7045</v>
      </c>
      <c r="AW136" s="30">
        <v>46478.0</v>
      </c>
      <c r="AX136" s="30">
        <v>46568.0</v>
      </c>
      <c r="AY136" s="39">
        <v>0.0</v>
      </c>
      <c r="AZ136" s="39">
        <v>0.0</v>
      </c>
      <c r="BA136" s="35" t="s">
        <v>7045</v>
      </c>
      <c r="BB136" s="30">
        <v>46569.0</v>
      </c>
      <c r="BC136" s="30">
        <v>46660.0</v>
      </c>
      <c r="BD136" s="39">
        <v>0.0</v>
      </c>
      <c r="BE136" s="39">
        <v>0.0</v>
      </c>
      <c r="BF136" s="35" t="s">
        <v>7045</v>
      </c>
      <c r="BG136" s="30">
        <v>46661.0</v>
      </c>
      <c r="BH136" s="30">
        <v>46752.0</v>
      </c>
      <c r="BI136" s="39">
        <v>0.0</v>
      </c>
      <c r="BJ136" s="39">
        <v>0.0</v>
      </c>
      <c r="BK136" s="35" t="s">
        <v>7045</v>
      </c>
      <c r="BL136" s="30">
        <v>46753.0</v>
      </c>
      <c r="BM136" s="30">
        <v>46843.0</v>
      </c>
      <c r="BN136" s="39">
        <v>0.0</v>
      </c>
      <c r="BO136" s="39">
        <v>0.0</v>
      </c>
      <c r="BP136" s="35" t="s">
        <v>7045</v>
      </c>
      <c r="BQ136" s="30">
        <v>46844.0</v>
      </c>
      <c r="BR136" s="30">
        <v>46934.0</v>
      </c>
      <c r="BS136" s="39">
        <v>0.0</v>
      </c>
      <c r="BT136" s="39">
        <v>0.0</v>
      </c>
      <c r="BU136" s="35" t="s">
        <v>7045</v>
      </c>
      <c r="BV136" s="30">
        <v>46935.0</v>
      </c>
      <c r="BW136" s="30">
        <v>47026.0</v>
      </c>
      <c r="BX136" s="39">
        <v>0.0</v>
      </c>
      <c r="BY136" s="39">
        <v>0.0</v>
      </c>
      <c r="BZ136" s="35" t="s">
        <v>7045</v>
      </c>
      <c r="CA136" s="30">
        <v>47027.0</v>
      </c>
      <c r="CB136" s="30">
        <v>47118.0</v>
      </c>
      <c r="CC136" s="39">
        <v>0.0</v>
      </c>
      <c r="CD136" s="39">
        <v>0.0</v>
      </c>
      <c r="CE136" s="35" t="s">
        <v>7045</v>
      </c>
      <c r="CF136" s="30">
        <v>47119.0</v>
      </c>
      <c r="CG136" s="30">
        <v>47208.0</v>
      </c>
      <c r="CH136" s="39">
        <v>0.0</v>
      </c>
      <c r="CI136" s="39">
        <v>0.0</v>
      </c>
      <c r="CJ136" s="35" t="s">
        <v>7045</v>
      </c>
      <c r="CK136" s="30">
        <v>47209.0</v>
      </c>
      <c r="CL136" s="30">
        <v>47299.0</v>
      </c>
      <c r="CM136" s="39">
        <v>0.0</v>
      </c>
      <c r="CN136" s="39">
        <v>0.0</v>
      </c>
      <c r="CO136" s="35" t="s">
        <v>7045</v>
      </c>
      <c r="CP136" s="30">
        <v>47300.0</v>
      </c>
      <c r="CQ136" s="30">
        <v>47391.0</v>
      </c>
      <c r="CR136" s="39">
        <v>0.0</v>
      </c>
      <c r="CS136" s="39">
        <v>0.0</v>
      </c>
      <c r="CT136" s="35" t="s">
        <v>7045</v>
      </c>
      <c r="CU136" s="30">
        <v>47392.0</v>
      </c>
      <c r="CV136" s="30">
        <v>47483.0</v>
      </c>
      <c r="CW136" s="39">
        <v>0.0</v>
      </c>
      <c r="CX136" s="39">
        <v>0.0</v>
      </c>
      <c r="CY136" s="35" t="s">
        <v>7045</v>
      </c>
      <c r="CZ136" s="30">
        <v>47484.0</v>
      </c>
      <c r="DA136" s="30">
        <v>47573.0</v>
      </c>
      <c r="DB136" s="39">
        <v>0.0</v>
      </c>
      <c r="DC136" s="39">
        <v>0.0</v>
      </c>
      <c r="DD136" s="35" t="s">
        <v>7045</v>
      </c>
      <c r="DE136" s="30">
        <v>47574.0</v>
      </c>
      <c r="DF136" s="30">
        <v>47664.0</v>
      </c>
      <c r="DG136" s="39">
        <v>0.0</v>
      </c>
      <c r="DH136" s="39">
        <v>0.0</v>
      </c>
      <c r="DI136" s="35" t="s">
        <v>7045</v>
      </c>
      <c r="DJ136" s="30">
        <v>47665.0</v>
      </c>
      <c r="DK136" s="30">
        <v>47756.0</v>
      </c>
      <c r="DL136" s="39">
        <v>0.0</v>
      </c>
      <c r="DM136" s="39">
        <v>0.0</v>
      </c>
      <c r="DN136" s="35" t="s">
        <v>7045</v>
      </c>
      <c r="DO136" s="30">
        <v>47757.0</v>
      </c>
      <c r="DP136" s="30">
        <v>47848.0</v>
      </c>
      <c r="DQ136" s="39">
        <v>0.0</v>
      </c>
      <c r="DR136" s="39">
        <v>0.0</v>
      </c>
      <c r="DS136" s="35" t="s">
        <v>7045</v>
      </c>
    </row>
    <row r="137" ht="14.25" customHeight="1">
      <c r="A137" s="28" t="s">
        <v>1174</v>
      </c>
      <c r="B137" s="29" t="s">
        <v>1175</v>
      </c>
      <c r="C137" s="29" t="s">
        <v>7041</v>
      </c>
      <c r="D137" s="30">
        <v>45658.0</v>
      </c>
      <c r="E137" s="30">
        <v>45747.0</v>
      </c>
      <c r="F137" s="39">
        <v>35.0</v>
      </c>
      <c r="G137" s="39">
        <v>0.0</v>
      </c>
      <c r="H137" s="38" t="s">
        <v>7047</v>
      </c>
      <c r="I137" s="30">
        <v>45748.0</v>
      </c>
      <c r="J137" s="30">
        <v>45838.0</v>
      </c>
      <c r="K137" s="39">
        <v>35.0</v>
      </c>
      <c r="L137" s="39">
        <v>208.33</v>
      </c>
      <c r="M137" s="38" t="s">
        <v>7043</v>
      </c>
      <c r="N137" s="30">
        <v>45839.0</v>
      </c>
      <c r="O137" s="30">
        <v>45930.0</v>
      </c>
      <c r="P137" s="39">
        <v>55.0</v>
      </c>
      <c r="Q137" s="39">
        <v>208.33</v>
      </c>
      <c r="R137" s="38" t="s">
        <v>7047</v>
      </c>
      <c r="S137" s="30">
        <v>45931.0</v>
      </c>
      <c r="T137" s="30">
        <v>46022.0</v>
      </c>
      <c r="U137" s="39">
        <v>238.25</v>
      </c>
      <c r="V137" s="39">
        <v>208.33</v>
      </c>
      <c r="W137" s="38" t="s">
        <v>7047</v>
      </c>
      <c r="X137" s="30">
        <v>46023.0</v>
      </c>
      <c r="Y137" s="30">
        <v>46112.0</v>
      </c>
      <c r="Z137" s="39">
        <v>110.0</v>
      </c>
      <c r="AA137" s="39">
        <v>0.0</v>
      </c>
      <c r="AB137" s="38" t="s">
        <v>7047</v>
      </c>
      <c r="AC137" s="30">
        <v>46113.0</v>
      </c>
      <c r="AD137" s="30">
        <v>46203.0</v>
      </c>
      <c r="AE137" s="39">
        <v>253.0</v>
      </c>
      <c r="AF137" s="39">
        <v>0.0</v>
      </c>
      <c r="AG137" s="38" t="s">
        <v>7047</v>
      </c>
      <c r="AH137" s="30">
        <v>46204.0</v>
      </c>
      <c r="AI137" s="30">
        <v>46295.0</v>
      </c>
      <c r="AJ137" s="39">
        <v>391.0</v>
      </c>
      <c r="AK137" s="39">
        <v>0.0</v>
      </c>
      <c r="AL137" s="38" t="s">
        <v>7047</v>
      </c>
      <c r="AM137" s="30">
        <v>46296.0</v>
      </c>
      <c r="AN137" s="30">
        <v>46387.0</v>
      </c>
      <c r="AO137" s="39">
        <v>103.0</v>
      </c>
      <c r="AP137" s="39">
        <v>0.0</v>
      </c>
      <c r="AQ137" s="38" t="s">
        <v>7047</v>
      </c>
      <c r="AR137" s="30">
        <v>46388.0</v>
      </c>
      <c r="AS137" s="30">
        <v>46477.0</v>
      </c>
      <c r="AT137" s="39">
        <v>0.0</v>
      </c>
      <c r="AU137" s="39">
        <v>0.0</v>
      </c>
      <c r="AV137" s="35" t="s">
        <v>7045</v>
      </c>
      <c r="AW137" s="30">
        <v>46478.0</v>
      </c>
      <c r="AX137" s="30">
        <v>46568.0</v>
      </c>
      <c r="AY137" s="39">
        <v>0.0</v>
      </c>
      <c r="AZ137" s="39">
        <v>0.0</v>
      </c>
      <c r="BA137" s="35" t="s">
        <v>7045</v>
      </c>
      <c r="BB137" s="30">
        <v>46569.0</v>
      </c>
      <c r="BC137" s="30">
        <v>46660.0</v>
      </c>
      <c r="BD137" s="39">
        <v>0.0</v>
      </c>
      <c r="BE137" s="39">
        <v>0.0</v>
      </c>
      <c r="BF137" s="35" t="s">
        <v>7045</v>
      </c>
      <c r="BG137" s="30">
        <v>46661.0</v>
      </c>
      <c r="BH137" s="30">
        <v>46752.0</v>
      </c>
      <c r="BI137" s="39">
        <v>0.0</v>
      </c>
      <c r="BJ137" s="39">
        <v>0.0</v>
      </c>
      <c r="BK137" s="35" t="s">
        <v>7045</v>
      </c>
      <c r="BL137" s="30">
        <v>46753.0</v>
      </c>
      <c r="BM137" s="30">
        <v>46843.0</v>
      </c>
      <c r="BN137" s="39">
        <v>0.0</v>
      </c>
      <c r="BO137" s="39">
        <v>0.0</v>
      </c>
      <c r="BP137" s="35" t="s">
        <v>7045</v>
      </c>
      <c r="BQ137" s="30">
        <v>46844.0</v>
      </c>
      <c r="BR137" s="30">
        <v>46934.0</v>
      </c>
      <c r="BS137" s="39">
        <v>0.0</v>
      </c>
      <c r="BT137" s="39">
        <v>0.0</v>
      </c>
      <c r="BU137" s="35" t="s">
        <v>7045</v>
      </c>
      <c r="BV137" s="30">
        <v>46935.0</v>
      </c>
      <c r="BW137" s="30">
        <v>47026.0</v>
      </c>
      <c r="BX137" s="39">
        <v>0.0</v>
      </c>
      <c r="BY137" s="39">
        <v>0.0</v>
      </c>
      <c r="BZ137" s="35" t="s">
        <v>7045</v>
      </c>
      <c r="CA137" s="30">
        <v>47027.0</v>
      </c>
      <c r="CB137" s="30">
        <v>47118.0</v>
      </c>
      <c r="CC137" s="39">
        <v>0.0</v>
      </c>
      <c r="CD137" s="39">
        <v>0.0</v>
      </c>
      <c r="CE137" s="35" t="s">
        <v>7045</v>
      </c>
      <c r="CF137" s="30">
        <v>47119.0</v>
      </c>
      <c r="CG137" s="30">
        <v>47208.0</v>
      </c>
      <c r="CH137" s="39">
        <v>0.0</v>
      </c>
      <c r="CI137" s="39">
        <v>0.0</v>
      </c>
      <c r="CJ137" s="35" t="s">
        <v>7045</v>
      </c>
      <c r="CK137" s="30">
        <v>47209.0</v>
      </c>
      <c r="CL137" s="30">
        <v>47299.0</v>
      </c>
      <c r="CM137" s="39">
        <v>0.0</v>
      </c>
      <c r="CN137" s="39">
        <v>0.0</v>
      </c>
      <c r="CO137" s="35" t="s">
        <v>7045</v>
      </c>
      <c r="CP137" s="30">
        <v>47300.0</v>
      </c>
      <c r="CQ137" s="30">
        <v>47391.0</v>
      </c>
      <c r="CR137" s="39">
        <v>0.0</v>
      </c>
      <c r="CS137" s="39">
        <v>0.0</v>
      </c>
      <c r="CT137" s="35" t="s">
        <v>7045</v>
      </c>
      <c r="CU137" s="30">
        <v>47392.0</v>
      </c>
      <c r="CV137" s="30">
        <v>47483.0</v>
      </c>
      <c r="CW137" s="39">
        <v>0.0</v>
      </c>
      <c r="CX137" s="39">
        <v>0.0</v>
      </c>
      <c r="CY137" s="35" t="s">
        <v>7045</v>
      </c>
      <c r="CZ137" s="30">
        <v>47484.0</v>
      </c>
      <c r="DA137" s="30">
        <v>47573.0</v>
      </c>
      <c r="DB137" s="39">
        <v>0.0</v>
      </c>
      <c r="DC137" s="39">
        <v>0.0</v>
      </c>
      <c r="DD137" s="35" t="s">
        <v>7045</v>
      </c>
      <c r="DE137" s="30">
        <v>47574.0</v>
      </c>
      <c r="DF137" s="30">
        <v>47664.0</v>
      </c>
      <c r="DG137" s="39">
        <v>0.0</v>
      </c>
      <c r="DH137" s="39">
        <v>0.0</v>
      </c>
      <c r="DI137" s="35" t="s">
        <v>7045</v>
      </c>
      <c r="DJ137" s="30">
        <v>47665.0</v>
      </c>
      <c r="DK137" s="30">
        <v>47756.0</v>
      </c>
      <c r="DL137" s="39">
        <v>0.0</v>
      </c>
      <c r="DM137" s="39">
        <v>0.0</v>
      </c>
      <c r="DN137" s="35" t="s">
        <v>7045</v>
      </c>
      <c r="DO137" s="30">
        <v>47757.0</v>
      </c>
      <c r="DP137" s="30">
        <v>47848.0</v>
      </c>
      <c r="DQ137" s="39">
        <v>0.0</v>
      </c>
      <c r="DR137" s="39">
        <v>0.0</v>
      </c>
      <c r="DS137" s="35" t="s">
        <v>7045</v>
      </c>
    </row>
    <row r="138" ht="14.25" customHeight="1">
      <c r="A138" s="28" t="s">
        <v>1279</v>
      </c>
      <c r="B138" s="29" t="s">
        <v>1280</v>
      </c>
      <c r="C138" s="29" t="s">
        <v>7041</v>
      </c>
      <c r="D138" s="30">
        <v>45658.0</v>
      </c>
      <c r="E138" s="30">
        <v>45747.0</v>
      </c>
      <c r="F138" s="36">
        <v>10.0</v>
      </c>
      <c r="G138" s="36">
        <v>0.0</v>
      </c>
      <c r="H138" s="38" t="s">
        <v>7047</v>
      </c>
      <c r="I138" s="30">
        <v>45748.0</v>
      </c>
      <c r="J138" s="30">
        <v>45838.0</v>
      </c>
      <c r="K138" s="36">
        <v>452.72</v>
      </c>
      <c r="L138" s="36">
        <v>466.67</v>
      </c>
      <c r="M138" s="38" t="s">
        <v>7047</v>
      </c>
      <c r="N138" s="30">
        <v>45839.0</v>
      </c>
      <c r="O138" s="30">
        <v>45930.0</v>
      </c>
      <c r="P138" s="36">
        <v>0.0</v>
      </c>
      <c r="Q138" s="36">
        <v>466.67</v>
      </c>
      <c r="R138" s="32" t="s">
        <v>7043</v>
      </c>
      <c r="S138" s="30">
        <v>45931.0</v>
      </c>
      <c r="T138" s="30">
        <v>46022.0</v>
      </c>
      <c r="U138" s="36">
        <v>0.0</v>
      </c>
      <c r="V138" s="36">
        <v>466.67</v>
      </c>
      <c r="W138" s="32" t="s">
        <v>7043</v>
      </c>
      <c r="X138" s="30">
        <v>46023.0</v>
      </c>
      <c r="Y138" s="30">
        <v>46112.0</v>
      </c>
      <c r="Z138" s="36">
        <v>0.0</v>
      </c>
      <c r="AA138" s="36">
        <v>0.0</v>
      </c>
      <c r="AB138" s="35" t="s">
        <v>7045</v>
      </c>
      <c r="AC138" s="30">
        <v>46113.0</v>
      </c>
      <c r="AD138" s="30">
        <v>46203.0</v>
      </c>
      <c r="AE138" s="36">
        <v>0.0</v>
      </c>
      <c r="AF138" s="36">
        <v>0.0</v>
      </c>
      <c r="AG138" s="35" t="s">
        <v>7045</v>
      </c>
      <c r="AH138" s="30">
        <v>46204.0</v>
      </c>
      <c r="AI138" s="30">
        <v>46295.0</v>
      </c>
      <c r="AJ138" s="36">
        <v>0.0</v>
      </c>
      <c r="AK138" s="36">
        <v>0.0</v>
      </c>
      <c r="AL138" s="35" t="s">
        <v>7045</v>
      </c>
      <c r="AM138" s="30">
        <v>46296.0</v>
      </c>
      <c r="AN138" s="30">
        <v>46387.0</v>
      </c>
      <c r="AO138" s="36">
        <v>0.0</v>
      </c>
      <c r="AP138" s="36">
        <v>0.0</v>
      </c>
      <c r="AQ138" s="35" t="s">
        <v>7045</v>
      </c>
      <c r="AR138" s="30">
        <v>46388.0</v>
      </c>
      <c r="AS138" s="30">
        <v>46477.0</v>
      </c>
      <c r="AT138" s="36">
        <v>0.0</v>
      </c>
      <c r="AU138" s="36">
        <v>0.0</v>
      </c>
      <c r="AV138" s="35" t="s">
        <v>7045</v>
      </c>
      <c r="AW138" s="30">
        <v>46478.0</v>
      </c>
      <c r="AX138" s="30">
        <v>46568.0</v>
      </c>
      <c r="AY138" s="36">
        <v>0.0</v>
      </c>
      <c r="AZ138" s="36">
        <v>0.0</v>
      </c>
      <c r="BA138" s="35" t="s">
        <v>7045</v>
      </c>
      <c r="BB138" s="30">
        <v>46569.0</v>
      </c>
      <c r="BC138" s="30">
        <v>46660.0</v>
      </c>
      <c r="BD138" s="36">
        <v>0.0</v>
      </c>
      <c r="BE138" s="36">
        <v>0.0</v>
      </c>
      <c r="BF138" s="35" t="s">
        <v>7045</v>
      </c>
      <c r="BG138" s="30">
        <v>46661.0</v>
      </c>
      <c r="BH138" s="30">
        <v>46752.0</v>
      </c>
      <c r="BI138" s="36">
        <v>0.0</v>
      </c>
      <c r="BJ138" s="36">
        <v>0.0</v>
      </c>
      <c r="BK138" s="35" t="s">
        <v>7045</v>
      </c>
      <c r="BL138" s="30">
        <v>46753.0</v>
      </c>
      <c r="BM138" s="30">
        <v>46843.0</v>
      </c>
      <c r="BN138" s="36">
        <v>0.0</v>
      </c>
      <c r="BO138" s="36">
        <v>0.0</v>
      </c>
      <c r="BP138" s="35" t="s">
        <v>7045</v>
      </c>
      <c r="BQ138" s="30">
        <v>46844.0</v>
      </c>
      <c r="BR138" s="30">
        <v>46934.0</v>
      </c>
      <c r="BS138" s="36">
        <v>0.0</v>
      </c>
      <c r="BT138" s="36">
        <v>0.0</v>
      </c>
      <c r="BU138" s="35" t="s">
        <v>7045</v>
      </c>
      <c r="BV138" s="30">
        <v>46935.0</v>
      </c>
      <c r="BW138" s="30">
        <v>47026.0</v>
      </c>
      <c r="BX138" s="36">
        <v>0.0</v>
      </c>
      <c r="BY138" s="36">
        <v>0.0</v>
      </c>
      <c r="BZ138" s="35" t="s">
        <v>7045</v>
      </c>
      <c r="CA138" s="30">
        <v>47027.0</v>
      </c>
      <c r="CB138" s="30">
        <v>47118.0</v>
      </c>
      <c r="CC138" s="36">
        <v>0.0</v>
      </c>
      <c r="CD138" s="36">
        <v>0.0</v>
      </c>
      <c r="CE138" s="35" t="s">
        <v>7045</v>
      </c>
      <c r="CF138" s="30">
        <v>47119.0</v>
      </c>
      <c r="CG138" s="30">
        <v>47208.0</v>
      </c>
      <c r="CH138" s="36">
        <v>0.0</v>
      </c>
      <c r="CI138" s="36">
        <v>0.0</v>
      </c>
      <c r="CJ138" s="35" t="s">
        <v>7045</v>
      </c>
      <c r="CK138" s="30">
        <v>47209.0</v>
      </c>
      <c r="CL138" s="30">
        <v>47299.0</v>
      </c>
      <c r="CM138" s="36">
        <v>0.0</v>
      </c>
      <c r="CN138" s="36">
        <v>0.0</v>
      </c>
      <c r="CO138" s="35" t="s">
        <v>7045</v>
      </c>
      <c r="CP138" s="30">
        <v>47300.0</v>
      </c>
      <c r="CQ138" s="30">
        <v>47391.0</v>
      </c>
      <c r="CR138" s="36">
        <v>0.0</v>
      </c>
      <c r="CS138" s="36">
        <v>0.0</v>
      </c>
      <c r="CT138" s="35" t="s">
        <v>7045</v>
      </c>
      <c r="CU138" s="30">
        <v>47392.0</v>
      </c>
      <c r="CV138" s="30">
        <v>47483.0</v>
      </c>
      <c r="CW138" s="36">
        <v>0.0</v>
      </c>
      <c r="CX138" s="36">
        <v>0.0</v>
      </c>
      <c r="CY138" s="35" t="s">
        <v>7045</v>
      </c>
      <c r="CZ138" s="30">
        <v>47484.0</v>
      </c>
      <c r="DA138" s="30">
        <v>47573.0</v>
      </c>
      <c r="DB138" s="36">
        <v>0.0</v>
      </c>
      <c r="DC138" s="36">
        <v>0.0</v>
      </c>
      <c r="DD138" s="35" t="s">
        <v>7045</v>
      </c>
      <c r="DE138" s="30">
        <v>47574.0</v>
      </c>
      <c r="DF138" s="30">
        <v>47664.0</v>
      </c>
      <c r="DG138" s="36">
        <v>0.0</v>
      </c>
      <c r="DH138" s="36">
        <v>0.0</v>
      </c>
      <c r="DI138" s="35" t="s">
        <v>7045</v>
      </c>
      <c r="DJ138" s="30">
        <v>47665.0</v>
      </c>
      <c r="DK138" s="30">
        <v>47756.0</v>
      </c>
      <c r="DL138" s="36">
        <v>0.0</v>
      </c>
      <c r="DM138" s="36">
        <v>0.0</v>
      </c>
      <c r="DN138" s="35" t="s">
        <v>7045</v>
      </c>
      <c r="DO138" s="30">
        <v>47757.0</v>
      </c>
      <c r="DP138" s="30">
        <v>47848.0</v>
      </c>
      <c r="DQ138" s="36">
        <v>0.0</v>
      </c>
      <c r="DR138" s="36">
        <v>0.0</v>
      </c>
      <c r="DS138" s="35" t="s">
        <v>7045</v>
      </c>
    </row>
    <row r="139" ht="14.25" customHeight="1">
      <c r="A139" s="28" t="s">
        <v>1288</v>
      </c>
      <c r="B139" s="29" t="s">
        <v>1289</v>
      </c>
      <c r="C139" s="29" t="s">
        <v>7041</v>
      </c>
      <c r="D139" s="30">
        <v>45658.0</v>
      </c>
      <c r="E139" s="30">
        <v>45747.0</v>
      </c>
      <c r="F139" s="36">
        <v>70.0</v>
      </c>
      <c r="G139" s="36">
        <v>0.0</v>
      </c>
      <c r="H139" s="38" t="s">
        <v>7047</v>
      </c>
      <c r="I139" s="30">
        <v>45748.0</v>
      </c>
      <c r="J139" s="30">
        <v>45838.0</v>
      </c>
      <c r="K139" s="36">
        <v>70.0</v>
      </c>
      <c r="L139" s="36">
        <v>166.67</v>
      </c>
      <c r="M139" s="38" t="s">
        <v>7046</v>
      </c>
      <c r="N139" s="30">
        <v>45839.0</v>
      </c>
      <c r="O139" s="30">
        <v>45930.0</v>
      </c>
      <c r="P139" s="36">
        <v>100.0</v>
      </c>
      <c r="Q139" s="36">
        <v>166.67</v>
      </c>
      <c r="R139" s="38" t="s">
        <v>7047</v>
      </c>
      <c r="S139" s="30">
        <v>45931.0</v>
      </c>
      <c r="T139" s="30">
        <v>46022.0</v>
      </c>
      <c r="U139" s="36">
        <v>24.0</v>
      </c>
      <c r="V139" s="36">
        <v>166.67</v>
      </c>
      <c r="W139" s="38" t="s">
        <v>7047</v>
      </c>
      <c r="X139" s="30">
        <v>46023.0</v>
      </c>
      <c r="Y139" s="30">
        <v>46112.0</v>
      </c>
      <c r="Z139" s="36">
        <v>0.0</v>
      </c>
      <c r="AA139" s="36">
        <v>0.0</v>
      </c>
      <c r="AB139" s="35" t="s">
        <v>7045</v>
      </c>
      <c r="AC139" s="30">
        <v>46113.0</v>
      </c>
      <c r="AD139" s="30">
        <v>46203.0</v>
      </c>
      <c r="AE139" s="36">
        <v>0.0</v>
      </c>
      <c r="AF139" s="36">
        <v>0.0</v>
      </c>
      <c r="AG139" s="35" t="s">
        <v>7045</v>
      </c>
      <c r="AH139" s="30">
        <v>46204.0</v>
      </c>
      <c r="AI139" s="30">
        <v>46295.0</v>
      </c>
      <c r="AJ139" s="36">
        <v>24.0</v>
      </c>
      <c r="AK139" s="36">
        <v>0.0</v>
      </c>
      <c r="AL139" s="35" t="s">
        <v>7047</v>
      </c>
      <c r="AM139" s="30">
        <v>46296.0</v>
      </c>
      <c r="AN139" s="30">
        <v>46387.0</v>
      </c>
      <c r="AO139" s="36">
        <v>0.0</v>
      </c>
      <c r="AP139" s="36">
        <v>0.0</v>
      </c>
      <c r="AQ139" s="35" t="s">
        <v>7045</v>
      </c>
      <c r="AR139" s="30">
        <v>46388.0</v>
      </c>
      <c r="AS139" s="30">
        <v>46477.0</v>
      </c>
      <c r="AT139" s="36">
        <v>0.0</v>
      </c>
      <c r="AU139" s="36">
        <v>0.0</v>
      </c>
      <c r="AV139" s="35" t="s">
        <v>7045</v>
      </c>
      <c r="AW139" s="30">
        <v>46478.0</v>
      </c>
      <c r="AX139" s="30">
        <v>46568.0</v>
      </c>
      <c r="AY139" s="36">
        <v>0.0</v>
      </c>
      <c r="AZ139" s="36">
        <v>0.0</v>
      </c>
      <c r="BA139" s="35" t="s">
        <v>7045</v>
      </c>
      <c r="BB139" s="30">
        <v>46569.0</v>
      </c>
      <c r="BC139" s="30">
        <v>46660.0</v>
      </c>
      <c r="BD139" s="36">
        <v>0.0</v>
      </c>
      <c r="BE139" s="36">
        <v>0.0</v>
      </c>
      <c r="BF139" s="35" t="s">
        <v>7045</v>
      </c>
      <c r="BG139" s="30">
        <v>46661.0</v>
      </c>
      <c r="BH139" s="30">
        <v>46752.0</v>
      </c>
      <c r="BI139" s="36">
        <v>0.0</v>
      </c>
      <c r="BJ139" s="36">
        <v>0.0</v>
      </c>
      <c r="BK139" s="35" t="s">
        <v>7045</v>
      </c>
      <c r="BL139" s="30">
        <v>46753.0</v>
      </c>
      <c r="BM139" s="30">
        <v>46843.0</v>
      </c>
      <c r="BN139" s="36">
        <v>0.0</v>
      </c>
      <c r="BO139" s="36">
        <v>0.0</v>
      </c>
      <c r="BP139" s="35" t="s">
        <v>7045</v>
      </c>
      <c r="BQ139" s="30">
        <v>46844.0</v>
      </c>
      <c r="BR139" s="30">
        <v>46934.0</v>
      </c>
      <c r="BS139" s="36">
        <v>0.0</v>
      </c>
      <c r="BT139" s="36">
        <v>0.0</v>
      </c>
      <c r="BU139" s="35" t="s">
        <v>7045</v>
      </c>
      <c r="BV139" s="30">
        <v>46935.0</v>
      </c>
      <c r="BW139" s="30">
        <v>47026.0</v>
      </c>
      <c r="BX139" s="36">
        <v>0.0</v>
      </c>
      <c r="BY139" s="36">
        <v>0.0</v>
      </c>
      <c r="BZ139" s="35" t="s">
        <v>7045</v>
      </c>
      <c r="CA139" s="30">
        <v>47027.0</v>
      </c>
      <c r="CB139" s="30">
        <v>47118.0</v>
      </c>
      <c r="CC139" s="36">
        <v>0.0</v>
      </c>
      <c r="CD139" s="36">
        <v>0.0</v>
      </c>
      <c r="CE139" s="35" t="s">
        <v>7045</v>
      </c>
      <c r="CF139" s="30">
        <v>47119.0</v>
      </c>
      <c r="CG139" s="30">
        <v>47208.0</v>
      </c>
      <c r="CH139" s="36">
        <v>0.0</v>
      </c>
      <c r="CI139" s="36">
        <v>0.0</v>
      </c>
      <c r="CJ139" s="35" t="s">
        <v>7045</v>
      </c>
      <c r="CK139" s="30">
        <v>47209.0</v>
      </c>
      <c r="CL139" s="30">
        <v>47299.0</v>
      </c>
      <c r="CM139" s="36">
        <v>0.0</v>
      </c>
      <c r="CN139" s="36">
        <v>0.0</v>
      </c>
      <c r="CO139" s="35" t="s">
        <v>7045</v>
      </c>
      <c r="CP139" s="30">
        <v>47300.0</v>
      </c>
      <c r="CQ139" s="30">
        <v>47391.0</v>
      </c>
      <c r="CR139" s="36">
        <v>0.0</v>
      </c>
      <c r="CS139" s="36">
        <v>0.0</v>
      </c>
      <c r="CT139" s="35" t="s">
        <v>7045</v>
      </c>
      <c r="CU139" s="30">
        <v>47392.0</v>
      </c>
      <c r="CV139" s="30">
        <v>47483.0</v>
      </c>
      <c r="CW139" s="36">
        <v>0.0</v>
      </c>
      <c r="CX139" s="36">
        <v>0.0</v>
      </c>
      <c r="CY139" s="35" t="s">
        <v>7045</v>
      </c>
      <c r="CZ139" s="30">
        <v>47484.0</v>
      </c>
      <c r="DA139" s="30">
        <v>47573.0</v>
      </c>
      <c r="DB139" s="36">
        <v>0.0</v>
      </c>
      <c r="DC139" s="36">
        <v>0.0</v>
      </c>
      <c r="DD139" s="35" t="s">
        <v>7045</v>
      </c>
      <c r="DE139" s="30">
        <v>47574.0</v>
      </c>
      <c r="DF139" s="30">
        <v>47664.0</v>
      </c>
      <c r="DG139" s="36">
        <v>0.0</v>
      </c>
      <c r="DH139" s="36">
        <v>0.0</v>
      </c>
      <c r="DI139" s="35" t="s">
        <v>7045</v>
      </c>
      <c r="DJ139" s="30">
        <v>47665.0</v>
      </c>
      <c r="DK139" s="30">
        <v>47756.0</v>
      </c>
      <c r="DL139" s="36">
        <v>0.0</v>
      </c>
      <c r="DM139" s="36">
        <v>0.0</v>
      </c>
      <c r="DN139" s="35" t="s">
        <v>7045</v>
      </c>
      <c r="DO139" s="30">
        <v>47757.0</v>
      </c>
      <c r="DP139" s="30">
        <v>47848.0</v>
      </c>
      <c r="DQ139" s="36">
        <v>0.0</v>
      </c>
      <c r="DR139" s="36">
        <v>0.0</v>
      </c>
      <c r="DS139" s="35" t="s">
        <v>7045</v>
      </c>
    </row>
    <row r="140" ht="14.25" customHeight="1">
      <c r="A140" s="28" t="s">
        <v>1320</v>
      </c>
      <c r="B140" s="29" t="s">
        <v>1321</v>
      </c>
      <c r="C140" s="29" t="s">
        <v>7041</v>
      </c>
      <c r="D140" s="30">
        <v>45658.0</v>
      </c>
      <c r="E140" s="30">
        <v>45747.0</v>
      </c>
      <c r="F140" s="36">
        <v>0.0</v>
      </c>
      <c r="G140" s="36">
        <v>0.0</v>
      </c>
      <c r="H140" s="35" t="s">
        <v>7045</v>
      </c>
      <c r="I140" s="30">
        <v>45748.0</v>
      </c>
      <c r="J140" s="30">
        <v>45838.0</v>
      </c>
      <c r="K140" s="36">
        <v>0.0</v>
      </c>
      <c r="L140" s="36">
        <v>228.58</v>
      </c>
      <c r="M140" s="32" t="s">
        <v>7043</v>
      </c>
      <c r="N140" s="30">
        <v>45839.0</v>
      </c>
      <c r="O140" s="30">
        <v>45930.0</v>
      </c>
      <c r="P140" s="36">
        <v>90.0</v>
      </c>
      <c r="Q140" s="36">
        <v>228.58</v>
      </c>
      <c r="R140" s="38" t="s">
        <v>7047</v>
      </c>
      <c r="S140" s="30">
        <v>45931.0</v>
      </c>
      <c r="T140" s="30">
        <v>46022.0</v>
      </c>
      <c r="U140" s="36">
        <v>104.99</v>
      </c>
      <c r="V140" s="36">
        <v>285.73</v>
      </c>
      <c r="W140" s="38" t="s">
        <v>7047</v>
      </c>
      <c r="X140" s="30">
        <v>46023.0</v>
      </c>
      <c r="Y140" s="30">
        <v>46112.0</v>
      </c>
      <c r="Z140" s="36">
        <v>0.0</v>
      </c>
      <c r="AA140" s="36">
        <v>0.0</v>
      </c>
      <c r="AB140" s="35" t="s">
        <v>7045</v>
      </c>
      <c r="AC140" s="30">
        <v>46113.0</v>
      </c>
      <c r="AD140" s="30">
        <v>46203.0</v>
      </c>
      <c r="AE140" s="36">
        <v>205.0</v>
      </c>
      <c r="AF140" s="36">
        <v>0.0</v>
      </c>
      <c r="AG140" s="38" t="s">
        <v>7047</v>
      </c>
      <c r="AH140" s="30">
        <v>46204.0</v>
      </c>
      <c r="AI140" s="30">
        <v>46295.0</v>
      </c>
      <c r="AJ140" s="36">
        <v>0.0</v>
      </c>
      <c r="AK140" s="36">
        <v>0.0</v>
      </c>
      <c r="AL140" s="35" t="s">
        <v>7045</v>
      </c>
      <c r="AM140" s="30">
        <v>46296.0</v>
      </c>
      <c r="AN140" s="30">
        <v>46387.0</v>
      </c>
      <c r="AO140" s="36">
        <v>0.0</v>
      </c>
      <c r="AP140" s="36">
        <v>0.0</v>
      </c>
      <c r="AQ140" s="35" t="s">
        <v>7045</v>
      </c>
      <c r="AR140" s="30">
        <v>46388.0</v>
      </c>
      <c r="AS140" s="30">
        <v>46477.0</v>
      </c>
      <c r="AT140" s="36">
        <v>0.0</v>
      </c>
      <c r="AU140" s="36">
        <v>0.0</v>
      </c>
      <c r="AV140" s="35" t="s">
        <v>7045</v>
      </c>
      <c r="AW140" s="30">
        <v>46478.0</v>
      </c>
      <c r="AX140" s="30">
        <v>46568.0</v>
      </c>
      <c r="AY140" s="36">
        <v>0.0</v>
      </c>
      <c r="AZ140" s="36">
        <v>0.0</v>
      </c>
      <c r="BA140" s="35" t="s">
        <v>7045</v>
      </c>
      <c r="BB140" s="30">
        <v>46569.0</v>
      </c>
      <c r="BC140" s="30">
        <v>46660.0</v>
      </c>
      <c r="BD140" s="36">
        <v>0.0</v>
      </c>
      <c r="BE140" s="36">
        <v>0.0</v>
      </c>
      <c r="BF140" s="35" t="s">
        <v>7045</v>
      </c>
      <c r="BG140" s="30">
        <v>46661.0</v>
      </c>
      <c r="BH140" s="30">
        <v>46752.0</v>
      </c>
      <c r="BI140" s="36">
        <v>0.0</v>
      </c>
      <c r="BJ140" s="36">
        <v>0.0</v>
      </c>
      <c r="BK140" s="35" t="s">
        <v>7045</v>
      </c>
      <c r="BL140" s="30">
        <v>46753.0</v>
      </c>
      <c r="BM140" s="30">
        <v>46843.0</v>
      </c>
      <c r="BN140" s="36">
        <v>0.0</v>
      </c>
      <c r="BO140" s="36">
        <v>0.0</v>
      </c>
      <c r="BP140" s="35" t="s">
        <v>7045</v>
      </c>
      <c r="BQ140" s="30">
        <v>46844.0</v>
      </c>
      <c r="BR140" s="30">
        <v>46934.0</v>
      </c>
      <c r="BS140" s="36">
        <v>0.0</v>
      </c>
      <c r="BT140" s="36">
        <v>0.0</v>
      </c>
      <c r="BU140" s="35" t="s">
        <v>7045</v>
      </c>
      <c r="BV140" s="30">
        <v>46935.0</v>
      </c>
      <c r="BW140" s="30">
        <v>47026.0</v>
      </c>
      <c r="BX140" s="36">
        <v>0.0</v>
      </c>
      <c r="BY140" s="36">
        <v>0.0</v>
      </c>
      <c r="BZ140" s="35" t="s">
        <v>7045</v>
      </c>
      <c r="CA140" s="30">
        <v>47027.0</v>
      </c>
      <c r="CB140" s="30">
        <v>47118.0</v>
      </c>
      <c r="CC140" s="36">
        <v>0.0</v>
      </c>
      <c r="CD140" s="36">
        <v>0.0</v>
      </c>
      <c r="CE140" s="35" t="s">
        <v>7045</v>
      </c>
      <c r="CF140" s="30">
        <v>47119.0</v>
      </c>
      <c r="CG140" s="30">
        <v>47208.0</v>
      </c>
      <c r="CH140" s="36">
        <v>0.0</v>
      </c>
      <c r="CI140" s="36">
        <v>0.0</v>
      </c>
      <c r="CJ140" s="35" t="s">
        <v>7045</v>
      </c>
      <c r="CK140" s="30">
        <v>47209.0</v>
      </c>
      <c r="CL140" s="30">
        <v>47299.0</v>
      </c>
      <c r="CM140" s="36">
        <v>0.0</v>
      </c>
      <c r="CN140" s="36">
        <v>0.0</v>
      </c>
      <c r="CO140" s="35" t="s">
        <v>7045</v>
      </c>
      <c r="CP140" s="30">
        <v>47300.0</v>
      </c>
      <c r="CQ140" s="30">
        <v>47391.0</v>
      </c>
      <c r="CR140" s="36">
        <v>0.0</v>
      </c>
      <c r="CS140" s="36">
        <v>0.0</v>
      </c>
      <c r="CT140" s="35" t="s">
        <v>7045</v>
      </c>
      <c r="CU140" s="30">
        <v>47392.0</v>
      </c>
      <c r="CV140" s="30">
        <v>47483.0</v>
      </c>
      <c r="CW140" s="36">
        <v>0.0</v>
      </c>
      <c r="CX140" s="36">
        <v>0.0</v>
      </c>
      <c r="CY140" s="35" t="s">
        <v>7045</v>
      </c>
      <c r="CZ140" s="30">
        <v>47484.0</v>
      </c>
      <c r="DA140" s="30">
        <v>47573.0</v>
      </c>
      <c r="DB140" s="36">
        <v>0.0</v>
      </c>
      <c r="DC140" s="36">
        <v>0.0</v>
      </c>
      <c r="DD140" s="35" t="s">
        <v>7045</v>
      </c>
      <c r="DE140" s="30">
        <v>47574.0</v>
      </c>
      <c r="DF140" s="30">
        <v>47664.0</v>
      </c>
      <c r="DG140" s="36">
        <v>0.0</v>
      </c>
      <c r="DH140" s="36">
        <v>0.0</v>
      </c>
      <c r="DI140" s="35" t="s">
        <v>7045</v>
      </c>
      <c r="DJ140" s="30">
        <v>47665.0</v>
      </c>
      <c r="DK140" s="30">
        <v>47756.0</v>
      </c>
      <c r="DL140" s="36">
        <v>0.0</v>
      </c>
      <c r="DM140" s="36">
        <v>0.0</v>
      </c>
      <c r="DN140" s="35" t="s">
        <v>7045</v>
      </c>
      <c r="DO140" s="30">
        <v>47757.0</v>
      </c>
      <c r="DP140" s="30">
        <v>47848.0</v>
      </c>
      <c r="DQ140" s="36">
        <v>0.0</v>
      </c>
      <c r="DR140" s="36">
        <v>0.0</v>
      </c>
      <c r="DS140" s="35" t="s">
        <v>7045</v>
      </c>
    </row>
    <row r="141" ht="14.25" customHeight="1">
      <c r="A141" s="28" t="s">
        <v>1447</v>
      </c>
      <c r="B141" s="29" t="s">
        <v>1448</v>
      </c>
      <c r="C141" s="29" t="s">
        <v>7041</v>
      </c>
      <c r="D141" s="30">
        <v>45658.0</v>
      </c>
      <c r="E141" s="30">
        <v>45747.0</v>
      </c>
      <c r="F141" s="39">
        <v>4.68</v>
      </c>
      <c r="G141" s="39">
        <v>0.0</v>
      </c>
      <c r="H141" s="38" t="s">
        <v>7047</v>
      </c>
      <c r="I141" s="30">
        <v>45748.0</v>
      </c>
      <c r="J141" s="30">
        <v>45838.0</v>
      </c>
      <c r="K141" s="39">
        <v>2.42</v>
      </c>
      <c r="L141" s="39">
        <v>186.36</v>
      </c>
      <c r="M141" s="32" t="s">
        <v>7043</v>
      </c>
      <c r="N141" s="30">
        <v>45839.0</v>
      </c>
      <c r="O141" s="30">
        <v>45930.0</v>
      </c>
      <c r="P141" s="39">
        <v>4.68</v>
      </c>
      <c r="Q141" s="39">
        <v>231.82</v>
      </c>
      <c r="R141" s="38" t="s">
        <v>7047</v>
      </c>
      <c r="S141" s="30">
        <v>45931.0</v>
      </c>
      <c r="T141" s="30">
        <v>46022.0</v>
      </c>
      <c r="U141" s="39">
        <v>229.03</v>
      </c>
      <c r="V141" s="39">
        <v>322.73</v>
      </c>
      <c r="W141" s="38" t="s">
        <v>7047</v>
      </c>
      <c r="X141" s="30">
        <v>46023.0</v>
      </c>
      <c r="Y141" s="30">
        <v>46112.0</v>
      </c>
      <c r="Z141" s="39">
        <v>0.0</v>
      </c>
      <c r="AA141" s="39">
        <v>0.0</v>
      </c>
      <c r="AB141" s="35" t="s">
        <v>7045</v>
      </c>
      <c r="AC141" s="30">
        <v>46113.0</v>
      </c>
      <c r="AD141" s="30">
        <v>46203.0</v>
      </c>
      <c r="AE141" s="39">
        <v>0.0</v>
      </c>
      <c r="AF141" s="39">
        <v>0.0</v>
      </c>
      <c r="AG141" s="35" t="s">
        <v>7045</v>
      </c>
      <c r="AH141" s="30">
        <v>46204.0</v>
      </c>
      <c r="AI141" s="30">
        <v>46295.0</v>
      </c>
      <c r="AJ141" s="39">
        <v>0.0</v>
      </c>
      <c r="AK141" s="39">
        <v>0.0</v>
      </c>
      <c r="AL141" s="35" t="s">
        <v>7045</v>
      </c>
      <c r="AM141" s="30">
        <v>46296.0</v>
      </c>
      <c r="AN141" s="30">
        <v>46387.0</v>
      </c>
      <c r="AO141" s="39">
        <v>0.0</v>
      </c>
      <c r="AP141" s="39">
        <v>0.0</v>
      </c>
      <c r="AQ141" s="35" t="s">
        <v>7045</v>
      </c>
      <c r="AR141" s="30">
        <v>46388.0</v>
      </c>
      <c r="AS141" s="30">
        <v>46477.0</v>
      </c>
      <c r="AT141" s="39">
        <v>0.0</v>
      </c>
      <c r="AU141" s="39">
        <v>0.0</v>
      </c>
      <c r="AV141" s="35" t="s">
        <v>7045</v>
      </c>
      <c r="AW141" s="30">
        <v>46478.0</v>
      </c>
      <c r="AX141" s="30">
        <v>46568.0</v>
      </c>
      <c r="AY141" s="39">
        <v>0.0</v>
      </c>
      <c r="AZ141" s="39">
        <v>0.0</v>
      </c>
      <c r="BA141" s="35" t="s">
        <v>7045</v>
      </c>
      <c r="BB141" s="30">
        <v>46569.0</v>
      </c>
      <c r="BC141" s="30">
        <v>46660.0</v>
      </c>
      <c r="BD141" s="39">
        <v>0.0</v>
      </c>
      <c r="BE141" s="39">
        <v>0.0</v>
      </c>
      <c r="BF141" s="35" t="s">
        <v>7045</v>
      </c>
      <c r="BG141" s="30">
        <v>46661.0</v>
      </c>
      <c r="BH141" s="30">
        <v>46752.0</v>
      </c>
      <c r="BI141" s="39">
        <v>0.0</v>
      </c>
      <c r="BJ141" s="39">
        <v>0.0</v>
      </c>
      <c r="BK141" s="35" t="s">
        <v>7045</v>
      </c>
      <c r="BL141" s="30">
        <v>46753.0</v>
      </c>
      <c r="BM141" s="30">
        <v>46843.0</v>
      </c>
      <c r="BN141" s="39">
        <v>0.0</v>
      </c>
      <c r="BO141" s="39">
        <v>0.0</v>
      </c>
      <c r="BP141" s="35" t="s">
        <v>7045</v>
      </c>
      <c r="BQ141" s="30">
        <v>46844.0</v>
      </c>
      <c r="BR141" s="30">
        <v>46934.0</v>
      </c>
      <c r="BS141" s="39">
        <v>0.0</v>
      </c>
      <c r="BT141" s="39">
        <v>0.0</v>
      </c>
      <c r="BU141" s="35" t="s">
        <v>7045</v>
      </c>
      <c r="BV141" s="30">
        <v>46935.0</v>
      </c>
      <c r="BW141" s="30">
        <v>47026.0</v>
      </c>
      <c r="BX141" s="39">
        <v>0.0</v>
      </c>
      <c r="BY141" s="39">
        <v>0.0</v>
      </c>
      <c r="BZ141" s="35" t="s">
        <v>7045</v>
      </c>
      <c r="CA141" s="30">
        <v>47027.0</v>
      </c>
      <c r="CB141" s="30">
        <v>47118.0</v>
      </c>
      <c r="CC141" s="39">
        <v>0.0</v>
      </c>
      <c r="CD141" s="39">
        <v>0.0</v>
      </c>
      <c r="CE141" s="35" t="s">
        <v>7045</v>
      </c>
      <c r="CF141" s="30">
        <v>47119.0</v>
      </c>
      <c r="CG141" s="30">
        <v>47208.0</v>
      </c>
      <c r="CH141" s="39">
        <v>0.0</v>
      </c>
      <c r="CI141" s="39">
        <v>0.0</v>
      </c>
      <c r="CJ141" s="35" t="s">
        <v>7045</v>
      </c>
      <c r="CK141" s="30">
        <v>47209.0</v>
      </c>
      <c r="CL141" s="30">
        <v>47299.0</v>
      </c>
      <c r="CM141" s="39">
        <v>0.0</v>
      </c>
      <c r="CN141" s="39">
        <v>0.0</v>
      </c>
      <c r="CO141" s="35" t="s">
        <v>7045</v>
      </c>
      <c r="CP141" s="30">
        <v>47300.0</v>
      </c>
      <c r="CQ141" s="30">
        <v>47391.0</v>
      </c>
      <c r="CR141" s="39">
        <v>0.0</v>
      </c>
      <c r="CS141" s="39">
        <v>0.0</v>
      </c>
      <c r="CT141" s="35" t="s">
        <v>7045</v>
      </c>
      <c r="CU141" s="30">
        <v>47392.0</v>
      </c>
      <c r="CV141" s="30">
        <v>47483.0</v>
      </c>
      <c r="CW141" s="39">
        <v>0.0</v>
      </c>
      <c r="CX141" s="39">
        <v>0.0</v>
      </c>
      <c r="CY141" s="35" t="s">
        <v>7045</v>
      </c>
      <c r="CZ141" s="30">
        <v>47484.0</v>
      </c>
      <c r="DA141" s="30">
        <v>47573.0</v>
      </c>
      <c r="DB141" s="39">
        <v>0.0</v>
      </c>
      <c r="DC141" s="39">
        <v>0.0</v>
      </c>
      <c r="DD141" s="35" t="s">
        <v>7045</v>
      </c>
      <c r="DE141" s="30">
        <v>47574.0</v>
      </c>
      <c r="DF141" s="30">
        <v>47664.0</v>
      </c>
      <c r="DG141" s="39">
        <v>0.0</v>
      </c>
      <c r="DH141" s="39">
        <v>0.0</v>
      </c>
      <c r="DI141" s="35" t="s">
        <v>7045</v>
      </c>
      <c r="DJ141" s="30">
        <v>47665.0</v>
      </c>
      <c r="DK141" s="30">
        <v>47756.0</v>
      </c>
      <c r="DL141" s="39">
        <v>0.0</v>
      </c>
      <c r="DM141" s="39">
        <v>0.0</v>
      </c>
      <c r="DN141" s="35" t="s">
        <v>7045</v>
      </c>
      <c r="DO141" s="30">
        <v>47757.0</v>
      </c>
      <c r="DP141" s="30">
        <v>47848.0</v>
      </c>
      <c r="DQ141" s="39">
        <v>0.0</v>
      </c>
      <c r="DR141" s="39">
        <v>0.0</v>
      </c>
      <c r="DS141" s="35" t="s">
        <v>7045</v>
      </c>
    </row>
    <row r="142" ht="14.25" customHeight="1">
      <c r="A142" s="28" t="s">
        <v>1571</v>
      </c>
      <c r="B142" s="29" t="s">
        <v>1572</v>
      </c>
      <c r="C142" s="29" t="s">
        <v>7041</v>
      </c>
      <c r="D142" s="30">
        <v>45658.0</v>
      </c>
      <c r="E142" s="30">
        <v>45747.0</v>
      </c>
      <c r="F142" s="39">
        <v>80.0</v>
      </c>
      <c r="G142" s="39">
        <v>0.0</v>
      </c>
      <c r="H142" s="38" t="s">
        <v>7047</v>
      </c>
      <c r="I142" s="30">
        <v>45748.0</v>
      </c>
      <c r="J142" s="30">
        <v>45838.0</v>
      </c>
      <c r="K142" s="39">
        <v>15.0</v>
      </c>
      <c r="L142" s="39">
        <v>212.77</v>
      </c>
      <c r="M142" s="37" t="s">
        <v>7043</v>
      </c>
      <c r="N142" s="30">
        <v>45839.0</v>
      </c>
      <c r="O142" s="30">
        <v>45930.0</v>
      </c>
      <c r="P142" s="39">
        <v>106.87</v>
      </c>
      <c r="Q142" s="39">
        <v>333.33</v>
      </c>
      <c r="R142" s="38" t="s">
        <v>7047</v>
      </c>
      <c r="S142" s="30">
        <v>45931.0</v>
      </c>
      <c r="T142" s="30">
        <v>46022.0</v>
      </c>
      <c r="U142" s="39">
        <v>300.0</v>
      </c>
      <c r="V142" s="39">
        <v>333.33</v>
      </c>
      <c r="W142" s="38" t="s">
        <v>7047</v>
      </c>
      <c r="X142" s="30">
        <v>46023.0</v>
      </c>
      <c r="Y142" s="30">
        <v>46112.0</v>
      </c>
      <c r="Z142" s="39">
        <v>50.0</v>
      </c>
      <c r="AA142" s="39">
        <v>0.0</v>
      </c>
      <c r="AB142" s="35" t="s">
        <v>7047</v>
      </c>
      <c r="AC142" s="30">
        <v>46113.0</v>
      </c>
      <c r="AD142" s="30">
        <v>46203.0</v>
      </c>
      <c r="AE142" s="39">
        <v>0.0</v>
      </c>
      <c r="AF142" s="39">
        <v>0.0</v>
      </c>
      <c r="AG142" s="35" t="s">
        <v>7045</v>
      </c>
      <c r="AH142" s="30">
        <v>46204.0</v>
      </c>
      <c r="AI142" s="30">
        <v>46295.0</v>
      </c>
      <c r="AJ142" s="39">
        <v>0.0</v>
      </c>
      <c r="AK142" s="39">
        <v>0.0</v>
      </c>
      <c r="AL142" s="35" t="s">
        <v>7045</v>
      </c>
      <c r="AM142" s="30">
        <v>46296.0</v>
      </c>
      <c r="AN142" s="30">
        <v>46387.0</v>
      </c>
      <c r="AO142" s="39">
        <v>0.0</v>
      </c>
      <c r="AP142" s="39">
        <v>0.0</v>
      </c>
      <c r="AQ142" s="35" t="s">
        <v>7045</v>
      </c>
      <c r="AR142" s="30">
        <v>46388.0</v>
      </c>
      <c r="AS142" s="30">
        <v>46477.0</v>
      </c>
      <c r="AT142" s="39">
        <v>0.0</v>
      </c>
      <c r="AU142" s="39">
        <v>0.0</v>
      </c>
      <c r="AV142" s="35" t="s">
        <v>7045</v>
      </c>
      <c r="AW142" s="30">
        <v>46478.0</v>
      </c>
      <c r="AX142" s="30">
        <v>46568.0</v>
      </c>
      <c r="AY142" s="39">
        <v>0.0</v>
      </c>
      <c r="AZ142" s="39">
        <v>0.0</v>
      </c>
      <c r="BA142" s="35" t="s">
        <v>7045</v>
      </c>
      <c r="BB142" s="30">
        <v>46569.0</v>
      </c>
      <c r="BC142" s="30">
        <v>46660.0</v>
      </c>
      <c r="BD142" s="39">
        <v>0.0</v>
      </c>
      <c r="BE142" s="39">
        <v>0.0</v>
      </c>
      <c r="BF142" s="35" t="s">
        <v>7045</v>
      </c>
      <c r="BG142" s="30">
        <v>46661.0</v>
      </c>
      <c r="BH142" s="30">
        <v>46752.0</v>
      </c>
      <c r="BI142" s="39">
        <v>0.0</v>
      </c>
      <c r="BJ142" s="39">
        <v>0.0</v>
      </c>
      <c r="BK142" s="35" t="s">
        <v>7045</v>
      </c>
      <c r="BL142" s="30">
        <v>46753.0</v>
      </c>
      <c r="BM142" s="30">
        <v>46843.0</v>
      </c>
      <c r="BN142" s="39">
        <v>0.0</v>
      </c>
      <c r="BO142" s="39">
        <v>0.0</v>
      </c>
      <c r="BP142" s="35" t="s">
        <v>7045</v>
      </c>
      <c r="BQ142" s="30">
        <v>46844.0</v>
      </c>
      <c r="BR142" s="30">
        <v>46934.0</v>
      </c>
      <c r="BS142" s="39">
        <v>0.0</v>
      </c>
      <c r="BT142" s="39">
        <v>0.0</v>
      </c>
      <c r="BU142" s="35" t="s">
        <v>7045</v>
      </c>
      <c r="BV142" s="30">
        <v>46935.0</v>
      </c>
      <c r="BW142" s="30">
        <v>47026.0</v>
      </c>
      <c r="BX142" s="39">
        <v>0.0</v>
      </c>
      <c r="BY142" s="39">
        <v>0.0</v>
      </c>
      <c r="BZ142" s="35" t="s">
        <v>7045</v>
      </c>
      <c r="CA142" s="30">
        <v>47027.0</v>
      </c>
      <c r="CB142" s="30">
        <v>47118.0</v>
      </c>
      <c r="CC142" s="39">
        <v>0.0</v>
      </c>
      <c r="CD142" s="39">
        <v>0.0</v>
      </c>
      <c r="CE142" s="35" t="s">
        <v>7045</v>
      </c>
      <c r="CF142" s="30">
        <v>47119.0</v>
      </c>
      <c r="CG142" s="30">
        <v>47208.0</v>
      </c>
      <c r="CH142" s="39">
        <v>0.0</v>
      </c>
      <c r="CI142" s="39">
        <v>0.0</v>
      </c>
      <c r="CJ142" s="35" t="s">
        <v>7045</v>
      </c>
      <c r="CK142" s="30">
        <v>47209.0</v>
      </c>
      <c r="CL142" s="30">
        <v>47299.0</v>
      </c>
      <c r="CM142" s="39">
        <v>0.0</v>
      </c>
      <c r="CN142" s="39">
        <v>0.0</v>
      </c>
      <c r="CO142" s="35" t="s">
        <v>7045</v>
      </c>
      <c r="CP142" s="30">
        <v>47300.0</v>
      </c>
      <c r="CQ142" s="30">
        <v>47391.0</v>
      </c>
      <c r="CR142" s="39">
        <v>0.0</v>
      </c>
      <c r="CS142" s="39">
        <v>0.0</v>
      </c>
      <c r="CT142" s="35" t="s">
        <v>7045</v>
      </c>
      <c r="CU142" s="30">
        <v>47392.0</v>
      </c>
      <c r="CV142" s="30">
        <v>47483.0</v>
      </c>
      <c r="CW142" s="39">
        <v>0.0</v>
      </c>
      <c r="CX142" s="39">
        <v>0.0</v>
      </c>
      <c r="CY142" s="35" t="s">
        <v>7045</v>
      </c>
      <c r="CZ142" s="30">
        <v>47484.0</v>
      </c>
      <c r="DA142" s="30">
        <v>47573.0</v>
      </c>
      <c r="DB142" s="39">
        <v>0.0</v>
      </c>
      <c r="DC142" s="39">
        <v>0.0</v>
      </c>
      <c r="DD142" s="35" t="s">
        <v>7045</v>
      </c>
      <c r="DE142" s="30">
        <v>47574.0</v>
      </c>
      <c r="DF142" s="30">
        <v>47664.0</v>
      </c>
      <c r="DG142" s="39">
        <v>0.0</v>
      </c>
      <c r="DH142" s="39">
        <v>0.0</v>
      </c>
      <c r="DI142" s="35" t="s">
        <v>7045</v>
      </c>
      <c r="DJ142" s="30">
        <v>47665.0</v>
      </c>
      <c r="DK142" s="30">
        <v>47756.0</v>
      </c>
      <c r="DL142" s="39">
        <v>0.0</v>
      </c>
      <c r="DM142" s="39">
        <v>0.0</v>
      </c>
      <c r="DN142" s="35" t="s">
        <v>7045</v>
      </c>
      <c r="DO142" s="30">
        <v>47757.0</v>
      </c>
      <c r="DP142" s="30">
        <v>47848.0</v>
      </c>
      <c r="DQ142" s="39">
        <v>0.0</v>
      </c>
      <c r="DR142" s="39">
        <v>0.0</v>
      </c>
      <c r="DS142" s="35" t="s">
        <v>7045</v>
      </c>
    </row>
    <row r="143" ht="14.25" customHeight="1">
      <c r="A143" s="28" t="s">
        <v>1605</v>
      </c>
      <c r="B143" s="29" t="s">
        <v>1606</v>
      </c>
      <c r="C143" s="29" t="s">
        <v>7041</v>
      </c>
      <c r="D143" s="30">
        <v>45658.0</v>
      </c>
      <c r="E143" s="30">
        <v>45747.0</v>
      </c>
      <c r="F143" s="39">
        <v>7.0</v>
      </c>
      <c r="G143" s="39">
        <v>0.0</v>
      </c>
      <c r="H143" s="38" t="s">
        <v>7047</v>
      </c>
      <c r="I143" s="30">
        <v>45748.0</v>
      </c>
      <c r="J143" s="30">
        <v>45838.0</v>
      </c>
      <c r="K143" s="39">
        <v>50.0</v>
      </c>
      <c r="L143" s="39">
        <v>121.21</v>
      </c>
      <c r="M143" s="38" t="s">
        <v>7046</v>
      </c>
      <c r="N143" s="30">
        <v>45839.0</v>
      </c>
      <c r="O143" s="30">
        <v>45930.0</v>
      </c>
      <c r="P143" s="39">
        <v>10.0</v>
      </c>
      <c r="Q143" s="39">
        <v>181.82</v>
      </c>
      <c r="R143" s="38" t="s">
        <v>7047</v>
      </c>
      <c r="S143" s="30">
        <v>45931.0</v>
      </c>
      <c r="T143" s="30">
        <v>46022.0</v>
      </c>
      <c r="U143" s="39">
        <v>22.0</v>
      </c>
      <c r="V143" s="39">
        <v>181.82</v>
      </c>
      <c r="W143" s="38" t="s">
        <v>7047</v>
      </c>
      <c r="X143" s="30">
        <v>46023.0</v>
      </c>
      <c r="Y143" s="30">
        <v>46112.0</v>
      </c>
      <c r="Z143" s="39">
        <v>0.0</v>
      </c>
      <c r="AA143" s="39">
        <v>0.0</v>
      </c>
      <c r="AB143" s="35" t="s">
        <v>7045</v>
      </c>
      <c r="AC143" s="30">
        <v>46113.0</v>
      </c>
      <c r="AD143" s="30">
        <v>46203.0</v>
      </c>
      <c r="AE143" s="39">
        <v>60.0</v>
      </c>
      <c r="AF143" s="39">
        <v>0.0</v>
      </c>
      <c r="AG143" s="35" t="s">
        <v>7047</v>
      </c>
      <c r="AH143" s="30">
        <v>46204.0</v>
      </c>
      <c r="AI143" s="30">
        <v>46295.0</v>
      </c>
      <c r="AJ143" s="39">
        <v>0.0</v>
      </c>
      <c r="AK143" s="39">
        <v>0.0</v>
      </c>
      <c r="AL143" s="35" t="s">
        <v>7045</v>
      </c>
      <c r="AM143" s="30">
        <v>46296.0</v>
      </c>
      <c r="AN143" s="30">
        <v>46387.0</v>
      </c>
      <c r="AO143" s="39">
        <v>0.0</v>
      </c>
      <c r="AP143" s="39">
        <v>0.0</v>
      </c>
      <c r="AQ143" s="35" t="s">
        <v>7045</v>
      </c>
      <c r="AR143" s="30">
        <v>46388.0</v>
      </c>
      <c r="AS143" s="30">
        <v>46477.0</v>
      </c>
      <c r="AT143" s="39">
        <v>0.0</v>
      </c>
      <c r="AU143" s="39">
        <v>0.0</v>
      </c>
      <c r="AV143" s="35" t="s">
        <v>7045</v>
      </c>
      <c r="AW143" s="30">
        <v>46478.0</v>
      </c>
      <c r="AX143" s="30">
        <v>46568.0</v>
      </c>
      <c r="AY143" s="39">
        <v>0.0</v>
      </c>
      <c r="AZ143" s="39">
        <v>0.0</v>
      </c>
      <c r="BA143" s="35" t="s">
        <v>7045</v>
      </c>
      <c r="BB143" s="30">
        <v>46569.0</v>
      </c>
      <c r="BC143" s="30">
        <v>46660.0</v>
      </c>
      <c r="BD143" s="39">
        <v>0.0</v>
      </c>
      <c r="BE143" s="39">
        <v>0.0</v>
      </c>
      <c r="BF143" s="35" t="s">
        <v>7045</v>
      </c>
      <c r="BG143" s="30">
        <v>46661.0</v>
      </c>
      <c r="BH143" s="30">
        <v>46752.0</v>
      </c>
      <c r="BI143" s="39">
        <v>0.0</v>
      </c>
      <c r="BJ143" s="39">
        <v>0.0</v>
      </c>
      <c r="BK143" s="35" t="s">
        <v>7045</v>
      </c>
      <c r="BL143" s="30">
        <v>46753.0</v>
      </c>
      <c r="BM143" s="30">
        <v>46843.0</v>
      </c>
      <c r="BN143" s="39">
        <v>0.0</v>
      </c>
      <c r="BO143" s="39">
        <v>0.0</v>
      </c>
      <c r="BP143" s="35" t="s">
        <v>7045</v>
      </c>
      <c r="BQ143" s="30">
        <v>46844.0</v>
      </c>
      <c r="BR143" s="30">
        <v>46934.0</v>
      </c>
      <c r="BS143" s="39">
        <v>0.0</v>
      </c>
      <c r="BT143" s="39">
        <v>0.0</v>
      </c>
      <c r="BU143" s="35" t="s">
        <v>7045</v>
      </c>
      <c r="BV143" s="30">
        <v>46935.0</v>
      </c>
      <c r="BW143" s="30">
        <v>47026.0</v>
      </c>
      <c r="BX143" s="39">
        <v>0.0</v>
      </c>
      <c r="BY143" s="39">
        <v>0.0</v>
      </c>
      <c r="BZ143" s="35" t="s">
        <v>7045</v>
      </c>
      <c r="CA143" s="30">
        <v>47027.0</v>
      </c>
      <c r="CB143" s="30">
        <v>47118.0</v>
      </c>
      <c r="CC143" s="39">
        <v>0.0</v>
      </c>
      <c r="CD143" s="39">
        <v>0.0</v>
      </c>
      <c r="CE143" s="35" t="s">
        <v>7045</v>
      </c>
      <c r="CF143" s="30">
        <v>47119.0</v>
      </c>
      <c r="CG143" s="30">
        <v>47208.0</v>
      </c>
      <c r="CH143" s="39">
        <v>0.0</v>
      </c>
      <c r="CI143" s="39">
        <v>0.0</v>
      </c>
      <c r="CJ143" s="35" t="s">
        <v>7045</v>
      </c>
      <c r="CK143" s="30">
        <v>47209.0</v>
      </c>
      <c r="CL143" s="30">
        <v>47299.0</v>
      </c>
      <c r="CM143" s="39">
        <v>0.0</v>
      </c>
      <c r="CN143" s="39">
        <v>0.0</v>
      </c>
      <c r="CO143" s="35" t="s">
        <v>7045</v>
      </c>
      <c r="CP143" s="30">
        <v>47300.0</v>
      </c>
      <c r="CQ143" s="30">
        <v>47391.0</v>
      </c>
      <c r="CR143" s="39">
        <v>0.0</v>
      </c>
      <c r="CS143" s="39">
        <v>0.0</v>
      </c>
      <c r="CT143" s="35" t="s">
        <v>7045</v>
      </c>
      <c r="CU143" s="30">
        <v>47392.0</v>
      </c>
      <c r="CV143" s="30">
        <v>47483.0</v>
      </c>
      <c r="CW143" s="39">
        <v>0.0</v>
      </c>
      <c r="CX143" s="39">
        <v>0.0</v>
      </c>
      <c r="CY143" s="35" t="s">
        <v>7045</v>
      </c>
      <c r="CZ143" s="30">
        <v>47484.0</v>
      </c>
      <c r="DA143" s="30">
        <v>47573.0</v>
      </c>
      <c r="DB143" s="39">
        <v>0.0</v>
      </c>
      <c r="DC143" s="39">
        <v>0.0</v>
      </c>
      <c r="DD143" s="35" t="s">
        <v>7045</v>
      </c>
      <c r="DE143" s="30">
        <v>47574.0</v>
      </c>
      <c r="DF143" s="30">
        <v>47664.0</v>
      </c>
      <c r="DG143" s="39">
        <v>0.0</v>
      </c>
      <c r="DH143" s="39">
        <v>0.0</v>
      </c>
      <c r="DI143" s="35" t="s">
        <v>7045</v>
      </c>
      <c r="DJ143" s="30">
        <v>47665.0</v>
      </c>
      <c r="DK143" s="30">
        <v>47756.0</v>
      </c>
      <c r="DL143" s="39">
        <v>0.0</v>
      </c>
      <c r="DM143" s="39">
        <v>0.0</v>
      </c>
      <c r="DN143" s="35" t="s">
        <v>7045</v>
      </c>
      <c r="DO143" s="30">
        <v>47757.0</v>
      </c>
      <c r="DP143" s="30">
        <v>47848.0</v>
      </c>
      <c r="DQ143" s="39">
        <v>0.0</v>
      </c>
      <c r="DR143" s="39">
        <v>0.0</v>
      </c>
      <c r="DS143" s="35" t="s">
        <v>7045</v>
      </c>
    </row>
    <row r="144" ht="14.25" customHeight="1">
      <c r="A144" s="28" t="s">
        <v>1850</v>
      </c>
      <c r="B144" s="29" t="s">
        <v>1851</v>
      </c>
      <c r="C144" s="29" t="s">
        <v>7041</v>
      </c>
      <c r="D144" s="30">
        <v>45658.0</v>
      </c>
      <c r="E144" s="30">
        <v>45747.0</v>
      </c>
      <c r="F144" s="39">
        <v>0.0</v>
      </c>
      <c r="G144" s="39">
        <v>0.0</v>
      </c>
      <c r="H144" s="35" t="s">
        <v>7045</v>
      </c>
      <c r="I144" s="30">
        <v>45748.0</v>
      </c>
      <c r="J144" s="30">
        <v>45838.0</v>
      </c>
      <c r="K144" s="39">
        <v>0.0</v>
      </c>
      <c r="L144" s="39">
        <v>0.0</v>
      </c>
      <c r="M144" s="35" t="s">
        <v>7045</v>
      </c>
      <c r="N144" s="30">
        <v>45839.0</v>
      </c>
      <c r="O144" s="30">
        <v>45930.0</v>
      </c>
      <c r="P144" s="39">
        <v>0.0</v>
      </c>
      <c r="Q144" s="39">
        <v>0.0</v>
      </c>
      <c r="R144" s="35" t="s">
        <v>7045</v>
      </c>
      <c r="S144" s="30">
        <v>45931.0</v>
      </c>
      <c r="T144" s="30">
        <v>46022.0</v>
      </c>
      <c r="U144" s="39">
        <v>0.0</v>
      </c>
      <c r="V144" s="39">
        <v>0.0</v>
      </c>
      <c r="W144" s="35" t="s">
        <v>7045</v>
      </c>
      <c r="X144" s="30">
        <v>46023.0</v>
      </c>
      <c r="Y144" s="30">
        <v>46112.0</v>
      </c>
      <c r="Z144" s="39">
        <v>0.0</v>
      </c>
      <c r="AA144" s="39">
        <v>0.0</v>
      </c>
      <c r="AB144" s="35" t="s">
        <v>7045</v>
      </c>
      <c r="AC144" s="30">
        <v>46113.0</v>
      </c>
      <c r="AD144" s="30">
        <v>46203.0</v>
      </c>
      <c r="AE144" s="39">
        <v>0.0</v>
      </c>
      <c r="AF144" s="39">
        <v>0.0</v>
      </c>
      <c r="AG144" s="35" t="s">
        <v>7045</v>
      </c>
      <c r="AH144" s="30">
        <v>46204.0</v>
      </c>
      <c r="AI144" s="30">
        <v>46295.0</v>
      </c>
      <c r="AJ144" s="39">
        <v>0.0</v>
      </c>
      <c r="AK144" s="39">
        <v>0.0</v>
      </c>
      <c r="AL144" s="35" t="s">
        <v>7045</v>
      </c>
      <c r="AM144" s="30">
        <v>46296.0</v>
      </c>
      <c r="AN144" s="30">
        <v>46387.0</v>
      </c>
      <c r="AO144" s="39">
        <v>0.0</v>
      </c>
      <c r="AP144" s="39">
        <v>0.0</v>
      </c>
      <c r="AQ144" s="35" t="s">
        <v>7045</v>
      </c>
      <c r="AR144" s="30">
        <v>46388.0</v>
      </c>
      <c r="AS144" s="30">
        <v>46477.0</v>
      </c>
      <c r="AT144" s="39">
        <v>0.0</v>
      </c>
      <c r="AU144" s="39">
        <v>0.0</v>
      </c>
      <c r="AV144" s="35" t="s">
        <v>7045</v>
      </c>
      <c r="AW144" s="30">
        <v>46478.0</v>
      </c>
      <c r="AX144" s="30">
        <v>46568.0</v>
      </c>
      <c r="AY144" s="39">
        <v>0.0</v>
      </c>
      <c r="AZ144" s="39">
        <v>0.0</v>
      </c>
      <c r="BA144" s="35" t="s">
        <v>7045</v>
      </c>
      <c r="BB144" s="30">
        <v>46569.0</v>
      </c>
      <c r="BC144" s="30">
        <v>46660.0</v>
      </c>
      <c r="BD144" s="39">
        <v>0.0</v>
      </c>
      <c r="BE144" s="39">
        <v>0.0</v>
      </c>
      <c r="BF144" s="35" t="s">
        <v>7045</v>
      </c>
      <c r="BG144" s="30">
        <v>46661.0</v>
      </c>
      <c r="BH144" s="30">
        <v>46752.0</v>
      </c>
      <c r="BI144" s="39">
        <v>0.0</v>
      </c>
      <c r="BJ144" s="39">
        <v>0.0</v>
      </c>
      <c r="BK144" s="35" t="s">
        <v>7045</v>
      </c>
      <c r="BL144" s="30">
        <v>46753.0</v>
      </c>
      <c r="BM144" s="30">
        <v>46843.0</v>
      </c>
      <c r="BN144" s="39">
        <v>0.0</v>
      </c>
      <c r="BO144" s="39">
        <v>0.0</v>
      </c>
      <c r="BP144" s="35" t="s">
        <v>7045</v>
      </c>
      <c r="BQ144" s="30">
        <v>46844.0</v>
      </c>
      <c r="BR144" s="30">
        <v>46934.0</v>
      </c>
      <c r="BS144" s="39">
        <v>0.0</v>
      </c>
      <c r="BT144" s="39">
        <v>0.0</v>
      </c>
      <c r="BU144" s="35" t="s">
        <v>7045</v>
      </c>
      <c r="BV144" s="30">
        <v>46935.0</v>
      </c>
      <c r="BW144" s="30">
        <v>47026.0</v>
      </c>
      <c r="BX144" s="39">
        <v>0.0</v>
      </c>
      <c r="BY144" s="39">
        <v>0.0</v>
      </c>
      <c r="BZ144" s="35" t="s">
        <v>7045</v>
      </c>
      <c r="CA144" s="30">
        <v>47027.0</v>
      </c>
      <c r="CB144" s="30">
        <v>47118.0</v>
      </c>
      <c r="CC144" s="39">
        <v>0.0</v>
      </c>
      <c r="CD144" s="39">
        <v>0.0</v>
      </c>
      <c r="CE144" s="35" t="s">
        <v>7045</v>
      </c>
      <c r="CF144" s="30">
        <v>47119.0</v>
      </c>
      <c r="CG144" s="30">
        <v>47208.0</v>
      </c>
      <c r="CH144" s="39">
        <v>0.0</v>
      </c>
      <c r="CI144" s="39">
        <v>0.0</v>
      </c>
      <c r="CJ144" s="35" t="s">
        <v>7045</v>
      </c>
      <c r="CK144" s="30">
        <v>47209.0</v>
      </c>
      <c r="CL144" s="30">
        <v>47299.0</v>
      </c>
      <c r="CM144" s="39">
        <v>0.0</v>
      </c>
      <c r="CN144" s="39">
        <v>0.0</v>
      </c>
      <c r="CO144" s="35" t="s">
        <v>7045</v>
      </c>
      <c r="CP144" s="30">
        <v>47300.0</v>
      </c>
      <c r="CQ144" s="30">
        <v>47391.0</v>
      </c>
      <c r="CR144" s="39">
        <v>0.0</v>
      </c>
      <c r="CS144" s="39">
        <v>0.0</v>
      </c>
      <c r="CT144" s="35" t="s">
        <v>7045</v>
      </c>
      <c r="CU144" s="30">
        <v>47392.0</v>
      </c>
      <c r="CV144" s="30">
        <v>47483.0</v>
      </c>
      <c r="CW144" s="39">
        <v>0.0</v>
      </c>
      <c r="CX144" s="39">
        <v>0.0</v>
      </c>
      <c r="CY144" s="35" t="s">
        <v>7045</v>
      </c>
      <c r="CZ144" s="30">
        <v>47484.0</v>
      </c>
      <c r="DA144" s="30">
        <v>47573.0</v>
      </c>
      <c r="DB144" s="39">
        <v>0.0</v>
      </c>
      <c r="DC144" s="39">
        <v>0.0</v>
      </c>
      <c r="DD144" s="35" t="s">
        <v>7045</v>
      </c>
      <c r="DE144" s="30">
        <v>47574.0</v>
      </c>
      <c r="DF144" s="30">
        <v>47664.0</v>
      </c>
      <c r="DG144" s="39">
        <v>0.0</v>
      </c>
      <c r="DH144" s="39">
        <v>0.0</v>
      </c>
      <c r="DI144" s="35" t="s">
        <v>7045</v>
      </c>
      <c r="DJ144" s="30">
        <v>47665.0</v>
      </c>
      <c r="DK144" s="30">
        <v>47756.0</v>
      </c>
      <c r="DL144" s="39">
        <v>0.0</v>
      </c>
      <c r="DM144" s="39">
        <v>0.0</v>
      </c>
      <c r="DN144" s="35" t="s">
        <v>7045</v>
      </c>
      <c r="DO144" s="30">
        <v>47757.0</v>
      </c>
      <c r="DP144" s="30">
        <v>47848.0</v>
      </c>
      <c r="DQ144" s="39">
        <v>0.0</v>
      </c>
      <c r="DR144" s="39">
        <v>0.0</v>
      </c>
      <c r="DS144" s="35" t="s">
        <v>7045</v>
      </c>
    </row>
    <row r="145" ht="14.25" customHeight="1">
      <c r="A145" s="28" t="s">
        <v>1928</v>
      </c>
      <c r="B145" s="29" t="s">
        <v>1929</v>
      </c>
      <c r="C145" s="29" t="s">
        <v>7041</v>
      </c>
      <c r="D145" s="30">
        <v>45658.0</v>
      </c>
      <c r="E145" s="30">
        <v>45747.0</v>
      </c>
      <c r="F145" s="39">
        <v>0.0</v>
      </c>
      <c r="G145" s="39">
        <v>0.0</v>
      </c>
      <c r="H145" s="35" t="s">
        <v>7045</v>
      </c>
      <c r="I145" s="30">
        <v>45748.0</v>
      </c>
      <c r="J145" s="30">
        <v>45838.0</v>
      </c>
      <c r="K145" s="39">
        <v>300.0</v>
      </c>
      <c r="L145" s="39">
        <v>500.0</v>
      </c>
      <c r="M145" s="38" t="s">
        <v>7047</v>
      </c>
      <c r="N145" s="30">
        <v>45839.0</v>
      </c>
      <c r="O145" s="30">
        <v>45930.0</v>
      </c>
      <c r="P145" s="39">
        <v>486.0</v>
      </c>
      <c r="Q145" s="39">
        <v>500.0</v>
      </c>
      <c r="R145" s="38" t="s">
        <v>7047</v>
      </c>
      <c r="S145" s="30">
        <v>45931.0</v>
      </c>
      <c r="T145" s="30">
        <v>46022.0</v>
      </c>
      <c r="U145" s="39">
        <v>340.0</v>
      </c>
      <c r="V145" s="39">
        <v>600.0</v>
      </c>
      <c r="W145" s="38" t="s">
        <v>7047</v>
      </c>
      <c r="X145" s="30">
        <v>46023.0</v>
      </c>
      <c r="Y145" s="30">
        <v>46112.0</v>
      </c>
      <c r="Z145" s="39">
        <v>50.0</v>
      </c>
      <c r="AA145" s="39">
        <v>0.0</v>
      </c>
      <c r="AB145" s="38" t="s">
        <v>7047</v>
      </c>
      <c r="AC145" s="30">
        <v>46113.0</v>
      </c>
      <c r="AD145" s="30">
        <v>46203.0</v>
      </c>
      <c r="AE145" s="39">
        <v>0.0</v>
      </c>
      <c r="AF145" s="39">
        <v>0.0</v>
      </c>
      <c r="AG145" s="35" t="s">
        <v>7045</v>
      </c>
      <c r="AH145" s="30">
        <v>46204.0</v>
      </c>
      <c r="AI145" s="30">
        <v>46295.0</v>
      </c>
      <c r="AJ145" s="39">
        <v>0.0</v>
      </c>
      <c r="AK145" s="39">
        <v>0.0</v>
      </c>
      <c r="AL145" s="35" t="s">
        <v>7045</v>
      </c>
      <c r="AM145" s="30">
        <v>46296.0</v>
      </c>
      <c r="AN145" s="30">
        <v>46387.0</v>
      </c>
      <c r="AO145" s="39">
        <v>0.0</v>
      </c>
      <c r="AP145" s="39">
        <v>0.0</v>
      </c>
      <c r="AQ145" s="35" t="s">
        <v>7045</v>
      </c>
      <c r="AR145" s="30">
        <v>46388.0</v>
      </c>
      <c r="AS145" s="30">
        <v>46477.0</v>
      </c>
      <c r="AT145" s="39">
        <v>0.0</v>
      </c>
      <c r="AU145" s="39">
        <v>0.0</v>
      </c>
      <c r="AV145" s="35" t="s">
        <v>7045</v>
      </c>
      <c r="AW145" s="30">
        <v>46478.0</v>
      </c>
      <c r="AX145" s="30">
        <v>46568.0</v>
      </c>
      <c r="AY145" s="39">
        <v>0.0</v>
      </c>
      <c r="AZ145" s="39">
        <v>0.0</v>
      </c>
      <c r="BA145" s="35" t="s">
        <v>7045</v>
      </c>
      <c r="BB145" s="30">
        <v>46569.0</v>
      </c>
      <c r="BC145" s="30">
        <v>46660.0</v>
      </c>
      <c r="BD145" s="39">
        <v>0.0</v>
      </c>
      <c r="BE145" s="39">
        <v>0.0</v>
      </c>
      <c r="BF145" s="35" t="s">
        <v>7045</v>
      </c>
      <c r="BG145" s="30">
        <v>46661.0</v>
      </c>
      <c r="BH145" s="30">
        <v>46752.0</v>
      </c>
      <c r="BI145" s="39">
        <v>0.0</v>
      </c>
      <c r="BJ145" s="39">
        <v>0.0</v>
      </c>
      <c r="BK145" s="35" t="s">
        <v>7045</v>
      </c>
      <c r="BL145" s="30">
        <v>46753.0</v>
      </c>
      <c r="BM145" s="30">
        <v>46843.0</v>
      </c>
      <c r="BN145" s="39">
        <v>0.0</v>
      </c>
      <c r="BO145" s="39">
        <v>0.0</v>
      </c>
      <c r="BP145" s="35" t="s">
        <v>7045</v>
      </c>
      <c r="BQ145" s="30">
        <v>46844.0</v>
      </c>
      <c r="BR145" s="30">
        <v>46934.0</v>
      </c>
      <c r="BS145" s="39">
        <v>0.0</v>
      </c>
      <c r="BT145" s="39">
        <v>0.0</v>
      </c>
      <c r="BU145" s="35" t="s">
        <v>7045</v>
      </c>
      <c r="BV145" s="30">
        <v>46935.0</v>
      </c>
      <c r="BW145" s="30">
        <v>47026.0</v>
      </c>
      <c r="BX145" s="39">
        <v>0.0</v>
      </c>
      <c r="BY145" s="39">
        <v>0.0</v>
      </c>
      <c r="BZ145" s="35" t="s">
        <v>7045</v>
      </c>
      <c r="CA145" s="30">
        <v>47027.0</v>
      </c>
      <c r="CB145" s="30">
        <v>47118.0</v>
      </c>
      <c r="CC145" s="39">
        <v>0.0</v>
      </c>
      <c r="CD145" s="39">
        <v>0.0</v>
      </c>
      <c r="CE145" s="35" t="s">
        <v>7045</v>
      </c>
      <c r="CF145" s="30">
        <v>47119.0</v>
      </c>
      <c r="CG145" s="30">
        <v>47208.0</v>
      </c>
      <c r="CH145" s="39">
        <v>0.0</v>
      </c>
      <c r="CI145" s="39">
        <v>0.0</v>
      </c>
      <c r="CJ145" s="35" t="s">
        <v>7045</v>
      </c>
      <c r="CK145" s="30">
        <v>47209.0</v>
      </c>
      <c r="CL145" s="30">
        <v>47299.0</v>
      </c>
      <c r="CM145" s="39">
        <v>0.0</v>
      </c>
      <c r="CN145" s="39">
        <v>0.0</v>
      </c>
      <c r="CO145" s="35" t="s">
        <v>7045</v>
      </c>
      <c r="CP145" s="30">
        <v>47300.0</v>
      </c>
      <c r="CQ145" s="30">
        <v>47391.0</v>
      </c>
      <c r="CR145" s="39">
        <v>0.0</v>
      </c>
      <c r="CS145" s="39">
        <v>0.0</v>
      </c>
      <c r="CT145" s="35" t="s">
        <v>7045</v>
      </c>
      <c r="CU145" s="30">
        <v>47392.0</v>
      </c>
      <c r="CV145" s="30">
        <v>47483.0</v>
      </c>
      <c r="CW145" s="39">
        <v>0.0</v>
      </c>
      <c r="CX145" s="39">
        <v>0.0</v>
      </c>
      <c r="CY145" s="35" t="s">
        <v>7045</v>
      </c>
      <c r="CZ145" s="30">
        <v>47484.0</v>
      </c>
      <c r="DA145" s="30">
        <v>47573.0</v>
      </c>
      <c r="DB145" s="39">
        <v>0.0</v>
      </c>
      <c r="DC145" s="39">
        <v>0.0</v>
      </c>
      <c r="DD145" s="35" t="s">
        <v>7045</v>
      </c>
      <c r="DE145" s="30">
        <v>47574.0</v>
      </c>
      <c r="DF145" s="30">
        <v>47664.0</v>
      </c>
      <c r="DG145" s="39">
        <v>0.0</v>
      </c>
      <c r="DH145" s="39">
        <v>0.0</v>
      </c>
      <c r="DI145" s="35" t="s">
        <v>7045</v>
      </c>
      <c r="DJ145" s="30">
        <v>47665.0</v>
      </c>
      <c r="DK145" s="30">
        <v>47756.0</v>
      </c>
      <c r="DL145" s="39">
        <v>0.0</v>
      </c>
      <c r="DM145" s="39">
        <v>0.0</v>
      </c>
      <c r="DN145" s="35" t="s">
        <v>7045</v>
      </c>
      <c r="DO145" s="30">
        <v>47757.0</v>
      </c>
      <c r="DP145" s="30">
        <v>47848.0</v>
      </c>
      <c r="DQ145" s="39">
        <v>0.0</v>
      </c>
      <c r="DR145" s="39">
        <v>0.0</v>
      </c>
      <c r="DS145" s="35" t="s">
        <v>7045</v>
      </c>
    </row>
    <row r="146" ht="14.25" customHeight="1">
      <c r="A146" s="28" t="s">
        <v>1979</v>
      </c>
      <c r="B146" s="29" t="s">
        <v>1980</v>
      </c>
      <c r="C146" s="29" t="s">
        <v>7041</v>
      </c>
      <c r="D146" s="30">
        <v>45658.0</v>
      </c>
      <c r="E146" s="30">
        <v>45747.0</v>
      </c>
      <c r="F146" s="36">
        <v>7.0</v>
      </c>
      <c r="G146" s="36">
        <v>0.0</v>
      </c>
      <c r="H146" s="38" t="s">
        <v>7047</v>
      </c>
      <c r="I146" s="30">
        <v>45748.0</v>
      </c>
      <c r="J146" s="30">
        <v>45838.0</v>
      </c>
      <c r="K146" s="36">
        <v>12.96</v>
      </c>
      <c r="L146" s="36">
        <v>366.65</v>
      </c>
      <c r="M146" s="32" t="s">
        <v>7043</v>
      </c>
      <c r="N146" s="30">
        <v>45839.0</v>
      </c>
      <c r="O146" s="30">
        <v>45930.0</v>
      </c>
      <c r="P146" s="36">
        <v>126.86</v>
      </c>
      <c r="Q146" s="36">
        <v>566.68</v>
      </c>
      <c r="R146" s="38" t="s">
        <v>7047</v>
      </c>
      <c r="S146" s="30">
        <v>45931.0</v>
      </c>
      <c r="T146" s="30">
        <v>46022.0</v>
      </c>
      <c r="U146" s="36">
        <v>289.99</v>
      </c>
      <c r="V146" s="36">
        <v>796.68</v>
      </c>
      <c r="W146" s="38" t="s">
        <v>7047</v>
      </c>
      <c r="X146" s="30">
        <v>46023.0</v>
      </c>
      <c r="Y146" s="30">
        <v>46112.0</v>
      </c>
      <c r="Z146" s="36">
        <v>0.0</v>
      </c>
      <c r="AA146" s="36">
        <v>0.0</v>
      </c>
      <c r="AB146" s="35" t="s">
        <v>7045</v>
      </c>
      <c r="AC146" s="30">
        <v>46113.0</v>
      </c>
      <c r="AD146" s="30">
        <v>46203.0</v>
      </c>
      <c r="AE146" s="36">
        <v>0.0</v>
      </c>
      <c r="AF146" s="36">
        <v>0.0</v>
      </c>
      <c r="AG146" s="35" t="s">
        <v>7045</v>
      </c>
      <c r="AH146" s="30">
        <v>46204.0</v>
      </c>
      <c r="AI146" s="30">
        <v>46295.0</v>
      </c>
      <c r="AJ146" s="36">
        <v>0.0</v>
      </c>
      <c r="AK146" s="36">
        <v>0.0</v>
      </c>
      <c r="AL146" s="35" t="s">
        <v>7045</v>
      </c>
      <c r="AM146" s="30">
        <v>46296.0</v>
      </c>
      <c r="AN146" s="30">
        <v>46387.0</v>
      </c>
      <c r="AO146" s="36">
        <v>0.0</v>
      </c>
      <c r="AP146" s="36">
        <v>0.0</v>
      </c>
      <c r="AQ146" s="35" t="s">
        <v>7045</v>
      </c>
      <c r="AR146" s="30">
        <v>46388.0</v>
      </c>
      <c r="AS146" s="30">
        <v>46477.0</v>
      </c>
      <c r="AT146" s="36">
        <v>0.0</v>
      </c>
      <c r="AU146" s="36">
        <v>0.0</v>
      </c>
      <c r="AV146" s="35" t="s">
        <v>7045</v>
      </c>
      <c r="AW146" s="30">
        <v>46478.0</v>
      </c>
      <c r="AX146" s="30">
        <v>46568.0</v>
      </c>
      <c r="AY146" s="36">
        <v>0.0</v>
      </c>
      <c r="AZ146" s="36">
        <v>0.0</v>
      </c>
      <c r="BA146" s="35" t="s">
        <v>7045</v>
      </c>
      <c r="BB146" s="30">
        <v>46569.0</v>
      </c>
      <c r="BC146" s="30">
        <v>46660.0</v>
      </c>
      <c r="BD146" s="36">
        <v>0.0</v>
      </c>
      <c r="BE146" s="36">
        <v>0.0</v>
      </c>
      <c r="BF146" s="35" t="s">
        <v>7045</v>
      </c>
      <c r="BG146" s="30">
        <v>46661.0</v>
      </c>
      <c r="BH146" s="30">
        <v>46752.0</v>
      </c>
      <c r="BI146" s="36">
        <v>0.0</v>
      </c>
      <c r="BJ146" s="36">
        <v>0.0</v>
      </c>
      <c r="BK146" s="35" t="s">
        <v>7045</v>
      </c>
      <c r="BL146" s="30">
        <v>46753.0</v>
      </c>
      <c r="BM146" s="30">
        <v>46843.0</v>
      </c>
      <c r="BN146" s="36">
        <v>0.0</v>
      </c>
      <c r="BO146" s="36">
        <v>0.0</v>
      </c>
      <c r="BP146" s="35" t="s">
        <v>7045</v>
      </c>
      <c r="BQ146" s="30">
        <v>46844.0</v>
      </c>
      <c r="BR146" s="30">
        <v>46934.0</v>
      </c>
      <c r="BS146" s="36">
        <v>0.0</v>
      </c>
      <c r="BT146" s="36">
        <v>0.0</v>
      </c>
      <c r="BU146" s="35" t="s">
        <v>7045</v>
      </c>
      <c r="BV146" s="30">
        <v>46935.0</v>
      </c>
      <c r="BW146" s="30">
        <v>47026.0</v>
      </c>
      <c r="BX146" s="36">
        <v>0.0</v>
      </c>
      <c r="BY146" s="36">
        <v>0.0</v>
      </c>
      <c r="BZ146" s="35" t="s">
        <v>7045</v>
      </c>
      <c r="CA146" s="30">
        <v>47027.0</v>
      </c>
      <c r="CB146" s="30">
        <v>47118.0</v>
      </c>
      <c r="CC146" s="36">
        <v>0.0</v>
      </c>
      <c r="CD146" s="36">
        <v>0.0</v>
      </c>
      <c r="CE146" s="35" t="s">
        <v>7045</v>
      </c>
      <c r="CF146" s="30">
        <v>47119.0</v>
      </c>
      <c r="CG146" s="30">
        <v>47208.0</v>
      </c>
      <c r="CH146" s="36">
        <v>0.0</v>
      </c>
      <c r="CI146" s="36">
        <v>0.0</v>
      </c>
      <c r="CJ146" s="35" t="s">
        <v>7045</v>
      </c>
      <c r="CK146" s="30">
        <v>47209.0</v>
      </c>
      <c r="CL146" s="30">
        <v>47299.0</v>
      </c>
      <c r="CM146" s="36">
        <v>0.0</v>
      </c>
      <c r="CN146" s="36">
        <v>0.0</v>
      </c>
      <c r="CO146" s="35" t="s">
        <v>7045</v>
      </c>
      <c r="CP146" s="30">
        <v>47300.0</v>
      </c>
      <c r="CQ146" s="30">
        <v>47391.0</v>
      </c>
      <c r="CR146" s="36">
        <v>0.0</v>
      </c>
      <c r="CS146" s="36">
        <v>0.0</v>
      </c>
      <c r="CT146" s="35" t="s">
        <v>7045</v>
      </c>
      <c r="CU146" s="30">
        <v>47392.0</v>
      </c>
      <c r="CV146" s="30">
        <v>47483.0</v>
      </c>
      <c r="CW146" s="36">
        <v>0.0</v>
      </c>
      <c r="CX146" s="36">
        <v>0.0</v>
      </c>
      <c r="CY146" s="35" t="s">
        <v>7045</v>
      </c>
      <c r="CZ146" s="30">
        <v>47484.0</v>
      </c>
      <c r="DA146" s="30">
        <v>47573.0</v>
      </c>
      <c r="DB146" s="36">
        <v>0.0</v>
      </c>
      <c r="DC146" s="36">
        <v>0.0</v>
      </c>
      <c r="DD146" s="35" t="s">
        <v>7045</v>
      </c>
      <c r="DE146" s="30">
        <v>47574.0</v>
      </c>
      <c r="DF146" s="30">
        <v>47664.0</v>
      </c>
      <c r="DG146" s="36">
        <v>0.0</v>
      </c>
      <c r="DH146" s="36">
        <v>0.0</v>
      </c>
      <c r="DI146" s="35" t="s">
        <v>7045</v>
      </c>
      <c r="DJ146" s="30">
        <v>47665.0</v>
      </c>
      <c r="DK146" s="30">
        <v>47756.0</v>
      </c>
      <c r="DL146" s="36">
        <v>0.0</v>
      </c>
      <c r="DM146" s="36">
        <v>0.0</v>
      </c>
      <c r="DN146" s="35" t="s">
        <v>7045</v>
      </c>
      <c r="DO146" s="30">
        <v>47757.0</v>
      </c>
      <c r="DP146" s="30">
        <v>47848.0</v>
      </c>
      <c r="DQ146" s="36">
        <v>0.0</v>
      </c>
      <c r="DR146" s="36">
        <v>0.0</v>
      </c>
      <c r="DS146" s="35" t="s">
        <v>7045</v>
      </c>
    </row>
    <row r="147" ht="14.25" customHeight="1">
      <c r="A147" s="28" t="s">
        <v>2158</v>
      </c>
      <c r="B147" s="29" t="s">
        <v>2159</v>
      </c>
      <c r="C147" s="29" t="s">
        <v>7041</v>
      </c>
      <c r="D147" s="30">
        <v>45658.0</v>
      </c>
      <c r="E147" s="30">
        <v>45747.0</v>
      </c>
      <c r="F147" s="36">
        <v>6.27</v>
      </c>
      <c r="G147" s="36">
        <v>0.0</v>
      </c>
      <c r="H147" s="38" t="s">
        <v>7047</v>
      </c>
      <c r="I147" s="30">
        <v>45748.0</v>
      </c>
      <c r="J147" s="30">
        <v>45838.0</v>
      </c>
      <c r="K147" s="36">
        <v>41.07</v>
      </c>
      <c r="L147" s="36">
        <v>283.32</v>
      </c>
      <c r="M147" s="38" t="s">
        <v>7047</v>
      </c>
      <c r="N147" s="30">
        <v>45839.0</v>
      </c>
      <c r="O147" s="30">
        <v>45930.0</v>
      </c>
      <c r="P147" s="36">
        <v>59.99</v>
      </c>
      <c r="Q147" s="36">
        <v>533.33</v>
      </c>
      <c r="R147" s="38" t="s">
        <v>7047</v>
      </c>
      <c r="S147" s="30">
        <v>45931.0</v>
      </c>
      <c r="T147" s="30">
        <v>46022.0</v>
      </c>
      <c r="U147" s="36">
        <v>245.27</v>
      </c>
      <c r="V147" s="36">
        <v>783.34</v>
      </c>
      <c r="W147" s="38" t="s">
        <v>7047</v>
      </c>
      <c r="X147" s="30">
        <v>46023.0</v>
      </c>
      <c r="Y147" s="30">
        <v>46112.0</v>
      </c>
      <c r="Z147" s="36">
        <v>119.07</v>
      </c>
      <c r="AA147" s="36">
        <v>0.0</v>
      </c>
      <c r="AB147" s="35" t="s">
        <v>7047</v>
      </c>
      <c r="AC147" s="30">
        <v>46113.0</v>
      </c>
      <c r="AD147" s="30">
        <v>46203.0</v>
      </c>
      <c r="AE147" s="36">
        <v>65.0</v>
      </c>
      <c r="AF147" s="36">
        <v>0.0</v>
      </c>
      <c r="AG147" s="35" t="s">
        <v>7047</v>
      </c>
      <c r="AH147" s="30">
        <v>46204.0</v>
      </c>
      <c r="AI147" s="30">
        <v>46295.0</v>
      </c>
      <c r="AJ147" s="36">
        <v>0.0</v>
      </c>
      <c r="AK147" s="36">
        <v>0.0</v>
      </c>
      <c r="AL147" s="35" t="s">
        <v>7045</v>
      </c>
      <c r="AM147" s="30">
        <v>46296.0</v>
      </c>
      <c r="AN147" s="30">
        <v>46387.0</v>
      </c>
      <c r="AO147" s="36">
        <v>0.0</v>
      </c>
      <c r="AP147" s="36">
        <v>0.0</v>
      </c>
      <c r="AQ147" s="35" t="s">
        <v>7045</v>
      </c>
      <c r="AR147" s="30">
        <v>46388.0</v>
      </c>
      <c r="AS147" s="30">
        <v>46477.0</v>
      </c>
      <c r="AT147" s="36">
        <v>0.0</v>
      </c>
      <c r="AU147" s="36">
        <v>0.0</v>
      </c>
      <c r="AV147" s="35" t="s">
        <v>7045</v>
      </c>
      <c r="AW147" s="30">
        <v>46478.0</v>
      </c>
      <c r="AX147" s="30">
        <v>46568.0</v>
      </c>
      <c r="AY147" s="36">
        <v>0.0</v>
      </c>
      <c r="AZ147" s="36">
        <v>0.0</v>
      </c>
      <c r="BA147" s="35" t="s">
        <v>7045</v>
      </c>
      <c r="BB147" s="30">
        <v>46569.0</v>
      </c>
      <c r="BC147" s="30">
        <v>46660.0</v>
      </c>
      <c r="BD147" s="36">
        <v>0.0</v>
      </c>
      <c r="BE147" s="36">
        <v>0.0</v>
      </c>
      <c r="BF147" s="35" t="s">
        <v>7045</v>
      </c>
      <c r="BG147" s="30">
        <v>46661.0</v>
      </c>
      <c r="BH147" s="30">
        <v>46752.0</v>
      </c>
      <c r="BI147" s="36">
        <v>0.0</v>
      </c>
      <c r="BJ147" s="36">
        <v>0.0</v>
      </c>
      <c r="BK147" s="35" t="s">
        <v>7045</v>
      </c>
      <c r="BL147" s="30">
        <v>46753.0</v>
      </c>
      <c r="BM147" s="30">
        <v>46843.0</v>
      </c>
      <c r="BN147" s="36">
        <v>0.0</v>
      </c>
      <c r="BO147" s="36">
        <v>0.0</v>
      </c>
      <c r="BP147" s="35" t="s">
        <v>7045</v>
      </c>
      <c r="BQ147" s="30">
        <v>46844.0</v>
      </c>
      <c r="BR147" s="30">
        <v>46934.0</v>
      </c>
      <c r="BS147" s="36">
        <v>0.0</v>
      </c>
      <c r="BT147" s="36">
        <v>0.0</v>
      </c>
      <c r="BU147" s="35" t="s">
        <v>7045</v>
      </c>
      <c r="BV147" s="30">
        <v>46935.0</v>
      </c>
      <c r="BW147" s="30">
        <v>47026.0</v>
      </c>
      <c r="BX147" s="36">
        <v>0.0</v>
      </c>
      <c r="BY147" s="36">
        <v>0.0</v>
      </c>
      <c r="BZ147" s="35" t="s">
        <v>7045</v>
      </c>
      <c r="CA147" s="30">
        <v>47027.0</v>
      </c>
      <c r="CB147" s="30">
        <v>47118.0</v>
      </c>
      <c r="CC147" s="36">
        <v>0.0</v>
      </c>
      <c r="CD147" s="36">
        <v>0.0</v>
      </c>
      <c r="CE147" s="35" t="s">
        <v>7045</v>
      </c>
      <c r="CF147" s="30">
        <v>47119.0</v>
      </c>
      <c r="CG147" s="30">
        <v>47208.0</v>
      </c>
      <c r="CH147" s="36">
        <v>0.0</v>
      </c>
      <c r="CI147" s="36">
        <v>0.0</v>
      </c>
      <c r="CJ147" s="35" t="s">
        <v>7045</v>
      </c>
      <c r="CK147" s="30">
        <v>47209.0</v>
      </c>
      <c r="CL147" s="30">
        <v>47299.0</v>
      </c>
      <c r="CM147" s="36">
        <v>0.0</v>
      </c>
      <c r="CN147" s="36">
        <v>0.0</v>
      </c>
      <c r="CO147" s="35" t="s">
        <v>7045</v>
      </c>
      <c r="CP147" s="30">
        <v>47300.0</v>
      </c>
      <c r="CQ147" s="30">
        <v>47391.0</v>
      </c>
      <c r="CR147" s="36">
        <v>0.0</v>
      </c>
      <c r="CS147" s="36">
        <v>0.0</v>
      </c>
      <c r="CT147" s="35" t="s">
        <v>7045</v>
      </c>
      <c r="CU147" s="30">
        <v>47392.0</v>
      </c>
      <c r="CV147" s="30">
        <v>47483.0</v>
      </c>
      <c r="CW147" s="36">
        <v>0.0</v>
      </c>
      <c r="CX147" s="36">
        <v>0.0</v>
      </c>
      <c r="CY147" s="35" t="s">
        <v>7045</v>
      </c>
      <c r="CZ147" s="30">
        <v>47484.0</v>
      </c>
      <c r="DA147" s="30">
        <v>47573.0</v>
      </c>
      <c r="DB147" s="36">
        <v>0.0</v>
      </c>
      <c r="DC147" s="36">
        <v>0.0</v>
      </c>
      <c r="DD147" s="35" t="s">
        <v>7045</v>
      </c>
      <c r="DE147" s="30">
        <v>47574.0</v>
      </c>
      <c r="DF147" s="30">
        <v>47664.0</v>
      </c>
      <c r="DG147" s="36">
        <v>0.0</v>
      </c>
      <c r="DH147" s="36">
        <v>0.0</v>
      </c>
      <c r="DI147" s="35" t="s">
        <v>7045</v>
      </c>
      <c r="DJ147" s="30">
        <v>47665.0</v>
      </c>
      <c r="DK147" s="30">
        <v>47756.0</v>
      </c>
      <c r="DL147" s="36">
        <v>0.0</v>
      </c>
      <c r="DM147" s="36">
        <v>0.0</v>
      </c>
      <c r="DN147" s="35" t="s">
        <v>7045</v>
      </c>
      <c r="DO147" s="30">
        <v>47757.0</v>
      </c>
      <c r="DP147" s="30">
        <v>47848.0</v>
      </c>
      <c r="DQ147" s="36">
        <v>0.0</v>
      </c>
      <c r="DR147" s="36">
        <v>0.0</v>
      </c>
      <c r="DS147" s="35" t="s">
        <v>7045</v>
      </c>
    </row>
    <row r="148" ht="14.25" customHeight="1">
      <c r="A148" s="28" t="s">
        <v>2163</v>
      </c>
      <c r="B148" s="29" t="s">
        <v>2164</v>
      </c>
      <c r="C148" s="29" t="s">
        <v>7041</v>
      </c>
      <c r="D148" s="30">
        <v>45658.0</v>
      </c>
      <c r="E148" s="30">
        <v>45747.0</v>
      </c>
      <c r="F148" s="36">
        <v>136.33</v>
      </c>
      <c r="G148" s="36">
        <v>0.0</v>
      </c>
      <c r="H148" s="38" t="s">
        <v>7047</v>
      </c>
      <c r="I148" s="30">
        <v>45748.0</v>
      </c>
      <c r="J148" s="30">
        <v>45838.0</v>
      </c>
      <c r="K148" s="36">
        <v>11.93</v>
      </c>
      <c r="L148" s="36">
        <v>759.34</v>
      </c>
      <c r="M148" s="32" t="s">
        <v>7043</v>
      </c>
      <c r="N148" s="30">
        <v>45839.0</v>
      </c>
      <c r="O148" s="30">
        <v>45930.0</v>
      </c>
      <c r="P148" s="36">
        <v>131.12</v>
      </c>
      <c r="Q148" s="36">
        <v>1266.63</v>
      </c>
      <c r="R148" s="38" t="s">
        <v>7046</v>
      </c>
      <c r="S148" s="30">
        <v>45931.0</v>
      </c>
      <c r="T148" s="30">
        <v>46022.0</v>
      </c>
      <c r="U148" s="36">
        <v>294.35</v>
      </c>
      <c r="V148" s="36">
        <v>1266.63</v>
      </c>
      <c r="W148" s="38" t="s">
        <v>7047</v>
      </c>
      <c r="X148" s="30">
        <v>46023.0</v>
      </c>
      <c r="Y148" s="30">
        <v>46112.0</v>
      </c>
      <c r="Z148" s="36">
        <v>497.77</v>
      </c>
      <c r="AA148" s="36">
        <v>0.0</v>
      </c>
      <c r="AB148" s="38" t="s">
        <v>7047</v>
      </c>
      <c r="AC148" s="30">
        <v>46113.0</v>
      </c>
      <c r="AD148" s="30">
        <v>46203.0</v>
      </c>
      <c r="AE148" s="36">
        <v>429.99</v>
      </c>
      <c r="AF148" s="36">
        <v>0.0</v>
      </c>
      <c r="AG148" s="35" t="s">
        <v>7047</v>
      </c>
      <c r="AH148" s="30">
        <v>46204.0</v>
      </c>
      <c r="AI148" s="30">
        <v>46295.0</v>
      </c>
      <c r="AJ148" s="36">
        <v>0.0</v>
      </c>
      <c r="AK148" s="36">
        <v>0.0</v>
      </c>
      <c r="AL148" s="35" t="s">
        <v>7045</v>
      </c>
      <c r="AM148" s="30">
        <v>46296.0</v>
      </c>
      <c r="AN148" s="30">
        <v>46387.0</v>
      </c>
      <c r="AO148" s="36">
        <v>0.0</v>
      </c>
      <c r="AP148" s="36">
        <v>0.0</v>
      </c>
      <c r="AQ148" s="35" t="s">
        <v>7045</v>
      </c>
      <c r="AR148" s="30">
        <v>46388.0</v>
      </c>
      <c r="AS148" s="30">
        <v>46477.0</v>
      </c>
      <c r="AT148" s="36">
        <v>0.0</v>
      </c>
      <c r="AU148" s="36">
        <v>0.0</v>
      </c>
      <c r="AV148" s="35" t="s">
        <v>7045</v>
      </c>
      <c r="AW148" s="30">
        <v>46478.0</v>
      </c>
      <c r="AX148" s="30">
        <v>46568.0</v>
      </c>
      <c r="AY148" s="36">
        <v>0.0</v>
      </c>
      <c r="AZ148" s="36">
        <v>0.0</v>
      </c>
      <c r="BA148" s="35" t="s">
        <v>7045</v>
      </c>
      <c r="BB148" s="30">
        <v>46569.0</v>
      </c>
      <c r="BC148" s="30">
        <v>46660.0</v>
      </c>
      <c r="BD148" s="36">
        <v>0.0</v>
      </c>
      <c r="BE148" s="36">
        <v>0.0</v>
      </c>
      <c r="BF148" s="35" t="s">
        <v>7045</v>
      </c>
      <c r="BG148" s="30">
        <v>46661.0</v>
      </c>
      <c r="BH148" s="30">
        <v>46752.0</v>
      </c>
      <c r="BI148" s="36">
        <v>0.0</v>
      </c>
      <c r="BJ148" s="36">
        <v>0.0</v>
      </c>
      <c r="BK148" s="35" t="s">
        <v>7045</v>
      </c>
      <c r="BL148" s="30">
        <v>46753.0</v>
      </c>
      <c r="BM148" s="30">
        <v>46843.0</v>
      </c>
      <c r="BN148" s="36">
        <v>0.0</v>
      </c>
      <c r="BO148" s="36">
        <v>0.0</v>
      </c>
      <c r="BP148" s="35" t="s">
        <v>7045</v>
      </c>
      <c r="BQ148" s="30">
        <v>46844.0</v>
      </c>
      <c r="BR148" s="30">
        <v>46934.0</v>
      </c>
      <c r="BS148" s="36">
        <v>0.0</v>
      </c>
      <c r="BT148" s="36">
        <v>0.0</v>
      </c>
      <c r="BU148" s="35" t="s">
        <v>7045</v>
      </c>
      <c r="BV148" s="30">
        <v>46935.0</v>
      </c>
      <c r="BW148" s="30">
        <v>47026.0</v>
      </c>
      <c r="BX148" s="36">
        <v>0.0</v>
      </c>
      <c r="BY148" s="36">
        <v>0.0</v>
      </c>
      <c r="BZ148" s="35" t="s">
        <v>7045</v>
      </c>
      <c r="CA148" s="30">
        <v>47027.0</v>
      </c>
      <c r="CB148" s="30">
        <v>47118.0</v>
      </c>
      <c r="CC148" s="36">
        <v>0.0</v>
      </c>
      <c r="CD148" s="36">
        <v>0.0</v>
      </c>
      <c r="CE148" s="35" t="s">
        <v>7045</v>
      </c>
      <c r="CF148" s="30">
        <v>47119.0</v>
      </c>
      <c r="CG148" s="30">
        <v>47208.0</v>
      </c>
      <c r="CH148" s="36">
        <v>0.0</v>
      </c>
      <c r="CI148" s="36">
        <v>0.0</v>
      </c>
      <c r="CJ148" s="35" t="s">
        <v>7045</v>
      </c>
      <c r="CK148" s="30">
        <v>47209.0</v>
      </c>
      <c r="CL148" s="30">
        <v>47299.0</v>
      </c>
      <c r="CM148" s="36">
        <v>0.0</v>
      </c>
      <c r="CN148" s="36">
        <v>0.0</v>
      </c>
      <c r="CO148" s="35" t="s">
        <v>7045</v>
      </c>
      <c r="CP148" s="30">
        <v>47300.0</v>
      </c>
      <c r="CQ148" s="30">
        <v>47391.0</v>
      </c>
      <c r="CR148" s="36">
        <v>0.0</v>
      </c>
      <c r="CS148" s="36">
        <v>0.0</v>
      </c>
      <c r="CT148" s="35" t="s">
        <v>7045</v>
      </c>
      <c r="CU148" s="30">
        <v>47392.0</v>
      </c>
      <c r="CV148" s="30">
        <v>47483.0</v>
      </c>
      <c r="CW148" s="36">
        <v>0.0</v>
      </c>
      <c r="CX148" s="36">
        <v>0.0</v>
      </c>
      <c r="CY148" s="35" t="s">
        <v>7045</v>
      </c>
      <c r="CZ148" s="30">
        <v>47484.0</v>
      </c>
      <c r="DA148" s="30">
        <v>47573.0</v>
      </c>
      <c r="DB148" s="36">
        <v>0.0</v>
      </c>
      <c r="DC148" s="36">
        <v>0.0</v>
      </c>
      <c r="DD148" s="35" t="s">
        <v>7045</v>
      </c>
      <c r="DE148" s="30">
        <v>47574.0</v>
      </c>
      <c r="DF148" s="30">
        <v>47664.0</v>
      </c>
      <c r="DG148" s="36">
        <v>0.0</v>
      </c>
      <c r="DH148" s="36">
        <v>0.0</v>
      </c>
      <c r="DI148" s="35" t="s">
        <v>7045</v>
      </c>
      <c r="DJ148" s="30">
        <v>47665.0</v>
      </c>
      <c r="DK148" s="30">
        <v>47756.0</v>
      </c>
      <c r="DL148" s="36">
        <v>0.0</v>
      </c>
      <c r="DM148" s="36">
        <v>0.0</v>
      </c>
      <c r="DN148" s="35" t="s">
        <v>7045</v>
      </c>
      <c r="DO148" s="30">
        <v>47757.0</v>
      </c>
      <c r="DP148" s="30">
        <v>47848.0</v>
      </c>
      <c r="DQ148" s="36">
        <v>0.0</v>
      </c>
      <c r="DR148" s="36">
        <v>0.0</v>
      </c>
      <c r="DS148" s="35" t="s">
        <v>7045</v>
      </c>
    </row>
    <row r="149" ht="14.25" customHeight="1">
      <c r="A149" s="28" t="s">
        <v>2167</v>
      </c>
      <c r="B149" s="29" t="s">
        <v>2168</v>
      </c>
      <c r="C149" s="29" t="s">
        <v>7041</v>
      </c>
      <c r="D149" s="30">
        <v>45658.0</v>
      </c>
      <c r="E149" s="30">
        <v>45747.0</v>
      </c>
      <c r="F149" s="39">
        <v>0.0</v>
      </c>
      <c r="G149" s="39">
        <v>0.0</v>
      </c>
      <c r="H149" s="35" t="s">
        <v>7045</v>
      </c>
      <c r="I149" s="30">
        <v>45748.0</v>
      </c>
      <c r="J149" s="30">
        <v>45838.0</v>
      </c>
      <c r="K149" s="39">
        <v>15.0</v>
      </c>
      <c r="L149" s="39">
        <v>61.64</v>
      </c>
      <c r="M149" s="38" t="s">
        <v>7047</v>
      </c>
      <c r="N149" s="30">
        <v>45839.0</v>
      </c>
      <c r="O149" s="30">
        <v>45930.0</v>
      </c>
      <c r="P149" s="39">
        <v>15.0</v>
      </c>
      <c r="Q149" s="39">
        <v>200.0</v>
      </c>
      <c r="R149" s="38" t="s">
        <v>7047</v>
      </c>
      <c r="S149" s="30">
        <v>45931.0</v>
      </c>
      <c r="T149" s="30">
        <v>46022.0</v>
      </c>
      <c r="U149" s="39">
        <v>15.0</v>
      </c>
      <c r="V149" s="39">
        <v>216.67</v>
      </c>
      <c r="W149" s="38" t="s">
        <v>7047</v>
      </c>
      <c r="X149" s="30">
        <v>46023.0</v>
      </c>
      <c r="Y149" s="30">
        <v>46112.0</v>
      </c>
      <c r="Z149" s="39">
        <v>0.0</v>
      </c>
      <c r="AA149" s="39">
        <v>0.0</v>
      </c>
      <c r="AB149" s="35" t="s">
        <v>7045</v>
      </c>
      <c r="AC149" s="30">
        <v>46113.0</v>
      </c>
      <c r="AD149" s="30">
        <v>46203.0</v>
      </c>
      <c r="AE149" s="39">
        <v>0.0</v>
      </c>
      <c r="AF149" s="39">
        <v>0.0</v>
      </c>
      <c r="AG149" s="35" t="s">
        <v>7045</v>
      </c>
      <c r="AH149" s="30">
        <v>46204.0</v>
      </c>
      <c r="AI149" s="30">
        <v>46295.0</v>
      </c>
      <c r="AJ149" s="39">
        <v>0.0</v>
      </c>
      <c r="AK149" s="39">
        <v>0.0</v>
      </c>
      <c r="AL149" s="35" t="s">
        <v>7045</v>
      </c>
      <c r="AM149" s="30">
        <v>46296.0</v>
      </c>
      <c r="AN149" s="30">
        <v>46387.0</v>
      </c>
      <c r="AO149" s="39">
        <v>0.0</v>
      </c>
      <c r="AP149" s="39">
        <v>0.0</v>
      </c>
      <c r="AQ149" s="35" t="s">
        <v>7045</v>
      </c>
      <c r="AR149" s="30">
        <v>46388.0</v>
      </c>
      <c r="AS149" s="30">
        <v>46477.0</v>
      </c>
      <c r="AT149" s="39">
        <v>0.0</v>
      </c>
      <c r="AU149" s="39">
        <v>0.0</v>
      </c>
      <c r="AV149" s="35" t="s">
        <v>7045</v>
      </c>
      <c r="AW149" s="30">
        <v>46478.0</v>
      </c>
      <c r="AX149" s="30">
        <v>46568.0</v>
      </c>
      <c r="AY149" s="39">
        <v>0.0</v>
      </c>
      <c r="AZ149" s="39">
        <v>0.0</v>
      </c>
      <c r="BA149" s="35" t="s">
        <v>7045</v>
      </c>
      <c r="BB149" s="30">
        <v>46569.0</v>
      </c>
      <c r="BC149" s="30">
        <v>46660.0</v>
      </c>
      <c r="BD149" s="39">
        <v>0.0</v>
      </c>
      <c r="BE149" s="39">
        <v>0.0</v>
      </c>
      <c r="BF149" s="35" t="s">
        <v>7045</v>
      </c>
      <c r="BG149" s="30">
        <v>46661.0</v>
      </c>
      <c r="BH149" s="30">
        <v>46752.0</v>
      </c>
      <c r="BI149" s="39">
        <v>0.0</v>
      </c>
      <c r="BJ149" s="39">
        <v>0.0</v>
      </c>
      <c r="BK149" s="35" t="s">
        <v>7045</v>
      </c>
      <c r="BL149" s="30">
        <v>46753.0</v>
      </c>
      <c r="BM149" s="30">
        <v>46843.0</v>
      </c>
      <c r="BN149" s="39">
        <v>0.0</v>
      </c>
      <c r="BO149" s="39">
        <v>0.0</v>
      </c>
      <c r="BP149" s="35" t="s">
        <v>7045</v>
      </c>
      <c r="BQ149" s="30">
        <v>46844.0</v>
      </c>
      <c r="BR149" s="30">
        <v>46934.0</v>
      </c>
      <c r="BS149" s="39">
        <v>0.0</v>
      </c>
      <c r="BT149" s="39">
        <v>0.0</v>
      </c>
      <c r="BU149" s="35" t="s">
        <v>7045</v>
      </c>
      <c r="BV149" s="30">
        <v>46935.0</v>
      </c>
      <c r="BW149" s="30">
        <v>47026.0</v>
      </c>
      <c r="BX149" s="39">
        <v>0.0</v>
      </c>
      <c r="BY149" s="39">
        <v>0.0</v>
      </c>
      <c r="BZ149" s="35" t="s">
        <v>7045</v>
      </c>
      <c r="CA149" s="30">
        <v>47027.0</v>
      </c>
      <c r="CB149" s="30">
        <v>47118.0</v>
      </c>
      <c r="CC149" s="39">
        <v>0.0</v>
      </c>
      <c r="CD149" s="39">
        <v>0.0</v>
      </c>
      <c r="CE149" s="35" t="s">
        <v>7045</v>
      </c>
      <c r="CF149" s="30">
        <v>47119.0</v>
      </c>
      <c r="CG149" s="30">
        <v>47208.0</v>
      </c>
      <c r="CH149" s="39">
        <v>0.0</v>
      </c>
      <c r="CI149" s="39">
        <v>0.0</v>
      </c>
      <c r="CJ149" s="35" t="s">
        <v>7045</v>
      </c>
      <c r="CK149" s="30">
        <v>47209.0</v>
      </c>
      <c r="CL149" s="30">
        <v>47299.0</v>
      </c>
      <c r="CM149" s="39">
        <v>0.0</v>
      </c>
      <c r="CN149" s="39">
        <v>0.0</v>
      </c>
      <c r="CO149" s="35" t="s">
        <v>7045</v>
      </c>
      <c r="CP149" s="30">
        <v>47300.0</v>
      </c>
      <c r="CQ149" s="30">
        <v>47391.0</v>
      </c>
      <c r="CR149" s="39">
        <v>0.0</v>
      </c>
      <c r="CS149" s="39">
        <v>0.0</v>
      </c>
      <c r="CT149" s="35" t="s">
        <v>7045</v>
      </c>
      <c r="CU149" s="30">
        <v>47392.0</v>
      </c>
      <c r="CV149" s="30">
        <v>47483.0</v>
      </c>
      <c r="CW149" s="39">
        <v>0.0</v>
      </c>
      <c r="CX149" s="39">
        <v>0.0</v>
      </c>
      <c r="CY149" s="35" t="s">
        <v>7045</v>
      </c>
      <c r="CZ149" s="30">
        <v>47484.0</v>
      </c>
      <c r="DA149" s="30">
        <v>47573.0</v>
      </c>
      <c r="DB149" s="39">
        <v>0.0</v>
      </c>
      <c r="DC149" s="39">
        <v>0.0</v>
      </c>
      <c r="DD149" s="35" t="s">
        <v>7045</v>
      </c>
      <c r="DE149" s="30">
        <v>47574.0</v>
      </c>
      <c r="DF149" s="30">
        <v>47664.0</v>
      </c>
      <c r="DG149" s="39">
        <v>0.0</v>
      </c>
      <c r="DH149" s="39">
        <v>0.0</v>
      </c>
      <c r="DI149" s="35" t="s">
        <v>7045</v>
      </c>
      <c r="DJ149" s="30">
        <v>47665.0</v>
      </c>
      <c r="DK149" s="30">
        <v>47756.0</v>
      </c>
      <c r="DL149" s="39">
        <v>0.0</v>
      </c>
      <c r="DM149" s="39">
        <v>0.0</v>
      </c>
      <c r="DN149" s="35" t="s">
        <v>7045</v>
      </c>
      <c r="DO149" s="30">
        <v>47757.0</v>
      </c>
      <c r="DP149" s="30">
        <v>47848.0</v>
      </c>
      <c r="DQ149" s="39">
        <v>0.0</v>
      </c>
      <c r="DR149" s="39">
        <v>0.0</v>
      </c>
      <c r="DS149" s="35" t="s">
        <v>7045</v>
      </c>
    </row>
    <row r="150" ht="14.25" customHeight="1">
      <c r="A150" s="28" t="s">
        <v>2380</v>
      </c>
      <c r="B150" s="29" t="s">
        <v>2381</v>
      </c>
      <c r="C150" s="29" t="s">
        <v>7041</v>
      </c>
      <c r="D150" s="30">
        <v>45658.0</v>
      </c>
      <c r="E150" s="30">
        <v>45747.0</v>
      </c>
      <c r="F150" s="39">
        <v>25.0</v>
      </c>
      <c r="G150" s="39">
        <v>0.0</v>
      </c>
      <c r="H150" s="38" t="s">
        <v>7047</v>
      </c>
      <c r="I150" s="30">
        <v>45748.0</v>
      </c>
      <c r="J150" s="30">
        <v>45838.0</v>
      </c>
      <c r="K150" s="39">
        <v>25.0</v>
      </c>
      <c r="L150" s="39">
        <v>0.0</v>
      </c>
      <c r="M150" s="38" t="s">
        <v>7047</v>
      </c>
      <c r="N150" s="30">
        <v>45839.0</v>
      </c>
      <c r="O150" s="30">
        <v>45930.0</v>
      </c>
      <c r="P150" s="39">
        <v>425.0</v>
      </c>
      <c r="Q150" s="39">
        <v>0.0</v>
      </c>
      <c r="R150" s="38" t="s">
        <v>7047</v>
      </c>
      <c r="S150" s="30">
        <v>45931.0</v>
      </c>
      <c r="T150" s="30">
        <v>46022.0</v>
      </c>
      <c r="U150" s="39">
        <v>265.0</v>
      </c>
      <c r="V150" s="39">
        <v>0.0</v>
      </c>
      <c r="W150" s="38" t="s">
        <v>7047</v>
      </c>
      <c r="X150" s="30">
        <v>46023.0</v>
      </c>
      <c r="Y150" s="30">
        <v>46112.0</v>
      </c>
      <c r="Z150" s="39">
        <v>0.0</v>
      </c>
      <c r="AA150" s="39">
        <v>0.0</v>
      </c>
      <c r="AB150" s="35" t="s">
        <v>7045</v>
      </c>
      <c r="AC150" s="30">
        <v>46113.0</v>
      </c>
      <c r="AD150" s="30">
        <v>46203.0</v>
      </c>
      <c r="AE150" s="39">
        <v>0.0</v>
      </c>
      <c r="AF150" s="39">
        <v>0.0</v>
      </c>
      <c r="AG150" s="35" t="s">
        <v>7045</v>
      </c>
      <c r="AH150" s="30">
        <v>46204.0</v>
      </c>
      <c r="AI150" s="30">
        <v>46295.0</v>
      </c>
      <c r="AJ150" s="39">
        <v>0.0</v>
      </c>
      <c r="AK150" s="39">
        <v>0.0</v>
      </c>
      <c r="AL150" s="35" t="s">
        <v>7045</v>
      </c>
      <c r="AM150" s="30">
        <v>46296.0</v>
      </c>
      <c r="AN150" s="30">
        <v>46387.0</v>
      </c>
      <c r="AO150" s="39">
        <v>0.0</v>
      </c>
      <c r="AP150" s="39">
        <v>0.0</v>
      </c>
      <c r="AQ150" s="35" t="s">
        <v>7045</v>
      </c>
      <c r="AR150" s="30">
        <v>46388.0</v>
      </c>
      <c r="AS150" s="30">
        <v>46477.0</v>
      </c>
      <c r="AT150" s="39">
        <v>0.0</v>
      </c>
      <c r="AU150" s="39">
        <v>0.0</v>
      </c>
      <c r="AV150" s="35" t="s">
        <v>7045</v>
      </c>
      <c r="AW150" s="30">
        <v>46478.0</v>
      </c>
      <c r="AX150" s="30">
        <v>46568.0</v>
      </c>
      <c r="AY150" s="39">
        <v>0.0</v>
      </c>
      <c r="AZ150" s="39">
        <v>0.0</v>
      </c>
      <c r="BA150" s="35" t="s">
        <v>7045</v>
      </c>
      <c r="BB150" s="30">
        <v>46569.0</v>
      </c>
      <c r="BC150" s="30">
        <v>46660.0</v>
      </c>
      <c r="BD150" s="39">
        <v>0.0</v>
      </c>
      <c r="BE150" s="39">
        <v>0.0</v>
      </c>
      <c r="BF150" s="35" t="s">
        <v>7045</v>
      </c>
      <c r="BG150" s="30">
        <v>46661.0</v>
      </c>
      <c r="BH150" s="30">
        <v>46752.0</v>
      </c>
      <c r="BI150" s="39">
        <v>0.0</v>
      </c>
      <c r="BJ150" s="39">
        <v>0.0</v>
      </c>
      <c r="BK150" s="35" t="s">
        <v>7045</v>
      </c>
      <c r="BL150" s="30">
        <v>46753.0</v>
      </c>
      <c r="BM150" s="30">
        <v>46843.0</v>
      </c>
      <c r="BN150" s="39">
        <v>0.0</v>
      </c>
      <c r="BO150" s="39">
        <v>0.0</v>
      </c>
      <c r="BP150" s="35" t="s">
        <v>7045</v>
      </c>
      <c r="BQ150" s="30">
        <v>46844.0</v>
      </c>
      <c r="BR150" s="30">
        <v>46934.0</v>
      </c>
      <c r="BS150" s="39">
        <v>0.0</v>
      </c>
      <c r="BT150" s="39">
        <v>0.0</v>
      </c>
      <c r="BU150" s="35" t="s">
        <v>7045</v>
      </c>
      <c r="BV150" s="30">
        <v>46935.0</v>
      </c>
      <c r="BW150" s="30">
        <v>47026.0</v>
      </c>
      <c r="BX150" s="39">
        <v>0.0</v>
      </c>
      <c r="BY150" s="39">
        <v>0.0</v>
      </c>
      <c r="BZ150" s="35" t="s">
        <v>7045</v>
      </c>
      <c r="CA150" s="30">
        <v>47027.0</v>
      </c>
      <c r="CB150" s="30">
        <v>47118.0</v>
      </c>
      <c r="CC150" s="39">
        <v>0.0</v>
      </c>
      <c r="CD150" s="39">
        <v>0.0</v>
      </c>
      <c r="CE150" s="35" t="s">
        <v>7045</v>
      </c>
      <c r="CF150" s="30">
        <v>47119.0</v>
      </c>
      <c r="CG150" s="30">
        <v>47208.0</v>
      </c>
      <c r="CH150" s="39">
        <v>0.0</v>
      </c>
      <c r="CI150" s="39">
        <v>0.0</v>
      </c>
      <c r="CJ150" s="35" t="s">
        <v>7045</v>
      </c>
      <c r="CK150" s="30">
        <v>47209.0</v>
      </c>
      <c r="CL150" s="30">
        <v>47299.0</v>
      </c>
      <c r="CM150" s="39">
        <v>0.0</v>
      </c>
      <c r="CN150" s="39">
        <v>0.0</v>
      </c>
      <c r="CO150" s="35" t="s">
        <v>7045</v>
      </c>
      <c r="CP150" s="30">
        <v>47300.0</v>
      </c>
      <c r="CQ150" s="30">
        <v>47391.0</v>
      </c>
      <c r="CR150" s="39">
        <v>0.0</v>
      </c>
      <c r="CS150" s="39">
        <v>0.0</v>
      </c>
      <c r="CT150" s="35" t="s">
        <v>7045</v>
      </c>
      <c r="CU150" s="30">
        <v>47392.0</v>
      </c>
      <c r="CV150" s="30">
        <v>47483.0</v>
      </c>
      <c r="CW150" s="39">
        <v>0.0</v>
      </c>
      <c r="CX150" s="39">
        <v>0.0</v>
      </c>
      <c r="CY150" s="35" t="s">
        <v>7045</v>
      </c>
      <c r="CZ150" s="30">
        <v>47484.0</v>
      </c>
      <c r="DA150" s="30">
        <v>47573.0</v>
      </c>
      <c r="DB150" s="39">
        <v>0.0</v>
      </c>
      <c r="DC150" s="39">
        <v>0.0</v>
      </c>
      <c r="DD150" s="35" t="s">
        <v>7045</v>
      </c>
      <c r="DE150" s="30">
        <v>47574.0</v>
      </c>
      <c r="DF150" s="30">
        <v>47664.0</v>
      </c>
      <c r="DG150" s="39">
        <v>0.0</v>
      </c>
      <c r="DH150" s="39">
        <v>0.0</v>
      </c>
      <c r="DI150" s="35" t="s">
        <v>7045</v>
      </c>
      <c r="DJ150" s="30">
        <v>47665.0</v>
      </c>
      <c r="DK150" s="30">
        <v>47756.0</v>
      </c>
      <c r="DL150" s="39">
        <v>0.0</v>
      </c>
      <c r="DM150" s="39">
        <v>0.0</v>
      </c>
      <c r="DN150" s="35" t="s">
        <v>7045</v>
      </c>
      <c r="DO150" s="30">
        <v>47757.0</v>
      </c>
      <c r="DP150" s="30">
        <v>47848.0</v>
      </c>
      <c r="DQ150" s="39">
        <v>0.0</v>
      </c>
      <c r="DR150" s="39">
        <v>0.0</v>
      </c>
      <c r="DS150" s="35" t="s">
        <v>7045</v>
      </c>
    </row>
    <row r="151" ht="14.25" customHeight="1">
      <c r="A151" s="28" t="s">
        <v>2423</v>
      </c>
      <c r="B151" s="29" t="s">
        <v>2424</v>
      </c>
      <c r="C151" s="29" t="s">
        <v>7041</v>
      </c>
      <c r="D151" s="30">
        <v>45658.0</v>
      </c>
      <c r="E151" s="30">
        <v>45747.0</v>
      </c>
      <c r="F151" s="39">
        <v>60.0</v>
      </c>
      <c r="G151" s="39">
        <v>0.0</v>
      </c>
      <c r="H151" s="38" t="s">
        <v>7047</v>
      </c>
      <c r="I151" s="30">
        <v>45748.0</v>
      </c>
      <c r="J151" s="30">
        <v>45838.0</v>
      </c>
      <c r="K151" s="39">
        <v>45.0</v>
      </c>
      <c r="L151" s="39">
        <v>976.67</v>
      </c>
      <c r="M151" s="32" t="s">
        <v>7043</v>
      </c>
      <c r="N151" s="30">
        <v>45839.0</v>
      </c>
      <c r="O151" s="30">
        <v>45930.0</v>
      </c>
      <c r="P151" s="39">
        <v>66.0</v>
      </c>
      <c r="Q151" s="39">
        <v>1133.33</v>
      </c>
      <c r="R151" s="38" t="s">
        <v>7046</v>
      </c>
      <c r="S151" s="30">
        <v>45931.0</v>
      </c>
      <c r="T151" s="30">
        <v>46022.0</v>
      </c>
      <c r="U151" s="39">
        <v>370.0</v>
      </c>
      <c r="V151" s="39">
        <v>1150.0</v>
      </c>
      <c r="W151" s="38" t="s">
        <v>7047</v>
      </c>
      <c r="X151" s="30">
        <v>46023.0</v>
      </c>
      <c r="Y151" s="30">
        <v>46112.0</v>
      </c>
      <c r="Z151" s="39">
        <v>52.0</v>
      </c>
      <c r="AA151" s="39">
        <v>0.0</v>
      </c>
      <c r="AB151" s="38" t="s">
        <v>7047</v>
      </c>
      <c r="AC151" s="30">
        <v>46113.0</v>
      </c>
      <c r="AD151" s="30">
        <v>46203.0</v>
      </c>
      <c r="AE151" s="39">
        <v>90.0</v>
      </c>
      <c r="AF151" s="39">
        <v>0.0</v>
      </c>
      <c r="AG151" s="38" t="s">
        <v>7047</v>
      </c>
      <c r="AH151" s="30">
        <v>46204.0</v>
      </c>
      <c r="AI151" s="30">
        <v>46295.0</v>
      </c>
      <c r="AJ151" s="39">
        <v>195.0</v>
      </c>
      <c r="AK151" s="39">
        <v>0.0</v>
      </c>
      <c r="AL151" s="38" t="s">
        <v>7047</v>
      </c>
      <c r="AM151" s="30">
        <v>46296.0</v>
      </c>
      <c r="AN151" s="30">
        <v>46387.0</v>
      </c>
      <c r="AO151" s="39">
        <v>0.0</v>
      </c>
      <c r="AP151" s="39">
        <v>0.0</v>
      </c>
      <c r="AQ151" s="35" t="s">
        <v>7045</v>
      </c>
      <c r="AR151" s="30">
        <v>46388.0</v>
      </c>
      <c r="AS151" s="30">
        <v>46477.0</v>
      </c>
      <c r="AT151" s="39">
        <v>0.0</v>
      </c>
      <c r="AU151" s="39">
        <v>0.0</v>
      </c>
      <c r="AV151" s="35" t="s">
        <v>7045</v>
      </c>
      <c r="AW151" s="30">
        <v>46478.0</v>
      </c>
      <c r="AX151" s="30">
        <v>46568.0</v>
      </c>
      <c r="AY151" s="39">
        <v>0.0</v>
      </c>
      <c r="AZ151" s="39">
        <v>0.0</v>
      </c>
      <c r="BA151" s="35" t="s">
        <v>7045</v>
      </c>
      <c r="BB151" s="30">
        <v>46569.0</v>
      </c>
      <c r="BC151" s="30">
        <v>46660.0</v>
      </c>
      <c r="BD151" s="39">
        <v>0.0</v>
      </c>
      <c r="BE151" s="39">
        <v>0.0</v>
      </c>
      <c r="BF151" s="35" t="s">
        <v>7045</v>
      </c>
      <c r="BG151" s="30">
        <v>46661.0</v>
      </c>
      <c r="BH151" s="30">
        <v>46752.0</v>
      </c>
      <c r="BI151" s="39">
        <v>0.0</v>
      </c>
      <c r="BJ151" s="39">
        <v>0.0</v>
      </c>
      <c r="BK151" s="35" t="s">
        <v>7045</v>
      </c>
      <c r="BL151" s="30">
        <v>46753.0</v>
      </c>
      <c r="BM151" s="30">
        <v>46843.0</v>
      </c>
      <c r="BN151" s="39">
        <v>0.0</v>
      </c>
      <c r="BO151" s="39">
        <v>0.0</v>
      </c>
      <c r="BP151" s="35" t="s">
        <v>7045</v>
      </c>
      <c r="BQ151" s="30">
        <v>46844.0</v>
      </c>
      <c r="BR151" s="30">
        <v>46934.0</v>
      </c>
      <c r="BS151" s="39">
        <v>0.0</v>
      </c>
      <c r="BT151" s="39">
        <v>0.0</v>
      </c>
      <c r="BU151" s="35" t="s">
        <v>7045</v>
      </c>
      <c r="BV151" s="30">
        <v>46935.0</v>
      </c>
      <c r="BW151" s="30">
        <v>47026.0</v>
      </c>
      <c r="BX151" s="39">
        <v>0.0</v>
      </c>
      <c r="BY151" s="39">
        <v>0.0</v>
      </c>
      <c r="BZ151" s="35" t="s">
        <v>7045</v>
      </c>
      <c r="CA151" s="30">
        <v>47027.0</v>
      </c>
      <c r="CB151" s="30">
        <v>47118.0</v>
      </c>
      <c r="CC151" s="39">
        <v>0.0</v>
      </c>
      <c r="CD151" s="39">
        <v>0.0</v>
      </c>
      <c r="CE151" s="35" t="s">
        <v>7045</v>
      </c>
      <c r="CF151" s="30">
        <v>47119.0</v>
      </c>
      <c r="CG151" s="30">
        <v>47208.0</v>
      </c>
      <c r="CH151" s="39">
        <v>0.0</v>
      </c>
      <c r="CI151" s="39">
        <v>0.0</v>
      </c>
      <c r="CJ151" s="35" t="s">
        <v>7045</v>
      </c>
      <c r="CK151" s="30">
        <v>47209.0</v>
      </c>
      <c r="CL151" s="30">
        <v>47299.0</v>
      </c>
      <c r="CM151" s="39">
        <v>0.0</v>
      </c>
      <c r="CN151" s="39">
        <v>0.0</v>
      </c>
      <c r="CO151" s="35" t="s">
        <v>7045</v>
      </c>
      <c r="CP151" s="30">
        <v>47300.0</v>
      </c>
      <c r="CQ151" s="30">
        <v>47391.0</v>
      </c>
      <c r="CR151" s="39">
        <v>0.0</v>
      </c>
      <c r="CS151" s="39">
        <v>0.0</v>
      </c>
      <c r="CT151" s="35" t="s">
        <v>7045</v>
      </c>
      <c r="CU151" s="30">
        <v>47392.0</v>
      </c>
      <c r="CV151" s="30">
        <v>47483.0</v>
      </c>
      <c r="CW151" s="39">
        <v>0.0</v>
      </c>
      <c r="CX151" s="39">
        <v>0.0</v>
      </c>
      <c r="CY151" s="35" t="s">
        <v>7045</v>
      </c>
      <c r="CZ151" s="30">
        <v>47484.0</v>
      </c>
      <c r="DA151" s="30">
        <v>47573.0</v>
      </c>
      <c r="DB151" s="39">
        <v>0.0</v>
      </c>
      <c r="DC151" s="39">
        <v>0.0</v>
      </c>
      <c r="DD151" s="35" t="s">
        <v>7045</v>
      </c>
      <c r="DE151" s="30">
        <v>47574.0</v>
      </c>
      <c r="DF151" s="30">
        <v>47664.0</v>
      </c>
      <c r="DG151" s="39">
        <v>0.0</v>
      </c>
      <c r="DH151" s="39">
        <v>0.0</v>
      </c>
      <c r="DI151" s="35" t="s">
        <v>7045</v>
      </c>
      <c r="DJ151" s="30">
        <v>47665.0</v>
      </c>
      <c r="DK151" s="30">
        <v>47756.0</v>
      </c>
      <c r="DL151" s="39">
        <v>0.0</v>
      </c>
      <c r="DM151" s="39">
        <v>0.0</v>
      </c>
      <c r="DN151" s="35" t="s">
        <v>7045</v>
      </c>
      <c r="DO151" s="30">
        <v>47757.0</v>
      </c>
      <c r="DP151" s="30">
        <v>47848.0</v>
      </c>
      <c r="DQ151" s="39">
        <v>0.0</v>
      </c>
      <c r="DR151" s="39">
        <v>0.0</v>
      </c>
      <c r="DS151" s="35" t="s">
        <v>7045</v>
      </c>
    </row>
    <row r="152" ht="14.25" customHeight="1">
      <c r="A152" s="28" t="s">
        <v>2474</v>
      </c>
      <c r="B152" s="29" t="s">
        <v>2475</v>
      </c>
      <c r="C152" s="29" t="s">
        <v>7041</v>
      </c>
      <c r="D152" s="30">
        <v>45658.0</v>
      </c>
      <c r="E152" s="30">
        <v>45747.0</v>
      </c>
      <c r="F152" s="39">
        <v>148.6</v>
      </c>
      <c r="G152" s="39">
        <v>0.0</v>
      </c>
      <c r="H152" s="38" t="s">
        <v>7047</v>
      </c>
      <c r="I152" s="30">
        <v>45748.0</v>
      </c>
      <c r="J152" s="30">
        <v>45838.0</v>
      </c>
      <c r="K152" s="39">
        <v>10.0</v>
      </c>
      <c r="L152" s="39">
        <v>0.0</v>
      </c>
      <c r="M152" s="38" t="s">
        <v>7047</v>
      </c>
      <c r="N152" s="30">
        <v>45839.0</v>
      </c>
      <c r="O152" s="30">
        <v>45930.0</v>
      </c>
      <c r="P152" s="39">
        <v>800.0</v>
      </c>
      <c r="Q152" s="39">
        <v>0.0</v>
      </c>
      <c r="R152" s="38" t="s">
        <v>7047</v>
      </c>
      <c r="S152" s="30">
        <v>45931.0</v>
      </c>
      <c r="T152" s="30">
        <v>46022.0</v>
      </c>
      <c r="U152" s="39">
        <v>515.0</v>
      </c>
      <c r="V152" s="39">
        <v>0.0</v>
      </c>
      <c r="W152" s="38" t="s">
        <v>7047</v>
      </c>
      <c r="X152" s="30">
        <v>46023.0</v>
      </c>
      <c r="Y152" s="30">
        <v>46112.0</v>
      </c>
      <c r="Z152" s="39">
        <v>0.0</v>
      </c>
      <c r="AA152" s="39">
        <v>0.0</v>
      </c>
      <c r="AB152" s="35" t="s">
        <v>7045</v>
      </c>
      <c r="AC152" s="30">
        <v>46113.0</v>
      </c>
      <c r="AD152" s="30">
        <v>46203.0</v>
      </c>
      <c r="AE152" s="39">
        <v>11.0</v>
      </c>
      <c r="AF152" s="39">
        <v>0.0</v>
      </c>
      <c r="AG152" s="35" t="s">
        <v>7047</v>
      </c>
      <c r="AH152" s="30">
        <v>46204.0</v>
      </c>
      <c r="AI152" s="30">
        <v>46295.0</v>
      </c>
      <c r="AJ152" s="39">
        <v>0.0</v>
      </c>
      <c r="AK152" s="39">
        <v>0.0</v>
      </c>
      <c r="AL152" s="35" t="s">
        <v>7045</v>
      </c>
      <c r="AM152" s="30">
        <v>46296.0</v>
      </c>
      <c r="AN152" s="30">
        <v>46387.0</v>
      </c>
      <c r="AO152" s="39">
        <v>0.0</v>
      </c>
      <c r="AP152" s="39">
        <v>0.0</v>
      </c>
      <c r="AQ152" s="35" t="s">
        <v>7045</v>
      </c>
      <c r="AR152" s="30">
        <v>46388.0</v>
      </c>
      <c r="AS152" s="30">
        <v>46477.0</v>
      </c>
      <c r="AT152" s="39">
        <v>0.0</v>
      </c>
      <c r="AU152" s="39">
        <v>0.0</v>
      </c>
      <c r="AV152" s="35" t="s">
        <v>7045</v>
      </c>
      <c r="AW152" s="30">
        <v>46478.0</v>
      </c>
      <c r="AX152" s="30">
        <v>46568.0</v>
      </c>
      <c r="AY152" s="39">
        <v>0.0</v>
      </c>
      <c r="AZ152" s="39">
        <v>0.0</v>
      </c>
      <c r="BA152" s="35" t="s">
        <v>7045</v>
      </c>
      <c r="BB152" s="30">
        <v>46569.0</v>
      </c>
      <c r="BC152" s="30">
        <v>46660.0</v>
      </c>
      <c r="BD152" s="39">
        <v>0.0</v>
      </c>
      <c r="BE152" s="39">
        <v>0.0</v>
      </c>
      <c r="BF152" s="35" t="s">
        <v>7045</v>
      </c>
      <c r="BG152" s="30">
        <v>46661.0</v>
      </c>
      <c r="BH152" s="30">
        <v>46752.0</v>
      </c>
      <c r="BI152" s="39">
        <v>0.0</v>
      </c>
      <c r="BJ152" s="39">
        <v>0.0</v>
      </c>
      <c r="BK152" s="35" t="s">
        <v>7045</v>
      </c>
      <c r="BL152" s="30">
        <v>46753.0</v>
      </c>
      <c r="BM152" s="30">
        <v>46843.0</v>
      </c>
      <c r="BN152" s="39">
        <v>0.0</v>
      </c>
      <c r="BO152" s="39">
        <v>0.0</v>
      </c>
      <c r="BP152" s="35" t="s">
        <v>7045</v>
      </c>
      <c r="BQ152" s="30">
        <v>46844.0</v>
      </c>
      <c r="BR152" s="30">
        <v>46934.0</v>
      </c>
      <c r="BS152" s="39">
        <v>0.0</v>
      </c>
      <c r="BT152" s="39">
        <v>0.0</v>
      </c>
      <c r="BU152" s="35" t="s">
        <v>7045</v>
      </c>
      <c r="BV152" s="30">
        <v>46935.0</v>
      </c>
      <c r="BW152" s="30">
        <v>47026.0</v>
      </c>
      <c r="BX152" s="39">
        <v>0.0</v>
      </c>
      <c r="BY152" s="39">
        <v>0.0</v>
      </c>
      <c r="BZ152" s="35" t="s">
        <v>7045</v>
      </c>
      <c r="CA152" s="30">
        <v>47027.0</v>
      </c>
      <c r="CB152" s="30">
        <v>47118.0</v>
      </c>
      <c r="CC152" s="39">
        <v>0.0</v>
      </c>
      <c r="CD152" s="39">
        <v>0.0</v>
      </c>
      <c r="CE152" s="35" t="s">
        <v>7045</v>
      </c>
      <c r="CF152" s="30">
        <v>47119.0</v>
      </c>
      <c r="CG152" s="30">
        <v>47208.0</v>
      </c>
      <c r="CH152" s="39">
        <v>0.0</v>
      </c>
      <c r="CI152" s="39">
        <v>0.0</v>
      </c>
      <c r="CJ152" s="35" t="s">
        <v>7045</v>
      </c>
      <c r="CK152" s="30">
        <v>47209.0</v>
      </c>
      <c r="CL152" s="30">
        <v>47299.0</v>
      </c>
      <c r="CM152" s="39">
        <v>0.0</v>
      </c>
      <c r="CN152" s="39">
        <v>0.0</v>
      </c>
      <c r="CO152" s="35" t="s">
        <v>7045</v>
      </c>
      <c r="CP152" s="30">
        <v>47300.0</v>
      </c>
      <c r="CQ152" s="30">
        <v>47391.0</v>
      </c>
      <c r="CR152" s="39">
        <v>0.0</v>
      </c>
      <c r="CS152" s="39">
        <v>0.0</v>
      </c>
      <c r="CT152" s="35" t="s">
        <v>7045</v>
      </c>
      <c r="CU152" s="30">
        <v>47392.0</v>
      </c>
      <c r="CV152" s="30">
        <v>47483.0</v>
      </c>
      <c r="CW152" s="39">
        <v>0.0</v>
      </c>
      <c r="CX152" s="39">
        <v>0.0</v>
      </c>
      <c r="CY152" s="35" t="s">
        <v>7045</v>
      </c>
      <c r="CZ152" s="30">
        <v>47484.0</v>
      </c>
      <c r="DA152" s="30">
        <v>47573.0</v>
      </c>
      <c r="DB152" s="39">
        <v>0.0</v>
      </c>
      <c r="DC152" s="39">
        <v>0.0</v>
      </c>
      <c r="DD152" s="35" t="s">
        <v>7045</v>
      </c>
      <c r="DE152" s="30">
        <v>47574.0</v>
      </c>
      <c r="DF152" s="30">
        <v>47664.0</v>
      </c>
      <c r="DG152" s="39">
        <v>0.0</v>
      </c>
      <c r="DH152" s="39">
        <v>0.0</v>
      </c>
      <c r="DI152" s="35" t="s">
        <v>7045</v>
      </c>
      <c r="DJ152" s="30">
        <v>47665.0</v>
      </c>
      <c r="DK152" s="30">
        <v>47756.0</v>
      </c>
      <c r="DL152" s="39">
        <v>0.0</v>
      </c>
      <c r="DM152" s="39">
        <v>0.0</v>
      </c>
      <c r="DN152" s="35" t="s">
        <v>7045</v>
      </c>
      <c r="DO152" s="30">
        <v>47757.0</v>
      </c>
      <c r="DP152" s="30">
        <v>47848.0</v>
      </c>
      <c r="DQ152" s="39">
        <v>0.0</v>
      </c>
      <c r="DR152" s="39">
        <v>0.0</v>
      </c>
      <c r="DS152" s="35" t="s">
        <v>7045</v>
      </c>
    </row>
    <row r="153" ht="14.25" customHeight="1">
      <c r="A153" s="28" t="s">
        <v>2492</v>
      </c>
      <c r="B153" s="29" t="s">
        <v>2493</v>
      </c>
      <c r="C153" s="29" t="s">
        <v>7041</v>
      </c>
      <c r="D153" s="30">
        <v>45658.0</v>
      </c>
      <c r="E153" s="30">
        <v>45747.0</v>
      </c>
      <c r="F153" s="36">
        <v>55.0</v>
      </c>
      <c r="G153" s="36">
        <v>0.0</v>
      </c>
      <c r="H153" s="38" t="s">
        <v>7047</v>
      </c>
      <c r="I153" s="30">
        <v>45748.0</v>
      </c>
      <c r="J153" s="30">
        <v>45838.0</v>
      </c>
      <c r="K153" s="36">
        <v>24.0</v>
      </c>
      <c r="L153" s="36">
        <v>566.68</v>
      </c>
      <c r="M153" s="37" t="s">
        <v>7043</v>
      </c>
      <c r="N153" s="30">
        <v>45839.0</v>
      </c>
      <c r="O153" s="30">
        <v>45930.0</v>
      </c>
      <c r="P153" s="36">
        <v>108.0</v>
      </c>
      <c r="Q153" s="36">
        <v>233.33</v>
      </c>
      <c r="R153" s="38" t="s">
        <v>7047</v>
      </c>
      <c r="S153" s="30">
        <v>45931.0</v>
      </c>
      <c r="T153" s="30">
        <v>46022.0</v>
      </c>
      <c r="U153" s="36">
        <v>250.0</v>
      </c>
      <c r="V153" s="36">
        <v>666.65</v>
      </c>
      <c r="W153" s="38" t="s">
        <v>7047</v>
      </c>
      <c r="X153" s="30">
        <v>46023.0</v>
      </c>
      <c r="Y153" s="30">
        <v>46112.0</v>
      </c>
      <c r="Z153" s="36">
        <v>149.99</v>
      </c>
      <c r="AA153" s="36">
        <v>0.0</v>
      </c>
      <c r="AB153" s="35" t="s">
        <v>7047</v>
      </c>
      <c r="AC153" s="30">
        <v>46113.0</v>
      </c>
      <c r="AD153" s="30">
        <v>46203.0</v>
      </c>
      <c r="AE153" s="36">
        <v>325.0</v>
      </c>
      <c r="AF153" s="36">
        <v>0.0</v>
      </c>
      <c r="AG153" s="35" t="s">
        <v>7047</v>
      </c>
      <c r="AH153" s="30">
        <v>46204.0</v>
      </c>
      <c r="AI153" s="30">
        <v>46295.0</v>
      </c>
      <c r="AJ153" s="36">
        <v>70.0</v>
      </c>
      <c r="AK153" s="36">
        <v>0.0</v>
      </c>
      <c r="AL153" s="35" t="s">
        <v>7047</v>
      </c>
      <c r="AM153" s="30">
        <v>46296.0</v>
      </c>
      <c r="AN153" s="30">
        <v>46387.0</v>
      </c>
      <c r="AO153" s="36">
        <v>0.0</v>
      </c>
      <c r="AP153" s="36">
        <v>0.0</v>
      </c>
      <c r="AQ153" s="35" t="s">
        <v>7045</v>
      </c>
      <c r="AR153" s="30">
        <v>46388.0</v>
      </c>
      <c r="AS153" s="30">
        <v>46477.0</v>
      </c>
      <c r="AT153" s="36">
        <v>0.0</v>
      </c>
      <c r="AU153" s="36">
        <v>0.0</v>
      </c>
      <c r="AV153" s="35" t="s">
        <v>7045</v>
      </c>
      <c r="AW153" s="30">
        <v>46478.0</v>
      </c>
      <c r="AX153" s="30">
        <v>46568.0</v>
      </c>
      <c r="AY153" s="36">
        <v>0.0</v>
      </c>
      <c r="AZ153" s="36">
        <v>0.0</v>
      </c>
      <c r="BA153" s="35" t="s">
        <v>7045</v>
      </c>
      <c r="BB153" s="30">
        <v>46569.0</v>
      </c>
      <c r="BC153" s="30">
        <v>46660.0</v>
      </c>
      <c r="BD153" s="36">
        <v>0.0</v>
      </c>
      <c r="BE153" s="36">
        <v>0.0</v>
      </c>
      <c r="BF153" s="35" t="s">
        <v>7045</v>
      </c>
      <c r="BG153" s="30">
        <v>46661.0</v>
      </c>
      <c r="BH153" s="30">
        <v>46752.0</v>
      </c>
      <c r="BI153" s="36">
        <v>0.0</v>
      </c>
      <c r="BJ153" s="36">
        <v>0.0</v>
      </c>
      <c r="BK153" s="35" t="s">
        <v>7045</v>
      </c>
      <c r="BL153" s="30">
        <v>46753.0</v>
      </c>
      <c r="BM153" s="30">
        <v>46843.0</v>
      </c>
      <c r="BN153" s="36">
        <v>0.0</v>
      </c>
      <c r="BO153" s="36">
        <v>0.0</v>
      </c>
      <c r="BP153" s="35" t="s">
        <v>7045</v>
      </c>
      <c r="BQ153" s="30">
        <v>46844.0</v>
      </c>
      <c r="BR153" s="30">
        <v>46934.0</v>
      </c>
      <c r="BS153" s="36">
        <v>0.0</v>
      </c>
      <c r="BT153" s="36">
        <v>0.0</v>
      </c>
      <c r="BU153" s="35" t="s">
        <v>7045</v>
      </c>
      <c r="BV153" s="30">
        <v>46935.0</v>
      </c>
      <c r="BW153" s="30">
        <v>47026.0</v>
      </c>
      <c r="BX153" s="36">
        <v>0.0</v>
      </c>
      <c r="BY153" s="36">
        <v>0.0</v>
      </c>
      <c r="BZ153" s="35" t="s">
        <v>7045</v>
      </c>
      <c r="CA153" s="30">
        <v>47027.0</v>
      </c>
      <c r="CB153" s="30">
        <v>47118.0</v>
      </c>
      <c r="CC153" s="36">
        <v>0.0</v>
      </c>
      <c r="CD153" s="36">
        <v>0.0</v>
      </c>
      <c r="CE153" s="35" t="s">
        <v>7045</v>
      </c>
      <c r="CF153" s="30">
        <v>47119.0</v>
      </c>
      <c r="CG153" s="30">
        <v>47208.0</v>
      </c>
      <c r="CH153" s="36">
        <v>0.0</v>
      </c>
      <c r="CI153" s="36">
        <v>0.0</v>
      </c>
      <c r="CJ153" s="35" t="s">
        <v>7045</v>
      </c>
      <c r="CK153" s="30">
        <v>47209.0</v>
      </c>
      <c r="CL153" s="30">
        <v>47299.0</v>
      </c>
      <c r="CM153" s="36">
        <v>0.0</v>
      </c>
      <c r="CN153" s="36">
        <v>0.0</v>
      </c>
      <c r="CO153" s="35" t="s">
        <v>7045</v>
      </c>
      <c r="CP153" s="30">
        <v>47300.0</v>
      </c>
      <c r="CQ153" s="30">
        <v>47391.0</v>
      </c>
      <c r="CR153" s="36">
        <v>0.0</v>
      </c>
      <c r="CS153" s="36">
        <v>0.0</v>
      </c>
      <c r="CT153" s="35" t="s">
        <v>7045</v>
      </c>
      <c r="CU153" s="30">
        <v>47392.0</v>
      </c>
      <c r="CV153" s="30">
        <v>47483.0</v>
      </c>
      <c r="CW153" s="36">
        <v>0.0</v>
      </c>
      <c r="CX153" s="36">
        <v>0.0</v>
      </c>
      <c r="CY153" s="35" t="s">
        <v>7045</v>
      </c>
      <c r="CZ153" s="30">
        <v>47484.0</v>
      </c>
      <c r="DA153" s="30">
        <v>47573.0</v>
      </c>
      <c r="DB153" s="36">
        <v>0.0</v>
      </c>
      <c r="DC153" s="36">
        <v>0.0</v>
      </c>
      <c r="DD153" s="35" t="s">
        <v>7045</v>
      </c>
      <c r="DE153" s="30">
        <v>47574.0</v>
      </c>
      <c r="DF153" s="30">
        <v>47664.0</v>
      </c>
      <c r="DG153" s="36">
        <v>0.0</v>
      </c>
      <c r="DH153" s="36">
        <v>0.0</v>
      </c>
      <c r="DI153" s="35" t="s">
        <v>7045</v>
      </c>
      <c r="DJ153" s="30">
        <v>47665.0</v>
      </c>
      <c r="DK153" s="30">
        <v>47756.0</v>
      </c>
      <c r="DL153" s="36">
        <v>0.0</v>
      </c>
      <c r="DM153" s="36">
        <v>0.0</v>
      </c>
      <c r="DN153" s="35" t="s">
        <v>7045</v>
      </c>
      <c r="DO153" s="30">
        <v>47757.0</v>
      </c>
      <c r="DP153" s="30">
        <v>47848.0</v>
      </c>
      <c r="DQ153" s="36">
        <v>0.0</v>
      </c>
      <c r="DR153" s="36">
        <v>0.0</v>
      </c>
      <c r="DS153" s="35" t="s">
        <v>7045</v>
      </c>
    </row>
    <row r="154" ht="14.25" customHeight="1">
      <c r="A154" s="28" t="s">
        <v>2526</v>
      </c>
      <c r="B154" s="29" t="s">
        <v>2527</v>
      </c>
      <c r="C154" s="29" t="s">
        <v>7041</v>
      </c>
      <c r="D154" s="30">
        <v>45658.0</v>
      </c>
      <c r="E154" s="30">
        <v>45747.0</v>
      </c>
      <c r="F154" s="39">
        <v>16.35</v>
      </c>
      <c r="G154" s="39">
        <v>0.0</v>
      </c>
      <c r="H154" s="38" t="s">
        <v>7047</v>
      </c>
      <c r="I154" s="30">
        <v>45748.0</v>
      </c>
      <c r="J154" s="30">
        <v>45838.0</v>
      </c>
      <c r="K154" s="39">
        <v>9.66</v>
      </c>
      <c r="L154" s="39">
        <v>153.33</v>
      </c>
      <c r="M154" s="37" t="s">
        <v>7043</v>
      </c>
      <c r="N154" s="30">
        <v>45839.0</v>
      </c>
      <c r="O154" s="30">
        <v>45930.0</v>
      </c>
      <c r="P154" s="39">
        <v>57.35</v>
      </c>
      <c r="Q154" s="39">
        <v>196.67</v>
      </c>
      <c r="R154" s="38" t="s">
        <v>7047</v>
      </c>
      <c r="S154" s="30">
        <v>45931.0</v>
      </c>
      <c r="T154" s="30">
        <v>46022.0</v>
      </c>
      <c r="U154" s="39">
        <v>50.0</v>
      </c>
      <c r="V154" s="39">
        <v>213.33</v>
      </c>
      <c r="W154" s="38" t="s">
        <v>7047</v>
      </c>
      <c r="X154" s="30">
        <v>46023.0</v>
      </c>
      <c r="Y154" s="30">
        <v>46112.0</v>
      </c>
      <c r="Z154" s="39">
        <v>10.0</v>
      </c>
      <c r="AA154" s="39">
        <v>0.0</v>
      </c>
      <c r="AB154" s="35" t="s">
        <v>7047</v>
      </c>
      <c r="AC154" s="30">
        <v>46113.0</v>
      </c>
      <c r="AD154" s="30">
        <v>46203.0</v>
      </c>
      <c r="AE154" s="39">
        <v>0.0</v>
      </c>
      <c r="AF154" s="39">
        <v>0.0</v>
      </c>
      <c r="AG154" s="35" t="s">
        <v>7045</v>
      </c>
      <c r="AH154" s="30">
        <v>46204.0</v>
      </c>
      <c r="AI154" s="30">
        <v>46295.0</v>
      </c>
      <c r="AJ154" s="39">
        <v>0.0</v>
      </c>
      <c r="AK154" s="39">
        <v>0.0</v>
      </c>
      <c r="AL154" s="35" t="s">
        <v>7045</v>
      </c>
      <c r="AM154" s="30">
        <v>46296.0</v>
      </c>
      <c r="AN154" s="30">
        <v>46387.0</v>
      </c>
      <c r="AO154" s="39">
        <v>67.0</v>
      </c>
      <c r="AP154" s="39">
        <v>0.0</v>
      </c>
      <c r="AQ154" s="35" t="s">
        <v>7047</v>
      </c>
      <c r="AR154" s="30">
        <v>46388.0</v>
      </c>
      <c r="AS154" s="30">
        <v>46477.0</v>
      </c>
      <c r="AT154" s="39">
        <v>0.0</v>
      </c>
      <c r="AU154" s="39">
        <v>0.0</v>
      </c>
      <c r="AV154" s="35" t="s">
        <v>7045</v>
      </c>
      <c r="AW154" s="30">
        <v>46478.0</v>
      </c>
      <c r="AX154" s="30">
        <v>46568.0</v>
      </c>
      <c r="AY154" s="39">
        <v>0.0</v>
      </c>
      <c r="AZ154" s="39">
        <v>0.0</v>
      </c>
      <c r="BA154" s="35" t="s">
        <v>7045</v>
      </c>
      <c r="BB154" s="30">
        <v>46569.0</v>
      </c>
      <c r="BC154" s="30">
        <v>46660.0</v>
      </c>
      <c r="BD154" s="39">
        <v>0.0</v>
      </c>
      <c r="BE154" s="39">
        <v>0.0</v>
      </c>
      <c r="BF154" s="35" t="s">
        <v>7045</v>
      </c>
      <c r="BG154" s="30">
        <v>46661.0</v>
      </c>
      <c r="BH154" s="30">
        <v>46752.0</v>
      </c>
      <c r="BI154" s="39">
        <v>0.0</v>
      </c>
      <c r="BJ154" s="39">
        <v>0.0</v>
      </c>
      <c r="BK154" s="35" t="s">
        <v>7045</v>
      </c>
      <c r="BL154" s="30">
        <v>46753.0</v>
      </c>
      <c r="BM154" s="30">
        <v>46843.0</v>
      </c>
      <c r="BN154" s="39">
        <v>0.0</v>
      </c>
      <c r="BO154" s="39">
        <v>0.0</v>
      </c>
      <c r="BP154" s="35" t="s">
        <v>7045</v>
      </c>
      <c r="BQ154" s="30">
        <v>46844.0</v>
      </c>
      <c r="BR154" s="30">
        <v>46934.0</v>
      </c>
      <c r="BS154" s="39">
        <v>0.0</v>
      </c>
      <c r="BT154" s="39">
        <v>0.0</v>
      </c>
      <c r="BU154" s="35" t="s">
        <v>7045</v>
      </c>
      <c r="BV154" s="30">
        <v>46935.0</v>
      </c>
      <c r="BW154" s="30">
        <v>47026.0</v>
      </c>
      <c r="BX154" s="39">
        <v>0.0</v>
      </c>
      <c r="BY154" s="39">
        <v>0.0</v>
      </c>
      <c r="BZ154" s="35" t="s">
        <v>7045</v>
      </c>
      <c r="CA154" s="30">
        <v>47027.0</v>
      </c>
      <c r="CB154" s="30">
        <v>47118.0</v>
      </c>
      <c r="CC154" s="39">
        <v>0.0</v>
      </c>
      <c r="CD154" s="39">
        <v>0.0</v>
      </c>
      <c r="CE154" s="35" t="s">
        <v>7045</v>
      </c>
      <c r="CF154" s="30">
        <v>47119.0</v>
      </c>
      <c r="CG154" s="30">
        <v>47208.0</v>
      </c>
      <c r="CH154" s="39">
        <v>0.0</v>
      </c>
      <c r="CI154" s="39">
        <v>0.0</v>
      </c>
      <c r="CJ154" s="35" t="s">
        <v>7045</v>
      </c>
      <c r="CK154" s="30">
        <v>47209.0</v>
      </c>
      <c r="CL154" s="30">
        <v>47299.0</v>
      </c>
      <c r="CM154" s="39">
        <v>0.0</v>
      </c>
      <c r="CN154" s="39">
        <v>0.0</v>
      </c>
      <c r="CO154" s="35" t="s">
        <v>7045</v>
      </c>
      <c r="CP154" s="30">
        <v>47300.0</v>
      </c>
      <c r="CQ154" s="30">
        <v>47391.0</v>
      </c>
      <c r="CR154" s="39">
        <v>0.0</v>
      </c>
      <c r="CS154" s="39">
        <v>0.0</v>
      </c>
      <c r="CT154" s="35" t="s">
        <v>7045</v>
      </c>
      <c r="CU154" s="30">
        <v>47392.0</v>
      </c>
      <c r="CV154" s="30">
        <v>47483.0</v>
      </c>
      <c r="CW154" s="39">
        <v>0.0</v>
      </c>
      <c r="CX154" s="39">
        <v>0.0</v>
      </c>
      <c r="CY154" s="35" t="s">
        <v>7045</v>
      </c>
      <c r="CZ154" s="30">
        <v>47484.0</v>
      </c>
      <c r="DA154" s="30">
        <v>47573.0</v>
      </c>
      <c r="DB154" s="39">
        <v>0.0</v>
      </c>
      <c r="DC154" s="39">
        <v>0.0</v>
      </c>
      <c r="DD154" s="35" t="s">
        <v>7045</v>
      </c>
      <c r="DE154" s="30">
        <v>47574.0</v>
      </c>
      <c r="DF154" s="30">
        <v>47664.0</v>
      </c>
      <c r="DG154" s="39">
        <v>0.0</v>
      </c>
      <c r="DH154" s="39">
        <v>0.0</v>
      </c>
      <c r="DI154" s="35" t="s">
        <v>7045</v>
      </c>
      <c r="DJ154" s="30">
        <v>47665.0</v>
      </c>
      <c r="DK154" s="30">
        <v>47756.0</v>
      </c>
      <c r="DL154" s="39">
        <v>0.0</v>
      </c>
      <c r="DM154" s="39">
        <v>0.0</v>
      </c>
      <c r="DN154" s="35" t="s">
        <v>7045</v>
      </c>
      <c r="DO154" s="30">
        <v>47757.0</v>
      </c>
      <c r="DP154" s="30">
        <v>47848.0</v>
      </c>
      <c r="DQ154" s="39">
        <v>0.0</v>
      </c>
      <c r="DR154" s="39">
        <v>0.0</v>
      </c>
      <c r="DS154" s="35" t="s">
        <v>7045</v>
      </c>
    </row>
    <row r="155" ht="14.25" customHeight="1">
      <c r="A155" s="28" t="s">
        <v>2636</v>
      </c>
      <c r="B155" s="29" t="s">
        <v>2637</v>
      </c>
      <c r="C155" s="29" t="s">
        <v>7041</v>
      </c>
      <c r="D155" s="30">
        <v>45658.0</v>
      </c>
      <c r="E155" s="30">
        <v>45747.0</v>
      </c>
      <c r="F155" s="39">
        <v>100.0</v>
      </c>
      <c r="G155" s="39">
        <v>0.0</v>
      </c>
      <c r="H155" s="38" t="s">
        <v>7047</v>
      </c>
      <c r="I155" s="30">
        <v>45748.0</v>
      </c>
      <c r="J155" s="30">
        <v>45838.0</v>
      </c>
      <c r="K155" s="39">
        <v>3.5</v>
      </c>
      <c r="L155" s="39">
        <v>733.33</v>
      </c>
      <c r="M155" s="32" t="s">
        <v>7043</v>
      </c>
      <c r="N155" s="30">
        <v>45839.0</v>
      </c>
      <c r="O155" s="30">
        <v>45930.0</v>
      </c>
      <c r="P155" s="39">
        <v>3.5</v>
      </c>
      <c r="Q155" s="39">
        <v>1100.0</v>
      </c>
      <c r="R155" s="32" t="s">
        <v>7047</v>
      </c>
      <c r="S155" s="30">
        <v>45931.0</v>
      </c>
      <c r="T155" s="30">
        <v>46022.0</v>
      </c>
      <c r="U155" s="39">
        <v>0.0</v>
      </c>
      <c r="V155" s="39">
        <v>1100.0</v>
      </c>
      <c r="W155" s="32" t="s">
        <v>7043</v>
      </c>
      <c r="X155" s="30">
        <v>46023.0</v>
      </c>
      <c r="Y155" s="30">
        <v>46112.0</v>
      </c>
      <c r="Z155" s="39">
        <v>0.0</v>
      </c>
      <c r="AA155" s="39">
        <v>0.0</v>
      </c>
      <c r="AB155" s="35" t="s">
        <v>7045</v>
      </c>
      <c r="AC155" s="30">
        <v>46113.0</v>
      </c>
      <c r="AD155" s="30">
        <v>46203.0</v>
      </c>
      <c r="AE155" s="39">
        <v>0.0</v>
      </c>
      <c r="AF155" s="39">
        <v>0.0</v>
      </c>
      <c r="AG155" s="35" t="s">
        <v>7045</v>
      </c>
      <c r="AH155" s="30">
        <v>46204.0</v>
      </c>
      <c r="AI155" s="30">
        <v>46295.0</v>
      </c>
      <c r="AJ155" s="39">
        <v>0.0</v>
      </c>
      <c r="AK155" s="39">
        <v>0.0</v>
      </c>
      <c r="AL155" s="35" t="s">
        <v>7045</v>
      </c>
      <c r="AM155" s="30">
        <v>46296.0</v>
      </c>
      <c r="AN155" s="30">
        <v>46387.0</v>
      </c>
      <c r="AO155" s="39">
        <v>0.0</v>
      </c>
      <c r="AP155" s="39">
        <v>0.0</v>
      </c>
      <c r="AQ155" s="35" t="s">
        <v>7045</v>
      </c>
      <c r="AR155" s="30">
        <v>46388.0</v>
      </c>
      <c r="AS155" s="30">
        <v>46477.0</v>
      </c>
      <c r="AT155" s="39">
        <v>0.0</v>
      </c>
      <c r="AU155" s="39">
        <v>0.0</v>
      </c>
      <c r="AV155" s="35" t="s">
        <v>7045</v>
      </c>
      <c r="AW155" s="30">
        <v>46478.0</v>
      </c>
      <c r="AX155" s="30">
        <v>46568.0</v>
      </c>
      <c r="AY155" s="39">
        <v>0.0</v>
      </c>
      <c r="AZ155" s="39">
        <v>0.0</v>
      </c>
      <c r="BA155" s="35" t="s">
        <v>7045</v>
      </c>
      <c r="BB155" s="30">
        <v>46569.0</v>
      </c>
      <c r="BC155" s="30">
        <v>46660.0</v>
      </c>
      <c r="BD155" s="39">
        <v>0.0</v>
      </c>
      <c r="BE155" s="39">
        <v>0.0</v>
      </c>
      <c r="BF155" s="35" t="s">
        <v>7045</v>
      </c>
      <c r="BG155" s="30">
        <v>46661.0</v>
      </c>
      <c r="BH155" s="30">
        <v>46752.0</v>
      </c>
      <c r="BI155" s="39">
        <v>0.0</v>
      </c>
      <c r="BJ155" s="39">
        <v>0.0</v>
      </c>
      <c r="BK155" s="35" t="s">
        <v>7045</v>
      </c>
      <c r="BL155" s="30">
        <v>46753.0</v>
      </c>
      <c r="BM155" s="30">
        <v>46843.0</v>
      </c>
      <c r="BN155" s="39">
        <v>0.0</v>
      </c>
      <c r="BO155" s="39">
        <v>0.0</v>
      </c>
      <c r="BP155" s="35" t="s">
        <v>7045</v>
      </c>
      <c r="BQ155" s="30">
        <v>46844.0</v>
      </c>
      <c r="BR155" s="30">
        <v>46934.0</v>
      </c>
      <c r="BS155" s="39">
        <v>0.0</v>
      </c>
      <c r="BT155" s="39">
        <v>0.0</v>
      </c>
      <c r="BU155" s="35" t="s">
        <v>7045</v>
      </c>
      <c r="BV155" s="30">
        <v>46935.0</v>
      </c>
      <c r="BW155" s="30">
        <v>47026.0</v>
      </c>
      <c r="BX155" s="39">
        <v>0.0</v>
      </c>
      <c r="BY155" s="39">
        <v>0.0</v>
      </c>
      <c r="BZ155" s="35" t="s">
        <v>7045</v>
      </c>
      <c r="CA155" s="30">
        <v>47027.0</v>
      </c>
      <c r="CB155" s="30">
        <v>47118.0</v>
      </c>
      <c r="CC155" s="39">
        <v>0.0</v>
      </c>
      <c r="CD155" s="39">
        <v>0.0</v>
      </c>
      <c r="CE155" s="35" t="s">
        <v>7045</v>
      </c>
      <c r="CF155" s="30">
        <v>47119.0</v>
      </c>
      <c r="CG155" s="30">
        <v>47208.0</v>
      </c>
      <c r="CH155" s="39">
        <v>0.0</v>
      </c>
      <c r="CI155" s="39">
        <v>0.0</v>
      </c>
      <c r="CJ155" s="35" t="s">
        <v>7045</v>
      </c>
      <c r="CK155" s="30">
        <v>47209.0</v>
      </c>
      <c r="CL155" s="30">
        <v>47299.0</v>
      </c>
      <c r="CM155" s="39">
        <v>0.0</v>
      </c>
      <c r="CN155" s="39">
        <v>0.0</v>
      </c>
      <c r="CO155" s="35" t="s">
        <v>7045</v>
      </c>
      <c r="CP155" s="30">
        <v>47300.0</v>
      </c>
      <c r="CQ155" s="30">
        <v>47391.0</v>
      </c>
      <c r="CR155" s="39">
        <v>0.0</v>
      </c>
      <c r="CS155" s="39">
        <v>0.0</v>
      </c>
      <c r="CT155" s="35" t="s">
        <v>7045</v>
      </c>
      <c r="CU155" s="30">
        <v>47392.0</v>
      </c>
      <c r="CV155" s="30">
        <v>47483.0</v>
      </c>
      <c r="CW155" s="39">
        <v>0.0</v>
      </c>
      <c r="CX155" s="39">
        <v>0.0</v>
      </c>
      <c r="CY155" s="35" t="s">
        <v>7045</v>
      </c>
      <c r="CZ155" s="30">
        <v>47484.0</v>
      </c>
      <c r="DA155" s="30">
        <v>47573.0</v>
      </c>
      <c r="DB155" s="39">
        <v>0.0</v>
      </c>
      <c r="DC155" s="39">
        <v>0.0</v>
      </c>
      <c r="DD155" s="35" t="s">
        <v>7045</v>
      </c>
      <c r="DE155" s="30">
        <v>47574.0</v>
      </c>
      <c r="DF155" s="30">
        <v>47664.0</v>
      </c>
      <c r="DG155" s="39">
        <v>0.0</v>
      </c>
      <c r="DH155" s="39">
        <v>0.0</v>
      </c>
      <c r="DI155" s="35" t="s">
        <v>7045</v>
      </c>
      <c r="DJ155" s="30">
        <v>47665.0</v>
      </c>
      <c r="DK155" s="30">
        <v>47756.0</v>
      </c>
      <c r="DL155" s="39">
        <v>0.0</v>
      </c>
      <c r="DM155" s="39">
        <v>0.0</v>
      </c>
      <c r="DN155" s="35" t="s">
        <v>7045</v>
      </c>
      <c r="DO155" s="30">
        <v>47757.0</v>
      </c>
      <c r="DP155" s="30">
        <v>47848.0</v>
      </c>
      <c r="DQ155" s="39">
        <v>0.0</v>
      </c>
      <c r="DR155" s="39">
        <v>0.0</v>
      </c>
      <c r="DS155" s="35" t="s">
        <v>7045</v>
      </c>
    </row>
    <row r="156" ht="14.25" customHeight="1">
      <c r="A156" s="28" t="s">
        <v>2776</v>
      </c>
      <c r="B156" s="29" t="s">
        <v>2777</v>
      </c>
      <c r="C156" s="29" t="s">
        <v>7041</v>
      </c>
      <c r="D156" s="30">
        <v>45658.0</v>
      </c>
      <c r="E156" s="30">
        <v>45747.0</v>
      </c>
      <c r="F156" s="39">
        <v>6.7</v>
      </c>
      <c r="G156" s="39">
        <v>0.0</v>
      </c>
      <c r="H156" s="38" t="s">
        <v>7047</v>
      </c>
      <c r="I156" s="30">
        <v>45748.0</v>
      </c>
      <c r="J156" s="30">
        <v>45838.0</v>
      </c>
      <c r="K156" s="39">
        <v>6.7</v>
      </c>
      <c r="L156" s="39">
        <v>47.62</v>
      </c>
      <c r="M156" s="38" t="s">
        <v>7047</v>
      </c>
      <c r="N156" s="30">
        <v>45839.0</v>
      </c>
      <c r="O156" s="30">
        <v>45930.0</v>
      </c>
      <c r="P156" s="39">
        <v>15.99</v>
      </c>
      <c r="Q156" s="39">
        <v>71.43</v>
      </c>
      <c r="R156" s="38" t="s">
        <v>7047</v>
      </c>
      <c r="S156" s="30">
        <v>45931.0</v>
      </c>
      <c r="T156" s="30">
        <v>46022.0</v>
      </c>
      <c r="U156" s="39">
        <v>10.0</v>
      </c>
      <c r="V156" s="39">
        <v>71.43</v>
      </c>
      <c r="W156" s="32" t="s">
        <v>7047</v>
      </c>
      <c r="X156" s="30">
        <v>46023.0</v>
      </c>
      <c r="Y156" s="30">
        <v>46112.0</v>
      </c>
      <c r="Z156" s="39">
        <v>0.0</v>
      </c>
      <c r="AA156" s="39">
        <v>0.0</v>
      </c>
      <c r="AB156" s="35" t="s">
        <v>7045</v>
      </c>
      <c r="AC156" s="30">
        <v>46113.0</v>
      </c>
      <c r="AD156" s="30">
        <v>46203.0</v>
      </c>
      <c r="AE156" s="39">
        <v>35.0</v>
      </c>
      <c r="AF156" s="39">
        <v>0.0</v>
      </c>
      <c r="AG156" s="38" t="s">
        <v>7047</v>
      </c>
      <c r="AH156" s="30">
        <v>46204.0</v>
      </c>
      <c r="AI156" s="30">
        <v>46295.0</v>
      </c>
      <c r="AJ156" s="39">
        <v>0.0</v>
      </c>
      <c r="AK156" s="39">
        <v>0.0</v>
      </c>
      <c r="AL156" s="35" t="s">
        <v>7045</v>
      </c>
      <c r="AM156" s="30">
        <v>46296.0</v>
      </c>
      <c r="AN156" s="30">
        <v>46387.0</v>
      </c>
      <c r="AO156" s="39">
        <v>0.0</v>
      </c>
      <c r="AP156" s="39">
        <v>0.0</v>
      </c>
      <c r="AQ156" s="35" t="s">
        <v>7045</v>
      </c>
      <c r="AR156" s="30">
        <v>46388.0</v>
      </c>
      <c r="AS156" s="30">
        <v>46477.0</v>
      </c>
      <c r="AT156" s="39">
        <v>0.0</v>
      </c>
      <c r="AU156" s="39">
        <v>0.0</v>
      </c>
      <c r="AV156" s="35" t="s">
        <v>7045</v>
      </c>
      <c r="AW156" s="30">
        <v>46478.0</v>
      </c>
      <c r="AX156" s="30">
        <v>46568.0</v>
      </c>
      <c r="AY156" s="39">
        <v>0.0</v>
      </c>
      <c r="AZ156" s="39">
        <v>0.0</v>
      </c>
      <c r="BA156" s="35" t="s">
        <v>7045</v>
      </c>
      <c r="BB156" s="30">
        <v>46569.0</v>
      </c>
      <c r="BC156" s="30">
        <v>46660.0</v>
      </c>
      <c r="BD156" s="39">
        <v>0.0</v>
      </c>
      <c r="BE156" s="39">
        <v>0.0</v>
      </c>
      <c r="BF156" s="35" t="s">
        <v>7045</v>
      </c>
      <c r="BG156" s="30">
        <v>46661.0</v>
      </c>
      <c r="BH156" s="30">
        <v>46752.0</v>
      </c>
      <c r="BI156" s="39">
        <v>0.0</v>
      </c>
      <c r="BJ156" s="39">
        <v>0.0</v>
      </c>
      <c r="BK156" s="35" t="s">
        <v>7045</v>
      </c>
      <c r="BL156" s="30">
        <v>46753.0</v>
      </c>
      <c r="BM156" s="30">
        <v>46843.0</v>
      </c>
      <c r="BN156" s="39">
        <v>0.0</v>
      </c>
      <c r="BO156" s="39">
        <v>0.0</v>
      </c>
      <c r="BP156" s="35" t="s">
        <v>7045</v>
      </c>
      <c r="BQ156" s="30">
        <v>46844.0</v>
      </c>
      <c r="BR156" s="30">
        <v>46934.0</v>
      </c>
      <c r="BS156" s="39">
        <v>0.0</v>
      </c>
      <c r="BT156" s="39">
        <v>0.0</v>
      </c>
      <c r="BU156" s="35" t="s">
        <v>7045</v>
      </c>
      <c r="BV156" s="30">
        <v>46935.0</v>
      </c>
      <c r="BW156" s="30">
        <v>47026.0</v>
      </c>
      <c r="BX156" s="39">
        <v>0.0</v>
      </c>
      <c r="BY156" s="39">
        <v>0.0</v>
      </c>
      <c r="BZ156" s="35" t="s">
        <v>7045</v>
      </c>
      <c r="CA156" s="30">
        <v>47027.0</v>
      </c>
      <c r="CB156" s="30">
        <v>47118.0</v>
      </c>
      <c r="CC156" s="39">
        <v>0.0</v>
      </c>
      <c r="CD156" s="39">
        <v>0.0</v>
      </c>
      <c r="CE156" s="35" t="s">
        <v>7045</v>
      </c>
      <c r="CF156" s="30">
        <v>47119.0</v>
      </c>
      <c r="CG156" s="30">
        <v>47208.0</v>
      </c>
      <c r="CH156" s="39">
        <v>0.0</v>
      </c>
      <c r="CI156" s="39">
        <v>0.0</v>
      </c>
      <c r="CJ156" s="35" t="s">
        <v>7045</v>
      </c>
      <c r="CK156" s="30">
        <v>47209.0</v>
      </c>
      <c r="CL156" s="30">
        <v>47299.0</v>
      </c>
      <c r="CM156" s="39">
        <v>0.0</v>
      </c>
      <c r="CN156" s="39">
        <v>0.0</v>
      </c>
      <c r="CO156" s="35" t="s">
        <v>7045</v>
      </c>
      <c r="CP156" s="30">
        <v>47300.0</v>
      </c>
      <c r="CQ156" s="30">
        <v>47391.0</v>
      </c>
      <c r="CR156" s="39">
        <v>0.0</v>
      </c>
      <c r="CS156" s="39">
        <v>0.0</v>
      </c>
      <c r="CT156" s="35" t="s">
        <v>7045</v>
      </c>
      <c r="CU156" s="30">
        <v>47392.0</v>
      </c>
      <c r="CV156" s="30">
        <v>47483.0</v>
      </c>
      <c r="CW156" s="39">
        <v>0.0</v>
      </c>
      <c r="CX156" s="39">
        <v>0.0</v>
      </c>
      <c r="CY156" s="35" t="s">
        <v>7045</v>
      </c>
      <c r="CZ156" s="30">
        <v>47484.0</v>
      </c>
      <c r="DA156" s="30">
        <v>47573.0</v>
      </c>
      <c r="DB156" s="39">
        <v>0.0</v>
      </c>
      <c r="DC156" s="39">
        <v>0.0</v>
      </c>
      <c r="DD156" s="35" t="s">
        <v>7045</v>
      </c>
      <c r="DE156" s="30">
        <v>47574.0</v>
      </c>
      <c r="DF156" s="30">
        <v>47664.0</v>
      </c>
      <c r="DG156" s="39">
        <v>0.0</v>
      </c>
      <c r="DH156" s="39">
        <v>0.0</v>
      </c>
      <c r="DI156" s="35" t="s">
        <v>7045</v>
      </c>
      <c r="DJ156" s="30">
        <v>47665.0</v>
      </c>
      <c r="DK156" s="30">
        <v>47756.0</v>
      </c>
      <c r="DL156" s="39">
        <v>0.0</v>
      </c>
      <c r="DM156" s="39">
        <v>0.0</v>
      </c>
      <c r="DN156" s="35" t="s">
        <v>7045</v>
      </c>
      <c r="DO156" s="30">
        <v>47757.0</v>
      </c>
      <c r="DP156" s="30">
        <v>47848.0</v>
      </c>
      <c r="DQ156" s="39">
        <v>0.0</v>
      </c>
      <c r="DR156" s="39">
        <v>0.0</v>
      </c>
      <c r="DS156" s="35" t="s">
        <v>7045</v>
      </c>
    </row>
    <row r="157" ht="14.25" customHeight="1">
      <c r="A157" s="28" t="s">
        <v>2794</v>
      </c>
      <c r="B157" s="29" t="s">
        <v>2795</v>
      </c>
      <c r="C157" s="29" t="s">
        <v>7041</v>
      </c>
      <c r="D157" s="30">
        <v>45658.0</v>
      </c>
      <c r="E157" s="30">
        <v>45747.0</v>
      </c>
      <c r="F157" s="36">
        <v>20.0</v>
      </c>
      <c r="G157" s="36">
        <v>0.0</v>
      </c>
      <c r="H157" s="38" t="s">
        <v>7047</v>
      </c>
      <c r="I157" s="30">
        <v>45748.0</v>
      </c>
      <c r="J157" s="30">
        <v>45838.0</v>
      </c>
      <c r="K157" s="36">
        <v>5.0</v>
      </c>
      <c r="L157" s="36">
        <v>250.01</v>
      </c>
      <c r="M157" s="32" t="s">
        <v>7043</v>
      </c>
      <c r="N157" s="30">
        <v>45839.0</v>
      </c>
      <c r="O157" s="30">
        <v>45930.0</v>
      </c>
      <c r="P157" s="36">
        <v>62.0</v>
      </c>
      <c r="Q157" s="36">
        <v>250.01</v>
      </c>
      <c r="R157" s="38" t="s">
        <v>7047</v>
      </c>
      <c r="S157" s="30">
        <v>45931.0</v>
      </c>
      <c r="T157" s="30">
        <v>46022.0</v>
      </c>
      <c r="U157" s="36">
        <v>27.2</v>
      </c>
      <c r="V157" s="36">
        <v>250.01</v>
      </c>
      <c r="W157" s="38" t="s">
        <v>7047</v>
      </c>
      <c r="X157" s="30">
        <v>46023.0</v>
      </c>
      <c r="Y157" s="30">
        <v>46112.0</v>
      </c>
      <c r="Z157" s="36">
        <v>55.0</v>
      </c>
      <c r="AA157" s="36">
        <v>0.0</v>
      </c>
      <c r="AB157" s="38" t="s">
        <v>7047</v>
      </c>
      <c r="AC157" s="30">
        <v>46113.0</v>
      </c>
      <c r="AD157" s="30">
        <v>46203.0</v>
      </c>
      <c r="AE157" s="36">
        <v>0.0</v>
      </c>
      <c r="AF157" s="36">
        <v>0.0</v>
      </c>
      <c r="AG157" s="35" t="s">
        <v>7045</v>
      </c>
      <c r="AH157" s="30">
        <v>46204.0</v>
      </c>
      <c r="AI157" s="30">
        <v>46295.0</v>
      </c>
      <c r="AJ157" s="36">
        <v>0.0</v>
      </c>
      <c r="AK157" s="36">
        <v>0.0</v>
      </c>
      <c r="AL157" s="35" t="s">
        <v>7045</v>
      </c>
      <c r="AM157" s="30">
        <v>46296.0</v>
      </c>
      <c r="AN157" s="30">
        <v>46387.0</v>
      </c>
      <c r="AO157" s="36">
        <v>0.0</v>
      </c>
      <c r="AP157" s="36">
        <v>0.0</v>
      </c>
      <c r="AQ157" s="35" t="s">
        <v>7045</v>
      </c>
      <c r="AR157" s="30">
        <v>46388.0</v>
      </c>
      <c r="AS157" s="30">
        <v>46477.0</v>
      </c>
      <c r="AT157" s="36">
        <v>0.0</v>
      </c>
      <c r="AU157" s="36">
        <v>0.0</v>
      </c>
      <c r="AV157" s="35" t="s">
        <v>7045</v>
      </c>
      <c r="AW157" s="30">
        <v>46478.0</v>
      </c>
      <c r="AX157" s="30">
        <v>46568.0</v>
      </c>
      <c r="AY157" s="36">
        <v>0.0</v>
      </c>
      <c r="AZ157" s="36">
        <v>0.0</v>
      </c>
      <c r="BA157" s="35" t="s">
        <v>7045</v>
      </c>
      <c r="BB157" s="30">
        <v>46569.0</v>
      </c>
      <c r="BC157" s="30">
        <v>46660.0</v>
      </c>
      <c r="BD157" s="36">
        <v>0.0</v>
      </c>
      <c r="BE157" s="36">
        <v>0.0</v>
      </c>
      <c r="BF157" s="35" t="s">
        <v>7045</v>
      </c>
      <c r="BG157" s="30">
        <v>46661.0</v>
      </c>
      <c r="BH157" s="30">
        <v>46752.0</v>
      </c>
      <c r="BI157" s="36">
        <v>0.0</v>
      </c>
      <c r="BJ157" s="36">
        <v>0.0</v>
      </c>
      <c r="BK157" s="35" t="s">
        <v>7045</v>
      </c>
      <c r="BL157" s="30">
        <v>46753.0</v>
      </c>
      <c r="BM157" s="30">
        <v>46843.0</v>
      </c>
      <c r="BN157" s="36">
        <v>0.0</v>
      </c>
      <c r="BO157" s="36">
        <v>0.0</v>
      </c>
      <c r="BP157" s="35" t="s">
        <v>7045</v>
      </c>
      <c r="BQ157" s="30">
        <v>46844.0</v>
      </c>
      <c r="BR157" s="30">
        <v>46934.0</v>
      </c>
      <c r="BS157" s="36">
        <v>0.0</v>
      </c>
      <c r="BT157" s="36">
        <v>0.0</v>
      </c>
      <c r="BU157" s="35" t="s">
        <v>7045</v>
      </c>
      <c r="BV157" s="30">
        <v>46935.0</v>
      </c>
      <c r="BW157" s="30">
        <v>47026.0</v>
      </c>
      <c r="BX157" s="36">
        <v>0.0</v>
      </c>
      <c r="BY157" s="36">
        <v>0.0</v>
      </c>
      <c r="BZ157" s="35" t="s">
        <v>7045</v>
      </c>
      <c r="CA157" s="30">
        <v>47027.0</v>
      </c>
      <c r="CB157" s="30">
        <v>47118.0</v>
      </c>
      <c r="CC157" s="36">
        <v>0.0</v>
      </c>
      <c r="CD157" s="36">
        <v>0.0</v>
      </c>
      <c r="CE157" s="35" t="s">
        <v>7045</v>
      </c>
      <c r="CF157" s="30">
        <v>47119.0</v>
      </c>
      <c r="CG157" s="30">
        <v>47208.0</v>
      </c>
      <c r="CH157" s="36">
        <v>0.0</v>
      </c>
      <c r="CI157" s="36">
        <v>0.0</v>
      </c>
      <c r="CJ157" s="35" t="s">
        <v>7045</v>
      </c>
      <c r="CK157" s="30">
        <v>47209.0</v>
      </c>
      <c r="CL157" s="30">
        <v>47299.0</v>
      </c>
      <c r="CM157" s="36">
        <v>0.0</v>
      </c>
      <c r="CN157" s="36">
        <v>0.0</v>
      </c>
      <c r="CO157" s="35" t="s">
        <v>7045</v>
      </c>
      <c r="CP157" s="30">
        <v>47300.0</v>
      </c>
      <c r="CQ157" s="30">
        <v>47391.0</v>
      </c>
      <c r="CR157" s="36">
        <v>0.0</v>
      </c>
      <c r="CS157" s="36">
        <v>0.0</v>
      </c>
      <c r="CT157" s="35" t="s">
        <v>7045</v>
      </c>
      <c r="CU157" s="30">
        <v>47392.0</v>
      </c>
      <c r="CV157" s="30">
        <v>47483.0</v>
      </c>
      <c r="CW157" s="36">
        <v>0.0</v>
      </c>
      <c r="CX157" s="36">
        <v>0.0</v>
      </c>
      <c r="CY157" s="35" t="s">
        <v>7045</v>
      </c>
      <c r="CZ157" s="30">
        <v>47484.0</v>
      </c>
      <c r="DA157" s="30">
        <v>47573.0</v>
      </c>
      <c r="DB157" s="36">
        <v>0.0</v>
      </c>
      <c r="DC157" s="36">
        <v>0.0</v>
      </c>
      <c r="DD157" s="35" t="s">
        <v>7045</v>
      </c>
      <c r="DE157" s="30">
        <v>47574.0</v>
      </c>
      <c r="DF157" s="30">
        <v>47664.0</v>
      </c>
      <c r="DG157" s="36">
        <v>0.0</v>
      </c>
      <c r="DH157" s="36">
        <v>0.0</v>
      </c>
      <c r="DI157" s="35" t="s">
        <v>7045</v>
      </c>
      <c r="DJ157" s="30">
        <v>47665.0</v>
      </c>
      <c r="DK157" s="30">
        <v>47756.0</v>
      </c>
      <c r="DL157" s="36">
        <v>0.0</v>
      </c>
      <c r="DM157" s="36">
        <v>0.0</v>
      </c>
      <c r="DN157" s="35" t="s">
        <v>7045</v>
      </c>
      <c r="DO157" s="30">
        <v>47757.0</v>
      </c>
      <c r="DP157" s="30">
        <v>47848.0</v>
      </c>
      <c r="DQ157" s="36">
        <v>0.0</v>
      </c>
      <c r="DR157" s="36">
        <v>0.0</v>
      </c>
      <c r="DS157" s="35" t="s">
        <v>7045</v>
      </c>
    </row>
    <row r="158" ht="14.25" customHeight="1">
      <c r="A158" s="28" t="s">
        <v>2975</v>
      </c>
      <c r="B158" s="29" t="s">
        <v>2976</v>
      </c>
      <c r="C158" s="29" t="s">
        <v>7041</v>
      </c>
      <c r="D158" s="30">
        <v>45658.0</v>
      </c>
      <c r="E158" s="30">
        <v>45747.0</v>
      </c>
      <c r="F158" s="36">
        <v>0.0</v>
      </c>
      <c r="G158" s="36">
        <v>0.0</v>
      </c>
      <c r="H158" s="35" t="s">
        <v>7045</v>
      </c>
      <c r="I158" s="30">
        <v>45748.0</v>
      </c>
      <c r="J158" s="30">
        <v>45838.0</v>
      </c>
      <c r="K158" s="36">
        <v>0.0</v>
      </c>
      <c r="L158" s="36">
        <v>0.0</v>
      </c>
      <c r="M158" s="35" t="s">
        <v>7045</v>
      </c>
      <c r="N158" s="30">
        <v>45839.0</v>
      </c>
      <c r="O158" s="30">
        <v>45930.0</v>
      </c>
      <c r="P158" s="36">
        <v>0.0</v>
      </c>
      <c r="Q158" s="36">
        <v>0.0</v>
      </c>
      <c r="R158" s="35" t="s">
        <v>7045</v>
      </c>
      <c r="S158" s="30">
        <v>45931.0</v>
      </c>
      <c r="T158" s="30">
        <v>46022.0</v>
      </c>
      <c r="U158" s="36">
        <v>0.0</v>
      </c>
      <c r="V158" s="36">
        <v>0.0</v>
      </c>
      <c r="W158" s="35" t="s">
        <v>7045</v>
      </c>
      <c r="X158" s="30">
        <v>46023.0</v>
      </c>
      <c r="Y158" s="30">
        <v>46112.0</v>
      </c>
      <c r="Z158" s="36">
        <v>0.0</v>
      </c>
      <c r="AA158" s="36">
        <v>0.0</v>
      </c>
      <c r="AB158" s="35" t="s">
        <v>7045</v>
      </c>
      <c r="AC158" s="30">
        <v>46113.0</v>
      </c>
      <c r="AD158" s="30">
        <v>46203.0</v>
      </c>
      <c r="AE158" s="36">
        <v>0.0</v>
      </c>
      <c r="AF158" s="36">
        <v>0.0</v>
      </c>
      <c r="AG158" s="35" t="s">
        <v>7045</v>
      </c>
      <c r="AH158" s="30">
        <v>46204.0</v>
      </c>
      <c r="AI158" s="30">
        <v>46295.0</v>
      </c>
      <c r="AJ158" s="36">
        <v>0.0</v>
      </c>
      <c r="AK158" s="36">
        <v>0.0</v>
      </c>
      <c r="AL158" s="35" t="s">
        <v>7045</v>
      </c>
      <c r="AM158" s="30">
        <v>46296.0</v>
      </c>
      <c r="AN158" s="30">
        <v>46387.0</v>
      </c>
      <c r="AO158" s="36">
        <v>0.0</v>
      </c>
      <c r="AP158" s="36">
        <v>0.0</v>
      </c>
      <c r="AQ158" s="35" t="s">
        <v>7045</v>
      </c>
      <c r="AR158" s="30">
        <v>46388.0</v>
      </c>
      <c r="AS158" s="30">
        <v>46477.0</v>
      </c>
      <c r="AT158" s="36">
        <v>0.0</v>
      </c>
      <c r="AU158" s="36">
        <v>0.0</v>
      </c>
      <c r="AV158" s="35" t="s">
        <v>7045</v>
      </c>
      <c r="AW158" s="30">
        <v>46478.0</v>
      </c>
      <c r="AX158" s="30">
        <v>46568.0</v>
      </c>
      <c r="AY158" s="36">
        <v>0.0</v>
      </c>
      <c r="AZ158" s="36">
        <v>0.0</v>
      </c>
      <c r="BA158" s="35" t="s">
        <v>7045</v>
      </c>
      <c r="BB158" s="30">
        <v>46569.0</v>
      </c>
      <c r="BC158" s="30">
        <v>46660.0</v>
      </c>
      <c r="BD158" s="36">
        <v>0.0</v>
      </c>
      <c r="BE158" s="36">
        <v>0.0</v>
      </c>
      <c r="BF158" s="35" t="s">
        <v>7045</v>
      </c>
      <c r="BG158" s="30">
        <v>46661.0</v>
      </c>
      <c r="BH158" s="30">
        <v>46752.0</v>
      </c>
      <c r="BI158" s="36">
        <v>0.0</v>
      </c>
      <c r="BJ158" s="36">
        <v>0.0</v>
      </c>
      <c r="BK158" s="35" t="s">
        <v>7045</v>
      </c>
      <c r="BL158" s="30">
        <v>46753.0</v>
      </c>
      <c r="BM158" s="30">
        <v>46843.0</v>
      </c>
      <c r="BN158" s="36">
        <v>0.0</v>
      </c>
      <c r="BO158" s="36">
        <v>0.0</v>
      </c>
      <c r="BP158" s="35" t="s">
        <v>7045</v>
      </c>
      <c r="BQ158" s="30">
        <v>46844.0</v>
      </c>
      <c r="BR158" s="30">
        <v>46934.0</v>
      </c>
      <c r="BS158" s="36">
        <v>0.0</v>
      </c>
      <c r="BT158" s="36">
        <v>0.0</v>
      </c>
      <c r="BU158" s="35" t="s">
        <v>7045</v>
      </c>
      <c r="BV158" s="30">
        <v>46935.0</v>
      </c>
      <c r="BW158" s="30">
        <v>47026.0</v>
      </c>
      <c r="BX158" s="36">
        <v>0.0</v>
      </c>
      <c r="BY158" s="36">
        <v>0.0</v>
      </c>
      <c r="BZ158" s="35" t="s">
        <v>7045</v>
      </c>
      <c r="CA158" s="30">
        <v>47027.0</v>
      </c>
      <c r="CB158" s="30">
        <v>47118.0</v>
      </c>
      <c r="CC158" s="36">
        <v>0.0</v>
      </c>
      <c r="CD158" s="36">
        <v>0.0</v>
      </c>
      <c r="CE158" s="35" t="s">
        <v>7045</v>
      </c>
      <c r="CF158" s="30">
        <v>47119.0</v>
      </c>
      <c r="CG158" s="30">
        <v>47208.0</v>
      </c>
      <c r="CH158" s="36">
        <v>0.0</v>
      </c>
      <c r="CI158" s="36">
        <v>0.0</v>
      </c>
      <c r="CJ158" s="35" t="s">
        <v>7045</v>
      </c>
      <c r="CK158" s="30">
        <v>47209.0</v>
      </c>
      <c r="CL158" s="30">
        <v>47299.0</v>
      </c>
      <c r="CM158" s="36">
        <v>0.0</v>
      </c>
      <c r="CN158" s="36">
        <v>0.0</v>
      </c>
      <c r="CO158" s="35" t="s">
        <v>7045</v>
      </c>
      <c r="CP158" s="30">
        <v>47300.0</v>
      </c>
      <c r="CQ158" s="30">
        <v>47391.0</v>
      </c>
      <c r="CR158" s="36">
        <v>0.0</v>
      </c>
      <c r="CS158" s="36">
        <v>0.0</v>
      </c>
      <c r="CT158" s="35" t="s">
        <v>7045</v>
      </c>
      <c r="CU158" s="30">
        <v>47392.0</v>
      </c>
      <c r="CV158" s="30">
        <v>47483.0</v>
      </c>
      <c r="CW158" s="36">
        <v>0.0</v>
      </c>
      <c r="CX158" s="36">
        <v>0.0</v>
      </c>
      <c r="CY158" s="35" t="s">
        <v>7045</v>
      </c>
      <c r="CZ158" s="30">
        <v>47484.0</v>
      </c>
      <c r="DA158" s="30">
        <v>47573.0</v>
      </c>
      <c r="DB158" s="36">
        <v>0.0</v>
      </c>
      <c r="DC158" s="36">
        <v>0.0</v>
      </c>
      <c r="DD158" s="35" t="s">
        <v>7045</v>
      </c>
      <c r="DE158" s="30">
        <v>47574.0</v>
      </c>
      <c r="DF158" s="30">
        <v>47664.0</v>
      </c>
      <c r="DG158" s="36">
        <v>0.0</v>
      </c>
      <c r="DH158" s="36">
        <v>0.0</v>
      </c>
      <c r="DI158" s="35" t="s">
        <v>7045</v>
      </c>
      <c r="DJ158" s="30">
        <v>47665.0</v>
      </c>
      <c r="DK158" s="30">
        <v>47756.0</v>
      </c>
      <c r="DL158" s="36">
        <v>0.0</v>
      </c>
      <c r="DM158" s="36">
        <v>0.0</v>
      </c>
      <c r="DN158" s="35" t="s">
        <v>7045</v>
      </c>
      <c r="DO158" s="30">
        <v>47757.0</v>
      </c>
      <c r="DP158" s="30">
        <v>47848.0</v>
      </c>
      <c r="DQ158" s="36">
        <v>0.0</v>
      </c>
      <c r="DR158" s="36">
        <v>0.0</v>
      </c>
      <c r="DS158" s="35" t="s">
        <v>7045</v>
      </c>
    </row>
    <row r="159" ht="14.25" customHeight="1">
      <c r="A159" s="28" t="s">
        <v>2978</v>
      </c>
      <c r="B159" s="29" t="s">
        <v>2979</v>
      </c>
      <c r="C159" s="29" t="s">
        <v>7041</v>
      </c>
      <c r="D159" s="30">
        <v>45658.0</v>
      </c>
      <c r="E159" s="30">
        <v>45747.0</v>
      </c>
      <c r="F159" s="39">
        <v>0.0</v>
      </c>
      <c r="G159" s="39">
        <v>0.0</v>
      </c>
      <c r="H159" s="35" t="s">
        <v>7045</v>
      </c>
      <c r="I159" s="30">
        <v>45748.0</v>
      </c>
      <c r="J159" s="30">
        <v>45838.0</v>
      </c>
      <c r="K159" s="39">
        <v>70.0</v>
      </c>
      <c r="L159" s="39">
        <v>133.33</v>
      </c>
      <c r="M159" s="32" t="s">
        <v>7046</v>
      </c>
      <c r="N159" s="30">
        <v>45839.0</v>
      </c>
      <c r="O159" s="30">
        <v>45930.0</v>
      </c>
      <c r="P159" s="39">
        <v>160.0</v>
      </c>
      <c r="Q159" s="39">
        <v>200.0</v>
      </c>
      <c r="R159" s="38" t="s">
        <v>7047</v>
      </c>
      <c r="S159" s="30">
        <v>45931.0</v>
      </c>
      <c r="T159" s="30">
        <v>46022.0</v>
      </c>
      <c r="U159" s="39">
        <v>50.0</v>
      </c>
      <c r="V159" s="39">
        <v>200.0</v>
      </c>
      <c r="W159" s="38" t="s">
        <v>7047</v>
      </c>
      <c r="X159" s="30">
        <v>46023.0</v>
      </c>
      <c r="Y159" s="30">
        <v>46112.0</v>
      </c>
      <c r="Z159" s="39">
        <v>50.0</v>
      </c>
      <c r="AA159" s="39">
        <v>0.0</v>
      </c>
      <c r="AB159" s="35" t="s">
        <v>7047</v>
      </c>
      <c r="AC159" s="30">
        <v>46113.0</v>
      </c>
      <c r="AD159" s="30">
        <v>46203.0</v>
      </c>
      <c r="AE159" s="39">
        <v>0.0</v>
      </c>
      <c r="AF159" s="39">
        <v>0.0</v>
      </c>
      <c r="AG159" s="35" t="s">
        <v>7045</v>
      </c>
      <c r="AH159" s="30">
        <v>46204.0</v>
      </c>
      <c r="AI159" s="30">
        <v>46295.0</v>
      </c>
      <c r="AJ159" s="39">
        <v>0.0</v>
      </c>
      <c r="AK159" s="39">
        <v>0.0</v>
      </c>
      <c r="AL159" s="35" t="s">
        <v>7045</v>
      </c>
      <c r="AM159" s="30">
        <v>46296.0</v>
      </c>
      <c r="AN159" s="30">
        <v>46387.0</v>
      </c>
      <c r="AO159" s="39">
        <v>0.0</v>
      </c>
      <c r="AP159" s="39">
        <v>0.0</v>
      </c>
      <c r="AQ159" s="35" t="s">
        <v>7045</v>
      </c>
      <c r="AR159" s="30">
        <v>46388.0</v>
      </c>
      <c r="AS159" s="30">
        <v>46477.0</v>
      </c>
      <c r="AT159" s="39">
        <v>0.0</v>
      </c>
      <c r="AU159" s="39">
        <v>0.0</v>
      </c>
      <c r="AV159" s="35" t="s">
        <v>7045</v>
      </c>
      <c r="AW159" s="30">
        <v>46478.0</v>
      </c>
      <c r="AX159" s="30">
        <v>46568.0</v>
      </c>
      <c r="AY159" s="39">
        <v>0.0</v>
      </c>
      <c r="AZ159" s="39">
        <v>0.0</v>
      </c>
      <c r="BA159" s="35" t="s">
        <v>7045</v>
      </c>
      <c r="BB159" s="30">
        <v>46569.0</v>
      </c>
      <c r="BC159" s="30">
        <v>46660.0</v>
      </c>
      <c r="BD159" s="39">
        <v>0.0</v>
      </c>
      <c r="BE159" s="39">
        <v>0.0</v>
      </c>
      <c r="BF159" s="35" t="s">
        <v>7045</v>
      </c>
      <c r="BG159" s="30">
        <v>46661.0</v>
      </c>
      <c r="BH159" s="30">
        <v>46752.0</v>
      </c>
      <c r="BI159" s="39">
        <v>0.0</v>
      </c>
      <c r="BJ159" s="39">
        <v>0.0</v>
      </c>
      <c r="BK159" s="35" t="s">
        <v>7045</v>
      </c>
      <c r="BL159" s="30">
        <v>46753.0</v>
      </c>
      <c r="BM159" s="30">
        <v>46843.0</v>
      </c>
      <c r="BN159" s="39">
        <v>0.0</v>
      </c>
      <c r="BO159" s="39">
        <v>0.0</v>
      </c>
      <c r="BP159" s="35" t="s">
        <v>7045</v>
      </c>
      <c r="BQ159" s="30">
        <v>46844.0</v>
      </c>
      <c r="BR159" s="30">
        <v>46934.0</v>
      </c>
      <c r="BS159" s="39">
        <v>0.0</v>
      </c>
      <c r="BT159" s="39">
        <v>0.0</v>
      </c>
      <c r="BU159" s="35" t="s">
        <v>7045</v>
      </c>
      <c r="BV159" s="30">
        <v>46935.0</v>
      </c>
      <c r="BW159" s="30">
        <v>47026.0</v>
      </c>
      <c r="BX159" s="39">
        <v>0.0</v>
      </c>
      <c r="BY159" s="39">
        <v>0.0</v>
      </c>
      <c r="BZ159" s="35" t="s">
        <v>7045</v>
      </c>
      <c r="CA159" s="30">
        <v>47027.0</v>
      </c>
      <c r="CB159" s="30">
        <v>47118.0</v>
      </c>
      <c r="CC159" s="39">
        <v>0.0</v>
      </c>
      <c r="CD159" s="39">
        <v>0.0</v>
      </c>
      <c r="CE159" s="35" t="s">
        <v>7045</v>
      </c>
      <c r="CF159" s="30">
        <v>47119.0</v>
      </c>
      <c r="CG159" s="30">
        <v>47208.0</v>
      </c>
      <c r="CH159" s="39">
        <v>0.0</v>
      </c>
      <c r="CI159" s="39">
        <v>0.0</v>
      </c>
      <c r="CJ159" s="35" t="s">
        <v>7045</v>
      </c>
      <c r="CK159" s="30">
        <v>47209.0</v>
      </c>
      <c r="CL159" s="30">
        <v>47299.0</v>
      </c>
      <c r="CM159" s="39">
        <v>0.0</v>
      </c>
      <c r="CN159" s="39">
        <v>0.0</v>
      </c>
      <c r="CO159" s="35" t="s">
        <v>7045</v>
      </c>
      <c r="CP159" s="30">
        <v>47300.0</v>
      </c>
      <c r="CQ159" s="30">
        <v>47391.0</v>
      </c>
      <c r="CR159" s="39">
        <v>0.0</v>
      </c>
      <c r="CS159" s="39">
        <v>0.0</v>
      </c>
      <c r="CT159" s="35" t="s">
        <v>7045</v>
      </c>
      <c r="CU159" s="30">
        <v>47392.0</v>
      </c>
      <c r="CV159" s="30">
        <v>47483.0</v>
      </c>
      <c r="CW159" s="39">
        <v>0.0</v>
      </c>
      <c r="CX159" s="39">
        <v>0.0</v>
      </c>
      <c r="CY159" s="35" t="s">
        <v>7045</v>
      </c>
      <c r="CZ159" s="30">
        <v>47484.0</v>
      </c>
      <c r="DA159" s="30">
        <v>47573.0</v>
      </c>
      <c r="DB159" s="39">
        <v>0.0</v>
      </c>
      <c r="DC159" s="39">
        <v>0.0</v>
      </c>
      <c r="DD159" s="35" t="s">
        <v>7045</v>
      </c>
      <c r="DE159" s="30">
        <v>47574.0</v>
      </c>
      <c r="DF159" s="30">
        <v>47664.0</v>
      </c>
      <c r="DG159" s="39">
        <v>0.0</v>
      </c>
      <c r="DH159" s="39">
        <v>0.0</v>
      </c>
      <c r="DI159" s="35" t="s">
        <v>7045</v>
      </c>
      <c r="DJ159" s="30">
        <v>47665.0</v>
      </c>
      <c r="DK159" s="30">
        <v>47756.0</v>
      </c>
      <c r="DL159" s="39">
        <v>0.0</v>
      </c>
      <c r="DM159" s="39">
        <v>0.0</v>
      </c>
      <c r="DN159" s="35" t="s">
        <v>7045</v>
      </c>
      <c r="DO159" s="30">
        <v>47757.0</v>
      </c>
      <c r="DP159" s="30">
        <v>47848.0</v>
      </c>
      <c r="DQ159" s="39">
        <v>0.0</v>
      </c>
      <c r="DR159" s="39">
        <v>0.0</v>
      </c>
      <c r="DS159" s="35" t="s">
        <v>7045</v>
      </c>
    </row>
    <row r="160" ht="14.25" customHeight="1">
      <c r="A160" s="28" t="s">
        <v>2982</v>
      </c>
      <c r="B160" s="29" t="s">
        <v>2983</v>
      </c>
      <c r="C160" s="29" t="s">
        <v>7041</v>
      </c>
      <c r="D160" s="30">
        <v>45658.0</v>
      </c>
      <c r="E160" s="30">
        <v>45747.0</v>
      </c>
      <c r="F160" s="39">
        <v>50.0</v>
      </c>
      <c r="G160" s="39">
        <v>0.0</v>
      </c>
      <c r="H160" s="38" t="s">
        <v>7047</v>
      </c>
      <c r="I160" s="30">
        <v>45748.0</v>
      </c>
      <c r="J160" s="30">
        <v>45838.0</v>
      </c>
      <c r="K160" s="39">
        <v>5.0</v>
      </c>
      <c r="L160" s="39">
        <v>0.0</v>
      </c>
      <c r="M160" s="38" t="s">
        <v>7047</v>
      </c>
      <c r="N160" s="30">
        <v>45839.0</v>
      </c>
      <c r="O160" s="30">
        <v>45930.0</v>
      </c>
      <c r="P160" s="39">
        <v>10.0</v>
      </c>
      <c r="Q160" s="39">
        <v>0.0</v>
      </c>
      <c r="R160" s="38" t="s">
        <v>7047</v>
      </c>
      <c r="S160" s="30">
        <v>45931.0</v>
      </c>
      <c r="T160" s="30">
        <v>46022.0</v>
      </c>
      <c r="U160" s="39">
        <v>0.0</v>
      </c>
      <c r="V160" s="39">
        <v>0.0</v>
      </c>
      <c r="W160" s="35" t="s">
        <v>7045</v>
      </c>
      <c r="X160" s="30">
        <v>46023.0</v>
      </c>
      <c r="Y160" s="30">
        <v>46112.0</v>
      </c>
      <c r="Z160" s="39">
        <v>40.0</v>
      </c>
      <c r="AA160" s="39">
        <v>0.0</v>
      </c>
      <c r="AB160" s="38" t="s">
        <v>7047</v>
      </c>
      <c r="AC160" s="30">
        <v>46113.0</v>
      </c>
      <c r="AD160" s="30">
        <v>46203.0</v>
      </c>
      <c r="AE160" s="39">
        <v>0.0</v>
      </c>
      <c r="AF160" s="39">
        <v>0.0</v>
      </c>
      <c r="AG160" s="35" t="s">
        <v>7045</v>
      </c>
      <c r="AH160" s="30">
        <v>46204.0</v>
      </c>
      <c r="AI160" s="30">
        <v>46295.0</v>
      </c>
      <c r="AJ160" s="39">
        <v>0.0</v>
      </c>
      <c r="AK160" s="39">
        <v>0.0</v>
      </c>
      <c r="AL160" s="35" t="s">
        <v>7045</v>
      </c>
      <c r="AM160" s="30">
        <v>46296.0</v>
      </c>
      <c r="AN160" s="30">
        <v>46387.0</v>
      </c>
      <c r="AO160" s="39">
        <v>0.0</v>
      </c>
      <c r="AP160" s="39">
        <v>0.0</v>
      </c>
      <c r="AQ160" s="35" t="s">
        <v>7045</v>
      </c>
      <c r="AR160" s="30">
        <v>46388.0</v>
      </c>
      <c r="AS160" s="30">
        <v>46477.0</v>
      </c>
      <c r="AT160" s="39">
        <v>0.0</v>
      </c>
      <c r="AU160" s="39">
        <v>0.0</v>
      </c>
      <c r="AV160" s="35" t="s">
        <v>7045</v>
      </c>
      <c r="AW160" s="30">
        <v>46478.0</v>
      </c>
      <c r="AX160" s="30">
        <v>46568.0</v>
      </c>
      <c r="AY160" s="39">
        <v>0.0</v>
      </c>
      <c r="AZ160" s="39">
        <v>0.0</v>
      </c>
      <c r="BA160" s="35" t="s">
        <v>7045</v>
      </c>
      <c r="BB160" s="30">
        <v>46569.0</v>
      </c>
      <c r="BC160" s="30">
        <v>46660.0</v>
      </c>
      <c r="BD160" s="39">
        <v>0.0</v>
      </c>
      <c r="BE160" s="39">
        <v>0.0</v>
      </c>
      <c r="BF160" s="35" t="s">
        <v>7045</v>
      </c>
      <c r="BG160" s="30">
        <v>46661.0</v>
      </c>
      <c r="BH160" s="30">
        <v>46752.0</v>
      </c>
      <c r="BI160" s="39">
        <v>0.0</v>
      </c>
      <c r="BJ160" s="39">
        <v>0.0</v>
      </c>
      <c r="BK160" s="35" t="s">
        <v>7045</v>
      </c>
      <c r="BL160" s="30">
        <v>46753.0</v>
      </c>
      <c r="BM160" s="30">
        <v>46843.0</v>
      </c>
      <c r="BN160" s="39">
        <v>0.0</v>
      </c>
      <c r="BO160" s="39">
        <v>0.0</v>
      </c>
      <c r="BP160" s="35" t="s">
        <v>7045</v>
      </c>
      <c r="BQ160" s="30">
        <v>46844.0</v>
      </c>
      <c r="BR160" s="30">
        <v>46934.0</v>
      </c>
      <c r="BS160" s="39">
        <v>0.0</v>
      </c>
      <c r="BT160" s="39">
        <v>0.0</v>
      </c>
      <c r="BU160" s="35" t="s">
        <v>7045</v>
      </c>
      <c r="BV160" s="30">
        <v>46935.0</v>
      </c>
      <c r="BW160" s="30">
        <v>47026.0</v>
      </c>
      <c r="BX160" s="39">
        <v>0.0</v>
      </c>
      <c r="BY160" s="39">
        <v>0.0</v>
      </c>
      <c r="BZ160" s="35" t="s">
        <v>7045</v>
      </c>
      <c r="CA160" s="30">
        <v>47027.0</v>
      </c>
      <c r="CB160" s="30">
        <v>47118.0</v>
      </c>
      <c r="CC160" s="39">
        <v>0.0</v>
      </c>
      <c r="CD160" s="39">
        <v>0.0</v>
      </c>
      <c r="CE160" s="35" t="s">
        <v>7045</v>
      </c>
      <c r="CF160" s="30">
        <v>47119.0</v>
      </c>
      <c r="CG160" s="30">
        <v>47208.0</v>
      </c>
      <c r="CH160" s="39">
        <v>0.0</v>
      </c>
      <c r="CI160" s="39">
        <v>0.0</v>
      </c>
      <c r="CJ160" s="35" t="s">
        <v>7045</v>
      </c>
      <c r="CK160" s="30">
        <v>47209.0</v>
      </c>
      <c r="CL160" s="30">
        <v>47299.0</v>
      </c>
      <c r="CM160" s="39">
        <v>0.0</v>
      </c>
      <c r="CN160" s="39">
        <v>0.0</v>
      </c>
      <c r="CO160" s="35" t="s">
        <v>7045</v>
      </c>
      <c r="CP160" s="30">
        <v>47300.0</v>
      </c>
      <c r="CQ160" s="30">
        <v>47391.0</v>
      </c>
      <c r="CR160" s="39">
        <v>0.0</v>
      </c>
      <c r="CS160" s="39">
        <v>0.0</v>
      </c>
      <c r="CT160" s="35" t="s">
        <v>7045</v>
      </c>
      <c r="CU160" s="30">
        <v>47392.0</v>
      </c>
      <c r="CV160" s="30">
        <v>47483.0</v>
      </c>
      <c r="CW160" s="39">
        <v>0.0</v>
      </c>
      <c r="CX160" s="39">
        <v>0.0</v>
      </c>
      <c r="CY160" s="35" t="s">
        <v>7045</v>
      </c>
      <c r="CZ160" s="30">
        <v>47484.0</v>
      </c>
      <c r="DA160" s="30">
        <v>47573.0</v>
      </c>
      <c r="DB160" s="39">
        <v>0.0</v>
      </c>
      <c r="DC160" s="39">
        <v>0.0</v>
      </c>
      <c r="DD160" s="35" t="s">
        <v>7045</v>
      </c>
      <c r="DE160" s="30">
        <v>47574.0</v>
      </c>
      <c r="DF160" s="30">
        <v>47664.0</v>
      </c>
      <c r="DG160" s="39">
        <v>0.0</v>
      </c>
      <c r="DH160" s="39">
        <v>0.0</v>
      </c>
      <c r="DI160" s="35" t="s">
        <v>7045</v>
      </c>
      <c r="DJ160" s="30">
        <v>47665.0</v>
      </c>
      <c r="DK160" s="30">
        <v>47756.0</v>
      </c>
      <c r="DL160" s="39">
        <v>0.0</v>
      </c>
      <c r="DM160" s="39">
        <v>0.0</v>
      </c>
      <c r="DN160" s="35" t="s">
        <v>7045</v>
      </c>
      <c r="DO160" s="30">
        <v>47757.0</v>
      </c>
      <c r="DP160" s="30">
        <v>47848.0</v>
      </c>
      <c r="DQ160" s="39">
        <v>0.0</v>
      </c>
      <c r="DR160" s="39">
        <v>0.0</v>
      </c>
      <c r="DS160" s="35" t="s">
        <v>7045</v>
      </c>
    </row>
    <row r="161" ht="14.25" customHeight="1">
      <c r="A161" s="28" t="s">
        <v>3112</v>
      </c>
      <c r="B161" s="29" t="s">
        <v>3113</v>
      </c>
      <c r="C161" s="29" t="s">
        <v>7041</v>
      </c>
      <c r="D161" s="30">
        <v>45658.0</v>
      </c>
      <c r="E161" s="30">
        <v>45747.0</v>
      </c>
      <c r="F161" s="36">
        <v>2.06</v>
      </c>
      <c r="G161" s="36">
        <v>0.0</v>
      </c>
      <c r="H161" s="38" t="s">
        <v>7047</v>
      </c>
      <c r="I161" s="30">
        <v>45748.0</v>
      </c>
      <c r="J161" s="30">
        <v>45838.0</v>
      </c>
      <c r="K161" s="36">
        <v>13.19</v>
      </c>
      <c r="L161" s="36">
        <v>0.0</v>
      </c>
      <c r="M161" s="38" t="s">
        <v>7047</v>
      </c>
      <c r="N161" s="30">
        <v>45839.0</v>
      </c>
      <c r="O161" s="30">
        <v>45930.0</v>
      </c>
      <c r="P161" s="36">
        <v>73.19</v>
      </c>
      <c r="Q161" s="36">
        <v>0.0</v>
      </c>
      <c r="R161" s="35" t="s">
        <v>7047</v>
      </c>
      <c r="S161" s="30">
        <v>45931.0</v>
      </c>
      <c r="T161" s="30">
        <v>46022.0</v>
      </c>
      <c r="U161" s="36">
        <v>3.1</v>
      </c>
      <c r="V161" s="36">
        <v>0.0</v>
      </c>
      <c r="W161" s="38" t="s">
        <v>7047</v>
      </c>
      <c r="X161" s="30">
        <v>46023.0</v>
      </c>
      <c r="Y161" s="30">
        <v>46112.0</v>
      </c>
      <c r="Z161" s="36">
        <v>0.0</v>
      </c>
      <c r="AA161" s="36">
        <v>0.0</v>
      </c>
      <c r="AB161" s="35" t="s">
        <v>7045</v>
      </c>
      <c r="AC161" s="30">
        <v>46113.0</v>
      </c>
      <c r="AD161" s="30">
        <v>46203.0</v>
      </c>
      <c r="AE161" s="36">
        <v>0.0</v>
      </c>
      <c r="AF161" s="36">
        <v>0.0</v>
      </c>
      <c r="AG161" s="35" t="s">
        <v>7045</v>
      </c>
      <c r="AH161" s="30">
        <v>46204.0</v>
      </c>
      <c r="AI161" s="30">
        <v>46295.0</v>
      </c>
      <c r="AJ161" s="36">
        <v>0.0</v>
      </c>
      <c r="AK161" s="36">
        <v>0.0</v>
      </c>
      <c r="AL161" s="35" t="s">
        <v>7045</v>
      </c>
      <c r="AM161" s="30">
        <v>46296.0</v>
      </c>
      <c r="AN161" s="30">
        <v>46387.0</v>
      </c>
      <c r="AO161" s="36">
        <v>0.0</v>
      </c>
      <c r="AP161" s="36">
        <v>0.0</v>
      </c>
      <c r="AQ161" s="35" t="s">
        <v>7045</v>
      </c>
      <c r="AR161" s="30">
        <v>46388.0</v>
      </c>
      <c r="AS161" s="30">
        <v>46477.0</v>
      </c>
      <c r="AT161" s="36">
        <v>0.0</v>
      </c>
      <c r="AU161" s="36">
        <v>0.0</v>
      </c>
      <c r="AV161" s="35" t="s">
        <v>7045</v>
      </c>
      <c r="AW161" s="30">
        <v>46478.0</v>
      </c>
      <c r="AX161" s="30">
        <v>46568.0</v>
      </c>
      <c r="AY161" s="36">
        <v>0.0</v>
      </c>
      <c r="AZ161" s="36">
        <v>0.0</v>
      </c>
      <c r="BA161" s="35" t="s">
        <v>7045</v>
      </c>
      <c r="BB161" s="30">
        <v>46569.0</v>
      </c>
      <c r="BC161" s="30">
        <v>46660.0</v>
      </c>
      <c r="BD161" s="36">
        <v>0.0</v>
      </c>
      <c r="BE161" s="36">
        <v>0.0</v>
      </c>
      <c r="BF161" s="35" t="s">
        <v>7045</v>
      </c>
      <c r="BG161" s="30">
        <v>46661.0</v>
      </c>
      <c r="BH161" s="30">
        <v>46752.0</v>
      </c>
      <c r="BI161" s="36">
        <v>0.0</v>
      </c>
      <c r="BJ161" s="36">
        <v>0.0</v>
      </c>
      <c r="BK161" s="35" t="s">
        <v>7045</v>
      </c>
      <c r="BL161" s="30">
        <v>46753.0</v>
      </c>
      <c r="BM161" s="30">
        <v>46843.0</v>
      </c>
      <c r="BN161" s="36">
        <v>0.0</v>
      </c>
      <c r="BO161" s="36">
        <v>0.0</v>
      </c>
      <c r="BP161" s="35" t="s">
        <v>7045</v>
      </c>
      <c r="BQ161" s="30">
        <v>46844.0</v>
      </c>
      <c r="BR161" s="30">
        <v>46934.0</v>
      </c>
      <c r="BS161" s="36">
        <v>0.0</v>
      </c>
      <c r="BT161" s="36">
        <v>0.0</v>
      </c>
      <c r="BU161" s="35" t="s">
        <v>7045</v>
      </c>
      <c r="BV161" s="30">
        <v>46935.0</v>
      </c>
      <c r="BW161" s="30">
        <v>47026.0</v>
      </c>
      <c r="BX161" s="36">
        <v>0.0</v>
      </c>
      <c r="BY161" s="36">
        <v>0.0</v>
      </c>
      <c r="BZ161" s="35" t="s">
        <v>7045</v>
      </c>
      <c r="CA161" s="30">
        <v>47027.0</v>
      </c>
      <c r="CB161" s="30">
        <v>47118.0</v>
      </c>
      <c r="CC161" s="36">
        <v>0.0</v>
      </c>
      <c r="CD161" s="36">
        <v>0.0</v>
      </c>
      <c r="CE161" s="35" t="s">
        <v>7045</v>
      </c>
      <c r="CF161" s="30">
        <v>47119.0</v>
      </c>
      <c r="CG161" s="30">
        <v>47208.0</v>
      </c>
      <c r="CH161" s="36">
        <v>0.0</v>
      </c>
      <c r="CI161" s="36">
        <v>0.0</v>
      </c>
      <c r="CJ161" s="35" t="s">
        <v>7045</v>
      </c>
      <c r="CK161" s="30">
        <v>47209.0</v>
      </c>
      <c r="CL161" s="30">
        <v>47299.0</v>
      </c>
      <c r="CM161" s="36">
        <v>0.0</v>
      </c>
      <c r="CN161" s="36">
        <v>0.0</v>
      </c>
      <c r="CO161" s="35" t="s">
        <v>7045</v>
      </c>
      <c r="CP161" s="30">
        <v>47300.0</v>
      </c>
      <c r="CQ161" s="30">
        <v>47391.0</v>
      </c>
      <c r="CR161" s="36">
        <v>0.0</v>
      </c>
      <c r="CS161" s="36">
        <v>0.0</v>
      </c>
      <c r="CT161" s="35" t="s">
        <v>7045</v>
      </c>
      <c r="CU161" s="30">
        <v>47392.0</v>
      </c>
      <c r="CV161" s="30">
        <v>47483.0</v>
      </c>
      <c r="CW161" s="36">
        <v>0.0</v>
      </c>
      <c r="CX161" s="36">
        <v>0.0</v>
      </c>
      <c r="CY161" s="35" t="s">
        <v>7045</v>
      </c>
      <c r="CZ161" s="30">
        <v>47484.0</v>
      </c>
      <c r="DA161" s="30">
        <v>47573.0</v>
      </c>
      <c r="DB161" s="36">
        <v>0.0</v>
      </c>
      <c r="DC161" s="36">
        <v>0.0</v>
      </c>
      <c r="DD161" s="35" t="s">
        <v>7045</v>
      </c>
      <c r="DE161" s="30">
        <v>47574.0</v>
      </c>
      <c r="DF161" s="30">
        <v>47664.0</v>
      </c>
      <c r="DG161" s="36">
        <v>0.0</v>
      </c>
      <c r="DH161" s="36">
        <v>0.0</v>
      </c>
      <c r="DI161" s="35" t="s">
        <v>7045</v>
      </c>
      <c r="DJ161" s="30">
        <v>47665.0</v>
      </c>
      <c r="DK161" s="30">
        <v>47756.0</v>
      </c>
      <c r="DL161" s="36">
        <v>0.0</v>
      </c>
      <c r="DM161" s="36">
        <v>0.0</v>
      </c>
      <c r="DN161" s="35" t="s">
        <v>7045</v>
      </c>
      <c r="DO161" s="30">
        <v>47757.0</v>
      </c>
      <c r="DP161" s="30">
        <v>47848.0</v>
      </c>
      <c r="DQ161" s="36">
        <v>0.0</v>
      </c>
      <c r="DR161" s="36">
        <v>0.0</v>
      </c>
      <c r="DS161" s="35" t="s">
        <v>7045</v>
      </c>
    </row>
    <row r="162" ht="14.25" customHeight="1">
      <c r="A162" s="28" t="s">
        <v>3141</v>
      </c>
      <c r="B162" s="29" t="s">
        <v>3142</v>
      </c>
      <c r="C162" s="29" t="s">
        <v>7041</v>
      </c>
      <c r="D162" s="30">
        <v>45658.0</v>
      </c>
      <c r="E162" s="30">
        <v>45747.0</v>
      </c>
      <c r="F162" s="39">
        <v>0.0</v>
      </c>
      <c r="G162" s="39">
        <v>0.0</v>
      </c>
      <c r="H162" s="35" t="s">
        <v>7045</v>
      </c>
      <c r="I162" s="30">
        <v>45748.0</v>
      </c>
      <c r="J162" s="30">
        <v>45838.0</v>
      </c>
      <c r="K162" s="39">
        <v>0.0</v>
      </c>
      <c r="L162" s="39">
        <v>0.0</v>
      </c>
      <c r="M162" s="35" t="s">
        <v>7045</v>
      </c>
      <c r="N162" s="30">
        <v>45839.0</v>
      </c>
      <c r="O162" s="30">
        <v>45930.0</v>
      </c>
      <c r="P162" s="39">
        <v>0.0</v>
      </c>
      <c r="Q162" s="39">
        <v>0.0</v>
      </c>
      <c r="R162" s="35" t="s">
        <v>7045</v>
      </c>
      <c r="S162" s="30">
        <v>45931.0</v>
      </c>
      <c r="T162" s="30">
        <v>46022.0</v>
      </c>
      <c r="U162" s="39">
        <v>0.0</v>
      </c>
      <c r="V162" s="39">
        <v>0.0</v>
      </c>
      <c r="W162" s="35" t="s">
        <v>7045</v>
      </c>
      <c r="X162" s="30">
        <v>46023.0</v>
      </c>
      <c r="Y162" s="30">
        <v>46112.0</v>
      </c>
      <c r="Z162" s="39">
        <v>0.0</v>
      </c>
      <c r="AA162" s="39">
        <v>0.0</v>
      </c>
      <c r="AB162" s="35" t="s">
        <v>7045</v>
      </c>
      <c r="AC162" s="30">
        <v>46113.0</v>
      </c>
      <c r="AD162" s="30">
        <v>46203.0</v>
      </c>
      <c r="AE162" s="39">
        <v>0.0</v>
      </c>
      <c r="AF162" s="39">
        <v>0.0</v>
      </c>
      <c r="AG162" s="35" t="s">
        <v>7045</v>
      </c>
      <c r="AH162" s="30">
        <v>46204.0</v>
      </c>
      <c r="AI162" s="30">
        <v>46295.0</v>
      </c>
      <c r="AJ162" s="39">
        <v>0.0</v>
      </c>
      <c r="AK162" s="39">
        <v>0.0</v>
      </c>
      <c r="AL162" s="35" t="s">
        <v>7045</v>
      </c>
      <c r="AM162" s="30">
        <v>46296.0</v>
      </c>
      <c r="AN162" s="30">
        <v>46387.0</v>
      </c>
      <c r="AO162" s="39">
        <v>0.0</v>
      </c>
      <c r="AP162" s="39">
        <v>0.0</v>
      </c>
      <c r="AQ162" s="35" t="s">
        <v>7045</v>
      </c>
      <c r="AR162" s="30">
        <v>46388.0</v>
      </c>
      <c r="AS162" s="30">
        <v>46477.0</v>
      </c>
      <c r="AT162" s="39">
        <v>0.0</v>
      </c>
      <c r="AU162" s="39">
        <v>0.0</v>
      </c>
      <c r="AV162" s="35" t="s">
        <v>7045</v>
      </c>
      <c r="AW162" s="30">
        <v>46478.0</v>
      </c>
      <c r="AX162" s="30">
        <v>46568.0</v>
      </c>
      <c r="AY162" s="39">
        <v>0.0</v>
      </c>
      <c r="AZ162" s="39">
        <v>0.0</v>
      </c>
      <c r="BA162" s="35" t="s">
        <v>7045</v>
      </c>
      <c r="BB162" s="30">
        <v>46569.0</v>
      </c>
      <c r="BC162" s="30">
        <v>46660.0</v>
      </c>
      <c r="BD162" s="39">
        <v>0.0</v>
      </c>
      <c r="BE162" s="39">
        <v>0.0</v>
      </c>
      <c r="BF162" s="35" t="s">
        <v>7045</v>
      </c>
      <c r="BG162" s="30">
        <v>46661.0</v>
      </c>
      <c r="BH162" s="30">
        <v>46752.0</v>
      </c>
      <c r="BI162" s="39">
        <v>0.0</v>
      </c>
      <c r="BJ162" s="39">
        <v>0.0</v>
      </c>
      <c r="BK162" s="35" t="s">
        <v>7045</v>
      </c>
      <c r="BL162" s="30">
        <v>46753.0</v>
      </c>
      <c r="BM162" s="30">
        <v>46843.0</v>
      </c>
      <c r="BN162" s="39">
        <v>0.0</v>
      </c>
      <c r="BO162" s="39">
        <v>0.0</v>
      </c>
      <c r="BP162" s="35" t="s">
        <v>7045</v>
      </c>
      <c r="BQ162" s="30">
        <v>46844.0</v>
      </c>
      <c r="BR162" s="30">
        <v>46934.0</v>
      </c>
      <c r="BS162" s="39">
        <v>0.0</v>
      </c>
      <c r="BT162" s="39">
        <v>0.0</v>
      </c>
      <c r="BU162" s="35" t="s">
        <v>7045</v>
      </c>
      <c r="BV162" s="30">
        <v>46935.0</v>
      </c>
      <c r="BW162" s="30">
        <v>47026.0</v>
      </c>
      <c r="BX162" s="39">
        <v>0.0</v>
      </c>
      <c r="BY162" s="39">
        <v>0.0</v>
      </c>
      <c r="BZ162" s="35" t="s">
        <v>7045</v>
      </c>
      <c r="CA162" s="30">
        <v>47027.0</v>
      </c>
      <c r="CB162" s="30">
        <v>47118.0</v>
      </c>
      <c r="CC162" s="39">
        <v>0.0</v>
      </c>
      <c r="CD162" s="39">
        <v>0.0</v>
      </c>
      <c r="CE162" s="35" t="s">
        <v>7045</v>
      </c>
      <c r="CF162" s="30">
        <v>47119.0</v>
      </c>
      <c r="CG162" s="30">
        <v>47208.0</v>
      </c>
      <c r="CH162" s="39">
        <v>0.0</v>
      </c>
      <c r="CI162" s="39">
        <v>0.0</v>
      </c>
      <c r="CJ162" s="35" t="s">
        <v>7045</v>
      </c>
      <c r="CK162" s="30">
        <v>47209.0</v>
      </c>
      <c r="CL162" s="30">
        <v>47299.0</v>
      </c>
      <c r="CM162" s="39">
        <v>0.0</v>
      </c>
      <c r="CN162" s="39">
        <v>0.0</v>
      </c>
      <c r="CO162" s="35" t="s">
        <v>7045</v>
      </c>
      <c r="CP162" s="30">
        <v>47300.0</v>
      </c>
      <c r="CQ162" s="30">
        <v>47391.0</v>
      </c>
      <c r="CR162" s="39">
        <v>0.0</v>
      </c>
      <c r="CS162" s="39">
        <v>0.0</v>
      </c>
      <c r="CT162" s="35" t="s">
        <v>7045</v>
      </c>
      <c r="CU162" s="30">
        <v>47392.0</v>
      </c>
      <c r="CV162" s="30">
        <v>47483.0</v>
      </c>
      <c r="CW162" s="39">
        <v>0.0</v>
      </c>
      <c r="CX162" s="39">
        <v>0.0</v>
      </c>
      <c r="CY162" s="35" t="s">
        <v>7045</v>
      </c>
      <c r="CZ162" s="30">
        <v>47484.0</v>
      </c>
      <c r="DA162" s="30">
        <v>47573.0</v>
      </c>
      <c r="DB162" s="39">
        <v>0.0</v>
      </c>
      <c r="DC162" s="39">
        <v>0.0</v>
      </c>
      <c r="DD162" s="35" t="s">
        <v>7045</v>
      </c>
      <c r="DE162" s="30">
        <v>47574.0</v>
      </c>
      <c r="DF162" s="30">
        <v>47664.0</v>
      </c>
      <c r="DG162" s="39">
        <v>0.0</v>
      </c>
      <c r="DH162" s="39">
        <v>0.0</v>
      </c>
      <c r="DI162" s="35" t="s">
        <v>7045</v>
      </c>
      <c r="DJ162" s="30">
        <v>47665.0</v>
      </c>
      <c r="DK162" s="30">
        <v>47756.0</v>
      </c>
      <c r="DL162" s="39">
        <v>0.0</v>
      </c>
      <c r="DM162" s="39">
        <v>0.0</v>
      </c>
      <c r="DN162" s="35" t="s">
        <v>7045</v>
      </c>
      <c r="DO162" s="30">
        <v>47757.0</v>
      </c>
      <c r="DP162" s="30">
        <v>47848.0</v>
      </c>
      <c r="DQ162" s="39">
        <v>0.0</v>
      </c>
      <c r="DR162" s="39">
        <v>0.0</v>
      </c>
      <c r="DS162" s="35" t="s">
        <v>7045</v>
      </c>
    </row>
    <row r="163" ht="14.25" customHeight="1">
      <c r="A163" s="28" t="s">
        <v>3163</v>
      </c>
      <c r="B163" s="29" t="s">
        <v>3164</v>
      </c>
      <c r="C163" s="29" t="s">
        <v>7041</v>
      </c>
      <c r="D163" s="30">
        <v>45658.0</v>
      </c>
      <c r="E163" s="30">
        <v>45747.0</v>
      </c>
      <c r="F163" s="36">
        <v>0.0</v>
      </c>
      <c r="G163" s="36">
        <v>0.0</v>
      </c>
      <c r="H163" s="35" t="s">
        <v>7045</v>
      </c>
      <c r="I163" s="30">
        <v>45748.0</v>
      </c>
      <c r="J163" s="30">
        <v>45838.0</v>
      </c>
      <c r="K163" s="36">
        <v>170.0</v>
      </c>
      <c r="L163" s="36">
        <v>166.67</v>
      </c>
      <c r="M163" s="38" t="s">
        <v>7047</v>
      </c>
      <c r="N163" s="30">
        <v>45839.0</v>
      </c>
      <c r="O163" s="30">
        <v>45930.0</v>
      </c>
      <c r="P163" s="36">
        <v>25.0</v>
      </c>
      <c r="Q163" s="36">
        <v>166.67</v>
      </c>
      <c r="R163" s="38" t="s">
        <v>7047</v>
      </c>
      <c r="S163" s="30">
        <v>45931.0</v>
      </c>
      <c r="T163" s="30">
        <v>46022.0</v>
      </c>
      <c r="U163" s="36">
        <v>375.0</v>
      </c>
      <c r="V163" s="36">
        <v>166.67</v>
      </c>
      <c r="W163" s="32" t="s">
        <v>7047</v>
      </c>
      <c r="X163" s="30">
        <v>46023.0</v>
      </c>
      <c r="Y163" s="30">
        <v>46112.0</v>
      </c>
      <c r="Z163" s="36">
        <v>0.0</v>
      </c>
      <c r="AA163" s="36">
        <v>0.0</v>
      </c>
      <c r="AB163" s="35" t="s">
        <v>7045</v>
      </c>
      <c r="AC163" s="30">
        <v>46113.0</v>
      </c>
      <c r="AD163" s="30">
        <v>46203.0</v>
      </c>
      <c r="AE163" s="36">
        <v>0.0</v>
      </c>
      <c r="AF163" s="36">
        <v>0.0</v>
      </c>
      <c r="AG163" s="35" t="s">
        <v>7045</v>
      </c>
      <c r="AH163" s="30">
        <v>46204.0</v>
      </c>
      <c r="AI163" s="30">
        <v>46295.0</v>
      </c>
      <c r="AJ163" s="36">
        <v>0.0</v>
      </c>
      <c r="AK163" s="36">
        <v>0.0</v>
      </c>
      <c r="AL163" s="35" t="s">
        <v>7045</v>
      </c>
      <c r="AM163" s="30">
        <v>46296.0</v>
      </c>
      <c r="AN163" s="30">
        <v>46387.0</v>
      </c>
      <c r="AO163" s="36">
        <v>0.0</v>
      </c>
      <c r="AP163" s="36">
        <v>0.0</v>
      </c>
      <c r="AQ163" s="35" t="s">
        <v>7045</v>
      </c>
      <c r="AR163" s="30">
        <v>46388.0</v>
      </c>
      <c r="AS163" s="30">
        <v>46477.0</v>
      </c>
      <c r="AT163" s="36">
        <v>0.0</v>
      </c>
      <c r="AU163" s="36">
        <v>0.0</v>
      </c>
      <c r="AV163" s="35" t="s">
        <v>7045</v>
      </c>
      <c r="AW163" s="30">
        <v>46478.0</v>
      </c>
      <c r="AX163" s="30">
        <v>46568.0</v>
      </c>
      <c r="AY163" s="36">
        <v>0.0</v>
      </c>
      <c r="AZ163" s="36">
        <v>0.0</v>
      </c>
      <c r="BA163" s="35" t="s">
        <v>7045</v>
      </c>
      <c r="BB163" s="30">
        <v>46569.0</v>
      </c>
      <c r="BC163" s="30">
        <v>46660.0</v>
      </c>
      <c r="BD163" s="36">
        <v>0.0</v>
      </c>
      <c r="BE163" s="36">
        <v>0.0</v>
      </c>
      <c r="BF163" s="35" t="s">
        <v>7045</v>
      </c>
      <c r="BG163" s="30">
        <v>46661.0</v>
      </c>
      <c r="BH163" s="30">
        <v>46752.0</v>
      </c>
      <c r="BI163" s="36">
        <v>0.0</v>
      </c>
      <c r="BJ163" s="36">
        <v>0.0</v>
      </c>
      <c r="BK163" s="35" t="s">
        <v>7045</v>
      </c>
      <c r="BL163" s="30">
        <v>46753.0</v>
      </c>
      <c r="BM163" s="30">
        <v>46843.0</v>
      </c>
      <c r="BN163" s="36">
        <v>0.0</v>
      </c>
      <c r="BO163" s="36">
        <v>0.0</v>
      </c>
      <c r="BP163" s="35" t="s">
        <v>7045</v>
      </c>
      <c r="BQ163" s="30">
        <v>46844.0</v>
      </c>
      <c r="BR163" s="30">
        <v>46934.0</v>
      </c>
      <c r="BS163" s="36">
        <v>0.0</v>
      </c>
      <c r="BT163" s="36">
        <v>0.0</v>
      </c>
      <c r="BU163" s="35" t="s">
        <v>7045</v>
      </c>
      <c r="BV163" s="30">
        <v>46935.0</v>
      </c>
      <c r="BW163" s="30">
        <v>47026.0</v>
      </c>
      <c r="BX163" s="36">
        <v>0.0</v>
      </c>
      <c r="BY163" s="36">
        <v>0.0</v>
      </c>
      <c r="BZ163" s="35" t="s">
        <v>7045</v>
      </c>
      <c r="CA163" s="30">
        <v>47027.0</v>
      </c>
      <c r="CB163" s="30">
        <v>47118.0</v>
      </c>
      <c r="CC163" s="36">
        <v>0.0</v>
      </c>
      <c r="CD163" s="36">
        <v>0.0</v>
      </c>
      <c r="CE163" s="35" t="s">
        <v>7045</v>
      </c>
      <c r="CF163" s="30">
        <v>47119.0</v>
      </c>
      <c r="CG163" s="30">
        <v>47208.0</v>
      </c>
      <c r="CH163" s="36">
        <v>0.0</v>
      </c>
      <c r="CI163" s="36">
        <v>0.0</v>
      </c>
      <c r="CJ163" s="35" t="s">
        <v>7045</v>
      </c>
      <c r="CK163" s="30">
        <v>47209.0</v>
      </c>
      <c r="CL163" s="30">
        <v>47299.0</v>
      </c>
      <c r="CM163" s="36">
        <v>0.0</v>
      </c>
      <c r="CN163" s="36">
        <v>0.0</v>
      </c>
      <c r="CO163" s="35" t="s">
        <v>7045</v>
      </c>
      <c r="CP163" s="30">
        <v>47300.0</v>
      </c>
      <c r="CQ163" s="30">
        <v>47391.0</v>
      </c>
      <c r="CR163" s="36">
        <v>0.0</v>
      </c>
      <c r="CS163" s="36">
        <v>0.0</v>
      </c>
      <c r="CT163" s="35" t="s">
        <v>7045</v>
      </c>
      <c r="CU163" s="30">
        <v>47392.0</v>
      </c>
      <c r="CV163" s="30">
        <v>47483.0</v>
      </c>
      <c r="CW163" s="36">
        <v>0.0</v>
      </c>
      <c r="CX163" s="36">
        <v>0.0</v>
      </c>
      <c r="CY163" s="35" t="s">
        <v>7045</v>
      </c>
      <c r="CZ163" s="30">
        <v>47484.0</v>
      </c>
      <c r="DA163" s="30">
        <v>47573.0</v>
      </c>
      <c r="DB163" s="36">
        <v>0.0</v>
      </c>
      <c r="DC163" s="36">
        <v>0.0</v>
      </c>
      <c r="DD163" s="35" t="s">
        <v>7045</v>
      </c>
      <c r="DE163" s="30">
        <v>47574.0</v>
      </c>
      <c r="DF163" s="30">
        <v>47664.0</v>
      </c>
      <c r="DG163" s="36">
        <v>0.0</v>
      </c>
      <c r="DH163" s="36">
        <v>0.0</v>
      </c>
      <c r="DI163" s="35" t="s">
        <v>7045</v>
      </c>
      <c r="DJ163" s="30">
        <v>47665.0</v>
      </c>
      <c r="DK163" s="30">
        <v>47756.0</v>
      </c>
      <c r="DL163" s="36">
        <v>0.0</v>
      </c>
      <c r="DM163" s="36">
        <v>0.0</v>
      </c>
      <c r="DN163" s="35" t="s">
        <v>7045</v>
      </c>
      <c r="DO163" s="30">
        <v>47757.0</v>
      </c>
      <c r="DP163" s="30">
        <v>47848.0</v>
      </c>
      <c r="DQ163" s="36">
        <v>0.0</v>
      </c>
      <c r="DR163" s="36">
        <v>0.0</v>
      </c>
      <c r="DS163" s="35" t="s">
        <v>7045</v>
      </c>
    </row>
    <row r="164" ht="14.25" customHeight="1">
      <c r="A164" s="28" t="s">
        <v>3176</v>
      </c>
      <c r="B164" s="29" t="s">
        <v>3177</v>
      </c>
      <c r="C164" s="29" t="s">
        <v>7041</v>
      </c>
      <c r="D164" s="30">
        <v>45658.0</v>
      </c>
      <c r="E164" s="30">
        <v>45747.0</v>
      </c>
      <c r="F164" s="39">
        <v>0.0</v>
      </c>
      <c r="G164" s="39">
        <v>0.0</v>
      </c>
      <c r="H164" s="35" t="s">
        <v>7045</v>
      </c>
      <c r="I164" s="30">
        <v>45748.0</v>
      </c>
      <c r="J164" s="30">
        <v>45838.0</v>
      </c>
      <c r="K164" s="39">
        <v>0.0</v>
      </c>
      <c r="L164" s="39">
        <v>0.0</v>
      </c>
      <c r="M164" s="35" t="s">
        <v>7045</v>
      </c>
      <c r="N164" s="30">
        <v>45839.0</v>
      </c>
      <c r="O164" s="30">
        <v>45930.0</v>
      </c>
      <c r="P164" s="39">
        <v>0.0</v>
      </c>
      <c r="Q164" s="39">
        <v>0.0</v>
      </c>
      <c r="R164" s="35" t="s">
        <v>7045</v>
      </c>
      <c r="S164" s="30">
        <v>45931.0</v>
      </c>
      <c r="T164" s="30">
        <v>46022.0</v>
      </c>
      <c r="U164" s="39">
        <v>0.0</v>
      </c>
      <c r="V164" s="39">
        <v>0.0</v>
      </c>
      <c r="W164" s="35" t="s">
        <v>7045</v>
      </c>
      <c r="X164" s="30">
        <v>46023.0</v>
      </c>
      <c r="Y164" s="30">
        <v>46112.0</v>
      </c>
      <c r="Z164" s="39">
        <v>0.0</v>
      </c>
      <c r="AA164" s="39">
        <v>0.0</v>
      </c>
      <c r="AB164" s="35" t="s">
        <v>7045</v>
      </c>
      <c r="AC164" s="30">
        <v>46113.0</v>
      </c>
      <c r="AD164" s="30">
        <v>46203.0</v>
      </c>
      <c r="AE164" s="39">
        <v>10.0</v>
      </c>
      <c r="AF164" s="39">
        <v>0.0</v>
      </c>
      <c r="AG164" s="38" t="s">
        <v>7047</v>
      </c>
      <c r="AH164" s="30">
        <v>46204.0</v>
      </c>
      <c r="AI164" s="30">
        <v>46295.0</v>
      </c>
      <c r="AJ164" s="39">
        <v>50.0</v>
      </c>
      <c r="AK164" s="39">
        <v>0.0</v>
      </c>
      <c r="AL164" s="38" t="s">
        <v>7047</v>
      </c>
      <c r="AM164" s="30">
        <v>46296.0</v>
      </c>
      <c r="AN164" s="30">
        <v>46387.0</v>
      </c>
      <c r="AO164" s="39">
        <v>0.0</v>
      </c>
      <c r="AP164" s="39">
        <v>0.0</v>
      </c>
      <c r="AQ164" s="35" t="s">
        <v>7045</v>
      </c>
      <c r="AR164" s="30">
        <v>46388.0</v>
      </c>
      <c r="AS164" s="30">
        <v>46477.0</v>
      </c>
      <c r="AT164" s="39">
        <v>0.0</v>
      </c>
      <c r="AU164" s="39">
        <v>0.0</v>
      </c>
      <c r="AV164" s="35" t="s">
        <v>7045</v>
      </c>
      <c r="AW164" s="30">
        <v>46478.0</v>
      </c>
      <c r="AX164" s="30">
        <v>46568.0</v>
      </c>
      <c r="AY164" s="39">
        <v>0.0</v>
      </c>
      <c r="AZ164" s="39">
        <v>0.0</v>
      </c>
      <c r="BA164" s="35" t="s">
        <v>7045</v>
      </c>
      <c r="BB164" s="30">
        <v>46569.0</v>
      </c>
      <c r="BC164" s="30">
        <v>46660.0</v>
      </c>
      <c r="BD164" s="39">
        <v>0.0</v>
      </c>
      <c r="BE164" s="39">
        <v>0.0</v>
      </c>
      <c r="BF164" s="35" t="s">
        <v>7045</v>
      </c>
      <c r="BG164" s="30">
        <v>46661.0</v>
      </c>
      <c r="BH164" s="30">
        <v>46752.0</v>
      </c>
      <c r="BI164" s="39">
        <v>0.0</v>
      </c>
      <c r="BJ164" s="39">
        <v>0.0</v>
      </c>
      <c r="BK164" s="35" t="s">
        <v>7045</v>
      </c>
      <c r="BL164" s="30">
        <v>46753.0</v>
      </c>
      <c r="BM164" s="30">
        <v>46843.0</v>
      </c>
      <c r="BN164" s="39">
        <v>0.0</v>
      </c>
      <c r="BO164" s="39">
        <v>0.0</v>
      </c>
      <c r="BP164" s="35" t="s">
        <v>7045</v>
      </c>
      <c r="BQ164" s="30">
        <v>46844.0</v>
      </c>
      <c r="BR164" s="30">
        <v>46934.0</v>
      </c>
      <c r="BS164" s="39">
        <v>0.0</v>
      </c>
      <c r="BT164" s="39">
        <v>0.0</v>
      </c>
      <c r="BU164" s="35" t="s">
        <v>7045</v>
      </c>
      <c r="BV164" s="30">
        <v>46935.0</v>
      </c>
      <c r="BW164" s="30">
        <v>47026.0</v>
      </c>
      <c r="BX164" s="39">
        <v>0.0</v>
      </c>
      <c r="BY164" s="39">
        <v>0.0</v>
      </c>
      <c r="BZ164" s="35" t="s">
        <v>7045</v>
      </c>
      <c r="CA164" s="30">
        <v>47027.0</v>
      </c>
      <c r="CB164" s="30">
        <v>47118.0</v>
      </c>
      <c r="CC164" s="39">
        <v>0.0</v>
      </c>
      <c r="CD164" s="39">
        <v>0.0</v>
      </c>
      <c r="CE164" s="35" t="s">
        <v>7045</v>
      </c>
      <c r="CF164" s="30">
        <v>47119.0</v>
      </c>
      <c r="CG164" s="30">
        <v>47208.0</v>
      </c>
      <c r="CH164" s="39">
        <v>0.0</v>
      </c>
      <c r="CI164" s="39">
        <v>0.0</v>
      </c>
      <c r="CJ164" s="35" t="s">
        <v>7045</v>
      </c>
      <c r="CK164" s="30">
        <v>47209.0</v>
      </c>
      <c r="CL164" s="30">
        <v>47299.0</v>
      </c>
      <c r="CM164" s="39">
        <v>0.0</v>
      </c>
      <c r="CN164" s="39">
        <v>0.0</v>
      </c>
      <c r="CO164" s="35" t="s">
        <v>7045</v>
      </c>
      <c r="CP164" s="30">
        <v>47300.0</v>
      </c>
      <c r="CQ164" s="30">
        <v>47391.0</v>
      </c>
      <c r="CR164" s="39">
        <v>0.0</v>
      </c>
      <c r="CS164" s="39">
        <v>0.0</v>
      </c>
      <c r="CT164" s="35" t="s">
        <v>7045</v>
      </c>
      <c r="CU164" s="30">
        <v>47392.0</v>
      </c>
      <c r="CV164" s="30">
        <v>47483.0</v>
      </c>
      <c r="CW164" s="39">
        <v>0.0</v>
      </c>
      <c r="CX164" s="39">
        <v>0.0</v>
      </c>
      <c r="CY164" s="35" t="s">
        <v>7045</v>
      </c>
      <c r="CZ164" s="30">
        <v>47484.0</v>
      </c>
      <c r="DA164" s="30">
        <v>47573.0</v>
      </c>
      <c r="DB164" s="39">
        <v>0.0</v>
      </c>
      <c r="DC164" s="39">
        <v>0.0</v>
      </c>
      <c r="DD164" s="35" t="s">
        <v>7045</v>
      </c>
      <c r="DE164" s="30">
        <v>47574.0</v>
      </c>
      <c r="DF164" s="30">
        <v>47664.0</v>
      </c>
      <c r="DG164" s="39">
        <v>0.0</v>
      </c>
      <c r="DH164" s="39">
        <v>0.0</v>
      </c>
      <c r="DI164" s="35" t="s">
        <v>7045</v>
      </c>
      <c r="DJ164" s="30">
        <v>47665.0</v>
      </c>
      <c r="DK164" s="30">
        <v>47756.0</v>
      </c>
      <c r="DL164" s="39">
        <v>0.0</v>
      </c>
      <c r="DM164" s="39">
        <v>0.0</v>
      </c>
      <c r="DN164" s="35" t="s">
        <v>7045</v>
      </c>
      <c r="DO164" s="30">
        <v>47757.0</v>
      </c>
      <c r="DP164" s="30">
        <v>47848.0</v>
      </c>
      <c r="DQ164" s="39">
        <v>0.0</v>
      </c>
      <c r="DR164" s="39">
        <v>0.0</v>
      </c>
      <c r="DS164" s="35" t="s">
        <v>7045</v>
      </c>
    </row>
    <row r="165" ht="14.25" customHeight="1">
      <c r="A165" s="28" t="s">
        <v>3268</v>
      </c>
      <c r="B165" s="29" t="s">
        <v>3269</v>
      </c>
      <c r="C165" s="29" t="s">
        <v>7041</v>
      </c>
      <c r="D165" s="30">
        <v>45658.0</v>
      </c>
      <c r="E165" s="30">
        <v>45747.0</v>
      </c>
      <c r="F165" s="39">
        <v>0.0</v>
      </c>
      <c r="G165" s="39">
        <v>0.0</v>
      </c>
      <c r="H165" s="35" t="s">
        <v>7045</v>
      </c>
      <c r="I165" s="30">
        <v>45748.0</v>
      </c>
      <c r="J165" s="30">
        <v>45838.0</v>
      </c>
      <c r="K165" s="39">
        <v>0.0</v>
      </c>
      <c r="L165" s="39">
        <v>0.0</v>
      </c>
      <c r="M165" s="35" t="s">
        <v>7045</v>
      </c>
      <c r="N165" s="30">
        <v>45839.0</v>
      </c>
      <c r="O165" s="30">
        <v>45930.0</v>
      </c>
      <c r="P165" s="39">
        <v>0.0</v>
      </c>
      <c r="Q165" s="39">
        <v>0.0</v>
      </c>
      <c r="R165" s="35" t="s">
        <v>7045</v>
      </c>
      <c r="S165" s="30">
        <v>45931.0</v>
      </c>
      <c r="T165" s="30">
        <v>46022.0</v>
      </c>
      <c r="U165" s="39">
        <v>0.0</v>
      </c>
      <c r="V165" s="39">
        <v>0.0</v>
      </c>
      <c r="W165" s="35" t="s">
        <v>7045</v>
      </c>
      <c r="X165" s="30">
        <v>46023.0</v>
      </c>
      <c r="Y165" s="30">
        <v>46112.0</v>
      </c>
      <c r="Z165" s="39">
        <v>0.0</v>
      </c>
      <c r="AA165" s="39">
        <v>0.0</v>
      </c>
      <c r="AB165" s="35" t="s">
        <v>7045</v>
      </c>
      <c r="AC165" s="30">
        <v>46113.0</v>
      </c>
      <c r="AD165" s="30">
        <v>46203.0</v>
      </c>
      <c r="AE165" s="39">
        <v>0.0</v>
      </c>
      <c r="AF165" s="39">
        <v>0.0</v>
      </c>
      <c r="AG165" s="35" t="s">
        <v>7045</v>
      </c>
      <c r="AH165" s="30">
        <v>46204.0</v>
      </c>
      <c r="AI165" s="30">
        <v>46295.0</v>
      </c>
      <c r="AJ165" s="39">
        <v>0.0</v>
      </c>
      <c r="AK165" s="39">
        <v>0.0</v>
      </c>
      <c r="AL165" s="35" t="s">
        <v>7045</v>
      </c>
      <c r="AM165" s="30">
        <v>46296.0</v>
      </c>
      <c r="AN165" s="30">
        <v>46387.0</v>
      </c>
      <c r="AO165" s="39">
        <v>0.0</v>
      </c>
      <c r="AP165" s="39">
        <v>0.0</v>
      </c>
      <c r="AQ165" s="35" t="s">
        <v>7045</v>
      </c>
      <c r="AR165" s="30">
        <v>46388.0</v>
      </c>
      <c r="AS165" s="30">
        <v>46477.0</v>
      </c>
      <c r="AT165" s="39">
        <v>0.0</v>
      </c>
      <c r="AU165" s="39">
        <v>0.0</v>
      </c>
      <c r="AV165" s="35" t="s">
        <v>7045</v>
      </c>
      <c r="AW165" s="30">
        <v>46478.0</v>
      </c>
      <c r="AX165" s="30">
        <v>46568.0</v>
      </c>
      <c r="AY165" s="39">
        <v>0.0</v>
      </c>
      <c r="AZ165" s="39">
        <v>0.0</v>
      </c>
      <c r="BA165" s="35" t="s">
        <v>7045</v>
      </c>
      <c r="BB165" s="30">
        <v>46569.0</v>
      </c>
      <c r="BC165" s="30">
        <v>46660.0</v>
      </c>
      <c r="BD165" s="39">
        <v>0.0</v>
      </c>
      <c r="BE165" s="39">
        <v>0.0</v>
      </c>
      <c r="BF165" s="35" t="s">
        <v>7045</v>
      </c>
      <c r="BG165" s="30">
        <v>46661.0</v>
      </c>
      <c r="BH165" s="30">
        <v>46752.0</v>
      </c>
      <c r="BI165" s="39">
        <v>0.0</v>
      </c>
      <c r="BJ165" s="39">
        <v>0.0</v>
      </c>
      <c r="BK165" s="35" t="s">
        <v>7045</v>
      </c>
      <c r="BL165" s="30">
        <v>46753.0</v>
      </c>
      <c r="BM165" s="30">
        <v>46843.0</v>
      </c>
      <c r="BN165" s="39">
        <v>0.0</v>
      </c>
      <c r="BO165" s="39">
        <v>0.0</v>
      </c>
      <c r="BP165" s="35" t="s">
        <v>7045</v>
      </c>
      <c r="BQ165" s="30">
        <v>46844.0</v>
      </c>
      <c r="BR165" s="30">
        <v>46934.0</v>
      </c>
      <c r="BS165" s="39">
        <v>0.0</v>
      </c>
      <c r="BT165" s="39">
        <v>0.0</v>
      </c>
      <c r="BU165" s="35" t="s">
        <v>7045</v>
      </c>
      <c r="BV165" s="30">
        <v>46935.0</v>
      </c>
      <c r="BW165" s="30">
        <v>47026.0</v>
      </c>
      <c r="BX165" s="39">
        <v>0.0</v>
      </c>
      <c r="BY165" s="39">
        <v>0.0</v>
      </c>
      <c r="BZ165" s="35" t="s">
        <v>7045</v>
      </c>
      <c r="CA165" s="30">
        <v>47027.0</v>
      </c>
      <c r="CB165" s="30">
        <v>47118.0</v>
      </c>
      <c r="CC165" s="39">
        <v>0.0</v>
      </c>
      <c r="CD165" s="39">
        <v>0.0</v>
      </c>
      <c r="CE165" s="35" t="s">
        <v>7045</v>
      </c>
      <c r="CF165" s="30">
        <v>47119.0</v>
      </c>
      <c r="CG165" s="30">
        <v>47208.0</v>
      </c>
      <c r="CH165" s="39">
        <v>0.0</v>
      </c>
      <c r="CI165" s="39">
        <v>0.0</v>
      </c>
      <c r="CJ165" s="35" t="s">
        <v>7045</v>
      </c>
      <c r="CK165" s="30">
        <v>47209.0</v>
      </c>
      <c r="CL165" s="30">
        <v>47299.0</v>
      </c>
      <c r="CM165" s="39">
        <v>0.0</v>
      </c>
      <c r="CN165" s="39">
        <v>0.0</v>
      </c>
      <c r="CO165" s="35" t="s">
        <v>7045</v>
      </c>
      <c r="CP165" s="30">
        <v>47300.0</v>
      </c>
      <c r="CQ165" s="30">
        <v>47391.0</v>
      </c>
      <c r="CR165" s="39">
        <v>0.0</v>
      </c>
      <c r="CS165" s="39">
        <v>0.0</v>
      </c>
      <c r="CT165" s="35" t="s">
        <v>7045</v>
      </c>
      <c r="CU165" s="30">
        <v>47392.0</v>
      </c>
      <c r="CV165" s="30">
        <v>47483.0</v>
      </c>
      <c r="CW165" s="39">
        <v>0.0</v>
      </c>
      <c r="CX165" s="39">
        <v>0.0</v>
      </c>
      <c r="CY165" s="35" t="s">
        <v>7045</v>
      </c>
      <c r="CZ165" s="30">
        <v>47484.0</v>
      </c>
      <c r="DA165" s="30">
        <v>47573.0</v>
      </c>
      <c r="DB165" s="39">
        <v>0.0</v>
      </c>
      <c r="DC165" s="39">
        <v>0.0</v>
      </c>
      <c r="DD165" s="35" t="s">
        <v>7045</v>
      </c>
      <c r="DE165" s="30">
        <v>47574.0</v>
      </c>
      <c r="DF165" s="30">
        <v>47664.0</v>
      </c>
      <c r="DG165" s="39">
        <v>0.0</v>
      </c>
      <c r="DH165" s="39">
        <v>0.0</v>
      </c>
      <c r="DI165" s="35" t="s">
        <v>7045</v>
      </c>
      <c r="DJ165" s="30">
        <v>47665.0</v>
      </c>
      <c r="DK165" s="30">
        <v>47756.0</v>
      </c>
      <c r="DL165" s="39">
        <v>0.0</v>
      </c>
      <c r="DM165" s="39">
        <v>0.0</v>
      </c>
      <c r="DN165" s="35" t="s">
        <v>7045</v>
      </c>
      <c r="DO165" s="30">
        <v>47757.0</v>
      </c>
      <c r="DP165" s="30">
        <v>47848.0</v>
      </c>
      <c r="DQ165" s="39">
        <v>0.0</v>
      </c>
      <c r="DR165" s="39">
        <v>0.0</v>
      </c>
      <c r="DS165" s="35" t="s">
        <v>7045</v>
      </c>
    </row>
    <row r="166" ht="14.25" customHeight="1">
      <c r="A166" s="28" t="s">
        <v>3357</v>
      </c>
      <c r="B166" s="29" t="s">
        <v>3358</v>
      </c>
      <c r="C166" s="29" t="s">
        <v>7041</v>
      </c>
      <c r="D166" s="30">
        <v>45658.0</v>
      </c>
      <c r="E166" s="30">
        <v>45747.0</v>
      </c>
      <c r="F166" s="39">
        <v>8.0</v>
      </c>
      <c r="G166" s="39">
        <v>0.0</v>
      </c>
      <c r="H166" s="38" t="s">
        <v>7047</v>
      </c>
      <c r="I166" s="30">
        <v>45748.0</v>
      </c>
      <c r="J166" s="30">
        <v>45838.0</v>
      </c>
      <c r="K166" s="39">
        <v>5.0</v>
      </c>
      <c r="L166" s="39">
        <v>0.0</v>
      </c>
      <c r="M166" s="38" t="s">
        <v>7047</v>
      </c>
      <c r="N166" s="30">
        <v>45839.0</v>
      </c>
      <c r="O166" s="30">
        <v>45930.0</v>
      </c>
      <c r="P166" s="39">
        <v>33.0</v>
      </c>
      <c r="Q166" s="39">
        <v>0.0</v>
      </c>
      <c r="R166" s="38" t="s">
        <v>7047</v>
      </c>
      <c r="S166" s="30">
        <v>45931.0</v>
      </c>
      <c r="T166" s="30">
        <v>46022.0</v>
      </c>
      <c r="U166" s="39">
        <v>236.0</v>
      </c>
      <c r="V166" s="39">
        <v>0.0</v>
      </c>
      <c r="W166" s="38" t="s">
        <v>7047</v>
      </c>
      <c r="X166" s="30">
        <v>46023.0</v>
      </c>
      <c r="Y166" s="30">
        <v>46112.0</v>
      </c>
      <c r="Z166" s="39">
        <v>0.0</v>
      </c>
      <c r="AA166" s="39">
        <v>0.0</v>
      </c>
      <c r="AB166" s="35" t="s">
        <v>7045</v>
      </c>
      <c r="AC166" s="30">
        <v>46113.0</v>
      </c>
      <c r="AD166" s="30">
        <v>46203.0</v>
      </c>
      <c r="AE166" s="39">
        <v>0.0</v>
      </c>
      <c r="AF166" s="39">
        <v>0.0</v>
      </c>
      <c r="AG166" s="35" t="s">
        <v>7045</v>
      </c>
      <c r="AH166" s="30">
        <v>46204.0</v>
      </c>
      <c r="AI166" s="30">
        <v>46295.0</v>
      </c>
      <c r="AJ166" s="39">
        <v>0.0</v>
      </c>
      <c r="AK166" s="39">
        <v>0.0</v>
      </c>
      <c r="AL166" s="35" t="s">
        <v>7045</v>
      </c>
      <c r="AM166" s="30">
        <v>46296.0</v>
      </c>
      <c r="AN166" s="30">
        <v>46387.0</v>
      </c>
      <c r="AO166" s="39">
        <v>0.0</v>
      </c>
      <c r="AP166" s="39">
        <v>0.0</v>
      </c>
      <c r="AQ166" s="35" t="s">
        <v>7045</v>
      </c>
      <c r="AR166" s="30">
        <v>46388.0</v>
      </c>
      <c r="AS166" s="30">
        <v>46477.0</v>
      </c>
      <c r="AT166" s="39">
        <v>0.0</v>
      </c>
      <c r="AU166" s="39">
        <v>0.0</v>
      </c>
      <c r="AV166" s="35" t="s">
        <v>7045</v>
      </c>
      <c r="AW166" s="30">
        <v>46478.0</v>
      </c>
      <c r="AX166" s="30">
        <v>46568.0</v>
      </c>
      <c r="AY166" s="39">
        <v>0.0</v>
      </c>
      <c r="AZ166" s="39">
        <v>0.0</v>
      </c>
      <c r="BA166" s="35" t="s">
        <v>7045</v>
      </c>
      <c r="BB166" s="30">
        <v>46569.0</v>
      </c>
      <c r="BC166" s="30">
        <v>46660.0</v>
      </c>
      <c r="BD166" s="39">
        <v>0.0</v>
      </c>
      <c r="BE166" s="39">
        <v>0.0</v>
      </c>
      <c r="BF166" s="35" t="s">
        <v>7045</v>
      </c>
      <c r="BG166" s="30">
        <v>46661.0</v>
      </c>
      <c r="BH166" s="30">
        <v>46752.0</v>
      </c>
      <c r="BI166" s="39">
        <v>0.0</v>
      </c>
      <c r="BJ166" s="39">
        <v>0.0</v>
      </c>
      <c r="BK166" s="35" t="s">
        <v>7045</v>
      </c>
      <c r="BL166" s="30">
        <v>46753.0</v>
      </c>
      <c r="BM166" s="30">
        <v>46843.0</v>
      </c>
      <c r="BN166" s="39">
        <v>0.0</v>
      </c>
      <c r="BO166" s="39">
        <v>0.0</v>
      </c>
      <c r="BP166" s="35" t="s">
        <v>7045</v>
      </c>
      <c r="BQ166" s="30">
        <v>46844.0</v>
      </c>
      <c r="BR166" s="30">
        <v>46934.0</v>
      </c>
      <c r="BS166" s="39">
        <v>0.0</v>
      </c>
      <c r="BT166" s="39">
        <v>0.0</v>
      </c>
      <c r="BU166" s="35" t="s">
        <v>7045</v>
      </c>
      <c r="BV166" s="30">
        <v>46935.0</v>
      </c>
      <c r="BW166" s="30">
        <v>47026.0</v>
      </c>
      <c r="BX166" s="39">
        <v>0.0</v>
      </c>
      <c r="BY166" s="39">
        <v>0.0</v>
      </c>
      <c r="BZ166" s="35" t="s">
        <v>7045</v>
      </c>
      <c r="CA166" s="30">
        <v>47027.0</v>
      </c>
      <c r="CB166" s="30">
        <v>47118.0</v>
      </c>
      <c r="CC166" s="39">
        <v>0.0</v>
      </c>
      <c r="CD166" s="39">
        <v>0.0</v>
      </c>
      <c r="CE166" s="35" t="s">
        <v>7045</v>
      </c>
      <c r="CF166" s="30">
        <v>47119.0</v>
      </c>
      <c r="CG166" s="30">
        <v>47208.0</v>
      </c>
      <c r="CH166" s="39">
        <v>0.0</v>
      </c>
      <c r="CI166" s="39">
        <v>0.0</v>
      </c>
      <c r="CJ166" s="35" t="s">
        <v>7045</v>
      </c>
      <c r="CK166" s="30">
        <v>47209.0</v>
      </c>
      <c r="CL166" s="30">
        <v>47299.0</v>
      </c>
      <c r="CM166" s="39">
        <v>0.0</v>
      </c>
      <c r="CN166" s="39">
        <v>0.0</v>
      </c>
      <c r="CO166" s="35" t="s">
        <v>7045</v>
      </c>
      <c r="CP166" s="30">
        <v>47300.0</v>
      </c>
      <c r="CQ166" s="30">
        <v>47391.0</v>
      </c>
      <c r="CR166" s="39">
        <v>0.0</v>
      </c>
      <c r="CS166" s="39">
        <v>0.0</v>
      </c>
      <c r="CT166" s="35" t="s">
        <v>7045</v>
      </c>
      <c r="CU166" s="30">
        <v>47392.0</v>
      </c>
      <c r="CV166" s="30">
        <v>47483.0</v>
      </c>
      <c r="CW166" s="39">
        <v>0.0</v>
      </c>
      <c r="CX166" s="39">
        <v>0.0</v>
      </c>
      <c r="CY166" s="35" t="s">
        <v>7045</v>
      </c>
      <c r="CZ166" s="30">
        <v>47484.0</v>
      </c>
      <c r="DA166" s="30">
        <v>47573.0</v>
      </c>
      <c r="DB166" s="39">
        <v>0.0</v>
      </c>
      <c r="DC166" s="39">
        <v>0.0</v>
      </c>
      <c r="DD166" s="35" t="s">
        <v>7045</v>
      </c>
      <c r="DE166" s="30">
        <v>47574.0</v>
      </c>
      <c r="DF166" s="30">
        <v>47664.0</v>
      </c>
      <c r="DG166" s="39">
        <v>0.0</v>
      </c>
      <c r="DH166" s="39">
        <v>0.0</v>
      </c>
      <c r="DI166" s="35" t="s">
        <v>7045</v>
      </c>
      <c r="DJ166" s="30">
        <v>47665.0</v>
      </c>
      <c r="DK166" s="30">
        <v>47756.0</v>
      </c>
      <c r="DL166" s="39">
        <v>0.0</v>
      </c>
      <c r="DM166" s="39">
        <v>0.0</v>
      </c>
      <c r="DN166" s="35" t="s">
        <v>7045</v>
      </c>
      <c r="DO166" s="30">
        <v>47757.0</v>
      </c>
      <c r="DP166" s="30">
        <v>47848.0</v>
      </c>
      <c r="DQ166" s="39">
        <v>0.0</v>
      </c>
      <c r="DR166" s="39">
        <v>0.0</v>
      </c>
      <c r="DS166" s="35" t="s">
        <v>7045</v>
      </c>
    </row>
    <row r="167" ht="14.25" customHeight="1">
      <c r="A167" s="28" t="s">
        <v>3392</v>
      </c>
      <c r="B167" s="29" t="s">
        <v>3393</v>
      </c>
      <c r="C167" s="29" t="s">
        <v>7041</v>
      </c>
      <c r="D167" s="30">
        <v>45658.0</v>
      </c>
      <c r="E167" s="30">
        <v>45747.0</v>
      </c>
      <c r="F167" s="39">
        <v>0.0</v>
      </c>
      <c r="G167" s="39">
        <v>0.0</v>
      </c>
      <c r="H167" s="35" t="s">
        <v>7045</v>
      </c>
      <c r="I167" s="30">
        <v>45748.0</v>
      </c>
      <c r="J167" s="30">
        <v>45838.0</v>
      </c>
      <c r="K167" s="39">
        <v>0.0</v>
      </c>
      <c r="L167" s="39">
        <v>666.67</v>
      </c>
      <c r="M167" s="32" t="s">
        <v>7043</v>
      </c>
      <c r="N167" s="30">
        <v>45839.0</v>
      </c>
      <c r="O167" s="30">
        <v>45930.0</v>
      </c>
      <c r="P167" s="39">
        <v>0.0</v>
      </c>
      <c r="Q167" s="39">
        <v>1000.0</v>
      </c>
      <c r="R167" s="32" t="s">
        <v>7043</v>
      </c>
      <c r="S167" s="30">
        <v>45931.0</v>
      </c>
      <c r="T167" s="30">
        <v>46022.0</v>
      </c>
      <c r="U167" s="39">
        <v>0.0</v>
      </c>
      <c r="V167" s="39">
        <v>1000.0</v>
      </c>
      <c r="W167" s="32" t="s">
        <v>7043</v>
      </c>
      <c r="X167" s="30">
        <v>46023.0</v>
      </c>
      <c r="Y167" s="30">
        <v>46112.0</v>
      </c>
      <c r="Z167" s="39">
        <v>0.0</v>
      </c>
      <c r="AA167" s="39">
        <v>0.0</v>
      </c>
      <c r="AB167" s="35" t="s">
        <v>7045</v>
      </c>
      <c r="AC167" s="30">
        <v>46113.0</v>
      </c>
      <c r="AD167" s="30">
        <v>46203.0</v>
      </c>
      <c r="AE167" s="39">
        <v>0.0</v>
      </c>
      <c r="AF167" s="39">
        <v>0.0</v>
      </c>
      <c r="AG167" s="35" t="s">
        <v>7045</v>
      </c>
      <c r="AH167" s="30">
        <v>46204.0</v>
      </c>
      <c r="AI167" s="30">
        <v>46295.0</v>
      </c>
      <c r="AJ167" s="39">
        <v>0.0</v>
      </c>
      <c r="AK167" s="39">
        <v>0.0</v>
      </c>
      <c r="AL167" s="35" t="s">
        <v>7045</v>
      </c>
      <c r="AM167" s="30">
        <v>46296.0</v>
      </c>
      <c r="AN167" s="30">
        <v>46387.0</v>
      </c>
      <c r="AO167" s="39">
        <v>0.0</v>
      </c>
      <c r="AP167" s="39">
        <v>0.0</v>
      </c>
      <c r="AQ167" s="35" t="s">
        <v>7045</v>
      </c>
      <c r="AR167" s="30">
        <v>46388.0</v>
      </c>
      <c r="AS167" s="30">
        <v>46477.0</v>
      </c>
      <c r="AT167" s="39">
        <v>0.0</v>
      </c>
      <c r="AU167" s="39">
        <v>0.0</v>
      </c>
      <c r="AV167" s="35" t="s">
        <v>7045</v>
      </c>
      <c r="AW167" s="30">
        <v>46478.0</v>
      </c>
      <c r="AX167" s="30">
        <v>46568.0</v>
      </c>
      <c r="AY167" s="39">
        <v>0.0</v>
      </c>
      <c r="AZ167" s="39">
        <v>0.0</v>
      </c>
      <c r="BA167" s="35" t="s">
        <v>7045</v>
      </c>
      <c r="BB167" s="30">
        <v>46569.0</v>
      </c>
      <c r="BC167" s="30">
        <v>46660.0</v>
      </c>
      <c r="BD167" s="39">
        <v>0.0</v>
      </c>
      <c r="BE167" s="39">
        <v>0.0</v>
      </c>
      <c r="BF167" s="35" t="s">
        <v>7045</v>
      </c>
      <c r="BG167" s="30">
        <v>46661.0</v>
      </c>
      <c r="BH167" s="30">
        <v>46752.0</v>
      </c>
      <c r="BI167" s="39">
        <v>0.0</v>
      </c>
      <c r="BJ167" s="39">
        <v>0.0</v>
      </c>
      <c r="BK167" s="35" t="s">
        <v>7045</v>
      </c>
      <c r="BL167" s="30">
        <v>46753.0</v>
      </c>
      <c r="BM167" s="30">
        <v>46843.0</v>
      </c>
      <c r="BN167" s="39">
        <v>0.0</v>
      </c>
      <c r="BO167" s="39">
        <v>0.0</v>
      </c>
      <c r="BP167" s="35" t="s">
        <v>7045</v>
      </c>
      <c r="BQ167" s="30">
        <v>46844.0</v>
      </c>
      <c r="BR167" s="30">
        <v>46934.0</v>
      </c>
      <c r="BS167" s="39">
        <v>0.0</v>
      </c>
      <c r="BT167" s="39">
        <v>0.0</v>
      </c>
      <c r="BU167" s="35" t="s">
        <v>7045</v>
      </c>
      <c r="BV167" s="30">
        <v>46935.0</v>
      </c>
      <c r="BW167" s="30">
        <v>47026.0</v>
      </c>
      <c r="BX167" s="39">
        <v>0.0</v>
      </c>
      <c r="BY167" s="39">
        <v>0.0</v>
      </c>
      <c r="BZ167" s="35" t="s">
        <v>7045</v>
      </c>
      <c r="CA167" s="30">
        <v>47027.0</v>
      </c>
      <c r="CB167" s="30">
        <v>47118.0</v>
      </c>
      <c r="CC167" s="39">
        <v>0.0</v>
      </c>
      <c r="CD167" s="39">
        <v>0.0</v>
      </c>
      <c r="CE167" s="35" t="s">
        <v>7045</v>
      </c>
      <c r="CF167" s="30">
        <v>47119.0</v>
      </c>
      <c r="CG167" s="30">
        <v>47208.0</v>
      </c>
      <c r="CH167" s="39">
        <v>0.0</v>
      </c>
      <c r="CI167" s="39">
        <v>0.0</v>
      </c>
      <c r="CJ167" s="35" t="s">
        <v>7045</v>
      </c>
      <c r="CK167" s="30">
        <v>47209.0</v>
      </c>
      <c r="CL167" s="30">
        <v>47299.0</v>
      </c>
      <c r="CM167" s="39">
        <v>0.0</v>
      </c>
      <c r="CN167" s="39">
        <v>0.0</v>
      </c>
      <c r="CO167" s="35" t="s">
        <v>7045</v>
      </c>
      <c r="CP167" s="30">
        <v>47300.0</v>
      </c>
      <c r="CQ167" s="30">
        <v>47391.0</v>
      </c>
      <c r="CR167" s="39">
        <v>0.0</v>
      </c>
      <c r="CS167" s="39">
        <v>0.0</v>
      </c>
      <c r="CT167" s="35" t="s">
        <v>7045</v>
      </c>
      <c r="CU167" s="30">
        <v>47392.0</v>
      </c>
      <c r="CV167" s="30">
        <v>47483.0</v>
      </c>
      <c r="CW167" s="39">
        <v>0.0</v>
      </c>
      <c r="CX167" s="39">
        <v>0.0</v>
      </c>
      <c r="CY167" s="35" t="s">
        <v>7045</v>
      </c>
      <c r="CZ167" s="30">
        <v>47484.0</v>
      </c>
      <c r="DA167" s="30">
        <v>47573.0</v>
      </c>
      <c r="DB167" s="39">
        <v>0.0</v>
      </c>
      <c r="DC167" s="39">
        <v>0.0</v>
      </c>
      <c r="DD167" s="35" t="s">
        <v>7045</v>
      </c>
      <c r="DE167" s="30">
        <v>47574.0</v>
      </c>
      <c r="DF167" s="30">
        <v>47664.0</v>
      </c>
      <c r="DG167" s="39">
        <v>0.0</v>
      </c>
      <c r="DH167" s="39">
        <v>0.0</v>
      </c>
      <c r="DI167" s="35" t="s">
        <v>7045</v>
      </c>
      <c r="DJ167" s="30">
        <v>47665.0</v>
      </c>
      <c r="DK167" s="30">
        <v>47756.0</v>
      </c>
      <c r="DL167" s="39">
        <v>0.0</v>
      </c>
      <c r="DM167" s="39">
        <v>0.0</v>
      </c>
      <c r="DN167" s="35" t="s">
        <v>7045</v>
      </c>
      <c r="DO167" s="30">
        <v>47757.0</v>
      </c>
      <c r="DP167" s="30">
        <v>47848.0</v>
      </c>
      <c r="DQ167" s="39">
        <v>0.0</v>
      </c>
      <c r="DR167" s="39">
        <v>0.0</v>
      </c>
      <c r="DS167" s="35" t="s">
        <v>7045</v>
      </c>
    </row>
    <row r="168" ht="14.25" customHeight="1">
      <c r="A168" s="28" t="s">
        <v>3413</v>
      </c>
      <c r="B168" s="29" t="s">
        <v>3414</v>
      </c>
      <c r="C168" s="29" t="s">
        <v>7041</v>
      </c>
      <c r="D168" s="30">
        <v>45658.0</v>
      </c>
      <c r="E168" s="30">
        <v>45747.0</v>
      </c>
      <c r="F168" s="36">
        <v>30.0</v>
      </c>
      <c r="G168" s="36">
        <v>0.0</v>
      </c>
      <c r="H168" s="38" t="s">
        <v>7047</v>
      </c>
      <c r="I168" s="30">
        <v>45748.0</v>
      </c>
      <c r="J168" s="30">
        <v>45838.0</v>
      </c>
      <c r="K168" s="36">
        <v>20.0</v>
      </c>
      <c r="L168" s="36">
        <v>353.31</v>
      </c>
      <c r="M168" s="32" t="s">
        <v>7043</v>
      </c>
      <c r="N168" s="30">
        <v>45839.0</v>
      </c>
      <c r="O168" s="30">
        <v>45930.0</v>
      </c>
      <c r="P168" s="36">
        <v>131.35</v>
      </c>
      <c r="Q168" s="36">
        <v>643.34</v>
      </c>
      <c r="R168" s="38" t="s">
        <v>7047</v>
      </c>
      <c r="S168" s="30">
        <v>45931.0</v>
      </c>
      <c r="T168" s="30">
        <v>46022.0</v>
      </c>
      <c r="U168" s="36">
        <v>1847.85</v>
      </c>
      <c r="V168" s="36">
        <v>576.64</v>
      </c>
      <c r="W168" s="38" t="s">
        <v>7047</v>
      </c>
      <c r="X168" s="30">
        <v>46023.0</v>
      </c>
      <c r="Y168" s="30">
        <v>46112.0</v>
      </c>
      <c r="Z168" s="36">
        <v>100.0</v>
      </c>
      <c r="AA168" s="36">
        <v>0.0</v>
      </c>
      <c r="AB168" s="35" t="s">
        <v>7047</v>
      </c>
      <c r="AC168" s="30">
        <v>46113.0</v>
      </c>
      <c r="AD168" s="30">
        <v>46203.0</v>
      </c>
      <c r="AE168" s="36">
        <v>0.0</v>
      </c>
      <c r="AF168" s="36">
        <v>0.0</v>
      </c>
      <c r="AG168" s="35" t="s">
        <v>7045</v>
      </c>
      <c r="AH168" s="30">
        <v>46204.0</v>
      </c>
      <c r="AI168" s="30">
        <v>46295.0</v>
      </c>
      <c r="AJ168" s="36">
        <v>0.0</v>
      </c>
      <c r="AK168" s="36">
        <v>0.0</v>
      </c>
      <c r="AL168" s="35" t="s">
        <v>7045</v>
      </c>
      <c r="AM168" s="30">
        <v>46296.0</v>
      </c>
      <c r="AN168" s="30">
        <v>46387.0</v>
      </c>
      <c r="AO168" s="36">
        <v>0.0</v>
      </c>
      <c r="AP168" s="36">
        <v>0.0</v>
      </c>
      <c r="AQ168" s="35" t="s">
        <v>7045</v>
      </c>
      <c r="AR168" s="30">
        <v>46388.0</v>
      </c>
      <c r="AS168" s="30">
        <v>46477.0</v>
      </c>
      <c r="AT168" s="36">
        <v>0.0</v>
      </c>
      <c r="AU168" s="36">
        <v>0.0</v>
      </c>
      <c r="AV168" s="35" t="s">
        <v>7045</v>
      </c>
      <c r="AW168" s="30">
        <v>46478.0</v>
      </c>
      <c r="AX168" s="30">
        <v>46568.0</v>
      </c>
      <c r="AY168" s="36">
        <v>0.0</v>
      </c>
      <c r="AZ168" s="36">
        <v>0.0</v>
      </c>
      <c r="BA168" s="35" t="s">
        <v>7045</v>
      </c>
      <c r="BB168" s="30">
        <v>46569.0</v>
      </c>
      <c r="BC168" s="30">
        <v>46660.0</v>
      </c>
      <c r="BD168" s="36">
        <v>0.0</v>
      </c>
      <c r="BE168" s="36">
        <v>0.0</v>
      </c>
      <c r="BF168" s="35" t="s">
        <v>7045</v>
      </c>
      <c r="BG168" s="30">
        <v>46661.0</v>
      </c>
      <c r="BH168" s="30">
        <v>46752.0</v>
      </c>
      <c r="BI168" s="36">
        <v>0.0</v>
      </c>
      <c r="BJ168" s="36">
        <v>0.0</v>
      </c>
      <c r="BK168" s="35" t="s">
        <v>7045</v>
      </c>
      <c r="BL168" s="30">
        <v>46753.0</v>
      </c>
      <c r="BM168" s="30">
        <v>46843.0</v>
      </c>
      <c r="BN168" s="36">
        <v>0.0</v>
      </c>
      <c r="BO168" s="36">
        <v>0.0</v>
      </c>
      <c r="BP168" s="35" t="s">
        <v>7045</v>
      </c>
      <c r="BQ168" s="30">
        <v>46844.0</v>
      </c>
      <c r="BR168" s="30">
        <v>46934.0</v>
      </c>
      <c r="BS168" s="36">
        <v>0.0</v>
      </c>
      <c r="BT168" s="36">
        <v>0.0</v>
      </c>
      <c r="BU168" s="35" t="s">
        <v>7045</v>
      </c>
      <c r="BV168" s="30">
        <v>46935.0</v>
      </c>
      <c r="BW168" s="30">
        <v>47026.0</v>
      </c>
      <c r="BX168" s="36">
        <v>0.0</v>
      </c>
      <c r="BY168" s="36">
        <v>0.0</v>
      </c>
      <c r="BZ168" s="35" t="s">
        <v>7045</v>
      </c>
      <c r="CA168" s="30">
        <v>47027.0</v>
      </c>
      <c r="CB168" s="30">
        <v>47118.0</v>
      </c>
      <c r="CC168" s="36">
        <v>0.0</v>
      </c>
      <c r="CD168" s="36">
        <v>0.0</v>
      </c>
      <c r="CE168" s="35" t="s">
        <v>7045</v>
      </c>
      <c r="CF168" s="30">
        <v>47119.0</v>
      </c>
      <c r="CG168" s="30">
        <v>47208.0</v>
      </c>
      <c r="CH168" s="36">
        <v>0.0</v>
      </c>
      <c r="CI168" s="36">
        <v>0.0</v>
      </c>
      <c r="CJ168" s="35" t="s">
        <v>7045</v>
      </c>
      <c r="CK168" s="30">
        <v>47209.0</v>
      </c>
      <c r="CL168" s="30">
        <v>47299.0</v>
      </c>
      <c r="CM168" s="36">
        <v>0.0</v>
      </c>
      <c r="CN168" s="36">
        <v>0.0</v>
      </c>
      <c r="CO168" s="35" t="s">
        <v>7045</v>
      </c>
      <c r="CP168" s="30">
        <v>47300.0</v>
      </c>
      <c r="CQ168" s="30">
        <v>47391.0</v>
      </c>
      <c r="CR168" s="36">
        <v>0.0</v>
      </c>
      <c r="CS168" s="36">
        <v>0.0</v>
      </c>
      <c r="CT168" s="35" t="s">
        <v>7045</v>
      </c>
      <c r="CU168" s="30">
        <v>47392.0</v>
      </c>
      <c r="CV168" s="30">
        <v>47483.0</v>
      </c>
      <c r="CW168" s="36">
        <v>0.0</v>
      </c>
      <c r="CX168" s="36">
        <v>0.0</v>
      </c>
      <c r="CY168" s="35" t="s">
        <v>7045</v>
      </c>
      <c r="CZ168" s="30">
        <v>47484.0</v>
      </c>
      <c r="DA168" s="30">
        <v>47573.0</v>
      </c>
      <c r="DB168" s="36">
        <v>0.0</v>
      </c>
      <c r="DC168" s="36">
        <v>0.0</v>
      </c>
      <c r="DD168" s="35" t="s">
        <v>7045</v>
      </c>
      <c r="DE168" s="30">
        <v>47574.0</v>
      </c>
      <c r="DF168" s="30">
        <v>47664.0</v>
      </c>
      <c r="DG168" s="36">
        <v>0.0</v>
      </c>
      <c r="DH168" s="36">
        <v>0.0</v>
      </c>
      <c r="DI168" s="35" t="s">
        <v>7045</v>
      </c>
      <c r="DJ168" s="30">
        <v>47665.0</v>
      </c>
      <c r="DK168" s="30">
        <v>47756.0</v>
      </c>
      <c r="DL168" s="36">
        <v>0.0</v>
      </c>
      <c r="DM168" s="36">
        <v>0.0</v>
      </c>
      <c r="DN168" s="35" t="s">
        <v>7045</v>
      </c>
      <c r="DO168" s="30">
        <v>47757.0</v>
      </c>
      <c r="DP168" s="30">
        <v>47848.0</v>
      </c>
      <c r="DQ168" s="36">
        <v>0.0</v>
      </c>
      <c r="DR168" s="36">
        <v>0.0</v>
      </c>
      <c r="DS168" s="35" t="s">
        <v>7045</v>
      </c>
    </row>
    <row r="169" ht="14.25" customHeight="1">
      <c r="A169" s="28" t="s">
        <v>3564</v>
      </c>
      <c r="B169" s="29" t="s">
        <v>3565</v>
      </c>
      <c r="C169" s="29" t="s">
        <v>7044</v>
      </c>
      <c r="D169" s="30">
        <v>45658.0</v>
      </c>
      <c r="E169" s="30">
        <v>45747.0</v>
      </c>
      <c r="F169" s="36">
        <v>0.0</v>
      </c>
      <c r="G169" s="36">
        <v>0.0</v>
      </c>
      <c r="H169" s="35" t="s">
        <v>7045</v>
      </c>
      <c r="I169" s="30">
        <v>45748.0</v>
      </c>
      <c r="J169" s="30">
        <v>45838.0</v>
      </c>
      <c r="K169" s="36">
        <v>0.0</v>
      </c>
      <c r="L169" s="36">
        <v>0.0</v>
      </c>
      <c r="M169" s="35" t="s">
        <v>7045</v>
      </c>
      <c r="N169" s="30">
        <v>45839.0</v>
      </c>
      <c r="O169" s="30">
        <v>45930.0</v>
      </c>
      <c r="P169" s="36">
        <v>0.0</v>
      </c>
      <c r="Q169" s="36">
        <v>0.0</v>
      </c>
      <c r="R169" s="35" t="s">
        <v>7045</v>
      </c>
      <c r="S169" s="30">
        <v>45931.0</v>
      </c>
      <c r="T169" s="30">
        <v>46022.0</v>
      </c>
      <c r="U169" s="36">
        <v>0.0</v>
      </c>
      <c r="V169" s="36">
        <v>0.0</v>
      </c>
      <c r="W169" s="35" t="s">
        <v>7045</v>
      </c>
      <c r="X169" s="30">
        <v>46023.0</v>
      </c>
      <c r="Y169" s="30">
        <v>46112.0</v>
      </c>
      <c r="Z169" s="36">
        <v>0.0</v>
      </c>
      <c r="AA169" s="36">
        <v>0.0</v>
      </c>
      <c r="AB169" s="35" t="s">
        <v>7045</v>
      </c>
      <c r="AC169" s="30">
        <v>46113.0</v>
      </c>
      <c r="AD169" s="30">
        <v>46203.0</v>
      </c>
      <c r="AE169" s="36">
        <v>0.0</v>
      </c>
      <c r="AF169" s="36">
        <v>0.0</v>
      </c>
      <c r="AG169" s="35" t="s">
        <v>7045</v>
      </c>
      <c r="AH169" s="30">
        <v>46204.0</v>
      </c>
      <c r="AI169" s="30">
        <v>46295.0</v>
      </c>
      <c r="AJ169" s="36">
        <v>0.0</v>
      </c>
      <c r="AK169" s="36">
        <v>0.0</v>
      </c>
      <c r="AL169" s="35" t="s">
        <v>7045</v>
      </c>
      <c r="AM169" s="30">
        <v>46296.0</v>
      </c>
      <c r="AN169" s="30">
        <v>46387.0</v>
      </c>
      <c r="AO169" s="36">
        <v>0.0</v>
      </c>
      <c r="AP169" s="36">
        <v>0.0</v>
      </c>
      <c r="AQ169" s="35" t="s">
        <v>7045</v>
      </c>
      <c r="AR169" s="30">
        <v>46388.0</v>
      </c>
      <c r="AS169" s="30">
        <v>46477.0</v>
      </c>
      <c r="AT169" s="36">
        <v>0.0</v>
      </c>
      <c r="AU169" s="36">
        <v>0.0</v>
      </c>
      <c r="AV169" s="35" t="s">
        <v>7045</v>
      </c>
      <c r="AW169" s="30">
        <v>46478.0</v>
      </c>
      <c r="AX169" s="30">
        <v>46568.0</v>
      </c>
      <c r="AY169" s="36">
        <v>0.0</v>
      </c>
      <c r="AZ169" s="36">
        <v>0.0</v>
      </c>
      <c r="BA169" s="35" t="s">
        <v>7045</v>
      </c>
      <c r="BB169" s="30">
        <v>46569.0</v>
      </c>
      <c r="BC169" s="30">
        <v>46660.0</v>
      </c>
      <c r="BD169" s="36">
        <v>0.0</v>
      </c>
      <c r="BE169" s="36">
        <v>0.0</v>
      </c>
      <c r="BF169" s="35" t="s">
        <v>7045</v>
      </c>
      <c r="BG169" s="30">
        <v>46661.0</v>
      </c>
      <c r="BH169" s="30">
        <v>46752.0</v>
      </c>
      <c r="BI169" s="36">
        <v>0.0</v>
      </c>
      <c r="BJ169" s="36">
        <v>0.0</v>
      </c>
      <c r="BK169" s="35" t="s">
        <v>7045</v>
      </c>
      <c r="BL169" s="30">
        <v>46753.0</v>
      </c>
      <c r="BM169" s="30">
        <v>46843.0</v>
      </c>
      <c r="BN169" s="36">
        <v>0.0</v>
      </c>
      <c r="BO169" s="36">
        <v>0.0</v>
      </c>
      <c r="BP169" s="35" t="s">
        <v>7045</v>
      </c>
      <c r="BQ169" s="30">
        <v>46844.0</v>
      </c>
      <c r="BR169" s="30">
        <v>46934.0</v>
      </c>
      <c r="BS169" s="36">
        <v>0.0</v>
      </c>
      <c r="BT169" s="36">
        <v>0.0</v>
      </c>
      <c r="BU169" s="35" t="s">
        <v>7045</v>
      </c>
      <c r="BV169" s="30">
        <v>46935.0</v>
      </c>
      <c r="BW169" s="30">
        <v>47026.0</v>
      </c>
      <c r="BX169" s="36">
        <v>0.0</v>
      </c>
      <c r="BY169" s="36">
        <v>0.0</v>
      </c>
      <c r="BZ169" s="35" t="s">
        <v>7045</v>
      </c>
      <c r="CA169" s="30">
        <v>47027.0</v>
      </c>
      <c r="CB169" s="30">
        <v>47118.0</v>
      </c>
      <c r="CC169" s="36">
        <v>0.0</v>
      </c>
      <c r="CD169" s="36">
        <v>0.0</v>
      </c>
      <c r="CE169" s="35" t="s">
        <v>7045</v>
      </c>
      <c r="CF169" s="30">
        <v>47119.0</v>
      </c>
      <c r="CG169" s="30">
        <v>47208.0</v>
      </c>
      <c r="CH169" s="36">
        <v>0.0</v>
      </c>
      <c r="CI169" s="36">
        <v>0.0</v>
      </c>
      <c r="CJ169" s="35" t="s">
        <v>7045</v>
      </c>
      <c r="CK169" s="30">
        <v>47209.0</v>
      </c>
      <c r="CL169" s="30">
        <v>47299.0</v>
      </c>
      <c r="CM169" s="36">
        <v>0.0</v>
      </c>
      <c r="CN169" s="36">
        <v>0.0</v>
      </c>
      <c r="CO169" s="35" t="s">
        <v>7045</v>
      </c>
      <c r="CP169" s="30">
        <v>47300.0</v>
      </c>
      <c r="CQ169" s="30">
        <v>47391.0</v>
      </c>
      <c r="CR169" s="36">
        <v>0.0</v>
      </c>
      <c r="CS169" s="36">
        <v>0.0</v>
      </c>
      <c r="CT169" s="35" t="s">
        <v>7045</v>
      </c>
      <c r="CU169" s="30">
        <v>47392.0</v>
      </c>
      <c r="CV169" s="30">
        <v>47483.0</v>
      </c>
      <c r="CW169" s="36">
        <v>0.0</v>
      </c>
      <c r="CX169" s="36">
        <v>0.0</v>
      </c>
      <c r="CY169" s="35" t="s">
        <v>7045</v>
      </c>
      <c r="CZ169" s="30">
        <v>47484.0</v>
      </c>
      <c r="DA169" s="30">
        <v>47573.0</v>
      </c>
      <c r="DB169" s="36">
        <v>0.0</v>
      </c>
      <c r="DC169" s="36">
        <v>0.0</v>
      </c>
      <c r="DD169" s="35" t="s">
        <v>7045</v>
      </c>
      <c r="DE169" s="30">
        <v>47574.0</v>
      </c>
      <c r="DF169" s="30">
        <v>47664.0</v>
      </c>
      <c r="DG169" s="36">
        <v>0.0</v>
      </c>
      <c r="DH169" s="36">
        <v>0.0</v>
      </c>
      <c r="DI169" s="35" t="s">
        <v>7045</v>
      </c>
      <c r="DJ169" s="30">
        <v>47665.0</v>
      </c>
      <c r="DK169" s="30">
        <v>47756.0</v>
      </c>
      <c r="DL169" s="36">
        <v>0.0</v>
      </c>
      <c r="DM169" s="36">
        <v>0.0</v>
      </c>
      <c r="DN169" s="35" t="s">
        <v>7045</v>
      </c>
      <c r="DO169" s="30">
        <v>47757.0</v>
      </c>
      <c r="DP169" s="30">
        <v>47848.0</v>
      </c>
      <c r="DQ169" s="36">
        <v>0.0</v>
      </c>
      <c r="DR169" s="36">
        <v>0.0</v>
      </c>
      <c r="DS169" s="35" t="s">
        <v>7045</v>
      </c>
    </row>
    <row r="170" ht="14.25" customHeight="1">
      <c r="A170" s="28" t="s">
        <v>3603</v>
      </c>
      <c r="B170" s="29" t="s">
        <v>3604</v>
      </c>
      <c r="C170" s="29" t="s">
        <v>7041</v>
      </c>
      <c r="D170" s="30">
        <v>45658.0</v>
      </c>
      <c r="E170" s="30">
        <v>45747.0</v>
      </c>
      <c r="F170" s="39">
        <v>8.0</v>
      </c>
      <c r="G170" s="39">
        <v>0.0</v>
      </c>
      <c r="H170" s="38" t="s">
        <v>7047</v>
      </c>
      <c r="I170" s="30">
        <v>45748.0</v>
      </c>
      <c r="J170" s="30">
        <v>45838.0</v>
      </c>
      <c r="K170" s="39">
        <v>21.1</v>
      </c>
      <c r="L170" s="39">
        <v>130.23</v>
      </c>
      <c r="M170" s="38" t="s">
        <v>7043</v>
      </c>
      <c r="N170" s="30">
        <v>45839.0</v>
      </c>
      <c r="O170" s="30">
        <v>45930.0</v>
      </c>
      <c r="P170" s="39">
        <v>75.0</v>
      </c>
      <c r="Q170" s="39">
        <v>190.0</v>
      </c>
      <c r="R170" s="38" t="s">
        <v>7047</v>
      </c>
      <c r="S170" s="30">
        <v>45931.0</v>
      </c>
      <c r="T170" s="30">
        <v>46022.0</v>
      </c>
      <c r="U170" s="39">
        <v>25.0</v>
      </c>
      <c r="V170" s="39">
        <v>243.33</v>
      </c>
      <c r="W170" s="38" t="s">
        <v>7047</v>
      </c>
      <c r="X170" s="30">
        <v>46023.0</v>
      </c>
      <c r="Y170" s="30">
        <v>46112.0</v>
      </c>
      <c r="Z170" s="39">
        <v>0.0</v>
      </c>
      <c r="AA170" s="39">
        <v>0.0</v>
      </c>
      <c r="AB170" s="35" t="s">
        <v>7045</v>
      </c>
      <c r="AC170" s="30">
        <v>46113.0</v>
      </c>
      <c r="AD170" s="30">
        <v>46203.0</v>
      </c>
      <c r="AE170" s="39">
        <v>0.0</v>
      </c>
      <c r="AF170" s="39">
        <v>0.0</v>
      </c>
      <c r="AG170" s="35" t="s">
        <v>7045</v>
      </c>
      <c r="AH170" s="30">
        <v>46204.0</v>
      </c>
      <c r="AI170" s="30">
        <v>46295.0</v>
      </c>
      <c r="AJ170" s="39">
        <v>0.0</v>
      </c>
      <c r="AK170" s="39">
        <v>0.0</v>
      </c>
      <c r="AL170" s="35" t="s">
        <v>7045</v>
      </c>
      <c r="AM170" s="30">
        <v>46296.0</v>
      </c>
      <c r="AN170" s="30">
        <v>46387.0</v>
      </c>
      <c r="AO170" s="39">
        <v>0.0</v>
      </c>
      <c r="AP170" s="39">
        <v>0.0</v>
      </c>
      <c r="AQ170" s="35" t="s">
        <v>7045</v>
      </c>
      <c r="AR170" s="30">
        <v>46388.0</v>
      </c>
      <c r="AS170" s="30">
        <v>46477.0</v>
      </c>
      <c r="AT170" s="39">
        <v>0.0</v>
      </c>
      <c r="AU170" s="39">
        <v>0.0</v>
      </c>
      <c r="AV170" s="35" t="s">
        <v>7045</v>
      </c>
      <c r="AW170" s="30">
        <v>46478.0</v>
      </c>
      <c r="AX170" s="30">
        <v>46568.0</v>
      </c>
      <c r="AY170" s="39">
        <v>0.0</v>
      </c>
      <c r="AZ170" s="39">
        <v>0.0</v>
      </c>
      <c r="BA170" s="35" t="s">
        <v>7045</v>
      </c>
      <c r="BB170" s="30">
        <v>46569.0</v>
      </c>
      <c r="BC170" s="30">
        <v>46660.0</v>
      </c>
      <c r="BD170" s="39">
        <v>0.0</v>
      </c>
      <c r="BE170" s="39">
        <v>0.0</v>
      </c>
      <c r="BF170" s="35" t="s">
        <v>7045</v>
      </c>
      <c r="BG170" s="30">
        <v>46661.0</v>
      </c>
      <c r="BH170" s="30">
        <v>46752.0</v>
      </c>
      <c r="BI170" s="39">
        <v>0.0</v>
      </c>
      <c r="BJ170" s="39">
        <v>0.0</v>
      </c>
      <c r="BK170" s="35" t="s">
        <v>7045</v>
      </c>
      <c r="BL170" s="30">
        <v>46753.0</v>
      </c>
      <c r="BM170" s="30">
        <v>46843.0</v>
      </c>
      <c r="BN170" s="39">
        <v>0.0</v>
      </c>
      <c r="BO170" s="39">
        <v>0.0</v>
      </c>
      <c r="BP170" s="35" t="s">
        <v>7045</v>
      </c>
      <c r="BQ170" s="30">
        <v>46844.0</v>
      </c>
      <c r="BR170" s="30">
        <v>46934.0</v>
      </c>
      <c r="BS170" s="39">
        <v>0.0</v>
      </c>
      <c r="BT170" s="39">
        <v>0.0</v>
      </c>
      <c r="BU170" s="35" t="s">
        <v>7045</v>
      </c>
      <c r="BV170" s="30">
        <v>46935.0</v>
      </c>
      <c r="BW170" s="30">
        <v>47026.0</v>
      </c>
      <c r="BX170" s="39">
        <v>0.0</v>
      </c>
      <c r="BY170" s="39">
        <v>0.0</v>
      </c>
      <c r="BZ170" s="35" t="s">
        <v>7045</v>
      </c>
      <c r="CA170" s="30">
        <v>47027.0</v>
      </c>
      <c r="CB170" s="30">
        <v>47118.0</v>
      </c>
      <c r="CC170" s="39">
        <v>0.0</v>
      </c>
      <c r="CD170" s="39">
        <v>0.0</v>
      </c>
      <c r="CE170" s="35" t="s">
        <v>7045</v>
      </c>
      <c r="CF170" s="30">
        <v>47119.0</v>
      </c>
      <c r="CG170" s="30">
        <v>47208.0</v>
      </c>
      <c r="CH170" s="39">
        <v>0.0</v>
      </c>
      <c r="CI170" s="39">
        <v>0.0</v>
      </c>
      <c r="CJ170" s="35" t="s">
        <v>7045</v>
      </c>
      <c r="CK170" s="30">
        <v>47209.0</v>
      </c>
      <c r="CL170" s="30">
        <v>47299.0</v>
      </c>
      <c r="CM170" s="39">
        <v>0.0</v>
      </c>
      <c r="CN170" s="39">
        <v>0.0</v>
      </c>
      <c r="CO170" s="35" t="s">
        <v>7045</v>
      </c>
      <c r="CP170" s="30">
        <v>47300.0</v>
      </c>
      <c r="CQ170" s="30">
        <v>47391.0</v>
      </c>
      <c r="CR170" s="39">
        <v>0.0</v>
      </c>
      <c r="CS170" s="39">
        <v>0.0</v>
      </c>
      <c r="CT170" s="35" t="s">
        <v>7045</v>
      </c>
      <c r="CU170" s="30">
        <v>47392.0</v>
      </c>
      <c r="CV170" s="30">
        <v>47483.0</v>
      </c>
      <c r="CW170" s="39">
        <v>0.0</v>
      </c>
      <c r="CX170" s="39">
        <v>0.0</v>
      </c>
      <c r="CY170" s="35" t="s">
        <v>7045</v>
      </c>
      <c r="CZ170" s="30">
        <v>47484.0</v>
      </c>
      <c r="DA170" s="30">
        <v>47573.0</v>
      </c>
      <c r="DB170" s="39">
        <v>0.0</v>
      </c>
      <c r="DC170" s="39">
        <v>0.0</v>
      </c>
      <c r="DD170" s="35" t="s">
        <v>7045</v>
      </c>
      <c r="DE170" s="30">
        <v>47574.0</v>
      </c>
      <c r="DF170" s="30">
        <v>47664.0</v>
      </c>
      <c r="DG170" s="39">
        <v>0.0</v>
      </c>
      <c r="DH170" s="39">
        <v>0.0</v>
      </c>
      <c r="DI170" s="35" t="s">
        <v>7045</v>
      </c>
      <c r="DJ170" s="30">
        <v>47665.0</v>
      </c>
      <c r="DK170" s="30">
        <v>47756.0</v>
      </c>
      <c r="DL170" s="39">
        <v>0.0</v>
      </c>
      <c r="DM170" s="39">
        <v>0.0</v>
      </c>
      <c r="DN170" s="35" t="s">
        <v>7045</v>
      </c>
      <c r="DO170" s="30">
        <v>47757.0</v>
      </c>
      <c r="DP170" s="30">
        <v>47848.0</v>
      </c>
      <c r="DQ170" s="39">
        <v>0.0</v>
      </c>
      <c r="DR170" s="39">
        <v>0.0</v>
      </c>
      <c r="DS170" s="35" t="s">
        <v>7045</v>
      </c>
    </row>
    <row r="171" ht="14.25" customHeight="1">
      <c r="A171" s="28" t="s">
        <v>3877</v>
      </c>
      <c r="B171" s="29" t="s">
        <v>3878</v>
      </c>
      <c r="C171" s="29" t="s">
        <v>7041</v>
      </c>
      <c r="D171" s="30">
        <v>45658.0</v>
      </c>
      <c r="E171" s="30">
        <v>45747.0</v>
      </c>
      <c r="F171" s="39">
        <v>5.14</v>
      </c>
      <c r="G171" s="39">
        <v>0.0</v>
      </c>
      <c r="H171" s="38" t="s">
        <v>7047</v>
      </c>
      <c r="I171" s="30">
        <v>45748.0</v>
      </c>
      <c r="J171" s="30">
        <v>45838.0</v>
      </c>
      <c r="K171" s="39">
        <v>7.5</v>
      </c>
      <c r="L171" s="39">
        <v>164.37</v>
      </c>
      <c r="M171" s="32" t="s">
        <v>7043</v>
      </c>
      <c r="N171" s="30">
        <v>45839.0</v>
      </c>
      <c r="O171" s="30">
        <v>45930.0</v>
      </c>
      <c r="P171" s="39">
        <v>25.14</v>
      </c>
      <c r="Q171" s="39">
        <v>151.72</v>
      </c>
      <c r="R171" s="38" t="s">
        <v>7047</v>
      </c>
      <c r="S171" s="30">
        <v>45931.0</v>
      </c>
      <c r="T171" s="30">
        <v>46022.0</v>
      </c>
      <c r="U171" s="39">
        <v>148.78</v>
      </c>
      <c r="V171" s="39">
        <v>164.37</v>
      </c>
      <c r="W171" s="38" t="s">
        <v>7047</v>
      </c>
      <c r="X171" s="30">
        <v>46023.0</v>
      </c>
      <c r="Y171" s="30">
        <v>46112.0</v>
      </c>
      <c r="Z171" s="39">
        <v>0.0</v>
      </c>
      <c r="AA171" s="39">
        <v>0.0</v>
      </c>
      <c r="AB171" s="35" t="s">
        <v>7045</v>
      </c>
      <c r="AC171" s="30">
        <v>46113.0</v>
      </c>
      <c r="AD171" s="30">
        <v>46203.0</v>
      </c>
      <c r="AE171" s="39">
        <v>0.0</v>
      </c>
      <c r="AF171" s="39">
        <v>0.0</v>
      </c>
      <c r="AG171" s="35" t="s">
        <v>7045</v>
      </c>
      <c r="AH171" s="30">
        <v>46204.0</v>
      </c>
      <c r="AI171" s="30">
        <v>46295.0</v>
      </c>
      <c r="AJ171" s="39">
        <v>0.0</v>
      </c>
      <c r="AK171" s="39">
        <v>0.0</v>
      </c>
      <c r="AL171" s="35" t="s">
        <v>7045</v>
      </c>
      <c r="AM171" s="30">
        <v>46296.0</v>
      </c>
      <c r="AN171" s="30">
        <v>46387.0</v>
      </c>
      <c r="AO171" s="39">
        <v>0.0</v>
      </c>
      <c r="AP171" s="39">
        <v>0.0</v>
      </c>
      <c r="AQ171" s="35" t="s">
        <v>7045</v>
      </c>
      <c r="AR171" s="30">
        <v>46388.0</v>
      </c>
      <c r="AS171" s="30">
        <v>46477.0</v>
      </c>
      <c r="AT171" s="39">
        <v>0.0</v>
      </c>
      <c r="AU171" s="39">
        <v>0.0</v>
      </c>
      <c r="AV171" s="35" t="s">
        <v>7045</v>
      </c>
      <c r="AW171" s="30">
        <v>46478.0</v>
      </c>
      <c r="AX171" s="30">
        <v>46568.0</v>
      </c>
      <c r="AY171" s="39">
        <v>0.0</v>
      </c>
      <c r="AZ171" s="39">
        <v>0.0</v>
      </c>
      <c r="BA171" s="35" t="s">
        <v>7045</v>
      </c>
      <c r="BB171" s="30">
        <v>46569.0</v>
      </c>
      <c r="BC171" s="30">
        <v>46660.0</v>
      </c>
      <c r="BD171" s="39">
        <v>0.0</v>
      </c>
      <c r="BE171" s="39">
        <v>0.0</v>
      </c>
      <c r="BF171" s="35" t="s">
        <v>7045</v>
      </c>
      <c r="BG171" s="30">
        <v>46661.0</v>
      </c>
      <c r="BH171" s="30">
        <v>46752.0</v>
      </c>
      <c r="BI171" s="39">
        <v>0.0</v>
      </c>
      <c r="BJ171" s="39">
        <v>0.0</v>
      </c>
      <c r="BK171" s="35" t="s">
        <v>7045</v>
      </c>
      <c r="BL171" s="30">
        <v>46753.0</v>
      </c>
      <c r="BM171" s="30">
        <v>46843.0</v>
      </c>
      <c r="BN171" s="39">
        <v>0.0</v>
      </c>
      <c r="BO171" s="39">
        <v>0.0</v>
      </c>
      <c r="BP171" s="35" t="s">
        <v>7045</v>
      </c>
      <c r="BQ171" s="30">
        <v>46844.0</v>
      </c>
      <c r="BR171" s="30">
        <v>46934.0</v>
      </c>
      <c r="BS171" s="39">
        <v>0.0</v>
      </c>
      <c r="BT171" s="39">
        <v>0.0</v>
      </c>
      <c r="BU171" s="35" t="s">
        <v>7045</v>
      </c>
      <c r="BV171" s="30">
        <v>46935.0</v>
      </c>
      <c r="BW171" s="30">
        <v>47026.0</v>
      </c>
      <c r="BX171" s="39">
        <v>0.0</v>
      </c>
      <c r="BY171" s="39">
        <v>0.0</v>
      </c>
      <c r="BZ171" s="35" t="s">
        <v>7045</v>
      </c>
      <c r="CA171" s="30">
        <v>47027.0</v>
      </c>
      <c r="CB171" s="30">
        <v>47118.0</v>
      </c>
      <c r="CC171" s="39">
        <v>0.0</v>
      </c>
      <c r="CD171" s="39">
        <v>0.0</v>
      </c>
      <c r="CE171" s="35" t="s">
        <v>7045</v>
      </c>
      <c r="CF171" s="30">
        <v>47119.0</v>
      </c>
      <c r="CG171" s="30">
        <v>47208.0</v>
      </c>
      <c r="CH171" s="39">
        <v>0.0</v>
      </c>
      <c r="CI171" s="39">
        <v>0.0</v>
      </c>
      <c r="CJ171" s="35" t="s">
        <v>7045</v>
      </c>
      <c r="CK171" s="30">
        <v>47209.0</v>
      </c>
      <c r="CL171" s="30">
        <v>47299.0</v>
      </c>
      <c r="CM171" s="39">
        <v>0.0</v>
      </c>
      <c r="CN171" s="39">
        <v>0.0</v>
      </c>
      <c r="CO171" s="35" t="s">
        <v>7045</v>
      </c>
      <c r="CP171" s="30">
        <v>47300.0</v>
      </c>
      <c r="CQ171" s="30">
        <v>47391.0</v>
      </c>
      <c r="CR171" s="39">
        <v>0.0</v>
      </c>
      <c r="CS171" s="39">
        <v>0.0</v>
      </c>
      <c r="CT171" s="35" t="s">
        <v>7045</v>
      </c>
      <c r="CU171" s="30">
        <v>47392.0</v>
      </c>
      <c r="CV171" s="30">
        <v>47483.0</v>
      </c>
      <c r="CW171" s="39">
        <v>0.0</v>
      </c>
      <c r="CX171" s="39">
        <v>0.0</v>
      </c>
      <c r="CY171" s="35" t="s">
        <v>7045</v>
      </c>
      <c r="CZ171" s="30">
        <v>47484.0</v>
      </c>
      <c r="DA171" s="30">
        <v>47573.0</v>
      </c>
      <c r="DB171" s="39">
        <v>0.0</v>
      </c>
      <c r="DC171" s="39">
        <v>0.0</v>
      </c>
      <c r="DD171" s="35" t="s">
        <v>7045</v>
      </c>
      <c r="DE171" s="30">
        <v>47574.0</v>
      </c>
      <c r="DF171" s="30">
        <v>47664.0</v>
      </c>
      <c r="DG171" s="39">
        <v>0.0</v>
      </c>
      <c r="DH171" s="39">
        <v>0.0</v>
      </c>
      <c r="DI171" s="35" t="s">
        <v>7045</v>
      </c>
      <c r="DJ171" s="30">
        <v>47665.0</v>
      </c>
      <c r="DK171" s="30">
        <v>47756.0</v>
      </c>
      <c r="DL171" s="39">
        <v>0.0</v>
      </c>
      <c r="DM171" s="39">
        <v>0.0</v>
      </c>
      <c r="DN171" s="35" t="s">
        <v>7045</v>
      </c>
      <c r="DO171" s="30">
        <v>47757.0</v>
      </c>
      <c r="DP171" s="30">
        <v>47848.0</v>
      </c>
      <c r="DQ171" s="39">
        <v>0.0</v>
      </c>
      <c r="DR171" s="39">
        <v>0.0</v>
      </c>
      <c r="DS171" s="35" t="s">
        <v>7045</v>
      </c>
    </row>
    <row r="172" ht="14.25" customHeight="1">
      <c r="A172" s="28" t="s">
        <v>3943</v>
      </c>
      <c r="B172" s="34" t="s">
        <v>3944</v>
      </c>
      <c r="C172" s="29" t="s">
        <v>7041</v>
      </c>
      <c r="D172" s="30">
        <v>45658.0</v>
      </c>
      <c r="E172" s="30">
        <v>45747.0</v>
      </c>
      <c r="F172" s="39">
        <v>0.0</v>
      </c>
      <c r="G172" s="39">
        <v>0.0</v>
      </c>
      <c r="H172" s="35" t="s">
        <v>7045</v>
      </c>
      <c r="I172" s="30">
        <v>45748.0</v>
      </c>
      <c r="J172" s="30">
        <v>45838.0</v>
      </c>
      <c r="K172" s="39">
        <v>8.19</v>
      </c>
      <c r="L172" s="39">
        <v>0.0</v>
      </c>
      <c r="M172" s="38" t="s">
        <v>7047</v>
      </c>
      <c r="N172" s="30">
        <v>45839.0</v>
      </c>
      <c r="O172" s="30">
        <v>45930.0</v>
      </c>
      <c r="P172" s="39">
        <v>13.88</v>
      </c>
      <c r="Q172" s="39">
        <v>0.0</v>
      </c>
      <c r="R172" s="35" t="s">
        <v>7047</v>
      </c>
      <c r="S172" s="30">
        <v>45931.0</v>
      </c>
      <c r="T172" s="30">
        <v>46022.0</v>
      </c>
      <c r="U172" s="39">
        <v>0.0</v>
      </c>
      <c r="V172" s="39">
        <v>0.0</v>
      </c>
      <c r="W172" s="35" t="s">
        <v>7045</v>
      </c>
      <c r="X172" s="30">
        <v>46023.0</v>
      </c>
      <c r="Y172" s="30">
        <v>46112.0</v>
      </c>
      <c r="Z172" s="39">
        <v>0.0</v>
      </c>
      <c r="AA172" s="39">
        <v>0.0</v>
      </c>
      <c r="AB172" s="35" t="s">
        <v>7045</v>
      </c>
      <c r="AC172" s="30">
        <v>46113.0</v>
      </c>
      <c r="AD172" s="30">
        <v>46203.0</v>
      </c>
      <c r="AE172" s="39">
        <v>0.0</v>
      </c>
      <c r="AF172" s="39">
        <v>0.0</v>
      </c>
      <c r="AG172" s="35" t="s">
        <v>7045</v>
      </c>
      <c r="AH172" s="30">
        <v>46204.0</v>
      </c>
      <c r="AI172" s="30">
        <v>46295.0</v>
      </c>
      <c r="AJ172" s="39">
        <v>0.0</v>
      </c>
      <c r="AK172" s="39">
        <v>0.0</v>
      </c>
      <c r="AL172" s="35" t="s">
        <v>7045</v>
      </c>
      <c r="AM172" s="30">
        <v>46296.0</v>
      </c>
      <c r="AN172" s="30">
        <v>46387.0</v>
      </c>
      <c r="AO172" s="39">
        <v>0.0</v>
      </c>
      <c r="AP172" s="39">
        <v>0.0</v>
      </c>
      <c r="AQ172" s="35" t="s">
        <v>7045</v>
      </c>
      <c r="AR172" s="30">
        <v>46388.0</v>
      </c>
      <c r="AS172" s="30">
        <v>46477.0</v>
      </c>
      <c r="AT172" s="39">
        <v>0.0</v>
      </c>
      <c r="AU172" s="39">
        <v>0.0</v>
      </c>
      <c r="AV172" s="35" t="s">
        <v>7045</v>
      </c>
      <c r="AW172" s="30">
        <v>46478.0</v>
      </c>
      <c r="AX172" s="30">
        <v>46568.0</v>
      </c>
      <c r="AY172" s="39">
        <v>0.0</v>
      </c>
      <c r="AZ172" s="39">
        <v>0.0</v>
      </c>
      <c r="BA172" s="35" t="s">
        <v>7045</v>
      </c>
      <c r="BB172" s="30">
        <v>46569.0</v>
      </c>
      <c r="BC172" s="30">
        <v>46660.0</v>
      </c>
      <c r="BD172" s="39">
        <v>0.0</v>
      </c>
      <c r="BE172" s="39">
        <v>0.0</v>
      </c>
      <c r="BF172" s="35" t="s">
        <v>7045</v>
      </c>
      <c r="BG172" s="30">
        <v>46661.0</v>
      </c>
      <c r="BH172" s="30">
        <v>46752.0</v>
      </c>
      <c r="BI172" s="39">
        <v>0.0</v>
      </c>
      <c r="BJ172" s="39">
        <v>0.0</v>
      </c>
      <c r="BK172" s="35" t="s">
        <v>7045</v>
      </c>
      <c r="BL172" s="30">
        <v>46753.0</v>
      </c>
      <c r="BM172" s="30">
        <v>46843.0</v>
      </c>
      <c r="BN172" s="39">
        <v>0.0</v>
      </c>
      <c r="BO172" s="39">
        <v>0.0</v>
      </c>
      <c r="BP172" s="35" t="s">
        <v>7045</v>
      </c>
      <c r="BQ172" s="30">
        <v>46844.0</v>
      </c>
      <c r="BR172" s="30">
        <v>46934.0</v>
      </c>
      <c r="BS172" s="39">
        <v>0.0</v>
      </c>
      <c r="BT172" s="39">
        <v>0.0</v>
      </c>
      <c r="BU172" s="35" t="s">
        <v>7045</v>
      </c>
      <c r="BV172" s="30">
        <v>46935.0</v>
      </c>
      <c r="BW172" s="30">
        <v>47026.0</v>
      </c>
      <c r="BX172" s="39">
        <v>0.0</v>
      </c>
      <c r="BY172" s="39">
        <v>0.0</v>
      </c>
      <c r="BZ172" s="35" t="s">
        <v>7045</v>
      </c>
      <c r="CA172" s="30">
        <v>47027.0</v>
      </c>
      <c r="CB172" s="30">
        <v>47118.0</v>
      </c>
      <c r="CC172" s="39">
        <v>0.0</v>
      </c>
      <c r="CD172" s="39">
        <v>0.0</v>
      </c>
      <c r="CE172" s="35" t="s">
        <v>7045</v>
      </c>
      <c r="CF172" s="30">
        <v>47119.0</v>
      </c>
      <c r="CG172" s="30">
        <v>47208.0</v>
      </c>
      <c r="CH172" s="39">
        <v>0.0</v>
      </c>
      <c r="CI172" s="39">
        <v>0.0</v>
      </c>
      <c r="CJ172" s="35" t="s">
        <v>7045</v>
      </c>
      <c r="CK172" s="30">
        <v>47209.0</v>
      </c>
      <c r="CL172" s="30">
        <v>47299.0</v>
      </c>
      <c r="CM172" s="39">
        <v>0.0</v>
      </c>
      <c r="CN172" s="39">
        <v>0.0</v>
      </c>
      <c r="CO172" s="35" t="s">
        <v>7045</v>
      </c>
      <c r="CP172" s="30">
        <v>47300.0</v>
      </c>
      <c r="CQ172" s="30">
        <v>47391.0</v>
      </c>
      <c r="CR172" s="39">
        <v>0.0</v>
      </c>
      <c r="CS172" s="39">
        <v>0.0</v>
      </c>
      <c r="CT172" s="35" t="s">
        <v>7045</v>
      </c>
      <c r="CU172" s="30">
        <v>47392.0</v>
      </c>
      <c r="CV172" s="30">
        <v>47483.0</v>
      </c>
      <c r="CW172" s="39">
        <v>0.0</v>
      </c>
      <c r="CX172" s="39">
        <v>0.0</v>
      </c>
      <c r="CY172" s="35" t="s">
        <v>7045</v>
      </c>
      <c r="CZ172" s="30">
        <v>47484.0</v>
      </c>
      <c r="DA172" s="30">
        <v>47573.0</v>
      </c>
      <c r="DB172" s="39">
        <v>0.0</v>
      </c>
      <c r="DC172" s="39">
        <v>0.0</v>
      </c>
      <c r="DD172" s="35" t="s">
        <v>7045</v>
      </c>
      <c r="DE172" s="30">
        <v>47574.0</v>
      </c>
      <c r="DF172" s="30">
        <v>47664.0</v>
      </c>
      <c r="DG172" s="39">
        <v>0.0</v>
      </c>
      <c r="DH172" s="39">
        <v>0.0</v>
      </c>
      <c r="DI172" s="35" t="s">
        <v>7045</v>
      </c>
      <c r="DJ172" s="30">
        <v>47665.0</v>
      </c>
      <c r="DK172" s="30">
        <v>47756.0</v>
      </c>
      <c r="DL172" s="39">
        <v>0.0</v>
      </c>
      <c r="DM172" s="39">
        <v>0.0</v>
      </c>
      <c r="DN172" s="35" t="s">
        <v>7045</v>
      </c>
      <c r="DO172" s="30">
        <v>47757.0</v>
      </c>
      <c r="DP172" s="30">
        <v>47848.0</v>
      </c>
      <c r="DQ172" s="39">
        <v>0.0</v>
      </c>
      <c r="DR172" s="39">
        <v>0.0</v>
      </c>
      <c r="DS172" s="35" t="s">
        <v>7045</v>
      </c>
    </row>
    <row r="173" ht="14.25" customHeight="1">
      <c r="A173" s="28" t="s">
        <v>4011</v>
      </c>
      <c r="B173" s="29" t="s">
        <v>4012</v>
      </c>
      <c r="C173" s="29" t="s">
        <v>7041</v>
      </c>
      <c r="D173" s="30">
        <v>45658.0</v>
      </c>
      <c r="E173" s="30">
        <v>45747.0</v>
      </c>
      <c r="F173" s="39">
        <v>27.7</v>
      </c>
      <c r="G173" s="39">
        <v>0.0</v>
      </c>
      <c r="H173" s="38" t="s">
        <v>7047</v>
      </c>
      <c r="I173" s="30">
        <v>45748.0</v>
      </c>
      <c r="J173" s="30">
        <v>45838.0</v>
      </c>
      <c r="K173" s="39">
        <v>15.0</v>
      </c>
      <c r="L173" s="39">
        <v>173.33</v>
      </c>
      <c r="M173" s="37" t="s">
        <v>7043</v>
      </c>
      <c r="N173" s="30">
        <v>45839.0</v>
      </c>
      <c r="O173" s="30">
        <v>45930.0</v>
      </c>
      <c r="P173" s="39">
        <v>232.7</v>
      </c>
      <c r="Q173" s="39">
        <v>210.0</v>
      </c>
      <c r="R173" s="38" t="s">
        <v>7047</v>
      </c>
      <c r="S173" s="30">
        <v>45931.0</v>
      </c>
      <c r="T173" s="30">
        <v>46022.0</v>
      </c>
      <c r="U173" s="39">
        <v>90.0</v>
      </c>
      <c r="V173" s="39">
        <v>216.67</v>
      </c>
      <c r="W173" s="38" t="s">
        <v>7047</v>
      </c>
      <c r="X173" s="30">
        <v>46023.0</v>
      </c>
      <c r="Y173" s="30">
        <v>46112.0</v>
      </c>
      <c r="Z173" s="39">
        <v>0.0</v>
      </c>
      <c r="AA173" s="39">
        <v>0.0</v>
      </c>
      <c r="AB173" s="35" t="s">
        <v>7045</v>
      </c>
      <c r="AC173" s="30">
        <v>46113.0</v>
      </c>
      <c r="AD173" s="30">
        <v>46203.0</v>
      </c>
      <c r="AE173" s="39">
        <v>80.0</v>
      </c>
      <c r="AF173" s="39">
        <v>0.0</v>
      </c>
      <c r="AG173" s="38" t="s">
        <v>7047</v>
      </c>
      <c r="AH173" s="30">
        <v>46204.0</v>
      </c>
      <c r="AI173" s="30">
        <v>46295.0</v>
      </c>
      <c r="AJ173" s="39">
        <v>0.0</v>
      </c>
      <c r="AK173" s="39">
        <v>0.0</v>
      </c>
      <c r="AL173" s="35" t="s">
        <v>7045</v>
      </c>
      <c r="AM173" s="30">
        <v>46296.0</v>
      </c>
      <c r="AN173" s="30">
        <v>46387.0</v>
      </c>
      <c r="AO173" s="39">
        <v>0.0</v>
      </c>
      <c r="AP173" s="39">
        <v>0.0</v>
      </c>
      <c r="AQ173" s="35" t="s">
        <v>7045</v>
      </c>
      <c r="AR173" s="30">
        <v>46388.0</v>
      </c>
      <c r="AS173" s="30">
        <v>46477.0</v>
      </c>
      <c r="AT173" s="39">
        <v>0.0</v>
      </c>
      <c r="AU173" s="39">
        <v>0.0</v>
      </c>
      <c r="AV173" s="35" t="s">
        <v>7045</v>
      </c>
      <c r="AW173" s="30">
        <v>46478.0</v>
      </c>
      <c r="AX173" s="30">
        <v>46568.0</v>
      </c>
      <c r="AY173" s="39">
        <v>0.0</v>
      </c>
      <c r="AZ173" s="39">
        <v>0.0</v>
      </c>
      <c r="BA173" s="35" t="s">
        <v>7045</v>
      </c>
      <c r="BB173" s="30">
        <v>46569.0</v>
      </c>
      <c r="BC173" s="30">
        <v>46660.0</v>
      </c>
      <c r="BD173" s="39">
        <v>0.0</v>
      </c>
      <c r="BE173" s="39">
        <v>0.0</v>
      </c>
      <c r="BF173" s="35" t="s">
        <v>7045</v>
      </c>
      <c r="BG173" s="30">
        <v>46661.0</v>
      </c>
      <c r="BH173" s="30">
        <v>46752.0</v>
      </c>
      <c r="BI173" s="39">
        <v>0.0</v>
      </c>
      <c r="BJ173" s="39">
        <v>0.0</v>
      </c>
      <c r="BK173" s="35" t="s">
        <v>7045</v>
      </c>
      <c r="BL173" s="30">
        <v>46753.0</v>
      </c>
      <c r="BM173" s="30">
        <v>46843.0</v>
      </c>
      <c r="BN173" s="39">
        <v>0.0</v>
      </c>
      <c r="BO173" s="39">
        <v>0.0</v>
      </c>
      <c r="BP173" s="35" t="s">
        <v>7045</v>
      </c>
      <c r="BQ173" s="30">
        <v>46844.0</v>
      </c>
      <c r="BR173" s="30">
        <v>46934.0</v>
      </c>
      <c r="BS173" s="39">
        <v>0.0</v>
      </c>
      <c r="BT173" s="39">
        <v>0.0</v>
      </c>
      <c r="BU173" s="35" t="s">
        <v>7045</v>
      </c>
      <c r="BV173" s="30">
        <v>46935.0</v>
      </c>
      <c r="BW173" s="30">
        <v>47026.0</v>
      </c>
      <c r="BX173" s="39">
        <v>0.0</v>
      </c>
      <c r="BY173" s="39">
        <v>0.0</v>
      </c>
      <c r="BZ173" s="35" t="s">
        <v>7045</v>
      </c>
      <c r="CA173" s="30">
        <v>47027.0</v>
      </c>
      <c r="CB173" s="30">
        <v>47118.0</v>
      </c>
      <c r="CC173" s="39">
        <v>0.0</v>
      </c>
      <c r="CD173" s="39">
        <v>0.0</v>
      </c>
      <c r="CE173" s="35" t="s">
        <v>7045</v>
      </c>
      <c r="CF173" s="30">
        <v>47119.0</v>
      </c>
      <c r="CG173" s="30">
        <v>47208.0</v>
      </c>
      <c r="CH173" s="39">
        <v>0.0</v>
      </c>
      <c r="CI173" s="39">
        <v>0.0</v>
      </c>
      <c r="CJ173" s="35" t="s">
        <v>7045</v>
      </c>
      <c r="CK173" s="30">
        <v>47209.0</v>
      </c>
      <c r="CL173" s="30">
        <v>47299.0</v>
      </c>
      <c r="CM173" s="39">
        <v>0.0</v>
      </c>
      <c r="CN173" s="39">
        <v>0.0</v>
      </c>
      <c r="CO173" s="35" t="s">
        <v>7045</v>
      </c>
      <c r="CP173" s="30">
        <v>47300.0</v>
      </c>
      <c r="CQ173" s="30">
        <v>47391.0</v>
      </c>
      <c r="CR173" s="39">
        <v>0.0</v>
      </c>
      <c r="CS173" s="39">
        <v>0.0</v>
      </c>
      <c r="CT173" s="35" t="s">
        <v>7045</v>
      </c>
      <c r="CU173" s="30">
        <v>47392.0</v>
      </c>
      <c r="CV173" s="30">
        <v>47483.0</v>
      </c>
      <c r="CW173" s="39">
        <v>0.0</v>
      </c>
      <c r="CX173" s="39">
        <v>0.0</v>
      </c>
      <c r="CY173" s="35" t="s">
        <v>7045</v>
      </c>
      <c r="CZ173" s="30">
        <v>47484.0</v>
      </c>
      <c r="DA173" s="30">
        <v>47573.0</v>
      </c>
      <c r="DB173" s="39">
        <v>0.0</v>
      </c>
      <c r="DC173" s="39">
        <v>0.0</v>
      </c>
      <c r="DD173" s="35" t="s">
        <v>7045</v>
      </c>
      <c r="DE173" s="30">
        <v>47574.0</v>
      </c>
      <c r="DF173" s="30">
        <v>47664.0</v>
      </c>
      <c r="DG173" s="39">
        <v>0.0</v>
      </c>
      <c r="DH173" s="39">
        <v>0.0</v>
      </c>
      <c r="DI173" s="35" t="s">
        <v>7045</v>
      </c>
      <c r="DJ173" s="30">
        <v>47665.0</v>
      </c>
      <c r="DK173" s="30">
        <v>47756.0</v>
      </c>
      <c r="DL173" s="39">
        <v>0.0</v>
      </c>
      <c r="DM173" s="39">
        <v>0.0</v>
      </c>
      <c r="DN173" s="35" t="s">
        <v>7045</v>
      </c>
      <c r="DO173" s="30">
        <v>47757.0</v>
      </c>
      <c r="DP173" s="30">
        <v>47848.0</v>
      </c>
      <c r="DQ173" s="39">
        <v>0.0</v>
      </c>
      <c r="DR173" s="39">
        <v>0.0</v>
      </c>
      <c r="DS173" s="35" t="s">
        <v>7045</v>
      </c>
    </row>
    <row r="174" ht="14.25" customHeight="1">
      <c r="A174" s="28" t="s">
        <v>4140</v>
      </c>
      <c r="B174" s="29" t="s">
        <v>4141</v>
      </c>
      <c r="C174" s="29" t="s">
        <v>7041</v>
      </c>
      <c r="D174" s="30">
        <v>45658.0</v>
      </c>
      <c r="E174" s="30">
        <v>45747.0</v>
      </c>
      <c r="F174" s="36">
        <v>0.0</v>
      </c>
      <c r="G174" s="36">
        <v>0.0</v>
      </c>
      <c r="H174" s="35" t="s">
        <v>7045</v>
      </c>
      <c r="I174" s="30">
        <v>45748.0</v>
      </c>
      <c r="J174" s="30">
        <v>45838.0</v>
      </c>
      <c r="K174" s="36">
        <v>20.0</v>
      </c>
      <c r="L174" s="36">
        <v>0.0</v>
      </c>
      <c r="M174" s="38" t="s">
        <v>7047</v>
      </c>
      <c r="N174" s="30">
        <v>45839.0</v>
      </c>
      <c r="O174" s="30">
        <v>45930.0</v>
      </c>
      <c r="P174" s="36">
        <v>50.0</v>
      </c>
      <c r="Q174" s="36">
        <v>0.0</v>
      </c>
      <c r="R174" s="38" t="s">
        <v>7047</v>
      </c>
      <c r="S174" s="30">
        <v>45931.0</v>
      </c>
      <c r="T174" s="30">
        <v>46022.0</v>
      </c>
      <c r="U174" s="36">
        <v>379.99</v>
      </c>
      <c r="V174" s="36">
        <v>0.0</v>
      </c>
      <c r="W174" s="35" t="s">
        <v>7047</v>
      </c>
      <c r="X174" s="30">
        <v>46023.0</v>
      </c>
      <c r="Y174" s="30">
        <v>46112.0</v>
      </c>
      <c r="Z174" s="36">
        <v>0.0</v>
      </c>
      <c r="AA174" s="36">
        <v>0.0</v>
      </c>
      <c r="AB174" s="35" t="s">
        <v>7045</v>
      </c>
      <c r="AC174" s="30">
        <v>46113.0</v>
      </c>
      <c r="AD174" s="30">
        <v>46203.0</v>
      </c>
      <c r="AE174" s="36">
        <v>0.0</v>
      </c>
      <c r="AF174" s="36">
        <v>0.0</v>
      </c>
      <c r="AG174" s="35" t="s">
        <v>7045</v>
      </c>
      <c r="AH174" s="30">
        <v>46204.0</v>
      </c>
      <c r="AI174" s="30">
        <v>46295.0</v>
      </c>
      <c r="AJ174" s="36">
        <v>0.0</v>
      </c>
      <c r="AK174" s="36">
        <v>0.0</v>
      </c>
      <c r="AL174" s="35" t="s">
        <v>7045</v>
      </c>
      <c r="AM174" s="30">
        <v>46296.0</v>
      </c>
      <c r="AN174" s="30">
        <v>46387.0</v>
      </c>
      <c r="AO174" s="36">
        <v>0.0</v>
      </c>
      <c r="AP174" s="36">
        <v>0.0</v>
      </c>
      <c r="AQ174" s="35" t="s">
        <v>7045</v>
      </c>
      <c r="AR174" s="30">
        <v>46388.0</v>
      </c>
      <c r="AS174" s="30">
        <v>46477.0</v>
      </c>
      <c r="AT174" s="36">
        <v>0.0</v>
      </c>
      <c r="AU174" s="36">
        <v>0.0</v>
      </c>
      <c r="AV174" s="35" t="s">
        <v>7045</v>
      </c>
      <c r="AW174" s="30">
        <v>46478.0</v>
      </c>
      <c r="AX174" s="30">
        <v>46568.0</v>
      </c>
      <c r="AY174" s="36">
        <v>0.0</v>
      </c>
      <c r="AZ174" s="36">
        <v>0.0</v>
      </c>
      <c r="BA174" s="35" t="s">
        <v>7045</v>
      </c>
      <c r="BB174" s="30">
        <v>46569.0</v>
      </c>
      <c r="BC174" s="30">
        <v>46660.0</v>
      </c>
      <c r="BD174" s="36">
        <v>0.0</v>
      </c>
      <c r="BE174" s="36">
        <v>0.0</v>
      </c>
      <c r="BF174" s="35" t="s">
        <v>7045</v>
      </c>
      <c r="BG174" s="30">
        <v>46661.0</v>
      </c>
      <c r="BH174" s="30">
        <v>46752.0</v>
      </c>
      <c r="BI174" s="36">
        <v>0.0</v>
      </c>
      <c r="BJ174" s="36">
        <v>0.0</v>
      </c>
      <c r="BK174" s="35" t="s">
        <v>7045</v>
      </c>
      <c r="BL174" s="30">
        <v>46753.0</v>
      </c>
      <c r="BM174" s="30">
        <v>46843.0</v>
      </c>
      <c r="BN174" s="36">
        <v>0.0</v>
      </c>
      <c r="BO174" s="36">
        <v>0.0</v>
      </c>
      <c r="BP174" s="35" t="s">
        <v>7045</v>
      </c>
      <c r="BQ174" s="30">
        <v>46844.0</v>
      </c>
      <c r="BR174" s="30">
        <v>46934.0</v>
      </c>
      <c r="BS174" s="36">
        <v>0.0</v>
      </c>
      <c r="BT174" s="36">
        <v>0.0</v>
      </c>
      <c r="BU174" s="35" t="s">
        <v>7045</v>
      </c>
      <c r="BV174" s="30">
        <v>46935.0</v>
      </c>
      <c r="BW174" s="30">
        <v>47026.0</v>
      </c>
      <c r="BX174" s="36">
        <v>0.0</v>
      </c>
      <c r="BY174" s="36">
        <v>0.0</v>
      </c>
      <c r="BZ174" s="35" t="s">
        <v>7045</v>
      </c>
      <c r="CA174" s="30">
        <v>47027.0</v>
      </c>
      <c r="CB174" s="30">
        <v>47118.0</v>
      </c>
      <c r="CC174" s="36">
        <v>0.0</v>
      </c>
      <c r="CD174" s="36">
        <v>0.0</v>
      </c>
      <c r="CE174" s="35" t="s">
        <v>7045</v>
      </c>
      <c r="CF174" s="30">
        <v>47119.0</v>
      </c>
      <c r="CG174" s="30">
        <v>47208.0</v>
      </c>
      <c r="CH174" s="36">
        <v>0.0</v>
      </c>
      <c r="CI174" s="36">
        <v>0.0</v>
      </c>
      <c r="CJ174" s="35" t="s">
        <v>7045</v>
      </c>
      <c r="CK174" s="30">
        <v>47209.0</v>
      </c>
      <c r="CL174" s="30">
        <v>47299.0</v>
      </c>
      <c r="CM174" s="36">
        <v>0.0</v>
      </c>
      <c r="CN174" s="36">
        <v>0.0</v>
      </c>
      <c r="CO174" s="35" t="s">
        <v>7045</v>
      </c>
      <c r="CP174" s="30">
        <v>47300.0</v>
      </c>
      <c r="CQ174" s="30">
        <v>47391.0</v>
      </c>
      <c r="CR174" s="36">
        <v>0.0</v>
      </c>
      <c r="CS174" s="36">
        <v>0.0</v>
      </c>
      <c r="CT174" s="35" t="s">
        <v>7045</v>
      </c>
      <c r="CU174" s="30">
        <v>47392.0</v>
      </c>
      <c r="CV174" s="30">
        <v>47483.0</v>
      </c>
      <c r="CW174" s="36">
        <v>0.0</v>
      </c>
      <c r="CX174" s="36">
        <v>0.0</v>
      </c>
      <c r="CY174" s="35" t="s">
        <v>7045</v>
      </c>
      <c r="CZ174" s="30">
        <v>47484.0</v>
      </c>
      <c r="DA174" s="30">
        <v>47573.0</v>
      </c>
      <c r="DB174" s="36">
        <v>0.0</v>
      </c>
      <c r="DC174" s="36">
        <v>0.0</v>
      </c>
      <c r="DD174" s="35" t="s">
        <v>7045</v>
      </c>
      <c r="DE174" s="30">
        <v>47574.0</v>
      </c>
      <c r="DF174" s="30">
        <v>47664.0</v>
      </c>
      <c r="DG174" s="36">
        <v>0.0</v>
      </c>
      <c r="DH174" s="36">
        <v>0.0</v>
      </c>
      <c r="DI174" s="35" t="s">
        <v>7045</v>
      </c>
      <c r="DJ174" s="30">
        <v>47665.0</v>
      </c>
      <c r="DK174" s="30">
        <v>47756.0</v>
      </c>
      <c r="DL174" s="36">
        <v>0.0</v>
      </c>
      <c r="DM174" s="36">
        <v>0.0</v>
      </c>
      <c r="DN174" s="35" t="s">
        <v>7045</v>
      </c>
      <c r="DO174" s="30">
        <v>47757.0</v>
      </c>
      <c r="DP174" s="30">
        <v>47848.0</v>
      </c>
      <c r="DQ174" s="36">
        <v>0.0</v>
      </c>
      <c r="DR174" s="36">
        <v>0.0</v>
      </c>
      <c r="DS174" s="35" t="s">
        <v>7045</v>
      </c>
    </row>
    <row r="175" ht="14.25" customHeight="1">
      <c r="A175" s="28" t="s">
        <v>4197</v>
      </c>
      <c r="B175" s="29" t="s">
        <v>4198</v>
      </c>
      <c r="C175" s="29" t="s">
        <v>7041</v>
      </c>
      <c r="D175" s="30">
        <v>45658.0</v>
      </c>
      <c r="E175" s="30">
        <v>45747.0</v>
      </c>
      <c r="F175" s="39">
        <v>10.0</v>
      </c>
      <c r="G175" s="39">
        <v>0.0</v>
      </c>
      <c r="H175" s="38" t="s">
        <v>7047</v>
      </c>
      <c r="I175" s="30">
        <v>45748.0</v>
      </c>
      <c r="J175" s="30">
        <v>45838.0</v>
      </c>
      <c r="K175" s="39">
        <v>2.0</v>
      </c>
      <c r="L175" s="39">
        <v>183.33</v>
      </c>
      <c r="M175" s="32" t="s">
        <v>7043</v>
      </c>
      <c r="N175" s="30">
        <v>45839.0</v>
      </c>
      <c r="O175" s="30">
        <v>45930.0</v>
      </c>
      <c r="P175" s="39">
        <v>38.5</v>
      </c>
      <c r="Q175" s="39">
        <v>166.67</v>
      </c>
      <c r="R175" s="38" t="s">
        <v>7047</v>
      </c>
      <c r="S175" s="30">
        <v>45931.0</v>
      </c>
      <c r="T175" s="30">
        <v>46022.0</v>
      </c>
      <c r="U175" s="39">
        <v>42.0</v>
      </c>
      <c r="V175" s="39">
        <v>233.33</v>
      </c>
      <c r="W175" s="38" t="s">
        <v>7047</v>
      </c>
      <c r="X175" s="30">
        <v>46023.0</v>
      </c>
      <c r="Y175" s="30">
        <v>46112.0</v>
      </c>
      <c r="Z175" s="39">
        <v>0.0</v>
      </c>
      <c r="AA175" s="39">
        <v>0.0</v>
      </c>
      <c r="AB175" s="35" t="s">
        <v>7045</v>
      </c>
      <c r="AC175" s="30">
        <v>46113.0</v>
      </c>
      <c r="AD175" s="30">
        <v>46203.0</v>
      </c>
      <c r="AE175" s="39">
        <v>0.0</v>
      </c>
      <c r="AF175" s="39">
        <v>0.0</v>
      </c>
      <c r="AG175" s="35" t="s">
        <v>7045</v>
      </c>
      <c r="AH175" s="30">
        <v>46204.0</v>
      </c>
      <c r="AI175" s="30">
        <v>46295.0</v>
      </c>
      <c r="AJ175" s="39">
        <v>0.0</v>
      </c>
      <c r="AK175" s="39">
        <v>0.0</v>
      </c>
      <c r="AL175" s="35" t="s">
        <v>7045</v>
      </c>
      <c r="AM175" s="30">
        <v>46296.0</v>
      </c>
      <c r="AN175" s="30">
        <v>46387.0</v>
      </c>
      <c r="AO175" s="39">
        <v>0.0</v>
      </c>
      <c r="AP175" s="39">
        <v>0.0</v>
      </c>
      <c r="AQ175" s="35" t="s">
        <v>7045</v>
      </c>
      <c r="AR175" s="30">
        <v>46388.0</v>
      </c>
      <c r="AS175" s="30">
        <v>46477.0</v>
      </c>
      <c r="AT175" s="39">
        <v>0.0</v>
      </c>
      <c r="AU175" s="39">
        <v>0.0</v>
      </c>
      <c r="AV175" s="35" t="s">
        <v>7045</v>
      </c>
      <c r="AW175" s="30">
        <v>46478.0</v>
      </c>
      <c r="AX175" s="30">
        <v>46568.0</v>
      </c>
      <c r="AY175" s="39">
        <v>0.0</v>
      </c>
      <c r="AZ175" s="39">
        <v>0.0</v>
      </c>
      <c r="BA175" s="35" t="s">
        <v>7045</v>
      </c>
      <c r="BB175" s="30">
        <v>46569.0</v>
      </c>
      <c r="BC175" s="30">
        <v>46660.0</v>
      </c>
      <c r="BD175" s="39">
        <v>0.0</v>
      </c>
      <c r="BE175" s="39">
        <v>0.0</v>
      </c>
      <c r="BF175" s="35" t="s">
        <v>7045</v>
      </c>
      <c r="BG175" s="30">
        <v>46661.0</v>
      </c>
      <c r="BH175" s="30">
        <v>46752.0</v>
      </c>
      <c r="BI175" s="39">
        <v>0.0</v>
      </c>
      <c r="BJ175" s="39">
        <v>0.0</v>
      </c>
      <c r="BK175" s="35" t="s">
        <v>7045</v>
      </c>
      <c r="BL175" s="30">
        <v>46753.0</v>
      </c>
      <c r="BM175" s="30">
        <v>46843.0</v>
      </c>
      <c r="BN175" s="39">
        <v>0.0</v>
      </c>
      <c r="BO175" s="39">
        <v>0.0</v>
      </c>
      <c r="BP175" s="35" t="s">
        <v>7045</v>
      </c>
      <c r="BQ175" s="30">
        <v>46844.0</v>
      </c>
      <c r="BR175" s="30">
        <v>46934.0</v>
      </c>
      <c r="BS175" s="39">
        <v>0.0</v>
      </c>
      <c r="BT175" s="39">
        <v>0.0</v>
      </c>
      <c r="BU175" s="35" t="s">
        <v>7045</v>
      </c>
      <c r="BV175" s="30">
        <v>46935.0</v>
      </c>
      <c r="BW175" s="30">
        <v>47026.0</v>
      </c>
      <c r="BX175" s="39">
        <v>0.0</v>
      </c>
      <c r="BY175" s="39">
        <v>0.0</v>
      </c>
      <c r="BZ175" s="35" t="s">
        <v>7045</v>
      </c>
      <c r="CA175" s="30">
        <v>47027.0</v>
      </c>
      <c r="CB175" s="30">
        <v>47118.0</v>
      </c>
      <c r="CC175" s="39">
        <v>0.0</v>
      </c>
      <c r="CD175" s="39">
        <v>0.0</v>
      </c>
      <c r="CE175" s="35" t="s">
        <v>7045</v>
      </c>
      <c r="CF175" s="30">
        <v>47119.0</v>
      </c>
      <c r="CG175" s="30">
        <v>47208.0</v>
      </c>
      <c r="CH175" s="39">
        <v>0.0</v>
      </c>
      <c r="CI175" s="39">
        <v>0.0</v>
      </c>
      <c r="CJ175" s="35" t="s">
        <v>7045</v>
      </c>
      <c r="CK175" s="30">
        <v>47209.0</v>
      </c>
      <c r="CL175" s="30">
        <v>47299.0</v>
      </c>
      <c r="CM175" s="39">
        <v>0.0</v>
      </c>
      <c r="CN175" s="39">
        <v>0.0</v>
      </c>
      <c r="CO175" s="35" t="s">
        <v>7045</v>
      </c>
      <c r="CP175" s="30">
        <v>47300.0</v>
      </c>
      <c r="CQ175" s="30">
        <v>47391.0</v>
      </c>
      <c r="CR175" s="39">
        <v>0.0</v>
      </c>
      <c r="CS175" s="39">
        <v>0.0</v>
      </c>
      <c r="CT175" s="35" t="s">
        <v>7045</v>
      </c>
      <c r="CU175" s="30">
        <v>47392.0</v>
      </c>
      <c r="CV175" s="30">
        <v>47483.0</v>
      </c>
      <c r="CW175" s="39">
        <v>0.0</v>
      </c>
      <c r="CX175" s="39">
        <v>0.0</v>
      </c>
      <c r="CY175" s="35" t="s">
        <v>7045</v>
      </c>
      <c r="CZ175" s="30">
        <v>47484.0</v>
      </c>
      <c r="DA175" s="30">
        <v>47573.0</v>
      </c>
      <c r="DB175" s="39">
        <v>0.0</v>
      </c>
      <c r="DC175" s="39">
        <v>0.0</v>
      </c>
      <c r="DD175" s="35" t="s">
        <v>7045</v>
      </c>
      <c r="DE175" s="30">
        <v>47574.0</v>
      </c>
      <c r="DF175" s="30">
        <v>47664.0</v>
      </c>
      <c r="DG175" s="39">
        <v>0.0</v>
      </c>
      <c r="DH175" s="39">
        <v>0.0</v>
      </c>
      <c r="DI175" s="35" t="s">
        <v>7045</v>
      </c>
      <c r="DJ175" s="30">
        <v>47665.0</v>
      </c>
      <c r="DK175" s="30">
        <v>47756.0</v>
      </c>
      <c r="DL175" s="39">
        <v>0.0</v>
      </c>
      <c r="DM175" s="39">
        <v>0.0</v>
      </c>
      <c r="DN175" s="35" t="s">
        <v>7045</v>
      </c>
      <c r="DO175" s="30">
        <v>47757.0</v>
      </c>
      <c r="DP175" s="30">
        <v>47848.0</v>
      </c>
      <c r="DQ175" s="39">
        <v>0.0</v>
      </c>
      <c r="DR175" s="39">
        <v>0.0</v>
      </c>
      <c r="DS175" s="35" t="s">
        <v>7045</v>
      </c>
    </row>
    <row r="176" ht="14.25" customHeight="1">
      <c r="A176" s="28" t="s">
        <v>4894</v>
      </c>
      <c r="B176" s="29" t="s">
        <v>4895</v>
      </c>
      <c r="C176" s="29" t="s">
        <v>7041</v>
      </c>
      <c r="D176" s="30">
        <v>45658.0</v>
      </c>
      <c r="E176" s="30">
        <v>45747.0</v>
      </c>
      <c r="F176" s="36">
        <v>18.0</v>
      </c>
      <c r="G176" s="36">
        <v>0.0</v>
      </c>
      <c r="H176" s="38" t="s">
        <v>7047</v>
      </c>
      <c r="I176" s="30">
        <v>45748.0</v>
      </c>
      <c r="J176" s="30">
        <v>45838.0</v>
      </c>
      <c r="K176" s="36">
        <v>10.2</v>
      </c>
      <c r="L176" s="36">
        <v>919.99</v>
      </c>
      <c r="M176" s="32" t="s">
        <v>7043</v>
      </c>
      <c r="N176" s="30">
        <v>45839.0</v>
      </c>
      <c r="O176" s="30">
        <v>45930.0</v>
      </c>
      <c r="P176" s="36">
        <v>10.2</v>
      </c>
      <c r="Q176" s="36">
        <v>1059.98</v>
      </c>
      <c r="R176" s="32" t="s">
        <v>7043</v>
      </c>
      <c r="S176" s="30">
        <v>45931.0</v>
      </c>
      <c r="T176" s="30">
        <v>46022.0</v>
      </c>
      <c r="U176" s="36">
        <v>0.0</v>
      </c>
      <c r="V176" s="36">
        <v>1159.99</v>
      </c>
      <c r="W176" s="32" t="s">
        <v>7043</v>
      </c>
      <c r="X176" s="30">
        <v>46023.0</v>
      </c>
      <c r="Y176" s="30">
        <v>46112.0</v>
      </c>
      <c r="Z176" s="36">
        <v>0.0</v>
      </c>
      <c r="AA176" s="36">
        <v>0.0</v>
      </c>
      <c r="AB176" s="35" t="s">
        <v>7045</v>
      </c>
      <c r="AC176" s="30">
        <v>46113.0</v>
      </c>
      <c r="AD176" s="30">
        <v>46203.0</v>
      </c>
      <c r="AE176" s="36">
        <v>0.0</v>
      </c>
      <c r="AF176" s="36">
        <v>0.0</v>
      </c>
      <c r="AG176" s="35" t="s">
        <v>7045</v>
      </c>
      <c r="AH176" s="30">
        <v>46204.0</v>
      </c>
      <c r="AI176" s="30">
        <v>46295.0</v>
      </c>
      <c r="AJ176" s="36">
        <v>0.0</v>
      </c>
      <c r="AK176" s="36">
        <v>0.0</v>
      </c>
      <c r="AL176" s="35" t="s">
        <v>7045</v>
      </c>
      <c r="AM176" s="30">
        <v>46296.0</v>
      </c>
      <c r="AN176" s="30">
        <v>46387.0</v>
      </c>
      <c r="AO176" s="36">
        <v>0.0</v>
      </c>
      <c r="AP176" s="36">
        <v>0.0</v>
      </c>
      <c r="AQ176" s="35" t="s">
        <v>7045</v>
      </c>
      <c r="AR176" s="30">
        <v>46388.0</v>
      </c>
      <c r="AS176" s="30">
        <v>46477.0</v>
      </c>
      <c r="AT176" s="36">
        <v>0.0</v>
      </c>
      <c r="AU176" s="36">
        <v>0.0</v>
      </c>
      <c r="AV176" s="35" t="s">
        <v>7045</v>
      </c>
      <c r="AW176" s="30">
        <v>46478.0</v>
      </c>
      <c r="AX176" s="30">
        <v>46568.0</v>
      </c>
      <c r="AY176" s="36">
        <v>0.0</v>
      </c>
      <c r="AZ176" s="36">
        <v>0.0</v>
      </c>
      <c r="BA176" s="35" t="s">
        <v>7045</v>
      </c>
      <c r="BB176" s="30">
        <v>46569.0</v>
      </c>
      <c r="BC176" s="30">
        <v>46660.0</v>
      </c>
      <c r="BD176" s="36">
        <v>0.0</v>
      </c>
      <c r="BE176" s="36">
        <v>0.0</v>
      </c>
      <c r="BF176" s="35" t="s">
        <v>7045</v>
      </c>
      <c r="BG176" s="30">
        <v>46661.0</v>
      </c>
      <c r="BH176" s="30">
        <v>46752.0</v>
      </c>
      <c r="BI176" s="36">
        <v>0.0</v>
      </c>
      <c r="BJ176" s="36">
        <v>0.0</v>
      </c>
      <c r="BK176" s="35" t="s">
        <v>7045</v>
      </c>
      <c r="BL176" s="30">
        <v>46753.0</v>
      </c>
      <c r="BM176" s="30">
        <v>46843.0</v>
      </c>
      <c r="BN176" s="36">
        <v>0.0</v>
      </c>
      <c r="BO176" s="36">
        <v>0.0</v>
      </c>
      <c r="BP176" s="35" t="s">
        <v>7045</v>
      </c>
      <c r="BQ176" s="30">
        <v>46844.0</v>
      </c>
      <c r="BR176" s="30">
        <v>46934.0</v>
      </c>
      <c r="BS176" s="36">
        <v>0.0</v>
      </c>
      <c r="BT176" s="36">
        <v>0.0</v>
      </c>
      <c r="BU176" s="35" t="s">
        <v>7045</v>
      </c>
      <c r="BV176" s="30">
        <v>46935.0</v>
      </c>
      <c r="BW176" s="30">
        <v>47026.0</v>
      </c>
      <c r="BX176" s="36">
        <v>0.0</v>
      </c>
      <c r="BY176" s="36">
        <v>0.0</v>
      </c>
      <c r="BZ176" s="35" t="s">
        <v>7045</v>
      </c>
      <c r="CA176" s="30">
        <v>47027.0</v>
      </c>
      <c r="CB176" s="30">
        <v>47118.0</v>
      </c>
      <c r="CC176" s="36">
        <v>0.0</v>
      </c>
      <c r="CD176" s="36">
        <v>0.0</v>
      </c>
      <c r="CE176" s="35" t="s">
        <v>7045</v>
      </c>
      <c r="CF176" s="30">
        <v>47119.0</v>
      </c>
      <c r="CG176" s="30">
        <v>47208.0</v>
      </c>
      <c r="CH176" s="36">
        <v>0.0</v>
      </c>
      <c r="CI176" s="36">
        <v>0.0</v>
      </c>
      <c r="CJ176" s="35" t="s">
        <v>7045</v>
      </c>
      <c r="CK176" s="30">
        <v>47209.0</v>
      </c>
      <c r="CL176" s="30">
        <v>47299.0</v>
      </c>
      <c r="CM176" s="36">
        <v>0.0</v>
      </c>
      <c r="CN176" s="36">
        <v>0.0</v>
      </c>
      <c r="CO176" s="35" t="s">
        <v>7045</v>
      </c>
      <c r="CP176" s="30">
        <v>47300.0</v>
      </c>
      <c r="CQ176" s="30">
        <v>47391.0</v>
      </c>
      <c r="CR176" s="36">
        <v>0.0</v>
      </c>
      <c r="CS176" s="36">
        <v>0.0</v>
      </c>
      <c r="CT176" s="35" t="s">
        <v>7045</v>
      </c>
      <c r="CU176" s="30">
        <v>47392.0</v>
      </c>
      <c r="CV176" s="30">
        <v>47483.0</v>
      </c>
      <c r="CW176" s="36">
        <v>0.0</v>
      </c>
      <c r="CX176" s="36">
        <v>0.0</v>
      </c>
      <c r="CY176" s="35" t="s">
        <v>7045</v>
      </c>
      <c r="CZ176" s="30">
        <v>47484.0</v>
      </c>
      <c r="DA176" s="30">
        <v>47573.0</v>
      </c>
      <c r="DB176" s="36">
        <v>0.0</v>
      </c>
      <c r="DC176" s="36">
        <v>0.0</v>
      </c>
      <c r="DD176" s="35" t="s">
        <v>7045</v>
      </c>
      <c r="DE176" s="30">
        <v>47574.0</v>
      </c>
      <c r="DF176" s="30">
        <v>47664.0</v>
      </c>
      <c r="DG176" s="36">
        <v>0.0</v>
      </c>
      <c r="DH176" s="36">
        <v>0.0</v>
      </c>
      <c r="DI176" s="35" t="s">
        <v>7045</v>
      </c>
      <c r="DJ176" s="30">
        <v>47665.0</v>
      </c>
      <c r="DK176" s="30">
        <v>47756.0</v>
      </c>
      <c r="DL176" s="36">
        <v>0.0</v>
      </c>
      <c r="DM176" s="36">
        <v>0.0</v>
      </c>
      <c r="DN176" s="35" t="s">
        <v>7045</v>
      </c>
      <c r="DO176" s="30">
        <v>47757.0</v>
      </c>
      <c r="DP176" s="30">
        <v>47848.0</v>
      </c>
      <c r="DQ176" s="36">
        <v>0.0</v>
      </c>
      <c r="DR176" s="36">
        <v>0.0</v>
      </c>
      <c r="DS176" s="35" t="s">
        <v>7045</v>
      </c>
    </row>
    <row r="177" ht="14.25" customHeight="1">
      <c r="A177" s="28" t="s">
        <v>4904</v>
      </c>
      <c r="B177" s="29" t="s">
        <v>4905</v>
      </c>
      <c r="C177" s="29" t="s">
        <v>7041</v>
      </c>
      <c r="D177" s="30">
        <v>45658.0</v>
      </c>
      <c r="E177" s="30">
        <v>45747.0</v>
      </c>
      <c r="F177" s="39">
        <v>10.0</v>
      </c>
      <c r="G177" s="39">
        <v>0.0</v>
      </c>
      <c r="H177" s="38" t="s">
        <v>7047</v>
      </c>
      <c r="I177" s="30">
        <v>45748.0</v>
      </c>
      <c r="J177" s="30">
        <v>45838.0</v>
      </c>
      <c r="K177" s="39">
        <v>10.0</v>
      </c>
      <c r="L177" s="39">
        <v>67.8</v>
      </c>
      <c r="M177" s="38" t="s">
        <v>7043</v>
      </c>
      <c r="N177" s="30">
        <v>45839.0</v>
      </c>
      <c r="O177" s="30">
        <v>45930.0</v>
      </c>
      <c r="P177" s="39">
        <v>101.7</v>
      </c>
      <c r="Q177" s="39">
        <v>84.75</v>
      </c>
      <c r="R177" s="38" t="s">
        <v>7047</v>
      </c>
      <c r="S177" s="30">
        <v>45931.0</v>
      </c>
      <c r="T177" s="30">
        <v>46022.0</v>
      </c>
      <c r="U177" s="39">
        <v>40.0</v>
      </c>
      <c r="V177" s="39">
        <v>118.64</v>
      </c>
      <c r="W177" s="38" t="s">
        <v>7047</v>
      </c>
      <c r="X177" s="30">
        <v>46023.0</v>
      </c>
      <c r="Y177" s="30">
        <v>46112.0</v>
      </c>
      <c r="Z177" s="39">
        <v>10.0</v>
      </c>
      <c r="AA177" s="39">
        <v>0.0</v>
      </c>
      <c r="AB177" s="35" t="s">
        <v>7047</v>
      </c>
      <c r="AC177" s="30">
        <v>46113.0</v>
      </c>
      <c r="AD177" s="30">
        <v>46203.0</v>
      </c>
      <c r="AE177" s="39">
        <v>38.0</v>
      </c>
      <c r="AF177" s="39">
        <v>0.0</v>
      </c>
      <c r="AG177" s="38" t="s">
        <v>7047</v>
      </c>
      <c r="AH177" s="30">
        <v>46204.0</v>
      </c>
      <c r="AI177" s="30">
        <v>46295.0</v>
      </c>
      <c r="AJ177" s="39">
        <v>0.0</v>
      </c>
      <c r="AK177" s="39">
        <v>0.0</v>
      </c>
      <c r="AL177" s="35" t="s">
        <v>7045</v>
      </c>
      <c r="AM177" s="30">
        <v>46296.0</v>
      </c>
      <c r="AN177" s="30">
        <v>46387.0</v>
      </c>
      <c r="AO177" s="39">
        <v>0.0</v>
      </c>
      <c r="AP177" s="39">
        <v>0.0</v>
      </c>
      <c r="AQ177" s="35" t="s">
        <v>7045</v>
      </c>
      <c r="AR177" s="30">
        <v>46388.0</v>
      </c>
      <c r="AS177" s="30">
        <v>46477.0</v>
      </c>
      <c r="AT177" s="39">
        <v>0.0</v>
      </c>
      <c r="AU177" s="39">
        <v>0.0</v>
      </c>
      <c r="AV177" s="35" t="s">
        <v>7045</v>
      </c>
      <c r="AW177" s="30">
        <v>46478.0</v>
      </c>
      <c r="AX177" s="30">
        <v>46568.0</v>
      </c>
      <c r="AY177" s="39">
        <v>0.0</v>
      </c>
      <c r="AZ177" s="39">
        <v>0.0</v>
      </c>
      <c r="BA177" s="35" t="s">
        <v>7045</v>
      </c>
      <c r="BB177" s="30">
        <v>46569.0</v>
      </c>
      <c r="BC177" s="30">
        <v>46660.0</v>
      </c>
      <c r="BD177" s="39">
        <v>0.0</v>
      </c>
      <c r="BE177" s="39">
        <v>0.0</v>
      </c>
      <c r="BF177" s="35" t="s">
        <v>7045</v>
      </c>
      <c r="BG177" s="30">
        <v>46661.0</v>
      </c>
      <c r="BH177" s="30">
        <v>46752.0</v>
      </c>
      <c r="BI177" s="39">
        <v>0.0</v>
      </c>
      <c r="BJ177" s="39">
        <v>0.0</v>
      </c>
      <c r="BK177" s="35" t="s">
        <v>7045</v>
      </c>
      <c r="BL177" s="30">
        <v>46753.0</v>
      </c>
      <c r="BM177" s="30">
        <v>46843.0</v>
      </c>
      <c r="BN177" s="39">
        <v>0.0</v>
      </c>
      <c r="BO177" s="39">
        <v>0.0</v>
      </c>
      <c r="BP177" s="35" t="s">
        <v>7045</v>
      </c>
      <c r="BQ177" s="30">
        <v>46844.0</v>
      </c>
      <c r="BR177" s="30">
        <v>46934.0</v>
      </c>
      <c r="BS177" s="39">
        <v>0.0</v>
      </c>
      <c r="BT177" s="39">
        <v>0.0</v>
      </c>
      <c r="BU177" s="35" t="s">
        <v>7045</v>
      </c>
      <c r="BV177" s="30">
        <v>46935.0</v>
      </c>
      <c r="BW177" s="30">
        <v>47026.0</v>
      </c>
      <c r="BX177" s="39">
        <v>0.0</v>
      </c>
      <c r="BY177" s="39">
        <v>0.0</v>
      </c>
      <c r="BZ177" s="35" t="s">
        <v>7045</v>
      </c>
      <c r="CA177" s="30">
        <v>47027.0</v>
      </c>
      <c r="CB177" s="30">
        <v>47118.0</v>
      </c>
      <c r="CC177" s="39">
        <v>0.0</v>
      </c>
      <c r="CD177" s="39">
        <v>0.0</v>
      </c>
      <c r="CE177" s="35" t="s">
        <v>7045</v>
      </c>
      <c r="CF177" s="30">
        <v>47119.0</v>
      </c>
      <c r="CG177" s="30">
        <v>47208.0</v>
      </c>
      <c r="CH177" s="39">
        <v>0.0</v>
      </c>
      <c r="CI177" s="39">
        <v>0.0</v>
      </c>
      <c r="CJ177" s="35" t="s">
        <v>7045</v>
      </c>
      <c r="CK177" s="30">
        <v>47209.0</v>
      </c>
      <c r="CL177" s="30">
        <v>47299.0</v>
      </c>
      <c r="CM177" s="39">
        <v>0.0</v>
      </c>
      <c r="CN177" s="39">
        <v>0.0</v>
      </c>
      <c r="CO177" s="35" t="s">
        <v>7045</v>
      </c>
      <c r="CP177" s="30">
        <v>47300.0</v>
      </c>
      <c r="CQ177" s="30">
        <v>47391.0</v>
      </c>
      <c r="CR177" s="39">
        <v>0.0</v>
      </c>
      <c r="CS177" s="39">
        <v>0.0</v>
      </c>
      <c r="CT177" s="35" t="s">
        <v>7045</v>
      </c>
      <c r="CU177" s="30">
        <v>47392.0</v>
      </c>
      <c r="CV177" s="30">
        <v>47483.0</v>
      </c>
      <c r="CW177" s="39">
        <v>0.0</v>
      </c>
      <c r="CX177" s="39">
        <v>0.0</v>
      </c>
      <c r="CY177" s="35" t="s">
        <v>7045</v>
      </c>
      <c r="CZ177" s="30">
        <v>47484.0</v>
      </c>
      <c r="DA177" s="30">
        <v>47573.0</v>
      </c>
      <c r="DB177" s="39">
        <v>0.0</v>
      </c>
      <c r="DC177" s="39">
        <v>0.0</v>
      </c>
      <c r="DD177" s="35" t="s">
        <v>7045</v>
      </c>
      <c r="DE177" s="30">
        <v>47574.0</v>
      </c>
      <c r="DF177" s="30">
        <v>47664.0</v>
      </c>
      <c r="DG177" s="39">
        <v>0.0</v>
      </c>
      <c r="DH177" s="39">
        <v>0.0</v>
      </c>
      <c r="DI177" s="35" t="s">
        <v>7045</v>
      </c>
      <c r="DJ177" s="30">
        <v>47665.0</v>
      </c>
      <c r="DK177" s="30">
        <v>47756.0</v>
      </c>
      <c r="DL177" s="39">
        <v>0.0</v>
      </c>
      <c r="DM177" s="39">
        <v>0.0</v>
      </c>
      <c r="DN177" s="35" t="s">
        <v>7045</v>
      </c>
      <c r="DO177" s="30">
        <v>47757.0</v>
      </c>
      <c r="DP177" s="30">
        <v>47848.0</v>
      </c>
      <c r="DQ177" s="39">
        <v>0.0</v>
      </c>
      <c r="DR177" s="39">
        <v>0.0</v>
      </c>
      <c r="DS177" s="35" t="s">
        <v>7045</v>
      </c>
    </row>
    <row r="178" ht="14.25" customHeight="1">
      <c r="A178" s="28" t="s">
        <v>5041</v>
      </c>
      <c r="B178" s="29" t="s">
        <v>5042</v>
      </c>
      <c r="C178" s="29" t="s">
        <v>7041</v>
      </c>
      <c r="D178" s="30">
        <v>45658.0</v>
      </c>
      <c r="E178" s="30">
        <v>45747.0</v>
      </c>
      <c r="F178" s="36">
        <v>0.0</v>
      </c>
      <c r="G178" s="36">
        <v>0.0</v>
      </c>
      <c r="H178" s="35" t="s">
        <v>7045</v>
      </c>
      <c r="I178" s="30">
        <v>45748.0</v>
      </c>
      <c r="J178" s="30">
        <v>45838.0</v>
      </c>
      <c r="K178" s="36">
        <v>0.0</v>
      </c>
      <c r="L178" s="36">
        <v>0.0</v>
      </c>
      <c r="M178" s="35" t="s">
        <v>7045</v>
      </c>
      <c r="N178" s="30">
        <v>45839.0</v>
      </c>
      <c r="O178" s="30">
        <v>45930.0</v>
      </c>
      <c r="P178" s="36">
        <v>0.0</v>
      </c>
      <c r="Q178" s="36">
        <v>0.0</v>
      </c>
      <c r="R178" s="35" t="s">
        <v>7045</v>
      </c>
      <c r="S178" s="30">
        <v>45931.0</v>
      </c>
      <c r="T178" s="30">
        <v>46022.0</v>
      </c>
      <c r="U178" s="36">
        <v>0.0</v>
      </c>
      <c r="V178" s="36">
        <v>0.0</v>
      </c>
      <c r="W178" s="35" t="s">
        <v>7045</v>
      </c>
      <c r="X178" s="30">
        <v>46023.0</v>
      </c>
      <c r="Y178" s="30">
        <v>46112.0</v>
      </c>
      <c r="Z178" s="36">
        <v>0.0</v>
      </c>
      <c r="AA178" s="36">
        <v>0.0</v>
      </c>
      <c r="AB178" s="35" t="s">
        <v>7045</v>
      </c>
      <c r="AC178" s="30">
        <v>46113.0</v>
      </c>
      <c r="AD178" s="30">
        <v>46203.0</v>
      </c>
      <c r="AE178" s="36">
        <v>0.0</v>
      </c>
      <c r="AF178" s="36">
        <v>0.0</v>
      </c>
      <c r="AG178" s="35" t="s">
        <v>7045</v>
      </c>
      <c r="AH178" s="30">
        <v>46204.0</v>
      </c>
      <c r="AI178" s="30">
        <v>46295.0</v>
      </c>
      <c r="AJ178" s="36">
        <v>0.0</v>
      </c>
      <c r="AK178" s="36">
        <v>0.0</v>
      </c>
      <c r="AL178" s="35" t="s">
        <v>7045</v>
      </c>
      <c r="AM178" s="30">
        <v>46296.0</v>
      </c>
      <c r="AN178" s="30">
        <v>46387.0</v>
      </c>
      <c r="AO178" s="36">
        <v>0.0</v>
      </c>
      <c r="AP178" s="36">
        <v>0.0</v>
      </c>
      <c r="AQ178" s="35" t="s">
        <v>7045</v>
      </c>
      <c r="AR178" s="30">
        <v>46388.0</v>
      </c>
      <c r="AS178" s="30">
        <v>46477.0</v>
      </c>
      <c r="AT178" s="36">
        <v>0.0</v>
      </c>
      <c r="AU178" s="36">
        <v>0.0</v>
      </c>
      <c r="AV178" s="35" t="s">
        <v>7045</v>
      </c>
      <c r="AW178" s="30">
        <v>46478.0</v>
      </c>
      <c r="AX178" s="30">
        <v>46568.0</v>
      </c>
      <c r="AY178" s="36">
        <v>0.0</v>
      </c>
      <c r="AZ178" s="36">
        <v>0.0</v>
      </c>
      <c r="BA178" s="35" t="s">
        <v>7045</v>
      </c>
      <c r="BB178" s="30">
        <v>46569.0</v>
      </c>
      <c r="BC178" s="30">
        <v>46660.0</v>
      </c>
      <c r="BD178" s="36">
        <v>0.0</v>
      </c>
      <c r="BE178" s="36">
        <v>0.0</v>
      </c>
      <c r="BF178" s="35" t="s">
        <v>7045</v>
      </c>
      <c r="BG178" s="30">
        <v>46661.0</v>
      </c>
      <c r="BH178" s="30">
        <v>46752.0</v>
      </c>
      <c r="BI178" s="36">
        <v>0.0</v>
      </c>
      <c r="BJ178" s="36">
        <v>0.0</v>
      </c>
      <c r="BK178" s="35" t="s">
        <v>7045</v>
      </c>
      <c r="BL178" s="30">
        <v>46753.0</v>
      </c>
      <c r="BM178" s="30">
        <v>46843.0</v>
      </c>
      <c r="BN178" s="36">
        <v>0.0</v>
      </c>
      <c r="BO178" s="36">
        <v>0.0</v>
      </c>
      <c r="BP178" s="35" t="s">
        <v>7045</v>
      </c>
      <c r="BQ178" s="30">
        <v>46844.0</v>
      </c>
      <c r="BR178" s="30">
        <v>46934.0</v>
      </c>
      <c r="BS178" s="36">
        <v>0.0</v>
      </c>
      <c r="BT178" s="36">
        <v>0.0</v>
      </c>
      <c r="BU178" s="35" t="s">
        <v>7045</v>
      </c>
      <c r="BV178" s="30">
        <v>46935.0</v>
      </c>
      <c r="BW178" s="30">
        <v>47026.0</v>
      </c>
      <c r="BX178" s="36">
        <v>0.0</v>
      </c>
      <c r="BY178" s="36">
        <v>0.0</v>
      </c>
      <c r="BZ178" s="35" t="s">
        <v>7045</v>
      </c>
      <c r="CA178" s="30">
        <v>47027.0</v>
      </c>
      <c r="CB178" s="30">
        <v>47118.0</v>
      </c>
      <c r="CC178" s="36">
        <v>0.0</v>
      </c>
      <c r="CD178" s="36">
        <v>0.0</v>
      </c>
      <c r="CE178" s="35" t="s">
        <v>7045</v>
      </c>
      <c r="CF178" s="30">
        <v>47119.0</v>
      </c>
      <c r="CG178" s="30">
        <v>47208.0</v>
      </c>
      <c r="CH178" s="36">
        <v>0.0</v>
      </c>
      <c r="CI178" s="36">
        <v>0.0</v>
      </c>
      <c r="CJ178" s="35" t="s">
        <v>7045</v>
      </c>
      <c r="CK178" s="30">
        <v>47209.0</v>
      </c>
      <c r="CL178" s="30">
        <v>47299.0</v>
      </c>
      <c r="CM178" s="36">
        <v>0.0</v>
      </c>
      <c r="CN178" s="36">
        <v>0.0</v>
      </c>
      <c r="CO178" s="35" t="s">
        <v>7045</v>
      </c>
      <c r="CP178" s="30">
        <v>47300.0</v>
      </c>
      <c r="CQ178" s="30">
        <v>47391.0</v>
      </c>
      <c r="CR178" s="36">
        <v>0.0</v>
      </c>
      <c r="CS178" s="36">
        <v>0.0</v>
      </c>
      <c r="CT178" s="35" t="s">
        <v>7045</v>
      </c>
      <c r="CU178" s="30">
        <v>47392.0</v>
      </c>
      <c r="CV178" s="30">
        <v>47483.0</v>
      </c>
      <c r="CW178" s="36">
        <v>0.0</v>
      </c>
      <c r="CX178" s="36">
        <v>0.0</v>
      </c>
      <c r="CY178" s="35" t="s">
        <v>7045</v>
      </c>
      <c r="CZ178" s="30">
        <v>47484.0</v>
      </c>
      <c r="DA178" s="30">
        <v>47573.0</v>
      </c>
      <c r="DB178" s="36">
        <v>0.0</v>
      </c>
      <c r="DC178" s="36">
        <v>0.0</v>
      </c>
      <c r="DD178" s="35" t="s">
        <v>7045</v>
      </c>
      <c r="DE178" s="30">
        <v>47574.0</v>
      </c>
      <c r="DF178" s="30">
        <v>47664.0</v>
      </c>
      <c r="DG178" s="36">
        <v>0.0</v>
      </c>
      <c r="DH178" s="36">
        <v>0.0</v>
      </c>
      <c r="DI178" s="35" t="s">
        <v>7045</v>
      </c>
      <c r="DJ178" s="30">
        <v>47665.0</v>
      </c>
      <c r="DK178" s="30">
        <v>47756.0</v>
      </c>
      <c r="DL178" s="36">
        <v>0.0</v>
      </c>
      <c r="DM178" s="36">
        <v>0.0</v>
      </c>
      <c r="DN178" s="35" t="s">
        <v>7045</v>
      </c>
      <c r="DO178" s="30">
        <v>47757.0</v>
      </c>
      <c r="DP178" s="30">
        <v>47848.0</v>
      </c>
      <c r="DQ178" s="36">
        <v>0.0</v>
      </c>
      <c r="DR178" s="36">
        <v>0.0</v>
      </c>
      <c r="DS178" s="35" t="s">
        <v>7045</v>
      </c>
    </row>
    <row r="179" ht="14.25" customHeight="1">
      <c r="A179" s="28" t="s">
        <v>5052</v>
      </c>
      <c r="B179" s="29" t="s">
        <v>5053</v>
      </c>
      <c r="C179" s="29" t="s">
        <v>7041</v>
      </c>
      <c r="D179" s="30">
        <v>45658.0</v>
      </c>
      <c r="E179" s="30">
        <v>45747.0</v>
      </c>
      <c r="F179" s="36">
        <v>110.66</v>
      </c>
      <c r="G179" s="36">
        <v>0.0</v>
      </c>
      <c r="H179" s="38" t="s">
        <v>7047</v>
      </c>
      <c r="I179" s="30">
        <v>45748.0</v>
      </c>
      <c r="J179" s="30">
        <v>45838.0</v>
      </c>
      <c r="K179" s="36">
        <v>0.0</v>
      </c>
      <c r="L179" s="36">
        <v>116.64</v>
      </c>
      <c r="M179" s="32" t="s">
        <v>7043</v>
      </c>
      <c r="N179" s="30">
        <v>45839.0</v>
      </c>
      <c r="O179" s="30">
        <v>45930.0</v>
      </c>
      <c r="P179" s="36">
        <v>0.0</v>
      </c>
      <c r="Q179" s="36">
        <v>300.0</v>
      </c>
      <c r="R179" s="32" t="s">
        <v>7043</v>
      </c>
      <c r="S179" s="30">
        <v>45931.0</v>
      </c>
      <c r="T179" s="30">
        <v>46022.0</v>
      </c>
      <c r="U179" s="36">
        <v>0.0</v>
      </c>
      <c r="V179" s="36">
        <v>550.01</v>
      </c>
      <c r="W179" s="32" t="s">
        <v>7043</v>
      </c>
      <c r="X179" s="30">
        <v>46023.0</v>
      </c>
      <c r="Y179" s="30">
        <v>46112.0</v>
      </c>
      <c r="Z179" s="36">
        <v>0.0</v>
      </c>
      <c r="AA179" s="36">
        <v>0.0</v>
      </c>
      <c r="AB179" s="35" t="s">
        <v>7045</v>
      </c>
      <c r="AC179" s="30">
        <v>46113.0</v>
      </c>
      <c r="AD179" s="30">
        <v>46203.0</v>
      </c>
      <c r="AE179" s="36">
        <v>0.0</v>
      </c>
      <c r="AF179" s="36">
        <v>0.0</v>
      </c>
      <c r="AG179" s="35" t="s">
        <v>7045</v>
      </c>
      <c r="AH179" s="30">
        <v>46204.0</v>
      </c>
      <c r="AI179" s="30">
        <v>46295.0</v>
      </c>
      <c r="AJ179" s="36">
        <v>0.0</v>
      </c>
      <c r="AK179" s="36">
        <v>0.0</v>
      </c>
      <c r="AL179" s="35" t="s">
        <v>7045</v>
      </c>
      <c r="AM179" s="30">
        <v>46296.0</v>
      </c>
      <c r="AN179" s="30">
        <v>46387.0</v>
      </c>
      <c r="AO179" s="36">
        <v>0.0</v>
      </c>
      <c r="AP179" s="36">
        <v>0.0</v>
      </c>
      <c r="AQ179" s="35" t="s">
        <v>7045</v>
      </c>
      <c r="AR179" s="30">
        <v>46388.0</v>
      </c>
      <c r="AS179" s="30">
        <v>46477.0</v>
      </c>
      <c r="AT179" s="36">
        <v>0.0</v>
      </c>
      <c r="AU179" s="36">
        <v>0.0</v>
      </c>
      <c r="AV179" s="35" t="s">
        <v>7045</v>
      </c>
      <c r="AW179" s="30">
        <v>46478.0</v>
      </c>
      <c r="AX179" s="30">
        <v>46568.0</v>
      </c>
      <c r="AY179" s="36">
        <v>0.0</v>
      </c>
      <c r="AZ179" s="36">
        <v>0.0</v>
      </c>
      <c r="BA179" s="35" t="s">
        <v>7045</v>
      </c>
      <c r="BB179" s="30">
        <v>46569.0</v>
      </c>
      <c r="BC179" s="30">
        <v>46660.0</v>
      </c>
      <c r="BD179" s="36">
        <v>0.0</v>
      </c>
      <c r="BE179" s="36">
        <v>0.0</v>
      </c>
      <c r="BF179" s="35" t="s">
        <v>7045</v>
      </c>
      <c r="BG179" s="30">
        <v>46661.0</v>
      </c>
      <c r="BH179" s="30">
        <v>46752.0</v>
      </c>
      <c r="BI179" s="36">
        <v>0.0</v>
      </c>
      <c r="BJ179" s="36">
        <v>0.0</v>
      </c>
      <c r="BK179" s="35" t="s">
        <v>7045</v>
      </c>
      <c r="BL179" s="30">
        <v>46753.0</v>
      </c>
      <c r="BM179" s="30">
        <v>46843.0</v>
      </c>
      <c r="BN179" s="36">
        <v>0.0</v>
      </c>
      <c r="BO179" s="36">
        <v>0.0</v>
      </c>
      <c r="BP179" s="35" t="s">
        <v>7045</v>
      </c>
      <c r="BQ179" s="30">
        <v>46844.0</v>
      </c>
      <c r="BR179" s="30">
        <v>46934.0</v>
      </c>
      <c r="BS179" s="36">
        <v>0.0</v>
      </c>
      <c r="BT179" s="36">
        <v>0.0</v>
      </c>
      <c r="BU179" s="35" t="s">
        <v>7045</v>
      </c>
      <c r="BV179" s="30">
        <v>46935.0</v>
      </c>
      <c r="BW179" s="30">
        <v>47026.0</v>
      </c>
      <c r="BX179" s="36">
        <v>0.0</v>
      </c>
      <c r="BY179" s="36">
        <v>0.0</v>
      </c>
      <c r="BZ179" s="35" t="s">
        <v>7045</v>
      </c>
      <c r="CA179" s="30">
        <v>47027.0</v>
      </c>
      <c r="CB179" s="30">
        <v>47118.0</v>
      </c>
      <c r="CC179" s="36">
        <v>0.0</v>
      </c>
      <c r="CD179" s="36">
        <v>0.0</v>
      </c>
      <c r="CE179" s="35" t="s">
        <v>7045</v>
      </c>
      <c r="CF179" s="30">
        <v>47119.0</v>
      </c>
      <c r="CG179" s="30">
        <v>47208.0</v>
      </c>
      <c r="CH179" s="36">
        <v>0.0</v>
      </c>
      <c r="CI179" s="36">
        <v>0.0</v>
      </c>
      <c r="CJ179" s="35" t="s">
        <v>7045</v>
      </c>
      <c r="CK179" s="30">
        <v>47209.0</v>
      </c>
      <c r="CL179" s="30">
        <v>47299.0</v>
      </c>
      <c r="CM179" s="36">
        <v>0.0</v>
      </c>
      <c r="CN179" s="36">
        <v>0.0</v>
      </c>
      <c r="CO179" s="35" t="s">
        <v>7045</v>
      </c>
      <c r="CP179" s="30">
        <v>47300.0</v>
      </c>
      <c r="CQ179" s="30">
        <v>47391.0</v>
      </c>
      <c r="CR179" s="36">
        <v>0.0</v>
      </c>
      <c r="CS179" s="36">
        <v>0.0</v>
      </c>
      <c r="CT179" s="35" t="s">
        <v>7045</v>
      </c>
      <c r="CU179" s="30">
        <v>47392.0</v>
      </c>
      <c r="CV179" s="30">
        <v>47483.0</v>
      </c>
      <c r="CW179" s="36">
        <v>0.0</v>
      </c>
      <c r="CX179" s="36">
        <v>0.0</v>
      </c>
      <c r="CY179" s="35" t="s">
        <v>7045</v>
      </c>
      <c r="CZ179" s="30">
        <v>47484.0</v>
      </c>
      <c r="DA179" s="30">
        <v>47573.0</v>
      </c>
      <c r="DB179" s="36">
        <v>0.0</v>
      </c>
      <c r="DC179" s="36">
        <v>0.0</v>
      </c>
      <c r="DD179" s="35" t="s">
        <v>7045</v>
      </c>
      <c r="DE179" s="30">
        <v>47574.0</v>
      </c>
      <c r="DF179" s="30">
        <v>47664.0</v>
      </c>
      <c r="DG179" s="36">
        <v>0.0</v>
      </c>
      <c r="DH179" s="36">
        <v>0.0</v>
      </c>
      <c r="DI179" s="35" t="s">
        <v>7045</v>
      </c>
      <c r="DJ179" s="30">
        <v>47665.0</v>
      </c>
      <c r="DK179" s="30">
        <v>47756.0</v>
      </c>
      <c r="DL179" s="36">
        <v>0.0</v>
      </c>
      <c r="DM179" s="36">
        <v>0.0</v>
      </c>
      <c r="DN179" s="35" t="s">
        <v>7045</v>
      </c>
      <c r="DO179" s="30">
        <v>47757.0</v>
      </c>
      <c r="DP179" s="30">
        <v>47848.0</v>
      </c>
      <c r="DQ179" s="36">
        <v>0.0</v>
      </c>
      <c r="DR179" s="36">
        <v>0.0</v>
      </c>
      <c r="DS179" s="35" t="s">
        <v>7045</v>
      </c>
    </row>
    <row r="180" ht="14.25" customHeight="1">
      <c r="A180" s="28" t="s">
        <v>5112</v>
      </c>
      <c r="B180" s="29" t="s">
        <v>5113</v>
      </c>
      <c r="C180" s="29" t="s">
        <v>7041</v>
      </c>
      <c r="D180" s="30">
        <v>45658.0</v>
      </c>
      <c r="E180" s="30">
        <v>45747.0</v>
      </c>
      <c r="F180" s="39">
        <v>3.31</v>
      </c>
      <c r="G180" s="39">
        <v>0.0</v>
      </c>
      <c r="H180" s="38" t="s">
        <v>7047</v>
      </c>
      <c r="I180" s="30">
        <v>45748.0</v>
      </c>
      <c r="J180" s="30">
        <v>45838.0</v>
      </c>
      <c r="K180" s="39">
        <v>3.31</v>
      </c>
      <c r="L180" s="39">
        <v>0.0</v>
      </c>
      <c r="M180" s="38" t="s">
        <v>7047</v>
      </c>
      <c r="N180" s="30">
        <v>45839.0</v>
      </c>
      <c r="O180" s="30">
        <v>45930.0</v>
      </c>
      <c r="P180" s="39">
        <v>5.31</v>
      </c>
      <c r="Q180" s="39">
        <v>0.0</v>
      </c>
      <c r="R180" s="35" t="s">
        <v>7047</v>
      </c>
      <c r="S180" s="30">
        <v>45931.0</v>
      </c>
      <c r="T180" s="30">
        <v>46022.0</v>
      </c>
      <c r="U180" s="39">
        <v>150.0</v>
      </c>
      <c r="V180" s="39">
        <v>0.0</v>
      </c>
      <c r="W180" s="35" t="s">
        <v>7047</v>
      </c>
      <c r="X180" s="30">
        <v>46023.0</v>
      </c>
      <c r="Y180" s="30">
        <v>46112.0</v>
      </c>
      <c r="Z180" s="39">
        <v>0.0</v>
      </c>
      <c r="AA180" s="39">
        <v>0.0</v>
      </c>
      <c r="AB180" s="35" t="s">
        <v>7045</v>
      </c>
      <c r="AC180" s="30">
        <v>46113.0</v>
      </c>
      <c r="AD180" s="30">
        <v>46203.0</v>
      </c>
      <c r="AE180" s="39">
        <v>100.0</v>
      </c>
      <c r="AF180" s="39">
        <v>0.0</v>
      </c>
      <c r="AG180" s="38" t="s">
        <v>7047</v>
      </c>
      <c r="AH180" s="30">
        <v>46204.0</v>
      </c>
      <c r="AI180" s="30">
        <v>46295.0</v>
      </c>
      <c r="AJ180" s="39">
        <v>0.0</v>
      </c>
      <c r="AK180" s="39">
        <v>0.0</v>
      </c>
      <c r="AL180" s="35" t="s">
        <v>7045</v>
      </c>
      <c r="AM180" s="30">
        <v>46296.0</v>
      </c>
      <c r="AN180" s="30">
        <v>46387.0</v>
      </c>
      <c r="AO180" s="39">
        <v>0.0</v>
      </c>
      <c r="AP180" s="39">
        <v>0.0</v>
      </c>
      <c r="AQ180" s="35" t="s">
        <v>7045</v>
      </c>
      <c r="AR180" s="30">
        <v>46388.0</v>
      </c>
      <c r="AS180" s="30">
        <v>46477.0</v>
      </c>
      <c r="AT180" s="39">
        <v>0.0</v>
      </c>
      <c r="AU180" s="39">
        <v>0.0</v>
      </c>
      <c r="AV180" s="35" t="s">
        <v>7045</v>
      </c>
      <c r="AW180" s="30">
        <v>46478.0</v>
      </c>
      <c r="AX180" s="30">
        <v>46568.0</v>
      </c>
      <c r="AY180" s="39">
        <v>0.0</v>
      </c>
      <c r="AZ180" s="39">
        <v>0.0</v>
      </c>
      <c r="BA180" s="35" t="s">
        <v>7045</v>
      </c>
      <c r="BB180" s="30">
        <v>46569.0</v>
      </c>
      <c r="BC180" s="30">
        <v>46660.0</v>
      </c>
      <c r="BD180" s="39">
        <v>0.0</v>
      </c>
      <c r="BE180" s="39">
        <v>0.0</v>
      </c>
      <c r="BF180" s="35" t="s">
        <v>7045</v>
      </c>
      <c r="BG180" s="30">
        <v>46661.0</v>
      </c>
      <c r="BH180" s="30">
        <v>46752.0</v>
      </c>
      <c r="BI180" s="39">
        <v>0.0</v>
      </c>
      <c r="BJ180" s="39">
        <v>0.0</v>
      </c>
      <c r="BK180" s="35" t="s">
        <v>7045</v>
      </c>
      <c r="BL180" s="30">
        <v>46753.0</v>
      </c>
      <c r="BM180" s="30">
        <v>46843.0</v>
      </c>
      <c r="BN180" s="39">
        <v>0.0</v>
      </c>
      <c r="BO180" s="39">
        <v>0.0</v>
      </c>
      <c r="BP180" s="35" t="s">
        <v>7045</v>
      </c>
      <c r="BQ180" s="30">
        <v>46844.0</v>
      </c>
      <c r="BR180" s="30">
        <v>46934.0</v>
      </c>
      <c r="BS180" s="39">
        <v>0.0</v>
      </c>
      <c r="BT180" s="39">
        <v>0.0</v>
      </c>
      <c r="BU180" s="35" t="s">
        <v>7045</v>
      </c>
      <c r="BV180" s="30">
        <v>46935.0</v>
      </c>
      <c r="BW180" s="30">
        <v>47026.0</v>
      </c>
      <c r="BX180" s="39">
        <v>0.0</v>
      </c>
      <c r="BY180" s="39">
        <v>0.0</v>
      </c>
      <c r="BZ180" s="35" t="s">
        <v>7045</v>
      </c>
      <c r="CA180" s="30">
        <v>47027.0</v>
      </c>
      <c r="CB180" s="30">
        <v>47118.0</v>
      </c>
      <c r="CC180" s="39">
        <v>0.0</v>
      </c>
      <c r="CD180" s="39">
        <v>0.0</v>
      </c>
      <c r="CE180" s="35" t="s">
        <v>7045</v>
      </c>
      <c r="CF180" s="30">
        <v>47119.0</v>
      </c>
      <c r="CG180" s="30">
        <v>47208.0</v>
      </c>
      <c r="CH180" s="39">
        <v>0.0</v>
      </c>
      <c r="CI180" s="39">
        <v>0.0</v>
      </c>
      <c r="CJ180" s="35" t="s">
        <v>7045</v>
      </c>
      <c r="CK180" s="30">
        <v>47209.0</v>
      </c>
      <c r="CL180" s="30">
        <v>47299.0</v>
      </c>
      <c r="CM180" s="39">
        <v>0.0</v>
      </c>
      <c r="CN180" s="39">
        <v>0.0</v>
      </c>
      <c r="CO180" s="35" t="s">
        <v>7045</v>
      </c>
      <c r="CP180" s="30">
        <v>47300.0</v>
      </c>
      <c r="CQ180" s="30">
        <v>47391.0</v>
      </c>
      <c r="CR180" s="39">
        <v>0.0</v>
      </c>
      <c r="CS180" s="39">
        <v>0.0</v>
      </c>
      <c r="CT180" s="35" t="s">
        <v>7045</v>
      </c>
      <c r="CU180" s="30">
        <v>47392.0</v>
      </c>
      <c r="CV180" s="30">
        <v>47483.0</v>
      </c>
      <c r="CW180" s="39">
        <v>0.0</v>
      </c>
      <c r="CX180" s="39">
        <v>0.0</v>
      </c>
      <c r="CY180" s="35" t="s">
        <v>7045</v>
      </c>
      <c r="CZ180" s="30">
        <v>47484.0</v>
      </c>
      <c r="DA180" s="30">
        <v>47573.0</v>
      </c>
      <c r="DB180" s="39">
        <v>0.0</v>
      </c>
      <c r="DC180" s="39">
        <v>0.0</v>
      </c>
      <c r="DD180" s="35" t="s">
        <v>7045</v>
      </c>
      <c r="DE180" s="30">
        <v>47574.0</v>
      </c>
      <c r="DF180" s="30">
        <v>47664.0</v>
      </c>
      <c r="DG180" s="39">
        <v>0.0</v>
      </c>
      <c r="DH180" s="39">
        <v>0.0</v>
      </c>
      <c r="DI180" s="35" t="s">
        <v>7045</v>
      </c>
      <c r="DJ180" s="30">
        <v>47665.0</v>
      </c>
      <c r="DK180" s="30">
        <v>47756.0</v>
      </c>
      <c r="DL180" s="39">
        <v>0.0</v>
      </c>
      <c r="DM180" s="39">
        <v>0.0</v>
      </c>
      <c r="DN180" s="35" t="s">
        <v>7045</v>
      </c>
      <c r="DO180" s="30">
        <v>47757.0</v>
      </c>
      <c r="DP180" s="30">
        <v>47848.0</v>
      </c>
      <c r="DQ180" s="39">
        <v>0.0</v>
      </c>
      <c r="DR180" s="39">
        <v>0.0</v>
      </c>
      <c r="DS180" s="35" t="s">
        <v>7045</v>
      </c>
    </row>
    <row r="181" ht="14.25" customHeight="1">
      <c r="A181" s="28" t="s">
        <v>5163</v>
      </c>
      <c r="B181" s="29" t="s">
        <v>5164</v>
      </c>
      <c r="C181" s="29" t="s">
        <v>7041</v>
      </c>
      <c r="D181" s="30">
        <v>45658.0</v>
      </c>
      <c r="E181" s="30">
        <v>45747.0</v>
      </c>
      <c r="F181" s="36">
        <v>15.0</v>
      </c>
      <c r="G181" s="36">
        <v>0.0</v>
      </c>
      <c r="H181" s="38" t="s">
        <v>7047</v>
      </c>
      <c r="I181" s="30">
        <v>45748.0</v>
      </c>
      <c r="J181" s="30">
        <v>45838.0</v>
      </c>
      <c r="K181" s="36">
        <v>12.57</v>
      </c>
      <c r="L181" s="36">
        <v>349.98</v>
      </c>
      <c r="M181" s="32" t="s">
        <v>7043</v>
      </c>
      <c r="N181" s="30">
        <v>45839.0</v>
      </c>
      <c r="O181" s="30">
        <v>45930.0</v>
      </c>
      <c r="P181" s="36">
        <v>30.0</v>
      </c>
      <c r="Q181" s="36">
        <v>183.34</v>
      </c>
      <c r="R181" s="38" t="s">
        <v>7047</v>
      </c>
      <c r="S181" s="30">
        <v>45931.0</v>
      </c>
      <c r="T181" s="30">
        <v>46022.0</v>
      </c>
      <c r="U181" s="36">
        <v>25.0</v>
      </c>
      <c r="V181" s="36">
        <v>216.66</v>
      </c>
      <c r="W181" s="38" t="s">
        <v>7047</v>
      </c>
      <c r="X181" s="30">
        <v>46023.0</v>
      </c>
      <c r="Y181" s="30">
        <v>46112.0</v>
      </c>
      <c r="Z181" s="36">
        <v>68.87</v>
      </c>
      <c r="AA181" s="36">
        <v>0.0</v>
      </c>
      <c r="AB181" s="35" t="s">
        <v>7047</v>
      </c>
      <c r="AC181" s="30">
        <v>46113.0</v>
      </c>
      <c r="AD181" s="30">
        <v>46203.0</v>
      </c>
      <c r="AE181" s="36">
        <v>20.0</v>
      </c>
      <c r="AF181" s="36">
        <v>0.0</v>
      </c>
      <c r="AG181" s="38" t="s">
        <v>7047</v>
      </c>
      <c r="AH181" s="30">
        <v>46204.0</v>
      </c>
      <c r="AI181" s="30">
        <v>46295.0</v>
      </c>
      <c r="AJ181" s="36">
        <v>115.0</v>
      </c>
      <c r="AK181" s="36">
        <v>0.0</v>
      </c>
      <c r="AL181" s="38" t="s">
        <v>7047</v>
      </c>
      <c r="AM181" s="30">
        <v>46296.0</v>
      </c>
      <c r="AN181" s="30">
        <v>46387.0</v>
      </c>
      <c r="AO181" s="36">
        <v>0.0</v>
      </c>
      <c r="AP181" s="36">
        <v>0.0</v>
      </c>
      <c r="AQ181" s="35" t="s">
        <v>7045</v>
      </c>
      <c r="AR181" s="30">
        <v>46388.0</v>
      </c>
      <c r="AS181" s="30">
        <v>46477.0</v>
      </c>
      <c r="AT181" s="36">
        <v>0.0</v>
      </c>
      <c r="AU181" s="36">
        <v>0.0</v>
      </c>
      <c r="AV181" s="35" t="s">
        <v>7045</v>
      </c>
      <c r="AW181" s="30">
        <v>46478.0</v>
      </c>
      <c r="AX181" s="30">
        <v>46568.0</v>
      </c>
      <c r="AY181" s="36">
        <v>0.0</v>
      </c>
      <c r="AZ181" s="36">
        <v>0.0</v>
      </c>
      <c r="BA181" s="35" t="s">
        <v>7045</v>
      </c>
      <c r="BB181" s="30">
        <v>46569.0</v>
      </c>
      <c r="BC181" s="30">
        <v>46660.0</v>
      </c>
      <c r="BD181" s="36">
        <v>0.0</v>
      </c>
      <c r="BE181" s="36">
        <v>0.0</v>
      </c>
      <c r="BF181" s="35" t="s">
        <v>7045</v>
      </c>
      <c r="BG181" s="30">
        <v>46661.0</v>
      </c>
      <c r="BH181" s="30">
        <v>46752.0</v>
      </c>
      <c r="BI181" s="36">
        <v>0.0</v>
      </c>
      <c r="BJ181" s="36">
        <v>0.0</v>
      </c>
      <c r="BK181" s="35" t="s">
        <v>7045</v>
      </c>
      <c r="BL181" s="30">
        <v>46753.0</v>
      </c>
      <c r="BM181" s="30">
        <v>46843.0</v>
      </c>
      <c r="BN181" s="36">
        <v>0.0</v>
      </c>
      <c r="BO181" s="36">
        <v>0.0</v>
      </c>
      <c r="BP181" s="35" t="s">
        <v>7045</v>
      </c>
      <c r="BQ181" s="30">
        <v>46844.0</v>
      </c>
      <c r="BR181" s="30">
        <v>46934.0</v>
      </c>
      <c r="BS181" s="36">
        <v>0.0</v>
      </c>
      <c r="BT181" s="36">
        <v>0.0</v>
      </c>
      <c r="BU181" s="35" t="s">
        <v>7045</v>
      </c>
      <c r="BV181" s="30">
        <v>46935.0</v>
      </c>
      <c r="BW181" s="30">
        <v>47026.0</v>
      </c>
      <c r="BX181" s="36">
        <v>0.0</v>
      </c>
      <c r="BY181" s="36">
        <v>0.0</v>
      </c>
      <c r="BZ181" s="35" t="s">
        <v>7045</v>
      </c>
      <c r="CA181" s="30">
        <v>47027.0</v>
      </c>
      <c r="CB181" s="30">
        <v>47118.0</v>
      </c>
      <c r="CC181" s="36">
        <v>0.0</v>
      </c>
      <c r="CD181" s="36">
        <v>0.0</v>
      </c>
      <c r="CE181" s="35" t="s">
        <v>7045</v>
      </c>
      <c r="CF181" s="30">
        <v>47119.0</v>
      </c>
      <c r="CG181" s="30">
        <v>47208.0</v>
      </c>
      <c r="CH181" s="36">
        <v>0.0</v>
      </c>
      <c r="CI181" s="36">
        <v>0.0</v>
      </c>
      <c r="CJ181" s="35" t="s">
        <v>7045</v>
      </c>
      <c r="CK181" s="30">
        <v>47209.0</v>
      </c>
      <c r="CL181" s="30">
        <v>47299.0</v>
      </c>
      <c r="CM181" s="36">
        <v>0.0</v>
      </c>
      <c r="CN181" s="36">
        <v>0.0</v>
      </c>
      <c r="CO181" s="35" t="s">
        <v>7045</v>
      </c>
      <c r="CP181" s="30">
        <v>47300.0</v>
      </c>
      <c r="CQ181" s="30">
        <v>47391.0</v>
      </c>
      <c r="CR181" s="36">
        <v>0.0</v>
      </c>
      <c r="CS181" s="36">
        <v>0.0</v>
      </c>
      <c r="CT181" s="35" t="s">
        <v>7045</v>
      </c>
      <c r="CU181" s="30">
        <v>47392.0</v>
      </c>
      <c r="CV181" s="30">
        <v>47483.0</v>
      </c>
      <c r="CW181" s="36">
        <v>0.0</v>
      </c>
      <c r="CX181" s="36">
        <v>0.0</v>
      </c>
      <c r="CY181" s="35" t="s">
        <v>7045</v>
      </c>
      <c r="CZ181" s="30">
        <v>47484.0</v>
      </c>
      <c r="DA181" s="30">
        <v>47573.0</v>
      </c>
      <c r="DB181" s="36">
        <v>0.0</v>
      </c>
      <c r="DC181" s="36">
        <v>0.0</v>
      </c>
      <c r="DD181" s="35" t="s">
        <v>7045</v>
      </c>
      <c r="DE181" s="30">
        <v>47574.0</v>
      </c>
      <c r="DF181" s="30">
        <v>47664.0</v>
      </c>
      <c r="DG181" s="36">
        <v>0.0</v>
      </c>
      <c r="DH181" s="36">
        <v>0.0</v>
      </c>
      <c r="DI181" s="35" t="s">
        <v>7045</v>
      </c>
      <c r="DJ181" s="30">
        <v>47665.0</v>
      </c>
      <c r="DK181" s="30">
        <v>47756.0</v>
      </c>
      <c r="DL181" s="36">
        <v>0.0</v>
      </c>
      <c r="DM181" s="36">
        <v>0.0</v>
      </c>
      <c r="DN181" s="35" t="s">
        <v>7045</v>
      </c>
      <c r="DO181" s="30">
        <v>47757.0</v>
      </c>
      <c r="DP181" s="30">
        <v>47848.0</v>
      </c>
      <c r="DQ181" s="36">
        <v>0.0</v>
      </c>
      <c r="DR181" s="36">
        <v>0.0</v>
      </c>
      <c r="DS181" s="35" t="s">
        <v>7045</v>
      </c>
    </row>
    <row r="182" ht="14.25" customHeight="1">
      <c r="A182" s="28" t="s">
        <v>5166</v>
      </c>
      <c r="B182" s="29" t="s">
        <v>5167</v>
      </c>
      <c r="C182" s="29" t="s">
        <v>7041</v>
      </c>
      <c r="D182" s="30">
        <v>45658.0</v>
      </c>
      <c r="E182" s="30">
        <v>45747.0</v>
      </c>
      <c r="F182" s="39">
        <v>24.0</v>
      </c>
      <c r="G182" s="39">
        <v>0.0</v>
      </c>
      <c r="H182" s="38" t="s">
        <v>7047</v>
      </c>
      <c r="I182" s="30">
        <v>45748.0</v>
      </c>
      <c r="J182" s="30">
        <v>45838.0</v>
      </c>
      <c r="K182" s="39">
        <v>36.25</v>
      </c>
      <c r="L182" s="39">
        <v>342.86</v>
      </c>
      <c r="M182" s="37" t="s">
        <v>7043</v>
      </c>
      <c r="N182" s="30">
        <v>45839.0</v>
      </c>
      <c r="O182" s="30">
        <v>45930.0</v>
      </c>
      <c r="P182" s="39">
        <v>114.6</v>
      </c>
      <c r="Q182" s="39">
        <v>333.33</v>
      </c>
      <c r="R182" s="38" t="s">
        <v>7047</v>
      </c>
      <c r="S182" s="30">
        <v>45931.0</v>
      </c>
      <c r="T182" s="30">
        <v>46022.0</v>
      </c>
      <c r="U182" s="39">
        <v>490.0</v>
      </c>
      <c r="V182" s="39">
        <v>183.33</v>
      </c>
      <c r="W182" s="38" t="s">
        <v>7047</v>
      </c>
      <c r="X182" s="30">
        <v>46023.0</v>
      </c>
      <c r="Y182" s="30">
        <v>46112.0</v>
      </c>
      <c r="Z182" s="39">
        <v>0.0</v>
      </c>
      <c r="AA182" s="39">
        <v>0.0</v>
      </c>
      <c r="AB182" s="35" t="s">
        <v>7045</v>
      </c>
      <c r="AC182" s="30">
        <v>46113.0</v>
      </c>
      <c r="AD182" s="30">
        <v>46203.0</v>
      </c>
      <c r="AE182" s="39">
        <v>0.0</v>
      </c>
      <c r="AF182" s="39">
        <v>0.0</v>
      </c>
      <c r="AG182" s="35" t="s">
        <v>7045</v>
      </c>
      <c r="AH182" s="30">
        <v>46204.0</v>
      </c>
      <c r="AI182" s="30">
        <v>46295.0</v>
      </c>
      <c r="AJ182" s="39">
        <v>0.0</v>
      </c>
      <c r="AK182" s="39">
        <v>0.0</v>
      </c>
      <c r="AL182" s="35" t="s">
        <v>7045</v>
      </c>
      <c r="AM182" s="30">
        <v>46296.0</v>
      </c>
      <c r="AN182" s="30">
        <v>46387.0</v>
      </c>
      <c r="AO182" s="39">
        <v>700.0</v>
      </c>
      <c r="AP182" s="39">
        <v>0.0</v>
      </c>
      <c r="AQ182" s="38" t="s">
        <v>7047</v>
      </c>
      <c r="AR182" s="30">
        <v>46388.0</v>
      </c>
      <c r="AS182" s="30">
        <v>46477.0</v>
      </c>
      <c r="AT182" s="39">
        <v>0.0</v>
      </c>
      <c r="AU182" s="39">
        <v>0.0</v>
      </c>
      <c r="AV182" s="35" t="s">
        <v>7045</v>
      </c>
      <c r="AW182" s="30">
        <v>46478.0</v>
      </c>
      <c r="AX182" s="30">
        <v>46568.0</v>
      </c>
      <c r="AY182" s="39">
        <v>0.0</v>
      </c>
      <c r="AZ182" s="39">
        <v>0.0</v>
      </c>
      <c r="BA182" s="35" t="s">
        <v>7045</v>
      </c>
      <c r="BB182" s="30">
        <v>46569.0</v>
      </c>
      <c r="BC182" s="30">
        <v>46660.0</v>
      </c>
      <c r="BD182" s="39">
        <v>0.0</v>
      </c>
      <c r="BE182" s="39">
        <v>0.0</v>
      </c>
      <c r="BF182" s="35" t="s">
        <v>7045</v>
      </c>
      <c r="BG182" s="30">
        <v>46661.0</v>
      </c>
      <c r="BH182" s="30">
        <v>46752.0</v>
      </c>
      <c r="BI182" s="39">
        <v>0.0</v>
      </c>
      <c r="BJ182" s="39">
        <v>0.0</v>
      </c>
      <c r="BK182" s="35" t="s">
        <v>7045</v>
      </c>
      <c r="BL182" s="30">
        <v>46753.0</v>
      </c>
      <c r="BM182" s="30">
        <v>46843.0</v>
      </c>
      <c r="BN182" s="39">
        <v>0.0</v>
      </c>
      <c r="BO182" s="39">
        <v>0.0</v>
      </c>
      <c r="BP182" s="35" t="s">
        <v>7045</v>
      </c>
      <c r="BQ182" s="30">
        <v>46844.0</v>
      </c>
      <c r="BR182" s="30">
        <v>46934.0</v>
      </c>
      <c r="BS182" s="39">
        <v>0.0</v>
      </c>
      <c r="BT182" s="39">
        <v>0.0</v>
      </c>
      <c r="BU182" s="35" t="s">
        <v>7045</v>
      </c>
      <c r="BV182" s="30">
        <v>46935.0</v>
      </c>
      <c r="BW182" s="30">
        <v>47026.0</v>
      </c>
      <c r="BX182" s="39">
        <v>0.0</v>
      </c>
      <c r="BY182" s="39">
        <v>0.0</v>
      </c>
      <c r="BZ182" s="35" t="s">
        <v>7045</v>
      </c>
      <c r="CA182" s="30">
        <v>47027.0</v>
      </c>
      <c r="CB182" s="30">
        <v>47118.0</v>
      </c>
      <c r="CC182" s="39">
        <v>0.0</v>
      </c>
      <c r="CD182" s="39">
        <v>0.0</v>
      </c>
      <c r="CE182" s="35" t="s">
        <v>7045</v>
      </c>
      <c r="CF182" s="30">
        <v>47119.0</v>
      </c>
      <c r="CG182" s="30">
        <v>47208.0</v>
      </c>
      <c r="CH182" s="39">
        <v>0.0</v>
      </c>
      <c r="CI182" s="39">
        <v>0.0</v>
      </c>
      <c r="CJ182" s="35" t="s">
        <v>7045</v>
      </c>
      <c r="CK182" s="30">
        <v>47209.0</v>
      </c>
      <c r="CL182" s="30">
        <v>47299.0</v>
      </c>
      <c r="CM182" s="39">
        <v>0.0</v>
      </c>
      <c r="CN182" s="39">
        <v>0.0</v>
      </c>
      <c r="CO182" s="35" t="s">
        <v>7045</v>
      </c>
      <c r="CP182" s="30">
        <v>47300.0</v>
      </c>
      <c r="CQ182" s="30">
        <v>47391.0</v>
      </c>
      <c r="CR182" s="39">
        <v>0.0</v>
      </c>
      <c r="CS182" s="39">
        <v>0.0</v>
      </c>
      <c r="CT182" s="35" t="s">
        <v>7045</v>
      </c>
      <c r="CU182" s="30">
        <v>47392.0</v>
      </c>
      <c r="CV182" s="30">
        <v>47483.0</v>
      </c>
      <c r="CW182" s="39">
        <v>0.0</v>
      </c>
      <c r="CX182" s="39">
        <v>0.0</v>
      </c>
      <c r="CY182" s="35" t="s">
        <v>7045</v>
      </c>
      <c r="CZ182" s="30">
        <v>47484.0</v>
      </c>
      <c r="DA182" s="30">
        <v>47573.0</v>
      </c>
      <c r="DB182" s="39">
        <v>0.0</v>
      </c>
      <c r="DC182" s="39">
        <v>0.0</v>
      </c>
      <c r="DD182" s="35" t="s">
        <v>7045</v>
      </c>
      <c r="DE182" s="30">
        <v>47574.0</v>
      </c>
      <c r="DF182" s="30">
        <v>47664.0</v>
      </c>
      <c r="DG182" s="39">
        <v>0.0</v>
      </c>
      <c r="DH182" s="39">
        <v>0.0</v>
      </c>
      <c r="DI182" s="35" t="s">
        <v>7045</v>
      </c>
      <c r="DJ182" s="30">
        <v>47665.0</v>
      </c>
      <c r="DK182" s="30">
        <v>47756.0</v>
      </c>
      <c r="DL182" s="39">
        <v>0.0</v>
      </c>
      <c r="DM182" s="39">
        <v>0.0</v>
      </c>
      <c r="DN182" s="35" t="s">
        <v>7045</v>
      </c>
      <c r="DO182" s="30">
        <v>47757.0</v>
      </c>
      <c r="DP182" s="30">
        <v>47848.0</v>
      </c>
      <c r="DQ182" s="39">
        <v>0.0</v>
      </c>
      <c r="DR182" s="39">
        <v>0.0</v>
      </c>
      <c r="DS182" s="35" t="s">
        <v>7045</v>
      </c>
    </row>
    <row r="183" ht="14.25" customHeight="1">
      <c r="A183" s="28" t="s">
        <v>5177</v>
      </c>
      <c r="B183" s="29" t="s">
        <v>5178</v>
      </c>
      <c r="C183" s="29" t="s">
        <v>7041</v>
      </c>
      <c r="D183" s="30">
        <v>45658.0</v>
      </c>
      <c r="E183" s="30">
        <v>45747.0</v>
      </c>
      <c r="F183" s="39">
        <v>20.16</v>
      </c>
      <c r="G183" s="39">
        <v>0.0</v>
      </c>
      <c r="H183" s="38" t="s">
        <v>7047</v>
      </c>
      <c r="I183" s="30">
        <v>45748.0</v>
      </c>
      <c r="J183" s="30">
        <v>45838.0</v>
      </c>
      <c r="K183" s="39">
        <v>300.0</v>
      </c>
      <c r="L183" s="39">
        <v>0.0</v>
      </c>
      <c r="M183" s="38" t="s">
        <v>7047</v>
      </c>
      <c r="N183" s="30">
        <v>45839.0</v>
      </c>
      <c r="O183" s="30">
        <v>45930.0</v>
      </c>
      <c r="P183" s="39">
        <v>90.0</v>
      </c>
      <c r="Q183" s="39">
        <v>1633.33</v>
      </c>
      <c r="R183" s="38" t="s">
        <v>7047</v>
      </c>
      <c r="S183" s="30">
        <v>45931.0</v>
      </c>
      <c r="T183" s="30">
        <v>46022.0</v>
      </c>
      <c r="U183" s="39">
        <v>281.93</v>
      </c>
      <c r="V183" s="39">
        <v>1600.0</v>
      </c>
      <c r="W183" s="38" t="s">
        <v>7047</v>
      </c>
      <c r="X183" s="30">
        <v>46023.0</v>
      </c>
      <c r="Y183" s="30">
        <v>46112.0</v>
      </c>
      <c r="Z183" s="39">
        <v>316.55</v>
      </c>
      <c r="AA183" s="39">
        <v>0.0</v>
      </c>
      <c r="AB183" s="38" t="s">
        <v>7047</v>
      </c>
      <c r="AC183" s="30">
        <v>46113.0</v>
      </c>
      <c r="AD183" s="30">
        <v>46203.0</v>
      </c>
      <c r="AE183" s="39">
        <v>132.1</v>
      </c>
      <c r="AF183" s="39">
        <v>0.0</v>
      </c>
      <c r="AG183" s="38" t="s">
        <v>7047</v>
      </c>
      <c r="AH183" s="30">
        <v>46204.0</v>
      </c>
      <c r="AI183" s="30">
        <v>46295.0</v>
      </c>
      <c r="AJ183" s="39">
        <v>0.0</v>
      </c>
      <c r="AK183" s="39">
        <v>0.0</v>
      </c>
      <c r="AL183" s="35" t="s">
        <v>7045</v>
      </c>
      <c r="AM183" s="30">
        <v>46296.0</v>
      </c>
      <c r="AN183" s="30">
        <v>46387.0</v>
      </c>
      <c r="AO183" s="39">
        <v>0.0</v>
      </c>
      <c r="AP183" s="39">
        <v>0.0</v>
      </c>
      <c r="AQ183" s="35" t="s">
        <v>7045</v>
      </c>
      <c r="AR183" s="30">
        <v>46388.0</v>
      </c>
      <c r="AS183" s="30">
        <v>46477.0</v>
      </c>
      <c r="AT183" s="39">
        <v>0.0</v>
      </c>
      <c r="AU183" s="39">
        <v>0.0</v>
      </c>
      <c r="AV183" s="35" t="s">
        <v>7045</v>
      </c>
      <c r="AW183" s="30">
        <v>46478.0</v>
      </c>
      <c r="AX183" s="30">
        <v>46568.0</v>
      </c>
      <c r="AY183" s="39">
        <v>0.0</v>
      </c>
      <c r="AZ183" s="39">
        <v>0.0</v>
      </c>
      <c r="BA183" s="35" t="s">
        <v>7045</v>
      </c>
      <c r="BB183" s="30">
        <v>46569.0</v>
      </c>
      <c r="BC183" s="30">
        <v>46660.0</v>
      </c>
      <c r="BD183" s="39">
        <v>0.0</v>
      </c>
      <c r="BE183" s="39">
        <v>0.0</v>
      </c>
      <c r="BF183" s="35" t="s">
        <v>7045</v>
      </c>
      <c r="BG183" s="30">
        <v>46661.0</v>
      </c>
      <c r="BH183" s="30">
        <v>46752.0</v>
      </c>
      <c r="BI183" s="39">
        <v>0.0</v>
      </c>
      <c r="BJ183" s="39">
        <v>0.0</v>
      </c>
      <c r="BK183" s="35" t="s">
        <v>7045</v>
      </c>
      <c r="BL183" s="30">
        <v>46753.0</v>
      </c>
      <c r="BM183" s="30">
        <v>46843.0</v>
      </c>
      <c r="BN183" s="39">
        <v>0.0</v>
      </c>
      <c r="BO183" s="39">
        <v>0.0</v>
      </c>
      <c r="BP183" s="35" t="s">
        <v>7045</v>
      </c>
      <c r="BQ183" s="30">
        <v>46844.0</v>
      </c>
      <c r="BR183" s="30">
        <v>46934.0</v>
      </c>
      <c r="BS183" s="39">
        <v>0.0</v>
      </c>
      <c r="BT183" s="39">
        <v>0.0</v>
      </c>
      <c r="BU183" s="35" t="s">
        <v>7045</v>
      </c>
      <c r="BV183" s="30">
        <v>46935.0</v>
      </c>
      <c r="BW183" s="30">
        <v>47026.0</v>
      </c>
      <c r="BX183" s="39">
        <v>0.0</v>
      </c>
      <c r="BY183" s="39">
        <v>0.0</v>
      </c>
      <c r="BZ183" s="35" t="s">
        <v>7045</v>
      </c>
      <c r="CA183" s="30">
        <v>47027.0</v>
      </c>
      <c r="CB183" s="30">
        <v>47118.0</v>
      </c>
      <c r="CC183" s="39">
        <v>0.0</v>
      </c>
      <c r="CD183" s="39">
        <v>0.0</v>
      </c>
      <c r="CE183" s="35" t="s">
        <v>7045</v>
      </c>
      <c r="CF183" s="30">
        <v>47119.0</v>
      </c>
      <c r="CG183" s="30">
        <v>47208.0</v>
      </c>
      <c r="CH183" s="39">
        <v>0.0</v>
      </c>
      <c r="CI183" s="39">
        <v>0.0</v>
      </c>
      <c r="CJ183" s="35" t="s">
        <v>7045</v>
      </c>
      <c r="CK183" s="30">
        <v>47209.0</v>
      </c>
      <c r="CL183" s="30">
        <v>47299.0</v>
      </c>
      <c r="CM183" s="39">
        <v>0.0</v>
      </c>
      <c r="CN183" s="39">
        <v>0.0</v>
      </c>
      <c r="CO183" s="35" t="s">
        <v>7045</v>
      </c>
      <c r="CP183" s="30">
        <v>47300.0</v>
      </c>
      <c r="CQ183" s="30">
        <v>47391.0</v>
      </c>
      <c r="CR183" s="39">
        <v>0.0</v>
      </c>
      <c r="CS183" s="39">
        <v>0.0</v>
      </c>
      <c r="CT183" s="35" t="s">
        <v>7045</v>
      </c>
      <c r="CU183" s="30">
        <v>47392.0</v>
      </c>
      <c r="CV183" s="30">
        <v>47483.0</v>
      </c>
      <c r="CW183" s="39">
        <v>0.0</v>
      </c>
      <c r="CX183" s="39">
        <v>0.0</v>
      </c>
      <c r="CY183" s="35" t="s">
        <v>7045</v>
      </c>
      <c r="CZ183" s="30">
        <v>47484.0</v>
      </c>
      <c r="DA183" s="30">
        <v>47573.0</v>
      </c>
      <c r="DB183" s="39">
        <v>0.0</v>
      </c>
      <c r="DC183" s="39">
        <v>0.0</v>
      </c>
      <c r="DD183" s="35" t="s">
        <v>7045</v>
      </c>
      <c r="DE183" s="30">
        <v>47574.0</v>
      </c>
      <c r="DF183" s="30">
        <v>47664.0</v>
      </c>
      <c r="DG183" s="39">
        <v>0.0</v>
      </c>
      <c r="DH183" s="39">
        <v>0.0</v>
      </c>
      <c r="DI183" s="35" t="s">
        <v>7045</v>
      </c>
      <c r="DJ183" s="30">
        <v>47665.0</v>
      </c>
      <c r="DK183" s="30">
        <v>47756.0</v>
      </c>
      <c r="DL183" s="39">
        <v>0.0</v>
      </c>
      <c r="DM183" s="39">
        <v>0.0</v>
      </c>
      <c r="DN183" s="35" t="s">
        <v>7045</v>
      </c>
      <c r="DO183" s="30">
        <v>47757.0</v>
      </c>
      <c r="DP183" s="30">
        <v>47848.0</v>
      </c>
      <c r="DQ183" s="39">
        <v>0.0</v>
      </c>
      <c r="DR183" s="39">
        <v>0.0</v>
      </c>
      <c r="DS183" s="35" t="s">
        <v>7045</v>
      </c>
    </row>
    <row r="184" ht="14.25" customHeight="1">
      <c r="A184" s="28" t="s">
        <v>5249</v>
      </c>
      <c r="B184" s="29" t="s">
        <v>5250</v>
      </c>
      <c r="C184" s="29" t="s">
        <v>7041</v>
      </c>
      <c r="D184" s="30">
        <v>45658.0</v>
      </c>
      <c r="E184" s="30">
        <v>45747.0</v>
      </c>
      <c r="F184" s="36">
        <v>5.0</v>
      </c>
      <c r="G184" s="36">
        <v>0.0</v>
      </c>
      <c r="H184" s="38" t="s">
        <v>7047</v>
      </c>
      <c r="I184" s="30">
        <v>45748.0</v>
      </c>
      <c r="J184" s="30">
        <v>45838.0</v>
      </c>
      <c r="K184" s="36">
        <v>0.0</v>
      </c>
      <c r="L184" s="36">
        <v>0.0</v>
      </c>
      <c r="M184" s="35" t="s">
        <v>7045</v>
      </c>
      <c r="N184" s="30">
        <v>45839.0</v>
      </c>
      <c r="O184" s="30">
        <v>45930.0</v>
      </c>
      <c r="P184" s="36">
        <v>3.09</v>
      </c>
      <c r="Q184" s="36">
        <v>0.0</v>
      </c>
      <c r="R184" s="38" t="s">
        <v>7047</v>
      </c>
      <c r="S184" s="30">
        <v>45931.0</v>
      </c>
      <c r="T184" s="30">
        <v>46022.0</v>
      </c>
      <c r="U184" s="36">
        <v>0.0</v>
      </c>
      <c r="V184" s="36">
        <v>0.0</v>
      </c>
      <c r="W184" s="35" t="s">
        <v>7045</v>
      </c>
      <c r="X184" s="30">
        <v>46023.0</v>
      </c>
      <c r="Y184" s="30">
        <v>46112.0</v>
      </c>
      <c r="Z184" s="36">
        <v>0.0</v>
      </c>
      <c r="AA184" s="36">
        <v>0.0</v>
      </c>
      <c r="AB184" s="35" t="s">
        <v>7045</v>
      </c>
      <c r="AC184" s="30">
        <v>46113.0</v>
      </c>
      <c r="AD184" s="30">
        <v>46203.0</v>
      </c>
      <c r="AE184" s="36">
        <v>0.0</v>
      </c>
      <c r="AF184" s="36">
        <v>0.0</v>
      </c>
      <c r="AG184" s="35" t="s">
        <v>7045</v>
      </c>
      <c r="AH184" s="30">
        <v>46204.0</v>
      </c>
      <c r="AI184" s="30">
        <v>46295.0</v>
      </c>
      <c r="AJ184" s="36">
        <v>0.0</v>
      </c>
      <c r="AK184" s="36">
        <v>0.0</v>
      </c>
      <c r="AL184" s="35" t="s">
        <v>7045</v>
      </c>
      <c r="AM184" s="30">
        <v>46296.0</v>
      </c>
      <c r="AN184" s="30">
        <v>46387.0</v>
      </c>
      <c r="AO184" s="36">
        <v>0.0</v>
      </c>
      <c r="AP184" s="36">
        <v>0.0</v>
      </c>
      <c r="AQ184" s="35" t="s">
        <v>7045</v>
      </c>
      <c r="AR184" s="30">
        <v>46388.0</v>
      </c>
      <c r="AS184" s="30">
        <v>46477.0</v>
      </c>
      <c r="AT184" s="36">
        <v>0.0</v>
      </c>
      <c r="AU184" s="36">
        <v>0.0</v>
      </c>
      <c r="AV184" s="35" t="s">
        <v>7045</v>
      </c>
      <c r="AW184" s="30">
        <v>46478.0</v>
      </c>
      <c r="AX184" s="30">
        <v>46568.0</v>
      </c>
      <c r="AY184" s="36">
        <v>0.0</v>
      </c>
      <c r="AZ184" s="36">
        <v>0.0</v>
      </c>
      <c r="BA184" s="35" t="s">
        <v>7045</v>
      </c>
      <c r="BB184" s="30">
        <v>46569.0</v>
      </c>
      <c r="BC184" s="30">
        <v>46660.0</v>
      </c>
      <c r="BD184" s="36">
        <v>0.0</v>
      </c>
      <c r="BE184" s="36">
        <v>0.0</v>
      </c>
      <c r="BF184" s="35" t="s">
        <v>7045</v>
      </c>
      <c r="BG184" s="30">
        <v>46661.0</v>
      </c>
      <c r="BH184" s="30">
        <v>46752.0</v>
      </c>
      <c r="BI184" s="36">
        <v>0.0</v>
      </c>
      <c r="BJ184" s="36">
        <v>0.0</v>
      </c>
      <c r="BK184" s="35" t="s">
        <v>7045</v>
      </c>
      <c r="BL184" s="30">
        <v>46753.0</v>
      </c>
      <c r="BM184" s="30">
        <v>46843.0</v>
      </c>
      <c r="BN184" s="36">
        <v>0.0</v>
      </c>
      <c r="BO184" s="36">
        <v>0.0</v>
      </c>
      <c r="BP184" s="35" t="s">
        <v>7045</v>
      </c>
      <c r="BQ184" s="30">
        <v>46844.0</v>
      </c>
      <c r="BR184" s="30">
        <v>46934.0</v>
      </c>
      <c r="BS184" s="36">
        <v>0.0</v>
      </c>
      <c r="BT184" s="36">
        <v>0.0</v>
      </c>
      <c r="BU184" s="35" t="s">
        <v>7045</v>
      </c>
      <c r="BV184" s="30">
        <v>46935.0</v>
      </c>
      <c r="BW184" s="30">
        <v>47026.0</v>
      </c>
      <c r="BX184" s="36">
        <v>0.0</v>
      </c>
      <c r="BY184" s="36">
        <v>0.0</v>
      </c>
      <c r="BZ184" s="35" t="s">
        <v>7045</v>
      </c>
      <c r="CA184" s="30">
        <v>47027.0</v>
      </c>
      <c r="CB184" s="30">
        <v>47118.0</v>
      </c>
      <c r="CC184" s="36">
        <v>0.0</v>
      </c>
      <c r="CD184" s="36">
        <v>0.0</v>
      </c>
      <c r="CE184" s="35" t="s">
        <v>7045</v>
      </c>
      <c r="CF184" s="30">
        <v>47119.0</v>
      </c>
      <c r="CG184" s="30">
        <v>47208.0</v>
      </c>
      <c r="CH184" s="36">
        <v>0.0</v>
      </c>
      <c r="CI184" s="36">
        <v>0.0</v>
      </c>
      <c r="CJ184" s="35" t="s">
        <v>7045</v>
      </c>
      <c r="CK184" s="30">
        <v>47209.0</v>
      </c>
      <c r="CL184" s="30">
        <v>47299.0</v>
      </c>
      <c r="CM184" s="36">
        <v>0.0</v>
      </c>
      <c r="CN184" s="36">
        <v>0.0</v>
      </c>
      <c r="CO184" s="35" t="s">
        <v>7045</v>
      </c>
      <c r="CP184" s="30">
        <v>47300.0</v>
      </c>
      <c r="CQ184" s="30">
        <v>47391.0</v>
      </c>
      <c r="CR184" s="36">
        <v>0.0</v>
      </c>
      <c r="CS184" s="36">
        <v>0.0</v>
      </c>
      <c r="CT184" s="35" t="s">
        <v>7045</v>
      </c>
      <c r="CU184" s="30">
        <v>47392.0</v>
      </c>
      <c r="CV184" s="30">
        <v>47483.0</v>
      </c>
      <c r="CW184" s="36">
        <v>0.0</v>
      </c>
      <c r="CX184" s="36">
        <v>0.0</v>
      </c>
      <c r="CY184" s="35" t="s">
        <v>7045</v>
      </c>
      <c r="CZ184" s="30">
        <v>47484.0</v>
      </c>
      <c r="DA184" s="30">
        <v>47573.0</v>
      </c>
      <c r="DB184" s="36">
        <v>0.0</v>
      </c>
      <c r="DC184" s="36">
        <v>0.0</v>
      </c>
      <c r="DD184" s="35" t="s">
        <v>7045</v>
      </c>
      <c r="DE184" s="30">
        <v>47574.0</v>
      </c>
      <c r="DF184" s="30">
        <v>47664.0</v>
      </c>
      <c r="DG184" s="36">
        <v>0.0</v>
      </c>
      <c r="DH184" s="36">
        <v>0.0</v>
      </c>
      <c r="DI184" s="35" t="s">
        <v>7045</v>
      </c>
      <c r="DJ184" s="30">
        <v>47665.0</v>
      </c>
      <c r="DK184" s="30">
        <v>47756.0</v>
      </c>
      <c r="DL184" s="36">
        <v>0.0</v>
      </c>
      <c r="DM184" s="36">
        <v>0.0</v>
      </c>
      <c r="DN184" s="35" t="s">
        <v>7045</v>
      </c>
      <c r="DO184" s="30">
        <v>47757.0</v>
      </c>
      <c r="DP184" s="30">
        <v>47848.0</v>
      </c>
      <c r="DQ184" s="36">
        <v>0.0</v>
      </c>
      <c r="DR184" s="36">
        <v>0.0</v>
      </c>
      <c r="DS184" s="35" t="s">
        <v>7045</v>
      </c>
    </row>
    <row r="185" ht="14.25" customHeight="1">
      <c r="A185" s="28" t="s">
        <v>5309</v>
      </c>
      <c r="B185" s="29" t="s">
        <v>5310</v>
      </c>
      <c r="C185" s="29" t="s">
        <v>7041</v>
      </c>
      <c r="D185" s="30">
        <v>45658.0</v>
      </c>
      <c r="E185" s="30">
        <v>45747.0</v>
      </c>
      <c r="F185" s="36">
        <v>5.75</v>
      </c>
      <c r="G185" s="36">
        <v>0.0</v>
      </c>
      <c r="H185" s="38" t="s">
        <v>7047</v>
      </c>
      <c r="I185" s="30">
        <v>45748.0</v>
      </c>
      <c r="J185" s="30">
        <v>45838.0</v>
      </c>
      <c r="K185" s="36">
        <v>22.0</v>
      </c>
      <c r="L185" s="36">
        <v>303.05</v>
      </c>
      <c r="M185" s="32" t="s">
        <v>7043</v>
      </c>
      <c r="N185" s="30">
        <v>45839.0</v>
      </c>
      <c r="O185" s="30">
        <v>45930.0</v>
      </c>
      <c r="P185" s="36">
        <v>324.0</v>
      </c>
      <c r="Q185" s="36">
        <v>499.98</v>
      </c>
      <c r="R185" s="38" t="s">
        <v>7047</v>
      </c>
      <c r="S185" s="30">
        <v>45931.0</v>
      </c>
      <c r="T185" s="30">
        <v>46022.0</v>
      </c>
      <c r="U185" s="36">
        <v>502.99</v>
      </c>
      <c r="V185" s="36">
        <v>166.67</v>
      </c>
      <c r="W185" s="38" t="s">
        <v>7047</v>
      </c>
      <c r="X185" s="30">
        <v>46023.0</v>
      </c>
      <c r="Y185" s="30">
        <v>46112.0</v>
      </c>
      <c r="Z185" s="36">
        <v>0.0</v>
      </c>
      <c r="AA185" s="36">
        <v>0.0</v>
      </c>
      <c r="AB185" s="35" t="s">
        <v>7045</v>
      </c>
      <c r="AC185" s="30">
        <v>46113.0</v>
      </c>
      <c r="AD185" s="30">
        <v>46203.0</v>
      </c>
      <c r="AE185" s="36">
        <v>0.0</v>
      </c>
      <c r="AF185" s="36">
        <v>0.0</v>
      </c>
      <c r="AG185" s="35" t="s">
        <v>7045</v>
      </c>
      <c r="AH185" s="30">
        <v>46204.0</v>
      </c>
      <c r="AI185" s="30">
        <v>46295.0</v>
      </c>
      <c r="AJ185" s="36">
        <v>0.0</v>
      </c>
      <c r="AK185" s="36">
        <v>0.0</v>
      </c>
      <c r="AL185" s="35" t="s">
        <v>7045</v>
      </c>
      <c r="AM185" s="30">
        <v>46296.0</v>
      </c>
      <c r="AN185" s="30">
        <v>46387.0</v>
      </c>
      <c r="AO185" s="36">
        <v>0.0</v>
      </c>
      <c r="AP185" s="36">
        <v>0.0</v>
      </c>
      <c r="AQ185" s="35" t="s">
        <v>7045</v>
      </c>
      <c r="AR185" s="30">
        <v>46388.0</v>
      </c>
      <c r="AS185" s="30">
        <v>46477.0</v>
      </c>
      <c r="AT185" s="36">
        <v>0.0</v>
      </c>
      <c r="AU185" s="36">
        <v>0.0</v>
      </c>
      <c r="AV185" s="35" t="s">
        <v>7045</v>
      </c>
      <c r="AW185" s="30">
        <v>46478.0</v>
      </c>
      <c r="AX185" s="30">
        <v>46568.0</v>
      </c>
      <c r="AY185" s="36">
        <v>0.0</v>
      </c>
      <c r="AZ185" s="36">
        <v>0.0</v>
      </c>
      <c r="BA185" s="35" t="s">
        <v>7045</v>
      </c>
      <c r="BB185" s="30">
        <v>46569.0</v>
      </c>
      <c r="BC185" s="30">
        <v>46660.0</v>
      </c>
      <c r="BD185" s="36">
        <v>0.0</v>
      </c>
      <c r="BE185" s="36">
        <v>0.0</v>
      </c>
      <c r="BF185" s="35" t="s">
        <v>7045</v>
      </c>
      <c r="BG185" s="30">
        <v>46661.0</v>
      </c>
      <c r="BH185" s="30">
        <v>46752.0</v>
      </c>
      <c r="BI185" s="36">
        <v>0.0</v>
      </c>
      <c r="BJ185" s="36">
        <v>0.0</v>
      </c>
      <c r="BK185" s="35" t="s">
        <v>7045</v>
      </c>
      <c r="BL185" s="30">
        <v>46753.0</v>
      </c>
      <c r="BM185" s="30">
        <v>46843.0</v>
      </c>
      <c r="BN185" s="36">
        <v>0.0</v>
      </c>
      <c r="BO185" s="36">
        <v>0.0</v>
      </c>
      <c r="BP185" s="35" t="s">
        <v>7045</v>
      </c>
      <c r="BQ185" s="30">
        <v>46844.0</v>
      </c>
      <c r="BR185" s="30">
        <v>46934.0</v>
      </c>
      <c r="BS185" s="36">
        <v>0.0</v>
      </c>
      <c r="BT185" s="36">
        <v>0.0</v>
      </c>
      <c r="BU185" s="35" t="s">
        <v>7045</v>
      </c>
      <c r="BV185" s="30">
        <v>46935.0</v>
      </c>
      <c r="BW185" s="30">
        <v>47026.0</v>
      </c>
      <c r="BX185" s="36">
        <v>0.0</v>
      </c>
      <c r="BY185" s="36">
        <v>0.0</v>
      </c>
      <c r="BZ185" s="35" t="s">
        <v>7045</v>
      </c>
      <c r="CA185" s="30">
        <v>47027.0</v>
      </c>
      <c r="CB185" s="30">
        <v>47118.0</v>
      </c>
      <c r="CC185" s="36">
        <v>0.0</v>
      </c>
      <c r="CD185" s="36">
        <v>0.0</v>
      </c>
      <c r="CE185" s="35" t="s">
        <v>7045</v>
      </c>
      <c r="CF185" s="30">
        <v>47119.0</v>
      </c>
      <c r="CG185" s="30">
        <v>47208.0</v>
      </c>
      <c r="CH185" s="36">
        <v>0.0</v>
      </c>
      <c r="CI185" s="36">
        <v>0.0</v>
      </c>
      <c r="CJ185" s="35" t="s">
        <v>7045</v>
      </c>
      <c r="CK185" s="30">
        <v>47209.0</v>
      </c>
      <c r="CL185" s="30">
        <v>47299.0</v>
      </c>
      <c r="CM185" s="36">
        <v>0.0</v>
      </c>
      <c r="CN185" s="36">
        <v>0.0</v>
      </c>
      <c r="CO185" s="35" t="s">
        <v>7045</v>
      </c>
      <c r="CP185" s="30">
        <v>47300.0</v>
      </c>
      <c r="CQ185" s="30">
        <v>47391.0</v>
      </c>
      <c r="CR185" s="36">
        <v>0.0</v>
      </c>
      <c r="CS185" s="36">
        <v>0.0</v>
      </c>
      <c r="CT185" s="35" t="s">
        <v>7045</v>
      </c>
      <c r="CU185" s="30">
        <v>47392.0</v>
      </c>
      <c r="CV185" s="30">
        <v>47483.0</v>
      </c>
      <c r="CW185" s="36">
        <v>0.0</v>
      </c>
      <c r="CX185" s="36">
        <v>0.0</v>
      </c>
      <c r="CY185" s="35" t="s">
        <v>7045</v>
      </c>
      <c r="CZ185" s="30">
        <v>47484.0</v>
      </c>
      <c r="DA185" s="30">
        <v>47573.0</v>
      </c>
      <c r="DB185" s="36">
        <v>0.0</v>
      </c>
      <c r="DC185" s="36">
        <v>0.0</v>
      </c>
      <c r="DD185" s="35" t="s">
        <v>7045</v>
      </c>
      <c r="DE185" s="30">
        <v>47574.0</v>
      </c>
      <c r="DF185" s="30">
        <v>47664.0</v>
      </c>
      <c r="DG185" s="36">
        <v>0.0</v>
      </c>
      <c r="DH185" s="36">
        <v>0.0</v>
      </c>
      <c r="DI185" s="35" t="s">
        <v>7045</v>
      </c>
      <c r="DJ185" s="30">
        <v>47665.0</v>
      </c>
      <c r="DK185" s="30">
        <v>47756.0</v>
      </c>
      <c r="DL185" s="36">
        <v>0.0</v>
      </c>
      <c r="DM185" s="36">
        <v>0.0</v>
      </c>
      <c r="DN185" s="35" t="s">
        <v>7045</v>
      </c>
      <c r="DO185" s="30">
        <v>47757.0</v>
      </c>
      <c r="DP185" s="30">
        <v>47848.0</v>
      </c>
      <c r="DQ185" s="36">
        <v>0.0</v>
      </c>
      <c r="DR185" s="36">
        <v>0.0</v>
      </c>
      <c r="DS185" s="35" t="s">
        <v>7045</v>
      </c>
    </row>
    <row r="186" ht="14.25" customHeight="1">
      <c r="A186" s="28" t="s">
        <v>5341</v>
      </c>
      <c r="B186" s="29" t="s">
        <v>5342</v>
      </c>
      <c r="C186" s="29" t="s">
        <v>7041</v>
      </c>
      <c r="D186" s="30">
        <v>45658.0</v>
      </c>
      <c r="E186" s="30">
        <v>45747.0</v>
      </c>
      <c r="F186" s="36">
        <v>5.09</v>
      </c>
      <c r="G186" s="36">
        <v>0.0</v>
      </c>
      <c r="H186" s="38" t="s">
        <v>7047</v>
      </c>
      <c r="I186" s="30">
        <v>45748.0</v>
      </c>
      <c r="J186" s="30">
        <v>45838.0</v>
      </c>
      <c r="K186" s="36">
        <v>199.99</v>
      </c>
      <c r="L186" s="36">
        <v>673.47</v>
      </c>
      <c r="M186" s="37" t="s">
        <v>7043</v>
      </c>
      <c r="N186" s="30">
        <v>45839.0</v>
      </c>
      <c r="O186" s="30">
        <v>45930.0</v>
      </c>
      <c r="P186" s="36">
        <v>1180.49</v>
      </c>
      <c r="Q186" s="36">
        <v>1466.66</v>
      </c>
      <c r="R186" s="38" t="s">
        <v>7047</v>
      </c>
      <c r="S186" s="30">
        <v>45931.0</v>
      </c>
      <c r="T186" s="30">
        <v>46022.0</v>
      </c>
      <c r="U186" s="36">
        <v>239.0</v>
      </c>
      <c r="V186" s="36">
        <v>983.32</v>
      </c>
      <c r="W186" s="38" t="s">
        <v>7047</v>
      </c>
      <c r="X186" s="30">
        <v>46023.0</v>
      </c>
      <c r="Y186" s="30">
        <v>46112.0</v>
      </c>
      <c r="Z186" s="36">
        <v>0.0</v>
      </c>
      <c r="AA186" s="36">
        <v>0.0</v>
      </c>
      <c r="AB186" s="35" t="s">
        <v>7045</v>
      </c>
      <c r="AC186" s="30">
        <v>46113.0</v>
      </c>
      <c r="AD186" s="30">
        <v>46203.0</v>
      </c>
      <c r="AE186" s="36">
        <v>0.0</v>
      </c>
      <c r="AF186" s="36">
        <v>0.0</v>
      </c>
      <c r="AG186" s="35" t="s">
        <v>7045</v>
      </c>
      <c r="AH186" s="30">
        <v>46204.0</v>
      </c>
      <c r="AI186" s="30">
        <v>46295.0</v>
      </c>
      <c r="AJ186" s="36">
        <v>0.0</v>
      </c>
      <c r="AK186" s="36">
        <v>0.0</v>
      </c>
      <c r="AL186" s="35" t="s">
        <v>7045</v>
      </c>
      <c r="AM186" s="30">
        <v>46296.0</v>
      </c>
      <c r="AN186" s="30">
        <v>46387.0</v>
      </c>
      <c r="AO186" s="36">
        <v>0.0</v>
      </c>
      <c r="AP186" s="36">
        <v>0.0</v>
      </c>
      <c r="AQ186" s="35" t="s">
        <v>7045</v>
      </c>
      <c r="AR186" s="30">
        <v>46388.0</v>
      </c>
      <c r="AS186" s="30">
        <v>46477.0</v>
      </c>
      <c r="AT186" s="36">
        <v>0.0</v>
      </c>
      <c r="AU186" s="36">
        <v>0.0</v>
      </c>
      <c r="AV186" s="35" t="s">
        <v>7045</v>
      </c>
      <c r="AW186" s="30">
        <v>46478.0</v>
      </c>
      <c r="AX186" s="30">
        <v>46568.0</v>
      </c>
      <c r="AY186" s="36">
        <v>0.0</v>
      </c>
      <c r="AZ186" s="36">
        <v>0.0</v>
      </c>
      <c r="BA186" s="35" t="s">
        <v>7045</v>
      </c>
      <c r="BB186" s="30">
        <v>46569.0</v>
      </c>
      <c r="BC186" s="30">
        <v>46660.0</v>
      </c>
      <c r="BD186" s="36">
        <v>0.0</v>
      </c>
      <c r="BE186" s="36">
        <v>0.0</v>
      </c>
      <c r="BF186" s="35" t="s">
        <v>7045</v>
      </c>
      <c r="BG186" s="30">
        <v>46661.0</v>
      </c>
      <c r="BH186" s="30">
        <v>46752.0</v>
      </c>
      <c r="BI186" s="36">
        <v>0.0</v>
      </c>
      <c r="BJ186" s="36">
        <v>0.0</v>
      </c>
      <c r="BK186" s="35" t="s">
        <v>7045</v>
      </c>
      <c r="BL186" s="30">
        <v>46753.0</v>
      </c>
      <c r="BM186" s="30">
        <v>46843.0</v>
      </c>
      <c r="BN186" s="36">
        <v>0.0</v>
      </c>
      <c r="BO186" s="36">
        <v>0.0</v>
      </c>
      <c r="BP186" s="35" t="s">
        <v>7045</v>
      </c>
      <c r="BQ186" s="30">
        <v>46844.0</v>
      </c>
      <c r="BR186" s="30">
        <v>46934.0</v>
      </c>
      <c r="BS186" s="36">
        <v>0.0</v>
      </c>
      <c r="BT186" s="36">
        <v>0.0</v>
      </c>
      <c r="BU186" s="35" t="s">
        <v>7045</v>
      </c>
      <c r="BV186" s="30">
        <v>46935.0</v>
      </c>
      <c r="BW186" s="30">
        <v>47026.0</v>
      </c>
      <c r="BX186" s="36">
        <v>0.0</v>
      </c>
      <c r="BY186" s="36">
        <v>0.0</v>
      </c>
      <c r="BZ186" s="35" t="s">
        <v>7045</v>
      </c>
      <c r="CA186" s="30">
        <v>47027.0</v>
      </c>
      <c r="CB186" s="30">
        <v>47118.0</v>
      </c>
      <c r="CC186" s="36">
        <v>0.0</v>
      </c>
      <c r="CD186" s="36">
        <v>0.0</v>
      </c>
      <c r="CE186" s="35" t="s">
        <v>7045</v>
      </c>
      <c r="CF186" s="30">
        <v>47119.0</v>
      </c>
      <c r="CG186" s="30">
        <v>47208.0</v>
      </c>
      <c r="CH186" s="36">
        <v>0.0</v>
      </c>
      <c r="CI186" s="36">
        <v>0.0</v>
      </c>
      <c r="CJ186" s="35" t="s">
        <v>7045</v>
      </c>
      <c r="CK186" s="30">
        <v>47209.0</v>
      </c>
      <c r="CL186" s="30">
        <v>47299.0</v>
      </c>
      <c r="CM186" s="36">
        <v>0.0</v>
      </c>
      <c r="CN186" s="36">
        <v>0.0</v>
      </c>
      <c r="CO186" s="35" t="s">
        <v>7045</v>
      </c>
      <c r="CP186" s="30">
        <v>47300.0</v>
      </c>
      <c r="CQ186" s="30">
        <v>47391.0</v>
      </c>
      <c r="CR186" s="36">
        <v>0.0</v>
      </c>
      <c r="CS186" s="36">
        <v>0.0</v>
      </c>
      <c r="CT186" s="35" t="s">
        <v>7045</v>
      </c>
      <c r="CU186" s="30">
        <v>47392.0</v>
      </c>
      <c r="CV186" s="30">
        <v>47483.0</v>
      </c>
      <c r="CW186" s="36">
        <v>0.0</v>
      </c>
      <c r="CX186" s="36">
        <v>0.0</v>
      </c>
      <c r="CY186" s="35" t="s">
        <v>7045</v>
      </c>
      <c r="CZ186" s="30">
        <v>47484.0</v>
      </c>
      <c r="DA186" s="30">
        <v>47573.0</v>
      </c>
      <c r="DB186" s="36">
        <v>0.0</v>
      </c>
      <c r="DC186" s="36">
        <v>0.0</v>
      </c>
      <c r="DD186" s="35" t="s">
        <v>7045</v>
      </c>
      <c r="DE186" s="30">
        <v>47574.0</v>
      </c>
      <c r="DF186" s="30">
        <v>47664.0</v>
      </c>
      <c r="DG186" s="36">
        <v>0.0</v>
      </c>
      <c r="DH186" s="36">
        <v>0.0</v>
      </c>
      <c r="DI186" s="35" t="s">
        <v>7045</v>
      </c>
      <c r="DJ186" s="30">
        <v>47665.0</v>
      </c>
      <c r="DK186" s="30">
        <v>47756.0</v>
      </c>
      <c r="DL186" s="36">
        <v>0.0</v>
      </c>
      <c r="DM186" s="36">
        <v>0.0</v>
      </c>
      <c r="DN186" s="35" t="s">
        <v>7045</v>
      </c>
      <c r="DO186" s="30">
        <v>47757.0</v>
      </c>
      <c r="DP186" s="30">
        <v>47848.0</v>
      </c>
      <c r="DQ186" s="36">
        <v>0.0</v>
      </c>
      <c r="DR186" s="36">
        <v>0.0</v>
      </c>
      <c r="DS186" s="35" t="s">
        <v>7045</v>
      </c>
    </row>
    <row r="187" ht="14.25" customHeight="1">
      <c r="A187" s="28" t="s">
        <v>5417</v>
      </c>
      <c r="B187" s="29" t="s">
        <v>5418</v>
      </c>
      <c r="C187" s="29" t="s">
        <v>7041</v>
      </c>
      <c r="D187" s="30">
        <v>45658.0</v>
      </c>
      <c r="E187" s="30">
        <v>45747.0</v>
      </c>
      <c r="F187" s="36">
        <v>50.0</v>
      </c>
      <c r="G187" s="36">
        <v>0.0</v>
      </c>
      <c r="H187" s="38" t="s">
        <v>7047</v>
      </c>
      <c r="I187" s="30">
        <v>45748.0</v>
      </c>
      <c r="J187" s="30">
        <v>45838.0</v>
      </c>
      <c r="K187" s="36">
        <v>45.0</v>
      </c>
      <c r="L187" s="36">
        <v>0.0</v>
      </c>
      <c r="M187" s="38" t="s">
        <v>7047</v>
      </c>
      <c r="N187" s="30">
        <v>45839.0</v>
      </c>
      <c r="O187" s="30">
        <v>45930.0</v>
      </c>
      <c r="P187" s="36">
        <v>115.0</v>
      </c>
      <c r="Q187" s="36">
        <v>0.0</v>
      </c>
      <c r="R187" s="38" t="s">
        <v>7047</v>
      </c>
      <c r="S187" s="30">
        <v>45931.0</v>
      </c>
      <c r="T187" s="30">
        <v>46022.0</v>
      </c>
      <c r="U187" s="36">
        <v>320.0</v>
      </c>
      <c r="V187" s="36">
        <v>0.0</v>
      </c>
      <c r="W187" s="38" t="s">
        <v>7047</v>
      </c>
      <c r="X187" s="30">
        <v>46023.0</v>
      </c>
      <c r="Y187" s="30">
        <v>46112.0</v>
      </c>
      <c r="Z187" s="36">
        <v>100.0</v>
      </c>
      <c r="AA187" s="36">
        <v>0.0</v>
      </c>
      <c r="AB187" s="38" t="s">
        <v>7047</v>
      </c>
      <c r="AC187" s="30">
        <v>46113.0</v>
      </c>
      <c r="AD187" s="30">
        <v>46203.0</v>
      </c>
      <c r="AE187" s="36">
        <v>0.0</v>
      </c>
      <c r="AF187" s="36">
        <v>0.0</v>
      </c>
      <c r="AG187" s="35" t="s">
        <v>7045</v>
      </c>
      <c r="AH187" s="30">
        <v>46204.0</v>
      </c>
      <c r="AI187" s="30">
        <v>46295.0</v>
      </c>
      <c r="AJ187" s="36">
        <v>50.0</v>
      </c>
      <c r="AK187" s="36">
        <v>0.0</v>
      </c>
      <c r="AL187" s="35" t="s">
        <v>7047</v>
      </c>
      <c r="AM187" s="30">
        <v>46296.0</v>
      </c>
      <c r="AN187" s="30">
        <v>46387.0</v>
      </c>
      <c r="AO187" s="36">
        <v>0.0</v>
      </c>
      <c r="AP187" s="36">
        <v>0.0</v>
      </c>
      <c r="AQ187" s="35" t="s">
        <v>7045</v>
      </c>
      <c r="AR187" s="30">
        <v>46388.0</v>
      </c>
      <c r="AS187" s="30">
        <v>46477.0</v>
      </c>
      <c r="AT187" s="36">
        <v>0.0</v>
      </c>
      <c r="AU187" s="36">
        <v>0.0</v>
      </c>
      <c r="AV187" s="35" t="s">
        <v>7045</v>
      </c>
      <c r="AW187" s="30">
        <v>46478.0</v>
      </c>
      <c r="AX187" s="30">
        <v>46568.0</v>
      </c>
      <c r="AY187" s="36">
        <v>0.0</v>
      </c>
      <c r="AZ187" s="36">
        <v>0.0</v>
      </c>
      <c r="BA187" s="35" t="s">
        <v>7045</v>
      </c>
      <c r="BB187" s="30">
        <v>46569.0</v>
      </c>
      <c r="BC187" s="30">
        <v>46660.0</v>
      </c>
      <c r="BD187" s="36">
        <v>0.0</v>
      </c>
      <c r="BE187" s="36">
        <v>0.0</v>
      </c>
      <c r="BF187" s="35" t="s">
        <v>7045</v>
      </c>
      <c r="BG187" s="30">
        <v>46661.0</v>
      </c>
      <c r="BH187" s="30">
        <v>46752.0</v>
      </c>
      <c r="BI187" s="36">
        <v>0.0</v>
      </c>
      <c r="BJ187" s="36">
        <v>0.0</v>
      </c>
      <c r="BK187" s="35" t="s">
        <v>7045</v>
      </c>
      <c r="BL187" s="30">
        <v>46753.0</v>
      </c>
      <c r="BM187" s="30">
        <v>46843.0</v>
      </c>
      <c r="BN187" s="36">
        <v>0.0</v>
      </c>
      <c r="BO187" s="36">
        <v>0.0</v>
      </c>
      <c r="BP187" s="35" t="s">
        <v>7045</v>
      </c>
      <c r="BQ187" s="30">
        <v>46844.0</v>
      </c>
      <c r="BR187" s="30">
        <v>46934.0</v>
      </c>
      <c r="BS187" s="36">
        <v>0.0</v>
      </c>
      <c r="BT187" s="36">
        <v>0.0</v>
      </c>
      <c r="BU187" s="35" t="s">
        <v>7045</v>
      </c>
      <c r="BV187" s="30">
        <v>46935.0</v>
      </c>
      <c r="BW187" s="30">
        <v>47026.0</v>
      </c>
      <c r="BX187" s="36">
        <v>0.0</v>
      </c>
      <c r="BY187" s="36">
        <v>0.0</v>
      </c>
      <c r="BZ187" s="35" t="s">
        <v>7045</v>
      </c>
      <c r="CA187" s="30">
        <v>47027.0</v>
      </c>
      <c r="CB187" s="30">
        <v>47118.0</v>
      </c>
      <c r="CC187" s="36">
        <v>0.0</v>
      </c>
      <c r="CD187" s="36">
        <v>0.0</v>
      </c>
      <c r="CE187" s="35" t="s">
        <v>7045</v>
      </c>
      <c r="CF187" s="30">
        <v>47119.0</v>
      </c>
      <c r="CG187" s="30">
        <v>47208.0</v>
      </c>
      <c r="CH187" s="36">
        <v>0.0</v>
      </c>
      <c r="CI187" s="36">
        <v>0.0</v>
      </c>
      <c r="CJ187" s="35" t="s">
        <v>7045</v>
      </c>
      <c r="CK187" s="30">
        <v>47209.0</v>
      </c>
      <c r="CL187" s="30">
        <v>47299.0</v>
      </c>
      <c r="CM187" s="36">
        <v>0.0</v>
      </c>
      <c r="CN187" s="36">
        <v>0.0</v>
      </c>
      <c r="CO187" s="35" t="s">
        <v>7045</v>
      </c>
      <c r="CP187" s="30">
        <v>47300.0</v>
      </c>
      <c r="CQ187" s="30">
        <v>47391.0</v>
      </c>
      <c r="CR187" s="36">
        <v>0.0</v>
      </c>
      <c r="CS187" s="36">
        <v>0.0</v>
      </c>
      <c r="CT187" s="35" t="s">
        <v>7045</v>
      </c>
      <c r="CU187" s="30">
        <v>47392.0</v>
      </c>
      <c r="CV187" s="30">
        <v>47483.0</v>
      </c>
      <c r="CW187" s="36">
        <v>0.0</v>
      </c>
      <c r="CX187" s="36">
        <v>0.0</v>
      </c>
      <c r="CY187" s="35" t="s">
        <v>7045</v>
      </c>
      <c r="CZ187" s="30">
        <v>47484.0</v>
      </c>
      <c r="DA187" s="30">
        <v>47573.0</v>
      </c>
      <c r="DB187" s="36">
        <v>0.0</v>
      </c>
      <c r="DC187" s="36">
        <v>0.0</v>
      </c>
      <c r="DD187" s="35" t="s">
        <v>7045</v>
      </c>
      <c r="DE187" s="30">
        <v>47574.0</v>
      </c>
      <c r="DF187" s="30">
        <v>47664.0</v>
      </c>
      <c r="DG187" s="36">
        <v>0.0</v>
      </c>
      <c r="DH187" s="36">
        <v>0.0</v>
      </c>
      <c r="DI187" s="35" t="s">
        <v>7045</v>
      </c>
      <c r="DJ187" s="30">
        <v>47665.0</v>
      </c>
      <c r="DK187" s="30">
        <v>47756.0</v>
      </c>
      <c r="DL187" s="36">
        <v>0.0</v>
      </c>
      <c r="DM187" s="36">
        <v>0.0</v>
      </c>
      <c r="DN187" s="35" t="s">
        <v>7045</v>
      </c>
      <c r="DO187" s="30">
        <v>47757.0</v>
      </c>
      <c r="DP187" s="30">
        <v>47848.0</v>
      </c>
      <c r="DQ187" s="36">
        <v>0.0</v>
      </c>
      <c r="DR187" s="36">
        <v>0.0</v>
      </c>
      <c r="DS187" s="35" t="s">
        <v>7045</v>
      </c>
    </row>
    <row r="188" ht="14.25" customHeight="1">
      <c r="A188" s="28" t="s">
        <v>5592</v>
      </c>
      <c r="B188" s="29" t="s">
        <v>5593</v>
      </c>
      <c r="C188" s="29" t="s">
        <v>7041</v>
      </c>
      <c r="D188" s="30">
        <v>45658.0</v>
      </c>
      <c r="E188" s="30">
        <v>45747.0</v>
      </c>
      <c r="F188" s="39">
        <v>20.0</v>
      </c>
      <c r="G188" s="39">
        <v>0.0</v>
      </c>
      <c r="H188" s="38" t="s">
        <v>7047</v>
      </c>
      <c r="I188" s="30">
        <v>45748.0</v>
      </c>
      <c r="J188" s="30">
        <v>45838.0</v>
      </c>
      <c r="K188" s="39">
        <v>40.0</v>
      </c>
      <c r="L188" s="39">
        <v>0.0</v>
      </c>
      <c r="M188" s="38" t="s">
        <v>7047</v>
      </c>
      <c r="N188" s="30">
        <v>45839.0</v>
      </c>
      <c r="O188" s="30">
        <v>45930.0</v>
      </c>
      <c r="P188" s="39">
        <v>0.0</v>
      </c>
      <c r="Q188" s="39">
        <v>0.0</v>
      </c>
      <c r="R188" s="35" t="s">
        <v>7045</v>
      </c>
      <c r="S188" s="30">
        <v>45931.0</v>
      </c>
      <c r="T188" s="30">
        <v>46022.0</v>
      </c>
      <c r="U188" s="39">
        <v>0.0</v>
      </c>
      <c r="V188" s="39">
        <v>0.0</v>
      </c>
      <c r="W188" s="35" t="s">
        <v>7045</v>
      </c>
      <c r="X188" s="30">
        <v>46023.0</v>
      </c>
      <c r="Y188" s="30">
        <v>46112.0</v>
      </c>
      <c r="Z188" s="39">
        <v>0.0</v>
      </c>
      <c r="AA188" s="39">
        <v>0.0</v>
      </c>
      <c r="AB188" s="35" t="s">
        <v>7045</v>
      </c>
      <c r="AC188" s="30">
        <v>46113.0</v>
      </c>
      <c r="AD188" s="30">
        <v>46203.0</v>
      </c>
      <c r="AE188" s="39">
        <v>0.0</v>
      </c>
      <c r="AF188" s="39">
        <v>0.0</v>
      </c>
      <c r="AG188" s="35" t="s">
        <v>7045</v>
      </c>
      <c r="AH188" s="30">
        <v>46204.0</v>
      </c>
      <c r="AI188" s="30">
        <v>46295.0</v>
      </c>
      <c r="AJ188" s="39">
        <v>0.0</v>
      </c>
      <c r="AK188" s="39">
        <v>0.0</v>
      </c>
      <c r="AL188" s="35" t="s">
        <v>7045</v>
      </c>
      <c r="AM188" s="30">
        <v>46296.0</v>
      </c>
      <c r="AN188" s="30">
        <v>46387.0</v>
      </c>
      <c r="AO188" s="39">
        <v>0.0</v>
      </c>
      <c r="AP188" s="39">
        <v>0.0</v>
      </c>
      <c r="AQ188" s="35" t="s">
        <v>7045</v>
      </c>
      <c r="AR188" s="30">
        <v>46388.0</v>
      </c>
      <c r="AS188" s="30">
        <v>46477.0</v>
      </c>
      <c r="AT188" s="39">
        <v>0.0</v>
      </c>
      <c r="AU188" s="39">
        <v>0.0</v>
      </c>
      <c r="AV188" s="35" t="s">
        <v>7045</v>
      </c>
      <c r="AW188" s="30">
        <v>46478.0</v>
      </c>
      <c r="AX188" s="30">
        <v>46568.0</v>
      </c>
      <c r="AY188" s="39">
        <v>0.0</v>
      </c>
      <c r="AZ188" s="39">
        <v>0.0</v>
      </c>
      <c r="BA188" s="35" t="s">
        <v>7045</v>
      </c>
      <c r="BB188" s="30">
        <v>46569.0</v>
      </c>
      <c r="BC188" s="30">
        <v>46660.0</v>
      </c>
      <c r="BD188" s="39">
        <v>0.0</v>
      </c>
      <c r="BE188" s="39">
        <v>0.0</v>
      </c>
      <c r="BF188" s="35" t="s">
        <v>7045</v>
      </c>
      <c r="BG188" s="30">
        <v>46661.0</v>
      </c>
      <c r="BH188" s="30">
        <v>46752.0</v>
      </c>
      <c r="BI188" s="39">
        <v>0.0</v>
      </c>
      <c r="BJ188" s="39">
        <v>0.0</v>
      </c>
      <c r="BK188" s="35" t="s">
        <v>7045</v>
      </c>
      <c r="BL188" s="30">
        <v>46753.0</v>
      </c>
      <c r="BM188" s="30">
        <v>46843.0</v>
      </c>
      <c r="BN188" s="39">
        <v>0.0</v>
      </c>
      <c r="BO188" s="39">
        <v>0.0</v>
      </c>
      <c r="BP188" s="35" t="s">
        <v>7045</v>
      </c>
      <c r="BQ188" s="30">
        <v>46844.0</v>
      </c>
      <c r="BR188" s="30">
        <v>46934.0</v>
      </c>
      <c r="BS188" s="39">
        <v>0.0</v>
      </c>
      <c r="BT188" s="39">
        <v>0.0</v>
      </c>
      <c r="BU188" s="35" t="s">
        <v>7045</v>
      </c>
      <c r="BV188" s="30">
        <v>46935.0</v>
      </c>
      <c r="BW188" s="30">
        <v>47026.0</v>
      </c>
      <c r="BX188" s="39">
        <v>0.0</v>
      </c>
      <c r="BY188" s="39">
        <v>0.0</v>
      </c>
      <c r="BZ188" s="35" t="s">
        <v>7045</v>
      </c>
      <c r="CA188" s="30">
        <v>47027.0</v>
      </c>
      <c r="CB188" s="30">
        <v>47118.0</v>
      </c>
      <c r="CC188" s="39">
        <v>0.0</v>
      </c>
      <c r="CD188" s="39">
        <v>0.0</v>
      </c>
      <c r="CE188" s="35" t="s">
        <v>7045</v>
      </c>
      <c r="CF188" s="30">
        <v>47119.0</v>
      </c>
      <c r="CG188" s="30">
        <v>47208.0</v>
      </c>
      <c r="CH188" s="39">
        <v>0.0</v>
      </c>
      <c r="CI188" s="39">
        <v>0.0</v>
      </c>
      <c r="CJ188" s="35" t="s">
        <v>7045</v>
      </c>
      <c r="CK188" s="30">
        <v>47209.0</v>
      </c>
      <c r="CL188" s="30">
        <v>47299.0</v>
      </c>
      <c r="CM188" s="39">
        <v>0.0</v>
      </c>
      <c r="CN188" s="39">
        <v>0.0</v>
      </c>
      <c r="CO188" s="35" t="s">
        <v>7045</v>
      </c>
      <c r="CP188" s="30">
        <v>47300.0</v>
      </c>
      <c r="CQ188" s="30">
        <v>47391.0</v>
      </c>
      <c r="CR188" s="39">
        <v>0.0</v>
      </c>
      <c r="CS188" s="39">
        <v>0.0</v>
      </c>
      <c r="CT188" s="35" t="s">
        <v>7045</v>
      </c>
      <c r="CU188" s="30">
        <v>47392.0</v>
      </c>
      <c r="CV188" s="30">
        <v>47483.0</v>
      </c>
      <c r="CW188" s="39">
        <v>0.0</v>
      </c>
      <c r="CX188" s="39">
        <v>0.0</v>
      </c>
      <c r="CY188" s="35" t="s">
        <v>7045</v>
      </c>
      <c r="CZ188" s="30">
        <v>47484.0</v>
      </c>
      <c r="DA188" s="30">
        <v>47573.0</v>
      </c>
      <c r="DB188" s="39">
        <v>0.0</v>
      </c>
      <c r="DC188" s="39">
        <v>0.0</v>
      </c>
      <c r="DD188" s="35" t="s">
        <v>7045</v>
      </c>
      <c r="DE188" s="30">
        <v>47574.0</v>
      </c>
      <c r="DF188" s="30">
        <v>47664.0</v>
      </c>
      <c r="DG188" s="39">
        <v>0.0</v>
      </c>
      <c r="DH188" s="39">
        <v>0.0</v>
      </c>
      <c r="DI188" s="35" t="s">
        <v>7045</v>
      </c>
      <c r="DJ188" s="30">
        <v>47665.0</v>
      </c>
      <c r="DK188" s="30">
        <v>47756.0</v>
      </c>
      <c r="DL188" s="39">
        <v>0.0</v>
      </c>
      <c r="DM188" s="39">
        <v>0.0</v>
      </c>
      <c r="DN188" s="35" t="s">
        <v>7045</v>
      </c>
      <c r="DO188" s="30">
        <v>47757.0</v>
      </c>
      <c r="DP188" s="30">
        <v>47848.0</v>
      </c>
      <c r="DQ188" s="39">
        <v>0.0</v>
      </c>
      <c r="DR188" s="39">
        <v>0.0</v>
      </c>
      <c r="DS188" s="35" t="s">
        <v>7045</v>
      </c>
    </row>
    <row r="189" ht="14.25" customHeight="1">
      <c r="A189" s="28" t="s">
        <v>5650</v>
      </c>
      <c r="B189" s="29" t="s">
        <v>5651</v>
      </c>
      <c r="C189" s="29" t="s">
        <v>7041</v>
      </c>
      <c r="D189" s="30">
        <v>45658.0</v>
      </c>
      <c r="E189" s="30">
        <v>45747.0</v>
      </c>
      <c r="F189" s="36">
        <v>0.0</v>
      </c>
      <c r="G189" s="36">
        <v>0.0</v>
      </c>
      <c r="H189" s="35" t="s">
        <v>7045</v>
      </c>
      <c r="I189" s="30">
        <v>45748.0</v>
      </c>
      <c r="J189" s="30">
        <v>45838.0</v>
      </c>
      <c r="K189" s="36">
        <v>0.0</v>
      </c>
      <c r="L189" s="36">
        <v>0.0</v>
      </c>
      <c r="M189" s="35" t="s">
        <v>7045</v>
      </c>
      <c r="N189" s="30">
        <v>45839.0</v>
      </c>
      <c r="O189" s="30">
        <v>45930.0</v>
      </c>
      <c r="P189" s="36">
        <v>0.0</v>
      </c>
      <c r="Q189" s="36">
        <v>0.0</v>
      </c>
      <c r="R189" s="35" t="s">
        <v>7045</v>
      </c>
      <c r="S189" s="30">
        <v>45931.0</v>
      </c>
      <c r="T189" s="30">
        <v>46022.0</v>
      </c>
      <c r="U189" s="36">
        <v>0.0</v>
      </c>
      <c r="V189" s="36">
        <v>0.0</v>
      </c>
      <c r="W189" s="35" t="s">
        <v>7045</v>
      </c>
      <c r="X189" s="30">
        <v>46023.0</v>
      </c>
      <c r="Y189" s="30">
        <v>46112.0</v>
      </c>
      <c r="Z189" s="36">
        <v>0.0</v>
      </c>
      <c r="AA189" s="36">
        <v>0.0</v>
      </c>
      <c r="AB189" s="35" t="s">
        <v>7045</v>
      </c>
      <c r="AC189" s="30">
        <v>46113.0</v>
      </c>
      <c r="AD189" s="30">
        <v>46203.0</v>
      </c>
      <c r="AE189" s="36">
        <v>0.0</v>
      </c>
      <c r="AF189" s="36">
        <v>0.0</v>
      </c>
      <c r="AG189" s="35" t="s">
        <v>7045</v>
      </c>
      <c r="AH189" s="30">
        <v>46204.0</v>
      </c>
      <c r="AI189" s="30">
        <v>46295.0</v>
      </c>
      <c r="AJ189" s="36">
        <v>0.0</v>
      </c>
      <c r="AK189" s="36">
        <v>0.0</v>
      </c>
      <c r="AL189" s="35" t="s">
        <v>7045</v>
      </c>
      <c r="AM189" s="30">
        <v>46296.0</v>
      </c>
      <c r="AN189" s="30">
        <v>46387.0</v>
      </c>
      <c r="AO189" s="36">
        <v>0.0</v>
      </c>
      <c r="AP189" s="36">
        <v>0.0</v>
      </c>
      <c r="AQ189" s="35" t="s">
        <v>7045</v>
      </c>
      <c r="AR189" s="30">
        <v>46388.0</v>
      </c>
      <c r="AS189" s="30">
        <v>46477.0</v>
      </c>
      <c r="AT189" s="36">
        <v>0.0</v>
      </c>
      <c r="AU189" s="36">
        <v>0.0</v>
      </c>
      <c r="AV189" s="35" t="s">
        <v>7045</v>
      </c>
      <c r="AW189" s="30">
        <v>46478.0</v>
      </c>
      <c r="AX189" s="30">
        <v>46568.0</v>
      </c>
      <c r="AY189" s="36">
        <v>0.0</v>
      </c>
      <c r="AZ189" s="36">
        <v>0.0</v>
      </c>
      <c r="BA189" s="35" t="s">
        <v>7045</v>
      </c>
      <c r="BB189" s="30">
        <v>46569.0</v>
      </c>
      <c r="BC189" s="30">
        <v>46660.0</v>
      </c>
      <c r="BD189" s="36">
        <v>0.0</v>
      </c>
      <c r="BE189" s="36">
        <v>0.0</v>
      </c>
      <c r="BF189" s="35" t="s">
        <v>7045</v>
      </c>
      <c r="BG189" s="30">
        <v>46661.0</v>
      </c>
      <c r="BH189" s="30">
        <v>46752.0</v>
      </c>
      <c r="BI189" s="36">
        <v>0.0</v>
      </c>
      <c r="BJ189" s="36">
        <v>0.0</v>
      </c>
      <c r="BK189" s="35" t="s">
        <v>7045</v>
      </c>
      <c r="BL189" s="30">
        <v>46753.0</v>
      </c>
      <c r="BM189" s="30">
        <v>46843.0</v>
      </c>
      <c r="BN189" s="36">
        <v>0.0</v>
      </c>
      <c r="BO189" s="36">
        <v>0.0</v>
      </c>
      <c r="BP189" s="35" t="s">
        <v>7045</v>
      </c>
      <c r="BQ189" s="30">
        <v>46844.0</v>
      </c>
      <c r="BR189" s="30">
        <v>46934.0</v>
      </c>
      <c r="BS189" s="36">
        <v>0.0</v>
      </c>
      <c r="BT189" s="36">
        <v>0.0</v>
      </c>
      <c r="BU189" s="35" t="s">
        <v>7045</v>
      </c>
      <c r="BV189" s="30">
        <v>46935.0</v>
      </c>
      <c r="BW189" s="30">
        <v>47026.0</v>
      </c>
      <c r="BX189" s="36">
        <v>0.0</v>
      </c>
      <c r="BY189" s="36">
        <v>0.0</v>
      </c>
      <c r="BZ189" s="35" t="s">
        <v>7045</v>
      </c>
      <c r="CA189" s="30">
        <v>47027.0</v>
      </c>
      <c r="CB189" s="30">
        <v>47118.0</v>
      </c>
      <c r="CC189" s="36">
        <v>0.0</v>
      </c>
      <c r="CD189" s="36">
        <v>0.0</v>
      </c>
      <c r="CE189" s="35" t="s">
        <v>7045</v>
      </c>
      <c r="CF189" s="30">
        <v>47119.0</v>
      </c>
      <c r="CG189" s="30">
        <v>47208.0</v>
      </c>
      <c r="CH189" s="36">
        <v>0.0</v>
      </c>
      <c r="CI189" s="36">
        <v>0.0</v>
      </c>
      <c r="CJ189" s="35" t="s">
        <v>7045</v>
      </c>
      <c r="CK189" s="30">
        <v>47209.0</v>
      </c>
      <c r="CL189" s="30">
        <v>47299.0</v>
      </c>
      <c r="CM189" s="36">
        <v>0.0</v>
      </c>
      <c r="CN189" s="36">
        <v>0.0</v>
      </c>
      <c r="CO189" s="35" t="s">
        <v>7045</v>
      </c>
      <c r="CP189" s="30">
        <v>47300.0</v>
      </c>
      <c r="CQ189" s="30">
        <v>47391.0</v>
      </c>
      <c r="CR189" s="36">
        <v>0.0</v>
      </c>
      <c r="CS189" s="36">
        <v>0.0</v>
      </c>
      <c r="CT189" s="35" t="s">
        <v>7045</v>
      </c>
      <c r="CU189" s="30">
        <v>47392.0</v>
      </c>
      <c r="CV189" s="30">
        <v>47483.0</v>
      </c>
      <c r="CW189" s="36">
        <v>0.0</v>
      </c>
      <c r="CX189" s="36">
        <v>0.0</v>
      </c>
      <c r="CY189" s="35" t="s">
        <v>7045</v>
      </c>
      <c r="CZ189" s="30">
        <v>47484.0</v>
      </c>
      <c r="DA189" s="30">
        <v>47573.0</v>
      </c>
      <c r="DB189" s="36">
        <v>0.0</v>
      </c>
      <c r="DC189" s="36">
        <v>0.0</v>
      </c>
      <c r="DD189" s="35" t="s">
        <v>7045</v>
      </c>
      <c r="DE189" s="30">
        <v>47574.0</v>
      </c>
      <c r="DF189" s="30">
        <v>47664.0</v>
      </c>
      <c r="DG189" s="36">
        <v>0.0</v>
      </c>
      <c r="DH189" s="36">
        <v>0.0</v>
      </c>
      <c r="DI189" s="35" t="s">
        <v>7045</v>
      </c>
      <c r="DJ189" s="30">
        <v>47665.0</v>
      </c>
      <c r="DK189" s="30">
        <v>47756.0</v>
      </c>
      <c r="DL189" s="36">
        <v>0.0</v>
      </c>
      <c r="DM189" s="36">
        <v>0.0</v>
      </c>
      <c r="DN189" s="35" t="s">
        <v>7045</v>
      </c>
      <c r="DO189" s="30">
        <v>47757.0</v>
      </c>
      <c r="DP189" s="30">
        <v>47848.0</v>
      </c>
      <c r="DQ189" s="36">
        <v>0.0</v>
      </c>
      <c r="DR189" s="36">
        <v>0.0</v>
      </c>
      <c r="DS189" s="35" t="s">
        <v>7045</v>
      </c>
    </row>
    <row r="190" ht="14.25" customHeight="1">
      <c r="A190" s="28" t="s">
        <v>5695</v>
      </c>
      <c r="B190" s="29" t="s">
        <v>5696</v>
      </c>
      <c r="C190" s="29" t="s">
        <v>7041</v>
      </c>
      <c r="D190" s="30">
        <v>45658.0</v>
      </c>
      <c r="E190" s="30">
        <v>45747.0</v>
      </c>
      <c r="F190" s="36">
        <v>5.19</v>
      </c>
      <c r="G190" s="36">
        <v>0.0</v>
      </c>
      <c r="H190" s="38" t="s">
        <v>7047</v>
      </c>
      <c r="I190" s="30">
        <v>45748.0</v>
      </c>
      <c r="J190" s="30">
        <v>45838.0</v>
      </c>
      <c r="K190" s="36">
        <v>5.19</v>
      </c>
      <c r="L190" s="36">
        <v>0.0</v>
      </c>
      <c r="M190" s="38" t="s">
        <v>7047</v>
      </c>
      <c r="N190" s="30">
        <v>45839.0</v>
      </c>
      <c r="O190" s="30">
        <v>45930.0</v>
      </c>
      <c r="P190" s="36">
        <v>5.19</v>
      </c>
      <c r="Q190" s="36">
        <v>0.0</v>
      </c>
      <c r="R190" s="35" t="s">
        <v>7047</v>
      </c>
      <c r="S190" s="30">
        <v>45931.0</v>
      </c>
      <c r="T190" s="30">
        <v>46022.0</v>
      </c>
      <c r="U190" s="36">
        <v>0.0</v>
      </c>
      <c r="V190" s="36">
        <v>0.0</v>
      </c>
      <c r="W190" s="35" t="s">
        <v>7045</v>
      </c>
      <c r="X190" s="30">
        <v>46023.0</v>
      </c>
      <c r="Y190" s="30">
        <v>46112.0</v>
      </c>
      <c r="Z190" s="36">
        <v>0.0</v>
      </c>
      <c r="AA190" s="36">
        <v>0.0</v>
      </c>
      <c r="AB190" s="35" t="s">
        <v>7045</v>
      </c>
      <c r="AC190" s="30">
        <v>46113.0</v>
      </c>
      <c r="AD190" s="30">
        <v>46203.0</v>
      </c>
      <c r="AE190" s="36">
        <v>0.0</v>
      </c>
      <c r="AF190" s="36">
        <v>0.0</v>
      </c>
      <c r="AG190" s="35" t="s">
        <v>7045</v>
      </c>
      <c r="AH190" s="30">
        <v>46204.0</v>
      </c>
      <c r="AI190" s="30">
        <v>46295.0</v>
      </c>
      <c r="AJ190" s="36">
        <v>0.0</v>
      </c>
      <c r="AK190" s="36">
        <v>0.0</v>
      </c>
      <c r="AL190" s="35" t="s">
        <v>7045</v>
      </c>
      <c r="AM190" s="30">
        <v>46296.0</v>
      </c>
      <c r="AN190" s="30">
        <v>46387.0</v>
      </c>
      <c r="AO190" s="36">
        <v>0.0</v>
      </c>
      <c r="AP190" s="36">
        <v>0.0</v>
      </c>
      <c r="AQ190" s="35" t="s">
        <v>7045</v>
      </c>
      <c r="AR190" s="30">
        <v>46388.0</v>
      </c>
      <c r="AS190" s="30">
        <v>46477.0</v>
      </c>
      <c r="AT190" s="36">
        <v>0.0</v>
      </c>
      <c r="AU190" s="36">
        <v>0.0</v>
      </c>
      <c r="AV190" s="35" t="s">
        <v>7045</v>
      </c>
      <c r="AW190" s="30">
        <v>46478.0</v>
      </c>
      <c r="AX190" s="30">
        <v>46568.0</v>
      </c>
      <c r="AY190" s="36">
        <v>0.0</v>
      </c>
      <c r="AZ190" s="36">
        <v>0.0</v>
      </c>
      <c r="BA190" s="35" t="s">
        <v>7045</v>
      </c>
      <c r="BB190" s="30">
        <v>46569.0</v>
      </c>
      <c r="BC190" s="30">
        <v>46660.0</v>
      </c>
      <c r="BD190" s="36">
        <v>0.0</v>
      </c>
      <c r="BE190" s="36">
        <v>0.0</v>
      </c>
      <c r="BF190" s="35" t="s">
        <v>7045</v>
      </c>
      <c r="BG190" s="30">
        <v>46661.0</v>
      </c>
      <c r="BH190" s="30">
        <v>46752.0</v>
      </c>
      <c r="BI190" s="36">
        <v>0.0</v>
      </c>
      <c r="BJ190" s="36">
        <v>0.0</v>
      </c>
      <c r="BK190" s="35" t="s">
        <v>7045</v>
      </c>
      <c r="BL190" s="30">
        <v>46753.0</v>
      </c>
      <c r="BM190" s="30">
        <v>46843.0</v>
      </c>
      <c r="BN190" s="36">
        <v>0.0</v>
      </c>
      <c r="BO190" s="36">
        <v>0.0</v>
      </c>
      <c r="BP190" s="35" t="s">
        <v>7045</v>
      </c>
      <c r="BQ190" s="30">
        <v>46844.0</v>
      </c>
      <c r="BR190" s="30">
        <v>46934.0</v>
      </c>
      <c r="BS190" s="36">
        <v>0.0</v>
      </c>
      <c r="BT190" s="36">
        <v>0.0</v>
      </c>
      <c r="BU190" s="35" t="s">
        <v>7045</v>
      </c>
      <c r="BV190" s="30">
        <v>46935.0</v>
      </c>
      <c r="BW190" s="30">
        <v>47026.0</v>
      </c>
      <c r="BX190" s="36">
        <v>0.0</v>
      </c>
      <c r="BY190" s="36">
        <v>0.0</v>
      </c>
      <c r="BZ190" s="35" t="s">
        <v>7045</v>
      </c>
      <c r="CA190" s="30">
        <v>47027.0</v>
      </c>
      <c r="CB190" s="30">
        <v>47118.0</v>
      </c>
      <c r="CC190" s="36">
        <v>0.0</v>
      </c>
      <c r="CD190" s="36">
        <v>0.0</v>
      </c>
      <c r="CE190" s="35" t="s">
        <v>7045</v>
      </c>
      <c r="CF190" s="30">
        <v>47119.0</v>
      </c>
      <c r="CG190" s="30">
        <v>47208.0</v>
      </c>
      <c r="CH190" s="36">
        <v>0.0</v>
      </c>
      <c r="CI190" s="36">
        <v>0.0</v>
      </c>
      <c r="CJ190" s="35" t="s">
        <v>7045</v>
      </c>
      <c r="CK190" s="30">
        <v>47209.0</v>
      </c>
      <c r="CL190" s="30">
        <v>47299.0</v>
      </c>
      <c r="CM190" s="36">
        <v>0.0</v>
      </c>
      <c r="CN190" s="36">
        <v>0.0</v>
      </c>
      <c r="CO190" s="35" t="s">
        <v>7045</v>
      </c>
      <c r="CP190" s="30">
        <v>47300.0</v>
      </c>
      <c r="CQ190" s="30">
        <v>47391.0</v>
      </c>
      <c r="CR190" s="36">
        <v>0.0</v>
      </c>
      <c r="CS190" s="36">
        <v>0.0</v>
      </c>
      <c r="CT190" s="35" t="s">
        <v>7045</v>
      </c>
      <c r="CU190" s="30">
        <v>47392.0</v>
      </c>
      <c r="CV190" s="30">
        <v>47483.0</v>
      </c>
      <c r="CW190" s="36">
        <v>0.0</v>
      </c>
      <c r="CX190" s="36">
        <v>0.0</v>
      </c>
      <c r="CY190" s="35" t="s">
        <v>7045</v>
      </c>
      <c r="CZ190" s="30">
        <v>47484.0</v>
      </c>
      <c r="DA190" s="30">
        <v>47573.0</v>
      </c>
      <c r="DB190" s="36">
        <v>0.0</v>
      </c>
      <c r="DC190" s="36">
        <v>0.0</v>
      </c>
      <c r="DD190" s="35" t="s">
        <v>7045</v>
      </c>
      <c r="DE190" s="30">
        <v>47574.0</v>
      </c>
      <c r="DF190" s="30">
        <v>47664.0</v>
      </c>
      <c r="DG190" s="36">
        <v>0.0</v>
      </c>
      <c r="DH190" s="36">
        <v>0.0</v>
      </c>
      <c r="DI190" s="35" t="s">
        <v>7045</v>
      </c>
      <c r="DJ190" s="30">
        <v>47665.0</v>
      </c>
      <c r="DK190" s="30">
        <v>47756.0</v>
      </c>
      <c r="DL190" s="36">
        <v>0.0</v>
      </c>
      <c r="DM190" s="36">
        <v>0.0</v>
      </c>
      <c r="DN190" s="35" t="s">
        <v>7045</v>
      </c>
      <c r="DO190" s="30">
        <v>47757.0</v>
      </c>
      <c r="DP190" s="30">
        <v>47848.0</v>
      </c>
      <c r="DQ190" s="36">
        <v>0.0</v>
      </c>
      <c r="DR190" s="36">
        <v>0.0</v>
      </c>
      <c r="DS190" s="35" t="s">
        <v>7045</v>
      </c>
    </row>
    <row r="191" ht="14.25" customHeight="1">
      <c r="A191" s="28" t="s">
        <v>5702</v>
      </c>
      <c r="B191" s="29" t="s">
        <v>5703</v>
      </c>
      <c r="C191" s="29" t="s">
        <v>7041</v>
      </c>
      <c r="D191" s="30">
        <v>45658.0</v>
      </c>
      <c r="E191" s="30">
        <v>45747.0</v>
      </c>
      <c r="F191" s="36">
        <v>0.0</v>
      </c>
      <c r="G191" s="36">
        <v>0.0</v>
      </c>
      <c r="H191" s="35" t="s">
        <v>7045</v>
      </c>
      <c r="I191" s="30">
        <v>45748.0</v>
      </c>
      <c r="J191" s="30">
        <v>45838.0</v>
      </c>
      <c r="K191" s="36">
        <v>0.0</v>
      </c>
      <c r="L191" s="36">
        <v>0.0</v>
      </c>
      <c r="M191" s="35" t="s">
        <v>7045</v>
      </c>
      <c r="N191" s="30">
        <v>45839.0</v>
      </c>
      <c r="O191" s="30">
        <v>45930.0</v>
      </c>
      <c r="P191" s="36">
        <v>0.0</v>
      </c>
      <c r="Q191" s="36">
        <v>0.0</v>
      </c>
      <c r="R191" s="35" t="s">
        <v>7045</v>
      </c>
      <c r="S191" s="30">
        <v>45931.0</v>
      </c>
      <c r="T191" s="30">
        <v>46022.0</v>
      </c>
      <c r="U191" s="36">
        <v>0.0</v>
      </c>
      <c r="V191" s="36">
        <v>0.0</v>
      </c>
      <c r="W191" s="35" t="s">
        <v>7045</v>
      </c>
      <c r="X191" s="30">
        <v>46023.0</v>
      </c>
      <c r="Y191" s="30">
        <v>46112.0</v>
      </c>
      <c r="Z191" s="36">
        <v>0.0</v>
      </c>
      <c r="AA191" s="36">
        <v>0.0</v>
      </c>
      <c r="AB191" s="35" t="s">
        <v>7045</v>
      </c>
      <c r="AC191" s="30">
        <v>46113.0</v>
      </c>
      <c r="AD191" s="30">
        <v>46203.0</v>
      </c>
      <c r="AE191" s="36">
        <v>0.0</v>
      </c>
      <c r="AF191" s="36">
        <v>0.0</v>
      </c>
      <c r="AG191" s="35" t="s">
        <v>7045</v>
      </c>
      <c r="AH191" s="30">
        <v>46204.0</v>
      </c>
      <c r="AI191" s="30">
        <v>46295.0</v>
      </c>
      <c r="AJ191" s="36">
        <v>0.0</v>
      </c>
      <c r="AK191" s="36">
        <v>0.0</v>
      </c>
      <c r="AL191" s="35" t="s">
        <v>7045</v>
      </c>
      <c r="AM191" s="30">
        <v>46296.0</v>
      </c>
      <c r="AN191" s="30">
        <v>46387.0</v>
      </c>
      <c r="AO191" s="36">
        <v>0.0</v>
      </c>
      <c r="AP191" s="36">
        <v>0.0</v>
      </c>
      <c r="AQ191" s="35" t="s">
        <v>7045</v>
      </c>
      <c r="AR191" s="30">
        <v>46388.0</v>
      </c>
      <c r="AS191" s="30">
        <v>46477.0</v>
      </c>
      <c r="AT191" s="36">
        <v>0.0</v>
      </c>
      <c r="AU191" s="36">
        <v>0.0</v>
      </c>
      <c r="AV191" s="35" t="s">
        <v>7045</v>
      </c>
      <c r="AW191" s="30">
        <v>46478.0</v>
      </c>
      <c r="AX191" s="30">
        <v>46568.0</v>
      </c>
      <c r="AY191" s="36">
        <v>0.0</v>
      </c>
      <c r="AZ191" s="36">
        <v>0.0</v>
      </c>
      <c r="BA191" s="35" t="s">
        <v>7045</v>
      </c>
      <c r="BB191" s="30">
        <v>46569.0</v>
      </c>
      <c r="BC191" s="30">
        <v>46660.0</v>
      </c>
      <c r="BD191" s="36">
        <v>0.0</v>
      </c>
      <c r="BE191" s="36">
        <v>0.0</v>
      </c>
      <c r="BF191" s="35" t="s">
        <v>7045</v>
      </c>
      <c r="BG191" s="30">
        <v>46661.0</v>
      </c>
      <c r="BH191" s="30">
        <v>46752.0</v>
      </c>
      <c r="BI191" s="36">
        <v>0.0</v>
      </c>
      <c r="BJ191" s="36">
        <v>0.0</v>
      </c>
      <c r="BK191" s="35" t="s">
        <v>7045</v>
      </c>
      <c r="BL191" s="30">
        <v>46753.0</v>
      </c>
      <c r="BM191" s="30">
        <v>46843.0</v>
      </c>
      <c r="BN191" s="36">
        <v>0.0</v>
      </c>
      <c r="BO191" s="36">
        <v>0.0</v>
      </c>
      <c r="BP191" s="35" t="s">
        <v>7045</v>
      </c>
      <c r="BQ191" s="30">
        <v>46844.0</v>
      </c>
      <c r="BR191" s="30">
        <v>46934.0</v>
      </c>
      <c r="BS191" s="36">
        <v>0.0</v>
      </c>
      <c r="BT191" s="36">
        <v>0.0</v>
      </c>
      <c r="BU191" s="35" t="s">
        <v>7045</v>
      </c>
      <c r="BV191" s="30">
        <v>46935.0</v>
      </c>
      <c r="BW191" s="30">
        <v>47026.0</v>
      </c>
      <c r="BX191" s="36">
        <v>0.0</v>
      </c>
      <c r="BY191" s="36">
        <v>0.0</v>
      </c>
      <c r="BZ191" s="35" t="s">
        <v>7045</v>
      </c>
      <c r="CA191" s="30">
        <v>47027.0</v>
      </c>
      <c r="CB191" s="30">
        <v>47118.0</v>
      </c>
      <c r="CC191" s="36">
        <v>0.0</v>
      </c>
      <c r="CD191" s="36">
        <v>0.0</v>
      </c>
      <c r="CE191" s="35" t="s">
        <v>7045</v>
      </c>
      <c r="CF191" s="30">
        <v>47119.0</v>
      </c>
      <c r="CG191" s="30">
        <v>47208.0</v>
      </c>
      <c r="CH191" s="36">
        <v>0.0</v>
      </c>
      <c r="CI191" s="36">
        <v>0.0</v>
      </c>
      <c r="CJ191" s="35" t="s">
        <v>7045</v>
      </c>
      <c r="CK191" s="30">
        <v>47209.0</v>
      </c>
      <c r="CL191" s="30">
        <v>47299.0</v>
      </c>
      <c r="CM191" s="36">
        <v>0.0</v>
      </c>
      <c r="CN191" s="36">
        <v>0.0</v>
      </c>
      <c r="CO191" s="35" t="s">
        <v>7045</v>
      </c>
      <c r="CP191" s="30">
        <v>47300.0</v>
      </c>
      <c r="CQ191" s="30">
        <v>47391.0</v>
      </c>
      <c r="CR191" s="36">
        <v>0.0</v>
      </c>
      <c r="CS191" s="36">
        <v>0.0</v>
      </c>
      <c r="CT191" s="35" t="s">
        <v>7045</v>
      </c>
      <c r="CU191" s="30">
        <v>47392.0</v>
      </c>
      <c r="CV191" s="30">
        <v>47483.0</v>
      </c>
      <c r="CW191" s="36">
        <v>0.0</v>
      </c>
      <c r="CX191" s="36">
        <v>0.0</v>
      </c>
      <c r="CY191" s="35" t="s">
        <v>7045</v>
      </c>
      <c r="CZ191" s="30">
        <v>47484.0</v>
      </c>
      <c r="DA191" s="30">
        <v>47573.0</v>
      </c>
      <c r="DB191" s="36">
        <v>0.0</v>
      </c>
      <c r="DC191" s="36">
        <v>0.0</v>
      </c>
      <c r="DD191" s="35" t="s">
        <v>7045</v>
      </c>
      <c r="DE191" s="30">
        <v>47574.0</v>
      </c>
      <c r="DF191" s="30">
        <v>47664.0</v>
      </c>
      <c r="DG191" s="36">
        <v>0.0</v>
      </c>
      <c r="DH191" s="36">
        <v>0.0</v>
      </c>
      <c r="DI191" s="35" t="s">
        <v>7045</v>
      </c>
      <c r="DJ191" s="30">
        <v>47665.0</v>
      </c>
      <c r="DK191" s="30">
        <v>47756.0</v>
      </c>
      <c r="DL191" s="36">
        <v>0.0</v>
      </c>
      <c r="DM191" s="36">
        <v>0.0</v>
      </c>
      <c r="DN191" s="35" t="s">
        <v>7045</v>
      </c>
      <c r="DO191" s="30">
        <v>47757.0</v>
      </c>
      <c r="DP191" s="30">
        <v>47848.0</v>
      </c>
      <c r="DQ191" s="36">
        <v>0.0</v>
      </c>
      <c r="DR191" s="36">
        <v>0.0</v>
      </c>
      <c r="DS191" s="35" t="s">
        <v>7045</v>
      </c>
    </row>
    <row r="192" ht="14.25" customHeight="1">
      <c r="A192" s="28" t="s">
        <v>5915</v>
      </c>
      <c r="B192" s="29" t="s">
        <v>5916</v>
      </c>
      <c r="C192" s="29" t="s">
        <v>7041</v>
      </c>
      <c r="D192" s="30">
        <v>45658.0</v>
      </c>
      <c r="E192" s="30">
        <v>45747.0</v>
      </c>
      <c r="F192" s="39">
        <v>0.0</v>
      </c>
      <c r="G192" s="39">
        <v>0.0</v>
      </c>
      <c r="H192" s="35" t="s">
        <v>7045</v>
      </c>
      <c r="I192" s="30">
        <v>45748.0</v>
      </c>
      <c r="J192" s="30">
        <v>45838.0</v>
      </c>
      <c r="K192" s="39">
        <v>0.0</v>
      </c>
      <c r="L192" s="39">
        <v>0.0</v>
      </c>
      <c r="M192" s="35" t="s">
        <v>7045</v>
      </c>
      <c r="N192" s="30">
        <v>45839.0</v>
      </c>
      <c r="O192" s="30">
        <v>45930.0</v>
      </c>
      <c r="P192" s="39">
        <v>0.0</v>
      </c>
      <c r="Q192" s="39">
        <v>0.0</v>
      </c>
      <c r="R192" s="35" t="s">
        <v>7045</v>
      </c>
      <c r="S192" s="30">
        <v>45931.0</v>
      </c>
      <c r="T192" s="30">
        <v>46022.0</v>
      </c>
      <c r="U192" s="39">
        <v>0.0</v>
      </c>
      <c r="V192" s="39">
        <v>0.0</v>
      </c>
      <c r="W192" s="35" t="s">
        <v>7045</v>
      </c>
      <c r="X192" s="30">
        <v>46023.0</v>
      </c>
      <c r="Y192" s="30">
        <v>46112.0</v>
      </c>
      <c r="Z192" s="39">
        <v>0.0</v>
      </c>
      <c r="AA192" s="39">
        <v>0.0</v>
      </c>
      <c r="AB192" s="35" t="s">
        <v>7045</v>
      </c>
      <c r="AC192" s="30">
        <v>46113.0</v>
      </c>
      <c r="AD192" s="30">
        <v>46203.0</v>
      </c>
      <c r="AE192" s="39">
        <v>0.0</v>
      </c>
      <c r="AF192" s="39">
        <v>0.0</v>
      </c>
      <c r="AG192" s="35" t="s">
        <v>7045</v>
      </c>
      <c r="AH192" s="30">
        <v>46204.0</v>
      </c>
      <c r="AI192" s="30">
        <v>46295.0</v>
      </c>
      <c r="AJ192" s="39">
        <v>0.0</v>
      </c>
      <c r="AK192" s="39">
        <v>0.0</v>
      </c>
      <c r="AL192" s="35" t="s">
        <v>7045</v>
      </c>
      <c r="AM192" s="30">
        <v>46296.0</v>
      </c>
      <c r="AN192" s="30">
        <v>46387.0</v>
      </c>
      <c r="AO192" s="39">
        <v>0.0</v>
      </c>
      <c r="AP192" s="39">
        <v>0.0</v>
      </c>
      <c r="AQ192" s="35" t="s">
        <v>7045</v>
      </c>
      <c r="AR192" s="30">
        <v>46388.0</v>
      </c>
      <c r="AS192" s="30">
        <v>46477.0</v>
      </c>
      <c r="AT192" s="39">
        <v>0.0</v>
      </c>
      <c r="AU192" s="39">
        <v>0.0</v>
      </c>
      <c r="AV192" s="35" t="s">
        <v>7045</v>
      </c>
      <c r="AW192" s="30">
        <v>46478.0</v>
      </c>
      <c r="AX192" s="30">
        <v>46568.0</v>
      </c>
      <c r="AY192" s="39">
        <v>0.0</v>
      </c>
      <c r="AZ192" s="39">
        <v>0.0</v>
      </c>
      <c r="BA192" s="35" t="s">
        <v>7045</v>
      </c>
      <c r="BB192" s="30">
        <v>46569.0</v>
      </c>
      <c r="BC192" s="30">
        <v>46660.0</v>
      </c>
      <c r="BD192" s="39">
        <v>0.0</v>
      </c>
      <c r="BE192" s="39">
        <v>0.0</v>
      </c>
      <c r="BF192" s="35" t="s">
        <v>7045</v>
      </c>
      <c r="BG192" s="30">
        <v>46661.0</v>
      </c>
      <c r="BH192" s="30">
        <v>46752.0</v>
      </c>
      <c r="BI192" s="39">
        <v>0.0</v>
      </c>
      <c r="BJ192" s="39">
        <v>0.0</v>
      </c>
      <c r="BK192" s="35" t="s">
        <v>7045</v>
      </c>
      <c r="BL192" s="30">
        <v>46753.0</v>
      </c>
      <c r="BM192" s="30">
        <v>46843.0</v>
      </c>
      <c r="BN192" s="39">
        <v>0.0</v>
      </c>
      <c r="BO192" s="39">
        <v>0.0</v>
      </c>
      <c r="BP192" s="35" t="s">
        <v>7045</v>
      </c>
      <c r="BQ192" s="30">
        <v>46844.0</v>
      </c>
      <c r="BR192" s="30">
        <v>46934.0</v>
      </c>
      <c r="BS192" s="39">
        <v>0.0</v>
      </c>
      <c r="BT192" s="39">
        <v>0.0</v>
      </c>
      <c r="BU192" s="35" t="s">
        <v>7045</v>
      </c>
      <c r="BV192" s="30">
        <v>46935.0</v>
      </c>
      <c r="BW192" s="30">
        <v>47026.0</v>
      </c>
      <c r="BX192" s="39">
        <v>0.0</v>
      </c>
      <c r="BY192" s="39">
        <v>0.0</v>
      </c>
      <c r="BZ192" s="35" t="s">
        <v>7045</v>
      </c>
      <c r="CA192" s="30">
        <v>47027.0</v>
      </c>
      <c r="CB192" s="30">
        <v>47118.0</v>
      </c>
      <c r="CC192" s="39">
        <v>0.0</v>
      </c>
      <c r="CD192" s="39">
        <v>0.0</v>
      </c>
      <c r="CE192" s="35" t="s">
        <v>7045</v>
      </c>
      <c r="CF192" s="30">
        <v>47119.0</v>
      </c>
      <c r="CG192" s="30">
        <v>47208.0</v>
      </c>
      <c r="CH192" s="39">
        <v>0.0</v>
      </c>
      <c r="CI192" s="39">
        <v>0.0</v>
      </c>
      <c r="CJ192" s="35" t="s">
        <v>7045</v>
      </c>
      <c r="CK192" s="30">
        <v>47209.0</v>
      </c>
      <c r="CL192" s="30">
        <v>47299.0</v>
      </c>
      <c r="CM192" s="39">
        <v>0.0</v>
      </c>
      <c r="CN192" s="39">
        <v>0.0</v>
      </c>
      <c r="CO192" s="35" t="s">
        <v>7045</v>
      </c>
      <c r="CP192" s="30">
        <v>47300.0</v>
      </c>
      <c r="CQ192" s="30">
        <v>47391.0</v>
      </c>
      <c r="CR192" s="39">
        <v>0.0</v>
      </c>
      <c r="CS192" s="39">
        <v>0.0</v>
      </c>
      <c r="CT192" s="35" t="s">
        <v>7045</v>
      </c>
      <c r="CU192" s="30">
        <v>47392.0</v>
      </c>
      <c r="CV192" s="30">
        <v>47483.0</v>
      </c>
      <c r="CW192" s="39">
        <v>0.0</v>
      </c>
      <c r="CX192" s="39">
        <v>0.0</v>
      </c>
      <c r="CY192" s="35" t="s">
        <v>7045</v>
      </c>
      <c r="CZ192" s="30">
        <v>47484.0</v>
      </c>
      <c r="DA192" s="30">
        <v>47573.0</v>
      </c>
      <c r="DB192" s="39">
        <v>0.0</v>
      </c>
      <c r="DC192" s="39">
        <v>0.0</v>
      </c>
      <c r="DD192" s="35" t="s">
        <v>7045</v>
      </c>
      <c r="DE192" s="30">
        <v>47574.0</v>
      </c>
      <c r="DF192" s="30">
        <v>47664.0</v>
      </c>
      <c r="DG192" s="39">
        <v>0.0</v>
      </c>
      <c r="DH192" s="39">
        <v>0.0</v>
      </c>
      <c r="DI192" s="35" t="s">
        <v>7045</v>
      </c>
      <c r="DJ192" s="30">
        <v>47665.0</v>
      </c>
      <c r="DK192" s="30">
        <v>47756.0</v>
      </c>
      <c r="DL192" s="39">
        <v>0.0</v>
      </c>
      <c r="DM192" s="39">
        <v>0.0</v>
      </c>
      <c r="DN192" s="35" t="s">
        <v>7045</v>
      </c>
      <c r="DO192" s="30">
        <v>47757.0</v>
      </c>
      <c r="DP192" s="30">
        <v>47848.0</v>
      </c>
      <c r="DQ192" s="39">
        <v>0.0</v>
      </c>
      <c r="DR192" s="39">
        <v>0.0</v>
      </c>
      <c r="DS192" s="35" t="s">
        <v>7045</v>
      </c>
    </row>
    <row r="193" ht="14.25" customHeight="1">
      <c r="A193" s="28" t="s">
        <v>5995</v>
      </c>
      <c r="B193" s="29" t="s">
        <v>5996</v>
      </c>
      <c r="C193" s="29" t="s">
        <v>7041</v>
      </c>
      <c r="D193" s="30">
        <v>45658.0</v>
      </c>
      <c r="E193" s="30">
        <v>45747.0</v>
      </c>
      <c r="F193" s="39">
        <v>17.5</v>
      </c>
      <c r="G193" s="39">
        <v>0.0</v>
      </c>
      <c r="H193" s="38" t="s">
        <v>7047</v>
      </c>
      <c r="I193" s="30">
        <v>45748.0</v>
      </c>
      <c r="J193" s="30">
        <v>45838.0</v>
      </c>
      <c r="K193" s="39">
        <v>22.4</v>
      </c>
      <c r="L193" s="39">
        <v>69.01</v>
      </c>
      <c r="M193" s="38" t="s">
        <v>7047</v>
      </c>
      <c r="N193" s="30">
        <v>45839.0</v>
      </c>
      <c r="O193" s="30">
        <v>45930.0</v>
      </c>
      <c r="P193" s="39">
        <v>22.4</v>
      </c>
      <c r="Q193" s="39">
        <v>336.67</v>
      </c>
      <c r="R193" s="38" t="s">
        <v>7047</v>
      </c>
      <c r="S193" s="30">
        <v>45931.0</v>
      </c>
      <c r="T193" s="30">
        <v>46022.0</v>
      </c>
      <c r="U193" s="39">
        <v>120.0</v>
      </c>
      <c r="V193" s="39">
        <v>390.0</v>
      </c>
      <c r="W193" s="38" t="s">
        <v>7047</v>
      </c>
      <c r="X193" s="30">
        <v>46023.0</v>
      </c>
      <c r="Y193" s="30">
        <v>46112.0</v>
      </c>
      <c r="Z193" s="39">
        <v>90.0</v>
      </c>
      <c r="AA193" s="39">
        <v>0.0</v>
      </c>
      <c r="AB193" s="35" t="s">
        <v>7047</v>
      </c>
      <c r="AC193" s="30">
        <v>46113.0</v>
      </c>
      <c r="AD193" s="30">
        <v>46203.0</v>
      </c>
      <c r="AE193" s="39">
        <v>0.0</v>
      </c>
      <c r="AF193" s="39">
        <v>0.0</v>
      </c>
      <c r="AG193" s="35" t="s">
        <v>7045</v>
      </c>
      <c r="AH193" s="30">
        <v>46204.0</v>
      </c>
      <c r="AI193" s="30">
        <v>46295.0</v>
      </c>
      <c r="AJ193" s="39">
        <v>0.0</v>
      </c>
      <c r="AK193" s="39">
        <v>0.0</v>
      </c>
      <c r="AL193" s="35" t="s">
        <v>7045</v>
      </c>
      <c r="AM193" s="30">
        <v>46296.0</v>
      </c>
      <c r="AN193" s="30">
        <v>46387.0</v>
      </c>
      <c r="AO193" s="39">
        <v>0.0</v>
      </c>
      <c r="AP193" s="39">
        <v>0.0</v>
      </c>
      <c r="AQ193" s="35" t="s">
        <v>7045</v>
      </c>
      <c r="AR193" s="30">
        <v>46388.0</v>
      </c>
      <c r="AS193" s="30">
        <v>46477.0</v>
      </c>
      <c r="AT193" s="39">
        <v>0.0</v>
      </c>
      <c r="AU193" s="39">
        <v>0.0</v>
      </c>
      <c r="AV193" s="35" t="s">
        <v>7045</v>
      </c>
      <c r="AW193" s="30">
        <v>46478.0</v>
      </c>
      <c r="AX193" s="30">
        <v>46568.0</v>
      </c>
      <c r="AY193" s="39">
        <v>0.0</v>
      </c>
      <c r="AZ193" s="39">
        <v>0.0</v>
      </c>
      <c r="BA193" s="35" t="s">
        <v>7045</v>
      </c>
      <c r="BB193" s="30">
        <v>46569.0</v>
      </c>
      <c r="BC193" s="30">
        <v>46660.0</v>
      </c>
      <c r="BD193" s="39">
        <v>0.0</v>
      </c>
      <c r="BE193" s="39">
        <v>0.0</v>
      </c>
      <c r="BF193" s="35" t="s">
        <v>7045</v>
      </c>
      <c r="BG193" s="30">
        <v>46661.0</v>
      </c>
      <c r="BH193" s="30">
        <v>46752.0</v>
      </c>
      <c r="BI193" s="39">
        <v>0.0</v>
      </c>
      <c r="BJ193" s="39">
        <v>0.0</v>
      </c>
      <c r="BK193" s="35" t="s">
        <v>7045</v>
      </c>
      <c r="BL193" s="30">
        <v>46753.0</v>
      </c>
      <c r="BM193" s="30">
        <v>46843.0</v>
      </c>
      <c r="BN193" s="39">
        <v>0.0</v>
      </c>
      <c r="BO193" s="39">
        <v>0.0</v>
      </c>
      <c r="BP193" s="35" t="s">
        <v>7045</v>
      </c>
      <c r="BQ193" s="30">
        <v>46844.0</v>
      </c>
      <c r="BR193" s="30">
        <v>46934.0</v>
      </c>
      <c r="BS193" s="39">
        <v>0.0</v>
      </c>
      <c r="BT193" s="39">
        <v>0.0</v>
      </c>
      <c r="BU193" s="35" t="s">
        <v>7045</v>
      </c>
      <c r="BV193" s="30">
        <v>46935.0</v>
      </c>
      <c r="BW193" s="30">
        <v>47026.0</v>
      </c>
      <c r="BX193" s="39">
        <v>0.0</v>
      </c>
      <c r="BY193" s="39">
        <v>0.0</v>
      </c>
      <c r="BZ193" s="35" t="s">
        <v>7045</v>
      </c>
      <c r="CA193" s="30">
        <v>47027.0</v>
      </c>
      <c r="CB193" s="30">
        <v>47118.0</v>
      </c>
      <c r="CC193" s="39">
        <v>0.0</v>
      </c>
      <c r="CD193" s="39">
        <v>0.0</v>
      </c>
      <c r="CE193" s="35" t="s">
        <v>7045</v>
      </c>
      <c r="CF193" s="30">
        <v>47119.0</v>
      </c>
      <c r="CG193" s="30">
        <v>47208.0</v>
      </c>
      <c r="CH193" s="39">
        <v>0.0</v>
      </c>
      <c r="CI193" s="39">
        <v>0.0</v>
      </c>
      <c r="CJ193" s="35" t="s">
        <v>7045</v>
      </c>
      <c r="CK193" s="30">
        <v>47209.0</v>
      </c>
      <c r="CL193" s="30">
        <v>47299.0</v>
      </c>
      <c r="CM193" s="39">
        <v>0.0</v>
      </c>
      <c r="CN193" s="39">
        <v>0.0</v>
      </c>
      <c r="CO193" s="35" t="s">
        <v>7045</v>
      </c>
      <c r="CP193" s="30">
        <v>47300.0</v>
      </c>
      <c r="CQ193" s="30">
        <v>47391.0</v>
      </c>
      <c r="CR193" s="39">
        <v>0.0</v>
      </c>
      <c r="CS193" s="39">
        <v>0.0</v>
      </c>
      <c r="CT193" s="35" t="s">
        <v>7045</v>
      </c>
      <c r="CU193" s="30">
        <v>47392.0</v>
      </c>
      <c r="CV193" s="30">
        <v>47483.0</v>
      </c>
      <c r="CW193" s="39">
        <v>0.0</v>
      </c>
      <c r="CX193" s="39">
        <v>0.0</v>
      </c>
      <c r="CY193" s="35" t="s">
        <v>7045</v>
      </c>
      <c r="CZ193" s="30">
        <v>47484.0</v>
      </c>
      <c r="DA193" s="30">
        <v>47573.0</v>
      </c>
      <c r="DB193" s="39">
        <v>0.0</v>
      </c>
      <c r="DC193" s="39">
        <v>0.0</v>
      </c>
      <c r="DD193" s="35" t="s">
        <v>7045</v>
      </c>
      <c r="DE193" s="30">
        <v>47574.0</v>
      </c>
      <c r="DF193" s="30">
        <v>47664.0</v>
      </c>
      <c r="DG193" s="39">
        <v>0.0</v>
      </c>
      <c r="DH193" s="39">
        <v>0.0</v>
      </c>
      <c r="DI193" s="35" t="s">
        <v>7045</v>
      </c>
      <c r="DJ193" s="30">
        <v>47665.0</v>
      </c>
      <c r="DK193" s="30">
        <v>47756.0</v>
      </c>
      <c r="DL193" s="39">
        <v>0.0</v>
      </c>
      <c r="DM193" s="39">
        <v>0.0</v>
      </c>
      <c r="DN193" s="35" t="s">
        <v>7045</v>
      </c>
      <c r="DO193" s="30">
        <v>47757.0</v>
      </c>
      <c r="DP193" s="30">
        <v>47848.0</v>
      </c>
      <c r="DQ193" s="39">
        <v>0.0</v>
      </c>
      <c r="DR193" s="39">
        <v>0.0</v>
      </c>
      <c r="DS193" s="35" t="s">
        <v>7045</v>
      </c>
    </row>
    <row r="194" ht="14.25" customHeight="1">
      <c r="A194" s="28" t="s">
        <v>6199</v>
      </c>
      <c r="B194" s="29" t="s">
        <v>6200</v>
      </c>
      <c r="C194" s="29" t="s">
        <v>7041</v>
      </c>
      <c r="D194" s="30">
        <v>45658.0</v>
      </c>
      <c r="E194" s="30">
        <v>45747.0</v>
      </c>
      <c r="F194" s="39">
        <v>11.5</v>
      </c>
      <c r="G194" s="39">
        <v>0.0</v>
      </c>
      <c r="H194" s="38" t="s">
        <v>7047</v>
      </c>
      <c r="I194" s="30">
        <v>45748.0</v>
      </c>
      <c r="J194" s="30">
        <v>45838.0</v>
      </c>
      <c r="K194" s="39">
        <v>35.0</v>
      </c>
      <c r="L194" s="39">
        <v>0.0</v>
      </c>
      <c r="M194" s="38" t="s">
        <v>7047</v>
      </c>
      <c r="N194" s="30">
        <v>45839.0</v>
      </c>
      <c r="O194" s="30">
        <v>45930.0</v>
      </c>
      <c r="P194" s="39">
        <v>11.5</v>
      </c>
      <c r="Q194" s="39">
        <v>0.0</v>
      </c>
      <c r="R194" s="38" t="s">
        <v>7047</v>
      </c>
      <c r="S194" s="30">
        <v>45931.0</v>
      </c>
      <c r="T194" s="30">
        <v>46022.0</v>
      </c>
      <c r="U194" s="39">
        <v>59.8</v>
      </c>
      <c r="V194" s="39">
        <v>0.0</v>
      </c>
      <c r="W194" s="38" t="s">
        <v>7047</v>
      </c>
      <c r="X194" s="30">
        <v>46023.0</v>
      </c>
      <c r="Y194" s="30">
        <v>46112.0</v>
      </c>
      <c r="Z194" s="39">
        <v>0.0</v>
      </c>
      <c r="AA194" s="39">
        <v>0.0</v>
      </c>
      <c r="AB194" s="35" t="s">
        <v>7045</v>
      </c>
      <c r="AC194" s="30">
        <v>46113.0</v>
      </c>
      <c r="AD194" s="30">
        <v>46203.0</v>
      </c>
      <c r="AE194" s="39">
        <v>3.0</v>
      </c>
      <c r="AF194" s="39">
        <v>0.0</v>
      </c>
      <c r="AG194" s="38" t="s">
        <v>7047</v>
      </c>
      <c r="AH194" s="30">
        <v>46204.0</v>
      </c>
      <c r="AI194" s="30">
        <v>46295.0</v>
      </c>
      <c r="AJ194" s="39">
        <v>0.0</v>
      </c>
      <c r="AK194" s="39">
        <v>0.0</v>
      </c>
      <c r="AL194" s="35" t="s">
        <v>7045</v>
      </c>
      <c r="AM194" s="30">
        <v>46296.0</v>
      </c>
      <c r="AN194" s="30">
        <v>46387.0</v>
      </c>
      <c r="AO194" s="39">
        <v>0.0</v>
      </c>
      <c r="AP194" s="39">
        <v>0.0</v>
      </c>
      <c r="AQ194" s="35" t="s">
        <v>7045</v>
      </c>
      <c r="AR194" s="30">
        <v>46388.0</v>
      </c>
      <c r="AS194" s="30">
        <v>46477.0</v>
      </c>
      <c r="AT194" s="39">
        <v>0.0</v>
      </c>
      <c r="AU194" s="39">
        <v>0.0</v>
      </c>
      <c r="AV194" s="35" t="s">
        <v>7045</v>
      </c>
      <c r="AW194" s="30">
        <v>46478.0</v>
      </c>
      <c r="AX194" s="30">
        <v>46568.0</v>
      </c>
      <c r="AY194" s="39">
        <v>0.0</v>
      </c>
      <c r="AZ194" s="39">
        <v>0.0</v>
      </c>
      <c r="BA194" s="35" t="s">
        <v>7045</v>
      </c>
      <c r="BB194" s="30">
        <v>46569.0</v>
      </c>
      <c r="BC194" s="30">
        <v>46660.0</v>
      </c>
      <c r="BD194" s="39">
        <v>0.0</v>
      </c>
      <c r="BE194" s="39">
        <v>0.0</v>
      </c>
      <c r="BF194" s="35" t="s">
        <v>7045</v>
      </c>
      <c r="BG194" s="30">
        <v>46661.0</v>
      </c>
      <c r="BH194" s="30">
        <v>46752.0</v>
      </c>
      <c r="BI194" s="39">
        <v>0.0</v>
      </c>
      <c r="BJ194" s="39">
        <v>0.0</v>
      </c>
      <c r="BK194" s="35" t="s">
        <v>7045</v>
      </c>
      <c r="BL194" s="30">
        <v>46753.0</v>
      </c>
      <c r="BM194" s="30">
        <v>46843.0</v>
      </c>
      <c r="BN194" s="39">
        <v>0.0</v>
      </c>
      <c r="BO194" s="39">
        <v>0.0</v>
      </c>
      <c r="BP194" s="35" t="s">
        <v>7045</v>
      </c>
      <c r="BQ194" s="30">
        <v>46844.0</v>
      </c>
      <c r="BR194" s="30">
        <v>46934.0</v>
      </c>
      <c r="BS194" s="39">
        <v>0.0</v>
      </c>
      <c r="BT194" s="39">
        <v>0.0</v>
      </c>
      <c r="BU194" s="35" t="s">
        <v>7045</v>
      </c>
      <c r="BV194" s="30">
        <v>46935.0</v>
      </c>
      <c r="BW194" s="30">
        <v>47026.0</v>
      </c>
      <c r="BX194" s="39">
        <v>0.0</v>
      </c>
      <c r="BY194" s="39">
        <v>0.0</v>
      </c>
      <c r="BZ194" s="35" t="s">
        <v>7045</v>
      </c>
      <c r="CA194" s="30">
        <v>47027.0</v>
      </c>
      <c r="CB194" s="30">
        <v>47118.0</v>
      </c>
      <c r="CC194" s="39">
        <v>0.0</v>
      </c>
      <c r="CD194" s="39">
        <v>0.0</v>
      </c>
      <c r="CE194" s="35" t="s">
        <v>7045</v>
      </c>
      <c r="CF194" s="30">
        <v>47119.0</v>
      </c>
      <c r="CG194" s="30">
        <v>47208.0</v>
      </c>
      <c r="CH194" s="39">
        <v>0.0</v>
      </c>
      <c r="CI194" s="39">
        <v>0.0</v>
      </c>
      <c r="CJ194" s="35" t="s">
        <v>7045</v>
      </c>
      <c r="CK194" s="30">
        <v>47209.0</v>
      </c>
      <c r="CL194" s="30">
        <v>47299.0</v>
      </c>
      <c r="CM194" s="39">
        <v>0.0</v>
      </c>
      <c r="CN194" s="39">
        <v>0.0</v>
      </c>
      <c r="CO194" s="35" t="s">
        <v>7045</v>
      </c>
      <c r="CP194" s="30">
        <v>47300.0</v>
      </c>
      <c r="CQ194" s="30">
        <v>47391.0</v>
      </c>
      <c r="CR194" s="39">
        <v>0.0</v>
      </c>
      <c r="CS194" s="39">
        <v>0.0</v>
      </c>
      <c r="CT194" s="35" t="s">
        <v>7045</v>
      </c>
      <c r="CU194" s="30">
        <v>47392.0</v>
      </c>
      <c r="CV194" s="30">
        <v>47483.0</v>
      </c>
      <c r="CW194" s="39">
        <v>0.0</v>
      </c>
      <c r="CX194" s="39">
        <v>0.0</v>
      </c>
      <c r="CY194" s="35" t="s">
        <v>7045</v>
      </c>
      <c r="CZ194" s="30">
        <v>47484.0</v>
      </c>
      <c r="DA194" s="30">
        <v>47573.0</v>
      </c>
      <c r="DB194" s="39">
        <v>0.0</v>
      </c>
      <c r="DC194" s="39">
        <v>0.0</v>
      </c>
      <c r="DD194" s="35" t="s">
        <v>7045</v>
      </c>
      <c r="DE194" s="30">
        <v>47574.0</v>
      </c>
      <c r="DF194" s="30">
        <v>47664.0</v>
      </c>
      <c r="DG194" s="39">
        <v>0.0</v>
      </c>
      <c r="DH194" s="39">
        <v>0.0</v>
      </c>
      <c r="DI194" s="35" t="s">
        <v>7045</v>
      </c>
      <c r="DJ194" s="30">
        <v>47665.0</v>
      </c>
      <c r="DK194" s="30">
        <v>47756.0</v>
      </c>
      <c r="DL194" s="39">
        <v>0.0</v>
      </c>
      <c r="DM194" s="39">
        <v>0.0</v>
      </c>
      <c r="DN194" s="35" t="s">
        <v>7045</v>
      </c>
      <c r="DO194" s="30">
        <v>47757.0</v>
      </c>
      <c r="DP194" s="30">
        <v>47848.0</v>
      </c>
      <c r="DQ194" s="39">
        <v>0.0</v>
      </c>
      <c r="DR194" s="39">
        <v>0.0</v>
      </c>
      <c r="DS194" s="35" t="s">
        <v>7045</v>
      </c>
    </row>
    <row r="195" ht="14.25" customHeight="1">
      <c r="A195" s="28" t="s">
        <v>6238</v>
      </c>
      <c r="B195" s="29" t="s">
        <v>6239</v>
      </c>
      <c r="C195" s="29" t="s">
        <v>7041</v>
      </c>
      <c r="D195" s="30">
        <v>45658.0</v>
      </c>
      <c r="E195" s="30">
        <v>45747.0</v>
      </c>
      <c r="F195" s="36">
        <v>2.82</v>
      </c>
      <c r="G195" s="36">
        <v>0.0</v>
      </c>
      <c r="H195" s="38" t="s">
        <v>7047</v>
      </c>
      <c r="I195" s="30">
        <v>45748.0</v>
      </c>
      <c r="J195" s="30">
        <v>45838.0</v>
      </c>
      <c r="K195" s="36">
        <v>0.8</v>
      </c>
      <c r="L195" s="36">
        <v>114.94</v>
      </c>
      <c r="M195" s="38" t="s">
        <v>7043</v>
      </c>
      <c r="N195" s="30">
        <v>45839.0</v>
      </c>
      <c r="O195" s="30">
        <v>45930.0</v>
      </c>
      <c r="P195" s="36">
        <v>0.8</v>
      </c>
      <c r="Q195" s="36">
        <v>499.98</v>
      </c>
      <c r="R195" s="32" t="s">
        <v>7043</v>
      </c>
      <c r="S195" s="30">
        <v>45931.0</v>
      </c>
      <c r="T195" s="30">
        <v>46022.0</v>
      </c>
      <c r="U195" s="36">
        <v>0.0</v>
      </c>
      <c r="V195" s="36">
        <v>499.98</v>
      </c>
      <c r="W195" s="32" t="s">
        <v>7043</v>
      </c>
      <c r="X195" s="30">
        <v>46023.0</v>
      </c>
      <c r="Y195" s="30">
        <v>46112.0</v>
      </c>
      <c r="Z195" s="36">
        <v>2.82</v>
      </c>
      <c r="AA195" s="36">
        <v>0.0</v>
      </c>
      <c r="AB195" s="38" t="s">
        <v>7047</v>
      </c>
      <c r="AC195" s="30">
        <v>46113.0</v>
      </c>
      <c r="AD195" s="30">
        <v>46203.0</v>
      </c>
      <c r="AE195" s="36">
        <v>5.7</v>
      </c>
      <c r="AF195" s="36">
        <v>0.0</v>
      </c>
      <c r="AG195" s="38" t="s">
        <v>7047</v>
      </c>
      <c r="AH195" s="30">
        <v>46204.0</v>
      </c>
      <c r="AI195" s="30">
        <v>46295.0</v>
      </c>
      <c r="AJ195" s="36">
        <v>0.0</v>
      </c>
      <c r="AK195" s="36">
        <v>0.0</v>
      </c>
      <c r="AL195" s="35" t="s">
        <v>7045</v>
      </c>
      <c r="AM195" s="30">
        <v>46296.0</v>
      </c>
      <c r="AN195" s="30">
        <v>46387.0</v>
      </c>
      <c r="AO195" s="36">
        <v>0.0</v>
      </c>
      <c r="AP195" s="36">
        <v>0.0</v>
      </c>
      <c r="AQ195" s="35" t="s">
        <v>7045</v>
      </c>
      <c r="AR195" s="30">
        <v>46388.0</v>
      </c>
      <c r="AS195" s="30">
        <v>46477.0</v>
      </c>
      <c r="AT195" s="36">
        <v>0.0</v>
      </c>
      <c r="AU195" s="36">
        <v>0.0</v>
      </c>
      <c r="AV195" s="35" t="s">
        <v>7045</v>
      </c>
      <c r="AW195" s="30">
        <v>46478.0</v>
      </c>
      <c r="AX195" s="30">
        <v>46568.0</v>
      </c>
      <c r="AY195" s="36">
        <v>0.0</v>
      </c>
      <c r="AZ195" s="36">
        <v>0.0</v>
      </c>
      <c r="BA195" s="35" t="s">
        <v>7045</v>
      </c>
      <c r="BB195" s="30">
        <v>46569.0</v>
      </c>
      <c r="BC195" s="30">
        <v>46660.0</v>
      </c>
      <c r="BD195" s="36">
        <v>0.0</v>
      </c>
      <c r="BE195" s="36">
        <v>0.0</v>
      </c>
      <c r="BF195" s="35" t="s">
        <v>7045</v>
      </c>
      <c r="BG195" s="30">
        <v>46661.0</v>
      </c>
      <c r="BH195" s="30">
        <v>46752.0</v>
      </c>
      <c r="BI195" s="36">
        <v>0.0</v>
      </c>
      <c r="BJ195" s="36">
        <v>0.0</v>
      </c>
      <c r="BK195" s="35" t="s">
        <v>7045</v>
      </c>
      <c r="BL195" s="30">
        <v>46753.0</v>
      </c>
      <c r="BM195" s="30">
        <v>46843.0</v>
      </c>
      <c r="BN195" s="36">
        <v>0.0</v>
      </c>
      <c r="BO195" s="36">
        <v>0.0</v>
      </c>
      <c r="BP195" s="35" t="s">
        <v>7045</v>
      </c>
      <c r="BQ195" s="30">
        <v>46844.0</v>
      </c>
      <c r="BR195" s="30">
        <v>46934.0</v>
      </c>
      <c r="BS195" s="36">
        <v>0.0</v>
      </c>
      <c r="BT195" s="36">
        <v>0.0</v>
      </c>
      <c r="BU195" s="35" t="s">
        <v>7045</v>
      </c>
      <c r="BV195" s="30">
        <v>46935.0</v>
      </c>
      <c r="BW195" s="30">
        <v>47026.0</v>
      </c>
      <c r="BX195" s="36">
        <v>0.0</v>
      </c>
      <c r="BY195" s="36">
        <v>0.0</v>
      </c>
      <c r="BZ195" s="35" t="s">
        <v>7045</v>
      </c>
      <c r="CA195" s="30">
        <v>47027.0</v>
      </c>
      <c r="CB195" s="30">
        <v>47118.0</v>
      </c>
      <c r="CC195" s="36">
        <v>0.0</v>
      </c>
      <c r="CD195" s="36">
        <v>0.0</v>
      </c>
      <c r="CE195" s="35" t="s">
        <v>7045</v>
      </c>
      <c r="CF195" s="30">
        <v>47119.0</v>
      </c>
      <c r="CG195" s="30">
        <v>47208.0</v>
      </c>
      <c r="CH195" s="36">
        <v>0.0</v>
      </c>
      <c r="CI195" s="36">
        <v>0.0</v>
      </c>
      <c r="CJ195" s="35" t="s">
        <v>7045</v>
      </c>
      <c r="CK195" s="30">
        <v>47209.0</v>
      </c>
      <c r="CL195" s="30">
        <v>47299.0</v>
      </c>
      <c r="CM195" s="36">
        <v>0.0</v>
      </c>
      <c r="CN195" s="36">
        <v>0.0</v>
      </c>
      <c r="CO195" s="35" t="s">
        <v>7045</v>
      </c>
      <c r="CP195" s="30">
        <v>47300.0</v>
      </c>
      <c r="CQ195" s="30">
        <v>47391.0</v>
      </c>
      <c r="CR195" s="36">
        <v>0.0</v>
      </c>
      <c r="CS195" s="36">
        <v>0.0</v>
      </c>
      <c r="CT195" s="35" t="s">
        <v>7045</v>
      </c>
      <c r="CU195" s="30">
        <v>47392.0</v>
      </c>
      <c r="CV195" s="30">
        <v>47483.0</v>
      </c>
      <c r="CW195" s="36">
        <v>0.0</v>
      </c>
      <c r="CX195" s="36">
        <v>0.0</v>
      </c>
      <c r="CY195" s="35" t="s">
        <v>7045</v>
      </c>
      <c r="CZ195" s="30">
        <v>47484.0</v>
      </c>
      <c r="DA195" s="30">
        <v>47573.0</v>
      </c>
      <c r="DB195" s="36">
        <v>0.0</v>
      </c>
      <c r="DC195" s="36">
        <v>0.0</v>
      </c>
      <c r="DD195" s="35" t="s">
        <v>7045</v>
      </c>
      <c r="DE195" s="30">
        <v>47574.0</v>
      </c>
      <c r="DF195" s="30">
        <v>47664.0</v>
      </c>
      <c r="DG195" s="36">
        <v>0.0</v>
      </c>
      <c r="DH195" s="36">
        <v>0.0</v>
      </c>
      <c r="DI195" s="35" t="s">
        <v>7045</v>
      </c>
      <c r="DJ195" s="30">
        <v>47665.0</v>
      </c>
      <c r="DK195" s="30">
        <v>47756.0</v>
      </c>
      <c r="DL195" s="36">
        <v>0.0</v>
      </c>
      <c r="DM195" s="36">
        <v>0.0</v>
      </c>
      <c r="DN195" s="35" t="s">
        <v>7045</v>
      </c>
      <c r="DO195" s="30">
        <v>47757.0</v>
      </c>
      <c r="DP195" s="30">
        <v>47848.0</v>
      </c>
      <c r="DQ195" s="36">
        <v>0.0</v>
      </c>
      <c r="DR195" s="36">
        <v>0.0</v>
      </c>
      <c r="DS195" s="35" t="s">
        <v>7045</v>
      </c>
    </row>
    <row r="196" ht="14.25" customHeight="1">
      <c r="A196" s="28" t="s">
        <v>6248</v>
      </c>
      <c r="B196" s="29" t="s">
        <v>6249</v>
      </c>
      <c r="C196" s="29" t="s">
        <v>7041</v>
      </c>
      <c r="D196" s="30">
        <v>45658.0</v>
      </c>
      <c r="E196" s="30">
        <v>45747.0</v>
      </c>
      <c r="F196" s="36">
        <v>0.0</v>
      </c>
      <c r="G196" s="36">
        <v>0.0</v>
      </c>
      <c r="H196" s="35" t="s">
        <v>7045</v>
      </c>
      <c r="I196" s="30">
        <v>45748.0</v>
      </c>
      <c r="J196" s="30">
        <v>45838.0</v>
      </c>
      <c r="K196" s="36">
        <v>0.0</v>
      </c>
      <c r="L196" s="36">
        <v>6.67</v>
      </c>
      <c r="M196" s="32" t="s">
        <v>7043</v>
      </c>
      <c r="N196" s="30">
        <v>45839.0</v>
      </c>
      <c r="O196" s="30">
        <v>45930.0</v>
      </c>
      <c r="P196" s="36">
        <v>0.0</v>
      </c>
      <c r="Q196" s="36">
        <v>223.33</v>
      </c>
      <c r="R196" s="32" t="s">
        <v>7043</v>
      </c>
      <c r="S196" s="30">
        <v>45931.0</v>
      </c>
      <c r="T196" s="30">
        <v>46022.0</v>
      </c>
      <c r="U196" s="36">
        <v>0.0</v>
      </c>
      <c r="V196" s="36">
        <v>599.98</v>
      </c>
      <c r="W196" s="32" t="s">
        <v>7043</v>
      </c>
      <c r="X196" s="30">
        <v>46023.0</v>
      </c>
      <c r="Y196" s="30">
        <v>46112.0</v>
      </c>
      <c r="Z196" s="36">
        <v>0.0</v>
      </c>
      <c r="AA196" s="36">
        <v>0.0</v>
      </c>
      <c r="AB196" s="35" t="s">
        <v>7045</v>
      </c>
      <c r="AC196" s="30">
        <v>46113.0</v>
      </c>
      <c r="AD196" s="30">
        <v>46203.0</v>
      </c>
      <c r="AE196" s="36">
        <v>0.0</v>
      </c>
      <c r="AF196" s="36">
        <v>0.0</v>
      </c>
      <c r="AG196" s="35" t="s">
        <v>7045</v>
      </c>
      <c r="AH196" s="30">
        <v>46204.0</v>
      </c>
      <c r="AI196" s="30">
        <v>46295.0</v>
      </c>
      <c r="AJ196" s="36">
        <v>0.0</v>
      </c>
      <c r="AK196" s="36">
        <v>0.0</v>
      </c>
      <c r="AL196" s="35" t="s">
        <v>7045</v>
      </c>
      <c r="AM196" s="30">
        <v>46296.0</v>
      </c>
      <c r="AN196" s="30">
        <v>46387.0</v>
      </c>
      <c r="AO196" s="36">
        <v>0.0</v>
      </c>
      <c r="AP196" s="36">
        <v>0.0</v>
      </c>
      <c r="AQ196" s="35" t="s">
        <v>7045</v>
      </c>
      <c r="AR196" s="30">
        <v>46388.0</v>
      </c>
      <c r="AS196" s="30">
        <v>46477.0</v>
      </c>
      <c r="AT196" s="36">
        <v>0.0</v>
      </c>
      <c r="AU196" s="36">
        <v>0.0</v>
      </c>
      <c r="AV196" s="35" t="s">
        <v>7045</v>
      </c>
      <c r="AW196" s="30">
        <v>46478.0</v>
      </c>
      <c r="AX196" s="30">
        <v>46568.0</v>
      </c>
      <c r="AY196" s="36">
        <v>0.0</v>
      </c>
      <c r="AZ196" s="36">
        <v>0.0</v>
      </c>
      <c r="BA196" s="35" t="s">
        <v>7045</v>
      </c>
      <c r="BB196" s="30">
        <v>46569.0</v>
      </c>
      <c r="BC196" s="30">
        <v>46660.0</v>
      </c>
      <c r="BD196" s="36">
        <v>0.0</v>
      </c>
      <c r="BE196" s="36">
        <v>0.0</v>
      </c>
      <c r="BF196" s="35" t="s">
        <v>7045</v>
      </c>
      <c r="BG196" s="30">
        <v>46661.0</v>
      </c>
      <c r="BH196" s="30">
        <v>46752.0</v>
      </c>
      <c r="BI196" s="36">
        <v>0.0</v>
      </c>
      <c r="BJ196" s="36">
        <v>0.0</v>
      </c>
      <c r="BK196" s="35" t="s">
        <v>7045</v>
      </c>
      <c r="BL196" s="30">
        <v>46753.0</v>
      </c>
      <c r="BM196" s="30">
        <v>46843.0</v>
      </c>
      <c r="BN196" s="36">
        <v>0.0</v>
      </c>
      <c r="BO196" s="36">
        <v>0.0</v>
      </c>
      <c r="BP196" s="35" t="s">
        <v>7045</v>
      </c>
      <c r="BQ196" s="30">
        <v>46844.0</v>
      </c>
      <c r="BR196" s="30">
        <v>46934.0</v>
      </c>
      <c r="BS196" s="36">
        <v>0.0</v>
      </c>
      <c r="BT196" s="36">
        <v>0.0</v>
      </c>
      <c r="BU196" s="35" t="s">
        <v>7045</v>
      </c>
      <c r="BV196" s="30">
        <v>46935.0</v>
      </c>
      <c r="BW196" s="30">
        <v>47026.0</v>
      </c>
      <c r="BX196" s="36">
        <v>0.0</v>
      </c>
      <c r="BY196" s="36">
        <v>0.0</v>
      </c>
      <c r="BZ196" s="35" t="s">
        <v>7045</v>
      </c>
      <c r="CA196" s="30">
        <v>47027.0</v>
      </c>
      <c r="CB196" s="30">
        <v>47118.0</v>
      </c>
      <c r="CC196" s="36">
        <v>0.0</v>
      </c>
      <c r="CD196" s="36">
        <v>0.0</v>
      </c>
      <c r="CE196" s="35" t="s">
        <v>7045</v>
      </c>
      <c r="CF196" s="30">
        <v>47119.0</v>
      </c>
      <c r="CG196" s="30">
        <v>47208.0</v>
      </c>
      <c r="CH196" s="36">
        <v>0.0</v>
      </c>
      <c r="CI196" s="36">
        <v>0.0</v>
      </c>
      <c r="CJ196" s="35" t="s">
        <v>7045</v>
      </c>
      <c r="CK196" s="30">
        <v>47209.0</v>
      </c>
      <c r="CL196" s="30">
        <v>47299.0</v>
      </c>
      <c r="CM196" s="36">
        <v>0.0</v>
      </c>
      <c r="CN196" s="36">
        <v>0.0</v>
      </c>
      <c r="CO196" s="35" t="s">
        <v>7045</v>
      </c>
      <c r="CP196" s="30">
        <v>47300.0</v>
      </c>
      <c r="CQ196" s="30">
        <v>47391.0</v>
      </c>
      <c r="CR196" s="36">
        <v>0.0</v>
      </c>
      <c r="CS196" s="36">
        <v>0.0</v>
      </c>
      <c r="CT196" s="35" t="s">
        <v>7045</v>
      </c>
      <c r="CU196" s="30">
        <v>47392.0</v>
      </c>
      <c r="CV196" s="30">
        <v>47483.0</v>
      </c>
      <c r="CW196" s="36">
        <v>0.0</v>
      </c>
      <c r="CX196" s="36">
        <v>0.0</v>
      </c>
      <c r="CY196" s="35" t="s">
        <v>7045</v>
      </c>
      <c r="CZ196" s="30">
        <v>47484.0</v>
      </c>
      <c r="DA196" s="30">
        <v>47573.0</v>
      </c>
      <c r="DB196" s="36">
        <v>0.0</v>
      </c>
      <c r="DC196" s="36">
        <v>0.0</v>
      </c>
      <c r="DD196" s="35" t="s">
        <v>7045</v>
      </c>
      <c r="DE196" s="30">
        <v>47574.0</v>
      </c>
      <c r="DF196" s="30">
        <v>47664.0</v>
      </c>
      <c r="DG196" s="36">
        <v>0.0</v>
      </c>
      <c r="DH196" s="36">
        <v>0.0</v>
      </c>
      <c r="DI196" s="35" t="s">
        <v>7045</v>
      </c>
      <c r="DJ196" s="30">
        <v>47665.0</v>
      </c>
      <c r="DK196" s="30">
        <v>47756.0</v>
      </c>
      <c r="DL196" s="36">
        <v>0.0</v>
      </c>
      <c r="DM196" s="36">
        <v>0.0</v>
      </c>
      <c r="DN196" s="35" t="s">
        <v>7045</v>
      </c>
      <c r="DO196" s="30">
        <v>47757.0</v>
      </c>
      <c r="DP196" s="30">
        <v>47848.0</v>
      </c>
      <c r="DQ196" s="36">
        <v>0.0</v>
      </c>
      <c r="DR196" s="36">
        <v>0.0</v>
      </c>
      <c r="DS196" s="35" t="s">
        <v>7045</v>
      </c>
    </row>
    <row r="197" ht="14.25" customHeight="1">
      <c r="A197" s="28" t="s">
        <v>6435</v>
      </c>
      <c r="B197" s="29" t="s">
        <v>6436</v>
      </c>
      <c r="C197" s="29" t="s">
        <v>7041</v>
      </c>
      <c r="D197" s="30">
        <v>45658.0</v>
      </c>
      <c r="E197" s="30">
        <v>45747.0</v>
      </c>
      <c r="F197" s="39">
        <v>27.0</v>
      </c>
      <c r="G197" s="39">
        <v>0.0</v>
      </c>
      <c r="H197" s="38" t="s">
        <v>7047</v>
      </c>
      <c r="I197" s="30">
        <v>45748.0</v>
      </c>
      <c r="J197" s="30">
        <v>45838.0</v>
      </c>
      <c r="K197" s="39">
        <v>1.24</v>
      </c>
      <c r="L197" s="39">
        <v>41.24</v>
      </c>
      <c r="M197" s="32" t="s">
        <v>7043</v>
      </c>
      <c r="N197" s="30">
        <v>45839.0</v>
      </c>
      <c r="O197" s="30">
        <v>45930.0</v>
      </c>
      <c r="P197" s="39">
        <v>30.0</v>
      </c>
      <c r="Q197" s="39">
        <v>61.86</v>
      </c>
      <c r="R197" s="38" t="s">
        <v>7047</v>
      </c>
      <c r="S197" s="30">
        <v>45931.0</v>
      </c>
      <c r="T197" s="30">
        <v>46022.0</v>
      </c>
      <c r="U197" s="39">
        <v>150.0</v>
      </c>
      <c r="V197" s="39">
        <v>61.86</v>
      </c>
      <c r="W197" s="38" t="s">
        <v>7047</v>
      </c>
      <c r="X197" s="30">
        <v>46023.0</v>
      </c>
      <c r="Y197" s="30">
        <v>46112.0</v>
      </c>
      <c r="Z197" s="39">
        <v>0.0</v>
      </c>
      <c r="AA197" s="39">
        <v>0.0</v>
      </c>
      <c r="AB197" s="35" t="s">
        <v>7045</v>
      </c>
      <c r="AC197" s="30">
        <v>46113.0</v>
      </c>
      <c r="AD197" s="30">
        <v>46203.0</v>
      </c>
      <c r="AE197" s="39">
        <v>0.0</v>
      </c>
      <c r="AF197" s="39">
        <v>0.0</v>
      </c>
      <c r="AG197" s="35" t="s">
        <v>7045</v>
      </c>
      <c r="AH197" s="30">
        <v>46204.0</v>
      </c>
      <c r="AI197" s="30">
        <v>46295.0</v>
      </c>
      <c r="AJ197" s="39">
        <v>0.0</v>
      </c>
      <c r="AK197" s="39">
        <v>0.0</v>
      </c>
      <c r="AL197" s="35" t="s">
        <v>7045</v>
      </c>
      <c r="AM197" s="30">
        <v>46296.0</v>
      </c>
      <c r="AN197" s="30">
        <v>46387.0</v>
      </c>
      <c r="AO197" s="39">
        <v>0.0</v>
      </c>
      <c r="AP197" s="39">
        <v>0.0</v>
      </c>
      <c r="AQ197" s="35" t="s">
        <v>7045</v>
      </c>
      <c r="AR197" s="30">
        <v>46388.0</v>
      </c>
      <c r="AS197" s="30">
        <v>46477.0</v>
      </c>
      <c r="AT197" s="39">
        <v>0.0</v>
      </c>
      <c r="AU197" s="39">
        <v>0.0</v>
      </c>
      <c r="AV197" s="35" t="s">
        <v>7045</v>
      </c>
      <c r="AW197" s="30">
        <v>46478.0</v>
      </c>
      <c r="AX197" s="30">
        <v>46568.0</v>
      </c>
      <c r="AY197" s="39">
        <v>0.0</v>
      </c>
      <c r="AZ197" s="39">
        <v>0.0</v>
      </c>
      <c r="BA197" s="35" t="s">
        <v>7045</v>
      </c>
      <c r="BB197" s="30">
        <v>46569.0</v>
      </c>
      <c r="BC197" s="30">
        <v>46660.0</v>
      </c>
      <c r="BD197" s="39">
        <v>0.0</v>
      </c>
      <c r="BE197" s="39">
        <v>0.0</v>
      </c>
      <c r="BF197" s="35" t="s">
        <v>7045</v>
      </c>
      <c r="BG197" s="30">
        <v>46661.0</v>
      </c>
      <c r="BH197" s="30">
        <v>46752.0</v>
      </c>
      <c r="BI197" s="39">
        <v>0.0</v>
      </c>
      <c r="BJ197" s="39">
        <v>0.0</v>
      </c>
      <c r="BK197" s="35" t="s">
        <v>7045</v>
      </c>
      <c r="BL197" s="30">
        <v>46753.0</v>
      </c>
      <c r="BM197" s="30">
        <v>46843.0</v>
      </c>
      <c r="BN197" s="39">
        <v>0.0</v>
      </c>
      <c r="BO197" s="39">
        <v>0.0</v>
      </c>
      <c r="BP197" s="35" t="s">
        <v>7045</v>
      </c>
      <c r="BQ197" s="30">
        <v>46844.0</v>
      </c>
      <c r="BR197" s="30">
        <v>46934.0</v>
      </c>
      <c r="BS197" s="39">
        <v>0.0</v>
      </c>
      <c r="BT197" s="39">
        <v>0.0</v>
      </c>
      <c r="BU197" s="35" t="s">
        <v>7045</v>
      </c>
      <c r="BV197" s="30">
        <v>46935.0</v>
      </c>
      <c r="BW197" s="30">
        <v>47026.0</v>
      </c>
      <c r="BX197" s="39">
        <v>0.0</v>
      </c>
      <c r="BY197" s="39">
        <v>0.0</v>
      </c>
      <c r="BZ197" s="35" t="s">
        <v>7045</v>
      </c>
      <c r="CA197" s="30">
        <v>47027.0</v>
      </c>
      <c r="CB197" s="30">
        <v>47118.0</v>
      </c>
      <c r="CC197" s="39">
        <v>0.0</v>
      </c>
      <c r="CD197" s="39">
        <v>0.0</v>
      </c>
      <c r="CE197" s="35" t="s">
        <v>7045</v>
      </c>
      <c r="CF197" s="30">
        <v>47119.0</v>
      </c>
      <c r="CG197" s="30">
        <v>47208.0</v>
      </c>
      <c r="CH197" s="39">
        <v>0.0</v>
      </c>
      <c r="CI197" s="39">
        <v>0.0</v>
      </c>
      <c r="CJ197" s="35" t="s">
        <v>7045</v>
      </c>
      <c r="CK197" s="30">
        <v>47209.0</v>
      </c>
      <c r="CL197" s="30">
        <v>47299.0</v>
      </c>
      <c r="CM197" s="39">
        <v>0.0</v>
      </c>
      <c r="CN197" s="39">
        <v>0.0</v>
      </c>
      <c r="CO197" s="35" t="s">
        <v>7045</v>
      </c>
      <c r="CP197" s="30">
        <v>47300.0</v>
      </c>
      <c r="CQ197" s="30">
        <v>47391.0</v>
      </c>
      <c r="CR197" s="39">
        <v>0.0</v>
      </c>
      <c r="CS197" s="39">
        <v>0.0</v>
      </c>
      <c r="CT197" s="35" t="s">
        <v>7045</v>
      </c>
      <c r="CU197" s="30">
        <v>47392.0</v>
      </c>
      <c r="CV197" s="30">
        <v>47483.0</v>
      </c>
      <c r="CW197" s="39">
        <v>0.0</v>
      </c>
      <c r="CX197" s="39">
        <v>0.0</v>
      </c>
      <c r="CY197" s="35" t="s">
        <v>7045</v>
      </c>
      <c r="CZ197" s="30">
        <v>47484.0</v>
      </c>
      <c r="DA197" s="30">
        <v>47573.0</v>
      </c>
      <c r="DB197" s="39">
        <v>0.0</v>
      </c>
      <c r="DC197" s="39">
        <v>0.0</v>
      </c>
      <c r="DD197" s="35" t="s">
        <v>7045</v>
      </c>
      <c r="DE197" s="30">
        <v>47574.0</v>
      </c>
      <c r="DF197" s="30">
        <v>47664.0</v>
      </c>
      <c r="DG197" s="39">
        <v>0.0</v>
      </c>
      <c r="DH197" s="39">
        <v>0.0</v>
      </c>
      <c r="DI197" s="35" t="s">
        <v>7045</v>
      </c>
      <c r="DJ197" s="30">
        <v>47665.0</v>
      </c>
      <c r="DK197" s="30">
        <v>47756.0</v>
      </c>
      <c r="DL197" s="39">
        <v>0.0</v>
      </c>
      <c r="DM197" s="39">
        <v>0.0</v>
      </c>
      <c r="DN197" s="35" t="s">
        <v>7045</v>
      </c>
      <c r="DO197" s="30">
        <v>47757.0</v>
      </c>
      <c r="DP197" s="30">
        <v>47848.0</v>
      </c>
      <c r="DQ197" s="39">
        <v>0.0</v>
      </c>
      <c r="DR197" s="39">
        <v>0.0</v>
      </c>
      <c r="DS197" s="35" t="s">
        <v>7045</v>
      </c>
    </row>
    <row r="198" ht="14.25" customHeight="1">
      <c r="A198" s="28" t="s">
        <v>6693</v>
      </c>
      <c r="B198" s="29" t="s">
        <v>6694</v>
      </c>
      <c r="C198" s="29" t="s">
        <v>7041</v>
      </c>
      <c r="D198" s="30">
        <v>45658.0</v>
      </c>
      <c r="E198" s="30">
        <v>45747.0</v>
      </c>
      <c r="F198" s="36">
        <v>20.0</v>
      </c>
      <c r="G198" s="36">
        <v>0.0</v>
      </c>
      <c r="H198" s="38" t="s">
        <v>7047</v>
      </c>
      <c r="I198" s="30">
        <v>45748.0</v>
      </c>
      <c r="J198" s="30">
        <v>45838.0</v>
      </c>
      <c r="K198" s="36">
        <v>20.0</v>
      </c>
      <c r="L198" s="36">
        <v>180.01</v>
      </c>
      <c r="M198" s="37" t="s">
        <v>7046</v>
      </c>
      <c r="N198" s="30">
        <v>45839.0</v>
      </c>
      <c r="O198" s="30">
        <v>45930.0</v>
      </c>
      <c r="P198" s="36">
        <v>50.0</v>
      </c>
      <c r="Q198" s="36">
        <v>363.32</v>
      </c>
      <c r="R198" s="38" t="s">
        <v>7047</v>
      </c>
      <c r="S198" s="30">
        <v>45931.0</v>
      </c>
      <c r="T198" s="30">
        <v>46022.0</v>
      </c>
      <c r="U198" s="36">
        <v>50.0</v>
      </c>
      <c r="V198" s="36">
        <v>413.34</v>
      </c>
      <c r="W198" s="38" t="s">
        <v>7047</v>
      </c>
      <c r="X198" s="30">
        <v>46023.0</v>
      </c>
      <c r="Y198" s="30">
        <v>46112.0</v>
      </c>
      <c r="Z198" s="36">
        <v>0.0</v>
      </c>
      <c r="AA198" s="36">
        <v>0.0</v>
      </c>
      <c r="AB198" s="35" t="s">
        <v>7045</v>
      </c>
      <c r="AC198" s="30">
        <v>46113.0</v>
      </c>
      <c r="AD198" s="30">
        <v>46203.0</v>
      </c>
      <c r="AE198" s="36">
        <v>0.0</v>
      </c>
      <c r="AF198" s="36">
        <v>0.0</v>
      </c>
      <c r="AG198" s="35" t="s">
        <v>7045</v>
      </c>
      <c r="AH198" s="30">
        <v>46204.0</v>
      </c>
      <c r="AI198" s="30">
        <v>46295.0</v>
      </c>
      <c r="AJ198" s="36">
        <v>0.0</v>
      </c>
      <c r="AK198" s="36">
        <v>0.0</v>
      </c>
      <c r="AL198" s="35" t="s">
        <v>7045</v>
      </c>
      <c r="AM198" s="30">
        <v>46296.0</v>
      </c>
      <c r="AN198" s="30">
        <v>46387.0</v>
      </c>
      <c r="AO198" s="36">
        <v>0.0</v>
      </c>
      <c r="AP198" s="36">
        <v>0.0</v>
      </c>
      <c r="AQ198" s="35" t="s">
        <v>7045</v>
      </c>
      <c r="AR198" s="30">
        <v>46388.0</v>
      </c>
      <c r="AS198" s="30">
        <v>46477.0</v>
      </c>
      <c r="AT198" s="36">
        <v>0.0</v>
      </c>
      <c r="AU198" s="36">
        <v>0.0</v>
      </c>
      <c r="AV198" s="35" t="s">
        <v>7045</v>
      </c>
      <c r="AW198" s="30">
        <v>46478.0</v>
      </c>
      <c r="AX198" s="30">
        <v>46568.0</v>
      </c>
      <c r="AY198" s="36">
        <v>0.0</v>
      </c>
      <c r="AZ198" s="36">
        <v>0.0</v>
      </c>
      <c r="BA198" s="35" t="s">
        <v>7045</v>
      </c>
      <c r="BB198" s="30">
        <v>46569.0</v>
      </c>
      <c r="BC198" s="30">
        <v>46660.0</v>
      </c>
      <c r="BD198" s="36">
        <v>0.0</v>
      </c>
      <c r="BE198" s="36">
        <v>0.0</v>
      </c>
      <c r="BF198" s="35" t="s">
        <v>7045</v>
      </c>
      <c r="BG198" s="30">
        <v>46661.0</v>
      </c>
      <c r="BH198" s="30">
        <v>46752.0</v>
      </c>
      <c r="BI198" s="36">
        <v>0.0</v>
      </c>
      <c r="BJ198" s="36">
        <v>0.0</v>
      </c>
      <c r="BK198" s="35" t="s">
        <v>7045</v>
      </c>
      <c r="BL198" s="30">
        <v>46753.0</v>
      </c>
      <c r="BM198" s="30">
        <v>46843.0</v>
      </c>
      <c r="BN198" s="36">
        <v>0.0</v>
      </c>
      <c r="BO198" s="36">
        <v>0.0</v>
      </c>
      <c r="BP198" s="35" t="s">
        <v>7045</v>
      </c>
      <c r="BQ198" s="30">
        <v>46844.0</v>
      </c>
      <c r="BR198" s="30">
        <v>46934.0</v>
      </c>
      <c r="BS198" s="36">
        <v>0.0</v>
      </c>
      <c r="BT198" s="36">
        <v>0.0</v>
      </c>
      <c r="BU198" s="35" t="s">
        <v>7045</v>
      </c>
      <c r="BV198" s="30">
        <v>46935.0</v>
      </c>
      <c r="BW198" s="30">
        <v>47026.0</v>
      </c>
      <c r="BX198" s="36">
        <v>0.0</v>
      </c>
      <c r="BY198" s="36">
        <v>0.0</v>
      </c>
      <c r="BZ198" s="35" t="s">
        <v>7045</v>
      </c>
      <c r="CA198" s="30">
        <v>47027.0</v>
      </c>
      <c r="CB198" s="30">
        <v>47118.0</v>
      </c>
      <c r="CC198" s="36">
        <v>0.0</v>
      </c>
      <c r="CD198" s="36">
        <v>0.0</v>
      </c>
      <c r="CE198" s="35" t="s">
        <v>7045</v>
      </c>
      <c r="CF198" s="30">
        <v>47119.0</v>
      </c>
      <c r="CG198" s="30">
        <v>47208.0</v>
      </c>
      <c r="CH198" s="36">
        <v>0.0</v>
      </c>
      <c r="CI198" s="36">
        <v>0.0</v>
      </c>
      <c r="CJ198" s="35" t="s">
        <v>7045</v>
      </c>
      <c r="CK198" s="30">
        <v>47209.0</v>
      </c>
      <c r="CL198" s="30">
        <v>47299.0</v>
      </c>
      <c r="CM198" s="36">
        <v>0.0</v>
      </c>
      <c r="CN198" s="36">
        <v>0.0</v>
      </c>
      <c r="CO198" s="35" t="s">
        <v>7045</v>
      </c>
      <c r="CP198" s="30">
        <v>47300.0</v>
      </c>
      <c r="CQ198" s="30">
        <v>47391.0</v>
      </c>
      <c r="CR198" s="36">
        <v>0.0</v>
      </c>
      <c r="CS198" s="36">
        <v>0.0</v>
      </c>
      <c r="CT198" s="35" t="s">
        <v>7045</v>
      </c>
      <c r="CU198" s="30">
        <v>47392.0</v>
      </c>
      <c r="CV198" s="30">
        <v>47483.0</v>
      </c>
      <c r="CW198" s="36">
        <v>0.0</v>
      </c>
      <c r="CX198" s="36">
        <v>0.0</v>
      </c>
      <c r="CY198" s="35" t="s">
        <v>7045</v>
      </c>
      <c r="CZ198" s="30">
        <v>47484.0</v>
      </c>
      <c r="DA198" s="30">
        <v>47573.0</v>
      </c>
      <c r="DB198" s="36">
        <v>0.0</v>
      </c>
      <c r="DC198" s="36">
        <v>0.0</v>
      </c>
      <c r="DD198" s="35" t="s">
        <v>7045</v>
      </c>
      <c r="DE198" s="30">
        <v>47574.0</v>
      </c>
      <c r="DF198" s="30">
        <v>47664.0</v>
      </c>
      <c r="DG198" s="36">
        <v>0.0</v>
      </c>
      <c r="DH198" s="36">
        <v>0.0</v>
      </c>
      <c r="DI198" s="35" t="s">
        <v>7045</v>
      </c>
      <c r="DJ198" s="30">
        <v>47665.0</v>
      </c>
      <c r="DK198" s="30">
        <v>47756.0</v>
      </c>
      <c r="DL198" s="36">
        <v>0.0</v>
      </c>
      <c r="DM198" s="36">
        <v>0.0</v>
      </c>
      <c r="DN198" s="35" t="s">
        <v>7045</v>
      </c>
      <c r="DO198" s="30">
        <v>47757.0</v>
      </c>
      <c r="DP198" s="30">
        <v>47848.0</v>
      </c>
      <c r="DQ198" s="36">
        <v>0.0</v>
      </c>
      <c r="DR198" s="36">
        <v>0.0</v>
      </c>
      <c r="DS198" s="35" t="s">
        <v>7045</v>
      </c>
    </row>
    <row r="199" ht="14.25" customHeight="1">
      <c r="A199" s="28" t="s">
        <v>6716</v>
      </c>
      <c r="B199" s="29" t="s">
        <v>6717</v>
      </c>
      <c r="C199" s="29" t="s">
        <v>7041</v>
      </c>
      <c r="D199" s="30">
        <v>45658.0</v>
      </c>
      <c r="E199" s="30">
        <v>45747.0</v>
      </c>
      <c r="F199" s="39">
        <v>70.0</v>
      </c>
      <c r="G199" s="39">
        <v>0.0</v>
      </c>
      <c r="H199" s="38" t="s">
        <v>7047</v>
      </c>
      <c r="I199" s="30">
        <v>45748.0</v>
      </c>
      <c r="J199" s="30">
        <v>45838.0</v>
      </c>
      <c r="K199" s="39">
        <v>2.0</v>
      </c>
      <c r="L199" s="39">
        <v>115.15</v>
      </c>
      <c r="M199" s="38" t="s">
        <v>7043</v>
      </c>
      <c r="N199" s="30">
        <v>45839.0</v>
      </c>
      <c r="O199" s="30">
        <v>45930.0</v>
      </c>
      <c r="P199" s="39">
        <v>186.19</v>
      </c>
      <c r="Q199" s="39">
        <v>118.18</v>
      </c>
      <c r="R199" s="38" t="s">
        <v>7047</v>
      </c>
      <c r="S199" s="30">
        <v>45931.0</v>
      </c>
      <c r="T199" s="30">
        <v>46022.0</v>
      </c>
      <c r="U199" s="39">
        <v>1571.0</v>
      </c>
      <c r="V199" s="39">
        <v>131.82</v>
      </c>
      <c r="W199" s="38" t="s">
        <v>7047</v>
      </c>
      <c r="X199" s="30">
        <v>46023.0</v>
      </c>
      <c r="Y199" s="30">
        <v>46112.0</v>
      </c>
      <c r="Z199" s="39">
        <v>0.0</v>
      </c>
      <c r="AA199" s="39">
        <v>0.0</v>
      </c>
      <c r="AB199" s="35" t="s">
        <v>7045</v>
      </c>
      <c r="AC199" s="30">
        <v>46113.0</v>
      </c>
      <c r="AD199" s="30">
        <v>46203.0</v>
      </c>
      <c r="AE199" s="39">
        <v>0.0</v>
      </c>
      <c r="AF199" s="39">
        <v>0.0</v>
      </c>
      <c r="AG199" s="35" t="s">
        <v>7045</v>
      </c>
      <c r="AH199" s="30">
        <v>46204.0</v>
      </c>
      <c r="AI199" s="30">
        <v>46295.0</v>
      </c>
      <c r="AJ199" s="39">
        <v>0.0</v>
      </c>
      <c r="AK199" s="39">
        <v>0.0</v>
      </c>
      <c r="AL199" s="35" t="s">
        <v>7045</v>
      </c>
      <c r="AM199" s="30">
        <v>46296.0</v>
      </c>
      <c r="AN199" s="30">
        <v>46387.0</v>
      </c>
      <c r="AO199" s="39">
        <v>50.0</v>
      </c>
      <c r="AP199" s="39">
        <v>0.0</v>
      </c>
      <c r="AQ199" s="38" t="s">
        <v>7047</v>
      </c>
      <c r="AR199" s="30">
        <v>46388.0</v>
      </c>
      <c r="AS199" s="30">
        <v>46477.0</v>
      </c>
      <c r="AT199" s="39">
        <v>0.0</v>
      </c>
      <c r="AU199" s="39">
        <v>0.0</v>
      </c>
      <c r="AV199" s="35" t="s">
        <v>7045</v>
      </c>
      <c r="AW199" s="30">
        <v>46478.0</v>
      </c>
      <c r="AX199" s="30">
        <v>46568.0</v>
      </c>
      <c r="AY199" s="39">
        <v>0.0</v>
      </c>
      <c r="AZ199" s="39">
        <v>0.0</v>
      </c>
      <c r="BA199" s="35" t="s">
        <v>7045</v>
      </c>
      <c r="BB199" s="30">
        <v>46569.0</v>
      </c>
      <c r="BC199" s="30">
        <v>46660.0</v>
      </c>
      <c r="BD199" s="39">
        <v>0.0</v>
      </c>
      <c r="BE199" s="39">
        <v>0.0</v>
      </c>
      <c r="BF199" s="35" t="s">
        <v>7045</v>
      </c>
      <c r="BG199" s="30">
        <v>46661.0</v>
      </c>
      <c r="BH199" s="30">
        <v>46752.0</v>
      </c>
      <c r="BI199" s="39">
        <v>0.0</v>
      </c>
      <c r="BJ199" s="39">
        <v>0.0</v>
      </c>
      <c r="BK199" s="35" t="s">
        <v>7045</v>
      </c>
      <c r="BL199" s="30">
        <v>46753.0</v>
      </c>
      <c r="BM199" s="30">
        <v>46843.0</v>
      </c>
      <c r="BN199" s="39">
        <v>0.0</v>
      </c>
      <c r="BO199" s="39">
        <v>0.0</v>
      </c>
      <c r="BP199" s="35" t="s">
        <v>7045</v>
      </c>
      <c r="BQ199" s="30">
        <v>46844.0</v>
      </c>
      <c r="BR199" s="30">
        <v>46934.0</v>
      </c>
      <c r="BS199" s="39">
        <v>0.0</v>
      </c>
      <c r="BT199" s="39">
        <v>0.0</v>
      </c>
      <c r="BU199" s="35" t="s">
        <v>7045</v>
      </c>
      <c r="BV199" s="30">
        <v>46935.0</v>
      </c>
      <c r="BW199" s="30">
        <v>47026.0</v>
      </c>
      <c r="BX199" s="39">
        <v>0.0</v>
      </c>
      <c r="BY199" s="39">
        <v>0.0</v>
      </c>
      <c r="BZ199" s="35" t="s">
        <v>7045</v>
      </c>
      <c r="CA199" s="30">
        <v>47027.0</v>
      </c>
      <c r="CB199" s="30">
        <v>47118.0</v>
      </c>
      <c r="CC199" s="39">
        <v>0.0</v>
      </c>
      <c r="CD199" s="39">
        <v>0.0</v>
      </c>
      <c r="CE199" s="35" t="s">
        <v>7045</v>
      </c>
      <c r="CF199" s="30">
        <v>47119.0</v>
      </c>
      <c r="CG199" s="30">
        <v>47208.0</v>
      </c>
      <c r="CH199" s="39">
        <v>0.0</v>
      </c>
      <c r="CI199" s="39">
        <v>0.0</v>
      </c>
      <c r="CJ199" s="35" t="s">
        <v>7045</v>
      </c>
      <c r="CK199" s="30">
        <v>47209.0</v>
      </c>
      <c r="CL199" s="30">
        <v>47299.0</v>
      </c>
      <c r="CM199" s="39">
        <v>0.0</v>
      </c>
      <c r="CN199" s="39">
        <v>0.0</v>
      </c>
      <c r="CO199" s="35" t="s">
        <v>7045</v>
      </c>
      <c r="CP199" s="30">
        <v>47300.0</v>
      </c>
      <c r="CQ199" s="30">
        <v>47391.0</v>
      </c>
      <c r="CR199" s="39">
        <v>0.0</v>
      </c>
      <c r="CS199" s="39">
        <v>0.0</v>
      </c>
      <c r="CT199" s="35" t="s">
        <v>7045</v>
      </c>
      <c r="CU199" s="30">
        <v>47392.0</v>
      </c>
      <c r="CV199" s="30">
        <v>47483.0</v>
      </c>
      <c r="CW199" s="39">
        <v>0.0</v>
      </c>
      <c r="CX199" s="39">
        <v>0.0</v>
      </c>
      <c r="CY199" s="35" t="s">
        <v>7045</v>
      </c>
      <c r="CZ199" s="30">
        <v>47484.0</v>
      </c>
      <c r="DA199" s="30">
        <v>47573.0</v>
      </c>
      <c r="DB199" s="39">
        <v>0.0</v>
      </c>
      <c r="DC199" s="39">
        <v>0.0</v>
      </c>
      <c r="DD199" s="35" t="s">
        <v>7045</v>
      </c>
      <c r="DE199" s="30">
        <v>47574.0</v>
      </c>
      <c r="DF199" s="30">
        <v>47664.0</v>
      </c>
      <c r="DG199" s="39">
        <v>0.0</v>
      </c>
      <c r="DH199" s="39">
        <v>0.0</v>
      </c>
      <c r="DI199" s="35" t="s">
        <v>7045</v>
      </c>
      <c r="DJ199" s="30">
        <v>47665.0</v>
      </c>
      <c r="DK199" s="30">
        <v>47756.0</v>
      </c>
      <c r="DL199" s="39">
        <v>0.0</v>
      </c>
      <c r="DM199" s="39">
        <v>0.0</v>
      </c>
      <c r="DN199" s="35" t="s">
        <v>7045</v>
      </c>
      <c r="DO199" s="30">
        <v>47757.0</v>
      </c>
      <c r="DP199" s="30">
        <v>47848.0</v>
      </c>
      <c r="DQ199" s="39">
        <v>0.0</v>
      </c>
      <c r="DR199" s="39">
        <v>0.0</v>
      </c>
      <c r="DS199" s="35" t="s">
        <v>7045</v>
      </c>
    </row>
    <row r="200" ht="14.25" customHeight="1">
      <c r="A200" s="28" t="s">
        <v>6943</v>
      </c>
      <c r="B200" s="29" t="s">
        <v>6944</v>
      </c>
      <c r="C200" s="29" t="s">
        <v>7041</v>
      </c>
      <c r="D200" s="30">
        <v>45658.0</v>
      </c>
      <c r="E200" s="30">
        <v>45747.0</v>
      </c>
      <c r="F200" s="36">
        <v>8.62</v>
      </c>
      <c r="G200" s="36">
        <v>0.0</v>
      </c>
      <c r="H200" s="38" t="s">
        <v>7047</v>
      </c>
      <c r="I200" s="30">
        <v>45748.0</v>
      </c>
      <c r="J200" s="30">
        <v>45838.0</v>
      </c>
      <c r="K200" s="36">
        <v>0.0</v>
      </c>
      <c r="L200" s="36">
        <v>0.0</v>
      </c>
      <c r="M200" s="35" t="s">
        <v>7045</v>
      </c>
      <c r="N200" s="30">
        <v>45839.0</v>
      </c>
      <c r="O200" s="30">
        <v>45930.0</v>
      </c>
      <c r="P200" s="36">
        <v>0.0</v>
      </c>
      <c r="Q200" s="36">
        <v>0.0</v>
      </c>
      <c r="R200" s="35" t="s">
        <v>7045</v>
      </c>
      <c r="S200" s="30">
        <v>45931.0</v>
      </c>
      <c r="T200" s="30">
        <v>46022.0</v>
      </c>
      <c r="U200" s="36">
        <v>0.0</v>
      </c>
      <c r="V200" s="36">
        <v>0.0</v>
      </c>
      <c r="W200" s="35" t="s">
        <v>7045</v>
      </c>
      <c r="X200" s="30">
        <v>46023.0</v>
      </c>
      <c r="Y200" s="30">
        <v>46112.0</v>
      </c>
      <c r="Z200" s="36">
        <v>0.0</v>
      </c>
      <c r="AA200" s="36">
        <v>0.0</v>
      </c>
      <c r="AB200" s="35" t="s">
        <v>7045</v>
      </c>
      <c r="AC200" s="30">
        <v>46113.0</v>
      </c>
      <c r="AD200" s="30">
        <v>46203.0</v>
      </c>
      <c r="AE200" s="36">
        <v>0.0</v>
      </c>
      <c r="AF200" s="36">
        <v>0.0</v>
      </c>
      <c r="AG200" s="35" t="s">
        <v>7045</v>
      </c>
      <c r="AH200" s="30">
        <v>46204.0</v>
      </c>
      <c r="AI200" s="30">
        <v>46295.0</v>
      </c>
      <c r="AJ200" s="36">
        <v>0.0</v>
      </c>
      <c r="AK200" s="36">
        <v>0.0</v>
      </c>
      <c r="AL200" s="35" t="s">
        <v>7045</v>
      </c>
      <c r="AM200" s="30">
        <v>46296.0</v>
      </c>
      <c r="AN200" s="30">
        <v>46387.0</v>
      </c>
      <c r="AO200" s="36">
        <v>0.0</v>
      </c>
      <c r="AP200" s="36">
        <v>0.0</v>
      </c>
      <c r="AQ200" s="35" t="s">
        <v>7045</v>
      </c>
      <c r="AR200" s="30">
        <v>46388.0</v>
      </c>
      <c r="AS200" s="30">
        <v>46477.0</v>
      </c>
      <c r="AT200" s="36">
        <v>0.0</v>
      </c>
      <c r="AU200" s="36">
        <v>0.0</v>
      </c>
      <c r="AV200" s="35" t="s">
        <v>7045</v>
      </c>
      <c r="AW200" s="30">
        <v>46478.0</v>
      </c>
      <c r="AX200" s="30">
        <v>46568.0</v>
      </c>
      <c r="AY200" s="36">
        <v>0.0</v>
      </c>
      <c r="AZ200" s="36">
        <v>0.0</v>
      </c>
      <c r="BA200" s="35" t="s">
        <v>7045</v>
      </c>
      <c r="BB200" s="30">
        <v>46569.0</v>
      </c>
      <c r="BC200" s="30">
        <v>46660.0</v>
      </c>
      <c r="BD200" s="36">
        <v>0.0</v>
      </c>
      <c r="BE200" s="36">
        <v>0.0</v>
      </c>
      <c r="BF200" s="35" t="s">
        <v>7045</v>
      </c>
      <c r="BG200" s="30">
        <v>46661.0</v>
      </c>
      <c r="BH200" s="30">
        <v>46752.0</v>
      </c>
      <c r="BI200" s="36">
        <v>0.0</v>
      </c>
      <c r="BJ200" s="36">
        <v>0.0</v>
      </c>
      <c r="BK200" s="35" t="s">
        <v>7045</v>
      </c>
      <c r="BL200" s="30">
        <v>46753.0</v>
      </c>
      <c r="BM200" s="30">
        <v>46843.0</v>
      </c>
      <c r="BN200" s="36">
        <v>0.0</v>
      </c>
      <c r="BO200" s="36">
        <v>0.0</v>
      </c>
      <c r="BP200" s="35" t="s">
        <v>7045</v>
      </c>
      <c r="BQ200" s="30">
        <v>46844.0</v>
      </c>
      <c r="BR200" s="30">
        <v>46934.0</v>
      </c>
      <c r="BS200" s="36">
        <v>0.0</v>
      </c>
      <c r="BT200" s="36">
        <v>0.0</v>
      </c>
      <c r="BU200" s="35" t="s">
        <v>7045</v>
      </c>
      <c r="BV200" s="30">
        <v>46935.0</v>
      </c>
      <c r="BW200" s="30">
        <v>47026.0</v>
      </c>
      <c r="BX200" s="36">
        <v>0.0</v>
      </c>
      <c r="BY200" s="36">
        <v>0.0</v>
      </c>
      <c r="BZ200" s="35" t="s">
        <v>7045</v>
      </c>
      <c r="CA200" s="30">
        <v>47027.0</v>
      </c>
      <c r="CB200" s="30">
        <v>47118.0</v>
      </c>
      <c r="CC200" s="36">
        <v>0.0</v>
      </c>
      <c r="CD200" s="36">
        <v>0.0</v>
      </c>
      <c r="CE200" s="35" t="s">
        <v>7045</v>
      </c>
      <c r="CF200" s="30">
        <v>47119.0</v>
      </c>
      <c r="CG200" s="30">
        <v>47208.0</v>
      </c>
      <c r="CH200" s="36">
        <v>0.0</v>
      </c>
      <c r="CI200" s="36">
        <v>0.0</v>
      </c>
      <c r="CJ200" s="35" t="s">
        <v>7045</v>
      </c>
      <c r="CK200" s="30">
        <v>47209.0</v>
      </c>
      <c r="CL200" s="30">
        <v>47299.0</v>
      </c>
      <c r="CM200" s="36">
        <v>0.0</v>
      </c>
      <c r="CN200" s="36">
        <v>0.0</v>
      </c>
      <c r="CO200" s="35" t="s">
        <v>7045</v>
      </c>
      <c r="CP200" s="30">
        <v>47300.0</v>
      </c>
      <c r="CQ200" s="30">
        <v>47391.0</v>
      </c>
      <c r="CR200" s="36">
        <v>0.0</v>
      </c>
      <c r="CS200" s="36">
        <v>0.0</v>
      </c>
      <c r="CT200" s="35" t="s">
        <v>7045</v>
      </c>
      <c r="CU200" s="30">
        <v>47392.0</v>
      </c>
      <c r="CV200" s="30">
        <v>47483.0</v>
      </c>
      <c r="CW200" s="36">
        <v>0.0</v>
      </c>
      <c r="CX200" s="36">
        <v>0.0</v>
      </c>
      <c r="CY200" s="35" t="s">
        <v>7045</v>
      </c>
      <c r="CZ200" s="30">
        <v>47484.0</v>
      </c>
      <c r="DA200" s="30">
        <v>47573.0</v>
      </c>
      <c r="DB200" s="36">
        <v>0.0</v>
      </c>
      <c r="DC200" s="36">
        <v>0.0</v>
      </c>
      <c r="DD200" s="35" t="s">
        <v>7045</v>
      </c>
      <c r="DE200" s="30">
        <v>47574.0</v>
      </c>
      <c r="DF200" s="30">
        <v>47664.0</v>
      </c>
      <c r="DG200" s="36">
        <v>0.0</v>
      </c>
      <c r="DH200" s="36">
        <v>0.0</v>
      </c>
      <c r="DI200" s="35" t="s">
        <v>7045</v>
      </c>
      <c r="DJ200" s="30">
        <v>47665.0</v>
      </c>
      <c r="DK200" s="30">
        <v>47756.0</v>
      </c>
      <c r="DL200" s="36">
        <v>0.0</v>
      </c>
      <c r="DM200" s="36">
        <v>0.0</v>
      </c>
      <c r="DN200" s="35" t="s">
        <v>7045</v>
      </c>
      <c r="DO200" s="30">
        <v>47757.0</v>
      </c>
      <c r="DP200" s="30">
        <v>47848.0</v>
      </c>
      <c r="DQ200" s="36">
        <v>0.0</v>
      </c>
      <c r="DR200" s="36">
        <v>0.0</v>
      </c>
      <c r="DS200" s="35" t="s">
        <v>7045</v>
      </c>
    </row>
    <row r="201" ht="14.25" customHeight="1">
      <c r="A201" s="28" t="s">
        <v>7002</v>
      </c>
      <c r="B201" s="29" t="s">
        <v>7003</v>
      </c>
      <c r="C201" s="29" t="s">
        <v>7041</v>
      </c>
      <c r="D201" s="30">
        <v>45658.0</v>
      </c>
      <c r="E201" s="30">
        <v>45747.0</v>
      </c>
      <c r="F201" s="39">
        <v>0.0</v>
      </c>
      <c r="G201" s="39">
        <v>0.0</v>
      </c>
      <c r="H201" s="35" t="s">
        <v>7045</v>
      </c>
      <c r="I201" s="30">
        <v>45748.0</v>
      </c>
      <c r="J201" s="30">
        <v>45838.0</v>
      </c>
      <c r="K201" s="39">
        <v>130.0</v>
      </c>
      <c r="L201" s="39">
        <v>0.0</v>
      </c>
      <c r="M201" s="38" t="s">
        <v>7047</v>
      </c>
      <c r="N201" s="30">
        <v>45839.0</v>
      </c>
      <c r="O201" s="30">
        <v>45930.0</v>
      </c>
      <c r="P201" s="39">
        <v>0.0</v>
      </c>
      <c r="Q201" s="39">
        <v>0.0</v>
      </c>
      <c r="R201" s="35" t="s">
        <v>7045</v>
      </c>
      <c r="S201" s="30">
        <v>45931.0</v>
      </c>
      <c r="T201" s="30">
        <v>46022.0</v>
      </c>
      <c r="U201" s="39">
        <v>130.0</v>
      </c>
      <c r="V201" s="39">
        <v>0.0</v>
      </c>
      <c r="W201" s="35" t="s">
        <v>7047</v>
      </c>
      <c r="X201" s="30">
        <v>46023.0</v>
      </c>
      <c r="Y201" s="30">
        <v>46112.0</v>
      </c>
      <c r="Z201" s="39">
        <v>0.0</v>
      </c>
      <c r="AA201" s="39">
        <v>0.0</v>
      </c>
      <c r="AB201" s="35" t="s">
        <v>7045</v>
      </c>
      <c r="AC201" s="30">
        <v>46113.0</v>
      </c>
      <c r="AD201" s="30">
        <v>46203.0</v>
      </c>
      <c r="AE201" s="39">
        <v>0.0</v>
      </c>
      <c r="AF201" s="39">
        <v>0.0</v>
      </c>
      <c r="AG201" s="35" t="s">
        <v>7045</v>
      </c>
      <c r="AH201" s="30">
        <v>46204.0</v>
      </c>
      <c r="AI201" s="30">
        <v>46295.0</v>
      </c>
      <c r="AJ201" s="39">
        <v>0.0</v>
      </c>
      <c r="AK201" s="39">
        <v>0.0</v>
      </c>
      <c r="AL201" s="35" t="s">
        <v>7045</v>
      </c>
      <c r="AM201" s="30">
        <v>46296.0</v>
      </c>
      <c r="AN201" s="30">
        <v>46387.0</v>
      </c>
      <c r="AO201" s="39">
        <v>0.0</v>
      </c>
      <c r="AP201" s="39">
        <v>0.0</v>
      </c>
      <c r="AQ201" s="35" t="s">
        <v>7045</v>
      </c>
      <c r="AR201" s="30">
        <v>46388.0</v>
      </c>
      <c r="AS201" s="30">
        <v>46477.0</v>
      </c>
      <c r="AT201" s="39">
        <v>0.0</v>
      </c>
      <c r="AU201" s="39">
        <v>0.0</v>
      </c>
      <c r="AV201" s="35" t="s">
        <v>7045</v>
      </c>
      <c r="AW201" s="30">
        <v>46478.0</v>
      </c>
      <c r="AX201" s="30">
        <v>46568.0</v>
      </c>
      <c r="AY201" s="39">
        <v>0.0</v>
      </c>
      <c r="AZ201" s="39">
        <v>0.0</v>
      </c>
      <c r="BA201" s="35" t="s">
        <v>7045</v>
      </c>
      <c r="BB201" s="30">
        <v>46569.0</v>
      </c>
      <c r="BC201" s="30">
        <v>46660.0</v>
      </c>
      <c r="BD201" s="39">
        <v>0.0</v>
      </c>
      <c r="BE201" s="39">
        <v>0.0</v>
      </c>
      <c r="BF201" s="35" t="s">
        <v>7045</v>
      </c>
      <c r="BG201" s="30">
        <v>46661.0</v>
      </c>
      <c r="BH201" s="30">
        <v>46752.0</v>
      </c>
      <c r="BI201" s="39">
        <v>0.0</v>
      </c>
      <c r="BJ201" s="39">
        <v>0.0</v>
      </c>
      <c r="BK201" s="35" t="s">
        <v>7045</v>
      </c>
      <c r="BL201" s="30">
        <v>46753.0</v>
      </c>
      <c r="BM201" s="30">
        <v>46843.0</v>
      </c>
      <c r="BN201" s="39">
        <v>0.0</v>
      </c>
      <c r="BO201" s="39">
        <v>0.0</v>
      </c>
      <c r="BP201" s="35" t="s">
        <v>7045</v>
      </c>
      <c r="BQ201" s="30">
        <v>46844.0</v>
      </c>
      <c r="BR201" s="30">
        <v>46934.0</v>
      </c>
      <c r="BS201" s="39">
        <v>0.0</v>
      </c>
      <c r="BT201" s="39">
        <v>0.0</v>
      </c>
      <c r="BU201" s="35" t="s">
        <v>7045</v>
      </c>
      <c r="BV201" s="30">
        <v>46935.0</v>
      </c>
      <c r="BW201" s="30">
        <v>47026.0</v>
      </c>
      <c r="BX201" s="39">
        <v>0.0</v>
      </c>
      <c r="BY201" s="39">
        <v>0.0</v>
      </c>
      <c r="BZ201" s="35" t="s">
        <v>7045</v>
      </c>
      <c r="CA201" s="30">
        <v>47027.0</v>
      </c>
      <c r="CB201" s="30">
        <v>47118.0</v>
      </c>
      <c r="CC201" s="39">
        <v>0.0</v>
      </c>
      <c r="CD201" s="39">
        <v>0.0</v>
      </c>
      <c r="CE201" s="35" t="s">
        <v>7045</v>
      </c>
      <c r="CF201" s="30">
        <v>47119.0</v>
      </c>
      <c r="CG201" s="30">
        <v>47208.0</v>
      </c>
      <c r="CH201" s="39">
        <v>0.0</v>
      </c>
      <c r="CI201" s="39">
        <v>0.0</v>
      </c>
      <c r="CJ201" s="35" t="s">
        <v>7045</v>
      </c>
      <c r="CK201" s="30">
        <v>47209.0</v>
      </c>
      <c r="CL201" s="30">
        <v>47299.0</v>
      </c>
      <c r="CM201" s="39">
        <v>0.0</v>
      </c>
      <c r="CN201" s="39">
        <v>0.0</v>
      </c>
      <c r="CO201" s="35" t="s">
        <v>7045</v>
      </c>
      <c r="CP201" s="30">
        <v>47300.0</v>
      </c>
      <c r="CQ201" s="30">
        <v>47391.0</v>
      </c>
      <c r="CR201" s="39">
        <v>0.0</v>
      </c>
      <c r="CS201" s="39">
        <v>0.0</v>
      </c>
      <c r="CT201" s="35" t="s">
        <v>7045</v>
      </c>
      <c r="CU201" s="30">
        <v>47392.0</v>
      </c>
      <c r="CV201" s="30">
        <v>47483.0</v>
      </c>
      <c r="CW201" s="39">
        <v>0.0</v>
      </c>
      <c r="CX201" s="39">
        <v>0.0</v>
      </c>
      <c r="CY201" s="35" t="s">
        <v>7045</v>
      </c>
      <c r="CZ201" s="30">
        <v>47484.0</v>
      </c>
      <c r="DA201" s="30">
        <v>47573.0</v>
      </c>
      <c r="DB201" s="39">
        <v>0.0</v>
      </c>
      <c r="DC201" s="39">
        <v>0.0</v>
      </c>
      <c r="DD201" s="35" t="s">
        <v>7045</v>
      </c>
      <c r="DE201" s="30">
        <v>47574.0</v>
      </c>
      <c r="DF201" s="30">
        <v>47664.0</v>
      </c>
      <c r="DG201" s="39">
        <v>0.0</v>
      </c>
      <c r="DH201" s="39">
        <v>0.0</v>
      </c>
      <c r="DI201" s="35" t="s">
        <v>7045</v>
      </c>
      <c r="DJ201" s="30">
        <v>47665.0</v>
      </c>
      <c r="DK201" s="30">
        <v>47756.0</v>
      </c>
      <c r="DL201" s="39">
        <v>0.0</v>
      </c>
      <c r="DM201" s="39">
        <v>0.0</v>
      </c>
      <c r="DN201" s="35" t="s">
        <v>7045</v>
      </c>
      <c r="DO201" s="30">
        <v>47757.0</v>
      </c>
      <c r="DP201" s="30">
        <v>47848.0</v>
      </c>
      <c r="DQ201" s="39">
        <v>0.0</v>
      </c>
      <c r="DR201" s="39">
        <v>0.0</v>
      </c>
      <c r="DS201" s="35" t="s">
        <v>7045</v>
      </c>
    </row>
    <row r="202" ht="14.25" customHeight="1">
      <c r="A202" s="28" t="s">
        <v>7027</v>
      </c>
      <c r="B202" s="29" t="s">
        <v>7028</v>
      </c>
      <c r="C202" s="29" t="s">
        <v>7041</v>
      </c>
      <c r="D202" s="30">
        <v>45658.0</v>
      </c>
      <c r="E202" s="30">
        <v>45747.0</v>
      </c>
      <c r="F202" s="39">
        <v>12.0</v>
      </c>
      <c r="G202" s="39">
        <v>0.0</v>
      </c>
      <c r="H202" s="38" t="s">
        <v>7047</v>
      </c>
      <c r="I202" s="30">
        <v>45748.0</v>
      </c>
      <c r="J202" s="30">
        <v>45838.0</v>
      </c>
      <c r="K202" s="39">
        <v>5.11</v>
      </c>
      <c r="L202" s="39">
        <v>139.13</v>
      </c>
      <c r="M202" s="32" t="s">
        <v>7043</v>
      </c>
      <c r="N202" s="30">
        <v>45839.0</v>
      </c>
      <c r="O202" s="30">
        <v>45930.0</v>
      </c>
      <c r="P202" s="39">
        <v>28.82</v>
      </c>
      <c r="Q202" s="39">
        <v>139.13</v>
      </c>
      <c r="R202" s="38" t="s">
        <v>7047</v>
      </c>
      <c r="S202" s="30">
        <v>45931.0</v>
      </c>
      <c r="T202" s="30">
        <v>46022.0</v>
      </c>
      <c r="U202" s="39">
        <v>435.65</v>
      </c>
      <c r="V202" s="39">
        <v>160.87</v>
      </c>
      <c r="W202" s="38" t="s">
        <v>7047</v>
      </c>
      <c r="X202" s="30">
        <v>46023.0</v>
      </c>
      <c r="Y202" s="30">
        <v>46112.0</v>
      </c>
      <c r="Z202" s="39">
        <v>0.0</v>
      </c>
      <c r="AA202" s="39">
        <v>0.0</v>
      </c>
      <c r="AB202" s="35" t="s">
        <v>7045</v>
      </c>
      <c r="AC202" s="30">
        <v>46113.0</v>
      </c>
      <c r="AD202" s="30">
        <v>46203.0</v>
      </c>
      <c r="AE202" s="39">
        <v>16.13</v>
      </c>
      <c r="AF202" s="39">
        <v>0.0</v>
      </c>
      <c r="AG202" s="38" t="s">
        <v>7047</v>
      </c>
      <c r="AH202" s="30">
        <v>46204.0</v>
      </c>
      <c r="AI202" s="30">
        <v>46295.0</v>
      </c>
      <c r="AJ202" s="39">
        <v>2.42</v>
      </c>
      <c r="AK202" s="39">
        <v>0.0</v>
      </c>
      <c r="AL202" s="38" t="s">
        <v>7047</v>
      </c>
      <c r="AM202" s="30">
        <v>46296.0</v>
      </c>
      <c r="AN202" s="30">
        <v>46387.0</v>
      </c>
      <c r="AO202" s="39">
        <v>2.06</v>
      </c>
      <c r="AP202" s="39">
        <v>0.0</v>
      </c>
      <c r="AQ202" s="38" t="s">
        <v>7047</v>
      </c>
      <c r="AR202" s="30">
        <v>46388.0</v>
      </c>
      <c r="AS202" s="30">
        <v>46477.0</v>
      </c>
      <c r="AT202" s="39">
        <v>0.0</v>
      </c>
      <c r="AU202" s="39">
        <v>0.0</v>
      </c>
      <c r="AV202" s="35" t="s">
        <v>7045</v>
      </c>
      <c r="AW202" s="30">
        <v>46478.0</v>
      </c>
      <c r="AX202" s="30">
        <v>46568.0</v>
      </c>
      <c r="AY202" s="39">
        <v>0.0</v>
      </c>
      <c r="AZ202" s="39">
        <v>0.0</v>
      </c>
      <c r="BA202" s="35" t="s">
        <v>7045</v>
      </c>
      <c r="BB202" s="30">
        <v>46569.0</v>
      </c>
      <c r="BC202" s="30">
        <v>46660.0</v>
      </c>
      <c r="BD202" s="39">
        <v>0.0</v>
      </c>
      <c r="BE202" s="39">
        <v>0.0</v>
      </c>
      <c r="BF202" s="35" t="s">
        <v>7045</v>
      </c>
      <c r="BG202" s="30">
        <v>46661.0</v>
      </c>
      <c r="BH202" s="30">
        <v>46752.0</v>
      </c>
      <c r="BI202" s="39">
        <v>0.0</v>
      </c>
      <c r="BJ202" s="39">
        <v>0.0</v>
      </c>
      <c r="BK202" s="35" t="s">
        <v>7045</v>
      </c>
      <c r="BL202" s="30">
        <v>46753.0</v>
      </c>
      <c r="BM202" s="30">
        <v>46843.0</v>
      </c>
      <c r="BN202" s="39">
        <v>0.0</v>
      </c>
      <c r="BO202" s="39">
        <v>0.0</v>
      </c>
      <c r="BP202" s="35" t="s">
        <v>7045</v>
      </c>
      <c r="BQ202" s="30">
        <v>46844.0</v>
      </c>
      <c r="BR202" s="30">
        <v>46934.0</v>
      </c>
      <c r="BS202" s="39">
        <v>0.0</v>
      </c>
      <c r="BT202" s="39">
        <v>0.0</v>
      </c>
      <c r="BU202" s="35" t="s">
        <v>7045</v>
      </c>
      <c r="BV202" s="30">
        <v>46935.0</v>
      </c>
      <c r="BW202" s="30">
        <v>47026.0</v>
      </c>
      <c r="BX202" s="39">
        <v>0.0</v>
      </c>
      <c r="BY202" s="39">
        <v>0.0</v>
      </c>
      <c r="BZ202" s="35" t="s">
        <v>7045</v>
      </c>
      <c r="CA202" s="30">
        <v>47027.0</v>
      </c>
      <c r="CB202" s="30">
        <v>47118.0</v>
      </c>
      <c r="CC202" s="39">
        <v>0.0</v>
      </c>
      <c r="CD202" s="39">
        <v>0.0</v>
      </c>
      <c r="CE202" s="35" t="s">
        <v>7045</v>
      </c>
      <c r="CF202" s="30">
        <v>47119.0</v>
      </c>
      <c r="CG202" s="30">
        <v>47208.0</v>
      </c>
      <c r="CH202" s="39">
        <v>0.0</v>
      </c>
      <c r="CI202" s="39">
        <v>0.0</v>
      </c>
      <c r="CJ202" s="35" t="s">
        <v>7045</v>
      </c>
      <c r="CK202" s="30">
        <v>47209.0</v>
      </c>
      <c r="CL202" s="30">
        <v>47299.0</v>
      </c>
      <c r="CM202" s="39">
        <v>0.0</v>
      </c>
      <c r="CN202" s="39">
        <v>0.0</v>
      </c>
      <c r="CO202" s="35" t="s">
        <v>7045</v>
      </c>
      <c r="CP202" s="30">
        <v>47300.0</v>
      </c>
      <c r="CQ202" s="30">
        <v>47391.0</v>
      </c>
      <c r="CR202" s="39">
        <v>0.0</v>
      </c>
      <c r="CS202" s="39">
        <v>0.0</v>
      </c>
      <c r="CT202" s="35" t="s">
        <v>7045</v>
      </c>
      <c r="CU202" s="30">
        <v>47392.0</v>
      </c>
      <c r="CV202" s="30">
        <v>47483.0</v>
      </c>
      <c r="CW202" s="39">
        <v>0.0</v>
      </c>
      <c r="CX202" s="39">
        <v>0.0</v>
      </c>
      <c r="CY202" s="35" t="s">
        <v>7045</v>
      </c>
      <c r="CZ202" s="30">
        <v>47484.0</v>
      </c>
      <c r="DA202" s="30">
        <v>47573.0</v>
      </c>
      <c r="DB202" s="39">
        <v>0.0</v>
      </c>
      <c r="DC202" s="39">
        <v>0.0</v>
      </c>
      <c r="DD202" s="35" t="s">
        <v>7045</v>
      </c>
      <c r="DE202" s="30">
        <v>47574.0</v>
      </c>
      <c r="DF202" s="30">
        <v>47664.0</v>
      </c>
      <c r="DG202" s="39">
        <v>0.0</v>
      </c>
      <c r="DH202" s="39">
        <v>0.0</v>
      </c>
      <c r="DI202" s="35" t="s">
        <v>7045</v>
      </c>
      <c r="DJ202" s="30">
        <v>47665.0</v>
      </c>
      <c r="DK202" s="30">
        <v>47756.0</v>
      </c>
      <c r="DL202" s="39">
        <v>0.0</v>
      </c>
      <c r="DM202" s="39">
        <v>0.0</v>
      </c>
      <c r="DN202" s="35" t="s">
        <v>7045</v>
      </c>
      <c r="DO202" s="30">
        <v>47757.0</v>
      </c>
      <c r="DP202" s="30">
        <v>47848.0</v>
      </c>
      <c r="DQ202" s="39">
        <v>0.0</v>
      </c>
      <c r="DR202" s="39">
        <v>0.0</v>
      </c>
      <c r="DS202" s="35" t="s">
        <v>7045</v>
      </c>
    </row>
    <row r="203" ht="14.25" customHeight="1">
      <c r="A203" s="28" t="s">
        <v>6681</v>
      </c>
      <c r="B203" s="29" t="s">
        <v>6682</v>
      </c>
      <c r="C203" s="29" t="s">
        <v>7041</v>
      </c>
      <c r="D203" s="30">
        <v>45658.0</v>
      </c>
      <c r="E203" s="30">
        <v>45747.0</v>
      </c>
      <c r="F203" s="39">
        <v>12.32</v>
      </c>
      <c r="G203" s="39">
        <v>0.0</v>
      </c>
      <c r="H203" s="38" t="s">
        <v>7047</v>
      </c>
      <c r="I203" s="30">
        <v>45748.0</v>
      </c>
      <c r="J203" s="30">
        <v>45838.0</v>
      </c>
      <c r="K203" s="39">
        <v>2.26</v>
      </c>
      <c r="L203" s="39">
        <v>252.46</v>
      </c>
      <c r="M203" s="37" t="s">
        <v>7043</v>
      </c>
      <c r="N203" s="30">
        <v>45839.0</v>
      </c>
      <c r="O203" s="30">
        <v>45930.0</v>
      </c>
      <c r="P203" s="39">
        <v>206.39</v>
      </c>
      <c r="Q203" s="39">
        <v>375.41</v>
      </c>
      <c r="R203" s="38" t="s">
        <v>7047</v>
      </c>
      <c r="S203" s="30">
        <v>45931.0</v>
      </c>
      <c r="T203" s="30">
        <v>46022.0</v>
      </c>
      <c r="U203" s="39">
        <v>257.26</v>
      </c>
      <c r="V203" s="39">
        <v>380.33</v>
      </c>
      <c r="W203" s="38" t="s">
        <v>7047</v>
      </c>
      <c r="X203" s="30">
        <v>46023.0</v>
      </c>
      <c r="Y203" s="30">
        <v>46112.0</v>
      </c>
      <c r="Z203" s="39">
        <v>35.0</v>
      </c>
      <c r="AA203" s="39">
        <v>0.0</v>
      </c>
      <c r="AB203" s="38" t="s">
        <v>7047</v>
      </c>
      <c r="AC203" s="30">
        <v>46113.0</v>
      </c>
      <c r="AD203" s="30">
        <v>46203.0</v>
      </c>
      <c r="AE203" s="39">
        <v>15.0</v>
      </c>
      <c r="AF203" s="39">
        <v>0.0</v>
      </c>
      <c r="AG203" s="35" t="s">
        <v>7047</v>
      </c>
      <c r="AH203" s="30">
        <v>46204.0</v>
      </c>
      <c r="AI203" s="30">
        <v>46295.0</v>
      </c>
      <c r="AJ203" s="39">
        <v>1.89</v>
      </c>
      <c r="AK203" s="39">
        <v>0.0</v>
      </c>
      <c r="AL203" s="38" t="s">
        <v>7047</v>
      </c>
      <c r="AM203" s="30">
        <v>46296.0</v>
      </c>
      <c r="AN203" s="30">
        <v>46387.0</v>
      </c>
      <c r="AO203" s="39">
        <v>0.0</v>
      </c>
      <c r="AP203" s="39">
        <v>0.0</v>
      </c>
      <c r="AQ203" s="35" t="s">
        <v>7045</v>
      </c>
      <c r="AR203" s="30">
        <v>46388.0</v>
      </c>
      <c r="AS203" s="30">
        <v>46477.0</v>
      </c>
      <c r="AT203" s="39">
        <v>0.0</v>
      </c>
      <c r="AU203" s="39">
        <v>0.0</v>
      </c>
      <c r="AV203" s="35" t="s">
        <v>7045</v>
      </c>
      <c r="AW203" s="30">
        <v>46478.0</v>
      </c>
      <c r="AX203" s="30">
        <v>46568.0</v>
      </c>
      <c r="AY203" s="39">
        <v>0.0</v>
      </c>
      <c r="AZ203" s="39">
        <v>0.0</v>
      </c>
      <c r="BA203" s="35" t="s">
        <v>7045</v>
      </c>
      <c r="BB203" s="30">
        <v>46569.0</v>
      </c>
      <c r="BC203" s="30">
        <v>46660.0</v>
      </c>
      <c r="BD203" s="39">
        <v>0.0</v>
      </c>
      <c r="BE203" s="39">
        <v>0.0</v>
      </c>
      <c r="BF203" s="35" t="s">
        <v>7045</v>
      </c>
      <c r="BG203" s="30">
        <v>46661.0</v>
      </c>
      <c r="BH203" s="30">
        <v>46752.0</v>
      </c>
      <c r="BI203" s="39">
        <v>0.0</v>
      </c>
      <c r="BJ203" s="39">
        <v>0.0</v>
      </c>
      <c r="BK203" s="35" t="s">
        <v>7045</v>
      </c>
      <c r="BL203" s="30">
        <v>46753.0</v>
      </c>
      <c r="BM203" s="30">
        <v>46843.0</v>
      </c>
      <c r="BN203" s="39">
        <v>0.0</v>
      </c>
      <c r="BO203" s="39">
        <v>0.0</v>
      </c>
      <c r="BP203" s="35" t="s">
        <v>7045</v>
      </c>
      <c r="BQ203" s="30">
        <v>46844.0</v>
      </c>
      <c r="BR203" s="30">
        <v>46934.0</v>
      </c>
      <c r="BS203" s="39">
        <v>0.0</v>
      </c>
      <c r="BT203" s="39">
        <v>0.0</v>
      </c>
      <c r="BU203" s="35" t="s">
        <v>7045</v>
      </c>
      <c r="BV203" s="30">
        <v>46935.0</v>
      </c>
      <c r="BW203" s="30">
        <v>47026.0</v>
      </c>
      <c r="BX203" s="39">
        <v>0.0</v>
      </c>
      <c r="BY203" s="39">
        <v>0.0</v>
      </c>
      <c r="BZ203" s="35" t="s">
        <v>7045</v>
      </c>
      <c r="CA203" s="30">
        <v>47027.0</v>
      </c>
      <c r="CB203" s="30">
        <v>47118.0</v>
      </c>
      <c r="CC203" s="39">
        <v>0.0</v>
      </c>
      <c r="CD203" s="39">
        <v>0.0</v>
      </c>
      <c r="CE203" s="35" t="s">
        <v>7045</v>
      </c>
      <c r="CF203" s="30">
        <v>47119.0</v>
      </c>
      <c r="CG203" s="30">
        <v>47208.0</v>
      </c>
      <c r="CH203" s="39">
        <v>0.0</v>
      </c>
      <c r="CI203" s="39">
        <v>0.0</v>
      </c>
      <c r="CJ203" s="35" t="s">
        <v>7045</v>
      </c>
      <c r="CK203" s="30">
        <v>47209.0</v>
      </c>
      <c r="CL203" s="30">
        <v>47299.0</v>
      </c>
      <c r="CM203" s="39">
        <v>0.0</v>
      </c>
      <c r="CN203" s="39">
        <v>0.0</v>
      </c>
      <c r="CO203" s="35" t="s">
        <v>7045</v>
      </c>
      <c r="CP203" s="30">
        <v>47300.0</v>
      </c>
      <c r="CQ203" s="30">
        <v>47391.0</v>
      </c>
      <c r="CR203" s="39">
        <v>0.0</v>
      </c>
      <c r="CS203" s="39">
        <v>0.0</v>
      </c>
      <c r="CT203" s="35" t="s">
        <v>7045</v>
      </c>
      <c r="CU203" s="30">
        <v>47392.0</v>
      </c>
      <c r="CV203" s="30">
        <v>47483.0</v>
      </c>
      <c r="CW203" s="39">
        <v>0.0</v>
      </c>
      <c r="CX203" s="39">
        <v>0.0</v>
      </c>
      <c r="CY203" s="35" t="s">
        <v>7045</v>
      </c>
      <c r="CZ203" s="30">
        <v>47484.0</v>
      </c>
      <c r="DA203" s="30">
        <v>47573.0</v>
      </c>
      <c r="DB203" s="39">
        <v>0.0</v>
      </c>
      <c r="DC203" s="39">
        <v>0.0</v>
      </c>
      <c r="DD203" s="35" t="s">
        <v>7045</v>
      </c>
      <c r="DE203" s="30">
        <v>47574.0</v>
      </c>
      <c r="DF203" s="30">
        <v>47664.0</v>
      </c>
      <c r="DG203" s="39">
        <v>0.0</v>
      </c>
      <c r="DH203" s="39">
        <v>0.0</v>
      </c>
      <c r="DI203" s="35" t="s">
        <v>7045</v>
      </c>
      <c r="DJ203" s="30">
        <v>47665.0</v>
      </c>
      <c r="DK203" s="30">
        <v>47756.0</v>
      </c>
      <c r="DL203" s="39">
        <v>0.0</v>
      </c>
      <c r="DM203" s="39">
        <v>0.0</v>
      </c>
      <c r="DN203" s="35" t="s">
        <v>7045</v>
      </c>
      <c r="DO203" s="30">
        <v>47757.0</v>
      </c>
      <c r="DP203" s="30">
        <v>47848.0</v>
      </c>
      <c r="DQ203" s="39">
        <v>0.0</v>
      </c>
      <c r="DR203" s="39">
        <v>0.0</v>
      </c>
      <c r="DS203" s="35" t="s">
        <v>7045</v>
      </c>
    </row>
    <row r="204" ht="14.25" customHeight="1">
      <c r="A204" s="28" t="s">
        <v>6492</v>
      </c>
      <c r="B204" s="29" t="s">
        <v>6493</v>
      </c>
      <c r="C204" s="29" t="s">
        <v>7041</v>
      </c>
      <c r="D204" s="30">
        <v>45658.0</v>
      </c>
      <c r="E204" s="30">
        <v>45747.0</v>
      </c>
      <c r="F204" s="39">
        <v>10.0</v>
      </c>
      <c r="G204" s="39">
        <v>0.0</v>
      </c>
      <c r="H204" s="38" t="s">
        <v>7047</v>
      </c>
      <c r="I204" s="30">
        <v>45748.0</v>
      </c>
      <c r="J204" s="30">
        <v>45838.0</v>
      </c>
      <c r="K204" s="39">
        <v>1.5</v>
      </c>
      <c r="L204" s="39">
        <v>136.51</v>
      </c>
      <c r="M204" s="37" t="s">
        <v>7043</v>
      </c>
      <c r="N204" s="30">
        <v>45839.0</v>
      </c>
      <c r="O204" s="30">
        <v>45930.0</v>
      </c>
      <c r="P204" s="39">
        <v>69.6</v>
      </c>
      <c r="Q204" s="39">
        <v>204.76</v>
      </c>
      <c r="R204" s="38" t="s">
        <v>7047</v>
      </c>
      <c r="S204" s="30">
        <v>45931.0</v>
      </c>
      <c r="T204" s="30">
        <v>46022.0</v>
      </c>
      <c r="U204" s="39">
        <v>195.0</v>
      </c>
      <c r="V204" s="39">
        <v>207.94</v>
      </c>
      <c r="W204" s="38" t="s">
        <v>7047</v>
      </c>
      <c r="X204" s="30">
        <v>46023.0</v>
      </c>
      <c r="Y204" s="30">
        <v>46112.0</v>
      </c>
      <c r="Z204" s="39">
        <v>67.0</v>
      </c>
      <c r="AA204" s="39">
        <v>0.0</v>
      </c>
      <c r="AB204" s="38" t="s">
        <v>7047</v>
      </c>
      <c r="AC204" s="30">
        <v>46113.0</v>
      </c>
      <c r="AD204" s="30">
        <v>46203.0</v>
      </c>
      <c r="AE204" s="39">
        <v>0.0</v>
      </c>
      <c r="AF204" s="39">
        <v>0.0</v>
      </c>
      <c r="AG204" s="35" t="s">
        <v>7045</v>
      </c>
      <c r="AH204" s="30">
        <v>46204.0</v>
      </c>
      <c r="AI204" s="30">
        <v>46295.0</v>
      </c>
      <c r="AJ204" s="39">
        <v>0.0</v>
      </c>
      <c r="AK204" s="39">
        <v>0.0</v>
      </c>
      <c r="AL204" s="35" t="s">
        <v>7045</v>
      </c>
      <c r="AM204" s="30">
        <v>46296.0</v>
      </c>
      <c r="AN204" s="30">
        <v>46387.0</v>
      </c>
      <c r="AO204" s="39">
        <v>0.0</v>
      </c>
      <c r="AP204" s="39">
        <v>0.0</v>
      </c>
      <c r="AQ204" s="35" t="s">
        <v>7045</v>
      </c>
      <c r="AR204" s="30">
        <v>46388.0</v>
      </c>
      <c r="AS204" s="30">
        <v>46477.0</v>
      </c>
      <c r="AT204" s="39">
        <v>0.0</v>
      </c>
      <c r="AU204" s="39">
        <v>0.0</v>
      </c>
      <c r="AV204" s="35" t="s">
        <v>7045</v>
      </c>
      <c r="AW204" s="30">
        <v>46478.0</v>
      </c>
      <c r="AX204" s="30">
        <v>46568.0</v>
      </c>
      <c r="AY204" s="39">
        <v>0.0</v>
      </c>
      <c r="AZ204" s="39">
        <v>0.0</v>
      </c>
      <c r="BA204" s="35" t="s">
        <v>7045</v>
      </c>
      <c r="BB204" s="30">
        <v>46569.0</v>
      </c>
      <c r="BC204" s="30">
        <v>46660.0</v>
      </c>
      <c r="BD204" s="39">
        <v>0.0</v>
      </c>
      <c r="BE204" s="39">
        <v>0.0</v>
      </c>
      <c r="BF204" s="35" t="s">
        <v>7045</v>
      </c>
      <c r="BG204" s="30">
        <v>46661.0</v>
      </c>
      <c r="BH204" s="30">
        <v>46752.0</v>
      </c>
      <c r="BI204" s="39">
        <v>0.0</v>
      </c>
      <c r="BJ204" s="39">
        <v>0.0</v>
      </c>
      <c r="BK204" s="35" t="s">
        <v>7045</v>
      </c>
      <c r="BL204" s="30">
        <v>46753.0</v>
      </c>
      <c r="BM204" s="30">
        <v>46843.0</v>
      </c>
      <c r="BN204" s="39">
        <v>0.0</v>
      </c>
      <c r="BO204" s="39">
        <v>0.0</v>
      </c>
      <c r="BP204" s="35" t="s">
        <v>7045</v>
      </c>
      <c r="BQ204" s="30">
        <v>46844.0</v>
      </c>
      <c r="BR204" s="30">
        <v>46934.0</v>
      </c>
      <c r="BS204" s="39">
        <v>0.0</v>
      </c>
      <c r="BT204" s="39">
        <v>0.0</v>
      </c>
      <c r="BU204" s="35" t="s">
        <v>7045</v>
      </c>
      <c r="BV204" s="30">
        <v>46935.0</v>
      </c>
      <c r="BW204" s="30">
        <v>47026.0</v>
      </c>
      <c r="BX204" s="39">
        <v>0.0</v>
      </c>
      <c r="BY204" s="39">
        <v>0.0</v>
      </c>
      <c r="BZ204" s="35" t="s">
        <v>7045</v>
      </c>
      <c r="CA204" s="30">
        <v>47027.0</v>
      </c>
      <c r="CB204" s="30">
        <v>47118.0</v>
      </c>
      <c r="CC204" s="39">
        <v>0.0</v>
      </c>
      <c r="CD204" s="39">
        <v>0.0</v>
      </c>
      <c r="CE204" s="35" t="s">
        <v>7045</v>
      </c>
      <c r="CF204" s="30">
        <v>47119.0</v>
      </c>
      <c r="CG204" s="30">
        <v>47208.0</v>
      </c>
      <c r="CH204" s="39">
        <v>0.0</v>
      </c>
      <c r="CI204" s="39">
        <v>0.0</v>
      </c>
      <c r="CJ204" s="35" t="s">
        <v>7045</v>
      </c>
      <c r="CK204" s="30">
        <v>47209.0</v>
      </c>
      <c r="CL204" s="30">
        <v>47299.0</v>
      </c>
      <c r="CM204" s="39">
        <v>0.0</v>
      </c>
      <c r="CN204" s="39">
        <v>0.0</v>
      </c>
      <c r="CO204" s="35" t="s">
        <v>7045</v>
      </c>
      <c r="CP204" s="30">
        <v>47300.0</v>
      </c>
      <c r="CQ204" s="30">
        <v>47391.0</v>
      </c>
      <c r="CR204" s="39">
        <v>0.0</v>
      </c>
      <c r="CS204" s="39">
        <v>0.0</v>
      </c>
      <c r="CT204" s="35" t="s">
        <v>7045</v>
      </c>
      <c r="CU204" s="30">
        <v>47392.0</v>
      </c>
      <c r="CV204" s="30">
        <v>47483.0</v>
      </c>
      <c r="CW204" s="39">
        <v>0.0</v>
      </c>
      <c r="CX204" s="39">
        <v>0.0</v>
      </c>
      <c r="CY204" s="35" t="s">
        <v>7045</v>
      </c>
      <c r="CZ204" s="30">
        <v>47484.0</v>
      </c>
      <c r="DA204" s="30">
        <v>47573.0</v>
      </c>
      <c r="DB204" s="39">
        <v>0.0</v>
      </c>
      <c r="DC204" s="39">
        <v>0.0</v>
      </c>
      <c r="DD204" s="35" t="s">
        <v>7045</v>
      </c>
      <c r="DE204" s="30">
        <v>47574.0</v>
      </c>
      <c r="DF204" s="30">
        <v>47664.0</v>
      </c>
      <c r="DG204" s="39">
        <v>0.0</v>
      </c>
      <c r="DH204" s="39">
        <v>0.0</v>
      </c>
      <c r="DI204" s="35" t="s">
        <v>7045</v>
      </c>
      <c r="DJ204" s="30">
        <v>47665.0</v>
      </c>
      <c r="DK204" s="30">
        <v>47756.0</v>
      </c>
      <c r="DL204" s="39">
        <v>0.0</v>
      </c>
      <c r="DM204" s="39">
        <v>0.0</v>
      </c>
      <c r="DN204" s="35" t="s">
        <v>7045</v>
      </c>
      <c r="DO204" s="30">
        <v>47757.0</v>
      </c>
      <c r="DP204" s="30">
        <v>47848.0</v>
      </c>
      <c r="DQ204" s="39">
        <v>0.0</v>
      </c>
      <c r="DR204" s="39">
        <v>0.0</v>
      </c>
      <c r="DS204" s="35" t="s">
        <v>7045</v>
      </c>
    </row>
    <row r="205" ht="14.25" customHeight="1">
      <c r="A205" s="28" t="s">
        <v>5379</v>
      </c>
      <c r="B205" s="29" t="s">
        <v>5380</v>
      </c>
      <c r="C205" s="29" t="s">
        <v>7041</v>
      </c>
      <c r="D205" s="30">
        <v>45658.0</v>
      </c>
      <c r="E205" s="30">
        <v>45747.0</v>
      </c>
      <c r="F205" s="39">
        <v>25.08</v>
      </c>
      <c r="G205" s="39">
        <v>0.0</v>
      </c>
      <c r="H205" s="38" t="s">
        <v>7047</v>
      </c>
      <c r="I205" s="30">
        <v>45748.0</v>
      </c>
      <c r="J205" s="30">
        <v>45838.0</v>
      </c>
      <c r="K205" s="39">
        <v>4.48</v>
      </c>
      <c r="L205" s="39">
        <v>281.33</v>
      </c>
      <c r="M205" s="37" t="s">
        <v>7043</v>
      </c>
      <c r="N205" s="30">
        <v>45839.0</v>
      </c>
      <c r="O205" s="30">
        <v>45930.0</v>
      </c>
      <c r="P205" s="39">
        <v>122.93</v>
      </c>
      <c r="Q205" s="39">
        <v>420.0</v>
      </c>
      <c r="R205" s="38" t="s">
        <v>7047</v>
      </c>
      <c r="S205" s="30">
        <v>45931.0</v>
      </c>
      <c r="T205" s="30">
        <v>46022.0</v>
      </c>
      <c r="U205" s="39">
        <v>228.0</v>
      </c>
      <c r="V205" s="39">
        <v>422.67</v>
      </c>
      <c r="W205" s="38" t="s">
        <v>7047</v>
      </c>
      <c r="X205" s="30">
        <v>46023.0</v>
      </c>
      <c r="Y205" s="30">
        <v>46112.0</v>
      </c>
      <c r="Z205" s="39">
        <v>320.0</v>
      </c>
      <c r="AA205" s="39">
        <v>0.0</v>
      </c>
      <c r="AB205" s="35" t="s">
        <v>7047</v>
      </c>
      <c r="AC205" s="30">
        <v>46113.0</v>
      </c>
      <c r="AD205" s="30">
        <v>46203.0</v>
      </c>
      <c r="AE205" s="39">
        <v>3.65</v>
      </c>
      <c r="AF205" s="39">
        <v>0.0</v>
      </c>
      <c r="AG205" s="35" t="s">
        <v>7047</v>
      </c>
      <c r="AH205" s="30">
        <v>46204.0</v>
      </c>
      <c r="AI205" s="30">
        <v>46295.0</v>
      </c>
      <c r="AJ205" s="39">
        <v>0.0</v>
      </c>
      <c r="AK205" s="39">
        <v>0.0</v>
      </c>
      <c r="AL205" s="35" t="s">
        <v>7045</v>
      </c>
      <c r="AM205" s="30">
        <v>46296.0</v>
      </c>
      <c r="AN205" s="30">
        <v>46387.0</v>
      </c>
      <c r="AO205" s="39">
        <v>0.0</v>
      </c>
      <c r="AP205" s="39">
        <v>0.0</v>
      </c>
      <c r="AQ205" s="35" t="s">
        <v>7045</v>
      </c>
      <c r="AR205" s="30">
        <v>46388.0</v>
      </c>
      <c r="AS205" s="30">
        <v>46477.0</v>
      </c>
      <c r="AT205" s="39">
        <v>0.0</v>
      </c>
      <c r="AU205" s="39">
        <v>0.0</v>
      </c>
      <c r="AV205" s="35" t="s">
        <v>7045</v>
      </c>
      <c r="AW205" s="30">
        <v>46478.0</v>
      </c>
      <c r="AX205" s="30">
        <v>46568.0</v>
      </c>
      <c r="AY205" s="39">
        <v>0.0</v>
      </c>
      <c r="AZ205" s="39">
        <v>0.0</v>
      </c>
      <c r="BA205" s="35" t="s">
        <v>7045</v>
      </c>
      <c r="BB205" s="30">
        <v>46569.0</v>
      </c>
      <c r="BC205" s="30">
        <v>46660.0</v>
      </c>
      <c r="BD205" s="39">
        <v>0.0</v>
      </c>
      <c r="BE205" s="39">
        <v>0.0</v>
      </c>
      <c r="BF205" s="35" t="s">
        <v>7045</v>
      </c>
      <c r="BG205" s="30">
        <v>46661.0</v>
      </c>
      <c r="BH205" s="30">
        <v>46752.0</v>
      </c>
      <c r="BI205" s="39">
        <v>0.0</v>
      </c>
      <c r="BJ205" s="39">
        <v>0.0</v>
      </c>
      <c r="BK205" s="35" t="s">
        <v>7045</v>
      </c>
      <c r="BL205" s="30">
        <v>46753.0</v>
      </c>
      <c r="BM205" s="30">
        <v>46843.0</v>
      </c>
      <c r="BN205" s="39">
        <v>0.0</v>
      </c>
      <c r="BO205" s="39">
        <v>0.0</v>
      </c>
      <c r="BP205" s="35" t="s">
        <v>7045</v>
      </c>
      <c r="BQ205" s="30">
        <v>46844.0</v>
      </c>
      <c r="BR205" s="30">
        <v>46934.0</v>
      </c>
      <c r="BS205" s="39">
        <v>0.0</v>
      </c>
      <c r="BT205" s="39">
        <v>0.0</v>
      </c>
      <c r="BU205" s="35" t="s">
        <v>7045</v>
      </c>
      <c r="BV205" s="30">
        <v>46935.0</v>
      </c>
      <c r="BW205" s="30">
        <v>47026.0</v>
      </c>
      <c r="BX205" s="39">
        <v>0.0</v>
      </c>
      <c r="BY205" s="39">
        <v>0.0</v>
      </c>
      <c r="BZ205" s="35" t="s">
        <v>7045</v>
      </c>
      <c r="CA205" s="30">
        <v>47027.0</v>
      </c>
      <c r="CB205" s="30">
        <v>47118.0</v>
      </c>
      <c r="CC205" s="39">
        <v>0.0</v>
      </c>
      <c r="CD205" s="39">
        <v>0.0</v>
      </c>
      <c r="CE205" s="35" t="s">
        <v>7045</v>
      </c>
      <c r="CF205" s="30">
        <v>47119.0</v>
      </c>
      <c r="CG205" s="30">
        <v>47208.0</v>
      </c>
      <c r="CH205" s="39">
        <v>0.0</v>
      </c>
      <c r="CI205" s="39">
        <v>0.0</v>
      </c>
      <c r="CJ205" s="35" t="s">
        <v>7045</v>
      </c>
      <c r="CK205" s="30">
        <v>47209.0</v>
      </c>
      <c r="CL205" s="30">
        <v>47299.0</v>
      </c>
      <c r="CM205" s="39">
        <v>0.0</v>
      </c>
      <c r="CN205" s="39">
        <v>0.0</v>
      </c>
      <c r="CO205" s="35" t="s">
        <v>7045</v>
      </c>
      <c r="CP205" s="30">
        <v>47300.0</v>
      </c>
      <c r="CQ205" s="30">
        <v>47391.0</v>
      </c>
      <c r="CR205" s="39">
        <v>0.0</v>
      </c>
      <c r="CS205" s="39">
        <v>0.0</v>
      </c>
      <c r="CT205" s="35" t="s">
        <v>7045</v>
      </c>
      <c r="CU205" s="30">
        <v>47392.0</v>
      </c>
      <c r="CV205" s="30">
        <v>47483.0</v>
      </c>
      <c r="CW205" s="39">
        <v>0.0</v>
      </c>
      <c r="CX205" s="39">
        <v>0.0</v>
      </c>
      <c r="CY205" s="35" t="s">
        <v>7045</v>
      </c>
      <c r="CZ205" s="30">
        <v>47484.0</v>
      </c>
      <c r="DA205" s="30">
        <v>47573.0</v>
      </c>
      <c r="DB205" s="39">
        <v>0.0</v>
      </c>
      <c r="DC205" s="39">
        <v>0.0</v>
      </c>
      <c r="DD205" s="35" t="s">
        <v>7045</v>
      </c>
      <c r="DE205" s="30">
        <v>47574.0</v>
      </c>
      <c r="DF205" s="30">
        <v>47664.0</v>
      </c>
      <c r="DG205" s="39">
        <v>0.0</v>
      </c>
      <c r="DH205" s="39">
        <v>0.0</v>
      </c>
      <c r="DI205" s="35" t="s">
        <v>7045</v>
      </c>
      <c r="DJ205" s="30">
        <v>47665.0</v>
      </c>
      <c r="DK205" s="30">
        <v>47756.0</v>
      </c>
      <c r="DL205" s="39">
        <v>0.0</v>
      </c>
      <c r="DM205" s="39">
        <v>0.0</v>
      </c>
      <c r="DN205" s="35" t="s">
        <v>7045</v>
      </c>
      <c r="DO205" s="30">
        <v>47757.0</v>
      </c>
      <c r="DP205" s="30">
        <v>47848.0</v>
      </c>
      <c r="DQ205" s="39">
        <v>0.0</v>
      </c>
      <c r="DR205" s="39">
        <v>0.0</v>
      </c>
      <c r="DS205" s="35" t="s">
        <v>7045</v>
      </c>
    </row>
    <row r="206" ht="14.25" customHeight="1">
      <c r="A206" s="28" t="s">
        <v>2317</v>
      </c>
      <c r="B206" s="29" t="s">
        <v>2318</v>
      </c>
      <c r="C206" s="29" t="s">
        <v>7041</v>
      </c>
      <c r="D206" s="30">
        <v>45658.0</v>
      </c>
      <c r="E206" s="30">
        <v>45747.0</v>
      </c>
      <c r="F206" s="39">
        <v>8.28</v>
      </c>
      <c r="G206" s="39">
        <v>0.0</v>
      </c>
      <c r="H206" s="38" t="s">
        <v>7047</v>
      </c>
      <c r="I206" s="30">
        <v>45748.0</v>
      </c>
      <c r="J206" s="30">
        <v>45838.0</v>
      </c>
      <c r="K206" s="39">
        <v>3.93</v>
      </c>
      <c r="L206" s="39">
        <v>122.97</v>
      </c>
      <c r="M206" s="38" t="s">
        <v>7043</v>
      </c>
      <c r="N206" s="30">
        <v>45839.0</v>
      </c>
      <c r="O206" s="30">
        <v>45930.0</v>
      </c>
      <c r="P206" s="39">
        <v>145.31</v>
      </c>
      <c r="Q206" s="39">
        <v>193.24</v>
      </c>
      <c r="R206" s="38" t="s">
        <v>7047</v>
      </c>
      <c r="S206" s="30">
        <v>45931.0</v>
      </c>
      <c r="T206" s="30">
        <v>46022.0</v>
      </c>
      <c r="U206" s="39">
        <v>119.0</v>
      </c>
      <c r="V206" s="39">
        <v>195.95</v>
      </c>
      <c r="W206" s="38" t="s">
        <v>7047</v>
      </c>
      <c r="X206" s="30">
        <v>46023.0</v>
      </c>
      <c r="Y206" s="30">
        <v>46112.0</v>
      </c>
      <c r="Z206" s="39">
        <v>20.0</v>
      </c>
      <c r="AA206" s="39">
        <v>0.0</v>
      </c>
      <c r="AB206" s="35" t="s">
        <v>7047</v>
      </c>
      <c r="AC206" s="30">
        <v>46113.0</v>
      </c>
      <c r="AD206" s="30">
        <v>46203.0</v>
      </c>
      <c r="AE206" s="39">
        <v>20.0</v>
      </c>
      <c r="AF206" s="39">
        <v>0.0</v>
      </c>
      <c r="AG206" s="35" t="s">
        <v>7047</v>
      </c>
      <c r="AH206" s="30">
        <v>46204.0</v>
      </c>
      <c r="AI206" s="30">
        <v>46295.0</v>
      </c>
      <c r="AJ206" s="39">
        <v>0.0</v>
      </c>
      <c r="AK206" s="39">
        <v>0.0</v>
      </c>
      <c r="AL206" s="35" t="s">
        <v>7045</v>
      </c>
      <c r="AM206" s="30">
        <v>46296.0</v>
      </c>
      <c r="AN206" s="30">
        <v>46387.0</v>
      </c>
      <c r="AO206" s="39">
        <v>0.0</v>
      </c>
      <c r="AP206" s="39">
        <v>0.0</v>
      </c>
      <c r="AQ206" s="35" t="s">
        <v>7045</v>
      </c>
      <c r="AR206" s="30">
        <v>46388.0</v>
      </c>
      <c r="AS206" s="30">
        <v>46477.0</v>
      </c>
      <c r="AT206" s="39">
        <v>0.0</v>
      </c>
      <c r="AU206" s="39">
        <v>0.0</v>
      </c>
      <c r="AV206" s="35" t="s">
        <v>7045</v>
      </c>
      <c r="AW206" s="30">
        <v>46478.0</v>
      </c>
      <c r="AX206" s="30">
        <v>46568.0</v>
      </c>
      <c r="AY206" s="39">
        <v>0.0</v>
      </c>
      <c r="AZ206" s="39">
        <v>0.0</v>
      </c>
      <c r="BA206" s="35" t="s">
        <v>7045</v>
      </c>
      <c r="BB206" s="30">
        <v>46569.0</v>
      </c>
      <c r="BC206" s="30">
        <v>46660.0</v>
      </c>
      <c r="BD206" s="39">
        <v>0.0</v>
      </c>
      <c r="BE206" s="39">
        <v>0.0</v>
      </c>
      <c r="BF206" s="35" t="s">
        <v>7045</v>
      </c>
      <c r="BG206" s="30">
        <v>46661.0</v>
      </c>
      <c r="BH206" s="30">
        <v>46752.0</v>
      </c>
      <c r="BI206" s="39">
        <v>0.0</v>
      </c>
      <c r="BJ206" s="39">
        <v>0.0</v>
      </c>
      <c r="BK206" s="35" t="s">
        <v>7045</v>
      </c>
      <c r="BL206" s="30">
        <v>46753.0</v>
      </c>
      <c r="BM206" s="30">
        <v>46843.0</v>
      </c>
      <c r="BN206" s="39">
        <v>0.0</v>
      </c>
      <c r="BO206" s="39">
        <v>0.0</v>
      </c>
      <c r="BP206" s="35" t="s">
        <v>7045</v>
      </c>
      <c r="BQ206" s="30">
        <v>46844.0</v>
      </c>
      <c r="BR206" s="30">
        <v>46934.0</v>
      </c>
      <c r="BS206" s="39">
        <v>0.0</v>
      </c>
      <c r="BT206" s="39">
        <v>0.0</v>
      </c>
      <c r="BU206" s="35" t="s">
        <v>7045</v>
      </c>
      <c r="BV206" s="30">
        <v>46935.0</v>
      </c>
      <c r="BW206" s="30">
        <v>47026.0</v>
      </c>
      <c r="BX206" s="39">
        <v>0.0</v>
      </c>
      <c r="BY206" s="39">
        <v>0.0</v>
      </c>
      <c r="BZ206" s="35" t="s">
        <v>7045</v>
      </c>
      <c r="CA206" s="30">
        <v>47027.0</v>
      </c>
      <c r="CB206" s="30">
        <v>47118.0</v>
      </c>
      <c r="CC206" s="39">
        <v>0.0</v>
      </c>
      <c r="CD206" s="39">
        <v>0.0</v>
      </c>
      <c r="CE206" s="35" t="s">
        <v>7045</v>
      </c>
      <c r="CF206" s="30">
        <v>47119.0</v>
      </c>
      <c r="CG206" s="30">
        <v>47208.0</v>
      </c>
      <c r="CH206" s="39">
        <v>0.0</v>
      </c>
      <c r="CI206" s="39">
        <v>0.0</v>
      </c>
      <c r="CJ206" s="35" t="s">
        <v>7045</v>
      </c>
      <c r="CK206" s="30">
        <v>47209.0</v>
      </c>
      <c r="CL206" s="30">
        <v>47299.0</v>
      </c>
      <c r="CM206" s="39">
        <v>0.0</v>
      </c>
      <c r="CN206" s="39">
        <v>0.0</v>
      </c>
      <c r="CO206" s="35" t="s">
        <v>7045</v>
      </c>
      <c r="CP206" s="30">
        <v>47300.0</v>
      </c>
      <c r="CQ206" s="30">
        <v>47391.0</v>
      </c>
      <c r="CR206" s="39">
        <v>0.0</v>
      </c>
      <c r="CS206" s="39">
        <v>0.0</v>
      </c>
      <c r="CT206" s="35" t="s">
        <v>7045</v>
      </c>
      <c r="CU206" s="30">
        <v>47392.0</v>
      </c>
      <c r="CV206" s="30">
        <v>47483.0</v>
      </c>
      <c r="CW206" s="39">
        <v>0.0</v>
      </c>
      <c r="CX206" s="39">
        <v>0.0</v>
      </c>
      <c r="CY206" s="35" t="s">
        <v>7045</v>
      </c>
      <c r="CZ206" s="30">
        <v>47484.0</v>
      </c>
      <c r="DA206" s="30">
        <v>47573.0</v>
      </c>
      <c r="DB206" s="39">
        <v>0.0</v>
      </c>
      <c r="DC206" s="39">
        <v>0.0</v>
      </c>
      <c r="DD206" s="35" t="s">
        <v>7045</v>
      </c>
      <c r="DE206" s="30">
        <v>47574.0</v>
      </c>
      <c r="DF206" s="30">
        <v>47664.0</v>
      </c>
      <c r="DG206" s="39">
        <v>0.0</v>
      </c>
      <c r="DH206" s="39">
        <v>0.0</v>
      </c>
      <c r="DI206" s="35" t="s">
        <v>7045</v>
      </c>
      <c r="DJ206" s="30">
        <v>47665.0</v>
      </c>
      <c r="DK206" s="30">
        <v>47756.0</v>
      </c>
      <c r="DL206" s="39">
        <v>0.0</v>
      </c>
      <c r="DM206" s="39">
        <v>0.0</v>
      </c>
      <c r="DN206" s="35" t="s">
        <v>7045</v>
      </c>
      <c r="DO206" s="30">
        <v>47757.0</v>
      </c>
      <c r="DP206" s="30">
        <v>47848.0</v>
      </c>
      <c r="DQ206" s="39">
        <v>0.0</v>
      </c>
      <c r="DR206" s="39">
        <v>0.0</v>
      </c>
      <c r="DS206" s="35" t="s">
        <v>7045</v>
      </c>
    </row>
    <row r="207" ht="14.25" customHeight="1">
      <c r="A207" s="28" t="s">
        <v>5619</v>
      </c>
      <c r="B207" s="29" t="s">
        <v>5620</v>
      </c>
      <c r="C207" s="29" t="s">
        <v>7041</v>
      </c>
      <c r="D207" s="30">
        <v>45658.0</v>
      </c>
      <c r="E207" s="30">
        <v>45747.0</v>
      </c>
      <c r="F207" s="39">
        <v>4.04</v>
      </c>
      <c r="G207" s="39">
        <v>0.0</v>
      </c>
      <c r="H207" s="38" t="s">
        <v>7047</v>
      </c>
      <c r="I207" s="30">
        <v>45748.0</v>
      </c>
      <c r="J207" s="30">
        <v>45838.0</v>
      </c>
      <c r="K207" s="39">
        <v>7.26</v>
      </c>
      <c r="L207" s="39">
        <v>250.0</v>
      </c>
      <c r="M207" s="37" t="s">
        <v>7043</v>
      </c>
      <c r="N207" s="30">
        <v>45839.0</v>
      </c>
      <c r="O207" s="30">
        <v>45930.0</v>
      </c>
      <c r="P207" s="39">
        <v>123.88</v>
      </c>
      <c r="Q207" s="39">
        <v>347.22</v>
      </c>
      <c r="R207" s="38" t="s">
        <v>7047</v>
      </c>
      <c r="S207" s="30">
        <v>45931.0</v>
      </c>
      <c r="T207" s="30">
        <v>46022.0</v>
      </c>
      <c r="U207" s="39">
        <v>578.0</v>
      </c>
      <c r="V207" s="39">
        <v>361.11</v>
      </c>
      <c r="W207" s="38" t="s">
        <v>7047</v>
      </c>
      <c r="X207" s="30">
        <v>46023.0</v>
      </c>
      <c r="Y207" s="30">
        <v>46112.0</v>
      </c>
      <c r="Z207" s="39">
        <v>0.0</v>
      </c>
      <c r="AA207" s="39">
        <v>0.0</v>
      </c>
      <c r="AB207" s="35" t="s">
        <v>7045</v>
      </c>
      <c r="AC207" s="30">
        <v>46113.0</v>
      </c>
      <c r="AD207" s="30">
        <v>46203.0</v>
      </c>
      <c r="AE207" s="39">
        <v>152.57</v>
      </c>
      <c r="AF207" s="39">
        <v>0.0</v>
      </c>
      <c r="AG207" s="38" t="s">
        <v>7047</v>
      </c>
      <c r="AH207" s="30">
        <v>46204.0</v>
      </c>
      <c r="AI207" s="30">
        <v>46295.0</v>
      </c>
      <c r="AJ207" s="39">
        <v>0.0</v>
      </c>
      <c r="AK207" s="39">
        <v>0.0</v>
      </c>
      <c r="AL207" s="35" t="s">
        <v>7045</v>
      </c>
      <c r="AM207" s="30">
        <v>46296.0</v>
      </c>
      <c r="AN207" s="30">
        <v>46387.0</v>
      </c>
      <c r="AO207" s="39">
        <v>0.0</v>
      </c>
      <c r="AP207" s="39">
        <v>0.0</v>
      </c>
      <c r="AQ207" s="35" t="s">
        <v>7045</v>
      </c>
      <c r="AR207" s="30">
        <v>46388.0</v>
      </c>
      <c r="AS207" s="30">
        <v>46477.0</v>
      </c>
      <c r="AT207" s="39">
        <v>0.0</v>
      </c>
      <c r="AU207" s="39">
        <v>0.0</v>
      </c>
      <c r="AV207" s="35" t="s">
        <v>7045</v>
      </c>
      <c r="AW207" s="30">
        <v>46478.0</v>
      </c>
      <c r="AX207" s="30">
        <v>46568.0</v>
      </c>
      <c r="AY207" s="39">
        <v>0.0</v>
      </c>
      <c r="AZ207" s="39">
        <v>0.0</v>
      </c>
      <c r="BA207" s="35" t="s">
        <v>7045</v>
      </c>
      <c r="BB207" s="30">
        <v>46569.0</v>
      </c>
      <c r="BC207" s="30">
        <v>46660.0</v>
      </c>
      <c r="BD207" s="39">
        <v>0.0</v>
      </c>
      <c r="BE207" s="39">
        <v>0.0</v>
      </c>
      <c r="BF207" s="35" t="s">
        <v>7045</v>
      </c>
      <c r="BG207" s="30">
        <v>46661.0</v>
      </c>
      <c r="BH207" s="30">
        <v>46752.0</v>
      </c>
      <c r="BI207" s="39">
        <v>0.0</v>
      </c>
      <c r="BJ207" s="39">
        <v>0.0</v>
      </c>
      <c r="BK207" s="35" t="s">
        <v>7045</v>
      </c>
      <c r="BL207" s="30">
        <v>46753.0</v>
      </c>
      <c r="BM207" s="30">
        <v>46843.0</v>
      </c>
      <c r="BN207" s="39">
        <v>0.0</v>
      </c>
      <c r="BO207" s="39">
        <v>0.0</v>
      </c>
      <c r="BP207" s="35" t="s">
        <v>7045</v>
      </c>
      <c r="BQ207" s="30">
        <v>46844.0</v>
      </c>
      <c r="BR207" s="30">
        <v>46934.0</v>
      </c>
      <c r="BS207" s="39">
        <v>0.0</v>
      </c>
      <c r="BT207" s="39">
        <v>0.0</v>
      </c>
      <c r="BU207" s="35" t="s">
        <v>7045</v>
      </c>
      <c r="BV207" s="30">
        <v>46935.0</v>
      </c>
      <c r="BW207" s="30">
        <v>47026.0</v>
      </c>
      <c r="BX207" s="39">
        <v>0.0</v>
      </c>
      <c r="BY207" s="39">
        <v>0.0</v>
      </c>
      <c r="BZ207" s="35" t="s">
        <v>7045</v>
      </c>
      <c r="CA207" s="30">
        <v>47027.0</v>
      </c>
      <c r="CB207" s="30">
        <v>47118.0</v>
      </c>
      <c r="CC207" s="39">
        <v>0.0</v>
      </c>
      <c r="CD207" s="39">
        <v>0.0</v>
      </c>
      <c r="CE207" s="35" t="s">
        <v>7045</v>
      </c>
      <c r="CF207" s="30">
        <v>47119.0</v>
      </c>
      <c r="CG207" s="30">
        <v>47208.0</v>
      </c>
      <c r="CH207" s="39">
        <v>0.0</v>
      </c>
      <c r="CI207" s="39">
        <v>0.0</v>
      </c>
      <c r="CJ207" s="35" t="s">
        <v>7045</v>
      </c>
      <c r="CK207" s="30">
        <v>47209.0</v>
      </c>
      <c r="CL207" s="30">
        <v>47299.0</v>
      </c>
      <c r="CM207" s="39">
        <v>0.0</v>
      </c>
      <c r="CN207" s="39">
        <v>0.0</v>
      </c>
      <c r="CO207" s="35" t="s">
        <v>7045</v>
      </c>
      <c r="CP207" s="30">
        <v>47300.0</v>
      </c>
      <c r="CQ207" s="30">
        <v>47391.0</v>
      </c>
      <c r="CR207" s="39">
        <v>0.0</v>
      </c>
      <c r="CS207" s="39">
        <v>0.0</v>
      </c>
      <c r="CT207" s="35" t="s">
        <v>7045</v>
      </c>
      <c r="CU207" s="30">
        <v>47392.0</v>
      </c>
      <c r="CV207" s="30">
        <v>47483.0</v>
      </c>
      <c r="CW207" s="39">
        <v>0.0</v>
      </c>
      <c r="CX207" s="39">
        <v>0.0</v>
      </c>
      <c r="CY207" s="35" t="s">
        <v>7045</v>
      </c>
      <c r="CZ207" s="30">
        <v>47484.0</v>
      </c>
      <c r="DA207" s="30">
        <v>47573.0</v>
      </c>
      <c r="DB207" s="39">
        <v>0.0</v>
      </c>
      <c r="DC207" s="39">
        <v>0.0</v>
      </c>
      <c r="DD207" s="35" t="s">
        <v>7045</v>
      </c>
      <c r="DE207" s="30">
        <v>47574.0</v>
      </c>
      <c r="DF207" s="30">
        <v>47664.0</v>
      </c>
      <c r="DG207" s="39">
        <v>0.0</v>
      </c>
      <c r="DH207" s="39">
        <v>0.0</v>
      </c>
      <c r="DI207" s="35" t="s">
        <v>7045</v>
      </c>
      <c r="DJ207" s="30">
        <v>47665.0</v>
      </c>
      <c r="DK207" s="30">
        <v>47756.0</v>
      </c>
      <c r="DL207" s="39">
        <v>0.0</v>
      </c>
      <c r="DM207" s="39">
        <v>0.0</v>
      </c>
      <c r="DN207" s="35" t="s">
        <v>7045</v>
      </c>
      <c r="DO207" s="30">
        <v>47757.0</v>
      </c>
      <c r="DP207" s="30">
        <v>47848.0</v>
      </c>
      <c r="DQ207" s="39">
        <v>0.0</v>
      </c>
      <c r="DR207" s="39">
        <v>0.0</v>
      </c>
      <c r="DS207" s="35" t="s">
        <v>7045</v>
      </c>
    </row>
    <row r="208" ht="14.25" customHeight="1">
      <c r="A208" s="28" t="s">
        <v>3904</v>
      </c>
      <c r="B208" s="29" t="s">
        <v>3905</v>
      </c>
      <c r="C208" s="29" t="s">
        <v>7041</v>
      </c>
      <c r="D208" s="30">
        <v>45658.0</v>
      </c>
      <c r="E208" s="30">
        <v>45747.0</v>
      </c>
      <c r="F208" s="39">
        <v>44.04</v>
      </c>
      <c r="G208" s="39">
        <v>0.0</v>
      </c>
      <c r="H208" s="38" t="s">
        <v>7047</v>
      </c>
      <c r="I208" s="30">
        <v>45748.0</v>
      </c>
      <c r="J208" s="30">
        <v>45838.0</v>
      </c>
      <c r="K208" s="39">
        <v>25.0</v>
      </c>
      <c r="L208" s="39">
        <v>269.66</v>
      </c>
      <c r="M208" s="37" t="s">
        <v>7043</v>
      </c>
      <c r="N208" s="30">
        <v>45839.0</v>
      </c>
      <c r="O208" s="30">
        <v>45930.0</v>
      </c>
      <c r="P208" s="39">
        <v>163.81</v>
      </c>
      <c r="Q208" s="39">
        <v>404.49</v>
      </c>
      <c r="R208" s="38" t="s">
        <v>7047</v>
      </c>
      <c r="S208" s="30">
        <v>45931.0</v>
      </c>
      <c r="T208" s="30">
        <v>46022.0</v>
      </c>
      <c r="U208" s="39">
        <v>368.0</v>
      </c>
      <c r="V208" s="39">
        <v>404.49</v>
      </c>
      <c r="W208" s="38" t="s">
        <v>7047</v>
      </c>
      <c r="X208" s="30">
        <v>46023.0</v>
      </c>
      <c r="Y208" s="30">
        <v>46112.0</v>
      </c>
      <c r="Z208" s="39">
        <v>65.0</v>
      </c>
      <c r="AA208" s="39">
        <v>0.0</v>
      </c>
      <c r="AB208" s="38" t="s">
        <v>7047</v>
      </c>
      <c r="AC208" s="30">
        <v>46113.0</v>
      </c>
      <c r="AD208" s="30">
        <v>46203.0</v>
      </c>
      <c r="AE208" s="39">
        <v>35.0</v>
      </c>
      <c r="AF208" s="39">
        <v>0.0</v>
      </c>
      <c r="AG208" s="35" t="s">
        <v>7047</v>
      </c>
      <c r="AH208" s="30">
        <v>46204.0</v>
      </c>
      <c r="AI208" s="30">
        <v>46295.0</v>
      </c>
      <c r="AJ208" s="39">
        <v>25.0</v>
      </c>
      <c r="AK208" s="39">
        <v>0.0</v>
      </c>
      <c r="AL208" s="35" t="s">
        <v>7047</v>
      </c>
      <c r="AM208" s="30">
        <v>46296.0</v>
      </c>
      <c r="AN208" s="30">
        <v>46387.0</v>
      </c>
      <c r="AO208" s="39">
        <v>25.0</v>
      </c>
      <c r="AP208" s="39">
        <v>0.0</v>
      </c>
      <c r="AQ208" s="35" t="s">
        <v>7047</v>
      </c>
      <c r="AR208" s="30">
        <v>46388.0</v>
      </c>
      <c r="AS208" s="30">
        <v>46477.0</v>
      </c>
      <c r="AT208" s="39">
        <v>0.0</v>
      </c>
      <c r="AU208" s="39">
        <v>0.0</v>
      </c>
      <c r="AV208" s="35" t="s">
        <v>7045</v>
      </c>
      <c r="AW208" s="30">
        <v>46478.0</v>
      </c>
      <c r="AX208" s="30">
        <v>46568.0</v>
      </c>
      <c r="AY208" s="39">
        <v>0.0</v>
      </c>
      <c r="AZ208" s="39">
        <v>0.0</v>
      </c>
      <c r="BA208" s="35" t="s">
        <v>7045</v>
      </c>
      <c r="BB208" s="30">
        <v>46569.0</v>
      </c>
      <c r="BC208" s="30">
        <v>46660.0</v>
      </c>
      <c r="BD208" s="39">
        <v>0.0</v>
      </c>
      <c r="BE208" s="39">
        <v>0.0</v>
      </c>
      <c r="BF208" s="35" t="s">
        <v>7045</v>
      </c>
      <c r="BG208" s="30">
        <v>46661.0</v>
      </c>
      <c r="BH208" s="30">
        <v>46752.0</v>
      </c>
      <c r="BI208" s="39">
        <v>0.0</v>
      </c>
      <c r="BJ208" s="39">
        <v>0.0</v>
      </c>
      <c r="BK208" s="35" t="s">
        <v>7045</v>
      </c>
      <c r="BL208" s="30">
        <v>46753.0</v>
      </c>
      <c r="BM208" s="30">
        <v>46843.0</v>
      </c>
      <c r="BN208" s="39">
        <v>0.0</v>
      </c>
      <c r="BO208" s="39">
        <v>0.0</v>
      </c>
      <c r="BP208" s="35" t="s">
        <v>7045</v>
      </c>
      <c r="BQ208" s="30">
        <v>46844.0</v>
      </c>
      <c r="BR208" s="30">
        <v>46934.0</v>
      </c>
      <c r="BS208" s="39">
        <v>0.0</v>
      </c>
      <c r="BT208" s="39">
        <v>0.0</v>
      </c>
      <c r="BU208" s="35" t="s">
        <v>7045</v>
      </c>
      <c r="BV208" s="30">
        <v>46935.0</v>
      </c>
      <c r="BW208" s="30">
        <v>47026.0</v>
      </c>
      <c r="BX208" s="39">
        <v>0.0</v>
      </c>
      <c r="BY208" s="39">
        <v>0.0</v>
      </c>
      <c r="BZ208" s="35" t="s">
        <v>7045</v>
      </c>
      <c r="CA208" s="30">
        <v>47027.0</v>
      </c>
      <c r="CB208" s="30">
        <v>47118.0</v>
      </c>
      <c r="CC208" s="39">
        <v>0.0</v>
      </c>
      <c r="CD208" s="39">
        <v>0.0</v>
      </c>
      <c r="CE208" s="35" t="s">
        <v>7045</v>
      </c>
      <c r="CF208" s="30">
        <v>47119.0</v>
      </c>
      <c r="CG208" s="30">
        <v>47208.0</v>
      </c>
      <c r="CH208" s="39">
        <v>0.0</v>
      </c>
      <c r="CI208" s="39">
        <v>0.0</v>
      </c>
      <c r="CJ208" s="35" t="s">
        <v>7045</v>
      </c>
      <c r="CK208" s="30">
        <v>47209.0</v>
      </c>
      <c r="CL208" s="30">
        <v>47299.0</v>
      </c>
      <c r="CM208" s="39">
        <v>0.0</v>
      </c>
      <c r="CN208" s="39">
        <v>0.0</v>
      </c>
      <c r="CO208" s="35" t="s">
        <v>7045</v>
      </c>
      <c r="CP208" s="30">
        <v>47300.0</v>
      </c>
      <c r="CQ208" s="30">
        <v>47391.0</v>
      </c>
      <c r="CR208" s="39">
        <v>0.0</v>
      </c>
      <c r="CS208" s="39">
        <v>0.0</v>
      </c>
      <c r="CT208" s="35" t="s">
        <v>7045</v>
      </c>
      <c r="CU208" s="30">
        <v>47392.0</v>
      </c>
      <c r="CV208" s="30">
        <v>47483.0</v>
      </c>
      <c r="CW208" s="39">
        <v>0.0</v>
      </c>
      <c r="CX208" s="39">
        <v>0.0</v>
      </c>
      <c r="CY208" s="35" t="s">
        <v>7045</v>
      </c>
      <c r="CZ208" s="30">
        <v>47484.0</v>
      </c>
      <c r="DA208" s="30">
        <v>47573.0</v>
      </c>
      <c r="DB208" s="39">
        <v>0.0</v>
      </c>
      <c r="DC208" s="39">
        <v>0.0</v>
      </c>
      <c r="DD208" s="35" t="s">
        <v>7045</v>
      </c>
      <c r="DE208" s="30">
        <v>47574.0</v>
      </c>
      <c r="DF208" s="30">
        <v>47664.0</v>
      </c>
      <c r="DG208" s="39">
        <v>0.0</v>
      </c>
      <c r="DH208" s="39">
        <v>0.0</v>
      </c>
      <c r="DI208" s="35" t="s">
        <v>7045</v>
      </c>
      <c r="DJ208" s="30">
        <v>47665.0</v>
      </c>
      <c r="DK208" s="30">
        <v>47756.0</v>
      </c>
      <c r="DL208" s="39">
        <v>0.0</v>
      </c>
      <c r="DM208" s="39">
        <v>0.0</v>
      </c>
      <c r="DN208" s="35" t="s">
        <v>7045</v>
      </c>
      <c r="DO208" s="30">
        <v>47757.0</v>
      </c>
      <c r="DP208" s="30">
        <v>47848.0</v>
      </c>
      <c r="DQ208" s="39">
        <v>0.0</v>
      </c>
      <c r="DR208" s="39">
        <v>0.0</v>
      </c>
      <c r="DS208" s="35" t="s">
        <v>7045</v>
      </c>
    </row>
    <row r="209" ht="14.25" customHeight="1">
      <c r="A209" s="28" t="s">
        <v>6620</v>
      </c>
      <c r="B209" s="29" t="s">
        <v>6621</v>
      </c>
      <c r="C209" s="29" t="s">
        <v>7041</v>
      </c>
      <c r="D209" s="30">
        <v>45658.0</v>
      </c>
      <c r="E209" s="30">
        <v>45747.0</v>
      </c>
      <c r="F209" s="39">
        <v>46.9</v>
      </c>
      <c r="G209" s="39">
        <v>0.0</v>
      </c>
      <c r="H209" s="38" t="s">
        <v>7047</v>
      </c>
      <c r="I209" s="30">
        <v>45748.0</v>
      </c>
      <c r="J209" s="30">
        <v>45838.0</v>
      </c>
      <c r="K209" s="39">
        <v>0.66</v>
      </c>
      <c r="L209" s="39">
        <v>122.45</v>
      </c>
      <c r="M209" s="37" t="s">
        <v>7043</v>
      </c>
      <c r="N209" s="30">
        <v>45839.0</v>
      </c>
      <c r="O209" s="30">
        <v>45930.0</v>
      </c>
      <c r="P209" s="39">
        <v>91.5</v>
      </c>
      <c r="Q209" s="39">
        <v>183.67</v>
      </c>
      <c r="R209" s="38" t="s">
        <v>7047</v>
      </c>
      <c r="S209" s="30">
        <v>45931.0</v>
      </c>
      <c r="T209" s="30">
        <v>46022.0</v>
      </c>
      <c r="U209" s="39">
        <v>163.0</v>
      </c>
      <c r="V209" s="39">
        <v>183.67</v>
      </c>
      <c r="W209" s="38" t="s">
        <v>7047</v>
      </c>
      <c r="X209" s="30">
        <v>46023.0</v>
      </c>
      <c r="Y209" s="30">
        <v>46112.0</v>
      </c>
      <c r="Z209" s="39">
        <v>5.0</v>
      </c>
      <c r="AA209" s="39">
        <v>0.0</v>
      </c>
      <c r="AB209" s="38" t="s">
        <v>7047</v>
      </c>
      <c r="AC209" s="30">
        <v>46113.0</v>
      </c>
      <c r="AD209" s="30">
        <v>46203.0</v>
      </c>
      <c r="AE209" s="39">
        <v>0.0</v>
      </c>
      <c r="AF209" s="39">
        <v>0.0</v>
      </c>
      <c r="AG209" s="35" t="s">
        <v>7045</v>
      </c>
      <c r="AH209" s="30">
        <v>46204.0</v>
      </c>
      <c r="AI209" s="30">
        <v>46295.0</v>
      </c>
      <c r="AJ209" s="39">
        <v>0.0</v>
      </c>
      <c r="AK209" s="39">
        <v>0.0</v>
      </c>
      <c r="AL209" s="35" t="s">
        <v>7045</v>
      </c>
      <c r="AM209" s="30">
        <v>46296.0</v>
      </c>
      <c r="AN209" s="30">
        <v>46387.0</v>
      </c>
      <c r="AO209" s="39">
        <v>0.0</v>
      </c>
      <c r="AP209" s="39">
        <v>0.0</v>
      </c>
      <c r="AQ209" s="35" t="s">
        <v>7045</v>
      </c>
      <c r="AR209" s="30">
        <v>46388.0</v>
      </c>
      <c r="AS209" s="30">
        <v>46477.0</v>
      </c>
      <c r="AT209" s="39">
        <v>0.0</v>
      </c>
      <c r="AU209" s="39">
        <v>0.0</v>
      </c>
      <c r="AV209" s="35" t="s">
        <v>7045</v>
      </c>
      <c r="AW209" s="30">
        <v>46478.0</v>
      </c>
      <c r="AX209" s="30">
        <v>46568.0</v>
      </c>
      <c r="AY209" s="39">
        <v>0.0</v>
      </c>
      <c r="AZ209" s="39">
        <v>0.0</v>
      </c>
      <c r="BA209" s="35" t="s">
        <v>7045</v>
      </c>
      <c r="BB209" s="30">
        <v>46569.0</v>
      </c>
      <c r="BC209" s="30">
        <v>46660.0</v>
      </c>
      <c r="BD209" s="39">
        <v>0.0</v>
      </c>
      <c r="BE209" s="39">
        <v>0.0</v>
      </c>
      <c r="BF209" s="35" t="s">
        <v>7045</v>
      </c>
      <c r="BG209" s="30">
        <v>46661.0</v>
      </c>
      <c r="BH209" s="30">
        <v>46752.0</v>
      </c>
      <c r="BI209" s="39">
        <v>0.0</v>
      </c>
      <c r="BJ209" s="39">
        <v>0.0</v>
      </c>
      <c r="BK209" s="35" t="s">
        <v>7045</v>
      </c>
      <c r="BL209" s="30">
        <v>46753.0</v>
      </c>
      <c r="BM209" s="30">
        <v>46843.0</v>
      </c>
      <c r="BN209" s="39">
        <v>0.0</v>
      </c>
      <c r="BO209" s="39">
        <v>0.0</v>
      </c>
      <c r="BP209" s="35" t="s">
        <v>7045</v>
      </c>
      <c r="BQ209" s="30">
        <v>46844.0</v>
      </c>
      <c r="BR209" s="30">
        <v>46934.0</v>
      </c>
      <c r="BS209" s="39">
        <v>0.0</v>
      </c>
      <c r="BT209" s="39">
        <v>0.0</v>
      </c>
      <c r="BU209" s="35" t="s">
        <v>7045</v>
      </c>
      <c r="BV209" s="30">
        <v>46935.0</v>
      </c>
      <c r="BW209" s="30">
        <v>47026.0</v>
      </c>
      <c r="BX209" s="39">
        <v>0.0</v>
      </c>
      <c r="BY209" s="39">
        <v>0.0</v>
      </c>
      <c r="BZ209" s="35" t="s">
        <v>7045</v>
      </c>
      <c r="CA209" s="30">
        <v>47027.0</v>
      </c>
      <c r="CB209" s="30">
        <v>47118.0</v>
      </c>
      <c r="CC209" s="39">
        <v>0.0</v>
      </c>
      <c r="CD209" s="39">
        <v>0.0</v>
      </c>
      <c r="CE209" s="35" t="s">
        <v>7045</v>
      </c>
      <c r="CF209" s="30">
        <v>47119.0</v>
      </c>
      <c r="CG209" s="30">
        <v>47208.0</v>
      </c>
      <c r="CH209" s="39">
        <v>0.0</v>
      </c>
      <c r="CI209" s="39">
        <v>0.0</v>
      </c>
      <c r="CJ209" s="35" t="s">
        <v>7045</v>
      </c>
      <c r="CK209" s="30">
        <v>47209.0</v>
      </c>
      <c r="CL209" s="30">
        <v>47299.0</v>
      </c>
      <c r="CM209" s="39">
        <v>0.0</v>
      </c>
      <c r="CN209" s="39">
        <v>0.0</v>
      </c>
      <c r="CO209" s="35" t="s">
        <v>7045</v>
      </c>
      <c r="CP209" s="30">
        <v>47300.0</v>
      </c>
      <c r="CQ209" s="30">
        <v>47391.0</v>
      </c>
      <c r="CR209" s="39">
        <v>0.0</v>
      </c>
      <c r="CS209" s="39">
        <v>0.0</v>
      </c>
      <c r="CT209" s="35" t="s">
        <v>7045</v>
      </c>
      <c r="CU209" s="30">
        <v>47392.0</v>
      </c>
      <c r="CV209" s="30">
        <v>47483.0</v>
      </c>
      <c r="CW209" s="39">
        <v>0.0</v>
      </c>
      <c r="CX209" s="39">
        <v>0.0</v>
      </c>
      <c r="CY209" s="35" t="s">
        <v>7045</v>
      </c>
      <c r="CZ209" s="30">
        <v>47484.0</v>
      </c>
      <c r="DA209" s="30">
        <v>47573.0</v>
      </c>
      <c r="DB209" s="39">
        <v>0.0</v>
      </c>
      <c r="DC209" s="39">
        <v>0.0</v>
      </c>
      <c r="DD209" s="35" t="s">
        <v>7045</v>
      </c>
      <c r="DE209" s="30">
        <v>47574.0</v>
      </c>
      <c r="DF209" s="30">
        <v>47664.0</v>
      </c>
      <c r="DG209" s="39">
        <v>0.0</v>
      </c>
      <c r="DH209" s="39">
        <v>0.0</v>
      </c>
      <c r="DI209" s="35" t="s">
        <v>7045</v>
      </c>
      <c r="DJ209" s="30">
        <v>47665.0</v>
      </c>
      <c r="DK209" s="30">
        <v>47756.0</v>
      </c>
      <c r="DL209" s="39">
        <v>0.0</v>
      </c>
      <c r="DM209" s="39">
        <v>0.0</v>
      </c>
      <c r="DN209" s="35" t="s">
        <v>7045</v>
      </c>
      <c r="DO209" s="30">
        <v>47757.0</v>
      </c>
      <c r="DP209" s="30">
        <v>47848.0</v>
      </c>
      <c r="DQ209" s="39">
        <v>0.0</v>
      </c>
      <c r="DR209" s="39">
        <v>0.0</v>
      </c>
      <c r="DS209" s="35" t="s">
        <v>7045</v>
      </c>
    </row>
    <row r="210" ht="14.25" customHeight="1">
      <c r="A210" s="28" t="s">
        <v>6479</v>
      </c>
      <c r="B210" s="29" t="s">
        <v>6480</v>
      </c>
      <c r="C210" s="29" t="s">
        <v>7041</v>
      </c>
      <c r="D210" s="30">
        <v>45658.0</v>
      </c>
      <c r="E210" s="30">
        <v>45747.0</v>
      </c>
      <c r="F210" s="39">
        <v>140.0</v>
      </c>
      <c r="G210" s="39">
        <v>0.0</v>
      </c>
      <c r="H210" s="38" t="s">
        <v>7047</v>
      </c>
      <c r="I210" s="30">
        <v>45748.0</v>
      </c>
      <c r="J210" s="30">
        <v>45838.0</v>
      </c>
      <c r="K210" s="39">
        <v>5.05</v>
      </c>
      <c r="L210" s="39">
        <v>627.45</v>
      </c>
      <c r="M210" s="38" t="s">
        <v>7043</v>
      </c>
      <c r="N210" s="30">
        <v>45839.0</v>
      </c>
      <c r="O210" s="30">
        <v>45930.0</v>
      </c>
      <c r="P210" s="39">
        <v>399.43</v>
      </c>
      <c r="Q210" s="39">
        <v>941.18</v>
      </c>
      <c r="R210" s="38" t="s">
        <v>7047</v>
      </c>
      <c r="S210" s="30">
        <v>45931.0</v>
      </c>
      <c r="T210" s="30">
        <v>46022.0</v>
      </c>
      <c r="U210" s="39">
        <v>282.3</v>
      </c>
      <c r="V210" s="39">
        <v>943.14</v>
      </c>
      <c r="W210" s="38" t="s">
        <v>7047</v>
      </c>
      <c r="X210" s="30">
        <v>46023.0</v>
      </c>
      <c r="Y210" s="30">
        <v>46112.0</v>
      </c>
      <c r="Z210" s="39">
        <v>50.0</v>
      </c>
      <c r="AA210" s="39">
        <v>0.0</v>
      </c>
      <c r="AB210" s="38" t="s">
        <v>7047</v>
      </c>
      <c r="AC210" s="30">
        <v>46113.0</v>
      </c>
      <c r="AD210" s="30">
        <v>46203.0</v>
      </c>
      <c r="AE210" s="39">
        <v>0.0</v>
      </c>
      <c r="AF210" s="39">
        <v>0.0</v>
      </c>
      <c r="AG210" s="35" t="s">
        <v>7045</v>
      </c>
      <c r="AH210" s="30">
        <v>46204.0</v>
      </c>
      <c r="AI210" s="30">
        <v>46295.0</v>
      </c>
      <c r="AJ210" s="39">
        <v>0.0</v>
      </c>
      <c r="AK210" s="39">
        <v>0.0</v>
      </c>
      <c r="AL210" s="35" t="s">
        <v>7045</v>
      </c>
      <c r="AM210" s="30">
        <v>46296.0</v>
      </c>
      <c r="AN210" s="30">
        <v>46387.0</v>
      </c>
      <c r="AO210" s="39">
        <v>0.0</v>
      </c>
      <c r="AP210" s="39">
        <v>0.0</v>
      </c>
      <c r="AQ210" s="35" t="s">
        <v>7045</v>
      </c>
      <c r="AR210" s="30">
        <v>46388.0</v>
      </c>
      <c r="AS210" s="30">
        <v>46477.0</v>
      </c>
      <c r="AT210" s="39">
        <v>0.0</v>
      </c>
      <c r="AU210" s="39">
        <v>0.0</v>
      </c>
      <c r="AV210" s="35" t="s">
        <v>7045</v>
      </c>
      <c r="AW210" s="30">
        <v>46478.0</v>
      </c>
      <c r="AX210" s="30">
        <v>46568.0</v>
      </c>
      <c r="AY210" s="39">
        <v>0.0</v>
      </c>
      <c r="AZ210" s="39">
        <v>0.0</v>
      </c>
      <c r="BA210" s="35" t="s">
        <v>7045</v>
      </c>
      <c r="BB210" s="30">
        <v>46569.0</v>
      </c>
      <c r="BC210" s="30">
        <v>46660.0</v>
      </c>
      <c r="BD210" s="39">
        <v>0.0</v>
      </c>
      <c r="BE210" s="39">
        <v>0.0</v>
      </c>
      <c r="BF210" s="35" t="s">
        <v>7045</v>
      </c>
      <c r="BG210" s="30">
        <v>46661.0</v>
      </c>
      <c r="BH210" s="30">
        <v>46752.0</v>
      </c>
      <c r="BI210" s="39">
        <v>0.0</v>
      </c>
      <c r="BJ210" s="39">
        <v>0.0</v>
      </c>
      <c r="BK210" s="35" t="s">
        <v>7045</v>
      </c>
      <c r="BL210" s="30">
        <v>46753.0</v>
      </c>
      <c r="BM210" s="30">
        <v>46843.0</v>
      </c>
      <c r="BN210" s="39">
        <v>0.0</v>
      </c>
      <c r="BO210" s="39">
        <v>0.0</v>
      </c>
      <c r="BP210" s="35" t="s">
        <v>7045</v>
      </c>
      <c r="BQ210" s="30">
        <v>46844.0</v>
      </c>
      <c r="BR210" s="30">
        <v>46934.0</v>
      </c>
      <c r="BS210" s="39">
        <v>0.0</v>
      </c>
      <c r="BT210" s="39">
        <v>0.0</v>
      </c>
      <c r="BU210" s="35" t="s">
        <v>7045</v>
      </c>
      <c r="BV210" s="30">
        <v>46935.0</v>
      </c>
      <c r="BW210" s="30">
        <v>47026.0</v>
      </c>
      <c r="BX210" s="39">
        <v>0.0</v>
      </c>
      <c r="BY210" s="39">
        <v>0.0</v>
      </c>
      <c r="BZ210" s="35" t="s">
        <v>7045</v>
      </c>
      <c r="CA210" s="30">
        <v>47027.0</v>
      </c>
      <c r="CB210" s="30">
        <v>47118.0</v>
      </c>
      <c r="CC210" s="39">
        <v>0.0</v>
      </c>
      <c r="CD210" s="39">
        <v>0.0</v>
      </c>
      <c r="CE210" s="35" t="s">
        <v>7045</v>
      </c>
      <c r="CF210" s="30">
        <v>47119.0</v>
      </c>
      <c r="CG210" s="30">
        <v>47208.0</v>
      </c>
      <c r="CH210" s="39">
        <v>0.0</v>
      </c>
      <c r="CI210" s="39">
        <v>0.0</v>
      </c>
      <c r="CJ210" s="35" t="s">
        <v>7045</v>
      </c>
      <c r="CK210" s="30">
        <v>47209.0</v>
      </c>
      <c r="CL210" s="30">
        <v>47299.0</v>
      </c>
      <c r="CM210" s="39">
        <v>0.0</v>
      </c>
      <c r="CN210" s="39">
        <v>0.0</v>
      </c>
      <c r="CO210" s="35" t="s">
        <v>7045</v>
      </c>
      <c r="CP210" s="30">
        <v>47300.0</v>
      </c>
      <c r="CQ210" s="30">
        <v>47391.0</v>
      </c>
      <c r="CR210" s="39">
        <v>0.0</v>
      </c>
      <c r="CS210" s="39">
        <v>0.0</v>
      </c>
      <c r="CT210" s="35" t="s">
        <v>7045</v>
      </c>
      <c r="CU210" s="30">
        <v>47392.0</v>
      </c>
      <c r="CV210" s="30">
        <v>47483.0</v>
      </c>
      <c r="CW210" s="39">
        <v>0.0</v>
      </c>
      <c r="CX210" s="39">
        <v>0.0</v>
      </c>
      <c r="CY210" s="35" t="s">
        <v>7045</v>
      </c>
      <c r="CZ210" s="30">
        <v>47484.0</v>
      </c>
      <c r="DA210" s="30">
        <v>47573.0</v>
      </c>
      <c r="DB210" s="39">
        <v>0.0</v>
      </c>
      <c r="DC210" s="39">
        <v>0.0</v>
      </c>
      <c r="DD210" s="35" t="s">
        <v>7045</v>
      </c>
      <c r="DE210" s="30">
        <v>47574.0</v>
      </c>
      <c r="DF210" s="30">
        <v>47664.0</v>
      </c>
      <c r="DG210" s="39">
        <v>0.0</v>
      </c>
      <c r="DH210" s="39">
        <v>0.0</v>
      </c>
      <c r="DI210" s="35" t="s">
        <v>7045</v>
      </c>
      <c r="DJ210" s="30">
        <v>47665.0</v>
      </c>
      <c r="DK210" s="30">
        <v>47756.0</v>
      </c>
      <c r="DL210" s="39">
        <v>0.0</v>
      </c>
      <c r="DM210" s="39">
        <v>0.0</v>
      </c>
      <c r="DN210" s="35" t="s">
        <v>7045</v>
      </c>
      <c r="DO210" s="30">
        <v>47757.0</v>
      </c>
      <c r="DP210" s="30">
        <v>47848.0</v>
      </c>
      <c r="DQ210" s="39">
        <v>0.0</v>
      </c>
      <c r="DR210" s="39">
        <v>0.0</v>
      </c>
      <c r="DS210" s="35" t="s">
        <v>7045</v>
      </c>
    </row>
    <row r="211" ht="14.25" customHeight="1">
      <c r="A211" s="28" t="s">
        <v>3264</v>
      </c>
      <c r="B211" s="29" t="s">
        <v>3265</v>
      </c>
      <c r="C211" s="29" t="s">
        <v>7041</v>
      </c>
      <c r="D211" s="30">
        <v>45658.0</v>
      </c>
      <c r="E211" s="30">
        <v>45747.0</v>
      </c>
      <c r="F211" s="39">
        <v>10.0</v>
      </c>
      <c r="G211" s="39">
        <v>0.0</v>
      </c>
      <c r="H211" s="38" t="s">
        <v>7047</v>
      </c>
      <c r="I211" s="30">
        <v>45748.0</v>
      </c>
      <c r="J211" s="30">
        <v>45838.0</v>
      </c>
      <c r="K211" s="39">
        <v>2.5</v>
      </c>
      <c r="L211" s="39">
        <v>0.0</v>
      </c>
      <c r="M211" s="38" t="s">
        <v>7047</v>
      </c>
      <c r="N211" s="30">
        <v>45839.0</v>
      </c>
      <c r="O211" s="30">
        <v>45930.0</v>
      </c>
      <c r="P211" s="39">
        <v>5.0</v>
      </c>
      <c r="Q211" s="39">
        <v>92.8</v>
      </c>
      <c r="R211" s="38" t="s">
        <v>7047</v>
      </c>
      <c r="S211" s="30">
        <v>45931.0</v>
      </c>
      <c r="T211" s="30">
        <v>46022.0</v>
      </c>
      <c r="U211" s="39">
        <v>68.0</v>
      </c>
      <c r="V211" s="39">
        <v>93.87</v>
      </c>
      <c r="W211" s="38" t="s">
        <v>7047</v>
      </c>
      <c r="X211" s="30">
        <v>46023.0</v>
      </c>
      <c r="Y211" s="30">
        <v>46112.0</v>
      </c>
      <c r="Z211" s="39">
        <v>310.0</v>
      </c>
      <c r="AA211" s="39">
        <v>0.0</v>
      </c>
      <c r="AB211" s="38" t="s">
        <v>7047</v>
      </c>
      <c r="AC211" s="30">
        <v>46113.0</v>
      </c>
      <c r="AD211" s="30">
        <v>46203.0</v>
      </c>
      <c r="AE211" s="39">
        <v>0.0</v>
      </c>
      <c r="AF211" s="39">
        <v>0.0</v>
      </c>
      <c r="AG211" s="35" t="s">
        <v>7045</v>
      </c>
      <c r="AH211" s="30">
        <v>46204.0</v>
      </c>
      <c r="AI211" s="30">
        <v>46295.0</v>
      </c>
      <c r="AJ211" s="39">
        <v>0.0</v>
      </c>
      <c r="AK211" s="39">
        <v>0.0</v>
      </c>
      <c r="AL211" s="35" t="s">
        <v>7045</v>
      </c>
      <c r="AM211" s="30">
        <v>46296.0</v>
      </c>
      <c r="AN211" s="30">
        <v>46387.0</v>
      </c>
      <c r="AO211" s="39">
        <v>0.0</v>
      </c>
      <c r="AP211" s="39">
        <v>0.0</v>
      </c>
      <c r="AQ211" s="35" t="s">
        <v>7045</v>
      </c>
      <c r="AR211" s="30">
        <v>46388.0</v>
      </c>
      <c r="AS211" s="30">
        <v>46477.0</v>
      </c>
      <c r="AT211" s="39">
        <v>0.0</v>
      </c>
      <c r="AU211" s="39">
        <v>0.0</v>
      </c>
      <c r="AV211" s="35" t="s">
        <v>7045</v>
      </c>
      <c r="AW211" s="30">
        <v>46478.0</v>
      </c>
      <c r="AX211" s="30">
        <v>46568.0</v>
      </c>
      <c r="AY211" s="39">
        <v>0.0</v>
      </c>
      <c r="AZ211" s="39">
        <v>0.0</v>
      </c>
      <c r="BA211" s="35" t="s">
        <v>7045</v>
      </c>
      <c r="BB211" s="30">
        <v>46569.0</v>
      </c>
      <c r="BC211" s="30">
        <v>46660.0</v>
      </c>
      <c r="BD211" s="39">
        <v>0.0</v>
      </c>
      <c r="BE211" s="39">
        <v>0.0</v>
      </c>
      <c r="BF211" s="35" t="s">
        <v>7045</v>
      </c>
      <c r="BG211" s="30">
        <v>46661.0</v>
      </c>
      <c r="BH211" s="30">
        <v>46752.0</v>
      </c>
      <c r="BI211" s="39">
        <v>0.0</v>
      </c>
      <c r="BJ211" s="39">
        <v>0.0</v>
      </c>
      <c r="BK211" s="35" t="s">
        <v>7045</v>
      </c>
      <c r="BL211" s="30">
        <v>46753.0</v>
      </c>
      <c r="BM211" s="30">
        <v>46843.0</v>
      </c>
      <c r="BN211" s="39">
        <v>0.0</v>
      </c>
      <c r="BO211" s="39">
        <v>0.0</v>
      </c>
      <c r="BP211" s="35" t="s">
        <v>7045</v>
      </c>
      <c r="BQ211" s="30">
        <v>46844.0</v>
      </c>
      <c r="BR211" s="30">
        <v>46934.0</v>
      </c>
      <c r="BS211" s="39">
        <v>0.0</v>
      </c>
      <c r="BT211" s="39">
        <v>0.0</v>
      </c>
      <c r="BU211" s="35" t="s">
        <v>7045</v>
      </c>
      <c r="BV211" s="30">
        <v>46935.0</v>
      </c>
      <c r="BW211" s="30">
        <v>47026.0</v>
      </c>
      <c r="BX211" s="39">
        <v>0.0</v>
      </c>
      <c r="BY211" s="39">
        <v>0.0</v>
      </c>
      <c r="BZ211" s="35" t="s">
        <v>7045</v>
      </c>
      <c r="CA211" s="30">
        <v>47027.0</v>
      </c>
      <c r="CB211" s="30">
        <v>47118.0</v>
      </c>
      <c r="CC211" s="39">
        <v>0.0</v>
      </c>
      <c r="CD211" s="39">
        <v>0.0</v>
      </c>
      <c r="CE211" s="35" t="s">
        <v>7045</v>
      </c>
      <c r="CF211" s="30">
        <v>47119.0</v>
      </c>
      <c r="CG211" s="30">
        <v>47208.0</v>
      </c>
      <c r="CH211" s="39">
        <v>0.0</v>
      </c>
      <c r="CI211" s="39">
        <v>0.0</v>
      </c>
      <c r="CJ211" s="35" t="s">
        <v>7045</v>
      </c>
      <c r="CK211" s="30">
        <v>47209.0</v>
      </c>
      <c r="CL211" s="30">
        <v>47299.0</v>
      </c>
      <c r="CM211" s="39">
        <v>0.0</v>
      </c>
      <c r="CN211" s="39">
        <v>0.0</v>
      </c>
      <c r="CO211" s="35" t="s">
        <v>7045</v>
      </c>
      <c r="CP211" s="30">
        <v>47300.0</v>
      </c>
      <c r="CQ211" s="30">
        <v>47391.0</v>
      </c>
      <c r="CR211" s="39">
        <v>0.0</v>
      </c>
      <c r="CS211" s="39">
        <v>0.0</v>
      </c>
      <c r="CT211" s="35" t="s">
        <v>7045</v>
      </c>
      <c r="CU211" s="30">
        <v>47392.0</v>
      </c>
      <c r="CV211" s="30">
        <v>47483.0</v>
      </c>
      <c r="CW211" s="39">
        <v>0.0</v>
      </c>
      <c r="CX211" s="39">
        <v>0.0</v>
      </c>
      <c r="CY211" s="35" t="s">
        <v>7045</v>
      </c>
      <c r="CZ211" s="30">
        <v>47484.0</v>
      </c>
      <c r="DA211" s="30">
        <v>47573.0</v>
      </c>
      <c r="DB211" s="39">
        <v>0.0</v>
      </c>
      <c r="DC211" s="39">
        <v>0.0</v>
      </c>
      <c r="DD211" s="35" t="s">
        <v>7045</v>
      </c>
      <c r="DE211" s="30">
        <v>47574.0</v>
      </c>
      <c r="DF211" s="30">
        <v>47664.0</v>
      </c>
      <c r="DG211" s="39">
        <v>0.0</v>
      </c>
      <c r="DH211" s="39">
        <v>0.0</v>
      </c>
      <c r="DI211" s="35" t="s">
        <v>7045</v>
      </c>
      <c r="DJ211" s="30">
        <v>47665.0</v>
      </c>
      <c r="DK211" s="30">
        <v>47756.0</v>
      </c>
      <c r="DL211" s="39">
        <v>0.0</v>
      </c>
      <c r="DM211" s="39">
        <v>0.0</v>
      </c>
      <c r="DN211" s="35" t="s">
        <v>7045</v>
      </c>
      <c r="DO211" s="30">
        <v>47757.0</v>
      </c>
      <c r="DP211" s="30">
        <v>47848.0</v>
      </c>
      <c r="DQ211" s="39">
        <v>0.0</v>
      </c>
      <c r="DR211" s="39">
        <v>0.0</v>
      </c>
      <c r="DS211" s="35" t="s">
        <v>7045</v>
      </c>
    </row>
    <row r="212" ht="14.25" customHeight="1">
      <c r="A212" s="28" t="s">
        <v>3907</v>
      </c>
      <c r="B212" s="29" t="s">
        <v>3908</v>
      </c>
      <c r="C212" s="29" t="s">
        <v>7041</v>
      </c>
      <c r="D212" s="30">
        <v>45658.0</v>
      </c>
      <c r="E212" s="30">
        <v>45747.0</v>
      </c>
      <c r="F212" s="39">
        <v>4.82</v>
      </c>
      <c r="G212" s="39">
        <v>0.0</v>
      </c>
      <c r="H212" s="38" t="s">
        <v>7047</v>
      </c>
      <c r="I212" s="30">
        <v>45748.0</v>
      </c>
      <c r="J212" s="30">
        <v>45838.0</v>
      </c>
      <c r="K212" s="39">
        <v>10.0</v>
      </c>
      <c r="L212" s="39">
        <v>84.95</v>
      </c>
      <c r="M212" s="32" t="s">
        <v>7043</v>
      </c>
      <c r="N212" s="30">
        <v>45839.0</v>
      </c>
      <c r="O212" s="30">
        <v>45930.0</v>
      </c>
      <c r="P212" s="39">
        <v>15.0</v>
      </c>
      <c r="Q212" s="39">
        <v>125.81</v>
      </c>
      <c r="R212" s="38" t="s">
        <v>7047</v>
      </c>
      <c r="S212" s="30">
        <v>45931.0</v>
      </c>
      <c r="T212" s="30">
        <v>46022.0</v>
      </c>
      <c r="U212" s="39">
        <v>98.0</v>
      </c>
      <c r="V212" s="39">
        <v>126.88</v>
      </c>
      <c r="W212" s="38" t="s">
        <v>7047</v>
      </c>
      <c r="X212" s="30">
        <v>46023.0</v>
      </c>
      <c r="Y212" s="30">
        <v>46112.0</v>
      </c>
      <c r="Z212" s="39">
        <v>0.0</v>
      </c>
      <c r="AA212" s="39">
        <v>0.0</v>
      </c>
      <c r="AB212" s="35" t="s">
        <v>7045</v>
      </c>
      <c r="AC212" s="30">
        <v>46113.0</v>
      </c>
      <c r="AD212" s="30">
        <v>46203.0</v>
      </c>
      <c r="AE212" s="39">
        <v>0.0</v>
      </c>
      <c r="AF212" s="39">
        <v>0.0</v>
      </c>
      <c r="AG212" s="35" t="s">
        <v>7045</v>
      </c>
      <c r="AH212" s="30">
        <v>46204.0</v>
      </c>
      <c r="AI212" s="30">
        <v>46295.0</v>
      </c>
      <c r="AJ212" s="39">
        <v>0.0</v>
      </c>
      <c r="AK212" s="39">
        <v>0.0</v>
      </c>
      <c r="AL212" s="35" t="s">
        <v>7045</v>
      </c>
      <c r="AM212" s="30">
        <v>46296.0</v>
      </c>
      <c r="AN212" s="30">
        <v>46387.0</v>
      </c>
      <c r="AO212" s="39">
        <v>0.0</v>
      </c>
      <c r="AP212" s="39">
        <v>0.0</v>
      </c>
      <c r="AQ212" s="35" t="s">
        <v>7045</v>
      </c>
      <c r="AR212" s="30">
        <v>46388.0</v>
      </c>
      <c r="AS212" s="30">
        <v>46477.0</v>
      </c>
      <c r="AT212" s="39">
        <v>0.0</v>
      </c>
      <c r="AU212" s="39">
        <v>0.0</v>
      </c>
      <c r="AV212" s="35" t="s">
        <v>7045</v>
      </c>
      <c r="AW212" s="30">
        <v>46478.0</v>
      </c>
      <c r="AX212" s="30">
        <v>46568.0</v>
      </c>
      <c r="AY212" s="39">
        <v>0.0</v>
      </c>
      <c r="AZ212" s="39">
        <v>0.0</v>
      </c>
      <c r="BA212" s="35" t="s">
        <v>7045</v>
      </c>
      <c r="BB212" s="30">
        <v>46569.0</v>
      </c>
      <c r="BC212" s="30">
        <v>46660.0</v>
      </c>
      <c r="BD212" s="39">
        <v>0.0</v>
      </c>
      <c r="BE212" s="39">
        <v>0.0</v>
      </c>
      <c r="BF212" s="35" t="s">
        <v>7045</v>
      </c>
      <c r="BG212" s="30">
        <v>46661.0</v>
      </c>
      <c r="BH212" s="30">
        <v>46752.0</v>
      </c>
      <c r="BI212" s="39">
        <v>0.0</v>
      </c>
      <c r="BJ212" s="39">
        <v>0.0</v>
      </c>
      <c r="BK212" s="35" t="s">
        <v>7045</v>
      </c>
      <c r="BL212" s="30">
        <v>46753.0</v>
      </c>
      <c r="BM212" s="30">
        <v>46843.0</v>
      </c>
      <c r="BN212" s="39">
        <v>0.0</v>
      </c>
      <c r="BO212" s="39">
        <v>0.0</v>
      </c>
      <c r="BP212" s="35" t="s">
        <v>7045</v>
      </c>
      <c r="BQ212" s="30">
        <v>46844.0</v>
      </c>
      <c r="BR212" s="30">
        <v>46934.0</v>
      </c>
      <c r="BS212" s="39">
        <v>0.0</v>
      </c>
      <c r="BT212" s="39">
        <v>0.0</v>
      </c>
      <c r="BU212" s="35" t="s">
        <v>7045</v>
      </c>
      <c r="BV212" s="30">
        <v>46935.0</v>
      </c>
      <c r="BW212" s="30">
        <v>47026.0</v>
      </c>
      <c r="BX212" s="39">
        <v>0.0</v>
      </c>
      <c r="BY212" s="39">
        <v>0.0</v>
      </c>
      <c r="BZ212" s="35" t="s">
        <v>7045</v>
      </c>
      <c r="CA212" s="30">
        <v>47027.0</v>
      </c>
      <c r="CB212" s="30">
        <v>47118.0</v>
      </c>
      <c r="CC212" s="39">
        <v>0.0</v>
      </c>
      <c r="CD212" s="39">
        <v>0.0</v>
      </c>
      <c r="CE212" s="35" t="s">
        <v>7045</v>
      </c>
      <c r="CF212" s="30">
        <v>47119.0</v>
      </c>
      <c r="CG212" s="30">
        <v>47208.0</v>
      </c>
      <c r="CH212" s="39">
        <v>0.0</v>
      </c>
      <c r="CI212" s="39">
        <v>0.0</v>
      </c>
      <c r="CJ212" s="35" t="s">
        <v>7045</v>
      </c>
      <c r="CK212" s="30">
        <v>47209.0</v>
      </c>
      <c r="CL212" s="30">
        <v>47299.0</v>
      </c>
      <c r="CM212" s="39">
        <v>0.0</v>
      </c>
      <c r="CN212" s="39">
        <v>0.0</v>
      </c>
      <c r="CO212" s="35" t="s">
        <v>7045</v>
      </c>
      <c r="CP212" s="30">
        <v>47300.0</v>
      </c>
      <c r="CQ212" s="30">
        <v>47391.0</v>
      </c>
      <c r="CR212" s="39">
        <v>0.0</v>
      </c>
      <c r="CS212" s="39">
        <v>0.0</v>
      </c>
      <c r="CT212" s="35" t="s">
        <v>7045</v>
      </c>
      <c r="CU212" s="30">
        <v>47392.0</v>
      </c>
      <c r="CV212" s="30">
        <v>47483.0</v>
      </c>
      <c r="CW212" s="39">
        <v>0.0</v>
      </c>
      <c r="CX212" s="39">
        <v>0.0</v>
      </c>
      <c r="CY212" s="35" t="s">
        <v>7045</v>
      </c>
      <c r="CZ212" s="30">
        <v>47484.0</v>
      </c>
      <c r="DA212" s="30">
        <v>47573.0</v>
      </c>
      <c r="DB212" s="39">
        <v>0.0</v>
      </c>
      <c r="DC212" s="39">
        <v>0.0</v>
      </c>
      <c r="DD212" s="35" t="s">
        <v>7045</v>
      </c>
      <c r="DE212" s="30">
        <v>47574.0</v>
      </c>
      <c r="DF212" s="30">
        <v>47664.0</v>
      </c>
      <c r="DG212" s="39">
        <v>0.0</v>
      </c>
      <c r="DH212" s="39">
        <v>0.0</v>
      </c>
      <c r="DI212" s="35" t="s">
        <v>7045</v>
      </c>
      <c r="DJ212" s="30">
        <v>47665.0</v>
      </c>
      <c r="DK212" s="30">
        <v>47756.0</v>
      </c>
      <c r="DL212" s="39">
        <v>0.0</v>
      </c>
      <c r="DM212" s="39">
        <v>0.0</v>
      </c>
      <c r="DN212" s="35" t="s">
        <v>7045</v>
      </c>
      <c r="DO212" s="30">
        <v>47757.0</v>
      </c>
      <c r="DP212" s="30">
        <v>47848.0</v>
      </c>
      <c r="DQ212" s="39">
        <v>0.0</v>
      </c>
      <c r="DR212" s="39">
        <v>0.0</v>
      </c>
      <c r="DS212" s="35" t="s">
        <v>7045</v>
      </c>
    </row>
    <row r="213" ht="14.25" customHeight="1">
      <c r="A213" s="28" t="s">
        <v>504</v>
      </c>
      <c r="B213" s="29" t="s">
        <v>505</v>
      </c>
      <c r="C213" s="29" t="s">
        <v>7041</v>
      </c>
      <c r="D213" s="30">
        <v>45658.0</v>
      </c>
      <c r="E213" s="30">
        <v>45747.0</v>
      </c>
      <c r="F213" s="36">
        <v>609.99</v>
      </c>
      <c r="G213" s="36">
        <v>0.0</v>
      </c>
      <c r="H213" s="38" t="s">
        <v>7047</v>
      </c>
      <c r="I213" s="30">
        <v>45748.0</v>
      </c>
      <c r="J213" s="30">
        <v>45838.0</v>
      </c>
      <c r="K213" s="36">
        <v>4.8</v>
      </c>
      <c r="L213" s="36">
        <v>505.6</v>
      </c>
      <c r="M213" s="38" t="s">
        <v>7043</v>
      </c>
      <c r="N213" s="30">
        <v>45839.0</v>
      </c>
      <c r="O213" s="30">
        <v>45930.0</v>
      </c>
      <c r="P213" s="36">
        <v>259.98</v>
      </c>
      <c r="Q213" s="36">
        <v>505.6</v>
      </c>
      <c r="R213" s="38" t="s">
        <v>7047</v>
      </c>
      <c r="S213" s="30">
        <v>45931.0</v>
      </c>
      <c r="T213" s="30">
        <v>46022.0</v>
      </c>
      <c r="U213" s="36">
        <v>949.98</v>
      </c>
      <c r="V213" s="36">
        <v>505.6</v>
      </c>
      <c r="W213" s="38" t="s">
        <v>7047</v>
      </c>
      <c r="X213" s="30">
        <v>46023.0</v>
      </c>
      <c r="Y213" s="30">
        <v>46112.0</v>
      </c>
      <c r="Z213" s="36">
        <v>6.03</v>
      </c>
      <c r="AA213" s="36">
        <v>0.0</v>
      </c>
      <c r="AB213" s="38" t="s">
        <v>7047</v>
      </c>
      <c r="AC213" s="30">
        <v>46113.0</v>
      </c>
      <c r="AD213" s="30">
        <v>46203.0</v>
      </c>
      <c r="AE213" s="36">
        <v>728.66</v>
      </c>
      <c r="AF213" s="36">
        <v>0.0</v>
      </c>
      <c r="AG213" s="38" t="s">
        <v>7047</v>
      </c>
      <c r="AH213" s="30">
        <v>46204.0</v>
      </c>
      <c r="AI213" s="30">
        <v>46295.0</v>
      </c>
      <c r="AJ213" s="36">
        <v>56.27</v>
      </c>
      <c r="AK213" s="36">
        <v>0.0</v>
      </c>
      <c r="AL213" s="38" t="s">
        <v>7047</v>
      </c>
      <c r="AM213" s="30">
        <v>46296.0</v>
      </c>
      <c r="AN213" s="30">
        <v>46387.0</v>
      </c>
      <c r="AO213" s="36">
        <v>12.07</v>
      </c>
      <c r="AP213" s="36">
        <v>0.0</v>
      </c>
      <c r="AQ213" s="38" t="s">
        <v>7047</v>
      </c>
      <c r="AR213" s="30">
        <v>46388.0</v>
      </c>
      <c r="AS213" s="30">
        <v>46477.0</v>
      </c>
      <c r="AT213" s="36">
        <v>0.0</v>
      </c>
      <c r="AU213" s="36">
        <v>0.0</v>
      </c>
      <c r="AV213" s="35" t="s">
        <v>7045</v>
      </c>
      <c r="AW213" s="30">
        <v>46478.0</v>
      </c>
      <c r="AX213" s="30">
        <v>46568.0</v>
      </c>
      <c r="AY213" s="36">
        <v>0.0</v>
      </c>
      <c r="AZ213" s="36">
        <v>0.0</v>
      </c>
      <c r="BA213" s="35" t="s">
        <v>7045</v>
      </c>
      <c r="BB213" s="30">
        <v>46569.0</v>
      </c>
      <c r="BC213" s="30">
        <v>46660.0</v>
      </c>
      <c r="BD213" s="36">
        <v>0.0</v>
      </c>
      <c r="BE213" s="36">
        <v>0.0</v>
      </c>
      <c r="BF213" s="35" t="s">
        <v>7045</v>
      </c>
      <c r="BG213" s="30">
        <v>46661.0</v>
      </c>
      <c r="BH213" s="30">
        <v>46752.0</v>
      </c>
      <c r="BI213" s="36">
        <v>0.0</v>
      </c>
      <c r="BJ213" s="36">
        <v>0.0</v>
      </c>
      <c r="BK213" s="35" t="s">
        <v>7045</v>
      </c>
      <c r="BL213" s="30">
        <v>46753.0</v>
      </c>
      <c r="BM213" s="30">
        <v>46843.0</v>
      </c>
      <c r="BN213" s="36">
        <v>0.0</v>
      </c>
      <c r="BO213" s="36">
        <v>0.0</v>
      </c>
      <c r="BP213" s="35" t="s">
        <v>7045</v>
      </c>
      <c r="BQ213" s="30">
        <v>46844.0</v>
      </c>
      <c r="BR213" s="30">
        <v>46934.0</v>
      </c>
      <c r="BS213" s="36">
        <v>0.0</v>
      </c>
      <c r="BT213" s="36">
        <v>0.0</v>
      </c>
      <c r="BU213" s="35" t="s">
        <v>7045</v>
      </c>
      <c r="BV213" s="30">
        <v>46935.0</v>
      </c>
      <c r="BW213" s="30">
        <v>47026.0</v>
      </c>
      <c r="BX213" s="36">
        <v>0.0</v>
      </c>
      <c r="BY213" s="36">
        <v>0.0</v>
      </c>
      <c r="BZ213" s="35" t="s">
        <v>7045</v>
      </c>
      <c r="CA213" s="30">
        <v>47027.0</v>
      </c>
      <c r="CB213" s="30">
        <v>47118.0</v>
      </c>
      <c r="CC213" s="36">
        <v>0.0</v>
      </c>
      <c r="CD213" s="36">
        <v>0.0</v>
      </c>
      <c r="CE213" s="35" t="s">
        <v>7045</v>
      </c>
      <c r="CF213" s="30">
        <v>47119.0</v>
      </c>
      <c r="CG213" s="30">
        <v>47208.0</v>
      </c>
      <c r="CH213" s="36">
        <v>0.0</v>
      </c>
      <c r="CI213" s="36">
        <v>0.0</v>
      </c>
      <c r="CJ213" s="35" t="s">
        <v>7045</v>
      </c>
      <c r="CK213" s="30">
        <v>47209.0</v>
      </c>
      <c r="CL213" s="30">
        <v>47299.0</v>
      </c>
      <c r="CM213" s="36">
        <v>0.0</v>
      </c>
      <c r="CN213" s="36">
        <v>0.0</v>
      </c>
      <c r="CO213" s="35" t="s">
        <v>7045</v>
      </c>
      <c r="CP213" s="30">
        <v>47300.0</v>
      </c>
      <c r="CQ213" s="30">
        <v>47391.0</v>
      </c>
      <c r="CR213" s="36">
        <v>0.0</v>
      </c>
      <c r="CS213" s="36">
        <v>0.0</v>
      </c>
      <c r="CT213" s="35" t="s">
        <v>7045</v>
      </c>
      <c r="CU213" s="30">
        <v>47392.0</v>
      </c>
      <c r="CV213" s="30">
        <v>47483.0</v>
      </c>
      <c r="CW213" s="36">
        <v>0.0</v>
      </c>
      <c r="CX213" s="36">
        <v>0.0</v>
      </c>
      <c r="CY213" s="35" t="s">
        <v>7045</v>
      </c>
      <c r="CZ213" s="30">
        <v>47484.0</v>
      </c>
      <c r="DA213" s="30">
        <v>47573.0</v>
      </c>
      <c r="DB213" s="36">
        <v>0.0</v>
      </c>
      <c r="DC213" s="36">
        <v>0.0</v>
      </c>
      <c r="DD213" s="35" t="s">
        <v>7045</v>
      </c>
      <c r="DE213" s="30">
        <v>47574.0</v>
      </c>
      <c r="DF213" s="30">
        <v>47664.0</v>
      </c>
      <c r="DG213" s="36">
        <v>0.0</v>
      </c>
      <c r="DH213" s="36">
        <v>0.0</v>
      </c>
      <c r="DI213" s="35" t="s">
        <v>7045</v>
      </c>
      <c r="DJ213" s="30">
        <v>47665.0</v>
      </c>
      <c r="DK213" s="30">
        <v>47756.0</v>
      </c>
      <c r="DL213" s="36">
        <v>0.0</v>
      </c>
      <c r="DM213" s="36">
        <v>0.0</v>
      </c>
      <c r="DN213" s="35" t="s">
        <v>7045</v>
      </c>
      <c r="DO213" s="30">
        <v>47757.0</v>
      </c>
      <c r="DP213" s="30">
        <v>47848.0</v>
      </c>
      <c r="DQ213" s="36">
        <v>0.0</v>
      </c>
      <c r="DR213" s="36">
        <v>0.0</v>
      </c>
      <c r="DS213" s="35" t="s">
        <v>7045</v>
      </c>
    </row>
    <row r="214" ht="14.25" customHeight="1">
      <c r="A214" s="28" t="s">
        <v>507</v>
      </c>
      <c r="B214" s="29" t="s">
        <v>508</v>
      </c>
      <c r="C214" s="29" t="s">
        <v>7041</v>
      </c>
      <c r="D214" s="30">
        <v>45658.0</v>
      </c>
      <c r="E214" s="30">
        <v>45747.0</v>
      </c>
      <c r="F214" s="39">
        <v>1.43</v>
      </c>
      <c r="G214" s="39">
        <v>0.0</v>
      </c>
      <c r="H214" s="38" t="s">
        <v>7047</v>
      </c>
      <c r="I214" s="30">
        <v>45748.0</v>
      </c>
      <c r="J214" s="30">
        <v>45838.0</v>
      </c>
      <c r="K214" s="39">
        <v>13.36</v>
      </c>
      <c r="L214" s="39">
        <v>851.35</v>
      </c>
      <c r="M214" s="38" t="s">
        <v>7043</v>
      </c>
      <c r="N214" s="30">
        <v>45839.0</v>
      </c>
      <c r="O214" s="30">
        <v>45930.0</v>
      </c>
      <c r="P214" s="39">
        <v>946.03</v>
      </c>
      <c r="Q214" s="39">
        <v>1108.11</v>
      </c>
      <c r="R214" s="38" t="s">
        <v>7047</v>
      </c>
      <c r="S214" s="30">
        <v>45931.0</v>
      </c>
      <c r="T214" s="30">
        <v>46022.0</v>
      </c>
      <c r="U214" s="39">
        <v>1132.79</v>
      </c>
      <c r="V214" s="39">
        <v>1702.7</v>
      </c>
      <c r="W214" s="38" t="s">
        <v>7047</v>
      </c>
      <c r="X214" s="30">
        <v>46023.0</v>
      </c>
      <c r="Y214" s="30">
        <v>46112.0</v>
      </c>
      <c r="Z214" s="39">
        <v>176.53</v>
      </c>
      <c r="AA214" s="39">
        <v>0.0</v>
      </c>
      <c r="AB214" s="38" t="s">
        <v>7047</v>
      </c>
      <c r="AC214" s="30">
        <v>46113.0</v>
      </c>
      <c r="AD214" s="30">
        <v>46203.0</v>
      </c>
      <c r="AE214" s="39">
        <v>497.1</v>
      </c>
      <c r="AF214" s="39">
        <v>0.0</v>
      </c>
      <c r="AG214" s="38" t="s">
        <v>7047</v>
      </c>
      <c r="AH214" s="30">
        <v>46204.0</v>
      </c>
      <c r="AI214" s="30">
        <v>46295.0</v>
      </c>
      <c r="AJ214" s="39">
        <v>157.59</v>
      </c>
      <c r="AK214" s="39">
        <v>0.0</v>
      </c>
      <c r="AL214" s="38" t="s">
        <v>7047</v>
      </c>
      <c r="AM214" s="30">
        <v>46296.0</v>
      </c>
      <c r="AN214" s="30">
        <v>46387.0</v>
      </c>
      <c r="AO214" s="39">
        <v>205.26</v>
      </c>
      <c r="AP214" s="39">
        <v>0.0</v>
      </c>
      <c r="AQ214" s="38" t="s">
        <v>7047</v>
      </c>
      <c r="AR214" s="30">
        <v>46388.0</v>
      </c>
      <c r="AS214" s="30">
        <v>46477.0</v>
      </c>
      <c r="AT214" s="39">
        <v>0.0</v>
      </c>
      <c r="AU214" s="39">
        <v>0.0</v>
      </c>
      <c r="AV214" s="35" t="s">
        <v>7045</v>
      </c>
      <c r="AW214" s="30">
        <v>46478.0</v>
      </c>
      <c r="AX214" s="30">
        <v>46568.0</v>
      </c>
      <c r="AY214" s="39">
        <v>0.0</v>
      </c>
      <c r="AZ214" s="39">
        <v>0.0</v>
      </c>
      <c r="BA214" s="35" t="s">
        <v>7045</v>
      </c>
      <c r="BB214" s="30">
        <v>46569.0</v>
      </c>
      <c r="BC214" s="30">
        <v>46660.0</v>
      </c>
      <c r="BD214" s="39">
        <v>0.0</v>
      </c>
      <c r="BE214" s="39">
        <v>0.0</v>
      </c>
      <c r="BF214" s="35" t="s">
        <v>7045</v>
      </c>
      <c r="BG214" s="30">
        <v>46661.0</v>
      </c>
      <c r="BH214" s="30">
        <v>46752.0</v>
      </c>
      <c r="BI214" s="39">
        <v>0.0</v>
      </c>
      <c r="BJ214" s="39">
        <v>0.0</v>
      </c>
      <c r="BK214" s="35" t="s">
        <v>7045</v>
      </c>
      <c r="BL214" s="30">
        <v>46753.0</v>
      </c>
      <c r="BM214" s="30">
        <v>46843.0</v>
      </c>
      <c r="BN214" s="39">
        <v>0.0</v>
      </c>
      <c r="BO214" s="39">
        <v>0.0</v>
      </c>
      <c r="BP214" s="35" t="s">
        <v>7045</v>
      </c>
      <c r="BQ214" s="30">
        <v>46844.0</v>
      </c>
      <c r="BR214" s="30">
        <v>46934.0</v>
      </c>
      <c r="BS214" s="39">
        <v>0.0</v>
      </c>
      <c r="BT214" s="39">
        <v>0.0</v>
      </c>
      <c r="BU214" s="35" t="s">
        <v>7045</v>
      </c>
      <c r="BV214" s="30">
        <v>46935.0</v>
      </c>
      <c r="BW214" s="30">
        <v>47026.0</v>
      </c>
      <c r="BX214" s="39">
        <v>0.0</v>
      </c>
      <c r="BY214" s="39">
        <v>0.0</v>
      </c>
      <c r="BZ214" s="35" t="s">
        <v>7045</v>
      </c>
      <c r="CA214" s="30">
        <v>47027.0</v>
      </c>
      <c r="CB214" s="30">
        <v>47118.0</v>
      </c>
      <c r="CC214" s="39">
        <v>0.0</v>
      </c>
      <c r="CD214" s="39">
        <v>0.0</v>
      </c>
      <c r="CE214" s="35" t="s">
        <v>7045</v>
      </c>
      <c r="CF214" s="30">
        <v>47119.0</v>
      </c>
      <c r="CG214" s="30">
        <v>47208.0</v>
      </c>
      <c r="CH214" s="39">
        <v>0.0</v>
      </c>
      <c r="CI214" s="39">
        <v>0.0</v>
      </c>
      <c r="CJ214" s="35" t="s">
        <v>7045</v>
      </c>
      <c r="CK214" s="30">
        <v>47209.0</v>
      </c>
      <c r="CL214" s="30">
        <v>47299.0</v>
      </c>
      <c r="CM214" s="39">
        <v>0.0</v>
      </c>
      <c r="CN214" s="39">
        <v>0.0</v>
      </c>
      <c r="CO214" s="35" t="s">
        <v>7045</v>
      </c>
      <c r="CP214" s="30">
        <v>47300.0</v>
      </c>
      <c r="CQ214" s="30">
        <v>47391.0</v>
      </c>
      <c r="CR214" s="39">
        <v>0.0</v>
      </c>
      <c r="CS214" s="39">
        <v>0.0</v>
      </c>
      <c r="CT214" s="35" t="s">
        <v>7045</v>
      </c>
      <c r="CU214" s="30">
        <v>47392.0</v>
      </c>
      <c r="CV214" s="30">
        <v>47483.0</v>
      </c>
      <c r="CW214" s="39">
        <v>0.0</v>
      </c>
      <c r="CX214" s="39">
        <v>0.0</v>
      </c>
      <c r="CY214" s="35" t="s">
        <v>7045</v>
      </c>
      <c r="CZ214" s="30">
        <v>47484.0</v>
      </c>
      <c r="DA214" s="30">
        <v>47573.0</v>
      </c>
      <c r="DB214" s="39">
        <v>0.0</v>
      </c>
      <c r="DC214" s="39">
        <v>0.0</v>
      </c>
      <c r="DD214" s="35" t="s">
        <v>7045</v>
      </c>
      <c r="DE214" s="30">
        <v>47574.0</v>
      </c>
      <c r="DF214" s="30">
        <v>47664.0</v>
      </c>
      <c r="DG214" s="39">
        <v>0.0</v>
      </c>
      <c r="DH214" s="39">
        <v>0.0</v>
      </c>
      <c r="DI214" s="35" t="s">
        <v>7045</v>
      </c>
      <c r="DJ214" s="30">
        <v>47665.0</v>
      </c>
      <c r="DK214" s="30">
        <v>47756.0</v>
      </c>
      <c r="DL214" s="39">
        <v>0.0</v>
      </c>
      <c r="DM214" s="39">
        <v>0.0</v>
      </c>
      <c r="DN214" s="35" t="s">
        <v>7045</v>
      </c>
      <c r="DO214" s="30">
        <v>47757.0</v>
      </c>
      <c r="DP214" s="30">
        <v>47848.0</v>
      </c>
      <c r="DQ214" s="39">
        <v>0.0</v>
      </c>
      <c r="DR214" s="39">
        <v>0.0</v>
      </c>
      <c r="DS214" s="35" t="s">
        <v>7045</v>
      </c>
    </row>
    <row r="215" ht="14.25" customHeight="1">
      <c r="A215" s="28" t="s">
        <v>718</v>
      </c>
      <c r="B215" s="29" t="s">
        <v>719</v>
      </c>
      <c r="C215" s="29" t="s">
        <v>7041</v>
      </c>
      <c r="D215" s="30">
        <v>45658.0</v>
      </c>
      <c r="E215" s="30">
        <v>45747.0</v>
      </c>
      <c r="F215" s="39">
        <v>174.0</v>
      </c>
      <c r="G215" s="39">
        <v>0.0</v>
      </c>
      <c r="H215" s="38" t="s">
        <v>7047</v>
      </c>
      <c r="I215" s="30">
        <v>45748.0</v>
      </c>
      <c r="J215" s="30">
        <v>45838.0</v>
      </c>
      <c r="K215" s="39">
        <v>49.0</v>
      </c>
      <c r="L215" s="39">
        <v>857.14</v>
      </c>
      <c r="M215" s="32" t="s">
        <v>7043</v>
      </c>
      <c r="N215" s="30">
        <v>45839.0</v>
      </c>
      <c r="O215" s="30">
        <v>45930.0</v>
      </c>
      <c r="P215" s="39">
        <v>86.0</v>
      </c>
      <c r="Q215" s="39">
        <v>928.57</v>
      </c>
      <c r="R215" s="38" t="s">
        <v>7047</v>
      </c>
      <c r="S215" s="30">
        <v>45931.0</v>
      </c>
      <c r="T215" s="30">
        <v>46022.0</v>
      </c>
      <c r="U215" s="39">
        <v>475.0</v>
      </c>
      <c r="V215" s="39">
        <v>944.44</v>
      </c>
      <c r="W215" s="38" t="s">
        <v>7047</v>
      </c>
      <c r="X215" s="30">
        <v>46023.0</v>
      </c>
      <c r="Y215" s="30">
        <v>46112.0</v>
      </c>
      <c r="Z215" s="39">
        <v>0.0</v>
      </c>
      <c r="AA215" s="39">
        <v>0.0</v>
      </c>
      <c r="AB215" s="35" t="s">
        <v>7045</v>
      </c>
      <c r="AC215" s="30">
        <v>46113.0</v>
      </c>
      <c r="AD215" s="30">
        <v>46203.0</v>
      </c>
      <c r="AE215" s="39">
        <v>0.0</v>
      </c>
      <c r="AF215" s="39">
        <v>0.0</v>
      </c>
      <c r="AG215" s="35" t="s">
        <v>7045</v>
      </c>
      <c r="AH215" s="30">
        <v>46204.0</v>
      </c>
      <c r="AI215" s="30">
        <v>46295.0</v>
      </c>
      <c r="AJ215" s="39">
        <v>0.0</v>
      </c>
      <c r="AK215" s="39">
        <v>0.0</v>
      </c>
      <c r="AL215" s="35" t="s">
        <v>7045</v>
      </c>
      <c r="AM215" s="30">
        <v>46296.0</v>
      </c>
      <c r="AN215" s="30">
        <v>46387.0</v>
      </c>
      <c r="AO215" s="39">
        <v>0.0</v>
      </c>
      <c r="AP215" s="39">
        <v>0.0</v>
      </c>
      <c r="AQ215" s="35" t="s">
        <v>7045</v>
      </c>
      <c r="AR215" s="30">
        <v>46388.0</v>
      </c>
      <c r="AS215" s="30">
        <v>46477.0</v>
      </c>
      <c r="AT215" s="39">
        <v>0.0</v>
      </c>
      <c r="AU215" s="39">
        <v>0.0</v>
      </c>
      <c r="AV215" s="35" t="s">
        <v>7045</v>
      </c>
      <c r="AW215" s="30">
        <v>46478.0</v>
      </c>
      <c r="AX215" s="30">
        <v>46568.0</v>
      </c>
      <c r="AY215" s="39">
        <v>0.0</v>
      </c>
      <c r="AZ215" s="39">
        <v>0.0</v>
      </c>
      <c r="BA215" s="35" t="s">
        <v>7045</v>
      </c>
      <c r="BB215" s="30">
        <v>46569.0</v>
      </c>
      <c r="BC215" s="30">
        <v>46660.0</v>
      </c>
      <c r="BD215" s="39">
        <v>0.0</v>
      </c>
      <c r="BE215" s="39">
        <v>0.0</v>
      </c>
      <c r="BF215" s="35" t="s">
        <v>7045</v>
      </c>
      <c r="BG215" s="30">
        <v>46661.0</v>
      </c>
      <c r="BH215" s="30">
        <v>46752.0</v>
      </c>
      <c r="BI215" s="39">
        <v>0.0</v>
      </c>
      <c r="BJ215" s="39">
        <v>0.0</v>
      </c>
      <c r="BK215" s="35" t="s">
        <v>7045</v>
      </c>
      <c r="BL215" s="30">
        <v>46753.0</v>
      </c>
      <c r="BM215" s="30">
        <v>46843.0</v>
      </c>
      <c r="BN215" s="39">
        <v>0.0</v>
      </c>
      <c r="BO215" s="39">
        <v>0.0</v>
      </c>
      <c r="BP215" s="35" t="s">
        <v>7045</v>
      </c>
      <c r="BQ215" s="30">
        <v>46844.0</v>
      </c>
      <c r="BR215" s="30">
        <v>46934.0</v>
      </c>
      <c r="BS215" s="39">
        <v>0.0</v>
      </c>
      <c r="BT215" s="39">
        <v>0.0</v>
      </c>
      <c r="BU215" s="35" t="s">
        <v>7045</v>
      </c>
      <c r="BV215" s="30">
        <v>46935.0</v>
      </c>
      <c r="BW215" s="30">
        <v>47026.0</v>
      </c>
      <c r="BX215" s="39">
        <v>0.0</v>
      </c>
      <c r="BY215" s="39">
        <v>0.0</v>
      </c>
      <c r="BZ215" s="35" t="s">
        <v>7045</v>
      </c>
      <c r="CA215" s="30">
        <v>47027.0</v>
      </c>
      <c r="CB215" s="30">
        <v>47118.0</v>
      </c>
      <c r="CC215" s="39">
        <v>0.0</v>
      </c>
      <c r="CD215" s="39">
        <v>0.0</v>
      </c>
      <c r="CE215" s="35" t="s">
        <v>7045</v>
      </c>
      <c r="CF215" s="30">
        <v>47119.0</v>
      </c>
      <c r="CG215" s="30">
        <v>47208.0</v>
      </c>
      <c r="CH215" s="39">
        <v>0.0</v>
      </c>
      <c r="CI215" s="39">
        <v>0.0</v>
      </c>
      <c r="CJ215" s="35" t="s">
        <v>7045</v>
      </c>
      <c r="CK215" s="30">
        <v>47209.0</v>
      </c>
      <c r="CL215" s="30">
        <v>47299.0</v>
      </c>
      <c r="CM215" s="39">
        <v>0.0</v>
      </c>
      <c r="CN215" s="39">
        <v>0.0</v>
      </c>
      <c r="CO215" s="35" t="s">
        <v>7045</v>
      </c>
      <c r="CP215" s="30">
        <v>47300.0</v>
      </c>
      <c r="CQ215" s="30">
        <v>47391.0</v>
      </c>
      <c r="CR215" s="39">
        <v>0.0</v>
      </c>
      <c r="CS215" s="39">
        <v>0.0</v>
      </c>
      <c r="CT215" s="35" t="s">
        <v>7045</v>
      </c>
      <c r="CU215" s="30">
        <v>47392.0</v>
      </c>
      <c r="CV215" s="30">
        <v>47483.0</v>
      </c>
      <c r="CW215" s="39">
        <v>0.0</v>
      </c>
      <c r="CX215" s="39">
        <v>0.0</v>
      </c>
      <c r="CY215" s="35" t="s">
        <v>7045</v>
      </c>
      <c r="CZ215" s="30">
        <v>47484.0</v>
      </c>
      <c r="DA215" s="30">
        <v>47573.0</v>
      </c>
      <c r="DB215" s="39">
        <v>0.0</v>
      </c>
      <c r="DC215" s="39">
        <v>0.0</v>
      </c>
      <c r="DD215" s="35" t="s">
        <v>7045</v>
      </c>
      <c r="DE215" s="30">
        <v>47574.0</v>
      </c>
      <c r="DF215" s="30">
        <v>47664.0</v>
      </c>
      <c r="DG215" s="39">
        <v>0.0</v>
      </c>
      <c r="DH215" s="39">
        <v>0.0</v>
      </c>
      <c r="DI215" s="35" t="s">
        <v>7045</v>
      </c>
      <c r="DJ215" s="30">
        <v>47665.0</v>
      </c>
      <c r="DK215" s="30">
        <v>47756.0</v>
      </c>
      <c r="DL215" s="39">
        <v>0.0</v>
      </c>
      <c r="DM215" s="39">
        <v>0.0</v>
      </c>
      <c r="DN215" s="35" t="s">
        <v>7045</v>
      </c>
      <c r="DO215" s="30">
        <v>47757.0</v>
      </c>
      <c r="DP215" s="30">
        <v>47848.0</v>
      </c>
      <c r="DQ215" s="39">
        <v>0.0</v>
      </c>
      <c r="DR215" s="39">
        <v>0.0</v>
      </c>
      <c r="DS215" s="35" t="s">
        <v>7045</v>
      </c>
    </row>
    <row r="216" ht="14.25" customHeight="1">
      <c r="A216" s="28" t="s">
        <v>759</v>
      </c>
      <c r="B216" s="29" t="s">
        <v>760</v>
      </c>
      <c r="C216" s="29" t="s">
        <v>7041</v>
      </c>
      <c r="D216" s="30">
        <v>45658.0</v>
      </c>
      <c r="E216" s="30">
        <v>45747.0</v>
      </c>
      <c r="F216" s="36">
        <v>11.26</v>
      </c>
      <c r="G216" s="36">
        <v>0.0</v>
      </c>
      <c r="H216" s="38" t="s">
        <v>7047</v>
      </c>
      <c r="I216" s="30">
        <v>45748.0</v>
      </c>
      <c r="J216" s="30">
        <v>45838.0</v>
      </c>
      <c r="K216" s="36">
        <v>435.0</v>
      </c>
      <c r="L216" s="36">
        <v>0.0</v>
      </c>
      <c r="M216" s="38" t="s">
        <v>7047</v>
      </c>
      <c r="N216" s="30">
        <v>45839.0</v>
      </c>
      <c r="O216" s="30">
        <v>45930.0</v>
      </c>
      <c r="P216" s="36">
        <v>681.25</v>
      </c>
      <c r="Q216" s="36">
        <v>0.0</v>
      </c>
      <c r="R216" s="38" t="s">
        <v>7047</v>
      </c>
      <c r="S216" s="30">
        <v>45931.0</v>
      </c>
      <c r="T216" s="30">
        <v>46022.0</v>
      </c>
      <c r="U216" s="36">
        <v>580.0</v>
      </c>
      <c r="V216" s="36">
        <v>0.0</v>
      </c>
      <c r="W216" s="38" t="s">
        <v>7047</v>
      </c>
      <c r="X216" s="30">
        <v>46023.0</v>
      </c>
      <c r="Y216" s="30">
        <v>46112.0</v>
      </c>
      <c r="Z216" s="36">
        <v>0.0</v>
      </c>
      <c r="AA216" s="36">
        <v>0.0</v>
      </c>
      <c r="AB216" s="35" t="s">
        <v>7045</v>
      </c>
      <c r="AC216" s="30">
        <v>46113.0</v>
      </c>
      <c r="AD216" s="30">
        <v>46203.0</v>
      </c>
      <c r="AE216" s="36">
        <v>0.0</v>
      </c>
      <c r="AF216" s="36">
        <v>0.0</v>
      </c>
      <c r="AG216" s="35" t="s">
        <v>7045</v>
      </c>
      <c r="AH216" s="30">
        <v>46204.0</v>
      </c>
      <c r="AI216" s="30">
        <v>46295.0</v>
      </c>
      <c r="AJ216" s="36">
        <v>9099.92</v>
      </c>
      <c r="AK216" s="36">
        <v>0.0</v>
      </c>
      <c r="AL216" s="38" t="s">
        <v>7047</v>
      </c>
      <c r="AM216" s="30">
        <v>46296.0</v>
      </c>
      <c r="AN216" s="30">
        <v>46387.0</v>
      </c>
      <c r="AO216" s="36">
        <v>0.0</v>
      </c>
      <c r="AP216" s="36">
        <v>0.0</v>
      </c>
      <c r="AQ216" s="35" t="s">
        <v>7045</v>
      </c>
      <c r="AR216" s="30">
        <v>46388.0</v>
      </c>
      <c r="AS216" s="30">
        <v>46477.0</v>
      </c>
      <c r="AT216" s="36">
        <v>0.0</v>
      </c>
      <c r="AU216" s="36">
        <v>0.0</v>
      </c>
      <c r="AV216" s="35" t="s">
        <v>7045</v>
      </c>
      <c r="AW216" s="30">
        <v>46478.0</v>
      </c>
      <c r="AX216" s="30">
        <v>46568.0</v>
      </c>
      <c r="AY216" s="36">
        <v>0.0</v>
      </c>
      <c r="AZ216" s="36">
        <v>0.0</v>
      </c>
      <c r="BA216" s="35" t="s">
        <v>7045</v>
      </c>
      <c r="BB216" s="30">
        <v>46569.0</v>
      </c>
      <c r="BC216" s="30">
        <v>46660.0</v>
      </c>
      <c r="BD216" s="36">
        <v>0.0</v>
      </c>
      <c r="BE216" s="36">
        <v>0.0</v>
      </c>
      <c r="BF216" s="35" t="s">
        <v>7045</v>
      </c>
      <c r="BG216" s="30">
        <v>46661.0</v>
      </c>
      <c r="BH216" s="30">
        <v>46752.0</v>
      </c>
      <c r="BI216" s="36">
        <v>0.0</v>
      </c>
      <c r="BJ216" s="36">
        <v>0.0</v>
      </c>
      <c r="BK216" s="35" t="s">
        <v>7045</v>
      </c>
      <c r="BL216" s="30">
        <v>46753.0</v>
      </c>
      <c r="BM216" s="30">
        <v>46843.0</v>
      </c>
      <c r="BN216" s="36">
        <v>0.0</v>
      </c>
      <c r="BO216" s="36">
        <v>0.0</v>
      </c>
      <c r="BP216" s="35" t="s">
        <v>7045</v>
      </c>
      <c r="BQ216" s="30">
        <v>46844.0</v>
      </c>
      <c r="BR216" s="30">
        <v>46934.0</v>
      </c>
      <c r="BS216" s="36">
        <v>0.0</v>
      </c>
      <c r="BT216" s="36">
        <v>0.0</v>
      </c>
      <c r="BU216" s="35" t="s">
        <v>7045</v>
      </c>
      <c r="BV216" s="30">
        <v>46935.0</v>
      </c>
      <c r="BW216" s="30">
        <v>47026.0</v>
      </c>
      <c r="BX216" s="36">
        <v>0.0</v>
      </c>
      <c r="BY216" s="36">
        <v>0.0</v>
      </c>
      <c r="BZ216" s="35" t="s">
        <v>7045</v>
      </c>
      <c r="CA216" s="30">
        <v>47027.0</v>
      </c>
      <c r="CB216" s="30">
        <v>47118.0</v>
      </c>
      <c r="CC216" s="36">
        <v>0.0</v>
      </c>
      <c r="CD216" s="36">
        <v>0.0</v>
      </c>
      <c r="CE216" s="35" t="s">
        <v>7045</v>
      </c>
      <c r="CF216" s="30">
        <v>47119.0</v>
      </c>
      <c r="CG216" s="30">
        <v>47208.0</v>
      </c>
      <c r="CH216" s="36">
        <v>0.0</v>
      </c>
      <c r="CI216" s="36">
        <v>0.0</v>
      </c>
      <c r="CJ216" s="35" t="s">
        <v>7045</v>
      </c>
      <c r="CK216" s="30">
        <v>47209.0</v>
      </c>
      <c r="CL216" s="30">
        <v>47299.0</v>
      </c>
      <c r="CM216" s="36">
        <v>0.0</v>
      </c>
      <c r="CN216" s="36">
        <v>0.0</v>
      </c>
      <c r="CO216" s="35" t="s">
        <v>7045</v>
      </c>
      <c r="CP216" s="30">
        <v>47300.0</v>
      </c>
      <c r="CQ216" s="30">
        <v>47391.0</v>
      </c>
      <c r="CR216" s="36">
        <v>0.0</v>
      </c>
      <c r="CS216" s="36">
        <v>0.0</v>
      </c>
      <c r="CT216" s="35" t="s">
        <v>7045</v>
      </c>
      <c r="CU216" s="30">
        <v>47392.0</v>
      </c>
      <c r="CV216" s="30">
        <v>47483.0</v>
      </c>
      <c r="CW216" s="36">
        <v>0.0</v>
      </c>
      <c r="CX216" s="36">
        <v>0.0</v>
      </c>
      <c r="CY216" s="35" t="s">
        <v>7045</v>
      </c>
      <c r="CZ216" s="30">
        <v>47484.0</v>
      </c>
      <c r="DA216" s="30">
        <v>47573.0</v>
      </c>
      <c r="DB216" s="36">
        <v>0.0</v>
      </c>
      <c r="DC216" s="36">
        <v>0.0</v>
      </c>
      <c r="DD216" s="35" t="s">
        <v>7045</v>
      </c>
      <c r="DE216" s="30">
        <v>47574.0</v>
      </c>
      <c r="DF216" s="30">
        <v>47664.0</v>
      </c>
      <c r="DG216" s="36">
        <v>0.0</v>
      </c>
      <c r="DH216" s="36">
        <v>0.0</v>
      </c>
      <c r="DI216" s="35" t="s">
        <v>7045</v>
      </c>
      <c r="DJ216" s="30">
        <v>47665.0</v>
      </c>
      <c r="DK216" s="30">
        <v>47756.0</v>
      </c>
      <c r="DL216" s="36">
        <v>0.0</v>
      </c>
      <c r="DM216" s="36">
        <v>0.0</v>
      </c>
      <c r="DN216" s="35" t="s">
        <v>7045</v>
      </c>
      <c r="DO216" s="30">
        <v>47757.0</v>
      </c>
      <c r="DP216" s="30">
        <v>47848.0</v>
      </c>
      <c r="DQ216" s="36">
        <v>0.0</v>
      </c>
      <c r="DR216" s="36">
        <v>0.0</v>
      </c>
      <c r="DS216" s="35" t="s">
        <v>7045</v>
      </c>
    </row>
    <row r="217" ht="14.25" customHeight="1">
      <c r="A217" s="28" t="s">
        <v>1271</v>
      </c>
      <c r="B217" s="29" t="s">
        <v>1272</v>
      </c>
      <c r="C217" s="29" t="s">
        <v>7041</v>
      </c>
      <c r="D217" s="30">
        <v>45658.0</v>
      </c>
      <c r="E217" s="30">
        <v>45747.0</v>
      </c>
      <c r="F217" s="39">
        <v>4.1</v>
      </c>
      <c r="G217" s="39">
        <v>0.0</v>
      </c>
      <c r="H217" s="38" t="s">
        <v>7047</v>
      </c>
      <c r="I217" s="30">
        <v>45748.0</v>
      </c>
      <c r="J217" s="30">
        <v>45838.0</v>
      </c>
      <c r="K217" s="39">
        <v>21.09</v>
      </c>
      <c r="L217" s="39">
        <v>702.7</v>
      </c>
      <c r="M217" s="32" t="s">
        <v>7043</v>
      </c>
      <c r="N217" s="30">
        <v>45839.0</v>
      </c>
      <c r="O217" s="30">
        <v>45930.0</v>
      </c>
      <c r="P217" s="39">
        <v>285.01</v>
      </c>
      <c r="Q217" s="39">
        <v>1054.05</v>
      </c>
      <c r="R217" s="38" t="s">
        <v>7047</v>
      </c>
      <c r="S217" s="30">
        <v>45931.0</v>
      </c>
      <c r="T217" s="30">
        <v>46022.0</v>
      </c>
      <c r="U217" s="39">
        <v>446.86</v>
      </c>
      <c r="V217" s="39">
        <v>1054.05</v>
      </c>
      <c r="W217" s="38" t="s">
        <v>7047</v>
      </c>
      <c r="X217" s="30">
        <v>46023.0</v>
      </c>
      <c r="Y217" s="30">
        <v>46112.0</v>
      </c>
      <c r="Z217" s="39">
        <v>116.21</v>
      </c>
      <c r="AA217" s="39">
        <v>0.0</v>
      </c>
      <c r="AB217" s="38" t="s">
        <v>7047</v>
      </c>
      <c r="AC217" s="30">
        <v>46113.0</v>
      </c>
      <c r="AD217" s="30">
        <v>46203.0</v>
      </c>
      <c r="AE217" s="39">
        <v>74.66</v>
      </c>
      <c r="AF217" s="39">
        <v>0.0</v>
      </c>
      <c r="AG217" s="38" t="s">
        <v>7047</v>
      </c>
      <c r="AH217" s="30">
        <v>46204.0</v>
      </c>
      <c r="AI217" s="30">
        <v>46295.0</v>
      </c>
      <c r="AJ217" s="39">
        <v>18.34</v>
      </c>
      <c r="AK217" s="39">
        <v>0.0</v>
      </c>
      <c r="AL217" s="38" t="s">
        <v>7047</v>
      </c>
      <c r="AM217" s="30">
        <v>46296.0</v>
      </c>
      <c r="AN217" s="30">
        <v>46387.0</v>
      </c>
      <c r="AO217" s="39">
        <v>3.05</v>
      </c>
      <c r="AP217" s="39">
        <v>0.0</v>
      </c>
      <c r="AQ217" s="38" t="s">
        <v>7047</v>
      </c>
      <c r="AR217" s="30">
        <v>46388.0</v>
      </c>
      <c r="AS217" s="30">
        <v>46477.0</v>
      </c>
      <c r="AT217" s="39">
        <v>0.0</v>
      </c>
      <c r="AU217" s="39">
        <v>0.0</v>
      </c>
      <c r="AV217" s="35" t="s">
        <v>7045</v>
      </c>
      <c r="AW217" s="30">
        <v>46478.0</v>
      </c>
      <c r="AX217" s="30">
        <v>46568.0</v>
      </c>
      <c r="AY217" s="39">
        <v>0.0</v>
      </c>
      <c r="AZ217" s="39">
        <v>0.0</v>
      </c>
      <c r="BA217" s="35" t="s">
        <v>7045</v>
      </c>
      <c r="BB217" s="30">
        <v>46569.0</v>
      </c>
      <c r="BC217" s="30">
        <v>46660.0</v>
      </c>
      <c r="BD217" s="39">
        <v>0.0</v>
      </c>
      <c r="BE217" s="39">
        <v>0.0</v>
      </c>
      <c r="BF217" s="35" t="s">
        <v>7045</v>
      </c>
      <c r="BG217" s="30">
        <v>46661.0</v>
      </c>
      <c r="BH217" s="30">
        <v>46752.0</v>
      </c>
      <c r="BI217" s="39">
        <v>0.0</v>
      </c>
      <c r="BJ217" s="39">
        <v>0.0</v>
      </c>
      <c r="BK217" s="35" t="s">
        <v>7045</v>
      </c>
      <c r="BL217" s="30">
        <v>46753.0</v>
      </c>
      <c r="BM217" s="30">
        <v>46843.0</v>
      </c>
      <c r="BN217" s="39">
        <v>0.0</v>
      </c>
      <c r="BO217" s="39">
        <v>0.0</v>
      </c>
      <c r="BP217" s="35" t="s">
        <v>7045</v>
      </c>
      <c r="BQ217" s="30">
        <v>46844.0</v>
      </c>
      <c r="BR217" s="30">
        <v>46934.0</v>
      </c>
      <c r="BS217" s="39">
        <v>0.0</v>
      </c>
      <c r="BT217" s="39">
        <v>0.0</v>
      </c>
      <c r="BU217" s="35" t="s">
        <v>7045</v>
      </c>
      <c r="BV217" s="30">
        <v>46935.0</v>
      </c>
      <c r="BW217" s="30">
        <v>47026.0</v>
      </c>
      <c r="BX217" s="39">
        <v>0.0</v>
      </c>
      <c r="BY217" s="39">
        <v>0.0</v>
      </c>
      <c r="BZ217" s="35" t="s">
        <v>7045</v>
      </c>
      <c r="CA217" s="30">
        <v>47027.0</v>
      </c>
      <c r="CB217" s="30">
        <v>47118.0</v>
      </c>
      <c r="CC217" s="39">
        <v>0.0</v>
      </c>
      <c r="CD217" s="39">
        <v>0.0</v>
      </c>
      <c r="CE217" s="35" t="s">
        <v>7045</v>
      </c>
      <c r="CF217" s="30">
        <v>47119.0</v>
      </c>
      <c r="CG217" s="30">
        <v>47208.0</v>
      </c>
      <c r="CH217" s="39">
        <v>0.0</v>
      </c>
      <c r="CI217" s="39">
        <v>0.0</v>
      </c>
      <c r="CJ217" s="35" t="s">
        <v>7045</v>
      </c>
      <c r="CK217" s="30">
        <v>47209.0</v>
      </c>
      <c r="CL217" s="30">
        <v>47299.0</v>
      </c>
      <c r="CM217" s="39">
        <v>0.0</v>
      </c>
      <c r="CN217" s="39">
        <v>0.0</v>
      </c>
      <c r="CO217" s="35" t="s">
        <v>7045</v>
      </c>
      <c r="CP217" s="30">
        <v>47300.0</v>
      </c>
      <c r="CQ217" s="30">
        <v>47391.0</v>
      </c>
      <c r="CR217" s="39">
        <v>0.0</v>
      </c>
      <c r="CS217" s="39">
        <v>0.0</v>
      </c>
      <c r="CT217" s="35" t="s">
        <v>7045</v>
      </c>
      <c r="CU217" s="30">
        <v>47392.0</v>
      </c>
      <c r="CV217" s="30">
        <v>47483.0</v>
      </c>
      <c r="CW217" s="39">
        <v>0.0</v>
      </c>
      <c r="CX217" s="39">
        <v>0.0</v>
      </c>
      <c r="CY217" s="35" t="s">
        <v>7045</v>
      </c>
      <c r="CZ217" s="30">
        <v>47484.0</v>
      </c>
      <c r="DA217" s="30">
        <v>47573.0</v>
      </c>
      <c r="DB217" s="39">
        <v>0.0</v>
      </c>
      <c r="DC217" s="39">
        <v>0.0</v>
      </c>
      <c r="DD217" s="35" t="s">
        <v>7045</v>
      </c>
      <c r="DE217" s="30">
        <v>47574.0</v>
      </c>
      <c r="DF217" s="30">
        <v>47664.0</v>
      </c>
      <c r="DG217" s="39">
        <v>0.0</v>
      </c>
      <c r="DH217" s="39">
        <v>0.0</v>
      </c>
      <c r="DI217" s="35" t="s">
        <v>7045</v>
      </c>
      <c r="DJ217" s="30">
        <v>47665.0</v>
      </c>
      <c r="DK217" s="30">
        <v>47756.0</v>
      </c>
      <c r="DL217" s="39">
        <v>0.0</v>
      </c>
      <c r="DM217" s="39">
        <v>0.0</v>
      </c>
      <c r="DN217" s="35" t="s">
        <v>7045</v>
      </c>
      <c r="DO217" s="30">
        <v>47757.0</v>
      </c>
      <c r="DP217" s="30">
        <v>47848.0</v>
      </c>
      <c r="DQ217" s="39">
        <v>0.0</v>
      </c>
      <c r="DR217" s="39">
        <v>0.0</v>
      </c>
      <c r="DS217" s="35" t="s">
        <v>7045</v>
      </c>
    </row>
    <row r="218" ht="14.25" customHeight="1">
      <c r="A218" s="28" t="s">
        <v>1328</v>
      </c>
      <c r="B218" s="29" t="s">
        <v>1329</v>
      </c>
      <c r="C218" s="29" t="s">
        <v>7041</v>
      </c>
      <c r="D218" s="30">
        <v>45658.0</v>
      </c>
      <c r="E218" s="30">
        <v>45747.0</v>
      </c>
      <c r="F218" s="36">
        <v>54.05</v>
      </c>
      <c r="G218" s="36">
        <v>0.0</v>
      </c>
      <c r="H218" s="38" t="s">
        <v>7047</v>
      </c>
      <c r="I218" s="30">
        <v>45748.0</v>
      </c>
      <c r="J218" s="30">
        <v>45838.0</v>
      </c>
      <c r="K218" s="36">
        <v>9.77</v>
      </c>
      <c r="L218" s="36">
        <v>923.07</v>
      </c>
      <c r="M218" s="32" t="s">
        <v>7043</v>
      </c>
      <c r="N218" s="30">
        <v>45839.0</v>
      </c>
      <c r="O218" s="30">
        <v>45930.0</v>
      </c>
      <c r="P218" s="36">
        <v>174.22</v>
      </c>
      <c r="Q218" s="36">
        <v>967.94</v>
      </c>
      <c r="R218" s="38" t="s">
        <v>7047</v>
      </c>
      <c r="S218" s="30">
        <v>45931.0</v>
      </c>
      <c r="T218" s="30">
        <v>46022.0</v>
      </c>
      <c r="U218" s="36">
        <v>224.25</v>
      </c>
      <c r="V218" s="36">
        <v>1076.91</v>
      </c>
      <c r="W218" s="38" t="s">
        <v>7047</v>
      </c>
      <c r="X218" s="30">
        <v>46023.0</v>
      </c>
      <c r="Y218" s="30">
        <v>46112.0</v>
      </c>
      <c r="Z218" s="36">
        <v>2414.98</v>
      </c>
      <c r="AA218" s="36">
        <v>0.0</v>
      </c>
      <c r="AB218" s="38" t="s">
        <v>7047</v>
      </c>
      <c r="AC218" s="30">
        <v>46113.0</v>
      </c>
      <c r="AD218" s="30">
        <v>46203.0</v>
      </c>
      <c r="AE218" s="36">
        <v>230.0</v>
      </c>
      <c r="AF218" s="36">
        <v>0.0</v>
      </c>
      <c r="AG218" s="38" t="s">
        <v>7047</v>
      </c>
      <c r="AH218" s="30">
        <v>46204.0</v>
      </c>
      <c r="AI218" s="30">
        <v>46295.0</v>
      </c>
      <c r="AJ218" s="36">
        <v>0.0</v>
      </c>
      <c r="AK218" s="36">
        <v>0.0</v>
      </c>
      <c r="AL218" s="35" t="s">
        <v>7045</v>
      </c>
      <c r="AM218" s="30">
        <v>46296.0</v>
      </c>
      <c r="AN218" s="30">
        <v>46387.0</v>
      </c>
      <c r="AO218" s="36">
        <v>0.0</v>
      </c>
      <c r="AP218" s="36">
        <v>0.0</v>
      </c>
      <c r="AQ218" s="35" t="s">
        <v>7045</v>
      </c>
      <c r="AR218" s="30">
        <v>46388.0</v>
      </c>
      <c r="AS218" s="30">
        <v>46477.0</v>
      </c>
      <c r="AT218" s="36">
        <v>0.0</v>
      </c>
      <c r="AU218" s="36">
        <v>0.0</v>
      </c>
      <c r="AV218" s="35" t="s">
        <v>7045</v>
      </c>
      <c r="AW218" s="30">
        <v>46478.0</v>
      </c>
      <c r="AX218" s="30">
        <v>46568.0</v>
      </c>
      <c r="AY218" s="36">
        <v>0.0</v>
      </c>
      <c r="AZ218" s="36">
        <v>0.0</v>
      </c>
      <c r="BA218" s="35" t="s">
        <v>7045</v>
      </c>
      <c r="BB218" s="30">
        <v>46569.0</v>
      </c>
      <c r="BC218" s="30">
        <v>46660.0</v>
      </c>
      <c r="BD218" s="36">
        <v>0.0</v>
      </c>
      <c r="BE218" s="36">
        <v>0.0</v>
      </c>
      <c r="BF218" s="35" t="s">
        <v>7045</v>
      </c>
      <c r="BG218" s="30">
        <v>46661.0</v>
      </c>
      <c r="BH218" s="30">
        <v>46752.0</v>
      </c>
      <c r="BI218" s="36">
        <v>0.0</v>
      </c>
      <c r="BJ218" s="36">
        <v>0.0</v>
      </c>
      <c r="BK218" s="35" t="s">
        <v>7045</v>
      </c>
      <c r="BL218" s="30">
        <v>46753.0</v>
      </c>
      <c r="BM218" s="30">
        <v>46843.0</v>
      </c>
      <c r="BN218" s="36">
        <v>0.0</v>
      </c>
      <c r="BO218" s="36">
        <v>0.0</v>
      </c>
      <c r="BP218" s="35" t="s">
        <v>7045</v>
      </c>
      <c r="BQ218" s="30">
        <v>46844.0</v>
      </c>
      <c r="BR218" s="30">
        <v>46934.0</v>
      </c>
      <c r="BS218" s="36">
        <v>0.0</v>
      </c>
      <c r="BT218" s="36">
        <v>0.0</v>
      </c>
      <c r="BU218" s="35" t="s">
        <v>7045</v>
      </c>
      <c r="BV218" s="30">
        <v>46935.0</v>
      </c>
      <c r="BW218" s="30">
        <v>47026.0</v>
      </c>
      <c r="BX218" s="36">
        <v>0.0</v>
      </c>
      <c r="BY218" s="36">
        <v>0.0</v>
      </c>
      <c r="BZ218" s="35" t="s">
        <v>7045</v>
      </c>
      <c r="CA218" s="30">
        <v>47027.0</v>
      </c>
      <c r="CB218" s="30">
        <v>47118.0</v>
      </c>
      <c r="CC218" s="36">
        <v>0.0</v>
      </c>
      <c r="CD218" s="36">
        <v>0.0</v>
      </c>
      <c r="CE218" s="35" t="s">
        <v>7045</v>
      </c>
      <c r="CF218" s="30">
        <v>47119.0</v>
      </c>
      <c r="CG218" s="30">
        <v>47208.0</v>
      </c>
      <c r="CH218" s="36">
        <v>0.0</v>
      </c>
      <c r="CI218" s="36">
        <v>0.0</v>
      </c>
      <c r="CJ218" s="35" t="s">
        <v>7045</v>
      </c>
      <c r="CK218" s="30">
        <v>47209.0</v>
      </c>
      <c r="CL218" s="30">
        <v>47299.0</v>
      </c>
      <c r="CM218" s="36">
        <v>0.0</v>
      </c>
      <c r="CN218" s="36">
        <v>0.0</v>
      </c>
      <c r="CO218" s="35" t="s">
        <v>7045</v>
      </c>
      <c r="CP218" s="30">
        <v>47300.0</v>
      </c>
      <c r="CQ218" s="30">
        <v>47391.0</v>
      </c>
      <c r="CR218" s="36">
        <v>0.0</v>
      </c>
      <c r="CS218" s="36">
        <v>0.0</v>
      </c>
      <c r="CT218" s="35" t="s">
        <v>7045</v>
      </c>
      <c r="CU218" s="30">
        <v>47392.0</v>
      </c>
      <c r="CV218" s="30">
        <v>47483.0</v>
      </c>
      <c r="CW218" s="36">
        <v>0.0</v>
      </c>
      <c r="CX218" s="36">
        <v>0.0</v>
      </c>
      <c r="CY218" s="35" t="s">
        <v>7045</v>
      </c>
      <c r="CZ218" s="30">
        <v>47484.0</v>
      </c>
      <c r="DA218" s="30">
        <v>47573.0</v>
      </c>
      <c r="DB218" s="36">
        <v>0.0</v>
      </c>
      <c r="DC218" s="36">
        <v>0.0</v>
      </c>
      <c r="DD218" s="35" t="s">
        <v>7045</v>
      </c>
      <c r="DE218" s="30">
        <v>47574.0</v>
      </c>
      <c r="DF218" s="30">
        <v>47664.0</v>
      </c>
      <c r="DG218" s="36">
        <v>0.0</v>
      </c>
      <c r="DH218" s="36">
        <v>0.0</v>
      </c>
      <c r="DI218" s="35" t="s">
        <v>7045</v>
      </c>
      <c r="DJ218" s="30">
        <v>47665.0</v>
      </c>
      <c r="DK218" s="30">
        <v>47756.0</v>
      </c>
      <c r="DL218" s="36">
        <v>0.0</v>
      </c>
      <c r="DM218" s="36">
        <v>0.0</v>
      </c>
      <c r="DN218" s="35" t="s">
        <v>7045</v>
      </c>
      <c r="DO218" s="30">
        <v>47757.0</v>
      </c>
      <c r="DP218" s="30">
        <v>47848.0</v>
      </c>
      <c r="DQ218" s="36">
        <v>0.0</v>
      </c>
      <c r="DR218" s="36">
        <v>0.0</v>
      </c>
      <c r="DS218" s="35" t="s">
        <v>7045</v>
      </c>
    </row>
    <row r="219" ht="14.25" customHeight="1">
      <c r="A219" s="28" t="s">
        <v>1437</v>
      </c>
      <c r="B219" s="29" t="s">
        <v>1438</v>
      </c>
      <c r="C219" s="29" t="s">
        <v>7041</v>
      </c>
      <c r="D219" s="30">
        <v>45658.0</v>
      </c>
      <c r="E219" s="30">
        <v>45747.0</v>
      </c>
      <c r="F219" s="39">
        <v>0.52</v>
      </c>
      <c r="G219" s="39">
        <v>0.0</v>
      </c>
      <c r="H219" s="38" t="s">
        <v>7047</v>
      </c>
      <c r="I219" s="30">
        <v>45748.0</v>
      </c>
      <c r="J219" s="30">
        <v>45838.0</v>
      </c>
      <c r="K219" s="39">
        <v>0.56</v>
      </c>
      <c r="L219" s="39">
        <v>1234.88</v>
      </c>
      <c r="M219" s="32" t="s">
        <v>7043</v>
      </c>
      <c r="N219" s="30">
        <v>45839.0</v>
      </c>
      <c r="O219" s="30">
        <v>45930.0</v>
      </c>
      <c r="P219" s="39">
        <v>50.43</v>
      </c>
      <c r="Q219" s="39">
        <v>1139.53</v>
      </c>
      <c r="R219" s="38" t="s">
        <v>7047</v>
      </c>
      <c r="S219" s="30">
        <v>45931.0</v>
      </c>
      <c r="T219" s="30">
        <v>46022.0</v>
      </c>
      <c r="U219" s="39">
        <v>36.7</v>
      </c>
      <c r="V219" s="39">
        <v>1230.23</v>
      </c>
      <c r="W219" s="38" t="s">
        <v>7047</v>
      </c>
      <c r="X219" s="30">
        <v>46023.0</v>
      </c>
      <c r="Y219" s="30">
        <v>46112.0</v>
      </c>
      <c r="Z219" s="39">
        <v>117.2</v>
      </c>
      <c r="AA219" s="39">
        <v>0.0</v>
      </c>
      <c r="AB219" s="38" t="s">
        <v>7047</v>
      </c>
      <c r="AC219" s="30">
        <v>46113.0</v>
      </c>
      <c r="AD219" s="30">
        <v>46203.0</v>
      </c>
      <c r="AE219" s="39">
        <v>72.6</v>
      </c>
      <c r="AF219" s="39">
        <v>0.0</v>
      </c>
      <c r="AG219" s="38" t="s">
        <v>7047</v>
      </c>
      <c r="AH219" s="30">
        <v>46204.0</v>
      </c>
      <c r="AI219" s="30">
        <v>46295.0</v>
      </c>
      <c r="AJ219" s="39">
        <v>43.03</v>
      </c>
      <c r="AK219" s="39">
        <v>0.0</v>
      </c>
      <c r="AL219" s="38" t="s">
        <v>7047</v>
      </c>
      <c r="AM219" s="30">
        <v>46296.0</v>
      </c>
      <c r="AN219" s="30">
        <v>46387.0</v>
      </c>
      <c r="AO219" s="39">
        <v>7.07</v>
      </c>
      <c r="AP219" s="39">
        <v>0.0</v>
      </c>
      <c r="AQ219" s="38" t="s">
        <v>7047</v>
      </c>
      <c r="AR219" s="30">
        <v>46388.0</v>
      </c>
      <c r="AS219" s="30">
        <v>46477.0</v>
      </c>
      <c r="AT219" s="39">
        <v>0.0</v>
      </c>
      <c r="AU219" s="39">
        <v>0.0</v>
      </c>
      <c r="AV219" s="35" t="s">
        <v>7045</v>
      </c>
      <c r="AW219" s="30">
        <v>46478.0</v>
      </c>
      <c r="AX219" s="30">
        <v>46568.0</v>
      </c>
      <c r="AY219" s="39">
        <v>0.0</v>
      </c>
      <c r="AZ219" s="39">
        <v>0.0</v>
      </c>
      <c r="BA219" s="35" t="s">
        <v>7045</v>
      </c>
      <c r="BB219" s="30">
        <v>46569.0</v>
      </c>
      <c r="BC219" s="30">
        <v>46660.0</v>
      </c>
      <c r="BD219" s="39">
        <v>0.0</v>
      </c>
      <c r="BE219" s="39">
        <v>0.0</v>
      </c>
      <c r="BF219" s="35" t="s">
        <v>7045</v>
      </c>
      <c r="BG219" s="30">
        <v>46661.0</v>
      </c>
      <c r="BH219" s="30">
        <v>46752.0</v>
      </c>
      <c r="BI219" s="39">
        <v>0.0</v>
      </c>
      <c r="BJ219" s="39">
        <v>0.0</v>
      </c>
      <c r="BK219" s="35" t="s">
        <v>7045</v>
      </c>
      <c r="BL219" s="30">
        <v>46753.0</v>
      </c>
      <c r="BM219" s="30">
        <v>46843.0</v>
      </c>
      <c r="BN219" s="39">
        <v>0.0</v>
      </c>
      <c r="BO219" s="39">
        <v>0.0</v>
      </c>
      <c r="BP219" s="35" t="s">
        <v>7045</v>
      </c>
      <c r="BQ219" s="30">
        <v>46844.0</v>
      </c>
      <c r="BR219" s="30">
        <v>46934.0</v>
      </c>
      <c r="BS219" s="39">
        <v>0.0</v>
      </c>
      <c r="BT219" s="39">
        <v>0.0</v>
      </c>
      <c r="BU219" s="35" t="s">
        <v>7045</v>
      </c>
      <c r="BV219" s="30">
        <v>46935.0</v>
      </c>
      <c r="BW219" s="30">
        <v>47026.0</v>
      </c>
      <c r="BX219" s="39">
        <v>0.0</v>
      </c>
      <c r="BY219" s="39">
        <v>0.0</v>
      </c>
      <c r="BZ219" s="35" t="s">
        <v>7045</v>
      </c>
      <c r="CA219" s="30">
        <v>47027.0</v>
      </c>
      <c r="CB219" s="30">
        <v>47118.0</v>
      </c>
      <c r="CC219" s="39">
        <v>0.0</v>
      </c>
      <c r="CD219" s="39">
        <v>0.0</v>
      </c>
      <c r="CE219" s="35" t="s">
        <v>7045</v>
      </c>
      <c r="CF219" s="30">
        <v>47119.0</v>
      </c>
      <c r="CG219" s="30">
        <v>47208.0</v>
      </c>
      <c r="CH219" s="39">
        <v>0.0</v>
      </c>
      <c r="CI219" s="39">
        <v>0.0</v>
      </c>
      <c r="CJ219" s="35" t="s">
        <v>7045</v>
      </c>
      <c r="CK219" s="30">
        <v>47209.0</v>
      </c>
      <c r="CL219" s="30">
        <v>47299.0</v>
      </c>
      <c r="CM219" s="39">
        <v>0.0</v>
      </c>
      <c r="CN219" s="39">
        <v>0.0</v>
      </c>
      <c r="CO219" s="35" t="s">
        <v>7045</v>
      </c>
      <c r="CP219" s="30">
        <v>47300.0</v>
      </c>
      <c r="CQ219" s="30">
        <v>47391.0</v>
      </c>
      <c r="CR219" s="39">
        <v>0.0</v>
      </c>
      <c r="CS219" s="39">
        <v>0.0</v>
      </c>
      <c r="CT219" s="35" t="s">
        <v>7045</v>
      </c>
      <c r="CU219" s="30">
        <v>47392.0</v>
      </c>
      <c r="CV219" s="30">
        <v>47483.0</v>
      </c>
      <c r="CW219" s="39">
        <v>0.0</v>
      </c>
      <c r="CX219" s="39">
        <v>0.0</v>
      </c>
      <c r="CY219" s="35" t="s">
        <v>7045</v>
      </c>
      <c r="CZ219" s="30">
        <v>47484.0</v>
      </c>
      <c r="DA219" s="30">
        <v>47573.0</v>
      </c>
      <c r="DB219" s="39">
        <v>0.0</v>
      </c>
      <c r="DC219" s="39">
        <v>0.0</v>
      </c>
      <c r="DD219" s="35" t="s">
        <v>7045</v>
      </c>
      <c r="DE219" s="30">
        <v>47574.0</v>
      </c>
      <c r="DF219" s="30">
        <v>47664.0</v>
      </c>
      <c r="DG219" s="39">
        <v>0.0</v>
      </c>
      <c r="DH219" s="39">
        <v>0.0</v>
      </c>
      <c r="DI219" s="35" t="s">
        <v>7045</v>
      </c>
      <c r="DJ219" s="30">
        <v>47665.0</v>
      </c>
      <c r="DK219" s="30">
        <v>47756.0</v>
      </c>
      <c r="DL219" s="39">
        <v>0.0</v>
      </c>
      <c r="DM219" s="39">
        <v>0.0</v>
      </c>
      <c r="DN219" s="35" t="s">
        <v>7045</v>
      </c>
      <c r="DO219" s="30">
        <v>47757.0</v>
      </c>
      <c r="DP219" s="30">
        <v>47848.0</v>
      </c>
      <c r="DQ219" s="39">
        <v>0.0</v>
      </c>
      <c r="DR219" s="39">
        <v>0.0</v>
      </c>
      <c r="DS219" s="35" t="s">
        <v>7045</v>
      </c>
    </row>
    <row r="220" ht="14.25" customHeight="1">
      <c r="A220" s="28" t="s">
        <v>1451</v>
      </c>
      <c r="B220" s="29" t="s">
        <v>1452</v>
      </c>
      <c r="C220" s="29" t="s">
        <v>7041</v>
      </c>
      <c r="D220" s="30">
        <v>45658.0</v>
      </c>
      <c r="E220" s="30">
        <v>45747.0</v>
      </c>
      <c r="F220" s="36">
        <v>199.99</v>
      </c>
      <c r="G220" s="36">
        <v>0.0</v>
      </c>
      <c r="H220" s="38" t="s">
        <v>7047</v>
      </c>
      <c r="I220" s="30">
        <v>45748.0</v>
      </c>
      <c r="J220" s="30">
        <v>45838.0</v>
      </c>
      <c r="K220" s="36">
        <v>12.07</v>
      </c>
      <c r="L220" s="36">
        <v>577.46</v>
      </c>
      <c r="M220" s="32" t="s">
        <v>7043</v>
      </c>
      <c r="N220" s="30">
        <v>45839.0</v>
      </c>
      <c r="O220" s="30">
        <v>45930.0</v>
      </c>
      <c r="P220" s="36">
        <v>790.3</v>
      </c>
      <c r="Q220" s="36">
        <v>845.07</v>
      </c>
      <c r="R220" s="38" t="s">
        <v>7047</v>
      </c>
      <c r="S220" s="30">
        <v>45931.0</v>
      </c>
      <c r="T220" s="30">
        <v>46022.0</v>
      </c>
      <c r="U220" s="36">
        <v>1429.99</v>
      </c>
      <c r="V220" s="36">
        <v>760.57</v>
      </c>
      <c r="W220" s="38" t="s">
        <v>7047</v>
      </c>
      <c r="X220" s="30">
        <v>46023.0</v>
      </c>
      <c r="Y220" s="30">
        <v>46112.0</v>
      </c>
      <c r="Z220" s="36">
        <v>2.39</v>
      </c>
      <c r="AA220" s="36">
        <v>0.0</v>
      </c>
      <c r="AB220" s="38" t="s">
        <v>7047</v>
      </c>
      <c r="AC220" s="30">
        <v>46113.0</v>
      </c>
      <c r="AD220" s="30">
        <v>46203.0</v>
      </c>
      <c r="AE220" s="36">
        <v>0.0</v>
      </c>
      <c r="AF220" s="36">
        <v>0.0</v>
      </c>
      <c r="AG220" s="35" t="s">
        <v>7045</v>
      </c>
      <c r="AH220" s="30">
        <v>46204.0</v>
      </c>
      <c r="AI220" s="30">
        <v>46295.0</v>
      </c>
      <c r="AJ220" s="36">
        <v>0.0</v>
      </c>
      <c r="AK220" s="36">
        <v>0.0</v>
      </c>
      <c r="AL220" s="35" t="s">
        <v>7045</v>
      </c>
      <c r="AM220" s="30">
        <v>46296.0</v>
      </c>
      <c r="AN220" s="30">
        <v>46387.0</v>
      </c>
      <c r="AO220" s="36">
        <v>0.0</v>
      </c>
      <c r="AP220" s="36">
        <v>0.0</v>
      </c>
      <c r="AQ220" s="35" t="s">
        <v>7045</v>
      </c>
      <c r="AR220" s="30">
        <v>46388.0</v>
      </c>
      <c r="AS220" s="30">
        <v>46477.0</v>
      </c>
      <c r="AT220" s="36">
        <v>0.0</v>
      </c>
      <c r="AU220" s="36">
        <v>0.0</v>
      </c>
      <c r="AV220" s="35" t="s">
        <v>7045</v>
      </c>
      <c r="AW220" s="30">
        <v>46478.0</v>
      </c>
      <c r="AX220" s="30">
        <v>46568.0</v>
      </c>
      <c r="AY220" s="36">
        <v>0.0</v>
      </c>
      <c r="AZ220" s="36">
        <v>0.0</v>
      </c>
      <c r="BA220" s="35" t="s">
        <v>7045</v>
      </c>
      <c r="BB220" s="30">
        <v>46569.0</v>
      </c>
      <c r="BC220" s="30">
        <v>46660.0</v>
      </c>
      <c r="BD220" s="36">
        <v>0.0</v>
      </c>
      <c r="BE220" s="36">
        <v>0.0</v>
      </c>
      <c r="BF220" s="35" t="s">
        <v>7045</v>
      </c>
      <c r="BG220" s="30">
        <v>46661.0</v>
      </c>
      <c r="BH220" s="30">
        <v>46752.0</v>
      </c>
      <c r="BI220" s="36">
        <v>0.0</v>
      </c>
      <c r="BJ220" s="36">
        <v>0.0</v>
      </c>
      <c r="BK220" s="35" t="s">
        <v>7045</v>
      </c>
      <c r="BL220" s="30">
        <v>46753.0</v>
      </c>
      <c r="BM220" s="30">
        <v>46843.0</v>
      </c>
      <c r="BN220" s="36">
        <v>0.0</v>
      </c>
      <c r="BO220" s="36">
        <v>0.0</v>
      </c>
      <c r="BP220" s="35" t="s">
        <v>7045</v>
      </c>
      <c r="BQ220" s="30">
        <v>46844.0</v>
      </c>
      <c r="BR220" s="30">
        <v>46934.0</v>
      </c>
      <c r="BS220" s="36">
        <v>0.0</v>
      </c>
      <c r="BT220" s="36">
        <v>0.0</v>
      </c>
      <c r="BU220" s="35" t="s">
        <v>7045</v>
      </c>
      <c r="BV220" s="30">
        <v>46935.0</v>
      </c>
      <c r="BW220" s="30">
        <v>47026.0</v>
      </c>
      <c r="BX220" s="36">
        <v>0.0</v>
      </c>
      <c r="BY220" s="36">
        <v>0.0</v>
      </c>
      <c r="BZ220" s="35" t="s">
        <v>7045</v>
      </c>
      <c r="CA220" s="30">
        <v>47027.0</v>
      </c>
      <c r="CB220" s="30">
        <v>47118.0</v>
      </c>
      <c r="CC220" s="36">
        <v>0.0</v>
      </c>
      <c r="CD220" s="36">
        <v>0.0</v>
      </c>
      <c r="CE220" s="35" t="s">
        <v>7045</v>
      </c>
      <c r="CF220" s="30">
        <v>47119.0</v>
      </c>
      <c r="CG220" s="30">
        <v>47208.0</v>
      </c>
      <c r="CH220" s="36">
        <v>0.0</v>
      </c>
      <c r="CI220" s="36">
        <v>0.0</v>
      </c>
      <c r="CJ220" s="35" t="s">
        <v>7045</v>
      </c>
      <c r="CK220" s="30">
        <v>47209.0</v>
      </c>
      <c r="CL220" s="30">
        <v>47299.0</v>
      </c>
      <c r="CM220" s="36">
        <v>0.0</v>
      </c>
      <c r="CN220" s="36">
        <v>0.0</v>
      </c>
      <c r="CO220" s="35" t="s">
        <v>7045</v>
      </c>
      <c r="CP220" s="30">
        <v>47300.0</v>
      </c>
      <c r="CQ220" s="30">
        <v>47391.0</v>
      </c>
      <c r="CR220" s="36">
        <v>0.0</v>
      </c>
      <c r="CS220" s="36">
        <v>0.0</v>
      </c>
      <c r="CT220" s="35" t="s">
        <v>7045</v>
      </c>
      <c r="CU220" s="30">
        <v>47392.0</v>
      </c>
      <c r="CV220" s="30">
        <v>47483.0</v>
      </c>
      <c r="CW220" s="36">
        <v>0.0</v>
      </c>
      <c r="CX220" s="36">
        <v>0.0</v>
      </c>
      <c r="CY220" s="35" t="s">
        <v>7045</v>
      </c>
      <c r="CZ220" s="30">
        <v>47484.0</v>
      </c>
      <c r="DA220" s="30">
        <v>47573.0</v>
      </c>
      <c r="DB220" s="36">
        <v>0.0</v>
      </c>
      <c r="DC220" s="36">
        <v>0.0</v>
      </c>
      <c r="DD220" s="35" t="s">
        <v>7045</v>
      </c>
      <c r="DE220" s="30">
        <v>47574.0</v>
      </c>
      <c r="DF220" s="30">
        <v>47664.0</v>
      </c>
      <c r="DG220" s="36">
        <v>0.0</v>
      </c>
      <c r="DH220" s="36">
        <v>0.0</v>
      </c>
      <c r="DI220" s="35" t="s">
        <v>7045</v>
      </c>
      <c r="DJ220" s="30">
        <v>47665.0</v>
      </c>
      <c r="DK220" s="30">
        <v>47756.0</v>
      </c>
      <c r="DL220" s="36">
        <v>0.0</v>
      </c>
      <c r="DM220" s="36">
        <v>0.0</v>
      </c>
      <c r="DN220" s="35" t="s">
        <v>7045</v>
      </c>
      <c r="DO220" s="30">
        <v>47757.0</v>
      </c>
      <c r="DP220" s="30">
        <v>47848.0</v>
      </c>
      <c r="DQ220" s="36">
        <v>0.0</v>
      </c>
      <c r="DR220" s="36">
        <v>0.0</v>
      </c>
      <c r="DS220" s="35" t="s">
        <v>7045</v>
      </c>
    </row>
    <row r="221" ht="14.25" customHeight="1">
      <c r="A221" s="28" t="s">
        <v>2262</v>
      </c>
      <c r="B221" s="29" t="s">
        <v>2263</v>
      </c>
      <c r="C221" s="29" t="s">
        <v>7041</v>
      </c>
      <c r="D221" s="30">
        <v>45658.0</v>
      </c>
      <c r="E221" s="30">
        <v>45747.0</v>
      </c>
      <c r="F221" s="36">
        <v>31.13</v>
      </c>
      <c r="G221" s="36">
        <v>0.0</v>
      </c>
      <c r="H221" s="38" t="s">
        <v>7047</v>
      </c>
      <c r="I221" s="30">
        <v>45748.0</v>
      </c>
      <c r="J221" s="30">
        <v>45838.0</v>
      </c>
      <c r="K221" s="36">
        <v>100.52</v>
      </c>
      <c r="L221" s="36">
        <v>0.0</v>
      </c>
      <c r="M221" s="38" t="s">
        <v>7047</v>
      </c>
      <c r="N221" s="30">
        <v>45839.0</v>
      </c>
      <c r="O221" s="30">
        <v>45930.0</v>
      </c>
      <c r="P221" s="36">
        <v>767.07</v>
      </c>
      <c r="Q221" s="36">
        <v>0.0</v>
      </c>
      <c r="R221" s="38" t="s">
        <v>7047</v>
      </c>
      <c r="S221" s="30">
        <v>45931.0</v>
      </c>
      <c r="T221" s="30">
        <v>46022.0</v>
      </c>
      <c r="U221" s="36">
        <v>395.63</v>
      </c>
      <c r="V221" s="36">
        <v>0.0</v>
      </c>
      <c r="W221" s="38" t="s">
        <v>7047</v>
      </c>
      <c r="X221" s="30">
        <v>46023.0</v>
      </c>
      <c r="Y221" s="30">
        <v>46112.0</v>
      </c>
      <c r="Z221" s="36">
        <v>46.59</v>
      </c>
      <c r="AA221" s="36">
        <v>0.0</v>
      </c>
      <c r="AB221" s="38" t="s">
        <v>7047</v>
      </c>
      <c r="AC221" s="30">
        <v>46113.0</v>
      </c>
      <c r="AD221" s="30">
        <v>46203.0</v>
      </c>
      <c r="AE221" s="36">
        <v>251.48</v>
      </c>
      <c r="AF221" s="36">
        <v>0.0</v>
      </c>
      <c r="AG221" s="38" t="s">
        <v>7047</v>
      </c>
      <c r="AH221" s="30">
        <v>46204.0</v>
      </c>
      <c r="AI221" s="30">
        <v>46295.0</v>
      </c>
      <c r="AJ221" s="36">
        <v>2.56</v>
      </c>
      <c r="AK221" s="36">
        <v>0.0</v>
      </c>
      <c r="AL221" s="38" t="s">
        <v>7047</v>
      </c>
      <c r="AM221" s="30">
        <v>46296.0</v>
      </c>
      <c r="AN221" s="30">
        <v>46387.0</v>
      </c>
      <c r="AO221" s="36">
        <v>32.17</v>
      </c>
      <c r="AP221" s="36">
        <v>0.0</v>
      </c>
      <c r="AQ221" s="38" t="s">
        <v>7047</v>
      </c>
      <c r="AR221" s="30">
        <v>46388.0</v>
      </c>
      <c r="AS221" s="30">
        <v>46477.0</v>
      </c>
      <c r="AT221" s="36">
        <v>0.0</v>
      </c>
      <c r="AU221" s="36">
        <v>0.0</v>
      </c>
      <c r="AV221" s="35" t="s">
        <v>7045</v>
      </c>
      <c r="AW221" s="30">
        <v>46478.0</v>
      </c>
      <c r="AX221" s="30">
        <v>46568.0</v>
      </c>
      <c r="AY221" s="36">
        <v>0.0</v>
      </c>
      <c r="AZ221" s="36">
        <v>0.0</v>
      </c>
      <c r="BA221" s="35" t="s">
        <v>7045</v>
      </c>
      <c r="BB221" s="30">
        <v>46569.0</v>
      </c>
      <c r="BC221" s="30">
        <v>46660.0</v>
      </c>
      <c r="BD221" s="36">
        <v>0.0</v>
      </c>
      <c r="BE221" s="36">
        <v>0.0</v>
      </c>
      <c r="BF221" s="35" t="s">
        <v>7045</v>
      </c>
      <c r="BG221" s="30">
        <v>46661.0</v>
      </c>
      <c r="BH221" s="30">
        <v>46752.0</v>
      </c>
      <c r="BI221" s="36">
        <v>0.0</v>
      </c>
      <c r="BJ221" s="36">
        <v>0.0</v>
      </c>
      <c r="BK221" s="35" t="s">
        <v>7045</v>
      </c>
      <c r="BL221" s="30">
        <v>46753.0</v>
      </c>
      <c r="BM221" s="30">
        <v>46843.0</v>
      </c>
      <c r="BN221" s="36">
        <v>0.0</v>
      </c>
      <c r="BO221" s="36">
        <v>0.0</v>
      </c>
      <c r="BP221" s="35" t="s">
        <v>7045</v>
      </c>
      <c r="BQ221" s="30">
        <v>46844.0</v>
      </c>
      <c r="BR221" s="30">
        <v>46934.0</v>
      </c>
      <c r="BS221" s="36">
        <v>0.0</v>
      </c>
      <c r="BT221" s="36">
        <v>0.0</v>
      </c>
      <c r="BU221" s="35" t="s">
        <v>7045</v>
      </c>
      <c r="BV221" s="30">
        <v>46935.0</v>
      </c>
      <c r="BW221" s="30">
        <v>47026.0</v>
      </c>
      <c r="BX221" s="36">
        <v>0.0</v>
      </c>
      <c r="BY221" s="36">
        <v>0.0</v>
      </c>
      <c r="BZ221" s="35" t="s">
        <v>7045</v>
      </c>
      <c r="CA221" s="30">
        <v>47027.0</v>
      </c>
      <c r="CB221" s="30">
        <v>47118.0</v>
      </c>
      <c r="CC221" s="36">
        <v>0.0</v>
      </c>
      <c r="CD221" s="36">
        <v>0.0</v>
      </c>
      <c r="CE221" s="35" t="s">
        <v>7045</v>
      </c>
      <c r="CF221" s="30">
        <v>47119.0</v>
      </c>
      <c r="CG221" s="30">
        <v>47208.0</v>
      </c>
      <c r="CH221" s="36">
        <v>0.0</v>
      </c>
      <c r="CI221" s="36">
        <v>0.0</v>
      </c>
      <c r="CJ221" s="35" t="s">
        <v>7045</v>
      </c>
      <c r="CK221" s="30">
        <v>47209.0</v>
      </c>
      <c r="CL221" s="30">
        <v>47299.0</v>
      </c>
      <c r="CM221" s="36">
        <v>0.0</v>
      </c>
      <c r="CN221" s="36">
        <v>0.0</v>
      </c>
      <c r="CO221" s="35" t="s">
        <v>7045</v>
      </c>
      <c r="CP221" s="30">
        <v>47300.0</v>
      </c>
      <c r="CQ221" s="30">
        <v>47391.0</v>
      </c>
      <c r="CR221" s="36">
        <v>0.0</v>
      </c>
      <c r="CS221" s="36">
        <v>0.0</v>
      </c>
      <c r="CT221" s="35" t="s">
        <v>7045</v>
      </c>
      <c r="CU221" s="30">
        <v>47392.0</v>
      </c>
      <c r="CV221" s="30">
        <v>47483.0</v>
      </c>
      <c r="CW221" s="36">
        <v>0.0</v>
      </c>
      <c r="CX221" s="36">
        <v>0.0</v>
      </c>
      <c r="CY221" s="35" t="s">
        <v>7045</v>
      </c>
      <c r="CZ221" s="30">
        <v>47484.0</v>
      </c>
      <c r="DA221" s="30">
        <v>47573.0</v>
      </c>
      <c r="DB221" s="36">
        <v>0.0</v>
      </c>
      <c r="DC221" s="36">
        <v>0.0</v>
      </c>
      <c r="DD221" s="35" t="s">
        <v>7045</v>
      </c>
      <c r="DE221" s="30">
        <v>47574.0</v>
      </c>
      <c r="DF221" s="30">
        <v>47664.0</v>
      </c>
      <c r="DG221" s="36">
        <v>0.0</v>
      </c>
      <c r="DH221" s="36">
        <v>0.0</v>
      </c>
      <c r="DI221" s="35" t="s">
        <v>7045</v>
      </c>
      <c r="DJ221" s="30">
        <v>47665.0</v>
      </c>
      <c r="DK221" s="30">
        <v>47756.0</v>
      </c>
      <c r="DL221" s="36">
        <v>0.0</v>
      </c>
      <c r="DM221" s="36">
        <v>0.0</v>
      </c>
      <c r="DN221" s="35" t="s">
        <v>7045</v>
      </c>
      <c r="DO221" s="30">
        <v>47757.0</v>
      </c>
      <c r="DP221" s="30">
        <v>47848.0</v>
      </c>
      <c r="DQ221" s="36">
        <v>0.0</v>
      </c>
      <c r="DR221" s="36">
        <v>0.0</v>
      </c>
      <c r="DS221" s="35" t="s">
        <v>7045</v>
      </c>
    </row>
    <row r="222" ht="14.25" customHeight="1">
      <c r="A222" s="28" t="s">
        <v>2341</v>
      </c>
      <c r="B222" s="29" t="s">
        <v>2342</v>
      </c>
      <c r="C222" s="29" t="s">
        <v>7041</v>
      </c>
      <c r="D222" s="30">
        <v>45658.0</v>
      </c>
      <c r="E222" s="30">
        <v>45747.0</v>
      </c>
      <c r="F222" s="39">
        <v>27.25</v>
      </c>
      <c r="G222" s="39">
        <v>0.0</v>
      </c>
      <c r="H222" s="38" t="s">
        <v>7047</v>
      </c>
      <c r="I222" s="30">
        <v>45748.0</v>
      </c>
      <c r="J222" s="30">
        <v>45838.0</v>
      </c>
      <c r="K222" s="39">
        <v>17.56</v>
      </c>
      <c r="L222" s="39">
        <v>833.33</v>
      </c>
      <c r="M222" s="38" t="s">
        <v>7043</v>
      </c>
      <c r="N222" s="30">
        <v>45839.0</v>
      </c>
      <c r="O222" s="30">
        <v>45930.0</v>
      </c>
      <c r="P222" s="39">
        <v>229.74</v>
      </c>
      <c r="Q222" s="39">
        <v>1240.0</v>
      </c>
      <c r="R222" s="38" t="s">
        <v>7047</v>
      </c>
      <c r="S222" s="30">
        <v>45931.0</v>
      </c>
      <c r="T222" s="30">
        <v>46022.0</v>
      </c>
      <c r="U222" s="39">
        <v>1371.73</v>
      </c>
      <c r="V222" s="39">
        <v>1266.67</v>
      </c>
      <c r="W222" s="38" t="s">
        <v>7047</v>
      </c>
      <c r="X222" s="30">
        <v>46023.0</v>
      </c>
      <c r="Y222" s="30">
        <v>46112.0</v>
      </c>
      <c r="Z222" s="39">
        <v>80.57</v>
      </c>
      <c r="AA222" s="39">
        <v>0.0</v>
      </c>
      <c r="AB222" s="38" t="s">
        <v>7047</v>
      </c>
      <c r="AC222" s="30">
        <v>46113.0</v>
      </c>
      <c r="AD222" s="30">
        <v>46203.0</v>
      </c>
      <c r="AE222" s="39">
        <v>4020.37</v>
      </c>
      <c r="AF222" s="39">
        <v>0.0</v>
      </c>
      <c r="AG222" s="38" t="s">
        <v>7047</v>
      </c>
      <c r="AH222" s="30">
        <v>46204.0</v>
      </c>
      <c r="AI222" s="30">
        <v>46295.0</v>
      </c>
      <c r="AJ222" s="39">
        <v>216.9</v>
      </c>
      <c r="AK222" s="39">
        <v>0.0</v>
      </c>
      <c r="AL222" s="38" t="s">
        <v>7047</v>
      </c>
      <c r="AM222" s="30">
        <v>46296.0</v>
      </c>
      <c r="AN222" s="30">
        <v>46387.0</v>
      </c>
      <c r="AO222" s="39">
        <v>32.17</v>
      </c>
      <c r="AP222" s="39">
        <v>0.0</v>
      </c>
      <c r="AQ222" s="38" t="s">
        <v>7047</v>
      </c>
      <c r="AR222" s="30">
        <v>46388.0</v>
      </c>
      <c r="AS222" s="30">
        <v>46477.0</v>
      </c>
      <c r="AT222" s="39">
        <v>0.0</v>
      </c>
      <c r="AU222" s="39">
        <v>0.0</v>
      </c>
      <c r="AV222" s="35" t="s">
        <v>7045</v>
      </c>
      <c r="AW222" s="30">
        <v>46478.0</v>
      </c>
      <c r="AX222" s="30">
        <v>46568.0</v>
      </c>
      <c r="AY222" s="39">
        <v>0.0</v>
      </c>
      <c r="AZ222" s="39">
        <v>0.0</v>
      </c>
      <c r="BA222" s="35" t="s">
        <v>7045</v>
      </c>
      <c r="BB222" s="30">
        <v>46569.0</v>
      </c>
      <c r="BC222" s="30">
        <v>46660.0</v>
      </c>
      <c r="BD222" s="39">
        <v>0.0</v>
      </c>
      <c r="BE222" s="39">
        <v>0.0</v>
      </c>
      <c r="BF222" s="35" t="s">
        <v>7045</v>
      </c>
      <c r="BG222" s="30">
        <v>46661.0</v>
      </c>
      <c r="BH222" s="30">
        <v>46752.0</v>
      </c>
      <c r="BI222" s="39">
        <v>0.0</v>
      </c>
      <c r="BJ222" s="39">
        <v>0.0</v>
      </c>
      <c r="BK222" s="35" t="s">
        <v>7045</v>
      </c>
      <c r="BL222" s="30">
        <v>46753.0</v>
      </c>
      <c r="BM222" s="30">
        <v>46843.0</v>
      </c>
      <c r="BN222" s="39">
        <v>0.0</v>
      </c>
      <c r="BO222" s="39">
        <v>0.0</v>
      </c>
      <c r="BP222" s="35" t="s">
        <v>7045</v>
      </c>
      <c r="BQ222" s="30">
        <v>46844.0</v>
      </c>
      <c r="BR222" s="30">
        <v>46934.0</v>
      </c>
      <c r="BS222" s="39">
        <v>0.0</v>
      </c>
      <c r="BT222" s="39">
        <v>0.0</v>
      </c>
      <c r="BU222" s="35" t="s">
        <v>7045</v>
      </c>
      <c r="BV222" s="30">
        <v>46935.0</v>
      </c>
      <c r="BW222" s="30">
        <v>47026.0</v>
      </c>
      <c r="BX222" s="39">
        <v>0.0</v>
      </c>
      <c r="BY222" s="39">
        <v>0.0</v>
      </c>
      <c r="BZ222" s="35" t="s">
        <v>7045</v>
      </c>
      <c r="CA222" s="30">
        <v>47027.0</v>
      </c>
      <c r="CB222" s="30">
        <v>47118.0</v>
      </c>
      <c r="CC222" s="39">
        <v>0.0</v>
      </c>
      <c r="CD222" s="39">
        <v>0.0</v>
      </c>
      <c r="CE222" s="35" t="s">
        <v>7045</v>
      </c>
      <c r="CF222" s="30">
        <v>47119.0</v>
      </c>
      <c r="CG222" s="30">
        <v>47208.0</v>
      </c>
      <c r="CH222" s="39">
        <v>0.0</v>
      </c>
      <c r="CI222" s="39">
        <v>0.0</v>
      </c>
      <c r="CJ222" s="35" t="s">
        <v>7045</v>
      </c>
      <c r="CK222" s="30">
        <v>47209.0</v>
      </c>
      <c r="CL222" s="30">
        <v>47299.0</v>
      </c>
      <c r="CM222" s="39">
        <v>0.0</v>
      </c>
      <c r="CN222" s="39">
        <v>0.0</v>
      </c>
      <c r="CO222" s="35" t="s">
        <v>7045</v>
      </c>
      <c r="CP222" s="30">
        <v>47300.0</v>
      </c>
      <c r="CQ222" s="30">
        <v>47391.0</v>
      </c>
      <c r="CR222" s="39">
        <v>0.0</v>
      </c>
      <c r="CS222" s="39">
        <v>0.0</v>
      </c>
      <c r="CT222" s="35" t="s">
        <v>7045</v>
      </c>
      <c r="CU222" s="30">
        <v>47392.0</v>
      </c>
      <c r="CV222" s="30">
        <v>47483.0</v>
      </c>
      <c r="CW222" s="39">
        <v>0.0</v>
      </c>
      <c r="CX222" s="39">
        <v>0.0</v>
      </c>
      <c r="CY222" s="35" t="s">
        <v>7045</v>
      </c>
      <c r="CZ222" s="30">
        <v>47484.0</v>
      </c>
      <c r="DA222" s="30">
        <v>47573.0</v>
      </c>
      <c r="DB222" s="39">
        <v>0.0</v>
      </c>
      <c r="DC222" s="39">
        <v>0.0</v>
      </c>
      <c r="DD222" s="35" t="s">
        <v>7045</v>
      </c>
      <c r="DE222" s="30">
        <v>47574.0</v>
      </c>
      <c r="DF222" s="30">
        <v>47664.0</v>
      </c>
      <c r="DG222" s="39">
        <v>0.0</v>
      </c>
      <c r="DH222" s="39">
        <v>0.0</v>
      </c>
      <c r="DI222" s="35" t="s">
        <v>7045</v>
      </c>
      <c r="DJ222" s="30">
        <v>47665.0</v>
      </c>
      <c r="DK222" s="30">
        <v>47756.0</v>
      </c>
      <c r="DL222" s="39">
        <v>0.0</v>
      </c>
      <c r="DM222" s="39">
        <v>0.0</v>
      </c>
      <c r="DN222" s="35" t="s">
        <v>7045</v>
      </c>
      <c r="DO222" s="30">
        <v>47757.0</v>
      </c>
      <c r="DP222" s="30">
        <v>47848.0</v>
      </c>
      <c r="DQ222" s="39">
        <v>0.0</v>
      </c>
      <c r="DR222" s="39">
        <v>0.0</v>
      </c>
      <c r="DS222" s="35" t="s">
        <v>7045</v>
      </c>
    </row>
    <row r="223" ht="14.25" customHeight="1">
      <c r="A223" s="28" t="s">
        <v>6790</v>
      </c>
      <c r="B223" s="29" t="s">
        <v>6791</v>
      </c>
      <c r="C223" s="29" t="s">
        <v>7041</v>
      </c>
      <c r="D223" s="30">
        <v>45658.0</v>
      </c>
      <c r="E223" s="30">
        <v>45747.0</v>
      </c>
      <c r="F223" s="39">
        <v>15.0</v>
      </c>
      <c r="G223" s="39">
        <v>0.0</v>
      </c>
      <c r="H223" s="38" t="s">
        <v>7047</v>
      </c>
      <c r="I223" s="30">
        <v>45748.0</v>
      </c>
      <c r="J223" s="30">
        <v>45838.0</v>
      </c>
      <c r="K223" s="39">
        <v>3.0</v>
      </c>
      <c r="L223" s="39">
        <v>1354.84</v>
      </c>
      <c r="M223" s="32" t="s">
        <v>7043</v>
      </c>
      <c r="N223" s="30">
        <v>45839.0</v>
      </c>
      <c r="O223" s="30">
        <v>45930.0</v>
      </c>
      <c r="P223" s="39">
        <v>97.77</v>
      </c>
      <c r="Q223" s="39">
        <v>1419.35</v>
      </c>
      <c r="R223" s="38" t="s">
        <v>7043</v>
      </c>
      <c r="S223" s="30">
        <v>45931.0</v>
      </c>
      <c r="T223" s="30">
        <v>46022.0</v>
      </c>
      <c r="U223" s="39">
        <v>45.76</v>
      </c>
      <c r="V223" s="39">
        <v>1516.13</v>
      </c>
      <c r="W223" s="38" t="s">
        <v>7047</v>
      </c>
      <c r="X223" s="30">
        <v>46023.0</v>
      </c>
      <c r="Y223" s="30">
        <v>46112.0</v>
      </c>
      <c r="Z223" s="39">
        <v>6.45</v>
      </c>
      <c r="AA223" s="39">
        <v>0.0</v>
      </c>
      <c r="AB223" s="38" t="s">
        <v>7047</v>
      </c>
      <c r="AC223" s="30">
        <v>46113.0</v>
      </c>
      <c r="AD223" s="30">
        <v>46203.0</v>
      </c>
      <c r="AE223" s="39">
        <v>30.15</v>
      </c>
      <c r="AF223" s="39">
        <v>0.0</v>
      </c>
      <c r="AG223" s="38" t="s">
        <v>7047</v>
      </c>
      <c r="AH223" s="30">
        <v>46204.0</v>
      </c>
      <c r="AI223" s="30">
        <v>46295.0</v>
      </c>
      <c r="AJ223" s="39">
        <v>13.3</v>
      </c>
      <c r="AK223" s="39">
        <v>0.0</v>
      </c>
      <c r="AL223" s="38" t="s">
        <v>7047</v>
      </c>
      <c r="AM223" s="30">
        <v>46296.0</v>
      </c>
      <c r="AN223" s="30">
        <v>46387.0</v>
      </c>
      <c r="AO223" s="39">
        <v>44.83</v>
      </c>
      <c r="AP223" s="39">
        <v>0.0</v>
      </c>
      <c r="AQ223" s="38" t="s">
        <v>7047</v>
      </c>
      <c r="AR223" s="30">
        <v>46388.0</v>
      </c>
      <c r="AS223" s="30">
        <v>46477.0</v>
      </c>
      <c r="AT223" s="39">
        <v>0.0</v>
      </c>
      <c r="AU223" s="39">
        <v>0.0</v>
      </c>
      <c r="AV223" s="35" t="s">
        <v>7045</v>
      </c>
      <c r="AW223" s="30">
        <v>46478.0</v>
      </c>
      <c r="AX223" s="30">
        <v>46568.0</v>
      </c>
      <c r="AY223" s="39">
        <v>0.0</v>
      </c>
      <c r="AZ223" s="39">
        <v>0.0</v>
      </c>
      <c r="BA223" s="35" t="s">
        <v>7045</v>
      </c>
      <c r="BB223" s="30">
        <v>46569.0</v>
      </c>
      <c r="BC223" s="30">
        <v>46660.0</v>
      </c>
      <c r="BD223" s="39">
        <v>0.0</v>
      </c>
      <c r="BE223" s="39">
        <v>0.0</v>
      </c>
      <c r="BF223" s="35" t="s">
        <v>7045</v>
      </c>
      <c r="BG223" s="30">
        <v>46661.0</v>
      </c>
      <c r="BH223" s="30">
        <v>46752.0</v>
      </c>
      <c r="BI223" s="39">
        <v>0.0</v>
      </c>
      <c r="BJ223" s="39">
        <v>0.0</v>
      </c>
      <c r="BK223" s="35" t="s">
        <v>7045</v>
      </c>
      <c r="BL223" s="30">
        <v>46753.0</v>
      </c>
      <c r="BM223" s="30">
        <v>46843.0</v>
      </c>
      <c r="BN223" s="39">
        <v>0.0</v>
      </c>
      <c r="BO223" s="39">
        <v>0.0</v>
      </c>
      <c r="BP223" s="35" t="s">
        <v>7045</v>
      </c>
      <c r="BQ223" s="30">
        <v>46844.0</v>
      </c>
      <c r="BR223" s="30">
        <v>46934.0</v>
      </c>
      <c r="BS223" s="39">
        <v>0.0</v>
      </c>
      <c r="BT223" s="39">
        <v>0.0</v>
      </c>
      <c r="BU223" s="35" t="s">
        <v>7045</v>
      </c>
      <c r="BV223" s="30">
        <v>46935.0</v>
      </c>
      <c r="BW223" s="30">
        <v>47026.0</v>
      </c>
      <c r="BX223" s="39">
        <v>0.0</v>
      </c>
      <c r="BY223" s="39">
        <v>0.0</v>
      </c>
      <c r="BZ223" s="35" t="s">
        <v>7045</v>
      </c>
      <c r="CA223" s="30">
        <v>47027.0</v>
      </c>
      <c r="CB223" s="30">
        <v>47118.0</v>
      </c>
      <c r="CC223" s="39">
        <v>0.0</v>
      </c>
      <c r="CD223" s="39">
        <v>0.0</v>
      </c>
      <c r="CE223" s="35" t="s">
        <v>7045</v>
      </c>
      <c r="CF223" s="30">
        <v>47119.0</v>
      </c>
      <c r="CG223" s="30">
        <v>47208.0</v>
      </c>
      <c r="CH223" s="39">
        <v>0.0</v>
      </c>
      <c r="CI223" s="39">
        <v>0.0</v>
      </c>
      <c r="CJ223" s="35" t="s">
        <v>7045</v>
      </c>
      <c r="CK223" s="30">
        <v>47209.0</v>
      </c>
      <c r="CL223" s="30">
        <v>47299.0</v>
      </c>
      <c r="CM223" s="39">
        <v>0.0</v>
      </c>
      <c r="CN223" s="39">
        <v>0.0</v>
      </c>
      <c r="CO223" s="35" t="s">
        <v>7045</v>
      </c>
      <c r="CP223" s="30">
        <v>47300.0</v>
      </c>
      <c r="CQ223" s="30">
        <v>47391.0</v>
      </c>
      <c r="CR223" s="39">
        <v>0.0</v>
      </c>
      <c r="CS223" s="39">
        <v>0.0</v>
      </c>
      <c r="CT223" s="35" t="s">
        <v>7045</v>
      </c>
      <c r="CU223" s="30">
        <v>47392.0</v>
      </c>
      <c r="CV223" s="30">
        <v>47483.0</v>
      </c>
      <c r="CW223" s="39">
        <v>0.0</v>
      </c>
      <c r="CX223" s="39">
        <v>0.0</v>
      </c>
      <c r="CY223" s="35" t="s">
        <v>7045</v>
      </c>
      <c r="CZ223" s="30">
        <v>47484.0</v>
      </c>
      <c r="DA223" s="30">
        <v>47573.0</v>
      </c>
      <c r="DB223" s="39">
        <v>0.0</v>
      </c>
      <c r="DC223" s="39">
        <v>0.0</v>
      </c>
      <c r="DD223" s="35" t="s">
        <v>7045</v>
      </c>
      <c r="DE223" s="30">
        <v>47574.0</v>
      </c>
      <c r="DF223" s="30">
        <v>47664.0</v>
      </c>
      <c r="DG223" s="39">
        <v>0.0</v>
      </c>
      <c r="DH223" s="39">
        <v>0.0</v>
      </c>
      <c r="DI223" s="35" t="s">
        <v>7045</v>
      </c>
      <c r="DJ223" s="30">
        <v>47665.0</v>
      </c>
      <c r="DK223" s="30">
        <v>47756.0</v>
      </c>
      <c r="DL223" s="39">
        <v>0.0</v>
      </c>
      <c r="DM223" s="39">
        <v>0.0</v>
      </c>
      <c r="DN223" s="35" t="s">
        <v>7045</v>
      </c>
      <c r="DO223" s="30">
        <v>47757.0</v>
      </c>
      <c r="DP223" s="30">
        <v>47848.0</v>
      </c>
      <c r="DQ223" s="39">
        <v>0.0</v>
      </c>
      <c r="DR223" s="39">
        <v>0.0</v>
      </c>
      <c r="DS223" s="35" t="s">
        <v>7045</v>
      </c>
    </row>
    <row r="224" ht="14.25" customHeight="1">
      <c r="A224" s="28" t="s">
        <v>2623</v>
      </c>
      <c r="B224" s="29" t="s">
        <v>2624</v>
      </c>
      <c r="C224" s="29" t="s">
        <v>7041</v>
      </c>
      <c r="D224" s="30">
        <v>45658.0</v>
      </c>
      <c r="E224" s="30">
        <v>45747.0</v>
      </c>
      <c r="F224" s="39">
        <v>8.25</v>
      </c>
      <c r="G224" s="39">
        <v>0.0</v>
      </c>
      <c r="H224" s="38" t="s">
        <v>7047</v>
      </c>
      <c r="I224" s="30">
        <v>45748.0</v>
      </c>
      <c r="J224" s="30">
        <v>45838.0</v>
      </c>
      <c r="K224" s="39">
        <v>0.72</v>
      </c>
      <c r="L224" s="39">
        <v>1095.65</v>
      </c>
      <c r="M224" s="32" t="s">
        <v>7043</v>
      </c>
      <c r="N224" s="30">
        <v>45839.0</v>
      </c>
      <c r="O224" s="30">
        <v>45930.0</v>
      </c>
      <c r="P224" s="39">
        <v>50.01</v>
      </c>
      <c r="Q224" s="39">
        <v>965.22</v>
      </c>
      <c r="R224" s="38" t="s">
        <v>7047</v>
      </c>
      <c r="S224" s="30">
        <v>45931.0</v>
      </c>
      <c r="T224" s="30">
        <v>46022.0</v>
      </c>
      <c r="U224" s="39">
        <v>233.79</v>
      </c>
      <c r="V224" s="39">
        <v>1030.43</v>
      </c>
      <c r="W224" s="38" t="s">
        <v>7047</v>
      </c>
      <c r="X224" s="30">
        <v>46023.0</v>
      </c>
      <c r="Y224" s="30">
        <v>46112.0</v>
      </c>
      <c r="Z224" s="39">
        <v>8.67</v>
      </c>
      <c r="AA224" s="39">
        <v>0.0</v>
      </c>
      <c r="AB224" s="38" t="s">
        <v>7047</v>
      </c>
      <c r="AC224" s="30">
        <v>46113.0</v>
      </c>
      <c r="AD224" s="30">
        <v>46203.0</v>
      </c>
      <c r="AE224" s="39">
        <v>12.93</v>
      </c>
      <c r="AF224" s="39">
        <v>0.0</v>
      </c>
      <c r="AG224" s="38" t="s">
        <v>7047</v>
      </c>
      <c r="AH224" s="30">
        <v>46204.0</v>
      </c>
      <c r="AI224" s="30">
        <v>46295.0</v>
      </c>
      <c r="AJ224" s="39">
        <v>2.64</v>
      </c>
      <c r="AK224" s="39">
        <v>0.0</v>
      </c>
      <c r="AL224" s="38" t="s">
        <v>7047</v>
      </c>
      <c r="AM224" s="30">
        <v>46296.0</v>
      </c>
      <c r="AN224" s="30">
        <v>46387.0</v>
      </c>
      <c r="AO224" s="39">
        <v>1.75</v>
      </c>
      <c r="AP224" s="39">
        <v>0.0</v>
      </c>
      <c r="AQ224" s="38" t="s">
        <v>7047</v>
      </c>
      <c r="AR224" s="30">
        <v>46388.0</v>
      </c>
      <c r="AS224" s="30">
        <v>46477.0</v>
      </c>
      <c r="AT224" s="39">
        <v>0.0</v>
      </c>
      <c r="AU224" s="39">
        <v>0.0</v>
      </c>
      <c r="AV224" s="35" t="s">
        <v>7045</v>
      </c>
      <c r="AW224" s="30">
        <v>46478.0</v>
      </c>
      <c r="AX224" s="30">
        <v>46568.0</v>
      </c>
      <c r="AY224" s="39">
        <v>0.0</v>
      </c>
      <c r="AZ224" s="39">
        <v>0.0</v>
      </c>
      <c r="BA224" s="35" t="s">
        <v>7045</v>
      </c>
      <c r="BB224" s="30">
        <v>46569.0</v>
      </c>
      <c r="BC224" s="30">
        <v>46660.0</v>
      </c>
      <c r="BD224" s="39">
        <v>0.0</v>
      </c>
      <c r="BE224" s="39">
        <v>0.0</v>
      </c>
      <c r="BF224" s="35" t="s">
        <v>7045</v>
      </c>
      <c r="BG224" s="30">
        <v>46661.0</v>
      </c>
      <c r="BH224" s="30">
        <v>46752.0</v>
      </c>
      <c r="BI224" s="39">
        <v>0.0</v>
      </c>
      <c r="BJ224" s="39">
        <v>0.0</v>
      </c>
      <c r="BK224" s="35" t="s">
        <v>7045</v>
      </c>
      <c r="BL224" s="30">
        <v>46753.0</v>
      </c>
      <c r="BM224" s="30">
        <v>46843.0</v>
      </c>
      <c r="BN224" s="39">
        <v>0.0</v>
      </c>
      <c r="BO224" s="39">
        <v>0.0</v>
      </c>
      <c r="BP224" s="35" t="s">
        <v>7045</v>
      </c>
      <c r="BQ224" s="30">
        <v>46844.0</v>
      </c>
      <c r="BR224" s="30">
        <v>46934.0</v>
      </c>
      <c r="BS224" s="39">
        <v>0.0</v>
      </c>
      <c r="BT224" s="39">
        <v>0.0</v>
      </c>
      <c r="BU224" s="35" t="s">
        <v>7045</v>
      </c>
      <c r="BV224" s="30">
        <v>46935.0</v>
      </c>
      <c r="BW224" s="30">
        <v>47026.0</v>
      </c>
      <c r="BX224" s="39">
        <v>0.0</v>
      </c>
      <c r="BY224" s="39">
        <v>0.0</v>
      </c>
      <c r="BZ224" s="35" t="s">
        <v>7045</v>
      </c>
      <c r="CA224" s="30">
        <v>47027.0</v>
      </c>
      <c r="CB224" s="30">
        <v>47118.0</v>
      </c>
      <c r="CC224" s="39">
        <v>0.0</v>
      </c>
      <c r="CD224" s="39">
        <v>0.0</v>
      </c>
      <c r="CE224" s="35" t="s">
        <v>7045</v>
      </c>
      <c r="CF224" s="30">
        <v>47119.0</v>
      </c>
      <c r="CG224" s="30">
        <v>47208.0</v>
      </c>
      <c r="CH224" s="39">
        <v>0.0</v>
      </c>
      <c r="CI224" s="39">
        <v>0.0</v>
      </c>
      <c r="CJ224" s="35" t="s">
        <v>7045</v>
      </c>
      <c r="CK224" s="30">
        <v>47209.0</v>
      </c>
      <c r="CL224" s="30">
        <v>47299.0</v>
      </c>
      <c r="CM224" s="39">
        <v>0.0</v>
      </c>
      <c r="CN224" s="39">
        <v>0.0</v>
      </c>
      <c r="CO224" s="35" t="s">
        <v>7045</v>
      </c>
      <c r="CP224" s="30">
        <v>47300.0</v>
      </c>
      <c r="CQ224" s="30">
        <v>47391.0</v>
      </c>
      <c r="CR224" s="39">
        <v>0.0</v>
      </c>
      <c r="CS224" s="39">
        <v>0.0</v>
      </c>
      <c r="CT224" s="35" t="s">
        <v>7045</v>
      </c>
      <c r="CU224" s="30">
        <v>47392.0</v>
      </c>
      <c r="CV224" s="30">
        <v>47483.0</v>
      </c>
      <c r="CW224" s="39">
        <v>0.0</v>
      </c>
      <c r="CX224" s="39">
        <v>0.0</v>
      </c>
      <c r="CY224" s="35" t="s">
        <v>7045</v>
      </c>
      <c r="CZ224" s="30">
        <v>47484.0</v>
      </c>
      <c r="DA224" s="30">
        <v>47573.0</v>
      </c>
      <c r="DB224" s="39">
        <v>0.0</v>
      </c>
      <c r="DC224" s="39">
        <v>0.0</v>
      </c>
      <c r="DD224" s="35" t="s">
        <v>7045</v>
      </c>
      <c r="DE224" s="30">
        <v>47574.0</v>
      </c>
      <c r="DF224" s="30">
        <v>47664.0</v>
      </c>
      <c r="DG224" s="39">
        <v>0.0</v>
      </c>
      <c r="DH224" s="39">
        <v>0.0</v>
      </c>
      <c r="DI224" s="35" t="s">
        <v>7045</v>
      </c>
      <c r="DJ224" s="30">
        <v>47665.0</v>
      </c>
      <c r="DK224" s="30">
        <v>47756.0</v>
      </c>
      <c r="DL224" s="39">
        <v>0.0</v>
      </c>
      <c r="DM224" s="39">
        <v>0.0</v>
      </c>
      <c r="DN224" s="35" t="s">
        <v>7045</v>
      </c>
      <c r="DO224" s="30">
        <v>47757.0</v>
      </c>
      <c r="DP224" s="30">
        <v>47848.0</v>
      </c>
      <c r="DQ224" s="39">
        <v>0.0</v>
      </c>
      <c r="DR224" s="39">
        <v>0.0</v>
      </c>
      <c r="DS224" s="35" t="s">
        <v>7045</v>
      </c>
    </row>
    <row r="225" ht="14.25" customHeight="1">
      <c r="A225" s="28" t="s">
        <v>3762</v>
      </c>
      <c r="B225" s="29" t="s">
        <v>3763</v>
      </c>
      <c r="C225" s="29" t="s">
        <v>7041</v>
      </c>
      <c r="D225" s="30">
        <v>45658.0</v>
      </c>
      <c r="E225" s="30">
        <v>45747.0</v>
      </c>
      <c r="F225" s="39">
        <v>4.37</v>
      </c>
      <c r="G225" s="39">
        <v>810.0</v>
      </c>
      <c r="H225" s="32" t="s">
        <v>7043</v>
      </c>
      <c r="I225" s="30">
        <v>45748.0</v>
      </c>
      <c r="J225" s="30">
        <v>45838.0</v>
      </c>
      <c r="K225" s="39">
        <v>15.67</v>
      </c>
      <c r="L225" s="39">
        <v>540.0</v>
      </c>
      <c r="M225" s="37" t="s">
        <v>7043</v>
      </c>
      <c r="N225" s="30">
        <v>45839.0</v>
      </c>
      <c r="O225" s="30">
        <v>45930.0</v>
      </c>
      <c r="P225" s="39">
        <v>187.1</v>
      </c>
      <c r="Q225" s="39">
        <v>810.0</v>
      </c>
      <c r="R225" s="38" t="s">
        <v>7047</v>
      </c>
      <c r="S225" s="30">
        <v>45931.0</v>
      </c>
      <c r="T225" s="30">
        <v>46022.0</v>
      </c>
      <c r="U225" s="39">
        <v>197.84</v>
      </c>
      <c r="V225" s="39">
        <v>810.0</v>
      </c>
      <c r="W225" s="38" t="s">
        <v>7047</v>
      </c>
      <c r="X225" s="30">
        <v>46023.0</v>
      </c>
      <c r="Y225" s="30">
        <v>46112.0</v>
      </c>
      <c r="Z225" s="39">
        <v>211.14</v>
      </c>
      <c r="AA225" s="39">
        <v>0.0</v>
      </c>
      <c r="AB225" s="38" t="s">
        <v>7047</v>
      </c>
      <c r="AC225" s="30">
        <v>46113.0</v>
      </c>
      <c r="AD225" s="30">
        <v>46203.0</v>
      </c>
      <c r="AE225" s="39">
        <v>125.49</v>
      </c>
      <c r="AF225" s="39">
        <v>0.0</v>
      </c>
      <c r="AG225" s="38" t="s">
        <v>7047</v>
      </c>
      <c r="AH225" s="30">
        <v>46204.0</v>
      </c>
      <c r="AI225" s="30">
        <v>46295.0</v>
      </c>
      <c r="AJ225" s="39">
        <v>44.84</v>
      </c>
      <c r="AK225" s="39">
        <v>0.0</v>
      </c>
      <c r="AL225" s="38" t="s">
        <v>7047</v>
      </c>
      <c r="AM225" s="30">
        <v>46296.0</v>
      </c>
      <c r="AN225" s="30">
        <v>46387.0</v>
      </c>
      <c r="AO225" s="39">
        <v>31.95</v>
      </c>
      <c r="AP225" s="39">
        <v>0.0</v>
      </c>
      <c r="AQ225" s="38" t="s">
        <v>7047</v>
      </c>
      <c r="AR225" s="30">
        <v>46388.0</v>
      </c>
      <c r="AS225" s="30">
        <v>46477.0</v>
      </c>
      <c r="AT225" s="39">
        <v>0.0</v>
      </c>
      <c r="AU225" s="39">
        <v>0.0</v>
      </c>
      <c r="AV225" s="35" t="s">
        <v>7045</v>
      </c>
      <c r="AW225" s="30">
        <v>46478.0</v>
      </c>
      <c r="AX225" s="30">
        <v>46568.0</v>
      </c>
      <c r="AY225" s="39">
        <v>0.0</v>
      </c>
      <c r="AZ225" s="39">
        <v>0.0</v>
      </c>
      <c r="BA225" s="35" t="s">
        <v>7045</v>
      </c>
      <c r="BB225" s="30">
        <v>46569.0</v>
      </c>
      <c r="BC225" s="30">
        <v>46660.0</v>
      </c>
      <c r="BD225" s="39">
        <v>0.0</v>
      </c>
      <c r="BE225" s="39">
        <v>0.0</v>
      </c>
      <c r="BF225" s="35" t="s">
        <v>7045</v>
      </c>
      <c r="BG225" s="30">
        <v>46661.0</v>
      </c>
      <c r="BH225" s="30">
        <v>46752.0</v>
      </c>
      <c r="BI225" s="39">
        <v>0.0</v>
      </c>
      <c r="BJ225" s="39">
        <v>0.0</v>
      </c>
      <c r="BK225" s="35" t="s">
        <v>7045</v>
      </c>
      <c r="BL225" s="30">
        <v>46753.0</v>
      </c>
      <c r="BM225" s="30">
        <v>46843.0</v>
      </c>
      <c r="BN225" s="39">
        <v>0.0</v>
      </c>
      <c r="BO225" s="39">
        <v>0.0</v>
      </c>
      <c r="BP225" s="35" t="s">
        <v>7045</v>
      </c>
      <c r="BQ225" s="30">
        <v>46844.0</v>
      </c>
      <c r="BR225" s="30">
        <v>46934.0</v>
      </c>
      <c r="BS225" s="39">
        <v>0.0</v>
      </c>
      <c r="BT225" s="39">
        <v>0.0</v>
      </c>
      <c r="BU225" s="35" t="s">
        <v>7045</v>
      </c>
      <c r="BV225" s="30">
        <v>46935.0</v>
      </c>
      <c r="BW225" s="30">
        <v>47026.0</v>
      </c>
      <c r="BX225" s="39">
        <v>0.0</v>
      </c>
      <c r="BY225" s="39">
        <v>0.0</v>
      </c>
      <c r="BZ225" s="35" t="s">
        <v>7045</v>
      </c>
      <c r="CA225" s="30">
        <v>47027.0</v>
      </c>
      <c r="CB225" s="30">
        <v>47118.0</v>
      </c>
      <c r="CC225" s="39">
        <v>0.0</v>
      </c>
      <c r="CD225" s="39">
        <v>0.0</v>
      </c>
      <c r="CE225" s="35" t="s">
        <v>7045</v>
      </c>
      <c r="CF225" s="30">
        <v>47119.0</v>
      </c>
      <c r="CG225" s="30">
        <v>47208.0</v>
      </c>
      <c r="CH225" s="39">
        <v>0.0</v>
      </c>
      <c r="CI225" s="39">
        <v>0.0</v>
      </c>
      <c r="CJ225" s="35" t="s">
        <v>7045</v>
      </c>
      <c r="CK225" s="30">
        <v>47209.0</v>
      </c>
      <c r="CL225" s="30">
        <v>47299.0</v>
      </c>
      <c r="CM225" s="39">
        <v>0.0</v>
      </c>
      <c r="CN225" s="39">
        <v>0.0</v>
      </c>
      <c r="CO225" s="35" t="s">
        <v>7045</v>
      </c>
      <c r="CP225" s="30">
        <v>47300.0</v>
      </c>
      <c r="CQ225" s="30">
        <v>47391.0</v>
      </c>
      <c r="CR225" s="39">
        <v>0.0</v>
      </c>
      <c r="CS225" s="39">
        <v>0.0</v>
      </c>
      <c r="CT225" s="35" t="s">
        <v>7045</v>
      </c>
      <c r="CU225" s="30">
        <v>47392.0</v>
      </c>
      <c r="CV225" s="30">
        <v>47483.0</v>
      </c>
      <c r="CW225" s="39">
        <v>0.0</v>
      </c>
      <c r="CX225" s="39">
        <v>0.0</v>
      </c>
      <c r="CY225" s="35" t="s">
        <v>7045</v>
      </c>
      <c r="CZ225" s="30">
        <v>47484.0</v>
      </c>
      <c r="DA225" s="30">
        <v>47573.0</v>
      </c>
      <c r="DB225" s="39">
        <v>0.0</v>
      </c>
      <c r="DC225" s="39">
        <v>0.0</v>
      </c>
      <c r="DD225" s="35" t="s">
        <v>7045</v>
      </c>
      <c r="DE225" s="30">
        <v>47574.0</v>
      </c>
      <c r="DF225" s="30">
        <v>47664.0</v>
      </c>
      <c r="DG225" s="39">
        <v>0.0</v>
      </c>
      <c r="DH225" s="39">
        <v>0.0</v>
      </c>
      <c r="DI225" s="35" t="s">
        <v>7045</v>
      </c>
      <c r="DJ225" s="30">
        <v>47665.0</v>
      </c>
      <c r="DK225" s="30">
        <v>47756.0</v>
      </c>
      <c r="DL225" s="39">
        <v>0.0</v>
      </c>
      <c r="DM225" s="39">
        <v>0.0</v>
      </c>
      <c r="DN225" s="35" t="s">
        <v>7045</v>
      </c>
      <c r="DO225" s="30">
        <v>47757.0</v>
      </c>
      <c r="DP225" s="30">
        <v>47848.0</v>
      </c>
      <c r="DQ225" s="39">
        <v>0.0</v>
      </c>
      <c r="DR225" s="39">
        <v>0.0</v>
      </c>
      <c r="DS225" s="35" t="s">
        <v>7045</v>
      </c>
    </row>
    <row r="226" ht="14.25" customHeight="1">
      <c r="A226" s="28" t="s">
        <v>4041</v>
      </c>
      <c r="B226" s="29" t="s">
        <v>4042</v>
      </c>
      <c r="C226" s="29" t="s">
        <v>7041</v>
      </c>
      <c r="D226" s="30">
        <v>45658.0</v>
      </c>
      <c r="E226" s="30">
        <v>45747.0</v>
      </c>
      <c r="F226" s="39">
        <v>50.0</v>
      </c>
      <c r="G226" s="39">
        <v>0.0</v>
      </c>
      <c r="H226" s="38" t="s">
        <v>7047</v>
      </c>
      <c r="I226" s="30">
        <v>45748.0</v>
      </c>
      <c r="J226" s="30">
        <v>45838.0</v>
      </c>
      <c r="K226" s="39">
        <v>83.18</v>
      </c>
      <c r="L226" s="39">
        <v>517.24</v>
      </c>
      <c r="M226" s="37" t="s">
        <v>7043</v>
      </c>
      <c r="N226" s="30">
        <v>45839.0</v>
      </c>
      <c r="O226" s="30">
        <v>45930.0</v>
      </c>
      <c r="P226" s="39">
        <v>373.18</v>
      </c>
      <c r="Q226" s="39">
        <v>425.29</v>
      </c>
      <c r="R226" s="38" t="s">
        <v>7047</v>
      </c>
      <c r="S226" s="30">
        <v>45931.0</v>
      </c>
      <c r="T226" s="30">
        <v>46022.0</v>
      </c>
      <c r="U226" s="39">
        <v>0.0</v>
      </c>
      <c r="V226" s="39">
        <v>620.69</v>
      </c>
      <c r="W226" s="32" t="s">
        <v>7043</v>
      </c>
      <c r="X226" s="30">
        <v>46023.0</v>
      </c>
      <c r="Y226" s="30">
        <v>46112.0</v>
      </c>
      <c r="Z226" s="39">
        <v>0.0</v>
      </c>
      <c r="AA226" s="39">
        <v>0.0</v>
      </c>
      <c r="AB226" s="35" t="s">
        <v>7045</v>
      </c>
      <c r="AC226" s="30">
        <v>46113.0</v>
      </c>
      <c r="AD226" s="30">
        <v>46203.0</v>
      </c>
      <c r="AE226" s="39">
        <v>0.0</v>
      </c>
      <c r="AF226" s="39">
        <v>0.0</v>
      </c>
      <c r="AG226" s="35" t="s">
        <v>7045</v>
      </c>
      <c r="AH226" s="30">
        <v>46204.0</v>
      </c>
      <c r="AI226" s="30">
        <v>46295.0</v>
      </c>
      <c r="AJ226" s="39">
        <v>0.0</v>
      </c>
      <c r="AK226" s="39">
        <v>0.0</v>
      </c>
      <c r="AL226" s="35" t="s">
        <v>7045</v>
      </c>
      <c r="AM226" s="30">
        <v>46296.0</v>
      </c>
      <c r="AN226" s="30">
        <v>46387.0</v>
      </c>
      <c r="AO226" s="39">
        <v>0.0</v>
      </c>
      <c r="AP226" s="39">
        <v>0.0</v>
      </c>
      <c r="AQ226" s="35" t="s">
        <v>7045</v>
      </c>
      <c r="AR226" s="30">
        <v>46388.0</v>
      </c>
      <c r="AS226" s="30">
        <v>46477.0</v>
      </c>
      <c r="AT226" s="39">
        <v>0.0</v>
      </c>
      <c r="AU226" s="39">
        <v>0.0</v>
      </c>
      <c r="AV226" s="35" t="s">
        <v>7045</v>
      </c>
      <c r="AW226" s="30">
        <v>46478.0</v>
      </c>
      <c r="AX226" s="30">
        <v>46568.0</v>
      </c>
      <c r="AY226" s="39">
        <v>0.0</v>
      </c>
      <c r="AZ226" s="39">
        <v>0.0</v>
      </c>
      <c r="BA226" s="35" t="s">
        <v>7045</v>
      </c>
      <c r="BB226" s="30">
        <v>46569.0</v>
      </c>
      <c r="BC226" s="30">
        <v>46660.0</v>
      </c>
      <c r="BD226" s="39">
        <v>0.0</v>
      </c>
      <c r="BE226" s="39">
        <v>0.0</v>
      </c>
      <c r="BF226" s="35" t="s">
        <v>7045</v>
      </c>
      <c r="BG226" s="30">
        <v>46661.0</v>
      </c>
      <c r="BH226" s="30">
        <v>46752.0</v>
      </c>
      <c r="BI226" s="39">
        <v>0.0</v>
      </c>
      <c r="BJ226" s="39">
        <v>0.0</v>
      </c>
      <c r="BK226" s="35" t="s">
        <v>7045</v>
      </c>
      <c r="BL226" s="30">
        <v>46753.0</v>
      </c>
      <c r="BM226" s="30">
        <v>46843.0</v>
      </c>
      <c r="BN226" s="39">
        <v>0.0</v>
      </c>
      <c r="BO226" s="39">
        <v>0.0</v>
      </c>
      <c r="BP226" s="35" t="s">
        <v>7045</v>
      </c>
      <c r="BQ226" s="30">
        <v>46844.0</v>
      </c>
      <c r="BR226" s="30">
        <v>46934.0</v>
      </c>
      <c r="BS226" s="39">
        <v>0.0</v>
      </c>
      <c r="BT226" s="39">
        <v>0.0</v>
      </c>
      <c r="BU226" s="35" t="s">
        <v>7045</v>
      </c>
      <c r="BV226" s="30">
        <v>46935.0</v>
      </c>
      <c r="BW226" s="30">
        <v>47026.0</v>
      </c>
      <c r="BX226" s="39">
        <v>0.0</v>
      </c>
      <c r="BY226" s="39">
        <v>0.0</v>
      </c>
      <c r="BZ226" s="35" t="s">
        <v>7045</v>
      </c>
      <c r="CA226" s="30">
        <v>47027.0</v>
      </c>
      <c r="CB226" s="30">
        <v>47118.0</v>
      </c>
      <c r="CC226" s="39">
        <v>0.0</v>
      </c>
      <c r="CD226" s="39">
        <v>0.0</v>
      </c>
      <c r="CE226" s="35" t="s">
        <v>7045</v>
      </c>
      <c r="CF226" s="30">
        <v>47119.0</v>
      </c>
      <c r="CG226" s="30">
        <v>47208.0</v>
      </c>
      <c r="CH226" s="39">
        <v>0.0</v>
      </c>
      <c r="CI226" s="39">
        <v>0.0</v>
      </c>
      <c r="CJ226" s="35" t="s">
        <v>7045</v>
      </c>
      <c r="CK226" s="30">
        <v>47209.0</v>
      </c>
      <c r="CL226" s="30">
        <v>47299.0</v>
      </c>
      <c r="CM226" s="39">
        <v>0.0</v>
      </c>
      <c r="CN226" s="39">
        <v>0.0</v>
      </c>
      <c r="CO226" s="35" t="s">
        <v>7045</v>
      </c>
      <c r="CP226" s="30">
        <v>47300.0</v>
      </c>
      <c r="CQ226" s="30">
        <v>47391.0</v>
      </c>
      <c r="CR226" s="39">
        <v>0.0</v>
      </c>
      <c r="CS226" s="39">
        <v>0.0</v>
      </c>
      <c r="CT226" s="35" t="s">
        <v>7045</v>
      </c>
      <c r="CU226" s="30">
        <v>47392.0</v>
      </c>
      <c r="CV226" s="30">
        <v>47483.0</v>
      </c>
      <c r="CW226" s="39">
        <v>0.0</v>
      </c>
      <c r="CX226" s="39">
        <v>0.0</v>
      </c>
      <c r="CY226" s="35" t="s">
        <v>7045</v>
      </c>
      <c r="CZ226" s="30">
        <v>47484.0</v>
      </c>
      <c r="DA226" s="30">
        <v>47573.0</v>
      </c>
      <c r="DB226" s="39">
        <v>0.0</v>
      </c>
      <c r="DC226" s="39">
        <v>0.0</v>
      </c>
      <c r="DD226" s="35" t="s">
        <v>7045</v>
      </c>
      <c r="DE226" s="30">
        <v>47574.0</v>
      </c>
      <c r="DF226" s="30">
        <v>47664.0</v>
      </c>
      <c r="DG226" s="39">
        <v>0.0</v>
      </c>
      <c r="DH226" s="39">
        <v>0.0</v>
      </c>
      <c r="DI226" s="35" t="s">
        <v>7045</v>
      </c>
      <c r="DJ226" s="30">
        <v>47665.0</v>
      </c>
      <c r="DK226" s="30">
        <v>47756.0</v>
      </c>
      <c r="DL226" s="39">
        <v>0.0</v>
      </c>
      <c r="DM226" s="39">
        <v>0.0</v>
      </c>
      <c r="DN226" s="35" t="s">
        <v>7045</v>
      </c>
      <c r="DO226" s="30">
        <v>47757.0</v>
      </c>
      <c r="DP226" s="30">
        <v>47848.0</v>
      </c>
      <c r="DQ226" s="39">
        <v>0.0</v>
      </c>
      <c r="DR226" s="39">
        <v>0.0</v>
      </c>
      <c r="DS226" s="35" t="s">
        <v>7045</v>
      </c>
    </row>
    <row r="227" ht="14.25" customHeight="1">
      <c r="A227" s="28" t="s">
        <v>4397</v>
      </c>
      <c r="B227" s="29" t="s">
        <v>4398</v>
      </c>
      <c r="C227" s="29" t="s">
        <v>7041</v>
      </c>
      <c r="D227" s="30">
        <v>45658.0</v>
      </c>
      <c r="E227" s="30">
        <v>45747.0</v>
      </c>
      <c r="F227" s="39">
        <v>11.29</v>
      </c>
      <c r="G227" s="39">
        <v>0.0</v>
      </c>
      <c r="H227" s="38" t="s">
        <v>7047</v>
      </c>
      <c r="I227" s="30">
        <v>45748.0</v>
      </c>
      <c r="J227" s="30">
        <v>45838.0</v>
      </c>
      <c r="K227" s="39">
        <v>18.53</v>
      </c>
      <c r="L227" s="39">
        <v>549.06</v>
      </c>
      <c r="M227" s="37" t="s">
        <v>7043</v>
      </c>
      <c r="N227" s="30">
        <v>45839.0</v>
      </c>
      <c r="O227" s="30">
        <v>45930.0</v>
      </c>
      <c r="P227" s="39">
        <v>1479.52</v>
      </c>
      <c r="Q227" s="39">
        <v>783.02</v>
      </c>
      <c r="R227" s="38" t="s">
        <v>7047</v>
      </c>
      <c r="S227" s="30">
        <v>45931.0</v>
      </c>
      <c r="T227" s="30">
        <v>46022.0</v>
      </c>
      <c r="U227" s="39">
        <v>761.23</v>
      </c>
      <c r="V227" s="39">
        <v>858.49</v>
      </c>
      <c r="W227" s="38" t="s">
        <v>7047</v>
      </c>
      <c r="X227" s="30">
        <v>46023.0</v>
      </c>
      <c r="Y227" s="30">
        <v>46112.0</v>
      </c>
      <c r="Z227" s="39">
        <v>34.77</v>
      </c>
      <c r="AA227" s="39">
        <v>0.0</v>
      </c>
      <c r="AB227" s="38" t="s">
        <v>7047</v>
      </c>
      <c r="AC227" s="30">
        <v>46113.0</v>
      </c>
      <c r="AD227" s="30">
        <v>46203.0</v>
      </c>
      <c r="AE227" s="39">
        <v>91.21</v>
      </c>
      <c r="AF227" s="39">
        <v>0.0</v>
      </c>
      <c r="AG227" s="38" t="s">
        <v>7047</v>
      </c>
      <c r="AH227" s="30">
        <v>46204.0</v>
      </c>
      <c r="AI227" s="30">
        <v>46295.0</v>
      </c>
      <c r="AJ227" s="39">
        <v>11.98</v>
      </c>
      <c r="AK227" s="39">
        <v>0.0</v>
      </c>
      <c r="AL227" s="38" t="s">
        <v>7047</v>
      </c>
      <c r="AM227" s="30">
        <v>46296.0</v>
      </c>
      <c r="AN227" s="30">
        <v>46387.0</v>
      </c>
      <c r="AO227" s="39">
        <v>24.98</v>
      </c>
      <c r="AP227" s="39">
        <v>0.0</v>
      </c>
      <c r="AQ227" s="38" t="s">
        <v>7047</v>
      </c>
      <c r="AR227" s="30">
        <v>46388.0</v>
      </c>
      <c r="AS227" s="30">
        <v>46477.0</v>
      </c>
      <c r="AT227" s="39">
        <v>0.0</v>
      </c>
      <c r="AU227" s="39">
        <v>0.0</v>
      </c>
      <c r="AV227" s="35" t="s">
        <v>7045</v>
      </c>
      <c r="AW227" s="30">
        <v>46478.0</v>
      </c>
      <c r="AX227" s="30">
        <v>46568.0</v>
      </c>
      <c r="AY227" s="39">
        <v>0.0</v>
      </c>
      <c r="AZ227" s="39">
        <v>0.0</v>
      </c>
      <c r="BA227" s="35" t="s">
        <v>7045</v>
      </c>
      <c r="BB227" s="30">
        <v>46569.0</v>
      </c>
      <c r="BC227" s="30">
        <v>46660.0</v>
      </c>
      <c r="BD227" s="39">
        <v>0.0</v>
      </c>
      <c r="BE227" s="39">
        <v>0.0</v>
      </c>
      <c r="BF227" s="35" t="s">
        <v>7045</v>
      </c>
      <c r="BG227" s="30">
        <v>46661.0</v>
      </c>
      <c r="BH227" s="30">
        <v>46752.0</v>
      </c>
      <c r="BI227" s="39">
        <v>0.0</v>
      </c>
      <c r="BJ227" s="39">
        <v>0.0</v>
      </c>
      <c r="BK227" s="35" t="s">
        <v>7045</v>
      </c>
      <c r="BL227" s="30">
        <v>46753.0</v>
      </c>
      <c r="BM227" s="30">
        <v>46843.0</v>
      </c>
      <c r="BN227" s="39">
        <v>0.0</v>
      </c>
      <c r="BO227" s="39">
        <v>0.0</v>
      </c>
      <c r="BP227" s="35" t="s">
        <v>7045</v>
      </c>
      <c r="BQ227" s="30">
        <v>46844.0</v>
      </c>
      <c r="BR227" s="30">
        <v>46934.0</v>
      </c>
      <c r="BS227" s="39">
        <v>0.0</v>
      </c>
      <c r="BT227" s="39">
        <v>0.0</v>
      </c>
      <c r="BU227" s="35" t="s">
        <v>7045</v>
      </c>
      <c r="BV227" s="30">
        <v>46935.0</v>
      </c>
      <c r="BW227" s="30">
        <v>47026.0</v>
      </c>
      <c r="BX227" s="39">
        <v>0.0</v>
      </c>
      <c r="BY227" s="39">
        <v>0.0</v>
      </c>
      <c r="BZ227" s="35" t="s">
        <v>7045</v>
      </c>
      <c r="CA227" s="30">
        <v>47027.0</v>
      </c>
      <c r="CB227" s="30">
        <v>47118.0</v>
      </c>
      <c r="CC227" s="39">
        <v>0.0</v>
      </c>
      <c r="CD227" s="39">
        <v>0.0</v>
      </c>
      <c r="CE227" s="35" t="s">
        <v>7045</v>
      </c>
      <c r="CF227" s="30">
        <v>47119.0</v>
      </c>
      <c r="CG227" s="30">
        <v>47208.0</v>
      </c>
      <c r="CH227" s="39">
        <v>0.0</v>
      </c>
      <c r="CI227" s="39">
        <v>0.0</v>
      </c>
      <c r="CJ227" s="35" t="s">
        <v>7045</v>
      </c>
      <c r="CK227" s="30">
        <v>47209.0</v>
      </c>
      <c r="CL227" s="30">
        <v>47299.0</v>
      </c>
      <c r="CM227" s="39">
        <v>0.0</v>
      </c>
      <c r="CN227" s="39">
        <v>0.0</v>
      </c>
      <c r="CO227" s="35" t="s">
        <v>7045</v>
      </c>
      <c r="CP227" s="30">
        <v>47300.0</v>
      </c>
      <c r="CQ227" s="30">
        <v>47391.0</v>
      </c>
      <c r="CR227" s="39">
        <v>0.0</v>
      </c>
      <c r="CS227" s="39">
        <v>0.0</v>
      </c>
      <c r="CT227" s="35" t="s">
        <v>7045</v>
      </c>
      <c r="CU227" s="30">
        <v>47392.0</v>
      </c>
      <c r="CV227" s="30">
        <v>47483.0</v>
      </c>
      <c r="CW227" s="39">
        <v>0.0</v>
      </c>
      <c r="CX227" s="39">
        <v>0.0</v>
      </c>
      <c r="CY227" s="35" t="s">
        <v>7045</v>
      </c>
      <c r="CZ227" s="30">
        <v>47484.0</v>
      </c>
      <c r="DA227" s="30">
        <v>47573.0</v>
      </c>
      <c r="DB227" s="39">
        <v>0.0</v>
      </c>
      <c r="DC227" s="39">
        <v>0.0</v>
      </c>
      <c r="DD227" s="35" t="s">
        <v>7045</v>
      </c>
      <c r="DE227" s="30">
        <v>47574.0</v>
      </c>
      <c r="DF227" s="30">
        <v>47664.0</v>
      </c>
      <c r="DG227" s="39">
        <v>0.0</v>
      </c>
      <c r="DH227" s="39">
        <v>0.0</v>
      </c>
      <c r="DI227" s="35" t="s">
        <v>7045</v>
      </c>
      <c r="DJ227" s="30">
        <v>47665.0</v>
      </c>
      <c r="DK227" s="30">
        <v>47756.0</v>
      </c>
      <c r="DL227" s="39">
        <v>0.0</v>
      </c>
      <c r="DM227" s="39">
        <v>0.0</v>
      </c>
      <c r="DN227" s="35" t="s">
        <v>7045</v>
      </c>
      <c r="DO227" s="30">
        <v>47757.0</v>
      </c>
      <c r="DP227" s="30">
        <v>47848.0</v>
      </c>
      <c r="DQ227" s="39">
        <v>0.0</v>
      </c>
      <c r="DR227" s="39">
        <v>0.0</v>
      </c>
      <c r="DS227" s="35" t="s">
        <v>7045</v>
      </c>
    </row>
    <row r="228" ht="14.25" customHeight="1">
      <c r="A228" s="28" t="s">
        <v>4416</v>
      </c>
      <c r="B228" s="29" t="s">
        <v>4417</v>
      </c>
      <c r="C228" s="29" t="s">
        <v>7041</v>
      </c>
      <c r="D228" s="30">
        <v>45658.0</v>
      </c>
      <c r="E228" s="30">
        <v>45747.0</v>
      </c>
      <c r="F228" s="36">
        <v>5.67</v>
      </c>
      <c r="G228" s="36">
        <v>0.0</v>
      </c>
      <c r="H228" s="38" t="s">
        <v>7047</v>
      </c>
      <c r="I228" s="30">
        <v>45748.0</v>
      </c>
      <c r="J228" s="30">
        <v>45838.0</v>
      </c>
      <c r="K228" s="36">
        <v>6.0</v>
      </c>
      <c r="L228" s="36">
        <v>2844.8</v>
      </c>
      <c r="M228" s="32" t="s">
        <v>7043</v>
      </c>
      <c r="N228" s="30">
        <v>45839.0</v>
      </c>
      <c r="O228" s="30">
        <v>45930.0</v>
      </c>
      <c r="P228" s="36">
        <v>3528.84</v>
      </c>
      <c r="Q228" s="36">
        <v>4999.96</v>
      </c>
      <c r="R228" s="38" t="s">
        <v>7047</v>
      </c>
      <c r="S228" s="30">
        <v>45931.0</v>
      </c>
      <c r="T228" s="30">
        <v>46022.0</v>
      </c>
      <c r="U228" s="36">
        <v>5929.95</v>
      </c>
      <c r="V228" s="36">
        <v>4310.3</v>
      </c>
      <c r="W228" s="38" t="s">
        <v>7047</v>
      </c>
      <c r="X228" s="30">
        <v>46023.0</v>
      </c>
      <c r="Y228" s="30">
        <v>46112.0</v>
      </c>
      <c r="Z228" s="36">
        <v>519.99</v>
      </c>
      <c r="AA228" s="36">
        <v>0.0</v>
      </c>
      <c r="AB228" s="38" t="s">
        <v>7047</v>
      </c>
      <c r="AC228" s="30">
        <v>46113.0</v>
      </c>
      <c r="AD228" s="30">
        <v>46203.0</v>
      </c>
      <c r="AE228" s="36">
        <v>0.0</v>
      </c>
      <c r="AF228" s="36">
        <v>0.0</v>
      </c>
      <c r="AG228" s="35" t="s">
        <v>7045</v>
      </c>
      <c r="AH228" s="30">
        <v>46204.0</v>
      </c>
      <c r="AI228" s="30">
        <v>46295.0</v>
      </c>
      <c r="AJ228" s="36">
        <v>0.0</v>
      </c>
      <c r="AK228" s="36">
        <v>0.0</v>
      </c>
      <c r="AL228" s="35" t="s">
        <v>7045</v>
      </c>
      <c r="AM228" s="30">
        <v>46296.0</v>
      </c>
      <c r="AN228" s="30">
        <v>46387.0</v>
      </c>
      <c r="AO228" s="36">
        <v>0.0</v>
      </c>
      <c r="AP228" s="36">
        <v>0.0</v>
      </c>
      <c r="AQ228" s="35" t="s">
        <v>7045</v>
      </c>
      <c r="AR228" s="30">
        <v>46388.0</v>
      </c>
      <c r="AS228" s="30">
        <v>46477.0</v>
      </c>
      <c r="AT228" s="36">
        <v>0.0</v>
      </c>
      <c r="AU228" s="36">
        <v>0.0</v>
      </c>
      <c r="AV228" s="35" t="s">
        <v>7045</v>
      </c>
      <c r="AW228" s="30">
        <v>46478.0</v>
      </c>
      <c r="AX228" s="30">
        <v>46568.0</v>
      </c>
      <c r="AY228" s="36">
        <v>0.0</v>
      </c>
      <c r="AZ228" s="36">
        <v>0.0</v>
      </c>
      <c r="BA228" s="35" t="s">
        <v>7045</v>
      </c>
      <c r="BB228" s="30">
        <v>46569.0</v>
      </c>
      <c r="BC228" s="30">
        <v>46660.0</v>
      </c>
      <c r="BD228" s="36">
        <v>0.0</v>
      </c>
      <c r="BE228" s="36">
        <v>0.0</v>
      </c>
      <c r="BF228" s="35" t="s">
        <v>7045</v>
      </c>
      <c r="BG228" s="30">
        <v>46661.0</v>
      </c>
      <c r="BH228" s="30">
        <v>46752.0</v>
      </c>
      <c r="BI228" s="36">
        <v>0.0</v>
      </c>
      <c r="BJ228" s="36">
        <v>0.0</v>
      </c>
      <c r="BK228" s="35" t="s">
        <v>7045</v>
      </c>
      <c r="BL228" s="30">
        <v>46753.0</v>
      </c>
      <c r="BM228" s="30">
        <v>46843.0</v>
      </c>
      <c r="BN228" s="36">
        <v>0.0</v>
      </c>
      <c r="BO228" s="36">
        <v>0.0</v>
      </c>
      <c r="BP228" s="35" t="s">
        <v>7045</v>
      </c>
      <c r="BQ228" s="30">
        <v>46844.0</v>
      </c>
      <c r="BR228" s="30">
        <v>46934.0</v>
      </c>
      <c r="BS228" s="36">
        <v>0.0</v>
      </c>
      <c r="BT228" s="36">
        <v>0.0</v>
      </c>
      <c r="BU228" s="35" t="s">
        <v>7045</v>
      </c>
      <c r="BV228" s="30">
        <v>46935.0</v>
      </c>
      <c r="BW228" s="30">
        <v>47026.0</v>
      </c>
      <c r="BX228" s="36">
        <v>0.0</v>
      </c>
      <c r="BY228" s="36">
        <v>0.0</v>
      </c>
      <c r="BZ228" s="35" t="s">
        <v>7045</v>
      </c>
      <c r="CA228" s="30">
        <v>47027.0</v>
      </c>
      <c r="CB228" s="30">
        <v>47118.0</v>
      </c>
      <c r="CC228" s="36">
        <v>0.0</v>
      </c>
      <c r="CD228" s="36">
        <v>0.0</v>
      </c>
      <c r="CE228" s="35" t="s">
        <v>7045</v>
      </c>
      <c r="CF228" s="30">
        <v>47119.0</v>
      </c>
      <c r="CG228" s="30">
        <v>47208.0</v>
      </c>
      <c r="CH228" s="36">
        <v>0.0</v>
      </c>
      <c r="CI228" s="36">
        <v>0.0</v>
      </c>
      <c r="CJ228" s="35" t="s">
        <v>7045</v>
      </c>
      <c r="CK228" s="30">
        <v>47209.0</v>
      </c>
      <c r="CL228" s="30">
        <v>47299.0</v>
      </c>
      <c r="CM228" s="36">
        <v>0.0</v>
      </c>
      <c r="CN228" s="36">
        <v>0.0</v>
      </c>
      <c r="CO228" s="35" t="s">
        <v>7045</v>
      </c>
      <c r="CP228" s="30">
        <v>47300.0</v>
      </c>
      <c r="CQ228" s="30">
        <v>47391.0</v>
      </c>
      <c r="CR228" s="36">
        <v>0.0</v>
      </c>
      <c r="CS228" s="36">
        <v>0.0</v>
      </c>
      <c r="CT228" s="35" t="s">
        <v>7045</v>
      </c>
      <c r="CU228" s="30">
        <v>47392.0</v>
      </c>
      <c r="CV228" s="30">
        <v>47483.0</v>
      </c>
      <c r="CW228" s="36">
        <v>0.0</v>
      </c>
      <c r="CX228" s="36">
        <v>0.0</v>
      </c>
      <c r="CY228" s="35" t="s">
        <v>7045</v>
      </c>
      <c r="CZ228" s="30">
        <v>47484.0</v>
      </c>
      <c r="DA228" s="30">
        <v>47573.0</v>
      </c>
      <c r="DB228" s="36">
        <v>0.0</v>
      </c>
      <c r="DC228" s="36">
        <v>0.0</v>
      </c>
      <c r="DD228" s="35" t="s">
        <v>7045</v>
      </c>
      <c r="DE228" s="30">
        <v>47574.0</v>
      </c>
      <c r="DF228" s="30">
        <v>47664.0</v>
      </c>
      <c r="DG228" s="36">
        <v>0.0</v>
      </c>
      <c r="DH228" s="36">
        <v>0.0</v>
      </c>
      <c r="DI228" s="35" t="s">
        <v>7045</v>
      </c>
      <c r="DJ228" s="30">
        <v>47665.0</v>
      </c>
      <c r="DK228" s="30">
        <v>47756.0</v>
      </c>
      <c r="DL228" s="36">
        <v>0.0</v>
      </c>
      <c r="DM228" s="36">
        <v>0.0</v>
      </c>
      <c r="DN228" s="35" t="s">
        <v>7045</v>
      </c>
      <c r="DO228" s="30">
        <v>47757.0</v>
      </c>
      <c r="DP228" s="30">
        <v>47848.0</v>
      </c>
      <c r="DQ228" s="36">
        <v>0.0</v>
      </c>
      <c r="DR228" s="36">
        <v>0.0</v>
      </c>
      <c r="DS228" s="35" t="s">
        <v>7045</v>
      </c>
    </row>
    <row r="229" ht="14.25" customHeight="1">
      <c r="A229" s="28" t="s">
        <v>5004</v>
      </c>
      <c r="B229" s="29" t="s">
        <v>5005</v>
      </c>
      <c r="C229" s="29" t="s">
        <v>7041</v>
      </c>
      <c r="D229" s="30">
        <v>45658.0</v>
      </c>
      <c r="E229" s="30">
        <v>45747.0</v>
      </c>
      <c r="F229" s="39">
        <v>5.0</v>
      </c>
      <c r="G229" s="39">
        <v>0.0</v>
      </c>
      <c r="H229" s="38" t="s">
        <v>7047</v>
      </c>
      <c r="I229" s="30">
        <v>45748.0</v>
      </c>
      <c r="J229" s="30">
        <v>45838.0</v>
      </c>
      <c r="K229" s="39">
        <v>1.65</v>
      </c>
      <c r="L229" s="39">
        <v>1219.51</v>
      </c>
      <c r="M229" s="37" t="s">
        <v>7042</v>
      </c>
      <c r="N229" s="30">
        <v>45839.0</v>
      </c>
      <c r="O229" s="30">
        <v>45930.0</v>
      </c>
      <c r="P229" s="39">
        <v>796.29</v>
      </c>
      <c r="Q229" s="39">
        <v>975.61</v>
      </c>
      <c r="R229" s="38" t="s">
        <v>7047</v>
      </c>
      <c r="S229" s="30">
        <v>45931.0</v>
      </c>
      <c r="T229" s="30">
        <v>46022.0</v>
      </c>
      <c r="U229" s="39">
        <v>1049.76</v>
      </c>
      <c r="V229" s="39">
        <v>487.8</v>
      </c>
      <c r="W229" s="38" t="s">
        <v>7047</v>
      </c>
      <c r="X229" s="30">
        <v>46023.0</v>
      </c>
      <c r="Y229" s="30">
        <v>46112.0</v>
      </c>
      <c r="Z229" s="39">
        <v>0.0</v>
      </c>
      <c r="AA229" s="39">
        <v>0.0</v>
      </c>
      <c r="AB229" s="35" t="s">
        <v>7045</v>
      </c>
      <c r="AC229" s="30">
        <v>46113.0</v>
      </c>
      <c r="AD229" s="30">
        <v>46203.0</v>
      </c>
      <c r="AE229" s="39">
        <v>560.0</v>
      </c>
      <c r="AF229" s="39">
        <v>0.0</v>
      </c>
      <c r="AG229" s="38" t="s">
        <v>7047</v>
      </c>
      <c r="AH229" s="30">
        <v>46204.0</v>
      </c>
      <c r="AI229" s="30">
        <v>46295.0</v>
      </c>
      <c r="AJ229" s="39">
        <v>1045.0</v>
      </c>
      <c r="AK229" s="39">
        <v>0.0</v>
      </c>
      <c r="AL229" s="38" t="s">
        <v>7047</v>
      </c>
      <c r="AM229" s="30">
        <v>46296.0</v>
      </c>
      <c r="AN229" s="30">
        <v>46387.0</v>
      </c>
      <c r="AO229" s="39">
        <v>0.0</v>
      </c>
      <c r="AP229" s="39">
        <v>0.0</v>
      </c>
      <c r="AQ229" s="35" t="s">
        <v>7045</v>
      </c>
      <c r="AR229" s="30">
        <v>46388.0</v>
      </c>
      <c r="AS229" s="30">
        <v>46477.0</v>
      </c>
      <c r="AT229" s="39">
        <v>0.0</v>
      </c>
      <c r="AU229" s="39">
        <v>0.0</v>
      </c>
      <c r="AV229" s="35" t="s">
        <v>7045</v>
      </c>
      <c r="AW229" s="30">
        <v>46478.0</v>
      </c>
      <c r="AX229" s="30">
        <v>46568.0</v>
      </c>
      <c r="AY229" s="39">
        <v>0.0</v>
      </c>
      <c r="AZ229" s="39">
        <v>0.0</v>
      </c>
      <c r="BA229" s="35" t="s">
        <v>7045</v>
      </c>
      <c r="BB229" s="30">
        <v>46569.0</v>
      </c>
      <c r="BC229" s="30">
        <v>46660.0</v>
      </c>
      <c r="BD229" s="39">
        <v>0.0</v>
      </c>
      <c r="BE229" s="39">
        <v>0.0</v>
      </c>
      <c r="BF229" s="35" t="s">
        <v>7045</v>
      </c>
      <c r="BG229" s="30">
        <v>46661.0</v>
      </c>
      <c r="BH229" s="30">
        <v>46752.0</v>
      </c>
      <c r="BI229" s="39">
        <v>0.0</v>
      </c>
      <c r="BJ229" s="39">
        <v>0.0</v>
      </c>
      <c r="BK229" s="35" t="s">
        <v>7045</v>
      </c>
      <c r="BL229" s="30">
        <v>46753.0</v>
      </c>
      <c r="BM229" s="30">
        <v>46843.0</v>
      </c>
      <c r="BN229" s="39">
        <v>0.0</v>
      </c>
      <c r="BO229" s="39">
        <v>0.0</v>
      </c>
      <c r="BP229" s="35" t="s">
        <v>7045</v>
      </c>
      <c r="BQ229" s="30">
        <v>46844.0</v>
      </c>
      <c r="BR229" s="30">
        <v>46934.0</v>
      </c>
      <c r="BS229" s="39">
        <v>0.0</v>
      </c>
      <c r="BT229" s="39">
        <v>0.0</v>
      </c>
      <c r="BU229" s="35" t="s">
        <v>7045</v>
      </c>
      <c r="BV229" s="30">
        <v>46935.0</v>
      </c>
      <c r="BW229" s="30">
        <v>47026.0</v>
      </c>
      <c r="BX229" s="39">
        <v>0.0</v>
      </c>
      <c r="BY229" s="39">
        <v>0.0</v>
      </c>
      <c r="BZ229" s="35" t="s">
        <v>7045</v>
      </c>
      <c r="CA229" s="30">
        <v>47027.0</v>
      </c>
      <c r="CB229" s="30">
        <v>47118.0</v>
      </c>
      <c r="CC229" s="39">
        <v>0.0</v>
      </c>
      <c r="CD229" s="39">
        <v>0.0</v>
      </c>
      <c r="CE229" s="35" t="s">
        <v>7045</v>
      </c>
      <c r="CF229" s="30">
        <v>47119.0</v>
      </c>
      <c r="CG229" s="30">
        <v>47208.0</v>
      </c>
      <c r="CH229" s="39">
        <v>0.0</v>
      </c>
      <c r="CI229" s="39">
        <v>0.0</v>
      </c>
      <c r="CJ229" s="35" t="s">
        <v>7045</v>
      </c>
      <c r="CK229" s="30">
        <v>47209.0</v>
      </c>
      <c r="CL229" s="30">
        <v>47299.0</v>
      </c>
      <c r="CM229" s="39">
        <v>0.0</v>
      </c>
      <c r="CN229" s="39">
        <v>0.0</v>
      </c>
      <c r="CO229" s="35" t="s">
        <v>7045</v>
      </c>
      <c r="CP229" s="30">
        <v>47300.0</v>
      </c>
      <c r="CQ229" s="30">
        <v>47391.0</v>
      </c>
      <c r="CR229" s="39">
        <v>0.0</v>
      </c>
      <c r="CS229" s="39">
        <v>0.0</v>
      </c>
      <c r="CT229" s="35" t="s">
        <v>7045</v>
      </c>
      <c r="CU229" s="30">
        <v>47392.0</v>
      </c>
      <c r="CV229" s="30">
        <v>47483.0</v>
      </c>
      <c r="CW229" s="39">
        <v>0.0</v>
      </c>
      <c r="CX229" s="39">
        <v>0.0</v>
      </c>
      <c r="CY229" s="35" t="s">
        <v>7045</v>
      </c>
      <c r="CZ229" s="30">
        <v>47484.0</v>
      </c>
      <c r="DA229" s="30">
        <v>47573.0</v>
      </c>
      <c r="DB229" s="39">
        <v>0.0</v>
      </c>
      <c r="DC229" s="39">
        <v>0.0</v>
      </c>
      <c r="DD229" s="35" t="s">
        <v>7045</v>
      </c>
      <c r="DE229" s="30">
        <v>47574.0</v>
      </c>
      <c r="DF229" s="30">
        <v>47664.0</v>
      </c>
      <c r="DG229" s="39">
        <v>0.0</v>
      </c>
      <c r="DH229" s="39">
        <v>0.0</v>
      </c>
      <c r="DI229" s="35" t="s">
        <v>7045</v>
      </c>
      <c r="DJ229" s="30">
        <v>47665.0</v>
      </c>
      <c r="DK229" s="30">
        <v>47756.0</v>
      </c>
      <c r="DL229" s="39">
        <v>0.0</v>
      </c>
      <c r="DM229" s="39">
        <v>0.0</v>
      </c>
      <c r="DN229" s="35" t="s">
        <v>7045</v>
      </c>
      <c r="DO229" s="30">
        <v>47757.0</v>
      </c>
      <c r="DP229" s="30">
        <v>47848.0</v>
      </c>
      <c r="DQ229" s="39">
        <v>0.0</v>
      </c>
      <c r="DR229" s="39">
        <v>0.0</v>
      </c>
      <c r="DS229" s="35" t="s">
        <v>7045</v>
      </c>
    </row>
    <row r="230" ht="14.25" customHeight="1">
      <c r="A230" s="28" t="s">
        <v>5060</v>
      </c>
      <c r="B230" s="29" t="s">
        <v>5061</v>
      </c>
      <c r="C230" s="29" t="s">
        <v>7041</v>
      </c>
      <c r="D230" s="30">
        <v>45658.0</v>
      </c>
      <c r="E230" s="30">
        <v>45747.0</v>
      </c>
      <c r="F230" s="39">
        <v>195.0</v>
      </c>
      <c r="G230" s="39">
        <v>0.0</v>
      </c>
      <c r="H230" s="38" t="s">
        <v>7047</v>
      </c>
      <c r="I230" s="30">
        <v>45748.0</v>
      </c>
      <c r="J230" s="30">
        <v>45838.0</v>
      </c>
      <c r="K230" s="39">
        <v>125.0</v>
      </c>
      <c r="L230" s="39">
        <v>1133.33</v>
      </c>
      <c r="M230" s="37" t="s">
        <v>7043</v>
      </c>
      <c r="N230" s="30">
        <v>45839.0</v>
      </c>
      <c r="O230" s="30">
        <v>45930.0</v>
      </c>
      <c r="P230" s="39">
        <v>250.0</v>
      </c>
      <c r="Q230" s="39">
        <v>1700.0</v>
      </c>
      <c r="R230" s="38" t="s">
        <v>7047</v>
      </c>
      <c r="S230" s="30">
        <v>45931.0</v>
      </c>
      <c r="T230" s="30">
        <v>46022.0</v>
      </c>
      <c r="U230" s="39">
        <v>509.0</v>
      </c>
      <c r="V230" s="39">
        <v>1700.0</v>
      </c>
      <c r="W230" s="38" t="s">
        <v>7047</v>
      </c>
      <c r="X230" s="30">
        <v>46023.0</v>
      </c>
      <c r="Y230" s="30">
        <v>46112.0</v>
      </c>
      <c r="Z230" s="39">
        <v>469.7</v>
      </c>
      <c r="AA230" s="39">
        <v>0.0</v>
      </c>
      <c r="AB230" s="35" t="s">
        <v>7047</v>
      </c>
      <c r="AC230" s="30">
        <v>46113.0</v>
      </c>
      <c r="AD230" s="30">
        <v>46203.0</v>
      </c>
      <c r="AE230" s="39">
        <v>0.0</v>
      </c>
      <c r="AF230" s="39">
        <v>0.0</v>
      </c>
      <c r="AG230" s="35" t="s">
        <v>7045</v>
      </c>
      <c r="AH230" s="30">
        <v>46204.0</v>
      </c>
      <c r="AI230" s="30">
        <v>46295.0</v>
      </c>
      <c r="AJ230" s="39">
        <v>0.0</v>
      </c>
      <c r="AK230" s="39">
        <v>0.0</v>
      </c>
      <c r="AL230" s="35" t="s">
        <v>7045</v>
      </c>
      <c r="AM230" s="30">
        <v>46296.0</v>
      </c>
      <c r="AN230" s="30">
        <v>46387.0</v>
      </c>
      <c r="AO230" s="39">
        <v>0.0</v>
      </c>
      <c r="AP230" s="39">
        <v>0.0</v>
      </c>
      <c r="AQ230" s="35" t="s">
        <v>7045</v>
      </c>
      <c r="AR230" s="30">
        <v>46388.0</v>
      </c>
      <c r="AS230" s="30">
        <v>46477.0</v>
      </c>
      <c r="AT230" s="39">
        <v>0.0</v>
      </c>
      <c r="AU230" s="39">
        <v>0.0</v>
      </c>
      <c r="AV230" s="35" t="s">
        <v>7045</v>
      </c>
      <c r="AW230" s="30">
        <v>46478.0</v>
      </c>
      <c r="AX230" s="30">
        <v>46568.0</v>
      </c>
      <c r="AY230" s="39">
        <v>0.0</v>
      </c>
      <c r="AZ230" s="39">
        <v>0.0</v>
      </c>
      <c r="BA230" s="35" t="s">
        <v>7045</v>
      </c>
      <c r="BB230" s="30">
        <v>46569.0</v>
      </c>
      <c r="BC230" s="30">
        <v>46660.0</v>
      </c>
      <c r="BD230" s="39">
        <v>0.0</v>
      </c>
      <c r="BE230" s="39">
        <v>0.0</v>
      </c>
      <c r="BF230" s="35" t="s">
        <v>7045</v>
      </c>
      <c r="BG230" s="30">
        <v>46661.0</v>
      </c>
      <c r="BH230" s="30">
        <v>46752.0</v>
      </c>
      <c r="BI230" s="39">
        <v>0.0</v>
      </c>
      <c r="BJ230" s="39">
        <v>0.0</v>
      </c>
      <c r="BK230" s="35" t="s">
        <v>7045</v>
      </c>
      <c r="BL230" s="30">
        <v>46753.0</v>
      </c>
      <c r="BM230" s="30">
        <v>46843.0</v>
      </c>
      <c r="BN230" s="39">
        <v>0.0</v>
      </c>
      <c r="BO230" s="39">
        <v>0.0</v>
      </c>
      <c r="BP230" s="35" t="s">
        <v>7045</v>
      </c>
      <c r="BQ230" s="30">
        <v>46844.0</v>
      </c>
      <c r="BR230" s="30">
        <v>46934.0</v>
      </c>
      <c r="BS230" s="39">
        <v>0.0</v>
      </c>
      <c r="BT230" s="39">
        <v>0.0</v>
      </c>
      <c r="BU230" s="35" t="s">
        <v>7045</v>
      </c>
      <c r="BV230" s="30">
        <v>46935.0</v>
      </c>
      <c r="BW230" s="30">
        <v>47026.0</v>
      </c>
      <c r="BX230" s="39">
        <v>0.0</v>
      </c>
      <c r="BY230" s="39">
        <v>0.0</v>
      </c>
      <c r="BZ230" s="35" t="s">
        <v>7045</v>
      </c>
      <c r="CA230" s="30">
        <v>47027.0</v>
      </c>
      <c r="CB230" s="30">
        <v>47118.0</v>
      </c>
      <c r="CC230" s="39">
        <v>0.0</v>
      </c>
      <c r="CD230" s="39">
        <v>0.0</v>
      </c>
      <c r="CE230" s="35" t="s">
        <v>7045</v>
      </c>
      <c r="CF230" s="30">
        <v>47119.0</v>
      </c>
      <c r="CG230" s="30">
        <v>47208.0</v>
      </c>
      <c r="CH230" s="39">
        <v>0.0</v>
      </c>
      <c r="CI230" s="39">
        <v>0.0</v>
      </c>
      <c r="CJ230" s="35" t="s">
        <v>7045</v>
      </c>
      <c r="CK230" s="30">
        <v>47209.0</v>
      </c>
      <c r="CL230" s="30">
        <v>47299.0</v>
      </c>
      <c r="CM230" s="39">
        <v>0.0</v>
      </c>
      <c r="CN230" s="39">
        <v>0.0</v>
      </c>
      <c r="CO230" s="35" t="s">
        <v>7045</v>
      </c>
      <c r="CP230" s="30">
        <v>47300.0</v>
      </c>
      <c r="CQ230" s="30">
        <v>47391.0</v>
      </c>
      <c r="CR230" s="39">
        <v>0.0</v>
      </c>
      <c r="CS230" s="39">
        <v>0.0</v>
      </c>
      <c r="CT230" s="35" t="s">
        <v>7045</v>
      </c>
      <c r="CU230" s="30">
        <v>47392.0</v>
      </c>
      <c r="CV230" s="30">
        <v>47483.0</v>
      </c>
      <c r="CW230" s="39">
        <v>0.0</v>
      </c>
      <c r="CX230" s="39">
        <v>0.0</v>
      </c>
      <c r="CY230" s="35" t="s">
        <v>7045</v>
      </c>
      <c r="CZ230" s="30">
        <v>47484.0</v>
      </c>
      <c r="DA230" s="30">
        <v>47573.0</v>
      </c>
      <c r="DB230" s="39">
        <v>0.0</v>
      </c>
      <c r="DC230" s="39">
        <v>0.0</v>
      </c>
      <c r="DD230" s="35" t="s">
        <v>7045</v>
      </c>
      <c r="DE230" s="30">
        <v>47574.0</v>
      </c>
      <c r="DF230" s="30">
        <v>47664.0</v>
      </c>
      <c r="DG230" s="39">
        <v>0.0</v>
      </c>
      <c r="DH230" s="39">
        <v>0.0</v>
      </c>
      <c r="DI230" s="35" t="s">
        <v>7045</v>
      </c>
      <c r="DJ230" s="30">
        <v>47665.0</v>
      </c>
      <c r="DK230" s="30">
        <v>47756.0</v>
      </c>
      <c r="DL230" s="39">
        <v>0.0</v>
      </c>
      <c r="DM230" s="39">
        <v>0.0</v>
      </c>
      <c r="DN230" s="35" t="s">
        <v>7045</v>
      </c>
      <c r="DO230" s="30">
        <v>47757.0</v>
      </c>
      <c r="DP230" s="30">
        <v>47848.0</v>
      </c>
      <c r="DQ230" s="39">
        <v>0.0</v>
      </c>
      <c r="DR230" s="39">
        <v>0.0</v>
      </c>
      <c r="DS230" s="35" t="s">
        <v>7045</v>
      </c>
    </row>
    <row r="231" ht="14.25" customHeight="1">
      <c r="A231" s="28" t="s">
        <v>5116</v>
      </c>
      <c r="B231" s="29" t="s">
        <v>5117</v>
      </c>
      <c r="C231" s="29" t="s">
        <v>7041</v>
      </c>
      <c r="D231" s="30">
        <v>45658.0</v>
      </c>
      <c r="E231" s="30">
        <v>45747.0</v>
      </c>
      <c r="F231" s="39">
        <v>67.9</v>
      </c>
      <c r="G231" s="39">
        <v>0.0</v>
      </c>
      <c r="H231" s="38" t="s">
        <v>7047</v>
      </c>
      <c r="I231" s="30">
        <v>45748.0</v>
      </c>
      <c r="J231" s="30">
        <v>45838.0</v>
      </c>
      <c r="K231" s="39">
        <v>27.0</v>
      </c>
      <c r="L231" s="39">
        <v>2220.0</v>
      </c>
      <c r="M231" s="32" t="s">
        <v>7043</v>
      </c>
      <c r="N231" s="30">
        <v>45839.0</v>
      </c>
      <c r="O231" s="30">
        <v>45930.0</v>
      </c>
      <c r="P231" s="39">
        <v>110.67</v>
      </c>
      <c r="Q231" s="39">
        <v>2220.0</v>
      </c>
      <c r="R231" s="38" t="s">
        <v>7043</v>
      </c>
      <c r="S231" s="30">
        <v>45931.0</v>
      </c>
      <c r="T231" s="30">
        <v>46022.0</v>
      </c>
      <c r="U231" s="39">
        <v>408.19</v>
      </c>
      <c r="V231" s="39">
        <v>2053.33</v>
      </c>
      <c r="W231" s="38" t="s">
        <v>7047</v>
      </c>
      <c r="X231" s="30">
        <v>46023.0</v>
      </c>
      <c r="Y231" s="30">
        <v>46112.0</v>
      </c>
      <c r="Z231" s="39">
        <v>435.84</v>
      </c>
      <c r="AA231" s="39">
        <v>0.0</v>
      </c>
      <c r="AB231" s="38" t="s">
        <v>7047</v>
      </c>
      <c r="AC231" s="30">
        <v>46113.0</v>
      </c>
      <c r="AD231" s="30">
        <v>46203.0</v>
      </c>
      <c r="AE231" s="39">
        <v>0.34</v>
      </c>
      <c r="AF231" s="39">
        <v>0.0</v>
      </c>
      <c r="AG231" s="38" t="s">
        <v>7047</v>
      </c>
      <c r="AH231" s="30">
        <v>46204.0</v>
      </c>
      <c r="AI231" s="30">
        <v>46295.0</v>
      </c>
      <c r="AJ231" s="39">
        <v>1.4</v>
      </c>
      <c r="AK231" s="39">
        <v>0.0</v>
      </c>
      <c r="AL231" s="38" t="s">
        <v>7047</v>
      </c>
      <c r="AM231" s="30">
        <v>46296.0</v>
      </c>
      <c r="AN231" s="30">
        <v>46387.0</v>
      </c>
      <c r="AO231" s="39">
        <v>27.11</v>
      </c>
      <c r="AP231" s="39">
        <v>0.0</v>
      </c>
      <c r="AQ231" s="38" t="s">
        <v>7047</v>
      </c>
      <c r="AR231" s="30">
        <v>46388.0</v>
      </c>
      <c r="AS231" s="30">
        <v>46477.0</v>
      </c>
      <c r="AT231" s="39">
        <v>0.0</v>
      </c>
      <c r="AU231" s="39">
        <v>0.0</v>
      </c>
      <c r="AV231" s="35" t="s">
        <v>7045</v>
      </c>
      <c r="AW231" s="30">
        <v>46478.0</v>
      </c>
      <c r="AX231" s="30">
        <v>46568.0</v>
      </c>
      <c r="AY231" s="39">
        <v>0.0</v>
      </c>
      <c r="AZ231" s="39">
        <v>0.0</v>
      </c>
      <c r="BA231" s="35" t="s">
        <v>7045</v>
      </c>
      <c r="BB231" s="30">
        <v>46569.0</v>
      </c>
      <c r="BC231" s="30">
        <v>46660.0</v>
      </c>
      <c r="BD231" s="39">
        <v>0.0</v>
      </c>
      <c r="BE231" s="39">
        <v>0.0</v>
      </c>
      <c r="BF231" s="35" t="s">
        <v>7045</v>
      </c>
      <c r="BG231" s="30">
        <v>46661.0</v>
      </c>
      <c r="BH231" s="30">
        <v>46752.0</v>
      </c>
      <c r="BI231" s="39">
        <v>0.0</v>
      </c>
      <c r="BJ231" s="39">
        <v>0.0</v>
      </c>
      <c r="BK231" s="35" t="s">
        <v>7045</v>
      </c>
      <c r="BL231" s="30">
        <v>46753.0</v>
      </c>
      <c r="BM231" s="30">
        <v>46843.0</v>
      </c>
      <c r="BN231" s="39">
        <v>0.0</v>
      </c>
      <c r="BO231" s="39">
        <v>0.0</v>
      </c>
      <c r="BP231" s="35" t="s">
        <v>7045</v>
      </c>
      <c r="BQ231" s="30">
        <v>46844.0</v>
      </c>
      <c r="BR231" s="30">
        <v>46934.0</v>
      </c>
      <c r="BS231" s="39">
        <v>0.0</v>
      </c>
      <c r="BT231" s="39">
        <v>0.0</v>
      </c>
      <c r="BU231" s="35" t="s">
        <v>7045</v>
      </c>
      <c r="BV231" s="30">
        <v>46935.0</v>
      </c>
      <c r="BW231" s="30">
        <v>47026.0</v>
      </c>
      <c r="BX231" s="39">
        <v>0.0</v>
      </c>
      <c r="BY231" s="39">
        <v>0.0</v>
      </c>
      <c r="BZ231" s="35" t="s">
        <v>7045</v>
      </c>
      <c r="CA231" s="30">
        <v>47027.0</v>
      </c>
      <c r="CB231" s="30">
        <v>47118.0</v>
      </c>
      <c r="CC231" s="39">
        <v>0.0</v>
      </c>
      <c r="CD231" s="39">
        <v>0.0</v>
      </c>
      <c r="CE231" s="35" t="s">
        <v>7045</v>
      </c>
      <c r="CF231" s="30">
        <v>47119.0</v>
      </c>
      <c r="CG231" s="30">
        <v>47208.0</v>
      </c>
      <c r="CH231" s="39">
        <v>0.0</v>
      </c>
      <c r="CI231" s="39">
        <v>0.0</v>
      </c>
      <c r="CJ231" s="35" t="s">
        <v>7045</v>
      </c>
      <c r="CK231" s="30">
        <v>47209.0</v>
      </c>
      <c r="CL231" s="30">
        <v>47299.0</v>
      </c>
      <c r="CM231" s="39">
        <v>0.0</v>
      </c>
      <c r="CN231" s="39">
        <v>0.0</v>
      </c>
      <c r="CO231" s="35" t="s">
        <v>7045</v>
      </c>
      <c r="CP231" s="30">
        <v>47300.0</v>
      </c>
      <c r="CQ231" s="30">
        <v>47391.0</v>
      </c>
      <c r="CR231" s="39">
        <v>0.0</v>
      </c>
      <c r="CS231" s="39">
        <v>0.0</v>
      </c>
      <c r="CT231" s="35" t="s">
        <v>7045</v>
      </c>
      <c r="CU231" s="30">
        <v>47392.0</v>
      </c>
      <c r="CV231" s="30">
        <v>47483.0</v>
      </c>
      <c r="CW231" s="39">
        <v>0.0</v>
      </c>
      <c r="CX231" s="39">
        <v>0.0</v>
      </c>
      <c r="CY231" s="35" t="s">
        <v>7045</v>
      </c>
      <c r="CZ231" s="30">
        <v>47484.0</v>
      </c>
      <c r="DA231" s="30">
        <v>47573.0</v>
      </c>
      <c r="DB231" s="39">
        <v>0.0</v>
      </c>
      <c r="DC231" s="39">
        <v>0.0</v>
      </c>
      <c r="DD231" s="35" t="s">
        <v>7045</v>
      </c>
      <c r="DE231" s="30">
        <v>47574.0</v>
      </c>
      <c r="DF231" s="30">
        <v>47664.0</v>
      </c>
      <c r="DG231" s="39">
        <v>0.0</v>
      </c>
      <c r="DH231" s="39">
        <v>0.0</v>
      </c>
      <c r="DI231" s="35" t="s">
        <v>7045</v>
      </c>
      <c r="DJ231" s="30">
        <v>47665.0</v>
      </c>
      <c r="DK231" s="30">
        <v>47756.0</v>
      </c>
      <c r="DL231" s="39">
        <v>0.0</v>
      </c>
      <c r="DM231" s="39">
        <v>0.0</v>
      </c>
      <c r="DN231" s="35" t="s">
        <v>7045</v>
      </c>
      <c r="DO231" s="30">
        <v>47757.0</v>
      </c>
      <c r="DP231" s="30">
        <v>47848.0</v>
      </c>
      <c r="DQ231" s="39">
        <v>0.0</v>
      </c>
      <c r="DR231" s="39">
        <v>0.0</v>
      </c>
      <c r="DS231" s="35" t="s">
        <v>7045</v>
      </c>
    </row>
    <row r="232" ht="14.25" customHeight="1">
      <c r="A232" s="28" t="s">
        <v>5157</v>
      </c>
      <c r="B232" s="29" t="s">
        <v>5158</v>
      </c>
      <c r="C232" s="29" t="s">
        <v>7041</v>
      </c>
      <c r="D232" s="30">
        <v>45658.0</v>
      </c>
      <c r="E232" s="30">
        <v>45747.0</v>
      </c>
      <c r="F232" s="36">
        <v>46.98</v>
      </c>
      <c r="G232" s="36">
        <v>0.0</v>
      </c>
      <c r="H232" s="38" t="s">
        <v>7047</v>
      </c>
      <c r="I232" s="30">
        <v>45748.0</v>
      </c>
      <c r="J232" s="30">
        <v>45838.0</v>
      </c>
      <c r="K232" s="36">
        <v>7.58</v>
      </c>
      <c r="L232" s="36">
        <v>0.0</v>
      </c>
      <c r="M232" s="38" t="s">
        <v>7047</v>
      </c>
      <c r="N232" s="30">
        <v>45839.0</v>
      </c>
      <c r="O232" s="30">
        <v>45930.0</v>
      </c>
      <c r="P232" s="36">
        <v>2769.46</v>
      </c>
      <c r="Q232" s="36">
        <v>2206.64</v>
      </c>
      <c r="R232" s="38" t="s">
        <v>7047</v>
      </c>
      <c r="S232" s="30">
        <v>45931.0</v>
      </c>
      <c r="T232" s="30">
        <v>46022.0</v>
      </c>
      <c r="U232" s="36">
        <v>4037.28</v>
      </c>
      <c r="V232" s="36">
        <v>2233.32</v>
      </c>
      <c r="W232" s="38" t="s">
        <v>7047</v>
      </c>
      <c r="X232" s="30">
        <v>46023.0</v>
      </c>
      <c r="Y232" s="30">
        <v>46112.0</v>
      </c>
      <c r="Z232" s="36">
        <v>9.33</v>
      </c>
      <c r="AA232" s="36">
        <v>0.0</v>
      </c>
      <c r="AB232" s="38" t="s">
        <v>7047</v>
      </c>
      <c r="AC232" s="30">
        <v>46113.0</v>
      </c>
      <c r="AD232" s="30">
        <v>46203.0</v>
      </c>
      <c r="AE232" s="36">
        <v>0.0</v>
      </c>
      <c r="AF232" s="36">
        <v>0.0</v>
      </c>
      <c r="AG232" s="35" t="s">
        <v>7045</v>
      </c>
      <c r="AH232" s="30">
        <v>46204.0</v>
      </c>
      <c r="AI232" s="30">
        <v>46295.0</v>
      </c>
      <c r="AJ232" s="36">
        <v>11.66</v>
      </c>
      <c r="AK232" s="36">
        <v>0.0</v>
      </c>
      <c r="AL232" s="38" t="s">
        <v>7047</v>
      </c>
      <c r="AM232" s="30">
        <v>46296.0</v>
      </c>
      <c r="AN232" s="30">
        <v>46387.0</v>
      </c>
      <c r="AO232" s="36">
        <v>49.96</v>
      </c>
      <c r="AP232" s="36">
        <v>0.0</v>
      </c>
      <c r="AQ232" s="38" t="s">
        <v>7047</v>
      </c>
      <c r="AR232" s="30">
        <v>46388.0</v>
      </c>
      <c r="AS232" s="30">
        <v>46477.0</v>
      </c>
      <c r="AT232" s="36">
        <v>0.0</v>
      </c>
      <c r="AU232" s="36">
        <v>0.0</v>
      </c>
      <c r="AV232" s="35" t="s">
        <v>7045</v>
      </c>
      <c r="AW232" s="30">
        <v>46478.0</v>
      </c>
      <c r="AX232" s="30">
        <v>46568.0</v>
      </c>
      <c r="AY232" s="36">
        <v>0.0</v>
      </c>
      <c r="AZ232" s="36">
        <v>0.0</v>
      </c>
      <c r="BA232" s="35" t="s">
        <v>7045</v>
      </c>
      <c r="BB232" s="30">
        <v>46569.0</v>
      </c>
      <c r="BC232" s="30">
        <v>46660.0</v>
      </c>
      <c r="BD232" s="36">
        <v>0.0</v>
      </c>
      <c r="BE232" s="36">
        <v>0.0</v>
      </c>
      <c r="BF232" s="35" t="s">
        <v>7045</v>
      </c>
      <c r="BG232" s="30">
        <v>46661.0</v>
      </c>
      <c r="BH232" s="30">
        <v>46752.0</v>
      </c>
      <c r="BI232" s="36">
        <v>0.0</v>
      </c>
      <c r="BJ232" s="36">
        <v>0.0</v>
      </c>
      <c r="BK232" s="35" t="s">
        <v>7045</v>
      </c>
      <c r="BL232" s="30">
        <v>46753.0</v>
      </c>
      <c r="BM232" s="30">
        <v>46843.0</v>
      </c>
      <c r="BN232" s="36">
        <v>0.0</v>
      </c>
      <c r="BO232" s="36">
        <v>0.0</v>
      </c>
      <c r="BP232" s="35" t="s">
        <v>7045</v>
      </c>
      <c r="BQ232" s="30">
        <v>46844.0</v>
      </c>
      <c r="BR232" s="30">
        <v>46934.0</v>
      </c>
      <c r="BS232" s="36">
        <v>0.0</v>
      </c>
      <c r="BT232" s="36">
        <v>0.0</v>
      </c>
      <c r="BU232" s="35" t="s">
        <v>7045</v>
      </c>
      <c r="BV232" s="30">
        <v>46935.0</v>
      </c>
      <c r="BW232" s="30">
        <v>47026.0</v>
      </c>
      <c r="BX232" s="36">
        <v>0.0</v>
      </c>
      <c r="BY232" s="36">
        <v>0.0</v>
      </c>
      <c r="BZ232" s="35" t="s">
        <v>7045</v>
      </c>
      <c r="CA232" s="30">
        <v>47027.0</v>
      </c>
      <c r="CB232" s="30">
        <v>47118.0</v>
      </c>
      <c r="CC232" s="36">
        <v>0.0</v>
      </c>
      <c r="CD232" s="36">
        <v>0.0</v>
      </c>
      <c r="CE232" s="35" t="s">
        <v>7045</v>
      </c>
      <c r="CF232" s="30">
        <v>47119.0</v>
      </c>
      <c r="CG232" s="30">
        <v>47208.0</v>
      </c>
      <c r="CH232" s="36">
        <v>0.0</v>
      </c>
      <c r="CI232" s="36">
        <v>0.0</v>
      </c>
      <c r="CJ232" s="35" t="s">
        <v>7045</v>
      </c>
      <c r="CK232" s="30">
        <v>47209.0</v>
      </c>
      <c r="CL232" s="30">
        <v>47299.0</v>
      </c>
      <c r="CM232" s="36">
        <v>0.0</v>
      </c>
      <c r="CN232" s="36">
        <v>0.0</v>
      </c>
      <c r="CO232" s="35" t="s">
        <v>7045</v>
      </c>
      <c r="CP232" s="30">
        <v>47300.0</v>
      </c>
      <c r="CQ232" s="30">
        <v>47391.0</v>
      </c>
      <c r="CR232" s="36">
        <v>0.0</v>
      </c>
      <c r="CS232" s="36">
        <v>0.0</v>
      </c>
      <c r="CT232" s="35" t="s">
        <v>7045</v>
      </c>
      <c r="CU232" s="30">
        <v>47392.0</v>
      </c>
      <c r="CV232" s="30">
        <v>47483.0</v>
      </c>
      <c r="CW232" s="36">
        <v>0.0</v>
      </c>
      <c r="CX232" s="36">
        <v>0.0</v>
      </c>
      <c r="CY232" s="35" t="s">
        <v>7045</v>
      </c>
      <c r="CZ232" s="30">
        <v>47484.0</v>
      </c>
      <c r="DA232" s="30">
        <v>47573.0</v>
      </c>
      <c r="DB232" s="36">
        <v>0.0</v>
      </c>
      <c r="DC232" s="36">
        <v>0.0</v>
      </c>
      <c r="DD232" s="35" t="s">
        <v>7045</v>
      </c>
      <c r="DE232" s="30">
        <v>47574.0</v>
      </c>
      <c r="DF232" s="30">
        <v>47664.0</v>
      </c>
      <c r="DG232" s="36">
        <v>0.0</v>
      </c>
      <c r="DH232" s="36">
        <v>0.0</v>
      </c>
      <c r="DI232" s="35" t="s">
        <v>7045</v>
      </c>
      <c r="DJ232" s="30">
        <v>47665.0</v>
      </c>
      <c r="DK232" s="30">
        <v>47756.0</v>
      </c>
      <c r="DL232" s="36">
        <v>0.0</v>
      </c>
      <c r="DM232" s="36">
        <v>0.0</v>
      </c>
      <c r="DN232" s="35" t="s">
        <v>7045</v>
      </c>
      <c r="DO232" s="30">
        <v>47757.0</v>
      </c>
      <c r="DP232" s="30">
        <v>47848.0</v>
      </c>
      <c r="DQ232" s="36">
        <v>0.0</v>
      </c>
      <c r="DR232" s="36">
        <v>0.0</v>
      </c>
      <c r="DS232" s="35" t="s">
        <v>7045</v>
      </c>
    </row>
    <row r="233" ht="14.25" customHeight="1">
      <c r="A233" s="28" t="s">
        <v>5717</v>
      </c>
      <c r="B233" s="29" t="s">
        <v>5718</v>
      </c>
      <c r="C233" s="29" t="s">
        <v>7041</v>
      </c>
      <c r="D233" s="30">
        <v>45658.0</v>
      </c>
      <c r="E233" s="30">
        <v>45747.0</v>
      </c>
      <c r="F233" s="36">
        <v>1.66</v>
      </c>
      <c r="G233" s="36">
        <v>0.0</v>
      </c>
      <c r="H233" s="38" t="s">
        <v>7047</v>
      </c>
      <c r="I233" s="30">
        <v>45748.0</v>
      </c>
      <c r="J233" s="30">
        <v>45838.0</v>
      </c>
      <c r="K233" s="36">
        <v>3.65</v>
      </c>
      <c r="L233" s="36">
        <v>0.0</v>
      </c>
      <c r="M233" s="38" t="s">
        <v>7047</v>
      </c>
      <c r="N233" s="30">
        <v>45839.0</v>
      </c>
      <c r="O233" s="30">
        <v>45930.0</v>
      </c>
      <c r="P233" s="36">
        <v>968.0</v>
      </c>
      <c r="Q233" s="36">
        <v>3216.64</v>
      </c>
      <c r="R233" s="38" t="s">
        <v>7047</v>
      </c>
      <c r="S233" s="30">
        <v>45931.0</v>
      </c>
      <c r="T233" s="30">
        <v>46022.0</v>
      </c>
      <c r="U233" s="36">
        <v>1119.07</v>
      </c>
      <c r="V233" s="36">
        <v>3883.3</v>
      </c>
      <c r="W233" s="38" t="s">
        <v>7047</v>
      </c>
      <c r="X233" s="30">
        <v>46023.0</v>
      </c>
      <c r="Y233" s="30">
        <v>46112.0</v>
      </c>
      <c r="Z233" s="36">
        <v>6.69</v>
      </c>
      <c r="AA233" s="36">
        <v>0.0</v>
      </c>
      <c r="AB233" s="38" t="s">
        <v>7047</v>
      </c>
      <c r="AC233" s="30">
        <v>46113.0</v>
      </c>
      <c r="AD233" s="30">
        <v>46203.0</v>
      </c>
      <c r="AE233" s="36">
        <v>3.01</v>
      </c>
      <c r="AF233" s="36">
        <v>0.0</v>
      </c>
      <c r="AG233" s="38" t="s">
        <v>7047</v>
      </c>
      <c r="AH233" s="30">
        <v>46204.0</v>
      </c>
      <c r="AI233" s="30">
        <v>46295.0</v>
      </c>
      <c r="AJ233" s="36">
        <v>0.0</v>
      </c>
      <c r="AK233" s="36">
        <v>0.0</v>
      </c>
      <c r="AL233" s="35" t="s">
        <v>7045</v>
      </c>
      <c r="AM233" s="30">
        <v>46296.0</v>
      </c>
      <c r="AN233" s="30">
        <v>46387.0</v>
      </c>
      <c r="AO233" s="36">
        <v>2.44</v>
      </c>
      <c r="AP233" s="36">
        <v>0.0</v>
      </c>
      <c r="AQ233" s="38" t="s">
        <v>7047</v>
      </c>
      <c r="AR233" s="30">
        <v>46388.0</v>
      </c>
      <c r="AS233" s="30">
        <v>46477.0</v>
      </c>
      <c r="AT233" s="36">
        <v>0.0</v>
      </c>
      <c r="AU233" s="36">
        <v>0.0</v>
      </c>
      <c r="AV233" s="35" t="s">
        <v>7045</v>
      </c>
      <c r="AW233" s="30">
        <v>46478.0</v>
      </c>
      <c r="AX233" s="30">
        <v>46568.0</v>
      </c>
      <c r="AY233" s="36">
        <v>0.0</v>
      </c>
      <c r="AZ233" s="36">
        <v>0.0</v>
      </c>
      <c r="BA233" s="35" t="s">
        <v>7045</v>
      </c>
      <c r="BB233" s="30">
        <v>46569.0</v>
      </c>
      <c r="BC233" s="30">
        <v>46660.0</v>
      </c>
      <c r="BD233" s="36">
        <v>0.0</v>
      </c>
      <c r="BE233" s="36">
        <v>0.0</v>
      </c>
      <c r="BF233" s="35" t="s">
        <v>7045</v>
      </c>
      <c r="BG233" s="30">
        <v>46661.0</v>
      </c>
      <c r="BH233" s="30">
        <v>46752.0</v>
      </c>
      <c r="BI233" s="36">
        <v>0.0</v>
      </c>
      <c r="BJ233" s="36">
        <v>0.0</v>
      </c>
      <c r="BK233" s="35" t="s">
        <v>7045</v>
      </c>
      <c r="BL233" s="30">
        <v>46753.0</v>
      </c>
      <c r="BM233" s="30">
        <v>46843.0</v>
      </c>
      <c r="BN233" s="36">
        <v>0.0</v>
      </c>
      <c r="BO233" s="36">
        <v>0.0</v>
      </c>
      <c r="BP233" s="35" t="s">
        <v>7045</v>
      </c>
      <c r="BQ233" s="30">
        <v>46844.0</v>
      </c>
      <c r="BR233" s="30">
        <v>46934.0</v>
      </c>
      <c r="BS233" s="36">
        <v>0.0</v>
      </c>
      <c r="BT233" s="36">
        <v>0.0</v>
      </c>
      <c r="BU233" s="35" t="s">
        <v>7045</v>
      </c>
      <c r="BV233" s="30">
        <v>46935.0</v>
      </c>
      <c r="BW233" s="30">
        <v>47026.0</v>
      </c>
      <c r="BX233" s="36">
        <v>0.0</v>
      </c>
      <c r="BY233" s="36">
        <v>0.0</v>
      </c>
      <c r="BZ233" s="35" t="s">
        <v>7045</v>
      </c>
      <c r="CA233" s="30">
        <v>47027.0</v>
      </c>
      <c r="CB233" s="30">
        <v>47118.0</v>
      </c>
      <c r="CC233" s="36">
        <v>0.0</v>
      </c>
      <c r="CD233" s="36">
        <v>0.0</v>
      </c>
      <c r="CE233" s="35" t="s">
        <v>7045</v>
      </c>
      <c r="CF233" s="30">
        <v>47119.0</v>
      </c>
      <c r="CG233" s="30">
        <v>47208.0</v>
      </c>
      <c r="CH233" s="36">
        <v>0.0</v>
      </c>
      <c r="CI233" s="36">
        <v>0.0</v>
      </c>
      <c r="CJ233" s="35" t="s">
        <v>7045</v>
      </c>
      <c r="CK233" s="30">
        <v>47209.0</v>
      </c>
      <c r="CL233" s="30">
        <v>47299.0</v>
      </c>
      <c r="CM233" s="36">
        <v>0.0</v>
      </c>
      <c r="CN233" s="36">
        <v>0.0</v>
      </c>
      <c r="CO233" s="35" t="s">
        <v>7045</v>
      </c>
      <c r="CP233" s="30">
        <v>47300.0</v>
      </c>
      <c r="CQ233" s="30">
        <v>47391.0</v>
      </c>
      <c r="CR233" s="36">
        <v>0.0</v>
      </c>
      <c r="CS233" s="36">
        <v>0.0</v>
      </c>
      <c r="CT233" s="35" t="s">
        <v>7045</v>
      </c>
      <c r="CU233" s="30">
        <v>47392.0</v>
      </c>
      <c r="CV233" s="30">
        <v>47483.0</v>
      </c>
      <c r="CW233" s="36">
        <v>0.0</v>
      </c>
      <c r="CX233" s="36">
        <v>0.0</v>
      </c>
      <c r="CY233" s="35" t="s">
        <v>7045</v>
      </c>
      <c r="CZ233" s="30">
        <v>47484.0</v>
      </c>
      <c r="DA233" s="30">
        <v>47573.0</v>
      </c>
      <c r="DB233" s="36">
        <v>0.0</v>
      </c>
      <c r="DC233" s="36">
        <v>0.0</v>
      </c>
      <c r="DD233" s="35" t="s">
        <v>7045</v>
      </c>
      <c r="DE233" s="30">
        <v>47574.0</v>
      </c>
      <c r="DF233" s="30">
        <v>47664.0</v>
      </c>
      <c r="DG233" s="36">
        <v>0.0</v>
      </c>
      <c r="DH233" s="36">
        <v>0.0</v>
      </c>
      <c r="DI233" s="35" t="s">
        <v>7045</v>
      </c>
      <c r="DJ233" s="30">
        <v>47665.0</v>
      </c>
      <c r="DK233" s="30">
        <v>47756.0</v>
      </c>
      <c r="DL233" s="36">
        <v>0.0</v>
      </c>
      <c r="DM233" s="36">
        <v>0.0</v>
      </c>
      <c r="DN233" s="35" t="s">
        <v>7045</v>
      </c>
      <c r="DO233" s="30">
        <v>47757.0</v>
      </c>
      <c r="DP233" s="30">
        <v>47848.0</v>
      </c>
      <c r="DQ233" s="36">
        <v>0.0</v>
      </c>
      <c r="DR233" s="36">
        <v>0.0</v>
      </c>
      <c r="DS233" s="35" t="s">
        <v>7045</v>
      </c>
    </row>
    <row r="234" ht="14.25" customHeight="1">
      <c r="A234" s="28" t="s">
        <v>6261</v>
      </c>
      <c r="B234" s="29" t="s">
        <v>6262</v>
      </c>
      <c r="C234" s="29" t="s">
        <v>7041</v>
      </c>
      <c r="D234" s="30">
        <v>45658.0</v>
      </c>
      <c r="E234" s="30">
        <v>45747.0</v>
      </c>
      <c r="F234" s="36">
        <v>0.0</v>
      </c>
      <c r="G234" s="36">
        <v>0.0</v>
      </c>
      <c r="H234" s="35" t="s">
        <v>7045</v>
      </c>
      <c r="I234" s="30">
        <v>45748.0</v>
      </c>
      <c r="J234" s="30">
        <v>45838.0</v>
      </c>
      <c r="K234" s="36">
        <v>0.66</v>
      </c>
      <c r="L234" s="36">
        <v>0.0</v>
      </c>
      <c r="M234" s="35" t="s">
        <v>7047</v>
      </c>
      <c r="N234" s="30">
        <v>45839.0</v>
      </c>
      <c r="O234" s="30">
        <v>45930.0</v>
      </c>
      <c r="P234" s="36">
        <v>0.0</v>
      </c>
      <c r="Q234" s="36">
        <v>0.0</v>
      </c>
      <c r="R234" s="35" t="s">
        <v>7045</v>
      </c>
      <c r="S234" s="30">
        <v>45931.0</v>
      </c>
      <c r="T234" s="30">
        <v>46022.0</v>
      </c>
      <c r="U234" s="36">
        <v>9.72</v>
      </c>
      <c r="V234" s="36">
        <v>0.0</v>
      </c>
      <c r="W234" s="35" t="s">
        <v>7047</v>
      </c>
      <c r="X234" s="30">
        <v>46023.0</v>
      </c>
      <c r="Y234" s="30">
        <v>46112.0</v>
      </c>
      <c r="Z234" s="36">
        <v>0.0</v>
      </c>
      <c r="AA234" s="36">
        <v>0.0</v>
      </c>
      <c r="AB234" s="35" t="s">
        <v>7045</v>
      </c>
      <c r="AC234" s="30">
        <v>46113.0</v>
      </c>
      <c r="AD234" s="30">
        <v>46203.0</v>
      </c>
      <c r="AE234" s="36">
        <v>0.0</v>
      </c>
      <c r="AF234" s="36">
        <v>0.0</v>
      </c>
      <c r="AG234" s="35" t="s">
        <v>7045</v>
      </c>
      <c r="AH234" s="30">
        <v>46204.0</v>
      </c>
      <c r="AI234" s="30">
        <v>46295.0</v>
      </c>
      <c r="AJ234" s="36">
        <v>0.0</v>
      </c>
      <c r="AK234" s="36">
        <v>0.0</v>
      </c>
      <c r="AL234" s="35" t="s">
        <v>7045</v>
      </c>
      <c r="AM234" s="30">
        <v>46296.0</v>
      </c>
      <c r="AN234" s="30">
        <v>46387.0</v>
      </c>
      <c r="AO234" s="36">
        <v>0.0</v>
      </c>
      <c r="AP234" s="36">
        <v>0.0</v>
      </c>
      <c r="AQ234" s="35" t="s">
        <v>7045</v>
      </c>
      <c r="AR234" s="30">
        <v>46388.0</v>
      </c>
      <c r="AS234" s="30">
        <v>46477.0</v>
      </c>
      <c r="AT234" s="36">
        <v>0.0</v>
      </c>
      <c r="AU234" s="36">
        <v>0.0</v>
      </c>
      <c r="AV234" s="35" t="s">
        <v>7045</v>
      </c>
      <c r="AW234" s="30">
        <v>46478.0</v>
      </c>
      <c r="AX234" s="30">
        <v>46568.0</v>
      </c>
      <c r="AY234" s="36">
        <v>0.0</v>
      </c>
      <c r="AZ234" s="36">
        <v>0.0</v>
      </c>
      <c r="BA234" s="35" t="s">
        <v>7045</v>
      </c>
      <c r="BB234" s="30">
        <v>46569.0</v>
      </c>
      <c r="BC234" s="30">
        <v>46660.0</v>
      </c>
      <c r="BD234" s="36">
        <v>0.0</v>
      </c>
      <c r="BE234" s="36">
        <v>0.0</v>
      </c>
      <c r="BF234" s="35" t="s">
        <v>7045</v>
      </c>
      <c r="BG234" s="30">
        <v>46661.0</v>
      </c>
      <c r="BH234" s="30">
        <v>46752.0</v>
      </c>
      <c r="BI234" s="36">
        <v>0.0</v>
      </c>
      <c r="BJ234" s="36">
        <v>0.0</v>
      </c>
      <c r="BK234" s="35" t="s">
        <v>7045</v>
      </c>
      <c r="BL234" s="30">
        <v>46753.0</v>
      </c>
      <c r="BM234" s="30">
        <v>46843.0</v>
      </c>
      <c r="BN234" s="36">
        <v>0.0</v>
      </c>
      <c r="BO234" s="36">
        <v>0.0</v>
      </c>
      <c r="BP234" s="35" t="s">
        <v>7045</v>
      </c>
      <c r="BQ234" s="30">
        <v>46844.0</v>
      </c>
      <c r="BR234" s="30">
        <v>46934.0</v>
      </c>
      <c r="BS234" s="36">
        <v>0.0</v>
      </c>
      <c r="BT234" s="36">
        <v>0.0</v>
      </c>
      <c r="BU234" s="35" t="s">
        <v>7045</v>
      </c>
      <c r="BV234" s="30">
        <v>46935.0</v>
      </c>
      <c r="BW234" s="30">
        <v>47026.0</v>
      </c>
      <c r="BX234" s="36">
        <v>0.0</v>
      </c>
      <c r="BY234" s="36">
        <v>0.0</v>
      </c>
      <c r="BZ234" s="35" t="s">
        <v>7045</v>
      </c>
      <c r="CA234" s="30">
        <v>47027.0</v>
      </c>
      <c r="CB234" s="30">
        <v>47118.0</v>
      </c>
      <c r="CC234" s="36">
        <v>0.0</v>
      </c>
      <c r="CD234" s="36">
        <v>0.0</v>
      </c>
      <c r="CE234" s="35" t="s">
        <v>7045</v>
      </c>
      <c r="CF234" s="30">
        <v>47119.0</v>
      </c>
      <c r="CG234" s="30">
        <v>47208.0</v>
      </c>
      <c r="CH234" s="36">
        <v>0.0</v>
      </c>
      <c r="CI234" s="36">
        <v>0.0</v>
      </c>
      <c r="CJ234" s="35" t="s">
        <v>7045</v>
      </c>
      <c r="CK234" s="30">
        <v>47209.0</v>
      </c>
      <c r="CL234" s="30">
        <v>47299.0</v>
      </c>
      <c r="CM234" s="36">
        <v>0.0</v>
      </c>
      <c r="CN234" s="36">
        <v>0.0</v>
      </c>
      <c r="CO234" s="35" t="s">
        <v>7045</v>
      </c>
      <c r="CP234" s="30">
        <v>47300.0</v>
      </c>
      <c r="CQ234" s="30">
        <v>47391.0</v>
      </c>
      <c r="CR234" s="36">
        <v>0.0</v>
      </c>
      <c r="CS234" s="36">
        <v>0.0</v>
      </c>
      <c r="CT234" s="35" t="s">
        <v>7045</v>
      </c>
      <c r="CU234" s="30">
        <v>47392.0</v>
      </c>
      <c r="CV234" s="30">
        <v>47483.0</v>
      </c>
      <c r="CW234" s="36">
        <v>0.0</v>
      </c>
      <c r="CX234" s="36">
        <v>0.0</v>
      </c>
      <c r="CY234" s="35" t="s">
        <v>7045</v>
      </c>
      <c r="CZ234" s="30">
        <v>47484.0</v>
      </c>
      <c r="DA234" s="30">
        <v>47573.0</v>
      </c>
      <c r="DB234" s="36">
        <v>0.0</v>
      </c>
      <c r="DC234" s="36">
        <v>0.0</v>
      </c>
      <c r="DD234" s="35" t="s">
        <v>7045</v>
      </c>
      <c r="DE234" s="30">
        <v>47574.0</v>
      </c>
      <c r="DF234" s="30">
        <v>47664.0</v>
      </c>
      <c r="DG234" s="36">
        <v>0.0</v>
      </c>
      <c r="DH234" s="36">
        <v>0.0</v>
      </c>
      <c r="DI234" s="35" t="s">
        <v>7045</v>
      </c>
      <c r="DJ234" s="30">
        <v>47665.0</v>
      </c>
      <c r="DK234" s="30">
        <v>47756.0</v>
      </c>
      <c r="DL234" s="36">
        <v>0.0</v>
      </c>
      <c r="DM234" s="36">
        <v>0.0</v>
      </c>
      <c r="DN234" s="35" t="s">
        <v>7045</v>
      </c>
      <c r="DO234" s="30">
        <v>47757.0</v>
      </c>
      <c r="DP234" s="30">
        <v>47848.0</v>
      </c>
      <c r="DQ234" s="36">
        <v>0.0</v>
      </c>
      <c r="DR234" s="36">
        <v>0.0</v>
      </c>
      <c r="DS234" s="35" t="s">
        <v>7045</v>
      </c>
    </row>
    <row r="235" ht="14.25" customHeight="1">
      <c r="A235" s="28" t="s">
        <v>2471</v>
      </c>
      <c r="B235" s="29" t="s">
        <v>2472</v>
      </c>
      <c r="C235" s="29" t="s">
        <v>7041</v>
      </c>
      <c r="D235" s="30">
        <v>45658.0</v>
      </c>
      <c r="E235" s="30">
        <v>45747.0</v>
      </c>
      <c r="F235" s="39">
        <v>1.87</v>
      </c>
      <c r="G235" s="39">
        <v>0.0</v>
      </c>
      <c r="H235" s="38" t="s">
        <v>7047</v>
      </c>
      <c r="I235" s="30">
        <v>45748.0</v>
      </c>
      <c r="J235" s="30">
        <v>45838.0</v>
      </c>
      <c r="K235" s="39">
        <v>1.87</v>
      </c>
      <c r="L235" s="39">
        <v>0.0</v>
      </c>
      <c r="M235" s="38" t="s">
        <v>7047</v>
      </c>
      <c r="N235" s="30">
        <v>45839.0</v>
      </c>
      <c r="O235" s="30">
        <v>45930.0</v>
      </c>
      <c r="P235" s="39">
        <v>1.87</v>
      </c>
      <c r="Q235" s="39">
        <v>0.0</v>
      </c>
      <c r="R235" s="38" t="s">
        <v>7047</v>
      </c>
      <c r="S235" s="30">
        <v>45931.0</v>
      </c>
      <c r="T235" s="30">
        <v>46022.0</v>
      </c>
      <c r="U235" s="39">
        <v>25.0</v>
      </c>
      <c r="V235" s="39">
        <v>0.0</v>
      </c>
      <c r="W235" s="35" t="s">
        <v>7047</v>
      </c>
      <c r="X235" s="30">
        <v>46023.0</v>
      </c>
      <c r="Y235" s="30">
        <v>46112.0</v>
      </c>
      <c r="Z235" s="39">
        <v>0.0</v>
      </c>
      <c r="AA235" s="39">
        <v>0.0</v>
      </c>
      <c r="AB235" s="35" t="s">
        <v>7045</v>
      </c>
      <c r="AC235" s="30">
        <v>46113.0</v>
      </c>
      <c r="AD235" s="30">
        <v>46203.0</v>
      </c>
      <c r="AE235" s="39">
        <v>1.47</v>
      </c>
      <c r="AF235" s="39">
        <v>0.0</v>
      </c>
      <c r="AG235" s="38" t="s">
        <v>7047</v>
      </c>
      <c r="AH235" s="30">
        <v>46204.0</v>
      </c>
      <c r="AI235" s="30">
        <v>46295.0</v>
      </c>
      <c r="AJ235" s="39">
        <v>0.0</v>
      </c>
      <c r="AK235" s="39">
        <v>0.0</v>
      </c>
      <c r="AL235" s="35" t="s">
        <v>7045</v>
      </c>
      <c r="AM235" s="30">
        <v>46296.0</v>
      </c>
      <c r="AN235" s="30">
        <v>46387.0</v>
      </c>
      <c r="AO235" s="39">
        <v>0.0</v>
      </c>
      <c r="AP235" s="39">
        <v>0.0</v>
      </c>
      <c r="AQ235" s="35" t="s">
        <v>7045</v>
      </c>
      <c r="AR235" s="30">
        <v>46388.0</v>
      </c>
      <c r="AS235" s="30">
        <v>46477.0</v>
      </c>
      <c r="AT235" s="39">
        <v>0.0</v>
      </c>
      <c r="AU235" s="39">
        <v>0.0</v>
      </c>
      <c r="AV235" s="35" t="s">
        <v>7045</v>
      </c>
      <c r="AW235" s="30">
        <v>46478.0</v>
      </c>
      <c r="AX235" s="30">
        <v>46568.0</v>
      </c>
      <c r="AY235" s="39">
        <v>0.0</v>
      </c>
      <c r="AZ235" s="39">
        <v>0.0</v>
      </c>
      <c r="BA235" s="35" t="s">
        <v>7045</v>
      </c>
      <c r="BB235" s="30">
        <v>46569.0</v>
      </c>
      <c r="BC235" s="30">
        <v>46660.0</v>
      </c>
      <c r="BD235" s="39">
        <v>0.0</v>
      </c>
      <c r="BE235" s="39">
        <v>0.0</v>
      </c>
      <c r="BF235" s="35" t="s">
        <v>7045</v>
      </c>
      <c r="BG235" s="30">
        <v>46661.0</v>
      </c>
      <c r="BH235" s="30">
        <v>46752.0</v>
      </c>
      <c r="BI235" s="39">
        <v>0.0</v>
      </c>
      <c r="BJ235" s="39">
        <v>0.0</v>
      </c>
      <c r="BK235" s="35" t="s">
        <v>7045</v>
      </c>
      <c r="BL235" s="30">
        <v>46753.0</v>
      </c>
      <c r="BM235" s="30">
        <v>46843.0</v>
      </c>
      <c r="BN235" s="39">
        <v>0.0</v>
      </c>
      <c r="BO235" s="39">
        <v>0.0</v>
      </c>
      <c r="BP235" s="35" t="s">
        <v>7045</v>
      </c>
      <c r="BQ235" s="30">
        <v>46844.0</v>
      </c>
      <c r="BR235" s="30">
        <v>46934.0</v>
      </c>
      <c r="BS235" s="39">
        <v>0.0</v>
      </c>
      <c r="BT235" s="39">
        <v>0.0</v>
      </c>
      <c r="BU235" s="35" t="s">
        <v>7045</v>
      </c>
      <c r="BV235" s="30">
        <v>46935.0</v>
      </c>
      <c r="BW235" s="30">
        <v>47026.0</v>
      </c>
      <c r="BX235" s="39">
        <v>0.0</v>
      </c>
      <c r="BY235" s="39">
        <v>0.0</v>
      </c>
      <c r="BZ235" s="35" t="s">
        <v>7045</v>
      </c>
      <c r="CA235" s="30">
        <v>47027.0</v>
      </c>
      <c r="CB235" s="30">
        <v>47118.0</v>
      </c>
      <c r="CC235" s="39">
        <v>0.0</v>
      </c>
      <c r="CD235" s="39">
        <v>0.0</v>
      </c>
      <c r="CE235" s="35" t="s">
        <v>7045</v>
      </c>
      <c r="CF235" s="30">
        <v>47119.0</v>
      </c>
      <c r="CG235" s="30">
        <v>47208.0</v>
      </c>
      <c r="CH235" s="39">
        <v>0.0</v>
      </c>
      <c r="CI235" s="39">
        <v>0.0</v>
      </c>
      <c r="CJ235" s="35" t="s">
        <v>7045</v>
      </c>
      <c r="CK235" s="30">
        <v>47209.0</v>
      </c>
      <c r="CL235" s="30">
        <v>47299.0</v>
      </c>
      <c r="CM235" s="39">
        <v>0.0</v>
      </c>
      <c r="CN235" s="39">
        <v>0.0</v>
      </c>
      <c r="CO235" s="35" t="s">
        <v>7045</v>
      </c>
      <c r="CP235" s="30">
        <v>47300.0</v>
      </c>
      <c r="CQ235" s="30">
        <v>47391.0</v>
      </c>
      <c r="CR235" s="39">
        <v>0.0</v>
      </c>
      <c r="CS235" s="39">
        <v>0.0</v>
      </c>
      <c r="CT235" s="35" t="s">
        <v>7045</v>
      </c>
      <c r="CU235" s="30">
        <v>47392.0</v>
      </c>
      <c r="CV235" s="30">
        <v>47483.0</v>
      </c>
      <c r="CW235" s="39">
        <v>0.0</v>
      </c>
      <c r="CX235" s="39">
        <v>0.0</v>
      </c>
      <c r="CY235" s="35" t="s">
        <v>7045</v>
      </c>
      <c r="CZ235" s="30">
        <v>47484.0</v>
      </c>
      <c r="DA235" s="30">
        <v>47573.0</v>
      </c>
      <c r="DB235" s="39">
        <v>0.0</v>
      </c>
      <c r="DC235" s="39">
        <v>0.0</v>
      </c>
      <c r="DD235" s="35" t="s">
        <v>7045</v>
      </c>
      <c r="DE235" s="30">
        <v>47574.0</v>
      </c>
      <c r="DF235" s="30">
        <v>47664.0</v>
      </c>
      <c r="DG235" s="39">
        <v>0.0</v>
      </c>
      <c r="DH235" s="39">
        <v>0.0</v>
      </c>
      <c r="DI235" s="35" t="s">
        <v>7045</v>
      </c>
      <c r="DJ235" s="30">
        <v>47665.0</v>
      </c>
      <c r="DK235" s="30">
        <v>47756.0</v>
      </c>
      <c r="DL235" s="39">
        <v>0.0</v>
      </c>
      <c r="DM235" s="39">
        <v>0.0</v>
      </c>
      <c r="DN235" s="35" t="s">
        <v>7045</v>
      </c>
      <c r="DO235" s="30">
        <v>47757.0</v>
      </c>
      <c r="DP235" s="30">
        <v>47848.0</v>
      </c>
      <c r="DQ235" s="39">
        <v>0.0</v>
      </c>
      <c r="DR235" s="39">
        <v>0.0</v>
      </c>
      <c r="DS235" s="35" t="s">
        <v>7045</v>
      </c>
    </row>
    <row r="236" ht="14.25" customHeight="1">
      <c r="A236" s="28" t="s">
        <v>1188</v>
      </c>
      <c r="B236" s="29" t="s">
        <v>1189</v>
      </c>
      <c r="C236" s="29" t="s">
        <v>7041</v>
      </c>
      <c r="D236" s="30">
        <v>45658.0</v>
      </c>
      <c r="E236" s="30">
        <v>45747.0</v>
      </c>
      <c r="F236" s="39">
        <v>0.0</v>
      </c>
      <c r="G236" s="39">
        <v>0.0</v>
      </c>
      <c r="H236" s="35" t="s">
        <v>7045</v>
      </c>
      <c r="I236" s="30">
        <v>45748.0</v>
      </c>
      <c r="J236" s="30">
        <v>45838.0</v>
      </c>
      <c r="K236" s="39">
        <v>10.0</v>
      </c>
      <c r="L236" s="39">
        <v>0.0</v>
      </c>
      <c r="M236" s="38" t="s">
        <v>7047</v>
      </c>
      <c r="N236" s="30">
        <v>45839.0</v>
      </c>
      <c r="O236" s="30">
        <v>45930.0</v>
      </c>
      <c r="P236" s="39">
        <v>10.0</v>
      </c>
      <c r="Q236" s="39">
        <v>0.0</v>
      </c>
      <c r="R236" s="38" t="s">
        <v>7047</v>
      </c>
      <c r="S236" s="30">
        <v>45931.0</v>
      </c>
      <c r="T236" s="30">
        <v>46022.0</v>
      </c>
      <c r="U236" s="39">
        <v>0.0</v>
      </c>
      <c r="V236" s="39">
        <v>0.0</v>
      </c>
      <c r="W236" s="35" t="s">
        <v>7045</v>
      </c>
      <c r="X236" s="30">
        <v>46023.0</v>
      </c>
      <c r="Y236" s="30">
        <v>46112.0</v>
      </c>
      <c r="Z236" s="39">
        <v>0.0</v>
      </c>
      <c r="AA236" s="39">
        <v>0.0</v>
      </c>
      <c r="AB236" s="35" t="s">
        <v>7045</v>
      </c>
      <c r="AC236" s="30">
        <v>46113.0</v>
      </c>
      <c r="AD236" s="30">
        <v>46203.0</v>
      </c>
      <c r="AE236" s="39">
        <v>0.0</v>
      </c>
      <c r="AF236" s="39">
        <v>0.0</v>
      </c>
      <c r="AG236" s="35" t="s">
        <v>7045</v>
      </c>
      <c r="AH236" s="30">
        <v>46204.0</v>
      </c>
      <c r="AI236" s="30">
        <v>46295.0</v>
      </c>
      <c r="AJ236" s="39">
        <v>0.0</v>
      </c>
      <c r="AK236" s="39">
        <v>0.0</v>
      </c>
      <c r="AL236" s="35" t="s">
        <v>7045</v>
      </c>
      <c r="AM236" s="30">
        <v>46296.0</v>
      </c>
      <c r="AN236" s="30">
        <v>46387.0</v>
      </c>
      <c r="AO236" s="39">
        <v>0.0</v>
      </c>
      <c r="AP236" s="39">
        <v>0.0</v>
      </c>
      <c r="AQ236" s="35" t="s">
        <v>7045</v>
      </c>
      <c r="AR236" s="30">
        <v>46388.0</v>
      </c>
      <c r="AS236" s="30">
        <v>46477.0</v>
      </c>
      <c r="AT236" s="39">
        <v>0.0</v>
      </c>
      <c r="AU236" s="39">
        <v>0.0</v>
      </c>
      <c r="AV236" s="35" t="s">
        <v>7045</v>
      </c>
      <c r="AW236" s="30">
        <v>46478.0</v>
      </c>
      <c r="AX236" s="30">
        <v>46568.0</v>
      </c>
      <c r="AY236" s="39">
        <v>0.0</v>
      </c>
      <c r="AZ236" s="39">
        <v>0.0</v>
      </c>
      <c r="BA236" s="35" t="s">
        <v>7045</v>
      </c>
      <c r="BB236" s="30">
        <v>46569.0</v>
      </c>
      <c r="BC236" s="30">
        <v>46660.0</v>
      </c>
      <c r="BD236" s="39">
        <v>0.0</v>
      </c>
      <c r="BE236" s="39">
        <v>0.0</v>
      </c>
      <c r="BF236" s="35" t="s">
        <v>7045</v>
      </c>
      <c r="BG236" s="30">
        <v>46661.0</v>
      </c>
      <c r="BH236" s="30">
        <v>46752.0</v>
      </c>
      <c r="BI236" s="39">
        <v>0.0</v>
      </c>
      <c r="BJ236" s="39">
        <v>0.0</v>
      </c>
      <c r="BK236" s="35" t="s">
        <v>7045</v>
      </c>
      <c r="BL236" s="30">
        <v>46753.0</v>
      </c>
      <c r="BM236" s="30">
        <v>46843.0</v>
      </c>
      <c r="BN236" s="39">
        <v>0.0</v>
      </c>
      <c r="BO236" s="39">
        <v>0.0</v>
      </c>
      <c r="BP236" s="35" t="s">
        <v>7045</v>
      </c>
      <c r="BQ236" s="30">
        <v>46844.0</v>
      </c>
      <c r="BR236" s="30">
        <v>46934.0</v>
      </c>
      <c r="BS236" s="39">
        <v>0.0</v>
      </c>
      <c r="BT236" s="39">
        <v>0.0</v>
      </c>
      <c r="BU236" s="35" t="s">
        <v>7045</v>
      </c>
      <c r="BV236" s="30">
        <v>46935.0</v>
      </c>
      <c r="BW236" s="30">
        <v>47026.0</v>
      </c>
      <c r="BX236" s="39">
        <v>0.0</v>
      </c>
      <c r="BY236" s="39">
        <v>0.0</v>
      </c>
      <c r="BZ236" s="35" t="s">
        <v>7045</v>
      </c>
      <c r="CA236" s="30">
        <v>47027.0</v>
      </c>
      <c r="CB236" s="30">
        <v>47118.0</v>
      </c>
      <c r="CC236" s="39">
        <v>0.0</v>
      </c>
      <c r="CD236" s="39">
        <v>0.0</v>
      </c>
      <c r="CE236" s="35" t="s">
        <v>7045</v>
      </c>
      <c r="CF236" s="30">
        <v>47119.0</v>
      </c>
      <c r="CG236" s="30">
        <v>47208.0</v>
      </c>
      <c r="CH236" s="39">
        <v>0.0</v>
      </c>
      <c r="CI236" s="39">
        <v>0.0</v>
      </c>
      <c r="CJ236" s="35" t="s">
        <v>7045</v>
      </c>
      <c r="CK236" s="30">
        <v>47209.0</v>
      </c>
      <c r="CL236" s="30">
        <v>47299.0</v>
      </c>
      <c r="CM236" s="39">
        <v>0.0</v>
      </c>
      <c r="CN236" s="39">
        <v>0.0</v>
      </c>
      <c r="CO236" s="35" t="s">
        <v>7045</v>
      </c>
      <c r="CP236" s="30">
        <v>47300.0</v>
      </c>
      <c r="CQ236" s="30">
        <v>47391.0</v>
      </c>
      <c r="CR236" s="39">
        <v>0.0</v>
      </c>
      <c r="CS236" s="39">
        <v>0.0</v>
      </c>
      <c r="CT236" s="35" t="s">
        <v>7045</v>
      </c>
      <c r="CU236" s="30">
        <v>47392.0</v>
      </c>
      <c r="CV236" s="30">
        <v>47483.0</v>
      </c>
      <c r="CW236" s="39">
        <v>0.0</v>
      </c>
      <c r="CX236" s="39">
        <v>0.0</v>
      </c>
      <c r="CY236" s="35" t="s">
        <v>7045</v>
      </c>
      <c r="CZ236" s="30">
        <v>47484.0</v>
      </c>
      <c r="DA236" s="30">
        <v>47573.0</v>
      </c>
      <c r="DB236" s="39">
        <v>0.0</v>
      </c>
      <c r="DC236" s="39">
        <v>0.0</v>
      </c>
      <c r="DD236" s="35" t="s">
        <v>7045</v>
      </c>
      <c r="DE236" s="30">
        <v>47574.0</v>
      </c>
      <c r="DF236" s="30">
        <v>47664.0</v>
      </c>
      <c r="DG236" s="39">
        <v>0.0</v>
      </c>
      <c r="DH236" s="39">
        <v>0.0</v>
      </c>
      <c r="DI236" s="35" t="s">
        <v>7045</v>
      </c>
      <c r="DJ236" s="30">
        <v>47665.0</v>
      </c>
      <c r="DK236" s="30">
        <v>47756.0</v>
      </c>
      <c r="DL236" s="39">
        <v>0.0</v>
      </c>
      <c r="DM236" s="39">
        <v>0.0</v>
      </c>
      <c r="DN236" s="35" t="s">
        <v>7045</v>
      </c>
      <c r="DO236" s="30">
        <v>47757.0</v>
      </c>
      <c r="DP236" s="30">
        <v>47848.0</v>
      </c>
      <c r="DQ236" s="39">
        <v>0.0</v>
      </c>
      <c r="DR236" s="39">
        <v>0.0</v>
      </c>
      <c r="DS236" s="35" t="s">
        <v>7045</v>
      </c>
    </row>
    <row r="237" ht="14.25" customHeight="1">
      <c r="A237" s="28" t="s">
        <v>208</v>
      </c>
      <c r="B237" s="29" t="s">
        <v>209</v>
      </c>
      <c r="C237" s="29" t="s">
        <v>7041</v>
      </c>
      <c r="D237" s="30">
        <v>45658.0</v>
      </c>
      <c r="E237" s="30">
        <v>45747.0</v>
      </c>
      <c r="F237" s="39">
        <v>8.0</v>
      </c>
      <c r="G237" s="39">
        <v>0.0</v>
      </c>
      <c r="H237" s="38" t="s">
        <v>7047</v>
      </c>
      <c r="I237" s="30">
        <v>45748.0</v>
      </c>
      <c r="J237" s="30">
        <v>45838.0</v>
      </c>
      <c r="K237" s="39">
        <v>245.0</v>
      </c>
      <c r="L237" s="39">
        <v>128.87</v>
      </c>
      <c r="M237" s="38" t="s">
        <v>7047</v>
      </c>
      <c r="N237" s="30">
        <v>45839.0</v>
      </c>
      <c r="O237" s="30">
        <v>45930.0</v>
      </c>
      <c r="P237" s="39">
        <v>438.08</v>
      </c>
      <c r="Q237" s="39">
        <v>416.67</v>
      </c>
      <c r="R237" s="38" t="s">
        <v>7047</v>
      </c>
      <c r="S237" s="30">
        <v>45931.0</v>
      </c>
      <c r="T237" s="30">
        <v>46022.0</v>
      </c>
      <c r="U237" s="39">
        <v>100.0</v>
      </c>
      <c r="V237" s="39">
        <v>333.33</v>
      </c>
      <c r="W237" s="38" t="s">
        <v>7047</v>
      </c>
      <c r="X237" s="30">
        <v>46023.0</v>
      </c>
      <c r="Y237" s="30">
        <v>46112.0</v>
      </c>
      <c r="Z237" s="39">
        <v>0.0</v>
      </c>
      <c r="AA237" s="39">
        <v>0.0</v>
      </c>
      <c r="AB237" s="35" t="s">
        <v>7045</v>
      </c>
      <c r="AC237" s="30">
        <v>46113.0</v>
      </c>
      <c r="AD237" s="30">
        <v>46203.0</v>
      </c>
      <c r="AE237" s="39">
        <v>0.0</v>
      </c>
      <c r="AF237" s="39">
        <v>0.0</v>
      </c>
      <c r="AG237" s="35" t="s">
        <v>7045</v>
      </c>
      <c r="AH237" s="30">
        <v>46204.0</v>
      </c>
      <c r="AI237" s="30">
        <v>46295.0</v>
      </c>
      <c r="AJ237" s="39">
        <v>8.0</v>
      </c>
      <c r="AK237" s="39">
        <v>0.0</v>
      </c>
      <c r="AL237" s="38" t="s">
        <v>7047</v>
      </c>
      <c r="AM237" s="30">
        <v>46296.0</v>
      </c>
      <c r="AN237" s="30">
        <v>46387.0</v>
      </c>
      <c r="AO237" s="39">
        <v>0.0</v>
      </c>
      <c r="AP237" s="39">
        <v>0.0</v>
      </c>
      <c r="AQ237" s="35" t="s">
        <v>7045</v>
      </c>
      <c r="AR237" s="30">
        <v>46388.0</v>
      </c>
      <c r="AS237" s="30">
        <v>46477.0</v>
      </c>
      <c r="AT237" s="39">
        <v>0.0</v>
      </c>
      <c r="AU237" s="39">
        <v>0.0</v>
      </c>
      <c r="AV237" s="35" t="s">
        <v>7045</v>
      </c>
      <c r="AW237" s="30">
        <v>46478.0</v>
      </c>
      <c r="AX237" s="30">
        <v>46568.0</v>
      </c>
      <c r="AY237" s="39">
        <v>0.0</v>
      </c>
      <c r="AZ237" s="39">
        <v>0.0</v>
      </c>
      <c r="BA237" s="35" t="s">
        <v>7045</v>
      </c>
      <c r="BB237" s="30">
        <v>46569.0</v>
      </c>
      <c r="BC237" s="30">
        <v>46660.0</v>
      </c>
      <c r="BD237" s="39">
        <v>0.0</v>
      </c>
      <c r="BE237" s="39">
        <v>0.0</v>
      </c>
      <c r="BF237" s="35" t="s">
        <v>7045</v>
      </c>
      <c r="BG237" s="30">
        <v>46661.0</v>
      </c>
      <c r="BH237" s="30">
        <v>46752.0</v>
      </c>
      <c r="BI237" s="39">
        <v>0.0</v>
      </c>
      <c r="BJ237" s="39">
        <v>0.0</v>
      </c>
      <c r="BK237" s="35" t="s">
        <v>7045</v>
      </c>
      <c r="BL237" s="30">
        <v>46753.0</v>
      </c>
      <c r="BM237" s="30">
        <v>46843.0</v>
      </c>
      <c r="BN237" s="39">
        <v>0.0</v>
      </c>
      <c r="BO237" s="39">
        <v>0.0</v>
      </c>
      <c r="BP237" s="35" t="s">
        <v>7045</v>
      </c>
      <c r="BQ237" s="30">
        <v>46844.0</v>
      </c>
      <c r="BR237" s="30">
        <v>46934.0</v>
      </c>
      <c r="BS237" s="39">
        <v>0.0</v>
      </c>
      <c r="BT237" s="39">
        <v>0.0</v>
      </c>
      <c r="BU237" s="35" t="s">
        <v>7045</v>
      </c>
      <c r="BV237" s="30">
        <v>46935.0</v>
      </c>
      <c r="BW237" s="30">
        <v>47026.0</v>
      </c>
      <c r="BX237" s="39">
        <v>0.0</v>
      </c>
      <c r="BY237" s="39">
        <v>0.0</v>
      </c>
      <c r="BZ237" s="35" t="s">
        <v>7045</v>
      </c>
      <c r="CA237" s="30">
        <v>47027.0</v>
      </c>
      <c r="CB237" s="30">
        <v>47118.0</v>
      </c>
      <c r="CC237" s="39">
        <v>0.0</v>
      </c>
      <c r="CD237" s="39">
        <v>0.0</v>
      </c>
      <c r="CE237" s="35" t="s">
        <v>7045</v>
      </c>
      <c r="CF237" s="30">
        <v>47119.0</v>
      </c>
      <c r="CG237" s="30">
        <v>47208.0</v>
      </c>
      <c r="CH237" s="39">
        <v>0.0</v>
      </c>
      <c r="CI237" s="39">
        <v>0.0</v>
      </c>
      <c r="CJ237" s="35" t="s">
        <v>7045</v>
      </c>
      <c r="CK237" s="30">
        <v>47209.0</v>
      </c>
      <c r="CL237" s="30">
        <v>47299.0</v>
      </c>
      <c r="CM237" s="39">
        <v>0.0</v>
      </c>
      <c r="CN237" s="39">
        <v>0.0</v>
      </c>
      <c r="CO237" s="35" t="s">
        <v>7045</v>
      </c>
      <c r="CP237" s="30">
        <v>47300.0</v>
      </c>
      <c r="CQ237" s="30">
        <v>47391.0</v>
      </c>
      <c r="CR237" s="39">
        <v>0.0</v>
      </c>
      <c r="CS237" s="39">
        <v>0.0</v>
      </c>
      <c r="CT237" s="35" t="s">
        <v>7045</v>
      </c>
      <c r="CU237" s="30">
        <v>47392.0</v>
      </c>
      <c r="CV237" s="30">
        <v>47483.0</v>
      </c>
      <c r="CW237" s="39">
        <v>0.0</v>
      </c>
      <c r="CX237" s="39">
        <v>0.0</v>
      </c>
      <c r="CY237" s="35" t="s">
        <v>7045</v>
      </c>
      <c r="CZ237" s="30">
        <v>47484.0</v>
      </c>
      <c r="DA237" s="30">
        <v>47573.0</v>
      </c>
      <c r="DB237" s="39">
        <v>0.0</v>
      </c>
      <c r="DC237" s="39">
        <v>0.0</v>
      </c>
      <c r="DD237" s="35" t="s">
        <v>7045</v>
      </c>
      <c r="DE237" s="30">
        <v>47574.0</v>
      </c>
      <c r="DF237" s="30">
        <v>47664.0</v>
      </c>
      <c r="DG237" s="39">
        <v>0.0</v>
      </c>
      <c r="DH237" s="39">
        <v>0.0</v>
      </c>
      <c r="DI237" s="35" t="s">
        <v>7045</v>
      </c>
      <c r="DJ237" s="30">
        <v>47665.0</v>
      </c>
      <c r="DK237" s="30">
        <v>47756.0</v>
      </c>
      <c r="DL237" s="39">
        <v>0.0</v>
      </c>
      <c r="DM237" s="39">
        <v>0.0</v>
      </c>
      <c r="DN237" s="35" t="s">
        <v>7045</v>
      </c>
      <c r="DO237" s="30">
        <v>47757.0</v>
      </c>
      <c r="DP237" s="30">
        <v>47848.0</v>
      </c>
      <c r="DQ237" s="39">
        <v>0.0</v>
      </c>
      <c r="DR237" s="39">
        <v>0.0</v>
      </c>
      <c r="DS237" s="35" t="s">
        <v>7045</v>
      </c>
    </row>
    <row r="238" ht="14.25" customHeight="1">
      <c r="A238" s="28" t="s">
        <v>237</v>
      </c>
      <c r="B238" s="29" t="s">
        <v>238</v>
      </c>
      <c r="C238" s="29" t="s">
        <v>7041</v>
      </c>
      <c r="D238" s="30">
        <v>45658.0</v>
      </c>
      <c r="E238" s="30">
        <v>45747.0</v>
      </c>
      <c r="F238" s="39">
        <v>32.4</v>
      </c>
      <c r="G238" s="39">
        <v>0.0</v>
      </c>
      <c r="H238" s="38" t="s">
        <v>7047</v>
      </c>
      <c r="I238" s="30">
        <v>45748.0</v>
      </c>
      <c r="J238" s="30">
        <v>45838.0</v>
      </c>
      <c r="K238" s="39">
        <v>34.44</v>
      </c>
      <c r="L238" s="39">
        <v>502.0</v>
      </c>
      <c r="M238" s="37" t="s">
        <v>7046</v>
      </c>
      <c r="N238" s="30">
        <v>45839.0</v>
      </c>
      <c r="O238" s="30">
        <v>45930.0</v>
      </c>
      <c r="P238" s="39">
        <v>119.34</v>
      </c>
      <c r="Q238" s="39">
        <v>753.0</v>
      </c>
      <c r="R238" s="38" t="s">
        <v>7047</v>
      </c>
      <c r="S238" s="30">
        <v>45931.0</v>
      </c>
      <c r="T238" s="30">
        <v>46022.0</v>
      </c>
      <c r="U238" s="39">
        <v>196.84</v>
      </c>
      <c r="V238" s="39">
        <v>753.0</v>
      </c>
      <c r="W238" s="38" t="s">
        <v>7047</v>
      </c>
      <c r="X238" s="30">
        <v>46023.0</v>
      </c>
      <c r="Y238" s="30">
        <v>46112.0</v>
      </c>
      <c r="Z238" s="39">
        <v>32.4</v>
      </c>
      <c r="AA238" s="39">
        <v>0.0</v>
      </c>
      <c r="AB238" s="38" t="s">
        <v>7047</v>
      </c>
      <c r="AC238" s="30">
        <v>46113.0</v>
      </c>
      <c r="AD238" s="30">
        <v>46203.0</v>
      </c>
      <c r="AE238" s="39">
        <v>0.0</v>
      </c>
      <c r="AF238" s="39">
        <v>0.0</v>
      </c>
      <c r="AG238" s="35" t="s">
        <v>7045</v>
      </c>
      <c r="AH238" s="30">
        <v>46204.0</v>
      </c>
      <c r="AI238" s="30">
        <v>46295.0</v>
      </c>
      <c r="AJ238" s="39">
        <v>0.0</v>
      </c>
      <c r="AK238" s="39">
        <v>0.0</v>
      </c>
      <c r="AL238" s="35" t="s">
        <v>7045</v>
      </c>
      <c r="AM238" s="30">
        <v>46296.0</v>
      </c>
      <c r="AN238" s="30">
        <v>46387.0</v>
      </c>
      <c r="AO238" s="39">
        <v>0.0</v>
      </c>
      <c r="AP238" s="39">
        <v>0.0</v>
      </c>
      <c r="AQ238" s="35" t="s">
        <v>7045</v>
      </c>
      <c r="AR238" s="30">
        <v>46388.0</v>
      </c>
      <c r="AS238" s="30">
        <v>46477.0</v>
      </c>
      <c r="AT238" s="39">
        <v>0.0</v>
      </c>
      <c r="AU238" s="39">
        <v>0.0</v>
      </c>
      <c r="AV238" s="35" t="s">
        <v>7045</v>
      </c>
      <c r="AW238" s="30">
        <v>46478.0</v>
      </c>
      <c r="AX238" s="30">
        <v>46568.0</v>
      </c>
      <c r="AY238" s="39">
        <v>0.0</v>
      </c>
      <c r="AZ238" s="39">
        <v>0.0</v>
      </c>
      <c r="BA238" s="35" t="s">
        <v>7045</v>
      </c>
      <c r="BB238" s="30">
        <v>46569.0</v>
      </c>
      <c r="BC238" s="30">
        <v>46660.0</v>
      </c>
      <c r="BD238" s="39">
        <v>0.0</v>
      </c>
      <c r="BE238" s="39">
        <v>0.0</v>
      </c>
      <c r="BF238" s="35" t="s">
        <v>7045</v>
      </c>
      <c r="BG238" s="30">
        <v>46661.0</v>
      </c>
      <c r="BH238" s="30">
        <v>46752.0</v>
      </c>
      <c r="BI238" s="39">
        <v>0.0</v>
      </c>
      <c r="BJ238" s="39">
        <v>0.0</v>
      </c>
      <c r="BK238" s="35" t="s">
        <v>7045</v>
      </c>
      <c r="BL238" s="30">
        <v>46753.0</v>
      </c>
      <c r="BM238" s="30">
        <v>46843.0</v>
      </c>
      <c r="BN238" s="39">
        <v>0.0</v>
      </c>
      <c r="BO238" s="39">
        <v>0.0</v>
      </c>
      <c r="BP238" s="35" t="s">
        <v>7045</v>
      </c>
      <c r="BQ238" s="30">
        <v>46844.0</v>
      </c>
      <c r="BR238" s="30">
        <v>46934.0</v>
      </c>
      <c r="BS238" s="39">
        <v>0.0</v>
      </c>
      <c r="BT238" s="39">
        <v>0.0</v>
      </c>
      <c r="BU238" s="35" t="s">
        <v>7045</v>
      </c>
      <c r="BV238" s="30">
        <v>46935.0</v>
      </c>
      <c r="BW238" s="30">
        <v>47026.0</v>
      </c>
      <c r="BX238" s="39">
        <v>0.0</v>
      </c>
      <c r="BY238" s="39">
        <v>0.0</v>
      </c>
      <c r="BZ238" s="35" t="s">
        <v>7045</v>
      </c>
      <c r="CA238" s="30">
        <v>47027.0</v>
      </c>
      <c r="CB238" s="30">
        <v>47118.0</v>
      </c>
      <c r="CC238" s="39">
        <v>0.0</v>
      </c>
      <c r="CD238" s="39">
        <v>0.0</v>
      </c>
      <c r="CE238" s="35" t="s">
        <v>7045</v>
      </c>
      <c r="CF238" s="30">
        <v>47119.0</v>
      </c>
      <c r="CG238" s="30">
        <v>47208.0</v>
      </c>
      <c r="CH238" s="39">
        <v>0.0</v>
      </c>
      <c r="CI238" s="39">
        <v>0.0</v>
      </c>
      <c r="CJ238" s="35" t="s">
        <v>7045</v>
      </c>
      <c r="CK238" s="30">
        <v>47209.0</v>
      </c>
      <c r="CL238" s="30">
        <v>47299.0</v>
      </c>
      <c r="CM238" s="39">
        <v>0.0</v>
      </c>
      <c r="CN238" s="39">
        <v>0.0</v>
      </c>
      <c r="CO238" s="35" t="s">
        <v>7045</v>
      </c>
      <c r="CP238" s="30">
        <v>47300.0</v>
      </c>
      <c r="CQ238" s="30">
        <v>47391.0</v>
      </c>
      <c r="CR238" s="39">
        <v>0.0</v>
      </c>
      <c r="CS238" s="39">
        <v>0.0</v>
      </c>
      <c r="CT238" s="35" t="s">
        <v>7045</v>
      </c>
      <c r="CU238" s="30">
        <v>47392.0</v>
      </c>
      <c r="CV238" s="30">
        <v>47483.0</v>
      </c>
      <c r="CW238" s="39">
        <v>0.0</v>
      </c>
      <c r="CX238" s="39">
        <v>0.0</v>
      </c>
      <c r="CY238" s="35" t="s">
        <v>7045</v>
      </c>
      <c r="CZ238" s="30">
        <v>47484.0</v>
      </c>
      <c r="DA238" s="30">
        <v>47573.0</v>
      </c>
      <c r="DB238" s="39">
        <v>0.0</v>
      </c>
      <c r="DC238" s="39">
        <v>0.0</v>
      </c>
      <c r="DD238" s="35" t="s">
        <v>7045</v>
      </c>
      <c r="DE238" s="30">
        <v>47574.0</v>
      </c>
      <c r="DF238" s="30">
        <v>47664.0</v>
      </c>
      <c r="DG238" s="39">
        <v>0.0</v>
      </c>
      <c r="DH238" s="39">
        <v>0.0</v>
      </c>
      <c r="DI238" s="35" t="s">
        <v>7045</v>
      </c>
      <c r="DJ238" s="30">
        <v>47665.0</v>
      </c>
      <c r="DK238" s="30">
        <v>47756.0</v>
      </c>
      <c r="DL238" s="39">
        <v>0.0</v>
      </c>
      <c r="DM238" s="39">
        <v>0.0</v>
      </c>
      <c r="DN238" s="35" t="s">
        <v>7045</v>
      </c>
      <c r="DO238" s="30">
        <v>47757.0</v>
      </c>
      <c r="DP238" s="30">
        <v>47848.0</v>
      </c>
      <c r="DQ238" s="39">
        <v>0.0</v>
      </c>
      <c r="DR238" s="39">
        <v>0.0</v>
      </c>
      <c r="DS238" s="35" t="s">
        <v>7045</v>
      </c>
    </row>
    <row r="239" ht="14.25" customHeight="1">
      <c r="A239" s="28" t="s">
        <v>311</v>
      </c>
      <c r="B239" s="29" t="s">
        <v>312</v>
      </c>
      <c r="C239" s="29" t="s">
        <v>7041</v>
      </c>
      <c r="D239" s="30">
        <v>45658.0</v>
      </c>
      <c r="E239" s="30">
        <v>45747.0</v>
      </c>
      <c r="F239" s="36">
        <v>30.0</v>
      </c>
      <c r="G239" s="36">
        <v>0.0</v>
      </c>
      <c r="H239" s="38" t="s">
        <v>7047</v>
      </c>
      <c r="I239" s="30">
        <v>45748.0</v>
      </c>
      <c r="J239" s="30">
        <v>45838.0</v>
      </c>
      <c r="K239" s="36">
        <v>100.0</v>
      </c>
      <c r="L239" s="36">
        <v>653.33</v>
      </c>
      <c r="M239" s="37" t="s">
        <v>7043</v>
      </c>
      <c r="N239" s="30">
        <v>45839.0</v>
      </c>
      <c r="O239" s="30">
        <v>45930.0</v>
      </c>
      <c r="P239" s="36">
        <v>341.0</v>
      </c>
      <c r="Q239" s="36">
        <v>479.98</v>
      </c>
      <c r="R239" s="38" t="s">
        <v>7047</v>
      </c>
      <c r="S239" s="30">
        <v>45931.0</v>
      </c>
      <c r="T239" s="30">
        <v>46022.0</v>
      </c>
      <c r="U239" s="36">
        <v>1334.99</v>
      </c>
      <c r="V239" s="36">
        <v>719.99</v>
      </c>
      <c r="W239" s="38" t="s">
        <v>7047</v>
      </c>
      <c r="X239" s="30">
        <v>46023.0</v>
      </c>
      <c r="Y239" s="30">
        <v>46112.0</v>
      </c>
      <c r="Z239" s="36">
        <v>275.0</v>
      </c>
      <c r="AA239" s="36">
        <v>0.0</v>
      </c>
      <c r="AB239" s="38" t="s">
        <v>7047</v>
      </c>
      <c r="AC239" s="30">
        <v>46113.0</v>
      </c>
      <c r="AD239" s="30">
        <v>46203.0</v>
      </c>
      <c r="AE239" s="36">
        <v>170.0</v>
      </c>
      <c r="AF239" s="36">
        <v>0.0</v>
      </c>
      <c r="AG239" s="35" t="s">
        <v>7047</v>
      </c>
      <c r="AH239" s="30">
        <v>46204.0</v>
      </c>
      <c r="AI239" s="30">
        <v>46295.0</v>
      </c>
      <c r="AJ239" s="36">
        <v>59.99</v>
      </c>
      <c r="AK239" s="36">
        <v>0.0</v>
      </c>
      <c r="AL239" s="35" t="s">
        <v>7047</v>
      </c>
      <c r="AM239" s="30">
        <v>46296.0</v>
      </c>
      <c r="AN239" s="30">
        <v>46387.0</v>
      </c>
      <c r="AO239" s="36">
        <v>0.0</v>
      </c>
      <c r="AP239" s="36">
        <v>0.0</v>
      </c>
      <c r="AQ239" s="35" t="s">
        <v>7045</v>
      </c>
      <c r="AR239" s="30">
        <v>46388.0</v>
      </c>
      <c r="AS239" s="30">
        <v>46477.0</v>
      </c>
      <c r="AT239" s="36">
        <v>0.0</v>
      </c>
      <c r="AU239" s="36">
        <v>0.0</v>
      </c>
      <c r="AV239" s="35" t="s">
        <v>7045</v>
      </c>
      <c r="AW239" s="30">
        <v>46478.0</v>
      </c>
      <c r="AX239" s="30">
        <v>46568.0</v>
      </c>
      <c r="AY239" s="36">
        <v>0.0</v>
      </c>
      <c r="AZ239" s="36">
        <v>0.0</v>
      </c>
      <c r="BA239" s="35" t="s">
        <v>7045</v>
      </c>
      <c r="BB239" s="30">
        <v>46569.0</v>
      </c>
      <c r="BC239" s="30">
        <v>46660.0</v>
      </c>
      <c r="BD239" s="36">
        <v>0.0</v>
      </c>
      <c r="BE239" s="36">
        <v>0.0</v>
      </c>
      <c r="BF239" s="35" t="s">
        <v>7045</v>
      </c>
      <c r="BG239" s="30">
        <v>46661.0</v>
      </c>
      <c r="BH239" s="30">
        <v>46752.0</v>
      </c>
      <c r="BI239" s="36">
        <v>0.0</v>
      </c>
      <c r="BJ239" s="36">
        <v>0.0</v>
      </c>
      <c r="BK239" s="35" t="s">
        <v>7045</v>
      </c>
      <c r="BL239" s="30">
        <v>46753.0</v>
      </c>
      <c r="BM239" s="30">
        <v>46843.0</v>
      </c>
      <c r="BN239" s="36">
        <v>0.0</v>
      </c>
      <c r="BO239" s="36">
        <v>0.0</v>
      </c>
      <c r="BP239" s="35" t="s">
        <v>7045</v>
      </c>
      <c r="BQ239" s="30">
        <v>46844.0</v>
      </c>
      <c r="BR239" s="30">
        <v>46934.0</v>
      </c>
      <c r="BS239" s="36">
        <v>0.0</v>
      </c>
      <c r="BT239" s="36">
        <v>0.0</v>
      </c>
      <c r="BU239" s="35" t="s">
        <v>7045</v>
      </c>
      <c r="BV239" s="30">
        <v>46935.0</v>
      </c>
      <c r="BW239" s="30">
        <v>47026.0</v>
      </c>
      <c r="BX239" s="36">
        <v>0.0</v>
      </c>
      <c r="BY239" s="36">
        <v>0.0</v>
      </c>
      <c r="BZ239" s="35" t="s">
        <v>7045</v>
      </c>
      <c r="CA239" s="30">
        <v>47027.0</v>
      </c>
      <c r="CB239" s="30">
        <v>47118.0</v>
      </c>
      <c r="CC239" s="36">
        <v>0.0</v>
      </c>
      <c r="CD239" s="36">
        <v>0.0</v>
      </c>
      <c r="CE239" s="35" t="s">
        <v>7045</v>
      </c>
      <c r="CF239" s="30">
        <v>47119.0</v>
      </c>
      <c r="CG239" s="30">
        <v>47208.0</v>
      </c>
      <c r="CH239" s="36">
        <v>0.0</v>
      </c>
      <c r="CI239" s="36">
        <v>0.0</v>
      </c>
      <c r="CJ239" s="35" t="s">
        <v>7045</v>
      </c>
      <c r="CK239" s="30">
        <v>47209.0</v>
      </c>
      <c r="CL239" s="30">
        <v>47299.0</v>
      </c>
      <c r="CM239" s="36">
        <v>0.0</v>
      </c>
      <c r="CN239" s="36">
        <v>0.0</v>
      </c>
      <c r="CO239" s="35" t="s">
        <v>7045</v>
      </c>
      <c r="CP239" s="30">
        <v>47300.0</v>
      </c>
      <c r="CQ239" s="30">
        <v>47391.0</v>
      </c>
      <c r="CR239" s="36">
        <v>0.0</v>
      </c>
      <c r="CS239" s="36">
        <v>0.0</v>
      </c>
      <c r="CT239" s="35" t="s">
        <v>7045</v>
      </c>
      <c r="CU239" s="30">
        <v>47392.0</v>
      </c>
      <c r="CV239" s="30">
        <v>47483.0</v>
      </c>
      <c r="CW239" s="36">
        <v>0.0</v>
      </c>
      <c r="CX239" s="36">
        <v>0.0</v>
      </c>
      <c r="CY239" s="35" t="s">
        <v>7045</v>
      </c>
      <c r="CZ239" s="30">
        <v>47484.0</v>
      </c>
      <c r="DA239" s="30">
        <v>47573.0</v>
      </c>
      <c r="DB239" s="36">
        <v>0.0</v>
      </c>
      <c r="DC239" s="36">
        <v>0.0</v>
      </c>
      <c r="DD239" s="35" t="s">
        <v>7045</v>
      </c>
      <c r="DE239" s="30">
        <v>47574.0</v>
      </c>
      <c r="DF239" s="30">
        <v>47664.0</v>
      </c>
      <c r="DG239" s="36">
        <v>0.0</v>
      </c>
      <c r="DH239" s="36">
        <v>0.0</v>
      </c>
      <c r="DI239" s="35" t="s">
        <v>7045</v>
      </c>
      <c r="DJ239" s="30">
        <v>47665.0</v>
      </c>
      <c r="DK239" s="30">
        <v>47756.0</v>
      </c>
      <c r="DL239" s="36">
        <v>0.0</v>
      </c>
      <c r="DM239" s="36">
        <v>0.0</v>
      </c>
      <c r="DN239" s="35" t="s">
        <v>7045</v>
      </c>
      <c r="DO239" s="30">
        <v>47757.0</v>
      </c>
      <c r="DP239" s="30">
        <v>47848.0</v>
      </c>
      <c r="DQ239" s="36">
        <v>0.0</v>
      </c>
      <c r="DR239" s="36">
        <v>0.0</v>
      </c>
      <c r="DS239" s="35" t="s">
        <v>7045</v>
      </c>
    </row>
    <row r="240" ht="14.25" customHeight="1">
      <c r="A240" s="28" t="s">
        <v>283</v>
      </c>
      <c r="B240" s="29" t="s">
        <v>284</v>
      </c>
      <c r="C240" s="29" t="s">
        <v>7041</v>
      </c>
      <c r="D240" s="30">
        <v>45658.0</v>
      </c>
      <c r="E240" s="30">
        <v>45747.0</v>
      </c>
      <c r="F240" s="36">
        <v>20.84</v>
      </c>
      <c r="G240" s="36">
        <v>0.0</v>
      </c>
      <c r="H240" s="38" t="s">
        <v>7047</v>
      </c>
      <c r="I240" s="30">
        <v>45748.0</v>
      </c>
      <c r="J240" s="30">
        <v>45838.0</v>
      </c>
      <c r="K240" s="36">
        <v>0.0</v>
      </c>
      <c r="L240" s="36">
        <v>0.0</v>
      </c>
      <c r="M240" s="35" t="s">
        <v>7045</v>
      </c>
      <c r="N240" s="30">
        <v>45839.0</v>
      </c>
      <c r="O240" s="30">
        <v>45930.0</v>
      </c>
      <c r="P240" s="36">
        <v>0.0</v>
      </c>
      <c r="Q240" s="36">
        <v>0.0</v>
      </c>
      <c r="R240" s="35" t="s">
        <v>7045</v>
      </c>
      <c r="S240" s="30">
        <v>45931.0</v>
      </c>
      <c r="T240" s="30">
        <v>46022.0</v>
      </c>
      <c r="U240" s="36">
        <v>0.0</v>
      </c>
      <c r="V240" s="36">
        <v>0.0</v>
      </c>
      <c r="W240" s="35" t="s">
        <v>7045</v>
      </c>
      <c r="X240" s="30">
        <v>46023.0</v>
      </c>
      <c r="Y240" s="30">
        <v>46112.0</v>
      </c>
      <c r="Z240" s="36">
        <v>0.0</v>
      </c>
      <c r="AA240" s="36">
        <v>0.0</v>
      </c>
      <c r="AB240" s="35" t="s">
        <v>7045</v>
      </c>
      <c r="AC240" s="30">
        <v>46113.0</v>
      </c>
      <c r="AD240" s="30">
        <v>46203.0</v>
      </c>
      <c r="AE240" s="36">
        <v>0.0</v>
      </c>
      <c r="AF240" s="36">
        <v>0.0</v>
      </c>
      <c r="AG240" s="35" t="s">
        <v>7045</v>
      </c>
      <c r="AH240" s="30">
        <v>46204.0</v>
      </c>
      <c r="AI240" s="30">
        <v>46295.0</v>
      </c>
      <c r="AJ240" s="36">
        <v>0.0</v>
      </c>
      <c r="AK240" s="36">
        <v>0.0</v>
      </c>
      <c r="AL240" s="35" t="s">
        <v>7045</v>
      </c>
      <c r="AM240" s="30">
        <v>46296.0</v>
      </c>
      <c r="AN240" s="30">
        <v>46387.0</v>
      </c>
      <c r="AO240" s="36">
        <v>0.0</v>
      </c>
      <c r="AP240" s="36">
        <v>0.0</v>
      </c>
      <c r="AQ240" s="35" t="s">
        <v>7045</v>
      </c>
      <c r="AR240" s="30">
        <v>46388.0</v>
      </c>
      <c r="AS240" s="30">
        <v>46477.0</v>
      </c>
      <c r="AT240" s="36">
        <v>0.0</v>
      </c>
      <c r="AU240" s="36">
        <v>0.0</v>
      </c>
      <c r="AV240" s="35" t="s">
        <v>7045</v>
      </c>
      <c r="AW240" s="30">
        <v>46478.0</v>
      </c>
      <c r="AX240" s="30">
        <v>46568.0</v>
      </c>
      <c r="AY240" s="36">
        <v>0.0</v>
      </c>
      <c r="AZ240" s="36">
        <v>0.0</v>
      </c>
      <c r="BA240" s="35" t="s">
        <v>7045</v>
      </c>
      <c r="BB240" s="30">
        <v>46569.0</v>
      </c>
      <c r="BC240" s="30">
        <v>46660.0</v>
      </c>
      <c r="BD240" s="36">
        <v>0.0</v>
      </c>
      <c r="BE240" s="36">
        <v>0.0</v>
      </c>
      <c r="BF240" s="35" t="s">
        <v>7045</v>
      </c>
      <c r="BG240" s="30">
        <v>46661.0</v>
      </c>
      <c r="BH240" s="30">
        <v>46752.0</v>
      </c>
      <c r="BI240" s="36">
        <v>0.0</v>
      </c>
      <c r="BJ240" s="36">
        <v>0.0</v>
      </c>
      <c r="BK240" s="35" t="s">
        <v>7045</v>
      </c>
      <c r="BL240" s="30">
        <v>46753.0</v>
      </c>
      <c r="BM240" s="30">
        <v>46843.0</v>
      </c>
      <c r="BN240" s="36">
        <v>0.0</v>
      </c>
      <c r="BO240" s="36">
        <v>0.0</v>
      </c>
      <c r="BP240" s="35" t="s">
        <v>7045</v>
      </c>
      <c r="BQ240" s="30">
        <v>46844.0</v>
      </c>
      <c r="BR240" s="30">
        <v>46934.0</v>
      </c>
      <c r="BS240" s="36">
        <v>0.0</v>
      </c>
      <c r="BT240" s="36">
        <v>0.0</v>
      </c>
      <c r="BU240" s="35" t="s">
        <v>7045</v>
      </c>
      <c r="BV240" s="30">
        <v>46935.0</v>
      </c>
      <c r="BW240" s="30">
        <v>47026.0</v>
      </c>
      <c r="BX240" s="36">
        <v>0.0</v>
      </c>
      <c r="BY240" s="36">
        <v>0.0</v>
      </c>
      <c r="BZ240" s="35" t="s">
        <v>7045</v>
      </c>
      <c r="CA240" s="30">
        <v>47027.0</v>
      </c>
      <c r="CB240" s="30">
        <v>47118.0</v>
      </c>
      <c r="CC240" s="36">
        <v>0.0</v>
      </c>
      <c r="CD240" s="36">
        <v>0.0</v>
      </c>
      <c r="CE240" s="35" t="s">
        <v>7045</v>
      </c>
      <c r="CF240" s="30">
        <v>47119.0</v>
      </c>
      <c r="CG240" s="30">
        <v>47208.0</v>
      </c>
      <c r="CH240" s="36">
        <v>0.0</v>
      </c>
      <c r="CI240" s="36">
        <v>0.0</v>
      </c>
      <c r="CJ240" s="35" t="s">
        <v>7045</v>
      </c>
      <c r="CK240" s="30">
        <v>47209.0</v>
      </c>
      <c r="CL240" s="30">
        <v>47299.0</v>
      </c>
      <c r="CM240" s="36">
        <v>0.0</v>
      </c>
      <c r="CN240" s="36">
        <v>0.0</v>
      </c>
      <c r="CO240" s="35" t="s">
        <v>7045</v>
      </c>
      <c r="CP240" s="30">
        <v>47300.0</v>
      </c>
      <c r="CQ240" s="30">
        <v>47391.0</v>
      </c>
      <c r="CR240" s="36">
        <v>0.0</v>
      </c>
      <c r="CS240" s="36">
        <v>0.0</v>
      </c>
      <c r="CT240" s="35" t="s">
        <v>7045</v>
      </c>
      <c r="CU240" s="30">
        <v>47392.0</v>
      </c>
      <c r="CV240" s="30">
        <v>47483.0</v>
      </c>
      <c r="CW240" s="36">
        <v>0.0</v>
      </c>
      <c r="CX240" s="36">
        <v>0.0</v>
      </c>
      <c r="CY240" s="35" t="s">
        <v>7045</v>
      </c>
      <c r="CZ240" s="30">
        <v>47484.0</v>
      </c>
      <c r="DA240" s="30">
        <v>47573.0</v>
      </c>
      <c r="DB240" s="36">
        <v>0.0</v>
      </c>
      <c r="DC240" s="36">
        <v>0.0</v>
      </c>
      <c r="DD240" s="35" t="s">
        <v>7045</v>
      </c>
      <c r="DE240" s="30">
        <v>47574.0</v>
      </c>
      <c r="DF240" s="30">
        <v>47664.0</v>
      </c>
      <c r="DG240" s="36">
        <v>0.0</v>
      </c>
      <c r="DH240" s="36">
        <v>0.0</v>
      </c>
      <c r="DI240" s="35" t="s">
        <v>7045</v>
      </c>
      <c r="DJ240" s="30">
        <v>47665.0</v>
      </c>
      <c r="DK240" s="30">
        <v>47756.0</v>
      </c>
      <c r="DL240" s="36">
        <v>0.0</v>
      </c>
      <c r="DM240" s="36">
        <v>0.0</v>
      </c>
      <c r="DN240" s="35" t="s">
        <v>7045</v>
      </c>
      <c r="DO240" s="30">
        <v>47757.0</v>
      </c>
      <c r="DP240" s="30">
        <v>47848.0</v>
      </c>
      <c r="DQ240" s="36">
        <v>0.0</v>
      </c>
      <c r="DR240" s="36">
        <v>0.0</v>
      </c>
      <c r="DS240" s="35" t="s">
        <v>7045</v>
      </c>
    </row>
    <row r="241" ht="14.25" customHeight="1">
      <c r="A241" s="28" t="s">
        <v>324</v>
      </c>
      <c r="B241" s="29" t="s">
        <v>325</v>
      </c>
      <c r="C241" s="29" t="s">
        <v>7041</v>
      </c>
      <c r="D241" s="30">
        <v>45658.0</v>
      </c>
      <c r="E241" s="30">
        <v>45747.0</v>
      </c>
      <c r="F241" s="36">
        <v>90.0</v>
      </c>
      <c r="G241" s="36">
        <v>0.0</v>
      </c>
      <c r="H241" s="38" t="s">
        <v>7047</v>
      </c>
      <c r="I241" s="30">
        <v>45748.0</v>
      </c>
      <c r="J241" s="30">
        <v>45838.0</v>
      </c>
      <c r="K241" s="36">
        <v>143.52</v>
      </c>
      <c r="L241" s="36">
        <v>480.39</v>
      </c>
      <c r="M241" s="38" t="s">
        <v>7043</v>
      </c>
      <c r="N241" s="30">
        <v>45839.0</v>
      </c>
      <c r="O241" s="30">
        <v>45930.0</v>
      </c>
      <c r="P241" s="36">
        <v>973.51</v>
      </c>
      <c r="Q241" s="36">
        <v>549.02</v>
      </c>
      <c r="R241" s="38" t="s">
        <v>7047</v>
      </c>
      <c r="S241" s="30">
        <v>45931.0</v>
      </c>
      <c r="T241" s="30">
        <v>46022.0</v>
      </c>
      <c r="U241" s="36">
        <v>710.62</v>
      </c>
      <c r="V241" s="36">
        <v>627.45</v>
      </c>
      <c r="W241" s="38" t="s">
        <v>7047</v>
      </c>
      <c r="X241" s="30">
        <v>46023.0</v>
      </c>
      <c r="Y241" s="30">
        <v>46112.0</v>
      </c>
      <c r="Z241" s="36">
        <v>656.6</v>
      </c>
      <c r="AA241" s="36">
        <v>0.0</v>
      </c>
      <c r="AB241" s="38" t="s">
        <v>7047</v>
      </c>
      <c r="AC241" s="30">
        <v>46113.0</v>
      </c>
      <c r="AD241" s="30">
        <v>46203.0</v>
      </c>
      <c r="AE241" s="36">
        <v>379.99</v>
      </c>
      <c r="AF241" s="36">
        <v>0.0</v>
      </c>
      <c r="AG241" s="38" t="s">
        <v>7047</v>
      </c>
      <c r="AH241" s="30">
        <v>46204.0</v>
      </c>
      <c r="AI241" s="30">
        <v>46295.0</v>
      </c>
      <c r="AJ241" s="36">
        <v>0.0</v>
      </c>
      <c r="AK241" s="36">
        <v>0.0</v>
      </c>
      <c r="AL241" s="35" t="s">
        <v>7045</v>
      </c>
      <c r="AM241" s="30">
        <v>46296.0</v>
      </c>
      <c r="AN241" s="30">
        <v>46387.0</v>
      </c>
      <c r="AO241" s="36">
        <v>0.0</v>
      </c>
      <c r="AP241" s="36">
        <v>0.0</v>
      </c>
      <c r="AQ241" s="35" t="s">
        <v>7045</v>
      </c>
      <c r="AR241" s="30">
        <v>46388.0</v>
      </c>
      <c r="AS241" s="30">
        <v>46477.0</v>
      </c>
      <c r="AT241" s="36">
        <v>0.0</v>
      </c>
      <c r="AU241" s="36">
        <v>0.0</v>
      </c>
      <c r="AV241" s="35" t="s">
        <v>7045</v>
      </c>
      <c r="AW241" s="30">
        <v>46478.0</v>
      </c>
      <c r="AX241" s="30">
        <v>46568.0</v>
      </c>
      <c r="AY241" s="36">
        <v>0.0</v>
      </c>
      <c r="AZ241" s="36">
        <v>0.0</v>
      </c>
      <c r="BA241" s="35" t="s">
        <v>7045</v>
      </c>
      <c r="BB241" s="30">
        <v>46569.0</v>
      </c>
      <c r="BC241" s="30">
        <v>46660.0</v>
      </c>
      <c r="BD241" s="36">
        <v>0.0</v>
      </c>
      <c r="BE241" s="36">
        <v>0.0</v>
      </c>
      <c r="BF241" s="35" t="s">
        <v>7045</v>
      </c>
      <c r="BG241" s="30">
        <v>46661.0</v>
      </c>
      <c r="BH241" s="30">
        <v>46752.0</v>
      </c>
      <c r="BI241" s="36">
        <v>0.0</v>
      </c>
      <c r="BJ241" s="36">
        <v>0.0</v>
      </c>
      <c r="BK241" s="35" t="s">
        <v>7045</v>
      </c>
      <c r="BL241" s="30">
        <v>46753.0</v>
      </c>
      <c r="BM241" s="30">
        <v>46843.0</v>
      </c>
      <c r="BN241" s="36">
        <v>0.0</v>
      </c>
      <c r="BO241" s="36">
        <v>0.0</v>
      </c>
      <c r="BP241" s="35" t="s">
        <v>7045</v>
      </c>
      <c r="BQ241" s="30">
        <v>46844.0</v>
      </c>
      <c r="BR241" s="30">
        <v>46934.0</v>
      </c>
      <c r="BS241" s="36">
        <v>0.0</v>
      </c>
      <c r="BT241" s="36">
        <v>0.0</v>
      </c>
      <c r="BU241" s="35" t="s">
        <v>7045</v>
      </c>
      <c r="BV241" s="30">
        <v>46935.0</v>
      </c>
      <c r="BW241" s="30">
        <v>47026.0</v>
      </c>
      <c r="BX241" s="36">
        <v>0.0</v>
      </c>
      <c r="BY241" s="36">
        <v>0.0</v>
      </c>
      <c r="BZ241" s="35" t="s">
        <v>7045</v>
      </c>
      <c r="CA241" s="30">
        <v>47027.0</v>
      </c>
      <c r="CB241" s="30">
        <v>47118.0</v>
      </c>
      <c r="CC241" s="36">
        <v>0.0</v>
      </c>
      <c r="CD241" s="36">
        <v>0.0</v>
      </c>
      <c r="CE241" s="35" t="s">
        <v>7045</v>
      </c>
      <c r="CF241" s="30">
        <v>47119.0</v>
      </c>
      <c r="CG241" s="30">
        <v>47208.0</v>
      </c>
      <c r="CH241" s="36">
        <v>0.0</v>
      </c>
      <c r="CI241" s="36">
        <v>0.0</v>
      </c>
      <c r="CJ241" s="35" t="s">
        <v>7045</v>
      </c>
      <c r="CK241" s="30">
        <v>47209.0</v>
      </c>
      <c r="CL241" s="30">
        <v>47299.0</v>
      </c>
      <c r="CM241" s="36">
        <v>0.0</v>
      </c>
      <c r="CN241" s="36">
        <v>0.0</v>
      </c>
      <c r="CO241" s="35" t="s">
        <v>7045</v>
      </c>
      <c r="CP241" s="30">
        <v>47300.0</v>
      </c>
      <c r="CQ241" s="30">
        <v>47391.0</v>
      </c>
      <c r="CR241" s="36">
        <v>0.0</v>
      </c>
      <c r="CS241" s="36">
        <v>0.0</v>
      </c>
      <c r="CT241" s="35" t="s">
        <v>7045</v>
      </c>
      <c r="CU241" s="30">
        <v>47392.0</v>
      </c>
      <c r="CV241" s="30">
        <v>47483.0</v>
      </c>
      <c r="CW241" s="36">
        <v>0.0</v>
      </c>
      <c r="CX241" s="36">
        <v>0.0</v>
      </c>
      <c r="CY241" s="35" t="s">
        <v>7045</v>
      </c>
      <c r="CZ241" s="30">
        <v>47484.0</v>
      </c>
      <c r="DA241" s="30">
        <v>47573.0</v>
      </c>
      <c r="DB241" s="36">
        <v>0.0</v>
      </c>
      <c r="DC241" s="36">
        <v>0.0</v>
      </c>
      <c r="DD241" s="35" t="s">
        <v>7045</v>
      </c>
      <c r="DE241" s="30">
        <v>47574.0</v>
      </c>
      <c r="DF241" s="30">
        <v>47664.0</v>
      </c>
      <c r="DG241" s="36">
        <v>0.0</v>
      </c>
      <c r="DH241" s="36">
        <v>0.0</v>
      </c>
      <c r="DI241" s="35" t="s">
        <v>7045</v>
      </c>
      <c r="DJ241" s="30">
        <v>47665.0</v>
      </c>
      <c r="DK241" s="30">
        <v>47756.0</v>
      </c>
      <c r="DL241" s="36">
        <v>0.0</v>
      </c>
      <c r="DM241" s="36">
        <v>0.0</v>
      </c>
      <c r="DN241" s="35" t="s">
        <v>7045</v>
      </c>
      <c r="DO241" s="30">
        <v>47757.0</v>
      </c>
      <c r="DP241" s="30">
        <v>47848.0</v>
      </c>
      <c r="DQ241" s="36">
        <v>0.0</v>
      </c>
      <c r="DR241" s="36">
        <v>0.0</v>
      </c>
      <c r="DS241" s="35" t="s">
        <v>7045</v>
      </c>
    </row>
    <row r="242" ht="14.25" customHeight="1">
      <c r="A242" s="28" t="s">
        <v>335</v>
      </c>
      <c r="B242" s="29" t="s">
        <v>336</v>
      </c>
      <c r="C242" s="29" t="s">
        <v>7041</v>
      </c>
      <c r="D242" s="30">
        <v>45658.0</v>
      </c>
      <c r="E242" s="30">
        <v>45747.0</v>
      </c>
      <c r="F242" s="36">
        <v>111.87</v>
      </c>
      <c r="G242" s="36">
        <v>0.0</v>
      </c>
      <c r="H242" s="38" t="s">
        <v>7047</v>
      </c>
      <c r="I242" s="30">
        <v>45748.0</v>
      </c>
      <c r="J242" s="30">
        <v>45838.0</v>
      </c>
      <c r="K242" s="36">
        <v>70.78</v>
      </c>
      <c r="L242" s="36">
        <v>0.0</v>
      </c>
      <c r="M242" s="38" t="s">
        <v>7047</v>
      </c>
      <c r="N242" s="30">
        <v>45839.0</v>
      </c>
      <c r="O242" s="30">
        <v>45930.0</v>
      </c>
      <c r="P242" s="36">
        <v>365.72</v>
      </c>
      <c r="Q242" s="36">
        <v>0.0</v>
      </c>
      <c r="R242" s="38" t="s">
        <v>7047</v>
      </c>
      <c r="S242" s="30">
        <v>45931.0</v>
      </c>
      <c r="T242" s="30">
        <v>46022.0</v>
      </c>
      <c r="U242" s="36">
        <v>9.64</v>
      </c>
      <c r="V242" s="36">
        <v>0.0</v>
      </c>
      <c r="W242" s="38" t="s">
        <v>7047</v>
      </c>
      <c r="X242" s="30">
        <v>46023.0</v>
      </c>
      <c r="Y242" s="30">
        <v>46112.0</v>
      </c>
      <c r="Z242" s="36">
        <v>17.62</v>
      </c>
      <c r="AA242" s="36">
        <v>0.0</v>
      </c>
      <c r="AB242" s="38" t="s">
        <v>7047</v>
      </c>
      <c r="AC242" s="30">
        <v>46113.0</v>
      </c>
      <c r="AD242" s="30">
        <v>46203.0</v>
      </c>
      <c r="AE242" s="36">
        <v>4.86</v>
      </c>
      <c r="AF242" s="36">
        <v>0.0</v>
      </c>
      <c r="AG242" s="38" t="s">
        <v>7047</v>
      </c>
      <c r="AH242" s="30">
        <v>46204.0</v>
      </c>
      <c r="AI242" s="30">
        <v>46295.0</v>
      </c>
      <c r="AJ242" s="36">
        <v>0.08</v>
      </c>
      <c r="AK242" s="36">
        <v>0.0</v>
      </c>
      <c r="AL242" s="38" t="s">
        <v>7047</v>
      </c>
      <c r="AM242" s="30">
        <v>46296.0</v>
      </c>
      <c r="AN242" s="30">
        <v>46387.0</v>
      </c>
      <c r="AO242" s="36">
        <v>12.03</v>
      </c>
      <c r="AP242" s="36">
        <v>0.0</v>
      </c>
      <c r="AQ242" s="38" t="s">
        <v>7047</v>
      </c>
      <c r="AR242" s="30">
        <v>46388.0</v>
      </c>
      <c r="AS242" s="30">
        <v>46477.0</v>
      </c>
      <c r="AT242" s="36">
        <v>0.0</v>
      </c>
      <c r="AU242" s="36">
        <v>0.0</v>
      </c>
      <c r="AV242" s="35" t="s">
        <v>7045</v>
      </c>
      <c r="AW242" s="30">
        <v>46478.0</v>
      </c>
      <c r="AX242" s="30">
        <v>46568.0</v>
      </c>
      <c r="AY242" s="36">
        <v>0.0</v>
      </c>
      <c r="AZ242" s="36">
        <v>0.0</v>
      </c>
      <c r="BA242" s="35" t="s">
        <v>7045</v>
      </c>
      <c r="BB242" s="30">
        <v>46569.0</v>
      </c>
      <c r="BC242" s="30">
        <v>46660.0</v>
      </c>
      <c r="BD242" s="36">
        <v>0.0</v>
      </c>
      <c r="BE242" s="36">
        <v>0.0</v>
      </c>
      <c r="BF242" s="35" t="s">
        <v>7045</v>
      </c>
      <c r="BG242" s="30">
        <v>46661.0</v>
      </c>
      <c r="BH242" s="30">
        <v>46752.0</v>
      </c>
      <c r="BI242" s="36">
        <v>0.0</v>
      </c>
      <c r="BJ242" s="36">
        <v>0.0</v>
      </c>
      <c r="BK242" s="35" t="s">
        <v>7045</v>
      </c>
      <c r="BL242" s="30">
        <v>46753.0</v>
      </c>
      <c r="BM242" s="30">
        <v>46843.0</v>
      </c>
      <c r="BN242" s="36">
        <v>0.0</v>
      </c>
      <c r="BO242" s="36">
        <v>0.0</v>
      </c>
      <c r="BP242" s="35" t="s">
        <v>7045</v>
      </c>
      <c r="BQ242" s="30">
        <v>46844.0</v>
      </c>
      <c r="BR242" s="30">
        <v>46934.0</v>
      </c>
      <c r="BS242" s="36">
        <v>0.0</v>
      </c>
      <c r="BT242" s="36">
        <v>0.0</v>
      </c>
      <c r="BU242" s="35" t="s">
        <v>7045</v>
      </c>
      <c r="BV242" s="30">
        <v>46935.0</v>
      </c>
      <c r="BW242" s="30">
        <v>47026.0</v>
      </c>
      <c r="BX242" s="36">
        <v>0.0</v>
      </c>
      <c r="BY242" s="36">
        <v>0.0</v>
      </c>
      <c r="BZ242" s="35" t="s">
        <v>7045</v>
      </c>
      <c r="CA242" s="30">
        <v>47027.0</v>
      </c>
      <c r="CB242" s="30">
        <v>47118.0</v>
      </c>
      <c r="CC242" s="36">
        <v>0.0</v>
      </c>
      <c r="CD242" s="36">
        <v>0.0</v>
      </c>
      <c r="CE242" s="35" t="s">
        <v>7045</v>
      </c>
      <c r="CF242" s="30">
        <v>47119.0</v>
      </c>
      <c r="CG242" s="30">
        <v>47208.0</v>
      </c>
      <c r="CH242" s="36">
        <v>0.0</v>
      </c>
      <c r="CI242" s="36">
        <v>0.0</v>
      </c>
      <c r="CJ242" s="35" t="s">
        <v>7045</v>
      </c>
      <c r="CK242" s="30">
        <v>47209.0</v>
      </c>
      <c r="CL242" s="30">
        <v>47299.0</v>
      </c>
      <c r="CM242" s="36">
        <v>0.0</v>
      </c>
      <c r="CN242" s="36">
        <v>0.0</v>
      </c>
      <c r="CO242" s="35" t="s">
        <v>7045</v>
      </c>
      <c r="CP242" s="30">
        <v>47300.0</v>
      </c>
      <c r="CQ242" s="30">
        <v>47391.0</v>
      </c>
      <c r="CR242" s="36">
        <v>0.0</v>
      </c>
      <c r="CS242" s="36">
        <v>0.0</v>
      </c>
      <c r="CT242" s="35" t="s">
        <v>7045</v>
      </c>
      <c r="CU242" s="30">
        <v>47392.0</v>
      </c>
      <c r="CV242" s="30">
        <v>47483.0</v>
      </c>
      <c r="CW242" s="36">
        <v>0.0</v>
      </c>
      <c r="CX242" s="36">
        <v>0.0</v>
      </c>
      <c r="CY242" s="35" t="s">
        <v>7045</v>
      </c>
      <c r="CZ242" s="30">
        <v>47484.0</v>
      </c>
      <c r="DA242" s="30">
        <v>47573.0</v>
      </c>
      <c r="DB242" s="36">
        <v>0.0</v>
      </c>
      <c r="DC242" s="36">
        <v>0.0</v>
      </c>
      <c r="DD242" s="35" t="s">
        <v>7045</v>
      </c>
      <c r="DE242" s="30">
        <v>47574.0</v>
      </c>
      <c r="DF242" s="30">
        <v>47664.0</v>
      </c>
      <c r="DG242" s="36">
        <v>0.0</v>
      </c>
      <c r="DH242" s="36">
        <v>0.0</v>
      </c>
      <c r="DI242" s="35" t="s">
        <v>7045</v>
      </c>
      <c r="DJ242" s="30">
        <v>47665.0</v>
      </c>
      <c r="DK242" s="30">
        <v>47756.0</v>
      </c>
      <c r="DL242" s="36">
        <v>0.0</v>
      </c>
      <c r="DM242" s="36">
        <v>0.0</v>
      </c>
      <c r="DN242" s="35" t="s">
        <v>7045</v>
      </c>
      <c r="DO242" s="30">
        <v>47757.0</v>
      </c>
      <c r="DP242" s="30">
        <v>47848.0</v>
      </c>
      <c r="DQ242" s="36">
        <v>0.0</v>
      </c>
      <c r="DR242" s="36">
        <v>0.0</v>
      </c>
      <c r="DS242" s="35" t="s">
        <v>7045</v>
      </c>
    </row>
    <row r="243" ht="14.25" customHeight="1">
      <c r="A243" s="28" t="s">
        <v>434</v>
      </c>
      <c r="B243" s="29" t="s">
        <v>435</v>
      </c>
      <c r="C243" s="29" t="s">
        <v>7041</v>
      </c>
      <c r="D243" s="30">
        <v>45658.0</v>
      </c>
      <c r="E243" s="30">
        <v>45747.0</v>
      </c>
      <c r="F243" s="39">
        <v>0.0</v>
      </c>
      <c r="G243" s="39">
        <v>0.0</v>
      </c>
      <c r="H243" s="35" t="s">
        <v>7045</v>
      </c>
      <c r="I243" s="30">
        <v>45748.0</v>
      </c>
      <c r="J243" s="30">
        <v>45838.0</v>
      </c>
      <c r="K243" s="39">
        <v>50.0</v>
      </c>
      <c r="L243" s="39">
        <v>125.0</v>
      </c>
      <c r="M243" s="38" t="s">
        <v>7047</v>
      </c>
      <c r="N243" s="30">
        <v>45839.0</v>
      </c>
      <c r="O243" s="30">
        <v>45930.0</v>
      </c>
      <c r="P243" s="39">
        <v>25.0</v>
      </c>
      <c r="Q243" s="39">
        <v>125.0</v>
      </c>
      <c r="R243" s="38" t="s">
        <v>7047</v>
      </c>
      <c r="S243" s="30">
        <v>45931.0</v>
      </c>
      <c r="T243" s="30">
        <v>46022.0</v>
      </c>
      <c r="U243" s="39">
        <v>50.0</v>
      </c>
      <c r="V243" s="39">
        <v>125.0</v>
      </c>
      <c r="W243" s="38" t="s">
        <v>7047</v>
      </c>
      <c r="X243" s="30">
        <v>46023.0</v>
      </c>
      <c r="Y243" s="30">
        <v>46112.0</v>
      </c>
      <c r="Z243" s="39">
        <v>30.0</v>
      </c>
      <c r="AA243" s="39">
        <v>0.0</v>
      </c>
      <c r="AB243" s="38" t="s">
        <v>7047</v>
      </c>
      <c r="AC243" s="30">
        <v>46113.0</v>
      </c>
      <c r="AD243" s="30">
        <v>46203.0</v>
      </c>
      <c r="AE243" s="39">
        <v>0.0</v>
      </c>
      <c r="AF243" s="39">
        <v>0.0</v>
      </c>
      <c r="AG243" s="35" t="s">
        <v>7045</v>
      </c>
      <c r="AH243" s="30">
        <v>46204.0</v>
      </c>
      <c r="AI243" s="30">
        <v>46295.0</v>
      </c>
      <c r="AJ243" s="39">
        <v>0.0</v>
      </c>
      <c r="AK243" s="39">
        <v>0.0</v>
      </c>
      <c r="AL243" s="35" t="s">
        <v>7045</v>
      </c>
      <c r="AM243" s="30">
        <v>46296.0</v>
      </c>
      <c r="AN243" s="30">
        <v>46387.0</v>
      </c>
      <c r="AO243" s="39">
        <v>0.0</v>
      </c>
      <c r="AP243" s="39">
        <v>0.0</v>
      </c>
      <c r="AQ243" s="35" t="s">
        <v>7045</v>
      </c>
      <c r="AR243" s="30">
        <v>46388.0</v>
      </c>
      <c r="AS243" s="30">
        <v>46477.0</v>
      </c>
      <c r="AT243" s="39">
        <v>0.0</v>
      </c>
      <c r="AU243" s="39">
        <v>0.0</v>
      </c>
      <c r="AV243" s="35" t="s">
        <v>7045</v>
      </c>
      <c r="AW243" s="30">
        <v>46478.0</v>
      </c>
      <c r="AX243" s="30">
        <v>46568.0</v>
      </c>
      <c r="AY243" s="39">
        <v>0.0</v>
      </c>
      <c r="AZ243" s="39">
        <v>0.0</v>
      </c>
      <c r="BA243" s="35" t="s">
        <v>7045</v>
      </c>
      <c r="BB243" s="30">
        <v>46569.0</v>
      </c>
      <c r="BC243" s="30">
        <v>46660.0</v>
      </c>
      <c r="BD243" s="39">
        <v>0.0</v>
      </c>
      <c r="BE243" s="39">
        <v>0.0</v>
      </c>
      <c r="BF243" s="35" t="s">
        <v>7045</v>
      </c>
      <c r="BG243" s="30">
        <v>46661.0</v>
      </c>
      <c r="BH243" s="30">
        <v>46752.0</v>
      </c>
      <c r="BI243" s="39">
        <v>0.0</v>
      </c>
      <c r="BJ243" s="39">
        <v>0.0</v>
      </c>
      <c r="BK243" s="35" t="s">
        <v>7045</v>
      </c>
      <c r="BL243" s="30">
        <v>46753.0</v>
      </c>
      <c r="BM243" s="30">
        <v>46843.0</v>
      </c>
      <c r="BN243" s="39">
        <v>0.0</v>
      </c>
      <c r="BO243" s="39">
        <v>0.0</v>
      </c>
      <c r="BP243" s="35" t="s">
        <v>7045</v>
      </c>
      <c r="BQ243" s="30">
        <v>46844.0</v>
      </c>
      <c r="BR243" s="30">
        <v>46934.0</v>
      </c>
      <c r="BS243" s="39">
        <v>0.0</v>
      </c>
      <c r="BT243" s="39">
        <v>0.0</v>
      </c>
      <c r="BU243" s="35" t="s">
        <v>7045</v>
      </c>
      <c r="BV243" s="30">
        <v>46935.0</v>
      </c>
      <c r="BW243" s="30">
        <v>47026.0</v>
      </c>
      <c r="BX243" s="39">
        <v>0.0</v>
      </c>
      <c r="BY243" s="39">
        <v>0.0</v>
      </c>
      <c r="BZ243" s="35" t="s">
        <v>7045</v>
      </c>
      <c r="CA243" s="30">
        <v>47027.0</v>
      </c>
      <c r="CB243" s="30">
        <v>47118.0</v>
      </c>
      <c r="CC243" s="39">
        <v>0.0</v>
      </c>
      <c r="CD243" s="39">
        <v>0.0</v>
      </c>
      <c r="CE243" s="35" t="s">
        <v>7045</v>
      </c>
      <c r="CF243" s="30">
        <v>47119.0</v>
      </c>
      <c r="CG243" s="30">
        <v>47208.0</v>
      </c>
      <c r="CH243" s="39">
        <v>0.0</v>
      </c>
      <c r="CI243" s="39">
        <v>0.0</v>
      </c>
      <c r="CJ243" s="35" t="s">
        <v>7045</v>
      </c>
      <c r="CK243" s="30">
        <v>47209.0</v>
      </c>
      <c r="CL243" s="30">
        <v>47299.0</v>
      </c>
      <c r="CM243" s="39">
        <v>0.0</v>
      </c>
      <c r="CN243" s="39">
        <v>0.0</v>
      </c>
      <c r="CO243" s="35" t="s">
        <v>7045</v>
      </c>
      <c r="CP243" s="30">
        <v>47300.0</v>
      </c>
      <c r="CQ243" s="30">
        <v>47391.0</v>
      </c>
      <c r="CR243" s="39">
        <v>0.0</v>
      </c>
      <c r="CS243" s="39">
        <v>0.0</v>
      </c>
      <c r="CT243" s="35" t="s">
        <v>7045</v>
      </c>
      <c r="CU243" s="30">
        <v>47392.0</v>
      </c>
      <c r="CV243" s="30">
        <v>47483.0</v>
      </c>
      <c r="CW243" s="39">
        <v>0.0</v>
      </c>
      <c r="CX243" s="39">
        <v>0.0</v>
      </c>
      <c r="CY243" s="35" t="s">
        <v>7045</v>
      </c>
      <c r="CZ243" s="30">
        <v>47484.0</v>
      </c>
      <c r="DA243" s="30">
        <v>47573.0</v>
      </c>
      <c r="DB243" s="39">
        <v>0.0</v>
      </c>
      <c r="DC243" s="39">
        <v>0.0</v>
      </c>
      <c r="DD243" s="35" t="s">
        <v>7045</v>
      </c>
      <c r="DE243" s="30">
        <v>47574.0</v>
      </c>
      <c r="DF243" s="30">
        <v>47664.0</v>
      </c>
      <c r="DG243" s="39">
        <v>0.0</v>
      </c>
      <c r="DH243" s="39">
        <v>0.0</v>
      </c>
      <c r="DI243" s="35" t="s">
        <v>7045</v>
      </c>
      <c r="DJ243" s="30">
        <v>47665.0</v>
      </c>
      <c r="DK243" s="30">
        <v>47756.0</v>
      </c>
      <c r="DL243" s="39">
        <v>0.0</v>
      </c>
      <c r="DM243" s="39">
        <v>0.0</v>
      </c>
      <c r="DN243" s="35" t="s">
        <v>7045</v>
      </c>
      <c r="DO243" s="30">
        <v>47757.0</v>
      </c>
      <c r="DP243" s="30">
        <v>47848.0</v>
      </c>
      <c r="DQ243" s="39">
        <v>0.0</v>
      </c>
      <c r="DR243" s="39">
        <v>0.0</v>
      </c>
      <c r="DS243" s="35" t="s">
        <v>7045</v>
      </c>
    </row>
    <row r="244" ht="14.25" customHeight="1">
      <c r="A244" s="28" t="s">
        <v>499</v>
      </c>
      <c r="B244" s="29" t="s">
        <v>500</v>
      </c>
      <c r="C244" s="29" t="s">
        <v>7041</v>
      </c>
      <c r="D244" s="30">
        <v>45658.0</v>
      </c>
      <c r="E244" s="30">
        <v>45747.0</v>
      </c>
      <c r="F244" s="39">
        <v>22.28</v>
      </c>
      <c r="G244" s="39">
        <v>0.0</v>
      </c>
      <c r="H244" s="38" t="s">
        <v>7047</v>
      </c>
      <c r="I244" s="30">
        <v>45748.0</v>
      </c>
      <c r="J244" s="30">
        <v>45838.0</v>
      </c>
      <c r="K244" s="39">
        <v>26.67</v>
      </c>
      <c r="L244" s="39">
        <v>260.0</v>
      </c>
      <c r="M244" s="37" t="s">
        <v>7043</v>
      </c>
      <c r="N244" s="30">
        <v>45839.0</v>
      </c>
      <c r="O244" s="30">
        <v>45930.0</v>
      </c>
      <c r="P244" s="39">
        <v>103.97</v>
      </c>
      <c r="Q244" s="39">
        <v>266.67</v>
      </c>
      <c r="R244" s="38" t="s">
        <v>7047</v>
      </c>
      <c r="S244" s="30">
        <v>45931.0</v>
      </c>
      <c r="T244" s="30">
        <v>46022.0</v>
      </c>
      <c r="U244" s="39">
        <v>62.87</v>
      </c>
      <c r="V244" s="39">
        <v>273.33</v>
      </c>
      <c r="W244" s="38" t="s">
        <v>7047</v>
      </c>
      <c r="X244" s="30">
        <v>46023.0</v>
      </c>
      <c r="Y244" s="30">
        <v>46112.0</v>
      </c>
      <c r="Z244" s="39">
        <v>169.69</v>
      </c>
      <c r="AA244" s="39">
        <v>0.0</v>
      </c>
      <c r="AB244" s="38" t="s">
        <v>7047</v>
      </c>
      <c r="AC244" s="30">
        <v>46113.0</v>
      </c>
      <c r="AD244" s="30">
        <v>46203.0</v>
      </c>
      <c r="AE244" s="39">
        <v>31.89</v>
      </c>
      <c r="AF244" s="39">
        <v>0.0</v>
      </c>
      <c r="AG244" s="38" t="s">
        <v>7047</v>
      </c>
      <c r="AH244" s="30">
        <v>46204.0</v>
      </c>
      <c r="AI244" s="30">
        <v>46295.0</v>
      </c>
      <c r="AJ244" s="39">
        <v>0.0</v>
      </c>
      <c r="AK244" s="39">
        <v>0.0</v>
      </c>
      <c r="AL244" s="35" t="s">
        <v>7045</v>
      </c>
      <c r="AM244" s="30">
        <v>46296.0</v>
      </c>
      <c r="AN244" s="30">
        <v>46387.0</v>
      </c>
      <c r="AO244" s="39">
        <v>0.0</v>
      </c>
      <c r="AP244" s="39">
        <v>0.0</v>
      </c>
      <c r="AQ244" s="35" t="s">
        <v>7045</v>
      </c>
      <c r="AR244" s="30">
        <v>46388.0</v>
      </c>
      <c r="AS244" s="30">
        <v>46477.0</v>
      </c>
      <c r="AT244" s="39">
        <v>0.0</v>
      </c>
      <c r="AU244" s="39">
        <v>0.0</v>
      </c>
      <c r="AV244" s="35" t="s">
        <v>7045</v>
      </c>
      <c r="AW244" s="30">
        <v>46478.0</v>
      </c>
      <c r="AX244" s="30">
        <v>46568.0</v>
      </c>
      <c r="AY244" s="39">
        <v>0.0</v>
      </c>
      <c r="AZ244" s="39">
        <v>0.0</v>
      </c>
      <c r="BA244" s="35" t="s">
        <v>7045</v>
      </c>
      <c r="BB244" s="30">
        <v>46569.0</v>
      </c>
      <c r="BC244" s="30">
        <v>46660.0</v>
      </c>
      <c r="BD244" s="39">
        <v>0.0</v>
      </c>
      <c r="BE244" s="39">
        <v>0.0</v>
      </c>
      <c r="BF244" s="35" t="s">
        <v>7045</v>
      </c>
      <c r="BG244" s="30">
        <v>46661.0</v>
      </c>
      <c r="BH244" s="30">
        <v>46752.0</v>
      </c>
      <c r="BI244" s="39">
        <v>0.0</v>
      </c>
      <c r="BJ244" s="39">
        <v>0.0</v>
      </c>
      <c r="BK244" s="35" t="s">
        <v>7045</v>
      </c>
      <c r="BL244" s="30">
        <v>46753.0</v>
      </c>
      <c r="BM244" s="30">
        <v>46843.0</v>
      </c>
      <c r="BN244" s="39">
        <v>0.0</v>
      </c>
      <c r="BO244" s="39">
        <v>0.0</v>
      </c>
      <c r="BP244" s="35" t="s">
        <v>7045</v>
      </c>
      <c r="BQ244" s="30">
        <v>46844.0</v>
      </c>
      <c r="BR244" s="30">
        <v>46934.0</v>
      </c>
      <c r="BS244" s="39">
        <v>0.0</v>
      </c>
      <c r="BT244" s="39">
        <v>0.0</v>
      </c>
      <c r="BU244" s="35" t="s">
        <v>7045</v>
      </c>
      <c r="BV244" s="30">
        <v>46935.0</v>
      </c>
      <c r="BW244" s="30">
        <v>47026.0</v>
      </c>
      <c r="BX244" s="39">
        <v>0.0</v>
      </c>
      <c r="BY244" s="39">
        <v>0.0</v>
      </c>
      <c r="BZ244" s="35" t="s">
        <v>7045</v>
      </c>
      <c r="CA244" s="30">
        <v>47027.0</v>
      </c>
      <c r="CB244" s="30">
        <v>47118.0</v>
      </c>
      <c r="CC244" s="39">
        <v>0.0</v>
      </c>
      <c r="CD244" s="39">
        <v>0.0</v>
      </c>
      <c r="CE244" s="35" t="s">
        <v>7045</v>
      </c>
      <c r="CF244" s="30">
        <v>47119.0</v>
      </c>
      <c r="CG244" s="30">
        <v>47208.0</v>
      </c>
      <c r="CH244" s="39">
        <v>0.0</v>
      </c>
      <c r="CI244" s="39">
        <v>0.0</v>
      </c>
      <c r="CJ244" s="35" t="s">
        <v>7045</v>
      </c>
      <c r="CK244" s="30">
        <v>47209.0</v>
      </c>
      <c r="CL244" s="30">
        <v>47299.0</v>
      </c>
      <c r="CM244" s="39">
        <v>0.0</v>
      </c>
      <c r="CN244" s="39">
        <v>0.0</v>
      </c>
      <c r="CO244" s="35" t="s">
        <v>7045</v>
      </c>
      <c r="CP244" s="30">
        <v>47300.0</v>
      </c>
      <c r="CQ244" s="30">
        <v>47391.0</v>
      </c>
      <c r="CR244" s="39">
        <v>0.0</v>
      </c>
      <c r="CS244" s="39">
        <v>0.0</v>
      </c>
      <c r="CT244" s="35" t="s">
        <v>7045</v>
      </c>
      <c r="CU244" s="30">
        <v>47392.0</v>
      </c>
      <c r="CV244" s="30">
        <v>47483.0</v>
      </c>
      <c r="CW244" s="39">
        <v>0.0</v>
      </c>
      <c r="CX244" s="39">
        <v>0.0</v>
      </c>
      <c r="CY244" s="35" t="s">
        <v>7045</v>
      </c>
      <c r="CZ244" s="30">
        <v>47484.0</v>
      </c>
      <c r="DA244" s="30">
        <v>47573.0</v>
      </c>
      <c r="DB244" s="39">
        <v>0.0</v>
      </c>
      <c r="DC244" s="39">
        <v>0.0</v>
      </c>
      <c r="DD244" s="35" t="s">
        <v>7045</v>
      </c>
      <c r="DE244" s="30">
        <v>47574.0</v>
      </c>
      <c r="DF244" s="30">
        <v>47664.0</v>
      </c>
      <c r="DG244" s="39">
        <v>0.0</v>
      </c>
      <c r="DH244" s="39">
        <v>0.0</v>
      </c>
      <c r="DI244" s="35" t="s">
        <v>7045</v>
      </c>
      <c r="DJ244" s="30">
        <v>47665.0</v>
      </c>
      <c r="DK244" s="30">
        <v>47756.0</v>
      </c>
      <c r="DL244" s="39">
        <v>0.0</v>
      </c>
      <c r="DM244" s="39">
        <v>0.0</v>
      </c>
      <c r="DN244" s="35" t="s">
        <v>7045</v>
      </c>
      <c r="DO244" s="30">
        <v>47757.0</v>
      </c>
      <c r="DP244" s="30">
        <v>47848.0</v>
      </c>
      <c r="DQ244" s="39">
        <v>0.0</v>
      </c>
      <c r="DR244" s="39">
        <v>0.0</v>
      </c>
      <c r="DS244" s="35" t="s">
        <v>7045</v>
      </c>
    </row>
    <row r="245" ht="14.25" customHeight="1">
      <c r="A245" s="28" t="s">
        <v>515</v>
      </c>
      <c r="B245" s="29" t="s">
        <v>516</v>
      </c>
      <c r="C245" s="29" t="s">
        <v>7041</v>
      </c>
      <c r="D245" s="30">
        <v>45658.0</v>
      </c>
      <c r="E245" s="30">
        <v>45747.0</v>
      </c>
      <c r="F245" s="39">
        <v>8.0</v>
      </c>
      <c r="G245" s="39">
        <v>0.0</v>
      </c>
      <c r="H245" s="38" t="s">
        <v>7047</v>
      </c>
      <c r="I245" s="30">
        <v>45748.0</v>
      </c>
      <c r="J245" s="30">
        <v>45838.0</v>
      </c>
      <c r="K245" s="39">
        <v>18.0</v>
      </c>
      <c r="L245" s="39">
        <v>122.22</v>
      </c>
      <c r="M245" s="37" t="s">
        <v>7046</v>
      </c>
      <c r="N245" s="30">
        <v>45839.0</v>
      </c>
      <c r="O245" s="30">
        <v>45930.0</v>
      </c>
      <c r="P245" s="39">
        <v>28.0</v>
      </c>
      <c r="Q245" s="39">
        <v>122.22</v>
      </c>
      <c r="R245" s="38" t="s">
        <v>7047</v>
      </c>
      <c r="S245" s="30">
        <v>45931.0</v>
      </c>
      <c r="T245" s="30">
        <v>46022.0</v>
      </c>
      <c r="U245" s="39">
        <v>0.0</v>
      </c>
      <c r="V245" s="39">
        <v>144.44</v>
      </c>
      <c r="W245" s="32" t="s">
        <v>7043</v>
      </c>
      <c r="X245" s="30">
        <v>46023.0</v>
      </c>
      <c r="Y245" s="30">
        <v>46112.0</v>
      </c>
      <c r="Z245" s="39">
        <v>0.0</v>
      </c>
      <c r="AA245" s="39">
        <v>0.0</v>
      </c>
      <c r="AB245" s="35" t="s">
        <v>7045</v>
      </c>
      <c r="AC245" s="30">
        <v>46113.0</v>
      </c>
      <c r="AD245" s="30">
        <v>46203.0</v>
      </c>
      <c r="AE245" s="39">
        <v>0.0</v>
      </c>
      <c r="AF245" s="39">
        <v>0.0</v>
      </c>
      <c r="AG245" s="35" t="s">
        <v>7045</v>
      </c>
      <c r="AH245" s="30">
        <v>46204.0</v>
      </c>
      <c r="AI245" s="30">
        <v>46295.0</v>
      </c>
      <c r="AJ245" s="39">
        <v>0.0</v>
      </c>
      <c r="AK245" s="39">
        <v>0.0</v>
      </c>
      <c r="AL245" s="35" t="s">
        <v>7045</v>
      </c>
      <c r="AM245" s="30">
        <v>46296.0</v>
      </c>
      <c r="AN245" s="30">
        <v>46387.0</v>
      </c>
      <c r="AO245" s="39">
        <v>0.0</v>
      </c>
      <c r="AP245" s="39">
        <v>0.0</v>
      </c>
      <c r="AQ245" s="35" t="s">
        <v>7045</v>
      </c>
      <c r="AR245" s="30">
        <v>46388.0</v>
      </c>
      <c r="AS245" s="30">
        <v>46477.0</v>
      </c>
      <c r="AT245" s="39">
        <v>0.0</v>
      </c>
      <c r="AU245" s="39">
        <v>0.0</v>
      </c>
      <c r="AV245" s="35" t="s">
        <v>7045</v>
      </c>
      <c r="AW245" s="30">
        <v>46478.0</v>
      </c>
      <c r="AX245" s="30">
        <v>46568.0</v>
      </c>
      <c r="AY245" s="39">
        <v>0.0</v>
      </c>
      <c r="AZ245" s="39">
        <v>0.0</v>
      </c>
      <c r="BA245" s="35" t="s">
        <v>7045</v>
      </c>
      <c r="BB245" s="30">
        <v>46569.0</v>
      </c>
      <c r="BC245" s="30">
        <v>46660.0</v>
      </c>
      <c r="BD245" s="39">
        <v>0.0</v>
      </c>
      <c r="BE245" s="39">
        <v>0.0</v>
      </c>
      <c r="BF245" s="35" t="s">
        <v>7045</v>
      </c>
      <c r="BG245" s="30">
        <v>46661.0</v>
      </c>
      <c r="BH245" s="30">
        <v>46752.0</v>
      </c>
      <c r="BI245" s="39">
        <v>0.0</v>
      </c>
      <c r="BJ245" s="39">
        <v>0.0</v>
      </c>
      <c r="BK245" s="35" t="s">
        <v>7045</v>
      </c>
      <c r="BL245" s="30">
        <v>46753.0</v>
      </c>
      <c r="BM245" s="30">
        <v>46843.0</v>
      </c>
      <c r="BN245" s="39">
        <v>0.0</v>
      </c>
      <c r="BO245" s="39">
        <v>0.0</v>
      </c>
      <c r="BP245" s="35" t="s">
        <v>7045</v>
      </c>
      <c r="BQ245" s="30">
        <v>46844.0</v>
      </c>
      <c r="BR245" s="30">
        <v>46934.0</v>
      </c>
      <c r="BS245" s="39">
        <v>0.0</v>
      </c>
      <c r="BT245" s="39">
        <v>0.0</v>
      </c>
      <c r="BU245" s="35" t="s">
        <v>7045</v>
      </c>
      <c r="BV245" s="30">
        <v>46935.0</v>
      </c>
      <c r="BW245" s="30">
        <v>47026.0</v>
      </c>
      <c r="BX245" s="39">
        <v>0.0</v>
      </c>
      <c r="BY245" s="39">
        <v>0.0</v>
      </c>
      <c r="BZ245" s="35" t="s">
        <v>7045</v>
      </c>
      <c r="CA245" s="30">
        <v>47027.0</v>
      </c>
      <c r="CB245" s="30">
        <v>47118.0</v>
      </c>
      <c r="CC245" s="39">
        <v>0.0</v>
      </c>
      <c r="CD245" s="39">
        <v>0.0</v>
      </c>
      <c r="CE245" s="35" t="s">
        <v>7045</v>
      </c>
      <c r="CF245" s="30">
        <v>47119.0</v>
      </c>
      <c r="CG245" s="30">
        <v>47208.0</v>
      </c>
      <c r="CH245" s="39">
        <v>0.0</v>
      </c>
      <c r="CI245" s="39">
        <v>0.0</v>
      </c>
      <c r="CJ245" s="35" t="s">
        <v>7045</v>
      </c>
      <c r="CK245" s="30">
        <v>47209.0</v>
      </c>
      <c r="CL245" s="30">
        <v>47299.0</v>
      </c>
      <c r="CM245" s="39">
        <v>0.0</v>
      </c>
      <c r="CN245" s="39">
        <v>0.0</v>
      </c>
      <c r="CO245" s="35" t="s">
        <v>7045</v>
      </c>
      <c r="CP245" s="30">
        <v>47300.0</v>
      </c>
      <c r="CQ245" s="30">
        <v>47391.0</v>
      </c>
      <c r="CR245" s="39">
        <v>0.0</v>
      </c>
      <c r="CS245" s="39">
        <v>0.0</v>
      </c>
      <c r="CT245" s="35" t="s">
        <v>7045</v>
      </c>
      <c r="CU245" s="30">
        <v>47392.0</v>
      </c>
      <c r="CV245" s="30">
        <v>47483.0</v>
      </c>
      <c r="CW245" s="39">
        <v>0.0</v>
      </c>
      <c r="CX245" s="39">
        <v>0.0</v>
      </c>
      <c r="CY245" s="35" t="s">
        <v>7045</v>
      </c>
      <c r="CZ245" s="30">
        <v>47484.0</v>
      </c>
      <c r="DA245" s="30">
        <v>47573.0</v>
      </c>
      <c r="DB245" s="39">
        <v>0.0</v>
      </c>
      <c r="DC245" s="39">
        <v>0.0</v>
      </c>
      <c r="DD245" s="35" t="s">
        <v>7045</v>
      </c>
      <c r="DE245" s="30">
        <v>47574.0</v>
      </c>
      <c r="DF245" s="30">
        <v>47664.0</v>
      </c>
      <c r="DG245" s="39">
        <v>0.0</v>
      </c>
      <c r="DH245" s="39">
        <v>0.0</v>
      </c>
      <c r="DI245" s="35" t="s">
        <v>7045</v>
      </c>
      <c r="DJ245" s="30">
        <v>47665.0</v>
      </c>
      <c r="DK245" s="30">
        <v>47756.0</v>
      </c>
      <c r="DL245" s="39">
        <v>0.0</v>
      </c>
      <c r="DM245" s="39">
        <v>0.0</v>
      </c>
      <c r="DN245" s="35" t="s">
        <v>7045</v>
      </c>
      <c r="DO245" s="30">
        <v>47757.0</v>
      </c>
      <c r="DP245" s="30">
        <v>47848.0</v>
      </c>
      <c r="DQ245" s="39">
        <v>0.0</v>
      </c>
      <c r="DR245" s="39">
        <v>0.0</v>
      </c>
      <c r="DS245" s="35" t="s">
        <v>7045</v>
      </c>
    </row>
    <row r="246" ht="14.25" customHeight="1">
      <c r="A246" s="28" t="s">
        <v>626</v>
      </c>
      <c r="B246" s="29" t="s">
        <v>627</v>
      </c>
      <c r="C246" s="29" t="s">
        <v>7041</v>
      </c>
      <c r="D246" s="30">
        <v>45658.0</v>
      </c>
      <c r="E246" s="30">
        <v>45747.0</v>
      </c>
      <c r="F246" s="36">
        <v>5.58</v>
      </c>
      <c r="G246" s="36">
        <v>0.0</v>
      </c>
      <c r="H246" s="38" t="s">
        <v>7047</v>
      </c>
      <c r="I246" s="30">
        <v>45748.0</v>
      </c>
      <c r="J246" s="30">
        <v>45838.0</v>
      </c>
      <c r="K246" s="36">
        <v>2.77</v>
      </c>
      <c r="L246" s="36">
        <v>177.95</v>
      </c>
      <c r="M246" s="38" t="s">
        <v>7043</v>
      </c>
      <c r="N246" s="30">
        <v>45839.0</v>
      </c>
      <c r="O246" s="30">
        <v>45930.0</v>
      </c>
      <c r="P246" s="36">
        <v>527.96</v>
      </c>
      <c r="Q246" s="36">
        <v>376.35</v>
      </c>
      <c r="R246" s="38" t="s">
        <v>7047</v>
      </c>
      <c r="S246" s="30">
        <v>45931.0</v>
      </c>
      <c r="T246" s="30">
        <v>46022.0</v>
      </c>
      <c r="U246" s="36">
        <v>432.44</v>
      </c>
      <c r="V246" s="36">
        <v>629.03</v>
      </c>
      <c r="W246" s="38" t="s">
        <v>7047</v>
      </c>
      <c r="X246" s="30">
        <v>46023.0</v>
      </c>
      <c r="Y246" s="30">
        <v>46112.0</v>
      </c>
      <c r="Z246" s="36">
        <v>1.48</v>
      </c>
      <c r="AA246" s="36">
        <v>0.0</v>
      </c>
      <c r="AB246" s="38" t="s">
        <v>7047</v>
      </c>
      <c r="AC246" s="30">
        <v>46113.0</v>
      </c>
      <c r="AD246" s="30">
        <v>46203.0</v>
      </c>
      <c r="AE246" s="36">
        <v>59.47</v>
      </c>
      <c r="AF246" s="36">
        <v>0.0</v>
      </c>
      <c r="AG246" s="38" t="s">
        <v>7047</v>
      </c>
      <c r="AH246" s="30">
        <v>46204.0</v>
      </c>
      <c r="AI246" s="30">
        <v>46295.0</v>
      </c>
      <c r="AJ246" s="36">
        <v>0.0</v>
      </c>
      <c r="AK246" s="36">
        <v>0.0</v>
      </c>
      <c r="AL246" s="35" t="s">
        <v>7045</v>
      </c>
      <c r="AM246" s="30">
        <v>46296.0</v>
      </c>
      <c r="AN246" s="30">
        <v>46387.0</v>
      </c>
      <c r="AO246" s="36">
        <v>38.12</v>
      </c>
      <c r="AP246" s="36">
        <v>0.0</v>
      </c>
      <c r="AQ246" s="38" t="s">
        <v>7047</v>
      </c>
      <c r="AR246" s="30">
        <v>46388.0</v>
      </c>
      <c r="AS246" s="30">
        <v>46477.0</v>
      </c>
      <c r="AT246" s="36">
        <v>0.0</v>
      </c>
      <c r="AU246" s="36">
        <v>0.0</v>
      </c>
      <c r="AV246" s="35" t="s">
        <v>7045</v>
      </c>
      <c r="AW246" s="30">
        <v>46478.0</v>
      </c>
      <c r="AX246" s="30">
        <v>46568.0</v>
      </c>
      <c r="AY246" s="36">
        <v>0.0</v>
      </c>
      <c r="AZ246" s="36">
        <v>0.0</v>
      </c>
      <c r="BA246" s="35" t="s">
        <v>7045</v>
      </c>
      <c r="BB246" s="30">
        <v>46569.0</v>
      </c>
      <c r="BC246" s="30">
        <v>46660.0</v>
      </c>
      <c r="BD246" s="36">
        <v>0.0</v>
      </c>
      <c r="BE246" s="36">
        <v>0.0</v>
      </c>
      <c r="BF246" s="35" t="s">
        <v>7045</v>
      </c>
      <c r="BG246" s="30">
        <v>46661.0</v>
      </c>
      <c r="BH246" s="30">
        <v>46752.0</v>
      </c>
      <c r="BI246" s="36">
        <v>0.0</v>
      </c>
      <c r="BJ246" s="36">
        <v>0.0</v>
      </c>
      <c r="BK246" s="35" t="s">
        <v>7045</v>
      </c>
      <c r="BL246" s="30">
        <v>46753.0</v>
      </c>
      <c r="BM246" s="30">
        <v>46843.0</v>
      </c>
      <c r="BN246" s="36">
        <v>0.0</v>
      </c>
      <c r="BO246" s="36">
        <v>0.0</v>
      </c>
      <c r="BP246" s="35" t="s">
        <v>7045</v>
      </c>
      <c r="BQ246" s="30">
        <v>46844.0</v>
      </c>
      <c r="BR246" s="30">
        <v>46934.0</v>
      </c>
      <c r="BS246" s="36">
        <v>0.0</v>
      </c>
      <c r="BT246" s="36">
        <v>0.0</v>
      </c>
      <c r="BU246" s="35" t="s">
        <v>7045</v>
      </c>
      <c r="BV246" s="30">
        <v>46935.0</v>
      </c>
      <c r="BW246" s="30">
        <v>47026.0</v>
      </c>
      <c r="BX246" s="36">
        <v>0.0</v>
      </c>
      <c r="BY246" s="36">
        <v>0.0</v>
      </c>
      <c r="BZ246" s="35" t="s">
        <v>7045</v>
      </c>
      <c r="CA246" s="30">
        <v>47027.0</v>
      </c>
      <c r="CB246" s="30">
        <v>47118.0</v>
      </c>
      <c r="CC246" s="36">
        <v>0.0</v>
      </c>
      <c r="CD246" s="36">
        <v>0.0</v>
      </c>
      <c r="CE246" s="35" t="s">
        <v>7045</v>
      </c>
      <c r="CF246" s="30">
        <v>47119.0</v>
      </c>
      <c r="CG246" s="30">
        <v>47208.0</v>
      </c>
      <c r="CH246" s="36">
        <v>0.0</v>
      </c>
      <c r="CI246" s="36">
        <v>0.0</v>
      </c>
      <c r="CJ246" s="35" t="s">
        <v>7045</v>
      </c>
      <c r="CK246" s="30">
        <v>47209.0</v>
      </c>
      <c r="CL246" s="30">
        <v>47299.0</v>
      </c>
      <c r="CM246" s="36">
        <v>0.0</v>
      </c>
      <c r="CN246" s="36">
        <v>0.0</v>
      </c>
      <c r="CO246" s="35" t="s">
        <v>7045</v>
      </c>
      <c r="CP246" s="30">
        <v>47300.0</v>
      </c>
      <c r="CQ246" s="30">
        <v>47391.0</v>
      </c>
      <c r="CR246" s="36">
        <v>0.0</v>
      </c>
      <c r="CS246" s="36">
        <v>0.0</v>
      </c>
      <c r="CT246" s="35" t="s">
        <v>7045</v>
      </c>
      <c r="CU246" s="30">
        <v>47392.0</v>
      </c>
      <c r="CV246" s="30">
        <v>47483.0</v>
      </c>
      <c r="CW246" s="36">
        <v>0.0</v>
      </c>
      <c r="CX246" s="36">
        <v>0.0</v>
      </c>
      <c r="CY246" s="35" t="s">
        <v>7045</v>
      </c>
      <c r="CZ246" s="30">
        <v>47484.0</v>
      </c>
      <c r="DA246" s="30">
        <v>47573.0</v>
      </c>
      <c r="DB246" s="36">
        <v>0.0</v>
      </c>
      <c r="DC246" s="36">
        <v>0.0</v>
      </c>
      <c r="DD246" s="35" t="s">
        <v>7045</v>
      </c>
      <c r="DE246" s="30">
        <v>47574.0</v>
      </c>
      <c r="DF246" s="30">
        <v>47664.0</v>
      </c>
      <c r="DG246" s="36">
        <v>0.0</v>
      </c>
      <c r="DH246" s="36">
        <v>0.0</v>
      </c>
      <c r="DI246" s="35" t="s">
        <v>7045</v>
      </c>
      <c r="DJ246" s="30">
        <v>47665.0</v>
      </c>
      <c r="DK246" s="30">
        <v>47756.0</v>
      </c>
      <c r="DL246" s="36">
        <v>0.0</v>
      </c>
      <c r="DM246" s="36">
        <v>0.0</v>
      </c>
      <c r="DN246" s="35" t="s">
        <v>7045</v>
      </c>
      <c r="DO246" s="30">
        <v>47757.0</v>
      </c>
      <c r="DP246" s="30">
        <v>47848.0</v>
      </c>
      <c r="DQ246" s="36">
        <v>0.0</v>
      </c>
      <c r="DR246" s="36">
        <v>0.0</v>
      </c>
      <c r="DS246" s="35" t="s">
        <v>7045</v>
      </c>
    </row>
    <row r="247" ht="14.25" customHeight="1">
      <c r="A247" s="28" t="s">
        <v>631</v>
      </c>
      <c r="B247" s="29" t="s">
        <v>632</v>
      </c>
      <c r="C247" s="29" t="s">
        <v>7041</v>
      </c>
      <c r="D247" s="30">
        <v>45658.0</v>
      </c>
      <c r="E247" s="30">
        <v>45747.0</v>
      </c>
      <c r="F247" s="36">
        <v>2.2</v>
      </c>
      <c r="G247" s="36">
        <v>0.0</v>
      </c>
      <c r="H247" s="38" t="s">
        <v>7047</v>
      </c>
      <c r="I247" s="30">
        <v>45748.0</v>
      </c>
      <c r="J247" s="30">
        <v>45838.0</v>
      </c>
      <c r="K247" s="36">
        <v>2.2</v>
      </c>
      <c r="L247" s="36">
        <v>885.73</v>
      </c>
      <c r="M247" s="32" t="s">
        <v>7043</v>
      </c>
      <c r="N247" s="30">
        <v>45839.0</v>
      </c>
      <c r="O247" s="30">
        <v>45930.0</v>
      </c>
      <c r="P247" s="36">
        <v>15.39</v>
      </c>
      <c r="Q247" s="36">
        <v>921.38</v>
      </c>
      <c r="R247" s="38" t="s">
        <v>7047</v>
      </c>
      <c r="S247" s="30">
        <v>45931.0</v>
      </c>
      <c r="T247" s="30">
        <v>46022.0</v>
      </c>
      <c r="U247" s="36">
        <v>3.53</v>
      </c>
      <c r="V247" s="36">
        <v>935.68</v>
      </c>
      <c r="W247" s="38" t="s">
        <v>7047</v>
      </c>
      <c r="X247" s="30">
        <v>46023.0</v>
      </c>
      <c r="Y247" s="30">
        <v>46112.0</v>
      </c>
      <c r="Z247" s="36">
        <v>0.0</v>
      </c>
      <c r="AA247" s="36">
        <v>0.0</v>
      </c>
      <c r="AB247" s="35" t="s">
        <v>7045</v>
      </c>
      <c r="AC247" s="30">
        <v>46113.0</v>
      </c>
      <c r="AD247" s="30">
        <v>46203.0</v>
      </c>
      <c r="AE247" s="36">
        <v>0.0</v>
      </c>
      <c r="AF247" s="36">
        <v>0.0</v>
      </c>
      <c r="AG247" s="35" t="s">
        <v>7045</v>
      </c>
      <c r="AH247" s="30">
        <v>46204.0</v>
      </c>
      <c r="AI247" s="30">
        <v>46295.0</v>
      </c>
      <c r="AJ247" s="36">
        <v>0.0</v>
      </c>
      <c r="AK247" s="36">
        <v>0.0</v>
      </c>
      <c r="AL247" s="35" t="s">
        <v>7045</v>
      </c>
      <c r="AM247" s="30">
        <v>46296.0</v>
      </c>
      <c r="AN247" s="30">
        <v>46387.0</v>
      </c>
      <c r="AO247" s="36">
        <v>0.0</v>
      </c>
      <c r="AP247" s="36">
        <v>0.0</v>
      </c>
      <c r="AQ247" s="35" t="s">
        <v>7045</v>
      </c>
      <c r="AR247" s="30">
        <v>46388.0</v>
      </c>
      <c r="AS247" s="30">
        <v>46477.0</v>
      </c>
      <c r="AT247" s="36">
        <v>0.0</v>
      </c>
      <c r="AU247" s="36">
        <v>0.0</v>
      </c>
      <c r="AV247" s="35" t="s">
        <v>7045</v>
      </c>
      <c r="AW247" s="30">
        <v>46478.0</v>
      </c>
      <c r="AX247" s="30">
        <v>46568.0</v>
      </c>
      <c r="AY247" s="36">
        <v>0.0</v>
      </c>
      <c r="AZ247" s="36">
        <v>0.0</v>
      </c>
      <c r="BA247" s="35" t="s">
        <v>7045</v>
      </c>
      <c r="BB247" s="30">
        <v>46569.0</v>
      </c>
      <c r="BC247" s="30">
        <v>46660.0</v>
      </c>
      <c r="BD247" s="36">
        <v>0.0</v>
      </c>
      <c r="BE247" s="36">
        <v>0.0</v>
      </c>
      <c r="BF247" s="35" t="s">
        <v>7045</v>
      </c>
      <c r="BG247" s="30">
        <v>46661.0</v>
      </c>
      <c r="BH247" s="30">
        <v>46752.0</v>
      </c>
      <c r="BI247" s="36">
        <v>0.0</v>
      </c>
      <c r="BJ247" s="36">
        <v>0.0</v>
      </c>
      <c r="BK247" s="35" t="s">
        <v>7045</v>
      </c>
      <c r="BL247" s="30">
        <v>46753.0</v>
      </c>
      <c r="BM247" s="30">
        <v>46843.0</v>
      </c>
      <c r="BN247" s="36">
        <v>0.0</v>
      </c>
      <c r="BO247" s="36">
        <v>0.0</v>
      </c>
      <c r="BP247" s="35" t="s">
        <v>7045</v>
      </c>
      <c r="BQ247" s="30">
        <v>46844.0</v>
      </c>
      <c r="BR247" s="30">
        <v>46934.0</v>
      </c>
      <c r="BS247" s="36">
        <v>0.0</v>
      </c>
      <c r="BT247" s="36">
        <v>0.0</v>
      </c>
      <c r="BU247" s="35" t="s">
        <v>7045</v>
      </c>
      <c r="BV247" s="30">
        <v>46935.0</v>
      </c>
      <c r="BW247" s="30">
        <v>47026.0</v>
      </c>
      <c r="BX247" s="36">
        <v>0.0</v>
      </c>
      <c r="BY247" s="36">
        <v>0.0</v>
      </c>
      <c r="BZ247" s="35" t="s">
        <v>7045</v>
      </c>
      <c r="CA247" s="30">
        <v>47027.0</v>
      </c>
      <c r="CB247" s="30">
        <v>47118.0</v>
      </c>
      <c r="CC247" s="36">
        <v>0.0</v>
      </c>
      <c r="CD247" s="36">
        <v>0.0</v>
      </c>
      <c r="CE247" s="35" t="s">
        <v>7045</v>
      </c>
      <c r="CF247" s="30">
        <v>47119.0</v>
      </c>
      <c r="CG247" s="30">
        <v>47208.0</v>
      </c>
      <c r="CH247" s="36">
        <v>0.0</v>
      </c>
      <c r="CI247" s="36">
        <v>0.0</v>
      </c>
      <c r="CJ247" s="35" t="s">
        <v>7045</v>
      </c>
      <c r="CK247" s="30">
        <v>47209.0</v>
      </c>
      <c r="CL247" s="30">
        <v>47299.0</v>
      </c>
      <c r="CM247" s="36">
        <v>0.0</v>
      </c>
      <c r="CN247" s="36">
        <v>0.0</v>
      </c>
      <c r="CO247" s="35" t="s">
        <v>7045</v>
      </c>
      <c r="CP247" s="30">
        <v>47300.0</v>
      </c>
      <c r="CQ247" s="30">
        <v>47391.0</v>
      </c>
      <c r="CR247" s="36">
        <v>0.0</v>
      </c>
      <c r="CS247" s="36">
        <v>0.0</v>
      </c>
      <c r="CT247" s="35" t="s">
        <v>7045</v>
      </c>
      <c r="CU247" s="30">
        <v>47392.0</v>
      </c>
      <c r="CV247" s="30">
        <v>47483.0</v>
      </c>
      <c r="CW247" s="36">
        <v>0.0</v>
      </c>
      <c r="CX247" s="36">
        <v>0.0</v>
      </c>
      <c r="CY247" s="35" t="s">
        <v>7045</v>
      </c>
      <c r="CZ247" s="30">
        <v>47484.0</v>
      </c>
      <c r="DA247" s="30">
        <v>47573.0</v>
      </c>
      <c r="DB247" s="36">
        <v>0.0</v>
      </c>
      <c r="DC247" s="36">
        <v>0.0</v>
      </c>
      <c r="DD247" s="35" t="s">
        <v>7045</v>
      </c>
      <c r="DE247" s="30">
        <v>47574.0</v>
      </c>
      <c r="DF247" s="30">
        <v>47664.0</v>
      </c>
      <c r="DG247" s="36">
        <v>0.0</v>
      </c>
      <c r="DH247" s="36">
        <v>0.0</v>
      </c>
      <c r="DI247" s="35" t="s">
        <v>7045</v>
      </c>
      <c r="DJ247" s="30">
        <v>47665.0</v>
      </c>
      <c r="DK247" s="30">
        <v>47756.0</v>
      </c>
      <c r="DL247" s="36">
        <v>0.0</v>
      </c>
      <c r="DM247" s="36">
        <v>0.0</v>
      </c>
      <c r="DN247" s="35" t="s">
        <v>7045</v>
      </c>
      <c r="DO247" s="30">
        <v>47757.0</v>
      </c>
      <c r="DP247" s="30">
        <v>47848.0</v>
      </c>
      <c r="DQ247" s="36">
        <v>0.0</v>
      </c>
      <c r="DR247" s="36">
        <v>0.0</v>
      </c>
      <c r="DS247" s="35" t="s">
        <v>7045</v>
      </c>
    </row>
    <row r="248" ht="14.25" customHeight="1">
      <c r="A248" s="28" t="s">
        <v>635</v>
      </c>
      <c r="B248" s="29" t="s">
        <v>636</v>
      </c>
      <c r="C248" s="29" t="s">
        <v>7041</v>
      </c>
      <c r="D248" s="30">
        <v>45658.0</v>
      </c>
      <c r="E248" s="30">
        <v>45747.0</v>
      </c>
      <c r="F248" s="39">
        <v>49.5</v>
      </c>
      <c r="G248" s="39">
        <v>0.0</v>
      </c>
      <c r="H248" s="38" t="s">
        <v>7047</v>
      </c>
      <c r="I248" s="30">
        <v>45748.0</v>
      </c>
      <c r="J248" s="30">
        <v>45838.0</v>
      </c>
      <c r="K248" s="39">
        <v>18.32</v>
      </c>
      <c r="L248" s="39">
        <v>464.29</v>
      </c>
      <c r="M248" s="32" t="s">
        <v>7043</v>
      </c>
      <c r="N248" s="30">
        <v>45839.0</v>
      </c>
      <c r="O248" s="30">
        <v>45930.0</v>
      </c>
      <c r="P248" s="39">
        <v>7.5</v>
      </c>
      <c r="Q248" s="39">
        <v>427.14</v>
      </c>
      <c r="R248" s="38" t="s">
        <v>7043</v>
      </c>
      <c r="S248" s="30">
        <v>45931.0</v>
      </c>
      <c r="T248" s="30">
        <v>46022.0</v>
      </c>
      <c r="U248" s="39">
        <v>326.34</v>
      </c>
      <c r="V248" s="39">
        <v>460.0</v>
      </c>
      <c r="W248" s="32" t="s">
        <v>7047</v>
      </c>
      <c r="X248" s="30">
        <v>46023.0</v>
      </c>
      <c r="Y248" s="30">
        <v>46112.0</v>
      </c>
      <c r="Z248" s="39">
        <v>0.0</v>
      </c>
      <c r="AA248" s="39">
        <v>0.0</v>
      </c>
      <c r="AB248" s="35" t="s">
        <v>7045</v>
      </c>
      <c r="AC248" s="30">
        <v>46113.0</v>
      </c>
      <c r="AD248" s="30">
        <v>46203.0</v>
      </c>
      <c r="AE248" s="39">
        <v>0.0</v>
      </c>
      <c r="AF248" s="39">
        <v>0.0</v>
      </c>
      <c r="AG248" s="35" t="s">
        <v>7045</v>
      </c>
      <c r="AH248" s="30">
        <v>46204.0</v>
      </c>
      <c r="AI248" s="30">
        <v>46295.0</v>
      </c>
      <c r="AJ248" s="39">
        <v>0.0</v>
      </c>
      <c r="AK248" s="39">
        <v>0.0</v>
      </c>
      <c r="AL248" s="35" t="s">
        <v>7045</v>
      </c>
      <c r="AM248" s="30">
        <v>46296.0</v>
      </c>
      <c r="AN248" s="30">
        <v>46387.0</v>
      </c>
      <c r="AO248" s="39">
        <v>0.0</v>
      </c>
      <c r="AP248" s="39">
        <v>0.0</v>
      </c>
      <c r="AQ248" s="35" t="s">
        <v>7045</v>
      </c>
      <c r="AR248" s="30">
        <v>46388.0</v>
      </c>
      <c r="AS248" s="30">
        <v>46477.0</v>
      </c>
      <c r="AT248" s="39">
        <v>0.0</v>
      </c>
      <c r="AU248" s="39">
        <v>0.0</v>
      </c>
      <c r="AV248" s="35" t="s">
        <v>7045</v>
      </c>
      <c r="AW248" s="30">
        <v>46478.0</v>
      </c>
      <c r="AX248" s="30">
        <v>46568.0</v>
      </c>
      <c r="AY248" s="39">
        <v>0.0</v>
      </c>
      <c r="AZ248" s="39">
        <v>0.0</v>
      </c>
      <c r="BA248" s="35" t="s">
        <v>7045</v>
      </c>
      <c r="BB248" s="30">
        <v>46569.0</v>
      </c>
      <c r="BC248" s="30">
        <v>46660.0</v>
      </c>
      <c r="BD248" s="39">
        <v>0.0</v>
      </c>
      <c r="BE248" s="39">
        <v>0.0</v>
      </c>
      <c r="BF248" s="35" t="s">
        <v>7045</v>
      </c>
      <c r="BG248" s="30">
        <v>46661.0</v>
      </c>
      <c r="BH248" s="30">
        <v>46752.0</v>
      </c>
      <c r="BI248" s="39">
        <v>0.0</v>
      </c>
      <c r="BJ248" s="39">
        <v>0.0</v>
      </c>
      <c r="BK248" s="35" t="s">
        <v>7045</v>
      </c>
      <c r="BL248" s="30">
        <v>46753.0</v>
      </c>
      <c r="BM248" s="30">
        <v>46843.0</v>
      </c>
      <c r="BN248" s="39">
        <v>0.0</v>
      </c>
      <c r="BO248" s="39">
        <v>0.0</v>
      </c>
      <c r="BP248" s="35" t="s">
        <v>7045</v>
      </c>
      <c r="BQ248" s="30">
        <v>46844.0</v>
      </c>
      <c r="BR248" s="30">
        <v>46934.0</v>
      </c>
      <c r="BS248" s="39">
        <v>0.0</v>
      </c>
      <c r="BT248" s="39">
        <v>0.0</v>
      </c>
      <c r="BU248" s="35" t="s">
        <v>7045</v>
      </c>
      <c r="BV248" s="30">
        <v>46935.0</v>
      </c>
      <c r="BW248" s="30">
        <v>47026.0</v>
      </c>
      <c r="BX248" s="39">
        <v>0.0</v>
      </c>
      <c r="BY248" s="39">
        <v>0.0</v>
      </c>
      <c r="BZ248" s="35" t="s">
        <v>7045</v>
      </c>
      <c r="CA248" s="30">
        <v>47027.0</v>
      </c>
      <c r="CB248" s="30">
        <v>47118.0</v>
      </c>
      <c r="CC248" s="39">
        <v>0.0</v>
      </c>
      <c r="CD248" s="39">
        <v>0.0</v>
      </c>
      <c r="CE248" s="35" t="s">
        <v>7045</v>
      </c>
      <c r="CF248" s="30">
        <v>47119.0</v>
      </c>
      <c r="CG248" s="30">
        <v>47208.0</v>
      </c>
      <c r="CH248" s="39">
        <v>0.0</v>
      </c>
      <c r="CI248" s="39">
        <v>0.0</v>
      </c>
      <c r="CJ248" s="35" t="s">
        <v>7045</v>
      </c>
      <c r="CK248" s="30">
        <v>47209.0</v>
      </c>
      <c r="CL248" s="30">
        <v>47299.0</v>
      </c>
      <c r="CM248" s="39">
        <v>0.0</v>
      </c>
      <c r="CN248" s="39">
        <v>0.0</v>
      </c>
      <c r="CO248" s="35" t="s">
        <v>7045</v>
      </c>
      <c r="CP248" s="30">
        <v>47300.0</v>
      </c>
      <c r="CQ248" s="30">
        <v>47391.0</v>
      </c>
      <c r="CR248" s="39">
        <v>0.0</v>
      </c>
      <c r="CS248" s="39">
        <v>0.0</v>
      </c>
      <c r="CT248" s="35" t="s">
        <v>7045</v>
      </c>
      <c r="CU248" s="30">
        <v>47392.0</v>
      </c>
      <c r="CV248" s="30">
        <v>47483.0</v>
      </c>
      <c r="CW248" s="39">
        <v>0.0</v>
      </c>
      <c r="CX248" s="39">
        <v>0.0</v>
      </c>
      <c r="CY248" s="35" t="s">
        <v>7045</v>
      </c>
      <c r="CZ248" s="30">
        <v>47484.0</v>
      </c>
      <c r="DA248" s="30">
        <v>47573.0</v>
      </c>
      <c r="DB248" s="39">
        <v>0.0</v>
      </c>
      <c r="DC248" s="39">
        <v>0.0</v>
      </c>
      <c r="DD248" s="35" t="s">
        <v>7045</v>
      </c>
      <c r="DE248" s="30">
        <v>47574.0</v>
      </c>
      <c r="DF248" s="30">
        <v>47664.0</v>
      </c>
      <c r="DG248" s="39">
        <v>0.0</v>
      </c>
      <c r="DH248" s="39">
        <v>0.0</v>
      </c>
      <c r="DI248" s="35" t="s">
        <v>7045</v>
      </c>
      <c r="DJ248" s="30">
        <v>47665.0</v>
      </c>
      <c r="DK248" s="30">
        <v>47756.0</v>
      </c>
      <c r="DL248" s="39">
        <v>0.0</v>
      </c>
      <c r="DM248" s="39">
        <v>0.0</v>
      </c>
      <c r="DN248" s="35" t="s">
        <v>7045</v>
      </c>
      <c r="DO248" s="30">
        <v>47757.0</v>
      </c>
      <c r="DP248" s="30">
        <v>47848.0</v>
      </c>
      <c r="DQ248" s="39">
        <v>0.0</v>
      </c>
      <c r="DR248" s="39">
        <v>0.0</v>
      </c>
      <c r="DS248" s="35" t="s">
        <v>7045</v>
      </c>
    </row>
    <row r="249" ht="14.25" customHeight="1">
      <c r="A249" s="28" t="s">
        <v>641</v>
      </c>
      <c r="B249" s="29" t="s">
        <v>642</v>
      </c>
      <c r="C249" s="29" t="s">
        <v>7041</v>
      </c>
      <c r="D249" s="30">
        <v>45658.0</v>
      </c>
      <c r="E249" s="30">
        <v>45747.0</v>
      </c>
      <c r="F249" s="39">
        <v>14.96</v>
      </c>
      <c r="G249" s="39">
        <v>0.0</v>
      </c>
      <c r="H249" s="38" t="s">
        <v>7047</v>
      </c>
      <c r="I249" s="30">
        <v>45748.0</v>
      </c>
      <c r="J249" s="30">
        <v>45838.0</v>
      </c>
      <c r="K249" s="39">
        <v>7.58</v>
      </c>
      <c r="L249" s="39">
        <v>183.93</v>
      </c>
      <c r="M249" s="37" t="s">
        <v>7043</v>
      </c>
      <c r="N249" s="30">
        <v>45839.0</v>
      </c>
      <c r="O249" s="30">
        <v>45930.0</v>
      </c>
      <c r="P249" s="39">
        <v>193.86</v>
      </c>
      <c r="Q249" s="39">
        <v>266.07</v>
      </c>
      <c r="R249" s="38" t="s">
        <v>7047</v>
      </c>
      <c r="S249" s="30">
        <v>45931.0</v>
      </c>
      <c r="T249" s="30">
        <v>46022.0</v>
      </c>
      <c r="U249" s="39">
        <v>692.54</v>
      </c>
      <c r="V249" s="39">
        <v>380.36</v>
      </c>
      <c r="W249" s="38" t="s">
        <v>7047</v>
      </c>
      <c r="X249" s="30">
        <v>46023.0</v>
      </c>
      <c r="Y249" s="30">
        <v>46112.0</v>
      </c>
      <c r="Z249" s="39">
        <v>84.06</v>
      </c>
      <c r="AA249" s="39">
        <v>0.0</v>
      </c>
      <c r="AB249" s="38" t="s">
        <v>7047</v>
      </c>
      <c r="AC249" s="30">
        <v>46113.0</v>
      </c>
      <c r="AD249" s="30">
        <v>46203.0</v>
      </c>
      <c r="AE249" s="39">
        <v>55.04</v>
      </c>
      <c r="AF249" s="39">
        <v>0.0</v>
      </c>
      <c r="AG249" s="38" t="s">
        <v>7047</v>
      </c>
      <c r="AH249" s="30">
        <v>46204.0</v>
      </c>
      <c r="AI249" s="30">
        <v>46295.0</v>
      </c>
      <c r="AJ249" s="39">
        <v>122.0</v>
      </c>
      <c r="AK249" s="39">
        <v>0.0</v>
      </c>
      <c r="AL249" s="38" t="s">
        <v>7047</v>
      </c>
      <c r="AM249" s="30">
        <v>46296.0</v>
      </c>
      <c r="AN249" s="30">
        <v>46387.0</v>
      </c>
      <c r="AO249" s="39">
        <v>338.21</v>
      </c>
      <c r="AP249" s="39">
        <v>0.0</v>
      </c>
      <c r="AQ249" s="38" t="s">
        <v>7047</v>
      </c>
      <c r="AR249" s="30">
        <v>46388.0</v>
      </c>
      <c r="AS249" s="30">
        <v>46477.0</v>
      </c>
      <c r="AT249" s="39">
        <v>0.0</v>
      </c>
      <c r="AU249" s="39">
        <v>0.0</v>
      </c>
      <c r="AV249" s="35" t="s">
        <v>7045</v>
      </c>
      <c r="AW249" s="30">
        <v>46478.0</v>
      </c>
      <c r="AX249" s="30">
        <v>46568.0</v>
      </c>
      <c r="AY249" s="39">
        <v>0.0</v>
      </c>
      <c r="AZ249" s="39">
        <v>0.0</v>
      </c>
      <c r="BA249" s="35" t="s">
        <v>7045</v>
      </c>
      <c r="BB249" s="30">
        <v>46569.0</v>
      </c>
      <c r="BC249" s="30">
        <v>46660.0</v>
      </c>
      <c r="BD249" s="39">
        <v>0.0</v>
      </c>
      <c r="BE249" s="39">
        <v>0.0</v>
      </c>
      <c r="BF249" s="35" t="s">
        <v>7045</v>
      </c>
      <c r="BG249" s="30">
        <v>46661.0</v>
      </c>
      <c r="BH249" s="30">
        <v>46752.0</v>
      </c>
      <c r="BI249" s="39">
        <v>0.0</v>
      </c>
      <c r="BJ249" s="39">
        <v>0.0</v>
      </c>
      <c r="BK249" s="35" t="s">
        <v>7045</v>
      </c>
      <c r="BL249" s="30">
        <v>46753.0</v>
      </c>
      <c r="BM249" s="30">
        <v>46843.0</v>
      </c>
      <c r="BN249" s="39">
        <v>0.0</v>
      </c>
      <c r="BO249" s="39">
        <v>0.0</v>
      </c>
      <c r="BP249" s="35" t="s">
        <v>7045</v>
      </c>
      <c r="BQ249" s="30">
        <v>46844.0</v>
      </c>
      <c r="BR249" s="30">
        <v>46934.0</v>
      </c>
      <c r="BS249" s="39">
        <v>0.0</v>
      </c>
      <c r="BT249" s="39">
        <v>0.0</v>
      </c>
      <c r="BU249" s="35" t="s">
        <v>7045</v>
      </c>
      <c r="BV249" s="30">
        <v>46935.0</v>
      </c>
      <c r="BW249" s="30">
        <v>47026.0</v>
      </c>
      <c r="BX249" s="39">
        <v>0.0</v>
      </c>
      <c r="BY249" s="39">
        <v>0.0</v>
      </c>
      <c r="BZ249" s="35" t="s">
        <v>7045</v>
      </c>
      <c r="CA249" s="30">
        <v>47027.0</v>
      </c>
      <c r="CB249" s="30">
        <v>47118.0</v>
      </c>
      <c r="CC249" s="39">
        <v>0.0</v>
      </c>
      <c r="CD249" s="39">
        <v>0.0</v>
      </c>
      <c r="CE249" s="35" t="s">
        <v>7045</v>
      </c>
      <c r="CF249" s="30">
        <v>47119.0</v>
      </c>
      <c r="CG249" s="30">
        <v>47208.0</v>
      </c>
      <c r="CH249" s="39">
        <v>0.0</v>
      </c>
      <c r="CI249" s="39">
        <v>0.0</v>
      </c>
      <c r="CJ249" s="35" t="s">
        <v>7045</v>
      </c>
      <c r="CK249" s="30">
        <v>47209.0</v>
      </c>
      <c r="CL249" s="30">
        <v>47299.0</v>
      </c>
      <c r="CM249" s="39">
        <v>0.0</v>
      </c>
      <c r="CN249" s="39">
        <v>0.0</v>
      </c>
      <c r="CO249" s="35" t="s">
        <v>7045</v>
      </c>
      <c r="CP249" s="30">
        <v>47300.0</v>
      </c>
      <c r="CQ249" s="30">
        <v>47391.0</v>
      </c>
      <c r="CR249" s="39">
        <v>0.0</v>
      </c>
      <c r="CS249" s="39">
        <v>0.0</v>
      </c>
      <c r="CT249" s="35" t="s">
        <v>7045</v>
      </c>
      <c r="CU249" s="30">
        <v>47392.0</v>
      </c>
      <c r="CV249" s="30">
        <v>47483.0</v>
      </c>
      <c r="CW249" s="39">
        <v>0.0</v>
      </c>
      <c r="CX249" s="39">
        <v>0.0</v>
      </c>
      <c r="CY249" s="35" t="s">
        <v>7045</v>
      </c>
      <c r="CZ249" s="30">
        <v>47484.0</v>
      </c>
      <c r="DA249" s="30">
        <v>47573.0</v>
      </c>
      <c r="DB249" s="39">
        <v>0.0</v>
      </c>
      <c r="DC249" s="39">
        <v>0.0</v>
      </c>
      <c r="DD249" s="35" t="s">
        <v>7045</v>
      </c>
      <c r="DE249" s="30">
        <v>47574.0</v>
      </c>
      <c r="DF249" s="30">
        <v>47664.0</v>
      </c>
      <c r="DG249" s="39">
        <v>0.0</v>
      </c>
      <c r="DH249" s="39">
        <v>0.0</v>
      </c>
      <c r="DI249" s="35" t="s">
        <v>7045</v>
      </c>
      <c r="DJ249" s="30">
        <v>47665.0</v>
      </c>
      <c r="DK249" s="30">
        <v>47756.0</v>
      </c>
      <c r="DL249" s="39">
        <v>0.0</v>
      </c>
      <c r="DM249" s="39">
        <v>0.0</v>
      </c>
      <c r="DN249" s="35" t="s">
        <v>7045</v>
      </c>
      <c r="DO249" s="30">
        <v>47757.0</v>
      </c>
      <c r="DP249" s="30">
        <v>47848.0</v>
      </c>
      <c r="DQ249" s="39">
        <v>0.0</v>
      </c>
      <c r="DR249" s="39">
        <v>0.0</v>
      </c>
      <c r="DS249" s="35" t="s">
        <v>7045</v>
      </c>
    </row>
    <row r="250" ht="14.25" customHeight="1">
      <c r="A250" s="28" t="s">
        <v>649</v>
      </c>
      <c r="B250" s="29" t="s">
        <v>650</v>
      </c>
      <c r="C250" s="29" t="s">
        <v>7041</v>
      </c>
      <c r="D250" s="30">
        <v>45658.0</v>
      </c>
      <c r="E250" s="30">
        <v>45747.0</v>
      </c>
      <c r="F250" s="39">
        <v>6.92</v>
      </c>
      <c r="G250" s="39">
        <v>0.0</v>
      </c>
      <c r="H250" s="38" t="s">
        <v>7047</v>
      </c>
      <c r="I250" s="30">
        <v>45748.0</v>
      </c>
      <c r="J250" s="30">
        <v>45838.0</v>
      </c>
      <c r="K250" s="39">
        <v>17.35</v>
      </c>
      <c r="L250" s="39">
        <v>154.17</v>
      </c>
      <c r="M250" s="38" t="s">
        <v>7043</v>
      </c>
      <c r="N250" s="30">
        <v>45839.0</v>
      </c>
      <c r="O250" s="30">
        <v>45930.0</v>
      </c>
      <c r="P250" s="39">
        <v>24.98</v>
      </c>
      <c r="Q250" s="39">
        <v>158.33</v>
      </c>
      <c r="R250" s="38" t="s">
        <v>7047</v>
      </c>
      <c r="S250" s="30">
        <v>45931.0</v>
      </c>
      <c r="T250" s="30">
        <v>46022.0</v>
      </c>
      <c r="U250" s="39">
        <v>178.2</v>
      </c>
      <c r="V250" s="39">
        <v>172.92</v>
      </c>
      <c r="W250" s="38" t="s">
        <v>7047</v>
      </c>
      <c r="X250" s="30">
        <v>46023.0</v>
      </c>
      <c r="Y250" s="30">
        <v>46112.0</v>
      </c>
      <c r="Z250" s="39">
        <v>0.78</v>
      </c>
      <c r="AA250" s="39">
        <v>0.0</v>
      </c>
      <c r="AB250" s="38" t="s">
        <v>7047</v>
      </c>
      <c r="AC250" s="30">
        <v>46113.0</v>
      </c>
      <c r="AD250" s="30">
        <v>46203.0</v>
      </c>
      <c r="AE250" s="39">
        <v>5.13</v>
      </c>
      <c r="AF250" s="39">
        <v>0.0</v>
      </c>
      <c r="AG250" s="38" t="s">
        <v>7047</v>
      </c>
      <c r="AH250" s="30">
        <v>46204.0</v>
      </c>
      <c r="AI250" s="30">
        <v>46295.0</v>
      </c>
      <c r="AJ250" s="39">
        <v>0.0</v>
      </c>
      <c r="AK250" s="39">
        <v>0.0</v>
      </c>
      <c r="AL250" s="35" t="s">
        <v>7045</v>
      </c>
      <c r="AM250" s="30">
        <v>46296.0</v>
      </c>
      <c r="AN250" s="30">
        <v>46387.0</v>
      </c>
      <c r="AO250" s="39">
        <v>0.0</v>
      </c>
      <c r="AP250" s="39">
        <v>0.0</v>
      </c>
      <c r="AQ250" s="35" t="s">
        <v>7045</v>
      </c>
      <c r="AR250" s="30">
        <v>46388.0</v>
      </c>
      <c r="AS250" s="30">
        <v>46477.0</v>
      </c>
      <c r="AT250" s="39">
        <v>0.0</v>
      </c>
      <c r="AU250" s="39">
        <v>0.0</v>
      </c>
      <c r="AV250" s="35" t="s">
        <v>7045</v>
      </c>
      <c r="AW250" s="30">
        <v>46478.0</v>
      </c>
      <c r="AX250" s="30">
        <v>46568.0</v>
      </c>
      <c r="AY250" s="39">
        <v>0.0</v>
      </c>
      <c r="AZ250" s="39">
        <v>0.0</v>
      </c>
      <c r="BA250" s="35" t="s">
        <v>7045</v>
      </c>
      <c r="BB250" s="30">
        <v>46569.0</v>
      </c>
      <c r="BC250" s="30">
        <v>46660.0</v>
      </c>
      <c r="BD250" s="39">
        <v>0.0</v>
      </c>
      <c r="BE250" s="39">
        <v>0.0</v>
      </c>
      <c r="BF250" s="35" t="s">
        <v>7045</v>
      </c>
      <c r="BG250" s="30">
        <v>46661.0</v>
      </c>
      <c r="BH250" s="30">
        <v>46752.0</v>
      </c>
      <c r="BI250" s="39">
        <v>0.0</v>
      </c>
      <c r="BJ250" s="39">
        <v>0.0</v>
      </c>
      <c r="BK250" s="35" t="s">
        <v>7045</v>
      </c>
      <c r="BL250" s="30">
        <v>46753.0</v>
      </c>
      <c r="BM250" s="30">
        <v>46843.0</v>
      </c>
      <c r="BN250" s="39">
        <v>0.0</v>
      </c>
      <c r="BO250" s="39">
        <v>0.0</v>
      </c>
      <c r="BP250" s="35" t="s">
        <v>7045</v>
      </c>
      <c r="BQ250" s="30">
        <v>46844.0</v>
      </c>
      <c r="BR250" s="30">
        <v>46934.0</v>
      </c>
      <c r="BS250" s="39">
        <v>0.0</v>
      </c>
      <c r="BT250" s="39">
        <v>0.0</v>
      </c>
      <c r="BU250" s="35" t="s">
        <v>7045</v>
      </c>
      <c r="BV250" s="30">
        <v>46935.0</v>
      </c>
      <c r="BW250" s="30">
        <v>47026.0</v>
      </c>
      <c r="BX250" s="39">
        <v>0.0</v>
      </c>
      <c r="BY250" s="39">
        <v>0.0</v>
      </c>
      <c r="BZ250" s="35" t="s">
        <v>7045</v>
      </c>
      <c r="CA250" s="30">
        <v>47027.0</v>
      </c>
      <c r="CB250" s="30">
        <v>47118.0</v>
      </c>
      <c r="CC250" s="39">
        <v>0.0</v>
      </c>
      <c r="CD250" s="39">
        <v>0.0</v>
      </c>
      <c r="CE250" s="35" t="s">
        <v>7045</v>
      </c>
      <c r="CF250" s="30">
        <v>47119.0</v>
      </c>
      <c r="CG250" s="30">
        <v>47208.0</v>
      </c>
      <c r="CH250" s="39">
        <v>0.0</v>
      </c>
      <c r="CI250" s="39">
        <v>0.0</v>
      </c>
      <c r="CJ250" s="35" t="s">
        <v>7045</v>
      </c>
      <c r="CK250" s="30">
        <v>47209.0</v>
      </c>
      <c r="CL250" s="30">
        <v>47299.0</v>
      </c>
      <c r="CM250" s="39">
        <v>0.0</v>
      </c>
      <c r="CN250" s="39">
        <v>0.0</v>
      </c>
      <c r="CO250" s="35" t="s">
        <v>7045</v>
      </c>
      <c r="CP250" s="30">
        <v>47300.0</v>
      </c>
      <c r="CQ250" s="30">
        <v>47391.0</v>
      </c>
      <c r="CR250" s="39">
        <v>0.0</v>
      </c>
      <c r="CS250" s="39">
        <v>0.0</v>
      </c>
      <c r="CT250" s="35" t="s">
        <v>7045</v>
      </c>
      <c r="CU250" s="30">
        <v>47392.0</v>
      </c>
      <c r="CV250" s="30">
        <v>47483.0</v>
      </c>
      <c r="CW250" s="39">
        <v>0.0</v>
      </c>
      <c r="CX250" s="39">
        <v>0.0</v>
      </c>
      <c r="CY250" s="35" t="s">
        <v>7045</v>
      </c>
      <c r="CZ250" s="30">
        <v>47484.0</v>
      </c>
      <c r="DA250" s="30">
        <v>47573.0</v>
      </c>
      <c r="DB250" s="39">
        <v>0.0</v>
      </c>
      <c r="DC250" s="39">
        <v>0.0</v>
      </c>
      <c r="DD250" s="35" t="s">
        <v>7045</v>
      </c>
      <c r="DE250" s="30">
        <v>47574.0</v>
      </c>
      <c r="DF250" s="30">
        <v>47664.0</v>
      </c>
      <c r="DG250" s="39">
        <v>0.0</v>
      </c>
      <c r="DH250" s="39">
        <v>0.0</v>
      </c>
      <c r="DI250" s="35" t="s">
        <v>7045</v>
      </c>
      <c r="DJ250" s="30">
        <v>47665.0</v>
      </c>
      <c r="DK250" s="30">
        <v>47756.0</v>
      </c>
      <c r="DL250" s="39">
        <v>0.0</v>
      </c>
      <c r="DM250" s="39">
        <v>0.0</v>
      </c>
      <c r="DN250" s="35" t="s">
        <v>7045</v>
      </c>
      <c r="DO250" s="30">
        <v>47757.0</v>
      </c>
      <c r="DP250" s="30">
        <v>47848.0</v>
      </c>
      <c r="DQ250" s="39">
        <v>0.0</v>
      </c>
      <c r="DR250" s="39">
        <v>0.0</v>
      </c>
      <c r="DS250" s="35" t="s">
        <v>7045</v>
      </c>
    </row>
    <row r="251" ht="14.25" customHeight="1">
      <c r="A251" s="28" t="s">
        <v>767</v>
      </c>
      <c r="B251" s="29" t="s">
        <v>768</v>
      </c>
      <c r="C251" s="29" t="s">
        <v>7041</v>
      </c>
      <c r="D251" s="30">
        <v>45658.0</v>
      </c>
      <c r="E251" s="30">
        <v>45747.0</v>
      </c>
      <c r="F251" s="36">
        <v>4.75</v>
      </c>
      <c r="G251" s="36">
        <v>0.0</v>
      </c>
      <c r="H251" s="38" t="s">
        <v>7047</v>
      </c>
      <c r="I251" s="30">
        <v>45748.0</v>
      </c>
      <c r="J251" s="30">
        <v>45838.0</v>
      </c>
      <c r="K251" s="36">
        <v>15.0</v>
      </c>
      <c r="L251" s="36">
        <v>531.9</v>
      </c>
      <c r="M251" s="32" t="s">
        <v>7043</v>
      </c>
      <c r="N251" s="30">
        <v>45839.0</v>
      </c>
      <c r="O251" s="30">
        <v>45930.0</v>
      </c>
      <c r="P251" s="36">
        <v>6.23</v>
      </c>
      <c r="Q251" s="36">
        <v>585.1</v>
      </c>
      <c r="R251" s="38" t="s">
        <v>7047</v>
      </c>
      <c r="S251" s="30">
        <v>45931.0</v>
      </c>
      <c r="T251" s="30">
        <v>46022.0</v>
      </c>
      <c r="U251" s="36">
        <v>20.15</v>
      </c>
      <c r="V251" s="36">
        <v>744.68</v>
      </c>
      <c r="W251" s="38" t="s">
        <v>7047</v>
      </c>
      <c r="X251" s="30">
        <v>46023.0</v>
      </c>
      <c r="Y251" s="30">
        <v>46112.0</v>
      </c>
      <c r="Z251" s="36">
        <v>2.78</v>
      </c>
      <c r="AA251" s="36">
        <v>0.0</v>
      </c>
      <c r="AB251" s="38" t="s">
        <v>7047</v>
      </c>
      <c r="AC251" s="30">
        <v>46113.0</v>
      </c>
      <c r="AD251" s="30">
        <v>46203.0</v>
      </c>
      <c r="AE251" s="36">
        <v>5.85</v>
      </c>
      <c r="AF251" s="36">
        <v>0.0</v>
      </c>
      <c r="AG251" s="38" t="s">
        <v>7047</v>
      </c>
      <c r="AH251" s="30">
        <v>46204.0</v>
      </c>
      <c r="AI251" s="30">
        <v>46295.0</v>
      </c>
      <c r="AJ251" s="36">
        <v>90.0</v>
      </c>
      <c r="AK251" s="36">
        <v>0.0</v>
      </c>
      <c r="AL251" s="35" t="s">
        <v>7047</v>
      </c>
      <c r="AM251" s="30">
        <v>46296.0</v>
      </c>
      <c r="AN251" s="30">
        <v>46387.0</v>
      </c>
      <c r="AO251" s="36">
        <v>0.0</v>
      </c>
      <c r="AP251" s="36">
        <v>0.0</v>
      </c>
      <c r="AQ251" s="35" t="s">
        <v>7045</v>
      </c>
      <c r="AR251" s="30">
        <v>46388.0</v>
      </c>
      <c r="AS251" s="30">
        <v>46477.0</v>
      </c>
      <c r="AT251" s="36">
        <v>0.0</v>
      </c>
      <c r="AU251" s="36">
        <v>0.0</v>
      </c>
      <c r="AV251" s="35" t="s">
        <v>7045</v>
      </c>
      <c r="AW251" s="30">
        <v>46478.0</v>
      </c>
      <c r="AX251" s="30">
        <v>46568.0</v>
      </c>
      <c r="AY251" s="36">
        <v>0.0</v>
      </c>
      <c r="AZ251" s="36">
        <v>0.0</v>
      </c>
      <c r="BA251" s="35" t="s">
        <v>7045</v>
      </c>
      <c r="BB251" s="30">
        <v>46569.0</v>
      </c>
      <c r="BC251" s="30">
        <v>46660.0</v>
      </c>
      <c r="BD251" s="36">
        <v>0.0</v>
      </c>
      <c r="BE251" s="36">
        <v>0.0</v>
      </c>
      <c r="BF251" s="35" t="s">
        <v>7045</v>
      </c>
      <c r="BG251" s="30">
        <v>46661.0</v>
      </c>
      <c r="BH251" s="30">
        <v>46752.0</v>
      </c>
      <c r="BI251" s="36">
        <v>0.0</v>
      </c>
      <c r="BJ251" s="36">
        <v>0.0</v>
      </c>
      <c r="BK251" s="35" t="s">
        <v>7045</v>
      </c>
      <c r="BL251" s="30">
        <v>46753.0</v>
      </c>
      <c r="BM251" s="30">
        <v>46843.0</v>
      </c>
      <c r="BN251" s="36">
        <v>0.0</v>
      </c>
      <c r="BO251" s="36">
        <v>0.0</v>
      </c>
      <c r="BP251" s="35" t="s">
        <v>7045</v>
      </c>
      <c r="BQ251" s="30">
        <v>46844.0</v>
      </c>
      <c r="BR251" s="30">
        <v>46934.0</v>
      </c>
      <c r="BS251" s="36">
        <v>0.0</v>
      </c>
      <c r="BT251" s="36">
        <v>0.0</v>
      </c>
      <c r="BU251" s="35" t="s">
        <v>7045</v>
      </c>
      <c r="BV251" s="30">
        <v>46935.0</v>
      </c>
      <c r="BW251" s="30">
        <v>47026.0</v>
      </c>
      <c r="BX251" s="36">
        <v>0.0</v>
      </c>
      <c r="BY251" s="36">
        <v>0.0</v>
      </c>
      <c r="BZ251" s="35" t="s">
        <v>7045</v>
      </c>
      <c r="CA251" s="30">
        <v>47027.0</v>
      </c>
      <c r="CB251" s="30">
        <v>47118.0</v>
      </c>
      <c r="CC251" s="36">
        <v>0.0</v>
      </c>
      <c r="CD251" s="36">
        <v>0.0</v>
      </c>
      <c r="CE251" s="35" t="s">
        <v>7045</v>
      </c>
      <c r="CF251" s="30">
        <v>47119.0</v>
      </c>
      <c r="CG251" s="30">
        <v>47208.0</v>
      </c>
      <c r="CH251" s="36">
        <v>0.0</v>
      </c>
      <c r="CI251" s="36">
        <v>0.0</v>
      </c>
      <c r="CJ251" s="35" t="s">
        <v>7045</v>
      </c>
      <c r="CK251" s="30">
        <v>47209.0</v>
      </c>
      <c r="CL251" s="30">
        <v>47299.0</v>
      </c>
      <c r="CM251" s="36">
        <v>0.0</v>
      </c>
      <c r="CN251" s="36">
        <v>0.0</v>
      </c>
      <c r="CO251" s="35" t="s">
        <v>7045</v>
      </c>
      <c r="CP251" s="30">
        <v>47300.0</v>
      </c>
      <c r="CQ251" s="30">
        <v>47391.0</v>
      </c>
      <c r="CR251" s="36">
        <v>0.0</v>
      </c>
      <c r="CS251" s="36">
        <v>0.0</v>
      </c>
      <c r="CT251" s="35" t="s">
        <v>7045</v>
      </c>
      <c r="CU251" s="30">
        <v>47392.0</v>
      </c>
      <c r="CV251" s="30">
        <v>47483.0</v>
      </c>
      <c r="CW251" s="36">
        <v>0.0</v>
      </c>
      <c r="CX251" s="36">
        <v>0.0</v>
      </c>
      <c r="CY251" s="35" t="s">
        <v>7045</v>
      </c>
      <c r="CZ251" s="30">
        <v>47484.0</v>
      </c>
      <c r="DA251" s="30">
        <v>47573.0</v>
      </c>
      <c r="DB251" s="36">
        <v>0.0</v>
      </c>
      <c r="DC251" s="36">
        <v>0.0</v>
      </c>
      <c r="DD251" s="35" t="s">
        <v>7045</v>
      </c>
      <c r="DE251" s="30">
        <v>47574.0</v>
      </c>
      <c r="DF251" s="30">
        <v>47664.0</v>
      </c>
      <c r="DG251" s="36">
        <v>0.0</v>
      </c>
      <c r="DH251" s="36">
        <v>0.0</v>
      </c>
      <c r="DI251" s="35" t="s">
        <v>7045</v>
      </c>
      <c r="DJ251" s="30">
        <v>47665.0</v>
      </c>
      <c r="DK251" s="30">
        <v>47756.0</v>
      </c>
      <c r="DL251" s="36">
        <v>0.0</v>
      </c>
      <c r="DM251" s="36">
        <v>0.0</v>
      </c>
      <c r="DN251" s="35" t="s">
        <v>7045</v>
      </c>
      <c r="DO251" s="30">
        <v>47757.0</v>
      </c>
      <c r="DP251" s="30">
        <v>47848.0</v>
      </c>
      <c r="DQ251" s="36">
        <v>0.0</v>
      </c>
      <c r="DR251" s="36">
        <v>0.0</v>
      </c>
      <c r="DS251" s="35" t="s">
        <v>7045</v>
      </c>
    </row>
    <row r="252" ht="14.25" customHeight="1">
      <c r="A252" s="28" t="s">
        <v>791</v>
      </c>
      <c r="B252" s="29" t="s">
        <v>792</v>
      </c>
      <c r="C252" s="29" t="s">
        <v>7041</v>
      </c>
      <c r="D252" s="30">
        <v>45658.0</v>
      </c>
      <c r="E252" s="30">
        <v>45747.0</v>
      </c>
      <c r="F252" s="39">
        <v>5.7</v>
      </c>
      <c r="G252" s="39">
        <v>0.0</v>
      </c>
      <c r="H252" s="38" t="s">
        <v>7047</v>
      </c>
      <c r="I252" s="30">
        <v>45748.0</v>
      </c>
      <c r="J252" s="30">
        <v>45838.0</v>
      </c>
      <c r="K252" s="39">
        <v>85.0</v>
      </c>
      <c r="L252" s="39">
        <v>327.38</v>
      </c>
      <c r="M252" s="37" t="s">
        <v>7043</v>
      </c>
      <c r="N252" s="30">
        <v>45839.0</v>
      </c>
      <c r="O252" s="30">
        <v>45930.0</v>
      </c>
      <c r="P252" s="39">
        <v>111.0</v>
      </c>
      <c r="Q252" s="39">
        <v>327.38</v>
      </c>
      <c r="R252" s="38" t="s">
        <v>7047</v>
      </c>
      <c r="S252" s="30">
        <v>45931.0</v>
      </c>
      <c r="T252" s="30">
        <v>46022.0</v>
      </c>
      <c r="U252" s="39">
        <v>20.0</v>
      </c>
      <c r="V252" s="39">
        <v>327.38</v>
      </c>
      <c r="W252" s="38" t="s">
        <v>7047</v>
      </c>
      <c r="X252" s="30">
        <v>46023.0</v>
      </c>
      <c r="Y252" s="30">
        <v>46112.0</v>
      </c>
      <c r="Z252" s="39">
        <v>0.0</v>
      </c>
      <c r="AA252" s="39">
        <v>0.0</v>
      </c>
      <c r="AB252" s="35" t="s">
        <v>7045</v>
      </c>
      <c r="AC252" s="30">
        <v>46113.0</v>
      </c>
      <c r="AD252" s="30">
        <v>46203.0</v>
      </c>
      <c r="AE252" s="39">
        <v>0.0</v>
      </c>
      <c r="AF252" s="39">
        <v>0.0</v>
      </c>
      <c r="AG252" s="35" t="s">
        <v>7045</v>
      </c>
      <c r="AH252" s="30">
        <v>46204.0</v>
      </c>
      <c r="AI252" s="30">
        <v>46295.0</v>
      </c>
      <c r="AJ252" s="39">
        <v>0.0</v>
      </c>
      <c r="AK252" s="39">
        <v>0.0</v>
      </c>
      <c r="AL252" s="35" t="s">
        <v>7045</v>
      </c>
      <c r="AM252" s="30">
        <v>46296.0</v>
      </c>
      <c r="AN252" s="30">
        <v>46387.0</v>
      </c>
      <c r="AO252" s="39">
        <v>0.0</v>
      </c>
      <c r="AP252" s="39">
        <v>0.0</v>
      </c>
      <c r="AQ252" s="35" t="s">
        <v>7045</v>
      </c>
      <c r="AR252" s="30">
        <v>46388.0</v>
      </c>
      <c r="AS252" s="30">
        <v>46477.0</v>
      </c>
      <c r="AT252" s="39">
        <v>0.0</v>
      </c>
      <c r="AU252" s="39">
        <v>0.0</v>
      </c>
      <c r="AV252" s="35" t="s">
        <v>7045</v>
      </c>
      <c r="AW252" s="30">
        <v>46478.0</v>
      </c>
      <c r="AX252" s="30">
        <v>46568.0</v>
      </c>
      <c r="AY252" s="39">
        <v>0.0</v>
      </c>
      <c r="AZ252" s="39">
        <v>0.0</v>
      </c>
      <c r="BA252" s="35" t="s">
        <v>7045</v>
      </c>
      <c r="BB252" s="30">
        <v>46569.0</v>
      </c>
      <c r="BC252" s="30">
        <v>46660.0</v>
      </c>
      <c r="BD252" s="39">
        <v>0.0</v>
      </c>
      <c r="BE252" s="39">
        <v>0.0</v>
      </c>
      <c r="BF252" s="35" t="s">
        <v>7045</v>
      </c>
      <c r="BG252" s="30">
        <v>46661.0</v>
      </c>
      <c r="BH252" s="30">
        <v>46752.0</v>
      </c>
      <c r="BI252" s="39">
        <v>0.0</v>
      </c>
      <c r="BJ252" s="39">
        <v>0.0</v>
      </c>
      <c r="BK252" s="35" t="s">
        <v>7045</v>
      </c>
      <c r="BL252" s="30">
        <v>46753.0</v>
      </c>
      <c r="BM252" s="30">
        <v>46843.0</v>
      </c>
      <c r="BN252" s="39">
        <v>0.0</v>
      </c>
      <c r="BO252" s="39">
        <v>0.0</v>
      </c>
      <c r="BP252" s="35" t="s">
        <v>7045</v>
      </c>
      <c r="BQ252" s="30">
        <v>46844.0</v>
      </c>
      <c r="BR252" s="30">
        <v>46934.0</v>
      </c>
      <c r="BS252" s="39">
        <v>0.0</v>
      </c>
      <c r="BT252" s="39">
        <v>0.0</v>
      </c>
      <c r="BU252" s="35" t="s">
        <v>7045</v>
      </c>
      <c r="BV252" s="30">
        <v>46935.0</v>
      </c>
      <c r="BW252" s="30">
        <v>47026.0</v>
      </c>
      <c r="BX252" s="39">
        <v>0.0</v>
      </c>
      <c r="BY252" s="39">
        <v>0.0</v>
      </c>
      <c r="BZ252" s="35" t="s">
        <v>7045</v>
      </c>
      <c r="CA252" s="30">
        <v>47027.0</v>
      </c>
      <c r="CB252" s="30">
        <v>47118.0</v>
      </c>
      <c r="CC252" s="39">
        <v>0.0</v>
      </c>
      <c r="CD252" s="39">
        <v>0.0</v>
      </c>
      <c r="CE252" s="35" t="s">
        <v>7045</v>
      </c>
      <c r="CF252" s="30">
        <v>47119.0</v>
      </c>
      <c r="CG252" s="30">
        <v>47208.0</v>
      </c>
      <c r="CH252" s="39">
        <v>0.0</v>
      </c>
      <c r="CI252" s="39">
        <v>0.0</v>
      </c>
      <c r="CJ252" s="35" t="s">
        <v>7045</v>
      </c>
      <c r="CK252" s="30">
        <v>47209.0</v>
      </c>
      <c r="CL252" s="30">
        <v>47299.0</v>
      </c>
      <c r="CM252" s="39">
        <v>0.0</v>
      </c>
      <c r="CN252" s="39">
        <v>0.0</v>
      </c>
      <c r="CO252" s="35" t="s">
        <v>7045</v>
      </c>
      <c r="CP252" s="30">
        <v>47300.0</v>
      </c>
      <c r="CQ252" s="30">
        <v>47391.0</v>
      </c>
      <c r="CR252" s="39">
        <v>0.0</v>
      </c>
      <c r="CS252" s="39">
        <v>0.0</v>
      </c>
      <c r="CT252" s="35" t="s">
        <v>7045</v>
      </c>
      <c r="CU252" s="30">
        <v>47392.0</v>
      </c>
      <c r="CV252" s="30">
        <v>47483.0</v>
      </c>
      <c r="CW252" s="39">
        <v>0.0</v>
      </c>
      <c r="CX252" s="39">
        <v>0.0</v>
      </c>
      <c r="CY252" s="35" t="s">
        <v>7045</v>
      </c>
      <c r="CZ252" s="30">
        <v>47484.0</v>
      </c>
      <c r="DA252" s="30">
        <v>47573.0</v>
      </c>
      <c r="DB252" s="39">
        <v>0.0</v>
      </c>
      <c r="DC252" s="39">
        <v>0.0</v>
      </c>
      <c r="DD252" s="35" t="s">
        <v>7045</v>
      </c>
      <c r="DE252" s="30">
        <v>47574.0</v>
      </c>
      <c r="DF252" s="30">
        <v>47664.0</v>
      </c>
      <c r="DG252" s="39">
        <v>0.0</v>
      </c>
      <c r="DH252" s="39">
        <v>0.0</v>
      </c>
      <c r="DI252" s="35" t="s">
        <v>7045</v>
      </c>
      <c r="DJ252" s="30">
        <v>47665.0</v>
      </c>
      <c r="DK252" s="30">
        <v>47756.0</v>
      </c>
      <c r="DL252" s="39">
        <v>0.0</v>
      </c>
      <c r="DM252" s="39">
        <v>0.0</v>
      </c>
      <c r="DN252" s="35" t="s">
        <v>7045</v>
      </c>
      <c r="DO252" s="30">
        <v>47757.0</v>
      </c>
      <c r="DP252" s="30">
        <v>47848.0</v>
      </c>
      <c r="DQ252" s="39">
        <v>0.0</v>
      </c>
      <c r="DR252" s="39">
        <v>0.0</v>
      </c>
      <c r="DS252" s="35" t="s">
        <v>7045</v>
      </c>
    </row>
    <row r="253" ht="14.25" customHeight="1">
      <c r="A253" s="28" t="s">
        <v>857</v>
      </c>
      <c r="B253" s="29" t="s">
        <v>858</v>
      </c>
      <c r="C253" s="29" t="s">
        <v>7041</v>
      </c>
      <c r="D253" s="30">
        <v>45658.0</v>
      </c>
      <c r="E253" s="30">
        <v>45747.0</v>
      </c>
      <c r="F253" s="39">
        <v>4.42</v>
      </c>
      <c r="G253" s="39">
        <v>0.0</v>
      </c>
      <c r="H253" s="38" t="s">
        <v>7047</v>
      </c>
      <c r="I253" s="30">
        <v>45748.0</v>
      </c>
      <c r="J253" s="30">
        <v>45838.0</v>
      </c>
      <c r="K253" s="39">
        <v>1.86</v>
      </c>
      <c r="L253" s="39">
        <v>147.06</v>
      </c>
      <c r="M253" s="32" t="s">
        <v>7043</v>
      </c>
      <c r="N253" s="30">
        <v>45839.0</v>
      </c>
      <c r="O253" s="30">
        <v>45930.0</v>
      </c>
      <c r="P253" s="39">
        <v>54.08</v>
      </c>
      <c r="Q253" s="39">
        <v>147.06</v>
      </c>
      <c r="R253" s="38" t="s">
        <v>7047</v>
      </c>
      <c r="S253" s="30">
        <v>45931.0</v>
      </c>
      <c r="T253" s="30">
        <v>46022.0</v>
      </c>
      <c r="U253" s="39">
        <v>108.4</v>
      </c>
      <c r="V253" s="39">
        <v>147.06</v>
      </c>
      <c r="W253" s="38" t="s">
        <v>7047</v>
      </c>
      <c r="X253" s="30">
        <v>46023.0</v>
      </c>
      <c r="Y253" s="30">
        <v>46112.0</v>
      </c>
      <c r="Z253" s="39">
        <v>0.0</v>
      </c>
      <c r="AA253" s="39">
        <v>0.0</v>
      </c>
      <c r="AB253" s="35" t="s">
        <v>7045</v>
      </c>
      <c r="AC253" s="30">
        <v>46113.0</v>
      </c>
      <c r="AD253" s="30">
        <v>46203.0</v>
      </c>
      <c r="AE253" s="39">
        <v>0.0</v>
      </c>
      <c r="AF253" s="39">
        <v>0.0</v>
      </c>
      <c r="AG253" s="35" t="s">
        <v>7045</v>
      </c>
      <c r="AH253" s="30">
        <v>46204.0</v>
      </c>
      <c r="AI253" s="30">
        <v>46295.0</v>
      </c>
      <c r="AJ253" s="39">
        <v>0.0</v>
      </c>
      <c r="AK253" s="39">
        <v>0.0</v>
      </c>
      <c r="AL253" s="35" t="s">
        <v>7045</v>
      </c>
      <c r="AM253" s="30">
        <v>46296.0</v>
      </c>
      <c r="AN253" s="30">
        <v>46387.0</v>
      </c>
      <c r="AO253" s="39">
        <v>0.0</v>
      </c>
      <c r="AP253" s="39">
        <v>0.0</v>
      </c>
      <c r="AQ253" s="35" t="s">
        <v>7045</v>
      </c>
      <c r="AR253" s="30">
        <v>46388.0</v>
      </c>
      <c r="AS253" s="30">
        <v>46477.0</v>
      </c>
      <c r="AT253" s="39">
        <v>0.0</v>
      </c>
      <c r="AU253" s="39">
        <v>0.0</v>
      </c>
      <c r="AV253" s="35" t="s">
        <v>7045</v>
      </c>
      <c r="AW253" s="30">
        <v>46478.0</v>
      </c>
      <c r="AX253" s="30">
        <v>46568.0</v>
      </c>
      <c r="AY253" s="39">
        <v>0.0</v>
      </c>
      <c r="AZ253" s="39">
        <v>0.0</v>
      </c>
      <c r="BA253" s="35" t="s">
        <v>7045</v>
      </c>
      <c r="BB253" s="30">
        <v>46569.0</v>
      </c>
      <c r="BC253" s="30">
        <v>46660.0</v>
      </c>
      <c r="BD253" s="39">
        <v>0.0</v>
      </c>
      <c r="BE253" s="39">
        <v>0.0</v>
      </c>
      <c r="BF253" s="35" t="s">
        <v>7045</v>
      </c>
      <c r="BG253" s="30">
        <v>46661.0</v>
      </c>
      <c r="BH253" s="30">
        <v>46752.0</v>
      </c>
      <c r="BI253" s="39">
        <v>0.0</v>
      </c>
      <c r="BJ253" s="39">
        <v>0.0</v>
      </c>
      <c r="BK253" s="35" t="s">
        <v>7045</v>
      </c>
      <c r="BL253" s="30">
        <v>46753.0</v>
      </c>
      <c r="BM253" s="30">
        <v>46843.0</v>
      </c>
      <c r="BN253" s="39">
        <v>0.0</v>
      </c>
      <c r="BO253" s="39">
        <v>0.0</v>
      </c>
      <c r="BP253" s="35" t="s">
        <v>7045</v>
      </c>
      <c r="BQ253" s="30">
        <v>46844.0</v>
      </c>
      <c r="BR253" s="30">
        <v>46934.0</v>
      </c>
      <c r="BS253" s="39">
        <v>0.0</v>
      </c>
      <c r="BT253" s="39">
        <v>0.0</v>
      </c>
      <c r="BU253" s="35" t="s">
        <v>7045</v>
      </c>
      <c r="BV253" s="30">
        <v>46935.0</v>
      </c>
      <c r="BW253" s="30">
        <v>47026.0</v>
      </c>
      <c r="BX253" s="39">
        <v>0.0</v>
      </c>
      <c r="BY253" s="39">
        <v>0.0</v>
      </c>
      <c r="BZ253" s="35" t="s">
        <v>7045</v>
      </c>
      <c r="CA253" s="30">
        <v>47027.0</v>
      </c>
      <c r="CB253" s="30">
        <v>47118.0</v>
      </c>
      <c r="CC253" s="39">
        <v>0.0</v>
      </c>
      <c r="CD253" s="39">
        <v>0.0</v>
      </c>
      <c r="CE253" s="35" t="s">
        <v>7045</v>
      </c>
      <c r="CF253" s="30">
        <v>47119.0</v>
      </c>
      <c r="CG253" s="30">
        <v>47208.0</v>
      </c>
      <c r="CH253" s="39">
        <v>0.0</v>
      </c>
      <c r="CI253" s="39">
        <v>0.0</v>
      </c>
      <c r="CJ253" s="35" t="s">
        <v>7045</v>
      </c>
      <c r="CK253" s="30">
        <v>47209.0</v>
      </c>
      <c r="CL253" s="30">
        <v>47299.0</v>
      </c>
      <c r="CM253" s="39">
        <v>0.0</v>
      </c>
      <c r="CN253" s="39">
        <v>0.0</v>
      </c>
      <c r="CO253" s="35" t="s">
        <v>7045</v>
      </c>
      <c r="CP253" s="30">
        <v>47300.0</v>
      </c>
      <c r="CQ253" s="30">
        <v>47391.0</v>
      </c>
      <c r="CR253" s="39">
        <v>0.0</v>
      </c>
      <c r="CS253" s="39">
        <v>0.0</v>
      </c>
      <c r="CT253" s="35" t="s">
        <v>7045</v>
      </c>
      <c r="CU253" s="30">
        <v>47392.0</v>
      </c>
      <c r="CV253" s="30">
        <v>47483.0</v>
      </c>
      <c r="CW253" s="39">
        <v>0.0</v>
      </c>
      <c r="CX253" s="39">
        <v>0.0</v>
      </c>
      <c r="CY253" s="35" t="s">
        <v>7045</v>
      </c>
      <c r="CZ253" s="30">
        <v>47484.0</v>
      </c>
      <c r="DA253" s="30">
        <v>47573.0</v>
      </c>
      <c r="DB253" s="39">
        <v>0.0</v>
      </c>
      <c r="DC253" s="39">
        <v>0.0</v>
      </c>
      <c r="DD253" s="35" t="s">
        <v>7045</v>
      </c>
      <c r="DE253" s="30">
        <v>47574.0</v>
      </c>
      <c r="DF253" s="30">
        <v>47664.0</v>
      </c>
      <c r="DG253" s="39">
        <v>0.0</v>
      </c>
      <c r="DH253" s="39">
        <v>0.0</v>
      </c>
      <c r="DI253" s="35" t="s">
        <v>7045</v>
      </c>
      <c r="DJ253" s="30">
        <v>47665.0</v>
      </c>
      <c r="DK253" s="30">
        <v>47756.0</v>
      </c>
      <c r="DL253" s="39">
        <v>0.0</v>
      </c>
      <c r="DM253" s="39">
        <v>0.0</v>
      </c>
      <c r="DN253" s="35" t="s">
        <v>7045</v>
      </c>
      <c r="DO253" s="30">
        <v>47757.0</v>
      </c>
      <c r="DP253" s="30">
        <v>47848.0</v>
      </c>
      <c r="DQ253" s="39">
        <v>0.0</v>
      </c>
      <c r="DR253" s="39">
        <v>0.0</v>
      </c>
      <c r="DS253" s="35" t="s">
        <v>7045</v>
      </c>
    </row>
    <row r="254" ht="14.25" customHeight="1">
      <c r="A254" s="28" t="s">
        <v>936</v>
      </c>
      <c r="B254" s="29" t="s">
        <v>937</v>
      </c>
      <c r="C254" s="29" t="s">
        <v>7041</v>
      </c>
      <c r="D254" s="30">
        <v>45658.0</v>
      </c>
      <c r="E254" s="30">
        <v>45747.0</v>
      </c>
      <c r="F254" s="36">
        <v>2.73</v>
      </c>
      <c r="G254" s="36">
        <v>0.0</v>
      </c>
      <c r="H254" s="38" t="s">
        <v>7047</v>
      </c>
      <c r="I254" s="30">
        <v>45748.0</v>
      </c>
      <c r="J254" s="30">
        <v>45838.0</v>
      </c>
      <c r="K254" s="36">
        <v>66.23</v>
      </c>
      <c r="L254" s="36">
        <v>285.72</v>
      </c>
      <c r="M254" s="32" t="s">
        <v>7043</v>
      </c>
      <c r="N254" s="30">
        <v>45839.0</v>
      </c>
      <c r="O254" s="30">
        <v>45930.0</v>
      </c>
      <c r="P254" s="36">
        <v>277.1</v>
      </c>
      <c r="Q254" s="36">
        <v>491.07</v>
      </c>
      <c r="R254" s="38" t="s">
        <v>7047</v>
      </c>
      <c r="S254" s="30">
        <v>45931.0</v>
      </c>
      <c r="T254" s="30">
        <v>46022.0</v>
      </c>
      <c r="U254" s="36">
        <v>1190.45</v>
      </c>
      <c r="V254" s="36">
        <v>428.58</v>
      </c>
      <c r="W254" s="38" t="s">
        <v>7047</v>
      </c>
      <c r="X254" s="30">
        <v>46023.0</v>
      </c>
      <c r="Y254" s="30">
        <v>46112.0</v>
      </c>
      <c r="Z254" s="36">
        <v>2543.82</v>
      </c>
      <c r="AA254" s="36">
        <v>0.0</v>
      </c>
      <c r="AB254" s="38" t="s">
        <v>7047</v>
      </c>
      <c r="AC254" s="30">
        <v>46113.0</v>
      </c>
      <c r="AD254" s="30">
        <v>46203.0</v>
      </c>
      <c r="AE254" s="36">
        <v>1502.77</v>
      </c>
      <c r="AF254" s="36">
        <v>0.0</v>
      </c>
      <c r="AG254" s="38" t="s">
        <v>7047</v>
      </c>
      <c r="AH254" s="30">
        <v>46204.0</v>
      </c>
      <c r="AI254" s="30">
        <v>46295.0</v>
      </c>
      <c r="AJ254" s="36">
        <v>16.18</v>
      </c>
      <c r="AK254" s="36">
        <v>0.0</v>
      </c>
      <c r="AL254" s="38" t="s">
        <v>7047</v>
      </c>
      <c r="AM254" s="30">
        <v>46296.0</v>
      </c>
      <c r="AN254" s="30">
        <v>46387.0</v>
      </c>
      <c r="AO254" s="36">
        <v>0.0</v>
      </c>
      <c r="AP254" s="36">
        <v>0.0</v>
      </c>
      <c r="AQ254" s="35" t="s">
        <v>7045</v>
      </c>
      <c r="AR254" s="30">
        <v>46388.0</v>
      </c>
      <c r="AS254" s="30">
        <v>46477.0</v>
      </c>
      <c r="AT254" s="36">
        <v>0.0</v>
      </c>
      <c r="AU254" s="36">
        <v>0.0</v>
      </c>
      <c r="AV254" s="35" t="s">
        <v>7045</v>
      </c>
      <c r="AW254" s="30">
        <v>46478.0</v>
      </c>
      <c r="AX254" s="30">
        <v>46568.0</v>
      </c>
      <c r="AY254" s="36">
        <v>0.0</v>
      </c>
      <c r="AZ254" s="36">
        <v>0.0</v>
      </c>
      <c r="BA254" s="35" t="s">
        <v>7045</v>
      </c>
      <c r="BB254" s="30">
        <v>46569.0</v>
      </c>
      <c r="BC254" s="30">
        <v>46660.0</v>
      </c>
      <c r="BD254" s="36">
        <v>0.0</v>
      </c>
      <c r="BE254" s="36">
        <v>0.0</v>
      </c>
      <c r="BF254" s="35" t="s">
        <v>7045</v>
      </c>
      <c r="BG254" s="30">
        <v>46661.0</v>
      </c>
      <c r="BH254" s="30">
        <v>46752.0</v>
      </c>
      <c r="BI254" s="36">
        <v>0.0</v>
      </c>
      <c r="BJ254" s="36">
        <v>0.0</v>
      </c>
      <c r="BK254" s="35" t="s">
        <v>7045</v>
      </c>
      <c r="BL254" s="30">
        <v>46753.0</v>
      </c>
      <c r="BM254" s="30">
        <v>46843.0</v>
      </c>
      <c r="BN254" s="36">
        <v>0.0</v>
      </c>
      <c r="BO254" s="36">
        <v>0.0</v>
      </c>
      <c r="BP254" s="35" t="s">
        <v>7045</v>
      </c>
      <c r="BQ254" s="30">
        <v>46844.0</v>
      </c>
      <c r="BR254" s="30">
        <v>46934.0</v>
      </c>
      <c r="BS254" s="36">
        <v>0.0</v>
      </c>
      <c r="BT254" s="36">
        <v>0.0</v>
      </c>
      <c r="BU254" s="35" t="s">
        <v>7045</v>
      </c>
      <c r="BV254" s="30">
        <v>46935.0</v>
      </c>
      <c r="BW254" s="30">
        <v>47026.0</v>
      </c>
      <c r="BX254" s="36">
        <v>0.0</v>
      </c>
      <c r="BY254" s="36">
        <v>0.0</v>
      </c>
      <c r="BZ254" s="35" t="s">
        <v>7045</v>
      </c>
      <c r="CA254" s="30">
        <v>47027.0</v>
      </c>
      <c r="CB254" s="30">
        <v>47118.0</v>
      </c>
      <c r="CC254" s="36">
        <v>0.0</v>
      </c>
      <c r="CD254" s="36">
        <v>0.0</v>
      </c>
      <c r="CE254" s="35" t="s">
        <v>7045</v>
      </c>
      <c r="CF254" s="30">
        <v>47119.0</v>
      </c>
      <c r="CG254" s="30">
        <v>47208.0</v>
      </c>
      <c r="CH254" s="36">
        <v>0.0</v>
      </c>
      <c r="CI254" s="36">
        <v>0.0</v>
      </c>
      <c r="CJ254" s="35" t="s">
        <v>7045</v>
      </c>
      <c r="CK254" s="30">
        <v>47209.0</v>
      </c>
      <c r="CL254" s="30">
        <v>47299.0</v>
      </c>
      <c r="CM254" s="36">
        <v>0.0</v>
      </c>
      <c r="CN254" s="36">
        <v>0.0</v>
      </c>
      <c r="CO254" s="35" t="s">
        <v>7045</v>
      </c>
      <c r="CP254" s="30">
        <v>47300.0</v>
      </c>
      <c r="CQ254" s="30">
        <v>47391.0</v>
      </c>
      <c r="CR254" s="36">
        <v>0.0</v>
      </c>
      <c r="CS254" s="36">
        <v>0.0</v>
      </c>
      <c r="CT254" s="35" t="s">
        <v>7045</v>
      </c>
      <c r="CU254" s="30">
        <v>47392.0</v>
      </c>
      <c r="CV254" s="30">
        <v>47483.0</v>
      </c>
      <c r="CW254" s="36">
        <v>0.0</v>
      </c>
      <c r="CX254" s="36">
        <v>0.0</v>
      </c>
      <c r="CY254" s="35" t="s">
        <v>7045</v>
      </c>
      <c r="CZ254" s="30">
        <v>47484.0</v>
      </c>
      <c r="DA254" s="30">
        <v>47573.0</v>
      </c>
      <c r="DB254" s="36">
        <v>0.0</v>
      </c>
      <c r="DC254" s="36">
        <v>0.0</v>
      </c>
      <c r="DD254" s="35" t="s">
        <v>7045</v>
      </c>
      <c r="DE254" s="30">
        <v>47574.0</v>
      </c>
      <c r="DF254" s="30">
        <v>47664.0</v>
      </c>
      <c r="DG254" s="36">
        <v>0.0</v>
      </c>
      <c r="DH254" s="36">
        <v>0.0</v>
      </c>
      <c r="DI254" s="35" t="s">
        <v>7045</v>
      </c>
      <c r="DJ254" s="30">
        <v>47665.0</v>
      </c>
      <c r="DK254" s="30">
        <v>47756.0</v>
      </c>
      <c r="DL254" s="36">
        <v>0.0</v>
      </c>
      <c r="DM254" s="36">
        <v>0.0</v>
      </c>
      <c r="DN254" s="35" t="s">
        <v>7045</v>
      </c>
      <c r="DO254" s="30">
        <v>47757.0</v>
      </c>
      <c r="DP254" s="30">
        <v>47848.0</v>
      </c>
      <c r="DQ254" s="36">
        <v>0.0</v>
      </c>
      <c r="DR254" s="36">
        <v>0.0</v>
      </c>
      <c r="DS254" s="35" t="s">
        <v>7045</v>
      </c>
    </row>
    <row r="255" ht="14.25" customHeight="1">
      <c r="A255" s="28" t="s">
        <v>988</v>
      </c>
      <c r="B255" s="29" t="s">
        <v>989</v>
      </c>
      <c r="C255" s="29" t="s">
        <v>7041</v>
      </c>
      <c r="D255" s="30">
        <v>45658.0</v>
      </c>
      <c r="E255" s="30">
        <v>45747.0</v>
      </c>
      <c r="F255" s="39">
        <v>35.0</v>
      </c>
      <c r="G255" s="39">
        <v>0.0</v>
      </c>
      <c r="H255" s="38" t="s">
        <v>7047</v>
      </c>
      <c r="I255" s="30">
        <v>45748.0</v>
      </c>
      <c r="J255" s="30">
        <v>45838.0</v>
      </c>
      <c r="K255" s="39">
        <v>35.0</v>
      </c>
      <c r="L255" s="39">
        <v>95.89</v>
      </c>
      <c r="M255" s="38" t="s">
        <v>7043</v>
      </c>
      <c r="N255" s="30">
        <v>45839.0</v>
      </c>
      <c r="O255" s="30">
        <v>45930.0</v>
      </c>
      <c r="P255" s="39">
        <v>35.0</v>
      </c>
      <c r="Q255" s="39">
        <v>143.84</v>
      </c>
      <c r="R255" s="38" t="s">
        <v>7047</v>
      </c>
      <c r="S255" s="30">
        <v>45931.0</v>
      </c>
      <c r="T255" s="30">
        <v>46022.0</v>
      </c>
      <c r="U255" s="39">
        <v>65.0</v>
      </c>
      <c r="V255" s="39">
        <v>143.84</v>
      </c>
      <c r="W255" s="38" t="s">
        <v>7047</v>
      </c>
      <c r="X255" s="30">
        <v>46023.0</v>
      </c>
      <c r="Y255" s="30">
        <v>46112.0</v>
      </c>
      <c r="Z255" s="39">
        <v>18.0</v>
      </c>
      <c r="AA255" s="39">
        <v>0.0</v>
      </c>
      <c r="AB255" s="38" t="s">
        <v>7047</v>
      </c>
      <c r="AC255" s="30">
        <v>46113.0</v>
      </c>
      <c r="AD255" s="30">
        <v>46203.0</v>
      </c>
      <c r="AE255" s="39">
        <v>22.0</v>
      </c>
      <c r="AF255" s="39">
        <v>0.0</v>
      </c>
      <c r="AG255" s="38" t="s">
        <v>7047</v>
      </c>
      <c r="AH255" s="30">
        <v>46204.0</v>
      </c>
      <c r="AI255" s="30">
        <v>46295.0</v>
      </c>
      <c r="AJ255" s="39">
        <v>0.0</v>
      </c>
      <c r="AK255" s="39">
        <v>0.0</v>
      </c>
      <c r="AL255" s="35" t="s">
        <v>7045</v>
      </c>
      <c r="AM255" s="30">
        <v>46296.0</v>
      </c>
      <c r="AN255" s="30">
        <v>46387.0</v>
      </c>
      <c r="AO255" s="39">
        <v>0.0</v>
      </c>
      <c r="AP255" s="39">
        <v>0.0</v>
      </c>
      <c r="AQ255" s="35" t="s">
        <v>7045</v>
      </c>
      <c r="AR255" s="30">
        <v>46388.0</v>
      </c>
      <c r="AS255" s="30">
        <v>46477.0</v>
      </c>
      <c r="AT255" s="39">
        <v>0.0</v>
      </c>
      <c r="AU255" s="39">
        <v>0.0</v>
      </c>
      <c r="AV255" s="35" t="s">
        <v>7045</v>
      </c>
      <c r="AW255" s="30">
        <v>46478.0</v>
      </c>
      <c r="AX255" s="30">
        <v>46568.0</v>
      </c>
      <c r="AY255" s="39">
        <v>0.0</v>
      </c>
      <c r="AZ255" s="39">
        <v>0.0</v>
      </c>
      <c r="BA255" s="35" t="s">
        <v>7045</v>
      </c>
      <c r="BB255" s="30">
        <v>46569.0</v>
      </c>
      <c r="BC255" s="30">
        <v>46660.0</v>
      </c>
      <c r="BD255" s="39">
        <v>0.0</v>
      </c>
      <c r="BE255" s="39">
        <v>0.0</v>
      </c>
      <c r="BF255" s="35" t="s">
        <v>7045</v>
      </c>
      <c r="BG255" s="30">
        <v>46661.0</v>
      </c>
      <c r="BH255" s="30">
        <v>46752.0</v>
      </c>
      <c r="BI255" s="39">
        <v>0.0</v>
      </c>
      <c r="BJ255" s="39">
        <v>0.0</v>
      </c>
      <c r="BK255" s="35" t="s">
        <v>7045</v>
      </c>
      <c r="BL255" s="30">
        <v>46753.0</v>
      </c>
      <c r="BM255" s="30">
        <v>46843.0</v>
      </c>
      <c r="BN255" s="39">
        <v>0.0</v>
      </c>
      <c r="BO255" s="39">
        <v>0.0</v>
      </c>
      <c r="BP255" s="35" t="s">
        <v>7045</v>
      </c>
      <c r="BQ255" s="30">
        <v>46844.0</v>
      </c>
      <c r="BR255" s="30">
        <v>46934.0</v>
      </c>
      <c r="BS255" s="39">
        <v>0.0</v>
      </c>
      <c r="BT255" s="39">
        <v>0.0</v>
      </c>
      <c r="BU255" s="35" t="s">
        <v>7045</v>
      </c>
      <c r="BV255" s="30">
        <v>46935.0</v>
      </c>
      <c r="BW255" s="30">
        <v>47026.0</v>
      </c>
      <c r="BX255" s="39">
        <v>0.0</v>
      </c>
      <c r="BY255" s="39">
        <v>0.0</v>
      </c>
      <c r="BZ255" s="35" t="s">
        <v>7045</v>
      </c>
      <c r="CA255" s="30">
        <v>47027.0</v>
      </c>
      <c r="CB255" s="30">
        <v>47118.0</v>
      </c>
      <c r="CC255" s="39">
        <v>0.0</v>
      </c>
      <c r="CD255" s="39">
        <v>0.0</v>
      </c>
      <c r="CE255" s="35" t="s">
        <v>7045</v>
      </c>
      <c r="CF255" s="30">
        <v>47119.0</v>
      </c>
      <c r="CG255" s="30">
        <v>47208.0</v>
      </c>
      <c r="CH255" s="39">
        <v>0.0</v>
      </c>
      <c r="CI255" s="39">
        <v>0.0</v>
      </c>
      <c r="CJ255" s="35" t="s">
        <v>7045</v>
      </c>
      <c r="CK255" s="30">
        <v>47209.0</v>
      </c>
      <c r="CL255" s="30">
        <v>47299.0</v>
      </c>
      <c r="CM255" s="39">
        <v>0.0</v>
      </c>
      <c r="CN255" s="39">
        <v>0.0</v>
      </c>
      <c r="CO255" s="35" t="s">
        <v>7045</v>
      </c>
      <c r="CP255" s="30">
        <v>47300.0</v>
      </c>
      <c r="CQ255" s="30">
        <v>47391.0</v>
      </c>
      <c r="CR255" s="39">
        <v>0.0</v>
      </c>
      <c r="CS255" s="39">
        <v>0.0</v>
      </c>
      <c r="CT255" s="35" t="s">
        <v>7045</v>
      </c>
      <c r="CU255" s="30">
        <v>47392.0</v>
      </c>
      <c r="CV255" s="30">
        <v>47483.0</v>
      </c>
      <c r="CW255" s="39">
        <v>0.0</v>
      </c>
      <c r="CX255" s="39">
        <v>0.0</v>
      </c>
      <c r="CY255" s="35" t="s">
        <v>7045</v>
      </c>
      <c r="CZ255" s="30">
        <v>47484.0</v>
      </c>
      <c r="DA255" s="30">
        <v>47573.0</v>
      </c>
      <c r="DB255" s="39">
        <v>0.0</v>
      </c>
      <c r="DC255" s="39">
        <v>0.0</v>
      </c>
      <c r="DD255" s="35" t="s">
        <v>7045</v>
      </c>
      <c r="DE255" s="30">
        <v>47574.0</v>
      </c>
      <c r="DF255" s="30">
        <v>47664.0</v>
      </c>
      <c r="DG255" s="39">
        <v>0.0</v>
      </c>
      <c r="DH255" s="39">
        <v>0.0</v>
      </c>
      <c r="DI255" s="35" t="s">
        <v>7045</v>
      </c>
      <c r="DJ255" s="30">
        <v>47665.0</v>
      </c>
      <c r="DK255" s="30">
        <v>47756.0</v>
      </c>
      <c r="DL255" s="39">
        <v>0.0</v>
      </c>
      <c r="DM255" s="39">
        <v>0.0</v>
      </c>
      <c r="DN255" s="35" t="s">
        <v>7045</v>
      </c>
      <c r="DO255" s="30">
        <v>47757.0</v>
      </c>
      <c r="DP255" s="30">
        <v>47848.0</v>
      </c>
      <c r="DQ255" s="39">
        <v>0.0</v>
      </c>
      <c r="DR255" s="39">
        <v>0.0</v>
      </c>
      <c r="DS255" s="35" t="s">
        <v>7045</v>
      </c>
    </row>
    <row r="256" ht="14.25" customHeight="1">
      <c r="A256" s="28" t="s">
        <v>1031</v>
      </c>
      <c r="B256" s="29" t="s">
        <v>1032</v>
      </c>
      <c r="C256" s="29" t="s">
        <v>7041</v>
      </c>
      <c r="D256" s="30">
        <v>45658.0</v>
      </c>
      <c r="E256" s="30">
        <v>45747.0</v>
      </c>
      <c r="F256" s="39">
        <v>16.78</v>
      </c>
      <c r="G256" s="39">
        <v>0.0</v>
      </c>
      <c r="H256" s="38" t="s">
        <v>7047</v>
      </c>
      <c r="I256" s="30">
        <v>45748.0</v>
      </c>
      <c r="J256" s="30">
        <v>45838.0</v>
      </c>
      <c r="K256" s="39">
        <v>33.0</v>
      </c>
      <c r="L256" s="39">
        <v>366.67</v>
      </c>
      <c r="M256" s="32" t="s">
        <v>7043</v>
      </c>
      <c r="N256" s="30">
        <v>45839.0</v>
      </c>
      <c r="O256" s="30">
        <v>45930.0</v>
      </c>
      <c r="P256" s="39">
        <v>15.0</v>
      </c>
      <c r="Q256" s="39">
        <v>566.67</v>
      </c>
      <c r="R256" s="38" t="s">
        <v>7043</v>
      </c>
      <c r="S256" s="30">
        <v>45931.0</v>
      </c>
      <c r="T256" s="30">
        <v>46022.0</v>
      </c>
      <c r="U256" s="39">
        <v>720.94</v>
      </c>
      <c r="V256" s="39">
        <v>700.0</v>
      </c>
      <c r="W256" s="38" t="s">
        <v>7047</v>
      </c>
      <c r="X256" s="30">
        <v>46023.0</v>
      </c>
      <c r="Y256" s="30">
        <v>46112.0</v>
      </c>
      <c r="Z256" s="39">
        <v>212.54</v>
      </c>
      <c r="AA256" s="39">
        <v>0.0</v>
      </c>
      <c r="AB256" s="38" t="s">
        <v>7047</v>
      </c>
      <c r="AC256" s="30">
        <v>46113.0</v>
      </c>
      <c r="AD256" s="30">
        <v>46203.0</v>
      </c>
      <c r="AE256" s="39">
        <v>27.4</v>
      </c>
      <c r="AF256" s="39">
        <v>0.0</v>
      </c>
      <c r="AG256" s="38" t="s">
        <v>7047</v>
      </c>
      <c r="AH256" s="30">
        <v>46204.0</v>
      </c>
      <c r="AI256" s="30">
        <v>46295.0</v>
      </c>
      <c r="AJ256" s="39">
        <v>37.64</v>
      </c>
      <c r="AK256" s="39">
        <v>0.0</v>
      </c>
      <c r="AL256" s="38" t="s">
        <v>7047</v>
      </c>
      <c r="AM256" s="30">
        <v>46296.0</v>
      </c>
      <c r="AN256" s="30">
        <v>46387.0</v>
      </c>
      <c r="AO256" s="39">
        <v>54.03</v>
      </c>
      <c r="AP256" s="39">
        <v>0.0</v>
      </c>
      <c r="AQ256" s="38" t="s">
        <v>7047</v>
      </c>
      <c r="AR256" s="30">
        <v>46388.0</v>
      </c>
      <c r="AS256" s="30">
        <v>46477.0</v>
      </c>
      <c r="AT256" s="39">
        <v>0.0</v>
      </c>
      <c r="AU256" s="39">
        <v>0.0</v>
      </c>
      <c r="AV256" s="35" t="s">
        <v>7045</v>
      </c>
      <c r="AW256" s="30">
        <v>46478.0</v>
      </c>
      <c r="AX256" s="30">
        <v>46568.0</v>
      </c>
      <c r="AY256" s="39">
        <v>0.0</v>
      </c>
      <c r="AZ256" s="39">
        <v>0.0</v>
      </c>
      <c r="BA256" s="35" t="s">
        <v>7045</v>
      </c>
      <c r="BB256" s="30">
        <v>46569.0</v>
      </c>
      <c r="BC256" s="30">
        <v>46660.0</v>
      </c>
      <c r="BD256" s="39">
        <v>0.0</v>
      </c>
      <c r="BE256" s="39">
        <v>0.0</v>
      </c>
      <c r="BF256" s="35" t="s">
        <v>7045</v>
      </c>
      <c r="BG256" s="30">
        <v>46661.0</v>
      </c>
      <c r="BH256" s="30">
        <v>46752.0</v>
      </c>
      <c r="BI256" s="39">
        <v>0.0</v>
      </c>
      <c r="BJ256" s="39">
        <v>0.0</v>
      </c>
      <c r="BK256" s="35" t="s">
        <v>7045</v>
      </c>
      <c r="BL256" s="30">
        <v>46753.0</v>
      </c>
      <c r="BM256" s="30">
        <v>46843.0</v>
      </c>
      <c r="BN256" s="39">
        <v>0.0</v>
      </c>
      <c r="BO256" s="39">
        <v>0.0</v>
      </c>
      <c r="BP256" s="35" t="s">
        <v>7045</v>
      </c>
      <c r="BQ256" s="30">
        <v>46844.0</v>
      </c>
      <c r="BR256" s="30">
        <v>46934.0</v>
      </c>
      <c r="BS256" s="39">
        <v>0.0</v>
      </c>
      <c r="BT256" s="39">
        <v>0.0</v>
      </c>
      <c r="BU256" s="35" t="s">
        <v>7045</v>
      </c>
      <c r="BV256" s="30">
        <v>46935.0</v>
      </c>
      <c r="BW256" s="30">
        <v>47026.0</v>
      </c>
      <c r="BX256" s="39">
        <v>0.0</v>
      </c>
      <c r="BY256" s="39">
        <v>0.0</v>
      </c>
      <c r="BZ256" s="35" t="s">
        <v>7045</v>
      </c>
      <c r="CA256" s="30">
        <v>47027.0</v>
      </c>
      <c r="CB256" s="30">
        <v>47118.0</v>
      </c>
      <c r="CC256" s="39">
        <v>0.0</v>
      </c>
      <c r="CD256" s="39">
        <v>0.0</v>
      </c>
      <c r="CE256" s="35" t="s">
        <v>7045</v>
      </c>
      <c r="CF256" s="30">
        <v>47119.0</v>
      </c>
      <c r="CG256" s="30">
        <v>47208.0</v>
      </c>
      <c r="CH256" s="39">
        <v>0.0</v>
      </c>
      <c r="CI256" s="39">
        <v>0.0</v>
      </c>
      <c r="CJ256" s="35" t="s">
        <v>7045</v>
      </c>
      <c r="CK256" s="30">
        <v>47209.0</v>
      </c>
      <c r="CL256" s="30">
        <v>47299.0</v>
      </c>
      <c r="CM256" s="39">
        <v>0.0</v>
      </c>
      <c r="CN256" s="39">
        <v>0.0</v>
      </c>
      <c r="CO256" s="35" t="s">
        <v>7045</v>
      </c>
      <c r="CP256" s="30">
        <v>47300.0</v>
      </c>
      <c r="CQ256" s="30">
        <v>47391.0</v>
      </c>
      <c r="CR256" s="39">
        <v>0.0</v>
      </c>
      <c r="CS256" s="39">
        <v>0.0</v>
      </c>
      <c r="CT256" s="35" t="s">
        <v>7045</v>
      </c>
      <c r="CU256" s="30">
        <v>47392.0</v>
      </c>
      <c r="CV256" s="30">
        <v>47483.0</v>
      </c>
      <c r="CW256" s="39">
        <v>0.0</v>
      </c>
      <c r="CX256" s="39">
        <v>0.0</v>
      </c>
      <c r="CY256" s="35" t="s">
        <v>7045</v>
      </c>
      <c r="CZ256" s="30">
        <v>47484.0</v>
      </c>
      <c r="DA256" s="30">
        <v>47573.0</v>
      </c>
      <c r="DB256" s="39">
        <v>0.0</v>
      </c>
      <c r="DC256" s="39">
        <v>0.0</v>
      </c>
      <c r="DD256" s="35" t="s">
        <v>7045</v>
      </c>
      <c r="DE256" s="30">
        <v>47574.0</v>
      </c>
      <c r="DF256" s="30">
        <v>47664.0</v>
      </c>
      <c r="DG256" s="39">
        <v>0.0</v>
      </c>
      <c r="DH256" s="39">
        <v>0.0</v>
      </c>
      <c r="DI256" s="35" t="s">
        <v>7045</v>
      </c>
      <c r="DJ256" s="30">
        <v>47665.0</v>
      </c>
      <c r="DK256" s="30">
        <v>47756.0</v>
      </c>
      <c r="DL256" s="39">
        <v>0.0</v>
      </c>
      <c r="DM256" s="39">
        <v>0.0</v>
      </c>
      <c r="DN256" s="35" t="s">
        <v>7045</v>
      </c>
      <c r="DO256" s="30">
        <v>47757.0</v>
      </c>
      <c r="DP256" s="30">
        <v>47848.0</v>
      </c>
      <c r="DQ256" s="39">
        <v>0.0</v>
      </c>
      <c r="DR256" s="39">
        <v>0.0</v>
      </c>
      <c r="DS256" s="35" t="s">
        <v>7045</v>
      </c>
    </row>
    <row r="257" ht="14.25" customHeight="1">
      <c r="A257" s="28" t="s">
        <v>1094</v>
      </c>
      <c r="B257" s="29" t="s">
        <v>1095</v>
      </c>
      <c r="C257" s="29" t="s">
        <v>7041</v>
      </c>
      <c r="D257" s="30">
        <v>45658.0</v>
      </c>
      <c r="E257" s="30">
        <v>45747.0</v>
      </c>
      <c r="F257" s="39">
        <v>12.0</v>
      </c>
      <c r="G257" s="39">
        <v>0.0</v>
      </c>
      <c r="H257" s="38" t="s">
        <v>7047</v>
      </c>
      <c r="I257" s="30">
        <v>45748.0</v>
      </c>
      <c r="J257" s="30">
        <v>45838.0</v>
      </c>
      <c r="K257" s="39">
        <v>1.6</v>
      </c>
      <c r="L257" s="39">
        <v>0.0</v>
      </c>
      <c r="M257" s="38" t="s">
        <v>7047</v>
      </c>
      <c r="N257" s="30">
        <v>45839.0</v>
      </c>
      <c r="O257" s="30">
        <v>45930.0</v>
      </c>
      <c r="P257" s="39">
        <v>136.0</v>
      </c>
      <c r="Q257" s="39">
        <v>0.0</v>
      </c>
      <c r="R257" s="38" t="s">
        <v>7047</v>
      </c>
      <c r="S257" s="30">
        <v>45931.0</v>
      </c>
      <c r="T257" s="30">
        <v>46022.0</v>
      </c>
      <c r="U257" s="39">
        <v>40.0</v>
      </c>
      <c r="V257" s="39">
        <v>0.0</v>
      </c>
      <c r="W257" s="38" t="s">
        <v>7047</v>
      </c>
      <c r="X257" s="30">
        <v>46023.0</v>
      </c>
      <c r="Y257" s="30">
        <v>46112.0</v>
      </c>
      <c r="Z257" s="39">
        <v>0.0</v>
      </c>
      <c r="AA257" s="39">
        <v>0.0</v>
      </c>
      <c r="AB257" s="35" t="s">
        <v>7045</v>
      </c>
      <c r="AC257" s="30">
        <v>46113.0</v>
      </c>
      <c r="AD257" s="30">
        <v>46203.0</v>
      </c>
      <c r="AE257" s="39">
        <v>0.0</v>
      </c>
      <c r="AF257" s="39">
        <v>0.0</v>
      </c>
      <c r="AG257" s="35" t="s">
        <v>7045</v>
      </c>
      <c r="AH257" s="30">
        <v>46204.0</v>
      </c>
      <c r="AI257" s="30">
        <v>46295.0</v>
      </c>
      <c r="AJ257" s="39">
        <v>0.0</v>
      </c>
      <c r="AK257" s="39">
        <v>0.0</v>
      </c>
      <c r="AL257" s="35" t="s">
        <v>7045</v>
      </c>
      <c r="AM257" s="30">
        <v>46296.0</v>
      </c>
      <c r="AN257" s="30">
        <v>46387.0</v>
      </c>
      <c r="AO257" s="39">
        <v>0.0</v>
      </c>
      <c r="AP257" s="39">
        <v>0.0</v>
      </c>
      <c r="AQ257" s="35" t="s">
        <v>7045</v>
      </c>
      <c r="AR257" s="30">
        <v>46388.0</v>
      </c>
      <c r="AS257" s="30">
        <v>46477.0</v>
      </c>
      <c r="AT257" s="39">
        <v>0.0</v>
      </c>
      <c r="AU257" s="39">
        <v>0.0</v>
      </c>
      <c r="AV257" s="35" t="s">
        <v>7045</v>
      </c>
      <c r="AW257" s="30">
        <v>46478.0</v>
      </c>
      <c r="AX257" s="30">
        <v>46568.0</v>
      </c>
      <c r="AY257" s="39">
        <v>0.0</v>
      </c>
      <c r="AZ257" s="39">
        <v>0.0</v>
      </c>
      <c r="BA257" s="35" t="s">
        <v>7045</v>
      </c>
      <c r="BB257" s="30">
        <v>46569.0</v>
      </c>
      <c r="BC257" s="30">
        <v>46660.0</v>
      </c>
      <c r="BD257" s="39">
        <v>0.0</v>
      </c>
      <c r="BE257" s="39">
        <v>0.0</v>
      </c>
      <c r="BF257" s="35" t="s">
        <v>7045</v>
      </c>
      <c r="BG257" s="30">
        <v>46661.0</v>
      </c>
      <c r="BH257" s="30">
        <v>46752.0</v>
      </c>
      <c r="BI257" s="39">
        <v>0.0</v>
      </c>
      <c r="BJ257" s="39">
        <v>0.0</v>
      </c>
      <c r="BK257" s="35" t="s">
        <v>7045</v>
      </c>
      <c r="BL257" s="30">
        <v>46753.0</v>
      </c>
      <c r="BM257" s="30">
        <v>46843.0</v>
      </c>
      <c r="BN257" s="39">
        <v>0.0</v>
      </c>
      <c r="BO257" s="39">
        <v>0.0</v>
      </c>
      <c r="BP257" s="35" t="s">
        <v>7045</v>
      </c>
      <c r="BQ257" s="30">
        <v>46844.0</v>
      </c>
      <c r="BR257" s="30">
        <v>46934.0</v>
      </c>
      <c r="BS257" s="39">
        <v>0.0</v>
      </c>
      <c r="BT257" s="39">
        <v>0.0</v>
      </c>
      <c r="BU257" s="35" t="s">
        <v>7045</v>
      </c>
      <c r="BV257" s="30">
        <v>46935.0</v>
      </c>
      <c r="BW257" s="30">
        <v>47026.0</v>
      </c>
      <c r="BX257" s="39">
        <v>0.0</v>
      </c>
      <c r="BY257" s="39">
        <v>0.0</v>
      </c>
      <c r="BZ257" s="35" t="s">
        <v>7045</v>
      </c>
      <c r="CA257" s="30">
        <v>47027.0</v>
      </c>
      <c r="CB257" s="30">
        <v>47118.0</v>
      </c>
      <c r="CC257" s="39">
        <v>0.0</v>
      </c>
      <c r="CD257" s="39">
        <v>0.0</v>
      </c>
      <c r="CE257" s="35" t="s">
        <v>7045</v>
      </c>
      <c r="CF257" s="30">
        <v>47119.0</v>
      </c>
      <c r="CG257" s="30">
        <v>47208.0</v>
      </c>
      <c r="CH257" s="39">
        <v>0.0</v>
      </c>
      <c r="CI257" s="39">
        <v>0.0</v>
      </c>
      <c r="CJ257" s="35" t="s">
        <v>7045</v>
      </c>
      <c r="CK257" s="30">
        <v>47209.0</v>
      </c>
      <c r="CL257" s="30">
        <v>47299.0</v>
      </c>
      <c r="CM257" s="39">
        <v>0.0</v>
      </c>
      <c r="CN257" s="39">
        <v>0.0</v>
      </c>
      <c r="CO257" s="35" t="s">
        <v>7045</v>
      </c>
      <c r="CP257" s="30">
        <v>47300.0</v>
      </c>
      <c r="CQ257" s="30">
        <v>47391.0</v>
      </c>
      <c r="CR257" s="39">
        <v>0.0</v>
      </c>
      <c r="CS257" s="39">
        <v>0.0</v>
      </c>
      <c r="CT257" s="35" t="s">
        <v>7045</v>
      </c>
      <c r="CU257" s="30">
        <v>47392.0</v>
      </c>
      <c r="CV257" s="30">
        <v>47483.0</v>
      </c>
      <c r="CW257" s="39">
        <v>0.0</v>
      </c>
      <c r="CX257" s="39">
        <v>0.0</v>
      </c>
      <c r="CY257" s="35" t="s">
        <v>7045</v>
      </c>
      <c r="CZ257" s="30">
        <v>47484.0</v>
      </c>
      <c r="DA257" s="30">
        <v>47573.0</v>
      </c>
      <c r="DB257" s="39">
        <v>0.0</v>
      </c>
      <c r="DC257" s="39">
        <v>0.0</v>
      </c>
      <c r="DD257" s="35" t="s">
        <v>7045</v>
      </c>
      <c r="DE257" s="30">
        <v>47574.0</v>
      </c>
      <c r="DF257" s="30">
        <v>47664.0</v>
      </c>
      <c r="DG257" s="39">
        <v>0.0</v>
      </c>
      <c r="DH257" s="39">
        <v>0.0</v>
      </c>
      <c r="DI257" s="35" t="s">
        <v>7045</v>
      </c>
      <c r="DJ257" s="30">
        <v>47665.0</v>
      </c>
      <c r="DK257" s="30">
        <v>47756.0</v>
      </c>
      <c r="DL257" s="39">
        <v>0.0</v>
      </c>
      <c r="DM257" s="39">
        <v>0.0</v>
      </c>
      <c r="DN257" s="35" t="s">
        <v>7045</v>
      </c>
      <c r="DO257" s="30">
        <v>47757.0</v>
      </c>
      <c r="DP257" s="30">
        <v>47848.0</v>
      </c>
      <c r="DQ257" s="39">
        <v>0.0</v>
      </c>
      <c r="DR257" s="39">
        <v>0.0</v>
      </c>
      <c r="DS257" s="35" t="s">
        <v>7045</v>
      </c>
    </row>
    <row r="258" ht="14.25" customHeight="1">
      <c r="A258" s="28" t="s">
        <v>1253</v>
      </c>
      <c r="B258" s="29" t="s">
        <v>1254</v>
      </c>
      <c r="C258" s="29" t="s">
        <v>7041</v>
      </c>
      <c r="D258" s="30">
        <v>45658.0</v>
      </c>
      <c r="E258" s="30">
        <v>45747.0</v>
      </c>
      <c r="F258" s="39">
        <v>8.17</v>
      </c>
      <c r="G258" s="39">
        <v>0.0</v>
      </c>
      <c r="H258" s="38" t="s">
        <v>7047</v>
      </c>
      <c r="I258" s="30">
        <v>45748.0</v>
      </c>
      <c r="J258" s="30">
        <v>45838.0</v>
      </c>
      <c r="K258" s="39">
        <v>0.76</v>
      </c>
      <c r="L258" s="39">
        <v>166.67</v>
      </c>
      <c r="M258" s="38" t="s">
        <v>7043</v>
      </c>
      <c r="N258" s="30">
        <v>45839.0</v>
      </c>
      <c r="O258" s="30">
        <v>45930.0</v>
      </c>
      <c r="P258" s="39">
        <v>82.47</v>
      </c>
      <c r="Q258" s="39">
        <v>156.52</v>
      </c>
      <c r="R258" s="38" t="s">
        <v>7047</v>
      </c>
      <c r="S258" s="30">
        <v>45931.0</v>
      </c>
      <c r="T258" s="30">
        <v>46022.0</v>
      </c>
      <c r="U258" s="39">
        <v>486.22</v>
      </c>
      <c r="V258" s="39">
        <v>181.16</v>
      </c>
      <c r="W258" s="38" t="s">
        <v>7047</v>
      </c>
      <c r="X258" s="30">
        <v>46023.0</v>
      </c>
      <c r="Y258" s="30">
        <v>46112.0</v>
      </c>
      <c r="Z258" s="39">
        <v>66.56</v>
      </c>
      <c r="AA258" s="39">
        <v>0.0</v>
      </c>
      <c r="AB258" s="38" t="s">
        <v>7047</v>
      </c>
      <c r="AC258" s="30">
        <v>46113.0</v>
      </c>
      <c r="AD258" s="30">
        <v>46203.0</v>
      </c>
      <c r="AE258" s="39">
        <v>16.1</v>
      </c>
      <c r="AF258" s="39">
        <v>0.0</v>
      </c>
      <c r="AG258" s="38" t="s">
        <v>7047</v>
      </c>
      <c r="AH258" s="30">
        <v>46204.0</v>
      </c>
      <c r="AI258" s="30">
        <v>46295.0</v>
      </c>
      <c r="AJ258" s="39">
        <v>21.35</v>
      </c>
      <c r="AK258" s="39">
        <v>0.0</v>
      </c>
      <c r="AL258" s="38" t="s">
        <v>7047</v>
      </c>
      <c r="AM258" s="30">
        <v>46296.0</v>
      </c>
      <c r="AN258" s="30">
        <v>46387.0</v>
      </c>
      <c r="AO258" s="39">
        <v>3.31</v>
      </c>
      <c r="AP258" s="39">
        <v>0.0</v>
      </c>
      <c r="AQ258" s="38" t="s">
        <v>7047</v>
      </c>
      <c r="AR258" s="30">
        <v>46388.0</v>
      </c>
      <c r="AS258" s="30">
        <v>46477.0</v>
      </c>
      <c r="AT258" s="39">
        <v>0.0</v>
      </c>
      <c r="AU258" s="39">
        <v>0.0</v>
      </c>
      <c r="AV258" s="35" t="s">
        <v>7045</v>
      </c>
      <c r="AW258" s="30">
        <v>46478.0</v>
      </c>
      <c r="AX258" s="30">
        <v>46568.0</v>
      </c>
      <c r="AY258" s="39">
        <v>0.0</v>
      </c>
      <c r="AZ258" s="39">
        <v>0.0</v>
      </c>
      <c r="BA258" s="35" t="s">
        <v>7045</v>
      </c>
      <c r="BB258" s="30">
        <v>46569.0</v>
      </c>
      <c r="BC258" s="30">
        <v>46660.0</v>
      </c>
      <c r="BD258" s="39">
        <v>0.0</v>
      </c>
      <c r="BE258" s="39">
        <v>0.0</v>
      </c>
      <c r="BF258" s="35" t="s">
        <v>7045</v>
      </c>
      <c r="BG258" s="30">
        <v>46661.0</v>
      </c>
      <c r="BH258" s="30">
        <v>46752.0</v>
      </c>
      <c r="BI258" s="39">
        <v>0.0</v>
      </c>
      <c r="BJ258" s="39">
        <v>0.0</v>
      </c>
      <c r="BK258" s="35" t="s">
        <v>7045</v>
      </c>
      <c r="BL258" s="30">
        <v>46753.0</v>
      </c>
      <c r="BM258" s="30">
        <v>46843.0</v>
      </c>
      <c r="BN258" s="39">
        <v>0.0</v>
      </c>
      <c r="BO258" s="39">
        <v>0.0</v>
      </c>
      <c r="BP258" s="35" t="s">
        <v>7045</v>
      </c>
      <c r="BQ258" s="30">
        <v>46844.0</v>
      </c>
      <c r="BR258" s="30">
        <v>46934.0</v>
      </c>
      <c r="BS258" s="39">
        <v>0.0</v>
      </c>
      <c r="BT258" s="39">
        <v>0.0</v>
      </c>
      <c r="BU258" s="35" t="s">
        <v>7045</v>
      </c>
      <c r="BV258" s="30">
        <v>46935.0</v>
      </c>
      <c r="BW258" s="30">
        <v>47026.0</v>
      </c>
      <c r="BX258" s="39">
        <v>0.0</v>
      </c>
      <c r="BY258" s="39">
        <v>0.0</v>
      </c>
      <c r="BZ258" s="35" t="s">
        <v>7045</v>
      </c>
      <c r="CA258" s="30">
        <v>47027.0</v>
      </c>
      <c r="CB258" s="30">
        <v>47118.0</v>
      </c>
      <c r="CC258" s="39">
        <v>0.0</v>
      </c>
      <c r="CD258" s="39">
        <v>0.0</v>
      </c>
      <c r="CE258" s="35" t="s">
        <v>7045</v>
      </c>
      <c r="CF258" s="30">
        <v>47119.0</v>
      </c>
      <c r="CG258" s="30">
        <v>47208.0</v>
      </c>
      <c r="CH258" s="39">
        <v>0.0</v>
      </c>
      <c r="CI258" s="39">
        <v>0.0</v>
      </c>
      <c r="CJ258" s="35" t="s">
        <v>7045</v>
      </c>
      <c r="CK258" s="30">
        <v>47209.0</v>
      </c>
      <c r="CL258" s="30">
        <v>47299.0</v>
      </c>
      <c r="CM258" s="39">
        <v>0.0</v>
      </c>
      <c r="CN258" s="39">
        <v>0.0</v>
      </c>
      <c r="CO258" s="35" t="s">
        <v>7045</v>
      </c>
      <c r="CP258" s="30">
        <v>47300.0</v>
      </c>
      <c r="CQ258" s="30">
        <v>47391.0</v>
      </c>
      <c r="CR258" s="39">
        <v>0.0</v>
      </c>
      <c r="CS258" s="39">
        <v>0.0</v>
      </c>
      <c r="CT258" s="35" t="s">
        <v>7045</v>
      </c>
      <c r="CU258" s="30">
        <v>47392.0</v>
      </c>
      <c r="CV258" s="30">
        <v>47483.0</v>
      </c>
      <c r="CW258" s="39">
        <v>0.0</v>
      </c>
      <c r="CX258" s="39">
        <v>0.0</v>
      </c>
      <c r="CY258" s="35" t="s">
        <v>7045</v>
      </c>
      <c r="CZ258" s="30">
        <v>47484.0</v>
      </c>
      <c r="DA258" s="30">
        <v>47573.0</v>
      </c>
      <c r="DB258" s="39">
        <v>0.0</v>
      </c>
      <c r="DC258" s="39">
        <v>0.0</v>
      </c>
      <c r="DD258" s="35" t="s">
        <v>7045</v>
      </c>
      <c r="DE258" s="30">
        <v>47574.0</v>
      </c>
      <c r="DF258" s="30">
        <v>47664.0</v>
      </c>
      <c r="DG258" s="39">
        <v>0.0</v>
      </c>
      <c r="DH258" s="39">
        <v>0.0</v>
      </c>
      <c r="DI258" s="35" t="s">
        <v>7045</v>
      </c>
      <c r="DJ258" s="30">
        <v>47665.0</v>
      </c>
      <c r="DK258" s="30">
        <v>47756.0</v>
      </c>
      <c r="DL258" s="39">
        <v>0.0</v>
      </c>
      <c r="DM258" s="39">
        <v>0.0</v>
      </c>
      <c r="DN258" s="35" t="s">
        <v>7045</v>
      </c>
      <c r="DO258" s="30">
        <v>47757.0</v>
      </c>
      <c r="DP258" s="30">
        <v>47848.0</v>
      </c>
      <c r="DQ258" s="39">
        <v>0.0</v>
      </c>
      <c r="DR258" s="39">
        <v>0.0</v>
      </c>
      <c r="DS258" s="35" t="s">
        <v>7045</v>
      </c>
    </row>
    <row r="259" ht="14.25" customHeight="1">
      <c r="A259" s="28" t="s">
        <v>1312</v>
      </c>
      <c r="B259" s="29" t="s">
        <v>1313</v>
      </c>
      <c r="C259" s="29" t="s">
        <v>7041</v>
      </c>
      <c r="D259" s="30">
        <v>45658.0</v>
      </c>
      <c r="E259" s="30">
        <v>45747.0</v>
      </c>
      <c r="F259" s="39">
        <v>100.0</v>
      </c>
      <c r="G259" s="39">
        <v>0.0</v>
      </c>
      <c r="H259" s="38" t="s">
        <v>7047</v>
      </c>
      <c r="I259" s="30">
        <v>45748.0</v>
      </c>
      <c r="J259" s="30">
        <v>45838.0</v>
      </c>
      <c r="K259" s="39">
        <v>100.0</v>
      </c>
      <c r="L259" s="39">
        <v>469.7</v>
      </c>
      <c r="M259" s="32" t="s">
        <v>7043</v>
      </c>
      <c r="N259" s="30">
        <v>45839.0</v>
      </c>
      <c r="O259" s="30">
        <v>45930.0</v>
      </c>
      <c r="P259" s="39">
        <v>100.0</v>
      </c>
      <c r="Q259" s="39">
        <v>484.85</v>
      </c>
      <c r="R259" s="38" t="s">
        <v>7047</v>
      </c>
      <c r="S259" s="30">
        <v>45931.0</v>
      </c>
      <c r="T259" s="30">
        <v>46022.0</v>
      </c>
      <c r="U259" s="39">
        <v>150.0</v>
      </c>
      <c r="V259" s="39">
        <v>545.45</v>
      </c>
      <c r="W259" s="38" t="s">
        <v>7047</v>
      </c>
      <c r="X259" s="30">
        <v>46023.0</v>
      </c>
      <c r="Y259" s="30">
        <v>46112.0</v>
      </c>
      <c r="Z259" s="39">
        <v>0.0</v>
      </c>
      <c r="AA259" s="39">
        <v>0.0</v>
      </c>
      <c r="AB259" s="35" t="s">
        <v>7045</v>
      </c>
      <c r="AC259" s="30">
        <v>46113.0</v>
      </c>
      <c r="AD259" s="30">
        <v>46203.0</v>
      </c>
      <c r="AE259" s="39">
        <v>0.0</v>
      </c>
      <c r="AF259" s="39">
        <v>0.0</v>
      </c>
      <c r="AG259" s="35" t="s">
        <v>7045</v>
      </c>
      <c r="AH259" s="30">
        <v>46204.0</v>
      </c>
      <c r="AI259" s="30">
        <v>46295.0</v>
      </c>
      <c r="AJ259" s="39">
        <v>0.0</v>
      </c>
      <c r="AK259" s="39">
        <v>0.0</v>
      </c>
      <c r="AL259" s="35" t="s">
        <v>7045</v>
      </c>
      <c r="AM259" s="30">
        <v>46296.0</v>
      </c>
      <c r="AN259" s="30">
        <v>46387.0</v>
      </c>
      <c r="AO259" s="39">
        <v>0.0</v>
      </c>
      <c r="AP259" s="39">
        <v>0.0</v>
      </c>
      <c r="AQ259" s="35" t="s">
        <v>7045</v>
      </c>
      <c r="AR259" s="30">
        <v>46388.0</v>
      </c>
      <c r="AS259" s="30">
        <v>46477.0</v>
      </c>
      <c r="AT259" s="39">
        <v>0.0</v>
      </c>
      <c r="AU259" s="39">
        <v>0.0</v>
      </c>
      <c r="AV259" s="35" t="s">
        <v>7045</v>
      </c>
      <c r="AW259" s="30">
        <v>46478.0</v>
      </c>
      <c r="AX259" s="30">
        <v>46568.0</v>
      </c>
      <c r="AY259" s="39">
        <v>0.0</v>
      </c>
      <c r="AZ259" s="39">
        <v>0.0</v>
      </c>
      <c r="BA259" s="35" t="s">
        <v>7045</v>
      </c>
      <c r="BB259" s="30">
        <v>46569.0</v>
      </c>
      <c r="BC259" s="30">
        <v>46660.0</v>
      </c>
      <c r="BD259" s="39">
        <v>0.0</v>
      </c>
      <c r="BE259" s="39">
        <v>0.0</v>
      </c>
      <c r="BF259" s="35" t="s">
        <v>7045</v>
      </c>
      <c r="BG259" s="30">
        <v>46661.0</v>
      </c>
      <c r="BH259" s="30">
        <v>46752.0</v>
      </c>
      <c r="BI259" s="39">
        <v>0.0</v>
      </c>
      <c r="BJ259" s="39">
        <v>0.0</v>
      </c>
      <c r="BK259" s="35" t="s">
        <v>7045</v>
      </c>
      <c r="BL259" s="30">
        <v>46753.0</v>
      </c>
      <c r="BM259" s="30">
        <v>46843.0</v>
      </c>
      <c r="BN259" s="39">
        <v>0.0</v>
      </c>
      <c r="BO259" s="39">
        <v>0.0</v>
      </c>
      <c r="BP259" s="35" t="s">
        <v>7045</v>
      </c>
      <c r="BQ259" s="30">
        <v>46844.0</v>
      </c>
      <c r="BR259" s="30">
        <v>46934.0</v>
      </c>
      <c r="BS259" s="39">
        <v>0.0</v>
      </c>
      <c r="BT259" s="39">
        <v>0.0</v>
      </c>
      <c r="BU259" s="35" t="s">
        <v>7045</v>
      </c>
      <c r="BV259" s="30">
        <v>46935.0</v>
      </c>
      <c r="BW259" s="30">
        <v>47026.0</v>
      </c>
      <c r="BX259" s="39">
        <v>0.0</v>
      </c>
      <c r="BY259" s="39">
        <v>0.0</v>
      </c>
      <c r="BZ259" s="35" t="s">
        <v>7045</v>
      </c>
      <c r="CA259" s="30">
        <v>47027.0</v>
      </c>
      <c r="CB259" s="30">
        <v>47118.0</v>
      </c>
      <c r="CC259" s="39">
        <v>0.0</v>
      </c>
      <c r="CD259" s="39">
        <v>0.0</v>
      </c>
      <c r="CE259" s="35" t="s">
        <v>7045</v>
      </c>
      <c r="CF259" s="30">
        <v>47119.0</v>
      </c>
      <c r="CG259" s="30">
        <v>47208.0</v>
      </c>
      <c r="CH259" s="39">
        <v>0.0</v>
      </c>
      <c r="CI259" s="39">
        <v>0.0</v>
      </c>
      <c r="CJ259" s="35" t="s">
        <v>7045</v>
      </c>
      <c r="CK259" s="30">
        <v>47209.0</v>
      </c>
      <c r="CL259" s="30">
        <v>47299.0</v>
      </c>
      <c r="CM259" s="39">
        <v>0.0</v>
      </c>
      <c r="CN259" s="39">
        <v>0.0</v>
      </c>
      <c r="CO259" s="35" t="s">
        <v>7045</v>
      </c>
      <c r="CP259" s="30">
        <v>47300.0</v>
      </c>
      <c r="CQ259" s="30">
        <v>47391.0</v>
      </c>
      <c r="CR259" s="39">
        <v>0.0</v>
      </c>
      <c r="CS259" s="39">
        <v>0.0</v>
      </c>
      <c r="CT259" s="35" t="s">
        <v>7045</v>
      </c>
      <c r="CU259" s="30">
        <v>47392.0</v>
      </c>
      <c r="CV259" s="30">
        <v>47483.0</v>
      </c>
      <c r="CW259" s="39">
        <v>0.0</v>
      </c>
      <c r="CX259" s="39">
        <v>0.0</v>
      </c>
      <c r="CY259" s="35" t="s">
        <v>7045</v>
      </c>
      <c r="CZ259" s="30">
        <v>47484.0</v>
      </c>
      <c r="DA259" s="30">
        <v>47573.0</v>
      </c>
      <c r="DB259" s="39">
        <v>0.0</v>
      </c>
      <c r="DC259" s="39">
        <v>0.0</v>
      </c>
      <c r="DD259" s="35" t="s">
        <v>7045</v>
      </c>
      <c r="DE259" s="30">
        <v>47574.0</v>
      </c>
      <c r="DF259" s="30">
        <v>47664.0</v>
      </c>
      <c r="DG259" s="39">
        <v>0.0</v>
      </c>
      <c r="DH259" s="39">
        <v>0.0</v>
      </c>
      <c r="DI259" s="35" t="s">
        <v>7045</v>
      </c>
      <c r="DJ259" s="30">
        <v>47665.0</v>
      </c>
      <c r="DK259" s="30">
        <v>47756.0</v>
      </c>
      <c r="DL259" s="39">
        <v>0.0</v>
      </c>
      <c r="DM259" s="39">
        <v>0.0</v>
      </c>
      <c r="DN259" s="35" t="s">
        <v>7045</v>
      </c>
      <c r="DO259" s="30">
        <v>47757.0</v>
      </c>
      <c r="DP259" s="30">
        <v>47848.0</v>
      </c>
      <c r="DQ259" s="39">
        <v>0.0</v>
      </c>
      <c r="DR259" s="39">
        <v>0.0</v>
      </c>
      <c r="DS259" s="35" t="s">
        <v>7045</v>
      </c>
    </row>
    <row r="260" ht="14.25" customHeight="1">
      <c r="A260" s="28" t="s">
        <v>1353</v>
      </c>
      <c r="B260" s="29" t="s">
        <v>1354</v>
      </c>
      <c r="C260" s="29" t="s">
        <v>7041</v>
      </c>
      <c r="D260" s="30">
        <v>45658.0</v>
      </c>
      <c r="E260" s="30">
        <v>45747.0</v>
      </c>
      <c r="F260" s="39">
        <v>2.59</v>
      </c>
      <c r="G260" s="39">
        <v>0.0</v>
      </c>
      <c r="H260" s="38" t="s">
        <v>7047</v>
      </c>
      <c r="I260" s="30">
        <v>45748.0</v>
      </c>
      <c r="J260" s="30">
        <v>45838.0</v>
      </c>
      <c r="K260" s="39">
        <v>2.59</v>
      </c>
      <c r="L260" s="39">
        <v>330.0</v>
      </c>
      <c r="M260" s="32" t="s">
        <v>7043</v>
      </c>
      <c r="N260" s="30">
        <v>45839.0</v>
      </c>
      <c r="O260" s="30">
        <v>45930.0</v>
      </c>
      <c r="P260" s="39">
        <v>112.0</v>
      </c>
      <c r="Q260" s="39">
        <v>456.67</v>
      </c>
      <c r="R260" s="38" t="s">
        <v>7047</v>
      </c>
      <c r="S260" s="30">
        <v>45931.0</v>
      </c>
      <c r="T260" s="30">
        <v>46022.0</v>
      </c>
      <c r="U260" s="39">
        <v>12.0</v>
      </c>
      <c r="V260" s="39">
        <v>580.0</v>
      </c>
      <c r="W260" s="32" t="s">
        <v>7047</v>
      </c>
      <c r="X260" s="30">
        <v>46023.0</v>
      </c>
      <c r="Y260" s="30">
        <v>46112.0</v>
      </c>
      <c r="Z260" s="39">
        <v>0.0</v>
      </c>
      <c r="AA260" s="39">
        <v>0.0</v>
      </c>
      <c r="AB260" s="35" t="s">
        <v>7045</v>
      </c>
      <c r="AC260" s="30">
        <v>46113.0</v>
      </c>
      <c r="AD260" s="30">
        <v>46203.0</v>
      </c>
      <c r="AE260" s="39">
        <v>0.0</v>
      </c>
      <c r="AF260" s="39">
        <v>0.0</v>
      </c>
      <c r="AG260" s="35" t="s">
        <v>7045</v>
      </c>
      <c r="AH260" s="30">
        <v>46204.0</v>
      </c>
      <c r="AI260" s="30">
        <v>46295.0</v>
      </c>
      <c r="AJ260" s="39">
        <v>0.0</v>
      </c>
      <c r="AK260" s="39">
        <v>0.0</v>
      </c>
      <c r="AL260" s="35" t="s">
        <v>7045</v>
      </c>
      <c r="AM260" s="30">
        <v>46296.0</v>
      </c>
      <c r="AN260" s="30">
        <v>46387.0</v>
      </c>
      <c r="AO260" s="39">
        <v>0.0</v>
      </c>
      <c r="AP260" s="39">
        <v>0.0</v>
      </c>
      <c r="AQ260" s="35" t="s">
        <v>7045</v>
      </c>
      <c r="AR260" s="30">
        <v>46388.0</v>
      </c>
      <c r="AS260" s="30">
        <v>46477.0</v>
      </c>
      <c r="AT260" s="39">
        <v>0.0</v>
      </c>
      <c r="AU260" s="39">
        <v>0.0</v>
      </c>
      <c r="AV260" s="35" t="s">
        <v>7045</v>
      </c>
      <c r="AW260" s="30">
        <v>46478.0</v>
      </c>
      <c r="AX260" s="30">
        <v>46568.0</v>
      </c>
      <c r="AY260" s="39">
        <v>0.0</v>
      </c>
      <c r="AZ260" s="39">
        <v>0.0</v>
      </c>
      <c r="BA260" s="35" t="s">
        <v>7045</v>
      </c>
      <c r="BB260" s="30">
        <v>46569.0</v>
      </c>
      <c r="BC260" s="30">
        <v>46660.0</v>
      </c>
      <c r="BD260" s="39">
        <v>0.0</v>
      </c>
      <c r="BE260" s="39">
        <v>0.0</v>
      </c>
      <c r="BF260" s="35" t="s">
        <v>7045</v>
      </c>
      <c r="BG260" s="30">
        <v>46661.0</v>
      </c>
      <c r="BH260" s="30">
        <v>46752.0</v>
      </c>
      <c r="BI260" s="39">
        <v>0.0</v>
      </c>
      <c r="BJ260" s="39">
        <v>0.0</v>
      </c>
      <c r="BK260" s="35" t="s">
        <v>7045</v>
      </c>
      <c r="BL260" s="30">
        <v>46753.0</v>
      </c>
      <c r="BM260" s="30">
        <v>46843.0</v>
      </c>
      <c r="BN260" s="39">
        <v>0.0</v>
      </c>
      <c r="BO260" s="39">
        <v>0.0</v>
      </c>
      <c r="BP260" s="35" t="s">
        <v>7045</v>
      </c>
      <c r="BQ260" s="30">
        <v>46844.0</v>
      </c>
      <c r="BR260" s="30">
        <v>46934.0</v>
      </c>
      <c r="BS260" s="39">
        <v>0.0</v>
      </c>
      <c r="BT260" s="39">
        <v>0.0</v>
      </c>
      <c r="BU260" s="35" t="s">
        <v>7045</v>
      </c>
      <c r="BV260" s="30">
        <v>46935.0</v>
      </c>
      <c r="BW260" s="30">
        <v>47026.0</v>
      </c>
      <c r="BX260" s="39">
        <v>0.0</v>
      </c>
      <c r="BY260" s="39">
        <v>0.0</v>
      </c>
      <c r="BZ260" s="35" t="s">
        <v>7045</v>
      </c>
      <c r="CA260" s="30">
        <v>47027.0</v>
      </c>
      <c r="CB260" s="30">
        <v>47118.0</v>
      </c>
      <c r="CC260" s="39">
        <v>0.0</v>
      </c>
      <c r="CD260" s="39">
        <v>0.0</v>
      </c>
      <c r="CE260" s="35" t="s">
        <v>7045</v>
      </c>
      <c r="CF260" s="30">
        <v>47119.0</v>
      </c>
      <c r="CG260" s="30">
        <v>47208.0</v>
      </c>
      <c r="CH260" s="39">
        <v>0.0</v>
      </c>
      <c r="CI260" s="39">
        <v>0.0</v>
      </c>
      <c r="CJ260" s="35" t="s">
        <v>7045</v>
      </c>
      <c r="CK260" s="30">
        <v>47209.0</v>
      </c>
      <c r="CL260" s="30">
        <v>47299.0</v>
      </c>
      <c r="CM260" s="39">
        <v>0.0</v>
      </c>
      <c r="CN260" s="39">
        <v>0.0</v>
      </c>
      <c r="CO260" s="35" t="s">
        <v>7045</v>
      </c>
      <c r="CP260" s="30">
        <v>47300.0</v>
      </c>
      <c r="CQ260" s="30">
        <v>47391.0</v>
      </c>
      <c r="CR260" s="39">
        <v>0.0</v>
      </c>
      <c r="CS260" s="39">
        <v>0.0</v>
      </c>
      <c r="CT260" s="35" t="s">
        <v>7045</v>
      </c>
      <c r="CU260" s="30">
        <v>47392.0</v>
      </c>
      <c r="CV260" s="30">
        <v>47483.0</v>
      </c>
      <c r="CW260" s="39">
        <v>0.0</v>
      </c>
      <c r="CX260" s="39">
        <v>0.0</v>
      </c>
      <c r="CY260" s="35" t="s">
        <v>7045</v>
      </c>
      <c r="CZ260" s="30">
        <v>47484.0</v>
      </c>
      <c r="DA260" s="30">
        <v>47573.0</v>
      </c>
      <c r="DB260" s="39">
        <v>0.0</v>
      </c>
      <c r="DC260" s="39">
        <v>0.0</v>
      </c>
      <c r="DD260" s="35" t="s">
        <v>7045</v>
      </c>
      <c r="DE260" s="30">
        <v>47574.0</v>
      </c>
      <c r="DF260" s="30">
        <v>47664.0</v>
      </c>
      <c r="DG260" s="39">
        <v>0.0</v>
      </c>
      <c r="DH260" s="39">
        <v>0.0</v>
      </c>
      <c r="DI260" s="35" t="s">
        <v>7045</v>
      </c>
      <c r="DJ260" s="30">
        <v>47665.0</v>
      </c>
      <c r="DK260" s="30">
        <v>47756.0</v>
      </c>
      <c r="DL260" s="39">
        <v>0.0</v>
      </c>
      <c r="DM260" s="39">
        <v>0.0</v>
      </c>
      <c r="DN260" s="35" t="s">
        <v>7045</v>
      </c>
      <c r="DO260" s="30">
        <v>47757.0</v>
      </c>
      <c r="DP260" s="30">
        <v>47848.0</v>
      </c>
      <c r="DQ260" s="39">
        <v>0.0</v>
      </c>
      <c r="DR260" s="39">
        <v>0.0</v>
      </c>
      <c r="DS260" s="35" t="s">
        <v>7045</v>
      </c>
    </row>
    <row r="261" ht="14.25" customHeight="1">
      <c r="A261" s="28" t="s">
        <v>1414</v>
      </c>
      <c r="B261" s="29" t="s">
        <v>1415</v>
      </c>
      <c r="C261" s="29" t="s">
        <v>7041</v>
      </c>
      <c r="D261" s="30">
        <v>45658.0</v>
      </c>
      <c r="E261" s="30">
        <v>45747.0</v>
      </c>
      <c r="F261" s="39">
        <v>2.49</v>
      </c>
      <c r="G261" s="39">
        <v>0.0</v>
      </c>
      <c r="H261" s="38" t="s">
        <v>7047</v>
      </c>
      <c r="I261" s="30">
        <v>45748.0</v>
      </c>
      <c r="J261" s="30">
        <v>45838.0</v>
      </c>
      <c r="K261" s="39">
        <v>2.49</v>
      </c>
      <c r="L261" s="39">
        <v>313.85</v>
      </c>
      <c r="M261" s="37" t="s">
        <v>7043</v>
      </c>
      <c r="N261" s="30">
        <v>45839.0</v>
      </c>
      <c r="O261" s="30">
        <v>45930.0</v>
      </c>
      <c r="P261" s="39">
        <v>35.79</v>
      </c>
      <c r="Q261" s="39">
        <v>470.77</v>
      </c>
      <c r="R261" s="38" t="s">
        <v>7046</v>
      </c>
      <c r="S261" s="30">
        <v>45931.0</v>
      </c>
      <c r="T261" s="30">
        <v>46022.0</v>
      </c>
      <c r="U261" s="39">
        <v>630.0</v>
      </c>
      <c r="V261" s="39">
        <v>470.77</v>
      </c>
      <c r="W261" s="38" t="s">
        <v>7047</v>
      </c>
      <c r="X261" s="30">
        <v>46023.0</v>
      </c>
      <c r="Y261" s="30">
        <v>46112.0</v>
      </c>
      <c r="Z261" s="39">
        <v>300.0</v>
      </c>
      <c r="AA261" s="39">
        <v>0.0</v>
      </c>
      <c r="AB261" s="38" t="s">
        <v>7047</v>
      </c>
      <c r="AC261" s="30">
        <v>46113.0</v>
      </c>
      <c r="AD261" s="30">
        <v>46203.0</v>
      </c>
      <c r="AE261" s="39">
        <v>0.0</v>
      </c>
      <c r="AF261" s="39">
        <v>0.0</v>
      </c>
      <c r="AG261" s="35" t="s">
        <v>7045</v>
      </c>
      <c r="AH261" s="30">
        <v>46204.0</v>
      </c>
      <c r="AI261" s="30">
        <v>46295.0</v>
      </c>
      <c r="AJ261" s="39">
        <v>0.0</v>
      </c>
      <c r="AK261" s="39">
        <v>0.0</v>
      </c>
      <c r="AL261" s="35" t="s">
        <v>7045</v>
      </c>
      <c r="AM261" s="30">
        <v>46296.0</v>
      </c>
      <c r="AN261" s="30">
        <v>46387.0</v>
      </c>
      <c r="AO261" s="39">
        <v>432.0</v>
      </c>
      <c r="AP261" s="39">
        <v>0.0</v>
      </c>
      <c r="AQ261" s="38" t="s">
        <v>7047</v>
      </c>
      <c r="AR261" s="30">
        <v>46388.0</v>
      </c>
      <c r="AS261" s="30">
        <v>46477.0</v>
      </c>
      <c r="AT261" s="39">
        <v>0.0</v>
      </c>
      <c r="AU261" s="39">
        <v>0.0</v>
      </c>
      <c r="AV261" s="35" t="s">
        <v>7045</v>
      </c>
      <c r="AW261" s="30">
        <v>46478.0</v>
      </c>
      <c r="AX261" s="30">
        <v>46568.0</v>
      </c>
      <c r="AY261" s="39">
        <v>0.0</v>
      </c>
      <c r="AZ261" s="39">
        <v>0.0</v>
      </c>
      <c r="BA261" s="35" t="s">
        <v>7045</v>
      </c>
      <c r="BB261" s="30">
        <v>46569.0</v>
      </c>
      <c r="BC261" s="30">
        <v>46660.0</v>
      </c>
      <c r="BD261" s="39">
        <v>0.0</v>
      </c>
      <c r="BE261" s="39">
        <v>0.0</v>
      </c>
      <c r="BF261" s="35" t="s">
        <v>7045</v>
      </c>
      <c r="BG261" s="30">
        <v>46661.0</v>
      </c>
      <c r="BH261" s="30">
        <v>46752.0</v>
      </c>
      <c r="BI261" s="39">
        <v>0.0</v>
      </c>
      <c r="BJ261" s="39">
        <v>0.0</v>
      </c>
      <c r="BK261" s="35" t="s">
        <v>7045</v>
      </c>
      <c r="BL261" s="30">
        <v>46753.0</v>
      </c>
      <c r="BM261" s="30">
        <v>46843.0</v>
      </c>
      <c r="BN261" s="39">
        <v>0.0</v>
      </c>
      <c r="BO261" s="39">
        <v>0.0</v>
      </c>
      <c r="BP261" s="35" t="s">
        <v>7045</v>
      </c>
      <c r="BQ261" s="30">
        <v>46844.0</v>
      </c>
      <c r="BR261" s="30">
        <v>46934.0</v>
      </c>
      <c r="BS261" s="39">
        <v>0.0</v>
      </c>
      <c r="BT261" s="39">
        <v>0.0</v>
      </c>
      <c r="BU261" s="35" t="s">
        <v>7045</v>
      </c>
      <c r="BV261" s="30">
        <v>46935.0</v>
      </c>
      <c r="BW261" s="30">
        <v>47026.0</v>
      </c>
      <c r="BX261" s="39">
        <v>0.0</v>
      </c>
      <c r="BY261" s="39">
        <v>0.0</v>
      </c>
      <c r="BZ261" s="35" t="s">
        <v>7045</v>
      </c>
      <c r="CA261" s="30">
        <v>47027.0</v>
      </c>
      <c r="CB261" s="30">
        <v>47118.0</v>
      </c>
      <c r="CC261" s="39">
        <v>0.0</v>
      </c>
      <c r="CD261" s="39">
        <v>0.0</v>
      </c>
      <c r="CE261" s="35" t="s">
        <v>7045</v>
      </c>
      <c r="CF261" s="30">
        <v>47119.0</v>
      </c>
      <c r="CG261" s="30">
        <v>47208.0</v>
      </c>
      <c r="CH261" s="39">
        <v>0.0</v>
      </c>
      <c r="CI261" s="39">
        <v>0.0</v>
      </c>
      <c r="CJ261" s="35" t="s">
        <v>7045</v>
      </c>
      <c r="CK261" s="30">
        <v>47209.0</v>
      </c>
      <c r="CL261" s="30">
        <v>47299.0</v>
      </c>
      <c r="CM261" s="39">
        <v>0.0</v>
      </c>
      <c r="CN261" s="39">
        <v>0.0</v>
      </c>
      <c r="CO261" s="35" t="s">
        <v>7045</v>
      </c>
      <c r="CP261" s="30">
        <v>47300.0</v>
      </c>
      <c r="CQ261" s="30">
        <v>47391.0</v>
      </c>
      <c r="CR261" s="39">
        <v>0.0</v>
      </c>
      <c r="CS261" s="39">
        <v>0.0</v>
      </c>
      <c r="CT261" s="35" t="s">
        <v>7045</v>
      </c>
      <c r="CU261" s="30">
        <v>47392.0</v>
      </c>
      <c r="CV261" s="30">
        <v>47483.0</v>
      </c>
      <c r="CW261" s="39">
        <v>0.0</v>
      </c>
      <c r="CX261" s="39">
        <v>0.0</v>
      </c>
      <c r="CY261" s="35" t="s">
        <v>7045</v>
      </c>
      <c r="CZ261" s="30">
        <v>47484.0</v>
      </c>
      <c r="DA261" s="30">
        <v>47573.0</v>
      </c>
      <c r="DB261" s="39">
        <v>0.0</v>
      </c>
      <c r="DC261" s="39">
        <v>0.0</v>
      </c>
      <c r="DD261" s="35" t="s">
        <v>7045</v>
      </c>
      <c r="DE261" s="30">
        <v>47574.0</v>
      </c>
      <c r="DF261" s="30">
        <v>47664.0</v>
      </c>
      <c r="DG261" s="39">
        <v>0.0</v>
      </c>
      <c r="DH261" s="39">
        <v>0.0</v>
      </c>
      <c r="DI261" s="35" t="s">
        <v>7045</v>
      </c>
      <c r="DJ261" s="30">
        <v>47665.0</v>
      </c>
      <c r="DK261" s="30">
        <v>47756.0</v>
      </c>
      <c r="DL261" s="39">
        <v>0.0</v>
      </c>
      <c r="DM261" s="39">
        <v>0.0</v>
      </c>
      <c r="DN261" s="35" t="s">
        <v>7045</v>
      </c>
      <c r="DO261" s="30">
        <v>47757.0</v>
      </c>
      <c r="DP261" s="30">
        <v>47848.0</v>
      </c>
      <c r="DQ261" s="39">
        <v>0.0</v>
      </c>
      <c r="DR261" s="39">
        <v>0.0</v>
      </c>
      <c r="DS261" s="35" t="s">
        <v>7045</v>
      </c>
    </row>
    <row r="262" ht="14.25" customHeight="1">
      <c r="A262" s="28" t="s">
        <v>1418</v>
      </c>
      <c r="B262" s="29" t="s">
        <v>1419</v>
      </c>
      <c r="C262" s="29" t="s">
        <v>7041</v>
      </c>
      <c r="D262" s="30">
        <v>45658.0</v>
      </c>
      <c r="E262" s="30">
        <v>45747.0</v>
      </c>
      <c r="F262" s="39">
        <v>21.9</v>
      </c>
      <c r="G262" s="39">
        <v>0.0</v>
      </c>
      <c r="H262" s="38" t="s">
        <v>7047</v>
      </c>
      <c r="I262" s="30">
        <v>45748.0</v>
      </c>
      <c r="J262" s="30">
        <v>45838.0</v>
      </c>
      <c r="K262" s="39">
        <v>19.83</v>
      </c>
      <c r="L262" s="39">
        <v>230.0</v>
      </c>
      <c r="M262" s="32" t="s">
        <v>7043</v>
      </c>
      <c r="N262" s="30">
        <v>45839.0</v>
      </c>
      <c r="O262" s="30">
        <v>45930.0</v>
      </c>
      <c r="P262" s="39">
        <v>42.27</v>
      </c>
      <c r="Q262" s="39">
        <v>326.67</v>
      </c>
      <c r="R262" s="38" t="s">
        <v>7047</v>
      </c>
      <c r="S262" s="30">
        <v>45931.0</v>
      </c>
      <c r="T262" s="30">
        <v>46022.0</v>
      </c>
      <c r="U262" s="39">
        <v>338.62</v>
      </c>
      <c r="V262" s="39">
        <v>363.33</v>
      </c>
      <c r="W262" s="38" t="s">
        <v>7047</v>
      </c>
      <c r="X262" s="30">
        <v>46023.0</v>
      </c>
      <c r="Y262" s="30">
        <v>46112.0</v>
      </c>
      <c r="Z262" s="39">
        <v>0.0</v>
      </c>
      <c r="AA262" s="39">
        <v>0.0</v>
      </c>
      <c r="AB262" s="35" t="s">
        <v>7045</v>
      </c>
      <c r="AC262" s="30">
        <v>46113.0</v>
      </c>
      <c r="AD262" s="30">
        <v>46203.0</v>
      </c>
      <c r="AE262" s="39">
        <v>0.0</v>
      </c>
      <c r="AF262" s="39">
        <v>0.0</v>
      </c>
      <c r="AG262" s="35" t="s">
        <v>7045</v>
      </c>
      <c r="AH262" s="30">
        <v>46204.0</v>
      </c>
      <c r="AI262" s="30">
        <v>46295.0</v>
      </c>
      <c r="AJ262" s="39">
        <v>15.0</v>
      </c>
      <c r="AK262" s="39">
        <v>0.0</v>
      </c>
      <c r="AL262" s="38" t="s">
        <v>7047</v>
      </c>
      <c r="AM262" s="30">
        <v>46296.0</v>
      </c>
      <c r="AN262" s="30">
        <v>46387.0</v>
      </c>
      <c r="AO262" s="39">
        <v>110.3</v>
      </c>
      <c r="AP262" s="39">
        <v>0.0</v>
      </c>
      <c r="AQ262" s="38" t="s">
        <v>7047</v>
      </c>
      <c r="AR262" s="30">
        <v>46388.0</v>
      </c>
      <c r="AS262" s="30">
        <v>46477.0</v>
      </c>
      <c r="AT262" s="39">
        <v>0.0</v>
      </c>
      <c r="AU262" s="39">
        <v>0.0</v>
      </c>
      <c r="AV262" s="35" t="s">
        <v>7045</v>
      </c>
      <c r="AW262" s="30">
        <v>46478.0</v>
      </c>
      <c r="AX262" s="30">
        <v>46568.0</v>
      </c>
      <c r="AY262" s="39">
        <v>0.0</v>
      </c>
      <c r="AZ262" s="39">
        <v>0.0</v>
      </c>
      <c r="BA262" s="35" t="s">
        <v>7045</v>
      </c>
      <c r="BB262" s="30">
        <v>46569.0</v>
      </c>
      <c r="BC262" s="30">
        <v>46660.0</v>
      </c>
      <c r="BD262" s="39">
        <v>0.0</v>
      </c>
      <c r="BE262" s="39">
        <v>0.0</v>
      </c>
      <c r="BF262" s="35" t="s">
        <v>7045</v>
      </c>
      <c r="BG262" s="30">
        <v>46661.0</v>
      </c>
      <c r="BH262" s="30">
        <v>46752.0</v>
      </c>
      <c r="BI262" s="39">
        <v>0.0</v>
      </c>
      <c r="BJ262" s="39">
        <v>0.0</v>
      </c>
      <c r="BK262" s="35" t="s">
        <v>7045</v>
      </c>
      <c r="BL262" s="30">
        <v>46753.0</v>
      </c>
      <c r="BM262" s="30">
        <v>46843.0</v>
      </c>
      <c r="BN262" s="39">
        <v>0.0</v>
      </c>
      <c r="BO262" s="39">
        <v>0.0</v>
      </c>
      <c r="BP262" s="35" t="s">
        <v>7045</v>
      </c>
      <c r="BQ262" s="30">
        <v>46844.0</v>
      </c>
      <c r="BR262" s="30">
        <v>46934.0</v>
      </c>
      <c r="BS262" s="39">
        <v>0.0</v>
      </c>
      <c r="BT262" s="39">
        <v>0.0</v>
      </c>
      <c r="BU262" s="35" t="s">
        <v>7045</v>
      </c>
      <c r="BV262" s="30">
        <v>46935.0</v>
      </c>
      <c r="BW262" s="30">
        <v>47026.0</v>
      </c>
      <c r="BX262" s="39">
        <v>0.0</v>
      </c>
      <c r="BY262" s="39">
        <v>0.0</v>
      </c>
      <c r="BZ262" s="35" t="s">
        <v>7045</v>
      </c>
      <c r="CA262" s="30">
        <v>47027.0</v>
      </c>
      <c r="CB262" s="30">
        <v>47118.0</v>
      </c>
      <c r="CC262" s="39">
        <v>0.0</v>
      </c>
      <c r="CD262" s="39">
        <v>0.0</v>
      </c>
      <c r="CE262" s="35" t="s">
        <v>7045</v>
      </c>
      <c r="CF262" s="30">
        <v>47119.0</v>
      </c>
      <c r="CG262" s="30">
        <v>47208.0</v>
      </c>
      <c r="CH262" s="39">
        <v>0.0</v>
      </c>
      <c r="CI262" s="39">
        <v>0.0</v>
      </c>
      <c r="CJ262" s="35" t="s">
        <v>7045</v>
      </c>
      <c r="CK262" s="30">
        <v>47209.0</v>
      </c>
      <c r="CL262" s="30">
        <v>47299.0</v>
      </c>
      <c r="CM262" s="39">
        <v>0.0</v>
      </c>
      <c r="CN262" s="39">
        <v>0.0</v>
      </c>
      <c r="CO262" s="35" t="s">
        <v>7045</v>
      </c>
      <c r="CP262" s="30">
        <v>47300.0</v>
      </c>
      <c r="CQ262" s="30">
        <v>47391.0</v>
      </c>
      <c r="CR262" s="39">
        <v>0.0</v>
      </c>
      <c r="CS262" s="39">
        <v>0.0</v>
      </c>
      <c r="CT262" s="35" t="s">
        <v>7045</v>
      </c>
      <c r="CU262" s="30">
        <v>47392.0</v>
      </c>
      <c r="CV262" s="30">
        <v>47483.0</v>
      </c>
      <c r="CW262" s="39">
        <v>0.0</v>
      </c>
      <c r="CX262" s="39">
        <v>0.0</v>
      </c>
      <c r="CY262" s="35" t="s">
        <v>7045</v>
      </c>
      <c r="CZ262" s="30">
        <v>47484.0</v>
      </c>
      <c r="DA262" s="30">
        <v>47573.0</v>
      </c>
      <c r="DB262" s="39">
        <v>0.0</v>
      </c>
      <c r="DC262" s="39">
        <v>0.0</v>
      </c>
      <c r="DD262" s="35" t="s">
        <v>7045</v>
      </c>
      <c r="DE262" s="30">
        <v>47574.0</v>
      </c>
      <c r="DF262" s="30">
        <v>47664.0</v>
      </c>
      <c r="DG262" s="39">
        <v>0.0</v>
      </c>
      <c r="DH262" s="39">
        <v>0.0</v>
      </c>
      <c r="DI262" s="35" t="s">
        <v>7045</v>
      </c>
      <c r="DJ262" s="30">
        <v>47665.0</v>
      </c>
      <c r="DK262" s="30">
        <v>47756.0</v>
      </c>
      <c r="DL262" s="39">
        <v>0.0</v>
      </c>
      <c r="DM262" s="39">
        <v>0.0</v>
      </c>
      <c r="DN262" s="35" t="s">
        <v>7045</v>
      </c>
      <c r="DO262" s="30">
        <v>47757.0</v>
      </c>
      <c r="DP262" s="30">
        <v>47848.0</v>
      </c>
      <c r="DQ262" s="39">
        <v>0.0</v>
      </c>
      <c r="DR262" s="39">
        <v>0.0</v>
      </c>
      <c r="DS262" s="35" t="s">
        <v>7045</v>
      </c>
    </row>
    <row r="263" ht="14.25" customHeight="1">
      <c r="A263" s="28" t="s">
        <v>1422</v>
      </c>
      <c r="B263" s="29" t="s">
        <v>1423</v>
      </c>
      <c r="C263" s="29" t="s">
        <v>7041</v>
      </c>
      <c r="D263" s="30">
        <v>45658.0</v>
      </c>
      <c r="E263" s="30">
        <v>45747.0</v>
      </c>
      <c r="F263" s="39">
        <v>0.0</v>
      </c>
      <c r="G263" s="39">
        <v>0.0</v>
      </c>
      <c r="H263" s="35" t="s">
        <v>7045</v>
      </c>
      <c r="I263" s="30">
        <v>45748.0</v>
      </c>
      <c r="J263" s="30">
        <v>45838.0</v>
      </c>
      <c r="K263" s="39">
        <v>20.0</v>
      </c>
      <c r="L263" s="39">
        <v>0.0</v>
      </c>
      <c r="M263" s="38" t="s">
        <v>7047</v>
      </c>
      <c r="N263" s="30">
        <v>45839.0</v>
      </c>
      <c r="O263" s="30">
        <v>45930.0</v>
      </c>
      <c r="P263" s="39">
        <v>0.0</v>
      </c>
      <c r="Q263" s="39">
        <v>660.0</v>
      </c>
      <c r="R263" s="35" t="s">
        <v>7043</v>
      </c>
      <c r="S263" s="30">
        <v>45931.0</v>
      </c>
      <c r="T263" s="30">
        <v>46022.0</v>
      </c>
      <c r="U263" s="39">
        <v>0.0</v>
      </c>
      <c r="V263" s="39">
        <v>670.0</v>
      </c>
      <c r="W263" s="35" t="s">
        <v>7043</v>
      </c>
      <c r="X263" s="30">
        <v>46023.0</v>
      </c>
      <c r="Y263" s="30">
        <v>46112.0</v>
      </c>
      <c r="Z263" s="39">
        <v>0.0</v>
      </c>
      <c r="AA263" s="39">
        <v>0.0</v>
      </c>
      <c r="AB263" s="35" t="s">
        <v>7045</v>
      </c>
      <c r="AC263" s="30">
        <v>46113.0</v>
      </c>
      <c r="AD263" s="30">
        <v>46203.0</v>
      </c>
      <c r="AE263" s="39">
        <v>0.0</v>
      </c>
      <c r="AF263" s="39">
        <v>0.0</v>
      </c>
      <c r="AG263" s="35" t="s">
        <v>7045</v>
      </c>
      <c r="AH263" s="30">
        <v>46204.0</v>
      </c>
      <c r="AI263" s="30">
        <v>46295.0</v>
      </c>
      <c r="AJ263" s="39">
        <v>0.0</v>
      </c>
      <c r="AK263" s="39">
        <v>0.0</v>
      </c>
      <c r="AL263" s="35" t="s">
        <v>7045</v>
      </c>
      <c r="AM263" s="30">
        <v>46296.0</v>
      </c>
      <c r="AN263" s="30">
        <v>46387.0</v>
      </c>
      <c r="AO263" s="39">
        <v>0.0</v>
      </c>
      <c r="AP263" s="39">
        <v>0.0</v>
      </c>
      <c r="AQ263" s="35" t="s">
        <v>7045</v>
      </c>
      <c r="AR263" s="30">
        <v>46388.0</v>
      </c>
      <c r="AS263" s="30">
        <v>46477.0</v>
      </c>
      <c r="AT263" s="39">
        <v>0.0</v>
      </c>
      <c r="AU263" s="39">
        <v>0.0</v>
      </c>
      <c r="AV263" s="35" t="s">
        <v>7045</v>
      </c>
      <c r="AW263" s="30">
        <v>46478.0</v>
      </c>
      <c r="AX263" s="30">
        <v>46568.0</v>
      </c>
      <c r="AY263" s="39">
        <v>0.0</v>
      </c>
      <c r="AZ263" s="39">
        <v>0.0</v>
      </c>
      <c r="BA263" s="35" t="s">
        <v>7045</v>
      </c>
      <c r="BB263" s="30">
        <v>46569.0</v>
      </c>
      <c r="BC263" s="30">
        <v>46660.0</v>
      </c>
      <c r="BD263" s="39">
        <v>0.0</v>
      </c>
      <c r="BE263" s="39">
        <v>0.0</v>
      </c>
      <c r="BF263" s="35" t="s">
        <v>7045</v>
      </c>
      <c r="BG263" s="30">
        <v>46661.0</v>
      </c>
      <c r="BH263" s="30">
        <v>46752.0</v>
      </c>
      <c r="BI263" s="39">
        <v>0.0</v>
      </c>
      <c r="BJ263" s="39">
        <v>0.0</v>
      </c>
      <c r="BK263" s="35" t="s">
        <v>7045</v>
      </c>
      <c r="BL263" s="30">
        <v>46753.0</v>
      </c>
      <c r="BM263" s="30">
        <v>46843.0</v>
      </c>
      <c r="BN263" s="39">
        <v>0.0</v>
      </c>
      <c r="BO263" s="39">
        <v>0.0</v>
      </c>
      <c r="BP263" s="35" t="s">
        <v>7045</v>
      </c>
      <c r="BQ263" s="30">
        <v>46844.0</v>
      </c>
      <c r="BR263" s="30">
        <v>46934.0</v>
      </c>
      <c r="BS263" s="39">
        <v>0.0</v>
      </c>
      <c r="BT263" s="39">
        <v>0.0</v>
      </c>
      <c r="BU263" s="35" t="s">
        <v>7045</v>
      </c>
      <c r="BV263" s="30">
        <v>46935.0</v>
      </c>
      <c r="BW263" s="30">
        <v>47026.0</v>
      </c>
      <c r="BX263" s="39">
        <v>0.0</v>
      </c>
      <c r="BY263" s="39">
        <v>0.0</v>
      </c>
      <c r="BZ263" s="35" t="s">
        <v>7045</v>
      </c>
      <c r="CA263" s="30">
        <v>47027.0</v>
      </c>
      <c r="CB263" s="30">
        <v>47118.0</v>
      </c>
      <c r="CC263" s="39">
        <v>0.0</v>
      </c>
      <c r="CD263" s="39">
        <v>0.0</v>
      </c>
      <c r="CE263" s="35" t="s">
        <v>7045</v>
      </c>
      <c r="CF263" s="30">
        <v>47119.0</v>
      </c>
      <c r="CG263" s="30">
        <v>47208.0</v>
      </c>
      <c r="CH263" s="39">
        <v>0.0</v>
      </c>
      <c r="CI263" s="39">
        <v>0.0</v>
      </c>
      <c r="CJ263" s="35" t="s">
        <v>7045</v>
      </c>
      <c r="CK263" s="30">
        <v>47209.0</v>
      </c>
      <c r="CL263" s="30">
        <v>47299.0</v>
      </c>
      <c r="CM263" s="39">
        <v>0.0</v>
      </c>
      <c r="CN263" s="39">
        <v>0.0</v>
      </c>
      <c r="CO263" s="35" t="s">
        <v>7045</v>
      </c>
      <c r="CP263" s="30">
        <v>47300.0</v>
      </c>
      <c r="CQ263" s="30">
        <v>47391.0</v>
      </c>
      <c r="CR263" s="39">
        <v>0.0</v>
      </c>
      <c r="CS263" s="39">
        <v>0.0</v>
      </c>
      <c r="CT263" s="35" t="s">
        <v>7045</v>
      </c>
      <c r="CU263" s="30">
        <v>47392.0</v>
      </c>
      <c r="CV263" s="30">
        <v>47483.0</v>
      </c>
      <c r="CW263" s="39">
        <v>0.0</v>
      </c>
      <c r="CX263" s="39">
        <v>0.0</v>
      </c>
      <c r="CY263" s="35" t="s">
        <v>7045</v>
      </c>
      <c r="CZ263" s="30">
        <v>47484.0</v>
      </c>
      <c r="DA263" s="30">
        <v>47573.0</v>
      </c>
      <c r="DB263" s="39">
        <v>0.0</v>
      </c>
      <c r="DC263" s="39">
        <v>0.0</v>
      </c>
      <c r="DD263" s="35" t="s">
        <v>7045</v>
      </c>
      <c r="DE263" s="30">
        <v>47574.0</v>
      </c>
      <c r="DF263" s="30">
        <v>47664.0</v>
      </c>
      <c r="DG263" s="39">
        <v>0.0</v>
      </c>
      <c r="DH263" s="39">
        <v>0.0</v>
      </c>
      <c r="DI263" s="35" t="s">
        <v>7045</v>
      </c>
      <c r="DJ263" s="30">
        <v>47665.0</v>
      </c>
      <c r="DK263" s="30">
        <v>47756.0</v>
      </c>
      <c r="DL263" s="39">
        <v>0.0</v>
      </c>
      <c r="DM263" s="39">
        <v>0.0</v>
      </c>
      <c r="DN263" s="35" t="s">
        <v>7045</v>
      </c>
      <c r="DO263" s="30">
        <v>47757.0</v>
      </c>
      <c r="DP263" s="30">
        <v>47848.0</v>
      </c>
      <c r="DQ263" s="39">
        <v>0.0</v>
      </c>
      <c r="DR263" s="39">
        <v>0.0</v>
      </c>
      <c r="DS263" s="35" t="s">
        <v>7045</v>
      </c>
    </row>
    <row r="264" ht="14.25" customHeight="1">
      <c r="A264" s="28" t="s">
        <v>1425</v>
      </c>
      <c r="B264" s="29" t="s">
        <v>1426</v>
      </c>
      <c r="C264" s="29" t="s">
        <v>7041</v>
      </c>
      <c r="D264" s="30">
        <v>45658.0</v>
      </c>
      <c r="E264" s="30">
        <v>45747.0</v>
      </c>
      <c r="F264" s="36">
        <v>19.83</v>
      </c>
      <c r="G264" s="36">
        <v>0.0</v>
      </c>
      <c r="H264" s="38" t="s">
        <v>7047</v>
      </c>
      <c r="I264" s="30">
        <v>45748.0</v>
      </c>
      <c r="J264" s="30">
        <v>45838.0</v>
      </c>
      <c r="K264" s="36">
        <v>56.78</v>
      </c>
      <c r="L264" s="36">
        <v>759.99</v>
      </c>
      <c r="M264" s="32" t="s">
        <v>7043</v>
      </c>
      <c r="N264" s="30">
        <v>45839.0</v>
      </c>
      <c r="O264" s="30">
        <v>45930.0</v>
      </c>
      <c r="P264" s="36">
        <v>157.12</v>
      </c>
      <c r="Q264" s="36">
        <v>1143.32</v>
      </c>
      <c r="R264" s="38" t="s">
        <v>7047</v>
      </c>
      <c r="S264" s="30">
        <v>45931.0</v>
      </c>
      <c r="T264" s="30">
        <v>46022.0</v>
      </c>
      <c r="U264" s="36">
        <v>1009.5</v>
      </c>
      <c r="V264" s="36">
        <v>1146.66</v>
      </c>
      <c r="W264" s="38" t="s">
        <v>7047</v>
      </c>
      <c r="X264" s="30">
        <v>46023.0</v>
      </c>
      <c r="Y264" s="30">
        <v>46112.0</v>
      </c>
      <c r="Z264" s="36">
        <v>0.0</v>
      </c>
      <c r="AA264" s="36">
        <v>0.0</v>
      </c>
      <c r="AB264" s="35" t="s">
        <v>7045</v>
      </c>
      <c r="AC264" s="30">
        <v>46113.0</v>
      </c>
      <c r="AD264" s="30">
        <v>46203.0</v>
      </c>
      <c r="AE264" s="36">
        <v>0.0</v>
      </c>
      <c r="AF264" s="36">
        <v>0.0</v>
      </c>
      <c r="AG264" s="35" t="s">
        <v>7045</v>
      </c>
      <c r="AH264" s="30">
        <v>46204.0</v>
      </c>
      <c r="AI264" s="30">
        <v>46295.0</v>
      </c>
      <c r="AJ264" s="36">
        <v>0.0</v>
      </c>
      <c r="AK264" s="36">
        <v>0.0</v>
      </c>
      <c r="AL264" s="35" t="s">
        <v>7045</v>
      </c>
      <c r="AM264" s="30">
        <v>46296.0</v>
      </c>
      <c r="AN264" s="30">
        <v>46387.0</v>
      </c>
      <c r="AO264" s="36">
        <v>0.0</v>
      </c>
      <c r="AP264" s="36">
        <v>0.0</v>
      </c>
      <c r="AQ264" s="35" t="s">
        <v>7045</v>
      </c>
      <c r="AR264" s="30">
        <v>46388.0</v>
      </c>
      <c r="AS264" s="30">
        <v>46477.0</v>
      </c>
      <c r="AT264" s="36">
        <v>0.0</v>
      </c>
      <c r="AU264" s="36">
        <v>0.0</v>
      </c>
      <c r="AV264" s="35" t="s">
        <v>7045</v>
      </c>
      <c r="AW264" s="30">
        <v>46478.0</v>
      </c>
      <c r="AX264" s="30">
        <v>46568.0</v>
      </c>
      <c r="AY264" s="36">
        <v>0.0</v>
      </c>
      <c r="AZ264" s="36">
        <v>0.0</v>
      </c>
      <c r="BA264" s="35" t="s">
        <v>7045</v>
      </c>
      <c r="BB264" s="30">
        <v>46569.0</v>
      </c>
      <c r="BC264" s="30">
        <v>46660.0</v>
      </c>
      <c r="BD264" s="36">
        <v>0.0</v>
      </c>
      <c r="BE264" s="36">
        <v>0.0</v>
      </c>
      <c r="BF264" s="35" t="s">
        <v>7045</v>
      </c>
      <c r="BG264" s="30">
        <v>46661.0</v>
      </c>
      <c r="BH264" s="30">
        <v>46752.0</v>
      </c>
      <c r="BI264" s="36">
        <v>0.0</v>
      </c>
      <c r="BJ264" s="36">
        <v>0.0</v>
      </c>
      <c r="BK264" s="35" t="s">
        <v>7045</v>
      </c>
      <c r="BL264" s="30">
        <v>46753.0</v>
      </c>
      <c r="BM264" s="30">
        <v>46843.0</v>
      </c>
      <c r="BN264" s="36">
        <v>0.0</v>
      </c>
      <c r="BO264" s="36">
        <v>0.0</v>
      </c>
      <c r="BP264" s="35" t="s">
        <v>7045</v>
      </c>
      <c r="BQ264" s="30">
        <v>46844.0</v>
      </c>
      <c r="BR264" s="30">
        <v>46934.0</v>
      </c>
      <c r="BS264" s="36">
        <v>0.0</v>
      </c>
      <c r="BT264" s="36">
        <v>0.0</v>
      </c>
      <c r="BU264" s="35" t="s">
        <v>7045</v>
      </c>
      <c r="BV264" s="30">
        <v>46935.0</v>
      </c>
      <c r="BW264" s="30">
        <v>47026.0</v>
      </c>
      <c r="BX264" s="36">
        <v>0.0</v>
      </c>
      <c r="BY264" s="36">
        <v>0.0</v>
      </c>
      <c r="BZ264" s="35" t="s">
        <v>7045</v>
      </c>
      <c r="CA264" s="30">
        <v>47027.0</v>
      </c>
      <c r="CB264" s="30">
        <v>47118.0</v>
      </c>
      <c r="CC264" s="36">
        <v>0.0</v>
      </c>
      <c r="CD264" s="36">
        <v>0.0</v>
      </c>
      <c r="CE264" s="35" t="s">
        <v>7045</v>
      </c>
      <c r="CF264" s="30">
        <v>47119.0</v>
      </c>
      <c r="CG264" s="30">
        <v>47208.0</v>
      </c>
      <c r="CH264" s="36">
        <v>0.0</v>
      </c>
      <c r="CI264" s="36">
        <v>0.0</v>
      </c>
      <c r="CJ264" s="35" t="s">
        <v>7045</v>
      </c>
      <c r="CK264" s="30">
        <v>47209.0</v>
      </c>
      <c r="CL264" s="30">
        <v>47299.0</v>
      </c>
      <c r="CM264" s="36">
        <v>0.0</v>
      </c>
      <c r="CN264" s="36">
        <v>0.0</v>
      </c>
      <c r="CO264" s="35" t="s">
        <v>7045</v>
      </c>
      <c r="CP264" s="30">
        <v>47300.0</v>
      </c>
      <c r="CQ264" s="30">
        <v>47391.0</v>
      </c>
      <c r="CR264" s="36">
        <v>0.0</v>
      </c>
      <c r="CS264" s="36">
        <v>0.0</v>
      </c>
      <c r="CT264" s="35" t="s">
        <v>7045</v>
      </c>
      <c r="CU264" s="30">
        <v>47392.0</v>
      </c>
      <c r="CV264" s="30">
        <v>47483.0</v>
      </c>
      <c r="CW264" s="36">
        <v>0.0</v>
      </c>
      <c r="CX264" s="36">
        <v>0.0</v>
      </c>
      <c r="CY264" s="35" t="s">
        <v>7045</v>
      </c>
      <c r="CZ264" s="30">
        <v>47484.0</v>
      </c>
      <c r="DA264" s="30">
        <v>47573.0</v>
      </c>
      <c r="DB264" s="36">
        <v>0.0</v>
      </c>
      <c r="DC264" s="36">
        <v>0.0</v>
      </c>
      <c r="DD264" s="35" t="s">
        <v>7045</v>
      </c>
      <c r="DE264" s="30">
        <v>47574.0</v>
      </c>
      <c r="DF264" s="30">
        <v>47664.0</v>
      </c>
      <c r="DG264" s="36">
        <v>0.0</v>
      </c>
      <c r="DH264" s="36">
        <v>0.0</v>
      </c>
      <c r="DI264" s="35" t="s">
        <v>7045</v>
      </c>
      <c r="DJ264" s="30">
        <v>47665.0</v>
      </c>
      <c r="DK264" s="30">
        <v>47756.0</v>
      </c>
      <c r="DL264" s="36">
        <v>0.0</v>
      </c>
      <c r="DM264" s="36">
        <v>0.0</v>
      </c>
      <c r="DN264" s="35" t="s">
        <v>7045</v>
      </c>
      <c r="DO264" s="30">
        <v>47757.0</v>
      </c>
      <c r="DP264" s="30">
        <v>47848.0</v>
      </c>
      <c r="DQ264" s="36">
        <v>0.0</v>
      </c>
      <c r="DR264" s="36">
        <v>0.0</v>
      </c>
      <c r="DS264" s="35" t="s">
        <v>7045</v>
      </c>
    </row>
    <row r="265" ht="14.25" customHeight="1">
      <c r="A265" s="28" t="s">
        <v>1428</v>
      </c>
      <c r="B265" s="29" t="s">
        <v>1429</v>
      </c>
      <c r="C265" s="29" t="s">
        <v>7041</v>
      </c>
      <c r="D265" s="30">
        <v>45658.0</v>
      </c>
      <c r="E265" s="30">
        <v>45747.0</v>
      </c>
      <c r="F265" s="39">
        <v>0.0</v>
      </c>
      <c r="G265" s="39">
        <v>0.0</v>
      </c>
      <c r="H265" s="35" t="s">
        <v>7045</v>
      </c>
      <c r="I265" s="30">
        <v>45748.0</v>
      </c>
      <c r="J265" s="30">
        <v>45838.0</v>
      </c>
      <c r="K265" s="39">
        <v>0.0</v>
      </c>
      <c r="L265" s="39">
        <v>27.0</v>
      </c>
      <c r="M265" s="32" t="s">
        <v>7043</v>
      </c>
      <c r="N265" s="30">
        <v>45839.0</v>
      </c>
      <c r="O265" s="30">
        <v>45930.0</v>
      </c>
      <c r="P265" s="39">
        <v>0.0</v>
      </c>
      <c r="Q265" s="39">
        <v>27.0</v>
      </c>
      <c r="R265" s="32" t="s">
        <v>7043</v>
      </c>
      <c r="S265" s="30">
        <v>45931.0</v>
      </c>
      <c r="T265" s="30">
        <v>46022.0</v>
      </c>
      <c r="U265" s="39">
        <v>0.0</v>
      </c>
      <c r="V265" s="39">
        <v>17.0</v>
      </c>
      <c r="W265" s="32" t="s">
        <v>7043</v>
      </c>
      <c r="X265" s="30">
        <v>46023.0</v>
      </c>
      <c r="Y265" s="30">
        <v>46112.0</v>
      </c>
      <c r="Z265" s="39">
        <v>0.0</v>
      </c>
      <c r="AA265" s="39">
        <v>0.0</v>
      </c>
      <c r="AB265" s="35" t="s">
        <v>7045</v>
      </c>
      <c r="AC265" s="30">
        <v>46113.0</v>
      </c>
      <c r="AD265" s="30">
        <v>46203.0</v>
      </c>
      <c r="AE265" s="39">
        <v>0.0</v>
      </c>
      <c r="AF265" s="39">
        <v>0.0</v>
      </c>
      <c r="AG265" s="35" t="s">
        <v>7045</v>
      </c>
      <c r="AH265" s="30">
        <v>46204.0</v>
      </c>
      <c r="AI265" s="30">
        <v>46295.0</v>
      </c>
      <c r="AJ265" s="39">
        <v>0.0</v>
      </c>
      <c r="AK265" s="39">
        <v>0.0</v>
      </c>
      <c r="AL265" s="35" t="s">
        <v>7045</v>
      </c>
      <c r="AM265" s="30">
        <v>46296.0</v>
      </c>
      <c r="AN265" s="30">
        <v>46387.0</v>
      </c>
      <c r="AO265" s="39">
        <v>0.0</v>
      </c>
      <c r="AP265" s="39">
        <v>0.0</v>
      </c>
      <c r="AQ265" s="35" t="s">
        <v>7045</v>
      </c>
      <c r="AR265" s="30">
        <v>46388.0</v>
      </c>
      <c r="AS265" s="30">
        <v>46477.0</v>
      </c>
      <c r="AT265" s="39">
        <v>0.0</v>
      </c>
      <c r="AU265" s="39">
        <v>0.0</v>
      </c>
      <c r="AV265" s="35" t="s">
        <v>7045</v>
      </c>
      <c r="AW265" s="30">
        <v>46478.0</v>
      </c>
      <c r="AX265" s="30">
        <v>46568.0</v>
      </c>
      <c r="AY265" s="39">
        <v>0.0</v>
      </c>
      <c r="AZ265" s="39">
        <v>0.0</v>
      </c>
      <c r="BA265" s="35" t="s">
        <v>7045</v>
      </c>
      <c r="BB265" s="30">
        <v>46569.0</v>
      </c>
      <c r="BC265" s="30">
        <v>46660.0</v>
      </c>
      <c r="BD265" s="39">
        <v>0.0</v>
      </c>
      <c r="BE265" s="39">
        <v>0.0</v>
      </c>
      <c r="BF265" s="35" t="s">
        <v>7045</v>
      </c>
      <c r="BG265" s="30">
        <v>46661.0</v>
      </c>
      <c r="BH265" s="30">
        <v>46752.0</v>
      </c>
      <c r="BI265" s="39">
        <v>0.0</v>
      </c>
      <c r="BJ265" s="39">
        <v>0.0</v>
      </c>
      <c r="BK265" s="35" t="s">
        <v>7045</v>
      </c>
      <c r="BL265" s="30">
        <v>46753.0</v>
      </c>
      <c r="BM265" s="30">
        <v>46843.0</v>
      </c>
      <c r="BN265" s="39">
        <v>0.0</v>
      </c>
      <c r="BO265" s="39">
        <v>0.0</v>
      </c>
      <c r="BP265" s="35" t="s">
        <v>7045</v>
      </c>
      <c r="BQ265" s="30">
        <v>46844.0</v>
      </c>
      <c r="BR265" s="30">
        <v>46934.0</v>
      </c>
      <c r="BS265" s="39">
        <v>0.0</v>
      </c>
      <c r="BT265" s="39">
        <v>0.0</v>
      </c>
      <c r="BU265" s="35" t="s">
        <v>7045</v>
      </c>
      <c r="BV265" s="30">
        <v>46935.0</v>
      </c>
      <c r="BW265" s="30">
        <v>47026.0</v>
      </c>
      <c r="BX265" s="39">
        <v>0.0</v>
      </c>
      <c r="BY265" s="39">
        <v>0.0</v>
      </c>
      <c r="BZ265" s="35" t="s">
        <v>7045</v>
      </c>
      <c r="CA265" s="30">
        <v>47027.0</v>
      </c>
      <c r="CB265" s="30">
        <v>47118.0</v>
      </c>
      <c r="CC265" s="39">
        <v>0.0</v>
      </c>
      <c r="CD265" s="39">
        <v>0.0</v>
      </c>
      <c r="CE265" s="35" t="s">
        <v>7045</v>
      </c>
      <c r="CF265" s="30">
        <v>47119.0</v>
      </c>
      <c r="CG265" s="30">
        <v>47208.0</v>
      </c>
      <c r="CH265" s="39">
        <v>0.0</v>
      </c>
      <c r="CI265" s="39">
        <v>0.0</v>
      </c>
      <c r="CJ265" s="35" t="s">
        <v>7045</v>
      </c>
      <c r="CK265" s="30">
        <v>47209.0</v>
      </c>
      <c r="CL265" s="30">
        <v>47299.0</v>
      </c>
      <c r="CM265" s="39">
        <v>0.0</v>
      </c>
      <c r="CN265" s="39">
        <v>0.0</v>
      </c>
      <c r="CO265" s="35" t="s">
        <v>7045</v>
      </c>
      <c r="CP265" s="30">
        <v>47300.0</v>
      </c>
      <c r="CQ265" s="30">
        <v>47391.0</v>
      </c>
      <c r="CR265" s="39">
        <v>0.0</v>
      </c>
      <c r="CS265" s="39">
        <v>0.0</v>
      </c>
      <c r="CT265" s="35" t="s">
        <v>7045</v>
      </c>
      <c r="CU265" s="30">
        <v>47392.0</v>
      </c>
      <c r="CV265" s="30">
        <v>47483.0</v>
      </c>
      <c r="CW265" s="39">
        <v>0.0</v>
      </c>
      <c r="CX265" s="39">
        <v>0.0</v>
      </c>
      <c r="CY265" s="35" t="s">
        <v>7045</v>
      </c>
      <c r="CZ265" s="30">
        <v>47484.0</v>
      </c>
      <c r="DA265" s="30">
        <v>47573.0</v>
      </c>
      <c r="DB265" s="39">
        <v>0.0</v>
      </c>
      <c r="DC265" s="39">
        <v>0.0</v>
      </c>
      <c r="DD265" s="35" t="s">
        <v>7045</v>
      </c>
      <c r="DE265" s="30">
        <v>47574.0</v>
      </c>
      <c r="DF265" s="30">
        <v>47664.0</v>
      </c>
      <c r="DG265" s="39">
        <v>0.0</v>
      </c>
      <c r="DH265" s="39">
        <v>0.0</v>
      </c>
      <c r="DI265" s="35" t="s">
        <v>7045</v>
      </c>
      <c r="DJ265" s="30">
        <v>47665.0</v>
      </c>
      <c r="DK265" s="30">
        <v>47756.0</v>
      </c>
      <c r="DL265" s="39">
        <v>0.0</v>
      </c>
      <c r="DM265" s="39">
        <v>0.0</v>
      </c>
      <c r="DN265" s="35" t="s">
        <v>7045</v>
      </c>
      <c r="DO265" s="30">
        <v>47757.0</v>
      </c>
      <c r="DP265" s="30">
        <v>47848.0</v>
      </c>
      <c r="DQ265" s="39">
        <v>0.0</v>
      </c>
      <c r="DR265" s="39">
        <v>0.0</v>
      </c>
      <c r="DS265" s="35" t="s">
        <v>7045</v>
      </c>
    </row>
    <row r="266" ht="14.25" customHeight="1">
      <c r="A266" s="28" t="s">
        <v>1480</v>
      </c>
      <c r="B266" s="29" t="s">
        <v>1481</v>
      </c>
      <c r="C266" s="29" t="s">
        <v>7041</v>
      </c>
      <c r="D266" s="30">
        <v>45658.0</v>
      </c>
      <c r="E266" s="30">
        <v>45747.0</v>
      </c>
      <c r="F266" s="39">
        <v>0.59</v>
      </c>
      <c r="G266" s="39">
        <v>0.0</v>
      </c>
      <c r="H266" s="38" t="s">
        <v>7047</v>
      </c>
      <c r="I266" s="30">
        <v>45748.0</v>
      </c>
      <c r="J266" s="30">
        <v>45838.0</v>
      </c>
      <c r="K266" s="39">
        <v>12.97</v>
      </c>
      <c r="L266" s="39">
        <v>440.95</v>
      </c>
      <c r="M266" s="32" t="s">
        <v>7043</v>
      </c>
      <c r="N266" s="30">
        <v>45839.0</v>
      </c>
      <c r="O266" s="30">
        <v>45930.0</v>
      </c>
      <c r="P266" s="39">
        <v>90.97</v>
      </c>
      <c r="Q266" s="39">
        <v>661.43</v>
      </c>
      <c r="R266" s="38" t="s">
        <v>7046</v>
      </c>
      <c r="S266" s="30">
        <v>45931.0</v>
      </c>
      <c r="T266" s="30">
        <v>46022.0</v>
      </c>
      <c r="U266" s="39">
        <v>340.9</v>
      </c>
      <c r="V266" s="39">
        <v>661.43</v>
      </c>
      <c r="W266" s="38" t="s">
        <v>7047</v>
      </c>
      <c r="X266" s="30">
        <v>46023.0</v>
      </c>
      <c r="Y266" s="30">
        <v>46112.0</v>
      </c>
      <c r="Z266" s="39">
        <v>25.0</v>
      </c>
      <c r="AA266" s="39">
        <v>0.0</v>
      </c>
      <c r="AB266" s="38" t="s">
        <v>7047</v>
      </c>
      <c r="AC266" s="30">
        <v>46113.0</v>
      </c>
      <c r="AD266" s="30">
        <v>46203.0</v>
      </c>
      <c r="AE266" s="39">
        <v>567.55</v>
      </c>
      <c r="AF266" s="39">
        <v>0.0</v>
      </c>
      <c r="AG266" s="38" t="s">
        <v>7047</v>
      </c>
      <c r="AH266" s="30">
        <v>46204.0</v>
      </c>
      <c r="AI266" s="30">
        <v>46295.0</v>
      </c>
      <c r="AJ266" s="39">
        <v>0.46</v>
      </c>
      <c r="AK266" s="39">
        <v>0.0</v>
      </c>
      <c r="AL266" s="35" t="s">
        <v>7047</v>
      </c>
      <c r="AM266" s="30">
        <v>46296.0</v>
      </c>
      <c r="AN266" s="30">
        <v>46387.0</v>
      </c>
      <c r="AO266" s="39">
        <v>0.0</v>
      </c>
      <c r="AP266" s="39">
        <v>0.0</v>
      </c>
      <c r="AQ266" s="35" t="s">
        <v>7045</v>
      </c>
      <c r="AR266" s="30">
        <v>46388.0</v>
      </c>
      <c r="AS266" s="30">
        <v>46477.0</v>
      </c>
      <c r="AT266" s="39">
        <v>0.0</v>
      </c>
      <c r="AU266" s="39">
        <v>0.0</v>
      </c>
      <c r="AV266" s="35" t="s">
        <v>7045</v>
      </c>
      <c r="AW266" s="30">
        <v>46478.0</v>
      </c>
      <c r="AX266" s="30">
        <v>46568.0</v>
      </c>
      <c r="AY266" s="39">
        <v>0.0</v>
      </c>
      <c r="AZ266" s="39">
        <v>0.0</v>
      </c>
      <c r="BA266" s="35" t="s">
        <v>7045</v>
      </c>
      <c r="BB266" s="30">
        <v>46569.0</v>
      </c>
      <c r="BC266" s="30">
        <v>46660.0</v>
      </c>
      <c r="BD266" s="39">
        <v>0.0</v>
      </c>
      <c r="BE266" s="39">
        <v>0.0</v>
      </c>
      <c r="BF266" s="35" t="s">
        <v>7045</v>
      </c>
      <c r="BG266" s="30">
        <v>46661.0</v>
      </c>
      <c r="BH266" s="30">
        <v>46752.0</v>
      </c>
      <c r="BI266" s="39">
        <v>0.0</v>
      </c>
      <c r="BJ266" s="39">
        <v>0.0</v>
      </c>
      <c r="BK266" s="35" t="s">
        <v>7045</v>
      </c>
      <c r="BL266" s="30">
        <v>46753.0</v>
      </c>
      <c r="BM266" s="30">
        <v>46843.0</v>
      </c>
      <c r="BN266" s="39">
        <v>0.0</v>
      </c>
      <c r="BO266" s="39">
        <v>0.0</v>
      </c>
      <c r="BP266" s="35" t="s">
        <v>7045</v>
      </c>
      <c r="BQ266" s="30">
        <v>46844.0</v>
      </c>
      <c r="BR266" s="30">
        <v>46934.0</v>
      </c>
      <c r="BS266" s="39">
        <v>0.0</v>
      </c>
      <c r="BT266" s="39">
        <v>0.0</v>
      </c>
      <c r="BU266" s="35" t="s">
        <v>7045</v>
      </c>
      <c r="BV266" s="30">
        <v>46935.0</v>
      </c>
      <c r="BW266" s="30">
        <v>47026.0</v>
      </c>
      <c r="BX266" s="39">
        <v>0.0</v>
      </c>
      <c r="BY266" s="39">
        <v>0.0</v>
      </c>
      <c r="BZ266" s="35" t="s">
        <v>7045</v>
      </c>
      <c r="CA266" s="30">
        <v>47027.0</v>
      </c>
      <c r="CB266" s="30">
        <v>47118.0</v>
      </c>
      <c r="CC266" s="39">
        <v>0.0</v>
      </c>
      <c r="CD266" s="39">
        <v>0.0</v>
      </c>
      <c r="CE266" s="35" t="s">
        <v>7045</v>
      </c>
      <c r="CF266" s="30">
        <v>47119.0</v>
      </c>
      <c r="CG266" s="30">
        <v>47208.0</v>
      </c>
      <c r="CH266" s="39">
        <v>0.0</v>
      </c>
      <c r="CI266" s="39">
        <v>0.0</v>
      </c>
      <c r="CJ266" s="35" t="s">
        <v>7045</v>
      </c>
      <c r="CK266" s="30">
        <v>47209.0</v>
      </c>
      <c r="CL266" s="30">
        <v>47299.0</v>
      </c>
      <c r="CM266" s="39">
        <v>0.0</v>
      </c>
      <c r="CN266" s="39">
        <v>0.0</v>
      </c>
      <c r="CO266" s="35" t="s">
        <v>7045</v>
      </c>
      <c r="CP266" s="30">
        <v>47300.0</v>
      </c>
      <c r="CQ266" s="30">
        <v>47391.0</v>
      </c>
      <c r="CR266" s="39">
        <v>0.0</v>
      </c>
      <c r="CS266" s="39">
        <v>0.0</v>
      </c>
      <c r="CT266" s="35" t="s">
        <v>7045</v>
      </c>
      <c r="CU266" s="30">
        <v>47392.0</v>
      </c>
      <c r="CV266" s="30">
        <v>47483.0</v>
      </c>
      <c r="CW266" s="39">
        <v>0.0</v>
      </c>
      <c r="CX266" s="39">
        <v>0.0</v>
      </c>
      <c r="CY266" s="35" t="s">
        <v>7045</v>
      </c>
      <c r="CZ266" s="30">
        <v>47484.0</v>
      </c>
      <c r="DA266" s="30">
        <v>47573.0</v>
      </c>
      <c r="DB266" s="39">
        <v>0.0</v>
      </c>
      <c r="DC266" s="39">
        <v>0.0</v>
      </c>
      <c r="DD266" s="35" t="s">
        <v>7045</v>
      </c>
      <c r="DE266" s="30">
        <v>47574.0</v>
      </c>
      <c r="DF266" s="30">
        <v>47664.0</v>
      </c>
      <c r="DG266" s="39">
        <v>0.0</v>
      </c>
      <c r="DH266" s="39">
        <v>0.0</v>
      </c>
      <c r="DI266" s="35" t="s">
        <v>7045</v>
      </c>
      <c r="DJ266" s="30">
        <v>47665.0</v>
      </c>
      <c r="DK266" s="30">
        <v>47756.0</v>
      </c>
      <c r="DL266" s="39">
        <v>0.0</v>
      </c>
      <c r="DM266" s="39">
        <v>0.0</v>
      </c>
      <c r="DN266" s="35" t="s">
        <v>7045</v>
      </c>
      <c r="DO266" s="30">
        <v>47757.0</v>
      </c>
      <c r="DP266" s="30">
        <v>47848.0</v>
      </c>
      <c r="DQ266" s="39">
        <v>0.0</v>
      </c>
      <c r="DR266" s="39">
        <v>0.0</v>
      </c>
      <c r="DS266" s="35" t="s">
        <v>7045</v>
      </c>
    </row>
    <row r="267" ht="14.25" customHeight="1">
      <c r="A267" s="28" t="s">
        <v>1602</v>
      </c>
      <c r="B267" s="29" t="s">
        <v>1603</v>
      </c>
      <c r="C267" s="29" t="s">
        <v>7041</v>
      </c>
      <c r="D267" s="30">
        <v>45658.0</v>
      </c>
      <c r="E267" s="30">
        <v>45747.0</v>
      </c>
      <c r="F267" s="36">
        <v>34.99</v>
      </c>
      <c r="G267" s="36">
        <v>0.0</v>
      </c>
      <c r="H267" s="38" t="s">
        <v>7047</v>
      </c>
      <c r="I267" s="30">
        <v>45748.0</v>
      </c>
      <c r="J267" s="30">
        <v>45838.0</v>
      </c>
      <c r="K267" s="36">
        <v>33.0</v>
      </c>
      <c r="L267" s="36">
        <v>461.53</v>
      </c>
      <c r="M267" s="32" t="s">
        <v>7043</v>
      </c>
      <c r="N267" s="30">
        <v>45839.0</v>
      </c>
      <c r="O267" s="30">
        <v>45930.0</v>
      </c>
      <c r="P267" s="36">
        <v>74.0</v>
      </c>
      <c r="Q267" s="36">
        <v>538.46</v>
      </c>
      <c r="R267" s="38" t="s">
        <v>7047</v>
      </c>
      <c r="S267" s="30">
        <v>45931.0</v>
      </c>
      <c r="T267" s="30">
        <v>46022.0</v>
      </c>
      <c r="U267" s="36">
        <v>138.0</v>
      </c>
      <c r="V267" s="36">
        <v>512.8</v>
      </c>
      <c r="W267" s="38" t="s">
        <v>7047</v>
      </c>
      <c r="X267" s="30">
        <v>46023.0</v>
      </c>
      <c r="Y267" s="30">
        <v>46112.0</v>
      </c>
      <c r="Z267" s="36">
        <v>166.05</v>
      </c>
      <c r="AA267" s="36">
        <v>0.0</v>
      </c>
      <c r="AB267" s="38" t="s">
        <v>7047</v>
      </c>
      <c r="AC267" s="30">
        <v>46113.0</v>
      </c>
      <c r="AD267" s="30">
        <v>46203.0</v>
      </c>
      <c r="AE267" s="36">
        <v>190.0</v>
      </c>
      <c r="AF267" s="36">
        <v>0.0</v>
      </c>
      <c r="AG267" s="38" t="s">
        <v>7047</v>
      </c>
      <c r="AH267" s="30">
        <v>46204.0</v>
      </c>
      <c r="AI267" s="30">
        <v>46295.0</v>
      </c>
      <c r="AJ267" s="36">
        <v>0.0</v>
      </c>
      <c r="AK267" s="36">
        <v>0.0</v>
      </c>
      <c r="AL267" s="35" t="s">
        <v>7045</v>
      </c>
      <c r="AM267" s="30">
        <v>46296.0</v>
      </c>
      <c r="AN267" s="30">
        <v>46387.0</v>
      </c>
      <c r="AO267" s="36">
        <v>10.0</v>
      </c>
      <c r="AP267" s="36">
        <v>0.0</v>
      </c>
      <c r="AQ267" s="38" t="s">
        <v>7047</v>
      </c>
      <c r="AR267" s="30">
        <v>46388.0</v>
      </c>
      <c r="AS267" s="30">
        <v>46477.0</v>
      </c>
      <c r="AT267" s="36">
        <v>0.0</v>
      </c>
      <c r="AU267" s="36">
        <v>0.0</v>
      </c>
      <c r="AV267" s="35" t="s">
        <v>7045</v>
      </c>
      <c r="AW267" s="30">
        <v>46478.0</v>
      </c>
      <c r="AX267" s="30">
        <v>46568.0</v>
      </c>
      <c r="AY267" s="36">
        <v>0.0</v>
      </c>
      <c r="AZ267" s="36">
        <v>0.0</v>
      </c>
      <c r="BA267" s="35" t="s">
        <v>7045</v>
      </c>
      <c r="BB267" s="30">
        <v>46569.0</v>
      </c>
      <c r="BC267" s="30">
        <v>46660.0</v>
      </c>
      <c r="BD267" s="36">
        <v>0.0</v>
      </c>
      <c r="BE267" s="36">
        <v>0.0</v>
      </c>
      <c r="BF267" s="35" t="s">
        <v>7045</v>
      </c>
      <c r="BG267" s="30">
        <v>46661.0</v>
      </c>
      <c r="BH267" s="30">
        <v>46752.0</v>
      </c>
      <c r="BI267" s="36">
        <v>0.0</v>
      </c>
      <c r="BJ267" s="36">
        <v>0.0</v>
      </c>
      <c r="BK267" s="35" t="s">
        <v>7045</v>
      </c>
      <c r="BL267" s="30">
        <v>46753.0</v>
      </c>
      <c r="BM267" s="30">
        <v>46843.0</v>
      </c>
      <c r="BN267" s="36">
        <v>0.0</v>
      </c>
      <c r="BO267" s="36">
        <v>0.0</v>
      </c>
      <c r="BP267" s="35" t="s">
        <v>7045</v>
      </c>
      <c r="BQ267" s="30">
        <v>46844.0</v>
      </c>
      <c r="BR267" s="30">
        <v>46934.0</v>
      </c>
      <c r="BS267" s="36">
        <v>0.0</v>
      </c>
      <c r="BT267" s="36">
        <v>0.0</v>
      </c>
      <c r="BU267" s="35" t="s">
        <v>7045</v>
      </c>
      <c r="BV267" s="30">
        <v>46935.0</v>
      </c>
      <c r="BW267" s="30">
        <v>47026.0</v>
      </c>
      <c r="BX267" s="36">
        <v>0.0</v>
      </c>
      <c r="BY267" s="36">
        <v>0.0</v>
      </c>
      <c r="BZ267" s="35" t="s">
        <v>7045</v>
      </c>
      <c r="CA267" s="30">
        <v>47027.0</v>
      </c>
      <c r="CB267" s="30">
        <v>47118.0</v>
      </c>
      <c r="CC267" s="36">
        <v>0.0</v>
      </c>
      <c r="CD267" s="36">
        <v>0.0</v>
      </c>
      <c r="CE267" s="35" t="s">
        <v>7045</v>
      </c>
      <c r="CF267" s="30">
        <v>47119.0</v>
      </c>
      <c r="CG267" s="30">
        <v>47208.0</v>
      </c>
      <c r="CH267" s="36">
        <v>0.0</v>
      </c>
      <c r="CI267" s="36">
        <v>0.0</v>
      </c>
      <c r="CJ267" s="35" t="s">
        <v>7045</v>
      </c>
      <c r="CK267" s="30">
        <v>47209.0</v>
      </c>
      <c r="CL267" s="30">
        <v>47299.0</v>
      </c>
      <c r="CM267" s="36">
        <v>0.0</v>
      </c>
      <c r="CN267" s="36">
        <v>0.0</v>
      </c>
      <c r="CO267" s="35" t="s">
        <v>7045</v>
      </c>
      <c r="CP267" s="30">
        <v>47300.0</v>
      </c>
      <c r="CQ267" s="30">
        <v>47391.0</v>
      </c>
      <c r="CR267" s="36">
        <v>0.0</v>
      </c>
      <c r="CS267" s="36">
        <v>0.0</v>
      </c>
      <c r="CT267" s="35" t="s">
        <v>7045</v>
      </c>
      <c r="CU267" s="30">
        <v>47392.0</v>
      </c>
      <c r="CV267" s="30">
        <v>47483.0</v>
      </c>
      <c r="CW267" s="36">
        <v>0.0</v>
      </c>
      <c r="CX267" s="36">
        <v>0.0</v>
      </c>
      <c r="CY267" s="35" t="s">
        <v>7045</v>
      </c>
      <c r="CZ267" s="30">
        <v>47484.0</v>
      </c>
      <c r="DA267" s="30">
        <v>47573.0</v>
      </c>
      <c r="DB267" s="36">
        <v>0.0</v>
      </c>
      <c r="DC267" s="36">
        <v>0.0</v>
      </c>
      <c r="DD267" s="35" t="s">
        <v>7045</v>
      </c>
      <c r="DE267" s="30">
        <v>47574.0</v>
      </c>
      <c r="DF267" s="30">
        <v>47664.0</v>
      </c>
      <c r="DG267" s="36">
        <v>0.0</v>
      </c>
      <c r="DH267" s="36">
        <v>0.0</v>
      </c>
      <c r="DI267" s="35" t="s">
        <v>7045</v>
      </c>
      <c r="DJ267" s="30">
        <v>47665.0</v>
      </c>
      <c r="DK267" s="30">
        <v>47756.0</v>
      </c>
      <c r="DL267" s="36">
        <v>0.0</v>
      </c>
      <c r="DM267" s="36">
        <v>0.0</v>
      </c>
      <c r="DN267" s="35" t="s">
        <v>7045</v>
      </c>
      <c r="DO267" s="30">
        <v>47757.0</v>
      </c>
      <c r="DP267" s="30">
        <v>47848.0</v>
      </c>
      <c r="DQ267" s="36">
        <v>0.0</v>
      </c>
      <c r="DR267" s="36">
        <v>0.0</v>
      </c>
      <c r="DS267" s="35" t="s">
        <v>7045</v>
      </c>
    </row>
    <row r="268" ht="14.25" customHeight="1">
      <c r="A268" s="28" t="s">
        <v>1689</v>
      </c>
      <c r="B268" s="29" t="s">
        <v>1690</v>
      </c>
      <c r="C268" s="29" t="s">
        <v>7041</v>
      </c>
      <c r="D268" s="30">
        <v>45658.0</v>
      </c>
      <c r="E268" s="30">
        <v>45747.0</v>
      </c>
      <c r="F268" s="39">
        <v>110.0</v>
      </c>
      <c r="G268" s="39">
        <v>0.0</v>
      </c>
      <c r="H268" s="38" t="s">
        <v>7047</v>
      </c>
      <c r="I268" s="30">
        <v>45748.0</v>
      </c>
      <c r="J268" s="30">
        <v>45838.0</v>
      </c>
      <c r="K268" s="39">
        <v>14.0</v>
      </c>
      <c r="L268" s="39">
        <v>215.52</v>
      </c>
      <c r="M268" s="32" t="s">
        <v>7043</v>
      </c>
      <c r="N268" s="30">
        <v>45839.0</v>
      </c>
      <c r="O268" s="30">
        <v>45930.0</v>
      </c>
      <c r="P268" s="39">
        <v>110.0</v>
      </c>
      <c r="Q268" s="39">
        <v>215.52</v>
      </c>
      <c r="R268" s="38" t="s">
        <v>7047</v>
      </c>
      <c r="S268" s="30">
        <v>45931.0</v>
      </c>
      <c r="T268" s="30">
        <v>46022.0</v>
      </c>
      <c r="U268" s="39">
        <v>340.0</v>
      </c>
      <c r="V268" s="39">
        <v>215.52</v>
      </c>
      <c r="W268" s="38" t="s">
        <v>7047</v>
      </c>
      <c r="X268" s="30">
        <v>46023.0</v>
      </c>
      <c r="Y268" s="30">
        <v>46112.0</v>
      </c>
      <c r="Z268" s="39">
        <v>630.0</v>
      </c>
      <c r="AA268" s="39">
        <v>0.0</v>
      </c>
      <c r="AB268" s="38" t="s">
        <v>7047</v>
      </c>
      <c r="AC268" s="30">
        <v>46113.0</v>
      </c>
      <c r="AD268" s="30">
        <v>46203.0</v>
      </c>
      <c r="AE268" s="39">
        <v>0.0</v>
      </c>
      <c r="AF268" s="39">
        <v>0.0</v>
      </c>
      <c r="AG268" s="35" t="s">
        <v>7045</v>
      </c>
      <c r="AH268" s="30">
        <v>46204.0</v>
      </c>
      <c r="AI268" s="30">
        <v>46295.0</v>
      </c>
      <c r="AJ268" s="39">
        <v>150.0</v>
      </c>
      <c r="AK268" s="39">
        <v>0.0</v>
      </c>
      <c r="AL268" s="38" t="s">
        <v>7047</v>
      </c>
      <c r="AM268" s="30">
        <v>46296.0</v>
      </c>
      <c r="AN268" s="30">
        <v>46387.0</v>
      </c>
      <c r="AO268" s="39">
        <v>0.0</v>
      </c>
      <c r="AP268" s="39">
        <v>0.0</v>
      </c>
      <c r="AQ268" s="35" t="s">
        <v>7045</v>
      </c>
      <c r="AR268" s="30">
        <v>46388.0</v>
      </c>
      <c r="AS268" s="30">
        <v>46477.0</v>
      </c>
      <c r="AT268" s="39">
        <v>0.0</v>
      </c>
      <c r="AU268" s="39">
        <v>0.0</v>
      </c>
      <c r="AV268" s="35" t="s">
        <v>7045</v>
      </c>
      <c r="AW268" s="30">
        <v>46478.0</v>
      </c>
      <c r="AX268" s="30">
        <v>46568.0</v>
      </c>
      <c r="AY268" s="39">
        <v>0.0</v>
      </c>
      <c r="AZ268" s="39">
        <v>0.0</v>
      </c>
      <c r="BA268" s="35" t="s">
        <v>7045</v>
      </c>
      <c r="BB268" s="30">
        <v>46569.0</v>
      </c>
      <c r="BC268" s="30">
        <v>46660.0</v>
      </c>
      <c r="BD268" s="39">
        <v>0.0</v>
      </c>
      <c r="BE268" s="39">
        <v>0.0</v>
      </c>
      <c r="BF268" s="35" t="s">
        <v>7045</v>
      </c>
      <c r="BG268" s="30">
        <v>46661.0</v>
      </c>
      <c r="BH268" s="30">
        <v>46752.0</v>
      </c>
      <c r="BI268" s="39">
        <v>0.0</v>
      </c>
      <c r="BJ268" s="39">
        <v>0.0</v>
      </c>
      <c r="BK268" s="35" t="s">
        <v>7045</v>
      </c>
      <c r="BL268" s="30">
        <v>46753.0</v>
      </c>
      <c r="BM268" s="30">
        <v>46843.0</v>
      </c>
      <c r="BN268" s="39">
        <v>0.0</v>
      </c>
      <c r="BO268" s="39">
        <v>0.0</v>
      </c>
      <c r="BP268" s="35" t="s">
        <v>7045</v>
      </c>
      <c r="BQ268" s="30">
        <v>46844.0</v>
      </c>
      <c r="BR268" s="30">
        <v>46934.0</v>
      </c>
      <c r="BS268" s="39">
        <v>0.0</v>
      </c>
      <c r="BT268" s="39">
        <v>0.0</v>
      </c>
      <c r="BU268" s="35" t="s">
        <v>7045</v>
      </c>
      <c r="BV268" s="30">
        <v>46935.0</v>
      </c>
      <c r="BW268" s="30">
        <v>47026.0</v>
      </c>
      <c r="BX268" s="39">
        <v>0.0</v>
      </c>
      <c r="BY268" s="39">
        <v>0.0</v>
      </c>
      <c r="BZ268" s="35" t="s">
        <v>7045</v>
      </c>
      <c r="CA268" s="30">
        <v>47027.0</v>
      </c>
      <c r="CB268" s="30">
        <v>47118.0</v>
      </c>
      <c r="CC268" s="39">
        <v>0.0</v>
      </c>
      <c r="CD268" s="39">
        <v>0.0</v>
      </c>
      <c r="CE268" s="35" t="s">
        <v>7045</v>
      </c>
      <c r="CF268" s="30">
        <v>47119.0</v>
      </c>
      <c r="CG268" s="30">
        <v>47208.0</v>
      </c>
      <c r="CH268" s="39">
        <v>0.0</v>
      </c>
      <c r="CI268" s="39">
        <v>0.0</v>
      </c>
      <c r="CJ268" s="35" t="s">
        <v>7045</v>
      </c>
      <c r="CK268" s="30">
        <v>47209.0</v>
      </c>
      <c r="CL268" s="30">
        <v>47299.0</v>
      </c>
      <c r="CM268" s="39">
        <v>0.0</v>
      </c>
      <c r="CN268" s="39">
        <v>0.0</v>
      </c>
      <c r="CO268" s="35" t="s">
        <v>7045</v>
      </c>
      <c r="CP268" s="30">
        <v>47300.0</v>
      </c>
      <c r="CQ268" s="30">
        <v>47391.0</v>
      </c>
      <c r="CR268" s="39">
        <v>0.0</v>
      </c>
      <c r="CS268" s="39">
        <v>0.0</v>
      </c>
      <c r="CT268" s="35" t="s">
        <v>7045</v>
      </c>
      <c r="CU268" s="30">
        <v>47392.0</v>
      </c>
      <c r="CV268" s="30">
        <v>47483.0</v>
      </c>
      <c r="CW268" s="39">
        <v>0.0</v>
      </c>
      <c r="CX268" s="39">
        <v>0.0</v>
      </c>
      <c r="CY268" s="35" t="s">
        <v>7045</v>
      </c>
      <c r="CZ268" s="30">
        <v>47484.0</v>
      </c>
      <c r="DA268" s="30">
        <v>47573.0</v>
      </c>
      <c r="DB268" s="39">
        <v>0.0</v>
      </c>
      <c r="DC268" s="39">
        <v>0.0</v>
      </c>
      <c r="DD268" s="35" t="s">
        <v>7045</v>
      </c>
      <c r="DE268" s="30">
        <v>47574.0</v>
      </c>
      <c r="DF268" s="30">
        <v>47664.0</v>
      </c>
      <c r="DG268" s="39">
        <v>0.0</v>
      </c>
      <c r="DH268" s="39">
        <v>0.0</v>
      </c>
      <c r="DI268" s="35" t="s">
        <v>7045</v>
      </c>
      <c r="DJ268" s="30">
        <v>47665.0</v>
      </c>
      <c r="DK268" s="30">
        <v>47756.0</v>
      </c>
      <c r="DL268" s="39">
        <v>0.0</v>
      </c>
      <c r="DM268" s="39">
        <v>0.0</v>
      </c>
      <c r="DN268" s="35" t="s">
        <v>7045</v>
      </c>
      <c r="DO268" s="30">
        <v>47757.0</v>
      </c>
      <c r="DP268" s="30">
        <v>47848.0</v>
      </c>
      <c r="DQ268" s="39">
        <v>0.0</v>
      </c>
      <c r="DR268" s="39">
        <v>0.0</v>
      </c>
      <c r="DS268" s="35" t="s">
        <v>7045</v>
      </c>
    </row>
    <row r="269" ht="14.25" customHeight="1">
      <c r="A269" s="28" t="s">
        <v>1699</v>
      </c>
      <c r="B269" s="29" t="s">
        <v>1700</v>
      </c>
      <c r="C269" s="29" t="s">
        <v>7041</v>
      </c>
      <c r="D269" s="30">
        <v>45658.0</v>
      </c>
      <c r="E269" s="30">
        <v>45747.0</v>
      </c>
      <c r="F269" s="36">
        <v>1.68</v>
      </c>
      <c r="G269" s="36">
        <v>0.0</v>
      </c>
      <c r="H269" s="38" t="s">
        <v>7047</v>
      </c>
      <c r="I269" s="30">
        <v>45748.0</v>
      </c>
      <c r="J269" s="30">
        <v>45838.0</v>
      </c>
      <c r="K269" s="36">
        <v>7.03</v>
      </c>
      <c r="L269" s="36">
        <v>0.0</v>
      </c>
      <c r="M269" s="38" t="s">
        <v>7047</v>
      </c>
      <c r="N269" s="30">
        <v>45839.0</v>
      </c>
      <c r="O269" s="30">
        <v>45930.0</v>
      </c>
      <c r="P269" s="36">
        <v>93.64</v>
      </c>
      <c r="Q269" s="36">
        <v>0.0</v>
      </c>
      <c r="R269" s="38" t="s">
        <v>7047</v>
      </c>
      <c r="S269" s="30">
        <v>45931.0</v>
      </c>
      <c r="T269" s="30">
        <v>46022.0</v>
      </c>
      <c r="U269" s="36">
        <v>740.0</v>
      </c>
      <c r="V269" s="36">
        <v>0.0</v>
      </c>
      <c r="W269" s="38" t="s">
        <v>7047</v>
      </c>
      <c r="X269" s="30">
        <v>46023.0</v>
      </c>
      <c r="Y269" s="30">
        <v>46112.0</v>
      </c>
      <c r="Z269" s="36">
        <v>604.23</v>
      </c>
      <c r="AA269" s="36">
        <v>0.0</v>
      </c>
      <c r="AB269" s="38" t="s">
        <v>7047</v>
      </c>
      <c r="AC269" s="30">
        <v>46113.0</v>
      </c>
      <c r="AD269" s="30">
        <v>46203.0</v>
      </c>
      <c r="AE269" s="36">
        <v>0.0</v>
      </c>
      <c r="AF269" s="36">
        <v>0.0</v>
      </c>
      <c r="AG269" s="35" t="s">
        <v>7045</v>
      </c>
      <c r="AH269" s="30">
        <v>46204.0</v>
      </c>
      <c r="AI269" s="30">
        <v>46295.0</v>
      </c>
      <c r="AJ269" s="36">
        <v>0.0</v>
      </c>
      <c r="AK269" s="36">
        <v>0.0</v>
      </c>
      <c r="AL269" s="35" t="s">
        <v>7045</v>
      </c>
      <c r="AM269" s="30">
        <v>46296.0</v>
      </c>
      <c r="AN269" s="30">
        <v>46387.0</v>
      </c>
      <c r="AO269" s="36">
        <v>0.0</v>
      </c>
      <c r="AP269" s="36">
        <v>0.0</v>
      </c>
      <c r="AQ269" s="35" t="s">
        <v>7045</v>
      </c>
      <c r="AR269" s="30">
        <v>46388.0</v>
      </c>
      <c r="AS269" s="30">
        <v>46477.0</v>
      </c>
      <c r="AT269" s="36">
        <v>0.0</v>
      </c>
      <c r="AU269" s="36">
        <v>0.0</v>
      </c>
      <c r="AV269" s="35" t="s">
        <v>7045</v>
      </c>
      <c r="AW269" s="30">
        <v>46478.0</v>
      </c>
      <c r="AX269" s="30">
        <v>46568.0</v>
      </c>
      <c r="AY269" s="36">
        <v>0.0</v>
      </c>
      <c r="AZ269" s="36">
        <v>0.0</v>
      </c>
      <c r="BA269" s="35" t="s">
        <v>7045</v>
      </c>
      <c r="BB269" s="30">
        <v>46569.0</v>
      </c>
      <c r="BC269" s="30">
        <v>46660.0</v>
      </c>
      <c r="BD269" s="36">
        <v>0.0</v>
      </c>
      <c r="BE269" s="36">
        <v>0.0</v>
      </c>
      <c r="BF269" s="35" t="s">
        <v>7045</v>
      </c>
      <c r="BG269" s="30">
        <v>46661.0</v>
      </c>
      <c r="BH269" s="30">
        <v>46752.0</v>
      </c>
      <c r="BI269" s="36">
        <v>0.0</v>
      </c>
      <c r="BJ269" s="36">
        <v>0.0</v>
      </c>
      <c r="BK269" s="35" t="s">
        <v>7045</v>
      </c>
      <c r="BL269" s="30">
        <v>46753.0</v>
      </c>
      <c r="BM269" s="30">
        <v>46843.0</v>
      </c>
      <c r="BN269" s="36">
        <v>0.0</v>
      </c>
      <c r="BO269" s="36">
        <v>0.0</v>
      </c>
      <c r="BP269" s="35" t="s">
        <v>7045</v>
      </c>
      <c r="BQ269" s="30">
        <v>46844.0</v>
      </c>
      <c r="BR269" s="30">
        <v>46934.0</v>
      </c>
      <c r="BS269" s="36">
        <v>0.0</v>
      </c>
      <c r="BT269" s="36">
        <v>0.0</v>
      </c>
      <c r="BU269" s="35" t="s">
        <v>7045</v>
      </c>
      <c r="BV269" s="30">
        <v>46935.0</v>
      </c>
      <c r="BW269" s="30">
        <v>47026.0</v>
      </c>
      <c r="BX269" s="36">
        <v>0.0</v>
      </c>
      <c r="BY269" s="36">
        <v>0.0</v>
      </c>
      <c r="BZ269" s="35" t="s">
        <v>7045</v>
      </c>
      <c r="CA269" s="30">
        <v>47027.0</v>
      </c>
      <c r="CB269" s="30">
        <v>47118.0</v>
      </c>
      <c r="CC269" s="36">
        <v>0.0</v>
      </c>
      <c r="CD269" s="36">
        <v>0.0</v>
      </c>
      <c r="CE269" s="35" t="s">
        <v>7045</v>
      </c>
      <c r="CF269" s="30">
        <v>47119.0</v>
      </c>
      <c r="CG269" s="30">
        <v>47208.0</v>
      </c>
      <c r="CH269" s="36">
        <v>0.0</v>
      </c>
      <c r="CI269" s="36">
        <v>0.0</v>
      </c>
      <c r="CJ269" s="35" t="s">
        <v>7045</v>
      </c>
      <c r="CK269" s="30">
        <v>47209.0</v>
      </c>
      <c r="CL269" s="30">
        <v>47299.0</v>
      </c>
      <c r="CM269" s="36">
        <v>0.0</v>
      </c>
      <c r="CN269" s="36">
        <v>0.0</v>
      </c>
      <c r="CO269" s="35" t="s">
        <v>7045</v>
      </c>
      <c r="CP269" s="30">
        <v>47300.0</v>
      </c>
      <c r="CQ269" s="30">
        <v>47391.0</v>
      </c>
      <c r="CR269" s="36">
        <v>0.0</v>
      </c>
      <c r="CS269" s="36">
        <v>0.0</v>
      </c>
      <c r="CT269" s="35" t="s">
        <v>7045</v>
      </c>
      <c r="CU269" s="30">
        <v>47392.0</v>
      </c>
      <c r="CV269" s="30">
        <v>47483.0</v>
      </c>
      <c r="CW269" s="36">
        <v>0.0</v>
      </c>
      <c r="CX269" s="36">
        <v>0.0</v>
      </c>
      <c r="CY269" s="35" t="s">
        <v>7045</v>
      </c>
      <c r="CZ269" s="30">
        <v>47484.0</v>
      </c>
      <c r="DA269" s="30">
        <v>47573.0</v>
      </c>
      <c r="DB269" s="36">
        <v>0.0</v>
      </c>
      <c r="DC269" s="36">
        <v>0.0</v>
      </c>
      <c r="DD269" s="35" t="s">
        <v>7045</v>
      </c>
      <c r="DE269" s="30">
        <v>47574.0</v>
      </c>
      <c r="DF269" s="30">
        <v>47664.0</v>
      </c>
      <c r="DG269" s="36">
        <v>0.0</v>
      </c>
      <c r="DH269" s="36">
        <v>0.0</v>
      </c>
      <c r="DI269" s="35" t="s">
        <v>7045</v>
      </c>
      <c r="DJ269" s="30">
        <v>47665.0</v>
      </c>
      <c r="DK269" s="30">
        <v>47756.0</v>
      </c>
      <c r="DL269" s="36">
        <v>0.0</v>
      </c>
      <c r="DM269" s="36">
        <v>0.0</v>
      </c>
      <c r="DN269" s="35" t="s">
        <v>7045</v>
      </c>
      <c r="DO269" s="30">
        <v>47757.0</v>
      </c>
      <c r="DP269" s="30">
        <v>47848.0</v>
      </c>
      <c r="DQ269" s="36">
        <v>0.0</v>
      </c>
      <c r="DR269" s="36">
        <v>0.0</v>
      </c>
      <c r="DS269" s="35" t="s">
        <v>7045</v>
      </c>
    </row>
    <row r="270" ht="14.25" customHeight="1">
      <c r="A270" s="28" t="s">
        <v>1751</v>
      </c>
      <c r="B270" s="29" t="s">
        <v>1752</v>
      </c>
      <c r="C270" s="29" t="s">
        <v>7041</v>
      </c>
      <c r="D270" s="30">
        <v>45658.0</v>
      </c>
      <c r="E270" s="30">
        <v>45747.0</v>
      </c>
      <c r="F270" s="39">
        <v>14.17</v>
      </c>
      <c r="G270" s="39">
        <v>0.0</v>
      </c>
      <c r="H270" s="38" t="s">
        <v>7047</v>
      </c>
      <c r="I270" s="30">
        <v>45748.0</v>
      </c>
      <c r="J270" s="30">
        <v>45838.0</v>
      </c>
      <c r="K270" s="39">
        <v>13.03</v>
      </c>
      <c r="L270" s="39">
        <v>233.33</v>
      </c>
      <c r="M270" s="32" t="s">
        <v>7043</v>
      </c>
      <c r="N270" s="30">
        <v>45839.0</v>
      </c>
      <c r="O270" s="30">
        <v>45930.0</v>
      </c>
      <c r="P270" s="39">
        <v>192.79</v>
      </c>
      <c r="Q270" s="39">
        <v>216.67</v>
      </c>
      <c r="R270" s="38" t="s">
        <v>7047</v>
      </c>
      <c r="S270" s="30">
        <v>45931.0</v>
      </c>
      <c r="T270" s="30">
        <v>46022.0</v>
      </c>
      <c r="U270" s="39">
        <v>413.6</v>
      </c>
      <c r="V270" s="39">
        <v>223.33</v>
      </c>
      <c r="W270" s="38" t="s">
        <v>7047</v>
      </c>
      <c r="X270" s="30">
        <v>46023.0</v>
      </c>
      <c r="Y270" s="30">
        <v>46112.0</v>
      </c>
      <c r="Z270" s="39">
        <v>3.14</v>
      </c>
      <c r="AA270" s="39">
        <v>0.0</v>
      </c>
      <c r="AB270" s="38" t="s">
        <v>7047</v>
      </c>
      <c r="AC270" s="30">
        <v>46113.0</v>
      </c>
      <c r="AD270" s="30">
        <v>46203.0</v>
      </c>
      <c r="AE270" s="39">
        <v>167.98</v>
      </c>
      <c r="AF270" s="39">
        <v>0.0</v>
      </c>
      <c r="AG270" s="38" t="s">
        <v>7047</v>
      </c>
      <c r="AH270" s="30">
        <v>46204.0</v>
      </c>
      <c r="AI270" s="30">
        <v>46295.0</v>
      </c>
      <c r="AJ270" s="39">
        <v>0.0</v>
      </c>
      <c r="AK270" s="39">
        <v>0.0</v>
      </c>
      <c r="AL270" s="35" t="s">
        <v>7045</v>
      </c>
      <c r="AM270" s="30">
        <v>46296.0</v>
      </c>
      <c r="AN270" s="30">
        <v>46387.0</v>
      </c>
      <c r="AO270" s="39">
        <v>40.8</v>
      </c>
      <c r="AP270" s="39">
        <v>0.0</v>
      </c>
      <c r="AQ270" s="38" t="s">
        <v>7047</v>
      </c>
      <c r="AR270" s="30">
        <v>46388.0</v>
      </c>
      <c r="AS270" s="30">
        <v>46477.0</v>
      </c>
      <c r="AT270" s="39">
        <v>0.0</v>
      </c>
      <c r="AU270" s="39">
        <v>0.0</v>
      </c>
      <c r="AV270" s="35" t="s">
        <v>7045</v>
      </c>
      <c r="AW270" s="30">
        <v>46478.0</v>
      </c>
      <c r="AX270" s="30">
        <v>46568.0</v>
      </c>
      <c r="AY270" s="39">
        <v>0.0</v>
      </c>
      <c r="AZ270" s="39">
        <v>0.0</v>
      </c>
      <c r="BA270" s="35" t="s">
        <v>7045</v>
      </c>
      <c r="BB270" s="30">
        <v>46569.0</v>
      </c>
      <c r="BC270" s="30">
        <v>46660.0</v>
      </c>
      <c r="BD270" s="39">
        <v>0.0</v>
      </c>
      <c r="BE270" s="39">
        <v>0.0</v>
      </c>
      <c r="BF270" s="35" t="s">
        <v>7045</v>
      </c>
      <c r="BG270" s="30">
        <v>46661.0</v>
      </c>
      <c r="BH270" s="30">
        <v>46752.0</v>
      </c>
      <c r="BI270" s="39">
        <v>0.0</v>
      </c>
      <c r="BJ270" s="39">
        <v>0.0</v>
      </c>
      <c r="BK270" s="35" t="s">
        <v>7045</v>
      </c>
      <c r="BL270" s="30">
        <v>46753.0</v>
      </c>
      <c r="BM270" s="30">
        <v>46843.0</v>
      </c>
      <c r="BN270" s="39">
        <v>0.0</v>
      </c>
      <c r="BO270" s="39">
        <v>0.0</v>
      </c>
      <c r="BP270" s="35" t="s">
        <v>7045</v>
      </c>
      <c r="BQ270" s="30">
        <v>46844.0</v>
      </c>
      <c r="BR270" s="30">
        <v>46934.0</v>
      </c>
      <c r="BS270" s="39">
        <v>0.0</v>
      </c>
      <c r="BT270" s="39">
        <v>0.0</v>
      </c>
      <c r="BU270" s="35" t="s">
        <v>7045</v>
      </c>
      <c r="BV270" s="30">
        <v>46935.0</v>
      </c>
      <c r="BW270" s="30">
        <v>47026.0</v>
      </c>
      <c r="BX270" s="39">
        <v>0.0</v>
      </c>
      <c r="BY270" s="39">
        <v>0.0</v>
      </c>
      <c r="BZ270" s="35" t="s">
        <v>7045</v>
      </c>
      <c r="CA270" s="30">
        <v>47027.0</v>
      </c>
      <c r="CB270" s="30">
        <v>47118.0</v>
      </c>
      <c r="CC270" s="39">
        <v>0.0</v>
      </c>
      <c r="CD270" s="39">
        <v>0.0</v>
      </c>
      <c r="CE270" s="35" t="s">
        <v>7045</v>
      </c>
      <c r="CF270" s="30">
        <v>47119.0</v>
      </c>
      <c r="CG270" s="30">
        <v>47208.0</v>
      </c>
      <c r="CH270" s="39">
        <v>0.0</v>
      </c>
      <c r="CI270" s="39">
        <v>0.0</v>
      </c>
      <c r="CJ270" s="35" t="s">
        <v>7045</v>
      </c>
      <c r="CK270" s="30">
        <v>47209.0</v>
      </c>
      <c r="CL270" s="30">
        <v>47299.0</v>
      </c>
      <c r="CM270" s="39">
        <v>0.0</v>
      </c>
      <c r="CN270" s="39">
        <v>0.0</v>
      </c>
      <c r="CO270" s="35" t="s">
        <v>7045</v>
      </c>
      <c r="CP270" s="30">
        <v>47300.0</v>
      </c>
      <c r="CQ270" s="30">
        <v>47391.0</v>
      </c>
      <c r="CR270" s="39">
        <v>0.0</v>
      </c>
      <c r="CS270" s="39">
        <v>0.0</v>
      </c>
      <c r="CT270" s="35" t="s">
        <v>7045</v>
      </c>
      <c r="CU270" s="30">
        <v>47392.0</v>
      </c>
      <c r="CV270" s="30">
        <v>47483.0</v>
      </c>
      <c r="CW270" s="39">
        <v>0.0</v>
      </c>
      <c r="CX270" s="39">
        <v>0.0</v>
      </c>
      <c r="CY270" s="35" t="s">
        <v>7045</v>
      </c>
      <c r="CZ270" s="30">
        <v>47484.0</v>
      </c>
      <c r="DA270" s="30">
        <v>47573.0</v>
      </c>
      <c r="DB270" s="39">
        <v>0.0</v>
      </c>
      <c r="DC270" s="39">
        <v>0.0</v>
      </c>
      <c r="DD270" s="35" t="s">
        <v>7045</v>
      </c>
      <c r="DE270" s="30">
        <v>47574.0</v>
      </c>
      <c r="DF270" s="30">
        <v>47664.0</v>
      </c>
      <c r="DG270" s="39">
        <v>0.0</v>
      </c>
      <c r="DH270" s="39">
        <v>0.0</v>
      </c>
      <c r="DI270" s="35" t="s">
        <v>7045</v>
      </c>
      <c r="DJ270" s="30">
        <v>47665.0</v>
      </c>
      <c r="DK270" s="30">
        <v>47756.0</v>
      </c>
      <c r="DL270" s="39">
        <v>0.0</v>
      </c>
      <c r="DM270" s="39">
        <v>0.0</v>
      </c>
      <c r="DN270" s="35" t="s">
        <v>7045</v>
      </c>
      <c r="DO270" s="30">
        <v>47757.0</v>
      </c>
      <c r="DP270" s="30">
        <v>47848.0</v>
      </c>
      <c r="DQ270" s="39">
        <v>0.0</v>
      </c>
      <c r="DR270" s="39">
        <v>0.0</v>
      </c>
      <c r="DS270" s="35" t="s">
        <v>7045</v>
      </c>
    </row>
    <row r="271" ht="14.25" customHeight="1">
      <c r="A271" s="28" t="s">
        <v>1792</v>
      </c>
      <c r="B271" s="29" t="s">
        <v>1793</v>
      </c>
      <c r="C271" s="29" t="s">
        <v>7041</v>
      </c>
      <c r="D271" s="30">
        <v>45658.0</v>
      </c>
      <c r="E271" s="30">
        <v>45747.0</v>
      </c>
      <c r="F271" s="39">
        <v>4.42</v>
      </c>
      <c r="G271" s="39">
        <v>0.0</v>
      </c>
      <c r="H271" s="38" t="s">
        <v>7047</v>
      </c>
      <c r="I271" s="30">
        <v>45748.0</v>
      </c>
      <c r="J271" s="30">
        <v>45838.0</v>
      </c>
      <c r="K271" s="39">
        <v>2.65</v>
      </c>
      <c r="L271" s="39">
        <v>78.95</v>
      </c>
      <c r="M271" s="32" t="s">
        <v>7043</v>
      </c>
      <c r="N271" s="30">
        <v>45839.0</v>
      </c>
      <c r="O271" s="30">
        <v>45930.0</v>
      </c>
      <c r="P271" s="39">
        <v>19.85</v>
      </c>
      <c r="Q271" s="39">
        <v>92.11</v>
      </c>
      <c r="R271" s="38" t="s">
        <v>7047</v>
      </c>
      <c r="S271" s="30">
        <v>45931.0</v>
      </c>
      <c r="T271" s="30">
        <v>46022.0</v>
      </c>
      <c r="U271" s="39">
        <v>0.0</v>
      </c>
      <c r="V271" s="39">
        <v>105.26</v>
      </c>
      <c r="W271" s="32" t="s">
        <v>7043</v>
      </c>
      <c r="X271" s="30">
        <v>46023.0</v>
      </c>
      <c r="Y271" s="30">
        <v>46112.0</v>
      </c>
      <c r="Z271" s="39">
        <v>0.0</v>
      </c>
      <c r="AA271" s="39">
        <v>0.0</v>
      </c>
      <c r="AB271" s="35" t="s">
        <v>7045</v>
      </c>
      <c r="AC271" s="30">
        <v>46113.0</v>
      </c>
      <c r="AD271" s="30">
        <v>46203.0</v>
      </c>
      <c r="AE271" s="39">
        <v>0.0</v>
      </c>
      <c r="AF271" s="39">
        <v>0.0</v>
      </c>
      <c r="AG271" s="35" t="s">
        <v>7045</v>
      </c>
      <c r="AH271" s="30">
        <v>46204.0</v>
      </c>
      <c r="AI271" s="30">
        <v>46295.0</v>
      </c>
      <c r="AJ271" s="39">
        <v>0.0</v>
      </c>
      <c r="AK271" s="39">
        <v>0.0</v>
      </c>
      <c r="AL271" s="35" t="s">
        <v>7045</v>
      </c>
      <c r="AM271" s="30">
        <v>46296.0</v>
      </c>
      <c r="AN271" s="30">
        <v>46387.0</v>
      </c>
      <c r="AO271" s="39">
        <v>0.0</v>
      </c>
      <c r="AP271" s="39">
        <v>0.0</v>
      </c>
      <c r="AQ271" s="35" t="s">
        <v>7045</v>
      </c>
      <c r="AR271" s="30">
        <v>46388.0</v>
      </c>
      <c r="AS271" s="30">
        <v>46477.0</v>
      </c>
      <c r="AT271" s="39">
        <v>0.0</v>
      </c>
      <c r="AU271" s="39">
        <v>0.0</v>
      </c>
      <c r="AV271" s="35" t="s">
        <v>7045</v>
      </c>
      <c r="AW271" s="30">
        <v>46478.0</v>
      </c>
      <c r="AX271" s="30">
        <v>46568.0</v>
      </c>
      <c r="AY271" s="39">
        <v>0.0</v>
      </c>
      <c r="AZ271" s="39">
        <v>0.0</v>
      </c>
      <c r="BA271" s="35" t="s">
        <v>7045</v>
      </c>
      <c r="BB271" s="30">
        <v>46569.0</v>
      </c>
      <c r="BC271" s="30">
        <v>46660.0</v>
      </c>
      <c r="BD271" s="39">
        <v>0.0</v>
      </c>
      <c r="BE271" s="39">
        <v>0.0</v>
      </c>
      <c r="BF271" s="35" t="s">
        <v>7045</v>
      </c>
      <c r="BG271" s="30">
        <v>46661.0</v>
      </c>
      <c r="BH271" s="30">
        <v>46752.0</v>
      </c>
      <c r="BI271" s="39">
        <v>0.0</v>
      </c>
      <c r="BJ271" s="39">
        <v>0.0</v>
      </c>
      <c r="BK271" s="35" t="s">
        <v>7045</v>
      </c>
      <c r="BL271" s="30">
        <v>46753.0</v>
      </c>
      <c r="BM271" s="30">
        <v>46843.0</v>
      </c>
      <c r="BN271" s="39">
        <v>0.0</v>
      </c>
      <c r="BO271" s="39">
        <v>0.0</v>
      </c>
      <c r="BP271" s="35" t="s">
        <v>7045</v>
      </c>
      <c r="BQ271" s="30">
        <v>46844.0</v>
      </c>
      <c r="BR271" s="30">
        <v>46934.0</v>
      </c>
      <c r="BS271" s="39">
        <v>0.0</v>
      </c>
      <c r="BT271" s="39">
        <v>0.0</v>
      </c>
      <c r="BU271" s="35" t="s">
        <v>7045</v>
      </c>
      <c r="BV271" s="30">
        <v>46935.0</v>
      </c>
      <c r="BW271" s="30">
        <v>47026.0</v>
      </c>
      <c r="BX271" s="39">
        <v>0.0</v>
      </c>
      <c r="BY271" s="39">
        <v>0.0</v>
      </c>
      <c r="BZ271" s="35" t="s">
        <v>7045</v>
      </c>
      <c r="CA271" s="30">
        <v>47027.0</v>
      </c>
      <c r="CB271" s="30">
        <v>47118.0</v>
      </c>
      <c r="CC271" s="39">
        <v>0.0</v>
      </c>
      <c r="CD271" s="39">
        <v>0.0</v>
      </c>
      <c r="CE271" s="35" t="s">
        <v>7045</v>
      </c>
      <c r="CF271" s="30">
        <v>47119.0</v>
      </c>
      <c r="CG271" s="30">
        <v>47208.0</v>
      </c>
      <c r="CH271" s="39">
        <v>0.0</v>
      </c>
      <c r="CI271" s="39">
        <v>0.0</v>
      </c>
      <c r="CJ271" s="35" t="s">
        <v>7045</v>
      </c>
      <c r="CK271" s="30">
        <v>47209.0</v>
      </c>
      <c r="CL271" s="30">
        <v>47299.0</v>
      </c>
      <c r="CM271" s="39">
        <v>0.0</v>
      </c>
      <c r="CN271" s="39">
        <v>0.0</v>
      </c>
      <c r="CO271" s="35" t="s">
        <v>7045</v>
      </c>
      <c r="CP271" s="30">
        <v>47300.0</v>
      </c>
      <c r="CQ271" s="30">
        <v>47391.0</v>
      </c>
      <c r="CR271" s="39">
        <v>0.0</v>
      </c>
      <c r="CS271" s="39">
        <v>0.0</v>
      </c>
      <c r="CT271" s="35" t="s">
        <v>7045</v>
      </c>
      <c r="CU271" s="30">
        <v>47392.0</v>
      </c>
      <c r="CV271" s="30">
        <v>47483.0</v>
      </c>
      <c r="CW271" s="39">
        <v>0.0</v>
      </c>
      <c r="CX271" s="39">
        <v>0.0</v>
      </c>
      <c r="CY271" s="35" t="s">
        <v>7045</v>
      </c>
      <c r="CZ271" s="30">
        <v>47484.0</v>
      </c>
      <c r="DA271" s="30">
        <v>47573.0</v>
      </c>
      <c r="DB271" s="39">
        <v>0.0</v>
      </c>
      <c r="DC271" s="39">
        <v>0.0</v>
      </c>
      <c r="DD271" s="35" t="s">
        <v>7045</v>
      </c>
      <c r="DE271" s="30">
        <v>47574.0</v>
      </c>
      <c r="DF271" s="30">
        <v>47664.0</v>
      </c>
      <c r="DG271" s="39">
        <v>0.0</v>
      </c>
      <c r="DH271" s="39">
        <v>0.0</v>
      </c>
      <c r="DI271" s="35" t="s">
        <v>7045</v>
      </c>
      <c r="DJ271" s="30">
        <v>47665.0</v>
      </c>
      <c r="DK271" s="30">
        <v>47756.0</v>
      </c>
      <c r="DL271" s="39">
        <v>0.0</v>
      </c>
      <c r="DM271" s="39">
        <v>0.0</v>
      </c>
      <c r="DN271" s="35" t="s">
        <v>7045</v>
      </c>
      <c r="DO271" s="30">
        <v>47757.0</v>
      </c>
      <c r="DP271" s="30">
        <v>47848.0</v>
      </c>
      <c r="DQ271" s="39">
        <v>0.0</v>
      </c>
      <c r="DR271" s="39">
        <v>0.0</v>
      </c>
      <c r="DS271" s="35" t="s">
        <v>7045</v>
      </c>
    </row>
    <row r="272" ht="14.25" customHeight="1">
      <c r="A272" s="28" t="s">
        <v>1811</v>
      </c>
      <c r="B272" s="29" t="s">
        <v>1812</v>
      </c>
      <c r="C272" s="29" t="s">
        <v>7041</v>
      </c>
      <c r="D272" s="30">
        <v>45658.0</v>
      </c>
      <c r="E272" s="30">
        <v>45747.0</v>
      </c>
      <c r="F272" s="39">
        <v>20.0</v>
      </c>
      <c r="G272" s="39">
        <v>0.0</v>
      </c>
      <c r="H272" s="38" t="s">
        <v>7047</v>
      </c>
      <c r="I272" s="30">
        <v>45748.0</v>
      </c>
      <c r="J272" s="30">
        <v>45838.0</v>
      </c>
      <c r="K272" s="39">
        <v>20.0</v>
      </c>
      <c r="L272" s="39">
        <v>100.0</v>
      </c>
      <c r="M272" s="38" t="s">
        <v>7043</v>
      </c>
      <c r="N272" s="30">
        <v>45839.0</v>
      </c>
      <c r="O272" s="30">
        <v>45930.0</v>
      </c>
      <c r="P272" s="39">
        <v>0.0</v>
      </c>
      <c r="Q272" s="39">
        <v>150.0</v>
      </c>
      <c r="R272" s="32" t="s">
        <v>7043</v>
      </c>
      <c r="S272" s="30">
        <v>45931.0</v>
      </c>
      <c r="T272" s="30">
        <v>46022.0</v>
      </c>
      <c r="U272" s="39">
        <v>0.0</v>
      </c>
      <c r="V272" s="39">
        <v>150.0</v>
      </c>
      <c r="W272" s="32" t="s">
        <v>7043</v>
      </c>
      <c r="X272" s="30">
        <v>46023.0</v>
      </c>
      <c r="Y272" s="30">
        <v>46112.0</v>
      </c>
      <c r="Z272" s="39">
        <v>0.0</v>
      </c>
      <c r="AA272" s="39">
        <v>0.0</v>
      </c>
      <c r="AB272" s="35" t="s">
        <v>7045</v>
      </c>
      <c r="AC272" s="30">
        <v>46113.0</v>
      </c>
      <c r="AD272" s="30">
        <v>46203.0</v>
      </c>
      <c r="AE272" s="39">
        <v>0.0</v>
      </c>
      <c r="AF272" s="39">
        <v>0.0</v>
      </c>
      <c r="AG272" s="35" t="s">
        <v>7045</v>
      </c>
      <c r="AH272" s="30">
        <v>46204.0</v>
      </c>
      <c r="AI272" s="30">
        <v>46295.0</v>
      </c>
      <c r="AJ272" s="39">
        <v>0.0</v>
      </c>
      <c r="AK272" s="39">
        <v>0.0</v>
      </c>
      <c r="AL272" s="35" t="s">
        <v>7045</v>
      </c>
      <c r="AM272" s="30">
        <v>46296.0</v>
      </c>
      <c r="AN272" s="30">
        <v>46387.0</v>
      </c>
      <c r="AO272" s="39">
        <v>0.0</v>
      </c>
      <c r="AP272" s="39">
        <v>0.0</v>
      </c>
      <c r="AQ272" s="35" t="s">
        <v>7045</v>
      </c>
      <c r="AR272" s="30">
        <v>46388.0</v>
      </c>
      <c r="AS272" s="30">
        <v>46477.0</v>
      </c>
      <c r="AT272" s="39">
        <v>0.0</v>
      </c>
      <c r="AU272" s="39">
        <v>0.0</v>
      </c>
      <c r="AV272" s="35" t="s">
        <v>7045</v>
      </c>
      <c r="AW272" s="30">
        <v>46478.0</v>
      </c>
      <c r="AX272" s="30">
        <v>46568.0</v>
      </c>
      <c r="AY272" s="39">
        <v>0.0</v>
      </c>
      <c r="AZ272" s="39">
        <v>0.0</v>
      </c>
      <c r="BA272" s="35" t="s">
        <v>7045</v>
      </c>
      <c r="BB272" s="30">
        <v>46569.0</v>
      </c>
      <c r="BC272" s="30">
        <v>46660.0</v>
      </c>
      <c r="BD272" s="39">
        <v>0.0</v>
      </c>
      <c r="BE272" s="39">
        <v>0.0</v>
      </c>
      <c r="BF272" s="35" t="s">
        <v>7045</v>
      </c>
      <c r="BG272" s="30">
        <v>46661.0</v>
      </c>
      <c r="BH272" s="30">
        <v>46752.0</v>
      </c>
      <c r="BI272" s="39">
        <v>0.0</v>
      </c>
      <c r="BJ272" s="39">
        <v>0.0</v>
      </c>
      <c r="BK272" s="35" t="s">
        <v>7045</v>
      </c>
      <c r="BL272" s="30">
        <v>46753.0</v>
      </c>
      <c r="BM272" s="30">
        <v>46843.0</v>
      </c>
      <c r="BN272" s="39">
        <v>0.0</v>
      </c>
      <c r="BO272" s="39">
        <v>0.0</v>
      </c>
      <c r="BP272" s="35" t="s">
        <v>7045</v>
      </c>
      <c r="BQ272" s="30">
        <v>46844.0</v>
      </c>
      <c r="BR272" s="30">
        <v>46934.0</v>
      </c>
      <c r="BS272" s="39">
        <v>0.0</v>
      </c>
      <c r="BT272" s="39">
        <v>0.0</v>
      </c>
      <c r="BU272" s="35" t="s">
        <v>7045</v>
      </c>
      <c r="BV272" s="30">
        <v>46935.0</v>
      </c>
      <c r="BW272" s="30">
        <v>47026.0</v>
      </c>
      <c r="BX272" s="39">
        <v>0.0</v>
      </c>
      <c r="BY272" s="39">
        <v>0.0</v>
      </c>
      <c r="BZ272" s="35" t="s">
        <v>7045</v>
      </c>
      <c r="CA272" s="30">
        <v>47027.0</v>
      </c>
      <c r="CB272" s="30">
        <v>47118.0</v>
      </c>
      <c r="CC272" s="39">
        <v>0.0</v>
      </c>
      <c r="CD272" s="39">
        <v>0.0</v>
      </c>
      <c r="CE272" s="35" t="s">
        <v>7045</v>
      </c>
      <c r="CF272" s="30">
        <v>47119.0</v>
      </c>
      <c r="CG272" s="30">
        <v>47208.0</v>
      </c>
      <c r="CH272" s="39">
        <v>0.0</v>
      </c>
      <c r="CI272" s="39">
        <v>0.0</v>
      </c>
      <c r="CJ272" s="35" t="s">
        <v>7045</v>
      </c>
      <c r="CK272" s="30">
        <v>47209.0</v>
      </c>
      <c r="CL272" s="30">
        <v>47299.0</v>
      </c>
      <c r="CM272" s="39">
        <v>0.0</v>
      </c>
      <c r="CN272" s="39">
        <v>0.0</v>
      </c>
      <c r="CO272" s="35" t="s">
        <v>7045</v>
      </c>
      <c r="CP272" s="30">
        <v>47300.0</v>
      </c>
      <c r="CQ272" s="30">
        <v>47391.0</v>
      </c>
      <c r="CR272" s="39">
        <v>0.0</v>
      </c>
      <c r="CS272" s="39">
        <v>0.0</v>
      </c>
      <c r="CT272" s="35" t="s">
        <v>7045</v>
      </c>
      <c r="CU272" s="30">
        <v>47392.0</v>
      </c>
      <c r="CV272" s="30">
        <v>47483.0</v>
      </c>
      <c r="CW272" s="39">
        <v>0.0</v>
      </c>
      <c r="CX272" s="39">
        <v>0.0</v>
      </c>
      <c r="CY272" s="35" t="s">
        <v>7045</v>
      </c>
      <c r="CZ272" s="30">
        <v>47484.0</v>
      </c>
      <c r="DA272" s="30">
        <v>47573.0</v>
      </c>
      <c r="DB272" s="39">
        <v>0.0</v>
      </c>
      <c r="DC272" s="39">
        <v>0.0</v>
      </c>
      <c r="DD272" s="35" t="s">
        <v>7045</v>
      </c>
      <c r="DE272" s="30">
        <v>47574.0</v>
      </c>
      <c r="DF272" s="30">
        <v>47664.0</v>
      </c>
      <c r="DG272" s="39">
        <v>0.0</v>
      </c>
      <c r="DH272" s="39">
        <v>0.0</v>
      </c>
      <c r="DI272" s="35" t="s">
        <v>7045</v>
      </c>
      <c r="DJ272" s="30">
        <v>47665.0</v>
      </c>
      <c r="DK272" s="30">
        <v>47756.0</v>
      </c>
      <c r="DL272" s="39">
        <v>0.0</v>
      </c>
      <c r="DM272" s="39">
        <v>0.0</v>
      </c>
      <c r="DN272" s="35" t="s">
        <v>7045</v>
      </c>
      <c r="DO272" s="30">
        <v>47757.0</v>
      </c>
      <c r="DP272" s="30">
        <v>47848.0</v>
      </c>
      <c r="DQ272" s="39">
        <v>0.0</v>
      </c>
      <c r="DR272" s="39">
        <v>0.0</v>
      </c>
      <c r="DS272" s="35" t="s">
        <v>7045</v>
      </c>
    </row>
    <row r="273" ht="14.25" customHeight="1">
      <c r="A273" s="28" t="s">
        <v>1899</v>
      </c>
      <c r="B273" s="29" t="s">
        <v>1900</v>
      </c>
      <c r="C273" s="29" t="s">
        <v>7041</v>
      </c>
      <c r="D273" s="30">
        <v>45658.0</v>
      </c>
      <c r="E273" s="30">
        <v>45747.0</v>
      </c>
      <c r="F273" s="36">
        <v>33.12</v>
      </c>
      <c r="G273" s="36">
        <v>0.0</v>
      </c>
      <c r="H273" s="38" t="s">
        <v>7047</v>
      </c>
      <c r="I273" s="30">
        <v>45748.0</v>
      </c>
      <c r="J273" s="30">
        <v>45838.0</v>
      </c>
      <c r="K273" s="36">
        <v>8.15</v>
      </c>
      <c r="L273" s="36">
        <v>1008.16</v>
      </c>
      <c r="M273" s="32" t="s">
        <v>7043</v>
      </c>
      <c r="N273" s="30">
        <v>45839.0</v>
      </c>
      <c r="O273" s="30">
        <v>45930.0</v>
      </c>
      <c r="P273" s="36">
        <v>2.83</v>
      </c>
      <c r="Q273" s="36">
        <v>1521.82</v>
      </c>
      <c r="R273" s="38" t="s">
        <v>7047</v>
      </c>
      <c r="S273" s="30">
        <v>45931.0</v>
      </c>
      <c r="T273" s="30">
        <v>46022.0</v>
      </c>
      <c r="U273" s="36">
        <v>104.26</v>
      </c>
      <c r="V273" s="36">
        <v>1452.82</v>
      </c>
      <c r="W273" s="38" t="s">
        <v>7047</v>
      </c>
      <c r="X273" s="30">
        <v>46023.0</v>
      </c>
      <c r="Y273" s="30">
        <v>46112.0</v>
      </c>
      <c r="Z273" s="36">
        <v>41.81</v>
      </c>
      <c r="AA273" s="36">
        <v>0.0</v>
      </c>
      <c r="AB273" s="38" t="s">
        <v>7047</v>
      </c>
      <c r="AC273" s="30">
        <v>46113.0</v>
      </c>
      <c r="AD273" s="30">
        <v>46203.0</v>
      </c>
      <c r="AE273" s="36">
        <v>0.0</v>
      </c>
      <c r="AF273" s="36">
        <v>0.0</v>
      </c>
      <c r="AG273" s="35" t="s">
        <v>7045</v>
      </c>
      <c r="AH273" s="30">
        <v>46204.0</v>
      </c>
      <c r="AI273" s="30">
        <v>46295.0</v>
      </c>
      <c r="AJ273" s="36">
        <v>0.0</v>
      </c>
      <c r="AK273" s="36">
        <v>0.0</v>
      </c>
      <c r="AL273" s="35" t="s">
        <v>7045</v>
      </c>
      <c r="AM273" s="30">
        <v>46296.0</v>
      </c>
      <c r="AN273" s="30">
        <v>46387.0</v>
      </c>
      <c r="AO273" s="36">
        <v>0.0</v>
      </c>
      <c r="AP273" s="36">
        <v>0.0</v>
      </c>
      <c r="AQ273" s="35" t="s">
        <v>7045</v>
      </c>
      <c r="AR273" s="30">
        <v>46388.0</v>
      </c>
      <c r="AS273" s="30">
        <v>46477.0</v>
      </c>
      <c r="AT273" s="36">
        <v>0.0</v>
      </c>
      <c r="AU273" s="36">
        <v>0.0</v>
      </c>
      <c r="AV273" s="35" t="s">
        <v>7045</v>
      </c>
      <c r="AW273" s="30">
        <v>46478.0</v>
      </c>
      <c r="AX273" s="30">
        <v>46568.0</v>
      </c>
      <c r="AY273" s="36">
        <v>0.0</v>
      </c>
      <c r="AZ273" s="36">
        <v>0.0</v>
      </c>
      <c r="BA273" s="35" t="s">
        <v>7045</v>
      </c>
      <c r="BB273" s="30">
        <v>46569.0</v>
      </c>
      <c r="BC273" s="30">
        <v>46660.0</v>
      </c>
      <c r="BD273" s="36">
        <v>0.0</v>
      </c>
      <c r="BE273" s="36">
        <v>0.0</v>
      </c>
      <c r="BF273" s="35" t="s">
        <v>7045</v>
      </c>
      <c r="BG273" s="30">
        <v>46661.0</v>
      </c>
      <c r="BH273" s="30">
        <v>46752.0</v>
      </c>
      <c r="BI273" s="36">
        <v>0.0</v>
      </c>
      <c r="BJ273" s="36">
        <v>0.0</v>
      </c>
      <c r="BK273" s="35" t="s">
        <v>7045</v>
      </c>
      <c r="BL273" s="30">
        <v>46753.0</v>
      </c>
      <c r="BM273" s="30">
        <v>46843.0</v>
      </c>
      <c r="BN273" s="36">
        <v>0.0</v>
      </c>
      <c r="BO273" s="36">
        <v>0.0</v>
      </c>
      <c r="BP273" s="35" t="s">
        <v>7045</v>
      </c>
      <c r="BQ273" s="30">
        <v>46844.0</v>
      </c>
      <c r="BR273" s="30">
        <v>46934.0</v>
      </c>
      <c r="BS273" s="36">
        <v>0.0</v>
      </c>
      <c r="BT273" s="36">
        <v>0.0</v>
      </c>
      <c r="BU273" s="35" t="s">
        <v>7045</v>
      </c>
      <c r="BV273" s="30">
        <v>46935.0</v>
      </c>
      <c r="BW273" s="30">
        <v>47026.0</v>
      </c>
      <c r="BX273" s="36">
        <v>0.0</v>
      </c>
      <c r="BY273" s="36">
        <v>0.0</v>
      </c>
      <c r="BZ273" s="35" t="s">
        <v>7045</v>
      </c>
      <c r="CA273" s="30">
        <v>47027.0</v>
      </c>
      <c r="CB273" s="30">
        <v>47118.0</v>
      </c>
      <c r="CC273" s="36">
        <v>0.0</v>
      </c>
      <c r="CD273" s="36">
        <v>0.0</v>
      </c>
      <c r="CE273" s="35" t="s">
        <v>7045</v>
      </c>
      <c r="CF273" s="30">
        <v>47119.0</v>
      </c>
      <c r="CG273" s="30">
        <v>47208.0</v>
      </c>
      <c r="CH273" s="36">
        <v>0.0</v>
      </c>
      <c r="CI273" s="36">
        <v>0.0</v>
      </c>
      <c r="CJ273" s="35" t="s">
        <v>7045</v>
      </c>
      <c r="CK273" s="30">
        <v>47209.0</v>
      </c>
      <c r="CL273" s="30">
        <v>47299.0</v>
      </c>
      <c r="CM273" s="36">
        <v>0.0</v>
      </c>
      <c r="CN273" s="36">
        <v>0.0</v>
      </c>
      <c r="CO273" s="35" t="s">
        <v>7045</v>
      </c>
      <c r="CP273" s="30">
        <v>47300.0</v>
      </c>
      <c r="CQ273" s="30">
        <v>47391.0</v>
      </c>
      <c r="CR273" s="36">
        <v>0.0</v>
      </c>
      <c r="CS273" s="36">
        <v>0.0</v>
      </c>
      <c r="CT273" s="35" t="s">
        <v>7045</v>
      </c>
      <c r="CU273" s="30">
        <v>47392.0</v>
      </c>
      <c r="CV273" s="30">
        <v>47483.0</v>
      </c>
      <c r="CW273" s="36">
        <v>0.0</v>
      </c>
      <c r="CX273" s="36">
        <v>0.0</v>
      </c>
      <c r="CY273" s="35" t="s">
        <v>7045</v>
      </c>
      <c r="CZ273" s="30">
        <v>47484.0</v>
      </c>
      <c r="DA273" s="30">
        <v>47573.0</v>
      </c>
      <c r="DB273" s="36">
        <v>0.0</v>
      </c>
      <c r="DC273" s="36">
        <v>0.0</v>
      </c>
      <c r="DD273" s="35" t="s">
        <v>7045</v>
      </c>
      <c r="DE273" s="30">
        <v>47574.0</v>
      </c>
      <c r="DF273" s="30">
        <v>47664.0</v>
      </c>
      <c r="DG273" s="36">
        <v>0.0</v>
      </c>
      <c r="DH273" s="36">
        <v>0.0</v>
      </c>
      <c r="DI273" s="35" t="s">
        <v>7045</v>
      </c>
      <c r="DJ273" s="30">
        <v>47665.0</v>
      </c>
      <c r="DK273" s="30">
        <v>47756.0</v>
      </c>
      <c r="DL273" s="36">
        <v>0.0</v>
      </c>
      <c r="DM273" s="36">
        <v>0.0</v>
      </c>
      <c r="DN273" s="35" t="s">
        <v>7045</v>
      </c>
      <c r="DO273" s="30">
        <v>47757.0</v>
      </c>
      <c r="DP273" s="30">
        <v>47848.0</v>
      </c>
      <c r="DQ273" s="36">
        <v>0.0</v>
      </c>
      <c r="DR273" s="36">
        <v>0.0</v>
      </c>
      <c r="DS273" s="35" t="s">
        <v>7045</v>
      </c>
    </row>
    <row r="274" ht="14.25" customHeight="1">
      <c r="A274" s="28" t="s">
        <v>1933</v>
      </c>
      <c r="B274" s="29" t="s">
        <v>1934</v>
      </c>
      <c r="C274" s="29" t="s">
        <v>7041</v>
      </c>
      <c r="D274" s="30">
        <v>45658.0</v>
      </c>
      <c r="E274" s="30">
        <v>45747.0</v>
      </c>
      <c r="F274" s="36">
        <v>27.69</v>
      </c>
      <c r="G274" s="36">
        <v>0.0</v>
      </c>
      <c r="H274" s="38" t="s">
        <v>7047</v>
      </c>
      <c r="I274" s="30">
        <v>45748.0</v>
      </c>
      <c r="J274" s="30">
        <v>45838.0</v>
      </c>
      <c r="K274" s="36">
        <v>18.46</v>
      </c>
      <c r="L274" s="36">
        <v>0.0</v>
      </c>
      <c r="M274" s="38" t="s">
        <v>7047</v>
      </c>
      <c r="N274" s="30">
        <v>45839.0</v>
      </c>
      <c r="O274" s="30">
        <v>45930.0</v>
      </c>
      <c r="P274" s="36">
        <v>123.87</v>
      </c>
      <c r="Q274" s="36">
        <v>134.16</v>
      </c>
      <c r="R274" s="38" t="s">
        <v>7047</v>
      </c>
      <c r="S274" s="30">
        <v>45931.0</v>
      </c>
      <c r="T274" s="30">
        <v>46022.0</v>
      </c>
      <c r="U274" s="36">
        <v>390.0</v>
      </c>
      <c r="V274" s="36">
        <v>109.76</v>
      </c>
      <c r="W274" s="38" t="s">
        <v>7047</v>
      </c>
      <c r="X274" s="30">
        <v>46023.0</v>
      </c>
      <c r="Y274" s="30">
        <v>46112.0</v>
      </c>
      <c r="Z274" s="36">
        <v>0.0</v>
      </c>
      <c r="AA274" s="36">
        <v>0.0</v>
      </c>
      <c r="AB274" s="35" t="s">
        <v>7045</v>
      </c>
      <c r="AC274" s="30">
        <v>46113.0</v>
      </c>
      <c r="AD274" s="30">
        <v>46203.0</v>
      </c>
      <c r="AE274" s="36">
        <v>1030.63</v>
      </c>
      <c r="AF274" s="36">
        <v>0.0</v>
      </c>
      <c r="AG274" s="38" t="s">
        <v>7047</v>
      </c>
      <c r="AH274" s="30">
        <v>46204.0</v>
      </c>
      <c r="AI274" s="30">
        <v>46295.0</v>
      </c>
      <c r="AJ274" s="36">
        <v>0.0</v>
      </c>
      <c r="AK274" s="36">
        <v>0.0</v>
      </c>
      <c r="AL274" s="35" t="s">
        <v>7045</v>
      </c>
      <c r="AM274" s="30">
        <v>46296.0</v>
      </c>
      <c r="AN274" s="30">
        <v>46387.0</v>
      </c>
      <c r="AO274" s="36">
        <v>43.88</v>
      </c>
      <c r="AP274" s="36">
        <v>0.0</v>
      </c>
      <c r="AQ274" s="38" t="s">
        <v>7047</v>
      </c>
      <c r="AR274" s="30">
        <v>46388.0</v>
      </c>
      <c r="AS274" s="30">
        <v>46477.0</v>
      </c>
      <c r="AT274" s="36">
        <v>0.0</v>
      </c>
      <c r="AU274" s="36">
        <v>0.0</v>
      </c>
      <c r="AV274" s="35" t="s">
        <v>7045</v>
      </c>
      <c r="AW274" s="30">
        <v>46478.0</v>
      </c>
      <c r="AX274" s="30">
        <v>46568.0</v>
      </c>
      <c r="AY274" s="36">
        <v>0.0</v>
      </c>
      <c r="AZ274" s="36">
        <v>0.0</v>
      </c>
      <c r="BA274" s="35" t="s">
        <v>7045</v>
      </c>
      <c r="BB274" s="30">
        <v>46569.0</v>
      </c>
      <c r="BC274" s="30">
        <v>46660.0</v>
      </c>
      <c r="BD274" s="36">
        <v>0.0</v>
      </c>
      <c r="BE274" s="36">
        <v>0.0</v>
      </c>
      <c r="BF274" s="35" t="s">
        <v>7045</v>
      </c>
      <c r="BG274" s="30">
        <v>46661.0</v>
      </c>
      <c r="BH274" s="30">
        <v>46752.0</v>
      </c>
      <c r="BI274" s="36">
        <v>0.0</v>
      </c>
      <c r="BJ274" s="36">
        <v>0.0</v>
      </c>
      <c r="BK274" s="35" t="s">
        <v>7045</v>
      </c>
      <c r="BL274" s="30">
        <v>46753.0</v>
      </c>
      <c r="BM274" s="30">
        <v>46843.0</v>
      </c>
      <c r="BN274" s="36">
        <v>0.0</v>
      </c>
      <c r="BO274" s="36">
        <v>0.0</v>
      </c>
      <c r="BP274" s="35" t="s">
        <v>7045</v>
      </c>
      <c r="BQ274" s="30">
        <v>46844.0</v>
      </c>
      <c r="BR274" s="30">
        <v>46934.0</v>
      </c>
      <c r="BS274" s="36">
        <v>0.0</v>
      </c>
      <c r="BT274" s="36">
        <v>0.0</v>
      </c>
      <c r="BU274" s="35" t="s">
        <v>7045</v>
      </c>
      <c r="BV274" s="30">
        <v>46935.0</v>
      </c>
      <c r="BW274" s="30">
        <v>47026.0</v>
      </c>
      <c r="BX274" s="36">
        <v>0.0</v>
      </c>
      <c r="BY274" s="36">
        <v>0.0</v>
      </c>
      <c r="BZ274" s="35" t="s">
        <v>7045</v>
      </c>
      <c r="CA274" s="30">
        <v>47027.0</v>
      </c>
      <c r="CB274" s="30">
        <v>47118.0</v>
      </c>
      <c r="CC274" s="36">
        <v>0.0</v>
      </c>
      <c r="CD274" s="36">
        <v>0.0</v>
      </c>
      <c r="CE274" s="35" t="s">
        <v>7045</v>
      </c>
      <c r="CF274" s="30">
        <v>47119.0</v>
      </c>
      <c r="CG274" s="30">
        <v>47208.0</v>
      </c>
      <c r="CH274" s="36">
        <v>0.0</v>
      </c>
      <c r="CI274" s="36">
        <v>0.0</v>
      </c>
      <c r="CJ274" s="35" t="s">
        <v>7045</v>
      </c>
      <c r="CK274" s="30">
        <v>47209.0</v>
      </c>
      <c r="CL274" s="30">
        <v>47299.0</v>
      </c>
      <c r="CM274" s="36">
        <v>0.0</v>
      </c>
      <c r="CN274" s="36">
        <v>0.0</v>
      </c>
      <c r="CO274" s="35" t="s">
        <v>7045</v>
      </c>
      <c r="CP274" s="30">
        <v>47300.0</v>
      </c>
      <c r="CQ274" s="30">
        <v>47391.0</v>
      </c>
      <c r="CR274" s="36">
        <v>0.0</v>
      </c>
      <c r="CS274" s="36">
        <v>0.0</v>
      </c>
      <c r="CT274" s="35" t="s">
        <v>7045</v>
      </c>
      <c r="CU274" s="30">
        <v>47392.0</v>
      </c>
      <c r="CV274" s="30">
        <v>47483.0</v>
      </c>
      <c r="CW274" s="36">
        <v>0.0</v>
      </c>
      <c r="CX274" s="36">
        <v>0.0</v>
      </c>
      <c r="CY274" s="35" t="s">
        <v>7045</v>
      </c>
      <c r="CZ274" s="30">
        <v>47484.0</v>
      </c>
      <c r="DA274" s="30">
        <v>47573.0</v>
      </c>
      <c r="DB274" s="36">
        <v>0.0</v>
      </c>
      <c r="DC274" s="36">
        <v>0.0</v>
      </c>
      <c r="DD274" s="35" t="s">
        <v>7045</v>
      </c>
      <c r="DE274" s="30">
        <v>47574.0</v>
      </c>
      <c r="DF274" s="30">
        <v>47664.0</v>
      </c>
      <c r="DG274" s="36">
        <v>0.0</v>
      </c>
      <c r="DH274" s="36">
        <v>0.0</v>
      </c>
      <c r="DI274" s="35" t="s">
        <v>7045</v>
      </c>
      <c r="DJ274" s="30">
        <v>47665.0</v>
      </c>
      <c r="DK274" s="30">
        <v>47756.0</v>
      </c>
      <c r="DL274" s="36">
        <v>0.0</v>
      </c>
      <c r="DM274" s="36">
        <v>0.0</v>
      </c>
      <c r="DN274" s="35" t="s">
        <v>7045</v>
      </c>
      <c r="DO274" s="30">
        <v>47757.0</v>
      </c>
      <c r="DP274" s="30">
        <v>47848.0</v>
      </c>
      <c r="DQ274" s="36">
        <v>0.0</v>
      </c>
      <c r="DR274" s="36">
        <v>0.0</v>
      </c>
      <c r="DS274" s="35" t="s">
        <v>7045</v>
      </c>
    </row>
    <row r="275" ht="14.25" customHeight="1">
      <c r="A275" s="28" t="s">
        <v>1987</v>
      </c>
      <c r="B275" s="29" t="s">
        <v>1988</v>
      </c>
      <c r="C275" s="29" t="s">
        <v>7041</v>
      </c>
      <c r="D275" s="30">
        <v>45658.0</v>
      </c>
      <c r="E275" s="30">
        <v>45747.0</v>
      </c>
      <c r="F275" s="36">
        <v>1.89</v>
      </c>
      <c r="G275" s="36">
        <v>0.0</v>
      </c>
      <c r="H275" s="38" t="s">
        <v>7047</v>
      </c>
      <c r="I275" s="30">
        <v>45748.0</v>
      </c>
      <c r="J275" s="30">
        <v>45838.0</v>
      </c>
      <c r="K275" s="36">
        <v>1.89</v>
      </c>
      <c r="L275" s="36">
        <v>333.35</v>
      </c>
      <c r="M275" s="32" t="s">
        <v>7043</v>
      </c>
      <c r="N275" s="30">
        <v>45839.0</v>
      </c>
      <c r="O275" s="30">
        <v>45930.0</v>
      </c>
      <c r="P275" s="36">
        <v>0.0</v>
      </c>
      <c r="Q275" s="36">
        <v>400.0</v>
      </c>
      <c r="R275" s="32" t="s">
        <v>7043</v>
      </c>
      <c r="S275" s="30">
        <v>45931.0</v>
      </c>
      <c r="T275" s="30">
        <v>46022.0</v>
      </c>
      <c r="U275" s="36">
        <v>26.19</v>
      </c>
      <c r="V275" s="36">
        <v>700.0</v>
      </c>
      <c r="W275" s="38" t="s">
        <v>7047</v>
      </c>
      <c r="X275" s="30">
        <v>46023.0</v>
      </c>
      <c r="Y275" s="30">
        <v>46112.0</v>
      </c>
      <c r="Z275" s="36">
        <v>21.79</v>
      </c>
      <c r="AA275" s="36">
        <v>0.0</v>
      </c>
      <c r="AB275" s="38" t="s">
        <v>7047</v>
      </c>
      <c r="AC275" s="30">
        <v>46113.0</v>
      </c>
      <c r="AD275" s="30">
        <v>46203.0</v>
      </c>
      <c r="AE275" s="36">
        <v>4.13</v>
      </c>
      <c r="AF275" s="36">
        <v>0.0</v>
      </c>
      <c r="AG275" s="38" t="s">
        <v>7047</v>
      </c>
      <c r="AH275" s="30">
        <v>46204.0</v>
      </c>
      <c r="AI275" s="30">
        <v>46295.0</v>
      </c>
      <c r="AJ275" s="36">
        <v>0.0</v>
      </c>
      <c r="AK275" s="36">
        <v>0.0</v>
      </c>
      <c r="AL275" s="35" t="s">
        <v>7045</v>
      </c>
      <c r="AM275" s="30">
        <v>46296.0</v>
      </c>
      <c r="AN275" s="30">
        <v>46387.0</v>
      </c>
      <c r="AO275" s="36">
        <v>0.0</v>
      </c>
      <c r="AP275" s="36">
        <v>0.0</v>
      </c>
      <c r="AQ275" s="35" t="s">
        <v>7045</v>
      </c>
      <c r="AR275" s="30">
        <v>46388.0</v>
      </c>
      <c r="AS275" s="30">
        <v>46477.0</v>
      </c>
      <c r="AT275" s="36">
        <v>0.0</v>
      </c>
      <c r="AU275" s="36">
        <v>0.0</v>
      </c>
      <c r="AV275" s="35" t="s">
        <v>7045</v>
      </c>
      <c r="AW275" s="30">
        <v>46478.0</v>
      </c>
      <c r="AX275" s="30">
        <v>46568.0</v>
      </c>
      <c r="AY275" s="36">
        <v>0.0</v>
      </c>
      <c r="AZ275" s="36">
        <v>0.0</v>
      </c>
      <c r="BA275" s="35" t="s">
        <v>7045</v>
      </c>
      <c r="BB275" s="30">
        <v>46569.0</v>
      </c>
      <c r="BC275" s="30">
        <v>46660.0</v>
      </c>
      <c r="BD275" s="36">
        <v>0.0</v>
      </c>
      <c r="BE275" s="36">
        <v>0.0</v>
      </c>
      <c r="BF275" s="35" t="s">
        <v>7045</v>
      </c>
      <c r="BG275" s="30">
        <v>46661.0</v>
      </c>
      <c r="BH275" s="30">
        <v>46752.0</v>
      </c>
      <c r="BI275" s="36">
        <v>0.0</v>
      </c>
      <c r="BJ275" s="36">
        <v>0.0</v>
      </c>
      <c r="BK275" s="35" t="s">
        <v>7045</v>
      </c>
      <c r="BL275" s="30">
        <v>46753.0</v>
      </c>
      <c r="BM275" s="30">
        <v>46843.0</v>
      </c>
      <c r="BN275" s="36">
        <v>0.0</v>
      </c>
      <c r="BO275" s="36">
        <v>0.0</v>
      </c>
      <c r="BP275" s="35" t="s">
        <v>7045</v>
      </c>
      <c r="BQ275" s="30">
        <v>46844.0</v>
      </c>
      <c r="BR275" s="30">
        <v>46934.0</v>
      </c>
      <c r="BS275" s="36">
        <v>0.0</v>
      </c>
      <c r="BT275" s="36">
        <v>0.0</v>
      </c>
      <c r="BU275" s="35" t="s">
        <v>7045</v>
      </c>
      <c r="BV275" s="30">
        <v>46935.0</v>
      </c>
      <c r="BW275" s="30">
        <v>47026.0</v>
      </c>
      <c r="BX275" s="36">
        <v>0.0</v>
      </c>
      <c r="BY275" s="36">
        <v>0.0</v>
      </c>
      <c r="BZ275" s="35" t="s">
        <v>7045</v>
      </c>
      <c r="CA275" s="30">
        <v>47027.0</v>
      </c>
      <c r="CB275" s="30">
        <v>47118.0</v>
      </c>
      <c r="CC275" s="36">
        <v>0.0</v>
      </c>
      <c r="CD275" s="36">
        <v>0.0</v>
      </c>
      <c r="CE275" s="35" t="s">
        <v>7045</v>
      </c>
      <c r="CF275" s="30">
        <v>47119.0</v>
      </c>
      <c r="CG275" s="30">
        <v>47208.0</v>
      </c>
      <c r="CH275" s="36">
        <v>0.0</v>
      </c>
      <c r="CI275" s="36">
        <v>0.0</v>
      </c>
      <c r="CJ275" s="35" t="s">
        <v>7045</v>
      </c>
      <c r="CK275" s="30">
        <v>47209.0</v>
      </c>
      <c r="CL275" s="30">
        <v>47299.0</v>
      </c>
      <c r="CM275" s="36">
        <v>0.0</v>
      </c>
      <c r="CN275" s="36">
        <v>0.0</v>
      </c>
      <c r="CO275" s="35" t="s">
        <v>7045</v>
      </c>
      <c r="CP275" s="30">
        <v>47300.0</v>
      </c>
      <c r="CQ275" s="30">
        <v>47391.0</v>
      </c>
      <c r="CR275" s="36">
        <v>0.0</v>
      </c>
      <c r="CS275" s="36">
        <v>0.0</v>
      </c>
      <c r="CT275" s="35" t="s">
        <v>7045</v>
      </c>
      <c r="CU275" s="30">
        <v>47392.0</v>
      </c>
      <c r="CV275" s="30">
        <v>47483.0</v>
      </c>
      <c r="CW275" s="36">
        <v>0.0</v>
      </c>
      <c r="CX275" s="36">
        <v>0.0</v>
      </c>
      <c r="CY275" s="35" t="s">
        <v>7045</v>
      </c>
      <c r="CZ275" s="30">
        <v>47484.0</v>
      </c>
      <c r="DA275" s="30">
        <v>47573.0</v>
      </c>
      <c r="DB275" s="36">
        <v>0.0</v>
      </c>
      <c r="DC275" s="36">
        <v>0.0</v>
      </c>
      <c r="DD275" s="35" t="s">
        <v>7045</v>
      </c>
      <c r="DE275" s="30">
        <v>47574.0</v>
      </c>
      <c r="DF275" s="30">
        <v>47664.0</v>
      </c>
      <c r="DG275" s="36">
        <v>0.0</v>
      </c>
      <c r="DH275" s="36">
        <v>0.0</v>
      </c>
      <c r="DI275" s="35" t="s">
        <v>7045</v>
      </c>
      <c r="DJ275" s="30">
        <v>47665.0</v>
      </c>
      <c r="DK275" s="30">
        <v>47756.0</v>
      </c>
      <c r="DL275" s="36">
        <v>0.0</v>
      </c>
      <c r="DM275" s="36">
        <v>0.0</v>
      </c>
      <c r="DN275" s="35" t="s">
        <v>7045</v>
      </c>
      <c r="DO275" s="30">
        <v>47757.0</v>
      </c>
      <c r="DP275" s="30">
        <v>47848.0</v>
      </c>
      <c r="DQ275" s="36">
        <v>0.0</v>
      </c>
      <c r="DR275" s="36">
        <v>0.0</v>
      </c>
      <c r="DS275" s="35" t="s">
        <v>7045</v>
      </c>
    </row>
    <row r="276" ht="14.25" customHeight="1">
      <c r="A276" s="28" t="s">
        <v>2089</v>
      </c>
      <c r="B276" s="29" t="s">
        <v>2090</v>
      </c>
      <c r="C276" s="29" t="s">
        <v>7041</v>
      </c>
      <c r="D276" s="30">
        <v>45658.0</v>
      </c>
      <c r="E276" s="30">
        <v>45747.0</v>
      </c>
      <c r="F276" s="39">
        <v>12.2</v>
      </c>
      <c r="G276" s="39">
        <v>0.0</v>
      </c>
      <c r="H276" s="38" t="s">
        <v>7047</v>
      </c>
      <c r="I276" s="30">
        <v>45748.0</v>
      </c>
      <c r="J276" s="30">
        <v>45838.0</v>
      </c>
      <c r="K276" s="39">
        <v>10.83</v>
      </c>
      <c r="L276" s="39">
        <v>373.0</v>
      </c>
      <c r="M276" s="38" t="s">
        <v>7043</v>
      </c>
      <c r="N276" s="30">
        <v>45839.0</v>
      </c>
      <c r="O276" s="30">
        <v>45930.0</v>
      </c>
      <c r="P276" s="39">
        <v>256.81</v>
      </c>
      <c r="Q276" s="39">
        <v>630.0</v>
      </c>
      <c r="R276" s="38" t="s">
        <v>7047</v>
      </c>
      <c r="S276" s="30">
        <v>45931.0</v>
      </c>
      <c r="T276" s="30">
        <v>46022.0</v>
      </c>
      <c r="U276" s="39">
        <v>961.0</v>
      </c>
      <c r="V276" s="39">
        <v>470.0</v>
      </c>
      <c r="W276" s="38" t="s">
        <v>7047</v>
      </c>
      <c r="X276" s="30">
        <v>46023.0</v>
      </c>
      <c r="Y276" s="30">
        <v>46112.0</v>
      </c>
      <c r="Z276" s="39">
        <v>25.0</v>
      </c>
      <c r="AA276" s="39">
        <v>0.0</v>
      </c>
      <c r="AB276" s="38" t="s">
        <v>7047</v>
      </c>
      <c r="AC276" s="30">
        <v>46113.0</v>
      </c>
      <c r="AD276" s="30">
        <v>46203.0</v>
      </c>
      <c r="AE276" s="39">
        <v>150.0</v>
      </c>
      <c r="AF276" s="39">
        <v>0.0</v>
      </c>
      <c r="AG276" s="38" t="s">
        <v>7047</v>
      </c>
      <c r="AH276" s="30">
        <v>46204.0</v>
      </c>
      <c r="AI276" s="30">
        <v>46295.0</v>
      </c>
      <c r="AJ276" s="39">
        <v>30.0</v>
      </c>
      <c r="AK276" s="39">
        <v>0.0</v>
      </c>
      <c r="AL276" s="38" t="s">
        <v>7047</v>
      </c>
      <c r="AM276" s="30">
        <v>46296.0</v>
      </c>
      <c r="AN276" s="30">
        <v>46387.0</v>
      </c>
      <c r="AO276" s="39">
        <v>190.0</v>
      </c>
      <c r="AP276" s="39">
        <v>0.0</v>
      </c>
      <c r="AQ276" s="38" t="s">
        <v>7047</v>
      </c>
      <c r="AR276" s="30">
        <v>46388.0</v>
      </c>
      <c r="AS276" s="30">
        <v>46477.0</v>
      </c>
      <c r="AT276" s="39">
        <v>0.0</v>
      </c>
      <c r="AU276" s="39">
        <v>0.0</v>
      </c>
      <c r="AV276" s="35" t="s">
        <v>7045</v>
      </c>
      <c r="AW276" s="30">
        <v>46478.0</v>
      </c>
      <c r="AX276" s="30">
        <v>46568.0</v>
      </c>
      <c r="AY276" s="39">
        <v>0.0</v>
      </c>
      <c r="AZ276" s="39">
        <v>0.0</v>
      </c>
      <c r="BA276" s="35" t="s">
        <v>7045</v>
      </c>
      <c r="BB276" s="30">
        <v>46569.0</v>
      </c>
      <c r="BC276" s="30">
        <v>46660.0</v>
      </c>
      <c r="BD276" s="39">
        <v>0.0</v>
      </c>
      <c r="BE276" s="39">
        <v>0.0</v>
      </c>
      <c r="BF276" s="35" t="s">
        <v>7045</v>
      </c>
      <c r="BG276" s="30">
        <v>46661.0</v>
      </c>
      <c r="BH276" s="30">
        <v>46752.0</v>
      </c>
      <c r="BI276" s="39">
        <v>0.0</v>
      </c>
      <c r="BJ276" s="39">
        <v>0.0</v>
      </c>
      <c r="BK276" s="35" t="s">
        <v>7045</v>
      </c>
      <c r="BL276" s="30">
        <v>46753.0</v>
      </c>
      <c r="BM276" s="30">
        <v>46843.0</v>
      </c>
      <c r="BN276" s="39">
        <v>0.0</v>
      </c>
      <c r="BO276" s="39">
        <v>0.0</v>
      </c>
      <c r="BP276" s="35" t="s">
        <v>7045</v>
      </c>
      <c r="BQ276" s="30">
        <v>46844.0</v>
      </c>
      <c r="BR276" s="30">
        <v>46934.0</v>
      </c>
      <c r="BS276" s="39">
        <v>0.0</v>
      </c>
      <c r="BT276" s="39">
        <v>0.0</v>
      </c>
      <c r="BU276" s="35" t="s">
        <v>7045</v>
      </c>
      <c r="BV276" s="30">
        <v>46935.0</v>
      </c>
      <c r="BW276" s="30">
        <v>47026.0</v>
      </c>
      <c r="BX276" s="39">
        <v>0.0</v>
      </c>
      <c r="BY276" s="39">
        <v>0.0</v>
      </c>
      <c r="BZ276" s="35" t="s">
        <v>7045</v>
      </c>
      <c r="CA276" s="30">
        <v>47027.0</v>
      </c>
      <c r="CB276" s="30">
        <v>47118.0</v>
      </c>
      <c r="CC276" s="39">
        <v>0.0</v>
      </c>
      <c r="CD276" s="39">
        <v>0.0</v>
      </c>
      <c r="CE276" s="35" t="s">
        <v>7045</v>
      </c>
      <c r="CF276" s="30">
        <v>47119.0</v>
      </c>
      <c r="CG276" s="30">
        <v>47208.0</v>
      </c>
      <c r="CH276" s="39">
        <v>0.0</v>
      </c>
      <c r="CI276" s="39">
        <v>0.0</v>
      </c>
      <c r="CJ276" s="35" t="s">
        <v>7045</v>
      </c>
      <c r="CK276" s="30">
        <v>47209.0</v>
      </c>
      <c r="CL276" s="30">
        <v>47299.0</v>
      </c>
      <c r="CM276" s="39">
        <v>0.0</v>
      </c>
      <c r="CN276" s="39">
        <v>0.0</v>
      </c>
      <c r="CO276" s="35" t="s">
        <v>7045</v>
      </c>
      <c r="CP276" s="30">
        <v>47300.0</v>
      </c>
      <c r="CQ276" s="30">
        <v>47391.0</v>
      </c>
      <c r="CR276" s="39">
        <v>0.0</v>
      </c>
      <c r="CS276" s="39">
        <v>0.0</v>
      </c>
      <c r="CT276" s="35" t="s">
        <v>7045</v>
      </c>
      <c r="CU276" s="30">
        <v>47392.0</v>
      </c>
      <c r="CV276" s="30">
        <v>47483.0</v>
      </c>
      <c r="CW276" s="39">
        <v>0.0</v>
      </c>
      <c r="CX276" s="39">
        <v>0.0</v>
      </c>
      <c r="CY276" s="35" t="s">
        <v>7045</v>
      </c>
      <c r="CZ276" s="30">
        <v>47484.0</v>
      </c>
      <c r="DA276" s="30">
        <v>47573.0</v>
      </c>
      <c r="DB276" s="39">
        <v>0.0</v>
      </c>
      <c r="DC276" s="39">
        <v>0.0</v>
      </c>
      <c r="DD276" s="35" t="s">
        <v>7045</v>
      </c>
      <c r="DE276" s="30">
        <v>47574.0</v>
      </c>
      <c r="DF276" s="30">
        <v>47664.0</v>
      </c>
      <c r="DG276" s="39">
        <v>0.0</v>
      </c>
      <c r="DH276" s="39">
        <v>0.0</v>
      </c>
      <c r="DI276" s="35" t="s">
        <v>7045</v>
      </c>
      <c r="DJ276" s="30">
        <v>47665.0</v>
      </c>
      <c r="DK276" s="30">
        <v>47756.0</v>
      </c>
      <c r="DL276" s="39">
        <v>0.0</v>
      </c>
      <c r="DM276" s="39">
        <v>0.0</v>
      </c>
      <c r="DN276" s="35" t="s">
        <v>7045</v>
      </c>
      <c r="DO276" s="30">
        <v>47757.0</v>
      </c>
      <c r="DP276" s="30">
        <v>47848.0</v>
      </c>
      <c r="DQ276" s="39">
        <v>0.0</v>
      </c>
      <c r="DR276" s="39">
        <v>0.0</v>
      </c>
      <c r="DS276" s="35" t="s">
        <v>7045</v>
      </c>
    </row>
    <row r="277" ht="14.25" customHeight="1">
      <c r="A277" s="28" t="s">
        <v>2173</v>
      </c>
      <c r="B277" s="29" t="s">
        <v>2174</v>
      </c>
      <c r="C277" s="29" t="s">
        <v>7041</v>
      </c>
      <c r="D277" s="30">
        <v>45658.0</v>
      </c>
      <c r="E277" s="30">
        <v>45747.0</v>
      </c>
      <c r="F277" s="39">
        <v>12.57</v>
      </c>
      <c r="G277" s="39">
        <v>0.0</v>
      </c>
      <c r="H277" s="38" t="s">
        <v>7047</v>
      </c>
      <c r="I277" s="30">
        <v>45748.0</v>
      </c>
      <c r="J277" s="30">
        <v>45838.0</v>
      </c>
      <c r="K277" s="39">
        <v>1.92</v>
      </c>
      <c r="L277" s="39">
        <v>295.92</v>
      </c>
      <c r="M277" s="38" t="s">
        <v>7043</v>
      </c>
      <c r="N277" s="30">
        <v>45839.0</v>
      </c>
      <c r="O277" s="30">
        <v>45930.0</v>
      </c>
      <c r="P277" s="39">
        <v>173.74</v>
      </c>
      <c r="Q277" s="39">
        <v>436.73</v>
      </c>
      <c r="R277" s="38" t="s">
        <v>7047</v>
      </c>
      <c r="S277" s="30">
        <v>45931.0</v>
      </c>
      <c r="T277" s="30">
        <v>46022.0</v>
      </c>
      <c r="U277" s="39">
        <v>386.8</v>
      </c>
      <c r="V277" s="39">
        <v>481.63</v>
      </c>
      <c r="W277" s="38" t="s">
        <v>7047</v>
      </c>
      <c r="X277" s="30">
        <v>46023.0</v>
      </c>
      <c r="Y277" s="30">
        <v>46112.0</v>
      </c>
      <c r="Z277" s="39">
        <v>280.0</v>
      </c>
      <c r="AA277" s="39">
        <v>0.0</v>
      </c>
      <c r="AB277" s="38" t="s">
        <v>7047</v>
      </c>
      <c r="AC277" s="30">
        <v>46113.0</v>
      </c>
      <c r="AD277" s="30">
        <v>46203.0</v>
      </c>
      <c r="AE277" s="39">
        <v>150.0</v>
      </c>
      <c r="AF277" s="39">
        <v>0.0</v>
      </c>
      <c r="AG277" s="38" t="s">
        <v>7047</v>
      </c>
      <c r="AH277" s="30">
        <v>46204.0</v>
      </c>
      <c r="AI277" s="30">
        <v>46295.0</v>
      </c>
      <c r="AJ277" s="39">
        <v>0.0</v>
      </c>
      <c r="AK277" s="39">
        <v>0.0</v>
      </c>
      <c r="AL277" s="35" t="s">
        <v>7045</v>
      </c>
      <c r="AM277" s="30">
        <v>46296.0</v>
      </c>
      <c r="AN277" s="30">
        <v>46387.0</v>
      </c>
      <c r="AO277" s="39">
        <v>0.0</v>
      </c>
      <c r="AP277" s="39">
        <v>0.0</v>
      </c>
      <c r="AQ277" s="35" t="s">
        <v>7045</v>
      </c>
      <c r="AR277" s="30">
        <v>46388.0</v>
      </c>
      <c r="AS277" s="30">
        <v>46477.0</v>
      </c>
      <c r="AT277" s="39">
        <v>0.0</v>
      </c>
      <c r="AU277" s="39">
        <v>0.0</v>
      </c>
      <c r="AV277" s="35" t="s">
        <v>7045</v>
      </c>
      <c r="AW277" s="30">
        <v>46478.0</v>
      </c>
      <c r="AX277" s="30">
        <v>46568.0</v>
      </c>
      <c r="AY277" s="39">
        <v>0.0</v>
      </c>
      <c r="AZ277" s="39">
        <v>0.0</v>
      </c>
      <c r="BA277" s="35" t="s">
        <v>7045</v>
      </c>
      <c r="BB277" s="30">
        <v>46569.0</v>
      </c>
      <c r="BC277" s="30">
        <v>46660.0</v>
      </c>
      <c r="BD277" s="39">
        <v>0.0</v>
      </c>
      <c r="BE277" s="39">
        <v>0.0</v>
      </c>
      <c r="BF277" s="35" t="s">
        <v>7045</v>
      </c>
      <c r="BG277" s="30">
        <v>46661.0</v>
      </c>
      <c r="BH277" s="30">
        <v>46752.0</v>
      </c>
      <c r="BI277" s="39">
        <v>0.0</v>
      </c>
      <c r="BJ277" s="39">
        <v>0.0</v>
      </c>
      <c r="BK277" s="35" t="s">
        <v>7045</v>
      </c>
      <c r="BL277" s="30">
        <v>46753.0</v>
      </c>
      <c r="BM277" s="30">
        <v>46843.0</v>
      </c>
      <c r="BN277" s="39">
        <v>0.0</v>
      </c>
      <c r="BO277" s="39">
        <v>0.0</v>
      </c>
      <c r="BP277" s="35" t="s">
        <v>7045</v>
      </c>
      <c r="BQ277" s="30">
        <v>46844.0</v>
      </c>
      <c r="BR277" s="30">
        <v>46934.0</v>
      </c>
      <c r="BS277" s="39">
        <v>0.0</v>
      </c>
      <c r="BT277" s="39">
        <v>0.0</v>
      </c>
      <c r="BU277" s="35" t="s">
        <v>7045</v>
      </c>
      <c r="BV277" s="30">
        <v>46935.0</v>
      </c>
      <c r="BW277" s="30">
        <v>47026.0</v>
      </c>
      <c r="BX277" s="39">
        <v>0.0</v>
      </c>
      <c r="BY277" s="39">
        <v>0.0</v>
      </c>
      <c r="BZ277" s="35" t="s">
        <v>7045</v>
      </c>
      <c r="CA277" s="30">
        <v>47027.0</v>
      </c>
      <c r="CB277" s="30">
        <v>47118.0</v>
      </c>
      <c r="CC277" s="39">
        <v>0.0</v>
      </c>
      <c r="CD277" s="39">
        <v>0.0</v>
      </c>
      <c r="CE277" s="35" t="s">
        <v>7045</v>
      </c>
      <c r="CF277" s="30">
        <v>47119.0</v>
      </c>
      <c r="CG277" s="30">
        <v>47208.0</v>
      </c>
      <c r="CH277" s="39">
        <v>0.0</v>
      </c>
      <c r="CI277" s="39">
        <v>0.0</v>
      </c>
      <c r="CJ277" s="35" t="s">
        <v>7045</v>
      </c>
      <c r="CK277" s="30">
        <v>47209.0</v>
      </c>
      <c r="CL277" s="30">
        <v>47299.0</v>
      </c>
      <c r="CM277" s="39">
        <v>0.0</v>
      </c>
      <c r="CN277" s="39">
        <v>0.0</v>
      </c>
      <c r="CO277" s="35" t="s">
        <v>7045</v>
      </c>
      <c r="CP277" s="30">
        <v>47300.0</v>
      </c>
      <c r="CQ277" s="30">
        <v>47391.0</v>
      </c>
      <c r="CR277" s="39">
        <v>0.0</v>
      </c>
      <c r="CS277" s="39">
        <v>0.0</v>
      </c>
      <c r="CT277" s="35" t="s">
        <v>7045</v>
      </c>
      <c r="CU277" s="30">
        <v>47392.0</v>
      </c>
      <c r="CV277" s="30">
        <v>47483.0</v>
      </c>
      <c r="CW277" s="39">
        <v>0.0</v>
      </c>
      <c r="CX277" s="39">
        <v>0.0</v>
      </c>
      <c r="CY277" s="35" t="s">
        <v>7045</v>
      </c>
      <c r="CZ277" s="30">
        <v>47484.0</v>
      </c>
      <c r="DA277" s="30">
        <v>47573.0</v>
      </c>
      <c r="DB277" s="39">
        <v>0.0</v>
      </c>
      <c r="DC277" s="39">
        <v>0.0</v>
      </c>
      <c r="DD277" s="35" t="s">
        <v>7045</v>
      </c>
      <c r="DE277" s="30">
        <v>47574.0</v>
      </c>
      <c r="DF277" s="30">
        <v>47664.0</v>
      </c>
      <c r="DG277" s="39">
        <v>0.0</v>
      </c>
      <c r="DH277" s="39">
        <v>0.0</v>
      </c>
      <c r="DI277" s="35" t="s">
        <v>7045</v>
      </c>
      <c r="DJ277" s="30">
        <v>47665.0</v>
      </c>
      <c r="DK277" s="30">
        <v>47756.0</v>
      </c>
      <c r="DL277" s="39">
        <v>0.0</v>
      </c>
      <c r="DM277" s="39">
        <v>0.0</v>
      </c>
      <c r="DN277" s="35" t="s">
        <v>7045</v>
      </c>
      <c r="DO277" s="30">
        <v>47757.0</v>
      </c>
      <c r="DP277" s="30">
        <v>47848.0</v>
      </c>
      <c r="DQ277" s="39">
        <v>0.0</v>
      </c>
      <c r="DR277" s="39">
        <v>0.0</v>
      </c>
      <c r="DS277" s="35" t="s">
        <v>7045</v>
      </c>
    </row>
    <row r="278" ht="14.25" customHeight="1">
      <c r="A278" s="28" t="s">
        <v>2256</v>
      </c>
      <c r="B278" s="29" t="s">
        <v>2257</v>
      </c>
      <c r="C278" s="29" t="s">
        <v>7041</v>
      </c>
      <c r="D278" s="30">
        <v>45658.0</v>
      </c>
      <c r="E278" s="30">
        <v>45747.0</v>
      </c>
      <c r="F278" s="36">
        <v>12.16</v>
      </c>
      <c r="G278" s="36">
        <v>0.0</v>
      </c>
      <c r="H278" s="38" t="s">
        <v>7047</v>
      </c>
      <c r="I278" s="30">
        <v>45748.0</v>
      </c>
      <c r="J278" s="30">
        <v>45838.0</v>
      </c>
      <c r="K278" s="36">
        <v>12.02</v>
      </c>
      <c r="L278" s="36">
        <v>0.0</v>
      </c>
      <c r="M278" s="38" t="s">
        <v>7047</v>
      </c>
      <c r="N278" s="30">
        <v>45839.0</v>
      </c>
      <c r="O278" s="30">
        <v>45930.0</v>
      </c>
      <c r="P278" s="36">
        <v>120.31</v>
      </c>
      <c r="Q278" s="36">
        <v>124.99</v>
      </c>
      <c r="R278" s="38" t="s">
        <v>7047</v>
      </c>
      <c r="S278" s="30">
        <v>45931.0</v>
      </c>
      <c r="T278" s="30">
        <v>46022.0</v>
      </c>
      <c r="U278" s="36">
        <v>434.64</v>
      </c>
      <c r="V278" s="36">
        <v>83.33</v>
      </c>
      <c r="W278" s="38" t="s">
        <v>7047</v>
      </c>
      <c r="X278" s="30">
        <v>46023.0</v>
      </c>
      <c r="Y278" s="30">
        <v>46112.0</v>
      </c>
      <c r="Z278" s="36">
        <v>111.38</v>
      </c>
      <c r="AA278" s="36">
        <v>0.0</v>
      </c>
      <c r="AB278" s="38" t="s">
        <v>7047</v>
      </c>
      <c r="AC278" s="30">
        <v>46113.0</v>
      </c>
      <c r="AD278" s="30">
        <v>46203.0</v>
      </c>
      <c r="AE278" s="36">
        <v>0.0</v>
      </c>
      <c r="AF278" s="36">
        <v>0.0</v>
      </c>
      <c r="AG278" s="35" t="s">
        <v>7045</v>
      </c>
      <c r="AH278" s="30">
        <v>46204.0</v>
      </c>
      <c r="AI278" s="30">
        <v>46295.0</v>
      </c>
      <c r="AJ278" s="36">
        <v>17.11</v>
      </c>
      <c r="AK278" s="36">
        <v>0.0</v>
      </c>
      <c r="AL278" s="38" t="s">
        <v>7047</v>
      </c>
      <c r="AM278" s="30">
        <v>46296.0</v>
      </c>
      <c r="AN278" s="30">
        <v>46387.0</v>
      </c>
      <c r="AO278" s="36">
        <v>0.0</v>
      </c>
      <c r="AP278" s="36">
        <v>0.0</v>
      </c>
      <c r="AQ278" s="35" t="s">
        <v>7045</v>
      </c>
      <c r="AR278" s="30">
        <v>46388.0</v>
      </c>
      <c r="AS278" s="30">
        <v>46477.0</v>
      </c>
      <c r="AT278" s="36">
        <v>0.0</v>
      </c>
      <c r="AU278" s="36">
        <v>0.0</v>
      </c>
      <c r="AV278" s="35" t="s">
        <v>7045</v>
      </c>
      <c r="AW278" s="30">
        <v>46478.0</v>
      </c>
      <c r="AX278" s="30">
        <v>46568.0</v>
      </c>
      <c r="AY278" s="36">
        <v>0.0</v>
      </c>
      <c r="AZ278" s="36">
        <v>0.0</v>
      </c>
      <c r="BA278" s="35" t="s">
        <v>7045</v>
      </c>
      <c r="BB278" s="30">
        <v>46569.0</v>
      </c>
      <c r="BC278" s="30">
        <v>46660.0</v>
      </c>
      <c r="BD278" s="36">
        <v>0.0</v>
      </c>
      <c r="BE278" s="36">
        <v>0.0</v>
      </c>
      <c r="BF278" s="35" t="s">
        <v>7045</v>
      </c>
      <c r="BG278" s="30">
        <v>46661.0</v>
      </c>
      <c r="BH278" s="30">
        <v>46752.0</v>
      </c>
      <c r="BI278" s="36">
        <v>0.0</v>
      </c>
      <c r="BJ278" s="36">
        <v>0.0</v>
      </c>
      <c r="BK278" s="35" t="s">
        <v>7045</v>
      </c>
      <c r="BL278" s="30">
        <v>46753.0</v>
      </c>
      <c r="BM278" s="30">
        <v>46843.0</v>
      </c>
      <c r="BN278" s="36">
        <v>0.0</v>
      </c>
      <c r="BO278" s="36">
        <v>0.0</v>
      </c>
      <c r="BP278" s="35" t="s">
        <v>7045</v>
      </c>
      <c r="BQ278" s="30">
        <v>46844.0</v>
      </c>
      <c r="BR278" s="30">
        <v>46934.0</v>
      </c>
      <c r="BS278" s="36">
        <v>0.0</v>
      </c>
      <c r="BT278" s="36">
        <v>0.0</v>
      </c>
      <c r="BU278" s="35" t="s">
        <v>7045</v>
      </c>
      <c r="BV278" s="30">
        <v>46935.0</v>
      </c>
      <c r="BW278" s="30">
        <v>47026.0</v>
      </c>
      <c r="BX278" s="36">
        <v>0.0</v>
      </c>
      <c r="BY278" s="36">
        <v>0.0</v>
      </c>
      <c r="BZ278" s="35" t="s">
        <v>7045</v>
      </c>
      <c r="CA278" s="30">
        <v>47027.0</v>
      </c>
      <c r="CB278" s="30">
        <v>47118.0</v>
      </c>
      <c r="CC278" s="36">
        <v>0.0</v>
      </c>
      <c r="CD278" s="36">
        <v>0.0</v>
      </c>
      <c r="CE278" s="35" t="s">
        <v>7045</v>
      </c>
      <c r="CF278" s="30">
        <v>47119.0</v>
      </c>
      <c r="CG278" s="30">
        <v>47208.0</v>
      </c>
      <c r="CH278" s="36">
        <v>0.0</v>
      </c>
      <c r="CI278" s="36">
        <v>0.0</v>
      </c>
      <c r="CJ278" s="35" t="s">
        <v>7045</v>
      </c>
      <c r="CK278" s="30">
        <v>47209.0</v>
      </c>
      <c r="CL278" s="30">
        <v>47299.0</v>
      </c>
      <c r="CM278" s="36">
        <v>0.0</v>
      </c>
      <c r="CN278" s="36">
        <v>0.0</v>
      </c>
      <c r="CO278" s="35" t="s">
        <v>7045</v>
      </c>
      <c r="CP278" s="30">
        <v>47300.0</v>
      </c>
      <c r="CQ278" s="30">
        <v>47391.0</v>
      </c>
      <c r="CR278" s="36">
        <v>0.0</v>
      </c>
      <c r="CS278" s="36">
        <v>0.0</v>
      </c>
      <c r="CT278" s="35" t="s">
        <v>7045</v>
      </c>
      <c r="CU278" s="30">
        <v>47392.0</v>
      </c>
      <c r="CV278" s="30">
        <v>47483.0</v>
      </c>
      <c r="CW278" s="36">
        <v>0.0</v>
      </c>
      <c r="CX278" s="36">
        <v>0.0</v>
      </c>
      <c r="CY278" s="35" t="s">
        <v>7045</v>
      </c>
      <c r="CZ278" s="30">
        <v>47484.0</v>
      </c>
      <c r="DA278" s="30">
        <v>47573.0</v>
      </c>
      <c r="DB278" s="36">
        <v>0.0</v>
      </c>
      <c r="DC278" s="36">
        <v>0.0</v>
      </c>
      <c r="DD278" s="35" t="s">
        <v>7045</v>
      </c>
      <c r="DE278" s="30">
        <v>47574.0</v>
      </c>
      <c r="DF278" s="30">
        <v>47664.0</v>
      </c>
      <c r="DG278" s="36">
        <v>0.0</v>
      </c>
      <c r="DH278" s="36">
        <v>0.0</v>
      </c>
      <c r="DI278" s="35" t="s">
        <v>7045</v>
      </c>
      <c r="DJ278" s="30">
        <v>47665.0</v>
      </c>
      <c r="DK278" s="30">
        <v>47756.0</v>
      </c>
      <c r="DL278" s="36">
        <v>0.0</v>
      </c>
      <c r="DM278" s="36">
        <v>0.0</v>
      </c>
      <c r="DN278" s="35" t="s">
        <v>7045</v>
      </c>
      <c r="DO278" s="30">
        <v>47757.0</v>
      </c>
      <c r="DP278" s="30">
        <v>47848.0</v>
      </c>
      <c r="DQ278" s="36">
        <v>0.0</v>
      </c>
      <c r="DR278" s="36">
        <v>0.0</v>
      </c>
      <c r="DS278" s="35" t="s">
        <v>7045</v>
      </c>
    </row>
    <row r="279" ht="14.25" customHeight="1">
      <c r="A279" s="28" t="s">
        <v>2265</v>
      </c>
      <c r="B279" s="29" t="s">
        <v>2266</v>
      </c>
      <c r="C279" s="29" t="s">
        <v>7041</v>
      </c>
      <c r="D279" s="30">
        <v>45658.0</v>
      </c>
      <c r="E279" s="30">
        <v>45747.0</v>
      </c>
      <c r="F279" s="39">
        <v>12.59</v>
      </c>
      <c r="G279" s="39">
        <v>0.0</v>
      </c>
      <c r="H279" s="38" t="s">
        <v>7047</v>
      </c>
      <c r="I279" s="30">
        <v>45748.0</v>
      </c>
      <c r="J279" s="30">
        <v>45838.0</v>
      </c>
      <c r="K279" s="39">
        <v>2.84</v>
      </c>
      <c r="L279" s="39">
        <v>420.0</v>
      </c>
      <c r="M279" s="32" t="s">
        <v>7043</v>
      </c>
      <c r="N279" s="30">
        <v>45839.0</v>
      </c>
      <c r="O279" s="30">
        <v>45930.0</v>
      </c>
      <c r="P279" s="39">
        <v>402.61</v>
      </c>
      <c r="Q279" s="39">
        <v>270.0</v>
      </c>
      <c r="R279" s="38" t="s">
        <v>7047</v>
      </c>
      <c r="S279" s="30">
        <v>45931.0</v>
      </c>
      <c r="T279" s="30">
        <v>46022.0</v>
      </c>
      <c r="U279" s="39">
        <v>37.0</v>
      </c>
      <c r="V279" s="39">
        <v>573.33</v>
      </c>
      <c r="W279" s="38" t="s">
        <v>7047</v>
      </c>
      <c r="X279" s="30">
        <v>46023.0</v>
      </c>
      <c r="Y279" s="30">
        <v>46112.0</v>
      </c>
      <c r="Z279" s="39">
        <v>0.0</v>
      </c>
      <c r="AA279" s="39">
        <v>0.0</v>
      </c>
      <c r="AB279" s="35" t="s">
        <v>7045</v>
      </c>
      <c r="AC279" s="30">
        <v>46113.0</v>
      </c>
      <c r="AD279" s="30">
        <v>46203.0</v>
      </c>
      <c r="AE279" s="39">
        <v>0.0</v>
      </c>
      <c r="AF279" s="39">
        <v>0.0</v>
      </c>
      <c r="AG279" s="35" t="s">
        <v>7045</v>
      </c>
      <c r="AH279" s="30">
        <v>46204.0</v>
      </c>
      <c r="AI279" s="30">
        <v>46295.0</v>
      </c>
      <c r="AJ279" s="39">
        <v>0.0</v>
      </c>
      <c r="AK279" s="39">
        <v>0.0</v>
      </c>
      <c r="AL279" s="35" t="s">
        <v>7045</v>
      </c>
      <c r="AM279" s="30">
        <v>46296.0</v>
      </c>
      <c r="AN279" s="30">
        <v>46387.0</v>
      </c>
      <c r="AO279" s="39">
        <v>0.0</v>
      </c>
      <c r="AP279" s="39">
        <v>0.0</v>
      </c>
      <c r="AQ279" s="35" t="s">
        <v>7045</v>
      </c>
      <c r="AR279" s="30">
        <v>46388.0</v>
      </c>
      <c r="AS279" s="30">
        <v>46477.0</v>
      </c>
      <c r="AT279" s="39">
        <v>0.0</v>
      </c>
      <c r="AU279" s="39">
        <v>0.0</v>
      </c>
      <c r="AV279" s="35" t="s">
        <v>7045</v>
      </c>
      <c r="AW279" s="30">
        <v>46478.0</v>
      </c>
      <c r="AX279" s="30">
        <v>46568.0</v>
      </c>
      <c r="AY279" s="39">
        <v>0.0</v>
      </c>
      <c r="AZ279" s="39">
        <v>0.0</v>
      </c>
      <c r="BA279" s="35" t="s">
        <v>7045</v>
      </c>
      <c r="BB279" s="30">
        <v>46569.0</v>
      </c>
      <c r="BC279" s="30">
        <v>46660.0</v>
      </c>
      <c r="BD279" s="39">
        <v>0.0</v>
      </c>
      <c r="BE279" s="39">
        <v>0.0</v>
      </c>
      <c r="BF279" s="35" t="s">
        <v>7045</v>
      </c>
      <c r="BG279" s="30">
        <v>46661.0</v>
      </c>
      <c r="BH279" s="30">
        <v>46752.0</v>
      </c>
      <c r="BI279" s="39">
        <v>0.0</v>
      </c>
      <c r="BJ279" s="39">
        <v>0.0</v>
      </c>
      <c r="BK279" s="35" t="s">
        <v>7045</v>
      </c>
      <c r="BL279" s="30">
        <v>46753.0</v>
      </c>
      <c r="BM279" s="30">
        <v>46843.0</v>
      </c>
      <c r="BN279" s="39">
        <v>0.0</v>
      </c>
      <c r="BO279" s="39">
        <v>0.0</v>
      </c>
      <c r="BP279" s="35" t="s">
        <v>7045</v>
      </c>
      <c r="BQ279" s="30">
        <v>46844.0</v>
      </c>
      <c r="BR279" s="30">
        <v>46934.0</v>
      </c>
      <c r="BS279" s="39">
        <v>0.0</v>
      </c>
      <c r="BT279" s="39">
        <v>0.0</v>
      </c>
      <c r="BU279" s="35" t="s">
        <v>7045</v>
      </c>
      <c r="BV279" s="30">
        <v>46935.0</v>
      </c>
      <c r="BW279" s="30">
        <v>47026.0</v>
      </c>
      <c r="BX279" s="39">
        <v>0.0</v>
      </c>
      <c r="BY279" s="39">
        <v>0.0</v>
      </c>
      <c r="BZ279" s="35" t="s">
        <v>7045</v>
      </c>
      <c r="CA279" s="30">
        <v>47027.0</v>
      </c>
      <c r="CB279" s="30">
        <v>47118.0</v>
      </c>
      <c r="CC279" s="39">
        <v>0.0</v>
      </c>
      <c r="CD279" s="39">
        <v>0.0</v>
      </c>
      <c r="CE279" s="35" t="s">
        <v>7045</v>
      </c>
      <c r="CF279" s="30">
        <v>47119.0</v>
      </c>
      <c r="CG279" s="30">
        <v>47208.0</v>
      </c>
      <c r="CH279" s="39">
        <v>0.0</v>
      </c>
      <c r="CI279" s="39">
        <v>0.0</v>
      </c>
      <c r="CJ279" s="35" t="s">
        <v>7045</v>
      </c>
      <c r="CK279" s="30">
        <v>47209.0</v>
      </c>
      <c r="CL279" s="30">
        <v>47299.0</v>
      </c>
      <c r="CM279" s="39">
        <v>0.0</v>
      </c>
      <c r="CN279" s="39">
        <v>0.0</v>
      </c>
      <c r="CO279" s="35" t="s">
        <v>7045</v>
      </c>
      <c r="CP279" s="30">
        <v>47300.0</v>
      </c>
      <c r="CQ279" s="30">
        <v>47391.0</v>
      </c>
      <c r="CR279" s="39">
        <v>0.0</v>
      </c>
      <c r="CS279" s="39">
        <v>0.0</v>
      </c>
      <c r="CT279" s="35" t="s">
        <v>7045</v>
      </c>
      <c r="CU279" s="30">
        <v>47392.0</v>
      </c>
      <c r="CV279" s="30">
        <v>47483.0</v>
      </c>
      <c r="CW279" s="39">
        <v>0.0</v>
      </c>
      <c r="CX279" s="39">
        <v>0.0</v>
      </c>
      <c r="CY279" s="35" t="s">
        <v>7045</v>
      </c>
      <c r="CZ279" s="30">
        <v>47484.0</v>
      </c>
      <c r="DA279" s="30">
        <v>47573.0</v>
      </c>
      <c r="DB279" s="39">
        <v>0.0</v>
      </c>
      <c r="DC279" s="39">
        <v>0.0</v>
      </c>
      <c r="DD279" s="35" t="s">
        <v>7045</v>
      </c>
      <c r="DE279" s="30">
        <v>47574.0</v>
      </c>
      <c r="DF279" s="30">
        <v>47664.0</v>
      </c>
      <c r="DG279" s="39">
        <v>0.0</v>
      </c>
      <c r="DH279" s="39">
        <v>0.0</v>
      </c>
      <c r="DI279" s="35" t="s">
        <v>7045</v>
      </c>
      <c r="DJ279" s="30">
        <v>47665.0</v>
      </c>
      <c r="DK279" s="30">
        <v>47756.0</v>
      </c>
      <c r="DL279" s="39">
        <v>0.0</v>
      </c>
      <c r="DM279" s="39">
        <v>0.0</v>
      </c>
      <c r="DN279" s="35" t="s">
        <v>7045</v>
      </c>
      <c r="DO279" s="30">
        <v>47757.0</v>
      </c>
      <c r="DP279" s="30">
        <v>47848.0</v>
      </c>
      <c r="DQ279" s="39">
        <v>0.0</v>
      </c>
      <c r="DR279" s="39">
        <v>0.0</v>
      </c>
      <c r="DS279" s="35" t="s">
        <v>7045</v>
      </c>
    </row>
    <row r="280" ht="14.25" customHeight="1">
      <c r="A280" s="28" t="s">
        <v>2523</v>
      </c>
      <c r="B280" s="29" t="s">
        <v>2524</v>
      </c>
      <c r="C280" s="29" t="s">
        <v>7041</v>
      </c>
      <c r="D280" s="30">
        <v>45658.0</v>
      </c>
      <c r="E280" s="30">
        <v>45747.0</v>
      </c>
      <c r="F280" s="39">
        <v>5.0</v>
      </c>
      <c r="G280" s="39">
        <v>0.0</v>
      </c>
      <c r="H280" s="38" t="s">
        <v>7047</v>
      </c>
      <c r="I280" s="30">
        <v>45748.0</v>
      </c>
      <c r="J280" s="30">
        <v>45838.0</v>
      </c>
      <c r="K280" s="39">
        <v>11.0</v>
      </c>
      <c r="L280" s="39">
        <v>808.82</v>
      </c>
      <c r="M280" s="32" t="s">
        <v>7043</v>
      </c>
      <c r="N280" s="30">
        <v>45839.0</v>
      </c>
      <c r="O280" s="30">
        <v>45930.0</v>
      </c>
      <c r="P280" s="39">
        <v>40.0</v>
      </c>
      <c r="Q280" s="39">
        <v>808.82</v>
      </c>
      <c r="R280" s="38" t="s">
        <v>7047</v>
      </c>
      <c r="S280" s="30">
        <v>45931.0</v>
      </c>
      <c r="T280" s="30">
        <v>46022.0</v>
      </c>
      <c r="U280" s="39">
        <v>40.0</v>
      </c>
      <c r="V280" s="39">
        <v>808.82</v>
      </c>
      <c r="W280" s="32" t="s">
        <v>7047</v>
      </c>
      <c r="X280" s="30">
        <v>46023.0</v>
      </c>
      <c r="Y280" s="30">
        <v>46112.0</v>
      </c>
      <c r="Z280" s="39">
        <v>0.0</v>
      </c>
      <c r="AA280" s="39">
        <v>0.0</v>
      </c>
      <c r="AB280" s="35" t="s">
        <v>7045</v>
      </c>
      <c r="AC280" s="30">
        <v>46113.0</v>
      </c>
      <c r="AD280" s="30">
        <v>46203.0</v>
      </c>
      <c r="AE280" s="39">
        <v>0.0</v>
      </c>
      <c r="AF280" s="39">
        <v>0.0</v>
      </c>
      <c r="AG280" s="35" t="s">
        <v>7045</v>
      </c>
      <c r="AH280" s="30">
        <v>46204.0</v>
      </c>
      <c r="AI280" s="30">
        <v>46295.0</v>
      </c>
      <c r="AJ280" s="39">
        <v>24.93</v>
      </c>
      <c r="AK280" s="39">
        <v>0.0</v>
      </c>
      <c r="AL280" s="38" t="s">
        <v>7047</v>
      </c>
      <c r="AM280" s="30">
        <v>46296.0</v>
      </c>
      <c r="AN280" s="30">
        <v>46387.0</v>
      </c>
      <c r="AO280" s="39">
        <v>0.0</v>
      </c>
      <c r="AP280" s="39">
        <v>0.0</v>
      </c>
      <c r="AQ280" s="35" t="s">
        <v>7045</v>
      </c>
      <c r="AR280" s="30">
        <v>46388.0</v>
      </c>
      <c r="AS280" s="30">
        <v>46477.0</v>
      </c>
      <c r="AT280" s="39">
        <v>0.0</v>
      </c>
      <c r="AU280" s="39">
        <v>0.0</v>
      </c>
      <c r="AV280" s="35" t="s">
        <v>7045</v>
      </c>
      <c r="AW280" s="30">
        <v>46478.0</v>
      </c>
      <c r="AX280" s="30">
        <v>46568.0</v>
      </c>
      <c r="AY280" s="39">
        <v>0.0</v>
      </c>
      <c r="AZ280" s="39">
        <v>0.0</v>
      </c>
      <c r="BA280" s="35" t="s">
        <v>7045</v>
      </c>
      <c r="BB280" s="30">
        <v>46569.0</v>
      </c>
      <c r="BC280" s="30">
        <v>46660.0</v>
      </c>
      <c r="BD280" s="39">
        <v>0.0</v>
      </c>
      <c r="BE280" s="39">
        <v>0.0</v>
      </c>
      <c r="BF280" s="35" t="s">
        <v>7045</v>
      </c>
      <c r="BG280" s="30">
        <v>46661.0</v>
      </c>
      <c r="BH280" s="30">
        <v>46752.0</v>
      </c>
      <c r="BI280" s="39">
        <v>0.0</v>
      </c>
      <c r="BJ280" s="39">
        <v>0.0</v>
      </c>
      <c r="BK280" s="35" t="s">
        <v>7045</v>
      </c>
      <c r="BL280" s="30">
        <v>46753.0</v>
      </c>
      <c r="BM280" s="30">
        <v>46843.0</v>
      </c>
      <c r="BN280" s="39">
        <v>0.0</v>
      </c>
      <c r="BO280" s="39">
        <v>0.0</v>
      </c>
      <c r="BP280" s="35" t="s">
        <v>7045</v>
      </c>
      <c r="BQ280" s="30">
        <v>46844.0</v>
      </c>
      <c r="BR280" s="30">
        <v>46934.0</v>
      </c>
      <c r="BS280" s="39">
        <v>0.0</v>
      </c>
      <c r="BT280" s="39">
        <v>0.0</v>
      </c>
      <c r="BU280" s="35" t="s">
        <v>7045</v>
      </c>
      <c r="BV280" s="30">
        <v>46935.0</v>
      </c>
      <c r="BW280" s="30">
        <v>47026.0</v>
      </c>
      <c r="BX280" s="39">
        <v>0.0</v>
      </c>
      <c r="BY280" s="39">
        <v>0.0</v>
      </c>
      <c r="BZ280" s="35" t="s">
        <v>7045</v>
      </c>
      <c r="CA280" s="30">
        <v>47027.0</v>
      </c>
      <c r="CB280" s="30">
        <v>47118.0</v>
      </c>
      <c r="CC280" s="39">
        <v>0.0</v>
      </c>
      <c r="CD280" s="39">
        <v>0.0</v>
      </c>
      <c r="CE280" s="35" t="s">
        <v>7045</v>
      </c>
      <c r="CF280" s="30">
        <v>47119.0</v>
      </c>
      <c r="CG280" s="30">
        <v>47208.0</v>
      </c>
      <c r="CH280" s="39">
        <v>0.0</v>
      </c>
      <c r="CI280" s="39">
        <v>0.0</v>
      </c>
      <c r="CJ280" s="35" t="s">
        <v>7045</v>
      </c>
      <c r="CK280" s="30">
        <v>47209.0</v>
      </c>
      <c r="CL280" s="30">
        <v>47299.0</v>
      </c>
      <c r="CM280" s="39">
        <v>0.0</v>
      </c>
      <c r="CN280" s="39">
        <v>0.0</v>
      </c>
      <c r="CO280" s="35" t="s">
        <v>7045</v>
      </c>
      <c r="CP280" s="30">
        <v>47300.0</v>
      </c>
      <c r="CQ280" s="30">
        <v>47391.0</v>
      </c>
      <c r="CR280" s="39">
        <v>0.0</v>
      </c>
      <c r="CS280" s="39">
        <v>0.0</v>
      </c>
      <c r="CT280" s="35" t="s">
        <v>7045</v>
      </c>
      <c r="CU280" s="30">
        <v>47392.0</v>
      </c>
      <c r="CV280" s="30">
        <v>47483.0</v>
      </c>
      <c r="CW280" s="39">
        <v>0.0</v>
      </c>
      <c r="CX280" s="39">
        <v>0.0</v>
      </c>
      <c r="CY280" s="35" t="s">
        <v>7045</v>
      </c>
      <c r="CZ280" s="30">
        <v>47484.0</v>
      </c>
      <c r="DA280" s="30">
        <v>47573.0</v>
      </c>
      <c r="DB280" s="39">
        <v>0.0</v>
      </c>
      <c r="DC280" s="39">
        <v>0.0</v>
      </c>
      <c r="DD280" s="35" t="s">
        <v>7045</v>
      </c>
      <c r="DE280" s="30">
        <v>47574.0</v>
      </c>
      <c r="DF280" s="30">
        <v>47664.0</v>
      </c>
      <c r="DG280" s="39">
        <v>0.0</v>
      </c>
      <c r="DH280" s="39">
        <v>0.0</v>
      </c>
      <c r="DI280" s="35" t="s">
        <v>7045</v>
      </c>
      <c r="DJ280" s="30">
        <v>47665.0</v>
      </c>
      <c r="DK280" s="30">
        <v>47756.0</v>
      </c>
      <c r="DL280" s="39">
        <v>0.0</v>
      </c>
      <c r="DM280" s="39">
        <v>0.0</v>
      </c>
      <c r="DN280" s="35" t="s">
        <v>7045</v>
      </c>
      <c r="DO280" s="30">
        <v>47757.0</v>
      </c>
      <c r="DP280" s="30">
        <v>47848.0</v>
      </c>
      <c r="DQ280" s="39">
        <v>0.0</v>
      </c>
      <c r="DR280" s="39">
        <v>0.0</v>
      </c>
      <c r="DS280" s="35" t="s">
        <v>7045</v>
      </c>
    </row>
    <row r="281" ht="14.25" customHeight="1">
      <c r="A281" s="28" t="s">
        <v>2541</v>
      </c>
      <c r="B281" s="29" t="s">
        <v>2542</v>
      </c>
      <c r="C281" s="29" t="s">
        <v>7041</v>
      </c>
      <c r="D281" s="30">
        <v>45658.0</v>
      </c>
      <c r="E281" s="30">
        <v>45747.0</v>
      </c>
      <c r="F281" s="39">
        <v>1.13</v>
      </c>
      <c r="G281" s="39">
        <v>0.0</v>
      </c>
      <c r="H281" s="38" t="s">
        <v>7047</v>
      </c>
      <c r="I281" s="30">
        <v>45748.0</v>
      </c>
      <c r="J281" s="30">
        <v>45838.0</v>
      </c>
      <c r="K281" s="39">
        <v>0.1</v>
      </c>
      <c r="L281" s="39">
        <v>171.58</v>
      </c>
      <c r="M281" s="37" t="s">
        <v>7043</v>
      </c>
      <c r="N281" s="30">
        <v>45839.0</v>
      </c>
      <c r="O281" s="30">
        <v>45930.0</v>
      </c>
      <c r="P281" s="39">
        <v>79.43</v>
      </c>
      <c r="Q281" s="39">
        <v>257.37</v>
      </c>
      <c r="R281" s="38" t="s">
        <v>7047</v>
      </c>
      <c r="S281" s="30">
        <v>45931.0</v>
      </c>
      <c r="T281" s="30">
        <v>46022.0</v>
      </c>
      <c r="U281" s="39">
        <v>73.23</v>
      </c>
      <c r="V281" s="39">
        <v>257.37</v>
      </c>
      <c r="W281" s="38" t="s">
        <v>7047</v>
      </c>
      <c r="X281" s="30">
        <v>46023.0</v>
      </c>
      <c r="Y281" s="30">
        <v>46112.0</v>
      </c>
      <c r="Z281" s="39">
        <v>0.0</v>
      </c>
      <c r="AA281" s="39">
        <v>0.0</v>
      </c>
      <c r="AB281" s="35" t="s">
        <v>7045</v>
      </c>
      <c r="AC281" s="30">
        <v>46113.0</v>
      </c>
      <c r="AD281" s="30">
        <v>46203.0</v>
      </c>
      <c r="AE281" s="39">
        <v>0.0</v>
      </c>
      <c r="AF281" s="39">
        <v>0.0</v>
      </c>
      <c r="AG281" s="35" t="s">
        <v>7045</v>
      </c>
      <c r="AH281" s="30">
        <v>46204.0</v>
      </c>
      <c r="AI281" s="30">
        <v>46295.0</v>
      </c>
      <c r="AJ281" s="39">
        <v>0.0</v>
      </c>
      <c r="AK281" s="39">
        <v>0.0</v>
      </c>
      <c r="AL281" s="35" t="s">
        <v>7045</v>
      </c>
      <c r="AM281" s="30">
        <v>46296.0</v>
      </c>
      <c r="AN281" s="30">
        <v>46387.0</v>
      </c>
      <c r="AO281" s="39">
        <v>0.0</v>
      </c>
      <c r="AP281" s="39">
        <v>0.0</v>
      </c>
      <c r="AQ281" s="35" t="s">
        <v>7045</v>
      </c>
      <c r="AR281" s="30">
        <v>46388.0</v>
      </c>
      <c r="AS281" s="30">
        <v>46477.0</v>
      </c>
      <c r="AT281" s="39">
        <v>0.0</v>
      </c>
      <c r="AU281" s="39">
        <v>0.0</v>
      </c>
      <c r="AV281" s="35" t="s">
        <v>7045</v>
      </c>
      <c r="AW281" s="30">
        <v>46478.0</v>
      </c>
      <c r="AX281" s="30">
        <v>46568.0</v>
      </c>
      <c r="AY281" s="39">
        <v>0.0</v>
      </c>
      <c r="AZ281" s="39">
        <v>0.0</v>
      </c>
      <c r="BA281" s="35" t="s">
        <v>7045</v>
      </c>
      <c r="BB281" s="30">
        <v>46569.0</v>
      </c>
      <c r="BC281" s="30">
        <v>46660.0</v>
      </c>
      <c r="BD281" s="39">
        <v>0.0</v>
      </c>
      <c r="BE281" s="39">
        <v>0.0</v>
      </c>
      <c r="BF281" s="35" t="s">
        <v>7045</v>
      </c>
      <c r="BG281" s="30">
        <v>46661.0</v>
      </c>
      <c r="BH281" s="30">
        <v>46752.0</v>
      </c>
      <c r="BI281" s="39">
        <v>0.0</v>
      </c>
      <c r="BJ281" s="39">
        <v>0.0</v>
      </c>
      <c r="BK281" s="35" t="s">
        <v>7045</v>
      </c>
      <c r="BL281" s="30">
        <v>46753.0</v>
      </c>
      <c r="BM281" s="30">
        <v>46843.0</v>
      </c>
      <c r="BN281" s="39">
        <v>0.0</v>
      </c>
      <c r="BO281" s="39">
        <v>0.0</v>
      </c>
      <c r="BP281" s="35" t="s">
        <v>7045</v>
      </c>
      <c r="BQ281" s="30">
        <v>46844.0</v>
      </c>
      <c r="BR281" s="30">
        <v>46934.0</v>
      </c>
      <c r="BS281" s="39">
        <v>0.0</v>
      </c>
      <c r="BT281" s="39">
        <v>0.0</v>
      </c>
      <c r="BU281" s="35" t="s">
        <v>7045</v>
      </c>
      <c r="BV281" s="30">
        <v>46935.0</v>
      </c>
      <c r="BW281" s="30">
        <v>47026.0</v>
      </c>
      <c r="BX281" s="39">
        <v>0.0</v>
      </c>
      <c r="BY281" s="39">
        <v>0.0</v>
      </c>
      <c r="BZ281" s="35" t="s">
        <v>7045</v>
      </c>
      <c r="CA281" s="30">
        <v>47027.0</v>
      </c>
      <c r="CB281" s="30">
        <v>47118.0</v>
      </c>
      <c r="CC281" s="39">
        <v>0.0</v>
      </c>
      <c r="CD281" s="39">
        <v>0.0</v>
      </c>
      <c r="CE281" s="35" t="s">
        <v>7045</v>
      </c>
      <c r="CF281" s="30">
        <v>47119.0</v>
      </c>
      <c r="CG281" s="30">
        <v>47208.0</v>
      </c>
      <c r="CH281" s="39">
        <v>0.0</v>
      </c>
      <c r="CI281" s="39">
        <v>0.0</v>
      </c>
      <c r="CJ281" s="35" t="s">
        <v>7045</v>
      </c>
      <c r="CK281" s="30">
        <v>47209.0</v>
      </c>
      <c r="CL281" s="30">
        <v>47299.0</v>
      </c>
      <c r="CM281" s="39">
        <v>0.0</v>
      </c>
      <c r="CN281" s="39">
        <v>0.0</v>
      </c>
      <c r="CO281" s="35" t="s">
        <v>7045</v>
      </c>
      <c r="CP281" s="30">
        <v>47300.0</v>
      </c>
      <c r="CQ281" s="30">
        <v>47391.0</v>
      </c>
      <c r="CR281" s="39">
        <v>0.0</v>
      </c>
      <c r="CS281" s="39">
        <v>0.0</v>
      </c>
      <c r="CT281" s="35" t="s">
        <v>7045</v>
      </c>
      <c r="CU281" s="30">
        <v>47392.0</v>
      </c>
      <c r="CV281" s="30">
        <v>47483.0</v>
      </c>
      <c r="CW281" s="39">
        <v>0.0</v>
      </c>
      <c r="CX281" s="39">
        <v>0.0</v>
      </c>
      <c r="CY281" s="35" t="s">
        <v>7045</v>
      </c>
      <c r="CZ281" s="30">
        <v>47484.0</v>
      </c>
      <c r="DA281" s="30">
        <v>47573.0</v>
      </c>
      <c r="DB281" s="39">
        <v>0.0</v>
      </c>
      <c r="DC281" s="39">
        <v>0.0</v>
      </c>
      <c r="DD281" s="35" t="s">
        <v>7045</v>
      </c>
      <c r="DE281" s="30">
        <v>47574.0</v>
      </c>
      <c r="DF281" s="30">
        <v>47664.0</v>
      </c>
      <c r="DG281" s="39">
        <v>0.0</v>
      </c>
      <c r="DH281" s="39">
        <v>0.0</v>
      </c>
      <c r="DI281" s="35" t="s">
        <v>7045</v>
      </c>
      <c r="DJ281" s="30">
        <v>47665.0</v>
      </c>
      <c r="DK281" s="30">
        <v>47756.0</v>
      </c>
      <c r="DL281" s="39">
        <v>0.0</v>
      </c>
      <c r="DM281" s="39">
        <v>0.0</v>
      </c>
      <c r="DN281" s="35" t="s">
        <v>7045</v>
      </c>
      <c r="DO281" s="30">
        <v>47757.0</v>
      </c>
      <c r="DP281" s="30">
        <v>47848.0</v>
      </c>
      <c r="DQ281" s="39">
        <v>0.0</v>
      </c>
      <c r="DR281" s="39">
        <v>0.0</v>
      </c>
      <c r="DS281" s="35" t="s">
        <v>7045</v>
      </c>
    </row>
    <row r="282" ht="14.25" customHeight="1">
      <c r="A282" s="28" t="s">
        <v>2553</v>
      </c>
      <c r="B282" s="29" t="s">
        <v>2554</v>
      </c>
      <c r="C282" s="29" t="s">
        <v>7041</v>
      </c>
      <c r="D282" s="30">
        <v>45658.0</v>
      </c>
      <c r="E282" s="30">
        <v>45747.0</v>
      </c>
      <c r="F282" s="39">
        <v>1.41</v>
      </c>
      <c r="G282" s="39">
        <v>0.0</v>
      </c>
      <c r="H282" s="38" t="s">
        <v>7047</v>
      </c>
      <c r="I282" s="30">
        <v>45748.0</v>
      </c>
      <c r="J282" s="30">
        <v>45838.0</v>
      </c>
      <c r="K282" s="39">
        <v>10.0</v>
      </c>
      <c r="L282" s="39">
        <v>191.49</v>
      </c>
      <c r="M282" s="32" t="s">
        <v>7043</v>
      </c>
      <c r="N282" s="30">
        <v>45839.0</v>
      </c>
      <c r="O282" s="30">
        <v>45930.0</v>
      </c>
      <c r="P282" s="39">
        <v>40.46</v>
      </c>
      <c r="Q282" s="39">
        <v>287.23</v>
      </c>
      <c r="R282" s="38" t="s">
        <v>7047</v>
      </c>
      <c r="S282" s="30">
        <v>45931.0</v>
      </c>
      <c r="T282" s="30">
        <v>46022.0</v>
      </c>
      <c r="U282" s="39">
        <v>506.26</v>
      </c>
      <c r="V282" s="39">
        <v>287.23</v>
      </c>
      <c r="W282" s="38" t="s">
        <v>7047</v>
      </c>
      <c r="X282" s="30">
        <v>46023.0</v>
      </c>
      <c r="Y282" s="30">
        <v>46112.0</v>
      </c>
      <c r="Z282" s="39">
        <v>15.0</v>
      </c>
      <c r="AA282" s="39">
        <v>0.0</v>
      </c>
      <c r="AB282" s="38" t="s">
        <v>7047</v>
      </c>
      <c r="AC282" s="30">
        <v>46113.0</v>
      </c>
      <c r="AD282" s="30">
        <v>46203.0</v>
      </c>
      <c r="AE282" s="39">
        <v>0.0</v>
      </c>
      <c r="AF282" s="39">
        <v>0.0</v>
      </c>
      <c r="AG282" s="35" t="s">
        <v>7045</v>
      </c>
      <c r="AH282" s="30">
        <v>46204.0</v>
      </c>
      <c r="AI282" s="30">
        <v>46295.0</v>
      </c>
      <c r="AJ282" s="39">
        <v>0.0</v>
      </c>
      <c r="AK282" s="39">
        <v>0.0</v>
      </c>
      <c r="AL282" s="35" t="s">
        <v>7045</v>
      </c>
      <c r="AM282" s="30">
        <v>46296.0</v>
      </c>
      <c r="AN282" s="30">
        <v>46387.0</v>
      </c>
      <c r="AO282" s="39">
        <v>0.0</v>
      </c>
      <c r="AP282" s="39">
        <v>0.0</v>
      </c>
      <c r="AQ282" s="35" t="s">
        <v>7045</v>
      </c>
      <c r="AR282" s="30">
        <v>46388.0</v>
      </c>
      <c r="AS282" s="30">
        <v>46477.0</v>
      </c>
      <c r="AT282" s="39">
        <v>0.0</v>
      </c>
      <c r="AU282" s="39">
        <v>0.0</v>
      </c>
      <c r="AV282" s="35" t="s">
        <v>7045</v>
      </c>
      <c r="AW282" s="30">
        <v>46478.0</v>
      </c>
      <c r="AX282" s="30">
        <v>46568.0</v>
      </c>
      <c r="AY282" s="39">
        <v>0.0</v>
      </c>
      <c r="AZ282" s="39">
        <v>0.0</v>
      </c>
      <c r="BA282" s="35" t="s">
        <v>7045</v>
      </c>
      <c r="BB282" s="30">
        <v>46569.0</v>
      </c>
      <c r="BC282" s="30">
        <v>46660.0</v>
      </c>
      <c r="BD282" s="39">
        <v>0.0</v>
      </c>
      <c r="BE282" s="39">
        <v>0.0</v>
      </c>
      <c r="BF282" s="35" t="s">
        <v>7045</v>
      </c>
      <c r="BG282" s="30">
        <v>46661.0</v>
      </c>
      <c r="BH282" s="30">
        <v>46752.0</v>
      </c>
      <c r="BI282" s="39">
        <v>0.0</v>
      </c>
      <c r="BJ282" s="39">
        <v>0.0</v>
      </c>
      <c r="BK282" s="35" t="s">
        <v>7045</v>
      </c>
      <c r="BL282" s="30">
        <v>46753.0</v>
      </c>
      <c r="BM282" s="30">
        <v>46843.0</v>
      </c>
      <c r="BN282" s="39">
        <v>0.0</v>
      </c>
      <c r="BO282" s="39">
        <v>0.0</v>
      </c>
      <c r="BP282" s="35" t="s">
        <v>7045</v>
      </c>
      <c r="BQ282" s="30">
        <v>46844.0</v>
      </c>
      <c r="BR282" s="30">
        <v>46934.0</v>
      </c>
      <c r="BS282" s="39">
        <v>0.0</v>
      </c>
      <c r="BT282" s="39">
        <v>0.0</v>
      </c>
      <c r="BU282" s="35" t="s">
        <v>7045</v>
      </c>
      <c r="BV282" s="30">
        <v>46935.0</v>
      </c>
      <c r="BW282" s="30">
        <v>47026.0</v>
      </c>
      <c r="BX282" s="39">
        <v>0.0</v>
      </c>
      <c r="BY282" s="39">
        <v>0.0</v>
      </c>
      <c r="BZ282" s="35" t="s">
        <v>7045</v>
      </c>
      <c r="CA282" s="30">
        <v>47027.0</v>
      </c>
      <c r="CB282" s="30">
        <v>47118.0</v>
      </c>
      <c r="CC282" s="39">
        <v>0.0</v>
      </c>
      <c r="CD282" s="39">
        <v>0.0</v>
      </c>
      <c r="CE282" s="35" t="s">
        <v>7045</v>
      </c>
      <c r="CF282" s="30">
        <v>47119.0</v>
      </c>
      <c r="CG282" s="30">
        <v>47208.0</v>
      </c>
      <c r="CH282" s="39">
        <v>0.0</v>
      </c>
      <c r="CI282" s="39">
        <v>0.0</v>
      </c>
      <c r="CJ282" s="35" t="s">
        <v>7045</v>
      </c>
      <c r="CK282" s="30">
        <v>47209.0</v>
      </c>
      <c r="CL282" s="30">
        <v>47299.0</v>
      </c>
      <c r="CM282" s="39">
        <v>0.0</v>
      </c>
      <c r="CN282" s="39">
        <v>0.0</v>
      </c>
      <c r="CO282" s="35" t="s">
        <v>7045</v>
      </c>
      <c r="CP282" s="30">
        <v>47300.0</v>
      </c>
      <c r="CQ282" s="30">
        <v>47391.0</v>
      </c>
      <c r="CR282" s="39">
        <v>0.0</v>
      </c>
      <c r="CS282" s="39">
        <v>0.0</v>
      </c>
      <c r="CT282" s="35" t="s">
        <v>7045</v>
      </c>
      <c r="CU282" s="30">
        <v>47392.0</v>
      </c>
      <c r="CV282" s="30">
        <v>47483.0</v>
      </c>
      <c r="CW282" s="39">
        <v>0.0</v>
      </c>
      <c r="CX282" s="39">
        <v>0.0</v>
      </c>
      <c r="CY282" s="35" t="s">
        <v>7045</v>
      </c>
      <c r="CZ282" s="30">
        <v>47484.0</v>
      </c>
      <c r="DA282" s="30">
        <v>47573.0</v>
      </c>
      <c r="DB282" s="39">
        <v>0.0</v>
      </c>
      <c r="DC282" s="39">
        <v>0.0</v>
      </c>
      <c r="DD282" s="35" t="s">
        <v>7045</v>
      </c>
      <c r="DE282" s="30">
        <v>47574.0</v>
      </c>
      <c r="DF282" s="30">
        <v>47664.0</v>
      </c>
      <c r="DG282" s="39">
        <v>0.0</v>
      </c>
      <c r="DH282" s="39">
        <v>0.0</v>
      </c>
      <c r="DI282" s="35" t="s">
        <v>7045</v>
      </c>
      <c r="DJ282" s="30">
        <v>47665.0</v>
      </c>
      <c r="DK282" s="30">
        <v>47756.0</v>
      </c>
      <c r="DL282" s="39">
        <v>0.0</v>
      </c>
      <c r="DM282" s="39">
        <v>0.0</v>
      </c>
      <c r="DN282" s="35" t="s">
        <v>7045</v>
      </c>
      <c r="DO282" s="30">
        <v>47757.0</v>
      </c>
      <c r="DP282" s="30">
        <v>47848.0</v>
      </c>
      <c r="DQ282" s="39">
        <v>0.0</v>
      </c>
      <c r="DR282" s="39">
        <v>0.0</v>
      </c>
      <c r="DS282" s="35" t="s">
        <v>7045</v>
      </c>
    </row>
    <row r="283" ht="14.25" customHeight="1">
      <c r="A283" s="28" t="s">
        <v>2574</v>
      </c>
      <c r="B283" s="29" t="s">
        <v>2575</v>
      </c>
      <c r="C283" s="29" t="s">
        <v>7041</v>
      </c>
      <c r="D283" s="30">
        <v>45658.0</v>
      </c>
      <c r="E283" s="30">
        <v>45747.0</v>
      </c>
      <c r="F283" s="39">
        <v>6.93</v>
      </c>
      <c r="G283" s="39">
        <v>0.0</v>
      </c>
      <c r="H283" s="38" t="s">
        <v>7047</v>
      </c>
      <c r="I283" s="30">
        <v>45748.0</v>
      </c>
      <c r="J283" s="30">
        <v>45838.0</v>
      </c>
      <c r="K283" s="39">
        <v>2.0</v>
      </c>
      <c r="L283" s="39">
        <v>144.93</v>
      </c>
      <c r="M283" s="32" t="s">
        <v>7043</v>
      </c>
      <c r="N283" s="30">
        <v>45839.0</v>
      </c>
      <c r="O283" s="30">
        <v>45930.0</v>
      </c>
      <c r="P283" s="39">
        <v>8.93</v>
      </c>
      <c r="Q283" s="39">
        <v>173.91</v>
      </c>
      <c r="R283" s="32" t="s">
        <v>7047</v>
      </c>
      <c r="S283" s="30">
        <v>45931.0</v>
      </c>
      <c r="T283" s="30">
        <v>46022.0</v>
      </c>
      <c r="U283" s="39">
        <v>0.0</v>
      </c>
      <c r="V283" s="39">
        <v>224.64</v>
      </c>
      <c r="W283" s="32" t="s">
        <v>7043</v>
      </c>
      <c r="X283" s="30">
        <v>46023.0</v>
      </c>
      <c r="Y283" s="30">
        <v>46112.0</v>
      </c>
      <c r="Z283" s="39">
        <v>0.0</v>
      </c>
      <c r="AA283" s="39">
        <v>0.0</v>
      </c>
      <c r="AB283" s="35" t="s">
        <v>7045</v>
      </c>
      <c r="AC283" s="30">
        <v>46113.0</v>
      </c>
      <c r="AD283" s="30">
        <v>46203.0</v>
      </c>
      <c r="AE283" s="39">
        <v>0.0</v>
      </c>
      <c r="AF283" s="39">
        <v>0.0</v>
      </c>
      <c r="AG283" s="35" t="s">
        <v>7045</v>
      </c>
      <c r="AH283" s="30">
        <v>46204.0</v>
      </c>
      <c r="AI283" s="30">
        <v>46295.0</v>
      </c>
      <c r="AJ283" s="39">
        <v>0.0</v>
      </c>
      <c r="AK283" s="39">
        <v>0.0</v>
      </c>
      <c r="AL283" s="35" t="s">
        <v>7045</v>
      </c>
      <c r="AM283" s="30">
        <v>46296.0</v>
      </c>
      <c r="AN283" s="30">
        <v>46387.0</v>
      </c>
      <c r="AO283" s="39">
        <v>0.0</v>
      </c>
      <c r="AP283" s="39">
        <v>0.0</v>
      </c>
      <c r="AQ283" s="35" t="s">
        <v>7045</v>
      </c>
      <c r="AR283" s="30">
        <v>46388.0</v>
      </c>
      <c r="AS283" s="30">
        <v>46477.0</v>
      </c>
      <c r="AT283" s="39">
        <v>0.0</v>
      </c>
      <c r="AU283" s="39">
        <v>0.0</v>
      </c>
      <c r="AV283" s="35" t="s">
        <v>7045</v>
      </c>
      <c r="AW283" s="30">
        <v>46478.0</v>
      </c>
      <c r="AX283" s="30">
        <v>46568.0</v>
      </c>
      <c r="AY283" s="39">
        <v>0.0</v>
      </c>
      <c r="AZ283" s="39">
        <v>0.0</v>
      </c>
      <c r="BA283" s="35" t="s">
        <v>7045</v>
      </c>
      <c r="BB283" s="30">
        <v>46569.0</v>
      </c>
      <c r="BC283" s="30">
        <v>46660.0</v>
      </c>
      <c r="BD283" s="39">
        <v>0.0</v>
      </c>
      <c r="BE283" s="39">
        <v>0.0</v>
      </c>
      <c r="BF283" s="35" t="s">
        <v>7045</v>
      </c>
      <c r="BG283" s="30">
        <v>46661.0</v>
      </c>
      <c r="BH283" s="30">
        <v>46752.0</v>
      </c>
      <c r="BI283" s="39">
        <v>0.0</v>
      </c>
      <c r="BJ283" s="39">
        <v>0.0</v>
      </c>
      <c r="BK283" s="35" t="s">
        <v>7045</v>
      </c>
      <c r="BL283" s="30">
        <v>46753.0</v>
      </c>
      <c r="BM283" s="30">
        <v>46843.0</v>
      </c>
      <c r="BN283" s="39">
        <v>0.0</v>
      </c>
      <c r="BO283" s="39">
        <v>0.0</v>
      </c>
      <c r="BP283" s="35" t="s">
        <v>7045</v>
      </c>
      <c r="BQ283" s="30">
        <v>46844.0</v>
      </c>
      <c r="BR283" s="30">
        <v>46934.0</v>
      </c>
      <c r="BS283" s="39">
        <v>0.0</v>
      </c>
      <c r="BT283" s="39">
        <v>0.0</v>
      </c>
      <c r="BU283" s="35" t="s">
        <v>7045</v>
      </c>
      <c r="BV283" s="30">
        <v>46935.0</v>
      </c>
      <c r="BW283" s="30">
        <v>47026.0</v>
      </c>
      <c r="BX283" s="39">
        <v>0.0</v>
      </c>
      <c r="BY283" s="39">
        <v>0.0</v>
      </c>
      <c r="BZ283" s="35" t="s">
        <v>7045</v>
      </c>
      <c r="CA283" s="30">
        <v>47027.0</v>
      </c>
      <c r="CB283" s="30">
        <v>47118.0</v>
      </c>
      <c r="CC283" s="39">
        <v>0.0</v>
      </c>
      <c r="CD283" s="39">
        <v>0.0</v>
      </c>
      <c r="CE283" s="35" t="s">
        <v>7045</v>
      </c>
      <c r="CF283" s="30">
        <v>47119.0</v>
      </c>
      <c r="CG283" s="30">
        <v>47208.0</v>
      </c>
      <c r="CH283" s="39">
        <v>0.0</v>
      </c>
      <c r="CI283" s="39">
        <v>0.0</v>
      </c>
      <c r="CJ283" s="35" t="s">
        <v>7045</v>
      </c>
      <c r="CK283" s="30">
        <v>47209.0</v>
      </c>
      <c r="CL283" s="30">
        <v>47299.0</v>
      </c>
      <c r="CM283" s="39">
        <v>0.0</v>
      </c>
      <c r="CN283" s="39">
        <v>0.0</v>
      </c>
      <c r="CO283" s="35" t="s">
        <v>7045</v>
      </c>
      <c r="CP283" s="30">
        <v>47300.0</v>
      </c>
      <c r="CQ283" s="30">
        <v>47391.0</v>
      </c>
      <c r="CR283" s="39">
        <v>0.0</v>
      </c>
      <c r="CS283" s="39">
        <v>0.0</v>
      </c>
      <c r="CT283" s="35" t="s">
        <v>7045</v>
      </c>
      <c r="CU283" s="30">
        <v>47392.0</v>
      </c>
      <c r="CV283" s="30">
        <v>47483.0</v>
      </c>
      <c r="CW283" s="39">
        <v>0.0</v>
      </c>
      <c r="CX283" s="39">
        <v>0.0</v>
      </c>
      <c r="CY283" s="35" t="s">
        <v>7045</v>
      </c>
      <c r="CZ283" s="30">
        <v>47484.0</v>
      </c>
      <c r="DA283" s="30">
        <v>47573.0</v>
      </c>
      <c r="DB283" s="39">
        <v>0.0</v>
      </c>
      <c r="DC283" s="39">
        <v>0.0</v>
      </c>
      <c r="DD283" s="35" t="s">
        <v>7045</v>
      </c>
      <c r="DE283" s="30">
        <v>47574.0</v>
      </c>
      <c r="DF283" s="30">
        <v>47664.0</v>
      </c>
      <c r="DG283" s="39">
        <v>0.0</v>
      </c>
      <c r="DH283" s="39">
        <v>0.0</v>
      </c>
      <c r="DI283" s="35" t="s">
        <v>7045</v>
      </c>
      <c r="DJ283" s="30">
        <v>47665.0</v>
      </c>
      <c r="DK283" s="30">
        <v>47756.0</v>
      </c>
      <c r="DL283" s="39">
        <v>0.0</v>
      </c>
      <c r="DM283" s="39">
        <v>0.0</v>
      </c>
      <c r="DN283" s="35" t="s">
        <v>7045</v>
      </c>
      <c r="DO283" s="30">
        <v>47757.0</v>
      </c>
      <c r="DP283" s="30">
        <v>47848.0</v>
      </c>
      <c r="DQ283" s="39">
        <v>0.0</v>
      </c>
      <c r="DR283" s="39">
        <v>0.0</v>
      </c>
      <c r="DS283" s="35" t="s">
        <v>7045</v>
      </c>
    </row>
    <row r="284" ht="14.25" customHeight="1">
      <c r="A284" s="28" t="s">
        <v>2592</v>
      </c>
      <c r="B284" s="29" t="s">
        <v>2593</v>
      </c>
      <c r="C284" s="29" t="s">
        <v>7041</v>
      </c>
      <c r="D284" s="30">
        <v>45658.0</v>
      </c>
      <c r="E284" s="30">
        <v>45747.0</v>
      </c>
      <c r="F284" s="39">
        <v>0.86</v>
      </c>
      <c r="G284" s="39">
        <v>0.0</v>
      </c>
      <c r="H284" s="38" t="s">
        <v>7047</v>
      </c>
      <c r="I284" s="30">
        <v>45748.0</v>
      </c>
      <c r="J284" s="30">
        <v>45838.0</v>
      </c>
      <c r="K284" s="39">
        <v>2.17</v>
      </c>
      <c r="L284" s="39">
        <v>162.04</v>
      </c>
      <c r="M284" s="37" t="s">
        <v>7043</v>
      </c>
      <c r="N284" s="30">
        <v>45839.0</v>
      </c>
      <c r="O284" s="30">
        <v>45930.0</v>
      </c>
      <c r="P284" s="39">
        <v>55.71</v>
      </c>
      <c r="Q284" s="39">
        <v>162.04</v>
      </c>
      <c r="R284" s="38" t="s">
        <v>7047</v>
      </c>
      <c r="S284" s="30">
        <v>45931.0</v>
      </c>
      <c r="T284" s="30">
        <v>46022.0</v>
      </c>
      <c r="U284" s="39">
        <v>113.73</v>
      </c>
      <c r="V284" s="39">
        <v>162.04</v>
      </c>
      <c r="W284" s="38" t="s">
        <v>7047</v>
      </c>
      <c r="X284" s="30">
        <v>46023.0</v>
      </c>
      <c r="Y284" s="30">
        <v>46112.0</v>
      </c>
      <c r="Z284" s="39">
        <v>0.0</v>
      </c>
      <c r="AA284" s="39">
        <v>0.0</v>
      </c>
      <c r="AB284" s="35" t="s">
        <v>7045</v>
      </c>
      <c r="AC284" s="30">
        <v>46113.0</v>
      </c>
      <c r="AD284" s="30">
        <v>46203.0</v>
      </c>
      <c r="AE284" s="39">
        <v>0.0</v>
      </c>
      <c r="AF284" s="39">
        <v>0.0</v>
      </c>
      <c r="AG284" s="35" t="s">
        <v>7045</v>
      </c>
      <c r="AH284" s="30">
        <v>46204.0</v>
      </c>
      <c r="AI284" s="30">
        <v>46295.0</v>
      </c>
      <c r="AJ284" s="39">
        <v>0.0</v>
      </c>
      <c r="AK284" s="39">
        <v>0.0</v>
      </c>
      <c r="AL284" s="35" t="s">
        <v>7045</v>
      </c>
      <c r="AM284" s="30">
        <v>46296.0</v>
      </c>
      <c r="AN284" s="30">
        <v>46387.0</v>
      </c>
      <c r="AO284" s="39">
        <v>0.0</v>
      </c>
      <c r="AP284" s="39">
        <v>0.0</v>
      </c>
      <c r="AQ284" s="35" t="s">
        <v>7045</v>
      </c>
      <c r="AR284" s="30">
        <v>46388.0</v>
      </c>
      <c r="AS284" s="30">
        <v>46477.0</v>
      </c>
      <c r="AT284" s="39">
        <v>0.0</v>
      </c>
      <c r="AU284" s="39">
        <v>0.0</v>
      </c>
      <c r="AV284" s="35" t="s">
        <v>7045</v>
      </c>
      <c r="AW284" s="30">
        <v>46478.0</v>
      </c>
      <c r="AX284" s="30">
        <v>46568.0</v>
      </c>
      <c r="AY284" s="39">
        <v>0.0</v>
      </c>
      <c r="AZ284" s="39">
        <v>0.0</v>
      </c>
      <c r="BA284" s="35" t="s">
        <v>7045</v>
      </c>
      <c r="BB284" s="30">
        <v>46569.0</v>
      </c>
      <c r="BC284" s="30">
        <v>46660.0</v>
      </c>
      <c r="BD284" s="39">
        <v>0.0</v>
      </c>
      <c r="BE284" s="39">
        <v>0.0</v>
      </c>
      <c r="BF284" s="35" t="s">
        <v>7045</v>
      </c>
      <c r="BG284" s="30">
        <v>46661.0</v>
      </c>
      <c r="BH284" s="30">
        <v>46752.0</v>
      </c>
      <c r="BI284" s="39">
        <v>0.0</v>
      </c>
      <c r="BJ284" s="39">
        <v>0.0</v>
      </c>
      <c r="BK284" s="35" t="s">
        <v>7045</v>
      </c>
      <c r="BL284" s="30">
        <v>46753.0</v>
      </c>
      <c r="BM284" s="30">
        <v>46843.0</v>
      </c>
      <c r="BN284" s="39">
        <v>0.0</v>
      </c>
      <c r="BO284" s="39">
        <v>0.0</v>
      </c>
      <c r="BP284" s="35" t="s">
        <v>7045</v>
      </c>
      <c r="BQ284" s="30">
        <v>46844.0</v>
      </c>
      <c r="BR284" s="30">
        <v>46934.0</v>
      </c>
      <c r="BS284" s="39">
        <v>0.0</v>
      </c>
      <c r="BT284" s="39">
        <v>0.0</v>
      </c>
      <c r="BU284" s="35" t="s">
        <v>7045</v>
      </c>
      <c r="BV284" s="30">
        <v>46935.0</v>
      </c>
      <c r="BW284" s="30">
        <v>47026.0</v>
      </c>
      <c r="BX284" s="39">
        <v>0.0</v>
      </c>
      <c r="BY284" s="39">
        <v>0.0</v>
      </c>
      <c r="BZ284" s="35" t="s">
        <v>7045</v>
      </c>
      <c r="CA284" s="30">
        <v>47027.0</v>
      </c>
      <c r="CB284" s="30">
        <v>47118.0</v>
      </c>
      <c r="CC284" s="39">
        <v>0.0</v>
      </c>
      <c r="CD284" s="39">
        <v>0.0</v>
      </c>
      <c r="CE284" s="35" t="s">
        <v>7045</v>
      </c>
      <c r="CF284" s="30">
        <v>47119.0</v>
      </c>
      <c r="CG284" s="30">
        <v>47208.0</v>
      </c>
      <c r="CH284" s="39">
        <v>0.0</v>
      </c>
      <c r="CI284" s="39">
        <v>0.0</v>
      </c>
      <c r="CJ284" s="35" t="s">
        <v>7045</v>
      </c>
      <c r="CK284" s="30">
        <v>47209.0</v>
      </c>
      <c r="CL284" s="30">
        <v>47299.0</v>
      </c>
      <c r="CM284" s="39">
        <v>0.0</v>
      </c>
      <c r="CN284" s="39">
        <v>0.0</v>
      </c>
      <c r="CO284" s="35" t="s">
        <v>7045</v>
      </c>
      <c r="CP284" s="30">
        <v>47300.0</v>
      </c>
      <c r="CQ284" s="30">
        <v>47391.0</v>
      </c>
      <c r="CR284" s="39">
        <v>0.0</v>
      </c>
      <c r="CS284" s="39">
        <v>0.0</v>
      </c>
      <c r="CT284" s="35" t="s">
        <v>7045</v>
      </c>
      <c r="CU284" s="30">
        <v>47392.0</v>
      </c>
      <c r="CV284" s="30">
        <v>47483.0</v>
      </c>
      <c r="CW284" s="39">
        <v>0.0</v>
      </c>
      <c r="CX284" s="39">
        <v>0.0</v>
      </c>
      <c r="CY284" s="35" t="s">
        <v>7045</v>
      </c>
      <c r="CZ284" s="30">
        <v>47484.0</v>
      </c>
      <c r="DA284" s="30">
        <v>47573.0</v>
      </c>
      <c r="DB284" s="39">
        <v>0.0</v>
      </c>
      <c r="DC284" s="39">
        <v>0.0</v>
      </c>
      <c r="DD284" s="35" t="s">
        <v>7045</v>
      </c>
      <c r="DE284" s="30">
        <v>47574.0</v>
      </c>
      <c r="DF284" s="30">
        <v>47664.0</v>
      </c>
      <c r="DG284" s="39">
        <v>0.0</v>
      </c>
      <c r="DH284" s="39">
        <v>0.0</v>
      </c>
      <c r="DI284" s="35" t="s">
        <v>7045</v>
      </c>
      <c r="DJ284" s="30">
        <v>47665.0</v>
      </c>
      <c r="DK284" s="30">
        <v>47756.0</v>
      </c>
      <c r="DL284" s="39">
        <v>0.0</v>
      </c>
      <c r="DM284" s="39">
        <v>0.0</v>
      </c>
      <c r="DN284" s="35" t="s">
        <v>7045</v>
      </c>
      <c r="DO284" s="30">
        <v>47757.0</v>
      </c>
      <c r="DP284" s="30">
        <v>47848.0</v>
      </c>
      <c r="DQ284" s="39">
        <v>0.0</v>
      </c>
      <c r="DR284" s="39">
        <v>0.0</v>
      </c>
      <c r="DS284" s="35" t="s">
        <v>7045</v>
      </c>
    </row>
    <row r="285" ht="14.25" customHeight="1">
      <c r="A285" s="28" t="s">
        <v>2595</v>
      </c>
      <c r="B285" s="29" t="s">
        <v>2596</v>
      </c>
      <c r="C285" s="29" t="s">
        <v>7041</v>
      </c>
      <c r="D285" s="30">
        <v>45658.0</v>
      </c>
      <c r="E285" s="30">
        <v>45747.0</v>
      </c>
      <c r="F285" s="39">
        <v>4.05</v>
      </c>
      <c r="G285" s="39">
        <v>0.0</v>
      </c>
      <c r="H285" s="38" t="s">
        <v>7047</v>
      </c>
      <c r="I285" s="30">
        <v>45748.0</v>
      </c>
      <c r="J285" s="30">
        <v>45838.0</v>
      </c>
      <c r="K285" s="39">
        <v>12.0</v>
      </c>
      <c r="L285" s="39">
        <v>481.33</v>
      </c>
      <c r="M285" s="32" t="s">
        <v>7043</v>
      </c>
      <c r="N285" s="30">
        <v>45839.0</v>
      </c>
      <c r="O285" s="30">
        <v>45930.0</v>
      </c>
      <c r="P285" s="39">
        <v>14.5</v>
      </c>
      <c r="Q285" s="39">
        <v>266.33</v>
      </c>
      <c r="R285" s="38" t="s">
        <v>7043</v>
      </c>
      <c r="S285" s="30">
        <v>45931.0</v>
      </c>
      <c r="T285" s="30">
        <v>46022.0</v>
      </c>
      <c r="U285" s="39">
        <v>221.0</v>
      </c>
      <c r="V285" s="39">
        <v>282.0</v>
      </c>
      <c r="W285" s="38" t="s">
        <v>7047</v>
      </c>
      <c r="X285" s="30">
        <v>46023.0</v>
      </c>
      <c r="Y285" s="30">
        <v>46112.0</v>
      </c>
      <c r="Z285" s="39">
        <v>230.0</v>
      </c>
      <c r="AA285" s="39">
        <v>0.0</v>
      </c>
      <c r="AB285" s="38" t="s">
        <v>7047</v>
      </c>
      <c r="AC285" s="30">
        <v>46113.0</v>
      </c>
      <c r="AD285" s="30">
        <v>46203.0</v>
      </c>
      <c r="AE285" s="39">
        <v>25.0</v>
      </c>
      <c r="AF285" s="39">
        <v>0.0</v>
      </c>
      <c r="AG285" s="35" t="s">
        <v>7047</v>
      </c>
      <c r="AH285" s="30">
        <v>46204.0</v>
      </c>
      <c r="AI285" s="30">
        <v>46295.0</v>
      </c>
      <c r="AJ285" s="39">
        <v>0.0</v>
      </c>
      <c r="AK285" s="39">
        <v>0.0</v>
      </c>
      <c r="AL285" s="35" t="s">
        <v>7045</v>
      </c>
      <c r="AM285" s="30">
        <v>46296.0</v>
      </c>
      <c r="AN285" s="30">
        <v>46387.0</v>
      </c>
      <c r="AO285" s="39">
        <v>0.0</v>
      </c>
      <c r="AP285" s="39">
        <v>0.0</v>
      </c>
      <c r="AQ285" s="35" t="s">
        <v>7045</v>
      </c>
      <c r="AR285" s="30">
        <v>46388.0</v>
      </c>
      <c r="AS285" s="30">
        <v>46477.0</v>
      </c>
      <c r="AT285" s="39">
        <v>0.0</v>
      </c>
      <c r="AU285" s="39">
        <v>0.0</v>
      </c>
      <c r="AV285" s="35" t="s">
        <v>7045</v>
      </c>
      <c r="AW285" s="30">
        <v>46478.0</v>
      </c>
      <c r="AX285" s="30">
        <v>46568.0</v>
      </c>
      <c r="AY285" s="39">
        <v>0.0</v>
      </c>
      <c r="AZ285" s="39">
        <v>0.0</v>
      </c>
      <c r="BA285" s="35" t="s">
        <v>7045</v>
      </c>
      <c r="BB285" s="30">
        <v>46569.0</v>
      </c>
      <c r="BC285" s="30">
        <v>46660.0</v>
      </c>
      <c r="BD285" s="39">
        <v>0.0</v>
      </c>
      <c r="BE285" s="39">
        <v>0.0</v>
      </c>
      <c r="BF285" s="35" t="s">
        <v>7045</v>
      </c>
      <c r="BG285" s="30">
        <v>46661.0</v>
      </c>
      <c r="BH285" s="30">
        <v>46752.0</v>
      </c>
      <c r="BI285" s="39">
        <v>0.0</v>
      </c>
      <c r="BJ285" s="39">
        <v>0.0</v>
      </c>
      <c r="BK285" s="35" t="s">
        <v>7045</v>
      </c>
      <c r="BL285" s="30">
        <v>46753.0</v>
      </c>
      <c r="BM285" s="30">
        <v>46843.0</v>
      </c>
      <c r="BN285" s="39">
        <v>0.0</v>
      </c>
      <c r="BO285" s="39">
        <v>0.0</v>
      </c>
      <c r="BP285" s="35" t="s">
        <v>7045</v>
      </c>
      <c r="BQ285" s="30">
        <v>46844.0</v>
      </c>
      <c r="BR285" s="30">
        <v>46934.0</v>
      </c>
      <c r="BS285" s="39">
        <v>0.0</v>
      </c>
      <c r="BT285" s="39">
        <v>0.0</v>
      </c>
      <c r="BU285" s="35" t="s">
        <v>7045</v>
      </c>
      <c r="BV285" s="30">
        <v>46935.0</v>
      </c>
      <c r="BW285" s="30">
        <v>47026.0</v>
      </c>
      <c r="BX285" s="39">
        <v>0.0</v>
      </c>
      <c r="BY285" s="39">
        <v>0.0</v>
      </c>
      <c r="BZ285" s="35" t="s">
        <v>7045</v>
      </c>
      <c r="CA285" s="30">
        <v>47027.0</v>
      </c>
      <c r="CB285" s="30">
        <v>47118.0</v>
      </c>
      <c r="CC285" s="39">
        <v>0.0</v>
      </c>
      <c r="CD285" s="39">
        <v>0.0</v>
      </c>
      <c r="CE285" s="35" t="s">
        <v>7045</v>
      </c>
      <c r="CF285" s="30">
        <v>47119.0</v>
      </c>
      <c r="CG285" s="30">
        <v>47208.0</v>
      </c>
      <c r="CH285" s="39">
        <v>0.0</v>
      </c>
      <c r="CI285" s="39">
        <v>0.0</v>
      </c>
      <c r="CJ285" s="35" t="s">
        <v>7045</v>
      </c>
      <c r="CK285" s="30">
        <v>47209.0</v>
      </c>
      <c r="CL285" s="30">
        <v>47299.0</v>
      </c>
      <c r="CM285" s="39">
        <v>0.0</v>
      </c>
      <c r="CN285" s="39">
        <v>0.0</v>
      </c>
      <c r="CO285" s="35" t="s">
        <v>7045</v>
      </c>
      <c r="CP285" s="30">
        <v>47300.0</v>
      </c>
      <c r="CQ285" s="30">
        <v>47391.0</v>
      </c>
      <c r="CR285" s="39">
        <v>0.0</v>
      </c>
      <c r="CS285" s="39">
        <v>0.0</v>
      </c>
      <c r="CT285" s="35" t="s">
        <v>7045</v>
      </c>
      <c r="CU285" s="30">
        <v>47392.0</v>
      </c>
      <c r="CV285" s="30">
        <v>47483.0</v>
      </c>
      <c r="CW285" s="39">
        <v>0.0</v>
      </c>
      <c r="CX285" s="39">
        <v>0.0</v>
      </c>
      <c r="CY285" s="35" t="s">
        <v>7045</v>
      </c>
      <c r="CZ285" s="30">
        <v>47484.0</v>
      </c>
      <c r="DA285" s="30">
        <v>47573.0</v>
      </c>
      <c r="DB285" s="39">
        <v>0.0</v>
      </c>
      <c r="DC285" s="39">
        <v>0.0</v>
      </c>
      <c r="DD285" s="35" t="s">
        <v>7045</v>
      </c>
      <c r="DE285" s="30">
        <v>47574.0</v>
      </c>
      <c r="DF285" s="30">
        <v>47664.0</v>
      </c>
      <c r="DG285" s="39">
        <v>0.0</v>
      </c>
      <c r="DH285" s="39">
        <v>0.0</v>
      </c>
      <c r="DI285" s="35" t="s">
        <v>7045</v>
      </c>
      <c r="DJ285" s="30">
        <v>47665.0</v>
      </c>
      <c r="DK285" s="30">
        <v>47756.0</v>
      </c>
      <c r="DL285" s="39">
        <v>0.0</v>
      </c>
      <c r="DM285" s="39">
        <v>0.0</v>
      </c>
      <c r="DN285" s="35" t="s">
        <v>7045</v>
      </c>
      <c r="DO285" s="30">
        <v>47757.0</v>
      </c>
      <c r="DP285" s="30">
        <v>47848.0</v>
      </c>
      <c r="DQ285" s="39">
        <v>0.0</v>
      </c>
      <c r="DR285" s="39">
        <v>0.0</v>
      </c>
      <c r="DS285" s="35" t="s">
        <v>7045</v>
      </c>
    </row>
    <row r="286" ht="14.25" customHeight="1">
      <c r="A286" s="28" t="s">
        <v>2620</v>
      </c>
      <c r="B286" s="29" t="s">
        <v>2621</v>
      </c>
      <c r="C286" s="29" t="s">
        <v>7041</v>
      </c>
      <c r="D286" s="30">
        <v>45658.0</v>
      </c>
      <c r="E286" s="30">
        <v>45747.0</v>
      </c>
      <c r="F286" s="36">
        <v>5.0</v>
      </c>
      <c r="G286" s="36">
        <v>0.0</v>
      </c>
      <c r="H286" s="38" t="s">
        <v>7047</v>
      </c>
      <c r="I286" s="30">
        <v>45748.0</v>
      </c>
      <c r="J286" s="30">
        <v>45838.0</v>
      </c>
      <c r="K286" s="36">
        <v>37.01</v>
      </c>
      <c r="L286" s="36">
        <v>893.31</v>
      </c>
      <c r="M286" s="32" t="s">
        <v>7043</v>
      </c>
      <c r="N286" s="30">
        <v>45839.0</v>
      </c>
      <c r="O286" s="30">
        <v>45930.0</v>
      </c>
      <c r="P286" s="36">
        <v>37.01</v>
      </c>
      <c r="Q286" s="36">
        <v>909.99</v>
      </c>
      <c r="R286" s="38" t="s">
        <v>7047</v>
      </c>
      <c r="S286" s="30">
        <v>45931.0</v>
      </c>
      <c r="T286" s="30">
        <v>46022.0</v>
      </c>
      <c r="U286" s="36">
        <v>661.99</v>
      </c>
      <c r="V286" s="36">
        <v>729.98</v>
      </c>
      <c r="W286" s="32" t="s">
        <v>7047</v>
      </c>
      <c r="X286" s="30">
        <v>46023.0</v>
      </c>
      <c r="Y286" s="30">
        <v>46112.0</v>
      </c>
      <c r="Z286" s="36">
        <v>0.0</v>
      </c>
      <c r="AA286" s="36">
        <v>0.0</v>
      </c>
      <c r="AB286" s="35" t="s">
        <v>7045</v>
      </c>
      <c r="AC286" s="30">
        <v>46113.0</v>
      </c>
      <c r="AD286" s="30">
        <v>46203.0</v>
      </c>
      <c r="AE286" s="36">
        <v>0.0</v>
      </c>
      <c r="AF286" s="36">
        <v>0.0</v>
      </c>
      <c r="AG286" s="35" t="s">
        <v>7045</v>
      </c>
      <c r="AH286" s="30">
        <v>46204.0</v>
      </c>
      <c r="AI286" s="30">
        <v>46295.0</v>
      </c>
      <c r="AJ286" s="36">
        <v>0.0</v>
      </c>
      <c r="AK286" s="36">
        <v>0.0</v>
      </c>
      <c r="AL286" s="35" t="s">
        <v>7045</v>
      </c>
      <c r="AM286" s="30">
        <v>46296.0</v>
      </c>
      <c r="AN286" s="30">
        <v>46387.0</v>
      </c>
      <c r="AO286" s="36">
        <v>0.0</v>
      </c>
      <c r="AP286" s="36">
        <v>0.0</v>
      </c>
      <c r="AQ286" s="35" t="s">
        <v>7045</v>
      </c>
      <c r="AR286" s="30">
        <v>46388.0</v>
      </c>
      <c r="AS286" s="30">
        <v>46477.0</v>
      </c>
      <c r="AT286" s="36">
        <v>0.0</v>
      </c>
      <c r="AU286" s="36">
        <v>0.0</v>
      </c>
      <c r="AV286" s="35" t="s">
        <v>7045</v>
      </c>
      <c r="AW286" s="30">
        <v>46478.0</v>
      </c>
      <c r="AX286" s="30">
        <v>46568.0</v>
      </c>
      <c r="AY286" s="36">
        <v>0.0</v>
      </c>
      <c r="AZ286" s="36">
        <v>0.0</v>
      </c>
      <c r="BA286" s="35" t="s">
        <v>7045</v>
      </c>
      <c r="BB286" s="30">
        <v>46569.0</v>
      </c>
      <c r="BC286" s="30">
        <v>46660.0</v>
      </c>
      <c r="BD286" s="36">
        <v>0.0</v>
      </c>
      <c r="BE286" s="36">
        <v>0.0</v>
      </c>
      <c r="BF286" s="35" t="s">
        <v>7045</v>
      </c>
      <c r="BG286" s="30">
        <v>46661.0</v>
      </c>
      <c r="BH286" s="30">
        <v>46752.0</v>
      </c>
      <c r="BI286" s="36">
        <v>0.0</v>
      </c>
      <c r="BJ286" s="36">
        <v>0.0</v>
      </c>
      <c r="BK286" s="35" t="s">
        <v>7045</v>
      </c>
      <c r="BL286" s="30">
        <v>46753.0</v>
      </c>
      <c r="BM286" s="30">
        <v>46843.0</v>
      </c>
      <c r="BN286" s="36">
        <v>0.0</v>
      </c>
      <c r="BO286" s="36">
        <v>0.0</v>
      </c>
      <c r="BP286" s="35" t="s">
        <v>7045</v>
      </c>
      <c r="BQ286" s="30">
        <v>46844.0</v>
      </c>
      <c r="BR286" s="30">
        <v>46934.0</v>
      </c>
      <c r="BS286" s="36">
        <v>0.0</v>
      </c>
      <c r="BT286" s="36">
        <v>0.0</v>
      </c>
      <c r="BU286" s="35" t="s">
        <v>7045</v>
      </c>
      <c r="BV286" s="30">
        <v>46935.0</v>
      </c>
      <c r="BW286" s="30">
        <v>47026.0</v>
      </c>
      <c r="BX286" s="36">
        <v>0.0</v>
      </c>
      <c r="BY286" s="36">
        <v>0.0</v>
      </c>
      <c r="BZ286" s="35" t="s">
        <v>7045</v>
      </c>
      <c r="CA286" s="30">
        <v>47027.0</v>
      </c>
      <c r="CB286" s="30">
        <v>47118.0</v>
      </c>
      <c r="CC286" s="36">
        <v>0.0</v>
      </c>
      <c r="CD286" s="36">
        <v>0.0</v>
      </c>
      <c r="CE286" s="35" t="s">
        <v>7045</v>
      </c>
      <c r="CF286" s="30">
        <v>47119.0</v>
      </c>
      <c r="CG286" s="30">
        <v>47208.0</v>
      </c>
      <c r="CH286" s="36">
        <v>0.0</v>
      </c>
      <c r="CI286" s="36">
        <v>0.0</v>
      </c>
      <c r="CJ286" s="35" t="s">
        <v>7045</v>
      </c>
      <c r="CK286" s="30">
        <v>47209.0</v>
      </c>
      <c r="CL286" s="30">
        <v>47299.0</v>
      </c>
      <c r="CM286" s="36">
        <v>0.0</v>
      </c>
      <c r="CN286" s="36">
        <v>0.0</v>
      </c>
      <c r="CO286" s="35" t="s">
        <v>7045</v>
      </c>
      <c r="CP286" s="30">
        <v>47300.0</v>
      </c>
      <c r="CQ286" s="30">
        <v>47391.0</v>
      </c>
      <c r="CR286" s="36">
        <v>0.0</v>
      </c>
      <c r="CS286" s="36">
        <v>0.0</v>
      </c>
      <c r="CT286" s="35" t="s">
        <v>7045</v>
      </c>
      <c r="CU286" s="30">
        <v>47392.0</v>
      </c>
      <c r="CV286" s="30">
        <v>47483.0</v>
      </c>
      <c r="CW286" s="36">
        <v>0.0</v>
      </c>
      <c r="CX286" s="36">
        <v>0.0</v>
      </c>
      <c r="CY286" s="35" t="s">
        <v>7045</v>
      </c>
      <c r="CZ286" s="30">
        <v>47484.0</v>
      </c>
      <c r="DA286" s="30">
        <v>47573.0</v>
      </c>
      <c r="DB286" s="36">
        <v>0.0</v>
      </c>
      <c r="DC286" s="36">
        <v>0.0</v>
      </c>
      <c r="DD286" s="35" t="s">
        <v>7045</v>
      </c>
      <c r="DE286" s="30">
        <v>47574.0</v>
      </c>
      <c r="DF286" s="30">
        <v>47664.0</v>
      </c>
      <c r="DG286" s="36">
        <v>0.0</v>
      </c>
      <c r="DH286" s="36">
        <v>0.0</v>
      </c>
      <c r="DI286" s="35" t="s">
        <v>7045</v>
      </c>
      <c r="DJ286" s="30">
        <v>47665.0</v>
      </c>
      <c r="DK286" s="30">
        <v>47756.0</v>
      </c>
      <c r="DL286" s="36">
        <v>0.0</v>
      </c>
      <c r="DM286" s="36">
        <v>0.0</v>
      </c>
      <c r="DN286" s="35" t="s">
        <v>7045</v>
      </c>
      <c r="DO286" s="30">
        <v>47757.0</v>
      </c>
      <c r="DP286" s="30">
        <v>47848.0</v>
      </c>
      <c r="DQ286" s="36">
        <v>0.0</v>
      </c>
      <c r="DR286" s="36">
        <v>0.0</v>
      </c>
      <c r="DS286" s="35" t="s">
        <v>7045</v>
      </c>
    </row>
    <row r="287" ht="14.25" customHeight="1">
      <c r="A287" s="28" t="s">
        <v>2709</v>
      </c>
      <c r="B287" s="29" t="s">
        <v>2710</v>
      </c>
      <c r="C287" s="29" t="s">
        <v>7041</v>
      </c>
      <c r="D287" s="30">
        <v>45658.0</v>
      </c>
      <c r="E287" s="30">
        <v>45747.0</v>
      </c>
      <c r="F287" s="36">
        <v>45.0</v>
      </c>
      <c r="G287" s="36">
        <v>0.0</v>
      </c>
      <c r="H287" s="38" t="s">
        <v>7047</v>
      </c>
      <c r="I287" s="30">
        <v>45748.0</v>
      </c>
      <c r="J287" s="30">
        <v>45838.0</v>
      </c>
      <c r="K287" s="36">
        <v>2.63</v>
      </c>
      <c r="L287" s="36">
        <v>366.65</v>
      </c>
      <c r="M287" s="32" t="s">
        <v>7043</v>
      </c>
      <c r="N287" s="30">
        <v>45839.0</v>
      </c>
      <c r="O287" s="30">
        <v>45930.0</v>
      </c>
      <c r="P287" s="36">
        <v>449.99</v>
      </c>
      <c r="Q287" s="36">
        <v>233.33</v>
      </c>
      <c r="R287" s="38" t="s">
        <v>7047</v>
      </c>
      <c r="S287" s="30">
        <v>45931.0</v>
      </c>
      <c r="T287" s="30">
        <v>46022.0</v>
      </c>
      <c r="U287" s="36">
        <v>193.0</v>
      </c>
      <c r="V287" s="36">
        <v>166.67</v>
      </c>
      <c r="W287" s="38" t="s">
        <v>7047</v>
      </c>
      <c r="X287" s="30">
        <v>46023.0</v>
      </c>
      <c r="Y287" s="30">
        <v>46112.0</v>
      </c>
      <c r="Z287" s="36">
        <v>100.0</v>
      </c>
      <c r="AA287" s="36">
        <v>0.0</v>
      </c>
      <c r="AB287" s="38" t="s">
        <v>7047</v>
      </c>
      <c r="AC287" s="30">
        <v>46113.0</v>
      </c>
      <c r="AD287" s="30">
        <v>46203.0</v>
      </c>
      <c r="AE287" s="36">
        <v>0.0</v>
      </c>
      <c r="AF287" s="36">
        <v>0.0</v>
      </c>
      <c r="AG287" s="35" t="s">
        <v>7045</v>
      </c>
      <c r="AH287" s="30">
        <v>46204.0</v>
      </c>
      <c r="AI287" s="30">
        <v>46295.0</v>
      </c>
      <c r="AJ287" s="36">
        <v>0.0</v>
      </c>
      <c r="AK287" s="36">
        <v>0.0</v>
      </c>
      <c r="AL287" s="35" t="s">
        <v>7045</v>
      </c>
      <c r="AM287" s="30">
        <v>46296.0</v>
      </c>
      <c r="AN287" s="30">
        <v>46387.0</v>
      </c>
      <c r="AO287" s="36">
        <v>0.0</v>
      </c>
      <c r="AP287" s="36">
        <v>0.0</v>
      </c>
      <c r="AQ287" s="35" t="s">
        <v>7045</v>
      </c>
      <c r="AR287" s="30">
        <v>46388.0</v>
      </c>
      <c r="AS287" s="30">
        <v>46477.0</v>
      </c>
      <c r="AT287" s="36">
        <v>0.0</v>
      </c>
      <c r="AU287" s="36">
        <v>0.0</v>
      </c>
      <c r="AV287" s="35" t="s">
        <v>7045</v>
      </c>
      <c r="AW287" s="30">
        <v>46478.0</v>
      </c>
      <c r="AX287" s="30">
        <v>46568.0</v>
      </c>
      <c r="AY287" s="36">
        <v>0.0</v>
      </c>
      <c r="AZ287" s="36">
        <v>0.0</v>
      </c>
      <c r="BA287" s="35" t="s">
        <v>7045</v>
      </c>
      <c r="BB287" s="30">
        <v>46569.0</v>
      </c>
      <c r="BC287" s="30">
        <v>46660.0</v>
      </c>
      <c r="BD287" s="36">
        <v>0.0</v>
      </c>
      <c r="BE287" s="36">
        <v>0.0</v>
      </c>
      <c r="BF287" s="35" t="s">
        <v>7045</v>
      </c>
      <c r="BG287" s="30">
        <v>46661.0</v>
      </c>
      <c r="BH287" s="30">
        <v>46752.0</v>
      </c>
      <c r="BI287" s="36">
        <v>0.0</v>
      </c>
      <c r="BJ287" s="36">
        <v>0.0</v>
      </c>
      <c r="BK287" s="35" t="s">
        <v>7045</v>
      </c>
      <c r="BL287" s="30">
        <v>46753.0</v>
      </c>
      <c r="BM287" s="30">
        <v>46843.0</v>
      </c>
      <c r="BN287" s="36">
        <v>0.0</v>
      </c>
      <c r="BO287" s="36">
        <v>0.0</v>
      </c>
      <c r="BP287" s="35" t="s">
        <v>7045</v>
      </c>
      <c r="BQ287" s="30">
        <v>46844.0</v>
      </c>
      <c r="BR287" s="30">
        <v>46934.0</v>
      </c>
      <c r="BS287" s="36">
        <v>0.0</v>
      </c>
      <c r="BT287" s="36">
        <v>0.0</v>
      </c>
      <c r="BU287" s="35" t="s">
        <v>7045</v>
      </c>
      <c r="BV287" s="30">
        <v>46935.0</v>
      </c>
      <c r="BW287" s="30">
        <v>47026.0</v>
      </c>
      <c r="BX287" s="36">
        <v>0.0</v>
      </c>
      <c r="BY287" s="36">
        <v>0.0</v>
      </c>
      <c r="BZ287" s="35" t="s">
        <v>7045</v>
      </c>
      <c r="CA287" s="30">
        <v>47027.0</v>
      </c>
      <c r="CB287" s="30">
        <v>47118.0</v>
      </c>
      <c r="CC287" s="36">
        <v>0.0</v>
      </c>
      <c r="CD287" s="36">
        <v>0.0</v>
      </c>
      <c r="CE287" s="35" t="s">
        <v>7045</v>
      </c>
      <c r="CF287" s="30">
        <v>47119.0</v>
      </c>
      <c r="CG287" s="30">
        <v>47208.0</v>
      </c>
      <c r="CH287" s="36">
        <v>0.0</v>
      </c>
      <c r="CI287" s="36">
        <v>0.0</v>
      </c>
      <c r="CJ287" s="35" t="s">
        <v>7045</v>
      </c>
      <c r="CK287" s="30">
        <v>47209.0</v>
      </c>
      <c r="CL287" s="30">
        <v>47299.0</v>
      </c>
      <c r="CM287" s="36">
        <v>0.0</v>
      </c>
      <c r="CN287" s="36">
        <v>0.0</v>
      </c>
      <c r="CO287" s="35" t="s">
        <v>7045</v>
      </c>
      <c r="CP287" s="30">
        <v>47300.0</v>
      </c>
      <c r="CQ287" s="30">
        <v>47391.0</v>
      </c>
      <c r="CR287" s="36">
        <v>0.0</v>
      </c>
      <c r="CS287" s="36">
        <v>0.0</v>
      </c>
      <c r="CT287" s="35" t="s">
        <v>7045</v>
      </c>
      <c r="CU287" s="30">
        <v>47392.0</v>
      </c>
      <c r="CV287" s="30">
        <v>47483.0</v>
      </c>
      <c r="CW287" s="36">
        <v>0.0</v>
      </c>
      <c r="CX287" s="36">
        <v>0.0</v>
      </c>
      <c r="CY287" s="35" t="s">
        <v>7045</v>
      </c>
      <c r="CZ287" s="30">
        <v>47484.0</v>
      </c>
      <c r="DA287" s="30">
        <v>47573.0</v>
      </c>
      <c r="DB287" s="36">
        <v>0.0</v>
      </c>
      <c r="DC287" s="36">
        <v>0.0</v>
      </c>
      <c r="DD287" s="35" t="s">
        <v>7045</v>
      </c>
      <c r="DE287" s="30">
        <v>47574.0</v>
      </c>
      <c r="DF287" s="30">
        <v>47664.0</v>
      </c>
      <c r="DG287" s="36">
        <v>0.0</v>
      </c>
      <c r="DH287" s="36">
        <v>0.0</v>
      </c>
      <c r="DI287" s="35" t="s">
        <v>7045</v>
      </c>
      <c r="DJ287" s="30">
        <v>47665.0</v>
      </c>
      <c r="DK287" s="30">
        <v>47756.0</v>
      </c>
      <c r="DL287" s="36">
        <v>0.0</v>
      </c>
      <c r="DM287" s="36">
        <v>0.0</v>
      </c>
      <c r="DN287" s="35" t="s">
        <v>7045</v>
      </c>
      <c r="DO287" s="30">
        <v>47757.0</v>
      </c>
      <c r="DP287" s="30">
        <v>47848.0</v>
      </c>
      <c r="DQ287" s="36">
        <v>0.0</v>
      </c>
      <c r="DR287" s="36">
        <v>0.0</v>
      </c>
      <c r="DS287" s="35" t="s">
        <v>7045</v>
      </c>
    </row>
    <row r="288" ht="14.25" customHeight="1">
      <c r="A288" s="28" t="s">
        <v>2781</v>
      </c>
      <c r="B288" s="29" t="s">
        <v>2782</v>
      </c>
      <c r="C288" s="29" t="s">
        <v>7041</v>
      </c>
      <c r="D288" s="30">
        <v>45658.0</v>
      </c>
      <c r="E288" s="30">
        <v>45747.0</v>
      </c>
      <c r="F288" s="36">
        <v>40.0</v>
      </c>
      <c r="G288" s="36">
        <v>0.0</v>
      </c>
      <c r="H288" s="38" t="s">
        <v>7047</v>
      </c>
      <c r="I288" s="30">
        <v>45748.0</v>
      </c>
      <c r="J288" s="30">
        <v>45838.0</v>
      </c>
      <c r="K288" s="36">
        <v>155.0</v>
      </c>
      <c r="L288" s="36">
        <v>897.43</v>
      </c>
      <c r="M288" s="32" t="s">
        <v>7043</v>
      </c>
      <c r="N288" s="30">
        <v>45839.0</v>
      </c>
      <c r="O288" s="30">
        <v>45930.0</v>
      </c>
      <c r="P288" s="36">
        <v>183.0</v>
      </c>
      <c r="Q288" s="36">
        <v>641.02</v>
      </c>
      <c r="R288" s="38" t="s">
        <v>7047</v>
      </c>
      <c r="S288" s="30">
        <v>45931.0</v>
      </c>
      <c r="T288" s="30">
        <v>46022.0</v>
      </c>
      <c r="U288" s="36">
        <v>246.99</v>
      </c>
      <c r="V288" s="36">
        <v>897.43</v>
      </c>
      <c r="W288" s="38" t="s">
        <v>7047</v>
      </c>
      <c r="X288" s="30">
        <v>46023.0</v>
      </c>
      <c r="Y288" s="30">
        <v>46112.0</v>
      </c>
      <c r="Z288" s="36">
        <v>49.15</v>
      </c>
      <c r="AA288" s="36">
        <v>0.0</v>
      </c>
      <c r="AB288" s="38" t="s">
        <v>7047</v>
      </c>
      <c r="AC288" s="30">
        <v>46113.0</v>
      </c>
      <c r="AD288" s="30">
        <v>46203.0</v>
      </c>
      <c r="AE288" s="36">
        <v>0.0</v>
      </c>
      <c r="AF288" s="36">
        <v>0.0</v>
      </c>
      <c r="AG288" s="35" t="s">
        <v>7045</v>
      </c>
      <c r="AH288" s="30">
        <v>46204.0</v>
      </c>
      <c r="AI288" s="30">
        <v>46295.0</v>
      </c>
      <c r="AJ288" s="36">
        <v>0.0</v>
      </c>
      <c r="AK288" s="36">
        <v>0.0</v>
      </c>
      <c r="AL288" s="35" t="s">
        <v>7045</v>
      </c>
      <c r="AM288" s="30">
        <v>46296.0</v>
      </c>
      <c r="AN288" s="30">
        <v>46387.0</v>
      </c>
      <c r="AO288" s="36">
        <v>0.0</v>
      </c>
      <c r="AP288" s="36">
        <v>0.0</v>
      </c>
      <c r="AQ288" s="35" t="s">
        <v>7045</v>
      </c>
      <c r="AR288" s="30">
        <v>46388.0</v>
      </c>
      <c r="AS288" s="30">
        <v>46477.0</v>
      </c>
      <c r="AT288" s="36">
        <v>0.0</v>
      </c>
      <c r="AU288" s="36">
        <v>0.0</v>
      </c>
      <c r="AV288" s="35" t="s">
        <v>7045</v>
      </c>
      <c r="AW288" s="30">
        <v>46478.0</v>
      </c>
      <c r="AX288" s="30">
        <v>46568.0</v>
      </c>
      <c r="AY288" s="36">
        <v>0.0</v>
      </c>
      <c r="AZ288" s="36">
        <v>0.0</v>
      </c>
      <c r="BA288" s="35" t="s">
        <v>7045</v>
      </c>
      <c r="BB288" s="30">
        <v>46569.0</v>
      </c>
      <c r="BC288" s="30">
        <v>46660.0</v>
      </c>
      <c r="BD288" s="36">
        <v>0.0</v>
      </c>
      <c r="BE288" s="36">
        <v>0.0</v>
      </c>
      <c r="BF288" s="35" t="s">
        <v>7045</v>
      </c>
      <c r="BG288" s="30">
        <v>46661.0</v>
      </c>
      <c r="BH288" s="30">
        <v>46752.0</v>
      </c>
      <c r="BI288" s="36">
        <v>0.0</v>
      </c>
      <c r="BJ288" s="36">
        <v>0.0</v>
      </c>
      <c r="BK288" s="35" t="s">
        <v>7045</v>
      </c>
      <c r="BL288" s="30">
        <v>46753.0</v>
      </c>
      <c r="BM288" s="30">
        <v>46843.0</v>
      </c>
      <c r="BN288" s="36">
        <v>0.0</v>
      </c>
      <c r="BO288" s="36">
        <v>0.0</v>
      </c>
      <c r="BP288" s="35" t="s">
        <v>7045</v>
      </c>
      <c r="BQ288" s="30">
        <v>46844.0</v>
      </c>
      <c r="BR288" s="30">
        <v>46934.0</v>
      </c>
      <c r="BS288" s="36">
        <v>0.0</v>
      </c>
      <c r="BT288" s="36">
        <v>0.0</v>
      </c>
      <c r="BU288" s="35" t="s">
        <v>7045</v>
      </c>
      <c r="BV288" s="30">
        <v>46935.0</v>
      </c>
      <c r="BW288" s="30">
        <v>47026.0</v>
      </c>
      <c r="BX288" s="36">
        <v>0.0</v>
      </c>
      <c r="BY288" s="36">
        <v>0.0</v>
      </c>
      <c r="BZ288" s="35" t="s">
        <v>7045</v>
      </c>
      <c r="CA288" s="30">
        <v>47027.0</v>
      </c>
      <c r="CB288" s="30">
        <v>47118.0</v>
      </c>
      <c r="CC288" s="36">
        <v>0.0</v>
      </c>
      <c r="CD288" s="36">
        <v>0.0</v>
      </c>
      <c r="CE288" s="35" t="s">
        <v>7045</v>
      </c>
      <c r="CF288" s="30">
        <v>47119.0</v>
      </c>
      <c r="CG288" s="30">
        <v>47208.0</v>
      </c>
      <c r="CH288" s="36">
        <v>0.0</v>
      </c>
      <c r="CI288" s="36">
        <v>0.0</v>
      </c>
      <c r="CJ288" s="35" t="s">
        <v>7045</v>
      </c>
      <c r="CK288" s="30">
        <v>47209.0</v>
      </c>
      <c r="CL288" s="30">
        <v>47299.0</v>
      </c>
      <c r="CM288" s="36">
        <v>0.0</v>
      </c>
      <c r="CN288" s="36">
        <v>0.0</v>
      </c>
      <c r="CO288" s="35" t="s">
        <v>7045</v>
      </c>
      <c r="CP288" s="30">
        <v>47300.0</v>
      </c>
      <c r="CQ288" s="30">
        <v>47391.0</v>
      </c>
      <c r="CR288" s="36">
        <v>0.0</v>
      </c>
      <c r="CS288" s="36">
        <v>0.0</v>
      </c>
      <c r="CT288" s="35" t="s">
        <v>7045</v>
      </c>
      <c r="CU288" s="30">
        <v>47392.0</v>
      </c>
      <c r="CV288" s="30">
        <v>47483.0</v>
      </c>
      <c r="CW288" s="36">
        <v>0.0</v>
      </c>
      <c r="CX288" s="36">
        <v>0.0</v>
      </c>
      <c r="CY288" s="35" t="s">
        <v>7045</v>
      </c>
      <c r="CZ288" s="30">
        <v>47484.0</v>
      </c>
      <c r="DA288" s="30">
        <v>47573.0</v>
      </c>
      <c r="DB288" s="36">
        <v>0.0</v>
      </c>
      <c r="DC288" s="36">
        <v>0.0</v>
      </c>
      <c r="DD288" s="35" t="s">
        <v>7045</v>
      </c>
      <c r="DE288" s="30">
        <v>47574.0</v>
      </c>
      <c r="DF288" s="30">
        <v>47664.0</v>
      </c>
      <c r="DG288" s="36">
        <v>0.0</v>
      </c>
      <c r="DH288" s="36">
        <v>0.0</v>
      </c>
      <c r="DI288" s="35" t="s">
        <v>7045</v>
      </c>
      <c r="DJ288" s="30">
        <v>47665.0</v>
      </c>
      <c r="DK288" s="30">
        <v>47756.0</v>
      </c>
      <c r="DL288" s="36">
        <v>0.0</v>
      </c>
      <c r="DM288" s="36">
        <v>0.0</v>
      </c>
      <c r="DN288" s="35" t="s">
        <v>7045</v>
      </c>
      <c r="DO288" s="30">
        <v>47757.0</v>
      </c>
      <c r="DP288" s="30">
        <v>47848.0</v>
      </c>
      <c r="DQ288" s="36">
        <v>0.0</v>
      </c>
      <c r="DR288" s="36">
        <v>0.0</v>
      </c>
      <c r="DS288" s="35" t="s">
        <v>7045</v>
      </c>
    </row>
    <row r="289" ht="14.25" customHeight="1">
      <c r="A289" s="28" t="s">
        <v>2948</v>
      </c>
      <c r="B289" s="29" t="s">
        <v>2949</v>
      </c>
      <c r="C289" s="29" t="s">
        <v>7041</v>
      </c>
      <c r="D289" s="30">
        <v>45658.0</v>
      </c>
      <c r="E289" s="30">
        <v>45747.0</v>
      </c>
      <c r="F289" s="39">
        <v>26.98</v>
      </c>
      <c r="G289" s="39">
        <v>0.0</v>
      </c>
      <c r="H289" s="38" t="s">
        <v>7047</v>
      </c>
      <c r="I289" s="30">
        <v>45748.0</v>
      </c>
      <c r="J289" s="30">
        <v>45838.0</v>
      </c>
      <c r="K289" s="39">
        <v>78.22</v>
      </c>
      <c r="L289" s="39">
        <v>169.84</v>
      </c>
      <c r="M289" s="38" t="s">
        <v>7046</v>
      </c>
      <c r="N289" s="30">
        <v>45839.0</v>
      </c>
      <c r="O289" s="30">
        <v>45930.0</v>
      </c>
      <c r="P289" s="39">
        <v>227.5</v>
      </c>
      <c r="Q289" s="39">
        <v>180.95</v>
      </c>
      <c r="R289" s="38" t="s">
        <v>7047</v>
      </c>
      <c r="S289" s="30">
        <v>45931.0</v>
      </c>
      <c r="T289" s="30">
        <v>46022.0</v>
      </c>
      <c r="U289" s="39">
        <v>81.9</v>
      </c>
      <c r="V289" s="39">
        <v>287.3</v>
      </c>
      <c r="W289" s="38" t="s">
        <v>7047</v>
      </c>
      <c r="X289" s="30">
        <v>46023.0</v>
      </c>
      <c r="Y289" s="30">
        <v>46112.0</v>
      </c>
      <c r="Z289" s="39">
        <v>5.14</v>
      </c>
      <c r="AA289" s="39">
        <v>0.0</v>
      </c>
      <c r="AB289" s="38" t="s">
        <v>7047</v>
      </c>
      <c r="AC289" s="30">
        <v>46113.0</v>
      </c>
      <c r="AD289" s="30">
        <v>46203.0</v>
      </c>
      <c r="AE289" s="39">
        <v>3.81</v>
      </c>
      <c r="AF289" s="39">
        <v>0.0</v>
      </c>
      <c r="AG289" s="38" t="s">
        <v>7047</v>
      </c>
      <c r="AH289" s="30">
        <v>46204.0</v>
      </c>
      <c r="AI289" s="30">
        <v>46295.0</v>
      </c>
      <c r="AJ289" s="39">
        <v>1.86</v>
      </c>
      <c r="AK289" s="39">
        <v>0.0</v>
      </c>
      <c r="AL289" s="35" t="s">
        <v>7047</v>
      </c>
      <c r="AM289" s="30">
        <v>46296.0</v>
      </c>
      <c r="AN289" s="30">
        <v>46387.0</v>
      </c>
      <c r="AO289" s="39">
        <v>4.77</v>
      </c>
      <c r="AP289" s="39">
        <v>0.0</v>
      </c>
      <c r="AQ289" s="38" t="s">
        <v>7047</v>
      </c>
      <c r="AR289" s="30">
        <v>46388.0</v>
      </c>
      <c r="AS289" s="30">
        <v>46477.0</v>
      </c>
      <c r="AT289" s="39">
        <v>0.0</v>
      </c>
      <c r="AU289" s="39">
        <v>0.0</v>
      </c>
      <c r="AV289" s="35" t="s">
        <v>7045</v>
      </c>
      <c r="AW289" s="30">
        <v>46478.0</v>
      </c>
      <c r="AX289" s="30">
        <v>46568.0</v>
      </c>
      <c r="AY289" s="39">
        <v>0.0</v>
      </c>
      <c r="AZ289" s="39">
        <v>0.0</v>
      </c>
      <c r="BA289" s="35" t="s">
        <v>7045</v>
      </c>
      <c r="BB289" s="30">
        <v>46569.0</v>
      </c>
      <c r="BC289" s="30">
        <v>46660.0</v>
      </c>
      <c r="BD289" s="39">
        <v>0.0</v>
      </c>
      <c r="BE289" s="39">
        <v>0.0</v>
      </c>
      <c r="BF289" s="35" t="s">
        <v>7045</v>
      </c>
      <c r="BG289" s="30">
        <v>46661.0</v>
      </c>
      <c r="BH289" s="30">
        <v>46752.0</v>
      </c>
      <c r="BI289" s="39">
        <v>0.0</v>
      </c>
      <c r="BJ289" s="39">
        <v>0.0</v>
      </c>
      <c r="BK289" s="35" t="s">
        <v>7045</v>
      </c>
      <c r="BL289" s="30">
        <v>46753.0</v>
      </c>
      <c r="BM289" s="30">
        <v>46843.0</v>
      </c>
      <c r="BN289" s="39">
        <v>0.0</v>
      </c>
      <c r="BO289" s="39">
        <v>0.0</v>
      </c>
      <c r="BP289" s="35" t="s">
        <v>7045</v>
      </c>
      <c r="BQ289" s="30">
        <v>46844.0</v>
      </c>
      <c r="BR289" s="30">
        <v>46934.0</v>
      </c>
      <c r="BS289" s="39">
        <v>0.0</v>
      </c>
      <c r="BT289" s="39">
        <v>0.0</v>
      </c>
      <c r="BU289" s="35" t="s">
        <v>7045</v>
      </c>
      <c r="BV289" s="30">
        <v>46935.0</v>
      </c>
      <c r="BW289" s="30">
        <v>47026.0</v>
      </c>
      <c r="BX289" s="39">
        <v>0.0</v>
      </c>
      <c r="BY289" s="39">
        <v>0.0</v>
      </c>
      <c r="BZ289" s="35" t="s">
        <v>7045</v>
      </c>
      <c r="CA289" s="30">
        <v>47027.0</v>
      </c>
      <c r="CB289" s="30">
        <v>47118.0</v>
      </c>
      <c r="CC289" s="39">
        <v>0.0</v>
      </c>
      <c r="CD289" s="39">
        <v>0.0</v>
      </c>
      <c r="CE289" s="35" t="s">
        <v>7045</v>
      </c>
      <c r="CF289" s="30">
        <v>47119.0</v>
      </c>
      <c r="CG289" s="30">
        <v>47208.0</v>
      </c>
      <c r="CH289" s="39">
        <v>0.0</v>
      </c>
      <c r="CI289" s="39">
        <v>0.0</v>
      </c>
      <c r="CJ289" s="35" t="s">
        <v>7045</v>
      </c>
      <c r="CK289" s="30">
        <v>47209.0</v>
      </c>
      <c r="CL289" s="30">
        <v>47299.0</v>
      </c>
      <c r="CM289" s="39">
        <v>0.0</v>
      </c>
      <c r="CN289" s="39">
        <v>0.0</v>
      </c>
      <c r="CO289" s="35" t="s">
        <v>7045</v>
      </c>
      <c r="CP289" s="30">
        <v>47300.0</v>
      </c>
      <c r="CQ289" s="30">
        <v>47391.0</v>
      </c>
      <c r="CR289" s="39">
        <v>0.0</v>
      </c>
      <c r="CS289" s="39">
        <v>0.0</v>
      </c>
      <c r="CT289" s="35" t="s">
        <v>7045</v>
      </c>
      <c r="CU289" s="30">
        <v>47392.0</v>
      </c>
      <c r="CV289" s="30">
        <v>47483.0</v>
      </c>
      <c r="CW289" s="39">
        <v>0.0</v>
      </c>
      <c r="CX289" s="39">
        <v>0.0</v>
      </c>
      <c r="CY289" s="35" t="s">
        <v>7045</v>
      </c>
      <c r="CZ289" s="30">
        <v>47484.0</v>
      </c>
      <c r="DA289" s="30">
        <v>47573.0</v>
      </c>
      <c r="DB289" s="39">
        <v>0.0</v>
      </c>
      <c r="DC289" s="39">
        <v>0.0</v>
      </c>
      <c r="DD289" s="35" t="s">
        <v>7045</v>
      </c>
      <c r="DE289" s="30">
        <v>47574.0</v>
      </c>
      <c r="DF289" s="30">
        <v>47664.0</v>
      </c>
      <c r="DG289" s="39">
        <v>0.0</v>
      </c>
      <c r="DH289" s="39">
        <v>0.0</v>
      </c>
      <c r="DI289" s="35" t="s">
        <v>7045</v>
      </c>
      <c r="DJ289" s="30">
        <v>47665.0</v>
      </c>
      <c r="DK289" s="30">
        <v>47756.0</v>
      </c>
      <c r="DL289" s="39">
        <v>0.0</v>
      </c>
      <c r="DM289" s="39">
        <v>0.0</v>
      </c>
      <c r="DN289" s="35" t="s">
        <v>7045</v>
      </c>
      <c r="DO289" s="30">
        <v>47757.0</v>
      </c>
      <c r="DP289" s="30">
        <v>47848.0</v>
      </c>
      <c r="DQ289" s="39">
        <v>0.0</v>
      </c>
      <c r="DR289" s="39">
        <v>0.0</v>
      </c>
      <c r="DS289" s="35" t="s">
        <v>7045</v>
      </c>
    </row>
    <row r="290" ht="14.25" customHeight="1">
      <c r="A290" s="28" t="s">
        <v>2957</v>
      </c>
      <c r="B290" s="29" t="s">
        <v>2958</v>
      </c>
      <c r="C290" s="29" t="s">
        <v>7041</v>
      </c>
      <c r="D290" s="30">
        <v>45658.0</v>
      </c>
      <c r="E290" s="30">
        <v>45747.0</v>
      </c>
      <c r="F290" s="39">
        <v>7.54</v>
      </c>
      <c r="G290" s="39">
        <v>0.0</v>
      </c>
      <c r="H290" s="38" t="s">
        <v>7047</v>
      </c>
      <c r="I290" s="30">
        <v>45748.0</v>
      </c>
      <c r="J290" s="30">
        <v>45838.0</v>
      </c>
      <c r="K290" s="39">
        <v>51.15</v>
      </c>
      <c r="L290" s="39">
        <v>297.62</v>
      </c>
      <c r="M290" s="37" t="s">
        <v>7043</v>
      </c>
      <c r="N290" s="30">
        <v>45839.0</v>
      </c>
      <c r="O290" s="30">
        <v>45930.0</v>
      </c>
      <c r="P290" s="39">
        <v>135.96</v>
      </c>
      <c r="Q290" s="39">
        <v>297.62</v>
      </c>
      <c r="R290" s="38" t="s">
        <v>7047</v>
      </c>
      <c r="S290" s="30">
        <v>45931.0</v>
      </c>
      <c r="T290" s="30">
        <v>46022.0</v>
      </c>
      <c r="U290" s="39">
        <v>115.37</v>
      </c>
      <c r="V290" s="39">
        <v>297.62</v>
      </c>
      <c r="W290" s="38" t="s">
        <v>7047</v>
      </c>
      <c r="X290" s="30">
        <v>46023.0</v>
      </c>
      <c r="Y290" s="30">
        <v>46112.0</v>
      </c>
      <c r="Z290" s="39">
        <v>5.56</v>
      </c>
      <c r="AA290" s="39">
        <v>0.0</v>
      </c>
      <c r="AB290" s="38" t="s">
        <v>7047</v>
      </c>
      <c r="AC290" s="30">
        <v>46113.0</v>
      </c>
      <c r="AD290" s="30">
        <v>46203.0</v>
      </c>
      <c r="AE290" s="39">
        <v>110.94</v>
      </c>
      <c r="AF290" s="39">
        <v>0.0</v>
      </c>
      <c r="AG290" s="38" t="s">
        <v>7047</v>
      </c>
      <c r="AH290" s="30">
        <v>46204.0</v>
      </c>
      <c r="AI290" s="30">
        <v>46295.0</v>
      </c>
      <c r="AJ290" s="39">
        <v>47.63</v>
      </c>
      <c r="AK290" s="39">
        <v>0.0</v>
      </c>
      <c r="AL290" s="38" t="s">
        <v>7047</v>
      </c>
      <c r="AM290" s="30">
        <v>46296.0</v>
      </c>
      <c r="AN290" s="30">
        <v>46387.0</v>
      </c>
      <c r="AO290" s="39">
        <v>66.0</v>
      </c>
      <c r="AP290" s="39">
        <v>0.0</v>
      </c>
      <c r="AQ290" s="38" t="s">
        <v>7047</v>
      </c>
      <c r="AR290" s="30">
        <v>46388.0</v>
      </c>
      <c r="AS290" s="30">
        <v>46477.0</v>
      </c>
      <c r="AT290" s="39">
        <v>0.0</v>
      </c>
      <c r="AU290" s="39">
        <v>0.0</v>
      </c>
      <c r="AV290" s="35" t="s">
        <v>7045</v>
      </c>
      <c r="AW290" s="30">
        <v>46478.0</v>
      </c>
      <c r="AX290" s="30">
        <v>46568.0</v>
      </c>
      <c r="AY290" s="39">
        <v>0.0</v>
      </c>
      <c r="AZ290" s="39">
        <v>0.0</v>
      </c>
      <c r="BA290" s="35" t="s">
        <v>7045</v>
      </c>
      <c r="BB290" s="30">
        <v>46569.0</v>
      </c>
      <c r="BC290" s="30">
        <v>46660.0</v>
      </c>
      <c r="BD290" s="39">
        <v>0.0</v>
      </c>
      <c r="BE290" s="39">
        <v>0.0</v>
      </c>
      <c r="BF290" s="35" t="s">
        <v>7045</v>
      </c>
      <c r="BG290" s="30">
        <v>46661.0</v>
      </c>
      <c r="BH290" s="30">
        <v>46752.0</v>
      </c>
      <c r="BI290" s="39">
        <v>0.0</v>
      </c>
      <c r="BJ290" s="39">
        <v>0.0</v>
      </c>
      <c r="BK290" s="35" t="s">
        <v>7045</v>
      </c>
      <c r="BL290" s="30">
        <v>46753.0</v>
      </c>
      <c r="BM290" s="30">
        <v>46843.0</v>
      </c>
      <c r="BN290" s="39">
        <v>0.0</v>
      </c>
      <c r="BO290" s="39">
        <v>0.0</v>
      </c>
      <c r="BP290" s="35" t="s">
        <v>7045</v>
      </c>
      <c r="BQ290" s="30">
        <v>46844.0</v>
      </c>
      <c r="BR290" s="30">
        <v>46934.0</v>
      </c>
      <c r="BS290" s="39">
        <v>0.0</v>
      </c>
      <c r="BT290" s="39">
        <v>0.0</v>
      </c>
      <c r="BU290" s="35" t="s">
        <v>7045</v>
      </c>
      <c r="BV290" s="30">
        <v>46935.0</v>
      </c>
      <c r="BW290" s="30">
        <v>47026.0</v>
      </c>
      <c r="BX290" s="39">
        <v>0.0</v>
      </c>
      <c r="BY290" s="39">
        <v>0.0</v>
      </c>
      <c r="BZ290" s="35" t="s">
        <v>7045</v>
      </c>
      <c r="CA290" s="30">
        <v>47027.0</v>
      </c>
      <c r="CB290" s="30">
        <v>47118.0</v>
      </c>
      <c r="CC290" s="39">
        <v>0.0</v>
      </c>
      <c r="CD290" s="39">
        <v>0.0</v>
      </c>
      <c r="CE290" s="35" t="s">
        <v>7045</v>
      </c>
      <c r="CF290" s="30">
        <v>47119.0</v>
      </c>
      <c r="CG290" s="30">
        <v>47208.0</v>
      </c>
      <c r="CH290" s="39">
        <v>0.0</v>
      </c>
      <c r="CI290" s="39">
        <v>0.0</v>
      </c>
      <c r="CJ290" s="35" t="s">
        <v>7045</v>
      </c>
      <c r="CK290" s="30">
        <v>47209.0</v>
      </c>
      <c r="CL290" s="30">
        <v>47299.0</v>
      </c>
      <c r="CM290" s="39">
        <v>0.0</v>
      </c>
      <c r="CN290" s="39">
        <v>0.0</v>
      </c>
      <c r="CO290" s="35" t="s">
        <v>7045</v>
      </c>
      <c r="CP290" s="30">
        <v>47300.0</v>
      </c>
      <c r="CQ290" s="30">
        <v>47391.0</v>
      </c>
      <c r="CR290" s="39">
        <v>0.0</v>
      </c>
      <c r="CS290" s="39">
        <v>0.0</v>
      </c>
      <c r="CT290" s="35" t="s">
        <v>7045</v>
      </c>
      <c r="CU290" s="30">
        <v>47392.0</v>
      </c>
      <c r="CV290" s="30">
        <v>47483.0</v>
      </c>
      <c r="CW290" s="39">
        <v>0.0</v>
      </c>
      <c r="CX290" s="39">
        <v>0.0</v>
      </c>
      <c r="CY290" s="35" t="s">
        <v>7045</v>
      </c>
      <c r="CZ290" s="30">
        <v>47484.0</v>
      </c>
      <c r="DA290" s="30">
        <v>47573.0</v>
      </c>
      <c r="DB290" s="39">
        <v>0.0</v>
      </c>
      <c r="DC290" s="39">
        <v>0.0</v>
      </c>
      <c r="DD290" s="35" t="s">
        <v>7045</v>
      </c>
      <c r="DE290" s="30">
        <v>47574.0</v>
      </c>
      <c r="DF290" s="30">
        <v>47664.0</v>
      </c>
      <c r="DG290" s="39">
        <v>0.0</v>
      </c>
      <c r="DH290" s="39">
        <v>0.0</v>
      </c>
      <c r="DI290" s="35" t="s">
        <v>7045</v>
      </c>
      <c r="DJ290" s="30">
        <v>47665.0</v>
      </c>
      <c r="DK290" s="30">
        <v>47756.0</v>
      </c>
      <c r="DL290" s="39">
        <v>0.0</v>
      </c>
      <c r="DM290" s="39">
        <v>0.0</v>
      </c>
      <c r="DN290" s="35" t="s">
        <v>7045</v>
      </c>
      <c r="DO290" s="30">
        <v>47757.0</v>
      </c>
      <c r="DP290" s="30">
        <v>47848.0</v>
      </c>
      <c r="DQ290" s="39">
        <v>0.0</v>
      </c>
      <c r="DR290" s="39">
        <v>0.0</v>
      </c>
      <c r="DS290" s="35" t="s">
        <v>7045</v>
      </c>
    </row>
    <row r="291" ht="14.25" customHeight="1">
      <c r="A291" s="28" t="s">
        <v>3189</v>
      </c>
      <c r="B291" s="29" t="s">
        <v>3190</v>
      </c>
      <c r="C291" s="29" t="s">
        <v>7041</v>
      </c>
      <c r="D291" s="30">
        <v>45658.0</v>
      </c>
      <c r="E291" s="30">
        <v>45747.0</v>
      </c>
      <c r="F291" s="39">
        <v>13.33</v>
      </c>
      <c r="G291" s="39">
        <v>0.0</v>
      </c>
      <c r="H291" s="38" t="s">
        <v>7047</v>
      </c>
      <c r="I291" s="30">
        <v>45748.0</v>
      </c>
      <c r="J291" s="30">
        <v>45838.0</v>
      </c>
      <c r="K291" s="39">
        <v>42.89</v>
      </c>
      <c r="L291" s="39">
        <v>623.53</v>
      </c>
      <c r="M291" s="32" t="s">
        <v>7043</v>
      </c>
      <c r="N291" s="30">
        <v>45839.0</v>
      </c>
      <c r="O291" s="30">
        <v>45930.0</v>
      </c>
      <c r="P291" s="39">
        <v>212.38</v>
      </c>
      <c r="Q291" s="39">
        <v>935.29</v>
      </c>
      <c r="R291" s="38" t="s">
        <v>7047</v>
      </c>
      <c r="S291" s="30">
        <v>45931.0</v>
      </c>
      <c r="T291" s="30">
        <v>46022.0</v>
      </c>
      <c r="U291" s="39">
        <v>1570.66</v>
      </c>
      <c r="V291" s="39">
        <v>935.29</v>
      </c>
      <c r="W291" s="38" t="s">
        <v>7047</v>
      </c>
      <c r="X291" s="30">
        <v>46023.0</v>
      </c>
      <c r="Y291" s="30">
        <v>46112.0</v>
      </c>
      <c r="Z291" s="39">
        <v>19.98</v>
      </c>
      <c r="AA291" s="39">
        <v>0.0</v>
      </c>
      <c r="AB291" s="38" t="s">
        <v>7047</v>
      </c>
      <c r="AC291" s="30">
        <v>46113.0</v>
      </c>
      <c r="AD291" s="30">
        <v>46203.0</v>
      </c>
      <c r="AE291" s="39">
        <v>29.15</v>
      </c>
      <c r="AF291" s="39">
        <v>0.0</v>
      </c>
      <c r="AG291" s="38" t="s">
        <v>7047</v>
      </c>
      <c r="AH291" s="30">
        <v>46204.0</v>
      </c>
      <c r="AI291" s="30">
        <v>46295.0</v>
      </c>
      <c r="AJ291" s="39">
        <v>4.46</v>
      </c>
      <c r="AK291" s="39">
        <v>0.0</v>
      </c>
      <c r="AL291" s="38" t="s">
        <v>7047</v>
      </c>
      <c r="AM291" s="30">
        <v>46296.0</v>
      </c>
      <c r="AN291" s="30">
        <v>46387.0</v>
      </c>
      <c r="AO291" s="39">
        <v>83.05</v>
      </c>
      <c r="AP291" s="39">
        <v>0.0</v>
      </c>
      <c r="AQ291" s="38" t="s">
        <v>7047</v>
      </c>
      <c r="AR291" s="30">
        <v>46388.0</v>
      </c>
      <c r="AS291" s="30">
        <v>46477.0</v>
      </c>
      <c r="AT291" s="39">
        <v>0.0</v>
      </c>
      <c r="AU291" s="39">
        <v>0.0</v>
      </c>
      <c r="AV291" s="35" t="s">
        <v>7045</v>
      </c>
      <c r="AW291" s="30">
        <v>46478.0</v>
      </c>
      <c r="AX291" s="30">
        <v>46568.0</v>
      </c>
      <c r="AY291" s="39">
        <v>0.0</v>
      </c>
      <c r="AZ291" s="39">
        <v>0.0</v>
      </c>
      <c r="BA291" s="35" t="s">
        <v>7045</v>
      </c>
      <c r="BB291" s="30">
        <v>46569.0</v>
      </c>
      <c r="BC291" s="30">
        <v>46660.0</v>
      </c>
      <c r="BD291" s="39">
        <v>0.0</v>
      </c>
      <c r="BE291" s="39">
        <v>0.0</v>
      </c>
      <c r="BF291" s="35" t="s">
        <v>7045</v>
      </c>
      <c r="BG291" s="30">
        <v>46661.0</v>
      </c>
      <c r="BH291" s="30">
        <v>46752.0</v>
      </c>
      <c r="BI291" s="39">
        <v>0.0</v>
      </c>
      <c r="BJ291" s="39">
        <v>0.0</v>
      </c>
      <c r="BK291" s="35" t="s">
        <v>7045</v>
      </c>
      <c r="BL291" s="30">
        <v>46753.0</v>
      </c>
      <c r="BM291" s="30">
        <v>46843.0</v>
      </c>
      <c r="BN291" s="39">
        <v>0.0</v>
      </c>
      <c r="BO291" s="39">
        <v>0.0</v>
      </c>
      <c r="BP291" s="35" t="s">
        <v>7045</v>
      </c>
      <c r="BQ291" s="30">
        <v>46844.0</v>
      </c>
      <c r="BR291" s="30">
        <v>46934.0</v>
      </c>
      <c r="BS291" s="39">
        <v>0.0</v>
      </c>
      <c r="BT291" s="39">
        <v>0.0</v>
      </c>
      <c r="BU291" s="35" t="s">
        <v>7045</v>
      </c>
      <c r="BV291" s="30">
        <v>46935.0</v>
      </c>
      <c r="BW291" s="30">
        <v>47026.0</v>
      </c>
      <c r="BX291" s="39">
        <v>0.0</v>
      </c>
      <c r="BY291" s="39">
        <v>0.0</v>
      </c>
      <c r="BZ291" s="35" t="s">
        <v>7045</v>
      </c>
      <c r="CA291" s="30">
        <v>47027.0</v>
      </c>
      <c r="CB291" s="30">
        <v>47118.0</v>
      </c>
      <c r="CC291" s="39">
        <v>0.0</v>
      </c>
      <c r="CD291" s="39">
        <v>0.0</v>
      </c>
      <c r="CE291" s="35" t="s">
        <v>7045</v>
      </c>
      <c r="CF291" s="30">
        <v>47119.0</v>
      </c>
      <c r="CG291" s="30">
        <v>47208.0</v>
      </c>
      <c r="CH291" s="39">
        <v>0.0</v>
      </c>
      <c r="CI291" s="39">
        <v>0.0</v>
      </c>
      <c r="CJ291" s="35" t="s">
        <v>7045</v>
      </c>
      <c r="CK291" s="30">
        <v>47209.0</v>
      </c>
      <c r="CL291" s="30">
        <v>47299.0</v>
      </c>
      <c r="CM291" s="39">
        <v>0.0</v>
      </c>
      <c r="CN291" s="39">
        <v>0.0</v>
      </c>
      <c r="CO291" s="35" t="s">
        <v>7045</v>
      </c>
      <c r="CP291" s="30">
        <v>47300.0</v>
      </c>
      <c r="CQ291" s="30">
        <v>47391.0</v>
      </c>
      <c r="CR291" s="39">
        <v>0.0</v>
      </c>
      <c r="CS291" s="39">
        <v>0.0</v>
      </c>
      <c r="CT291" s="35" t="s">
        <v>7045</v>
      </c>
      <c r="CU291" s="30">
        <v>47392.0</v>
      </c>
      <c r="CV291" s="30">
        <v>47483.0</v>
      </c>
      <c r="CW291" s="39">
        <v>0.0</v>
      </c>
      <c r="CX291" s="39">
        <v>0.0</v>
      </c>
      <c r="CY291" s="35" t="s">
        <v>7045</v>
      </c>
      <c r="CZ291" s="30">
        <v>47484.0</v>
      </c>
      <c r="DA291" s="30">
        <v>47573.0</v>
      </c>
      <c r="DB291" s="39">
        <v>0.0</v>
      </c>
      <c r="DC291" s="39">
        <v>0.0</v>
      </c>
      <c r="DD291" s="35" t="s">
        <v>7045</v>
      </c>
      <c r="DE291" s="30">
        <v>47574.0</v>
      </c>
      <c r="DF291" s="30">
        <v>47664.0</v>
      </c>
      <c r="DG291" s="39">
        <v>0.0</v>
      </c>
      <c r="DH291" s="39">
        <v>0.0</v>
      </c>
      <c r="DI291" s="35" t="s">
        <v>7045</v>
      </c>
      <c r="DJ291" s="30">
        <v>47665.0</v>
      </c>
      <c r="DK291" s="30">
        <v>47756.0</v>
      </c>
      <c r="DL291" s="39">
        <v>0.0</v>
      </c>
      <c r="DM291" s="39">
        <v>0.0</v>
      </c>
      <c r="DN291" s="35" t="s">
        <v>7045</v>
      </c>
      <c r="DO291" s="30">
        <v>47757.0</v>
      </c>
      <c r="DP291" s="30">
        <v>47848.0</v>
      </c>
      <c r="DQ291" s="39">
        <v>0.0</v>
      </c>
      <c r="DR291" s="39">
        <v>0.0</v>
      </c>
      <c r="DS291" s="35" t="s">
        <v>7045</v>
      </c>
    </row>
    <row r="292" ht="14.25" customHeight="1">
      <c r="A292" s="28" t="s">
        <v>3291</v>
      </c>
      <c r="B292" s="29" t="s">
        <v>3292</v>
      </c>
      <c r="C292" s="29" t="s">
        <v>7041</v>
      </c>
      <c r="D292" s="30">
        <v>45658.0</v>
      </c>
      <c r="E292" s="30">
        <v>45747.0</v>
      </c>
      <c r="F292" s="39">
        <v>5.92</v>
      </c>
      <c r="G292" s="39">
        <v>0.0</v>
      </c>
      <c r="H292" s="38" t="s">
        <v>7047</v>
      </c>
      <c r="I292" s="30">
        <v>45748.0</v>
      </c>
      <c r="J292" s="30">
        <v>45838.0</v>
      </c>
      <c r="K292" s="39">
        <v>8.3</v>
      </c>
      <c r="L292" s="39">
        <v>834.72</v>
      </c>
      <c r="M292" s="32" t="s">
        <v>7043</v>
      </c>
      <c r="N292" s="30">
        <v>45839.0</v>
      </c>
      <c r="O292" s="30">
        <v>45930.0</v>
      </c>
      <c r="P292" s="39">
        <v>7.62</v>
      </c>
      <c r="Q292" s="39">
        <v>601.11</v>
      </c>
      <c r="R292" s="38" t="s">
        <v>7043</v>
      </c>
      <c r="S292" s="30">
        <v>45931.0</v>
      </c>
      <c r="T292" s="30">
        <v>46022.0</v>
      </c>
      <c r="U292" s="39">
        <v>89.16</v>
      </c>
      <c r="V292" s="39">
        <v>1044.44</v>
      </c>
      <c r="W292" s="38" t="s">
        <v>7047</v>
      </c>
      <c r="X292" s="30">
        <v>46023.0</v>
      </c>
      <c r="Y292" s="30">
        <v>46112.0</v>
      </c>
      <c r="Z292" s="39">
        <v>16.47</v>
      </c>
      <c r="AA292" s="39">
        <v>0.0</v>
      </c>
      <c r="AB292" s="38" t="s">
        <v>7047</v>
      </c>
      <c r="AC292" s="30">
        <v>46113.0</v>
      </c>
      <c r="AD292" s="30">
        <v>46203.0</v>
      </c>
      <c r="AE292" s="39">
        <v>6.99</v>
      </c>
      <c r="AF292" s="39">
        <v>0.0</v>
      </c>
      <c r="AG292" s="38" t="s">
        <v>7047</v>
      </c>
      <c r="AH292" s="30">
        <v>46204.0</v>
      </c>
      <c r="AI292" s="30">
        <v>46295.0</v>
      </c>
      <c r="AJ292" s="39">
        <v>19.4</v>
      </c>
      <c r="AK292" s="39">
        <v>0.0</v>
      </c>
      <c r="AL292" s="38" t="s">
        <v>7047</v>
      </c>
      <c r="AM292" s="30">
        <v>46296.0</v>
      </c>
      <c r="AN292" s="30">
        <v>46387.0</v>
      </c>
      <c r="AO292" s="39">
        <v>12.39</v>
      </c>
      <c r="AP292" s="39">
        <v>0.0</v>
      </c>
      <c r="AQ292" s="38" t="s">
        <v>7047</v>
      </c>
      <c r="AR292" s="30">
        <v>46388.0</v>
      </c>
      <c r="AS292" s="30">
        <v>46477.0</v>
      </c>
      <c r="AT292" s="39">
        <v>0.0</v>
      </c>
      <c r="AU292" s="39">
        <v>0.0</v>
      </c>
      <c r="AV292" s="35" t="s">
        <v>7045</v>
      </c>
      <c r="AW292" s="30">
        <v>46478.0</v>
      </c>
      <c r="AX292" s="30">
        <v>46568.0</v>
      </c>
      <c r="AY292" s="39">
        <v>0.0</v>
      </c>
      <c r="AZ292" s="39">
        <v>0.0</v>
      </c>
      <c r="BA292" s="35" t="s">
        <v>7045</v>
      </c>
      <c r="BB292" s="30">
        <v>46569.0</v>
      </c>
      <c r="BC292" s="30">
        <v>46660.0</v>
      </c>
      <c r="BD292" s="39">
        <v>0.0</v>
      </c>
      <c r="BE292" s="39">
        <v>0.0</v>
      </c>
      <c r="BF292" s="35" t="s">
        <v>7045</v>
      </c>
      <c r="BG292" s="30">
        <v>46661.0</v>
      </c>
      <c r="BH292" s="30">
        <v>46752.0</v>
      </c>
      <c r="BI292" s="39">
        <v>0.0</v>
      </c>
      <c r="BJ292" s="39">
        <v>0.0</v>
      </c>
      <c r="BK292" s="35" t="s">
        <v>7045</v>
      </c>
      <c r="BL292" s="30">
        <v>46753.0</v>
      </c>
      <c r="BM292" s="30">
        <v>46843.0</v>
      </c>
      <c r="BN292" s="39">
        <v>0.0</v>
      </c>
      <c r="BO292" s="39">
        <v>0.0</v>
      </c>
      <c r="BP292" s="35" t="s">
        <v>7045</v>
      </c>
      <c r="BQ292" s="30">
        <v>46844.0</v>
      </c>
      <c r="BR292" s="30">
        <v>46934.0</v>
      </c>
      <c r="BS292" s="39">
        <v>0.0</v>
      </c>
      <c r="BT292" s="39">
        <v>0.0</v>
      </c>
      <c r="BU292" s="35" t="s">
        <v>7045</v>
      </c>
      <c r="BV292" s="30">
        <v>46935.0</v>
      </c>
      <c r="BW292" s="30">
        <v>47026.0</v>
      </c>
      <c r="BX292" s="39">
        <v>0.0</v>
      </c>
      <c r="BY292" s="39">
        <v>0.0</v>
      </c>
      <c r="BZ292" s="35" t="s">
        <v>7045</v>
      </c>
      <c r="CA292" s="30">
        <v>47027.0</v>
      </c>
      <c r="CB292" s="30">
        <v>47118.0</v>
      </c>
      <c r="CC292" s="39">
        <v>0.0</v>
      </c>
      <c r="CD292" s="39">
        <v>0.0</v>
      </c>
      <c r="CE292" s="35" t="s">
        <v>7045</v>
      </c>
      <c r="CF292" s="30">
        <v>47119.0</v>
      </c>
      <c r="CG292" s="30">
        <v>47208.0</v>
      </c>
      <c r="CH292" s="39">
        <v>0.0</v>
      </c>
      <c r="CI292" s="39">
        <v>0.0</v>
      </c>
      <c r="CJ292" s="35" t="s">
        <v>7045</v>
      </c>
      <c r="CK292" s="30">
        <v>47209.0</v>
      </c>
      <c r="CL292" s="30">
        <v>47299.0</v>
      </c>
      <c r="CM292" s="39">
        <v>0.0</v>
      </c>
      <c r="CN292" s="39">
        <v>0.0</v>
      </c>
      <c r="CO292" s="35" t="s">
        <v>7045</v>
      </c>
      <c r="CP292" s="30">
        <v>47300.0</v>
      </c>
      <c r="CQ292" s="30">
        <v>47391.0</v>
      </c>
      <c r="CR292" s="39">
        <v>0.0</v>
      </c>
      <c r="CS292" s="39">
        <v>0.0</v>
      </c>
      <c r="CT292" s="35" t="s">
        <v>7045</v>
      </c>
      <c r="CU292" s="30">
        <v>47392.0</v>
      </c>
      <c r="CV292" s="30">
        <v>47483.0</v>
      </c>
      <c r="CW292" s="39">
        <v>0.0</v>
      </c>
      <c r="CX292" s="39">
        <v>0.0</v>
      </c>
      <c r="CY292" s="35" t="s">
        <v>7045</v>
      </c>
      <c r="CZ292" s="30">
        <v>47484.0</v>
      </c>
      <c r="DA292" s="30">
        <v>47573.0</v>
      </c>
      <c r="DB292" s="39">
        <v>0.0</v>
      </c>
      <c r="DC292" s="39">
        <v>0.0</v>
      </c>
      <c r="DD292" s="35" t="s">
        <v>7045</v>
      </c>
      <c r="DE292" s="30">
        <v>47574.0</v>
      </c>
      <c r="DF292" s="30">
        <v>47664.0</v>
      </c>
      <c r="DG292" s="39">
        <v>0.0</v>
      </c>
      <c r="DH292" s="39">
        <v>0.0</v>
      </c>
      <c r="DI292" s="35" t="s">
        <v>7045</v>
      </c>
      <c r="DJ292" s="30">
        <v>47665.0</v>
      </c>
      <c r="DK292" s="30">
        <v>47756.0</v>
      </c>
      <c r="DL292" s="39">
        <v>0.0</v>
      </c>
      <c r="DM292" s="39">
        <v>0.0</v>
      </c>
      <c r="DN292" s="35" t="s">
        <v>7045</v>
      </c>
      <c r="DO292" s="30">
        <v>47757.0</v>
      </c>
      <c r="DP292" s="30">
        <v>47848.0</v>
      </c>
      <c r="DQ292" s="39">
        <v>0.0</v>
      </c>
      <c r="DR292" s="39">
        <v>0.0</v>
      </c>
      <c r="DS292" s="35" t="s">
        <v>7045</v>
      </c>
    </row>
    <row r="293" ht="14.25" customHeight="1">
      <c r="A293" s="28" t="s">
        <v>3326</v>
      </c>
      <c r="B293" s="29" t="s">
        <v>3327</v>
      </c>
      <c r="C293" s="29" t="s">
        <v>7041</v>
      </c>
      <c r="D293" s="30">
        <v>45658.0</v>
      </c>
      <c r="E293" s="30">
        <v>45747.0</v>
      </c>
      <c r="F293" s="39">
        <v>6.71</v>
      </c>
      <c r="G293" s="39">
        <v>0.0</v>
      </c>
      <c r="H293" s="38" t="s">
        <v>7047</v>
      </c>
      <c r="I293" s="30">
        <v>45748.0</v>
      </c>
      <c r="J293" s="30">
        <v>45838.0</v>
      </c>
      <c r="K293" s="39">
        <v>14.75</v>
      </c>
      <c r="L293" s="39">
        <v>0.0</v>
      </c>
      <c r="M293" s="38" t="s">
        <v>7047</v>
      </c>
      <c r="N293" s="30">
        <v>45839.0</v>
      </c>
      <c r="O293" s="30">
        <v>45930.0</v>
      </c>
      <c r="P293" s="39">
        <v>14.75</v>
      </c>
      <c r="Q293" s="39">
        <v>750.0</v>
      </c>
      <c r="R293" s="38" t="s">
        <v>7047</v>
      </c>
      <c r="S293" s="30">
        <v>45931.0</v>
      </c>
      <c r="T293" s="30">
        <v>46022.0</v>
      </c>
      <c r="U293" s="39">
        <v>71.78</v>
      </c>
      <c r="V293" s="39">
        <v>550.0</v>
      </c>
      <c r="W293" s="38" t="s">
        <v>7047</v>
      </c>
      <c r="X293" s="30">
        <v>46023.0</v>
      </c>
      <c r="Y293" s="30">
        <v>46112.0</v>
      </c>
      <c r="Z293" s="39">
        <v>0.0</v>
      </c>
      <c r="AA293" s="39">
        <v>0.0</v>
      </c>
      <c r="AB293" s="35" t="s">
        <v>7045</v>
      </c>
      <c r="AC293" s="30">
        <v>46113.0</v>
      </c>
      <c r="AD293" s="30">
        <v>46203.0</v>
      </c>
      <c r="AE293" s="39">
        <v>34.0</v>
      </c>
      <c r="AF293" s="39">
        <v>0.0</v>
      </c>
      <c r="AG293" s="35" t="s">
        <v>7047</v>
      </c>
      <c r="AH293" s="30">
        <v>46204.0</v>
      </c>
      <c r="AI293" s="30">
        <v>46295.0</v>
      </c>
      <c r="AJ293" s="39">
        <v>0.0</v>
      </c>
      <c r="AK293" s="39">
        <v>0.0</v>
      </c>
      <c r="AL293" s="35" t="s">
        <v>7045</v>
      </c>
      <c r="AM293" s="30">
        <v>46296.0</v>
      </c>
      <c r="AN293" s="30">
        <v>46387.0</v>
      </c>
      <c r="AO293" s="39">
        <v>0.0</v>
      </c>
      <c r="AP293" s="39">
        <v>0.0</v>
      </c>
      <c r="AQ293" s="35" t="s">
        <v>7045</v>
      </c>
      <c r="AR293" s="30">
        <v>46388.0</v>
      </c>
      <c r="AS293" s="30">
        <v>46477.0</v>
      </c>
      <c r="AT293" s="39">
        <v>0.0</v>
      </c>
      <c r="AU293" s="39">
        <v>0.0</v>
      </c>
      <c r="AV293" s="35" t="s">
        <v>7045</v>
      </c>
      <c r="AW293" s="30">
        <v>46478.0</v>
      </c>
      <c r="AX293" s="30">
        <v>46568.0</v>
      </c>
      <c r="AY293" s="39">
        <v>0.0</v>
      </c>
      <c r="AZ293" s="39">
        <v>0.0</v>
      </c>
      <c r="BA293" s="35" t="s">
        <v>7045</v>
      </c>
      <c r="BB293" s="30">
        <v>46569.0</v>
      </c>
      <c r="BC293" s="30">
        <v>46660.0</v>
      </c>
      <c r="BD293" s="39">
        <v>0.0</v>
      </c>
      <c r="BE293" s="39">
        <v>0.0</v>
      </c>
      <c r="BF293" s="35" t="s">
        <v>7045</v>
      </c>
      <c r="BG293" s="30">
        <v>46661.0</v>
      </c>
      <c r="BH293" s="30">
        <v>46752.0</v>
      </c>
      <c r="BI293" s="39">
        <v>0.0</v>
      </c>
      <c r="BJ293" s="39">
        <v>0.0</v>
      </c>
      <c r="BK293" s="35" t="s">
        <v>7045</v>
      </c>
      <c r="BL293" s="30">
        <v>46753.0</v>
      </c>
      <c r="BM293" s="30">
        <v>46843.0</v>
      </c>
      <c r="BN293" s="39">
        <v>0.0</v>
      </c>
      <c r="BO293" s="39">
        <v>0.0</v>
      </c>
      <c r="BP293" s="35" t="s">
        <v>7045</v>
      </c>
      <c r="BQ293" s="30">
        <v>46844.0</v>
      </c>
      <c r="BR293" s="30">
        <v>46934.0</v>
      </c>
      <c r="BS293" s="39">
        <v>0.0</v>
      </c>
      <c r="BT293" s="39">
        <v>0.0</v>
      </c>
      <c r="BU293" s="35" t="s">
        <v>7045</v>
      </c>
      <c r="BV293" s="30">
        <v>46935.0</v>
      </c>
      <c r="BW293" s="30">
        <v>47026.0</v>
      </c>
      <c r="BX293" s="39">
        <v>0.0</v>
      </c>
      <c r="BY293" s="39">
        <v>0.0</v>
      </c>
      <c r="BZ293" s="35" t="s">
        <v>7045</v>
      </c>
      <c r="CA293" s="30">
        <v>47027.0</v>
      </c>
      <c r="CB293" s="30">
        <v>47118.0</v>
      </c>
      <c r="CC293" s="39">
        <v>0.0</v>
      </c>
      <c r="CD293" s="39">
        <v>0.0</v>
      </c>
      <c r="CE293" s="35" t="s">
        <v>7045</v>
      </c>
      <c r="CF293" s="30">
        <v>47119.0</v>
      </c>
      <c r="CG293" s="30">
        <v>47208.0</v>
      </c>
      <c r="CH293" s="39">
        <v>0.0</v>
      </c>
      <c r="CI293" s="39">
        <v>0.0</v>
      </c>
      <c r="CJ293" s="35" t="s">
        <v>7045</v>
      </c>
      <c r="CK293" s="30">
        <v>47209.0</v>
      </c>
      <c r="CL293" s="30">
        <v>47299.0</v>
      </c>
      <c r="CM293" s="39">
        <v>0.0</v>
      </c>
      <c r="CN293" s="39">
        <v>0.0</v>
      </c>
      <c r="CO293" s="35" t="s">
        <v>7045</v>
      </c>
      <c r="CP293" s="30">
        <v>47300.0</v>
      </c>
      <c r="CQ293" s="30">
        <v>47391.0</v>
      </c>
      <c r="CR293" s="39">
        <v>0.0</v>
      </c>
      <c r="CS293" s="39">
        <v>0.0</v>
      </c>
      <c r="CT293" s="35" t="s">
        <v>7045</v>
      </c>
      <c r="CU293" s="30">
        <v>47392.0</v>
      </c>
      <c r="CV293" s="30">
        <v>47483.0</v>
      </c>
      <c r="CW293" s="39">
        <v>0.0</v>
      </c>
      <c r="CX293" s="39">
        <v>0.0</v>
      </c>
      <c r="CY293" s="35" t="s">
        <v>7045</v>
      </c>
      <c r="CZ293" s="30">
        <v>47484.0</v>
      </c>
      <c r="DA293" s="30">
        <v>47573.0</v>
      </c>
      <c r="DB293" s="39">
        <v>0.0</v>
      </c>
      <c r="DC293" s="39">
        <v>0.0</v>
      </c>
      <c r="DD293" s="35" t="s">
        <v>7045</v>
      </c>
      <c r="DE293" s="30">
        <v>47574.0</v>
      </c>
      <c r="DF293" s="30">
        <v>47664.0</v>
      </c>
      <c r="DG293" s="39">
        <v>0.0</v>
      </c>
      <c r="DH293" s="39">
        <v>0.0</v>
      </c>
      <c r="DI293" s="35" t="s">
        <v>7045</v>
      </c>
      <c r="DJ293" s="30">
        <v>47665.0</v>
      </c>
      <c r="DK293" s="30">
        <v>47756.0</v>
      </c>
      <c r="DL293" s="39">
        <v>0.0</v>
      </c>
      <c r="DM293" s="39">
        <v>0.0</v>
      </c>
      <c r="DN293" s="35" t="s">
        <v>7045</v>
      </c>
      <c r="DO293" s="30">
        <v>47757.0</v>
      </c>
      <c r="DP293" s="30">
        <v>47848.0</v>
      </c>
      <c r="DQ293" s="39">
        <v>0.0</v>
      </c>
      <c r="DR293" s="39">
        <v>0.0</v>
      </c>
      <c r="DS293" s="35" t="s">
        <v>7045</v>
      </c>
    </row>
    <row r="294" ht="14.25" customHeight="1">
      <c r="A294" s="28" t="s">
        <v>3396</v>
      </c>
      <c r="B294" s="29" t="s">
        <v>3397</v>
      </c>
      <c r="C294" s="29" t="s">
        <v>7041</v>
      </c>
      <c r="D294" s="30">
        <v>45658.0</v>
      </c>
      <c r="E294" s="30">
        <v>45747.0</v>
      </c>
      <c r="F294" s="39">
        <v>1.99</v>
      </c>
      <c r="G294" s="39">
        <v>0.0</v>
      </c>
      <c r="H294" s="38" t="s">
        <v>7047</v>
      </c>
      <c r="I294" s="30">
        <v>45748.0</v>
      </c>
      <c r="J294" s="30">
        <v>45838.0</v>
      </c>
      <c r="K294" s="39">
        <v>0.0</v>
      </c>
      <c r="L294" s="39">
        <v>0.0</v>
      </c>
      <c r="M294" s="35" t="s">
        <v>7045</v>
      </c>
      <c r="N294" s="30">
        <v>45839.0</v>
      </c>
      <c r="O294" s="30">
        <v>45930.0</v>
      </c>
      <c r="P294" s="39">
        <v>0.0</v>
      </c>
      <c r="Q294" s="39">
        <v>0.0</v>
      </c>
      <c r="R294" s="35" t="s">
        <v>7045</v>
      </c>
      <c r="S294" s="30">
        <v>45931.0</v>
      </c>
      <c r="T294" s="30">
        <v>46022.0</v>
      </c>
      <c r="U294" s="39">
        <v>10.11</v>
      </c>
      <c r="V294" s="39">
        <v>0.0</v>
      </c>
      <c r="W294" s="38" t="s">
        <v>7047</v>
      </c>
      <c r="X294" s="30">
        <v>46023.0</v>
      </c>
      <c r="Y294" s="30">
        <v>46112.0</v>
      </c>
      <c r="Z294" s="39">
        <v>29.54</v>
      </c>
      <c r="AA294" s="39">
        <v>0.0</v>
      </c>
      <c r="AB294" s="38" t="s">
        <v>7047</v>
      </c>
      <c r="AC294" s="30">
        <v>46113.0</v>
      </c>
      <c r="AD294" s="30">
        <v>46203.0</v>
      </c>
      <c r="AE294" s="39">
        <v>0.0</v>
      </c>
      <c r="AF294" s="39">
        <v>0.0</v>
      </c>
      <c r="AG294" s="35" t="s">
        <v>7045</v>
      </c>
      <c r="AH294" s="30">
        <v>46204.0</v>
      </c>
      <c r="AI294" s="30">
        <v>46295.0</v>
      </c>
      <c r="AJ294" s="39">
        <v>0.0</v>
      </c>
      <c r="AK294" s="39">
        <v>0.0</v>
      </c>
      <c r="AL294" s="35" t="s">
        <v>7045</v>
      </c>
      <c r="AM294" s="30">
        <v>46296.0</v>
      </c>
      <c r="AN294" s="30">
        <v>46387.0</v>
      </c>
      <c r="AO294" s="39">
        <v>0.0</v>
      </c>
      <c r="AP294" s="39">
        <v>0.0</v>
      </c>
      <c r="AQ294" s="35" t="s">
        <v>7045</v>
      </c>
      <c r="AR294" s="30">
        <v>46388.0</v>
      </c>
      <c r="AS294" s="30">
        <v>46477.0</v>
      </c>
      <c r="AT294" s="39">
        <v>0.0</v>
      </c>
      <c r="AU294" s="39">
        <v>0.0</v>
      </c>
      <c r="AV294" s="35" t="s">
        <v>7045</v>
      </c>
      <c r="AW294" s="30">
        <v>46478.0</v>
      </c>
      <c r="AX294" s="30">
        <v>46568.0</v>
      </c>
      <c r="AY294" s="39">
        <v>0.0</v>
      </c>
      <c r="AZ294" s="39">
        <v>0.0</v>
      </c>
      <c r="BA294" s="35" t="s">
        <v>7045</v>
      </c>
      <c r="BB294" s="30">
        <v>46569.0</v>
      </c>
      <c r="BC294" s="30">
        <v>46660.0</v>
      </c>
      <c r="BD294" s="39">
        <v>0.0</v>
      </c>
      <c r="BE294" s="39">
        <v>0.0</v>
      </c>
      <c r="BF294" s="35" t="s">
        <v>7045</v>
      </c>
      <c r="BG294" s="30">
        <v>46661.0</v>
      </c>
      <c r="BH294" s="30">
        <v>46752.0</v>
      </c>
      <c r="BI294" s="39">
        <v>0.0</v>
      </c>
      <c r="BJ294" s="39">
        <v>0.0</v>
      </c>
      <c r="BK294" s="35" t="s">
        <v>7045</v>
      </c>
      <c r="BL294" s="30">
        <v>46753.0</v>
      </c>
      <c r="BM294" s="30">
        <v>46843.0</v>
      </c>
      <c r="BN294" s="39">
        <v>0.0</v>
      </c>
      <c r="BO294" s="39">
        <v>0.0</v>
      </c>
      <c r="BP294" s="35" t="s">
        <v>7045</v>
      </c>
      <c r="BQ294" s="30">
        <v>46844.0</v>
      </c>
      <c r="BR294" s="30">
        <v>46934.0</v>
      </c>
      <c r="BS294" s="39">
        <v>0.0</v>
      </c>
      <c r="BT294" s="39">
        <v>0.0</v>
      </c>
      <c r="BU294" s="35" t="s">
        <v>7045</v>
      </c>
      <c r="BV294" s="30">
        <v>46935.0</v>
      </c>
      <c r="BW294" s="30">
        <v>47026.0</v>
      </c>
      <c r="BX294" s="39">
        <v>0.0</v>
      </c>
      <c r="BY294" s="39">
        <v>0.0</v>
      </c>
      <c r="BZ294" s="35" t="s">
        <v>7045</v>
      </c>
      <c r="CA294" s="30">
        <v>47027.0</v>
      </c>
      <c r="CB294" s="30">
        <v>47118.0</v>
      </c>
      <c r="CC294" s="39">
        <v>0.0</v>
      </c>
      <c r="CD294" s="39">
        <v>0.0</v>
      </c>
      <c r="CE294" s="35" t="s">
        <v>7045</v>
      </c>
      <c r="CF294" s="30">
        <v>47119.0</v>
      </c>
      <c r="CG294" s="30">
        <v>47208.0</v>
      </c>
      <c r="CH294" s="39">
        <v>0.0</v>
      </c>
      <c r="CI294" s="39">
        <v>0.0</v>
      </c>
      <c r="CJ294" s="35" t="s">
        <v>7045</v>
      </c>
      <c r="CK294" s="30">
        <v>47209.0</v>
      </c>
      <c r="CL294" s="30">
        <v>47299.0</v>
      </c>
      <c r="CM294" s="39">
        <v>0.0</v>
      </c>
      <c r="CN294" s="39">
        <v>0.0</v>
      </c>
      <c r="CO294" s="35" t="s">
        <v>7045</v>
      </c>
      <c r="CP294" s="30">
        <v>47300.0</v>
      </c>
      <c r="CQ294" s="30">
        <v>47391.0</v>
      </c>
      <c r="CR294" s="39">
        <v>0.0</v>
      </c>
      <c r="CS294" s="39">
        <v>0.0</v>
      </c>
      <c r="CT294" s="35" t="s">
        <v>7045</v>
      </c>
      <c r="CU294" s="30">
        <v>47392.0</v>
      </c>
      <c r="CV294" s="30">
        <v>47483.0</v>
      </c>
      <c r="CW294" s="39">
        <v>0.0</v>
      </c>
      <c r="CX294" s="39">
        <v>0.0</v>
      </c>
      <c r="CY294" s="35" t="s">
        <v>7045</v>
      </c>
      <c r="CZ294" s="30">
        <v>47484.0</v>
      </c>
      <c r="DA294" s="30">
        <v>47573.0</v>
      </c>
      <c r="DB294" s="39">
        <v>0.0</v>
      </c>
      <c r="DC294" s="39">
        <v>0.0</v>
      </c>
      <c r="DD294" s="35" t="s">
        <v>7045</v>
      </c>
      <c r="DE294" s="30">
        <v>47574.0</v>
      </c>
      <c r="DF294" s="30">
        <v>47664.0</v>
      </c>
      <c r="DG294" s="39">
        <v>0.0</v>
      </c>
      <c r="DH294" s="39">
        <v>0.0</v>
      </c>
      <c r="DI294" s="35" t="s">
        <v>7045</v>
      </c>
      <c r="DJ294" s="30">
        <v>47665.0</v>
      </c>
      <c r="DK294" s="30">
        <v>47756.0</v>
      </c>
      <c r="DL294" s="39">
        <v>0.0</v>
      </c>
      <c r="DM294" s="39">
        <v>0.0</v>
      </c>
      <c r="DN294" s="35" t="s">
        <v>7045</v>
      </c>
      <c r="DO294" s="30">
        <v>47757.0</v>
      </c>
      <c r="DP294" s="30">
        <v>47848.0</v>
      </c>
      <c r="DQ294" s="39">
        <v>0.0</v>
      </c>
      <c r="DR294" s="39">
        <v>0.0</v>
      </c>
      <c r="DS294" s="35" t="s">
        <v>7045</v>
      </c>
    </row>
    <row r="295" ht="14.25" customHeight="1">
      <c r="A295" s="28" t="s">
        <v>3403</v>
      </c>
      <c r="B295" s="29" t="s">
        <v>3404</v>
      </c>
      <c r="C295" s="29" t="s">
        <v>7041</v>
      </c>
      <c r="D295" s="30">
        <v>45658.0</v>
      </c>
      <c r="E295" s="30">
        <v>45747.0</v>
      </c>
      <c r="F295" s="39">
        <v>5.0</v>
      </c>
      <c r="G295" s="39">
        <v>0.0</v>
      </c>
      <c r="H295" s="38" t="s">
        <v>7047</v>
      </c>
      <c r="I295" s="30">
        <v>45748.0</v>
      </c>
      <c r="J295" s="30">
        <v>45838.0</v>
      </c>
      <c r="K295" s="39">
        <v>32.85</v>
      </c>
      <c r="L295" s="39">
        <v>0.0</v>
      </c>
      <c r="M295" s="38" t="s">
        <v>7047</v>
      </c>
      <c r="N295" s="30">
        <v>45839.0</v>
      </c>
      <c r="O295" s="30">
        <v>45930.0</v>
      </c>
      <c r="P295" s="39">
        <v>10.8</v>
      </c>
      <c r="Q295" s="39">
        <v>560.61</v>
      </c>
      <c r="R295" s="38" t="s">
        <v>7047</v>
      </c>
      <c r="S295" s="30">
        <v>45931.0</v>
      </c>
      <c r="T295" s="30">
        <v>46022.0</v>
      </c>
      <c r="U295" s="39">
        <v>54.0</v>
      </c>
      <c r="V295" s="39">
        <v>560.61</v>
      </c>
      <c r="W295" s="35" t="s">
        <v>7047</v>
      </c>
      <c r="X295" s="30">
        <v>46023.0</v>
      </c>
      <c r="Y295" s="30">
        <v>46112.0</v>
      </c>
      <c r="Z295" s="39">
        <v>0.0</v>
      </c>
      <c r="AA295" s="39">
        <v>0.0</v>
      </c>
      <c r="AB295" s="35" t="s">
        <v>7045</v>
      </c>
      <c r="AC295" s="30">
        <v>46113.0</v>
      </c>
      <c r="AD295" s="30">
        <v>46203.0</v>
      </c>
      <c r="AE295" s="39">
        <v>0.0</v>
      </c>
      <c r="AF295" s="39">
        <v>0.0</v>
      </c>
      <c r="AG295" s="35" t="s">
        <v>7045</v>
      </c>
      <c r="AH295" s="30">
        <v>46204.0</v>
      </c>
      <c r="AI295" s="30">
        <v>46295.0</v>
      </c>
      <c r="AJ295" s="39">
        <v>0.0</v>
      </c>
      <c r="AK295" s="39">
        <v>0.0</v>
      </c>
      <c r="AL295" s="35" t="s">
        <v>7045</v>
      </c>
      <c r="AM295" s="30">
        <v>46296.0</v>
      </c>
      <c r="AN295" s="30">
        <v>46387.0</v>
      </c>
      <c r="AO295" s="39">
        <v>0.0</v>
      </c>
      <c r="AP295" s="39">
        <v>0.0</v>
      </c>
      <c r="AQ295" s="35" t="s">
        <v>7045</v>
      </c>
      <c r="AR295" s="30">
        <v>46388.0</v>
      </c>
      <c r="AS295" s="30">
        <v>46477.0</v>
      </c>
      <c r="AT295" s="39">
        <v>0.0</v>
      </c>
      <c r="AU295" s="39">
        <v>0.0</v>
      </c>
      <c r="AV295" s="35" t="s">
        <v>7045</v>
      </c>
      <c r="AW295" s="30">
        <v>46478.0</v>
      </c>
      <c r="AX295" s="30">
        <v>46568.0</v>
      </c>
      <c r="AY295" s="39">
        <v>0.0</v>
      </c>
      <c r="AZ295" s="39">
        <v>0.0</v>
      </c>
      <c r="BA295" s="35" t="s">
        <v>7045</v>
      </c>
      <c r="BB295" s="30">
        <v>46569.0</v>
      </c>
      <c r="BC295" s="30">
        <v>46660.0</v>
      </c>
      <c r="BD295" s="39">
        <v>0.0</v>
      </c>
      <c r="BE295" s="39">
        <v>0.0</v>
      </c>
      <c r="BF295" s="35" t="s">
        <v>7045</v>
      </c>
      <c r="BG295" s="30">
        <v>46661.0</v>
      </c>
      <c r="BH295" s="30">
        <v>46752.0</v>
      </c>
      <c r="BI295" s="39">
        <v>0.0</v>
      </c>
      <c r="BJ295" s="39">
        <v>0.0</v>
      </c>
      <c r="BK295" s="35" t="s">
        <v>7045</v>
      </c>
      <c r="BL295" s="30">
        <v>46753.0</v>
      </c>
      <c r="BM295" s="30">
        <v>46843.0</v>
      </c>
      <c r="BN295" s="39">
        <v>0.0</v>
      </c>
      <c r="BO295" s="39">
        <v>0.0</v>
      </c>
      <c r="BP295" s="35" t="s">
        <v>7045</v>
      </c>
      <c r="BQ295" s="30">
        <v>46844.0</v>
      </c>
      <c r="BR295" s="30">
        <v>46934.0</v>
      </c>
      <c r="BS295" s="39">
        <v>0.0</v>
      </c>
      <c r="BT295" s="39">
        <v>0.0</v>
      </c>
      <c r="BU295" s="35" t="s">
        <v>7045</v>
      </c>
      <c r="BV295" s="30">
        <v>46935.0</v>
      </c>
      <c r="BW295" s="30">
        <v>47026.0</v>
      </c>
      <c r="BX295" s="39">
        <v>0.0</v>
      </c>
      <c r="BY295" s="39">
        <v>0.0</v>
      </c>
      <c r="BZ295" s="35" t="s">
        <v>7045</v>
      </c>
      <c r="CA295" s="30">
        <v>47027.0</v>
      </c>
      <c r="CB295" s="30">
        <v>47118.0</v>
      </c>
      <c r="CC295" s="39">
        <v>0.0</v>
      </c>
      <c r="CD295" s="39">
        <v>0.0</v>
      </c>
      <c r="CE295" s="35" t="s">
        <v>7045</v>
      </c>
      <c r="CF295" s="30">
        <v>47119.0</v>
      </c>
      <c r="CG295" s="30">
        <v>47208.0</v>
      </c>
      <c r="CH295" s="39">
        <v>0.0</v>
      </c>
      <c r="CI295" s="39">
        <v>0.0</v>
      </c>
      <c r="CJ295" s="35" t="s">
        <v>7045</v>
      </c>
      <c r="CK295" s="30">
        <v>47209.0</v>
      </c>
      <c r="CL295" s="30">
        <v>47299.0</v>
      </c>
      <c r="CM295" s="39">
        <v>0.0</v>
      </c>
      <c r="CN295" s="39">
        <v>0.0</v>
      </c>
      <c r="CO295" s="35" t="s">
        <v>7045</v>
      </c>
      <c r="CP295" s="30">
        <v>47300.0</v>
      </c>
      <c r="CQ295" s="30">
        <v>47391.0</v>
      </c>
      <c r="CR295" s="39">
        <v>0.0</v>
      </c>
      <c r="CS295" s="39">
        <v>0.0</v>
      </c>
      <c r="CT295" s="35" t="s">
        <v>7045</v>
      </c>
      <c r="CU295" s="30">
        <v>47392.0</v>
      </c>
      <c r="CV295" s="30">
        <v>47483.0</v>
      </c>
      <c r="CW295" s="39">
        <v>0.0</v>
      </c>
      <c r="CX295" s="39">
        <v>0.0</v>
      </c>
      <c r="CY295" s="35" t="s">
        <v>7045</v>
      </c>
      <c r="CZ295" s="30">
        <v>47484.0</v>
      </c>
      <c r="DA295" s="30">
        <v>47573.0</v>
      </c>
      <c r="DB295" s="39">
        <v>0.0</v>
      </c>
      <c r="DC295" s="39">
        <v>0.0</v>
      </c>
      <c r="DD295" s="35" t="s">
        <v>7045</v>
      </c>
      <c r="DE295" s="30">
        <v>47574.0</v>
      </c>
      <c r="DF295" s="30">
        <v>47664.0</v>
      </c>
      <c r="DG295" s="39">
        <v>0.0</v>
      </c>
      <c r="DH295" s="39">
        <v>0.0</v>
      </c>
      <c r="DI295" s="35" t="s">
        <v>7045</v>
      </c>
      <c r="DJ295" s="30">
        <v>47665.0</v>
      </c>
      <c r="DK295" s="30">
        <v>47756.0</v>
      </c>
      <c r="DL295" s="39">
        <v>0.0</v>
      </c>
      <c r="DM295" s="39">
        <v>0.0</v>
      </c>
      <c r="DN295" s="35" t="s">
        <v>7045</v>
      </c>
      <c r="DO295" s="30">
        <v>47757.0</v>
      </c>
      <c r="DP295" s="30">
        <v>47848.0</v>
      </c>
      <c r="DQ295" s="39">
        <v>0.0</v>
      </c>
      <c r="DR295" s="39">
        <v>0.0</v>
      </c>
      <c r="DS295" s="35" t="s">
        <v>7045</v>
      </c>
    </row>
    <row r="296" ht="14.25" customHeight="1">
      <c r="A296" s="28" t="s">
        <v>3469</v>
      </c>
      <c r="B296" s="29" t="s">
        <v>3470</v>
      </c>
      <c r="C296" s="29" t="s">
        <v>7041</v>
      </c>
      <c r="D296" s="30">
        <v>45658.0</v>
      </c>
      <c r="E296" s="30">
        <v>45747.0</v>
      </c>
      <c r="F296" s="36">
        <v>17.48</v>
      </c>
      <c r="G296" s="36">
        <v>0.0</v>
      </c>
      <c r="H296" s="38" t="s">
        <v>7047</v>
      </c>
      <c r="I296" s="30">
        <v>45748.0</v>
      </c>
      <c r="J296" s="30">
        <v>45838.0</v>
      </c>
      <c r="K296" s="36">
        <v>37.75</v>
      </c>
      <c r="L296" s="36">
        <v>583.31</v>
      </c>
      <c r="M296" s="32" t="s">
        <v>7043</v>
      </c>
      <c r="N296" s="30">
        <v>45839.0</v>
      </c>
      <c r="O296" s="30">
        <v>45930.0</v>
      </c>
      <c r="P296" s="36">
        <v>179.34</v>
      </c>
      <c r="Q296" s="36">
        <v>1366.65</v>
      </c>
      <c r="R296" s="38" t="s">
        <v>7047</v>
      </c>
      <c r="S296" s="30">
        <v>45931.0</v>
      </c>
      <c r="T296" s="30">
        <v>46022.0</v>
      </c>
      <c r="U296" s="36">
        <v>110.81</v>
      </c>
      <c r="V296" s="36">
        <v>1566.67</v>
      </c>
      <c r="W296" s="38" t="s">
        <v>7047</v>
      </c>
      <c r="X296" s="30">
        <v>46023.0</v>
      </c>
      <c r="Y296" s="30">
        <v>46112.0</v>
      </c>
      <c r="Z296" s="36">
        <v>116.02</v>
      </c>
      <c r="AA296" s="36">
        <v>0.0</v>
      </c>
      <c r="AB296" s="38" t="s">
        <v>7047</v>
      </c>
      <c r="AC296" s="30">
        <v>46113.0</v>
      </c>
      <c r="AD296" s="30">
        <v>46203.0</v>
      </c>
      <c r="AE296" s="36">
        <v>2.47</v>
      </c>
      <c r="AF296" s="36">
        <v>0.0</v>
      </c>
      <c r="AG296" s="38" t="s">
        <v>7047</v>
      </c>
      <c r="AH296" s="30">
        <v>46204.0</v>
      </c>
      <c r="AI296" s="30">
        <v>46295.0</v>
      </c>
      <c r="AJ296" s="36">
        <v>0.0</v>
      </c>
      <c r="AK296" s="36">
        <v>0.0</v>
      </c>
      <c r="AL296" s="35" t="s">
        <v>7045</v>
      </c>
      <c r="AM296" s="30">
        <v>46296.0</v>
      </c>
      <c r="AN296" s="30">
        <v>46387.0</v>
      </c>
      <c r="AO296" s="36">
        <v>0.0</v>
      </c>
      <c r="AP296" s="36">
        <v>0.0</v>
      </c>
      <c r="AQ296" s="35" t="s">
        <v>7045</v>
      </c>
      <c r="AR296" s="30">
        <v>46388.0</v>
      </c>
      <c r="AS296" s="30">
        <v>46477.0</v>
      </c>
      <c r="AT296" s="36">
        <v>0.0</v>
      </c>
      <c r="AU296" s="36">
        <v>0.0</v>
      </c>
      <c r="AV296" s="35" t="s">
        <v>7045</v>
      </c>
      <c r="AW296" s="30">
        <v>46478.0</v>
      </c>
      <c r="AX296" s="30">
        <v>46568.0</v>
      </c>
      <c r="AY296" s="36">
        <v>0.0</v>
      </c>
      <c r="AZ296" s="36">
        <v>0.0</v>
      </c>
      <c r="BA296" s="35" t="s">
        <v>7045</v>
      </c>
      <c r="BB296" s="30">
        <v>46569.0</v>
      </c>
      <c r="BC296" s="30">
        <v>46660.0</v>
      </c>
      <c r="BD296" s="36">
        <v>0.0</v>
      </c>
      <c r="BE296" s="36">
        <v>0.0</v>
      </c>
      <c r="BF296" s="35" t="s">
        <v>7045</v>
      </c>
      <c r="BG296" s="30">
        <v>46661.0</v>
      </c>
      <c r="BH296" s="30">
        <v>46752.0</v>
      </c>
      <c r="BI296" s="36">
        <v>0.0</v>
      </c>
      <c r="BJ296" s="36">
        <v>0.0</v>
      </c>
      <c r="BK296" s="35" t="s">
        <v>7045</v>
      </c>
      <c r="BL296" s="30">
        <v>46753.0</v>
      </c>
      <c r="BM296" s="30">
        <v>46843.0</v>
      </c>
      <c r="BN296" s="36">
        <v>0.0</v>
      </c>
      <c r="BO296" s="36">
        <v>0.0</v>
      </c>
      <c r="BP296" s="35" t="s">
        <v>7045</v>
      </c>
      <c r="BQ296" s="30">
        <v>46844.0</v>
      </c>
      <c r="BR296" s="30">
        <v>46934.0</v>
      </c>
      <c r="BS296" s="36">
        <v>0.0</v>
      </c>
      <c r="BT296" s="36">
        <v>0.0</v>
      </c>
      <c r="BU296" s="35" t="s">
        <v>7045</v>
      </c>
      <c r="BV296" s="30">
        <v>46935.0</v>
      </c>
      <c r="BW296" s="30">
        <v>47026.0</v>
      </c>
      <c r="BX296" s="36">
        <v>0.0</v>
      </c>
      <c r="BY296" s="36">
        <v>0.0</v>
      </c>
      <c r="BZ296" s="35" t="s">
        <v>7045</v>
      </c>
      <c r="CA296" s="30">
        <v>47027.0</v>
      </c>
      <c r="CB296" s="30">
        <v>47118.0</v>
      </c>
      <c r="CC296" s="36">
        <v>0.0</v>
      </c>
      <c r="CD296" s="36">
        <v>0.0</v>
      </c>
      <c r="CE296" s="35" t="s">
        <v>7045</v>
      </c>
      <c r="CF296" s="30">
        <v>47119.0</v>
      </c>
      <c r="CG296" s="30">
        <v>47208.0</v>
      </c>
      <c r="CH296" s="36">
        <v>0.0</v>
      </c>
      <c r="CI296" s="36">
        <v>0.0</v>
      </c>
      <c r="CJ296" s="35" t="s">
        <v>7045</v>
      </c>
      <c r="CK296" s="30">
        <v>47209.0</v>
      </c>
      <c r="CL296" s="30">
        <v>47299.0</v>
      </c>
      <c r="CM296" s="36">
        <v>0.0</v>
      </c>
      <c r="CN296" s="36">
        <v>0.0</v>
      </c>
      <c r="CO296" s="35" t="s">
        <v>7045</v>
      </c>
      <c r="CP296" s="30">
        <v>47300.0</v>
      </c>
      <c r="CQ296" s="30">
        <v>47391.0</v>
      </c>
      <c r="CR296" s="36">
        <v>0.0</v>
      </c>
      <c r="CS296" s="36">
        <v>0.0</v>
      </c>
      <c r="CT296" s="35" t="s">
        <v>7045</v>
      </c>
      <c r="CU296" s="30">
        <v>47392.0</v>
      </c>
      <c r="CV296" s="30">
        <v>47483.0</v>
      </c>
      <c r="CW296" s="36">
        <v>0.0</v>
      </c>
      <c r="CX296" s="36">
        <v>0.0</v>
      </c>
      <c r="CY296" s="35" t="s">
        <v>7045</v>
      </c>
      <c r="CZ296" s="30">
        <v>47484.0</v>
      </c>
      <c r="DA296" s="30">
        <v>47573.0</v>
      </c>
      <c r="DB296" s="36">
        <v>0.0</v>
      </c>
      <c r="DC296" s="36">
        <v>0.0</v>
      </c>
      <c r="DD296" s="35" t="s">
        <v>7045</v>
      </c>
      <c r="DE296" s="30">
        <v>47574.0</v>
      </c>
      <c r="DF296" s="30">
        <v>47664.0</v>
      </c>
      <c r="DG296" s="36">
        <v>0.0</v>
      </c>
      <c r="DH296" s="36">
        <v>0.0</v>
      </c>
      <c r="DI296" s="35" t="s">
        <v>7045</v>
      </c>
      <c r="DJ296" s="30">
        <v>47665.0</v>
      </c>
      <c r="DK296" s="30">
        <v>47756.0</v>
      </c>
      <c r="DL296" s="36">
        <v>0.0</v>
      </c>
      <c r="DM296" s="36">
        <v>0.0</v>
      </c>
      <c r="DN296" s="35" t="s">
        <v>7045</v>
      </c>
      <c r="DO296" s="30">
        <v>47757.0</v>
      </c>
      <c r="DP296" s="30">
        <v>47848.0</v>
      </c>
      <c r="DQ296" s="36">
        <v>0.0</v>
      </c>
      <c r="DR296" s="36">
        <v>0.0</v>
      </c>
      <c r="DS296" s="35" t="s">
        <v>7045</v>
      </c>
    </row>
    <row r="297" ht="14.25" customHeight="1">
      <c r="A297" s="28" t="s">
        <v>3543</v>
      </c>
      <c r="B297" s="29" t="s">
        <v>3544</v>
      </c>
      <c r="C297" s="29" t="s">
        <v>7041</v>
      </c>
      <c r="D297" s="30">
        <v>45658.0</v>
      </c>
      <c r="E297" s="30">
        <v>45747.0</v>
      </c>
      <c r="F297" s="39">
        <v>12.14</v>
      </c>
      <c r="G297" s="39">
        <v>0.0</v>
      </c>
      <c r="H297" s="38" t="s">
        <v>7047</v>
      </c>
      <c r="I297" s="30">
        <v>45748.0</v>
      </c>
      <c r="J297" s="30">
        <v>45838.0</v>
      </c>
      <c r="K297" s="39">
        <v>10.05</v>
      </c>
      <c r="L297" s="39">
        <v>196.67</v>
      </c>
      <c r="M297" s="32" t="s">
        <v>7043</v>
      </c>
      <c r="N297" s="30">
        <v>45839.0</v>
      </c>
      <c r="O297" s="30">
        <v>45930.0</v>
      </c>
      <c r="P297" s="39">
        <v>12.9</v>
      </c>
      <c r="Q297" s="39">
        <v>420.0</v>
      </c>
      <c r="R297" s="32" t="s">
        <v>7047</v>
      </c>
      <c r="S297" s="30">
        <v>45931.0</v>
      </c>
      <c r="T297" s="30">
        <v>46022.0</v>
      </c>
      <c r="U297" s="39">
        <v>0.0</v>
      </c>
      <c r="V297" s="39">
        <v>403.33</v>
      </c>
      <c r="W297" s="32" t="s">
        <v>7043</v>
      </c>
      <c r="X297" s="30">
        <v>46023.0</v>
      </c>
      <c r="Y297" s="30">
        <v>46112.0</v>
      </c>
      <c r="Z297" s="39">
        <v>2.83</v>
      </c>
      <c r="AA297" s="39">
        <v>0.0</v>
      </c>
      <c r="AB297" s="38" t="s">
        <v>7047</v>
      </c>
      <c r="AC297" s="30">
        <v>46113.0</v>
      </c>
      <c r="AD297" s="30">
        <v>46203.0</v>
      </c>
      <c r="AE297" s="39">
        <v>0.0</v>
      </c>
      <c r="AF297" s="39">
        <v>0.0</v>
      </c>
      <c r="AG297" s="35" t="s">
        <v>7045</v>
      </c>
      <c r="AH297" s="30">
        <v>46204.0</v>
      </c>
      <c r="AI297" s="30">
        <v>46295.0</v>
      </c>
      <c r="AJ297" s="39">
        <v>1.16</v>
      </c>
      <c r="AK297" s="39">
        <v>0.0</v>
      </c>
      <c r="AL297" s="38" t="s">
        <v>7047</v>
      </c>
      <c r="AM297" s="30">
        <v>46296.0</v>
      </c>
      <c r="AN297" s="30">
        <v>46387.0</v>
      </c>
      <c r="AO297" s="39">
        <v>7.99</v>
      </c>
      <c r="AP297" s="39">
        <v>0.0</v>
      </c>
      <c r="AQ297" s="38" t="s">
        <v>7047</v>
      </c>
      <c r="AR297" s="30">
        <v>46388.0</v>
      </c>
      <c r="AS297" s="30">
        <v>46477.0</v>
      </c>
      <c r="AT297" s="39">
        <v>0.0</v>
      </c>
      <c r="AU297" s="39">
        <v>0.0</v>
      </c>
      <c r="AV297" s="35" t="s">
        <v>7045</v>
      </c>
      <c r="AW297" s="30">
        <v>46478.0</v>
      </c>
      <c r="AX297" s="30">
        <v>46568.0</v>
      </c>
      <c r="AY297" s="39">
        <v>0.0</v>
      </c>
      <c r="AZ297" s="39">
        <v>0.0</v>
      </c>
      <c r="BA297" s="35" t="s">
        <v>7045</v>
      </c>
      <c r="BB297" s="30">
        <v>46569.0</v>
      </c>
      <c r="BC297" s="30">
        <v>46660.0</v>
      </c>
      <c r="BD297" s="39">
        <v>0.0</v>
      </c>
      <c r="BE297" s="39">
        <v>0.0</v>
      </c>
      <c r="BF297" s="35" t="s">
        <v>7045</v>
      </c>
      <c r="BG297" s="30">
        <v>46661.0</v>
      </c>
      <c r="BH297" s="30">
        <v>46752.0</v>
      </c>
      <c r="BI297" s="39">
        <v>0.0</v>
      </c>
      <c r="BJ297" s="39">
        <v>0.0</v>
      </c>
      <c r="BK297" s="35" t="s">
        <v>7045</v>
      </c>
      <c r="BL297" s="30">
        <v>46753.0</v>
      </c>
      <c r="BM297" s="30">
        <v>46843.0</v>
      </c>
      <c r="BN297" s="39">
        <v>0.0</v>
      </c>
      <c r="BO297" s="39">
        <v>0.0</v>
      </c>
      <c r="BP297" s="35" t="s">
        <v>7045</v>
      </c>
      <c r="BQ297" s="30">
        <v>46844.0</v>
      </c>
      <c r="BR297" s="30">
        <v>46934.0</v>
      </c>
      <c r="BS297" s="39">
        <v>0.0</v>
      </c>
      <c r="BT297" s="39">
        <v>0.0</v>
      </c>
      <c r="BU297" s="35" t="s">
        <v>7045</v>
      </c>
      <c r="BV297" s="30">
        <v>46935.0</v>
      </c>
      <c r="BW297" s="30">
        <v>47026.0</v>
      </c>
      <c r="BX297" s="39">
        <v>0.0</v>
      </c>
      <c r="BY297" s="39">
        <v>0.0</v>
      </c>
      <c r="BZ297" s="35" t="s">
        <v>7045</v>
      </c>
      <c r="CA297" s="30">
        <v>47027.0</v>
      </c>
      <c r="CB297" s="30">
        <v>47118.0</v>
      </c>
      <c r="CC297" s="39">
        <v>0.0</v>
      </c>
      <c r="CD297" s="39">
        <v>0.0</v>
      </c>
      <c r="CE297" s="35" t="s">
        <v>7045</v>
      </c>
      <c r="CF297" s="30">
        <v>47119.0</v>
      </c>
      <c r="CG297" s="30">
        <v>47208.0</v>
      </c>
      <c r="CH297" s="39">
        <v>0.0</v>
      </c>
      <c r="CI297" s="39">
        <v>0.0</v>
      </c>
      <c r="CJ297" s="35" t="s">
        <v>7045</v>
      </c>
      <c r="CK297" s="30">
        <v>47209.0</v>
      </c>
      <c r="CL297" s="30">
        <v>47299.0</v>
      </c>
      <c r="CM297" s="39">
        <v>0.0</v>
      </c>
      <c r="CN297" s="39">
        <v>0.0</v>
      </c>
      <c r="CO297" s="35" t="s">
        <v>7045</v>
      </c>
      <c r="CP297" s="30">
        <v>47300.0</v>
      </c>
      <c r="CQ297" s="30">
        <v>47391.0</v>
      </c>
      <c r="CR297" s="39">
        <v>0.0</v>
      </c>
      <c r="CS297" s="39">
        <v>0.0</v>
      </c>
      <c r="CT297" s="35" t="s">
        <v>7045</v>
      </c>
      <c r="CU297" s="30">
        <v>47392.0</v>
      </c>
      <c r="CV297" s="30">
        <v>47483.0</v>
      </c>
      <c r="CW297" s="39">
        <v>0.0</v>
      </c>
      <c r="CX297" s="39">
        <v>0.0</v>
      </c>
      <c r="CY297" s="35" t="s">
        <v>7045</v>
      </c>
      <c r="CZ297" s="30">
        <v>47484.0</v>
      </c>
      <c r="DA297" s="30">
        <v>47573.0</v>
      </c>
      <c r="DB297" s="39">
        <v>0.0</v>
      </c>
      <c r="DC297" s="39">
        <v>0.0</v>
      </c>
      <c r="DD297" s="35" t="s">
        <v>7045</v>
      </c>
      <c r="DE297" s="30">
        <v>47574.0</v>
      </c>
      <c r="DF297" s="30">
        <v>47664.0</v>
      </c>
      <c r="DG297" s="39">
        <v>0.0</v>
      </c>
      <c r="DH297" s="39">
        <v>0.0</v>
      </c>
      <c r="DI297" s="35" t="s">
        <v>7045</v>
      </c>
      <c r="DJ297" s="30">
        <v>47665.0</v>
      </c>
      <c r="DK297" s="30">
        <v>47756.0</v>
      </c>
      <c r="DL297" s="39">
        <v>0.0</v>
      </c>
      <c r="DM297" s="39">
        <v>0.0</v>
      </c>
      <c r="DN297" s="35" t="s">
        <v>7045</v>
      </c>
      <c r="DO297" s="30">
        <v>47757.0</v>
      </c>
      <c r="DP297" s="30">
        <v>47848.0</v>
      </c>
      <c r="DQ297" s="39">
        <v>0.0</v>
      </c>
      <c r="DR297" s="39">
        <v>0.0</v>
      </c>
      <c r="DS297" s="35" t="s">
        <v>7045</v>
      </c>
    </row>
    <row r="298" ht="14.25" customHeight="1">
      <c r="A298" s="28" t="s">
        <v>3555</v>
      </c>
      <c r="B298" s="29" t="s">
        <v>3556</v>
      </c>
      <c r="C298" s="29" t="s">
        <v>7041</v>
      </c>
      <c r="D298" s="30">
        <v>45658.0</v>
      </c>
      <c r="E298" s="30">
        <v>45747.0</v>
      </c>
      <c r="F298" s="36">
        <v>12.4</v>
      </c>
      <c r="G298" s="36">
        <v>0.0</v>
      </c>
      <c r="H298" s="38" t="s">
        <v>7047</v>
      </c>
      <c r="I298" s="30">
        <v>45748.0</v>
      </c>
      <c r="J298" s="30">
        <v>45838.0</v>
      </c>
      <c r="K298" s="36">
        <v>89.53</v>
      </c>
      <c r="L298" s="36">
        <v>0.0</v>
      </c>
      <c r="M298" s="38" t="s">
        <v>7047</v>
      </c>
      <c r="N298" s="30">
        <v>45839.0</v>
      </c>
      <c r="O298" s="30">
        <v>45930.0</v>
      </c>
      <c r="P298" s="36">
        <v>390.96</v>
      </c>
      <c r="Q298" s="36">
        <v>589.74</v>
      </c>
      <c r="R298" s="38" t="s">
        <v>7047</v>
      </c>
      <c r="S298" s="30">
        <v>45931.0</v>
      </c>
      <c r="T298" s="30">
        <v>46022.0</v>
      </c>
      <c r="U298" s="36">
        <v>1475.78</v>
      </c>
      <c r="V298" s="36">
        <v>871.78</v>
      </c>
      <c r="W298" s="38" t="s">
        <v>7047</v>
      </c>
      <c r="X298" s="30">
        <v>46023.0</v>
      </c>
      <c r="Y298" s="30">
        <v>46112.0</v>
      </c>
      <c r="Z298" s="36">
        <v>668.67</v>
      </c>
      <c r="AA298" s="36">
        <v>0.0</v>
      </c>
      <c r="AB298" s="38" t="s">
        <v>7047</v>
      </c>
      <c r="AC298" s="30">
        <v>46113.0</v>
      </c>
      <c r="AD298" s="30">
        <v>46203.0</v>
      </c>
      <c r="AE298" s="36">
        <v>0.55</v>
      </c>
      <c r="AF298" s="36">
        <v>0.0</v>
      </c>
      <c r="AG298" s="38" t="s">
        <v>7047</v>
      </c>
      <c r="AH298" s="30">
        <v>46204.0</v>
      </c>
      <c r="AI298" s="30">
        <v>46295.0</v>
      </c>
      <c r="AJ298" s="36">
        <v>0.0</v>
      </c>
      <c r="AK298" s="36">
        <v>0.0</v>
      </c>
      <c r="AL298" s="35" t="s">
        <v>7045</v>
      </c>
      <c r="AM298" s="30">
        <v>46296.0</v>
      </c>
      <c r="AN298" s="30">
        <v>46387.0</v>
      </c>
      <c r="AO298" s="36">
        <v>0.0</v>
      </c>
      <c r="AP298" s="36">
        <v>0.0</v>
      </c>
      <c r="AQ298" s="35" t="s">
        <v>7045</v>
      </c>
      <c r="AR298" s="30">
        <v>46388.0</v>
      </c>
      <c r="AS298" s="30">
        <v>46477.0</v>
      </c>
      <c r="AT298" s="36">
        <v>0.0</v>
      </c>
      <c r="AU298" s="36">
        <v>0.0</v>
      </c>
      <c r="AV298" s="35" t="s">
        <v>7045</v>
      </c>
      <c r="AW298" s="30">
        <v>46478.0</v>
      </c>
      <c r="AX298" s="30">
        <v>46568.0</v>
      </c>
      <c r="AY298" s="36">
        <v>0.0</v>
      </c>
      <c r="AZ298" s="36">
        <v>0.0</v>
      </c>
      <c r="BA298" s="35" t="s">
        <v>7045</v>
      </c>
      <c r="BB298" s="30">
        <v>46569.0</v>
      </c>
      <c r="BC298" s="30">
        <v>46660.0</v>
      </c>
      <c r="BD298" s="36">
        <v>0.0</v>
      </c>
      <c r="BE298" s="36">
        <v>0.0</v>
      </c>
      <c r="BF298" s="35" t="s">
        <v>7045</v>
      </c>
      <c r="BG298" s="30">
        <v>46661.0</v>
      </c>
      <c r="BH298" s="30">
        <v>46752.0</v>
      </c>
      <c r="BI298" s="36">
        <v>0.0</v>
      </c>
      <c r="BJ298" s="36">
        <v>0.0</v>
      </c>
      <c r="BK298" s="35" t="s">
        <v>7045</v>
      </c>
      <c r="BL298" s="30">
        <v>46753.0</v>
      </c>
      <c r="BM298" s="30">
        <v>46843.0</v>
      </c>
      <c r="BN298" s="36">
        <v>0.0</v>
      </c>
      <c r="BO298" s="36">
        <v>0.0</v>
      </c>
      <c r="BP298" s="35" t="s">
        <v>7045</v>
      </c>
      <c r="BQ298" s="30">
        <v>46844.0</v>
      </c>
      <c r="BR298" s="30">
        <v>46934.0</v>
      </c>
      <c r="BS298" s="36">
        <v>0.0</v>
      </c>
      <c r="BT298" s="36">
        <v>0.0</v>
      </c>
      <c r="BU298" s="35" t="s">
        <v>7045</v>
      </c>
      <c r="BV298" s="30">
        <v>46935.0</v>
      </c>
      <c r="BW298" s="30">
        <v>47026.0</v>
      </c>
      <c r="BX298" s="36">
        <v>0.0</v>
      </c>
      <c r="BY298" s="36">
        <v>0.0</v>
      </c>
      <c r="BZ298" s="35" t="s">
        <v>7045</v>
      </c>
      <c r="CA298" s="30">
        <v>47027.0</v>
      </c>
      <c r="CB298" s="30">
        <v>47118.0</v>
      </c>
      <c r="CC298" s="36">
        <v>0.0</v>
      </c>
      <c r="CD298" s="36">
        <v>0.0</v>
      </c>
      <c r="CE298" s="35" t="s">
        <v>7045</v>
      </c>
      <c r="CF298" s="30">
        <v>47119.0</v>
      </c>
      <c r="CG298" s="30">
        <v>47208.0</v>
      </c>
      <c r="CH298" s="36">
        <v>0.0</v>
      </c>
      <c r="CI298" s="36">
        <v>0.0</v>
      </c>
      <c r="CJ298" s="35" t="s">
        <v>7045</v>
      </c>
      <c r="CK298" s="30">
        <v>47209.0</v>
      </c>
      <c r="CL298" s="30">
        <v>47299.0</v>
      </c>
      <c r="CM298" s="36">
        <v>0.0</v>
      </c>
      <c r="CN298" s="36">
        <v>0.0</v>
      </c>
      <c r="CO298" s="35" t="s">
        <v>7045</v>
      </c>
      <c r="CP298" s="30">
        <v>47300.0</v>
      </c>
      <c r="CQ298" s="30">
        <v>47391.0</v>
      </c>
      <c r="CR298" s="36">
        <v>0.0</v>
      </c>
      <c r="CS298" s="36">
        <v>0.0</v>
      </c>
      <c r="CT298" s="35" t="s">
        <v>7045</v>
      </c>
      <c r="CU298" s="30">
        <v>47392.0</v>
      </c>
      <c r="CV298" s="30">
        <v>47483.0</v>
      </c>
      <c r="CW298" s="36">
        <v>0.0</v>
      </c>
      <c r="CX298" s="36">
        <v>0.0</v>
      </c>
      <c r="CY298" s="35" t="s">
        <v>7045</v>
      </c>
      <c r="CZ298" s="30">
        <v>47484.0</v>
      </c>
      <c r="DA298" s="30">
        <v>47573.0</v>
      </c>
      <c r="DB298" s="36">
        <v>0.0</v>
      </c>
      <c r="DC298" s="36">
        <v>0.0</v>
      </c>
      <c r="DD298" s="35" t="s">
        <v>7045</v>
      </c>
      <c r="DE298" s="30">
        <v>47574.0</v>
      </c>
      <c r="DF298" s="30">
        <v>47664.0</v>
      </c>
      <c r="DG298" s="36">
        <v>0.0</v>
      </c>
      <c r="DH298" s="36">
        <v>0.0</v>
      </c>
      <c r="DI298" s="35" t="s">
        <v>7045</v>
      </c>
      <c r="DJ298" s="30">
        <v>47665.0</v>
      </c>
      <c r="DK298" s="30">
        <v>47756.0</v>
      </c>
      <c r="DL298" s="36">
        <v>0.0</v>
      </c>
      <c r="DM298" s="36">
        <v>0.0</v>
      </c>
      <c r="DN298" s="35" t="s">
        <v>7045</v>
      </c>
      <c r="DO298" s="30">
        <v>47757.0</v>
      </c>
      <c r="DP298" s="30">
        <v>47848.0</v>
      </c>
      <c r="DQ298" s="36">
        <v>0.0</v>
      </c>
      <c r="DR298" s="36">
        <v>0.0</v>
      </c>
      <c r="DS298" s="35" t="s">
        <v>7045</v>
      </c>
    </row>
    <row r="299" ht="14.25" customHeight="1">
      <c r="A299" s="28" t="s">
        <v>3572</v>
      </c>
      <c r="B299" s="29" t="s">
        <v>3573</v>
      </c>
      <c r="C299" s="29" t="s">
        <v>7041</v>
      </c>
      <c r="D299" s="30">
        <v>45658.0</v>
      </c>
      <c r="E299" s="30">
        <v>45747.0</v>
      </c>
      <c r="F299" s="39">
        <v>5.0</v>
      </c>
      <c r="G299" s="39">
        <v>0.0</v>
      </c>
      <c r="H299" s="38" t="s">
        <v>7047</v>
      </c>
      <c r="I299" s="30">
        <v>45748.0</v>
      </c>
      <c r="J299" s="30">
        <v>45838.0</v>
      </c>
      <c r="K299" s="39">
        <v>1.19</v>
      </c>
      <c r="L299" s="39">
        <v>0.0</v>
      </c>
      <c r="M299" s="38" t="s">
        <v>7047</v>
      </c>
      <c r="N299" s="30">
        <v>45839.0</v>
      </c>
      <c r="O299" s="30">
        <v>45930.0</v>
      </c>
      <c r="P299" s="39">
        <v>4.85</v>
      </c>
      <c r="Q299" s="39">
        <v>0.0</v>
      </c>
      <c r="R299" s="38" t="s">
        <v>7047</v>
      </c>
      <c r="S299" s="30">
        <v>45931.0</v>
      </c>
      <c r="T299" s="30">
        <v>46022.0</v>
      </c>
      <c r="U299" s="39">
        <v>50.0</v>
      </c>
      <c r="V299" s="39">
        <v>0.0</v>
      </c>
      <c r="W299" s="38" t="s">
        <v>7047</v>
      </c>
      <c r="X299" s="30">
        <v>46023.0</v>
      </c>
      <c r="Y299" s="30">
        <v>46112.0</v>
      </c>
      <c r="Z299" s="39">
        <v>1.0</v>
      </c>
      <c r="AA299" s="39">
        <v>0.0</v>
      </c>
      <c r="AB299" s="38" t="s">
        <v>7047</v>
      </c>
      <c r="AC299" s="30">
        <v>46113.0</v>
      </c>
      <c r="AD299" s="30">
        <v>46203.0</v>
      </c>
      <c r="AE299" s="39">
        <v>0.0</v>
      </c>
      <c r="AF299" s="39">
        <v>0.0</v>
      </c>
      <c r="AG299" s="35" t="s">
        <v>7045</v>
      </c>
      <c r="AH299" s="30">
        <v>46204.0</v>
      </c>
      <c r="AI299" s="30">
        <v>46295.0</v>
      </c>
      <c r="AJ299" s="39">
        <v>15.0</v>
      </c>
      <c r="AK299" s="39">
        <v>0.0</v>
      </c>
      <c r="AL299" s="35" t="s">
        <v>7047</v>
      </c>
      <c r="AM299" s="30">
        <v>46296.0</v>
      </c>
      <c r="AN299" s="30">
        <v>46387.0</v>
      </c>
      <c r="AO299" s="39">
        <v>0.0</v>
      </c>
      <c r="AP299" s="39">
        <v>0.0</v>
      </c>
      <c r="AQ299" s="35" t="s">
        <v>7045</v>
      </c>
      <c r="AR299" s="30">
        <v>46388.0</v>
      </c>
      <c r="AS299" s="30">
        <v>46477.0</v>
      </c>
      <c r="AT299" s="39">
        <v>0.0</v>
      </c>
      <c r="AU299" s="39">
        <v>0.0</v>
      </c>
      <c r="AV299" s="35" t="s">
        <v>7045</v>
      </c>
      <c r="AW299" s="30">
        <v>46478.0</v>
      </c>
      <c r="AX299" s="30">
        <v>46568.0</v>
      </c>
      <c r="AY299" s="39">
        <v>0.0</v>
      </c>
      <c r="AZ299" s="39">
        <v>0.0</v>
      </c>
      <c r="BA299" s="35" t="s">
        <v>7045</v>
      </c>
      <c r="BB299" s="30">
        <v>46569.0</v>
      </c>
      <c r="BC299" s="30">
        <v>46660.0</v>
      </c>
      <c r="BD299" s="39">
        <v>0.0</v>
      </c>
      <c r="BE299" s="39">
        <v>0.0</v>
      </c>
      <c r="BF299" s="35" t="s">
        <v>7045</v>
      </c>
      <c r="BG299" s="30">
        <v>46661.0</v>
      </c>
      <c r="BH299" s="30">
        <v>46752.0</v>
      </c>
      <c r="BI299" s="39">
        <v>0.0</v>
      </c>
      <c r="BJ299" s="39">
        <v>0.0</v>
      </c>
      <c r="BK299" s="35" t="s">
        <v>7045</v>
      </c>
      <c r="BL299" s="30">
        <v>46753.0</v>
      </c>
      <c r="BM299" s="30">
        <v>46843.0</v>
      </c>
      <c r="BN299" s="39">
        <v>0.0</v>
      </c>
      <c r="BO299" s="39">
        <v>0.0</v>
      </c>
      <c r="BP299" s="35" t="s">
        <v>7045</v>
      </c>
      <c r="BQ299" s="30">
        <v>46844.0</v>
      </c>
      <c r="BR299" s="30">
        <v>46934.0</v>
      </c>
      <c r="BS299" s="39">
        <v>0.0</v>
      </c>
      <c r="BT299" s="39">
        <v>0.0</v>
      </c>
      <c r="BU299" s="35" t="s">
        <v>7045</v>
      </c>
      <c r="BV299" s="30">
        <v>46935.0</v>
      </c>
      <c r="BW299" s="30">
        <v>47026.0</v>
      </c>
      <c r="BX299" s="39">
        <v>0.0</v>
      </c>
      <c r="BY299" s="39">
        <v>0.0</v>
      </c>
      <c r="BZ299" s="35" t="s">
        <v>7045</v>
      </c>
      <c r="CA299" s="30">
        <v>47027.0</v>
      </c>
      <c r="CB299" s="30">
        <v>47118.0</v>
      </c>
      <c r="CC299" s="39">
        <v>0.0</v>
      </c>
      <c r="CD299" s="39">
        <v>0.0</v>
      </c>
      <c r="CE299" s="35" t="s">
        <v>7045</v>
      </c>
      <c r="CF299" s="30">
        <v>47119.0</v>
      </c>
      <c r="CG299" s="30">
        <v>47208.0</v>
      </c>
      <c r="CH299" s="39">
        <v>0.0</v>
      </c>
      <c r="CI299" s="39">
        <v>0.0</v>
      </c>
      <c r="CJ299" s="35" t="s">
        <v>7045</v>
      </c>
      <c r="CK299" s="30">
        <v>47209.0</v>
      </c>
      <c r="CL299" s="30">
        <v>47299.0</v>
      </c>
      <c r="CM299" s="39">
        <v>0.0</v>
      </c>
      <c r="CN299" s="39">
        <v>0.0</v>
      </c>
      <c r="CO299" s="35" t="s">
        <v>7045</v>
      </c>
      <c r="CP299" s="30">
        <v>47300.0</v>
      </c>
      <c r="CQ299" s="30">
        <v>47391.0</v>
      </c>
      <c r="CR299" s="39">
        <v>0.0</v>
      </c>
      <c r="CS299" s="39">
        <v>0.0</v>
      </c>
      <c r="CT299" s="35" t="s">
        <v>7045</v>
      </c>
      <c r="CU299" s="30">
        <v>47392.0</v>
      </c>
      <c r="CV299" s="30">
        <v>47483.0</v>
      </c>
      <c r="CW299" s="39">
        <v>0.0</v>
      </c>
      <c r="CX299" s="39">
        <v>0.0</v>
      </c>
      <c r="CY299" s="35" t="s">
        <v>7045</v>
      </c>
      <c r="CZ299" s="30">
        <v>47484.0</v>
      </c>
      <c r="DA299" s="30">
        <v>47573.0</v>
      </c>
      <c r="DB299" s="39">
        <v>0.0</v>
      </c>
      <c r="DC299" s="39">
        <v>0.0</v>
      </c>
      <c r="DD299" s="35" t="s">
        <v>7045</v>
      </c>
      <c r="DE299" s="30">
        <v>47574.0</v>
      </c>
      <c r="DF299" s="30">
        <v>47664.0</v>
      </c>
      <c r="DG299" s="39">
        <v>0.0</v>
      </c>
      <c r="DH299" s="39">
        <v>0.0</v>
      </c>
      <c r="DI299" s="35" t="s">
        <v>7045</v>
      </c>
      <c r="DJ299" s="30">
        <v>47665.0</v>
      </c>
      <c r="DK299" s="30">
        <v>47756.0</v>
      </c>
      <c r="DL299" s="39">
        <v>0.0</v>
      </c>
      <c r="DM299" s="39">
        <v>0.0</v>
      </c>
      <c r="DN299" s="35" t="s">
        <v>7045</v>
      </c>
      <c r="DO299" s="30">
        <v>47757.0</v>
      </c>
      <c r="DP299" s="30">
        <v>47848.0</v>
      </c>
      <c r="DQ299" s="39">
        <v>0.0</v>
      </c>
      <c r="DR299" s="39">
        <v>0.0</v>
      </c>
      <c r="DS299" s="35" t="s">
        <v>7045</v>
      </c>
    </row>
    <row r="300" ht="14.25" customHeight="1">
      <c r="A300" s="28" t="s">
        <v>3618</v>
      </c>
      <c r="B300" s="29" t="s">
        <v>3619</v>
      </c>
      <c r="C300" s="29" t="s">
        <v>7041</v>
      </c>
      <c r="D300" s="30">
        <v>45658.0</v>
      </c>
      <c r="E300" s="30">
        <v>45747.0</v>
      </c>
      <c r="F300" s="36">
        <v>33.0</v>
      </c>
      <c r="G300" s="36">
        <v>0.0</v>
      </c>
      <c r="H300" s="38" t="s">
        <v>7047</v>
      </c>
      <c r="I300" s="30">
        <v>45748.0</v>
      </c>
      <c r="J300" s="30">
        <v>45838.0</v>
      </c>
      <c r="K300" s="36">
        <v>8.75</v>
      </c>
      <c r="L300" s="36">
        <v>0.0</v>
      </c>
      <c r="M300" s="38" t="s">
        <v>7047</v>
      </c>
      <c r="N300" s="30">
        <v>45839.0</v>
      </c>
      <c r="O300" s="30">
        <v>45930.0</v>
      </c>
      <c r="P300" s="36">
        <v>2.61</v>
      </c>
      <c r="Q300" s="36">
        <v>0.0</v>
      </c>
      <c r="R300" s="38" t="s">
        <v>7047</v>
      </c>
      <c r="S300" s="30">
        <v>45931.0</v>
      </c>
      <c r="T300" s="30">
        <v>46022.0</v>
      </c>
      <c r="U300" s="36">
        <v>107.13</v>
      </c>
      <c r="V300" s="36">
        <v>0.0</v>
      </c>
      <c r="W300" s="38" t="s">
        <v>7047</v>
      </c>
      <c r="X300" s="30">
        <v>46023.0</v>
      </c>
      <c r="Y300" s="30">
        <v>46112.0</v>
      </c>
      <c r="Z300" s="36">
        <v>0.0</v>
      </c>
      <c r="AA300" s="36">
        <v>0.0</v>
      </c>
      <c r="AB300" s="35" t="s">
        <v>7045</v>
      </c>
      <c r="AC300" s="30">
        <v>46113.0</v>
      </c>
      <c r="AD300" s="30">
        <v>46203.0</v>
      </c>
      <c r="AE300" s="36">
        <v>15.44</v>
      </c>
      <c r="AF300" s="36">
        <v>0.0</v>
      </c>
      <c r="AG300" s="35" t="s">
        <v>7047</v>
      </c>
      <c r="AH300" s="30">
        <v>46204.0</v>
      </c>
      <c r="AI300" s="30">
        <v>46295.0</v>
      </c>
      <c r="AJ300" s="36">
        <v>0.0</v>
      </c>
      <c r="AK300" s="36">
        <v>0.0</v>
      </c>
      <c r="AL300" s="35" t="s">
        <v>7045</v>
      </c>
      <c r="AM300" s="30">
        <v>46296.0</v>
      </c>
      <c r="AN300" s="30">
        <v>46387.0</v>
      </c>
      <c r="AO300" s="36">
        <v>14.96</v>
      </c>
      <c r="AP300" s="36">
        <v>0.0</v>
      </c>
      <c r="AQ300" s="38" t="s">
        <v>7047</v>
      </c>
      <c r="AR300" s="30">
        <v>46388.0</v>
      </c>
      <c r="AS300" s="30">
        <v>46477.0</v>
      </c>
      <c r="AT300" s="36">
        <v>0.0</v>
      </c>
      <c r="AU300" s="36">
        <v>0.0</v>
      </c>
      <c r="AV300" s="35" t="s">
        <v>7045</v>
      </c>
      <c r="AW300" s="30">
        <v>46478.0</v>
      </c>
      <c r="AX300" s="30">
        <v>46568.0</v>
      </c>
      <c r="AY300" s="36">
        <v>0.0</v>
      </c>
      <c r="AZ300" s="36">
        <v>0.0</v>
      </c>
      <c r="BA300" s="35" t="s">
        <v>7045</v>
      </c>
      <c r="BB300" s="30">
        <v>46569.0</v>
      </c>
      <c r="BC300" s="30">
        <v>46660.0</v>
      </c>
      <c r="BD300" s="36">
        <v>0.0</v>
      </c>
      <c r="BE300" s="36">
        <v>0.0</v>
      </c>
      <c r="BF300" s="35" t="s">
        <v>7045</v>
      </c>
      <c r="BG300" s="30">
        <v>46661.0</v>
      </c>
      <c r="BH300" s="30">
        <v>46752.0</v>
      </c>
      <c r="BI300" s="36">
        <v>0.0</v>
      </c>
      <c r="BJ300" s="36">
        <v>0.0</v>
      </c>
      <c r="BK300" s="35" t="s">
        <v>7045</v>
      </c>
      <c r="BL300" s="30">
        <v>46753.0</v>
      </c>
      <c r="BM300" s="30">
        <v>46843.0</v>
      </c>
      <c r="BN300" s="36">
        <v>0.0</v>
      </c>
      <c r="BO300" s="36">
        <v>0.0</v>
      </c>
      <c r="BP300" s="35" t="s">
        <v>7045</v>
      </c>
      <c r="BQ300" s="30">
        <v>46844.0</v>
      </c>
      <c r="BR300" s="30">
        <v>46934.0</v>
      </c>
      <c r="BS300" s="36">
        <v>0.0</v>
      </c>
      <c r="BT300" s="36">
        <v>0.0</v>
      </c>
      <c r="BU300" s="35" t="s">
        <v>7045</v>
      </c>
      <c r="BV300" s="30">
        <v>46935.0</v>
      </c>
      <c r="BW300" s="30">
        <v>47026.0</v>
      </c>
      <c r="BX300" s="36">
        <v>0.0</v>
      </c>
      <c r="BY300" s="36">
        <v>0.0</v>
      </c>
      <c r="BZ300" s="35" t="s">
        <v>7045</v>
      </c>
      <c r="CA300" s="30">
        <v>47027.0</v>
      </c>
      <c r="CB300" s="30">
        <v>47118.0</v>
      </c>
      <c r="CC300" s="36">
        <v>0.0</v>
      </c>
      <c r="CD300" s="36">
        <v>0.0</v>
      </c>
      <c r="CE300" s="35" t="s">
        <v>7045</v>
      </c>
      <c r="CF300" s="30">
        <v>47119.0</v>
      </c>
      <c r="CG300" s="30">
        <v>47208.0</v>
      </c>
      <c r="CH300" s="36">
        <v>0.0</v>
      </c>
      <c r="CI300" s="36">
        <v>0.0</v>
      </c>
      <c r="CJ300" s="35" t="s">
        <v>7045</v>
      </c>
      <c r="CK300" s="30">
        <v>47209.0</v>
      </c>
      <c r="CL300" s="30">
        <v>47299.0</v>
      </c>
      <c r="CM300" s="36">
        <v>0.0</v>
      </c>
      <c r="CN300" s="36">
        <v>0.0</v>
      </c>
      <c r="CO300" s="35" t="s">
        <v>7045</v>
      </c>
      <c r="CP300" s="30">
        <v>47300.0</v>
      </c>
      <c r="CQ300" s="30">
        <v>47391.0</v>
      </c>
      <c r="CR300" s="36">
        <v>0.0</v>
      </c>
      <c r="CS300" s="36">
        <v>0.0</v>
      </c>
      <c r="CT300" s="35" t="s">
        <v>7045</v>
      </c>
      <c r="CU300" s="30">
        <v>47392.0</v>
      </c>
      <c r="CV300" s="30">
        <v>47483.0</v>
      </c>
      <c r="CW300" s="36">
        <v>0.0</v>
      </c>
      <c r="CX300" s="36">
        <v>0.0</v>
      </c>
      <c r="CY300" s="35" t="s">
        <v>7045</v>
      </c>
      <c r="CZ300" s="30">
        <v>47484.0</v>
      </c>
      <c r="DA300" s="30">
        <v>47573.0</v>
      </c>
      <c r="DB300" s="36">
        <v>0.0</v>
      </c>
      <c r="DC300" s="36">
        <v>0.0</v>
      </c>
      <c r="DD300" s="35" t="s">
        <v>7045</v>
      </c>
      <c r="DE300" s="30">
        <v>47574.0</v>
      </c>
      <c r="DF300" s="30">
        <v>47664.0</v>
      </c>
      <c r="DG300" s="36">
        <v>0.0</v>
      </c>
      <c r="DH300" s="36">
        <v>0.0</v>
      </c>
      <c r="DI300" s="35" t="s">
        <v>7045</v>
      </c>
      <c r="DJ300" s="30">
        <v>47665.0</v>
      </c>
      <c r="DK300" s="30">
        <v>47756.0</v>
      </c>
      <c r="DL300" s="36">
        <v>0.0</v>
      </c>
      <c r="DM300" s="36">
        <v>0.0</v>
      </c>
      <c r="DN300" s="35" t="s">
        <v>7045</v>
      </c>
      <c r="DO300" s="30">
        <v>47757.0</v>
      </c>
      <c r="DP300" s="30">
        <v>47848.0</v>
      </c>
      <c r="DQ300" s="36">
        <v>0.0</v>
      </c>
      <c r="DR300" s="36">
        <v>0.0</v>
      </c>
      <c r="DS300" s="35" t="s">
        <v>7045</v>
      </c>
    </row>
    <row r="301" ht="14.25" customHeight="1">
      <c r="A301" s="28" t="s">
        <v>3637</v>
      </c>
      <c r="B301" s="29" t="s">
        <v>3638</v>
      </c>
      <c r="C301" s="29" t="s">
        <v>7041</v>
      </c>
      <c r="D301" s="30">
        <v>45658.0</v>
      </c>
      <c r="E301" s="30">
        <v>45747.0</v>
      </c>
      <c r="F301" s="36">
        <v>10.32</v>
      </c>
      <c r="G301" s="36">
        <v>0.0</v>
      </c>
      <c r="H301" s="38" t="s">
        <v>7047</v>
      </c>
      <c r="I301" s="30">
        <v>45748.0</v>
      </c>
      <c r="J301" s="30">
        <v>45838.0</v>
      </c>
      <c r="K301" s="36">
        <v>5.91</v>
      </c>
      <c r="L301" s="36">
        <v>1033.35</v>
      </c>
      <c r="M301" s="32" t="s">
        <v>7043</v>
      </c>
      <c r="N301" s="30">
        <v>45839.0</v>
      </c>
      <c r="O301" s="30">
        <v>45930.0</v>
      </c>
      <c r="P301" s="36">
        <v>127.69</v>
      </c>
      <c r="Q301" s="36">
        <v>766.66</v>
      </c>
      <c r="R301" s="38" t="s">
        <v>7047</v>
      </c>
      <c r="S301" s="30">
        <v>45931.0</v>
      </c>
      <c r="T301" s="30">
        <v>46022.0</v>
      </c>
      <c r="U301" s="36">
        <v>759.99</v>
      </c>
      <c r="V301" s="36">
        <v>800.01</v>
      </c>
      <c r="W301" s="38" t="s">
        <v>7047</v>
      </c>
      <c r="X301" s="30">
        <v>46023.0</v>
      </c>
      <c r="Y301" s="30">
        <v>46112.0</v>
      </c>
      <c r="Z301" s="36">
        <v>479.38</v>
      </c>
      <c r="AA301" s="36">
        <v>0.0</v>
      </c>
      <c r="AB301" s="38" t="s">
        <v>7047</v>
      </c>
      <c r="AC301" s="30">
        <v>46113.0</v>
      </c>
      <c r="AD301" s="30">
        <v>46203.0</v>
      </c>
      <c r="AE301" s="36">
        <v>361.58</v>
      </c>
      <c r="AF301" s="36">
        <v>0.0</v>
      </c>
      <c r="AG301" s="38" t="s">
        <v>7047</v>
      </c>
      <c r="AH301" s="30">
        <v>46204.0</v>
      </c>
      <c r="AI301" s="30">
        <v>46295.0</v>
      </c>
      <c r="AJ301" s="36">
        <v>100.0</v>
      </c>
      <c r="AK301" s="36">
        <v>0.0</v>
      </c>
      <c r="AL301" s="35" t="s">
        <v>7047</v>
      </c>
      <c r="AM301" s="30">
        <v>46296.0</v>
      </c>
      <c r="AN301" s="30">
        <v>46387.0</v>
      </c>
      <c r="AO301" s="36">
        <v>0.0</v>
      </c>
      <c r="AP301" s="36">
        <v>0.0</v>
      </c>
      <c r="AQ301" s="35" t="s">
        <v>7045</v>
      </c>
      <c r="AR301" s="30">
        <v>46388.0</v>
      </c>
      <c r="AS301" s="30">
        <v>46477.0</v>
      </c>
      <c r="AT301" s="36">
        <v>0.0</v>
      </c>
      <c r="AU301" s="36">
        <v>0.0</v>
      </c>
      <c r="AV301" s="35" t="s">
        <v>7045</v>
      </c>
      <c r="AW301" s="30">
        <v>46478.0</v>
      </c>
      <c r="AX301" s="30">
        <v>46568.0</v>
      </c>
      <c r="AY301" s="36">
        <v>0.0</v>
      </c>
      <c r="AZ301" s="36">
        <v>0.0</v>
      </c>
      <c r="BA301" s="35" t="s">
        <v>7045</v>
      </c>
      <c r="BB301" s="30">
        <v>46569.0</v>
      </c>
      <c r="BC301" s="30">
        <v>46660.0</v>
      </c>
      <c r="BD301" s="36">
        <v>0.0</v>
      </c>
      <c r="BE301" s="36">
        <v>0.0</v>
      </c>
      <c r="BF301" s="35" t="s">
        <v>7045</v>
      </c>
      <c r="BG301" s="30">
        <v>46661.0</v>
      </c>
      <c r="BH301" s="30">
        <v>46752.0</v>
      </c>
      <c r="BI301" s="36">
        <v>0.0</v>
      </c>
      <c r="BJ301" s="36">
        <v>0.0</v>
      </c>
      <c r="BK301" s="35" t="s">
        <v>7045</v>
      </c>
      <c r="BL301" s="30">
        <v>46753.0</v>
      </c>
      <c r="BM301" s="30">
        <v>46843.0</v>
      </c>
      <c r="BN301" s="36">
        <v>0.0</v>
      </c>
      <c r="BO301" s="36">
        <v>0.0</v>
      </c>
      <c r="BP301" s="35" t="s">
        <v>7045</v>
      </c>
      <c r="BQ301" s="30">
        <v>46844.0</v>
      </c>
      <c r="BR301" s="30">
        <v>46934.0</v>
      </c>
      <c r="BS301" s="36">
        <v>0.0</v>
      </c>
      <c r="BT301" s="36">
        <v>0.0</v>
      </c>
      <c r="BU301" s="35" t="s">
        <v>7045</v>
      </c>
      <c r="BV301" s="30">
        <v>46935.0</v>
      </c>
      <c r="BW301" s="30">
        <v>47026.0</v>
      </c>
      <c r="BX301" s="36">
        <v>0.0</v>
      </c>
      <c r="BY301" s="36">
        <v>0.0</v>
      </c>
      <c r="BZ301" s="35" t="s">
        <v>7045</v>
      </c>
      <c r="CA301" s="30">
        <v>47027.0</v>
      </c>
      <c r="CB301" s="30">
        <v>47118.0</v>
      </c>
      <c r="CC301" s="36">
        <v>0.0</v>
      </c>
      <c r="CD301" s="36">
        <v>0.0</v>
      </c>
      <c r="CE301" s="35" t="s">
        <v>7045</v>
      </c>
      <c r="CF301" s="30">
        <v>47119.0</v>
      </c>
      <c r="CG301" s="30">
        <v>47208.0</v>
      </c>
      <c r="CH301" s="36">
        <v>0.0</v>
      </c>
      <c r="CI301" s="36">
        <v>0.0</v>
      </c>
      <c r="CJ301" s="35" t="s">
        <v>7045</v>
      </c>
      <c r="CK301" s="30">
        <v>47209.0</v>
      </c>
      <c r="CL301" s="30">
        <v>47299.0</v>
      </c>
      <c r="CM301" s="36">
        <v>0.0</v>
      </c>
      <c r="CN301" s="36">
        <v>0.0</v>
      </c>
      <c r="CO301" s="35" t="s">
        <v>7045</v>
      </c>
      <c r="CP301" s="30">
        <v>47300.0</v>
      </c>
      <c r="CQ301" s="30">
        <v>47391.0</v>
      </c>
      <c r="CR301" s="36">
        <v>0.0</v>
      </c>
      <c r="CS301" s="36">
        <v>0.0</v>
      </c>
      <c r="CT301" s="35" t="s">
        <v>7045</v>
      </c>
      <c r="CU301" s="30">
        <v>47392.0</v>
      </c>
      <c r="CV301" s="30">
        <v>47483.0</v>
      </c>
      <c r="CW301" s="36">
        <v>0.0</v>
      </c>
      <c r="CX301" s="36">
        <v>0.0</v>
      </c>
      <c r="CY301" s="35" t="s">
        <v>7045</v>
      </c>
      <c r="CZ301" s="30">
        <v>47484.0</v>
      </c>
      <c r="DA301" s="30">
        <v>47573.0</v>
      </c>
      <c r="DB301" s="36">
        <v>0.0</v>
      </c>
      <c r="DC301" s="36">
        <v>0.0</v>
      </c>
      <c r="DD301" s="35" t="s">
        <v>7045</v>
      </c>
      <c r="DE301" s="30">
        <v>47574.0</v>
      </c>
      <c r="DF301" s="30">
        <v>47664.0</v>
      </c>
      <c r="DG301" s="36">
        <v>0.0</v>
      </c>
      <c r="DH301" s="36">
        <v>0.0</v>
      </c>
      <c r="DI301" s="35" t="s">
        <v>7045</v>
      </c>
      <c r="DJ301" s="30">
        <v>47665.0</v>
      </c>
      <c r="DK301" s="30">
        <v>47756.0</v>
      </c>
      <c r="DL301" s="36">
        <v>0.0</v>
      </c>
      <c r="DM301" s="36">
        <v>0.0</v>
      </c>
      <c r="DN301" s="35" t="s">
        <v>7045</v>
      </c>
      <c r="DO301" s="30">
        <v>47757.0</v>
      </c>
      <c r="DP301" s="30">
        <v>47848.0</v>
      </c>
      <c r="DQ301" s="36">
        <v>0.0</v>
      </c>
      <c r="DR301" s="36">
        <v>0.0</v>
      </c>
      <c r="DS301" s="35" t="s">
        <v>7045</v>
      </c>
    </row>
    <row r="302" ht="14.25" customHeight="1">
      <c r="A302" s="28" t="s">
        <v>3703</v>
      </c>
      <c r="B302" s="29" t="s">
        <v>3704</v>
      </c>
      <c r="C302" s="29" t="s">
        <v>7041</v>
      </c>
      <c r="D302" s="30">
        <v>45658.0</v>
      </c>
      <c r="E302" s="30">
        <v>45747.0</v>
      </c>
      <c r="F302" s="39">
        <v>7.0</v>
      </c>
      <c r="G302" s="39">
        <v>0.0</v>
      </c>
      <c r="H302" s="38" t="s">
        <v>7047</v>
      </c>
      <c r="I302" s="30">
        <v>45748.0</v>
      </c>
      <c r="J302" s="30">
        <v>45838.0</v>
      </c>
      <c r="K302" s="39">
        <v>10.0</v>
      </c>
      <c r="L302" s="39">
        <v>69.88</v>
      </c>
      <c r="M302" s="32" t="s">
        <v>7043</v>
      </c>
      <c r="N302" s="30">
        <v>45839.0</v>
      </c>
      <c r="O302" s="30">
        <v>45930.0</v>
      </c>
      <c r="P302" s="39">
        <v>0.0</v>
      </c>
      <c r="Q302" s="39">
        <v>57.83</v>
      </c>
      <c r="R302" s="32" t="s">
        <v>7043</v>
      </c>
      <c r="S302" s="30">
        <v>45931.0</v>
      </c>
      <c r="T302" s="30">
        <v>46022.0</v>
      </c>
      <c r="U302" s="39">
        <v>35.0</v>
      </c>
      <c r="V302" s="39">
        <v>143.37</v>
      </c>
      <c r="W302" s="38" t="s">
        <v>7047</v>
      </c>
      <c r="X302" s="30">
        <v>46023.0</v>
      </c>
      <c r="Y302" s="30">
        <v>46112.0</v>
      </c>
      <c r="Z302" s="39">
        <v>0.0</v>
      </c>
      <c r="AA302" s="39">
        <v>0.0</v>
      </c>
      <c r="AB302" s="35" t="s">
        <v>7045</v>
      </c>
      <c r="AC302" s="30">
        <v>46113.0</v>
      </c>
      <c r="AD302" s="30">
        <v>46203.0</v>
      </c>
      <c r="AE302" s="39">
        <v>0.0</v>
      </c>
      <c r="AF302" s="39">
        <v>0.0</v>
      </c>
      <c r="AG302" s="35" t="s">
        <v>7045</v>
      </c>
      <c r="AH302" s="30">
        <v>46204.0</v>
      </c>
      <c r="AI302" s="30">
        <v>46295.0</v>
      </c>
      <c r="AJ302" s="39">
        <v>0.0</v>
      </c>
      <c r="AK302" s="39">
        <v>0.0</v>
      </c>
      <c r="AL302" s="35" t="s">
        <v>7045</v>
      </c>
      <c r="AM302" s="30">
        <v>46296.0</v>
      </c>
      <c r="AN302" s="30">
        <v>46387.0</v>
      </c>
      <c r="AO302" s="39">
        <v>40.0</v>
      </c>
      <c r="AP302" s="39">
        <v>0.0</v>
      </c>
      <c r="AQ302" s="38" t="s">
        <v>7047</v>
      </c>
      <c r="AR302" s="30">
        <v>46388.0</v>
      </c>
      <c r="AS302" s="30">
        <v>46477.0</v>
      </c>
      <c r="AT302" s="39">
        <v>0.0</v>
      </c>
      <c r="AU302" s="39">
        <v>0.0</v>
      </c>
      <c r="AV302" s="35" t="s">
        <v>7045</v>
      </c>
      <c r="AW302" s="30">
        <v>46478.0</v>
      </c>
      <c r="AX302" s="30">
        <v>46568.0</v>
      </c>
      <c r="AY302" s="39">
        <v>0.0</v>
      </c>
      <c r="AZ302" s="39">
        <v>0.0</v>
      </c>
      <c r="BA302" s="35" t="s">
        <v>7045</v>
      </c>
      <c r="BB302" s="30">
        <v>46569.0</v>
      </c>
      <c r="BC302" s="30">
        <v>46660.0</v>
      </c>
      <c r="BD302" s="39">
        <v>0.0</v>
      </c>
      <c r="BE302" s="39">
        <v>0.0</v>
      </c>
      <c r="BF302" s="35" t="s">
        <v>7045</v>
      </c>
      <c r="BG302" s="30">
        <v>46661.0</v>
      </c>
      <c r="BH302" s="30">
        <v>46752.0</v>
      </c>
      <c r="BI302" s="39">
        <v>0.0</v>
      </c>
      <c r="BJ302" s="39">
        <v>0.0</v>
      </c>
      <c r="BK302" s="35" t="s">
        <v>7045</v>
      </c>
      <c r="BL302" s="30">
        <v>46753.0</v>
      </c>
      <c r="BM302" s="30">
        <v>46843.0</v>
      </c>
      <c r="BN302" s="39">
        <v>0.0</v>
      </c>
      <c r="BO302" s="39">
        <v>0.0</v>
      </c>
      <c r="BP302" s="35" t="s">
        <v>7045</v>
      </c>
      <c r="BQ302" s="30">
        <v>46844.0</v>
      </c>
      <c r="BR302" s="30">
        <v>46934.0</v>
      </c>
      <c r="BS302" s="39">
        <v>0.0</v>
      </c>
      <c r="BT302" s="39">
        <v>0.0</v>
      </c>
      <c r="BU302" s="35" t="s">
        <v>7045</v>
      </c>
      <c r="BV302" s="30">
        <v>46935.0</v>
      </c>
      <c r="BW302" s="30">
        <v>47026.0</v>
      </c>
      <c r="BX302" s="39">
        <v>0.0</v>
      </c>
      <c r="BY302" s="39">
        <v>0.0</v>
      </c>
      <c r="BZ302" s="35" t="s">
        <v>7045</v>
      </c>
      <c r="CA302" s="30">
        <v>47027.0</v>
      </c>
      <c r="CB302" s="30">
        <v>47118.0</v>
      </c>
      <c r="CC302" s="39">
        <v>0.0</v>
      </c>
      <c r="CD302" s="39">
        <v>0.0</v>
      </c>
      <c r="CE302" s="35" t="s">
        <v>7045</v>
      </c>
      <c r="CF302" s="30">
        <v>47119.0</v>
      </c>
      <c r="CG302" s="30">
        <v>47208.0</v>
      </c>
      <c r="CH302" s="39">
        <v>0.0</v>
      </c>
      <c r="CI302" s="39">
        <v>0.0</v>
      </c>
      <c r="CJ302" s="35" t="s">
        <v>7045</v>
      </c>
      <c r="CK302" s="30">
        <v>47209.0</v>
      </c>
      <c r="CL302" s="30">
        <v>47299.0</v>
      </c>
      <c r="CM302" s="39">
        <v>0.0</v>
      </c>
      <c r="CN302" s="39">
        <v>0.0</v>
      </c>
      <c r="CO302" s="35" t="s">
        <v>7045</v>
      </c>
      <c r="CP302" s="30">
        <v>47300.0</v>
      </c>
      <c r="CQ302" s="30">
        <v>47391.0</v>
      </c>
      <c r="CR302" s="39">
        <v>0.0</v>
      </c>
      <c r="CS302" s="39">
        <v>0.0</v>
      </c>
      <c r="CT302" s="35" t="s">
        <v>7045</v>
      </c>
      <c r="CU302" s="30">
        <v>47392.0</v>
      </c>
      <c r="CV302" s="30">
        <v>47483.0</v>
      </c>
      <c r="CW302" s="39">
        <v>0.0</v>
      </c>
      <c r="CX302" s="39">
        <v>0.0</v>
      </c>
      <c r="CY302" s="35" t="s">
        <v>7045</v>
      </c>
      <c r="CZ302" s="30">
        <v>47484.0</v>
      </c>
      <c r="DA302" s="30">
        <v>47573.0</v>
      </c>
      <c r="DB302" s="39">
        <v>0.0</v>
      </c>
      <c r="DC302" s="39">
        <v>0.0</v>
      </c>
      <c r="DD302" s="35" t="s">
        <v>7045</v>
      </c>
      <c r="DE302" s="30">
        <v>47574.0</v>
      </c>
      <c r="DF302" s="30">
        <v>47664.0</v>
      </c>
      <c r="DG302" s="39">
        <v>0.0</v>
      </c>
      <c r="DH302" s="39">
        <v>0.0</v>
      </c>
      <c r="DI302" s="35" t="s">
        <v>7045</v>
      </c>
      <c r="DJ302" s="30">
        <v>47665.0</v>
      </c>
      <c r="DK302" s="30">
        <v>47756.0</v>
      </c>
      <c r="DL302" s="39">
        <v>0.0</v>
      </c>
      <c r="DM302" s="39">
        <v>0.0</v>
      </c>
      <c r="DN302" s="35" t="s">
        <v>7045</v>
      </c>
      <c r="DO302" s="30">
        <v>47757.0</v>
      </c>
      <c r="DP302" s="30">
        <v>47848.0</v>
      </c>
      <c r="DQ302" s="39">
        <v>0.0</v>
      </c>
      <c r="DR302" s="39">
        <v>0.0</v>
      </c>
      <c r="DS302" s="35" t="s">
        <v>7045</v>
      </c>
    </row>
    <row r="303" ht="14.25" customHeight="1">
      <c r="A303" s="28" t="s">
        <v>3709</v>
      </c>
      <c r="B303" s="29" t="s">
        <v>3710</v>
      </c>
      <c r="C303" s="29" t="s">
        <v>7041</v>
      </c>
      <c r="D303" s="30">
        <v>45658.0</v>
      </c>
      <c r="E303" s="30">
        <v>45747.0</v>
      </c>
      <c r="F303" s="36">
        <v>0.7</v>
      </c>
      <c r="G303" s="36">
        <v>0.0</v>
      </c>
      <c r="H303" s="38" t="s">
        <v>7047</v>
      </c>
      <c r="I303" s="30">
        <v>45748.0</v>
      </c>
      <c r="J303" s="30">
        <v>45838.0</v>
      </c>
      <c r="K303" s="36">
        <v>5.0</v>
      </c>
      <c r="L303" s="36">
        <v>483.34</v>
      </c>
      <c r="M303" s="38" t="s">
        <v>7043</v>
      </c>
      <c r="N303" s="30">
        <v>45839.0</v>
      </c>
      <c r="O303" s="30">
        <v>45930.0</v>
      </c>
      <c r="P303" s="36">
        <v>193.58</v>
      </c>
      <c r="Q303" s="36">
        <v>483.34</v>
      </c>
      <c r="R303" s="38" t="s">
        <v>7047</v>
      </c>
      <c r="S303" s="30">
        <v>45931.0</v>
      </c>
      <c r="T303" s="30">
        <v>46022.0</v>
      </c>
      <c r="U303" s="36">
        <v>293.99</v>
      </c>
      <c r="V303" s="36">
        <v>416.68</v>
      </c>
      <c r="W303" s="38" t="s">
        <v>7047</v>
      </c>
      <c r="X303" s="30">
        <v>46023.0</v>
      </c>
      <c r="Y303" s="30">
        <v>46112.0</v>
      </c>
      <c r="Z303" s="36">
        <v>0.0</v>
      </c>
      <c r="AA303" s="36">
        <v>0.0</v>
      </c>
      <c r="AB303" s="35" t="s">
        <v>7045</v>
      </c>
      <c r="AC303" s="30">
        <v>46113.0</v>
      </c>
      <c r="AD303" s="30">
        <v>46203.0</v>
      </c>
      <c r="AE303" s="36">
        <v>258.0</v>
      </c>
      <c r="AF303" s="36">
        <v>0.0</v>
      </c>
      <c r="AG303" s="35" t="s">
        <v>7047</v>
      </c>
      <c r="AH303" s="30">
        <v>46204.0</v>
      </c>
      <c r="AI303" s="30">
        <v>46295.0</v>
      </c>
      <c r="AJ303" s="36">
        <v>0.0</v>
      </c>
      <c r="AK303" s="36">
        <v>0.0</v>
      </c>
      <c r="AL303" s="35" t="s">
        <v>7045</v>
      </c>
      <c r="AM303" s="30">
        <v>46296.0</v>
      </c>
      <c r="AN303" s="30">
        <v>46387.0</v>
      </c>
      <c r="AO303" s="36">
        <v>0.0</v>
      </c>
      <c r="AP303" s="36">
        <v>0.0</v>
      </c>
      <c r="AQ303" s="35" t="s">
        <v>7045</v>
      </c>
      <c r="AR303" s="30">
        <v>46388.0</v>
      </c>
      <c r="AS303" s="30">
        <v>46477.0</v>
      </c>
      <c r="AT303" s="36">
        <v>0.0</v>
      </c>
      <c r="AU303" s="36">
        <v>0.0</v>
      </c>
      <c r="AV303" s="35" t="s">
        <v>7045</v>
      </c>
      <c r="AW303" s="30">
        <v>46478.0</v>
      </c>
      <c r="AX303" s="30">
        <v>46568.0</v>
      </c>
      <c r="AY303" s="36">
        <v>0.0</v>
      </c>
      <c r="AZ303" s="36">
        <v>0.0</v>
      </c>
      <c r="BA303" s="35" t="s">
        <v>7045</v>
      </c>
      <c r="BB303" s="30">
        <v>46569.0</v>
      </c>
      <c r="BC303" s="30">
        <v>46660.0</v>
      </c>
      <c r="BD303" s="36">
        <v>0.0</v>
      </c>
      <c r="BE303" s="36">
        <v>0.0</v>
      </c>
      <c r="BF303" s="35" t="s">
        <v>7045</v>
      </c>
      <c r="BG303" s="30">
        <v>46661.0</v>
      </c>
      <c r="BH303" s="30">
        <v>46752.0</v>
      </c>
      <c r="BI303" s="36">
        <v>0.0</v>
      </c>
      <c r="BJ303" s="36">
        <v>0.0</v>
      </c>
      <c r="BK303" s="35" t="s">
        <v>7045</v>
      </c>
      <c r="BL303" s="30">
        <v>46753.0</v>
      </c>
      <c r="BM303" s="30">
        <v>46843.0</v>
      </c>
      <c r="BN303" s="36">
        <v>0.0</v>
      </c>
      <c r="BO303" s="36">
        <v>0.0</v>
      </c>
      <c r="BP303" s="35" t="s">
        <v>7045</v>
      </c>
      <c r="BQ303" s="30">
        <v>46844.0</v>
      </c>
      <c r="BR303" s="30">
        <v>46934.0</v>
      </c>
      <c r="BS303" s="36">
        <v>0.0</v>
      </c>
      <c r="BT303" s="36">
        <v>0.0</v>
      </c>
      <c r="BU303" s="35" t="s">
        <v>7045</v>
      </c>
      <c r="BV303" s="30">
        <v>46935.0</v>
      </c>
      <c r="BW303" s="30">
        <v>47026.0</v>
      </c>
      <c r="BX303" s="36">
        <v>0.0</v>
      </c>
      <c r="BY303" s="36">
        <v>0.0</v>
      </c>
      <c r="BZ303" s="35" t="s">
        <v>7045</v>
      </c>
      <c r="CA303" s="30">
        <v>47027.0</v>
      </c>
      <c r="CB303" s="30">
        <v>47118.0</v>
      </c>
      <c r="CC303" s="36">
        <v>0.0</v>
      </c>
      <c r="CD303" s="36">
        <v>0.0</v>
      </c>
      <c r="CE303" s="35" t="s">
        <v>7045</v>
      </c>
      <c r="CF303" s="30">
        <v>47119.0</v>
      </c>
      <c r="CG303" s="30">
        <v>47208.0</v>
      </c>
      <c r="CH303" s="36">
        <v>0.0</v>
      </c>
      <c r="CI303" s="36">
        <v>0.0</v>
      </c>
      <c r="CJ303" s="35" t="s">
        <v>7045</v>
      </c>
      <c r="CK303" s="30">
        <v>47209.0</v>
      </c>
      <c r="CL303" s="30">
        <v>47299.0</v>
      </c>
      <c r="CM303" s="36">
        <v>0.0</v>
      </c>
      <c r="CN303" s="36">
        <v>0.0</v>
      </c>
      <c r="CO303" s="35" t="s">
        <v>7045</v>
      </c>
      <c r="CP303" s="30">
        <v>47300.0</v>
      </c>
      <c r="CQ303" s="30">
        <v>47391.0</v>
      </c>
      <c r="CR303" s="36">
        <v>0.0</v>
      </c>
      <c r="CS303" s="36">
        <v>0.0</v>
      </c>
      <c r="CT303" s="35" t="s">
        <v>7045</v>
      </c>
      <c r="CU303" s="30">
        <v>47392.0</v>
      </c>
      <c r="CV303" s="30">
        <v>47483.0</v>
      </c>
      <c r="CW303" s="36">
        <v>0.0</v>
      </c>
      <c r="CX303" s="36">
        <v>0.0</v>
      </c>
      <c r="CY303" s="35" t="s">
        <v>7045</v>
      </c>
      <c r="CZ303" s="30">
        <v>47484.0</v>
      </c>
      <c r="DA303" s="30">
        <v>47573.0</v>
      </c>
      <c r="DB303" s="36">
        <v>0.0</v>
      </c>
      <c r="DC303" s="36">
        <v>0.0</v>
      </c>
      <c r="DD303" s="35" t="s">
        <v>7045</v>
      </c>
      <c r="DE303" s="30">
        <v>47574.0</v>
      </c>
      <c r="DF303" s="30">
        <v>47664.0</v>
      </c>
      <c r="DG303" s="36">
        <v>0.0</v>
      </c>
      <c r="DH303" s="36">
        <v>0.0</v>
      </c>
      <c r="DI303" s="35" t="s">
        <v>7045</v>
      </c>
      <c r="DJ303" s="30">
        <v>47665.0</v>
      </c>
      <c r="DK303" s="30">
        <v>47756.0</v>
      </c>
      <c r="DL303" s="36">
        <v>0.0</v>
      </c>
      <c r="DM303" s="36">
        <v>0.0</v>
      </c>
      <c r="DN303" s="35" t="s">
        <v>7045</v>
      </c>
      <c r="DO303" s="30">
        <v>47757.0</v>
      </c>
      <c r="DP303" s="30">
        <v>47848.0</v>
      </c>
      <c r="DQ303" s="36">
        <v>0.0</v>
      </c>
      <c r="DR303" s="36">
        <v>0.0</v>
      </c>
      <c r="DS303" s="35" t="s">
        <v>7045</v>
      </c>
    </row>
    <row r="304" ht="14.25" customHeight="1">
      <c r="A304" s="28" t="s">
        <v>3730</v>
      </c>
      <c r="B304" s="29" t="s">
        <v>3731</v>
      </c>
      <c r="C304" s="29" t="s">
        <v>7041</v>
      </c>
      <c r="D304" s="30">
        <v>45658.0</v>
      </c>
      <c r="E304" s="30">
        <v>45747.0</v>
      </c>
      <c r="F304" s="39">
        <v>15.71</v>
      </c>
      <c r="G304" s="39">
        <v>0.0</v>
      </c>
      <c r="H304" s="38" t="s">
        <v>7047</v>
      </c>
      <c r="I304" s="30">
        <v>45748.0</v>
      </c>
      <c r="J304" s="30">
        <v>45838.0</v>
      </c>
      <c r="K304" s="39">
        <v>30.23</v>
      </c>
      <c r="L304" s="39">
        <v>0.0</v>
      </c>
      <c r="M304" s="38" t="s">
        <v>7047</v>
      </c>
      <c r="N304" s="30">
        <v>45839.0</v>
      </c>
      <c r="O304" s="30">
        <v>45930.0</v>
      </c>
      <c r="P304" s="39">
        <v>204.39</v>
      </c>
      <c r="Q304" s="39">
        <v>1058.82</v>
      </c>
      <c r="R304" s="38" t="s">
        <v>7047</v>
      </c>
      <c r="S304" s="30">
        <v>45931.0</v>
      </c>
      <c r="T304" s="30">
        <v>46022.0</v>
      </c>
      <c r="U304" s="39">
        <v>455.61</v>
      </c>
      <c r="V304" s="39">
        <v>1500.0</v>
      </c>
      <c r="W304" s="38" t="s">
        <v>7047</v>
      </c>
      <c r="X304" s="30">
        <v>46023.0</v>
      </c>
      <c r="Y304" s="30">
        <v>46112.0</v>
      </c>
      <c r="Z304" s="39">
        <v>2.94</v>
      </c>
      <c r="AA304" s="39">
        <v>0.0</v>
      </c>
      <c r="AB304" s="38" t="s">
        <v>7047</v>
      </c>
      <c r="AC304" s="30">
        <v>46113.0</v>
      </c>
      <c r="AD304" s="30">
        <v>46203.0</v>
      </c>
      <c r="AE304" s="39">
        <v>620.25</v>
      </c>
      <c r="AF304" s="39">
        <v>0.0</v>
      </c>
      <c r="AG304" s="38" t="s">
        <v>7047</v>
      </c>
      <c r="AH304" s="30">
        <v>46204.0</v>
      </c>
      <c r="AI304" s="30">
        <v>46295.0</v>
      </c>
      <c r="AJ304" s="39">
        <v>90.0</v>
      </c>
      <c r="AK304" s="39">
        <v>0.0</v>
      </c>
      <c r="AL304" s="35" t="s">
        <v>7047</v>
      </c>
      <c r="AM304" s="30">
        <v>46296.0</v>
      </c>
      <c r="AN304" s="30">
        <v>46387.0</v>
      </c>
      <c r="AO304" s="39">
        <v>20.0</v>
      </c>
      <c r="AP304" s="39">
        <v>0.0</v>
      </c>
      <c r="AQ304" s="38" t="s">
        <v>7047</v>
      </c>
      <c r="AR304" s="30">
        <v>46388.0</v>
      </c>
      <c r="AS304" s="30">
        <v>46477.0</v>
      </c>
      <c r="AT304" s="39">
        <v>0.0</v>
      </c>
      <c r="AU304" s="39">
        <v>0.0</v>
      </c>
      <c r="AV304" s="35" t="s">
        <v>7045</v>
      </c>
      <c r="AW304" s="30">
        <v>46478.0</v>
      </c>
      <c r="AX304" s="30">
        <v>46568.0</v>
      </c>
      <c r="AY304" s="39">
        <v>0.0</v>
      </c>
      <c r="AZ304" s="39">
        <v>0.0</v>
      </c>
      <c r="BA304" s="35" t="s">
        <v>7045</v>
      </c>
      <c r="BB304" s="30">
        <v>46569.0</v>
      </c>
      <c r="BC304" s="30">
        <v>46660.0</v>
      </c>
      <c r="BD304" s="39">
        <v>0.0</v>
      </c>
      <c r="BE304" s="39">
        <v>0.0</v>
      </c>
      <c r="BF304" s="35" t="s">
        <v>7045</v>
      </c>
      <c r="BG304" s="30">
        <v>46661.0</v>
      </c>
      <c r="BH304" s="30">
        <v>46752.0</v>
      </c>
      <c r="BI304" s="39">
        <v>0.0</v>
      </c>
      <c r="BJ304" s="39">
        <v>0.0</v>
      </c>
      <c r="BK304" s="35" t="s">
        <v>7045</v>
      </c>
      <c r="BL304" s="30">
        <v>46753.0</v>
      </c>
      <c r="BM304" s="30">
        <v>46843.0</v>
      </c>
      <c r="BN304" s="39">
        <v>0.0</v>
      </c>
      <c r="BO304" s="39">
        <v>0.0</v>
      </c>
      <c r="BP304" s="35" t="s">
        <v>7045</v>
      </c>
      <c r="BQ304" s="30">
        <v>46844.0</v>
      </c>
      <c r="BR304" s="30">
        <v>46934.0</v>
      </c>
      <c r="BS304" s="39">
        <v>0.0</v>
      </c>
      <c r="BT304" s="39">
        <v>0.0</v>
      </c>
      <c r="BU304" s="35" t="s">
        <v>7045</v>
      </c>
      <c r="BV304" s="30">
        <v>46935.0</v>
      </c>
      <c r="BW304" s="30">
        <v>47026.0</v>
      </c>
      <c r="BX304" s="39">
        <v>0.0</v>
      </c>
      <c r="BY304" s="39">
        <v>0.0</v>
      </c>
      <c r="BZ304" s="35" t="s">
        <v>7045</v>
      </c>
      <c r="CA304" s="30">
        <v>47027.0</v>
      </c>
      <c r="CB304" s="30">
        <v>47118.0</v>
      </c>
      <c r="CC304" s="39">
        <v>0.0</v>
      </c>
      <c r="CD304" s="39">
        <v>0.0</v>
      </c>
      <c r="CE304" s="35" t="s">
        <v>7045</v>
      </c>
      <c r="CF304" s="30">
        <v>47119.0</v>
      </c>
      <c r="CG304" s="30">
        <v>47208.0</v>
      </c>
      <c r="CH304" s="39">
        <v>0.0</v>
      </c>
      <c r="CI304" s="39">
        <v>0.0</v>
      </c>
      <c r="CJ304" s="35" t="s">
        <v>7045</v>
      </c>
      <c r="CK304" s="30">
        <v>47209.0</v>
      </c>
      <c r="CL304" s="30">
        <v>47299.0</v>
      </c>
      <c r="CM304" s="39">
        <v>0.0</v>
      </c>
      <c r="CN304" s="39">
        <v>0.0</v>
      </c>
      <c r="CO304" s="35" t="s">
        <v>7045</v>
      </c>
      <c r="CP304" s="30">
        <v>47300.0</v>
      </c>
      <c r="CQ304" s="30">
        <v>47391.0</v>
      </c>
      <c r="CR304" s="39">
        <v>0.0</v>
      </c>
      <c r="CS304" s="39">
        <v>0.0</v>
      </c>
      <c r="CT304" s="35" t="s">
        <v>7045</v>
      </c>
      <c r="CU304" s="30">
        <v>47392.0</v>
      </c>
      <c r="CV304" s="30">
        <v>47483.0</v>
      </c>
      <c r="CW304" s="39">
        <v>0.0</v>
      </c>
      <c r="CX304" s="39">
        <v>0.0</v>
      </c>
      <c r="CY304" s="35" t="s">
        <v>7045</v>
      </c>
      <c r="CZ304" s="30">
        <v>47484.0</v>
      </c>
      <c r="DA304" s="30">
        <v>47573.0</v>
      </c>
      <c r="DB304" s="39">
        <v>0.0</v>
      </c>
      <c r="DC304" s="39">
        <v>0.0</v>
      </c>
      <c r="DD304" s="35" t="s">
        <v>7045</v>
      </c>
      <c r="DE304" s="30">
        <v>47574.0</v>
      </c>
      <c r="DF304" s="30">
        <v>47664.0</v>
      </c>
      <c r="DG304" s="39">
        <v>0.0</v>
      </c>
      <c r="DH304" s="39">
        <v>0.0</v>
      </c>
      <c r="DI304" s="35" t="s">
        <v>7045</v>
      </c>
      <c r="DJ304" s="30">
        <v>47665.0</v>
      </c>
      <c r="DK304" s="30">
        <v>47756.0</v>
      </c>
      <c r="DL304" s="39">
        <v>0.0</v>
      </c>
      <c r="DM304" s="39">
        <v>0.0</v>
      </c>
      <c r="DN304" s="35" t="s">
        <v>7045</v>
      </c>
      <c r="DO304" s="30">
        <v>47757.0</v>
      </c>
      <c r="DP304" s="30">
        <v>47848.0</v>
      </c>
      <c r="DQ304" s="39">
        <v>0.0</v>
      </c>
      <c r="DR304" s="39">
        <v>0.0</v>
      </c>
      <c r="DS304" s="35" t="s">
        <v>7045</v>
      </c>
    </row>
    <row r="305" ht="14.25" customHeight="1">
      <c r="A305" s="28" t="s">
        <v>3733</v>
      </c>
      <c r="B305" s="29" t="s">
        <v>3734</v>
      </c>
      <c r="C305" s="29" t="s">
        <v>7041</v>
      </c>
      <c r="D305" s="30">
        <v>45658.0</v>
      </c>
      <c r="E305" s="30">
        <v>45747.0</v>
      </c>
      <c r="F305" s="39">
        <v>30.0</v>
      </c>
      <c r="G305" s="39">
        <v>0.0</v>
      </c>
      <c r="H305" s="38" t="s">
        <v>7047</v>
      </c>
      <c r="I305" s="30">
        <v>45748.0</v>
      </c>
      <c r="J305" s="30">
        <v>45838.0</v>
      </c>
      <c r="K305" s="39">
        <v>45.0</v>
      </c>
      <c r="L305" s="39">
        <v>176.67</v>
      </c>
      <c r="M305" s="38" t="s">
        <v>7047</v>
      </c>
      <c r="N305" s="30">
        <v>45839.0</v>
      </c>
      <c r="O305" s="30">
        <v>45930.0</v>
      </c>
      <c r="P305" s="39">
        <v>45.55</v>
      </c>
      <c r="Q305" s="39">
        <v>265.0</v>
      </c>
      <c r="R305" s="38" t="s">
        <v>7047</v>
      </c>
      <c r="S305" s="30">
        <v>45931.0</v>
      </c>
      <c r="T305" s="30">
        <v>46022.0</v>
      </c>
      <c r="U305" s="39">
        <v>49.97</v>
      </c>
      <c r="V305" s="39">
        <v>265.0</v>
      </c>
      <c r="W305" s="38" t="s">
        <v>7047</v>
      </c>
      <c r="X305" s="30">
        <v>46023.0</v>
      </c>
      <c r="Y305" s="30">
        <v>46112.0</v>
      </c>
      <c r="Z305" s="39">
        <v>0.0</v>
      </c>
      <c r="AA305" s="39">
        <v>0.0</v>
      </c>
      <c r="AB305" s="35" t="s">
        <v>7045</v>
      </c>
      <c r="AC305" s="30">
        <v>46113.0</v>
      </c>
      <c r="AD305" s="30">
        <v>46203.0</v>
      </c>
      <c r="AE305" s="39">
        <v>14.43</v>
      </c>
      <c r="AF305" s="39">
        <v>0.0</v>
      </c>
      <c r="AG305" s="35" t="s">
        <v>7047</v>
      </c>
      <c r="AH305" s="30">
        <v>46204.0</v>
      </c>
      <c r="AI305" s="30">
        <v>46295.0</v>
      </c>
      <c r="AJ305" s="39">
        <v>0.0</v>
      </c>
      <c r="AK305" s="39">
        <v>0.0</v>
      </c>
      <c r="AL305" s="35" t="s">
        <v>7045</v>
      </c>
      <c r="AM305" s="30">
        <v>46296.0</v>
      </c>
      <c r="AN305" s="30">
        <v>46387.0</v>
      </c>
      <c r="AO305" s="39">
        <v>0.0</v>
      </c>
      <c r="AP305" s="39">
        <v>0.0</v>
      </c>
      <c r="AQ305" s="35" t="s">
        <v>7045</v>
      </c>
      <c r="AR305" s="30">
        <v>46388.0</v>
      </c>
      <c r="AS305" s="30">
        <v>46477.0</v>
      </c>
      <c r="AT305" s="39">
        <v>0.0</v>
      </c>
      <c r="AU305" s="39">
        <v>0.0</v>
      </c>
      <c r="AV305" s="35" t="s">
        <v>7045</v>
      </c>
      <c r="AW305" s="30">
        <v>46478.0</v>
      </c>
      <c r="AX305" s="30">
        <v>46568.0</v>
      </c>
      <c r="AY305" s="39">
        <v>0.0</v>
      </c>
      <c r="AZ305" s="39">
        <v>0.0</v>
      </c>
      <c r="BA305" s="35" t="s">
        <v>7045</v>
      </c>
      <c r="BB305" s="30">
        <v>46569.0</v>
      </c>
      <c r="BC305" s="30">
        <v>46660.0</v>
      </c>
      <c r="BD305" s="39">
        <v>0.0</v>
      </c>
      <c r="BE305" s="39">
        <v>0.0</v>
      </c>
      <c r="BF305" s="35" t="s">
        <v>7045</v>
      </c>
      <c r="BG305" s="30">
        <v>46661.0</v>
      </c>
      <c r="BH305" s="30">
        <v>46752.0</v>
      </c>
      <c r="BI305" s="39">
        <v>0.0</v>
      </c>
      <c r="BJ305" s="39">
        <v>0.0</v>
      </c>
      <c r="BK305" s="35" t="s">
        <v>7045</v>
      </c>
      <c r="BL305" s="30">
        <v>46753.0</v>
      </c>
      <c r="BM305" s="30">
        <v>46843.0</v>
      </c>
      <c r="BN305" s="39">
        <v>0.0</v>
      </c>
      <c r="BO305" s="39">
        <v>0.0</v>
      </c>
      <c r="BP305" s="35" t="s">
        <v>7045</v>
      </c>
      <c r="BQ305" s="30">
        <v>46844.0</v>
      </c>
      <c r="BR305" s="30">
        <v>46934.0</v>
      </c>
      <c r="BS305" s="39">
        <v>0.0</v>
      </c>
      <c r="BT305" s="39">
        <v>0.0</v>
      </c>
      <c r="BU305" s="35" t="s">
        <v>7045</v>
      </c>
      <c r="BV305" s="30">
        <v>46935.0</v>
      </c>
      <c r="BW305" s="30">
        <v>47026.0</v>
      </c>
      <c r="BX305" s="39">
        <v>0.0</v>
      </c>
      <c r="BY305" s="39">
        <v>0.0</v>
      </c>
      <c r="BZ305" s="35" t="s">
        <v>7045</v>
      </c>
      <c r="CA305" s="30">
        <v>47027.0</v>
      </c>
      <c r="CB305" s="30">
        <v>47118.0</v>
      </c>
      <c r="CC305" s="39">
        <v>0.0</v>
      </c>
      <c r="CD305" s="39">
        <v>0.0</v>
      </c>
      <c r="CE305" s="35" t="s">
        <v>7045</v>
      </c>
      <c r="CF305" s="30">
        <v>47119.0</v>
      </c>
      <c r="CG305" s="30">
        <v>47208.0</v>
      </c>
      <c r="CH305" s="39">
        <v>0.0</v>
      </c>
      <c r="CI305" s="39">
        <v>0.0</v>
      </c>
      <c r="CJ305" s="35" t="s">
        <v>7045</v>
      </c>
      <c r="CK305" s="30">
        <v>47209.0</v>
      </c>
      <c r="CL305" s="30">
        <v>47299.0</v>
      </c>
      <c r="CM305" s="39">
        <v>0.0</v>
      </c>
      <c r="CN305" s="39">
        <v>0.0</v>
      </c>
      <c r="CO305" s="35" t="s">
        <v>7045</v>
      </c>
      <c r="CP305" s="30">
        <v>47300.0</v>
      </c>
      <c r="CQ305" s="30">
        <v>47391.0</v>
      </c>
      <c r="CR305" s="39">
        <v>0.0</v>
      </c>
      <c r="CS305" s="39">
        <v>0.0</v>
      </c>
      <c r="CT305" s="35" t="s">
        <v>7045</v>
      </c>
      <c r="CU305" s="30">
        <v>47392.0</v>
      </c>
      <c r="CV305" s="30">
        <v>47483.0</v>
      </c>
      <c r="CW305" s="39">
        <v>0.0</v>
      </c>
      <c r="CX305" s="39">
        <v>0.0</v>
      </c>
      <c r="CY305" s="35" t="s">
        <v>7045</v>
      </c>
      <c r="CZ305" s="30">
        <v>47484.0</v>
      </c>
      <c r="DA305" s="30">
        <v>47573.0</v>
      </c>
      <c r="DB305" s="39">
        <v>0.0</v>
      </c>
      <c r="DC305" s="39">
        <v>0.0</v>
      </c>
      <c r="DD305" s="35" t="s">
        <v>7045</v>
      </c>
      <c r="DE305" s="30">
        <v>47574.0</v>
      </c>
      <c r="DF305" s="30">
        <v>47664.0</v>
      </c>
      <c r="DG305" s="39">
        <v>0.0</v>
      </c>
      <c r="DH305" s="39">
        <v>0.0</v>
      </c>
      <c r="DI305" s="35" t="s">
        <v>7045</v>
      </c>
      <c r="DJ305" s="30">
        <v>47665.0</v>
      </c>
      <c r="DK305" s="30">
        <v>47756.0</v>
      </c>
      <c r="DL305" s="39">
        <v>0.0</v>
      </c>
      <c r="DM305" s="39">
        <v>0.0</v>
      </c>
      <c r="DN305" s="35" t="s">
        <v>7045</v>
      </c>
      <c r="DO305" s="30">
        <v>47757.0</v>
      </c>
      <c r="DP305" s="30">
        <v>47848.0</v>
      </c>
      <c r="DQ305" s="39">
        <v>0.0</v>
      </c>
      <c r="DR305" s="39">
        <v>0.0</v>
      </c>
      <c r="DS305" s="35" t="s">
        <v>7045</v>
      </c>
    </row>
    <row r="306" ht="14.25" customHeight="1">
      <c r="A306" s="28" t="s">
        <v>3746</v>
      </c>
      <c r="B306" s="29" t="s">
        <v>3747</v>
      </c>
      <c r="C306" s="29" t="s">
        <v>7041</v>
      </c>
      <c r="D306" s="30">
        <v>45658.0</v>
      </c>
      <c r="E306" s="30">
        <v>45747.0</v>
      </c>
      <c r="F306" s="39">
        <v>9.71</v>
      </c>
      <c r="G306" s="39">
        <v>0.0</v>
      </c>
      <c r="H306" s="38" t="s">
        <v>7047</v>
      </c>
      <c r="I306" s="30">
        <v>45748.0</v>
      </c>
      <c r="J306" s="30">
        <v>45838.0</v>
      </c>
      <c r="K306" s="39">
        <v>7.85</v>
      </c>
      <c r="L306" s="39">
        <v>0.0</v>
      </c>
      <c r="M306" s="38" t="s">
        <v>7047</v>
      </c>
      <c r="N306" s="30">
        <v>45839.0</v>
      </c>
      <c r="O306" s="30">
        <v>45930.0</v>
      </c>
      <c r="P306" s="39">
        <v>129.21</v>
      </c>
      <c r="Q306" s="39">
        <v>86.31</v>
      </c>
      <c r="R306" s="38" t="s">
        <v>7047</v>
      </c>
      <c r="S306" s="30">
        <v>45931.0</v>
      </c>
      <c r="T306" s="30">
        <v>46022.0</v>
      </c>
      <c r="U306" s="39">
        <v>90.0</v>
      </c>
      <c r="V306" s="39">
        <v>86.31</v>
      </c>
      <c r="W306" s="38" t="s">
        <v>7047</v>
      </c>
      <c r="X306" s="30">
        <v>46023.0</v>
      </c>
      <c r="Y306" s="30">
        <v>46112.0</v>
      </c>
      <c r="Z306" s="39">
        <v>0.0</v>
      </c>
      <c r="AA306" s="39">
        <v>0.0</v>
      </c>
      <c r="AB306" s="35" t="s">
        <v>7045</v>
      </c>
      <c r="AC306" s="30">
        <v>46113.0</v>
      </c>
      <c r="AD306" s="30">
        <v>46203.0</v>
      </c>
      <c r="AE306" s="39">
        <v>0.0</v>
      </c>
      <c r="AF306" s="39">
        <v>0.0</v>
      </c>
      <c r="AG306" s="35" t="s">
        <v>7045</v>
      </c>
      <c r="AH306" s="30">
        <v>46204.0</v>
      </c>
      <c r="AI306" s="30">
        <v>46295.0</v>
      </c>
      <c r="AJ306" s="39">
        <v>0.0</v>
      </c>
      <c r="AK306" s="39">
        <v>0.0</v>
      </c>
      <c r="AL306" s="35" t="s">
        <v>7045</v>
      </c>
      <c r="AM306" s="30">
        <v>46296.0</v>
      </c>
      <c r="AN306" s="30">
        <v>46387.0</v>
      </c>
      <c r="AO306" s="39">
        <v>0.0</v>
      </c>
      <c r="AP306" s="39">
        <v>0.0</v>
      </c>
      <c r="AQ306" s="35" t="s">
        <v>7045</v>
      </c>
      <c r="AR306" s="30">
        <v>46388.0</v>
      </c>
      <c r="AS306" s="30">
        <v>46477.0</v>
      </c>
      <c r="AT306" s="39">
        <v>0.0</v>
      </c>
      <c r="AU306" s="39">
        <v>0.0</v>
      </c>
      <c r="AV306" s="35" t="s">
        <v>7045</v>
      </c>
      <c r="AW306" s="30">
        <v>46478.0</v>
      </c>
      <c r="AX306" s="30">
        <v>46568.0</v>
      </c>
      <c r="AY306" s="39">
        <v>0.0</v>
      </c>
      <c r="AZ306" s="39">
        <v>0.0</v>
      </c>
      <c r="BA306" s="35" t="s">
        <v>7045</v>
      </c>
      <c r="BB306" s="30">
        <v>46569.0</v>
      </c>
      <c r="BC306" s="30">
        <v>46660.0</v>
      </c>
      <c r="BD306" s="39">
        <v>0.0</v>
      </c>
      <c r="BE306" s="39">
        <v>0.0</v>
      </c>
      <c r="BF306" s="35" t="s">
        <v>7045</v>
      </c>
      <c r="BG306" s="30">
        <v>46661.0</v>
      </c>
      <c r="BH306" s="30">
        <v>46752.0</v>
      </c>
      <c r="BI306" s="39">
        <v>0.0</v>
      </c>
      <c r="BJ306" s="39">
        <v>0.0</v>
      </c>
      <c r="BK306" s="35" t="s">
        <v>7045</v>
      </c>
      <c r="BL306" s="30">
        <v>46753.0</v>
      </c>
      <c r="BM306" s="30">
        <v>46843.0</v>
      </c>
      <c r="BN306" s="39">
        <v>0.0</v>
      </c>
      <c r="BO306" s="39">
        <v>0.0</v>
      </c>
      <c r="BP306" s="35" t="s">
        <v>7045</v>
      </c>
      <c r="BQ306" s="30">
        <v>46844.0</v>
      </c>
      <c r="BR306" s="30">
        <v>46934.0</v>
      </c>
      <c r="BS306" s="39">
        <v>0.0</v>
      </c>
      <c r="BT306" s="39">
        <v>0.0</v>
      </c>
      <c r="BU306" s="35" t="s">
        <v>7045</v>
      </c>
      <c r="BV306" s="30">
        <v>46935.0</v>
      </c>
      <c r="BW306" s="30">
        <v>47026.0</v>
      </c>
      <c r="BX306" s="39">
        <v>0.0</v>
      </c>
      <c r="BY306" s="39">
        <v>0.0</v>
      </c>
      <c r="BZ306" s="35" t="s">
        <v>7045</v>
      </c>
      <c r="CA306" s="30">
        <v>47027.0</v>
      </c>
      <c r="CB306" s="30">
        <v>47118.0</v>
      </c>
      <c r="CC306" s="39">
        <v>0.0</v>
      </c>
      <c r="CD306" s="39">
        <v>0.0</v>
      </c>
      <c r="CE306" s="35" t="s">
        <v>7045</v>
      </c>
      <c r="CF306" s="30">
        <v>47119.0</v>
      </c>
      <c r="CG306" s="30">
        <v>47208.0</v>
      </c>
      <c r="CH306" s="39">
        <v>0.0</v>
      </c>
      <c r="CI306" s="39">
        <v>0.0</v>
      </c>
      <c r="CJ306" s="35" t="s">
        <v>7045</v>
      </c>
      <c r="CK306" s="30">
        <v>47209.0</v>
      </c>
      <c r="CL306" s="30">
        <v>47299.0</v>
      </c>
      <c r="CM306" s="39">
        <v>0.0</v>
      </c>
      <c r="CN306" s="39">
        <v>0.0</v>
      </c>
      <c r="CO306" s="35" t="s">
        <v>7045</v>
      </c>
      <c r="CP306" s="30">
        <v>47300.0</v>
      </c>
      <c r="CQ306" s="30">
        <v>47391.0</v>
      </c>
      <c r="CR306" s="39">
        <v>0.0</v>
      </c>
      <c r="CS306" s="39">
        <v>0.0</v>
      </c>
      <c r="CT306" s="35" t="s">
        <v>7045</v>
      </c>
      <c r="CU306" s="30">
        <v>47392.0</v>
      </c>
      <c r="CV306" s="30">
        <v>47483.0</v>
      </c>
      <c r="CW306" s="39">
        <v>0.0</v>
      </c>
      <c r="CX306" s="39">
        <v>0.0</v>
      </c>
      <c r="CY306" s="35" t="s">
        <v>7045</v>
      </c>
      <c r="CZ306" s="30">
        <v>47484.0</v>
      </c>
      <c r="DA306" s="30">
        <v>47573.0</v>
      </c>
      <c r="DB306" s="39">
        <v>0.0</v>
      </c>
      <c r="DC306" s="39">
        <v>0.0</v>
      </c>
      <c r="DD306" s="35" t="s">
        <v>7045</v>
      </c>
      <c r="DE306" s="30">
        <v>47574.0</v>
      </c>
      <c r="DF306" s="30">
        <v>47664.0</v>
      </c>
      <c r="DG306" s="39">
        <v>0.0</v>
      </c>
      <c r="DH306" s="39">
        <v>0.0</v>
      </c>
      <c r="DI306" s="35" t="s">
        <v>7045</v>
      </c>
      <c r="DJ306" s="30">
        <v>47665.0</v>
      </c>
      <c r="DK306" s="30">
        <v>47756.0</v>
      </c>
      <c r="DL306" s="39">
        <v>0.0</v>
      </c>
      <c r="DM306" s="39">
        <v>0.0</v>
      </c>
      <c r="DN306" s="35" t="s">
        <v>7045</v>
      </c>
      <c r="DO306" s="30">
        <v>47757.0</v>
      </c>
      <c r="DP306" s="30">
        <v>47848.0</v>
      </c>
      <c r="DQ306" s="39">
        <v>0.0</v>
      </c>
      <c r="DR306" s="39">
        <v>0.0</v>
      </c>
      <c r="DS306" s="35" t="s">
        <v>7045</v>
      </c>
    </row>
    <row r="307" ht="14.25" customHeight="1">
      <c r="A307" s="28" t="s">
        <v>3765</v>
      </c>
      <c r="B307" s="29" t="s">
        <v>3766</v>
      </c>
      <c r="C307" s="29" t="s">
        <v>7041</v>
      </c>
      <c r="D307" s="30">
        <v>45658.0</v>
      </c>
      <c r="E307" s="30">
        <v>45747.0</v>
      </c>
      <c r="F307" s="36">
        <v>17.25</v>
      </c>
      <c r="G307" s="36">
        <v>0.0</v>
      </c>
      <c r="H307" s="38" t="s">
        <v>7047</v>
      </c>
      <c r="I307" s="30">
        <v>45748.0</v>
      </c>
      <c r="J307" s="30">
        <v>45838.0</v>
      </c>
      <c r="K307" s="36">
        <v>27.6</v>
      </c>
      <c r="L307" s="36">
        <v>0.0</v>
      </c>
      <c r="M307" s="38" t="s">
        <v>7047</v>
      </c>
      <c r="N307" s="30">
        <v>45839.0</v>
      </c>
      <c r="O307" s="30">
        <v>45930.0</v>
      </c>
      <c r="P307" s="36">
        <v>218.46</v>
      </c>
      <c r="Q307" s="36">
        <v>0.0</v>
      </c>
      <c r="R307" s="35" t="s">
        <v>7047</v>
      </c>
      <c r="S307" s="30">
        <v>45931.0</v>
      </c>
      <c r="T307" s="30">
        <v>46022.0</v>
      </c>
      <c r="U307" s="36">
        <v>192.05</v>
      </c>
      <c r="V307" s="36">
        <v>0.0</v>
      </c>
      <c r="W307" s="38" t="s">
        <v>7047</v>
      </c>
      <c r="X307" s="30">
        <v>46023.0</v>
      </c>
      <c r="Y307" s="30">
        <v>46112.0</v>
      </c>
      <c r="Z307" s="36">
        <v>0.0</v>
      </c>
      <c r="AA307" s="36">
        <v>0.0</v>
      </c>
      <c r="AB307" s="35" t="s">
        <v>7045</v>
      </c>
      <c r="AC307" s="30">
        <v>46113.0</v>
      </c>
      <c r="AD307" s="30">
        <v>46203.0</v>
      </c>
      <c r="AE307" s="36">
        <v>0.0</v>
      </c>
      <c r="AF307" s="36">
        <v>0.0</v>
      </c>
      <c r="AG307" s="35" t="s">
        <v>7045</v>
      </c>
      <c r="AH307" s="30">
        <v>46204.0</v>
      </c>
      <c r="AI307" s="30">
        <v>46295.0</v>
      </c>
      <c r="AJ307" s="36">
        <v>0.0</v>
      </c>
      <c r="AK307" s="36">
        <v>0.0</v>
      </c>
      <c r="AL307" s="35" t="s">
        <v>7045</v>
      </c>
      <c r="AM307" s="30">
        <v>46296.0</v>
      </c>
      <c r="AN307" s="30">
        <v>46387.0</v>
      </c>
      <c r="AO307" s="36">
        <v>0.0</v>
      </c>
      <c r="AP307" s="36">
        <v>0.0</v>
      </c>
      <c r="AQ307" s="35" t="s">
        <v>7045</v>
      </c>
      <c r="AR307" s="30">
        <v>46388.0</v>
      </c>
      <c r="AS307" s="30">
        <v>46477.0</v>
      </c>
      <c r="AT307" s="36">
        <v>0.0</v>
      </c>
      <c r="AU307" s="36">
        <v>0.0</v>
      </c>
      <c r="AV307" s="35" t="s">
        <v>7045</v>
      </c>
      <c r="AW307" s="30">
        <v>46478.0</v>
      </c>
      <c r="AX307" s="30">
        <v>46568.0</v>
      </c>
      <c r="AY307" s="36">
        <v>0.0</v>
      </c>
      <c r="AZ307" s="36">
        <v>0.0</v>
      </c>
      <c r="BA307" s="35" t="s">
        <v>7045</v>
      </c>
      <c r="BB307" s="30">
        <v>46569.0</v>
      </c>
      <c r="BC307" s="30">
        <v>46660.0</v>
      </c>
      <c r="BD307" s="36">
        <v>0.0</v>
      </c>
      <c r="BE307" s="36">
        <v>0.0</v>
      </c>
      <c r="BF307" s="35" t="s">
        <v>7045</v>
      </c>
      <c r="BG307" s="30">
        <v>46661.0</v>
      </c>
      <c r="BH307" s="30">
        <v>46752.0</v>
      </c>
      <c r="BI307" s="36">
        <v>0.0</v>
      </c>
      <c r="BJ307" s="36">
        <v>0.0</v>
      </c>
      <c r="BK307" s="35" t="s">
        <v>7045</v>
      </c>
      <c r="BL307" s="30">
        <v>46753.0</v>
      </c>
      <c r="BM307" s="30">
        <v>46843.0</v>
      </c>
      <c r="BN307" s="36">
        <v>0.0</v>
      </c>
      <c r="BO307" s="36">
        <v>0.0</v>
      </c>
      <c r="BP307" s="35" t="s">
        <v>7045</v>
      </c>
      <c r="BQ307" s="30">
        <v>46844.0</v>
      </c>
      <c r="BR307" s="30">
        <v>46934.0</v>
      </c>
      <c r="BS307" s="36">
        <v>0.0</v>
      </c>
      <c r="BT307" s="36">
        <v>0.0</v>
      </c>
      <c r="BU307" s="35" t="s">
        <v>7045</v>
      </c>
      <c r="BV307" s="30">
        <v>46935.0</v>
      </c>
      <c r="BW307" s="30">
        <v>47026.0</v>
      </c>
      <c r="BX307" s="36">
        <v>0.0</v>
      </c>
      <c r="BY307" s="36">
        <v>0.0</v>
      </c>
      <c r="BZ307" s="35" t="s">
        <v>7045</v>
      </c>
      <c r="CA307" s="30">
        <v>47027.0</v>
      </c>
      <c r="CB307" s="30">
        <v>47118.0</v>
      </c>
      <c r="CC307" s="36">
        <v>0.0</v>
      </c>
      <c r="CD307" s="36">
        <v>0.0</v>
      </c>
      <c r="CE307" s="35" t="s">
        <v>7045</v>
      </c>
      <c r="CF307" s="30">
        <v>47119.0</v>
      </c>
      <c r="CG307" s="30">
        <v>47208.0</v>
      </c>
      <c r="CH307" s="36">
        <v>0.0</v>
      </c>
      <c r="CI307" s="36">
        <v>0.0</v>
      </c>
      <c r="CJ307" s="35" t="s">
        <v>7045</v>
      </c>
      <c r="CK307" s="30">
        <v>47209.0</v>
      </c>
      <c r="CL307" s="30">
        <v>47299.0</v>
      </c>
      <c r="CM307" s="36">
        <v>0.0</v>
      </c>
      <c r="CN307" s="36">
        <v>0.0</v>
      </c>
      <c r="CO307" s="35" t="s">
        <v>7045</v>
      </c>
      <c r="CP307" s="30">
        <v>47300.0</v>
      </c>
      <c r="CQ307" s="30">
        <v>47391.0</v>
      </c>
      <c r="CR307" s="36">
        <v>0.0</v>
      </c>
      <c r="CS307" s="36">
        <v>0.0</v>
      </c>
      <c r="CT307" s="35" t="s">
        <v>7045</v>
      </c>
      <c r="CU307" s="30">
        <v>47392.0</v>
      </c>
      <c r="CV307" s="30">
        <v>47483.0</v>
      </c>
      <c r="CW307" s="36">
        <v>0.0</v>
      </c>
      <c r="CX307" s="36">
        <v>0.0</v>
      </c>
      <c r="CY307" s="35" t="s">
        <v>7045</v>
      </c>
      <c r="CZ307" s="30">
        <v>47484.0</v>
      </c>
      <c r="DA307" s="30">
        <v>47573.0</v>
      </c>
      <c r="DB307" s="36">
        <v>0.0</v>
      </c>
      <c r="DC307" s="36">
        <v>0.0</v>
      </c>
      <c r="DD307" s="35" t="s">
        <v>7045</v>
      </c>
      <c r="DE307" s="30">
        <v>47574.0</v>
      </c>
      <c r="DF307" s="30">
        <v>47664.0</v>
      </c>
      <c r="DG307" s="36">
        <v>0.0</v>
      </c>
      <c r="DH307" s="36">
        <v>0.0</v>
      </c>
      <c r="DI307" s="35" t="s">
        <v>7045</v>
      </c>
      <c r="DJ307" s="30">
        <v>47665.0</v>
      </c>
      <c r="DK307" s="30">
        <v>47756.0</v>
      </c>
      <c r="DL307" s="36">
        <v>0.0</v>
      </c>
      <c r="DM307" s="36">
        <v>0.0</v>
      </c>
      <c r="DN307" s="35" t="s">
        <v>7045</v>
      </c>
      <c r="DO307" s="30">
        <v>47757.0</v>
      </c>
      <c r="DP307" s="30">
        <v>47848.0</v>
      </c>
      <c r="DQ307" s="36">
        <v>0.0</v>
      </c>
      <c r="DR307" s="36">
        <v>0.0</v>
      </c>
      <c r="DS307" s="35" t="s">
        <v>7045</v>
      </c>
    </row>
    <row r="308" ht="14.25" customHeight="1">
      <c r="A308" s="28" t="s">
        <v>3768</v>
      </c>
      <c r="B308" s="29" t="s">
        <v>3769</v>
      </c>
      <c r="C308" s="29" t="s">
        <v>7041</v>
      </c>
      <c r="D308" s="30">
        <v>45658.0</v>
      </c>
      <c r="E308" s="30">
        <v>45747.0</v>
      </c>
      <c r="F308" s="36">
        <v>0.99</v>
      </c>
      <c r="G308" s="36">
        <v>0.0</v>
      </c>
      <c r="H308" s="38" t="s">
        <v>7047</v>
      </c>
      <c r="I308" s="30">
        <v>45748.0</v>
      </c>
      <c r="J308" s="30">
        <v>45838.0</v>
      </c>
      <c r="K308" s="36">
        <v>55.63</v>
      </c>
      <c r="L308" s="36">
        <v>0.0</v>
      </c>
      <c r="M308" s="38" t="s">
        <v>7047</v>
      </c>
      <c r="N308" s="30">
        <v>45839.0</v>
      </c>
      <c r="O308" s="30">
        <v>45930.0</v>
      </c>
      <c r="P308" s="36">
        <v>190.04</v>
      </c>
      <c r="Q308" s="36">
        <v>0.0</v>
      </c>
      <c r="R308" s="38" t="s">
        <v>7047</v>
      </c>
      <c r="S308" s="30">
        <v>45931.0</v>
      </c>
      <c r="T308" s="30">
        <v>46022.0</v>
      </c>
      <c r="U308" s="36">
        <v>1596.59</v>
      </c>
      <c r="V308" s="36">
        <v>0.0</v>
      </c>
      <c r="W308" s="38" t="s">
        <v>7047</v>
      </c>
      <c r="X308" s="30">
        <v>46023.0</v>
      </c>
      <c r="Y308" s="30">
        <v>46112.0</v>
      </c>
      <c r="Z308" s="36">
        <v>1220.5</v>
      </c>
      <c r="AA308" s="36">
        <v>0.0</v>
      </c>
      <c r="AB308" s="38" t="s">
        <v>7047</v>
      </c>
      <c r="AC308" s="30">
        <v>46113.0</v>
      </c>
      <c r="AD308" s="30">
        <v>46203.0</v>
      </c>
      <c r="AE308" s="36">
        <v>2074.09</v>
      </c>
      <c r="AF308" s="36">
        <v>0.0</v>
      </c>
      <c r="AG308" s="38" t="s">
        <v>7047</v>
      </c>
      <c r="AH308" s="30">
        <v>46204.0</v>
      </c>
      <c r="AI308" s="30">
        <v>46295.0</v>
      </c>
      <c r="AJ308" s="36">
        <v>199.99</v>
      </c>
      <c r="AK308" s="36">
        <v>0.0</v>
      </c>
      <c r="AL308" s="38" t="s">
        <v>7047</v>
      </c>
      <c r="AM308" s="30">
        <v>46296.0</v>
      </c>
      <c r="AN308" s="30">
        <v>46387.0</v>
      </c>
      <c r="AO308" s="36">
        <v>359.99</v>
      </c>
      <c r="AP308" s="36">
        <v>0.0</v>
      </c>
      <c r="AQ308" s="38" t="s">
        <v>7047</v>
      </c>
      <c r="AR308" s="30">
        <v>46388.0</v>
      </c>
      <c r="AS308" s="30">
        <v>46477.0</v>
      </c>
      <c r="AT308" s="36">
        <v>0.0</v>
      </c>
      <c r="AU308" s="36">
        <v>0.0</v>
      </c>
      <c r="AV308" s="35" t="s">
        <v>7045</v>
      </c>
      <c r="AW308" s="30">
        <v>46478.0</v>
      </c>
      <c r="AX308" s="30">
        <v>46568.0</v>
      </c>
      <c r="AY308" s="36">
        <v>0.0</v>
      </c>
      <c r="AZ308" s="36">
        <v>0.0</v>
      </c>
      <c r="BA308" s="35" t="s">
        <v>7045</v>
      </c>
      <c r="BB308" s="30">
        <v>46569.0</v>
      </c>
      <c r="BC308" s="30">
        <v>46660.0</v>
      </c>
      <c r="BD308" s="36">
        <v>0.0</v>
      </c>
      <c r="BE308" s="36">
        <v>0.0</v>
      </c>
      <c r="BF308" s="35" t="s">
        <v>7045</v>
      </c>
      <c r="BG308" s="30">
        <v>46661.0</v>
      </c>
      <c r="BH308" s="30">
        <v>46752.0</v>
      </c>
      <c r="BI308" s="36">
        <v>0.0</v>
      </c>
      <c r="BJ308" s="36">
        <v>0.0</v>
      </c>
      <c r="BK308" s="35" t="s">
        <v>7045</v>
      </c>
      <c r="BL308" s="30">
        <v>46753.0</v>
      </c>
      <c r="BM308" s="30">
        <v>46843.0</v>
      </c>
      <c r="BN308" s="36">
        <v>0.0</v>
      </c>
      <c r="BO308" s="36">
        <v>0.0</v>
      </c>
      <c r="BP308" s="35" t="s">
        <v>7045</v>
      </c>
      <c r="BQ308" s="30">
        <v>46844.0</v>
      </c>
      <c r="BR308" s="30">
        <v>46934.0</v>
      </c>
      <c r="BS308" s="36">
        <v>0.0</v>
      </c>
      <c r="BT308" s="36">
        <v>0.0</v>
      </c>
      <c r="BU308" s="35" t="s">
        <v>7045</v>
      </c>
      <c r="BV308" s="30">
        <v>46935.0</v>
      </c>
      <c r="BW308" s="30">
        <v>47026.0</v>
      </c>
      <c r="BX308" s="36">
        <v>0.0</v>
      </c>
      <c r="BY308" s="36">
        <v>0.0</v>
      </c>
      <c r="BZ308" s="35" t="s">
        <v>7045</v>
      </c>
      <c r="CA308" s="30">
        <v>47027.0</v>
      </c>
      <c r="CB308" s="30">
        <v>47118.0</v>
      </c>
      <c r="CC308" s="36">
        <v>0.0</v>
      </c>
      <c r="CD308" s="36">
        <v>0.0</v>
      </c>
      <c r="CE308" s="35" t="s">
        <v>7045</v>
      </c>
      <c r="CF308" s="30">
        <v>47119.0</v>
      </c>
      <c r="CG308" s="30">
        <v>47208.0</v>
      </c>
      <c r="CH308" s="36">
        <v>0.0</v>
      </c>
      <c r="CI308" s="36">
        <v>0.0</v>
      </c>
      <c r="CJ308" s="35" t="s">
        <v>7045</v>
      </c>
      <c r="CK308" s="30">
        <v>47209.0</v>
      </c>
      <c r="CL308" s="30">
        <v>47299.0</v>
      </c>
      <c r="CM308" s="36">
        <v>0.0</v>
      </c>
      <c r="CN308" s="36">
        <v>0.0</v>
      </c>
      <c r="CO308" s="35" t="s">
        <v>7045</v>
      </c>
      <c r="CP308" s="30">
        <v>47300.0</v>
      </c>
      <c r="CQ308" s="30">
        <v>47391.0</v>
      </c>
      <c r="CR308" s="36">
        <v>0.0</v>
      </c>
      <c r="CS308" s="36">
        <v>0.0</v>
      </c>
      <c r="CT308" s="35" t="s">
        <v>7045</v>
      </c>
      <c r="CU308" s="30">
        <v>47392.0</v>
      </c>
      <c r="CV308" s="30">
        <v>47483.0</v>
      </c>
      <c r="CW308" s="36">
        <v>0.0</v>
      </c>
      <c r="CX308" s="36">
        <v>0.0</v>
      </c>
      <c r="CY308" s="35" t="s">
        <v>7045</v>
      </c>
      <c r="CZ308" s="30">
        <v>47484.0</v>
      </c>
      <c r="DA308" s="30">
        <v>47573.0</v>
      </c>
      <c r="DB308" s="36">
        <v>0.0</v>
      </c>
      <c r="DC308" s="36">
        <v>0.0</v>
      </c>
      <c r="DD308" s="35" t="s">
        <v>7045</v>
      </c>
      <c r="DE308" s="30">
        <v>47574.0</v>
      </c>
      <c r="DF308" s="30">
        <v>47664.0</v>
      </c>
      <c r="DG308" s="36">
        <v>0.0</v>
      </c>
      <c r="DH308" s="36">
        <v>0.0</v>
      </c>
      <c r="DI308" s="35" t="s">
        <v>7045</v>
      </c>
      <c r="DJ308" s="30">
        <v>47665.0</v>
      </c>
      <c r="DK308" s="30">
        <v>47756.0</v>
      </c>
      <c r="DL308" s="36">
        <v>0.0</v>
      </c>
      <c r="DM308" s="36">
        <v>0.0</v>
      </c>
      <c r="DN308" s="35" t="s">
        <v>7045</v>
      </c>
      <c r="DO308" s="30">
        <v>47757.0</v>
      </c>
      <c r="DP308" s="30">
        <v>47848.0</v>
      </c>
      <c r="DQ308" s="36">
        <v>0.0</v>
      </c>
      <c r="DR308" s="36">
        <v>0.0</v>
      </c>
      <c r="DS308" s="35" t="s">
        <v>7045</v>
      </c>
    </row>
    <row r="309" ht="14.25" customHeight="1">
      <c r="A309" s="28" t="s">
        <v>3890</v>
      </c>
      <c r="B309" s="29" t="s">
        <v>3891</v>
      </c>
      <c r="C309" s="29" t="s">
        <v>7041</v>
      </c>
      <c r="D309" s="30">
        <v>45658.0</v>
      </c>
      <c r="E309" s="30">
        <v>45747.0</v>
      </c>
      <c r="F309" s="39">
        <v>0.0</v>
      </c>
      <c r="G309" s="39">
        <v>0.0</v>
      </c>
      <c r="H309" s="35" t="s">
        <v>7045</v>
      </c>
      <c r="I309" s="30">
        <v>45748.0</v>
      </c>
      <c r="J309" s="30">
        <v>45838.0</v>
      </c>
      <c r="K309" s="39">
        <v>9.9</v>
      </c>
      <c r="L309" s="39">
        <v>0.0</v>
      </c>
      <c r="M309" s="38" t="s">
        <v>7047</v>
      </c>
      <c r="N309" s="30">
        <v>45839.0</v>
      </c>
      <c r="O309" s="30">
        <v>45930.0</v>
      </c>
      <c r="P309" s="39">
        <v>0.0</v>
      </c>
      <c r="Q309" s="39">
        <v>510.0</v>
      </c>
      <c r="R309" s="35" t="s">
        <v>7043</v>
      </c>
      <c r="S309" s="30">
        <v>45931.0</v>
      </c>
      <c r="T309" s="30">
        <v>46022.0</v>
      </c>
      <c r="U309" s="39">
        <v>0.0</v>
      </c>
      <c r="V309" s="39">
        <v>513.33</v>
      </c>
      <c r="W309" s="35" t="s">
        <v>7043</v>
      </c>
      <c r="X309" s="30">
        <v>46023.0</v>
      </c>
      <c r="Y309" s="30">
        <v>46112.0</v>
      </c>
      <c r="Z309" s="39">
        <v>0.0</v>
      </c>
      <c r="AA309" s="39">
        <v>0.0</v>
      </c>
      <c r="AB309" s="35" t="s">
        <v>7045</v>
      </c>
      <c r="AC309" s="30">
        <v>46113.0</v>
      </c>
      <c r="AD309" s="30">
        <v>46203.0</v>
      </c>
      <c r="AE309" s="39">
        <v>0.0</v>
      </c>
      <c r="AF309" s="39">
        <v>0.0</v>
      </c>
      <c r="AG309" s="35" t="s">
        <v>7045</v>
      </c>
      <c r="AH309" s="30">
        <v>46204.0</v>
      </c>
      <c r="AI309" s="30">
        <v>46295.0</v>
      </c>
      <c r="AJ309" s="39">
        <v>0.0</v>
      </c>
      <c r="AK309" s="39">
        <v>0.0</v>
      </c>
      <c r="AL309" s="35" t="s">
        <v>7045</v>
      </c>
      <c r="AM309" s="30">
        <v>46296.0</v>
      </c>
      <c r="AN309" s="30">
        <v>46387.0</v>
      </c>
      <c r="AO309" s="39">
        <v>0.0</v>
      </c>
      <c r="AP309" s="39">
        <v>0.0</v>
      </c>
      <c r="AQ309" s="35" t="s">
        <v>7045</v>
      </c>
      <c r="AR309" s="30">
        <v>46388.0</v>
      </c>
      <c r="AS309" s="30">
        <v>46477.0</v>
      </c>
      <c r="AT309" s="39">
        <v>0.0</v>
      </c>
      <c r="AU309" s="39">
        <v>0.0</v>
      </c>
      <c r="AV309" s="35" t="s">
        <v>7045</v>
      </c>
      <c r="AW309" s="30">
        <v>46478.0</v>
      </c>
      <c r="AX309" s="30">
        <v>46568.0</v>
      </c>
      <c r="AY309" s="39">
        <v>0.0</v>
      </c>
      <c r="AZ309" s="39">
        <v>0.0</v>
      </c>
      <c r="BA309" s="35" t="s">
        <v>7045</v>
      </c>
      <c r="BB309" s="30">
        <v>46569.0</v>
      </c>
      <c r="BC309" s="30">
        <v>46660.0</v>
      </c>
      <c r="BD309" s="39">
        <v>0.0</v>
      </c>
      <c r="BE309" s="39">
        <v>0.0</v>
      </c>
      <c r="BF309" s="35" t="s">
        <v>7045</v>
      </c>
      <c r="BG309" s="30">
        <v>46661.0</v>
      </c>
      <c r="BH309" s="30">
        <v>46752.0</v>
      </c>
      <c r="BI309" s="39">
        <v>0.0</v>
      </c>
      <c r="BJ309" s="39">
        <v>0.0</v>
      </c>
      <c r="BK309" s="35" t="s">
        <v>7045</v>
      </c>
      <c r="BL309" s="30">
        <v>46753.0</v>
      </c>
      <c r="BM309" s="30">
        <v>46843.0</v>
      </c>
      <c r="BN309" s="39">
        <v>0.0</v>
      </c>
      <c r="BO309" s="39">
        <v>0.0</v>
      </c>
      <c r="BP309" s="35" t="s">
        <v>7045</v>
      </c>
      <c r="BQ309" s="30">
        <v>46844.0</v>
      </c>
      <c r="BR309" s="30">
        <v>46934.0</v>
      </c>
      <c r="BS309" s="39">
        <v>0.0</v>
      </c>
      <c r="BT309" s="39">
        <v>0.0</v>
      </c>
      <c r="BU309" s="35" t="s">
        <v>7045</v>
      </c>
      <c r="BV309" s="30">
        <v>46935.0</v>
      </c>
      <c r="BW309" s="30">
        <v>47026.0</v>
      </c>
      <c r="BX309" s="39">
        <v>0.0</v>
      </c>
      <c r="BY309" s="39">
        <v>0.0</v>
      </c>
      <c r="BZ309" s="35" t="s">
        <v>7045</v>
      </c>
      <c r="CA309" s="30">
        <v>47027.0</v>
      </c>
      <c r="CB309" s="30">
        <v>47118.0</v>
      </c>
      <c r="CC309" s="39">
        <v>0.0</v>
      </c>
      <c r="CD309" s="39">
        <v>0.0</v>
      </c>
      <c r="CE309" s="35" t="s">
        <v>7045</v>
      </c>
      <c r="CF309" s="30">
        <v>47119.0</v>
      </c>
      <c r="CG309" s="30">
        <v>47208.0</v>
      </c>
      <c r="CH309" s="39">
        <v>0.0</v>
      </c>
      <c r="CI309" s="39">
        <v>0.0</v>
      </c>
      <c r="CJ309" s="35" t="s">
        <v>7045</v>
      </c>
      <c r="CK309" s="30">
        <v>47209.0</v>
      </c>
      <c r="CL309" s="30">
        <v>47299.0</v>
      </c>
      <c r="CM309" s="39">
        <v>0.0</v>
      </c>
      <c r="CN309" s="39">
        <v>0.0</v>
      </c>
      <c r="CO309" s="35" t="s">
        <v>7045</v>
      </c>
      <c r="CP309" s="30">
        <v>47300.0</v>
      </c>
      <c r="CQ309" s="30">
        <v>47391.0</v>
      </c>
      <c r="CR309" s="39">
        <v>0.0</v>
      </c>
      <c r="CS309" s="39">
        <v>0.0</v>
      </c>
      <c r="CT309" s="35" t="s">
        <v>7045</v>
      </c>
      <c r="CU309" s="30">
        <v>47392.0</v>
      </c>
      <c r="CV309" s="30">
        <v>47483.0</v>
      </c>
      <c r="CW309" s="39">
        <v>0.0</v>
      </c>
      <c r="CX309" s="39">
        <v>0.0</v>
      </c>
      <c r="CY309" s="35" t="s">
        <v>7045</v>
      </c>
      <c r="CZ309" s="30">
        <v>47484.0</v>
      </c>
      <c r="DA309" s="30">
        <v>47573.0</v>
      </c>
      <c r="DB309" s="39">
        <v>0.0</v>
      </c>
      <c r="DC309" s="39">
        <v>0.0</v>
      </c>
      <c r="DD309" s="35" t="s">
        <v>7045</v>
      </c>
      <c r="DE309" s="30">
        <v>47574.0</v>
      </c>
      <c r="DF309" s="30">
        <v>47664.0</v>
      </c>
      <c r="DG309" s="39">
        <v>0.0</v>
      </c>
      <c r="DH309" s="39">
        <v>0.0</v>
      </c>
      <c r="DI309" s="35" t="s">
        <v>7045</v>
      </c>
      <c r="DJ309" s="30">
        <v>47665.0</v>
      </c>
      <c r="DK309" s="30">
        <v>47756.0</v>
      </c>
      <c r="DL309" s="39">
        <v>0.0</v>
      </c>
      <c r="DM309" s="39">
        <v>0.0</v>
      </c>
      <c r="DN309" s="35" t="s">
        <v>7045</v>
      </c>
      <c r="DO309" s="30">
        <v>47757.0</v>
      </c>
      <c r="DP309" s="30">
        <v>47848.0</v>
      </c>
      <c r="DQ309" s="39">
        <v>0.0</v>
      </c>
      <c r="DR309" s="39">
        <v>0.0</v>
      </c>
      <c r="DS309" s="35" t="s">
        <v>7045</v>
      </c>
    </row>
    <row r="310" ht="14.25" customHeight="1">
      <c r="A310" s="28" t="s">
        <v>3920</v>
      </c>
      <c r="B310" s="29" t="s">
        <v>3921</v>
      </c>
      <c r="C310" s="29" t="s">
        <v>7041</v>
      </c>
      <c r="D310" s="30">
        <v>45658.0</v>
      </c>
      <c r="E310" s="30">
        <v>45747.0</v>
      </c>
      <c r="F310" s="39">
        <v>13.5</v>
      </c>
      <c r="G310" s="39">
        <v>0.0</v>
      </c>
      <c r="H310" s="38" t="s">
        <v>7047</v>
      </c>
      <c r="I310" s="30">
        <v>45748.0</v>
      </c>
      <c r="J310" s="30">
        <v>45838.0</v>
      </c>
      <c r="K310" s="39">
        <v>5.96</v>
      </c>
      <c r="L310" s="39">
        <v>560.0</v>
      </c>
      <c r="M310" s="32" t="s">
        <v>7043</v>
      </c>
      <c r="N310" s="30">
        <v>45839.0</v>
      </c>
      <c r="O310" s="30">
        <v>45930.0</v>
      </c>
      <c r="P310" s="39">
        <v>108.39</v>
      </c>
      <c r="Q310" s="39">
        <v>516.67</v>
      </c>
      <c r="R310" s="38" t="s">
        <v>7047</v>
      </c>
      <c r="S310" s="30">
        <v>45931.0</v>
      </c>
      <c r="T310" s="30">
        <v>46022.0</v>
      </c>
      <c r="U310" s="39">
        <v>97.64</v>
      </c>
      <c r="V310" s="39">
        <v>540.0</v>
      </c>
      <c r="W310" s="38" t="s">
        <v>7047</v>
      </c>
      <c r="X310" s="30">
        <v>46023.0</v>
      </c>
      <c r="Y310" s="30">
        <v>46112.0</v>
      </c>
      <c r="Z310" s="39">
        <v>192.87</v>
      </c>
      <c r="AA310" s="39">
        <v>0.0</v>
      </c>
      <c r="AB310" s="38" t="s">
        <v>7047</v>
      </c>
      <c r="AC310" s="30">
        <v>46113.0</v>
      </c>
      <c r="AD310" s="30">
        <v>46203.0</v>
      </c>
      <c r="AE310" s="39">
        <v>0.0</v>
      </c>
      <c r="AF310" s="39">
        <v>0.0</v>
      </c>
      <c r="AG310" s="35" t="s">
        <v>7045</v>
      </c>
      <c r="AH310" s="30">
        <v>46204.0</v>
      </c>
      <c r="AI310" s="30">
        <v>46295.0</v>
      </c>
      <c r="AJ310" s="39">
        <v>91.2</v>
      </c>
      <c r="AK310" s="39">
        <v>0.0</v>
      </c>
      <c r="AL310" s="38" t="s">
        <v>7047</v>
      </c>
      <c r="AM310" s="30">
        <v>46296.0</v>
      </c>
      <c r="AN310" s="30">
        <v>46387.0</v>
      </c>
      <c r="AO310" s="39">
        <v>0.0</v>
      </c>
      <c r="AP310" s="39">
        <v>0.0</v>
      </c>
      <c r="AQ310" s="35" t="s">
        <v>7045</v>
      </c>
      <c r="AR310" s="30">
        <v>46388.0</v>
      </c>
      <c r="AS310" s="30">
        <v>46477.0</v>
      </c>
      <c r="AT310" s="39">
        <v>0.0</v>
      </c>
      <c r="AU310" s="39">
        <v>0.0</v>
      </c>
      <c r="AV310" s="35" t="s">
        <v>7045</v>
      </c>
      <c r="AW310" s="30">
        <v>46478.0</v>
      </c>
      <c r="AX310" s="30">
        <v>46568.0</v>
      </c>
      <c r="AY310" s="39">
        <v>0.0</v>
      </c>
      <c r="AZ310" s="39">
        <v>0.0</v>
      </c>
      <c r="BA310" s="35" t="s">
        <v>7045</v>
      </c>
      <c r="BB310" s="30">
        <v>46569.0</v>
      </c>
      <c r="BC310" s="30">
        <v>46660.0</v>
      </c>
      <c r="BD310" s="39">
        <v>0.0</v>
      </c>
      <c r="BE310" s="39">
        <v>0.0</v>
      </c>
      <c r="BF310" s="35" t="s">
        <v>7045</v>
      </c>
      <c r="BG310" s="30">
        <v>46661.0</v>
      </c>
      <c r="BH310" s="30">
        <v>46752.0</v>
      </c>
      <c r="BI310" s="39">
        <v>0.0</v>
      </c>
      <c r="BJ310" s="39">
        <v>0.0</v>
      </c>
      <c r="BK310" s="35" t="s">
        <v>7045</v>
      </c>
      <c r="BL310" s="30">
        <v>46753.0</v>
      </c>
      <c r="BM310" s="30">
        <v>46843.0</v>
      </c>
      <c r="BN310" s="39">
        <v>0.0</v>
      </c>
      <c r="BO310" s="39">
        <v>0.0</v>
      </c>
      <c r="BP310" s="35" t="s">
        <v>7045</v>
      </c>
      <c r="BQ310" s="30">
        <v>46844.0</v>
      </c>
      <c r="BR310" s="30">
        <v>46934.0</v>
      </c>
      <c r="BS310" s="39">
        <v>0.0</v>
      </c>
      <c r="BT310" s="39">
        <v>0.0</v>
      </c>
      <c r="BU310" s="35" t="s">
        <v>7045</v>
      </c>
      <c r="BV310" s="30">
        <v>46935.0</v>
      </c>
      <c r="BW310" s="30">
        <v>47026.0</v>
      </c>
      <c r="BX310" s="39">
        <v>0.0</v>
      </c>
      <c r="BY310" s="39">
        <v>0.0</v>
      </c>
      <c r="BZ310" s="35" t="s">
        <v>7045</v>
      </c>
      <c r="CA310" s="30">
        <v>47027.0</v>
      </c>
      <c r="CB310" s="30">
        <v>47118.0</v>
      </c>
      <c r="CC310" s="39">
        <v>0.0</v>
      </c>
      <c r="CD310" s="39">
        <v>0.0</v>
      </c>
      <c r="CE310" s="35" t="s">
        <v>7045</v>
      </c>
      <c r="CF310" s="30">
        <v>47119.0</v>
      </c>
      <c r="CG310" s="30">
        <v>47208.0</v>
      </c>
      <c r="CH310" s="39">
        <v>0.0</v>
      </c>
      <c r="CI310" s="39">
        <v>0.0</v>
      </c>
      <c r="CJ310" s="35" t="s">
        <v>7045</v>
      </c>
      <c r="CK310" s="30">
        <v>47209.0</v>
      </c>
      <c r="CL310" s="30">
        <v>47299.0</v>
      </c>
      <c r="CM310" s="39">
        <v>0.0</v>
      </c>
      <c r="CN310" s="39">
        <v>0.0</v>
      </c>
      <c r="CO310" s="35" t="s">
        <v>7045</v>
      </c>
      <c r="CP310" s="30">
        <v>47300.0</v>
      </c>
      <c r="CQ310" s="30">
        <v>47391.0</v>
      </c>
      <c r="CR310" s="39">
        <v>0.0</v>
      </c>
      <c r="CS310" s="39">
        <v>0.0</v>
      </c>
      <c r="CT310" s="35" t="s">
        <v>7045</v>
      </c>
      <c r="CU310" s="30">
        <v>47392.0</v>
      </c>
      <c r="CV310" s="30">
        <v>47483.0</v>
      </c>
      <c r="CW310" s="39">
        <v>0.0</v>
      </c>
      <c r="CX310" s="39">
        <v>0.0</v>
      </c>
      <c r="CY310" s="35" t="s">
        <v>7045</v>
      </c>
      <c r="CZ310" s="30">
        <v>47484.0</v>
      </c>
      <c r="DA310" s="30">
        <v>47573.0</v>
      </c>
      <c r="DB310" s="39">
        <v>0.0</v>
      </c>
      <c r="DC310" s="39">
        <v>0.0</v>
      </c>
      <c r="DD310" s="35" t="s">
        <v>7045</v>
      </c>
      <c r="DE310" s="30">
        <v>47574.0</v>
      </c>
      <c r="DF310" s="30">
        <v>47664.0</v>
      </c>
      <c r="DG310" s="39">
        <v>0.0</v>
      </c>
      <c r="DH310" s="39">
        <v>0.0</v>
      </c>
      <c r="DI310" s="35" t="s">
        <v>7045</v>
      </c>
      <c r="DJ310" s="30">
        <v>47665.0</v>
      </c>
      <c r="DK310" s="30">
        <v>47756.0</v>
      </c>
      <c r="DL310" s="39">
        <v>0.0</v>
      </c>
      <c r="DM310" s="39">
        <v>0.0</v>
      </c>
      <c r="DN310" s="35" t="s">
        <v>7045</v>
      </c>
      <c r="DO310" s="30">
        <v>47757.0</v>
      </c>
      <c r="DP310" s="30">
        <v>47848.0</v>
      </c>
      <c r="DQ310" s="39">
        <v>0.0</v>
      </c>
      <c r="DR310" s="39">
        <v>0.0</v>
      </c>
      <c r="DS310" s="35" t="s">
        <v>7045</v>
      </c>
    </row>
    <row r="311" ht="14.25" customHeight="1">
      <c r="A311" s="28" t="s">
        <v>4045</v>
      </c>
      <c r="B311" s="29" t="s">
        <v>4046</v>
      </c>
      <c r="C311" s="29" t="s">
        <v>7041</v>
      </c>
      <c r="D311" s="30">
        <v>45658.0</v>
      </c>
      <c r="E311" s="30">
        <v>45747.0</v>
      </c>
      <c r="F311" s="39">
        <v>10.0</v>
      </c>
      <c r="G311" s="39">
        <v>0.0</v>
      </c>
      <c r="H311" s="38" t="s">
        <v>7047</v>
      </c>
      <c r="I311" s="30">
        <v>45748.0</v>
      </c>
      <c r="J311" s="30">
        <v>45838.0</v>
      </c>
      <c r="K311" s="39">
        <v>9.0</v>
      </c>
      <c r="L311" s="39">
        <v>256.14</v>
      </c>
      <c r="M311" s="38" t="s">
        <v>7043</v>
      </c>
      <c r="N311" s="30">
        <v>45839.0</v>
      </c>
      <c r="O311" s="30">
        <v>45930.0</v>
      </c>
      <c r="P311" s="39">
        <v>276.38</v>
      </c>
      <c r="Q311" s="39">
        <v>340.35</v>
      </c>
      <c r="R311" s="38" t="s">
        <v>7047</v>
      </c>
      <c r="S311" s="30">
        <v>45931.0</v>
      </c>
      <c r="T311" s="30">
        <v>46022.0</v>
      </c>
      <c r="U311" s="39">
        <v>390.47</v>
      </c>
      <c r="V311" s="39">
        <v>461.4</v>
      </c>
      <c r="W311" s="38" t="s">
        <v>7047</v>
      </c>
      <c r="X311" s="30">
        <v>46023.0</v>
      </c>
      <c r="Y311" s="30">
        <v>46112.0</v>
      </c>
      <c r="Z311" s="39">
        <v>23.26</v>
      </c>
      <c r="AA311" s="39">
        <v>0.0</v>
      </c>
      <c r="AB311" s="38" t="s">
        <v>7047</v>
      </c>
      <c r="AC311" s="30">
        <v>46113.0</v>
      </c>
      <c r="AD311" s="30">
        <v>46203.0</v>
      </c>
      <c r="AE311" s="39">
        <v>51.52</v>
      </c>
      <c r="AF311" s="39">
        <v>0.0</v>
      </c>
      <c r="AG311" s="38" t="s">
        <v>7047</v>
      </c>
      <c r="AH311" s="30">
        <v>46204.0</v>
      </c>
      <c r="AI311" s="30">
        <v>46295.0</v>
      </c>
      <c r="AJ311" s="39">
        <v>4.95</v>
      </c>
      <c r="AK311" s="39">
        <v>0.0</v>
      </c>
      <c r="AL311" s="38" t="s">
        <v>7047</v>
      </c>
      <c r="AM311" s="30">
        <v>46296.0</v>
      </c>
      <c r="AN311" s="30">
        <v>46387.0</v>
      </c>
      <c r="AO311" s="39">
        <v>1.97</v>
      </c>
      <c r="AP311" s="39">
        <v>0.0</v>
      </c>
      <c r="AQ311" s="38" t="s">
        <v>7047</v>
      </c>
      <c r="AR311" s="30">
        <v>46388.0</v>
      </c>
      <c r="AS311" s="30">
        <v>46477.0</v>
      </c>
      <c r="AT311" s="39">
        <v>0.0</v>
      </c>
      <c r="AU311" s="39">
        <v>0.0</v>
      </c>
      <c r="AV311" s="35" t="s">
        <v>7045</v>
      </c>
      <c r="AW311" s="30">
        <v>46478.0</v>
      </c>
      <c r="AX311" s="30">
        <v>46568.0</v>
      </c>
      <c r="AY311" s="39">
        <v>0.0</v>
      </c>
      <c r="AZ311" s="39">
        <v>0.0</v>
      </c>
      <c r="BA311" s="35" t="s">
        <v>7045</v>
      </c>
      <c r="BB311" s="30">
        <v>46569.0</v>
      </c>
      <c r="BC311" s="30">
        <v>46660.0</v>
      </c>
      <c r="BD311" s="39">
        <v>0.0</v>
      </c>
      <c r="BE311" s="39">
        <v>0.0</v>
      </c>
      <c r="BF311" s="35" t="s">
        <v>7045</v>
      </c>
      <c r="BG311" s="30">
        <v>46661.0</v>
      </c>
      <c r="BH311" s="30">
        <v>46752.0</v>
      </c>
      <c r="BI311" s="39">
        <v>0.0</v>
      </c>
      <c r="BJ311" s="39">
        <v>0.0</v>
      </c>
      <c r="BK311" s="35" t="s">
        <v>7045</v>
      </c>
      <c r="BL311" s="30">
        <v>46753.0</v>
      </c>
      <c r="BM311" s="30">
        <v>46843.0</v>
      </c>
      <c r="BN311" s="39">
        <v>0.0</v>
      </c>
      <c r="BO311" s="39">
        <v>0.0</v>
      </c>
      <c r="BP311" s="35" t="s">
        <v>7045</v>
      </c>
      <c r="BQ311" s="30">
        <v>46844.0</v>
      </c>
      <c r="BR311" s="30">
        <v>46934.0</v>
      </c>
      <c r="BS311" s="39">
        <v>0.0</v>
      </c>
      <c r="BT311" s="39">
        <v>0.0</v>
      </c>
      <c r="BU311" s="35" t="s">
        <v>7045</v>
      </c>
      <c r="BV311" s="30">
        <v>46935.0</v>
      </c>
      <c r="BW311" s="30">
        <v>47026.0</v>
      </c>
      <c r="BX311" s="39">
        <v>0.0</v>
      </c>
      <c r="BY311" s="39">
        <v>0.0</v>
      </c>
      <c r="BZ311" s="35" t="s">
        <v>7045</v>
      </c>
      <c r="CA311" s="30">
        <v>47027.0</v>
      </c>
      <c r="CB311" s="30">
        <v>47118.0</v>
      </c>
      <c r="CC311" s="39">
        <v>0.0</v>
      </c>
      <c r="CD311" s="39">
        <v>0.0</v>
      </c>
      <c r="CE311" s="35" t="s">
        <v>7045</v>
      </c>
      <c r="CF311" s="30">
        <v>47119.0</v>
      </c>
      <c r="CG311" s="30">
        <v>47208.0</v>
      </c>
      <c r="CH311" s="39">
        <v>0.0</v>
      </c>
      <c r="CI311" s="39">
        <v>0.0</v>
      </c>
      <c r="CJ311" s="35" t="s">
        <v>7045</v>
      </c>
      <c r="CK311" s="30">
        <v>47209.0</v>
      </c>
      <c r="CL311" s="30">
        <v>47299.0</v>
      </c>
      <c r="CM311" s="39">
        <v>0.0</v>
      </c>
      <c r="CN311" s="39">
        <v>0.0</v>
      </c>
      <c r="CO311" s="35" t="s">
        <v>7045</v>
      </c>
      <c r="CP311" s="30">
        <v>47300.0</v>
      </c>
      <c r="CQ311" s="30">
        <v>47391.0</v>
      </c>
      <c r="CR311" s="39">
        <v>0.0</v>
      </c>
      <c r="CS311" s="39">
        <v>0.0</v>
      </c>
      <c r="CT311" s="35" t="s">
        <v>7045</v>
      </c>
      <c r="CU311" s="30">
        <v>47392.0</v>
      </c>
      <c r="CV311" s="30">
        <v>47483.0</v>
      </c>
      <c r="CW311" s="39">
        <v>0.0</v>
      </c>
      <c r="CX311" s="39">
        <v>0.0</v>
      </c>
      <c r="CY311" s="35" t="s">
        <v>7045</v>
      </c>
      <c r="CZ311" s="30">
        <v>47484.0</v>
      </c>
      <c r="DA311" s="30">
        <v>47573.0</v>
      </c>
      <c r="DB311" s="39">
        <v>0.0</v>
      </c>
      <c r="DC311" s="39">
        <v>0.0</v>
      </c>
      <c r="DD311" s="35" t="s">
        <v>7045</v>
      </c>
      <c r="DE311" s="30">
        <v>47574.0</v>
      </c>
      <c r="DF311" s="30">
        <v>47664.0</v>
      </c>
      <c r="DG311" s="39">
        <v>0.0</v>
      </c>
      <c r="DH311" s="39">
        <v>0.0</v>
      </c>
      <c r="DI311" s="35" t="s">
        <v>7045</v>
      </c>
      <c r="DJ311" s="30">
        <v>47665.0</v>
      </c>
      <c r="DK311" s="30">
        <v>47756.0</v>
      </c>
      <c r="DL311" s="39">
        <v>0.0</v>
      </c>
      <c r="DM311" s="39">
        <v>0.0</v>
      </c>
      <c r="DN311" s="35" t="s">
        <v>7045</v>
      </c>
      <c r="DO311" s="30">
        <v>47757.0</v>
      </c>
      <c r="DP311" s="30">
        <v>47848.0</v>
      </c>
      <c r="DQ311" s="39">
        <v>0.0</v>
      </c>
      <c r="DR311" s="39">
        <v>0.0</v>
      </c>
      <c r="DS311" s="35" t="s">
        <v>7045</v>
      </c>
    </row>
    <row r="312" ht="14.25" customHeight="1">
      <c r="A312" s="28" t="s">
        <v>3979</v>
      </c>
      <c r="B312" s="29" t="s">
        <v>3980</v>
      </c>
      <c r="C312" s="29" t="s">
        <v>7041</v>
      </c>
      <c r="D312" s="30">
        <v>45658.0</v>
      </c>
      <c r="E312" s="30">
        <v>45747.0</v>
      </c>
      <c r="F312" s="36">
        <v>8.57</v>
      </c>
      <c r="G312" s="36">
        <v>0.0</v>
      </c>
      <c r="H312" s="38" t="s">
        <v>7047</v>
      </c>
      <c r="I312" s="30">
        <v>45748.0</v>
      </c>
      <c r="J312" s="30">
        <v>45838.0</v>
      </c>
      <c r="K312" s="36">
        <v>16.47</v>
      </c>
      <c r="L312" s="36">
        <v>383.33</v>
      </c>
      <c r="M312" s="38" t="s">
        <v>7043</v>
      </c>
      <c r="N312" s="30">
        <v>45839.0</v>
      </c>
      <c r="O312" s="30">
        <v>45930.0</v>
      </c>
      <c r="P312" s="36">
        <v>194.91</v>
      </c>
      <c r="Q312" s="36">
        <v>572.21</v>
      </c>
      <c r="R312" s="38" t="s">
        <v>7047</v>
      </c>
      <c r="S312" s="30">
        <v>45931.0</v>
      </c>
      <c r="T312" s="30">
        <v>46022.0</v>
      </c>
      <c r="U312" s="36">
        <v>44.0</v>
      </c>
      <c r="V312" s="36">
        <v>572.21</v>
      </c>
      <c r="W312" s="38" t="s">
        <v>7047</v>
      </c>
      <c r="X312" s="30">
        <v>46023.0</v>
      </c>
      <c r="Y312" s="30">
        <v>46112.0</v>
      </c>
      <c r="Z312" s="36">
        <v>0.0</v>
      </c>
      <c r="AA312" s="36">
        <v>0.0</v>
      </c>
      <c r="AB312" s="35" t="s">
        <v>7045</v>
      </c>
      <c r="AC312" s="30">
        <v>46113.0</v>
      </c>
      <c r="AD312" s="30">
        <v>46203.0</v>
      </c>
      <c r="AE312" s="36">
        <v>0.0</v>
      </c>
      <c r="AF312" s="36">
        <v>0.0</v>
      </c>
      <c r="AG312" s="35" t="s">
        <v>7045</v>
      </c>
      <c r="AH312" s="30">
        <v>46204.0</v>
      </c>
      <c r="AI312" s="30">
        <v>46295.0</v>
      </c>
      <c r="AJ312" s="36">
        <v>0.0</v>
      </c>
      <c r="AK312" s="36">
        <v>0.0</v>
      </c>
      <c r="AL312" s="35" t="s">
        <v>7045</v>
      </c>
      <c r="AM312" s="30">
        <v>46296.0</v>
      </c>
      <c r="AN312" s="30">
        <v>46387.0</v>
      </c>
      <c r="AO312" s="36">
        <v>0.0</v>
      </c>
      <c r="AP312" s="36">
        <v>0.0</v>
      </c>
      <c r="AQ312" s="35" t="s">
        <v>7045</v>
      </c>
      <c r="AR312" s="30">
        <v>46388.0</v>
      </c>
      <c r="AS312" s="30">
        <v>46477.0</v>
      </c>
      <c r="AT312" s="36">
        <v>0.0</v>
      </c>
      <c r="AU312" s="36">
        <v>0.0</v>
      </c>
      <c r="AV312" s="35" t="s">
        <v>7045</v>
      </c>
      <c r="AW312" s="30">
        <v>46478.0</v>
      </c>
      <c r="AX312" s="30">
        <v>46568.0</v>
      </c>
      <c r="AY312" s="36">
        <v>0.0</v>
      </c>
      <c r="AZ312" s="36">
        <v>0.0</v>
      </c>
      <c r="BA312" s="35" t="s">
        <v>7045</v>
      </c>
      <c r="BB312" s="30">
        <v>46569.0</v>
      </c>
      <c r="BC312" s="30">
        <v>46660.0</v>
      </c>
      <c r="BD312" s="36">
        <v>0.0</v>
      </c>
      <c r="BE312" s="36">
        <v>0.0</v>
      </c>
      <c r="BF312" s="35" t="s">
        <v>7045</v>
      </c>
      <c r="BG312" s="30">
        <v>46661.0</v>
      </c>
      <c r="BH312" s="30">
        <v>46752.0</v>
      </c>
      <c r="BI312" s="36">
        <v>0.0</v>
      </c>
      <c r="BJ312" s="36">
        <v>0.0</v>
      </c>
      <c r="BK312" s="35" t="s">
        <v>7045</v>
      </c>
      <c r="BL312" s="30">
        <v>46753.0</v>
      </c>
      <c r="BM312" s="30">
        <v>46843.0</v>
      </c>
      <c r="BN312" s="36">
        <v>0.0</v>
      </c>
      <c r="BO312" s="36">
        <v>0.0</v>
      </c>
      <c r="BP312" s="35" t="s">
        <v>7045</v>
      </c>
      <c r="BQ312" s="30">
        <v>46844.0</v>
      </c>
      <c r="BR312" s="30">
        <v>46934.0</v>
      </c>
      <c r="BS312" s="36">
        <v>0.0</v>
      </c>
      <c r="BT312" s="36">
        <v>0.0</v>
      </c>
      <c r="BU312" s="35" t="s">
        <v>7045</v>
      </c>
      <c r="BV312" s="30">
        <v>46935.0</v>
      </c>
      <c r="BW312" s="30">
        <v>47026.0</v>
      </c>
      <c r="BX312" s="36">
        <v>0.0</v>
      </c>
      <c r="BY312" s="36">
        <v>0.0</v>
      </c>
      <c r="BZ312" s="35" t="s">
        <v>7045</v>
      </c>
      <c r="CA312" s="30">
        <v>47027.0</v>
      </c>
      <c r="CB312" s="30">
        <v>47118.0</v>
      </c>
      <c r="CC312" s="36">
        <v>0.0</v>
      </c>
      <c r="CD312" s="36">
        <v>0.0</v>
      </c>
      <c r="CE312" s="35" t="s">
        <v>7045</v>
      </c>
      <c r="CF312" s="30">
        <v>47119.0</v>
      </c>
      <c r="CG312" s="30">
        <v>47208.0</v>
      </c>
      <c r="CH312" s="36">
        <v>0.0</v>
      </c>
      <c r="CI312" s="36">
        <v>0.0</v>
      </c>
      <c r="CJ312" s="35" t="s">
        <v>7045</v>
      </c>
      <c r="CK312" s="30">
        <v>47209.0</v>
      </c>
      <c r="CL312" s="30">
        <v>47299.0</v>
      </c>
      <c r="CM312" s="36">
        <v>0.0</v>
      </c>
      <c r="CN312" s="36">
        <v>0.0</v>
      </c>
      <c r="CO312" s="35" t="s">
        <v>7045</v>
      </c>
      <c r="CP312" s="30">
        <v>47300.0</v>
      </c>
      <c r="CQ312" s="30">
        <v>47391.0</v>
      </c>
      <c r="CR312" s="36">
        <v>0.0</v>
      </c>
      <c r="CS312" s="36">
        <v>0.0</v>
      </c>
      <c r="CT312" s="35" t="s">
        <v>7045</v>
      </c>
      <c r="CU312" s="30">
        <v>47392.0</v>
      </c>
      <c r="CV312" s="30">
        <v>47483.0</v>
      </c>
      <c r="CW312" s="36">
        <v>0.0</v>
      </c>
      <c r="CX312" s="36">
        <v>0.0</v>
      </c>
      <c r="CY312" s="35" t="s">
        <v>7045</v>
      </c>
      <c r="CZ312" s="30">
        <v>47484.0</v>
      </c>
      <c r="DA312" s="30">
        <v>47573.0</v>
      </c>
      <c r="DB312" s="36">
        <v>0.0</v>
      </c>
      <c r="DC312" s="36">
        <v>0.0</v>
      </c>
      <c r="DD312" s="35" t="s">
        <v>7045</v>
      </c>
      <c r="DE312" s="30">
        <v>47574.0</v>
      </c>
      <c r="DF312" s="30">
        <v>47664.0</v>
      </c>
      <c r="DG312" s="36">
        <v>0.0</v>
      </c>
      <c r="DH312" s="36">
        <v>0.0</v>
      </c>
      <c r="DI312" s="35" t="s">
        <v>7045</v>
      </c>
      <c r="DJ312" s="30">
        <v>47665.0</v>
      </c>
      <c r="DK312" s="30">
        <v>47756.0</v>
      </c>
      <c r="DL312" s="36">
        <v>0.0</v>
      </c>
      <c r="DM312" s="36">
        <v>0.0</v>
      </c>
      <c r="DN312" s="35" t="s">
        <v>7045</v>
      </c>
      <c r="DO312" s="30">
        <v>47757.0</v>
      </c>
      <c r="DP312" s="30">
        <v>47848.0</v>
      </c>
      <c r="DQ312" s="36">
        <v>0.0</v>
      </c>
      <c r="DR312" s="36">
        <v>0.0</v>
      </c>
      <c r="DS312" s="35" t="s">
        <v>7045</v>
      </c>
    </row>
    <row r="313" ht="14.25" customHeight="1">
      <c r="A313" s="28" t="s">
        <v>4019</v>
      </c>
      <c r="B313" s="29" t="s">
        <v>4020</v>
      </c>
      <c r="C313" s="29" t="s">
        <v>7041</v>
      </c>
      <c r="D313" s="30">
        <v>45658.0</v>
      </c>
      <c r="E313" s="30">
        <v>45747.0</v>
      </c>
      <c r="F313" s="39">
        <v>45.0</v>
      </c>
      <c r="G313" s="39">
        <v>0.0</v>
      </c>
      <c r="H313" s="38" t="s">
        <v>7047</v>
      </c>
      <c r="I313" s="30">
        <v>45748.0</v>
      </c>
      <c r="J313" s="30">
        <v>45838.0</v>
      </c>
      <c r="K313" s="39">
        <v>50.0</v>
      </c>
      <c r="L313" s="39">
        <v>500.0</v>
      </c>
      <c r="M313" s="32" t="s">
        <v>7043</v>
      </c>
      <c r="N313" s="30">
        <v>45839.0</v>
      </c>
      <c r="O313" s="30">
        <v>45930.0</v>
      </c>
      <c r="P313" s="39">
        <v>111.99</v>
      </c>
      <c r="Q313" s="39">
        <v>750.0</v>
      </c>
      <c r="R313" s="38" t="s">
        <v>7047</v>
      </c>
      <c r="S313" s="30">
        <v>45931.0</v>
      </c>
      <c r="T313" s="30">
        <v>46022.0</v>
      </c>
      <c r="U313" s="39">
        <v>4463.3</v>
      </c>
      <c r="V313" s="39">
        <v>750.0</v>
      </c>
      <c r="W313" s="38" t="s">
        <v>7047</v>
      </c>
      <c r="X313" s="30">
        <v>46023.0</v>
      </c>
      <c r="Y313" s="30">
        <v>46112.0</v>
      </c>
      <c r="Z313" s="39">
        <v>0.0</v>
      </c>
      <c r="AA313" s="39">
        <v>0.0</v>
      </c>
      <c r="AB313" s="35" t="s">
        <v>7045</v>
      </c>
      <c r="AC313" s="30">
        <v>46113.0</v>
      </c>
      <c r="AD313" s="30">
        <v>46203.0</v>
      </c>
      <c r="AE313" s="39">
        <v>165.0</v>
      </c>
      <c r="AF313" s="39">
        <v>0.0</v>
      </c>
      <c r="AG313" s="38" t="s">
        <v>7047</v>
      </c>
      <c r="AH313" s="30">
        <v>46204.0</v>
      </c>
      <c r="AI313" s="30">
        <v>46295.0</v>
      </c>
      <c r="AJ313" s="39">
        <v>0.0</v>
      </c>
      <c r="AK313" s="39">
        <v>0.0</v>
      </c>
      <c r="AL313" s="35" t="s">
        <v>7045</v>
      </c>
      <c r="AM313" s="30">
        <v>46296.0</v>
      </c>
      <c r="AN313" s="30">
        <v>46387.0</v>
      </c>
      <c r="AO313" s="39">
        <v>0.0</v>
      </c>
      <c r="AP313" s="39">
        <v>0.0</v>
      </c>
      <c r="AQ313" s="35" t="s">
        <v>7045</v>
      </c>
      <c r="AR313" s="30">
        <v>46388.0</v>
      </c>
      <c r="AS313" s="30">
        <v>46477.0</v>
      </c>
      <c r="AT313" s="39">
        <v>0.0</v>
      </c>
      <c r="AU313" s="39">
        <v>0.0</v>
      </c>
      <c r="AV313" s="35" t="s">
        <v>7045</v>
      </c>
      <c r="AW313" s="30">
        <v>46478.0</v>
      </c>
      <c r="AX313" s="30">
        <v>46568.0</v>
      </c>
      <c r="AY313" s="39">
        <v>0.0</v>
      </c>
      <c r="AZ313" s="39">
        <v>0.0</v>
      </c>
      <c r="BA313" s="35" t="s">
        <v>7045</v>
      </c>
      <c r="BB313" s="30">
        <v>46569.0</v>
      </c>
      <c r="BC313" s="30">
        <v>46660.0</v>
      </c>
      <c r="BD313" s="39">
        <v>0.0</v>
      </c>
      <c r="BE313" s="39">
        <v>0.0</v>
      </c>
      <c r="BF313" s="35" t="s">
        <v>7045</v>
      </c>
      <c r="BG313" s="30">
        <v>46661.0</v>
      </c>
      <c r="BH313" s="30">
        <v>46752.0</v>
      </c>
      <c r="BI313" s="39">
        <v>0.0</v>
      </c>
      <c r="BJ313" s="39">
        <v>0.0</v>
      </c>
      <c r="BK313" s="35" t="s">
        <v>7045</v>
      </c>
      <c r="BL313" s="30">
        <v>46753.0</v>
      </c>
      <c r="BM313" s="30">
        <v>46843.0</v>
      </c>
      <c r="BN313" s="39">
        <v>0.0</v>
      </c>
      <c r="BO313" s="39">
        <v>0.0</v>
      </c>
      <c r="BP313" s="35" t="s">
        <v>7045</v>
      </c>
      <c r="BQ313" s="30">
        <v>46844.0</v>
      </c>
      <c r="BR313" s="30">
        <v>46934.0</v>
      </c>
      <c r="BS313" s="39">
        <v>0.0</v>
      </c>
      <c r="BT313" s="39">
        <v>0.0</v>
      </c>
      <c r="BU313" s="35" t="s">
        <v>7045</v>
      </c>
      <c r="BV313" s="30">
        <v>46935.0</v>
      </c>
      <c r="BW313" s="30">
        <v>47026.0</v>
      </c>
      <c r="BX313" s="39">
        <v>0.0</v>
      </c>
      <c r="BY313" s="39">
        <v>0.0</v>
      </c>
      <c r="BZ313" s="35" t="s">
        <v>7045</v>
      </c>
      <c r="CA313" s="30">
        <v>47027.0</v>
      </c>
      <c r="CB313" s="30">
        <v>47118.0</v>
      </c>
      <c r="CC313" s="39">
        <v>0.0</v>
      </c>
      <c r="CD313" s="39">
        <v>0.0</v>
      </c>
      <c r="CE313" s="35" t="s">
        <v>7045</v>
      </c>
      <c r="CF313" s="30">
        <v>47119.0</v>
      </c>
      <c r="CG313" s="30">
        <v>47208.0</v>
      </c>
      <c r="CH313" s="39">
        <v>0.0</v>
      </c>
      <c r="CI313" s="39">
        <v>0.0</v>
      </c>
      <c r="CJ313" s="35" t="s">
        <v>7045</v>
      </c>
      <c r="CK313" s="30">
        <v>47209.0</v>
      </c>
      <c r="CL313" s="30">
        <v>47299.0</v>
      </c>
      <c r="CM313" s="39">
        <v>0.0</v>
      </c>
      <c r="CN313" s="39">
        <v>0.0</v>
      </c>
      <c r="CO313" s="35" t="s">
        <v>7045</v>
      </c>
      <c r="CP313" s="30">
        <v>47300.0</v>
      </c>
      <c r="CQ313" s="30">
        <v>47391.0</v>
      </c>
      <c r="CR313" s="39">
        <v>0.0</v>
      </c>
      <c r="CS313" s="39">
        <v>0.0</v>
      </c>
      <c r="CT313" s="35" t="s">
        <v>7045</v>
      </c>
      <c r="CU313" s="30">
        <v>47392.0</v>
      </c>
      <c r="CV313" s="30">
        <v>47483.0</v>
      </c>
      <c r="CW313" s="39">
        <v>0.0</v>
      </c>
      <c r="CX313" s="39">
        <v>0.0</v>
      </c>
      <c r="CY313" s="35" t="s">
        <v>7045</v>
      </c>
      <c r="CZ313" s="30">
        <v>47484.0</v>
      </c>
      <c r="DA313" s="30">
        <v>47573.0</v>
      </c>
      <c r="DB313" s="39">
        <v>0.0</v>
      </c>
      <c r="DC313" s="39">
        <v>0.0</v>
      </c>
      <c r="DD313" s="35" t="s">
        <v>7045</v>
      </c>
      <c r="DE313" s="30">
        <v>47574.0</v>
      </c>
      <c r="DF313" s="30">
        <v>47664.0</v>
      </c>
      <c r="DG313" s="39">
        <v>0.0</v>
      </c>
      <c r="DH313" s="39">
        <v>0.0</v>
      </c>
      <c r="DI313" s="35" t="s">
        <v>7045</v>
      </c>
      <c r="DJ313" s="30">
        <v>47665.0</v>
      </c>
      <c r="DK313" s="30">
        <v>47756.0</v>
      </c>
      <c r="DL313" s="39">
        <v>0.0</v>
      </c>
      <c r="DM313" s="39">
        <v>0.0</v>
      </c>
      <c r="DN313" s="35" t="s">
        <v>7045</v>
      </c>
      <c r="DO313" s="30">
        <v>47757.0</v>
      </c>
      <c r="DP313" s="30">
        <v>47848.0</v>
      </c>
      <c r="DQ313" s="39">
        <v>0.0</v>
      </c>
      <c r="DR313" s="39">
        <v>0.0</v>
      </c>
      <c r="DS313" s="35" t="s">
        <v>7045</v>
      </c>
    </row>
    <row r="314" ht="14.25" customHeight="1">
      <c r="A314" s="28" t="s">
        <v>4101</v>
      </c>
      <c r="B314" s="29" t="s">
        <v>4102</v>
      </c>
      <c r="C314" s="29" t="s">
        <v>7041</v>
      </c>
      <c r="D314" s="30">
        <v>45658.0</v>
      </c>
      <c r="E314" s="30">
        <v>45747.0</v>
      </c>
      <c r="F314" s="36">
        <v>2.09</v>
      </c>
      <c r="G314" s="36">
        <v>0.0</v>
      </c>
      <c r="H314" s="38" t="s">
        <v>7047</v>
      </c>
      <c r="I314" s="30">
        <v>45748.0</v>
      </c>
      <c r="J314" s="30">
        <v>45838.0</v>
      </c>
      <c r="K314" s="36">
        <v>2.09</v>
      </c>
      <c r="L314" s="36">
        <v>300.0</v>
      </c>
      <c r="M314" s="32" t="s">
        <v>7043</v>
      </c>
      <c r="N314" s="30">
        <v>45839.0</v>
      </c>
      <c r="O314" s="30">
        <v>45930.0</v>
      </c>
      <c r="P314" s="36">
        <v>42.2</v>
      </c>
      <c r="Q314" s="36">
        <v>550.01</v>
      </c>
      <c r="R314" s="38" t="s">
        <v>7047</v>
      </c>
      <c r="S314" s="30">
        <v>45931.0</v>
      </c>
      <c r="T314" s="30">
        <v>46022.0</v>
      </c>
      <c r="U314" s="36">
        <v>0.48</v>
      </c>
      <c r="V314" s="36">
        <v>616.66</v>
      </c>
      <c r="W314" s="38" t="s">
        <v>7047</v>
      </c>
      <c r="X314" s="30">
        <v>46023.0</v>
      </c>
      <c r="Y314" s="30">
        <v>46112.0</v>
      </c>
      <c r="Z314" s="36">
        <v>0.66</v>
      </c>
      <c r="AA314" s="36">
        <v>0.0</v>
      </c>
      <c r="AB314" s="38" t="s">
        <v>7047</v>
      </c>
      <c r="AC314" s="30">
        <v>46113.0</v>
      </c>
      <c r="AD314" s="30">
        <v>46203.0</v>
      </c>
      <c r="AE314" s="36">
        <v>0.0</v>
      </c>
      <c r="AF314" s="36">
        <v>0.0</v>
      </c>
      <c r="AG314" s="35" t="s">
        <v>7045</v>
      </c>
      <c r="AH314" s="30">
        <v>46204.0</v>
      </c>
      <c r="AI314" s="30">
        <v>46295.0</v>
      </c>
      <c r="AJ314" s="36">
        <v>1.77</v>
      </c>
      <c r="AK314" s="36">
        <v>0.0</v>
      </c>
      <c r="AL314" s="38" t="s">
        <v>7047</v>
      </c>
      <c r="AM314" s="30">
        <v>46296.0</v>
      </c>
      <c r="AN314" s="30">
        <v>46387.0</v>
      </c>
      <c r="AO314" s="36">
        <v>4.23</v>
      </c>
      <c r="AP314" s="36">
        <v>0.0</v>
      </c>
      <c r="AQ314" s="38" t="s">
        <v>7047</v>
      </c>
      <c r="AR314" s="30">
        <v>46388.0</v>
      </c>
      <c r="AS314" s="30">
        <v>46477.0</v>
      </c>
      <c r="AT314" s="36">
        <v>0.0</v>
      </c>
      <c r="AU314" s="36">
        <v>0.0</v>
      </c>
      <c r="AV314" s="35" t="s">
        <v>7045</v>
      </c>
      <c r="AW314" s="30">
        <v>46478.0</v>
      </c>
      <c r="AX314" s="30">
        <v>46568.0</v>
      </c>
      <c r="AY314" s="36">
        <v>0.0</v>
      </c>
      <c r="AZ314" s="36">
        <v>0.0</v>
      </c>
      <c r="BA314" s="35" t="s">
        <v>7045</v>
      </c>
      <c r="BB314" s="30">
        <v>46569.0</v>
      </c>
      <c r="BC314" s="30">
        <v>46660.0</v>
      </c>
      <c r="BD314" s="36">
        <v>0.0</v>
      </c>
      <c r="BE314" s="36">
        <v>0.0</v>
      </c>
      <c r="BF314" s="35" t="s">
        <v>7045</v>
      </c>
      <c r="BG314" s="30">
        <v>46661.0</v>
      </c>
      <c r="BH314" s="30">
        <v>46752.0</v>
      </c>
      <c r="BI314" s="36">
        <v>0.0</v>
      </c>
      <c r="BJ314" s="36">
        <v>0.0</v>
      </c>
      <c r="BK314" s="35" t="s">
        <v>7045</v>
      </c>
      <c r="BL314" s="30">
        <v>46753.0</v>
      </c>
      <c r="BM314" s="30">
        <v>46843.0</v>
      </c>
      <c r="BN314" s="36">
        <v>0.0</v>
      </c>
      <c r="BO314" s="36">
        <v>0.0</v>
      </c>
      <c r="BP314" s="35" t="s">
        <v>7045</v>
      </c>
      <c r="BQ314" s="30">
        <v>46844.0</v>
      </c>
      <c r="BR314" s="30">
        <v>46934.0</v>
      </c>
      <c r="BS314" s="36">
        <v>0.0</v>
      </c>
      <c r="BT314" s="36">
        <v>0.0</v>
      </c>
      <c r="BU314" s="35" t="s">
        <v>7045</v>
      </c>
      <c r="BV314" s="30">
        <v>46935.0</v>
      </c>
      <c r="BW314" s="30">
        <v>47026.0</v>
      </c>
      <c r="BX314" s="36">
        <v>0.0</v>
      </c>
      <c r="BY314" s="36">
        <v>0.0</v>
      </c>
      <c r="BZ314" s="35" t="s">
        <v>7045</v>
      </c>
      <c r="CA314" s="30">
        <v>47027.0</v>
      </c>
      <c r="CB314" s="30">
        <v>47118.0</v>
      </c>
      <c r="CC314" s="36">
        <v>0.0</v>
      </c>
      <c r="CD314" s="36">
        <v>0.0</v>
      </c>
      <c r="CE314" s="35" t="s">
        <v>7045</v>
      </c>
      <c r="CF314" s="30">
        <v>47119.0</v>
      </c>
      <c r="CG314" s="30">
        <v>47208.0</v>
      </c>
      <c r="CH314" s="36">
        <v>0.0</v>
      </c>
      <c r="CI314" s="36">
        <v>0.0</v>
      </c>
      <c r="CJ314" s="35" t="s">
        <v>7045</v>
      </c>
      <c r="CK314" s="30">
        <v>47209.0</v>
      </c>
      <c r="CL314" s="30">
        <v>47299.0</v>
      </c>
      <c r="CM314" s="36">
        <v>0.0</v>
      </c>
      <c r="CN314" s="36">
        <v>0.0</v>
      </c>
      <c r="CO314" s="35" t="s">
        <v>7045</v>
      </c>
      <c r="CP314" s="30">
        <v>47300.0</v>
      </c>
      <c r="CQ314" s="30">
        <v>47391.0</v>
      </c>
      <c r="CR314" s="36">
        <v>0.0</v>
      </c>
      <c r="CS314" s="36">
        <v>0.0</v>
      </c>
      <c r="CT314" s="35" t="s">
        <v>7045</v>
      </c>
      <c r="CU314" s="30">
        <v>47392.0</v>
      </c>
      <c r="CV314" s="30">
        <v>47483.0</v>
      </c>
      <c r="CW314" s="36">
        <v>0.0</v>
      </c>
      <c r="CX314" s="36">
        <v>0.0</v>
      </c>
      <c r="CY314" s="35" t="s">
        <v>7045</v>
      </c>
      <c r="CZ314" s="30">
        <v>47484.0</v>
      </c>
      <c r="DA314" s="30">
        <v>47573.0</v>
      </c>
      <c r="DB314" s="36">
        <v>0.0</v>
      </c>
      <c r="DC314" s="36">
        <v>0.0</v>
      </c>
      <c r="DD314" s="35" t="s">
        <v>7045</v>
      </c>
      <c r="DE314" s="30">
        <v>47574.0</v>
      </c>
      <c r="DF314" s="30">
        <v>47664.0</v>
      </c>
      <c r="DG314" s="36">
        <v>0.0</v>
      </c>
      <c r="DH314" s="36">
        <v>0.0</v>
      </c>
      <c r="DI314" s="35" t="s">
        <v>7045</v>
      </c>
      <c r="DJ314" s="30">
        <v>47665.0</v>
      </c>
      <c r="DK314" s="30">
        <v>47756.0</v>
      </c>
      <c r="DL314" s="36">
        <v>0.0</v>
      </c>
      <c r="DM314" s="36">
        <v>0.0</v>
      </c>
      <c r="DN314" s="35" t="s">
        <v>7045</v>
      </c>
      <c r="DO314" s="30">
        <v>47757.0</v>
      </c>
      <c r="DP314" s="30">
        <v>47848.0</v>
      </c>
      <c r="DQ314" s="36">
        <v>0.0</v>
      </c>
      <c r="DR314" s="36">
        <v>0.0</v>
      </c>
      <c r="DS314" s="35" t="s">
        <v>7045</v>
      </c>
    </row>
    <row r="315" ht="14.25" customHeight="1">
      <c r="A315" s="28" t="s">
        <v>4184</v>
      </c>
      <c r="B315" s="29" t="s">
        <v>4185</v>
      </c>
      <c r="C315" s="29" t="s">
        <v>7041</v>
      </c>
      <c r="D315" s="30">
        <v>45658.0</v>
      </c>
      <c r="E315" s="30">
        <v>45747.0</v>
      </c>
      <c r="F315" s="39">
        <v>17.79</v>
      </c>
      <c r="G315" s="39">
        <v>0.0</v>
      </c>
      <c r="H315" s="38" t="s">
        <v>7047</v>
      </c>
      <c r="I315" s="30">
        <v>45748.0</v>
      </c>
      <c r="J315" s="30">
        <v>45838.0</v>
      </c>
      <c r="K315" s="39">
        <v>21.87</v>
      </c>
      <c r="L315" s="39">
        <v>238.1</v>
      </c>
      <c r="M315" s="32" t="s">
        <v>7043</v>
      </c>
      <c r="N315" s="30">
        <v>45839.0</v>
      </c>
      <c r="O315" s="30">
        <v>45930.0</v>
      </c>
      <c r="P315" s="39">
        <v>54.0</v>
      </c>
      <c r="Q315" s="39">
        <v>238.1</v>
      </c>
      <c r="R315" s="38" t="s">
        <v>7047</v>
      </c>
      <c r="S315" s="30">
        <v>45931.0</v>
      </c>
      <c r="T315" s="30">
        <v>46022.0</v>
      </c>
      <c r="U315" s="39">
        <v>15.54</v>
      </c>
      <c r="V315" s="39">
        <v>238.1</v>
      </c>
      <c r="W315" s="38" t="s">
        <v>7047</v>
      </c>
      <c r="X315" s="30">
        <v>46023.0</v>
      </c>
      <c r="Y315" s="30">
        <v>46112.0</v>
      </c>
      <c r="Z315" s="39">
        <v>0.0</v>
      </c>
      <c r="AA315" s="39">
        <v>0.0</v>
      </c>
      <c r="AB315" s="35" t="s">
        <v>7045</v>
      </c>
      <c r="AC315" s="30">
        <v>46113.0</v>
      </c>
      <c r="AD315" s="30">
        <v>46203.0</v>
      </c>
      <c r="AE315" s="39">
        <v>0.0</v>
      </c>
      <c r="AF315" s="39">
        <v>0.0</v>
      </c>
      <c r="AG315" s="35" t="s">
        <v>7045</v>
      </c>
      <c r="AH315" s="30">
        <v>46204.0</v>
      </c>
      <c r="AI315" s="30">
        <v>46295.0</v>
      </c>
      <c r="AJ315" s="39">
        <v>9.97</v>
      </c>
      <c r="AK315" s="39">
        <v>0.0</v>
      </c>
      <c r="AL315" s="38" t="s">
        <v>7047</v>
      </c>
      <c r="AM315" s="30">
        <v>46296.0</v>
      </c>
      <c r="AN315" s="30">
        <v>46387.0</v>
      </c>
      <c r="AO315" s="39">
        <v>0.0</v>
      </c>
      <c r="AP315" s="39">
        <v>0.0</v>
      </c>
      <c r="AQ315" s="35" t="s">
        <v>7045</v>
      </c>
      <c r="AR315" s="30">
        <v>46388.0</v>
      </c>
      <c r="AS315" s="30">
        <v>46477.0</v>
      </c>
      <c r="AT315" s="39">
        <v>0.0</v>
      </c>
      <c r="AU315" s="39">
        <v>0.0</v>
      </c>
      <c r="AV315" s="35" t="s">
        <v>7045</v>
      </c>
      <c r="AW315" s="30">
        <v>46478.0</v>
      </c>
      <c r="AX315" s="30">
        <v>46568.0</v>
      </c>
      <c r="AY315" s="39">
        <v>0.0</v>
      </c>
      <c r="AZ315" s="39">
        <v>0.0</v>
      </c>
      <c r="BA315" s="35" t="s">
        <v>7045</v>
      </c>
      <c r="BB315" s="30">
        <v>46569.0</v>
      </c>
      <c r="BC315" s="30">
        <v>46660.0</v>
      </c>
      <c r="BD315" s="39">
        <v>0.0</v>
      </c>
      <c r="BE315" s="39">
        <v>0.0</v>
      </c>
      <c r="BF315" s="35" t="s">
        <v>7045</v>
      </c>
      <c r="BG315" s="30">
        <v>46661.0</v>
      </c>
      <c r="BH315" s="30">
        <v>46752.0</v>
      </c>
      <c r="BI315" s="39">
        <v>0.0</v>
      </c>
      <c r="BJ315" s="39">
        <v>0.0</v>
      </c>
      <c r="BK315" s="35" t="s">
        <v>7045</v>
      </c>
      <c r="BL315" s="30">
        <v>46753.0</v>
      </c>
      <c r="BM315" s="30">
        <v>46843.0</v>
      </c>
      <c r="BN315" s="39">
        <v>0.0</v>
      </c>
      <c r="BO315" s="39">
        <v>0.0</v>
      </c>
      <c r="BP315" s="35" t="s">
        <v>7045</v>
      </c>
      <c r="BQ315" s="30">
        <v>46844.0</v>
      </c>
      <c r="BR315" s="30">
        <v>46934.0</v>
      </c>
      <c r="BS315" s="39">
        <v>0.0</v>
      </c>
      <c r="BT315" s="39">
        <v>0.0</v>
      </c>
      <c r="BU315" s="35" t="s">
        <v>7045</v>
      </c>
      <c r="BV315" s="30">
        <v>46935.0</v>
      </c>
      <c r="BW315" s="30">
        <v>47026.0</v>
      </c>
      <c r="BX315" s="39">
        <v>0.0</v>
      </c>
      <c r="BY315" s="39">
        <v>0.0</v>
      </c>
      <c r="BZ315" s="35" t="s">
        <v>7045</v>
      </c>
      <c r="CA315" s="30">
        <v>47027.0</v>
      </c>
      <c r="CB315" s="30">
        <v>47118.0</v>
      </c>
      <c r="CC315" s="39">
        <v>0.0</v>
      </c>
      <c r="CD315" s="39">
        <v>0.0</v>
      </c>
      <c r="CE315" s="35" t="s">
        <v>7045</v>
      </c>
      <c r="CF315" s="30">
        <v>47119.0</v>
      </c>
      <c r="CG315" s="30">
        <v>47208.0</v>
      </c>
      <c r="CH315" s="39">
        <v>0.0</v>
      </c>
      <c r="CI315" s="39">
        <v>0.0</v>
      </c>
      <c r="CJ315" s="35" t="s">
        <v>7045</v>
      </c>
      <c r="CK315" s="30">
        <v>47209.0</v>
      </c>
      <c r="CL315" s="30">
        <v>47299.0</v>
      </c>
      <c r="CM315" s="39">
        <v>0.0</v>
      </c>
      <c r="CN315" s="39">
        <v>0.0</v>
      </c>
      <c r="CO315" s="35" t="s">
        <v>7045</v>
      </c>
      <c r="CP315" s="30">
        <v>47300.0</v>
      </c>
      <c r="CQ315" s="30">
        <v>47391.0</v>
      </c>
      <c r="CR315" s="39">
        <v>0.0</v>
      </c>
      <c r="CS315" s="39">
        <v>0.0</v>
      </c>
      <c r="CT315" s="35" t="s">
        <v>7045</v>
      </c>
      <c r="CU315" s="30">
        <v>47392.0</v>
      </c>
      <c r="CV315" s="30">
        <v>47483.0</v>
      </c>
      <c r="CW315" s="39">
        <v>0.0</v>
      </c>
      <c r="CX315" s="39">
        <v>0.0</v>
      </c>
      <c r="CY315" s="35" t="s">
        <v>7045</v>
      </c>
      <c r="CZ315" s="30">
        <v>47484.0</v>
      </c>
      <c r="DA315" s="30">
        <v>47573.0</v>
      </c>
      <c r="DB315" s="39">
        <v>0.0</v>
      </c>
      <c r="DC315" s="39">
        <v>0.0</v>
      </c>
      <c r="DD315" s="35" t="s">
        <v>7045</v>
      </c>
      <c r="DE315" s="30">
        <v>47574.0</v>
      </c>
      <c r="DF315" s="30">
        <v>47664.0</v>
      </c>
      <c r="DG315" s="39">
        <v>0.0</v>
      </c>
      <c r="DH315" s="39">
        <v>0.0</v>
      </c>
      <c r="DI315" s="35" t="s">
        <v>7045</v>
      </c>
      <c r="DJ315" s="30">
        <v>47665.0</v>
      </c>
      <c r="DK315" s="30">
        <v>47756.0</v>
      </c>
      <c r="DL315" s="39">
        <v>0.0</v>
      </c>
      <c r="DM315" s="39">
        <v>0.0</v>
      </c>
      <c r="DN315" s="35" t="s">
        <v>7045</v>
      </c>
      <c r="DO315" s="30">
        <v>47757.0</v>
      </c>
      <c r="DP315" s="30">
        <v>47848.0</v>
      </c>
      <c r="DQ315" s="39">
        <v>0.0</v>
      </c>
      <c r="DR315" s="39">
        <v>0.0</v>
      </c>
      <c r="DS315" s="35" t="s">
        <v>7045</v>
      </c>
    </row>
    <row r="316" ht="14.25" customHeight="1">
      <c r="A316" s="28" t="s">
        <v>4201</v>
      </c>
      <c r="B316" s="29" t="s">
        <v>4202</v>
      </c>
      <c r="C316" s="29" t="s">
        <v>7041</v>
      </c>
      <c r="D316" s="30">
        <v>45658.0</v>
      </c>
      <c r="E316" s="30">
        <v>45747.0</v>
      </c>
      <c r="F316" s="39">
        <v>28.0</v>
      </c>
      <c r="G316" s="39">
        <v>0.0</v>
      </c>
      <c r="H316" s="38" t="s">
        <v>7047</v>
      </c>
      <c r="I316" s="30">
        <v>45748.0</v>
      </c>
      <c r="J316" s="30">
        <v>45838.0</v>
      </c>
      <c r="K316" s="39">
        <v>30.0</v>
      </c>
      <c r="L316" s="39">
        <v>74.68</v>
      </c>
      <c r="M316" s="37" t="s">
        <v>7046</v>
      </c>
      <c r="N316" s="30">
        <v>45839.0</v>
      </c>
      <c r="O316" s="30">
        <v>45930.0</v>
      </c>
      <c r="P316" s="39">
        <v>58.0</v>
      </c>
      <c r="Q316" s="39">
        <v>113.92</v>
      </c>
      <c r="R316" s="38" t="s">
        <v>7047</v>
      </c>
      <c r="S316" s="30">
        <v>45931.0</v>
      </c>
      <c r="T316" s="30">
        <v>46022.0</v>
      </c>
      <c r="U316" s="39">
        <v>0.0</v>
      </c>
      <c r="V316" s="39">
        <v>159.49</v>
      </c>
      <c r="W316" s="32" t="s">
        <v>7043</v>
      </c>
      <c r="X316" s="30">
        <v>46023.0</v>
      </c>
      <c r="Y316" s="30">
        <v>46112.0</v>
      </c>
      <c r="Z316" s="39">
        <v>0.0</v>
      </c>
      <c r="AA316" s="39">
        <v>0.0</v>
      </c>
      <c r="AB316" s="35" t="s">
        <v>7045</v>
      </c>
      <c r="AC316" s="30">
        <v>46113.0</v>
      </c>
      <c r="AD316" s="30">
        <v>46203.0</v>
      </c>
      <c r="AE316" s="39">
        <v>0.0</v>
      </c>
      <c r="AF316" s="39">
        <v>0.0</v>
      </c>
      <c r="AG316" s="35" t="s">
        <v>7045</v>
      </c>
      <c r="AH316" s="30">
        <v>46204.0</v>
      </c>
      <c r="AI316" s="30">
        <v>46295.0</v>
      </c>
      <c r="AJ316" s="39">
        <v>0.0</v>
      </c>
      <c r="AK316" s="39">
        <v>0.0</v>
      </c>
      <c r="AL316" s="35" t="s">
        <v>7045</v>
      </c>
      <c r="AM316" s="30">
        <v>46296.0</v>
      </c>
      <c r="AN316" s="30">
        <v>46387.0</v>
      </c>
      <c r="AO316" s="39">
        <v>0.0</v>
      </c>
      <c r="AP316" s="39">
        <v>0.0</v>
      </c>
      <c r="AQ316" s="35" t="s">
        <v>7045</v>
      </c>
      <c r="AR316" s="30">
        <v>46388.0</v>
      </c>
      <c r="AS316" s="30">
        <v>46477.0</v>
      </c>
      <c r="AT316" s="39">
        <v>0.0</v>
      </c>
      <c r="AU316" s="39">
        <v>0.0</v>
      </c>
      <c r="AV316" s="35" t="s">
        <v>7045</v>
      </c>
      <c r="AW316" s="30">
        <v>46478.0</v>
      </c>
      <c r="AX316" s="30">
        <v>46568.0</v>
      </c>
      <c r="AY316" s="39">
        <v>0.0</v>
      </c>
      <c r="AZ316" s="39">
        <v>0.0</v>
      </c>
      <c r="BA316" s="35" t="s">
        <v>7045</v>
      </c>
      <c r="BB316" s="30">
        <v>46569.0</v>
      </c>
      <c r="BC316" s="30">
        <v>46660.0</v>
      </c>
      <c r="BD316" s="39">
        <v>0.0</v>
      </c>
      <c r="BE316" s="39">
        <v>0.0</v>
      </c>
      <c r="BF316" s="35" t="s">
        <v>7045</v>
      </c>
      <c r="BG316" s="30">
        <v>46661.0</v>
      </c>
      <c r="BH316" s="30">
        <v>46752.0</v>
      </c>
      <c r="BI316" s="39">
        <v>0.0</v>
      </c>
      <c r="BJ316" s="39">
        <v>0.0</v>
      </c>
      <c r="BK316" s="35" t="s">
        <v>7045</v>
      </c>
      <c r="BL316" s="30">
        <v>46753.0</v>
      </c>
      <c r="BM316" s="30">
        <v>46843.0</v>
      </c>
      <c r="BN316" s="39">
        <v>0.0</v>
      </c>
      <c r="BO316" s="39">
        <v>0.0</v>
      </c>
      <c r="BP316" s="35" t="s">
        <v>7045</v>
      </c>
      <c r="BQ316" s="30">
        <v>46844.0</v>
      </c>
      <c r="BR316" s="30">
        <v>46934.0</v>
      </c>
      <c r="BS316" s="39">
        <v>0.0</v>
      </c>
      <c r="BT316" s="39">
        <v>0.0</v>
      </c>
      <c r="BU316" s="35" t="s">
        <v>7045</v>
      </c>
      <c r="BV316" s="30">
        <v>46935.0</v>
      </c>
      <c r="BW316" s="30">
        <v>47026.0</v>
      </c>
      <c r="BX316" s="39">
        <v>0.0</v>
      </c>
      <c r="BY316" s="39">
        <v>0.0</v>
      </c>
      <c r="BZ316" s="35" t="s">
        <v>7045</v>
      </c>
      <c r="CA316" s="30">
        <v>47027.0</v>
      </c>
      <c r="CB316" s="30">
        <v>47118.0</v>
      </c>
      <c r="CC316" s="39">
        <v>0.0</v>
      </c>
      <c r="CD316" s="39">
        <v>0.0</v>
      </c>
      <c r="CE316" s="35" t="s">
        <v>7045</v>
      </c>
      <c r="CF316" s="30">
        <v>47119.0</v>
      </c>
      <c r="CG316" s="30">
        <v>47208.0</v>
      </c>
      <c r="CH316" s="39">
        <v>0.0</v>
      </c>
      <c r="CI316" s="39">
        <v>0.0</v>
      </c>
      <c r="CJ316" s="35" t="s">
        <v>7045</v>
      </c>
      <c r="CK316" s="30">
        <v>47209.0</v>
      </c>
      <c r="CL316" s="30">
        <v>47299.0</v>
      </c>
      <c r="CM316" s="39">
        <v>0.0</v>
      </c>
      <c r="CN316" s="39">
        <v>0.0</v>
      </c>
      <c r="CO316" s="35" t="s">
        <v>7045</v>
      </c>
      <c r="CP316" s="30">
        <v>47300.0</v>
      </c>
      <c r="CQ316" s="30">
        <v>47391.0</v>
      </c>
      <c r="CR316" s="39">
        <v>0.0</v>
      </c>
      <c r="CS316" s="39">
        <v>0.0</v>
      </c>
      <c r="CT316" s="35" t="s">
        <v>7045</v>
      </c>
      <c r="CU316" s="30">
        <v>47392.0</v>
      </c>
      <c r="CV316" s="30">
        <v>47483.0</v>
      </c>
      <c r="CW316" s="39">
        <v>0.0</v>
      </c>
      <c r="CX316" s="39">
        <v>0.0</v>
      </c>
      <c r="CY316" s="35" t="s">
        <v>7045</v>
      </c>
      <c r="CZ316" s="30">
        <v>47484.0</v>
      </c>
      <c r="DA316" s="30">
        <v>47573.0</v>
      </c>
      <c r="DB316" s="39">
        <v>0.0</v>
      </c>
      <c r="DC316" s="39">
        <v>0.0</v>
      </c>
      <c r="DD316" s="35" t="s">
        <v>7045</v>
      </c>
      <c r="DE316" s="30">
        <v>47574.0</v>
      </c>
      <c r="DF316" s="30">
        <v>47664.0</v>
      </c>
      <c r="DG316" s="39">
        <v>0.0</v>
      </c>
      <c r="DH316" s="39">
        <v>0.0</v>
      </c>
      <c r="DI316" s="35" t="s">
        <v>7045</v>
      </c>
      <c r="DJ316" s="30">
        <v>47665.0</v>
      </c>
      <c r="DK316" s="30">
        <v>47756.0</v>
      </c>
      <c r="DL316" s="39">
        <v>0.0</v>
      </c>
      <c r="DM316" s="39">
        <v>0.0</v>
      </c>
      <c r="DN316" s="35" t="s">
        <v>7045</v>
      </c>
      <c r="DO316" s="30">
        <v>47757.0</v>
      </c>
      <c r="DP316" s="30">
        <v>47848.0</v>
      </c>
      <c r="DQ316" s="39">
        <v>0.0</v>
      </c>
      <c r="DR316" s="39">
        <v>0.0</v>
      </c>
      <c r="DS316" s="35" t="s">
        <v>7045</v>
      </c>
    </row>
    <row r="317" ht="14.25" customHeight="1">
      <c r="A317" s="28" t="s">
        <v>4259</v>
      </c>
      <c r="B317" s="29" t="s">
        <v>4260</v>
      </c>
      <c r="C317" s="29" t="s">
        <v>7041</v>
      </c>
      <c r="D317" s="30">
        <v>45658.0</v>
      </c>
      <c r="E317" s="30">
        <v>45747.0</v>
      </c>
      <c r="F317" s="36">
        <v>50.0</v>
      </c>
      <c r="G317" s="36">
        <v>0.0</v>
      </c>
      <c r="H317" s="38" t="s">
        <v>7047</v>
      </c>
      <c r="I317" s="30">
        <v>45748.0</v>
      </c>
      <c r="J317" s="30">
        <v>45838.0</v>
      </c>
      <c r="K317" s="36">
        <v>50.0</v>
      </c>
      <c r="L317" s="36">
        <v>103.87</v>
      </c>
      <c r="M317" s="38" t="s">
        <v>7047</v>
      </c>
      <c r="N317" s="30">
        <v>45839.0</v>
      </c>
      <c r="O317" s="30">
        <v>45930.0</v>
      </c>
      <c r="P317" s="36">
        <v>45.13</v>
      </c>
      <c r="Q317" s="36">
        <v>155.9</v>
      </c>
      <c r="R317" s="38" t="s">
        <v>7047</v>
      </c>
      <c r="S317" s="30">
        <v>45931.0</v>
      </c>
      <c r="T317" s="30">
        <v>46022.0</v>
      </c>
      <c r="U317" s="36">
        <v>0.0</v>
      </c>
      <c r="V317" s="36">
        <v>155.9</v>
      </c>
      <c r="W317" s="32" t="s">
        <v>7043</v>
      </c>
      <c r="X317" s="30">
        <v>46023.0</v>
      </c>
      <c r="Y317" s="30">
        <v>46112.0</v>
      </c>
      <c r="Z317" s="36">
        <v>0.0</v>
      </c>
      <c r="AA317" s="36">
        <v>0.0</v>
      </c>
      <c r="AB317" s="35" t="s">
        <v>7045</v>
      </c>
      <c r="AC317" s="30">
        <v>46113.0</v>
      </c>
      <c r="AD317" s="30">
        <v>46203.0</v>
      </c>
      <c r="AE317" s="36">
        <v>0.0</v>
      </c>
      <c r="AF317" s="36">
        <v>0.0</v>
      </c>
      <c r="AG317" s="35" t="s">
        <v>7045</v>
      </c>
      <c r="AH317" s="30">
        <v>46204.0</v>
      </c>
      <c r="AI317" s="30">
        <v>46295.0</v>
      </c>
      <c r="AJ317" s="36">
        <v>95.55</v>
      </c>
      <c r="AK317" s="36">
        <v>0.0</v>
      </c>
      <c r="AL317" s="38" t="s">
        <v>7047</v>
      </c>
      <c r="AM317" s="30">
        <v>46296.0</v>
      </c>
      <c r="AN317" s="30">
        <v>46387.0</v>
      </c>
      <c r="AO317" s="36">
        <v>0.0</v>
      </c>
      <c r="AP317" s="36">
        <v>0.0</v>
      </c>
      <c r="AQ317" s="35" t="s">
        <v>7045</v>
      </c>
      <c r="AR317" s="30">
        <v>46388.0</v>
      </c>
      <c r="AS317" s="30">
        <v>46477.0</v>
      </c>
      <c r="AT317" s="36">
        <v>0.0</v>
      </c>
      <c r="AU317" s="36">
        <v>0.0</v>
      </c>
      <c r="AV317" s="35" t="s">
        <v>7045</v>
      </c>
      <c r="AW317" s="30">
        <v>46478.0</v>
      </c>
      <c r="AX317" s="30">
        <v>46568.0</v>
      </c>
      <c r="AY317" s="36">
        <v>0.0</v>
      </c>
      <c r="AZ317" s="36">
        <v>0.0</v>
      </c>
      <c r="BA317" s="35" t="s">
        <v>7045</v>
      </c>
      <c r="BB317" s="30">
        <v>46569.0</v>
      </c>
      <c r="BC317" s="30">
        <v>46660.0</v>
      </c>
      <c r="BD317" s="36">
        <v>0.0</v>
      </c>
      <c r="BE317" s="36">
        <v>0.0</v>
      </c>
      <c r="BF317" s="35" t="s">
        <v>7045</v>
      </c>
      <c r="BG317" s="30">
        <v>46661.0</v>
      </c>
      <c r="BH317" s="30">
        <v>46752.0</v>
      </c>
      <c r="BI317" s="36">
        <v>0.0</v>
      </c>
      <c r="BJ317" s="36">
        <v>0.0</v>
      </c>
      <c r="BK317" s="35" t="s">
        <v>7045</v>
      </c>
      <c r="BL317" s="30">
        <v>46753.0</v>
      </c>
      <c r="BM317" s="30">
        <v>46843.0</v>
      </c>
      <c r="BN317" s="36">
        <v>0.0</v>
      </c>
      <c r="BO317" s="36">
        <v>0.0</v>
      </c>
      <c r="BP317" s="35" t="s">
        <v>7045</v>
      </c>
      <c r="BQ317" s="30">
        <v>46844.0</v>
      </c>
      <c r="BR317" s="30">
        <v>46934.0</v>
      </c>
      <c r="BS317" s="36">
        <v>0.0</v>
      </c>
      <c r="BT317" s="36">
        <v>0.0</v>
      </c>
      <c r="BU317" s="35" t="s">
        <v>7045</v>
      </c>
      <c r="BV317" s="30">
        <v>46935.0</v>
      </c>
      <c r="BW317" s="30">
        <v>47026.0</v>
      </c>
      <c r="BX317" s="36">
        <v>0.0</v>
      </c>
      <c r="BY317" s="36">
        <v>0.0</v>
      </c>
      <c r="BZ317" s="35" t="s">
        <v>7045</v>
      </c>
      <c r="CA317" s="30">
        <v>47027.0</v>
      </c>
      <c r="CB317" s="30">
        <v>47118.0</v>
      </c>
      <c r="CC317" s="36">
        <v>0.0</v>
      </c>
      <c r="CD317" s="36">
        <v>0.0</v>
      </c>
      <c r="CE317" s="35" t="s">
        <v>7045</v>
      </c>
      <c r="CF317" s="30">
        <v>47119.0</v>
      </c>
      <c r="CG317" s="30">
        <v>47208.0</v>
      </c>
      <c r="CH317" s="36">
        <v>0.0</v>
      </c>
      <c r="CI317" s="36">
        <v>0.0</v>
      </c>
      <c r="CJ317" s="35" t="s">
        <v>7045</v>
      </c>
      <c r="CK317" s="30">
        <v>47209.0</v>
      </c>
      <c r="CL317" s="30">
        <v>47299.0</v>
      </c>
      <c r="CM317" s="36">
        <v>0.0</v>
      </c>
      <c r="CN317" s="36">
        <v>0.0</v>
      </c>
      <c r="CO317" s="35" t="s">
        <v>7045</v>
      </c>
      <c r="CP317" s="30">
        <v>47300.0</v>
      </c>
      <c r="CQ317" s="30">
        <v>47391.0</v>
      </c>
      <c r="CR317" s="36">
        <v>0.0</v>
      </c>
      <c r="CS317" s="36">
        <v>0.0</v>
      </c>
      <c r="CT317" s="35" t="s">
        <v>7045</v>
      </c>
      <c r="CU317" s="30">
        <v>47392.0</v>
      </c>
      <c r="CV317" s="30">
        <v>47483.0</v>
      </c>
      <c r="CW317" s="36">
        <v>0.0</v>
      </c>
      <c r="CX317" s="36">
        <v>0.0</v>
      </c>
      <c r="CY317" s="35" t="s">
        <v>7045</v>
      </c>
      <c r="CZ317" s="30">
        <v>47484.0</v>
      </c>
      <c r="DA317" s="30">
        <v>47573.0</v>
      </c>
      <c r="DB317" s="36">
        <v>0.0</v>
      </c>
      <c r="DC317" s="36">
        <v>0.0</v>
      </c>
      <c r="DD317" s="35" t="s">
        <v>7045</v>
      </c>
      <c r="DE317" s="30">
        <v>47574.0</v>
      </c>
      <c r="DF317" s="30">
        <v>47664.0</v>
      </c>
      <c r="DG317" s="36">
        <v>0.0</v>
      </c>
      <c r="DH317" s="36">
        <v>0.0</v>
      </c>
      <c r="DI317" s="35" t="s">
        <v>7045</v>
      </c>
      <c r="DJ317" s="30">
        <v>47665.0</v>
      </c>
      <c r="DK317" s="30">
        <v>47756.0</v>
      </c>
      <c r="DL317" s="36">
        <v>0.0</v>
      </c>
      <c r="DM317" s="36">
        <v>0.0</v>
      </c>
      <c r="DN317" s="35" t="s">
        <v>7045</v>
      </c>
      <c r="DO317" s="30">
        <v>47757.0</v>
      </c>
      <c r="DP317" s="30">
        <v>47848.0</v>
      </c>
      <c r="DQ317" s="36">
        <v>0.0</v>
      </c>
      <c r="DR317" s="36">
        <v>0.0</v>
      </c>
      <c r="DS317" s="35" t="s">
        <v>7045</v>
      </c>
    </row>
    <row r="318" ht="14.25" customHeight="1">
      <c r="A318" s="28" t="s">
        <v>4390</v>
      </c>
      <c r="B318" s="29" t="s">
        <v>4391</v>
      </c>
      <c r="C318" s="29" t="s">
        <v>7041</v>
      </c>
      <c r="D318" s="30">
        <v>45658.0</v>
      </c>
      <c r="E318" s="30">
        <v>45747.0</v>
      </c>
      <c r="F318" s="39">
        <v>1.14</v>
      </c>
      <c r="G318" s="39">
        <v>0.0</v>
      </c>
      <c r="H318" s="38" t="s">
        <v>7047</v>
      </c>
      <c r="I318" s="30">
        <v>45748.0</v>
      </c>
      <c r="J318" s="30">
        <v>45838.0</v>
      </c>
      <c r="K318" s="39">
        <v>6.0</v>
      </c>
      <c r="L318" s="39">
        <v>209.03</v>
      </c>
      <c r="M318" s="37" t="s">
        <v>7043</v>
      </c>
      <c r="N318" s="30">
        <v>45839.0</v>
      </c>
      <c r="O318" s="30">
        <v>45930.0</v>
      </c>
      <c r="P318" s="39">
        <v>12.74</v>
      </c>
      <c r="Q318" s="39">
        <v>199.03</v>
      </c>
      <c r="R318" s="38" t="s">
        <v>7047</v>
      </c>
      <c r="S318" s="30">
        <v>45931.0</v>
      </c>
      <c r="T318" s="30">
        <v>46022.0</v>
      </c>
      <c r="U318" s="39">
        <v>80.0</v>
      </c>
      <c r="V318" s="39">
        <v>396.13</v>
      </c>
      <c r="W318" s="38" t="s">
        <v>7047</v>
      </c>
      <c r="X318" s="30">
        <v>46023.0</v>
      </c>
      <c r="Y318" s="30">
        <v>46112.0</v>
      </c>
      <c r="Z318" s="39">
        <v>20.0</v>
      </c>
      <c r="AA318" s="39">
        <v>0.0</v>
      </c>
      <c r="AB318" s="35" t="s">
        <v>7047</v>
      </c>
      <c r="AC318" s="30">
        <v>46113.0</v>
      </c>
      <c r="AD318" s="30">
        <v>46203.0</v>
      </c>
      <c r="AE318" s="39">
        <v>20.0</v>
      </c>
      <c r="AF318" s="39">
        <v>0.0</v>
      </c>
      <c r="AG318" s="38" t="s">
        <v>7047</v>
      </c>
      <c r="AH318" s="30">
        <v>46204.0</v>
      </c>
      <c r="AI318" s="30">
        <v>46295.0</v>
      </c>
      <c r="AJ318" s="39">
        <v>0.0</v>
      </c>
      <c r="AK318" s="39">
        <v>0.0</v>
      </c>
      <c r="AL318" s="35" t="s">
        <v>7045</v>
      </c>
      <c r="AM318" s="30">
        <v>46296.0</v>
      </c>
      <c r="AN318" s="30">
        <v>46387.0</v>
      </c>
      <c r="AO318" s="39">
        <v>20.0</v>
      </c>
      <c r="AP318" s="39">
        <v>0.0</v>
      </c>
      <c r="AQ318" s="38" t="s">
        <v>7047</v>
      </c>
      <c r="AR318" s="30">
        <v>46388.0</v>
      </c>
      <c r="AS318" s="30">
        <v>46477.0</v>
      </c>
      <c r="AT318" s="39">
        <v>0.0</v>
      </c>
      <c r="AU318" s="39">
        <v>0.0</v>
      </c>
      <c r="AV318" s="35" t="s">
        <v>7045</v>
      </c>
      <c r="AW318" s="30">
        <v>46478.0</v>
      </c>
      <c r="AX318" s="30">
        <v>46568.0</v>
      </c>
      <c r="AY318" s="39">
        <v>0.0</v>
      </c>
      <c r="AZ318" s="39">
        <v>0.0</v>
      </c>
      <c r="BA318" s="35" t="s">
        <v>7045</v>
      </c>
      <c r="BB318" s="30">
        <v>46569.0</v>
      </c>
      <c r="BC318" s="30">
        <v>46660.0</v>
      </c>
      <c r="BD318" s="39">
        <v>0.0</v>
      </c>
      <c r="BE318" s="39">
        <v>0.0</v>
      </c>
      <c r="BF318" s="35" t="s">
        <v>7045</v>
      </c>
      <c r="BG318" s="30">
        <v>46661.0</v>
      </c>
      <c r="BH318" s="30">
        <v>46752.0</v>
      </c>
      <c r="BI318" s="39">
        <v>0.0</v>
      </c>
      <c r="BJ318" s="39">
        <v>0.0</v>
      </c>
      <c r="BK318" s="35" t="s">
        <v>7045</v>
      </c>
      <c r="BL318" s="30">
        <v>46753.0</v>
      </c>
      <c r="BM318" s="30">
        <v>46843.0</v>
      </c>
      <c r="BN318" s="39">
        <v>0.0</v>
      </c>
      <c r="BO318" s="39">
        <v>0.0</v>
      </c>
      <c r="BP318" s="35" t="s">
        <v>7045</v>
      </c>
      <c r="BQ318" s="30">
        <v>46844.0</v>
      </c>
      <c r="BR318" s="30">
        <v>46934.0</v>
      </c>
      <c r="BS318" s="39">
        <v>0.0</v>
      </c>
      <c r="BT318" s="39">
        <v>0.0</v>
      </c>
      <c r="BU318" s="35" t="s">
        <v>7045</v>
      </c>
      <c r="BV318" s="30">
        <v>46935.0</v>
      </c>
      <c r="BW318" s="30">
        <v>47026.0</v>
      </c>
      <c r="BX318" s="39">
        <v>0.0</v>
      </c>
      <c r="BY318" s="39">
        <v>0.0</v>
      </c>
      <c r="BZ318" s="35" t="s">
        <v>7045</v>
      </c>
      <c r="CA318" s="30">
        <v>47027.0</v>
      </c>
      <c r="CB318" s="30">
        <v>47118.0</v>
      </c>
      <c r="CC318" s="39">
        <v>0.0</v>
      </c>
      <c r="CD318" s="39">
        <v>0.0</v>
      </c>
      <c r="CE318" s="35" t="s">
        <v>7045</v>
      </c>
      <c r="CF318" s="30">
        <v>47119.0</v>
      </c>
      <c r="CG318" s="30">
        <v>47208.0</v>
      </c>
      <c r="CH318" s="39">
        <v>0.0</v>
      </c>
      <c r="CI318" s="39">
        <v>0.0</v>
      </c>
      <c r="CJ318" s="35" t="s">
        <v>7045</v>
      </c>
      <c r="CK318" s="30">
        <v>47209.0</v>
      </c>
      <c r="CL318" s="30">
        <v>47299.0</v>
      </c>
      <c r="CM318" s="39">
        <v>0.0</v>
      </c>
      <c r="CN318" s="39">
        <v>0.0</v>
      </c>
      <c r="CO318" s="35" t="s">
        <v>7045</v>
      </c>
      <c r="CP318" s="30">
        <v>47300.0</v>
      </c>
      <c r="CQ318" s="30">
        <v>47391.0</v>
      </c>
      <c r="CR318" s="39">
        <v>0.0</v>
      </c>
      <c r="CS318" s="39">
        <v>0.0</v>
      </c>
      <c r="CT318" s="35" t="s">
        <v>7045</v>
      </c>
      <c r="CU318" s="30">
        <v>47392.0</v>
      </c>
      <c r="CV318" s="30">
        <v>47483.0</v>
      </c>
      <c r="CW318" s="39">
        <v>0.0</v>
      </c>
      <c r="CX318" s="39">
        <v>0.0</v>
      </c>
      <c r="CY318" s="35" t="s">
        <v>7045</v>
      </c>
      <c r="CZ318" s="30">
        <v>47484.0</v>
      </c>
      <c r="DA318" s="30">
        <v>47573.0</v>
      </c>
      <c r="DB318" s="39">
        <v>0.0</v>
      </c>
      <c r="DC318" s="39">
        <v>0.0</v>
      </c>
      <c r="DD318" s="35" t="s">
        <v>7045</v>
      </c>
      <c r="DE318" s="30">
        <v>47574.0</v>
      </c>
      <c r="DF318" s="30">
        <v>47664.0</v>
      </c>
      <c r="DG318" s="39">
        <v>0.0</v>
      </c>
      <c r="DH318" s="39">
        <v>0.0</v>
      </c>
      <c r="DI318" s="35" t="s">
        <v>7045</v>
      </c>
      <c r="DJ318" s="30">
        <v>47665.0</v>
      </c>
      <c r="DK318" s="30">
        <v>47756.0</v>
      </c>
      <c r="DL318" s="39">
        <v>0.0</v>
      </c>
      <c r="DM318" s="39">
        <v>0.0</v>
      </c>
      <c r="DN318" s="35" t="s">
        <v>7045</v>
      </c>
      <c r="DO318" s="30">
        <v>47757.0</v>
      </c>
      <c r="DP318" s="30">
        <v>47848.0</v>
      </c>
      <c r="DQ318" s="39">
        <v>0.0</v>
      </c>
      <c r="DR318" s="39">
        <v>0.0</v>
      </c>
      <c r="DS318" s="35" t="s">
        <v>7045</v>
      </c>
    </row>
    <row r="319" ht="14.25" customHeight="1">
      <c r="A319" s="28" t="s">
        <v>4404</v>
      </c>
      <c r="B319" s="29" t="s">
        <v>4405</v>
      </c>
      <c r="C319" s="29" t="s">
        <v>7041</v>
      </c>
      <c r="D319" s="30">
        <v>45658.0</v>
      </c>
      <c r="E319" s="30">
        <v>45747.0</v>
      </c>
      <c r="F319" s="39">
        <v>10.0</v>
      </c>
      <c r="G319" s="39">
        <v>0.0</v>
      </c>
      <c r="H319" s="38" t="s">
        <v>7047</v>
      </c>
      <c r="I319" s="30">
        <v>45748.0</v>
      </c>
      <c r="J319" s="30">
        <v>45838.0</v>
      </c>
      <c r="K319" s="39">
        <v>15.0</v>
      </c>
      <c r="L319" s="39">
        <v>0.0</v>
      </c>
      <c r="M319" s="38" t="s">
        <v>7047</v>
      </c>
      <c r="N319" s="30">
        <v>45839.0</v>
      </c>
      <c r="O319" s="30">
        <v>45930.0</v>
      </c>
      <c r="P319" s="39">
        <v>57.0</v>
      </c>
      <c r="Q319" s="39">
        <v>319.44</v>
      </c>
      <c r="R319" s="38" t="s">
        <v>7047</v>
      </c>
      <c r="S319" s="30">
        <v>45931.0</v>
      </c>
      <c r="T319" s="30">
        <v>46022.0</v>
      </c>
      <c r="U319" s="39">
        <v>65.0</v>
      </c>
      <c r="V319" s="39">
        <v>333.33</v>
      </c>
      <c r="W319" s="38" t="s">
        <v>7047</v>
      </c>
      <c r="X319" s="30">
        <v>46023.0</v>
      </c>
      <c r="Y319" s="30">
        <v>46112.0</v>
      </c>
      <c r="Z319" s="39">
        <v>40.0</v>
      </c>
      <c r="AA319" s="39">
        <v>0.0</v>
      </c>
      <c r="AB319" s="38" t="s">
        <v>7047</v>
      </c>
      <c r="AC319" s="30">
        <v>46113.0</v>
      </c>
      <c r="AD319" s="30">
        <v>46203.0</v>
      </c>
      <c r="AE319" s="39">
        <v>30.0</v>
      </c>
      <c r="AF319" s="39">
        <v>0.0</v>
      </c>
      <c r="AG319" s="38" t="s">
        <v>7047</v>
      </c>
      <c r="AH319" s="30">
        <v>46204.0</v>
      </c>
      <c r="AI319" s="30">
        <v>46295.0</v>
      </c>
      <c r="AJ319" s="39">
        <v>0.0</v>
      </c>
      <c r="AK319" s="39">
        <v>0.0</v>
      </c>
      <c r="AL319" s="35" t="s">
        <v>7045</v>
      </c>
      <c r="AM319" s="30">
        <v>46296.0</v>
      </c>
      <c r="AN319" s="30">
        <v>46387.0</v>
      </c>
      <c r="AO319" s="39">
        <v>0.0</v>
      </c>
      <c r="AP319" s="39">
        <v>0.0</v>
      </c>
      <c r="AQ319" s="35" t="s">
        <v>7045</v>
      </c>
      <c r="AR319" s="30">
        <v>46388.0</v>
      </c>
      <c r="AS319" s="30">
        <v>46477.0</v>
      </c>
      <c r="AT319" s="39">
        <v>0.0</v>
      </c>
      <c r="AU319" s="39">
        <v>0.0</v>
      </c>
      <c r="AV319" s="35" t="s">
        <v>7045</v>
      </c>
      <c r="AW319" s="30">
        <v>46478.0</v>
      </c>
      <c r="AX319" s="30">
        <v>46568.0</v>
      </c>
      <c r="AY319" s="39">
        <v>0.0</v>
      </c>
      <c r="AZ319" s="39">
        <v>0.0</v>
      </c>
      <c r="BA319" s="35" t="s">
        <v>7045</v>
      </c>
      <c r="BB319" s="30">
        <v>46569.0</v>
      </c>
      <c r="BC319" s="30">
        <v>46660.0</v>
      </c>
      <c r="BD319" s="39">
        <v>0.0</v>
      </c>
      <c r="BE319" s="39">
        <v>0.0</v>
      </c>
      <c r="BF319" s="35" t="s">
        <v>7045</v>
      </c>
      <c r="BG319" s="30">
        <v>46661.0</v>
      </c>
      <c r="BH319" s="30">
        <v>46752.0</v>
      </c>
      <c r="BI319" s="39">
        <v>0.0</v>
      </c>
      <c r="BJ319" s="39">
        <v>0.0</v>
      </c>
      <c r="BK319" s="35" t="s">
        <v>7045</v>
      </c>
      <c r="BL319" s="30">
        <v>46753.0</v>
      </c>
      <c r="BM319" s="30">
        <v>46843.0</v>
      </c>
      <c r="BN319" s="39">
        <v>0.0</v>
      </c>
      <c r="BO319" s="39">
        <v>0.0</v>
      </c>
      <c r="BP319" s="35" t="s">
        <v>7045</v>
      </c>
      <c r="BQ319" s="30">
        <v>46844.0</v>
      </c>
      <c r="BR319" s="30">
        <v>46934.0</v>
      </c>
      <c r="BS319" s="39">
        <v>0.0</v>
      </c>
      <c r="BT319" s="39">
        <v>0.0</v>
      </c>
      <c r="BU319" s="35" t="s">
        <v>7045</v>
      </c>
      <c r="BV319" s="30">
        <v>46935.0</v>
      </c>
      <c r="BW319" s="30">
        <v>47026.0</v>
      </c>
      <c r="BX319" s="39">
        <v>0.0</v>
      </c>
      <c r="BY319" s="39">
        <v>0.0</v>
      </c>
      <c r="BZ319" s="35" t="s">
        <v>7045</v>
      </c>
      <c r="CA319" s="30">
        <v>47027.0</v>
      </c>
      <c r="CB319" s="30">
        <v>47118.0</v>
      </c>
      <c r="CC319" s="39">
        <v>0.0</v>
      </c>
      <c r="CD319" s="39">
        <v>0.0</v>
      </c>
      <c r="CE319" s="35" t="s">
        <v>7045</v>
      </c>
      <c r="CF319" s="30">
        <v>47119.0</v>
      </c>
      <c r="CG319" s="30">
        <v>47208.0</v>
      </c>
      <c r="CH319" s="39">
        <v>0.0</v>
      </c>
      <c r="CI319" s="39">
        <v>0.0</v>
      </c>
      <c r="CJ319" s="35" t="s">
        <v>7045</v>
      </c>
      <c r="CK319" s="30">
        <v>47209.0</v>
      </c>
      <c r="CL319" s="30">
        <v>47299.0</v>
      </c>
      <c r="CM319" s="39">
        <v>0.0</v>
      </c>
      <c r="CN319" s="39">
        <v>0.0</v>
      </c>
      <c r="CO319" s="35" t="s">
        <v>7045</v>
      </c>
      <c r="CP319" s="30">
        <v>47300.0</v>
      </c>
      <c r="CQ319" s="30">
        <v>47391.0</v>
      </c>
      <c r="CR319" s="39">
        <v>0.0</v>
      </c>
      <c r="CS319" s="39">
        <v>0.0</v>
      </c>
      <c r="CT319" s="35" t="s">
        <v>7045</v>
      </c>
      <c r="CU319" s="30">
        <v>47392.0</v>
      </c>
      <c r="CV319" s="30">
        <v>47483.0</v>
      </c>
      <c r="CW319" s="39">
        <v>0.0</v>
      </c>
      <c r="CX319" s="39">
        <v>0.0</v>
      </c>
      <c r="CY319" s="35" t="s">
        <v>7045</v>
      </c>
      <c r="CZ319" s="30">
        <v>47484.0</v>
      </c>
      <c r="DA319" s="30">
        <v>47573.0</v>
      </c>
      <c r="DB319" s="39">
        <v>0.0</v>
      </c>
      <c r="DC319" s="39">
        <v>0.0</v>
      </c>
      <c r="DD319" s="35" t="s">
        <v>7045</v>
      </c>
      <c r="DE319" s="30">
        <v>47574.0</v>
      </c>
      <c r="DF319" s="30">
        <v>47664.0</v>
      </c>
      <c r="DG319" s="39">
        <v>0.0</v>
      </c>
      <c r="DH319" s="39">
        <v>0.0</v>
      </c>
      <c r="DI319" s="35" t="s">
        <v>7045</v>
      </c>
      <c r="DJ319" s="30">
        <v>47665.0</v>
      </c>
      <c r="DK319" s="30">
        <v>47756.0</v>
      </c>
      <c r="DL319" s="39">
        <v>0.0</v>
      </c>
      <c r="DM319" s="39">
        <v>0.0</v>
      </c>
      <c r="DN319" s="35" t="s">
        <v>7045</v>
      </c>
      <c r="DO319" s="30">
        <v>47757.0</v>
      </c>
      <c r="DP319" s="30">
        <v>47848.0</v>
      </c>
      <c r="DQ319" s="39">
        <v>0.0</v>
      </c>
      <c r="DR319" s="39">
        <v>0.0</v>
      </c>
      <c r="DS319" s="35" t="s">
        <v>7045</v>
      </c>
    </row>
    <row r="320" ht="14.25" customHeight="1">
      <c r="A320" s="28" t="s">
        <v>4419</v>
      </c>
      <c r="B320" s="29" t="s">
        <v>4420</v>
      </c>
      <c r="C320" s="29" t="s">
        <v>7041</v>
      </c>
      <c r="D320" s="30">
        <v>45658.0</v>
      </c>
      <c r="E320" s="30">
        <v>45747.0</v>
      </c>
      <c r="F320" s="36">
        <v>20.0</v>
      </c>
      <c r="G320" s="36">
        <v>0.0</v>
      </c>
      <c r="H320" s="38" t="s">
        <v>7047</v>
      </c>
      <c r="I320" s="30">
        <v>45748.0</v>
      </c>
      <c r="J320" s="30">
        <v>45838.0</v>
      </c>
      <c r="K320" s="36">
        <v>0.0</v>
      </c>
      <c r="L320" s="36">
        <v>579.97</v>
      </c>
      <c r="M320" s="32" t="s">
        <v>7043</v>
      </c>
      <c r="N320" s="30">
        <v>45839.0</v>
      </c>
      <c r="O320" s="30">
        <v>45930.0</v>
      </c>
      <c r="P320" s="36">
        <v>0.0</v>
      </c>
      <c r="Q320" s="36">
        <v>400.0</v>
      </c>
      <c r="R320" s="32" t="s">
        <v>7043</v>
      </c>
      <c r="S320" s="30">
        <v>45931.0</v>
      </c>
      <c r="T320" s="30">
        <v>46022.0</v>
      </c>
      <c r="U320" s="36">
        <v>0.0</v>
      </c>
      <c r="V320" s="36">
        <v>570.02</v>
      </c>
      <c r="W320" s="32" t="s">
        <v>7043</v>
      </c>
      <c r="X320" s="30">
        <v>46023.0</v>
      </c>
      <c r="Y320" s="30">
        <v>46112.0</v>
      </c>
      <c r="Z320" s="36">
        <v>0.0</v>
      </c>
      <c r="AA320" s="36">
        <v>0.0</v>
      </c>
      <c r="AB320" s="35" t="s">
        <v>7045</v>
      </c>
      <c r="AC320" s="30">
        <v>46113.0</v>
      </c>
      <c r="AD320" s="30">
        <v>46203.0</v>
      </c>
      <c r="AE320" s="36">
        <v>0.0</v>
      </c>
      <c r="AF320" s="36">
        <v>0.0</v>
      </c>
      <c r="AG320" s="35" t="s">
        <v>7045</v>
      </c>
      <c r="AH320" s="30">
        <v>46204.0</v>
      </c>
      <c r="AI320" s="30">
        <v>46295.0</v>
      </c>
      <c r="AJ320" s="36">
        <v>0.0</v>
      </c>
      <c r="AK320" s="36">
        <v>0.0</v>
      </c>
      <c r="AL320" s="35" t="s">
        <v>7045</v>
      </c>
      <c r="AM320" s="30">
        <v>46296.0</v>
      </c>
      <c r="AN320" s="30">
        <v>46387.0</v>
      </c>
      <c r="AO320" s="36">
        <v>0.0</v>
      </c>
      <c r="AP320" s="36">
        <v>0.0</v>
      </c>
      <c r="AQ320" s="35" t="s">
        <v>7045</v>
      </c>
      <c r="AR320" s="30">
        <v>46388.0</v>
      </c>
      <c r="AS320" s="30">
        <v>46477.0</v>
      </c>
      <c r="AT320" s="36">
        <v>0.0</v>
      </c>
      <c r="AU320" s="36">
        <v>0.0</v>
      </c>
      <c r="AV320" s="35" t="s">
        <v>7045</v>
      </c>
      <c r="AW320" s="30">
        <v>46478.0</v>
      </c>
      <c r="AX320" s="30">
        <v>46568.0</v>
      </c>
      <c r="AY320" s="36">
        <v>0.0</v>
      </c>
      <c r="AZ320" s="36">
        <v>0.0</v>
      </c>
      <c r="BA320" s="35" t="s">
        <v>7045</v>
      </c>
      <c r="BB320" s="30">
        <v>46569.0</v>
      </c>
      <c r="BC320" s="30">
        <v>46660.0</v>
      </c>
      <c r="BD320" s="36">
        <v>0.0</v>
      </c>
      <c r="BE320" s="36">
        <v>0.0</v>
      </c>
      <c r="BF320" s="35" t="s">
        <v>7045</v>
      </c>
      <c r="BG320" s="30">
        <v>46661.0</v>
      </c>
      <c r="BH320" s="30">
        <v>46752.0</v>
      </c>
      <c r="BI320" s="36">
        <v>0.0</v>
      </c>
      <c r="BJ320" s="36">
        <v>0.0</v>
      </c>
      <c r="BK320" s="35" t="s">
        <v>7045</v>
      </c>
      <c r="BL320" s="30">
        <v>46753.0</v>
      </c>
      <c r="BM320" s="30">
        <v>46843.0</v>
      </c>
      <c r="BN320" s="36">
        <v>0.0</v>
      </c>
      <c r="BO320" s="36">
        <v>0.0</v>
      </c>
      <c r="BP320" s="35" t="s">
        <v>7045</v>
      </c>
      <c r="BQ320" s="30">
        <v>46844.0</v>
      </c>
      <c r="BR320" s="30">
        <v>46934.0</v>
      </c>
      <c r="BS320" s="36">
        <v>0.0</v>
      </c>
      <c r="BT320" s="36">
        <v>0.0</v>
      </c>
      <c r="BU320" s="35" t="s">
        <v>7045</v>
      </c>
      <c r="BV320" s="30">
        <v>46935.0</v>
      </c>
      <c r="BW320" s="30">
        <v>47026.0</v>
      </c>
      <c r="BX320" s="36">
        <v>0.0</v>
      </c>
      <c r="BY320" s="36">
        <v>0.0</v>
      </c>
      <c r="BZ320" s="35" t="s">
        <v>7045</v>
      </c>
      <c r="CA320" s="30">
        <v>47027.0</v>
      </c>
      <c r="CB320" s="30">
        <v>47118.0</v>
      </c>
      <c r="CC320" s="36">
        <v>0.0</v>
      </c>
      <c r="CD320" s="36">
        <v>0.0</v>
      </c>
      <c r="CE320" s="35" t="s">
        <v>7045</v>
      </c>
      <c r="CF320" s="30">
        <v>47119.0</v>
      </c>
      <c r="CG320" s="30">
        <v>47208.0</v>
      </c>
      <c r="CH320" s="36">
        <v>0.0</v>
      </c>
      <c r="CI320" s="36">
        <v>0.0</v>
      </c>
      <c r="CJ320" s="35" t="s">
        <v>7045</v>
      </c>
      <c r="CK320" s="30">
        <v>47209.0</v>
      </c>
      <c r="CL320" s="30">
        <v>47299.0</v>
      </c>
      <c r="CM320" s="36">
        <v>0.0</v>
      </c>
      <c r="CN320" s="36">
        <v>0.0</v>
      </c>
      <c r="CO320" s="35" t="s">
        <v>7045</v>
      </c>
      <c r="CP320" s="30">
        <v>47300.0</v>
      </c>
      <c r="CQ320" s="30">
        <v>47391.0</v>
      </c>
      <c r="CR320" s="36">
        <v>0.0</v>
      </c>
      <c r="CS320" s="36">
        <v>0.0</v>
      </c>
      <c r="CT320" s="35" t="s">
        <v>7045</v>
      </c>
      <c r="CU320" s="30">
        <v>47392.0</v>
      </c>
      <c r="CV320" s="30">
        <v>47483.0</v>
      </c>
      <c r="CW320" s="36">
        <v>0.0</v>
      </c>
      <c r="CX320" s="36">
        <v>0.0</v>
      </c>
      <c r="CY320" s="35" t="s">
        <v>7045</v>
      </c>
      <c r="CZ320" s="30">
        <v>47484.0</v>
      </c>
      <c r="DA320" s="30">
        <v>47573.0</v>
      </c>
      <c r="DB320" s="36">
        <v>0.0</v>
      </c>
      <c r="DC320" s="36">
        <v>0.0</v>
      </c>
      <c r="DD320" s="35" t="s">
        <v>7045</v>
      </c>
      <c r="DE320" s="30">
        <v>47574.0</v>
      </c>
      <c r="DF320" s="30">
        <v>47664.0</v>
      </c>
      <c r="DG320" s="36">
        <v>0.0</v>
      </c>
      <c r="DH320" s="36">
        <v>0.0</v>
      </c>
      <c r="DI320" s="35" t="s">
        <v>7045</v>
      </c>
      <c r="DJ320" s="30">
        <v>47665.0</v>
      </c>
      <c r="DK320" s="30">
        <v>47756.0</v>
      </c>
      <c r="DL320" s="36">
        <v>0.0</v>
      </c>
      <c r="DM320" s="36">
        <v>0.0</v>
      </c>
      <c r="DN320" s="35" t="s">
        <v>7045</v>
      </c>
      <c r="DO320" s="30">
        <v>47757.0</v>
      </c>
      <c r="DP320" s="30">
        <v>47848.0</v>
      </c>
      <c r="DQ320" s="36">
        <v>0.0</v>
      </c>
      <c r="DR320" s="36">
        <v>0.0</v>
      </c>
      <c r="DS320" s="35" t="s">
        <v>7045</v>
      </c>
    </row>
    <row r="321" ht="14.25" customHeight="1">
      <c r="A321" s="28" t="s">
        <v>4423</v>
      </c>
      <c r="B321" s="29" t="s">
        <v>4424</v>
      </c>
      <c r="C321" s="29" t="s">
        <v>7041</v>
      </c>
      <c r="D321" s="30">
        <v>45658.0</v>
      </c>
      <c r="E321" s="30">
        <v>45747.0</v>
      </c>
      <c r="F321" s="39">
        <v>94.65</v>
      </c>
      <c r="G321" s="39">
        <v>450.0</v>
      </c>
      <c r="H321" s="32" t="s">
        <v>7043</v>
      </c>
      <c r="I321" s="30">
        <v>45748.0</v>
      </c>
      <c r="J321" s="30">
        <v>45838.0</v>
      </c>
      <c r="K321" s="39">
        <v>125.97</v>
      </c>
      <c r="L321" s="39">
        <v>254.24</v>
      </c>
      <c r="M321" s="38" t="s">
        <v>7047</v>
      </c>
      <c r="N321" s="30">
        <v>45839.0</v>
      </c>
      <c r="O321" s="30">
        <v>45930.0</v>
      </c>
      <c r="P321" s="39">
        <v>253.3</v>
      </c>
      <c r="Q321" s="39">
        <v>381.36</v>
      </c>
      <c r="R321" s="38" t="s">
        <v>7047</v>
      </c>
      <c r="S321" s="30">
        <v>45931.0</v>
      </c>
      <c r="T321" s="30">
        <v>46022.0</v>
      </c>
      <c r="U321" s="39">
        <v>657.2</v>
      </c>
      <c r="V321" s="39">
        <v>381.36</v>
      </c>
      <c r="W321" s="38" t="s">
        <v>7047</v>
      </c>
      <c r="X321" s="30">
        <v>46023.0</v>
      </c>
      <c r="Y321" s="30">
        <v>46112.0</v>
      </c>
      <c r="Z321" s="39">
        <v>94.65</v>
      </c>
      <c r="AA321" s="39">
        <v>0.0</v>
      </c>
      <c r="AB321" s="35" t="s">
        <v>7047</v>
      </c>
      <c r="AC321" s="30">
        <v>46113.0</v>
      </c>
      <c r="AD321" s="30">
        <v>46203.0</v>
      </c>
      <c r="AE321" s="39">
        <v>0.0</v>
      </c>
      <c r="AF321" s="39">
        <v>0.0</v>
      </c>
      <c r="AG321" s="35" t="s">
        <v>7045</v>
      </c>
      <c r="AH321" s="30">
        <v>46204.0</v>
      </c>
      <c r="AI321" s="30">
        <v>46295.0</v>
      </c>
      <c r="AJ321" s="39">
        <v>0.0</v>
      </c>
      <c r="AK321" s="39">
        <v>0.0</v>
      </c>
      <c r="AL321" s="35" t="s">
        <v>7045</v>
      </c>
      <c r="AM321" s="30">
        <v>46296.0</v>
      </c>
      <c r="AN321" s="30">
        <v>46387.0</v>
      </c>
      <c r="AO321" s="39">
        <v>0.0</v>
      </c>
      <c r="AP321" s="39">
        <v>0.0</v>
      </c>
      <c r="AQ321" s="35" t="s">
        <v>7045</v>
      </c>
      <c r="AR321" s="30">
        <v>46388.0</v>
      </c>
      <c r="AS321" s="30">
        <v>46477.0</v>
      </c>
      <c r="AT321" s="39">
        <v>0.0</v>
      </c>
      <c r="AU321" s="39">
        <v>0.0</v>
      </c>
      <c r="AV321" s="35" t="s">
        <v>7045</v>
      </c>
      <c r="AW321" s="30">
        <v>46478.0</v>
      </c>
      <c r="AX321" s="30">
        <v>46568.0</v>
      </c>
      <c r="AY321" s="39">
        <v>0.0</v>
      </c>
      <c r="AZ321" s="39">
        <v>0.0</v>
      </c>
      <c r="BA321" s="35" t="s">
        <v>7045</v>
      </c>
      <c r="BB321" s="30">
        <v>46569.0</v>
      </c>
      <c r="BC321" s="30">
        <v>46660.0</v>
      </c>
      <c r="BD321" s="39">
        <v>0.0</v>
      </c>
      <c r="BE321" s="39">
        <v>0.0</v>
      </c>
      <c r="BF321" s="35" t="s">
        <v>7045</v>
      </c>
      <c r="BG321" s="30">
        <v>46661.0</v>
      </c>
      <c r="BH321" s="30">
        <v>46752.0</v>
      </c>
      <c r="BI321" s="39">
        <v>0.0</v>
      </c>
      <c r="BJ321" s="39">
        <v>0.0</v>
      </c>
      <c r="BK321" s="35" t="s">
        <v>7045</v>
      </c>
      <c r="BL321" s="30">
        <v>46753.0</v>
      </c>
      <c r="BM321" s="30">
        <v>46843.0</v>
      </c>
      <c r="BN321" s="39">
        <v>0.0</v>
      </c>
      <c r="BO321" s="39">
        <v>0.0</v>
      </c>
      <c r="BP321" s="35" t="s">
        <v>7045</v>
      </c>
      <c r="BQ321" s="30">
        <v>46844.0</v>
      </c>
      <c r="BR321" s="30">
        <v>46934.0</v>
      </c>
      <c r="BS321" s="39">
        <v>0.0</v>
      </c>
      <c r="BT321" s="39">
        <v>0.0</v>
      </c>
      <c r="BU321" s="35" t="s">
        <v>7045</v>
      </c>
      <c r="BV321" s="30">
        <v>46935.0</v>
      </c>
      <c r="BW321" s="30">
        <v>47026.0</v>
      </c>
      <c r="BX321" s="39">
        <v>0.0</v>
      </c>
      <c r="BY321" s="39">
        <v>0.0</v>
      </c>
      <c r="BZ321" s="35" t="s">
        <v>7045</v>
      </c>
      <c r="CA321" s="30">
        <v>47027.0</v>
      </c>
      <c r="CB321" s="30">
        <v>47118.0</v>
      </c>
      <c r="CC321" s="39">
        <v>0.0</v>
      </c>
      <c r="CD321" s="39">
        <v>0.0</v>
      </c>
      <c r="CE321" s="35" t="s">
        <v>7045</v>
      </c>
      <c r="CF321" s="30">
        <v>47119.0</v>
      </c>
      <c r="CG321" s="30">
        <v>47208.0</v>
      </c>
      <c r="CH321" s="39">
        <v>0.0</v>
      </c>
      <c r="CI321" s="39">
        <v>0.0</v>
      </c>
      <c r="CJ321" s="35" t="s">
        <v>7045</v>
      </c>
      <c r="CK321" s="30">
        <v>47209.0</v>
      </c>
      <c r="CL321" s="30">
        <v>47299.0</v>
      </c>
      <c r="CM321" s="39">
        <v>0.0</v>
      </c>
      <c r="CN321" s="39">
        <v>0.0</v>
      </c>
      <c r="CO321" s="35" t="s">
        <v>7045</v>
      </c>
      <c r="CP321" s="30">
        <v>47300.0</v>
      </c>
      <c r="CQ321" s="30">
        <v>47391.0</v>
      </c>
      <c r="CR321" s="39">
        <v>0.0</v>
      </c>
      <c r="CS321" s="39">
        <v>0.0</v>
      </c>
      <c r="CT321" s="35" t="s">
        <v>7045</v>
      </c>
      <c r="CU321" s="30">
        <v>47392.0</v>
      </c>
      <c r="CV321" s="30">
        <v>47483.0</v>
      </c>
      <c r="CW321" s="39">
        <v>0.0</v>
      </c>
      <c r="CX321" s="39">
        <v>0.0</v>
      </c>
      <c r="CY321" s="35" t="s">
        <v>7045</v>
      </c>
      <c r="CZ321" s="30">
        <v>47484.0</v>
      </c>
      <c r="DA321" s="30">
        <v>47573.0</v>
      </c>
      <c r="DB321" s="39">
        <v>0.0</v>
      </c>
      <c r="DC321" s="39">
        <v>0.0</v>
      </c>
      <c r="DD321" s="35" t="s">
        <v>7045</v>
      </c>
      <c r="DE321" s="30">
        <v>47574.0</v>
      </c>
      <c r="DF321" s="30">
        <v>47664.0</v>
      </c>
      <c r="DG321" s="39">
        <v>0.0</v>
      </c>
      <c r="DH321" s="39">
        <v>0.0</v>
      </c>
      <c r="DI321" s="35" t="s">
        <v>7045</v>
      </c>
      <c r="DJ321" s="30">
        <v>47665.0</v>
      </c>
      <c r="DK321" s="30">
        <v>47756.0</v>
      </c>
      <c r="DL321" s="39">
        <v>0.0</v>
      </c>
      <c r="DM321" s="39">
        <v>0.0</v>
      </c>
      <c r="DN321" s="35" t="s">
        <v>7045</v>
      </c>
      <c r="DO321" s="30">
        <v>47757.0</v>
      </c>
      <c r="DP321" s="30">
        <v>47848.0</v>
      </c>
      <c r="DQ321" s="39">
        <v>0.0</v>
      </c>
      <c r="DR321" s="39">
        <v>0.0</v>
      </c>
      <c r="DS321" s="35" t="s">
        <v>7045</v>
      </c>
    </row>
    <row r="322" ht="14.25" customHeight="1">
      <c r="A322" s="28" t="s">
        <v>4435</v>
      </c>
      <c r="B322" s="29" t="s">
        <v>4436</v>
      </c>
      <c r="C322" s="29" t="s">
        <v>7041</v>
      </c>
      <c r="D322" s="30">
        <v>45658.0</v>
      </c>
      <c r="E322" s="30">
        <v>45747.0</v>
      </c>
      <c r="F322" s="39">
        <v>1.09</v>
      </c>
      <c r="G322" s="39">
        <v>0.0</v>
      </c>
      <c r="H322" s="38" t="s">
        <v>7047</v>
      </c>
      <c r="I322" s="30">
        <v>45748.0</v>
      </c>
      <c r="J322" s="30">
        <v>45838.0</v>
      </c>
      <c r="K322" s="39">
        <v>4.21</v>
      </c>
      <c r="L322" s="39">
        <v>117.95</v>
      </c>
      <c r="M322" s="38" t="s">
        <v>7043</v>
      </c>
      <c r="N322" s="30">
        <v>45839.0</v>
      </c>
      <c r="O322" s="30">
        <v>45930.0</v>
      </c>
      <c r="P322" s="39">
        <v>463.13</v>
      </c>
      <c r="Q322" s="39">
        <v>146.79</v>
      </c>
      <c r="R322" s="38" t="s">
        <v>7047</v>
      </c>
      <c r="S322" s="30">
        <v>45931.0</v>
      </c>
      <c r="T322" s="30">
        <v>46022.0</v>
      </c>
      <c r="U322" s="39">
        <v>95.05</v>
      </c>
      <c r="V322" s="39">
        <v>159.62</v>
      </c>
      <c r="W322" s="38" t="s">
        <v>7047</v>
      </c>
      <c r="X322" s="30">
        <v>46023.0</v>
      </c>
      <c r="Y322" s="30">
        <v>46112.0</v>
      </c>
      <c r="Z322" s="39">
        <v>1.7</v>
      </c>
      <c r="AA322" s="39">
        <v>0.0</v>
      </c>
      <c r="AB322" s="38" t="s">
        <v>7047</v>
      </c>
      <c r="AC322" s="30">
        <v>46113.0</v>
      </c>
      <c r="AD322" s="30">
        <v>46203.0</v>
      </c>
      <c r="AE322" s="39">
        <v>454.35</v>
      </c>
      <c r="AF322" s="39">
        <v>0.0</v>
      </c>
      <c r="AG322" s="38" t="s">
        <v>7047</v>
      </c>
      <c r="AH322" s="30">
        <v>46204.0</v>
      </c>
      <c r="AI322" s="30">
        <v>46295.0</v>
      </c>
      <c r="AJ322" s="39">
        <v>1.63</v>
      </c>
      <c r="AK322" s="39">
        <v>0.0</v>
      </c>
      <c r="AL322" s="38" t="s">
        <v>7047</v>
      </c>
      <c r="AM322" s="30">
        <v>46296.0</v>
      </c>
      <c r="AN322" s="30">
        <v>46387.0</v>
      </c>
      <c r="AO322" s="39">
        <v>40.39</v>
      </c>
      <c r="AP322" s="39">
        <v>0.0</v>
      </c>
      <c r="AQ322" s="38" t="s">
        <v>7047</v>
      </c>
      <c r="AR322" s="30">
        <v>46388.0</v>
      </c>
      <c r="AS322" s="30">
        <v>46477.0</v>
      </c>
      <c r="AT322" s="39">
        <v>0.0</v>
      </c>
      <c r="AU322" s="39">
        <v>0.0</v>
      </c>
      <c r="AV322" s="35" t="s">
        <v>7045</v>
      </c>
      <c r="AW322" s="30">
        <v>46478.0</v>
      </c>
      <c r="AX322" s="30">
        <v>46568.0</v>
      </c>
      <c r="AY322" s="39">
        <v>0.0</v>
      </c>
      <c r="AZ322" s="39">
        <v>0.0</v>
      </c>
      <c r="BA322" s="35" t="s">
        <v>7045</v>
      </c>
      <c r="BB322" s="30">
        <v>46569.0</v>
      </c>
      <c r="BC322" s="30">
        <v>46660.0</v>
      </c>
      <c r="BD322" s="39">
        <v>0.0</v>
      </c>
      <c r="BE322" s="39">
        <v>0.0</v>
      </c>
      <c r="BF322" s="35" t="s">
        <v>7045</v>
      </c>
      <c r="BG322" s="30">
        <v>46661.0</v>
      </c>
      <c r="BH322" s="30">
        <v>46752.0</v>
      </c>
      <c r="BI322" s="39">
        <v>0.0</v>
      </c>
      <c r="BJ322" s="39">
        <v>0.0</v>
      </c>
      <c r="BK322" s="35" t="s">
        <v>7045</v>
      </c>
      <c r="BL322" s="30">
        <v>46753.0</v>
      </c>
      <c r="BM322" s="30">
        <v>46843.0</v>
      </c>
      <c r="BN322" s="39">
        <v>0.0</v>
      </c>
      <c r="BO322" s="39">
        <v>0.0</v>
      </c>
      <c r="BP322" s="35" t="s">
        <v>7045</v>
      </c>
      <c r="BQ322" s="30">
        <v>46844.0</v>
      </c>
      <c r="BR322" s="30">
        <v>46934.0</v>
      </c>
      <c r="BS322" s="39">
        <v>0.0</v>
      </c>
      <c r="BT322" s="39">
        <v>0.0</v>
      </c>
      <c r="BU322" s="35" t="s">
        <v>7045</v>
      </c>
      <c r="BV322" s="30">
        <v>46935.0</v>
      </c>
      <c r="BW322" s="30">
        <v>47026.0</v>
      </c>
      <c r="BX322" s="39">
        <v>0.0</v>
      </c>
      <c r="BY322" s="39">
        <v>0.0</v>
      </c>
      <c r="BZ322" s="35" t="s">
        <v>7045</v>
      </c>
      <c r="CA322" s="30">
        <v>47027.0</v>
      </c>
      <c r="CB322" s="30">
        <v>47118.0</v>
      </c>
      <c r="CC322" s="39">
        <v>0.0</v>
      </c>
      <c r="CD322" s="39">
        <v>0.0</v>
      </c>
      <c r="CE322" s="35" t="s">
        <v>7045</v>
      </c>
      <c r="CF322" s="30">
        <v>47119.0</v>
      </c>
      <c r="CG322" s="30">
        <v>47208.0</v>
      </c>
      <c r="CH322" s="39">
        <v>0.0</v>
      </c>
      <c r="CI322" s="39">
        <v>0.0</v>
      </c>
      <c r="CJ322" s="35" t="s">
        <v>7045</v>
      </c>
      <c r="CK322" s="30">
        <v>47209.0</v>
      </c>
      <c r="CL322" s="30">
        <v>47299.0</v>
      </c>
      <c r="CM322" s="39">
        <v>0.0</v>
      </c>
      <c r="CN322" s="39">
        <v>0.0</v>
      </c>
      <c r="CO322" s="35" t="s">
        <v>7045</v>
      </c>
      <c r="CP322" s="30">
        <v>47300.0</v>
      </c>
      <c r="CQ322" s="30">
        <v>47391.0</v>
      </c>
      <c r="CR322" s="39">
        <v>0.0</v>
      </c>
      <c r="CS322" s="39">
        <v>0.0</v>
      </c>
      <c r="CT322" s="35" t="s">
        <v>7045</v>
      </c>
      <c r="CU322" s="30">
        <v>47392.0</v>
      </c>
      <c r="CV322" s="30">
        <v>47483.0</v>
      </c>
      <c r="CW322" s="39">
        <v>0.0</v>
      </c>
      <c r="CX322" s="39">
        <v>0.0</v>
      </c>
      <c r="CY322" s="35" t="s">
        <v>7045</v>
      </c>
      <c r="CZ322" s="30">
        <v>47484.0</v>
      </c>
      <c r="DA322" s="30">
        <v>47573.0</v>
      </c>
      <c r="DB322" s="39">
        <v>0.0</v>
      </c>
      <c r="DC322" s="39">
        <v>0.0</v>
      </c>
      <c r="DD322" s="35" t="s">
        <v>7045</v>
      </c>
      <c r="DE322" s="30">
        <v>47574.0</v>
      </c>
      <c r="DF322" s="30">
        <v>47664.0</v>
      </c>
      <c r="DG322" s="39">
        <v>0.0</v>
      </c>
      <c r="DH322" s="39">
        <v>0.0</v>
      </c>
      <c r="DI322" s="35" t="s">
        <v>7045</v>
      </c>
      <c r="DJ322" s="30">
        <v>47665.0</v>
      </c>
      <c r="DK322" s="30">
        <v>47756.0</v>
      </c>
      <c r="DL322" s="39">
        <v>0.0</v>
      </c>
      <c r="DM322" s="39">
        <v>0.0</v>
      </c>
      <c r="DN322" s="35" t="s">
        <v>7045</v>
      </c>
      <c r="DO322" s="30">
        <v>47757.0</v>
      </c>
      <c r="DP322" s="30">
        <v>47848.0</v>
      </c>
      <c r="DQ322" s="39">
        <v>0.0</v>
      </c>
      <c r="DR322" s="39">
        <v>0.0</v>
      </c>
      <c r="DS322" s="35" t="s">
        <v>7045</v>
      </c>
    </row>
    <row r="323" ht="14.25" customHeight="1">
      <c r="A323" s="28" t="s">
        <v>4470</v>
      </c>
      <c r="B323" s="29" t="s">
        <v>4471</v>
      </c>
      <c r="C323" s="29" t="s">
        <v>7041</v>
      </c>
      <c r="D323" s="30">
        <v>45658.0</v>
      </c>
      <c r="E323" s="30">
        <v>45747.0</v>
      </c>
      <c r="F323" s="39">
        <v>0.0</v>
      </c>
      <c r="G323" s="39">
        <v>0.0</v>
      </c>
      <c r="H323" s="35" t="s">
        <v>7045</v>
      </c>
      <c r="I323" s="30">
        <v>45748.0</v>
      </c>
      <c r="J323" s="30">
        <v>45838.0</v>
      </c>
      <c r="K323" s="39">
        <v>4.94</v>
      </c>
      <c r="L323" s="39">
        <v>184.25</v>
      </c>
      <c r="M323" s="32" t="s">
        <v>7043</v>
      </c>
      <c r="N323" s="30">
        <v>45839.0</v>
      </c>
      <c r="O323" s="30">
        <v>45930.0</v>
      </c>
      <c r="P323" s="39">
        <v>4.94</v>
      </c>
      <c r="Q323" s="39">
        <v>276.25</v>
      </c>
      <c r="R323" s="38" t="s">
        <v>7047</v>
      </c>
      <c r="S323" s="30">
        <v>45931.0</v>
      </c>
      <c r="T323" s="30">
        <v>46022.0</v>
      </c>
      <c r="U323" s="39">
        <v>154.1</v>
      </c>
      <c r="V323" s="39">
        <v>276.5</v>
      </c>
      <c r="W323" s="38" t="s">
        <v>7047</v>
      </c>
      <c r="X323" s="30">
        <v>46023.0</v>
      </c>
      <c r="Y323" s="30">
        <v>46112.0</v>
      </c>
      <c r="Z323" s="39">
        <v>7.7</v>
      </c>
      <c r="AA323" s="39">
        <v>0.0</v>
      </c>
      <c r="AB323" s="38" t="s">
        <v>7047</v>
      </c>
      <c r="AC323" s="30">
        <v>46113.0</v>
      </c>
      <c r="AD323" s="30">
        <v>46203.0</v>
      </c>
      <c r="AE323" s="39">
        <v>0.0</v>
      </c>
      <c r="AF323" s="39">
        <v>0.0</v>
      </c>
      <c r="AG323" s="35" t="s">
        <v>7045</v>
      </c>
      <c r="AH323" s="30">
        <v>46204.0</v>
      </c>
      <c r="AI323" s="30">
        <v>46295.0</v>
      </c>
      <c r="AJ323" s="39">
        <v>105.0</v>
      </c>
      <c r="AK323" s="39">
        <v>0.0</v>
      </c>
      <c r="AL323" s="38" t="s">
        <v>7047</v>
      </c>
      <c r="AM323" s="30">
        <v>46296.0</v>
      </c>
      <c r="AN323" s="30">
        <v>46387.0</v>
      </c>
      <c r="AO323" s="39">
        <v>250.8</v>
      </c>
      <c r="AP323" s="39">
        <v>0.0</v>
      </c>
      <c r="AQ323" s="38" t="s">
        <v>7047</v>
      </c>
      <c r="AR323" s="30">
        <v>46388.0</v>
      </c>
      <c r="AS323" s="30">
        <v>46477.0</v>
      </c>
      <c r="AT323" s="39">
        <v>0.0</v>
      </c>
      <c r="AU323" s="39">
        <v>0.0</v>
      </c>
      <c r="AV323" s="35" t="s">
        <v>7045</v>
      </c>
      <c r="AW323" s="30">
        <v>46478.0</v>
      </c>
      <c r="AX323" s="30">
        <v>46568.0</v>
      </c>
      <c r="AY323" s="39">
        <v>0.0</v>
      </c>
      <c r="AZ323" s="39">
        <v>0.0</v>
      </c>
      <c r="BA323" s="35" t="s">
        <v>7045</v>
      </c>
      <c r="BB323" s="30">
        <v>46569.0</v>
      </c>
      <c r="BC323" s="30">
        <v>46660.0</v>
      </c>
      <c r="BD323" s="39">
        <v>0.0</v>
      </c>
      <c r="BE323" s="39">
        <v>0.0</v>
      </c>
      <c r="BF323" s="35" t="s">
        <v>7045</v>
      </c>
      <c r="BG323" s="30">
        <v>46661.0</v>
      </c>
      <c r="BH323" s="30">
        <v>46752.0</v>
      </c>
      <c r="BI323" s="39">
        <v>0.0</v>
      </c>
      <c r="BJ323" s="39">
        <v>0.0</v>
      </c>
      <c r="BK323" s="35" t="s">
        <v>7045</v>
      </c>
      <c r="BL323" s="30">
        <v>46753.0</v>
      </c>
      <c r="BM323" s="30">
        <v>46843.0</v>
      </c>
      <c r="BN323" s="39">
        <v>0.0</v>
      </c>
      <c r="BO323" s="39">
        <v>0.0</v>
      </c>
      <c r="BP323" s="35" t="s">
        <v>7045</v>
      </c>
      <c r="BQ323" s="30">
        <v>46844.0</v>
      </c>
      <c r="BR323" s="30">
        <v>46934.0</v>
      </c>
      <c r="BS323" s="39">
        <v>0.0</v>
      </c>
      <c r="BT323" s="39">
        <v>0.0</v>
      </c>
      <c r="BU323" s="35" t="s">
        <v>7045</v>
      </c>
      <c r="BV323" s="30">
        <v>46935.0</v>
      </c>
      <c r="BW323" s="30">
        <v>47026.0</v>
      </c>
      <c r="BX323" s="39">
        <v>0.0</v>
      </c>
      <c r="BY323" s="39">
        <v>0.0</v>
      </c>
      <c r="BZ323" s="35" t="s">
        <v>7045</v>
      </c>
      <c r="CA323" s="30">
        <v>47027.0</v>
      </c>
      <c r="CB323" s="30">
        <v>47118.0</v>
      </c>
      <c r="CC323" s="39">
        <v>0.0</v>
      </c>
      <c r="CD323" s="39">
        <v>0.0</v>
      </c>
      <c r="CE323" s="35" t="s">
        <v>7045</v>
      </c>
      <c r="CF323" s="30">
        <v>47119.0</v>
      </c>
      <c r="CG323" s="30">
        <v>47208.0</v>
      </c>
      <c r="CH323" s="39">
        <v>0.0</v>
      </c>
      <c r="CI323" s="39">
        <v>0.0</v>
      </c>
      <c r="CJ323" s="35" t="s">
        <v>7045</v>
      </c>
      <c r="CK323" s="30">
        <v>47209.0</v>
      </c>
      <c r="CL323" s="30">
        <v>47299.0</v>
      </c>
      <c r="CM323" s="39">
        <v>0.0</v>
      </c>
      <c r="CN323" s="39">
        <v>0.0</v>
      </c>
      <c r="CO323" s="35" t="s">
        <v>7045</v>
      </c>
      <c r="CP323" s="30">
        <v>47300.0</v>
      </c>
      <c r="CQ323" s="30">
        <v>47391.0</v>
      </c>
      <c r="CR323" s="39">
        <v>0.0</v>
      </c>
      <c r="CS323" s="39">
        <v>0.0</v>
      </c>
      <c r="CT323" s="35" t="s">
        <v>7045</v>
      </c>
      <c r="CU323" s="30">
        <v>47392.0</v>
      </c>
      <c r="CV323" s="30">
        <v>47483.0</v>
      </c>
      <c r="CW323" s="39">
        <v>0.0</v>
      </c>
      <c r="CX323" s="39">
        <v>0.0</v>
      </c>
      <c r="CY323" s="35" t="s">
        <v>7045</v>
      </c>
      <c r="CZ323" s="30">
        <v>47484.0</v>
      </c>
      <c r="DA323" s="30">
        <v>47573.0</v>
      </c>
      <c r="DB323" s="39">
        <v>0.0</v>
      </c>
      <c r="DC323" s="39">
        <v>0.0</v>
      </c>
      <c r="DD323" s="35" t="s">
        <v>7045</v>
      </c>
      <c r="DE323" s="30">
        <v>47574.0</v>
      </c>
      <c r="DF323" s="30">
        <v>47664.0</v>
      </c>
      <c r="DG323" s="39">
        <v>0.0</v>
      </c>
      <c r="DH323" s="39">
        <v>0.0</v>
      </c>
      <c r="DI323" s="35" t="s">
        <v>7045</v>
      </c>
      <c r="DJ323" s="30">
        <v>47665.0</v>
      </c>
      <c r="DK323" s="30">
        <v>47756.0</v>
      </c>
      <c r="DL323" s="39">
        <v>0.0</v>
      </c>
      <c r="DM323" s="39">
        <v>0.0</v>
      </c>
      <c r="DN323" s="35" t="s">
        <v>7045</v>
      </c>
      <c r="DO323" s="30">
        <v>47757.0</v>
      </c>
      <c r="DP323" s="30">
        <v>47848.0</v>
      </c>
      <c r="DQ323" s="39">
        <v>0.0</v>
      </c>
      <c r="DR323" s="39">
        <v>0.0</v>
      </c>
      <c r="DS323" s="35" t="s">
        <v>7045</v>
      </c>
    </row>
    <row r="324" ht="14.25" customHeight="1">
      <c r="A324" s="28" t="s">
        <v>4474</v>
      </c>
      <c r="B324" s="29" t="s">
        <v>4475</v>
      </c>
      <c r="C324" s="29" t="s">
        <v>7041</v>
      </c>
      <c r="D324" s="30">
        <v>45658.0</v>
      </c>
      <c r="E324" s="30">
        <v>45747.0</v>
      </c>
      <c r="F324" s="39">
        <v>40.0</v>
      </c>
      <c r="G324" s="39">
        <v>0.0</v>
      </c>
      <c r="H324" s="38" t="s">
        <v>7047</v>
      </c>
      <c r="I324" s="30">
        <v>45748.0</v>
      </c>
      <c r="J324" s="30">
        <v>45838.0</v>
      </c>
      <c r="K324" s="39">
        <v>40.0</v>
      </c>
      <c r="L324" s="39">
        <v>393.62</v>
      </c>
      <c r="M324" s="37" t="s">
        <v>7043</v>
      </c>
      <c r="N324" s="30">
        <v>45839.0</v>
      </c>
      <c r="O324" s="30">
        <v>45930.0</v>
      </c>
      <c r="P324" s="39">
        <v>165.0</v>
      </c>
      <c r="Q324" s="39">
        <v>404.26</v>
      </c>
      <c r="R324" s="38" t="s">
        <v>7047</v>
      </c>
      <c r="S324" s="30">
        <v>45931.0</v>
      </c>
      <c r="T324" s="30">
        <v>46022.0</v>
      </c>
      <c r="U324" s="39">
        <v>346.73</v>
      </c>
      <c r="V324" s="39">
        <v>521.28</v>
      </c>
      <c r="W324" s="38" t="s">
        <v>7047</v>
      </c>
      <c r="X324" s="30">
        <v>46023.0</v>
      </c>
      <c r="Y324" s="30">
        <v>46112.0</v>
      </c>
      <c r="Z324" s="39">
        <v>10.0</v>
      </c>
      <c r="AA324" s="39">
        <v>0.0</v>
      </c>
      <c r="AB324" s="38" t="s">
        <v>7047</v>
      </c>
      <c r="AC324" s="30">
        <v>46113.0</v>
      </c>
      <c r="AD324" s="30">
        <v>46203.0</v>
      </c>
      <c r="AE324" s="39">
        <v>0.0</v>
      </c>
      <c r="AF324" s="39">
        <v>0.0</v>
      </c>
      <c r="AG324" s="35" t="s">
        <v>7045</v>
      </c>
      <c r="AH324" s="30">
        <v>46204.0</v>
      </c>
      <c r="AI324" s="30">
        <v>46295.0</v>
      </c>
      <c r="AJ324" s="39">
        <v>20.0</v>
      </c>
      <c r="AK324" s="39">
        <v>0.0</v>
      </c>
      <c r="AL324" s="38" t="s">
        <v>7047</v>
      </c>
      <c r="AM324" s="30">
        <v>46296.0</v>
      </c>
      <c r="AN324" s="30">
        <v>46387.0</v>
      </c>
      <c r="AO324" s="39">
        <v>0.0</v>
      </c>
      <c r="AP324" s="39">
        <v>0.0</v>
      </c>
      <c r="AQ324" s="35" t="s">
        <v>7045</v>
      </c>
      <c r="AR324" s="30">
        <v>46388.0</v>
      </c>
      <c r="AS324" s="30">
        <v>46477.0</v>
      </c>
      <c r="AT324" s="39">
        <v>0.0</v>
      </c>
      <c r="AU324" s="39">
        <v>0.0</v>
      </c>
      <c r="AV324" s="35" t="s">
        <v>7045</v>
      </c>
      <c r="AW324" s="30">
        <v>46478.0</v>
      </c>
      <c r="AX324" s="30">
        <v>46568.0</v>
      </c>
      <c r="AY324" s="39">
        <v>0.0</v>
      </c>
      <c r="AZ324" s="39">
        <v>0.0</v>
      </c>
      <c r="BA324" s="35" t="s">
        <v>7045</v>
      </c>
      <c r="BB324" s="30">
        <v>46569.0</v>
      </c>
      <c r="BC324" s="30">
        <v>46660.0</v>
      </c>
      <c r="BD324" s="39">
        <v>0.0</v>
      </c>
      <c r="BE324" s="39">
        <v>0.0</v>
      </c>
      <c r="BF324" s="35" t="s">
        <v>7045</v>
      </c>
      <c r="BG324" s="30">
        <v>46661.0</v>
      </c>
      <c r="BH324" s="30">
        <v>46752.0</v>
      </c>
      <c r="BI324" s="39">
        <v>0.0</v>
      </c>
      <c r="BJ324" s="39">
        <v>0.0</v>
      </c>
      <c r="BK324" s="35" t="s">
        <v>7045</v>
      </c>
      <c r="BL324" s="30">
        <v>46753.0</v>
      </c>
      <c r="BM324" s="30">
        <v>46843.0</v>
      </c>
      <c r="BN324" s="39">
        <v>0.0</v>
      </c>
      <c r="BO324" s="39">
        <v>0.0</v>
      </c>
      <c r="BP324" s="35" t="s">
        <v>7045</v>
      </c>
      <c r="BQ324" s="30">
        <v>46844.0</v>
      </c>
      <c r="BR324" s="30">
        <v>46934.0</v>
      </c>
      <c r="BS324" s="39">
        <v>0.0</v>
      </c>
      <c r="BT324" s="39">
        <v>0.0</v>
      </c>
      <c r="BU324" s="35" t="s">
        <v>7045</v>
      </c>
      <c r="BV324" s="30">
        <v>46935.0</v>
      </c>
      <c r="BW324" s="30">
        <v>47026.0</v>
      </c>
      <c r="BX324" s="39">
        <v>0.0</v>
      </c>
      <c r="BY324" s="39">
        <v>0.0</v>
      </c>
      <c r="BZ324" s="35" t="s">
        <v>7045</v>
      </c>
      <c r="CA324" s="30">
        <v>47027.0</v>
      </c>
      <c r="CB324" s="30">
        <v>47118.0</v>
      </c>
      <c r="CC324" s="39">
        <v>0.0</v>
      </c>
      <c r="CD324" s="39">
        <v>0.0</v>
      </c>
      <c r="CE324" s="35" t="s">
        <v>7045</v>
      </c>
      <c r="CF324" s="30">
        <v>47119.0</v>
      </c>
      <c r="CG324" s="30">
        <v>47208.0</v>
      </c>
      <c r="CH324" s="39">
        <v>0.0</v>
      </c>
      <c r="CI324" s="39">
        <v>0.0</v>
      </c>
      <c r="CJ324" s="35" t="s">
        <v>7045</v>
      </c>
      <c r="CK324" s="30">
        <v>47209.0</v>
      </c>
      <c r="CL324" s="30">
        <v>47299.0</v>
      </c>
      <c r="CM324" s="39">
        <v>0.0</v>
      </c>
      <c r="CN324" s="39">
        <v>0.0</v>
      </c>
      <c r="CO324" s="35" t="s">
        <v>7045</v>
      </c>
      <c r="CP324" s="30">
        <v>47300.0</v>
      </c>
      <c r="CQ324" s="30">
        <v>47391.0</v>
      </c>
      <c r="CR324" s="39">
        <v>0.0</v>
      </c>
      <c r="CS324" s="39">
        <v>0.0</v>
      </c>
      <c r="CT324" s="35" t="s">
        <v>7045</v>
      </c>
      <c r="CU324" s="30">
        <v>47392.0</v>
      </c>
      <c r="CV324" s="30">
        <v>47483.0</v>
      </c>
      <c r="CW324" s="39">
        <v>0.0</v>
      </c>
      <c r="CX324" s="39">
        <v>0.0</v>
      </c>
      <c r="CY324" s="35" t="s">
        <v>7045</v>
      </c>
      <c r="CZ324" s="30">
        <v>47484.0</v>
      </c>
      <c r="DA324" s="30">
        <v>47573.0</v>
      </c>
      <c r="DB324" s="39">
        <v>0.0</v>
      </c>
      <c r="DC324" s="39">
        <v>0.0</v>
      </c>
      <c r="DD324" s="35" t="s">
        <v>7045</v>
      </c>
      <c r="DE324" s="30">
        <v>47574.0</v>
      </c>
      <c r="DF324" s="30">
        <v>47664.0</v>
      </c>
      <c r="DG324" s="39">
        <v>0.0</v>
      </c>
      <c r="DH324" s="39">
        <v>0.0</v>
      </c>
      <c r="DI324" s="35" t="s">
        <v>7045</v>
      </c>
      <c r="DJ324" s="30">
        <v>47665.0</v>
      </c>
      <c r="DK324" s="30">
        <v>47756.0</v>
      </c>
      <c r="DL324" s="39">
        <v>0.0</v>
      </c>
      <c r="DM324" s="39">
        <v>0.0</v>
      </c>
      <c r="DN324" s="35" t="s">
        <v>7045</v>
      </c>
      <c r="DO324" s="30">
        <v>47757.0</v>
      </c>
      <c r="DP324" s="30">
        <v>47848.0</v>
      </c>
      <c r="DQ324" s="39">
        <v>0.0</v>
      </c>
      <c r="DR324" s="39">
        <v>0.0</v>
      </c>
      <c r="DS324" s="35" t="s">
        <v>7045</v>
      </c>
    </row>
    <row r="325" ht="14.25" customHeight="1">
      <c r="A325" s="28" t="s">
        <v>4705</v>
      </c>
      <c r="B325" s="29" t="s">
        <v>4706</v>
      </c>
      <c r="C325" s="29" t="s">
        <v>7041</v>
      </c>
      <c r="D325" s="30">
        <v>45658.0</v>
      </c>
      <c r="E325" s="30">
        <v>45747.0</v>
      </c>
      <c r="F325" s="36">
        <v>38.0</v>
      </c>
      <c r="G325" s="36">
        <v>0.0</v>
      </c>
      <c r="H325" s="38" t="s">
        <v>7047</v>
      </c>
      <c r="I325" s="30">
        <v>45748.0</v>
      </c>
      <c r="J325" s="30">
        <v>45838.0</v>
      </c>
      <c r="K325" s="36">
        <v>38.0</v>
      </c>
      <c r="L325" s="36">
        <v>583.31</v>
      </c>
      <c r="M325" s="37" t="s">
        <v>7046</v>
      </c>
      <c r="N325" s="30">
        <v>45839.0</v>
      </c>
      <c r="O325" s="30">
        <v>45930.0</v>
      </c>
      <c r="P325" s="36">
        <v>100.0</v>
      </c>
      <c r="Q325" s="36">
        <v>499.98</v>
      </c>
      <c r="R325" s="38" t="s">
        <v>7047</v>
      </c>
      <c r="S325" s="30">
        <v>45931.0</v>
      </c>
      <c r="T325" s="30">
        <v>46022.0</v>
      </c>
      <c r="U325" s="36">
        <v>100.0</v>
      </c>
      <c r="V325" s="36">
        <v>666.65</v>
      </c>
      <c r="W325" s="32" t="s">
        <v>7047</v>
      </c>
      <c r="X325" s="30">
        <v>46023.0</v>
      </c>
      <c r="Y325" s="30">
        <v>46112.0</v>
      </c>
      <c r="Z325" s="36">
        <v>0.0</v>
      </c>
      <c r="AA325" s="36">
        <v>0.0</v>
      </c>
      <c r="AB325" s="35" t="s">
        <v>7045</v>
      </c>
      <c r="AC325" s="30">
        <v>46113.0</v>
      </c>
      <c r="AD325" s="30">
        <v>46203.0</v>
      </c>
      <c r="AE325" s="36">
        <v>0.0</v>
      </c>
      <c r="AF325" s="36">
        <v>0.0</v>
      </c>
      <c r="AG325" s="35" t="s">
        <v>7045</v>
      </c>
      <c r="AH325" s="30">
        <v>46204.0</v>
      </c>
      <c r="AI325" s="30">
        <v>46295.0</v>
      </c>
      <c r="AJ325" s="36">
        <v>0.0</v>
      </c>
      <c r="AK325" s="36">
        <v>0.0</v>
      </c>
      <c r="AL325" s="35" t="s">
        <v>7045</v>
      </c>
      <c r="AM325" s="30">
        <v>46296.0</v>
      </c>
      <c r="AN325" s="30">
        <v>46387.0</v>
      </c>
      <c r="AO325" s="36">
        <v>0.0</v>
      </c>
      <c r="AP325" s="36">
        <v>0.0</v>
      </c>
      <c r="AQ325" s="35" t="s">
        <v>7045</v>
      </c>
      <c r="AR325" s="30">
        <v>46388.0</v>
      </c>
      <c r="AS325" s="30">
        <v>46477.0</v>
      </c>
      <c r="AT325" s="36">
        <v>0.0</v>
      </c>
      <c r="AU325" s="36">
        <v>0.0</v>
      </c>
      <c r="AV325" s="35" t="s">
        <v>7045</v>
      </c>
      <c r="AW325" s="30">
        <v>46478.0</v>
      </c>
      <c r="AX325" s="30">
        <v>46568.0</v>
      </c>
      <c r="AY325" s="36">
        <v>0.0</v>
      </c>
      <c r="AZ325" s="36">
        <v>0.0</v>
      </c>
      <c r="BA325" s="35" t="s">
        <v>7045</v>
      </c>
      <c r="BB325" s="30">
        <v>46569.0</v>
      </c>
      <c r="BC325" s="30">
        <v>46660.0</v>
      </c>
      <c r="BD325" s="36">
        <v>0.0</v>
      </c>
      <c r="BE325" s="36">
        <v>0.0</v>
      </c>
      <c r="BF325" s="35" t="s">
        <v>7045</v>
      </c>
      <c r="BG325" s="30">
        <v>46661.0</v>
      </c>
      <c r="BH325" s="30">
        <v>46752.0</v>
      </c>
      <c r="BI325" s="36">
        <v>0.0</v>
      </c>
      <c r="BJ325" s="36">
        <v>0.0</v>
      </c>
      <c r="BK325" s="35" t="s">
        <v>7045</v>
      </c>
      <c r="BL325" s="30">
        <v>46753.0</v>
      </c>
      <c r="BM325" s="30">
        <v>46843.0</v>
      </c>
      <c r="BN325" s="36">
        <v>0.0</v>
      </c>
      <c r="BO325" s="36">
        <v>0.0</v>
      </c>
      <c r="BP325" s="35" t="s">
        <v>7045</v>
      </c>
      <c r="BQ325" s="30">
        <v>46844.0</v>
      </c>
      <c r="BR325" s="30">
        <v>46934.0</v>
      </c>
      <c r="BS325" s="36">
        <v>0.0</v>
      </c>
      <c r="BT325" s="36">
        <v>0.0</v>
      </c>
      <c r="BU325" s="35" t="s">
        <v>7045</v>
      </c>
      <c r="BV325" s="30">
        <v>46935.0</v>
      </c>
      <c r="BW325" s="30">
        <v>47026.0</v>
      </c>
      <c r="BX325" s="36">
        <v>0.0</v>
      </c>
      <c r="BY325" s="36">
        <v>0.0</v>
      </c>
      <c r="BZ325" s="35" t="s">
        <v>7045</v>
      </c>
      <c r="CA325" s="30">
        <v>47027.0</v>
      </c>
      <c r="CB325" s="30">
        <v>47118.0</v>
      </c>
      <c r="CC325" s="36">
        <v>0.0</v>
      </c>
      <c r="CD325" s="36">
        <v>0.0</v>
      </c>
      <c r="CE325" s="35" t="s">
        <v>7045</v>
      </c>
      <c r="CF325" s="30">
        <v>47119.0</v>
      </c>
      <c r="CG325" s="30">
        <v>47208.0</v>
      </c>
      <c r="CH325" s="36">
        <v>0.0</v>
      </c>
      <c r="CI325" s="36">
        <v>0.0</v>
      </c>
      <c r="CJ325" s="35" t="s">
        <v>7045</v>
      </c>
      <c r="CK325" s="30">
        <v>47209.0</v>
      </c>
      <c r="CL325" s="30">
        <v>47299.0</v>
      </c>
      <c r="CM325" s="36">
        <v>0.0</v>
      </c>
      <c r="CN325" s="36">
        <v>0.0</v>
      </c>
      <c r="CO325" s="35" t="s">
        <v>7045</v>
      </c>
      <c r="CP325" s="30">
        <v>47300.0</v>
      </c>
      <c r="CQ325" s="30">
        <v>47391.0</v>
      </c>
      <c r="CR325" s="36">
        <v>0.0</v>
      </c>
      <c r="CS325" s="36">
        <v>0.0</v>
      </c>
      <c r="CT325" s="35" t="s">
        <v>7045</v>
      </c>
      <c r="CU325" s="30">
        <v>47392.0</v>
      </c>
      <c r="CV325" s="30">
        <v>47483.0</v>
      </c>
      <c r="CW325" s="36">
        <v>0.0</v>
      </c>
      <c r="CX325" s="36">
        <v>0.0</v>
      </c>
      <c r="CY325" s="35" t="s">
        <v>7045</v>
      </c>
      <c r="CZ325" s="30">
        <v>47484.0</v>
      </c>
      <c r="DA325" s="30">
        <v>47573.0</v>
      </c>
      <c r="DB325" s="36">
        <v>0.0</v>
      </c>
      <c r="DC325" s="36">
        <v>0.0</v>
      </c>
      <c r="DD325" s="35" t="s">
        <v>7045</v>
      </c>
      <c r="DE325" s="30">
        <v>47574.0</v>
      </c>
      <c r="DF325" s="30">
        <v>47664.0</v>
      </c>
      <c r="DG325" s="36">
        <v>0.0</v>
      </c>
      <c r="DH325" s="36">
        <v>0.0</v>
      </c>
      <c r="DI325" s="35" t="s">
        <v>7045</v>
      </c>
      <c r="DJ325" s="30">
        <v>47665.0</v>
      </c>
      <c r="DK325" s="30">
        <v>47756.0</v>
      </c>
      <c r="DL325" s="36">
        <v>0.0</v>
      </c>
      <c r="DM325" s="36">
        <v>0.0</v>
      </c>
      <c r="DN325" s="35" t="s">
        <v>7045</v>
      </c>
      <c r="DO325" s="30">
        <v>47757.0</v>
      </c>
      <c r="DP325" s="30">
        <v>47848.0</v>
      </c>
      <c r="DQ325" s="36">
        <v>0.0</v>
      </c>
      <c r="DR325" s="36">
        <v>0.0</v>
      </c>
      <c r="DS325" s="35" t="s">
        <v>7045</v>
      </c>
    </row>
    <row r="326" ht="14.25" customHeight="1">
      <c r="A326" s="28" t="s">
        <v>4806</v>
      </c>
      <c r="B326" s="29" t="s">
        <v>4807</v>
      </c>
      <c r="C326" s="29" t="s">
        <v>7041</v>
      </c>
      <c r="D326" s="30">
        <v>45658.0</v>
      </c>
      <c r="E326" s="30">
        <v>45747.0</v>
      </c>
      <c r="F326" s="39">
        <v>4.4</v>
      </c>
      <c r="G326" s="39">
        <v>0.0</v>
      </c>
      <c r="H326" s="38" t="s">
        <v>7047</v>
      </c>
      <c r="I326" s="30">
        <v>45748.0</v>
      </c>
      <c r="J326" s="30">
        <v>45838.0</v>
      </c>
      <c r="K326" s="39">
        <v>1.64</v>
      </c>
      <c r="L326" s="39">
        <v>222.22</v>
      </c>
      <c r="M326" s="32" t="s">
        <v>7043</v>
      </c>
      <c r="N326" s="30">
        <v>45839.0</v>
      </c>
      <c r="O326" s="30">
        <v>45930.0</v>
      </c>
      <c r="P326" s="39">
        <v>3.52</v>
      </c>
      <c r="Q326" s="39">
        <v>222.22</v>
      </c>
      <c r="R326" s="38" t="s">
        <v>7047</v>
      </c>
      <c r="S326" s="30">
        <v>45931.0</v>
      </c>
      <c r="T326" s="30">
        <v>46022.0</v>
      </c>
      <c r="U326" s="39">
        <v>41.22</v>
      </c>
      <c r="V326" s="39">
        <v>222.22</v>
      </c>
      <c r="W326" s="38" t="s">
        <v>7047</v>
      </c>
      <c r="X326" s="30">
        <v>46023.0</v>
      </c>
      <c r="Y326" s="30">
        <v>46112.0</v>
      </c>
      <c r="Z326" s="39">
        <v>404.4</v>
      </c>
      <c r="AA326" s="39">
        <v>0.0</v>
      </c>
      <c r="AB326" s="38" t="s">
        <v>7047</v>
      </c>
      <c r="AC326" s="30">
        <v>46113.0</v>
      </c>
      <c r="AD326" s="30">
        <v>46203.0</v>
      </c>
      <c r="AE326" s="39">
        <v>11.58</v>
      </c>
      <c r="AF326" s="39">
        <v>0.0</v>
      </c>
      <c r="AG326" s="38" t="s">
        <v>7047</v>
      </c>
      <c r="AH326" s="30">
        <v>46204.0</v>
      </c>
      <c r="AI326" s="30">
        <v>46295.0</v>
      </c>
      <c r="AJ326" s="39">
        <v>0.0</v>
      </c>
      <c r="AK326" s="39">
        <v>0.0</v>
      </c>
      <c r="AL326" s="35" t="s">
        <v>7045</v>
      </c>
      <c r="AM326" s="30">
        <v>46296.0</v>
      </c>
      <c r="AN326" s="30">
        <v>46387.0</v>
      </c>
      <c r="AO326" s="39">
        <v>0.0</v>
      </c>
      <c r="AP326" s="39">
        <v>0.0</v>
      </c>
      <c r="AQ326" s="35" t="s">
        <v>7045</v>
      </c>
      <c r="AR326" s="30">
        <v>46388.0</v>
      </c>
      <c r="AS326" s="30">
        <v>46477.0</v>
      </c>
      <c r="AT326" s="39">
        <v>0.0</v>
      </c>
      <c r="AU326" s="39">
        <v>0.0</v>
      </c>
      <c r="AV326" s="35" t="s">
        <v>7045</v>
      </c>
      <c r="AW326" s="30">
        <v>46478.0</v>
      </c>
      <c r="AX326" s="30">
        <v>46568.0</v>
      </c>
      <c r="AY326" s="39">
        <v>0.0</v>
      </c>
      <c r="AZ326" s="39">
        <v>0.0</v>
      </c>
      <c r="BA326" s="35" t="s">
        <v>7045</v>
      </c>
      <c r="BB326" s="30">
        <v>46569.0</v>
      </c>
      <c r="BC326" s="30">
        <v>46660.0</v>
      </c>
      <c r="BD326" s="39">
        <v>0.0</v>
      </c>
      <c r="BE326" s="39">
        <v>0.0</v>
      </c>
      <c r="BF326" s="35" t="s">
        <v>7045</v>
      </c>
      <c r="BG326" s="30">
        <v>46661.0</v>
      </c>
      <c r="BH326" s="30">
        <v>46752.0</v>
      </c>
      <c r="BI326" s="39">
        <v>0.0</v>
      </c>
      <c r="BJ326" s="39">
        <v>0.0</v>
      </c>
      <c r="BK326" s="35" t="s">
        <v>7045</v>
      </c>
      <c r="BL326" s="30">
        <v>46753.0</v>
      </c>
      <c r="BM326" s="30">
        <v>46843.0</v>
      </c>
      <c r="BN326" s="39">
        <v>0.0</v>
      </c>
      <c r="BO326" s="39">
        <v>0.0</v>
      </c>
      <c r="BP326" s="35" t="s">
        <v>7045</v>
      </c>
      <c r="BQ326" s="30">
        <v>46844.0</v>
      </c>
      <c r="BR326" s="30">
        <v>46934.0</v>
      </c>
      <c r="BS326" s="39">
        <v>0.0</v>
      </c>
      <c r="BT326" s="39">
        <v>0.0</v>
      </c>
      <c r="BU326" s="35" t="s">
        <v>7045</v>
      </c>
      <c r="BV326" s="30">
        <v>46935.0</v>
      </c>
      <c r="BW326" s="30">
        <v>47026.0</v>
      </c>
      <c r="BX326" s="39">
        <v>0.0</v>
      </c>
      <c r="BY326" s="39">
        <v>0.0</v>
      </c>
      <c r="BZ326" s="35" t="s">
        <v>7045</v>
      </c>
      <c r="CA326" s="30">
        <v>47027.0</v>
      </c>
      <c r="CB326" s="30">
        <v>47118.0</v>
      </c>
      <c r="CC326" s="39">
        <v>0.0</v>
      </c>
      <c r="CD326" s="39">
        <v>0.0</v>
      </c>
      <c r="CE326" s="35" t="s">
        <v>7045</v>
      </c>
      <c r="CF326" s="30">
        <v>47119.0</v>
      </c>
      <c r="CG326" s="30">
        <v>47208.0</v>
      </c>
      <c r="CH326" s="39">
        <v>0.0</v>
      </c>
      <c r="CI326" s="39">
        <v>0.0</v>
      </c>
      <c r="CJ326" s="35" t="s">
        <v>7045</v>
      </c>
      <c r="CK326" s="30">
        <v>47209.0</v>
      </c>
      <c r="CL326" s="30">
        <v>47299.0</v>
      </c>
      <c r="CM326" s="39">
        <v>0.0</v>
      </c>
      <c r="CN326" s="39">
        <v>0.0</v>
      </c>
      <c r="CO326" s="35" t="s">
        <v>7045</v>
      </c>
      <c r="CP326" s="30">
        <v>47300.0</v>
      </c>
      <c r="CQ326" s="30">
        <v>47391.0</v>
      </c>
      <c r="CR326" s="39">
        <v>0.0</v>
      </c>
      <c r="CS326" s="39">
        <v>0.0</v>
      </c>
      <c r="CT326" s="35" t="s">
        <v>7045</v>
      </c>
      <c r="CU326" s="30">
        <v>47392.0</v>
      </c>
      <c r="CV326" s="30">
        <v>47483.0</v>
      </c>
      <c r="CW326" s="39">
        <v>0.0</v>
      </c>
      <c r="CX326" s="39">
        <v>0.0</v>
      </c>
      <c r="CY326" s="35" t="s">
        <v>7045</v>
      </c>
      <c r="CZ326" s="30">
        <v>47484.0</v>
      </c>
      <c r="DA326" s="30">
        <v>47573.0</v>
      </c>
      <c r="DB326" s="39">
        <v>0.0</v>
      </c>
      <c r="DC326" s="39">
        <v>0.0</v>
      </c>
      <c r="DD326" s="35" t="s">
        <v>7045</v>
      </c>
      <c r="DE326" s="30">
        <v>47574.0</v>
      </c>
      <c r="DF326" s="30">
        <v>47664.0</v>
      </c>
      <c r="DG326" s="39">
        <v>0.0</v>
      </c>
      <c r="DH326" s="39">
        <v>0.0</v>
      </c>
      <c r="DI326" s="35" t="s">
        <v>7045</v>
      </c>
      <c r="DJ326" s="30">
        <v>47665.0</v>
      </c>
      <c r="DK326" s="30">
        <v>47756.0</v>
      </c>
      <c r="DL326" s="39">
        <v>0.0</v>
      </c>
      <c r="DM326" s="39">
        <v>0.0</v>
      </c>
      <c r="DN326" s="35" t="s">
        <v>7045</v>
      </c>
      <c r="DO326" s="30">
        <v>47757.0</v>
      </c>
      <c r="DP326" s="30">
        <v>47848.0</v>
      </c>
      <c r="DQ326" s="39">
        <v>0.0</v>
      </c>
      <c r="DR326" s="39">
        <v>0.0</v>
      </c>
      <c r="DS326" s="35" t="s">
        <v>7045</v>
      </c>
    </row>
    <row r="327" ht="14.25" customHeight="1">
      <c r="A327" s="28" t="s">
        <v>4841</v>
      </c>
      <c r="B327" s="29" t="s">
        <v>4842</v>
      </c>
      <c r="C327" s="29" t="s">
        <v>7041</v>
      </c>
      <c r="D327" s="30">
        <v>45658.0</v>
      </c>
      <c r="E327" s="30">
        <v>45747.0</v>
      </c>
      <c r="F327" s="39">
        <v>18.18</v>
      </c>
      <c r="G327" s="39">
        <v>0.0</v>
      </c>
      <c r="H327" s="38" t="s">
        <v>7047</v>
      </c>
      <c r="I327" s="30">
        <v>45748.0</v>
      </c>
      <c r="J327" s="30">
        <v>45838.0</v>
      </c>
      <c r="K327" s="39">
        <v>0.41</v>
      </c>
      <c r="L327" s="39">
        <v>123.38</v>
      </c>
      <c r="M327" s="32" t="s">
        <v>7043</v>
      </c>
      <c r="N327" s="30">
        <v>45839.0</v>
      </c>
      <c r="O327" s="30">
        <v>45930.0</v>
      </c>
      <c r="P327" s="39">
        <v>51.01</v>
      </c>
      <c r="Q327" s="39">
        <v>103.9</v>
      </c>
      <c r="R327" s="38" t="s">
        <v>7047</v>
      </c>
      <c r="S327" s="30">
        <v>45931.0</v>
      </c>
      <c r="T327" s="30">
        <v>46022.0</v>
      </c>
      <c r="U327" s="39">
        <v>418.63</v>
      </c>
      <c r="V327" s="39">
        <v>136.36</v>
      </c>
      <c r="W327" s="38" t="s">
        <v>7047</v>
      </c>
      <c r="X327" s="30">
        <v>46023.0</v>
      </c>
      <c r="Y327" s="30">
        <v>46112.0</v>
      </c>
      <c r="Z327" s="39">
        <v>9.63</v>
      </c>
      <c r="AA327" s="39">
        <v>0.0</v>
      </c>
      <c r="AB327" s="38" t="s">
        <v>7047</v>
      </c>
      <c r="AC327" s="30">
        <v>46113.0</v>
      </c>
      <c r="AD327" s="30">
        <v>46203.0</v>
      </c>
      <c r="AE327" s="39">
        <v>0.47</v>
      </c>
      <c r="AF327" s="39">
        <v>0.0</v>
      </c>
      <c r="AG327" s="35" t="s">
        <v>7047</v>
      </c>
      <c r="AH327" s="30">
        <v>46204.0</v>
      </c>
      <c r="AI327" s="30">
        <v>46295.0</v>
      </c>
      <c r="AJ327" s="39">
        <v>0.27</v>
      </c>
      <c r="AK327" s="39">
        <v>0.0</v>
      </c>
      <c r="AL327" s="38" t="s">
        <v>7047</v>
      </c>
      <c r="AM327" s="30">
        <v>46296.0</v>
      </c>
      <c r="AN327" s="30">
        <v>46387.0</v>
      </c>
      <c r="AO327" s="39">
        <v>1.82</v>
      </c>
      <c r="AP327" s="39">
        <v>0.0</v>
      </c>
      <c r="AQ327" s="38" t="s">
        <v>7047</v>
      </c>
      <c r="AR327" s="30">
        <v>46388.0</v>
      </c>
      <c r="AS327" s="30">
        <v>46477.0</v>
      </c>
      <c r="AT327" s="39">
        <v>0.0</v>
      </c>
      <c r="AU327" s="39">
        <v>0.0</v>
      </c>
      <c r="AV327" s="35" t="s">
        <v>7045</v>
      </c>
      <c r="AW327" s="30">
        <v>46478.0</v>
      </c>
      <c r="AX327" s="30">
        <v>46568.0</v>
      </c>
      <c r="AY327" s="39">
        <v>0.0</v>
      </c>
      <c r="AZ327" s="39">
        <v>0.0</v>
      </c>
      <c r="BA327" s="35" t="s">
        <v>7045</v>
      </c>
      <c r="BB327" s="30">
        <v>46569.0</v>
      </c>
      <c r="BC327" s="30">
        <v>46660.0</v>
      </c>
      <c r="BD327" s="39">
        <v>0.0</v>
      </c>
      <c r="BE327" s="39">
        <v>0.0</v>
      </c>
      <c r="BF327" s="35" t="s">
        <v>7045</v>
      </c>
      <c r="BG327" s="30">
        <v>46661.0</v>
      </c>
      <c r="BH327" s="30">
        <v>46752.0</v>
      </c>
      <c r="BI327" s="39">
        <v>0.0</v>
      </c>
      <c r="BJ327" s="39">
        <v>0.0</v>
      </c>
      <c r="BK327" s="35" t="s">
        <v>7045</v>
      </c>
      <c r="BL327" s="30">
        <v>46753.0</v>
      </c>
      <c r="BM327" s="30">
        <v>46843.0</v>
      </c>
      <c r="BN327" s="39">
        <v>0.0</v>
      </c>
      <c r="BO327" s="39">
        <v>0.0</v>
      </c>
      <c r="BP327" s="35" t="s">
        <v>7045</v>
      </c>
      <c r="BQ327" s="30">
        <v>46844.0</v>
      </c>
      <c r="BR327" s="30">
        <v>46934.0</v>
      </c>
      <c r="BS327" s="39">
        <v>0.0</v>
      </c>
      <c r="BT327" s="39">
        <v>0.0</v>
      </c>
      <c r="BU327" s="35" t="s">
        <v>7045</v>
      </c>
      <c r="BV327" s="30">
        <v>46935.0</v>
      </c>
      <c r="BW327" s="30">
        <v>47026.0</v>
      </c>
      <c r="BX327" s="39">
        <v>0.0</v>
      </c>
      <c r="BY327" s="39">
        <v>0.0</v>
      </c>
      <c r="BZ327" s="35" t="s">
        <v>7045</v>
      </c>
      <c r="CA327" s="30">
        <v>47027.0</v>
      </c>
      <c r="CB327" s="30">
        <v>47118.0</v>
      </c>
      <c r="CC327" s="39">
        <v>0.0</v>
      </c>
      <c r="CD327" s="39">
        <v>0.0</v>
      </c>
      <c r="CE327" s="35" t="s">
        <v>7045</v>
      </c>
      <c r="CF327" s="30">
        <v>47119.0</v>
      </c>
      <c r="CG327" s="30">
        <v>47208.0</v>
      </c>
      <c r="CH327" s="39">
        <v>0.0</v>
      </c>
      <c r="CI327" s="39">
        <v>0.0</v>
      </c>
      <c r="CJ327" s="35" t="s">
        <v>7045</v>
      </c>
      <c r="CK327" s="30">
        <v>47209.0</v>
      </c>
      <c r="CL327" s="30">
        <v>47299.0</v>
      </c>
      <c r="CM327" s="39">
        <v>0.0</v>
      </c>
      <c r="CN327" s="39">
        <v>0.0</v>
      </c>
      <c r="CO327" s="35" t="s">
        <v>7045</v>
      </c>
      <c r="CP327" s="30">
        <v>47300.0</v>
      </c>
      <c r="CQ327" s="30">
        <v>47391.0</v>
      </c>
      <c r="CR327" s="39">
        <v>0.0</v>
      </c>
      <c r="CS327" s="39">
        <v>0.0</v>
      </c>
      <c r="CT327" s="35" t="s">
        <v>7045</v>
      </c>
      <c r="CU327" s="30">
        <v>47392.0</v>
      </c>
      <c r="CV327" s="30">
        <v>47483.0</v>
      </c>
      <c r="CW327" s="39">
        <v>0.0</v>
      </c>
      <c r="CX327" s="39">
        <v>0.0</v>
      </c>
      <c r="CY327" s="35" t="s">
        <v>7045</v>
      </c>
      <c r="CZ327" s="30">
        <v>47484.0</v>
      </c>
      <c r="DA327" s="30">
        <v>47573.0</v>
      </c>
      <c r="DB327" s="39">
        <v>0.0</v>
      </c>
      <c r="DC327" s="39">
        <v>0.0</v>
      </c>
      <c r="DD327" s="35" t="s">
        <v>7045</v>
      </c>
      <c r="DE327" s="30">
        <v>47574.0</v>
      </c>
      <c r="DF327" s="30">
        <v>47664.0</v>
      </c>
      <c r="DG327" s="39">
        <v>0.0</v>
      </c>
      <c r="DH327" s="39">
        <v>0.0</v>
      </c>
      <c r="DI327" s="35" t="s">
        <v>7045</v>
      </c>
      <c r="DJ327" s="30">
        <v>47665.0</v>
      </c>
      <c r="DK327" s="30">
        <v>47756.0</v>
      </c>
      <c r="DL327" s="39">
        <v>0.0</v>
      </c>
      <c r="DM327" s="39">
        <v>0.0</v>
      </c>
      <c r="DN327" s="35" t="s">
        <v>7045</v>
      </c>
      <c r="DO327" s="30">
        <v>47757.0</v>
      </c>
      <c r="DP327" s="30">
        <v>47848.0</v>
      </c>
      <c r="DQ327" s="39">
        <v>0.0</v>
      </c>
      <c r="DR327" s="39">
        <v>0.0</v>
      </c>
      <c r="DS327" s="35" t="s">
        <v>7045</v>
      </c>
    </row>
    <row r="328" ht="14.25" customHeight="1">
      <c r="A328" s="28" t="s">
        <v>4916</v>
      </c>
      <c r="B328" s="29" t="s">
        <v>4917</v>
      </c>
      <c r="C328" s="29" t="s">
        <v>7041</v>
      </c>
      <c r="D328" s="30">
        <v>45658.0</v>
      </c>
      <c r="E328" s="30">
        <v>45747.0</v>
      </c>
      <c r="F328" s="36">
        <v>26.63</v>
      </c>
      <c r="G328" s="36">
        <v>0.0</v>
      </c>
      <c r="H328" s="38" t="s">
        <v>7047</v>
      </c>
      <c r="I328" s="30">
        <v>45748.0</v>
      </c>
      <c r="J328" s="30">
        <v>45838.0</v>
      </c>
      <c r="K328" s="36">
        <v>9.35</v>
      </c>
      <c r="L328" s="36">
        <v>0.0</v>
      </c>
      <c r="M328" s="38" t="s">
        <v>7047</v>
      </c>
      <c r="N328" s="30">
        <v>45839.0</v>
      </c>
      <c r="O328" s="30">
        <v>45930.0</v>
      </c>
      <c r="P328" s="36">
        <v>247.51</v>
      </c>
      <c r="Q328" s="36">
        <v>1056.65</v>
      </c>
      <c r="R328" s="38" t="s">
        <v>7047</v>
      </c>
      <c r="S328" s="30">
        <v>45931.0</v>
      </c>
      <c r="T328" s="30">
        <v>46022.0</v>
      </c>
      <c r="U328" s="36">
        <v>403.99</v>
      </c>
      <c r="V328" s="36">
        <v>630.0</v>
      </c>
      <c r="W328" s="38" t="s">
        <v>7047</v>
      </c>
      <c r="X328" s="30">
        <v>46023.0</v>
      </c>
      <c r="Y328" s="30">
        <v>46112.0</v>
      </c>
      <c r="Z328" s="36">
        <v>600.0</v>
      </c>
      <c r="AA328" s="36">
        <v>0.0</v>
      </c>
      <c r="AB328" s="35" t="s">
        <v>7047</v>
      </c>
      <c r="AC328" s="30">
        <v>46113.0</v>
      </c>
      <c r="AD328" s="30">
        <v>46203.0</v>
      </c>
      <c r="AE328" s="36">
        <v>1313.19</v>
      </c>
      <c r="AF328" s="36">
        <v>0.0</v>
      </c>
      <c r="AG328" s="38" t="s">
        <v>7047</v>
      </c>
      <c r="AH328" s="30">
        <v>46204.0</v>
      </c>
      <c r="AI328" s="30">
        <v>46295.0</v>
      </c>
      <c r="AJ328" s="36">
        <v>0.0</v>
      </c>
      <c r="AK328" s="36">
        <v>0.0</v>
      </c>
      <c r="AL328" s="35" t="s">
        <v>7045</v>
      </c>
      <c r="AM328" s="30">
        <v>46296.0</v>
      </c>
      <c r="AN328" s="30">
        <v>46387.0</v>
      </c>
      <c r="AO328" s="36">
        <v>0.0</v>
      </c>
      <c r="AP328" s="36">
        <v>0.0</v>
      </c>
      <c r="AQ328" s="35" t="s">
        <v>7045</v>
      </c>
      <c r="AR328" s="30">
        <v>46388.0</v>
      </c>
      <c r="AS328" s="30">
        <v>46477.0</v>
      </c>
      <c r="AT328" s="36">
        <v>0.0</v>
      </c>
      <c r="AU328" s="36">
        <v>0.0</v>
      </c>
      <c r="AV328" s="35" t="s">
        <v>7045</v>
      </c>
      <c r="AW328" s="30">
        <v>46478.0</v>
      </c>
      <c r="AX328" s="30">
        <v>46568.0</v>
      </c>
      <c r="AY328" s="36">
        <v>0.0</v>
      </c>
      <c r="AZ328" s="36">
        <v>0.0</v>
      </c>
      <c r="BA328" s="35" t="s">
        <v>7045</v>
      </c>
      <c r="BB328" s="30">
        <v>46569.0</v>
      </c>
      <c r="BC328" s="30">
        <v>46660.0</v>
      </c>
      <c r="BD328" s="36">
        <v>0.0</v>
      </c>
      <c r="BE328" s="36">
        <v>0.0</v>
      </c>
      <c r="BF328" s="35" t="s">
        <v>7045</v>
      </c>
      <c r="BG328" s="30">
        <v>46661.0</v>
      </c>
      <c r="BH328" s="30">
        <v>46752.0</v>
      </c>
      <c r="BI328" s="36">
        <v>0.0</v>
      </c>
      <c r="BJ328" s="36">
        <v>0.0</v>
      </c>
      <c r="BK328" s="35" t="s">
        <v>7045</v>
      </c>
      <c r="BL328" s="30">
        <v>46753.0</v>
      </c>
      <c r="BM328" s="30">
        <v>46843.0</v>
      </c>
      <c r="BN328" s="36">
        <v>0.0</v>
      </c>
      <c r="BO328" s="36">
        <v>0.0</v>
      </c>
      <c r="BP328" s="35" t="s">
        <v>7045</v>
      </c>
      <c r="BQ328" s="30">
        <v>46844.0</v>
      </c>
      <c r="BR328" s="30">
        <v>46934.0</v>
      </c>
      <c r="BS328" s="36">
        <v>0.0</v>
      </c>
      <c r="BT328" s="36">
        <v>0.0</v>
      </c>
      <c r="BU328" s="35" t="s">
        <v>7045</v>
      </c>
      <c r="BV328" s="30">
        <v>46935.0</v>
      </c>
      <c r="BW328" s="30">
        <v>47026.0</v>
      </c>
      <c r="BX328" s="36">
        <v>0.0</v>
      </c>
      <c r="BY328" s="36">
        <v>0.0</v>
      </c>
      <c r="BZ328" s="35" t="s">
        <v>7045</v>
      </c>
      <c r="CA328" s="30">
        <v>47027.0</v>
      </c>
      <c r="CB328" s="30">
        <v>47118.0</v>
      </c>
      <c r="CC328" s="36">
        <v>0.0</v>
      </c>
      <c r="CD328" s="36">
        <v>0.0</v>
      </c>
      <c r="CE328" s="35" t="s">
        <v>7045</v>
      </c>
      <c r="CF328" s="30">
        <v>47119.0</v>
      </c>
      <c r="CG328" s="30">
        <v>47208.0</v>
      </c>
      <c r="CH328" s="36">
        <v>0.0</v>
      </c>
      <c r="CI328" s="36">
        <v>0.0</v>
      </c>
      <c r="CJ328" s="35" t="s">
        <v>7045</v>
      </c>
      <c r="CK328" s="30">
        <v>47209.0</v>
      </c>
      <c r="CL328" s="30">
        <v>47299.0</v>
      </c>
      <c r="CM328" s="36">
        <v>0.0</v>
      </c>
      <c r="CN328" s="36">
        <v>0.0</v>
      </c>
      <c r="CO328" s="35" t="s">
        <v>7045</v>
      </c>
      <c r="CP328" s="30">
        <v>47300.0</v>
      </c>
      <c r="CQ328" s="30">
        <v>47391.0</v>
      </c>
      <c r="CR328" s="36">
        <v>0.0</v>
      </c>
      <c r="CS328" s="36">
        <v>0.0</v>
      </c>
      <c r="CT328" s="35" t="s">
        <v>7045</v>
      </c>
      <c r="CU328" s="30">
        <v>47392.0</v>
      </c>
      <c r="CV328" s="30">
        <v>47483.0</v>
      </c>
      <c r="CW328" s="36">
        <v>0.0</v>
      </c>
      <c r="CX328" s="36">
        <v>0.0</v>
      </c>
      <c r="CY328" s="35" t="s">
        <v>7045</v>
      </c>
      <c r="CZ328" s="30">
        <v>47484.0</v>
      </c>
      <c r="DA328" s="30">
        <v>47573.0</v>
      </c>
      <c r="DB328" s="36">
        <v>0.0</v>
      </c>
      <c r="DC328" s="36">
        <v>0.0</v>
      </c>
      <c r="DD328" s="35" t="s">
        <v>7045</v>
      </c>
      <c r="DE328" s="30">
        <v>47574.0</v>
      </c>
      <c r="DF328" s="30">
        <v>47664.0</v>
      </c>
      <c r="DG328" s="36">
        <v>0.0</v>
      </c>
      <c r="DH328" s="36">
        <v>0.0</v>
      </c>
      <c r="DI328" s="35" t="s">
        <v>7045</v>
      </c>
      <c r="DJ328" s="30">
        <v>47665.0</v>
      </c>
      <c r="DK328" s="30">
        <v>47756.0</v>
      </c>
      <c r="DL328" s="36">
        <v>0.0</v>
      </c>
      <c r="DM328" s="36">
        <v>0.0</v>
      </c>
      <c r="DN328" s="35" t="s">
        <v>7045</v>
      </c>
      <c r="DO328" s="30">
        <v>47757.0</v>
      </c>
      <c r="DP328" s="30">
        <v>47848.0</v>
      </c>
      <c r="DQ328" s="36">
        <v>0.0</v>
      </c>
      <c r="DR328" s="36">
        <v>0.0</v>
      </c>
      <c r="DS328" s="35" t="s">
        <v>7045</v>
      </c>
    </row>
    <row r="329" ht="14.25" customHeight="1">
      <c r="A329" s="28" t="s">
        <v>4925</v>
      </c>
      <c r="B329" s="29" t="s">
        <v>4926</v>
      </c>
      <c r="C329" s="29" t="s">
        <v>7041</v>
      </c>
      <c r="D329" s="30">
        <v>45658.0</v>
      </c>
      <c r="E329" s="30">
        <v>45747.0</v>
      </c>
      <c r="F329" s="36">
        <v>7.92</v>
      </c>
      <c r="G329" s="36">
        <v>0.0</v>
      </c>
      <c r="H329" s="38" t="s">
        <v>7047</v>
      </c>
      <c r="I329" s="30">
        <v>45748.0</v>
      </c>
      <c r="J329" s="30">
        <v>45838.0</v>
      </c>
      <c r="K329" s="36">
        <v>13.56</v>
      </c>
      <c r="L329" s="36">
        <v>506.65</v>
      </c>
      <c r="M329" s="32" t="s">
        <v>7043</v>
      </c>
      <c r="N329" s="30">
        <v>45839.0</v>
      </c>
      <c r="O329" s="30">
        <v>45930.0</v>
      </c>
      <c r="P329" s="36">
        <v>50.4</v>
      </c>
      <c r="Q329" s="36">
        <v>739.98</v>
      </c>
      <c r="R329" s="38" t="s">
        <v>7047</v>
      </c>
      <c r="S329" s="30">
        <v>45931.0</v>
      </c>
      <c r="T329" s="30">
        <v>46022.0</v>
      </c>
      <c r="U329" s="36">
        <v>50.28</v>
      </c>
      <c r="V329" s="36">
        <v>723.34</v>
      </c>
      <c r="W329" s="38" t="s">
        <v>7047</v>
      </c>
      <c r="X329" s="30">
        <v>46023.0</v>
      </c>
      <c r="Y329" s="30">
        <v>46112.0</v>
      </c>
      <c r="Z329" s="36">
        <v>34.34</v>
      </c>
      <c r="AA329" s="36">
        <v>0.0</v>
      </c>
      <c r="AB329" s="38" t="s">
        <v>7047</v>
      </c>
      <c r="AC329" s="30">
        <v>46113.0</v>
      </c>
      <c r="AD329" s="30">
        <v>46203.0</v>
      </c>
      <c r="AE329" s="36">
        <v>10.02</v>
      </c>
      <c r="AF329" s="36">
        <v>0.0</v>
      </c>
      <c r="AG329" s="38" t="s">
        <v>7047</v>
      </c>
      <c r="AH329" s="30">
        <v>46204.0</v>
      </c>
      <c r="AI329" s="30">
        <v>46295.0</v>
      </c>
      <c r="AJ329" s="36">
        <v>6.87</v>
      </c>
      <c r="AK329" s="36">
        <v>0.0</v>
      </c>
      <c r="AL329" s="38" t="s">
        <v>7047</v>
      </c>
      <c r="AM329" s="30">
        <v>46296.0</v>
      </c>
      <c r="AN329" s="30">
        <v>46387.0</v>
      </c>
      <c r="AO329" s="36">
        <v>0.0</v>
      </c>
      <c r="AP329" s="36">
        <v>0.0</v>
      </c>
      <c r="AQ329" s="35" t="s">
        <v>7045</v>
      </c>
      <c r="AR329" s="30">
        <v>46388.0</v>
      </c>
      <c r="AS329" s="30">
        <v>46477.0</v>
      </c>
      <c r="AT329" s="36">
        <v>0.0</v>
      </c>
      <c r="AU329" s="36">
        <v>0.0</v>
      </c>
      <c r="AV329" s="35" t="s">
        <v>7045</v>
      </c>
      <c r="AW329" s="30">
        <v>46478.0</v>
      </c>
      <c r="AX329" s="30">
        <v>46568.0</v>
      </c>
      <c r="AY329" s="36">
        <v>0.0</v>
      </c>
      <c r="AZ329" s="36">
        <v>0.0</v>
      </c>
      <c r="BA329" s="35" t="s">
        <v>7045</v>
      </c>
      <c r="BB329" s="30">
        <v>46569.0</v>
      </c>
      <c r="BC329" s="30">
        <v>46660.0</v>
      </c>
      <c r="BD329" s="36">
        <v>0.0</v>
      </c>
      <c r="BE329" s="36">
        <v>0.0</v>
      </c>
      <c r="BF329" s="35" t="s">
        <v>7045</v>
      </c>
      <c r="BG329" s="30">
        <v>46661.0</v>
      </c>
      <c r="BH329" s="30">
        <v>46752.0</v>
      </c>
      <c r="BI329" s="36">
        <v>0.0</v>
      </c>
      <c r="BJ329" s="36">
        <v>0.0</v>
      </c>
      <c r="BK329" s="35" t="s">
        <v>7045</v>
      </c>
      <c r="BL329" s="30">
        <v>46753.0</v>
      </c>
      <c r="BM329" s="30">
        <v>46843.0</v>
      </c>
      <c r="BN329" s="36">
        <v>0.0</v>
      </c>
      <c r="BO329" s="36">
        <v>0.0</v>
      </c>
      <c r="BP329" s="35" t="s">
        <v>7045</v>
      </c>
      <c r="BQ329" s="30">
        <v>46844.0</v>
      </c>
      <c r="BR329" s="30">
        <v>46934.0</v>
      </c>
      <c r="BS329" s="36">
        <v>0.0</v>
      </c>
      <c r="BT329" s="36">
        <v>0.0</v>
      </c>
      <c r="BU329" s="35" t="s">
        <v>7045</v>
      </c>
      <c r="BV329" s="30">
        <v>46935.0</v>
      </c>
      <c r="BW329" s="30">
        <v>47026.0</v>
      </c>
      <c r="BX329" s="36">
        <v>0.0</v>
      </c>
      <c r="BY329" s="36">
        <v>0.0</v>
      </c>
      <c r="BZ329" s="35" t="s">
        <v>7045</v>
      </c>
      <c r="CA329" s="30">
        <v>47027.0</v>
      </c>
      <c r="CB329" s="30">
        <v>47118.0</v>
      </c>
      <c r="CC329" s="36">
        <v>0.0</v>
      </c>
      <c r="CD329" s="36">
        <v>0.0</v>
      </c>
      <c r="CE329" s="35" t="s">
        <v>7045</v>
      </c>
      <c r="CF329" s="30">
        <v>47119.0</v>
      </c>
      <c r="CG329" s="30">
        <v>47208.0</v>
      </c>
      <c r="CH329" s="36">
        <v>0.0</v>
      </c>
      <c r="CI329" s="36">
        <v>0.0</v>
      </c>
      <c r="CJ329" s="35" t="s">
        <v>7045</v>
      </c>
      <c r="CK329" s="30">
        <v>47209.0</v>
      </c>
      <c r="CL329" s="30">
        <v>47299.0</v>
      </c>
      <c r="CM329" s="36">
        <v>0.0</v>
      </c>
      <c r="CN329" s="36">
        <v>0.0</v>
      </c>
      <c r="CO329" s="35" t="s">
        <v>7045</v>
      </c>
      <c r="CP329" s="30">
        <v>47300.0</v>
      </c>
      <c r="CQ329" s="30">
        <v>47391.0</v>
      </c>
      <c r="CR329" s="36">
        <v>0.0</v>
      </c>
      <c r="CS329" s="36">
        <v>0.0</v>
      </c>
      <c r="CT329" s="35" t="s">
        <v>7045</v>
      </c>
      <c r="CU329" s="30">
        <v>47392.0</v>
      </c>
      <c r="CV329" s="30">
        <v>47483.0</v>
      </c>
      <c r="CW329" s="36">
        <v>0.0</v>
      </c>
      <c r="CX329" s="36">
        <v>0.0</v>
      </c>
      <c r="CY329" s="35" t="s">
        <v>7045</v>
      </c>
      <c r="CZ329" s="30">
        <v>47484.0</v>
      </c>
      <c r="DA329" s="30">
        <v>47573.0</v>
      </c>
      <c r="DB329" s="36">
        <v>0.0</v>
      </c>
      <c r="DC329" s="36">
        <v>0.0</v>
      </c>
      <c r="DD329" s="35" t="s">
        <v>7045</v>
      </c>
      <c r="DE329" s="30">
        <v>47574.0</v>
      </c>
      <c r="DF329" s="30">
        <v>47664.0</v>
      </c>
      <c r="DG329" s="36">
        <v>0.0</v>
      </c>
      <c r="DH329" s="36">
        <v>0.0</v>
      </c>
      <c r="DI329" s="35" t="s">
        <v>7045</v>
      </c>
      <c r="DJ329" s="30">
        <v>47665.0</v>
      </c>
      <c r="DK329" s="30">
        <v>47756.0</v>
      </c>
      <c r="DL329" s="36">
        <v>0.0</v>
      </c>
      <c r="DM329" s="36">
        <v>0.0</v>
      </c>
      <c r="DN329" s="35" t="s">
        <v>7045</v>
      </c>
      <c r="DO329" s="30">
        <v>47757.0</v>
      </c>
      <c r="DP329" s="30">
        <v>47848.0</v>
      </c>
      <c r="DQ329" s="36">
        <v>0.0</v>
      </c>
      <c r="DR329" s="36">
        <v>0.0</v>
      </c>
      <c r="DS329" s="35" t="s">
        <v>7045</v>
      </c>
    </row>
    <row r="330" ht="14.25" customHeight="1">
      <c r="A330" s="28" t="s">
        <v>5057</v>
      </c>
      <c r="B330" s="29" t="s">
        <v>5058</v>
      </c>
      <c r="C330" s="29" t="s">
        <v>7041</v>
      </c>
      <c r="D330" s="30">
        <v>45658.0</v>
      </c>
      <c r="E330" s="30">
        <v>45747.0</v>
      </c>
      <c r="F330" s="39">
        <v>7.35</v>
      </c>
      <c r="G330" s="39">
        <v>0.0</v>
      </c>
      <c r="H330" s="38" t="s">
        <v>7047</v>
      </c>
      <c r="I330" s="30">
        <v>45748.0</v>
      </c>
      <c r="J330" s="30">
        <v>45838.0</v>
      </c>
      <c r="K330" s="39">
        <v>220.0</v>
      </c>
      <c r="L330" s="39">
        <v>300.0</v>
      </c>
      <c r="M330" s="32" t="s">
        <v>7046</v>
      </c>
      <c r="N330" s="30">
        <v>45839.0</v>
      </c>
      <c r="O330" s="30">
        <v>45930.0</v>
      </c>
      <c r="P330" s="39">
        <v>37.35</v>
      </c>
      <c r="Q330" s="39">
        <v>516.67</v>
      </c>
      <c r="R330" s="38" t="s">
        <v>7046</v>
      </c>
      <c r="S330" s="30">
        <v>45931.0</v>
      </c>
      <c r="T330" s="30">
        <v>46022.0</v>
      </c>
      <c r="U330" s="39">
        <v>500.0</v>
      </c>
      <c r="V330" s="39">
        <v>766.67</v>
      </c>
      <c r="W330" s="38" t="s">
        <v>7047</v>
      </c>
      <c r="X330" s="30">
        <v>46023.0</v>
      </c>
      <c r="Y330" s="30">
        <v>46112.0</v>
      </c>
      <c r="Z330" s="39">
        <v>50.0</v>
      </c>
      <c r="AA330" s="39">
        <v>0.0</v>
      </c>
      <c r="AB330" s="38" t="s">
        <v>7047</v>
      </c>
      <c r="AC330" s="30">
        <v>46113.0</v>
      </c>
      <c r="AD330" s="30">
        <v>46203.0</v>
      </c>
      <c r="AE330" s="39">
        <v>2545.0</v>
      </c>
      <c r="AF330" s="39">
        <v>0.0</v>
      </c>
      <c r="AG330" s="38" t="s">
        <v>7047</v>
      </c>
      <c r="AH330" s="30">
        <v>46204.0</v>
      </c>
      <c r="AI330" s="30">
        <v>46295.0</v>
      </c>
      <c r="AJ330" s="39">
        <v>1000.0</v>
      </c>
      <c r="AK330" s="39">
        <v>0.0</v>
      </c>
      <c r="AL330" s="38" t="s">
        <v>7047</v>
      </c>
      <c r="AM330" s="30">
        <v>46296.0</v>
      </c>
      <c r="AN330" s="30">
        <v>46387.0</v>
      </c>
      <c r="AO330" s="39">
        <v>1000.0</v>
      </c>
      <c r="AP330" s="39">
        <v>0.0</v>
      </c>
      <c r="AQ330" s="38" t="s">
        <v>7047</v>
      </c>
      <c r="AR330" s="30">
        <v>46388.0</v>
      </c>
      <c r="AS330" s="30">
        <v>46477.0</v>
      </c>
      <c r="AT330" s="39">
        <v>0.0</v>
      </c>
      <c r="AU330" s="39">
        <v>0.0</v>
      </c>
      <c r="AV330" s="35" t="s">
        <v>7045</v>
      </c>
      <c r="AW330" s="30">
        <v>46478.0</v>
      </c>
      <c r="AX330" s="30">
        <v>46568.0</v>
      </c>
      <c r="AY330" s="39">
        <v>0.0</v>
      </c>
      <c r="AZ330" s="39">
        <v>0.0</v>
      </c>
      <c r="BA330" s="35" t="s">
        <v>7045</v>
      </c>
      <c r="BB330" s="30">
        <v>46569.0</v>
      </c>
      <c r="BC330" s="30">
        <v>46660.0</v>
      </c>
      <c r="BD330" s="39">
        <v>0.0</v>
      </c>
      <c r="BE330" s="39">
        <v>0.0</v>
      </c>
      <c r="BF330" s="35" t="s">
        <v>7045</v>
      </c>
      <c r="BG330" s="30">
        <v>46661.0</v>
      </c>
      <c r="BH330" s="30">
        <v>46752.0</v>
      </c>
      <c r="BI330" s="39">
        <v>0.0</v>
      </c>
      <c r="BJ330" s="39">
        <v>0.0</v>
      </c>
      <c r="BK330" s="35" t="s">
        <v>7045</v>
      </c>
      <c r="BL330" s="30">
        <v>46753.0</v>
      </c>
      <c r="BM330" s="30">
        <v>46843.0</v>
      </c>
      <c r="BN330" s="39">
        <v>0.0</v>
      </c>
      <c r="BO330" s="39">
        <v>0.0</v>
      </c>
      <c r="BP330" s="35" t="s">
        <v>7045</v>
      </c>
      <c r="BQ330" s="30">
        <v>46844.0</v>
      </c>
      <c r="BR330" s="30">
        <v>46934.0</v>
      </c>
      <c r="BS330" s="39">
        <v>0.0</v>
      </c>
      <c r="BT330" s="39">
        <v>0.0</v>
      </c>
      <c r="BU330" s="35" t="s">
        <v>7045</v>
      </c>
      <c r="BV330" s="30">
        <v>46935.0</v>
      </c>
      <c r="BW330" s="30">
        <v>47026.0</v>
      </c>
      <c r="BX330" s="39">
        <v>0.0</v>
      </c>
      <c r="BY330" s="39">
        <v>0.0</v>
      </c>
      <c r="BZ330" s="35" t="s">
        <v>7045</v>
      </c>
      <c r="CA330" s="30">
        <v>47027.0</v>
      </c>
      <c r="CB330" s="30">
        <v>47118.0</v>
      </c>
      <c r="CC330" s="39">
        <v>0.0</v>
      </c>
      <c r="CD330" s="39">
        <v>0.0</v>
      </c>
      <c r="CE330" s="35" t="s">
        <v>7045</v>
      </c>
      <c r="CF330" s="30">
        <v>47119.0</v>
      </c>
      <c r="CG330" s="30">
        <v>47208.0</v>
      </c>
      <c r="CH330" s="39">
        <v>0.0</v>
      </c>
      <c r="CI330" s="39">
        <v>0.0</v>
      </c>
      <c r="CJ330" s="35" t="s">
        <v>7045</v>
      </c>
      <c r="CK330" s="30">
        <v>47209.0</v>
      </c>
      <c r="CL330" s="30">
        <v>47299.0</v>
      </c>
      <c r="CM330" s="39">
        <v>0.0</v>
      </c>
      <c r="CN330" s="39">
        <v>0.0</v>
      </c>
      <c r="CO330" s="35" t="s">
        <v>7045</v>
      </c>
      <c r="CP330" s="30">
        <v>47300.0</v>
      </c>
      <c r="CQ330" s="30">
        <v>47391.0</v>
      </c>
      <c r="CR330" s="39">
        <v>0.0</v>
      </c>
      <c r="CS330" s="39">
        <v>0.0</v>
      </c>
      <c r="CT330" s="35" t="s">
        <v>7045</v>
      </c>
      <c r="CU330" s="30">
        <v>47392.0</v>
      </c>
      <c r="CV330" s="30">
        <v>47483.0</v>
      </c>
      <c r="CW330" s="39">
        <v>0.0</v>
      </c>
      <c r="CX330" s="39">
        <v>0.0</v>
      </c>
      <c r="CY330" s="35" t="s">
        <v>7045</v>
      </c>
      <c r="CZ330" s="30">
        <v>47484.0</v>
      </c>
      <c r="DA330" s="30">
        <v>47573.0</v>
      </c>
      <c r="DB330" s="39">
        <v>0.0</v>
      </c>
      <c r="DC330" s="39">
        <v>0.0</v>
      </c>
      <c r="DD330" s="35" t="s">
        <v>7045</v>
      </c>
      <c r="DE330" s="30">
        <v>47574.0</v>
      </c>
      <c r="DF330" s="30">
        <v>47664.0</v>
      </c>
      <c r="DG330" s="39">
        <v>0.0</v>
      </c>
      <c r="DH330" s="39">
        <v>0.0</v>
      </c>
      <c r="DI330" s="35" t="s">
        <v>7045</v>
      </c>
      <c r="DJ330" s="30">
        <v>47665.0</v>
      </c>
      <c r="DK330" s="30">
        <v>47756.0</v>
      </c>
      <c r="DL330" s="39">
        <v>0.0</v>
      </c>
      <c r="DM330" s="39">
        <v>0.0</v>
      </c>
      <c r="DN330" s="35" t="s">
        <v>7045</v>
      </c>
      <c r="DO330" s="30">
        <v>47757.0</v>
      </c>
      <c r="DP330" s="30">
        <v>47848.0</v>
      </c>
      <c r="DQ330" s="39">
        <v>0.0</v>
      </c>
      <c r="DR330" s="39">
        <v>0.0</v>
      </c>
      <c r="DS330" s="35" t="s">
        <v>7045</v>
      </c>
    </row>
    <row r="331" ht="14.25" customHeight="1">
      <c r="A331" s="28" t="s">
        <v>5079</v>
      </c>
      <c r="B331" s="29" t="s">
        <v>5080</v>
      </c>
      <c r="C331" s="29" t="s">
        <v>7041</v>
      </c>
      <c r="D331" s="30">
        <v>45658.0</v>
      </c>
      <c r="E331" s="30">
        <v>45747.0</v>
      </c>
      <c r="F331" s="39">
        <v>2.6</v>
      </c>
      <c r="G331" s="39">
        <v>0.0</v>
      </c>
      <c r="H331" s="38" t="s">
        <v>7047</v>
      </c>
      <c r="I331" s="30">
        <v>45748.0</v>
      </c>
      <c r="J331" s="30">
        <v>45838.0</v>
      </c>
      <c r="K331" s="39">
        <v>3.37</v>
      </c>
      <c r="L331" s="39">
        <v>238.33</v>
      </c>
      <c r="M331" s="32" t="s">
        <v>7043</v>
      </c>
      <c r="N331" s="30">
        <v>45839.0</v>
      </c>
      <c r="O331" s="30">
        <v>45930.0</v>
      </c>
      <c r="P331" s="39">
        <v>5.97</v>
      </c>
      <c r="Q331" s="39">
        <v>171.67</v>
      </c>
      <c r="R331" s="32" t="s">
        <v>7047</v>
      </c>
      <c r="S331" s="30">
        <v>45931.0</v>
      </c>
      <c r="T331" s="30">
        <v>46022.0</v>
      </c>
      <c r="U331" s="39">
        <v>0.0</v>
      </c>
      <c r="V331" s="39">
        <v>238.33</v>
      </c>
      <c r="W331" s="32" t="s">
        <v>7043</v>
      </c>
      <c r="X331" s="30">
        <v>46023.0</v>
      </c>
      <c r="Y331" s="30">
        <v>46112.0</v>
      </c>
      <c r="Z331" s="39">
        <v>0.0</v>
      </c>
      <c r="AA331" s="39">
        <v>0.0</v>
      </c>
      <c r="AB331" s="35" t="s">
        <v>7045</v>
      </c>
      <c r="AC331" s="30">
        <v>46113.0</v>
      </c>
      <c r="AD331" s="30">
        <v>46203.0</v>
      </c>
      <c r="AE331" s="39">
        <v>0.0</v>
      </c>
      <c r="AF331" s="39">
        <v>0.0</v>
      </c>
      <c r="AG331" s="35" t="s">
        <v>7045</v>
      </c>
      <c r="AH331" s="30">
        <v>46204.0</v>
      </c>
      <c r="AI331" s="30">
        <v>46295.0</v>
      </c>
      <c r="AJ331" s="39">
        <v>0.0</v>
      </c>
      <c r="AK331" s="39">
        <v>0.0</v>
      </c>
      <c r="AL331" s="35" t="s">
        <v>7045</v>
      </c>
      <c r="AM331" s="30">
        <v>46296.0</v>
      </c>
      <c r="AN331" s="30">
        <v>46387.0</v>
      </c>
      <c r="AO331" s="39">
        <v>7.0</v>
      </c>
      <c r="AP331" s="39">
        <v>0.0</v>
      </c>
      <c r="AQ331" s="38" t="s">
        <v>7047</v>
      </c>
      <c r="AR331" s="30">
        <v>46388.0</v>
      </c>
      <c r="AS331" s="30">
        <v>46477.0</v>
      </c>
      <c r="AT331" s="39">
        <v>0.0</v>
      </c>
      <c r="AU331" s="39">
        <v>0.0</v>
      </c>
      <c r="AV331" s="35" t="s">
        <v>7045</v>
      </c>
      <c r="AW331" s="30">
        <v>46478.0</v>
      </c>
      <c r="AX331" s="30">
        <v>46568.0</v>
      </c>
      <c r="AY331" s="39">
        <v>0.0</v>
      </c>
      <c r="AZ331" s="39">
        <v>0.0</v>
      </c>
      <c r="BA331" s="35" t="s">
        <v>7045</v>
      </c>
      <c r="BB331" s="30">
        <v>46569.0</v>
      </c>
      <c r="BC331" s="30">
        <v>46660.0</v>
      </c>
      <c r="BD331" s="39">
        <v>0.0</v>
      </c>
      <c r="BE331" s="39">
        <v>0.0</v>
      </c>
      <c r="BF331" s="35" t="s">
        <v>7045</v>
      </c>
      <c r="BG331" s="30">
        <v>46661.0</v>
      </c>
      <c r="BH331" s="30">
        <v>46752.0</v>
      </c>
      <c r="BI331" s="39">
        <v>0.0</v>
      </c>
      <c r="BJ331" s="39">
        <v>0.0</v>
      </c>
      <c r="BK331" s="35" t="s">
        <v>7045</v>
      </c>
      <c r="BL331" s="30">
        <v>46753.0</v>
      </c>
      <c r="BM331" s="30">
        <v>46843.0</v>
      </c>
      <c r="BN331" s="39">
        <v>0.0</v>
      </c>
      <c r="BO331" s="39">
        <v>0.0</v>
      </c>
      <c r="BP331" s="35" t="s">
        <v>7045</v>
      </c>
      <c r="BQ331" s="30">
        <v>46844.0</v>
      </c>
      <c r="BR331" s="30">
        <v>46934.0</v>
      </c>
      <c r="BS331" s="39">
        <v>0.0</v>
      </c>
      <c r="BT331" s="39">
        <v>0.0</v>
      </c>
      <c r="BU331" s="35" t="s">
        <v>7045</v>
      </c>
      <c r="BV331" s="30">
        <v>46935.0</v>
      </c>
      <c r="BW331" s="30">
        <v>47026.0</v>
      </c>
      <c r="BX331" s="39">
        <v>0.0</v>
      </c>
      <c r="BY331" s="39">
        <v>0.0</v>
      </c>
      <c r="BZ331" s="35" t="s">
        <v>7045</v>
      </c>
      <c r="CA331" s="30">
        <v>47027.0</v>
      </c>
      <c r="CB331" s="30">
        <v>47118.0</v>
      </c>
      <c r="CC331" s="39">
        <v>0.0</v>
      </c>
      <c r="CD331" s="39">
        <v>0.0</v>
      </c>
      <c r="CE331" s="35" t="s">
        <v>7045</v>
      </c>
      <c r="CF331" s="30">
        <v>47119.0</v>
      </c>
      <c r="CG331" s="30">
        <v>47208.0</v>
      </c>
      <c r="CH331" s="39">
        <v>0.0</v>
      </c>
      <c r="CI331" s="39">
        <v>0.0</v>
      </c>
      <c r="CJ331" s="35" t="s">
        <v>7045</v>
      </c>
      <c r="CK331" s="30">
        <v>47209.0</v>
      </c>
      <c r="CL331" s="30">
        <v>47299.0</v>
      </c>
      <c r="CM331" s="39">
        <v>0.0</v>
      </c>
      <c r="CN331" s="39">
        <v>0.0</v>
      </c>
      <c r="CO331" s="35" t="s">
        <v>7045</v>
      </c>
      <c r="CP331" s="30">
        <v>47300.0</v>
      </c>
      <c r="CQ331" s="30">
        <v>47391.0</v>
      </c>
      <c r="CR331" s="39">
        <v>0.0</v>
      </c>
      <c r="CS331" s="39">
        <v>0.0</v>
      </c>
      <c r="CT331" s="35" t="s">
        <v>7045</v>
      </c>
      <c r="CU331" s="30">
        <v>47392.0</v>
      </c>
      <c r="CV331" s="30">
        <v>47483.0</v>
      </c>
      <c r="CW331" s="39">
        <v>0.0</v>
      </c>
      <c r="CX331" s="39">
        <v>0.0</v>
      </c>
      <c r="CY331" s="35" t="s">
        <v>7045</v>
      </c>
      <c r="CZ331" s="30">
        <v>47484.0</v>
      </c>
      <c r="DA331" s="30">
        <v>47573.0</v>
      </c>
      <c r="DB331" s="39">
        <v>0.0</v>
      </c>
      <c r="DC331" s="39">
        <v>0.0</v>
      </c>
      <c r="DD331" s="35" t="s">
        <v>7045</v>
      </c>
      <c r="DE331" s="30">
        <v>47574.0</v>
      </c>
      <c r="DF331" s="30">
        <v>47664.0</v>
      </c>
      <c r="DG331" s="39">
        <v>0.0</v>
      </c>
      <c r="DH331" s="39">
        <v>0.0</v>
      </c>
      <c r="DI331" s="35" t="s">
        <v>7045</v>
      </c>
      <c r="DJ331" s="30">
        <v>47665.0</v>
      </c>
      <c r="DK331" s="30">
        <v>47756.0</v>
      </c>
      <c r="DL331" s="39">
        <v>0.0</v>
      </c>
      <c r="DM331" s="39">
        <v>0.0</v>
      </c>
      <c r="DN331" s="35" t="s">
        <v>7045</v>
      </c>
      <c r="DO331" s="30">
        <v>47757.0</v>
      </c>
      <c r="DP331" s="30">
        <v>47848.0</v>
      </c>
      <c r="DQ331" s="39">
        <v>0.0</v>
      </c>
      <c r="DR331" s="39">
        <v>0.0</v>
      </c>
      <c r="DS331" s="35" t="s">
        <v>7045</v>
      </c>
    </row>
    <row r="332" ht="14.25" customHeight="1">
      <c r="A332" s="28" t="s">
        <v>5182</v>
      </c>
      <c r="B332" s="29" t="s">
        <v>5183</v>
      </c>
      <c r="C332" s="29" t="s">
        <v>7041</v>
      </c>
      <c r="D332" s="30">
        <v>45658.0</v>
      </c>
      <c r="E332" s="30">
        <v>45747.0</v>
      </c>
      <c r="F332" s="39">
        <v>75.9</v>
      </c>
      <c r="G332" s="39">
        <v>0.0</v>
      </c>
      <c r="H332" s="38" t="s">
        <v>7047</v>
      </c>
      <c r="I332" s="30">
        <v>45748.0</v>
      </c>
      <c r="J332" s="30">
        <v>45838.0</v>
      </c>
      <c r="K332" s="39">
        <v>2.7</v>
      </c>
      <c r="L332" s="39">
        <v>80.65</v>
      </c>
      <c r="M332" s="32" t="s">
        <v>7043</v>
      </c>
      <c r="N332" s="30">
        <v>45839.0</v>
      </c>
      <c r="O332" s="30">
        <v>45930.0</v>
      </c>
      <c r="P332" s="39">
        <v>272.0</v>
      </c>
      <c r="Q332" s="39">
        <v>80.65</v>
      </c>
      <c r="R332" s="38" t="s">
        <v>7047</v>
      </c>
      <c r="S332" s="30">
        <v>45931.0</v>
      </c>
      <c r="T332" s="30">
        <v>46022.0</v>
      </c>
      <c r="U332" s="39">
        <v>0.0</v>
      </c>
      <c r="V332" s="39">
        <v>80.65</v>
      </c>
      <c r="W332" s="32" t="s">
        <v>7043</v>
      </c>
      <c r="X332" s="30">
        <v>46023.0</v>
      </c>
      <c r="Y332" s="30">
        <v>46112.0</v>
      </c>
      <c r="Z332" s="39">
        <v>0.0</v>
      </c>
      <c r="AA332" s="39">
        <v>0.0</v>
      </c>
      <c r="AB332" s="35" t="s">
        <v>7045</v>
      </c>
      <c r="AC332" s="30">
        <v>46113.0</v>
      </c>
      <c r="AD332" s="30">
        <v>46203.0</v>
      </c>
      <c r="AE332" s="39">
        <v>0.0</v>
      </c>
      <c r="AF332" s="39">
        <v>0.0</v>
      </c>
      <c r="AG332" s="35" t="s">
        <v>7045</v>
      </c>
      <c r="AH332" s="30">
        <v>46204.0</v>
      </c>
      <c r="AI332" s="30">
        <v>46295.0</v>
      </c>
      <c r="AJ332" s="39">
        <v>0.0</v>
      </c>
      <c r="AK332" s="39">
        <v>0.0</v>
      </c>
      <c r="AL332" s="35" t="s">
        <v>7045</v>
      </c>
      <c r="AM332" s="30">
        <v>46296.0</v>
      </c>
      <c r="AN332" s="30">
        <v>46387.0</v>
      </c>
      <c r="AO332" s="39">
        <v>0.0</v>
      </c>
      <c r="AP332" s="39">
        <v>0.0</v>
      </c>
      <c r="AQ332" s="35" t="s">
        <v>7045</v>
      </c>
      <c r="AR332" s="30">
        <v>46388.0</v>
      </c>
      <c r="AS332" s="30">
        <v>46477.0</v>
      </c>
      <c r="AT332" s="39">
        <v>0.0</v>
      </c>
      <c r="AU332" s="39">
        <v>0.0</v>
      </c>
      <c r="AV332" s="35" t="s">
        <v>7045</v>
      </c>
      <c r="AW332" s="30">
        <v>46478.0</v>
      </c>
      <c r="AX332" s="30">
        <v>46568.0</v>
      </c>
      <c r="AY332" s="39">
        <v>0.0</v>
      </c>
      <c r="AZ332" s="39">
        <v>0.0</v>
      </c>
      <c r="BA332" s="35" t="s">
        <v>7045</v>
      </c>
      <c r="BB332" s="30">
        <v>46569.0</v>
      </c>
      <c r="BC332" s="30">
        <v>46660.0</v>
      </c>
      <c r="BD332" s="39">
        <v>0.0</v>
      </c>
      <c r="BE332" s="39">
        <v>0.0</v>
      </c>
      <c r="BF332" s="35" t="s">
        <v>7045</v>
      </c>
      <c r="BG332" s="30">
        <v>46661.0</v>
      </c>
      <c r="BH332" s="30">
        <v>46752.0</v>
      </c>
      <c r="BI332" s="39">
        <v>0.0</v>
      </c>
      <c r="BJ332" s="39">
        <v>0.0</v>
      </c>
      <c r="BK332" s="35" t="s">
        <v>7045</v>
      </c>
      <c r="BL332" s="30">
        <v>46753.0</v>
      </c>
      <c r="BM332" s="30">
        <v>46843.0</v>
      </c>
      <c r="BN332" s="39">
        <v>0.0</v>
      </c>
      <c r="BO332" s="39">
        <v>0.0</v>
      </c>
      <c r="BP332" s="35" t="s">
        <v>7045</v>
      </c>
      <c r="BQ332" s="30">
        <v>46844.0</v>
      </c>
      <c r="BR332" s="30">
        <v>46934.0</v>
      </c>
      <c r="BS332" s="39">
        <v>0.0</v>
      </c>
      <c r="BT332" s="39">
        <v>0.0</v>
      </c>
      <c r="BU332" s="35" t="s">
        <v>7045</v>
      </c>
      <c r="BV332" s="30">
        <v>46935.0</v>
      </c>
      <c r="BW332" s="30">
        <v>47026.0</v>
      </c>
      <c r="BX332" s="39">
        <v>0.0</v>
      </c>
      <c r="BY332" s="39">
        <v>0.0</v>
      </c>
      <c r="BZ332" s="35" t="s">
        <v>7045</v>
      </c>
      <c r="CA332" s="30">
        <v>47027.0</v>
      </c>
      <c r="CB332" s="30">
        <v>47118.0</v>
      </c>
      <c r="CC332" s="39">
        <v>0.0</v>
      </c>
      <c r="CD332" s="39">
        <v>0.0</v>
      </c>
      <c r="CE332" s="35" t="s">
        <v>7045</v>
      </c>
      <c r="CF332" s="30">
        <v>47119.0</v>
      </c>
      <c r="CG332" s="30">
        <v>47208.0</v>
      </c>
      <c r="CH332" s="39">
        <v>0.0</v>
      </c>
      <c r="CI332" s="39">
        <v>0.0</v>
      </c>
      <c r="CJ332" s="35" t="s">
        <v>7045</v>
      </c>
      <c r="CK332" s="30">
        <v>47209.0</v>
      </c>
      <c r="CL332" s="30">
        <v>47299.0</v>
      </c>
      <c r="CM332" s="39">
        <v>0.0</v>
      </c>
      <c r="CN332" s="39">
        <v>0.0</v>
      </c>
      <c r="CO332" s="35" t="s">
        <v>7045</v>
      </c>
      <c r="CP332" s="30">
        <v>47300.0</v>
      </c>
      <c r="CQ332" s="30">
        <v>47391.0</v>
      </c>
      <c r="CR332" s="39">
        <v>0.0</v>
      </c>
      <c r="CS332" s="39">
        <v>0.0</v>
      </c>
      <c r="CT332" s="35" t="s">
        <v>7045</v>
      </c>
      <c r="CU332" s="30">
        <v>47392.0</v>
      </c>
      <c r="CV332" s="30">
        <v>47483.0</v>
      </c>
      <c r="CW332" s="39">
        <v>0.0</v>
      </c>
      <c r="CX332" s="39">
        <v>0.0</v>
      </c>
      <c r="CY332" s="35" t="s">
        <v>7045</v>
      </c>
      <c r="CZ332" s="30">
        <v>47484.0</v>
      </c>
      <c r="DA332" s="30">
        <v>47573.0</v>
      </c>
      <c r="DB332" s="39">
        <v>0.0</v>
      </c>
      <c r="DC332" s="39">
        <v>0.0</v>
      </c>
      <c r="DD332" s="35" t="s">
        <v>7045</v>
      </c>
      <c r="DE332" s="30">
        <v>47574.0</v>
      </c>
      <c r="DF332" s="30">
        <v>47664.0</v>
      </c>
      <c r="DG332" s="39">
        <v>0.0</v>
      </c>
      <c r="DH332" s="39">
        <v>0.0</v>
      </c>
      <c r="DI332" s="35" t="s">
        <v>7045</v>
      </c>
      <c r="DJ332" s="30">
        <v>47665.0</v>
      </c>
      <c r="DK332" s="30">
        <v>47756.0</v>
      </c>
      <c r="DL332" s="39">
        <v>0.0</v>
      </c>
      <c r="DM332" s="39">
        <v>0.0</v>
      </c>
      <c r="DN332" s="35" t="s">
        <v>7045</v>
      </c>
      <c r="DO332" s="30">
        <v>47757.0</v>
      </c>
      <c r="DP332" s="30">
        <v>47848.0</v>
      </c>
      <c r="DQ332" s="39">
        <v>0.0</v>
      </c>
      <c r="DR332" s="39">
        <v>0.0</v>
      </c>
      <c r="DS332" s="35" t="s">
        <v>7045</v>
      </c>
    </row>
    <row r="333" ht="14.25" customHeight="1">
      <c r="A333" s="28" t="s">
        <v>5215</v>
      </c>
      <c r="B333" s="29" t="s">
        <v>5216</v>
      </c>
      <c r="C333" s="29" t="s">
        <v>7041</v>
      </c>
      <c r="D333" s="30">
        <v>45658.0</v>
      </c>
      <c r="E333" s="30">
        <v>45747.0</v>
      </c>
      <c r="F333" s="39">
        <v>52.87</v>
      </c>
      <c r="G333" s="39">
        <v>0.0</v>
      </c>
      <c r="H333" s="38" t="s">
        <v>7047</v>
      </c>
      <c r="I333" s="30">
        <v>45748.0</v>
      </c>
      <c r="J333" s="30">
        <v>45838.0</v>
      </c>
      <c r="K333" s="39">
        <v>40.0</v>
      </c>
      <c r="L333" s="39">
        <v>416.67</v>
      </c>
      <c r="M333" s="32" t="s">
        <v>7043</v>
      </c>
      <c r="N333" s="30">
        <v>45839.0</v>
      </c>
      <c r="O333" s="30">
        <v>45930.0</v>
      </c>
      <c r="P333" s="39">
        <v>33.05</v>
      </c>
      <c r="Q333" s="39">
        <v>416.67</v>
      </c>
      <c r="R333" s="38" t="s">
        <v>7046</v>
      </c>
      <c r="S333" s="30">
        <v>45931.0</v>
      </c>
      <c r="T333" s="30">
        <v>46022.0</v>
      </c>
      <c r="U333" s="39">
        <v>538.2</v>
      </c>
      <c r="V333" s="39">
        <v>416.67</v>
      </c>
      <c r="W333" s="38" t="s">
        <v>7047</v>
      </c>
      <c r="X333" s="30">
        <v>46023.0</v>
      </c>
      <c r="Y333" s="30">
        <v>46112.0</v>
      </c>
      <c r="Z333" s="39">
        <v>850.16</v>
      </c>
      <c r="AA333" s="39">
        <v>0.0</v>
      </c>
      <c r="AB333" s="38" t="s">
        <v>7047</v>
      </c>
      <c r="AC333" s="30">
        <v>46113.0</v>
      </c>
      <c r="AD333" s="30">
        <v>46203.0</v>
      </c>
      <c r="AE333" s="39">
        <v>2.55</v>
      </c>
      <c r="AF333" s="39">
        <v>0.0</v>
      </c>
      <c r="AG333" s="35" t="s">
        <v>7047</v>
      </c>
      <c r="AH333" s="30">
        <v>46204.0</v>
      </c>
      <c r="AI333" s="30">
        <v>46295.0</v>
      </c>
      <c r="AJ333" s="39">
        <v>6.72</v>
      </c>
      <c r="AK333" s="39">
        <v>0.0</v>
      </c>
      <c r="AL333" s="38" t="s">
        <v>7047</v>
      </c>
      <c r="AM333" s="30">
        <v>46296.0</v>
      </c>
      <c r="AN333" s="30">
        <v>46387.0</v>
      </c>
      <c r="AO333" s="39">
        <v>2841.4</v>
      </c>
      <c r="AP333" s="39">
        <v>0.0</v>
      </c>
      <c r="AQ333" s="38" t="s">
        <v>7047</v>
      </c>
      <c r="AR333" s="30">
        <v>46388.0</v>
      </c>
      <c r="AS333" s="30">
        <v>46477.0</v>
      </c>
      <c r="AT333" s="39">
        <v>0.0</v>
      </c>
      <c r="AU333" s="39">
        <v>0.0</v>
      </c>
      <c r="AV333" s="35" t="s">
        <v>7045</v>
      </c>
      <c r="AW333" s="30">
        <v>46478.0</v>
      </c>
      <c r="AX333" s="30">
        <v>46568.0</v>
      </c>
      <c r="AY333" s="39">
        <v>0.0</v>
      </c>
      <c r="AZ333" s="39">
        <v>0.0</v>
      </c>
      <c r="BA333" s="35" t="s">
        <v>7045</v>
      </c>
      <c r="BB333" s="30">
        <v>46569.0</v>
      </c>
      <c r="BC333" s="30">
        <v>46660.0</v>
      </c>
      <c r="BD333" s="39">
        <v>0.0</v>
      </c>
      <c r="BE333" s="39">
        <v>0.0</v>
      </c>
      <c r="BF333" s="35" t="s">
        <v>7045</v>
      </c>
      <c r="BG333" s="30">
        <v>46661.0</v>
      </c>
      <c r="BH333" s="30">
        <v>46752.0</v>
      </c>
      <c r="BI333" s="39">
        <v>0.0</v>
      </c>
      <c r="BJ333" s="39">
        <v>0.0</v>
      </c>
      <c r="BK333" s="35" t="s">
        <v>7045</v>
      </c>
      <c r="BL333" s="30">
        <v>46753.0</v>
      </c>
      <c r="BM333" s="30">
        <v>46843.0</v>
      </c>
      <c r="BN333" s="39">
        <v>0.0</v>
      </c>
      <c r="BO333" s="39">
        <v>0.0</v>
      </c>
      <c r="BP333" s="35" t="s">
        <v>7045</v>
      </c>
      <c r="BQ333" s="30">
        <v>46844.0</v>
      </c>
      <c r="BR333" s="30">
        <v>46934.0</v>
      </c>
      <c r="BS333" s="39">
        <v>0.0</v>
      </c>
      <c r="BT333" s="39">
        <v>0.0</v>
      </c>
      <c r="BU333" s="35" t="s">
        <v>7045</v>
      </c>
      <c r="BV333" s="30">
        <v>46935.0</v>
      </c>
      <c r="BW333" s="30">
        <v>47026.0</v>
      </c>
      <c r="BX333" s="39">
        <v>0.0</v>
      </c>
      <c r="BY333" s="39">
        <v>0.0</v>
      </c>
      <c r="BZ333" s="35" t="s">
        <v>7045</v>
      </c>
      <c r="CA333" s="30">
        <v>47027.0</v>
      </c>
      <c r="CB333" s="30">
        <v>47118.0</v>
      </c>
      <c r="CC333" s="39">
        <v>0.0</v>
      </c>
      <c r="CD333" s="39">
        <v>0.0</v>
      </c>
      <c r="CE333" s="35" t="s">
        <v>7045</v>
      </c>
      <c r="CF333" s="30">
        <v>47119.0</v>
      </c>
      <c r="CG333" s="30">
        <v>47208.0</v>
      </c>
      <c r="CH333" s="39">
        <v>0.0</v>
      </c>
      <c r="CI333" s="39">
        <v>0.0</v>
      </c>
      <c r="CJ333" s="35" t="s">
        <v>7045</v>
      </c>
      <c r="CK333" s="30">
        <v>47209.0</v>
      </c>
      <c r="CL333" s="30">
        <v>47299.0</v>
      </c>
      <c r="CM333" s="39">
        <v>0.0</v>
      </c>
      <c r="CN333" s="39">
        <v>0.0</v>
      </c>
      <c r="CO333" s="35" t="s">
        <v>7045</v>
      </c>
      <c r="CP333" s="30">
        <v>47300.0</v>
      </c>
      <c r="CQ333" s="30">
        <v>47391.0</v>
      </c>
      <c r="CR333" s="39">
        <v>0.0</v>
      </c>
      <c r="CS333" s="39">
        <v>0.0</v>
      </c>
      <c r="CT333" s="35" t="s">
        <v>7045</v>
      </c>
      <c r="CU333" s="30">
        <v>47392.0</v>
      </c>
      <c r="CV333" s="30">
        <v>47483.0</v>
      </c>
      <c r="CW333" s="39">
        <v>0.0</v>
      </c>
      <c r="CX333" s="39">
        <v>0.0</v>
      </c>
      <c r="CY333" s="35" t="s">
        <v>7045</v>
      </c>
      <c r="CZ333" s="30">
        <v>47484.0</v>
      </c>
      <c r="DA333" s="30">
        <v>47573.0</v>
      </c>
      <c r="DB333" s="39">
        <v>0.0</v>
      </c>
      <c r="DC333" s="39">
        <v>0.0</v>
      </c>
      <c r="DD333" s="35" t="s">
        <v>7045</v>
      </c>
      <c r="DE333" s="30">
        <v>47574.0</v>
      </c>
      <c r="DF333" s="30">
        <v>47664.0</v>
      </c>
      <c r="DG333" s="39">
        <v>0.0</v>
      </c>
      <c r="DH333" s="39">
        <v>0.0</v>
      </c>
      <c r="DI333" s="35" t="s">
        <v>7045</v>
      </c>
      <c r="DJ333" s="30">
        <v>47665.0</v>
      </c>
      <c r="DK333" s="30">
        <v>47756.0</v>
      </c>
      <c r="DL333" s="39">
        <v>0.0</v>
      </c>
      <c r="DM333" s="39">
        <v>0.0</v>
      </c>
      <c r="DN333" s="35" t="s">
        <v>7045</v>
      </c>
      <c r="DO333" s="30">
        <v>47757.0</v>
      </c>
      <c r="DP333" s="30">
        <v>47848.0</v>
      </c>
      <c r="DQ333" s="39">
        <v>0.0</v>
      </c>
      <c r="DR333" s="39">
        <v>0.0</v>
      </c>
      <c r="DS333" s="35" t="s">
        <v>7045</v>
      </c>
    </row>
    <row r="334" ht="14.25" customHeight="1">
      <c r="A334" s="28" t="s">
        <v>5348</v>
      </c>
      <c r="B334" s="29" t="s">
        <v>5349</v>
      </c>
      <c r="C334" s="29" t="s">
        <v>7041</v>
      </c>
      <c r="D334" s="30">
        <v>45658.0</v>
      </c>
      <c r="E334" s="30">
        <v>45747.0</v>
      </c>
      <c r="F334" s="39">
        <v>6.63</v>
      </c>
      <c r="G334" s="39">
        <v>0.0</v>
      </c>
      <c r="H334" s="38" t="s">
        <v>7047</v>
      </c>
      <c r="I334" s="30">
        <v>45748.0</v>
      </c>
      <c r="J334" s="30">
        <v>45838.0</v>
      </c>
      <c r="K334" s="39">
        <v>5.57</v>
      </c>
      <c r="L334" s="39">
        <v>0.0</v>
      </c>
      <c r="M334" s="38" t="s">
        <v>7047</v>
      </c>
      <c r="N334" s="30">
        <v>45839.0</v>
      </c>
      <c r="O334" s="30">
        <v>45930.0</v>
      </c>
      <c r="P334" s="39">
        <v>19.08</v>
      </c>
      <c r="Q334" s="39">
        <v>0.0</v>
      </c>
      <c r="R334" s="38" t="s">
        <v>7047</v>
      </c>
      <c r="S334" s="30">
        <v>45931.0</v>
      </c>
      <c r="T334" s="30">
        <v>46022.0</v>
      </c>
      <c r="U334" s="39">
        <v>0.0</v>
      </c>
      <c r="V334" s="39">
        <v>0.0</v>
      </c>
      <c r="W334" s="35" t="s">
        <v>7045</v>
      </c>
      <c r="X334" s="30">
        <v>46023.0</v>
      </c>
      <c r="Y334" s="30">
        <v>46112.0</v>
      </c>
      <c r="Z334" s="39">
        <v>0.0</v>
      </c>
      <c r="AA334" s="39">
        <v>0.0</v>
      </c>
      <c r="AB334" s="35" t="s">
        <v>7045</v>
      </c>
      <c r="AC334" s="30">
        <v>46113.0</v>
      </c>
      <c r="AD334" s="30">
        <v>46203.0</v>
      </c>
      <c r="AE334" s="39">
        <v>0.0</v>
      </c>
      <c r="AF334" s="39">
        <v>0.0</v>
      </c>
      <c r="AG334" s="35" t="s">
        <v>7045</v>
      </c>
      <c r="AH334" s="30">
        <v>46204.0</v>
      </c>
      <c r="AI334" s="30">
        <v>46295.0</v>
      </c>
      <c r="AJ334" s="39">
        <v>0.0</v>
      </c>
      <c r="AK334" s="39">
        <v>0.0</v>
      </c>
      <c r="AL334" s="35" t="s">
        <v>7045</v>
      </c>
      <c r="AM334" s="30">
        <v>46296.0</v>
      </c>
      <c r="AN334" s="30">
        <v>46387.0</v>
      </c>
      <c r="AO334" s="39">
        <v>0.0</v>
      </c>
      <c r="AP334" s="39">
        <v>0.0</v>
      </c>
      <c r="AQ334" s="35" t="s">
        <v>7045</v>
      </c>
      <c r="AR334" s="30">
        <v>46388.0</v>
      </c>
      <c r="AS334" s="30">
        <v>46477.0</v>
      </c>
      <c r="AT334" s="39">
        <v>0.0</v>
      </c>
      <c r="AU334" s="39">
        <v>0.0</v>
      </c>
      <c r="AV334" s="35" t="s">
        <v>7045</v>
      </c>
      <c r="AW334" s="30">
        <v>46478.0</v>
      </c>
      <c r="AX334" s="30">
        <v>46568.0</v>
      </c>
      <c r="AY334" s="39">
        <v>0.0</v>
      </c>
      <c r="AZ334" s="39">
        <v>0.0</v>
      </c>
      <c r="BA334" s="35" t="s">
        <v>7045</v>
      </c>
      <c r="BB334" s="30">
        <v>46569.0</v>
      </c>
      <c r="BC334" s="30">
        <v>46660.0</v>
      </c>
      <c r="BD334" s="39">
        <v>0.0</v>
      </c>
      <c r="BE334" s="39">
        <v>0.0</v>
      </c>
      <c r="BF334" s="35" t="s">
        <v>7045</v>
      </c>
      <c r="BG334" s="30">
        <v>46661.0</v>
      </c>
      <c r="BH334" s="30">
        <v>46752.0</v>
      </c>
      <c r="BI334" s="39">
        <v>0.0</v>
      </c>
      <c r="BJ334" s="39">
        <v>0.0</v>
      </c>
      <c r="BK334" s="35" t="s">
        <v>7045</v>
      </c>
      <c r="BL334" s="30">
        <v>46753.0</v>
      </c>
      <c r="BM334" s="30">
        <v>46843.0</v>
      </c>
      <c r="BN334" s="39">
        <v>0.0</v>
      </c>
      <c r="BO334" s="39">
        <v>0.0</v>
      </c>
      <c r="BP334" s="35" t="s">
        <v>7045</v>
      </c>
      <c r="BQ334" s="30">
        <v>46844.0</v>
      </c>
      <c r="BR334" s="30">
        <v>46934.0</v>
      </c>
      <c r="BS334" s="39">
        <v>0.0</v>
      </c>
      <c r="BT334" s="39">
        <v>0.0</v>
      </c>
      <c r="BU334" s="35" t="s">
        <v>7045</v>
      </c>
      <c r="BV334" s="30">
        <v>46935.0</v>
      </c>
      <c r="BW334" s="30">
        <v>47026.0</v>
      </c>
      <c r="BX334" s="39">
        <v>0.0</v>
      </c>
      <c r="BY334" s="39">
        <v>0.0</v>
      </c>
      <c r="BZ334" s="35" t="s">
        <v>7045</v>
      </c>
      <c r="CA334" s="30">
        <v>47027.0</v>
      </c>
      <c r="CB334" s="30">
        <v>47118.0</v>
      </c>
      <c r="CC334" s="39">
        <v>0.0</v>
      </c>
      <c r="CD334" s="39">
        <v>0.0</v>
      </c>
      <c r="CE334" s="35" t="s">
        <v>7045</v>
      </c>
      <c r="CF334" s="30">
        <v>47119.0</v>
      </c>
      <c r="CG334" s="30">
        <v>47208.0</v>
      </c>
      <c r="CH334" s="39">
        <v>0.0</v>
      </c>
      <c r="CI334" s="39">
        <v>0.0</v>
      </c>
      <c r="CJ334" s="35" t="s">
        <v>7045</v>
      </c>
      <c r="CK334" s="30">
        <v>47209.0</v>
      </c>
      <c r="CL334" s="30">
        <v>47299.0</v>
      </c>
      <c r="CM334" s="39">
        <v>0.0</v>
      </c>
      <c r="CN334" s="39">
        <v>0.0</v>
      </c>
      <c r="CO334" s="35" t="s">
        <v>7045</v>
      </c>
      <c r="CP334" s="30">
        <v>47300.0</v>
      </c>
      <c r="CQ334" s="30">
        <v>47391.0</v>
      </c>
      <c r="CR334" s="39">
        <v>0.0</v>
      </c>
      <c r="CS334" s="39">
        <v>0.0</v>
      </c>
      <c r="CT334" s="35" t="s">
        <v>7045</v>
      </c>
      <c r="CU334" s="30">
        <v>47392.0</v>
      </c>
      <c r="CV334" s="30">
        <v>47483.0</v>
      </c>
      <c r="CW334" s="39">
        <v>0.0</v>
      </c>
      <c r="CX334" s="39">
        <v>0.0</v>
      </c>
      <c r="CY334" s="35" t="s">
        <v>7045</v>
      </c>
      <c r="CZ334" s="30">
        <v>47484.0</v>
      </c>
      <c r="DA334" s="30">
        <v>47573.0</v>
      </c>
      <c r="DB334" s="39">
        <v>0.0</v>
      </c>
      <c r="DC334" s="39">
        <v>0.0</v>
      </c>
      <c r="DD334" s="35" t="s">
        <v>7045</v>
      </c>
      <c r="DE334" s="30">
        <v>47574.0</v>
      </c>
      <c r="DF334" s="30">
        <v>47664.0</v>
      </c>
      <c r="DG334" s="39">
        <v>0.0</v>
      </c>
      <c r="DH334" s="39">
        <v>0.0</v>
      </c>
      <c r="DI334" s="35" t="s">
        <v>7045</v>
      </c>
      <c r="DJ334" s="30">
        <v>47665.0</v>
      </c>
      <c r="DK334" s="30">
        <v>47756.0</v>
      </c>
      <c r="DL334" s="39">
        <v>0.0</v>
      </c>
      <c r="DM334" s="39">
        <v>0.0</v>
      </c>
      <c r="DN334" s="35" t="s">
        <v>7045</v>
      </c>
      <c r="DO334" s="30">
        <v>47757.0</v>
      </c>
      <c r="DP334" s="30">
        <v>47848.0</v>
      </c>
      <c r="DQ334" s="39">
        <v>0.0</v>
      </c>
      <c r="DR334" s="39">
        <v>0.0</v>
      </c>
      <c r="DS334" s="35" t="s">
        <v>7045</v>
      </c>
    </row>
    <row r="335" ht="14.25" customHeight="1">
      <c r="A335" s="28" t="s">
        <v>5357</v>
      </c>
      <c r="B335" s="29" t="s">
        <v>5358</v>
      </c>
      <c r="C335" s="29" t="s">
        <v>7044</v>
      </c>
      <c r="D335" s="30">
        <v>45658.0</v>
      </c>
      <c r="E335" s="30">
        <v>45747.0</v>
      </c>
      <c r="F335" s="39">
        <v>7.8</v>
      </c>
      <c r="G335" s="39">
        <v>0.0</v>
      </c>
      <c r="H335" s="38" t="s">
        <v>7047</v>
      </c>
      <c r="I335" s="30">
        <v>45748.0</v>
      </c>
      <c r="J335" s="30">
        <v>45838.0</v>
      </c>
      <c r="K335" s="39">
        <v>80.0</v>
      </c>
      <c r="L335" s="39">
        <v>0.0</v>
      </c>
      <c r="M335" s="38" t="s">
        <v>7047</v>
      </c>
      <c r="N335" s="30">
        <v>45839.0</v>
      </c>
      <c r="O335" s="30">
        <v>45930.0</v>
      </c>
      <c r="P335" s="39">
        <v>0.0</v>
      </c>
      <c r="Q335" s="39">
        <v>0.0</v>
      </c>
      <c r="R335" s="35" t="s">
        <v>7045</v>
      </c>
      <c r="S335" s="30">
        <v>45931.0</v>
      </c>
      <c r="T335" s="30">
        <v>46022.0</v>
      </c>
      <c r="U335" s="39">
        <v>0.0</v>
      </c>
      <c r="V335" s="39">
        <v>0.0</v>
      </c>
      <c r="W335" s="35" t="s">
        <v>7045</v>
      </c>
      <c r="X335" s="30">
        <v>46023.0</v>
      </c>
      <c r="Y335" s="30">
        <v>46112.0</v>
      </c>
      <c r="Z335" s="39">
        <v>0.0</v>
      </c>
      <c r="AA335" s="39">
        <v>0.0</v>
      </c>
      <c r="AB335" s="35" t="s">
        <v>7045</v>
      </c>
      <c r="AC335" s="30">
        <v>46113.0</v>
      </c>
      <c r="AD335" s="30">
        <v>46203.0</v>
      </c>
      <c r="AE335" s="39">
        <v>0.0</v>
      </c>
      <c r="AF335" s="39">
        <v>0.0</v>
      </c>
      <c r="AG335" s="35" t="s">
        <v>7045</v>
      </c>
      <c r="AH335" s="30">
        <v>46204.0</v>
      </c>
      <c r="AI335" s="30">
        <v>46295.0</v>
      </c>
      <c r="AJ335" s="39">
        <v>0.0</v>
      </c>
      <c r="AK335" s="39">
        <v>0.0</v>
      </c>
      <c r="AL335" s="35" t="s">
        <v>7045</v>
      </c>
      <c r="AM335" s="30">
        <v>46296.0</v>
      </c>
      <c r="AN335" s="30">
        <v>46387.0</v>
      </c>
      <c r="AO335" s="39">
        <v>0.0</v>
      </c>
      <c r="AP335" s="39">
        <v>0.0</v>
      </c>
      <c r="AQ335" s="35" t="s">
        <v>7045</v>
      </c>
      <c r="AR335" s="30">
        <v>46388.0</v>
      </c>
      <c r="AS335" s="30">
        <v>46477.0</v>
      </c>
      <c r="AT335" s="39">
        <v>0.0</v>
      </c>
      <c r="AU335" s="39">
        <v>0.0</v>
      </c>
      <c r="AV335" s="35" t="s">
        <v>7045</v>
      </c>
      <c r="AW335" s="30">
        <v>46478.0</v>
      </c>
      <c r="AX335" s="30">
        <v>46568.0</v>
      </c>
      <c r="AY335" s="39">
        <v>0.0</v>
      </c>
      <c r="AZ335" s="39">
        <v>0.0</v>
      </c>
      <c r="BA335" s="35" t="s">
        <v>7045</v>
      </c>
      <c r="BB335" s="30">
        <v>46569.0</v>
      </c>
      <c r="BC335" s="30">
        <v>46660.0</v>
      </c>
      <c r="BD335" s="39">
        <v>0.0</v>
      </c>
      <c r="BE335" s="39">
        <v>0.0</v>
      </c>
      <c r="BF335" s="35" t="s">
        <v>7045</v>
      </c>
      <c r="BG335" s="30">
        <v>46661.0</v>
      </c>
      <c r="BH335" s="30">
        <v>46752.0</v>
      </c>
      <c r="BI335" s="39">
        <v>0.0</v>
      </c>
      <c r="BJ335" s="39">
        <v>0.0</v>
      </c>
      <c r="BK335" s="35" t="s">
        <v>7045</v>
      </c>
      <c r="BL335" s="30">
        <v>46753.0</v>
      </c>
      <c r="BM335" s="30">
        <v>46843.0</v>
      </c>
      <c r="BN335" s="39">
        <v>0.0</v>
      </c>
      <c r="BO335" s="39">
        <v>0.0</v>
      </c>
      <c r="BP335" s="35" t="s">
        <v>7045</v>
      </c>
      <c r="BQ335" s="30">
        <v>46844.0</v>
      </c>
      <c r="BR335" s="30">
        <v>46934.0</v>
      </c>
      <c r="BS335" s="39">
        <v>0.0</v>
      </c>
      <c r="BT335" s="39">
        <v>0.0</v>
      </c>
      <c r="BU335" s="35" t="s">
        <v>7045</v>
      </c>
      <c r="BV335" s="30">
        <v>46935.0</v>
      </c>
      <c r="BW335" s="30">
        <v>47026.0</v>
      </c>
      <c r="BX335" s="39">
        <v>0.0</v>
      </c>
      <c r="BY335" s="39">
        <v>0.0</v>
      </c>
      <c r="BZ335" s="35" t="s">
        <v>7045</v>
      </c>
      <c r="CA335" s="30">
        <v>47027.0</v>
      </c>
      <c r="CB335" s="30">
        <v>47118.0</v>
      </c>
      <c r="CC335" s="39">
        <v>0.0</v>
      </c>
      <c r="CD335" s="39">
        <v>0.0</v>
      </c>
      <c r="CE335" s="35" t="s">
        <v>7045</v>
      </c>
      <c r="CF335" s="30">
        <v>47119.0</v>
      </c>
      <c r="CG335" s="30">
        <v>47208.0</v>
      </c>
      <c r="CH335" s="39">
        <v>0.0</v>
      </c>
      <c r="CI335" s="39">
        <v>0.0</v>
      </c>
      <c r="CJ335" s="35" t="s">
        <v>7045</v>
      </c>
      <c r="CK335" s="30">
        <v>47209.0</v>
      </c>
      <c r="CL335" s="30">
        <v>47299.0</v>
      </c>
      <c r="CM335" s="39">
        <v>0.0</v>
      </c>
      <c r="CN335" s="39">
        <v>0.0</v>
      </c>
      <c r="CO335" s="35" t="s">
        <v>7045</v>
      </c>
      <c r="CP335" s="30">
        <v>47300.0</v>
      </c>
      <c r="CQ335" s="30">
        <v>47391.0</v>
      </c>
      <c r="CR335" s="39">
        <v>0.0</v>
      </c>
      <c r="CS335" s="39">
        <v>0.0</v>
      </c>
      <c r="CT335" s="35" t="s">
        <v>7045</v>
      </c>
      <c r="CU335" s="30">
        <v>47392.0</v>
      </c>
      <c r="CV335" s="30">
        <v>47483.0</v>
      </c>
      <c r="CW335" s="39">
        <v>0.0</v>
      </c>
      <c r="CX335" s="39">
        <v>0.0</v>
      </c>
      <c r="CY335" s="35" t="s">
        <v>7045</v>
      </c>
      <c r="CZ335" s="30">
        <v>47484.0</v>
      </c>
      <c r="DA335" s="30">
        <v>47573.0</v>
      </c>
      <c r="DB335" s="39">
        <v>0.0</v>
      </c>
      <c r="DC335" s="39">
        <v>0.0</v>
      </c>
      <c r="DD335" s="35" t="s">
        <v>7045</v>
      </c>
      <c r="DE335" s="30">
        <v>47574.0</v>
      </c>
      <c r="DF335" s="30">
        <v>47664.0</v>
      </c>
      <c r="DG335" s="39">
        <v>0.0</v>
      </c>
      <c r="DH335" s="39">
        <v>0.0</v>
      </c>
      <c r="DI335" s="35" t="s">
        <v>7045</v>
      </c>
      <c r="DJ335" s="30">
        <v>47665.0</v>
      </c>
      <c r="DK335" s="30">
        <v>47756.0</v>
      </c>
      <c r="DL335" s="39">
        <v>0.0</v>
      </c>
      <c r="DM335" s="39">
        <v>0.0</v>
      </c>
      <c r="DN335" s="35" t="s">
        <v>7045</v>
      </c>
      <c r="DO335" s="30">
        <v>47757.0</v>
      </c>
      <c r="DP335" s="30">
        <v>47848.0</v>
      </c>
      <c r="DQ335" s="39">
        <v>0.0</v>
      </c>
      <c r="DR335" s="39">
        <v>0.0</v>
      </c>
      <c r="DS335" s="35" t="s">
        <v>7045</v>
      </c>
    </row>
    <row r="336" ht="14.25" customHeight="1">
      <c r="A336" s="28" t="s">
        <v>5399</v>
      </c>
      <c r="B336" s="29" t="s">
        <v>5400</v>
      </c>
      <c r="C336" s="29" t="s">
        <v>7041</v>
      </c>
      <c r="D336" s="30">
        <v>45658.0</v>
      </c>
      <c r="E336" s="30">
        <v>45747.0</v>
      </c>
      <c r="F336" s="36">
        <v>17.53</v>
      </c>
      <c r="G336" s="36">
        <v>0.0</v>
      </c>
      <c r="H336" s="38" t="s">
        <v>7047</v>
      </c>
      <c r="I336" s="30">
        <v>45748.0</v>
      </c>
      <c r="J336" s="30">
        <v>45838.0</v>
      </c>
      <c r="K336" s="36">
        <v>2.02</v>
      </c>
      <c r="L336" s="36">
        <v>533.33</v>
      </c>
      <c r="M336" s="32" t="s">
        <v>7043</v>
      </c>
      <c r="N336" s="30">
        <v>45839.0</v>
      </c>
      <c r="O336" s="30">
        <v>45930.0</v>
      </c>
      <c r="P336" s="36">
        <v>210.37</v>
      </c>
      <c r="Q336" s="36">
        <v>800.01</v>
      </c>
      <c r="R336" s="38" t="s">
        <v>7047</v>
      </c>
      <c r="S336" s="30">
        <v>45931.0</v>
      </c>
      <c r="T336" s="30">
        <v>46022.0</v>
      </c>
      <c r="U336" s="36">
        <v>254.35</v>
      </c>
      <c r="V336" s="36">
        <v>800.01</v>
      </c>
      <c r="W336" s="38" t="s">
        <v>7047</v>
      </c>
      <c r="X336" s="30">
        <v>46023.0</v>
      </c>
      <c r="Y336" s="30">
        <v>46112.0</v>
      </c>
      <c r="Z336" s="36">
        <v>139.22</v>
      </c>
      <c r="AA336" s="36">
        <v>0.0</v>
      </c>
      <c r="AB336" s="38" t="s">
        <v>7047</v>
      </c>
      <c r="AC336" s="30">
        <v>46113.0</v>
      </c>
      <c r="AD336" s="30">
        <v>46203.0</v>
      </c>
      <c r="AE336" s="36">
        <v>82.64</v>
      </c>
      <c r="AF336" s="36">
        <v>0.0</v>
      </c>
      <c r="AG336" s="38" t="s">
        <v>7047</v>
      </c>
      <c r="AH336" s="30">
        <v>46204.0</v>
      </c>
      <c r="AI336" s="30">
        <v>46295.0</v>
      </c>
      <c r="AJ336" s="36">
        <v>0.0</v>
      </c>
      <c r="AK336" s="36">
        <v>0.0</v>
      </c>
      <c r="AL336" s="35" t="s">
        <v>7045</v>
      </c>
      <c r="AM336" s="30">
        <v>46296.0</v>
      </c>
      <c r="AN336" s="30">
        <v>46387.0</v>
      </c>
      <c r="AO336" s="36">
        <v>38.97</v>
      </c>
      <c r="AP336" s="36">
        <v>0.0</v>
      </c>
      <c r="AQ336" s="38" t="s">
        <v>7047</v>
      </c>
      <c r="AR336" s="30">
        <v>46388.0</v>
      </c>
      <c r="AS336" s="30">
        <v>46477.0</v>
      </c>
      <c r="AT336" s="36">
        <v>0.0</v>
      </c>
      <c r="AU336" s="36">
        <v>0.0</v>
      </c>
      <c r="AV336" s="35" t="s">
        <v>7045</v>
      </c>
      <c r="AW336" s="30">
        <v>46478.0</v>
      </c>
      <c r="AX336" s="30">
        <v>46568.0</v>
      </c>
      <c r="AY336" s="36">
        <v>0.0</v>
      </c>
      <c r="AZ336" s="36">
        <v>0.0</v>
      </c>
      <c r="BA336" s="35" t="s">
        <v>7045</v>
      </c>
      <c r="BB336" s="30">
        <v>46569.0</v>
      </c>
      <c r="BC336" s="30">
        <v>46660.0</v>
      </c>
      <c r="BD336" s="36">
        <v>0.0</v>
      </c>
      <c r="BE336" s="36">
        <v>0.0</v>
      </c>
      <c r="BF336" s="35" t="s">
        <v>7045</v>
      </c>
      <c r="BG336" s="30">
        <v>46661.0</v>
      </c>
      <c r="BH336" s="30">
        <v>46752.0</v>
      </c>
      <c r="BI336" s="36">
        <v>0.0</v>
      </c>
      <c r="BJ336" s="36">
        <v>0.0</v>
      </c>
      <c r="BK336" s="35" t="s">
        <v>7045</v>
      </c>
      <c r="BL336" s="30">
        <v>46753.0</v>
      </c>
      <c r="BM336" s="30">
        <v>46843.0</v>
      </c>
      <c r="BN336" s="36">
        <v>0.0</v>
      </c>
      <c r="BO336" s="36">
        <v>0.0</v>
      </c>
      <c r="BP336" s="35" t="s">
        <v>7045</v>
      </c>
      <c r="BQ336" s="30">
        <v>46844.0</v>
      </c>
      <c r="BR336" s="30">
        <v>46934.0</v>
      </c>
      <c r="BS336" s="36">
        <v>0.0</v>
      </c>
      <c r="BT336" s="36">
        <v>0.0</v>
      </c>
      <c r="BU336" s="35" t="s">
        <v>7045</v>
      </c>
      <c r="BV336" s="30">
        <v>46935.0</v>
      </c>
      <c r="BW336" s="30">
        <v>47026.0</v>
      </c>
      <c r="BX336" s="36">
        <v>0.0</v>
      </c>
      <c r="BY336" s="36">
        <v>0.0</v>
      </c>
      <c r="BZ336" s="35" t="s">
        <v>7045</v>
      </c>
      <c r="CA336" s="30">
        <v>47027.0</v>
      </c>
      <c r="CB336" s="30">
        <v>47118.0</v>
      </c>
      <c r="CC336" s="36">
        <v>0.0</v>
      </c>
      <c r="CD336" s="36">
        <v>0.0</v>
      </c>
      <c r="CE336" s="35" t="s">
        <v>7045</v>
      </c>
      <c r="CF336" s="30">
        <v>47119.0</v>
      </c>
      <c r="CG336" s="30">
        <v>47208.0</v>
      </c>
      <c r="CH336" s="36">
        <v>0.0</v>
      </c>
      <c r="CI336" s="36">
        <v>0.0</v>
      </c>
      <c r="CJ336" s="35" t="s">
        <v>7045</v>
      </c>
      <c r="CK336" s="30">
        <v>47209.0</v>
      </c>
      <c r="CL336" s="30">
        <v>47299.0</v>
      </c>
      <c r="CM336" s="36">
        <v>0.0</v>
      </c>
      <c r="CN336" s="36">
        <v>0.0</v>
      </c>
      <c r="CO336" s="35" t="s">
        <v>7045</v>
      </c>
      <c r="CP336" s="30">
        <v>47300.0</v>
      </c>
      <c r="CQ336" s="30">
        <v>47391.0</v>
      </c>
      <c r="CR336" s="36">
        <v>0.0</v>
      </c>
      <c r="CS336" s="36">
        <v>0.0</v>
      </c>
      <c r="CT336" s="35" t="s">
        <v>7045</v>
      </c>
      <c r="CU336" s="30">
        <v>47392.0</v>
      </c>
      <c r="CV336" s="30">
        <v>47483.0</v>
      </c>
      <c r="CW336" s="36">
        <v>0.0</v>
      </c>
      <c r="CX336" s="36">
        <v>0.0</v>
      </c>
      <c r="CY336" s="35" t="s">
        <v>7045</v>
      </c>
      <c r="CZ336" s="30">
        <v>47484.0</v>
      </c>
      <c r="DA336" s="30">
        <v>47573.0</v>
      </c>
      <c r="DB336" s="36">
        <v>0.0</v>
      </c>
      <c r="DC336" s="36">
        <v>0.0</v>
      </c>
      <c r="DD336" s="35" t="s">
        <v>7045</v>
      </c>
      <c r="DE336" s="30">
        <v>47574.0</v>
      </c>
      <c r="DF336" s="30">
        <v>47664.0</v>
      </c>
      <c r="DG336" s="36">
        <v>0.0</v>
      </c>
      <c r="DH336" s="36">
        <v>0.0</v>
      </c>
      <c r="DI336" s="35" t="s">
        <v>7045</v>
      </c>
      <c r="DJ336" s="30">
        <v>47665.0</v>
      </c>
      <c r="DK336" s="30">
        <v>47756.0</v>
      </c>
      <c r="DL336" s="36">
        <v>0.0</v>
      </c>
      <c r="DM336" s="36">
        <v>0.0</v>
      </c>
      <c r="DN336" s="35" t="s">
        <v>7045</v>
      </c>
      <c r="DO336" s="30">
        <v>47757.0</v>
      </c>
      <c r="DP336" s="30">
        <v>47848.0</v>
      </c>
      <c r="DQ336" s="36">
        <v>0.0</v>
      </c>
      <c r="DR336" s="36">
        <v>0.0</v>
      </c>
      <c r="DS336" s="35" t="s">
        <v>7045</v>
      </c>
    </row>
    <row r="337" ht="14.25" customHeight="1">
      <c r="A337" s="28" t="s">
        <v>5454</v>
      </c>
      <c r="B337" s="29" t="s">
        <v>5455</v>
      </c>
      <c r="C337" s="29" t="s">
        <v>7041</v>
      </c>
      <c r="D337" s="30">
        <v>45658.0</v>
      </c>
      <c r="E337" s="30">
        <v>45747.0</v>
      </c>
      <c r="F337" s="39">
        <v>0.0</v>
      </c>
      <c r="G337" s="39">
        <v>0.0</v>
      </c>
      <c r="H337" s="35" t="s">
        <v>7045</v>
      </c>
      <c r="I337" s="30">
        <v>45748.0</v>
      </c>
      <c r="J337" s="30">
        <v>45838.0</v>
      </c>
      <c r="K337" s="39">
        <v>13.78</v>
      </c>
      <c r="L337" s="39">
        <v>183.33</v>
      </c>
      <c r="M337" s="37" t="s">
        <v>7046</v>
      </c>
      <c r="N337" s="30">
        <v>45839.0</v>
      </c>
      <c r="O337" s="30">
        <v>45930.0</v>
      </c>
      <c r="P337" s="39">
        <v>17.0</v>
      </c>
      <c r="Q337" s="39">
        <v>436.67</v>
      </c>
      <c r="R337" s="38" t="s">
        <v>7046</v>
      </c>
      <c r="S337" s="30">
        <v>45931.0</v>
      </c>
      <c r="T337" s="30">
        <v>46022.0</v>
      </c>
      <c r="U337" s="39">
        <v>1312.82</v>
      </c>
      <c r="V337" s="39">
        <v>1346.67</v>
      </c>
      <c r="W337" s="38" t="s">
        <v>7047</v>
      </c>
      <c r="X337" s="30">
        <v>46023.0</v>
      </c>
      <c r="Y337" s="30">
        <v>46112.0</v>
      </c>
      <c r="Z337" s="39">
        <v>0.0</v>
      </c>
      <c r="AA337" s="39">
        <v>0.0</v>
      </c>
      <c r="AB337" s="35" t="s">
        <v>7045</v>
      </c>
      <c r="AC337" s="30">
        <v>46113.0</v>
      </c>
      <c r="AD337" s="30">
        <v>46203.0</v>
      </c>
      <c r="AE337" s="39">
        <v>0.0</v>
      </c>
      <c r="AF337" s="39">
        <v>0.0</v>
      </c>
      <c r="AG337" s="35" t="s">
        <v>7045</v>
      </c>
      <c r="AH337" s="30">
        <v>46204.0</v>
      </c>
      <c r="AI337" s="30">
        <v>46295.0</v>
      </c>
      <c r="AJ337" s="39">
        <v>0.0</v>
      </c>
      <c r="AK337" s="39">
        <v>0.0</v>
      </c>
      <c r="AL337" s="35" t="s">
        <v>7045</v>
      </c>
      <c r="AM337" s="30">
        <v>46296.0</v>
      </c>
      <c r="AN337" s="30">
        <v>46387.0</v>
      </c>
      <c r="AO337" s="39">
        <v>0.0</v>
      </c>
      <c r="AP337" s="39">
        <v>0.0</v>
      </c>
      <c r="AQ337" s="35" t="s">
        <v>7045</v>
      </c>
      <c r="AR337" s="30">
        <v>46388.0</v>
      </c>
      <c r="AS337" s="30">
        <v>46477.0</v>
      </c>
      <c r="AT337" s="39">
        <v>0.0</v>
      </c>
      <c r="AU337" s="39">
        <v>0.0</v>
      </c>
      <c r="AV337" s="35" t="s">
        <v>7045</v>
      </c>
      <c r="AW337" s="30">
        <v>46478.0</v>
      </c>
      <c r="AX337" s="30">
        <v>46568.0</v>
      </c>
      <c r="AY337" s="39">
        <v>0.0</v>
      </c>
      <c r="AZ337" s="39">
        <v>0.0</v>
      </c>
      <c r="BA337" s="35" t="s">
        <v>7045</v>
      </c>
      <c r="BB337" s="30">
        <v>46569.0</v>
      </c>
      <c r="BC337" s="30">
        <v>46660.0</v>
      </c>
      <c r="BD337" s="39">
        <v>0.0</v>
      </c>
      <c r="BE337" s="39">
        <v>0.0</v>
      </c>
      <c r="BF337" s="35" t="s">
        <v>7045</v>
      </c>
      <c r="BG337" s="30">
        <v>46661.0</v>
      </c>
      <c r="BH337" s="30">
        <v>46752.0</v>
      </c>
      <c r="BI337" s="39">
        <v>0.0</v>
      </c>
      <c r="BJ337" s="39">
        <v>0.0</v>
      </c>
      <c r="BK337" s="35" t="s">
        <v>7045</v>
      </c>
      <c r="BL337" s="30">
        <v>46753.0</v>
      </c>
      <c r="BM337" s="30">
        <v>46843.0</v>
      </c>
      <c r="BN337" s="39">
        <v>0.0</v>
      </c>
      <c r="BO337" s="39">
        <v>0.0</v>
      </c>
      <c r="BP337" s="35" t="s">
        <v>7045</v>
      </c>
      <c r="BQ337" s="30">
        <v>46844.0</v>
      </c>
      <c r="BR337" s="30">
        <v>46934.0</v>
      </c>
      <c r="BS337" s="39">
        <v>0.0</v>
      </c>
      <c r="BT337" s="39">
        <v>0.0</v>
      </c>
      <c r="BU337" s="35" t="s">
        <v>7045</v>
      </c>
      <c r="BV337" s="30">
        <v>46935.0</v>
      </c>
      <c r="BW337" s="30">
        <v>47026.0</v>
      </c>
      <c r="BX337" s="39">
        <v>0.0</v>
      </c>
      <c r="BY337" s="39">
        <v>0.0</v>
      </c>
      <c r="BZ337" s="35" t="s">
        <v>7045</v>
      </c>
      <c r="CA337" s="30">
        <v>47027.0</v>
      </c>
      <c r="CB337" s="30">
        <v>47118.0</v>
      </c>
      <c r="CC337" s="39">
        <v>0.0</v>
      </c>
      <c r="CD337" s="39">
        <v>0.0</v>
      </c>
      <c r="CE337" s="35" t="s">
        <v>7045</v>
      </c>
      <c r="CF337" s="30">
        <v>47119.0</v>
      </c>
      <c r="CG337" s="30">
        <v>47208.0</v>
      </c>
      <c r="CH337" s="39">
        <v>0.0</v>
      </c>
      <c r="CI337" s="39">
        <v>0.0</v>
      </c>
      <c r="CJ337" s="35" t="s">
        <v>7045</v>
      </c>
      <c r="CK337" s="30">
        <v>47209.0</v>
      </c>
      <c r="CL337" s="30">
        <v>47299.0</v>
      </c>
      <c r="CM337" s="39">
        <v>0.0</v>
      </c>
      <c r="CN337" s="39">
        <v>0.0</v>
      </c>
      <c r="CO337" s="35" t="s">
        <v>7045</v>
      </c>
      <c r="CP337" s="30">
        <v>47300.0</v>
      </c>
      <c r="CQ337" s="30">
        <v>47391.0</v>
      </c>
      <c r="CR337" s="39">
        <v>0.0</v>
      </c>
      <c r="CS337" s="39">
        <v>0.0</v>
      </c>
      <c r="CT337" s="35" t="s">
        <v>7045</v>
      </c>
      <c r="CU337" s="30">
        <v>47392.0</v>
      </c>
      <c r="CV337" s="30">
        <v>47483.0</v>
      </c>
      <c r="CW337" s="39">
        <v>0.0</v>
      </c>
      <c r="CX337" s="39">
        <v>0.0</v>
      </c>
      <c r="CY337" s="35" t="s">
        <v>7045</v>
      </c>
      <c r="CZ337" s="30">
        <v>47484.0</v>
      </c>
      <c r="DA337" s="30">
        <v>47573.0</v>
      </c>
      <c r="DB337" s="39">
        <v>0.0</v>
      </c>
      <c r="DC337" s="39">
        <v>0.0</v>
      </c>
      <c r="DD337" s="35" t="s">
        <v>7045</v>
      </c>
      <c r="DE337" s="30">
        <v>47574.0</v>
      </c>
      <c r="DF337" s="30">
        <v>47664.0</v>
      </c>
      <c r="DG337" s="39">
        <v>0.0</v>
      </c>
      <c r="DH337" s="39">
        <v>0.0</v>
      </c>
      <c r="DI337" s="35" t="s">
        <v>7045</v>
      </c>
      <c r="DJ337" s="30">
        <v>47665.0</v>
      </c>
      <c r="DK337" s="30">
        <v>47756.0</v>
      </c>
      <c r="DL337" s="39">
        <v>0.0</v>
      </c>
      <c r="DM337" s="39">
        <v>0.0</v>
      </c>
      <c r="DN337" s="35" t="s">
        <v>7045</v>
      </c>
      <c r="DO337" s="30">
        <v>47757.0</v>
      </c>
      <c r="DP337" s="30">
        <v>47848.0</v>
      </c>
      <c r="DQ337" s="39">
        <v>0.0</v>
      </c>
      <c r="DR337" s="39">
        <v>0.0</v>
      </c>
      <c r="DS337" s="35" t="s">
        <v>7045</v>
      </c>
    </row>
    <row r="338" ht="14.25" customHeight="1">
      <c r="A338" s="28" t="s">
        <v>5504</v>
      </c>
      <c r="B338" s="29" t="s">
        <v>5505</v>
      </c>
      <c r="C338" s="29" t="s">
        <v>7041</v>
      </c>
      <c r="D338" s="30">
        <v>45658.0</v>
      </c>
      <c r="E338" s="30">
        <v>45747.0</v>
      </c>
      <c r="F338" s="36">
        <v>4.69</v>
      </c>
      <c r="G338" s="36">
        <v>0.0</v>
      </c>
      <c r="H338" s="38" t="s">
        <v>7047</v>
      </c>
      <c r="I338" s="30">
        <v>45748.0</v>
      </c>
      <c r="J338" s="30">
        <v>45838.0</v>
      </c>
      <c r="K338" s="36">
        <v>4.43</v>
      </c>
      <c r="L338" s="36">
        <v>304.89</v>
      </c>
      <c r="M338" s="32" t="s">
        <v>7043</v>
      </c>
      <c r="N338" s="30">
        <v>45839.0</v>
      </c>
      <c r="O338" s="30">
        <v>45930.0</v>
      </c>
      <c r="P338" s="36">
        <v>153.71</v>
      </c>
      <c r="Q338" s="36">
        <v>341.47</v>
      </c>
      <c r="R338" s="38" t="s">
        <v>7047</v>
      </c>
      <c r="S338" s="30">
        <v>45931.0</v>
      </c>
      <c r="T338" s="30">
        <v>46022.0</v>
      </c>
      <c r="U338" s="36">
        <v>66.64</v>
      </c>
      <c r="V338" s="36">
        <v>280.48</v>
      </c>
      <c r="W338" s="38" t="s">
        <v>7047</v>
      </c>
      <c r="X338" s="30">
        <v>46023.0</v>
      </c>
      <c r="Y338" s="30">
        <v>46112.0</v>
      </c>
      <c r="Z338" s="36">
        <v>6.5</v>
      </c>
      <c r="AA338" s="36">
        <v>0.0</v>
      </c>
      <c r="AB338" s="38" t="s">
        <v>7047</v>
      </c>
      <c r="AC338" s="30">
        <v>46113.0</v>
      </c>
      <c r="AD338" s="30">
        <v>46203.0</v>
      </c>
      <c r="AE338" s="36">
        <v>6.62</v>
      </c>
      <c r="AF338" s="36">
        <v>0.0</v>
      </c>
      <c r="AG338" s="38" t="s">
        <v>7047</v>
      </c>
      <c r="AH338" s="30">
        <v>46204.0</v>
      </c>
      <c r="AI338" s="30">
        <v>46295.0</v>
      </c>
      <c r="AJ338" s="36">
        <v>3.38</v>
      </c>
      <c r="AK338" s="36">
        <v>0.0</v>
      </c>
      <c r="AL338" s="38" t="s">
        <v>7047</v>
      </c>
      <c r="AM338" s="30">
        <v>46296.0</v>
      </c>
      <c r="AN338" s="30">
        <v>46387.0</v>
      </c>
      <c r="AO338" s="36">
        <v>0.86</v>
      </c>
      <c r="AP338" s="36">
        <v>0.0</v>
      </c>
      <c r="AQ338" s="38" t="s">
        <v>7047</v>
      </c>
      <c r="AR338" s="30">
        <v>46388.0</v>
      </c>
      <c r="AS338" s="30">
        <v>46477.0</v>
      </c>
      <c r="AT338" s="36">
        <v>0.0</v>
      </c>
      <c r="AU338" s="36">
        <v>0.0</v>
      </c>
      <c r="AV338" s="35" t="s">
        <v>7045</v>
      </c>
      <c r="AW338" s="30">
        <v>46478.0</v>
      </c>
      <c r="AX338" s="30">
        <v>46568.0</v>
      </c>
      <c r="AY338" s="36">
        <v>0.0</v>
      </c>
      <c r="AZ338" s="36">
        <v>0.0</v>
      </c>
      <c r="BA338" s="35" t="s">
        <v>7045</v>
      </c>
      <c r="BB338" s="30">
        <v>46569.0</v>
      </c>
      <c r="BC338" s="30">
        <v>46660.0</v>
      </c>
      <c r="BD338" s="36">
        <v>0.0</v>
      </c>
      <c r="BE338" s="36">
        <v>0.0</v>
      </c>
      <c r="BF338" s="35" t="s">
        <v>7045</v>
      </c>
      <c r="BG338" s="30">
        <v>46661.0</v>
      </c>
      <c r="BH338" s="30">
        <v>46752.0</v>
      </c>
      <c r="BI338" s="36">
        <v>0.0</v>
      </c>
      <c r="BJ338" s="36">
        <v>0.0</v>
      </c>
      <c r="BK338" s="35" t="s">
        <v>7045</v>
      </c>
      <c r="BL338" s="30">
        <v>46753.0</v>
      </c>
      <c r="BM338" s="30">
        <v>46843.0</v>
      </c>
      <c r="BN338" s="36">
        <v>0.0</v>
      </c>
      <c r="BO338" s="36">
        <v>0.0</v>
      </c>
      <c r="BP338" s="35" t="s">
        <v>7045</v>
      </c>
      <c r="BQ338" s="30">
        <v>46844.0</v>
      </c>
      <c r="BR338" s="30">
        <v>46934.0</v>
      </c>
      <c r="BS338" s="36">
        <v>0.0</v>
      </c>
      <c r="BT338" s="36">
        <v>0.0</v>
      </c>
      <c r="BU338" s="35" t="s">
        <v>7045</v>
      </c>
      <c r="BV338" s="30">
        <v>46935.0</v>
      </c>
      <c r="BW338" s="30">
        <v>47026.0</v>
      </c>
      <c r="BX338" s="36">
        <v>0.0</v>
      </c>
      <c r="BY338" s="36">
        <v>0.0</v>
      </c>
      <c r="BZ338" s="35" t="s">
        <v>7045</v>
      </c>
      <c r="CA338" s="30">
        <v>47027.0</v>
      </c>
      <c r="CB338" s="30">
        <v>47118.0</v>
      </c>
      <c r="CC338" s="36">
        <v>0.0</v>
      </c>
      <c r="CD338" s="36">
        <v>0.0</v>
      </c>
      <c r="CE338" s="35" t="s">
        <v>7045</v>
      </c>
      <c r="CF338" s="30">
        <v>47119.0</v>
      </c>
      <c r="CG338" s="30">
        <v>47208.0</v>
      </c>
      <c r="CH338" s="36">
        <v>0.0</v>
      </c>
      <c r="CI338" s="36">
        <v>0.0</v>
      </c>
      <c r="CJ338" s="35" t="s">
        <v>7045</v>
      </c>
      <c r="CK338" s="30">
        <v>47209.0</v>
      </c>
      <c r="CL338" s="30">
        <v>47299.0</v>
      </c>
      <c r="CM338" s="36">
        <v>0.0</v>
      </c>
      <c r="CN338" s="36">
        <v>0.0</v>
      </c>
      <c r="CO338" s="35" t="s">
        <v>7045</v>
      </c>
      <c r="CP338" s="30">
        <v>47300.0</v>
      </c>
      <c r="CQ338" s="30">
        <v>47391.0</v>
      </c>
      <c r="CR338" s="36">
        <v>0.0</v>
      </c>
      <c r="CS338" s="36">
        <v>0.0</v>
      </c>
      <c r="CT338" s="35" t="s">
        <v>7045</v>
      </c>
      <c r="CU338" s="30">
        <v>47392.0</v>
      </c>
      <c r="CV338" s="30">
        <v>47483.0</v>
      </c>
      <c r="CW338" s="36">
        <v>0.0</v>
      </c>
      <c r="CX338" s="36">
        <v>0.0</v>
      </c>
      <c r="CY338" s="35" t="s">
        <v>7045</v>
      </c>
      <c r="CZ338" s="30">
        <v>47484.0</v>
      </c>
      <c r="DA338" s="30">
        <v>47573.0</v>
      </c>
      <c r="DB338" s="36">
        <v>0.0</v>
      </c>
      <c r="DC338" s="36">
        <v>0.0</v>
      </c>
      <c r="DD338" s="35" t="s">
        <v>7045</v>
      </c>
      <c r="DE338" s="30">
        <v>47574.0</v>
      </c>
      <c r="DF338" s="30">
        <v>47664.0</v>
      </c>
      <c r="DG338" s="36">
        <v>0.0</v>
      </c>
      <c r="DH338" s="36">
        <v>0.0</v>
      </c>
      <c r="DI338" s="35" t="s">
        <v>7045</v>
      </c>
      <c r="DJ338" s="30">
        <v>47665.0</v>
      </c>
      <c r="DK338" s="30">
        <v>47756.0</v>
      </c>
      <c r="DL338" s="36">
        <v>0.0</v>
      </c>
      <c r="DM338" s="36">
        <v>0.0</v>
      </c>
      <c r="DN338" s="35" t="s">
        <v>7045</v>
      </c>
      <c r="DO338" s="30">
        <v>47757.0</v>
      </c>
      <c r="DP338" s="30">
        <v>47848.0</v>
      </c>
      <c r="DQ338" s="36">
        <v>0.0</v>
      </c>
      <c r="DR338" s="36">
        <v>0.0</v>
      </c>
      <c r="DS338" s="35" t="s">
        <v>7045</v>
      </c>
    </row>
    <row r="339" ht="14.25" customHeight="1">
      <c r="A339" s="28" t="s">
        <v>5569</v>
      </c>
      <c r="B339" s="29" t="s">
        <v>5570</v>
      </c>
      <c r="C339" s="29" t="s">
        <v>7041</v>
      </c>
      <c r="D339" s="30">
        <v>45658.0</v>
      </c>
      <c r="E339" s="30">
        <v>45747.0</v>
      </c>
      <c r="F339" s="39">
        <v>15.83</v>
      </c>
      <c r="G339" s="39">
        <v>0.0</v>
      </c>
      <c r="H339" s="38" t="s">
        <v>7047</v>
      </c>
      <c r="I339" s="30">
        <v>45748.0</v>
      </c>
      <c r="J339" s="30">
        <v>45838.0</v>
      </c>
      <c r="K339" s="39">
        <v>32.54</v>
      </c>
      <c r="L339" s="39">
        <v>476.67</v>
      </c>
      <c r="M339" s="32" t="s">
        <v>7043</v>
      </c>
      <c r="N339" s="30">
        <v>45839.0</v>
      </c>
      <c r="O339" s="30">
        <v>45930.0</v>
      </c>
      <c r="P339" s="39">
        <v>117.48</v>
      </c>
      <c r="Q339" s="39">
        <v>473.33</v>
      </c>
      <c r="R339" s="38" t="s">
        <v>7047</v>
      </c>
      <c r="S339" s="30">
        <v>45931.0</v>
      </c>
      <c r="T339" s="30">
        <v>46022.0</v>
      </c>
      <c r="U339" s="39">
        <v>1265.0</v>
      </c>
      <c r="V339" s="39">
        <v>510.0</v>
      </c>
      <c r="W339" s="38" t="s">
        <v>7047</v>
      </c>
      <c r="X339" s="30">
        <v>46023.0</v>
      </c>
      <c r="Y339" s="30">
        <v>46112.0</v>
      </c>
      <c r="Z339" s="39">
        <v>9.45</v>
      </c>
      <c r="AA339" s="39">
        <v>0.0</v>
      </c>
      <c r="AB339" s="38" t="s">
        <v>7047</v>
      </c>
      <c r="AC339" s="30">
        <v>46113.0</v>
      </c>
      <c r="AD339" s="30">
        <v>46203.0</v>
      </c>
      <c r="AE339" s="39">
        <v>0.0</v>
      </c>
      <c r="AF339" s="39">
        <v>0.0</v>
      </c>
      <c r="AG339" s="35" t="s">
        <v>7045</v>
      </c>
      <c r="AH339" s="30">
        <v>46204.0</v>
      </c>
      <c r="AI339" s="30">
        <v>46295.0</v>
      </c>
      <c r="AJ339" s="39">
        <v>79.69</v>
      </c>
      <c r="AK339" s="39">
        <v>0.0</v>
      </c>
      <c r="AL339" s="38" t="s">
        <v>7047</v>
      </c>
      <c r="AM339" s="30">
        <v>46296.0</v>
      </c>
      <c r="AN339" s="30">
        <v>46387.0</v>
      </c>
      <c r="AO339" s="39">
        <v>687.19</v>
      </c>
      <c r="AP339" s="39">
        <v>0.0</v>
      </c>
      <c r="AQ339" s="38" t="s">
        <v>7047</v>
      </c>
      <c r="AR339" s="30">
        <v>46388.0</v>
      </c>
      <c r="AS339" s="30">
        <v>46477.0</v>
      </c>
      <c r="AT339" s="39">
        <v>0.0</v>
      </c>
      <c r="AU339" s="39">
        <v>0.0</v>
      </c>
      <c r="AV339" s="35" t="s">
        <v>7045</v>
      </c>
      <c r="AW339" s="30">
        <v>46478.0</v>
      </c>
      <c r="AX339" s="30">
        <v>46568.0</v>
      </c>
      <c r="AY339" s="39">
        <v>0.0</v>
      </c>
      <c r="AZ339" s="39">
        <v>0.0</v>
      </c>
      <c r="BA339" s="35" t="s">
        <v>7045</v>
      </c>
      <c r="BB339" s="30">
        <v>46569.0</v>
      </c>
      <c r="BC339" s="30">
        <v>46660.0</v>
      </c>
      <c r="BD339" s="39">
        <v>0.0</v>
      </c>
      <c r="BE339" s="39">
        <v>0.0</v>
      </c>
      <c r="BF339" s="35" t="s">
        <v>7045</v>
      </c>
      <c r="BG339" s="30">
        <v>46661.0</v>
      </c>
      <c r="BH339" s="30">
        <v>46752.0</v>
      </c>
      <c r="BI339" s="39">
        <v>0.0</v>
      </c>
      <c r="BJ339" s="39">
        <v>0.0</v>
      </c>
      <c r="BK339" s="35" t="s">
        <v>7045</v>
      </c>
      <c r="BL339" s="30">
        <v>46753.0</v>
      </c>
      <c r="BM339" s="30">
        <v>46843.0</v>
      </c>
      <c r="BN339" s="39">
        <v>0.0</v>
      </c>
      <c r="BO339" s="39">
        <v>0.0</v>
      </c>
      <c r="BP339" s="35" t="s">
        <v>7045</v>
      </c>
      <c r="BQ339" s="30">
        <v>46844.0</v>
      </c>
      <c r="BR339" s="30">
        <v>46934.0</v>
      </c>
      <c r="BS339" s="39">
        <v>0.0</v>
      </c>
      <c r="BT339" s="39">
        <v>0.0</v>
      </c>
      <c r="BU339" s="35" t="s">
        <v>7045</v>
      </c>
      <c r="BV339" s="30">
        <v>46935.0</v>
      </c>
      <c r="BW339" s="30">
        <v>47026.0</v>
      </c>
      <c r="BX339" s="39">
        <v>0.0</v>
      </c>
      <c r="BY339" s="39">
        <v>0.0</v>
      </c>
      <c r="BZ339" s="35" t="s">
        <v>7045</v>
      </c>
      <c r="CA339" s="30">
        <v>47027.0</v>
      </c>
      <c r="CB339" s="30">
        <v>47118.0</v>
      </c>
      <c r="CC339" s="39">
        <v>0.0</v>
      </c>
      <c r="CD339" s="39">
        <v>0.0</v>
      </c>
      <c r="CE339" s="35" t="s">
        <v>7045</v>
      </c>
      <c r="CF339" s="30">
        <v>47119.0</v>
      </c>
      <c r="CG339" s="30">
        <v>47208.0</v>
      </c>
      <c r="CH339" s="39">
        <v>0.0</v>
      </c>
      <c r="CI339" s="39">
        <v>0.0</v>
      </c>
      <c r="CJ339" s="35" t="s">
        <v>7045</v>
      </c>
      <c r="CK339" s="30">
        <v>47209.0</v>
      </c>
      <c r="CL339" s="30">
        <v>47299.0</v>
      </c>
      <c r="CM339" s="39">
        <v>0.0</v>
      </c>
      <c r="CN339" s="39">
        <v>0.0</v>
      </c>
      <c r="CO339" s="35" t="s">
        <v>7045</v>
      </c>
      <c r="CP339" s="30">
        <v>47300.0</v>
      </c>
      <c r="CQ339" s="30">
        <v>47391.0</v>
      </c>
      <c r="CR339" s="39">
        <v>0.0</v>
      </c>
      <c r="CS339" s="39">
        <v>0.0</v>
      </c>
      <c r="CT339" s="35" t="s">
        <v>7045</v>
      </c>
      <c r="CU339" s="30">
        <v>47392.0</v>
      </c>
      <c r="CV339" s="30">
        <v>47483.0</v>
      </c>
      <c r="CW339" s="39">
        <v>0.0</v>
      </c>
      <c r="CX339" s="39">
        <v>0.0</v>
      </c>
      <c r="CY339" s="35" t="s">
        <v>7045</v>
      </c>
      <c r="CZ339" s="30">
        <v>47484.0</v>
      </c>
      <c r="DA339" s="30">
        <v>47573.0</v>
      </c>
      <c r="DB339" s="39">
        <v>0.0</v>
      </c>
      <c r="DC339" s="39">
        <v>0.0</v>
      </c>
      <c r="DD339" s="35" t="s">
        <v>7045</v>
      </c>
      <c r="DE339" s="30">
        <v>47574.0</v>
      </c>
      <c r="DF339" s="30">
        <v>47664.0</v>
      </c>
      <c r="DG339" s="39">
        <v>0.0</v>
      </c>
      <c r="DH339" s="39">
        <v>0.0</v>
      </c>
      <c r="DI339" s="35" t="s">
        <v>7045</v>
      </c>
      <c r="DJ339" s="30">
        <v>47665.0</v>
      </c>
      <c r="DK339" s="30">
        <v>47756.0</v>
      </c>
      <c r="DL339" s="39">
        <v>0.0</v>
      </c>
      <c r="DM339" s="39">
        <v>0.0</v>
      </c>
      <c r="DN339" s="35" t="s">
        <v>7045</v>
      </c>
      <c r="DO339" s="30">
        <v>47757.0</v>
      </c>
      <c r="DP339" s="30">
        <v>47848.0</v>
      </c>
      <c r="DQ339" s="39">
        <v>0.0</v>
      </c>
      <c r="DR339" s="39">
        <v>0.0</v>
      </c>
      <c r="DS339" s="35" t="s">
        <v>7045</v>
      </c>
    </row>
    <row r="340" ht="14.25" customHeight="1">
      <c r="A340" s="28" t="s">
        <v>5616</v>
      </c>
      <c r="B340" s="29" t="s">
        <v>5617</v>
      </c>
      <c r="C340" s="29" t="s">
        <v>7041</v>
      </c>
      <c r="D340" s="30">
        <v>45658.0</v>
      </c>
      <c r="E340" s="30">
        <v>45747.0</v>
      </c>
      <c r="F340" s="39">
        <v>8.66</v>
      </c>
      <c r="G340" s="39">
        <v>0.0</v>
      </c>
      <c r="H340" s="38" t="s">
        <v>7047</v>
      </c>
      <c r="I340" s="30">
        <v>45748.0</v>
      </c>
      <c r="J340" s="30">
        <v>45838.0</v>
      </c>
      <c r="K340" s="39">
        <v>26.1</v>
      </c>
      <c r="L340" s="39">
        <v>633.33</v>
      </c>
      <c r="M340" s="32" t="s">
        <v>7043</v>
      </c>
      <c r="N340" s="30">
        <v>45839.0</v>
      </c>
      <c r="O340" s="30">
        <v>45930.0</v>
      </c>
      <c r="P340" s="39">
        <v>82.92</v>
      </c>
      <c r="Q340" s="39">
        <v>200.0</v>
      </c>
      <c r="R340" s="38" t="s">
        <v>7047</v>
      </c>
      <c r="S340" s="30">
        <v>45931.0</v>
      </c>
      <c r="T340" s="30">
        <v>46022.0</v>
      </c>
      <c r="U340" s="39">
        <v>800.57</v>
      </c>
      <c r="V340" s="39">
        <v>433.33</v>
      </c>
      <c r="W340" s="38" t="s">
        <v>7047</v>
      </c>
      <c r="X340" s="30">
        <v>46023.0</v>
      </c>
      <c r="Y340" s="30">
        <v>46112.0</v>
      </c>
      <c r="Z340" s="39">
        <v>788.66</v>
      </c>
      <c r="AA340" s="39">
        <v>0.0</v>
      </c>
      <c r="AB340" s="38" t="s">
        <v>7047</v>
      </c>
      <c r="AC340" s="30">
        <v>46113.0</v>
      </c>
      <c r="AD340" s="30">
        <v>46203.0</v>
      </c>
      <c r="AE340" s="39">
        <v>372.37</v>
      </c>
      <c r="AF340" s="39">
        <v>0.0</v>
      </c>
      <c r="AG340" s="38" t="s">
        <v>7047</v>
      </c>
      <c r="AH340" s="30">
        <v>46204.0</v>
      </c>
      <c r="AI340" s="30">
        <v>46295.0</v>
      </c>
      <c r="AJ340" s="39">
        <v>337.0</v>
      </c>
      <c r="AK340" s="39">
        <v>0.0</v>
      </c>
      <c r="AL340" s="35" t="s">
        <v>7047</v>
      </c>
      <c r="AM340" s="30">
        <v>46296.0</v>
      </c>
      <c r="AN340" s="30">
        <v>46387.0</v>
      </c>
      <c r="AO340" s="39">
        <v>0.0</v>
      </c>
      <c r="AP340" s="39">
        <v>0.0</v>
      </c>
      <c r="AQ340" s="35" t="s">
        <v>7045</v>
      </c>
      <c r="AR340" s="30">
        <v>46388.0</v>
      </c>
      <c r="AS340" s="30">
        <v>46477.0</v>
      </c>
      <c r="AT340" s="39">
        <v>0.0</v>
      </c>
      <c r="AU340" s="39">
        <v>0.0</v>
      </c>
      <c r="AV340" s="35" t="s">
        <v>7045</v>
      </c>
      <c r="AW340" s="30">
        <v>46478.0</v>
      </c>
      <c r="AX340" s="30">
        <v>46568.0</v>
      </c>
      <c r="AY340" s="39">
        <v>0.0</v>
      </c>
      <c r="AZ340" s="39">
        <v>0.0</v>
      </c>
      <c r="BA340" s="35" t="s">
        <v>7045</v>
      </c>
      <c r="BB340" s="30">
        <v>46569.0</v>
      </c>
      <c r="BC340" s="30">
        <v>46660.0</v>
      </c>
      <c r="BD340" s="39">
        <v>0.0</v>
      </c>
      <c r="BE340" s="39">
        <v>0.0</v>
      </c>
      <c r="BF340" s="35" t="s">
        <v>7045</v>
      </c>
      <c r="BG340" s="30">
        <v>46661.0</v>
      </c>
      <c r="BH340" s="30">
        <v>46752.0</v>
      </c>
      <c r="BI340" s="39">
        <v>0.0</v>
      </c>
      <c r="BJ340" s="39">
        <v>0.0</v>
      </c>
      <c r="BK340" s="35" t="s">
        <v>7045</v>
      </c>
      <c r="BL340" s="30">
        <v>46753.0</v>
      </c>
      <c r="BM340" s="30">
        <v>46843.0</v>
      </c>
      <c r="BN340" s="39">
        <v>0.0</v>
      </c>
      <c r="BO340" s="39">
        <v>0.0</v>
      </c>
      <c r="BP340" s="35" t="s">
        <v>7045</v>
      </c>
      <c r="BQ340" s="30">
        <v>46844.0</v>
      </c>
      <c r="BR340" s="30">
        <v>46934.0</v>
      </c>
      <c r="BS340" s="39">
        <v>0.0</v>
      </c>
      <c r="BT340" s="39">
        <v>0.0</v>
      </c>
      <c r="BU340" s="35" t="s">
        <v>7045</v>
      </c>
      <c r="BV340" s="30">
        <v>46935.0</v>
      </c>
      <c r="BW340" s="30">
        <v>47026.0</v>
      </c>
      <c r="BX340" s="39">
        <v>0.0</v>
      </c>
      <c r="BY340" s="39">
        <v>0.0</v>
      </c>
      <c r="BZ340" s="35" t="s">
        <v>7045</v>
      </c>
      <c r="CA340" s="30">
        <v>47027.0</v>
      </c>
      <c r="CB340" s="30">
        <v>47118.0</v>
      </c>
      <c r="CC340" s="39">
        <v>0.0</v>
      </c>
      <c r="CD340" s="39">
        <v>0.0</v>
      </c>
      <c r="CE340" s="35" t="s">
        <v>7045</v>
      </c>
      <c r="CF340" s="30">
        <v>47119.0</v>
      </c>
      <c r="CG340" s="30">
        <v>47208.0</v>
      </c>
      <c r="CH340" s="39">
        <v>0.0</v>
      </c>
      <c r="CI340" s="39">
        <v>0.0</v>
      </c>
      <c r="CJ340" s="35" t="s">
        <v>7045</v>
      </c>
      <c r="CK340" s="30">
        <v>47209.0</v>
      </c>
      <c r="CL340" s="30">
        <v>47299.0</v>
      </c>
      <c r="CM340" s="39">
        <v>0.0</v>
      </c>
      <c r="CN340" s="39">
        <v>0.0</v>
      </c>
      <c r="CO340" s="35" t="s">
        <v>7045</v>
      </c>
      <c r="CP340" s="30">
        <v>47300.0</v>
      </c>
      <c r="CQ340" s="30">
        <v>47391.0</v>
      </c>
      <c r="CR340" s="39">
        <v>0.0</v>
      </c>
      <c r="CS340" s="39">
        <v>0.0</v>
      </c>
      <c r="CT340" s="35" t="s">
        <v>7045</v>
      </c>
      <c r="CU340" s="30">
        <v>47392.0</v>
      </c>
      <c r="CV340" s="30">
        <v>47483.0</v>
      </c>
      <c r="CW340" s="39">
        <v>0.0</v>
      </c>
      <c r="CX340" s="39">
        <v>0.0</v>
      </c>
      <c r="CY340" s="35" t="s">
        <v>7045</v>
      </c>
      <c r="CZ340" s="30">
        <v>47484.0</v>
      </c>
      <c r="DA340" s="30">
        <v>47573.0</v>
      </c>
      <c r="DB340" s="39">
        <v>0.0</v>
      </c>
      <c r="DC340" s="39">
        <v>0.0</v>
      </c>
      <c r="DD340" s="35" t="s">
        <v>7045</v>
      </c>
      <c r="DE340" s="30">
        <v>47574.0</v>
      </c>
      <c r="DF340" s="30">
        <v>47664.0</v>
      </c>
      <c r="DG340" s="39">
        <v>0.0</v>
      </c>
      <c r="DH340" s="39">
        <v>0.0</v>
      </c>
      <c r="DI340" s="35" t="s">
        <v>7045</v>
      </c>
      <c r="DJ340" s="30">
        <v>47665.0</v>
      </c>
      <c r="DK340" s="30">
        <v>47756.0</v>
      </c>
      <c r="DL340" s="39">
        <v>0.0</v>
      </c>
      <c r="DM340" s="39">
        <v>0.0</v>
      </c>
      <c r="DN340" s="35" t="s">
        <v>7045</v>
      </c>
      <c r="DO340" s="30">
        <v>47757.0</v>
      </c>
      <c r="DP340" s="30">
        <v>47848.0</v>
      </c>
      <c r="DQ340" s="39">
        <v>0.0</v>
      </c>
      <c r="DR340" s="39">
        <v>0.0</v>
      </c>
      <c r="DS340" s="35" t="s">
        <v>7045</v>
      </c>
    </row>
    <row r="341" ht="14.25" customHeight="1">
      <c r="A341" s="28" t="s">
        <v>1884</v>
      </c>
      <c r="B341" s="29" t="s">
        <v>1885</v>
      </c>
      <c r="C341" s="29" t="s">
        <v>7041</v>
      </c>
      <c r="D341" s="30">
        <v>45658.0</v>
      </c>
      <c r="E341" s="30">
        <v>45747.0</v>
      </c>
      <c r="F341" s="36">
        <v>1893.99</v>
      </c>
      <c r="G341" s="36">
        <v>0.0</v>
      </c>
      <c r="H341" s="38" t="s">
        <v>7047</v>
      </c>
      <c r="I341" s="30">
        <v>45748.0</v>
      </c>
      <c r="J341" s="30">
        <v>45838.0</v>
      </c>
      <c r="K341" s="36">
        <v>168.0</v>
      </c>
      <c r="L341" s="36">
        <v>899.98</v>
      </c>
      <c r="M341" s="32" t="s">
        <v>7043</v>
      </c>
      <c r="N341" s="30">
        <v>45839.0</v>
      </c>
      <c r="O341" s="30">
        <v>45930.0</v>
      </c>
      <c r="P341" s="36">
        <v>460.0</v>
      </c>
      <c r="Q341" s="36">
        <v>1633.33</v>
      </c>
      <c r="R341" s="38" t="s">
        <v>7047</v>
      </c>
      <c r="S341" s="30">
        <v>45931.0</v>
      </c>
      <c r="T341" s="30">
        <v>46022.0</v>
      </c>
      <c r="U341" s="36">
        <v>1965.99</v>
      </c>
      <c r="V341" s="36">
        <v>1633.33</v>
      </c>
      <c r="W341" s="38" t="s">
        <v>7047</v>
      </c>
      <c r="X341" s="30">
        <v>46023.0</v>
      </c>
      <c r="Y341" s="30">
        <v>46112.0</v>
      </c>
      <c r="Z341" s="36">
        <v>0.0</v>
      </c>
      <c r="AA341" s="36">
        <v>0.0</v>
      </c>
      <c r="AB341" s="35" t="s">
        <v>7045</v>
      </c>
      <c r="AC341" s="30">
        <v>46113.0</v>
      </c>
      <c r="AD341" s="30">
        <v>46203.0</v>
      </c>
      <c r="AE341" s="36">
        <v>0.0</v>
      </c>
      <c r="AF341" s="36">
        <v>0.0</v>
      </c>
      <c r="AG341" s="35" t="s">
        <v>7045</v>
      </c>
      <c r="AH341" s="30">
        <v>46204.0</v>
      </c>
      <c r="AI341" s="30">
        <v>46295.0</v>
      </c>
      <c r="AJ341" s="36">
        <v>0.0</v>
      </c>
      <c r="AK341" s="36">
        <v>0.0</v>
      </c>
      <c r="AL341" s="35" t="s">
        <v>7045</v>
      </c>
      <c r="AM341" s="30">
        <v>46296.0</v>
      </c>
      <c r="AN341" s="30">
        <v>46387.0</v>
      </c>
      <c r="AO341" s="36">
        <v>0.0</v>
      </c>
      <c r="AP341" s="36">
        <v>0.0</v>
      </c>
      <c r="AQ341" s="35" t="s">
        <v>7045</v>
      </c>
      <c r="AR341" s="30">
        <v>46388.0</v>
      </c>
      <c r="AS341" s="30">
        <v>46477.0</v>
      </c>
      <c r="AT341" s="36">
        <v>0.0</v>
      </c>
      <c r="AU341" s="36">
        <v>0.0</v>
      </c>
      <c r="AV341" s="35" t="s">
        <v>7045</v>
      </c>
      <c r="AW341" s="30">
        <v>46478.0</v>
      </c>
      <c r="AX341" s="30">
        <v>46568.0</v>
      </c>
      <c r="AY341" s="36">
        <v>0.0</v>
      </c>
      <c r="AZ341" s="36">
        <v>0.0</v>
      </c>
      <c r="BA341" s="35" t="s">
        <v>7045</v>
      </c>
      <c r="BB341" s="30">
        <v>46569.0</v>
      </c>
      <c r="BC341" s="30">
        <v>46660.0</v>
      </c>
      <c r="BD341" s="36">
        <v>0.0</v>
      </c>
      <c r="BE341" s="36">
        <v>0.0</v>
      </c>
      <c r="BF341" s="35" t="s">
        <v>7045</v>
      </c>
      <c r="BG341" s="30">
        <v>46661.0</v>
      </c>
      <c r="BH341" s="30">
        <v>46752.0</v>
      </c>
      <c r="BI341" s="36">
        <v>0.0</v>
      </c>
      <c r="BJ341" s="36">
        <v>0.0</v>
      </c>
      <c r="BK341" s="35" t="s">
        <v>7045</v>
      </c>
      <c r="BL341" s="30">
        <v>46753.0</v>
      </c>
      <c r="BM341" s="30">
        <v>46843.0</v>
      </c>
      <c r="BN341" s="36">
        <v>0.0</v>
      </c>
      <c r="BO341" s="36">
        <v>0.0</v>
      </c>
      <c r="BP341" s="35" t="s">
        <v>7045</v>
      </c>
      <c r="BQ341" s="30">
        <v>46844.0</v>
      </c>
      <c r="BR341" s="30">
        <v>46934.0</v>
      </c>
      <c r="BS341" s="36">
        <v>0.0</v>
      </c>
      <c r="BT341" s="36">
        <v>0.0</v>
      </c>
      <c r="BU341" s="35" t="s">
        <v>7045</v>
      </c>
      <c r="BV341" s="30">
        <v>46935.0</v>
      </c>
      <c r="BW341" s="30">
        <v>47026.0</v>
      </c>
      <c r="BX341" s="36">
        <v>0.0</v>
      </c>
      <c r="BY341" s="36">
        <v>0.0</v>
      </c>
      <c r="BZ341" s="35" t="s">
        <v>7045</v>
      </c>
      <c r="CA341" s="30">
        <v>47027.0</v>
      </c>
      <c r="CB341" s="30">
        <v>47118.0</v>
      </c>
      <c r="CC341" s="36">
        <v>0.0</v>
      </c>
      <c r="CD341" s="36">
        <v>0.0</v>
      </c>
      <c r="CE341" s="35" t="s">
        <v>7045</v>
      </c>
      <c r="CF341" s="30">
        <v>47119.0</v>
      </c>
      <c r="CG341" s="30">
        <v>47208.0</v>
      </c>
      <c r="CH341" s="36">
        <v>0.0</v>
      </c>
      <c r="CI341" s="36">
        <v>0.0</v>
      </c>
      <c r="CJ341" s="35" t="s">
        <v>7045</v>
      </c>
      <c r="CK341" s="30">
        <v>47209.0</v>
      </c>
      <c r="CL341" s="30">
        <v>47299.0</v>
      </c>
      <c r="CM341" s="36">
        <v>0.0</v>
      </c>
      <c r="CN341" s="36">
        <v>0.0</v>
      </c>
      <c r="CO341" s="35" t="s">
        <v>7045</v>
      </c>
      <c r="CP341" s="30">
        <v>47300.0</v>
      </c>
      <c r="CQ341" s="30">
        <v>47391.0</v>
      </c>
      <c r="CR341" s="36">
        <v>0.0</v>
      </c>
      <c r="CS341" s="36">
        <v>0.0</v>
      </c>
      <c r="CT341" s="35" t="s">
        <v>7045</v>
      </c>
      <c r="CU341" s="30">
        <v>47392.0</v>
      </c>
      <c r="CV341" s="30">
        <v>47483.0</v>
      </c>
      <c r="CW341" s="36">
        <v>0.0</v>
      </c>
      <c r="CX341" s="36">
        <v>0.0</v>
      </c>
      <c r="CY341" s="35" t="s">
        <v>7045</v>
      </c>
      <c r="CZ341" s="30">
        <v>47484.0</v>
      </c>
      <c r="DA341" s="30">
        <v>47573.0</v>
      </c>
      <c r="DB341" s="36">
        <v>0.0</v>
      </c>
      <c r="DC341" s="36">
        <v>0.0</v>
      </c>
      <c r="DD341" s="35" t="s">
        <v>7045</v>
      </c>
      <c r="DE341" s="30">
        <v>47574.0</v>
      </c>
      <c r="DF341" s="30">
        <v>47664.0</v>
      </c>
      <c r="DG341" s="36">
        <v>0.0</v>
      </c>
      <c r="DH341" s="36">
        <v>0.0</v>
      </c>
      <c r="DI341" s="35" t="s">
        <v>7045</v>
      </c>
      <c r="DJ341" s="30">
        <v>47665.0</v>
      </c>
      <c r="DK341" s="30">
        <v>47756.0</v>
      </c>
      <c r="DL341" s="36">
        <v>0.0</v>
      </c>
      <c r="DM341" s="36">
        <v>0.0</v>
      </c>
      <c r="DN341" s="35" t="s">
        <v>7045</v>
      </c>
      <c r="DO341" s="30">
        <v>47757.0</v>
      </c>
      <c r="DP341" s="30">
        <v>47848.0</v>
      </c>
      <c r="DQ341" s="36">
        <v>0.0</v>
      </c>
      <c r="DR341" s="36">
        <v>0.0</v>
      </c>
      <c r="DS341" s="35" t="s">
        <v>7045</v>
      </c>
    </row>
    <row r="342" ht="14.25" customHeight="1">
      <c r="A342" s="28" t="s">
        <v>5729</v>
      </c>
      <c r="B342" s="29" t="s">
        <v>5730</v>
      </c>
      <c r="C342" s="29" t="s">
        <v>7041</v>
      </c>
      <c r="D342" s="30">
        <v>45658.0</v>
      </c>
      <c r="E342" s="30">
        <v>45747.0</v>
      </c>
      <c r="F342" s="39">
        <v>14.89</v>
      </c>
      <c r="G342" s="39">
        <v>0.0</v>
      </c>
      <c r="H342" s="38" t="s">
        <v>7047</v>
      </c>
      <c r="I342" s="30">
        <v>45748.0</v>
      </c>
      <c r="J342" s="30">
        <v>45838.0</v>
      </c>
      <c r="K342" s="39">
        <v>5.45</v>
      </c>
      <c r="L342" s="39">
        <v>94.59</v>
      </c>
      <c r="M342" s="37" t="s">
        <v>7043</v>
      </c>
      <c r="N342" s="30">
        <v>45839.0</v>
      </c>
      <c r="O342" s="30">
        <v>45930.0</v>
      </c>
      <c r="P342" s="39">
        <v>100.1</v>
      </c>
      <c r="Q342" s="39">
        <v>94.59</v>
      </c>
      <c r="R342" s="38" t="s">
        <v>7047</v>
      </c>
      <c r="S342" s="30">
        <v>45931.0</v>
      </c>
      <c r="T342" s="30">
        <v>46022.0</v>
      </c>
      <c r="U342" s="39">
        <v>163.25</v>
      </c>
      <c r="V342" s="39">
        <v>94.59</v>
      </c>
      <c r="W342" s="38" t="s">
        <v>7047</v>
      </c>
      <c r="X342" s="30">
        <v>46023.0</v>
      </c>
      <c r="Y342" s="30">
        <v>46112.0</v>
      </c>
      <c r="Z342" s="39">
        <v>30.0</v>
      </c>
      <c r="AA342" s="39">
        <v>0.0</v>
      </c>
      <c r="AB342" s="35" t="s">
        <v>7047</v>
      </c>
      <c r="AC342" s="30">
        <v>46113.0</v>
      </c>
      <c r="AD342" s="30">
        <v>46203.0</v>
      </c>
      <c r="AE342" s="39">
        <v>0.0</v>
      </c>
      <c r="AF342" s="39">
        <v>0.0</v>
      </c>
      <c r="AG342" s="35" t="s">
        <v>7045</v>
      </c>
      <c r="AH342" s="30">
        <v>46204.0</v>
      </c>
      <c r="AI342" s="30">
        <v>46295.0</v>
      </c>
      <c r="AJ342" s="39">
        <v>0.0</v>
      </c>
      <c r="AK342" s="39">
        <v>0.0</v>
      </c>
      <c r="AL342" s="35" t="s">
        <v>7045</v>
      </c>
      <c r="AM342" s="30">
        <v>46296.0</v>
      </c>
      <c r="AN342" s="30">
        <v>46387.0</v>
      </c>
      <c r="AO342" s="39">
        <v>0.0</v>
      </c>
      <c r="AP342" s="39">
        <v>0.0</v>
      </c>
      <c r="AQ342" s="35" t="s">
        <v>7045</v>
      </c>
      <c r="AR342" s="30">
        <v>46388.0</v>
      </c>
      <c r="AS342" s="30">
        <v>46477.0</v>
      </c>
      <c r="AT342" s="39">
        <v>0.0</v>
      </c>
      <c r="AU342" s="39">
        <v>0.0</v>
      </c>
      <c r="AV342" s="35" t="s">
        <v>7045</v>
      </c>
      <c r="AW342" s="30">
        <v>46478.0</v>
      </c>
      <c r="AX342" s="30">
        <v>46568.0</v>
      </c>
      <c r="AY342" s="39">
        <v>0.0</v>
      </c>
      <c r="AZ342" s="39">
        <v>0.0</v>
      </c>
      <c r="BA342" s="35" t="s">
        <v>7045</v>
      </c>
      <c r="BB342" s="30">
        <v>46569.0</v>
      </c>
      <c r="BC342" s="30">
        <v>46660.0</v>
      </c>
      <c r="BD342" s="39">
        <v>0.0</v>
      </c>
      <c r="BE342" s="39">
        <v>0.0</v>
      </c>
      <c r="BF342" s="35" t="s">
        <v>7045</v>
      </c>
      <c r="BG342" s="30">
        <v>46661.0</v>
      </c>
      <c r="BH342" s="30">
        <v>46752.0</v>
      </c>
      <c r="BI342" s="39">
        <v>0.0</v>
      </c>
      <c r="BJ342" s="39">
        <v>0.0</v>
      </c>
      <c r="BK342" s="35" t="s">
        <v>7045</v>
      </c>
      <c r="BL342" s="30">
        <v>46753.0</v>
      </c>
      <c r="BM342" s="30">
        <v>46843.0</v>
      </c>
      <c r="BN342" s="39">
        <v>0.0</v>
      </c>
      <c r="BO342" s="39">
        <v>0.0</v>
      </c>
      <c r="BP342" s="35" t="s">
        <v>7045</v>
      </c>
      <c r="BQ342" s="30">
        <v>46844.0</v>
      </c>
      <c r="BR342" s="30">
        <v>46934.0</v>
      </c>
      <c r="BS342" s="39">
        <v>0.0</v>
      </c>
      <c r="BT342" s="39">
        <v>0.0</v>
      </c>
      <c r="BU342" s="35" t="s">
        <v>7045</v>
      </c>
      <c r="BV342" s="30">
        <v>46935.0</v>
      </c>
      <c r="BW342" s="30">
        <v>47026.0</v>
      </c>
      <c r="BX342" s="39">
        <v>0.0</v>
      </c>
      <c r="BY342" s="39">
        <v>0.0</v>
      </c>
      <c r="BZ342" s="35" t="s">
        <v>7045</v>
      </c>
      <c r="CA342" s="30">
        <v>47027.0</v>
      </c>
      <c r="CB342" s="30">
        <v>47118.0</v>
      </c>
      <c r="CC342" s="39">
        <v>0.0</v>
      </c>
      <c r="CD342" s="39">
        <v>0.0</v>
      </c>
      <c r="CE342" s="35" t="s">
        <v>7045</v>
      </c>
      <c r="CF342" s="30">
        <v>47119.0</v>
      </c>
      <c r="CG342" s="30">
        <v>47208.0</v>
      </c>
      <c r="CH342" s="39">
        <v>0.0</v>
      </c>
      <c r="CI342" s="39">
        <v>0.0</v>
      </c>
      <c r="CJ342" s="35" t="s">
        <v>7045</v>
      </c>
      <c r="CK342" s="30">
        <v>47209.0</v>
      </c>
      <c r="CL342" s="30">
        <v>47299.0</v>
      </c>
      <c r="CM342" s="39">
        <v>0.0</v>
      </c>
      <c r="CN342" s="39">
        <v>0.0</v>
      </c>
      <c r="CO342" s="35" t="s">
        <v>7045</v>
      </c>
      <c r="CP342" s="30">
        <v>47300.0</v>
      </c>
      <c r="CQ342" s="30">
        <v>47391.0</v>
      </c>
      <c r="CR342" s="39">
        <v>0.0</v>
      </c>
      <c r="CS342" s="39">
        <v>0.0</v>
      </c>
      <c r="CT342" s="35" t="s">
        <v>7045</v>
      </c>
      <c r="CU342" s="30">
        <v>47392.0</v>
      </c>
      <c r="CV342" s="30">
        <v>47483.0</v>
      </c>
      <c r="CW342" s="39">
        <v>0.0</v>
      </c>
      <c r="CX342" s="39">
        <v>0.0</v>
      </c>
      <c r="CY342" s="35" t="s">
        <v>7045</v>
      </c>
      <c r="CZ342" s="30">
        <v>47484.0</v>
      </c>
      <c r="DA342" s="30">
        <v>47573.0</v>
      </c>
      <c r="DB342" s="39">
        <v>0.0</v>
      </c>
      <c r="DC342" s="39">
        <v>0.0</v>
      </c>
      <c r="DD342" s="35" t="s">
        <v>7045</v>
      </c>
      <c r="DE342" s="30">
        <v>47574.0</v>
      </c>
      <c r="DF342" s="30">
        <v>47664.0</v>
      </c>
      <c r="DG342" s="39">
        <v>0.0</v>
      </c>
      <c r="DH342" s="39">
        <v>0.0</v>
      </c>
      <c r="DI342" s="35" t="s">
        <v>7045</v>
      </c>
      <c r="DJ342" s="30">
        <v>47665.0</v>
      </c>
      <c r="DK342" s="30">
        <v>47756.0</v>
      </c>
      <c r="DL342" s="39">
        <v>0.0</v>
      </c>
      <c r="DM342" s="39">
        <v>0.0</v>
      </c>
      <c r="DN342" s="35" t="s">
        <v>7045</v>
      </c>
      <c r="DO342" s="30">
        <v>47757.0</v>
      </c>
      <c r="DP342" s="30">
        <v>47848.0</v>
      </c>
      <c r="DQ342" s="39">
        <v>0.0</v>
      </c>
      <c r="DR342" s="39">
        <v>0.0</v>
      </c>
      <c r="DS342" s="35" t="s">
        <v>7045</v>
      </c>
    </row>
    <row r="343" ht="14.25" customHeight="1">
      <c r="A343" s="28" t="s">
        <v>5767</v>
      </c>
      <c r="B343" s="29" t="s">
        <v>5768</v>
      </c>
      <c r="C343" s="29" t="s">
        <v>7041</v>
      </c>
      <c r="D343" s="30">
        <v>45658.0</v>
      </c>
      <c r="E343" s="30">
        <v>45747.0</v>
      </c>
      <c r="F343" s="39">
        <v>16.0</v>
      </c>
      <c r="G343" s="39">
        <v>0.0</v>
      </c>
      <c r="H343" s="38" t="s">
        <v>7047</v>
      </c>
      <c r="I343" s="30">
        <v>45748.0</v>
      </c>
      <c r="J343" s="30">
        <v>45838.0</v>
      </c>
      <c r="K343" s="39">
        <v>5.0</v>
      </c>
      <c r="L343" s="39">
        <v>136.36</v>
      </c>
      <c r="M343" s="37" t="s">
        <v>7043</v>
      </c>
      <c r="N343" s="30">
        <v>45839.0</v>
      </c>
      <c r="O343" s="30">
        <v>45930.0</v>
      </c>
      <c r="P343" s="39">
        <v>230.0</v>
      </c>
      <c r="Q343" s="39">
        <v>166.67</v>
      </c>
      <c r="R343" s="38" t="s">
        <v>7047</v>
      </c>
      <c r="S343" s="30">
        <v>45931.0</v>
      </c>
      <c r="T343" s="30">
        <v>46022.0</v>
      </c>
      <c r="U343" s="39">
        <v>256.0</v>
      </c>
      <c r="V343" s="39">
        <v>196.97</v>
      </c>
      <c r="W343" s="38" t="s">
        <v>7047</v>
      </c>
      <c r="X343" s="30">
        <v>46023.0</v>
      </c>
      <c r="Y343" s="30">
        <v>46112.0</v>
      </c>
      <c r="Z343" s="39">
        <v>0.0</v>
      </c>
      <c r="AA343" s="39">
        <v>0.0</v>
      </c>
      <c r="AB343" s="35" t="s">
        <v>7045</v>
      </c>
      <c r="AC343" s="30">
        <v>46113.0</v>
      </c>
      <c r="AD343" s="30">
        <v>46203.0</v>
      </c>
      <c r="AE343" s="39">
        <v>0.0</v>
      </c>
      <c r="AF343" s="39">
        <v>0.0</v>
      </c>
      <c r="AG343" s="35" t="s">
        <v>7045</v>
      </c>
      <c r="AH343" s="30">
        <v>46204.0</v>
      </c>
      <c r="AI343" s="30">
        <v>46295.0</v>
      </c>
      <c r="AJ343" s="39">
        <v>0.0</v>
      </c>
      <c r="AK343" s="39">
        <v>0.0</v>
      </c>
      <c r="AL343" s="35" t="s">
        <v>7045</v>
      </c>
      <c r="AM343" s="30">
        <v>46296.0</v>
      </c>
      <c r="AN343" s="30">
        <v>46387.0</v>
      </c>
      <c r="AO343" s="39">
        <v>40.0</v>
      </c>
      <c r="AP343" s="39">
        <v>0.0</v>
      </c>
      <c r="AQ343" s="38" t="s">
        <v>7047</v>
      </c>
      <c r="AR343" s="30">
        <v>46388.0</v>
      </c>
      <c r="AS343" s="30">
        <v>46477.0</v>
      </c>
      <c r="AT343" s="39">
        <v>0.0</v>
      </c>
      <c r="AU343" s="39">
        <v>0.0</v>
      </c>
      <c r="AV343" s="35" t="s">
        <v>7045</v>
      </c>
      <c r="AW343" s="30">
        <v>46478.0</v>
      </c>
      <c r="AX343" s="30">
        <v>46568.0</v>
      </c>
      <c r="AY343" s="39">
        <v>0.0</v>
      </c>
      <c r="AZ343" s="39">
        <v>0.0</v>
      </c>
      <c r="BA343" s="35" t="s">
        <v>7045</v>
      </c>
      <c r="BB343" s="30">
        <v>46569.0</v>
      </c>
      <c r="BC343" s="30">
        <v>46660.0</v>
      </c>
      <c r="BD343" s="39">
        <v>0.0</v>
      </c>
      <c r="BE343" s="39">
        <v>0.0</v>
      </c>
      <c r="BF343" s="35" t="s">
        <v>7045</v>
      </c>
      <c r="BG343" s="30">
        <v>46661.0</v>
      </c>
      <c r="BH343" s="30">
        <v>46752.0</v>
      </c>
      <c r="BI343" s="39">
        <v>0.0</v>
      </c>
      <c r="BJ343" s="39">
        <v>0.0</v>
      </c>
      <c r="BK343" s="35" t="s">
        <v>7045</v>
      </c>
      <c r="BL343" s="30">
        <v>46753.0</v>
      </c>
      <c r="BM343" s="30">
        <v>46843.0</v>
      </c>
      <c r="BN343" s="39">
        <v>0.0</v>
      </c>
      <c r="BO343" s="39">
        <v>0.0</v>
      </c>
      <c r="BP343" s="35" t="s">
        <v>7045</v>
      </c>
      <c r="BQ343" s="30">
        <v>46844.0</v>
      </c>
      <c r="BR343" s="30">
        <v>46934.0</v>
      </c>
      <c r="BS343" s="39">
        <v>0.0</v>
      </c>
      <c r="BT343" s="39">
        <v>0.0</v>
      </c>
      <c r="BU343" s="35" t="s">
        <v>7045</v>
      </c>
      <c r="BV343" s="30">
        <v>46935.0</v>
      </c>
      <c r="BW343" s="30">
        <v>47026.0</v>
      </c>
      <c r="BX343" s="39">
        <v>0.0</v>
      </c>
      <c r="BY343" s="39">
        <v>0.0</v>
      </c>
      <c r="BZ343" s="35" t="s">
        <v>7045</v>
      </c>
      <c r="CA343" s="30">
        <v>47027.0</v>
      </c>
      <c r="CB343" s="30">
        <v>47118.0</v>
      </c>
      <c r="CC343" s="39">
        <v>0.0</v>
      </c>
      <c r="CD343" s="39">
        <v>0.0</v>
      </c>
      <c r="CE343" s="35" t="s">
        <v>7045</v>
      </c>
      <c r="CF343" s="30">
        <v>47119.0</v>
      </c>
      <c r="CG343" s="30">
        <v>47208.0</v>
      </c>
      <c r="CH343" s="39">
        <v>0.0</v>
      </c>
      <c r="CI343" s="39">
        <v>0.0</v>
      </c>
      <c r="CJ343" s="35" t="s">
        <v>7045</v>
      </c>
      <c r="CK343" s="30">
        <v>47209.0</v>
      </c>
      <c r="CL343" s="30">
        <v>47299.0</v>
      </c>
      <c r="CM343" s="39">
        <v>0.0</v>
      </c>
      <c r="CN343" s="39">
        <v>0.0</v>
      </c>
      <c r="CO343" s="35" t="s">
        <v>7045</v>
      </c>
      <c r="CP343" s="30">
        <v>47300.0</v>
      </c>
      <c r="CQ343" s="30">
        <v>47391.0</v>
      </c>
      <c r="CR343" s="39">
        <v>0.0</v>
      </c>
      <c r="CS343" s="39">
        <v>0.0</v>
      </c>
      <c r="CT343" s="35" t="s">
        <v>7045</v>
      </c>
      <c r="CU343" s="30">
        <v>47392.0</v>
      </c>
      <c r="CV343" s="30">
        <v>47483.0</v>
      </c>
      <c r="CW343" s="39">
        <v>0.0</v>
      </c>
      <c r="CX343" s="39">
        <v>0.0</v>
      </c>
      <c r="CY343" s="35" t="s">
        <v>7045</v>
      </c>
      <c r="CZ343" s="30">
        <v>47484.0</v>
      </c>
      <c r="DA343" s="30">
        <v>47573.0</v>
      </c>
      <c r="DB343" s="39">
        <v>0.0</v>
      </c>
      <c r="DC343" s="39">
        <v>0.0</v>
      </c>
      <c r="DD343" s="35" t="s">
        <v>7045</v>
      </c>
      <c r="DE343" s="30">
        <v>47574.0</v>
      </c>
      <c r="DF343" s="30">
        <v>47664.0</v>
      </c>
      <c r="DG343" s="39">
        <v>0.0</v>
      </c>
      <c r="DH343" s="39">
        <v>0.0</v>
      </c>
      <c r="DI343" s="35" t="s">
        <v>7045</v>
      </c>
      <c r="DJ343" s="30">
        <v>47665.0</v>
      </c>
      <c r="DK343" s="30">
        <v>47756.0</v>
      </c>
      <c r="DL343" s="39">
        <v>0.0</v>
      </c>
      <c r="DM343" s="39">
        <v>0.0</v>
      </c>
      <c r="DN343" s="35" t="s">
        <v>7045</v>
      </c>
      <c r="DO343" s="30">
        <v>47757.0</v>
      </c>
      <c r="DP343" s="30">
        <v>47848.0</v>
      </c>
      <c r="DQ343" s="39">
        <v>0.0</v>
      </c>
      <c r="DR343" s="39">
        <v>0.0</v>
      </c>
      <c r="DS343" s="35" t="s">
        <v>7045</v>
      </c>
    </row>
    <row r="344" ht="14.25" customHeight="1">
      <c r="A344" s="28" t="s">
        <v>5783</v>
      </c>
      <c r="B344" s="29" t="s">
        <v>5784</v>
      </c>
      <c r="C344" s="29" t="s">
        <v>7041</v>
      </c>
      <c r="D344" s="30">
        <v>45658.0</v>
      </c>
      <c r="E344" s="30">
        <v>45747.0</v>
      </c>
      <c r="F344" s="36">
        <v>25.0</v>
      </c>
      <c r="G344" s="36">
        <v>0.0</v>
      </c>
      <c r="H344" s="38" t="s">
        <v>7047</v>
      </c>
      <c r="I344" s="30">
        <v>45748.0</v>
      </c>
      <c r="J344" s="30">
        <v>45838.0</v>
      </c>
      <c r="K344" s="36">
        <v>50.0</v>
      </c>
      <c r="L344" s="36">
        <v>0.0</v>
      </c>
      <c r="M344" s="38" t="s">
        <v>7047</v>
      </c>
      <c r="N344" s="30">
        <v>45839.0</v>
      </c>
      <c r="O344" s="30">
        <v>45930.0</v>
      </c>
      <c r="P344" s="36">
        <v>149.99</v>
      </c>
      <c r="Q344" s="36">
        <v>197.8</v>
      </c>
      <c r="R344" s="38" t="s">
        <v>7047</v>
      </c>
      <c r="S344" s="30">
        <v>45931.0</v>
      </c>
      <c r="T344" s="30">
        <v>46022.0</v>
      </c>
      <c r="U344" s="36">
        <v>0.0</v>
      </c>
      <c r="V344" s="36">
        <v>208.79</v>
      </c>
      <c r="W344" s="35" t="s">
        <v>7043</v>
      </c>
      <c r="X344" s="30">
        <v>46023.0</v>
      </c>
      <c r="Y344" s="30">
        <v>46112.0</v>
      </c>
      <c r="Z344" s="36">
        <v>20.0</v>
      </c>
      <c r="AA344" s="36">
        <v>0.0</v>
      </c>
      <c r="AB344" s="35" t="s">
        <v>7047</v>
      </c>
      <c r="AC344" s="30">
        <v>46113.0</v>
      </c>
      <c r="AD344" s="30">
        <v>46203.0</v>
      </c>
      <c r="AE344" s="36">
        <v>0.0</v>
      </c>
      <c r="AF344" s="36">
        <v>0.0</v>
      </c>
      <c r="AG344" s="35" t="s">
        <v>7045</v>
      </c>
      <c r="AH344" s="30">
        <v>46204.0</v>
      </c>
      <c r="AI344" s="30">
        <v>46295.0</v>
      </c>
      <c r="AJ344" s="36">
        <v>0.0</v>
      </c>
      <c r="AK344" s="36">
        <v>0.0</v>
      </c>
      <c r="AL344" s="35" t="s">
        <v>7045</v>
      </c>
      <c r="AM344" s="30">
        <v>46296.0</v>
      </c>
      <c r="AN344" s="30">
        <v>46387.0</v>
      </c>
      <c r="AO344" s="36">
        <v>0.0</v>
      </c>
      <c r="AP344" s="36">
        <v>0.0</v>
      </c>
      <c r="AQ344" s="35" t="s">
        <v>7045</v>
      </c>
      <c r="AR344" s="30">
        <v>46388.0</v>
      </c>
      <c r="AS344" s="30">
        <v>46477.0</v>
      </c>
      <c r="AT344" s="36">
        <v>0.0</v>
      </c>
      <c r="AU344" s="36">
        <v>0.0</v>
      </c>
      <c r="AV344" s="35" t="s">
        <v>7045</v>
      </c>
      <c r="AW344" s="30">
        <v>46478.0</v>
      </c>
      <c r="AX344" s="30">
        <v>46568.0</v>
      </c>
      <c r="AY344" s="36">
        <v>0.0</v>
      </c>
      <c r="AZ344" s="36">
        <v>0.0</v>
      </c>
      <c r="BA344" s="35" t="s">
        <v>7045</v>
      </c>
      <c r="BB344" s="30">
        <v>46569.0</v>
      </c>
      <c r="BC344" s="30">
        <v>46660.0</v>
      </c>
      <c r="BD344" s="36">
        <v>0.0</v>
      </c>
      <c r="BE344" s="36">
        <v>0.0</v>
      </c>
      <c r="BF344" s="35" t="s">
        <v>7045</v>
      </c>
      <c r="BG344" s="30">
        <v>46661.0</v>
      </c>
      <c r="BH344" s="30">
        <v>46752.0</v>
      </c>
      <c r="BI344" s="36">
        <v>0.0</v>
      </c>
      <c r="BJ344" s="36">
        <v>0.0</v>
      </c>
      <c r="BK344" s="35" t="s">
        <v>7045</v>
      </c>
      <c r="BL344" s="30">
        <v>46753.0</v>
      </c>
      <c r="BM344" s="30">
        <v>46843.0</v>
      </c>
      <c r="BN344" s="36">
        <v>0.0</v>
      </c>
      <c r="BO344" s="36">
        <v>0.0</v>
      </c>
      <c r="BP344" s="35" t="s">
        <v>7045</v>
      </c>
      <c r="BQ344" s="30">
        <v>46844.0</v>
      </c>
      <c r="BR344" s="30">
        <v>46934.0</v>
      </c>
      <c r="BS344" s="36">
        <v>0.0</v>
      </c>
      <c r="BT344" s="36">
        <v>0.0</v>
      </c>
      <c r="BU344" s="35" t="s">
        <v>7045</v>
      </c>
      <c r="BV344" s="30">
        <v>46935.0</v>
      </c>
      <c r="BW344" s="30">
        <v>47026.0</v>
      </c>
      <c r="BX344" s="36">
        <v>0.0</v>
      </c>
      <c r="BY344" s="36">
        <v>0.0</v>
      </c>
      <c r="BZ344" s="35" t="s">
        <v>7045</v>
      </c>
      <c r="CA344" s="30">
        <v>47027.0</v>
      </c>
      <c r="CB344" s="30">
        <v>47118.0</v>
      </c>
      <c r="CC344" s="36">
        <v>0.0</v>
      </c>
      <c r="CD344" s="36">
        <v>0.0</v>
      </c>
      <c r="CE344" s="35" t="s">
        <v>7045</v>
      </c>
      <c r="CF344" s="30">
        <v>47119.0</v>
      </c>
      <c r="CG344" s="30">
        <v>47208.0</v>
      </c>
      <c r="CH344" s="36">
        <v>0.0</v>
      </c>
      <c r="CI344" s="36">
        <v>0.0</v>
      </c>
      <c r="CJ344" s="35" t="s">
        <v>7045</v>
      </c>
      <c r="CK344" s="30">
        <v>47209.0</v>
      </c>
      <c r="CL344" s="30">
        <v>47299.0</v>
      </c>
      <c r="CM344" s="36">
        <v>0.0</v>
      </c>
      <c r="CN344" s="36">
        <v>0.0</v>
      </c>
      <c r="CO344" s="35" t="s">
        <v>7045</v>
      </c>
      <c r="CP344" s="30">
        <v>47300.0</v>
      </c>
      <c r="CQ344" s="30">
        <v>47391.0</v>
      </c>
      <c r="CR344" s="36">
        <v>0.0</v>
      </c>
      <c r="CS344" s="36">
        <v>0.0</v>
      </c>
      <c r="CT344" s="35" t="s">
        <v>7045</v>
      </c>
      <c r="CU344" s="30">
        <v>47392.0</v>
      </c>
      <c r="CV344" s="30">
        <v>47483.0</v>
      </c>
      <c r="CW344" s="36">
        <v>0.0</v>
      </c>
      <c r="CX344" s="36">
        <v>0.0</v>
      </c>
      <c r="CY344" s="35" t="s">
        <v>7045</v>
      </c>
      <c r="CZ344" s="30">
        <v>47484.0</v>
      </c>
      <c r="DA344" s="30">
        <v>47573.0</v>
      </c>
      <c r="DB344" s="36">
        <v>0.0</v>
      </c>
      <c r="DC344" s="36">
        <v>0.0</v>
      </c>
      <c r="DD344" s="35" t="s">
        <v>7045</v>
      </c>
      <c r="DE344" s="30">
        <v>47574.0</v>
      </c>
      <c r="DF344" s="30">
        <v>47664.0</v>
      </c>
      <c r="DG344" s="36">
        <v>0.0</v>
      </c>
      <c r="DH344" s="36">
        <v>0.0</v>
      </c>
      <c r="DI344" s="35" t="s">
        <v>7045</v>
      </c>
      <c r="DJ344" s="30">
        <v>47665.0</v>
      </c>
      <c r="DK344" s="30">
        <v>47756.0</v>
      </c>
      <c r="DL344" s="36">
        <v>0.0</v>
      </c>
      <c r="DM344" s="36">
        <v>0.0</v>
      </c>
      <c r="DN344" s="35" t="s">
        <v>7045</v>
      </c>
      <c r="DO344" s="30">
        <v>47757.0</v>
      </c>
      <c r="DP344" s="30">
        <v>47848.0</v>
      </c>
      <c r="DQ344" s="36">
        <v>0.0</v>
      </c>
      <c r="DR344" s="36">
        <v>0.0</v>
      </c>
      <c r="DS344" s="35" t="s">
        <v>7045</v>
      </c>
    </row>
    <row r="345" ht="14.25" customHeight="1">
      <c r="A345" s="28" t="s">
        <v>5802</v>
      </c>
      <c r="B345" s="29" t="s">
        <v>5803</v>
      </c>
      <c r="C345" s="29" t="s">
        <v>7041</v>
      </c>
      <c r="D345" s="30">
        <v>45658.0</v>
      </c>
      <c r="E345" s="30">
        <v>45747.0</v>
      </c>
      <c r="F345" s="39">
        <v>7.67</v>
      </c>
      <c r="G345" s="39">
        <v>0.0</v>
      </c>
      <c r="H345" s="38" t="s">
        <v>7047</v>
      </c>
      <c r="I345" s="30">
        <v>45748.0</v>
      </c>
      <c r="J345" s="30">
        <v>45838.0</v>
      </c>
      <c r="K345" s="39">
        <v>16.79</v>
      </c>
      <c r="L345" s="39">
        <v>58.35</v>
      </c>
      <c r="M345" s="38" t="s">
        <v>7043</v>
      </c>
      <c r="N345" s="30">
        <v>45839.0</v>
      </c>
      <c r="O345" s="30">
        <v>45930.0</v>
      </c>
      <c r="P345" s="39">
        <v>0.95</v>
      </c>
      <c r="Q345" s="39">
        <v>87.53</v>
      </c>
      <c r="R345" s="38" t="s">
        <v>7046</v>
      </c>
      <c r="S345" s="30">
        <v>45931.0</v>
      </c>
      <c r="T345" s="30">
        <v>46022.0</v>
      </c>
      <c r="U345" s="39">
        <v>64.0</v>
      </c>
      <c r="V345" s="39">
        <v>87.53</v>
      </c>
      <c r="W345" s="38" t="s">
        <v>7047</v>
      </c>
      <c r="X345" s="30">
        <v>46023.0</v>
      </c>
      <c r="Y345" s="30">
        <v>46112.0</v>
      </c>
      <c r="Z345" s="39">
        <v>0.0</v>
      </c>
      <c r="AA345" s="39">
        <v>0.0</v>
      </c>
      <c r="AB345" s="35" t="s">
        <v>7045</v>
      </c>
      <c r="AC345" s="30">
        <v>46113.0</v>
      </c>
      <c r="AD345" s="30">
        <v>46203.0</v>
      </c>
      <c r="AE345" s="39">
        <v>0.0</v>
      </c>
      <c r="AF345" s="39">
        <v>0.0</v>
      </c>
      <c r="AG345" s="35" t="s">
        <v>7045</v>
      </c>
      <c r="AH345" s="30">
        <v>46204.0</v>
      </c>
      <c r="AI345" s="30">
        <v>46295.0</v>
      </c>
      <c r="AJ345" s="39">
        <v>0.0</v>
      </c>
      <c r="AK345" s="39">
        <v>0.0</v>
      </c>
      <c r="AL345" s="35" t="s">
        <v>7045</v>
      </c>
      <c r="AM345" s="30">
        <v>46296.0</v>
      </c>
      <c r="AN345" s="30">
        <v>46387.0</v>
      </c>
      <c r="AO345" s="39">
        <v>0.0</v>
      </c>
      <c r="AP345" s="39">
        <v>0.0</v>
      </c>
      <c r="AQ345" s="35" t="s">
        <v>7045</v>
      </c>
      <c r="AR345" s="30">
        <v>46388.0</v>
      </c>
      <c r="AS345" s="30">
        <v>46477.0</v>
      </c>
      <c r="AT345" s="39">
        <v>0.0</v>
      </c>
      <c r="AU345" s="39">
        <v>0.0</v>
      </c>
      <c r="AV345" s="35" t="s">
        <v>7045</v>
      </c>
      <c r="AW345" s="30">
        <v>46478.0</v>
      </c>
      <c r="AX345" s="30">
        <v>46568.0</v>
      </c>
      <c r="AY345" s="39">
        <v>0.0</v>
      </c>
      <c r="AZ345" s="39">
        <v>0.0</v>
      </c>
      <c r="BA345" s="35" t="s">
        <v>7045</v>
      </c>
      <c r="BB345" s="30">
        <v>46569.0</v>
      </c>
      <c r="BC345" s="30">
        <v>46660.0</v>
      </c>
      <c r="BD345" s="39">
        <v>0.0</v>
      </c>
      <c r="BE345" s="39">
        <v>0.0</v>
      </c>
      <c r="BF345" s="35" t="s">
        <v>7045</v>
      </c>
      <c r="BG345" s="30">
        <v>46661.0</v>
      </c>
      <c r="BH345" s="30">
        <v>46752.0</v>
      </c>
      <c r="BI345" s="39">
        <v>0.0</v>
      </c>
      <c r="BJ345" s="39">
        <v>0.0</v>
      </c>
      <c r="BK345" s="35" t="s">
        <v>7045</v>
      </c>
      <c r="BL345" s="30">
        <v>46753.0</v>
      </c>
      <c r="BM345" s="30">
        <v>46843.0</v>
      </c>
      <c r="BN345" s="39">
        <v>0.0</v>
      </c>
      <c r="BO345" s="39">
        <v>0.0</v>
      </c>
      <c r="BP345" s="35" t="s">
        <v>7045</v>
      </c>
      <c r="BQ345" s="30">
        <v>46844.0</v>
      </c>
      <c r="BR345" s="30">
        <v>46934.0</v>
      </c>
      <c r="BS345" s="39">
        <v>0.0</v>
      </c>
      <c r="BT345" s="39">
        <v>0.0</v>
      </c>
      <c r="BU345" s="35" t="s">
        <v>7045</v>
      </c>
      <c r="BV345" s="30">
        <v>46935.0</v>
      </c>
      <c r="BW345" s="30">
        <v>47026.0</v>
      </c>
      <c r="BX345" s="39">
        <v>0.0</v>
      </c>
      <c r="BY345" s="39">
        <v>0.0</v>
      </c>
      <c r="BZ345" s="35" t="s">
        <v>7045</v>
      </c>
      <c r="CA345" s="30">
        <v>47027.0</v>
      </c>
      <c r="CB345" s="30">
        <v>47118.0</v>
      </c>
      <c r="CC345" s="39">
        <v>0.0</v>
      </c>
      <c r="CD345" s="39">
        <v>0.0</v>
      </c>
      <c r="CE345" s="35" t="s">
        <v>7045</v>
      </c>
      <c r="CF345" s="30">
        <v>47119.0</v>
      </c>
      <c r="CG345" s="30">
        <v>47208.0</v>
      </c>
      <c r="CH345" s="39">
        <v>0.0</v>
      </c>
      <c r="CI345" s="39">
        <v>0.0</v>
      </c>
      <c r="CJ345" s="35" t="s">
        <v>7045</v>
      </c>
      <c r="CK345" s="30">
        <v>47209.0</v>
      </c>
      <c r="CL345" s="30">
        <v>47299.0</v>
      </c>
      <c r="CM345" s="39">
        <v>0.0</v>
      </c>
      <c r="CN345" s="39">
        <v>0.0</v>
      </c>
      <c r="CO345" s="35" t="s">
        <v>7045</v>
      </c>
      <c r="CP345" s="30">
        <v>47300.0</v>
      </c>
      <c r="CQ345" s="30">
        <v>47391.0</v>
      </c>
      <c r="CR345" s="39">
        <v>0.0</v>
      </c>
      <c r="CS345" s="39">
        <v>0.0</v>
      </c>
      <c r="CT345" s="35" t="s">
        <v>7045</v>
      </c>
      <c r="CU345" s="30">
        <v>47392.0</v>
      </c>
      <c r="CV345" s="30">
        <v>47483.0</v>
      </c>
      <c r="CW345" s="39">
        <v>0.0</v>
      </c>
      <c r="CX345" s="39">
        <v>0.0</v>
      </c>
      <c r="CY345" s="35" t="s">
        <v>7045</v>
      </c>
      <c r="CZ345" s="30">
        <v>47484.0</v>
      </c>
      <c r="DA345" s="30">
        <v>47573.0</v>
      </c>
      <c r="DB345" s="39">
        <v>0.0</v>
      </c>
      <c r="DC345" s="39">
        <v>0.0</v>
      </c>
      <c r="DD345" s="35" t="s">
        <v>7045</v>
      </c>
      <c r="DE345" s="30">
        <v>47574.0</v>
      </c>
      <c r="DF345" s="30">
        <v>47664.0</v>
      </c>
      <c r="DG345" s="39">
        <v>0.0</v>
      </c>
      <c r="DH345" s="39">
        <v>0.0</v>
      </c>
      <c r="DI345" s="35" t="s">
        <v>7045</v>
      </c>
      <c r="DJ345" s="30">
        <v>47665.0</v>
      </c>
      <c r="DK345" s="30">
        <v>47756.0</v>
      </c>
      <c r="DL345" s="39">
        <v>0.0</v>
      </c>
      <c r="DM345" s="39">
        <v>0.0</v>
      </c>
      <c r="DN345" s="35" t="s">
        <v>7045</v>
      </c>
      <c r="DO345" s="30">
        <v>47757.0</v>
      </c>
      <c r="DP345" s="30">
        <v>47848.0</v>
      </c>
      <c r="DQ345" s="39">
        <v>0.0</v>
      </c>
      <c r="DR345" s="39">
        <v>0.0</v>
      </c>
      <c r="DS345" s="35" t="s">
        <v>7045</v>
      </c>
    </row>
    <row r="346" ht="14.25" customHeight="1">
      <c r="A346" s="28" t="s">
        <v>5813</v>
      </c>
      <c r="B346" s="29" t="s">
        <v>5814</v>
      </c>
      <c r="C346" s="29" t="s">
        <v>7041</v>
      </c>
      <c r="D346" s="30">
        <v>45658.0</v>
      </c>
      <c r="E346" s="30">
        <v>45747.0</v>
      </c>
      <c r="F346" s="39">
        <v>176.88</v>
      </c>
      <c r="G346" s="39">
        <v>0.0</v>
      </c>
      <c r="H346" s="38" t="s">
        <v>7047</v>
      </c>
      <c r="I346" s="30">
        <v>45748.0</v>
      </c>
      <c r="J346" s="30">
        <v>45838.0</v>
      </c>
      <c r="K346" s="39">
        <v>118.2</v>
      </c>
      <c r="L346" s="39">
        <v>0.0</v>
      </c>
      <c r="M346" s="38" t="s">
        <v>7047</v>
      </c>
      <c r="N346" s="30">
        <v>45839.0</v>
      </c>
      <c r="O346" s="30">
        <v>45930.0</v>
      </c>
      <c r="P346" s="39">
        <v>0.0</v>
      </c>
      <c r="Q346" s="39">
        <v>0.0</v>
      </c>
      <c r="R346" s="35" t="s">
        <v>7045</v>
      </c>
      <c r="S346" s="30">
        <v>45931.0</v>
      </c>
      <c r="T346" s="30">
        <v>46022.0</v>
      </c>
      <c r="U346" s="39">
        <v>0.0</v>
      </c>
      <c r="V346" s="39">
        <v>0.0</v>
      </c>
      <c r="W346" s="35" t="s">
        <v>7045</v>
      </c>
      <c r="X346" s="30">
        <v>46023.0</v>
      </c>
      <c r="Y346" s="30">
        <v>46112.0</v>
      </c>
      <c r="Z346" s="39">
        <v>0.0</v>
      </c>
      <c r="AA346" s="39">
        <v>0.0</v>
      </c>
      <c r="AB346" s="35" t="s">
        <v>7045</v>
      </c>
      <c r="AC346" s="30">
        <v>46113.0</v>
      </c>
      <c r="AD346" s="30">
        <v>46203.0</v>
      </c>
      <c r="AE346" s="39">
        <v>0.0</v>
      </c>
      <c r="AF346" s="39">
        <v>0.0</v>
      </c>
      <c r="AG346" s="35" t="s">
        <v>7045</v>
      </c>
      <c r="AH346" s="30">
        <v>46204.0</v>
      </c>
      <c r="AI346" s="30">
        <v>46295.0</v>
      </c>
      <c r="AJ346" s="39">
        <v>0.0</v>
      </c>
      <c r="AK346" s="39">
        <v>0.0</v>
      </c>
      <c r="AL346" s="35" t="s">
        <v>7045</v>
      </c>
      <c r="AM346" s="30">
        <v>46296.0</v>
      </c>
      <c r="AN346" s="30">
        <v>46387.0</v>
      </c>
      <c r="AO346" s="39">
        <v>0.0</v>
      </c>
      <c r="AP346" s="39">
        <v>0.0</v>
      </c>
      <c r="AQ346" s="35" t="s">
        <v>7045</v>
      </c>
      <c r="AR346" s="30">
        <v>46388.0</v>
      </c>
      <c r="AS346" s="30">
        <v>46477.0</v>
      </c>
      <c r="AT346" s="39">
        <v>0.0</v>
      </c>
      <c r="AU346" s="39">
        <v>0.0</v>
      </c>
      <c r="AV346" s="35" t="s">
        <v>7045</v>
      </c>
      <c r="AW346" s="30">
        <v>46478.0</v>
      </c>
      <c r="AX346" s="30">
        <v>46568.0</v>
      </c>
      <c r="AY346" s="39">
        <v>0.0</v>
      </c>
      <c r="AZ346" s="39">
        <v>0.0</v>
      </c>
      <c r="BA346" s="35" t="s">
        <v>7045</v>
      </c>
      <c r="BB346" s="30">
        <v>46569.0</v>
      </c>
      <c r="BC346" s="30">
        <v>46660.0</v>
      </c>
      <c r="BD346" s="39">
        <v>0.0</v>
      </c>
      <c r="BE346" s="39">
        <v>0.0</v>
      </c>
      <c r="BF346" s="35" t="s">
        <v>7045</v>
      </c>
      <c r="BG346" s="30">
        <v>46661.0</v>
      </c>
      <c r="BH346" s="30">
        <v>46752.0</v>
      </c>
      <c r="BI346" s="39">
        <v>0.0</v>
      </c>
      <c r="BJ346" s="39">
        <v>0.0</v>
      </c>
      <c r="BK346" s="35" t="s">
        <v>7045</v>
      </c>
      <c r="BL346" s="30">
        <v>46753.0</v>
      </c>
      <c r="BM346" s="30">
        <v>46843.0</v>
      </c>
      <c r="BN346" s="39">
        <v>0.0</v>
      </c>
      <c r="BO346" s="39">
        <v>0.0</v>
      </c>
      <c r="BP346" s="35" t="s">
        <v>7045</v>
      </c>
      <c r="BQ346" s="30">
        <v>46844.0</v>
      </c>
      <c r="BR346" s="30">
        <v>46934.0</v>
      </c>
      <c r="BS346" s="39">
        <v>0.0</v>
      </c>
      <c r="BT346" s="39">
        <v>0.0</v>
      </c>
      <c r="BU346" s="35" t="s">
        <v>7045</v>
      </c>
      <c r="BV346" s="30">
        <v>46935.0</v>
      </c>
      <c r="BW346" s="30">
        <v>47026.0</v>
      </c>
      <c r="BX346" s="39">
        <v>0.0</v>
      </c>
      <c r="BY346" s="39">
        <v>0.0</v>
      </c>
      <c r="BZ346" s="35" t="s">
        <v>7045</v>
      </c>
      <c r="CA346" s="30">
        <v>47027.0</v>
      </c>
      <c r="CB346" s="30">
        <v>47118.0</v>
      </c>
      <c r="CC346" s="39">
        <v>0.0</v>
      </c>
      <c r="CD346" s="39">
        <v>0.0</v>
      </c>
      <c r="CE346" s="35" t="s">
        <v>7045</v>
      </c>
      <c r="CF346" s="30">
        <v>47119.0</v>
      </c>
      <c r="CG346" s="30">
        <v>47208.0</v>
      </c>
      <c r="CH346" s="39">
        <v>0.0</v>
      </c>
      <c r="CI346" s="39">
        <v>0.0</v>
      </c>
      <c r="CJ346" s="35" t="s">
        <v>7045</v>
      </c>
      <c r="CK346" s="30">
        <v>47209.0</v>
      </c>
      <c r="CL346" s="30">
        <v>47299.0</v>
      </c>
      <c r="CM346" s="39">
        <v>0.0</v>
      </c>
      <c r="CN346" s="39">
        <v>0.0</v>
      </c>
      <c r="CO346" s="35" t="s">
        <v>7045</v>
      </c>
      <c r="CP346" s="30">
        <v>47300.0</v>
      </c>
      <c r="CQ346" s="30">
        <v>47391.0</v>
      </c>
      <c r="CR346" s="39">
        <v>0.0</v>
      </c>
      <c r="CS346" s="39">
        <v>0.0</v>
      </c>
      <c r="CT346" s="35" t="s">
        <v>7045</v>
      </c>
      <c r="CU346" s="30">
        <v>47392.0</v>
      </c>
      <c r="CV346" s="30">
        <v>47483.0</v>
      </c>
      <c r="CW346" s="39">
        <v>0.0</v>
      </c>
      <c r="CX346" s="39">
        <v>0.0</v>
      </c>
      <c r="CY346" s="35" t="s">
        <v>7045</v>
      </c>
      <c r="CZ346" s="30">
        <v>47484.0</v>
      </c>
      <c r="DA346" s="30">
        <v>47573.0</v>
      </c>
      <c r="DB346" s="39">
        <v>0.0</v>
      </c>
      <c r="DC346" s="39">
        <v>0.0</v>
      </c>
      <c r="DD346" s="35" t="s">
        <v>7045</v>
      </c>
      <c r="DE346" s="30">
        <v>47574.0</v>
      </c>
      <c r="DF346" s="30">
        <v>47664.0</v>
      </c>
      <c r="DG346" s="39">
        <v>0.0</v>
      </c>
      <c r="DH346" s="39">
        <v>0.0</v>
      </c>
      <c r="DI346" s="35" t="s">
        <v>7045</v>
      </c>
      <c r="DJ346" s="30">
        <v>47665.0</v>
      </c>
      <c r="DK346" s="30">
        <v>47756.0</v>
      </c>
      <c r="DL346" s="39">
        <v>0.0</v>
      </c>
      <c r="DM346" s="39">
        <v>0.0</v>
      </c>
      <c r="DN346" s="35" t="s">
        <v>7045</v>
      </c>
      <c r="DO346" s="30">
        <v>47757.0</v>
      </c>
      <c r="DP346" s="30">
        <v>47848.0</v>
      </c>
      <c r="DQ346" s="39">
        <v>0.0</v>
      </c>
      <c r="DR346" s="39">
        <v>0.0</v>
      </c>
      <c r="DS346" s="35" t="s">
        <v>7045</v>
      </c>
    </row>
    <row r="347" ht="14.25" customHeight="1">
      <c r="A347" s="28" t="s">
        <v>5838</v>
      </c>
      <c r="B347" s="29" t="s">
        <v>5839</v>
      </c>
      <c r="C347" s="29" t="s">
        <v>7041</v>
      </c>
      <c r="D347" s="30">
        <v>45658.0</v>
      </c>
      <c r="E347" s="30">
        <v>45747.0</v>
      </c>
      <c r="F347" s="39">
        <v>7.33</v>
      </c>
      <c r="G347" s="39">
        <v>0.0</v>
      </c>
      <c r="H347" s="38" t="s">
        <v>7047</v>
      </c>
      <c r="I347" s="30">
        <v>45748.0</v>
      </c>
      <c r="J347" s="30">
        <v>45838.0</v>
      </c>
      <c r="K347" s="39">
        <v>9.9</v>
      </c>
      <c r="L347" s="39">
        <v>283.33</v>
      </c>
      <c r="M347" s="32" t="s">
        <v>7043</v>
      </c>
      <c r="N347" s="30">
        <v>45839.0</v>
      </c>
      <c r="O347" s="30">
        <v>45930.0</v>
      </c>
      <c r="P347" s="39">
        <v>71.11</v>
      </c>
      <c r="Q347" s="39">
        <v>416.67</v>
      </c>
      <c r="R347" s="38" t="s">
        <v>7047</v>
      </c>
      <c r="S347" s="30">
        <v>45931.0</v>
      </c>
      <c r="T347" s="30">
        <v>46022.0</v>
      </c>
      <c r="U347" s="39">
        <v>35.31</v>
      </c>
      <c r="V347" s="39">
        <v>416.67</v>
      </c>
      <c r="W347" s="38" t="s">
        <v>7047</v>
      </c>
      <c r="X347" s="30">
        <v>46023.0</v>
      </c>
      <c r="Y347" s="30">
        <v>46112.0</v>
      </c>
      <c r="Z347" s="39">
        <v>0.0</v>
      </c>
      <c r="AA347" s="39">
        <v>0.0</v>
      </c>
      <c r="AB347" s="35" t="s">
        <v>7045</v>
      </c>
      <c r="AC347" s="30">
        <v>46113.0</v>
      </c>
      <c r="AD347" s="30">
        <v>46203.0</v>
      </c>
      <c r="AE347" s="39">
        <v>0.0</v>
      </c>
      <c r="AF347" s="39">
        <v>0.0</v>
      </c>
      <c r="AG347" s="35" t="s">
        <v>7045</v>
      </c>
      <c r="AH347" s="30">
        <v>46204.0</v>
      </c>
      <c r="AI347" s="30">
        <v>46295.0</v>
      </c>
      <c r="AJ347" s="39">
        <v>0.0</v>
      </c>
      <c r="AK347" s="39">
        <v>0.0</v>
      </c>
      <c r="AL347" s="35" t="s">
        <v>7045</v>
      </c>
      <c r="AM347" s="30">
        <v>46296.0</v>
      </c>
      <c r="AN347" s="30">
        <v>46387.0</v>
      </c>
      <c r="AO347" s="39">
        <v>0.0</v>
      </c>
      <c r="AP347" s="39">
        <v>0.0</v>
      </c>
      <c r="AQ347" s="35" t="s">
        <v>7045</v>
      </c>
      <c r="AR347" s="30">
        <v>46388.0</v>
      </c>
      <c r="AS347" s="30">
        <v>46477.0</v>
      </c>
      <c r="AT347" s="39">
        <v>0.0</v>
      </c>
      <c r="AU347" s="39">
        <v>0.0</v>
      </c>
      <c r="AV347" s="35" t="s">
        <v>7045</v>
      </c>
      <c r="AW347" s="30">
        <v>46478.0</v>
      </c>
      <c r="AX347" s="30">
        <v>46568.0</v>
      </c>
      <c r="AY347" s="39">
        <v>0.0</v>
      </c>
      <c r="AZ347" s="39">
        <v>0.0</v>
      </c>
      <c r="BA347" s="35" t="s">
        <v>7045</v>
      </c>
      <c r="BB347" s="30">
        <v>46569.0</v>
      </c>
      <c r="BC347" s="30">
        <v>46660.0</v>
      </c>
      <c r="BD347" s="39">
        <v>0.0</v>
      </c>
      <c r="BE347" s="39">
        <v>0.0</v>
      </c>
      <c r="BF347" s="35" t="s">
        <v>7045</v>
      </c>
      <c r="BG347" s="30">
        <v>46661.0</v>
      </c>
      <c r="BH347" s="30">
        <v>46752.0</v>
      </c>
      <c r="BI347" s="39">
        <v>0.0</v>
      </c>
      <c r="BJ347" s="39">
        <v>0.0</v>
      </c>
      <c r="BK347" s="35" t="s">
        <v>7045</v>
      </c>
      <c r="BL347" s="30">
        <v>46753.0</v>
      </c>
      <c r="BM347" s="30">
        <v>46843.0</v>
      </c>
      <c r="BN347" s="39">
        <v>0.0</v>
      </c>
      <c r="BO347" s="39">
        <v>0.0</v>
      </c>
      <c r="BP347" s="35" t="s">
        <v>7045</v>
      </c>
      <c r="BQ347" s="30">
        <v>46844.0</v>
      </c>
      <c r="BR347" s="30">
        <v>46934.0</v>
      </c>
      <c r="BS347" s="39">
        <v>0.0</v>
      </c>
      <c r="BT347" s="39">
        <v>0.0</v>
      </c>
      <c r="BU347" s="35" t="s">
        <v>7045</v>
      </c>
      <c r="BV347" s="30">
        <v>46935.0</v>
      </c>
      <c r="BW347" s="30">
        <v>47026.0</v>
      </c>
      <c r="BX347" s="39">
        <v>0.0</v>
      </c>
      <c r="BY347" s="39">
        <v>0.0</v>
      </c>
      <c r="BZ347" s="35" t="s">
        <v>7045</v>
      </c>
      <c r="CA347" s="30">
        <v>47027.0</v>
      </c>
      <c r="CB347" s="30">
        <v>47118.0</v>
      </c>
      <c r="CC347" s="39">
        <v>0.0</v>
      </c>
      <c r="CD347" s="39">
        <v>0.0</v>
      </c>
      <c r="CE347" s="35" t="s">
        <v>7045</v>
      </c>
      <c r="CF347" s="30">
        <v>47119.0</v>
      </c>
      <c r="CG347" s="30">
        <v>47208.0</v>
      </c>
      <c r="CH347" s="39">
        <v>0.0</v>
      </c>
      <c r="CI347" s="39">
        <v>0.0</v>
      </c>
      <c r="CJ347" s="35" t="s">
        <v>7045</v>
      </c>
      <c r="CK347" s="30">
        <v>47209.0</v>
      </c>
      <c r="CL347" s="30">
        <v>47299.0</v>
      </c>
      <c r="CM347" s="39">
        <v>0.0</v>
      </c>
      <c r="CN347" s="39">
        <v>0.0</v>
      </c>
      <c r="CO347" s="35" t="s">
        <v>7045</v>
      </c>
      <c r="CP347" s="30">
        <v>47300.0</v>
      </c>
      <c r="CQ347" s="30">
        <v>47391.0</v>
      </c>
      <c r="CR347" s="39">
        <v>0.0</v>
      </c>
      <c r="CS347" s="39">
        <v>0.0</v>
      </c>
      <c r="CT347" s="35" t="s">
        <v>7045</v>
      </c>
      <c r="CU347" s="30">
        <v>47392.0</v>
      </c>
      <c r="CV347" s="30">
        <v>47483.0</v>
      </c>
      <c r="CW347" s="39">
        <v>0.0</v>
      </c>
      <c r="CX347" s="39">
        <v>0.0</v>
      </c>
      <c r="CY347" s="35" t="s">
        <v>7045</v>
      </c>
      <c r="CZ347" s="30">
        <v>47484.0</v>
      </c>
      <c r="DA347" s="30">
        <v>47573.0</v>
      </c>
      <c r="DB347" s="39">
        <v>0.0</v>
      </c>
      <c r="DC347" s="39">
        <v>0.0</v>
      </c>
      <c r="DD347" s="35" t="s">
        <v>7045</v>
      </c>
      <c r="DE347" s="30">
        <v>47574.0</v>
      </c>
      <c r="DF347" s="30">
        <v>47664.0</v>
      </c>
      <c r="DG347" s="39">
        <v>0.0</v>
      </c>
      <c r="DH347" s="39">
        <v>0.0</v>
      </c>
      <c r="DI347" s="35" t="s">
        <v>7045</v>
      </c>
      <c r="DJ347" s="30">
        <v>47665.0</v>
      </c>
      <c r="DK347" s="30">
        <v>47756.0</v>
      </c>
      <c r="DL347" s="39">
        <v>0.0</v>
      </c>
      <c r="DM347" s="39">
        <v>0.0</v>
      </c>
      <c r="DN347" s="35" t="s">
        <v>7045</v>
      </c>
      <c r="DO347" s="30">
        <v>47757.0</v>
      </c>
      <c r="DP347" s="30">
        <v>47848.0</v>
      </c>
      <c r="DQ347" s="39">
        <v>0.0</v>
      </c>
      <c r="DR347" s="39">
        <v>0.0</v>
      </c>
      <c r="DS347" s="35" t="s">
        <v>7045</v>
      </c>
    </row>
    <row r="348" ht="14.25" customHeight="1">
      <c r="A348" s="28" t="s">
        <v>5880</v>
      </c>
      <c r="B348" s="29" t="s">
        <v>5881</v>
      </c>
      <c r="C348" s="29" t="s">
        <v>7041</v>
      </c>
      <c r="D348" s="30">
        <v>45658.0</v>
      </c>
      <c r="E348" s="30">
        <v>45747.0</v>
      </c>
      <c r="F348" s="39">
        <v>0.0</v>
      </c>
      <c r="G348" s="39">
        <v>0.0</v>
      </c>
      <c r="H348" s="35" t="s">
        <v>7045</v>
      </c>
      <c r="I348" s="30">
        <v>45748.0</v>
      </c>
      <c r="J348" s="30">
        <v>45838.0</v>
      </c>
      <c r="K348" s="39">
        <v>65.0</v>
      </c>
      <c r="L348" s="39">
        <v>150.94</v>
      </c>
      <c r="M348" s="38" t="s">
        <v>7046</v>
      </c>
      <c r="N348" s="30">
        <v>45839.0</v>
      </c>
      <c r="O348" s="30">
        <v>45930.0</v>
      </c>
      <c r="P348" s="39">
        <v>65.0</v>
      </c>
      <c r="Q348" s="39">
        <v>227.36</v>
      </c>
      <c r="R348" s="38" t="s">
        <v>7047</v>
      </c>
      <c r="S348" s="30">
        <v>45931.0</v>
      </c>
      <c r="T348" s="30">
        <v>46022.0</v>
      </c>
      <c r="U348" s="39">
        <v>0.0</v>
      </c>
      <c r="V348" s="39">
        <v>227.36</v>
      </c>
      <c r="W348" s="32" t="s">
        <v>7043</v>
      </c>
      <c r="X348" s="30">
        <v>46023.0</v>
      </c>
      <c r="Y348" s="30">
        <v>46112.0</v>
      </c>
      <c r="Z348" s="39">
        <v>0.0</v>
      </c>
      <c r="AA348" s="39">
        <v>0.0</v>
      </c>
      <c r="AB348" s="35" t="s">
        <v>7045</v>
      </c>
      <c r="AC348" s="30">
        <v>46113.0</v>
      </c>
      <c r="AD348" s="30">
        <v>46203.0</v>
      </c>
      <c r="AE348" s="39">
        <v>0.0</v>
      </c>
      <c r="AF348" s="39">
        <v>0.0</v>
      </c>
      <c r="AG348" s="35" t="s">
        <v>7045</v>
      </c>
      <c r="AH348" s="30">
        <v>46204.0</v>
      </c>
      <c r="AI348" s="30">
        <v>46295.0</v>
      </c>
      <c r="AJ348" s="39">
        <v>0.0</v>
      </c>
      <c r="AK348" s="39">
        <v>0.0</v>
      </c>
      <c r="AL348" s="35" t="s">
        <v>7045</v>
      </c>
      <c r="AM348" s="30">
        <v>46296.0</v>
      </c>
      <c r="AN348" s="30">
        <v>46387.0</v>
      </c>
      <c r="AO348" s="39">
        <v>0.0</v>
      </c>
      <c r="AP348" s="39">
        <v>0.0</v>
      </c>
      <c r="AQ348" s="35" t="s">
        <v>7045</v>
      </c>
      <c r="AR348" s="30">
        <v>46388.0</v>
      </c>
      <c r="AS348" s="30">
        <v>46477.0</v>
      </c>
      <c r="AT348" s="39">
        <v>0.0</v>
      </c>
      <c r="AU348" s="39">
        <v>0.0</v>
      </c>
      <c r="AV348" s="35" t="s">
        <v>7045</v>
      </c>
      <c r="AW348" s="30">
        <v>46478.0</v>
      </c>
      <c r="AX348" s="30">
        <v>46568.0</v>
      </c>
      <c r="AY348" s="39">
        <v>0.0</v>
      </c>
      <c r="AZ348" s="39">
        <v>0.0</v>
      </c>
      <c r="BA348" s="35" t="s">
        <v>7045</v>
      </c>
      <c r="BB348" s="30">
        <v>46569.0</v>
      </c>
      <c r="BC348" s="30">
        <v>46660.0</v>
      </c>
      <c r="BD348" s="39">
        <v>0.0</v>
      </c>
      <c r="BE348" s="39">
        <v>0.0</v>
      </c>
      <c r="BF348" s="35" t="s">
        <v>7045</v>
      </c>
      <c r="BG348" s="30">
        <v>46661.0</v>
      </c>
      <c r="BH348" s="30">
        <v>46752.0</v>
      </c>
      <c r="BI348" s="39">
        <v>0.0</v>
      </c>
      <c r="BJ348" s="39">
        <v>0.0</v>
      </c>
      <c r="BK348" s="35" t="s">
        <v>7045</v>
      </c>
      <c r="BL348" s="30">
        <v>46753.0</v>
      </c>
      <c r="BM348" s="30">
        <v>46843.0</v>
      </c>
      <c r="BN348" s="39">
        <v>0.0</v>
      </c>
      <c r="BO348" s="39">
        <v>0.0</v>
      </c>
      <c r="BP348" s="35" t="s">
        <v>7045</v>
      </c>
      <c r="BQ348" s="30">
        <v>46844.0</v>
      </c>
      <c r="BR348" s="30">
        <v>46934.0</v>
      </c>
      <c r="BS348" s="39">
        <v>0.0</v>
      </c>
      <c r="BT348" s="39">
        <v>0.0</v>
      </c>
      <c r="BU348" s="35" t="s">
        <v>7045</v>
      </c>
      <c r="BV348" s="30">
        <v>46935.0</v>
      </c>
      <c r="BW348" s="30">
        <v>47026.0</v>
      </c>
      <c r="BX348" s="39">
        <v>0.0</v>
      </c>
      <c r="BY348" s="39">
        <v>0.0</v>
      </c>
      <c r="BZ348" s="35" t="s">
        <v>7045</v>
      </c>
      <c r="CA348" s="30">
        <v>47027.0</v>
      </c>
      <c r="CB348" s="30">
        <v>47118.0</v>
      </c>
      <c r="CC348" s="39">
        <v>0.0</v>
      </c>
      <c r="CD348" s="39">
        <v>0.0</v>
      </c>
      <c r="CE348" s="35" t="s">
        <v>7045</v>
      </c>
      <c r="CF348" s="30">
        <v>47119.0</v>
      </c>
      <c r="CG348" s="30">
        <v>47208.0</v>
      </c>
      <c r="CH348" s="39">
        <v>0.0</v>
      </c>
      <c r="CI348" s="39">
        <v>0.0</v>
      </c>
      <c r="CJ348" s="35" t="s">
        <v>7045</v>
      </c>
      <c r="CK348" s="30">
        <v>47209.0</v>
      </c>
      <c r="CL348" s="30">
        <v>47299.0</v>
      </c>
      <c r="CM348" s="39">
        <v>0.0</v>
      </c>
      <c r="CN348" s="39">
        <v>0.0</v>
      </c>
      <c r="CO348" s="35" t="s">
        <v>7045</v>
      </c>
      <c r="CP348" s="30">
        <v>47300.0</v>
      </c>
      <c r="CQ348" s="30">
        <v>47391.0</v>
      </c>
      <c r="CR348" s="39">
        <v>0.0</v>
      </c>
      <c r="CS348" s="39">
        <v>0.0</v>
      </c>
      <c r="CT348" s="35" t="s">
        <v>7045</v>
      </c>
      <c r="CU348" s="30">
        <v>47392.0</v>
      </c>
      <c r="CV348" s="30">
        <v>47483.0</v>
      </c>
      <c r="CW348" s="39">
        <v>0.0</v>
      </c>
      <c r="CX348" s="39">
        <v>0.0</v>
      </c>
      <c r="CY348" s="35" t="s">
        <v>7045</v>
      </c>
      <c r="CZ348" s="30">
        <v>47484.0</v>
      </c>
      <c r="DA348" s="30">
        <v>47573.0</v>
      </c>
      <c r="DB348" s="39">
        <v>0.0</v>
      </c>
      <c r="DC348" s="39">
        <v>0.0</v>
      </c>
      <c r="DD348" s="35" t="s">
        <v>7045</v>
      </c>
      <c r="DE348" s="30">
        <v>47574.0</v>
      </c>
      <c r="DF348" s="30">
        <v>47664.0</v>
      </c>
      <c r="DG348" s="39">
        <v>0.0</v>
      </c>
      <c r="DH348" s="39">
        <v>0.0</v>
      </c>
      <c r="DI348" s="35" t="s">
        <v>7045</v>
      </c>
      <c r="DJ348" s="30">
        <v>47665.0</v>
      </c>
      <c r="DK348" s="30">
        <v>47756.0</v>
      </c>
      <c r="DL348" s="39">
        <v>0.0</v>
      </c>
      <c r="DM348" s="39">
        <v>0.0</v>
      </c>
      <c r="DN348" s="35" t="s">
        <v>7045</v>
      </c>
      <c r="DO348" s="30">
        <v>47757.0</v>
      </c>
      <c r="DP348" s="30">
        <v>47848.0</v>
      </c>
      <c r="DQ348" s="39">
        <v>0.0</v>
      </c>
      <c r="DR348" s="39">
        <v>0.0</v>
      </c>
      <c r="DS348" s="35" t="s">
        <v>7045</v>
      </c>
    </row>
    <row r="349" ht="14.25" customHeight="1">
      <c r="A349" s="28" t="s">
        <v>5893</v>
      </c>
      <c r="B349" s="29" t="s">
        <v>5894</v>
      </c>
      <c r="C349" s="29" t="s">
        <v>7041</v>
      </c>
      <c r="D349" s="30">
        <v>45658.0</v>
      </c>
      <c r="E349" s="30">
        <v>45747.0</v>
      </c>
      <c r="F349" s="36">
        <v>20.55</v>
      </c>
      <c r="G349" s="36">
        <v>0.0</v>
      </c>
      <c r="H349" s="38" t="s">
        <v>7047</v>
      </c>
      <c r="I349" s="30">
        <v>45748.0</v>
      </c>
      <c r="J349" s="30">
        <v>45838.0</v>
      </c>
      <c r="K349" s="36">
        <v>53.04</v>
      </c>
      <c r="L349" s="36">
        <v>387.66</v>
      </c>
      <c r="M349" s="32" t="s">
        <v>7043</v>
      </c>
      <c r="N349" s="30">
        <v>45839.0</v>
      </c>
      <c r="O349" s="30">
        <v>45930.0</v>
      </c>
      <c r="P349" s="36">
        <v>47.18</v>
      </c>
      <c r="Q349" s="36">
        <v>581.32</v>
      </c>
      <c r="R349" s="38" t="s">
        <v>7046</v>
      </c>
      <c r="S349" s="30">
        <v>45931.0</v>
      </c>
      <c r="T349" s="30">
        <v>46022.0</v>
      </c>
      <c r="U349" s="36">
        <v>44.9</v>
      </c>
      <c r="V349" s="36">
        <v>581.32</v>
      </c>
      <c r="W349" s="38" t="s">
        <v>7047</v>
      </c>
      <c r="X349" s="30">
        <v>46023.0</v>
      </c>
      <c r="Y349" s="30">
        <v>46112.0</v>
      </c>
      <c r="Z349" s="36">
        <v>66.61</v>
      </c>
      <c r="AA349" s="36">
        <v>0.0</v>
      </c>
      <c r="AB349" s="38" t="s">
        <v>7047</v>
      </c>
      <c r="AC349" s="30">
        <v>46113.0</v>
      </c>
      <c r="AD349" s="30">
        <v>46203.0</v>
      </c>
      <c r="AE349" s="36">
        <v>0.0</v>
      </c>
      <c r="AF349" s="36">
        <v>0.0</v>
      </c>
      <c r="AG349" s="35" t="s">
        <v>7045</v>
      </c>
      <c r="AH349" s="30">
        <v>46204.0</v>
      </c>
      <c r="AI349" s="30">
        <v>46295.0</v>
      </c>
      <c r="AJ349" s="36">
        <v>0.0</v>
      </c>
      <c r="AK349" s="36">
        <v>0.0</v>
      </c>
      <c r="AL349" s="35" t="s">
        <v>7045</v>
      </c>
      <c r="AM349" s="30">
        <v>46296.0</v>
      </c>
      <c r="AN349" s="30">
        <v>46387.0</v>
      </c>
      <c r="AO349" s="36">
        <v>0.0</v>
      </c>
      <c r="AP349" s="36">
        <v>0.0</v>
      </c>
      <c r="AQ349" s="35" t="s">
        <v>7045</v>
      </c>
      <c r="AR349" s="30">
        <v>46388.0</v>
      </c>
      <c r="AS349" s="30">
        <v>46477.0</v>
      </c>
      <c r="AT349" s="36">
        <v>0.0</v>
      </c>
      <c r="AU349" s="36">
        <v>0.0</v>
      </c>
      <c r="AV349" s="35" t="s">
        <v>7045</v>
      </c>
      <c r="AW349" s="30">
        <v>46478.0</v>
      </c>
      <c r="AX349" s="30">
        <v>46568.0</v>
      </c>
      <c r="AY349" s="36">
        <v>0.0</v>
      </c>
      <c r="AZ349" s="36">
        <v>0.0</v>
      </c>
      <c r="BA349" s="35" t="s">
        <v>7045</v>
      </c>
      <c r="BB349" s="30">
        <v>46569.0</v>
      </c>
      <c r="BC349" s="30">
        <v>46660.0</v>
      </c>
      <c r="BD349" s="36">
        <v>0.0</v>
      </c>
      <c r="BE349" s="36">
        <v>0.0</v>
      </c>
      <c r="BF349" s="35" t="s">
        <v>7045</v>
      </c>
      <c r="BG349" s="30">
        <v>46661.0</v>
      </c>
      <c r="BH349" s="30">
        <v>46752.0</v>
      </c>
      <c r="BI349" s="36">
        <v>0.0</v>
      </c>
      <c r="BJ349" s="36">
        <v>0.0</v>
      </c>
      <c r="BK349" s="35" t="s">
        <v>7045</v>
      </c>
      <c r="BL349" s="30">
        <v>46753.0</v>
      </c>
      <c r="BM349" s="30">
        <v>46843.0</v>
      </c>
      <c r="BN349" s="36">
        <v>0.0</v>
      </c>
      <c r="BO349" s="36">
        <v>0.0</v>
      </c>
      <c r="BP349" s="35" t="s">
        <v>7045</v>
      </c>
      <c r="BQ349" s="30">
        <v>46844.0</v>
      </c>
      <c r="BR349" s="30">
        <v>46934.0</v>
      </c>
      <c r="BS349" s="36">
        <v>0.0</v>
      </c>
      <c r="BT349" s="36">
        <v>0.0</v>
      </c>
      <c r="BU349" s="35" t="s">
        <v>7045</v>
      </c>
      <c r="BV349" s="30">
        <v>46935.0</v>
      </c>
      <c r="BW349" s="30">
        <v>47026.0</v>
      </c>
      <c r="BX349" s="36">
        <v>0.0</v>
      </c>
      <c r="BY349" s="36">
        <v>0.0</v>
      </c>
      <c r="BZ349" s="35" t="s">
        <v>7045</v>
      </c>
      <c r="CA349" s="30">
        <v>47027.0</v>
      </c>
      <c r="CB349" s="30">
        <v>47118.0</v>
      </c>
      <c r="CC349" s="36">
        <v>0.0</v>
      </c>
      <c r="CD349" s="36">
        <v>0.0</v>
      </c>
      <c r="CE349" s="35" t="s">
        <v>7045</v>
      </c>
      <c r="CF349" s="30">
        <v>47119.0</v>
      </c>
      <c r="CG349" s="30">
        <v>47208.0</v>
      </c>
      <c r="CH349" s="36">
        <v>0.0</v>
      </c>
      <c r="CI349" s="36">
        <v>0.0</v>
      </c>
      <c r="CJ349" s="35" t="s">
        <v>7045</v>
      </c>
      <c r="CK349" s="30">
        <v>47209.0</v>
      </c>
      <c r="CL349" s="30">
        <v>47299.0</v>
      </c>
      <c r="CM349" s="36">
        <v>0.0</v>
      </c>
      <c r="CN349" s="36">
        <v>0.0</v>
      </c>
      <c r="CO349" s="35" t="s">
        <v>7045</v>
      </c>
      <c r="CP349" s="30">
        <v>47300.0</v>
      </c>
      <c r="CQ349" s="30">
        <v>47391.0</v>
      </c>
      <c r="CR349" s="36">
        <v>0.0</v>
      </c>
      <c r="CS349" s="36">
        <v>0.0</v>
      </c>
      <c r="CT349" s="35" t="s">
        <v>7045</v>
      </c>
      <c r="CU349" s="30">
        <v>47392.0</v>
      </c>
      <c r="CV349" s="30">
        <v>47483.0</v>
      </c>
      <c r="CW349" s="36">
        <v>0.0</v>
      </c>
      <c r="CX349" s="36">
        <v>0.0</v>
      </c>
      <c r="CY349" s="35" t="s">
        <v>7045</v>
      </c>
      <c r="CZ349" s="30">
        <v>47484.0</v>
      </c>
      <c r="DA349" s="30">
        <v>47573.0</v>
      </c>
      <c r="DB349" s="36">
        <v>0.0</v>
      </c>
      <c r="DC349" s="36">
        <v>0.0</v>
      </c>
      <c r="DD349" s="35" t="s">
        <v>7045</v>
      </c>
      <c r="DE349" s="30">
        <v>47574.0</v>
      </c>
      <c r="DF349" s="30">
        <v>47664.0</v>
      </c>
      <c r="DG349" s="36">
        <v>0.0</v>
      </c>
      <c r="DH349" s="36">
        <v>0.0</v>
      </c>
      <c r="DI349" s="35" t="s">
        <v>7045</v>
      </c>
      <c r="DJ349" s="30">
        <v>47665.0</v>
      </c>
      <c r="DK349" s="30">
        <v>47756.0</v>
      </c>
      <c r="DL349" s="36">
        <v>0.0</v>
      </c>
      <c r="DM349" s="36">
        <v>0.0</v>
      </c>
      <c r="DN349" s="35" t="s">
        <v>7045</v>
      </c>
      <c r="DO349" s="30">
        <v>47757.0</v>
      </c>
      <c r="DP349" s="30">
        <v>47848.0</v>
      </c>
      <c r="DQ349" s="36">
        <v>0.0</v>
      </c>
      <c r="DR349" s="36">
        <v>0.0</v>
      </c>
      <c r="DS349" s="35" t="s">
        <v>7045</v>
      </c>
    </row>
    <row r="350" ht="14.25" customHeight="1">
      <c r="A350" s="28" t="s">
        <v>6006</v>
      </c>
      <c r="B350" s="29" t="s">
        <v>6007</v>
      </c>
      <c r="C350" s="29" t="s">
        <v>7041</v>
      </c>
      <c r="D350" s="30">
        <v>45658.0</v>
      </c>
      <c r="E350" s="30">
        <v>45747.0</v>
      </c>
      <c r="F350" s="39">
        <v>15.0</v>
      </c>
      <c r="G350" s="39">
        <v>0.0</v>
      </c>
      <c r="H350" s="38" t="s">
        <v>7047</v>
      </c>
      <c r="I350" s="30">
        <v>45748.0</v>
      </c>
      <c r="J350" s="30">
        <v>45838.0</v>
      </c>
      <c r="K350" s="39">
        <v>1.31</v>
      </c>
      <c r="L350" s="39">
        <v>0.0</v>
      </c>
      <c r="M350" s="38" t="s">
        <v>7047</v>
      </c>
      <c r="N350" s="30">
        <v>45839.0</v>
      </c>
      <c r="O350" s="30">
        <v>45930.0</v>
      </c>
      <c r="P350" s="39">
        <v>45.91</v>
      </c>
      <c r="Q350" s="39">
        <v>0.0</v>
      </c>
      <c r="R350" s="38" t="s">
        <v>7047</v>
      </c>
      <c r="S350" s="30">
        <v>45931.0</v>
      </c>
      <c r="T350" s="30">
        <v>46022.0</v>
      </c>
      <c r="U350" s="39">
        <v>415.39</v>
      </c>
      <c r="V350" s="39">
        <v>0.0</v>
      </c>
      <c r="W350" s="38" t="s">
        <v>7047</v>
      </c>
      <c r="X350" s="30">
        <v>46023.0</v>
      </c>
      <c r="Y350" s="30">
        <v>46112.0</v>
      </c>
      <c r="Z350" s="39">
        <v>190.0</v>
      </c>
      <c r="AA350" s="39">
        <v>0.0</v>
      </c>
      <c r="AB350" s="38" t="s">
        <v>7047</v>
      </c>
      <c r="AC350" s="30">
        <v>46113.0</v>
      </c>
      <c r="AD350" s="30">
        <v>46203.0</v>
      </c>
      <c r="AE350" s="39">
        <v>0.0</v>
      </c>
      <c r="AF350" s="39">
        <v>0.0</v>
      </c>
      <c r="AG350" s="35" t="s">
        <v>7045</v>
      </c>
      <c r="AH350" s="30">
        <v>46204.0</v>
      </c>
      <c r="AI350" s="30">
        <v>46295.0</v>
      </c>
      <c r="AJ350" s="39">
        <v>0.0</v>
      </c>
      <c r="AK350" s="39">
        <v>0.0</v>
      </c>
      <c r="AL350" s="35" t="s">
        <v>7045</v>
      </c>
      <c r="AM350" s="30">
        <v>46296.0</v>
      </c>
      <c r="AN350" s="30">
        <v>46387.0</v>
      </c>
      <c r="AO350" s="39">
        <v>0.0</v>
      </c>
      <c r="AP350" s="39">
        <v>0.0</v>
      </c>
      <c r="AQ350" s="35" t="s">
        <v>7045</v>
      </c>
      <c r="AR350" s="30">
        <v>46388.0</v>
      </c>
      <c r="AS350" s="30">
        <v>46477.0</v>
      </c>
      <c r="AT350" s="39">
        <v>0.0</v>
      </c>
      <c r="AU350" s="39">
        <v>0.0</v>
      </c>
      <c r="AV350" s="35" t="s">
        <v>7045</v>
      </c>
      <c r="AW350" s="30">
        <v>46478.0</v>
      </c>
      <c r="AX350" s="30">
        <v>46568.0</v>
      </c>
      <c r="AY350" s="39">
        <v>0.0</v>
      </c>
      <c r="AZ350" s="39">
        <v>0.0</v>
      </c>
      <c r="BA350" s="35" t="s">
        <v>7045</v>
      </c>
      <c r="BB350" s="30">
        <v>46569.0</v>
      </c>
      <c r="BC350" s="30">
        <v>46660.0</v>
      </c>
      <c r="BD350" s="39">
        <v>0.0</v>
      </c>
      <c r="BE350" s="39">
        <v>0.0</v>
      </c>
      <c r="BF350" s="35" t="s">
        <v>7045</v>
      </c>
      <c r="BG350" s="30">
        <v>46661.0</v>
      </c>
      <c r="BH350" s="30">
        <v>46752.0</v>
      </c>
      <c r="BI350" s="39">
        <v>0.0</v>
      </c>
      <c r="BJ350" s="39">
        <v>0.0</v>
      </c>
      <c r="BK350" s="35" t="s">
        <v>7045</v>
      </c>
      <c r="BL350" s="30">
        <v>46753.0</v>
      </c>
      <c r="BM350" s="30">
        <v>46843.0</v>
      </c>
      <c r="BN350" s="39">
        <v>0.0</v>
      </c>
      <c r="BO350" s="39">
        <v>0.0</v>
      </c>
      <c r="BP350" s="35" t="s">
        <v>7045</v>
      </c>
      <c r="BQ350" s="30">
        <v>46844.0</v>
      </c>
      <c r="BR350" s="30">
        <v>46934.0</v>
      </c>
      <c r="BS350" s="39">
        <v>0.0</v>
      </c>
      <c r="BT350" s="39">
        <v>0.0</v>
      </c>
      <c r="BU350" s="35" t="s">
        <v>7045</v>
      </c>
      <c r="BV350" s="30">
        <v>46935.0</v>
      </c>
      <c r="BW350" s="30">
        <v>47026.0</v>
      </c>
      <c r="BX350" s="39">
        <v>0.0</v>
      </c>
      <c r="BY350" s="39">
        <v>0.0</v>
      </c>
      <c r="BZ350" s="35" t="s">
        <v>7045</v>
      </c>
      <c r="CA350" s="30">
        <v>47027.0</v>
      </c>
      <c r="CB350" s="30">
        <v>47118.0</v>
      </c>
      <c r="CC350" s="39">
        <v>0.0</v>
      </c>
      <c r="CD350" s="39">
        <v>0.0</v>
      </c>
      <c r="CE350" s="35" t="s">
        <v>7045</v>
      </c>
      <c r="CF350" s="30">
        <v>47119.0</v>
      </c>
      <c r="CG350" s="30">
        <v>47208.0</v>
      </c>
      <c r="CH350" s="39">
        <v>0.0</v>
      </c>
      <c r="CI350" s="39">
        <v>0.0</v>
      </c>
      <c r="CJ350" s="35" t="s">
        <v>7045</v>
      </c>
      <c r="CK350" s="30">
        <v>47209.0</v>
      </c>
      <c r="CL350" s="30">
        <v>47299.0</v>
      </c>
      <c r="CM350" s="39">
        <v>0.0</v>
      </c>
      <c r="CN350" s="39">
        <v>0.0</v>
      </c>
      <c r="CO350" s="35" t="s">
        <v>7045</v>
      </c>
      <c r="CP350" s="30">
        <v>47300.0</v>
      </c>
      <c r="CQ350" s="30">
        <v>47391.0</v>
      </c>
      <c r="CR350" s="39">
        <v>0.0</v>
      </c>
      <c r="CS350" s="39">
        <v>0.0</v>
      </c>
      <c r="CT350" s="35" t="s">
        <v>7045</v>
      </c>
      <c r="CU350" s="30">
        <v>47392.0</v>
      </c>
      <c r="CV350" s="30">
        <v>47483.0</v>
      </c>
      <c r="CW350" s="39">
        <v>0.0</v>
      </c>
      <c r="CX350" s="39">
        <v>0.0</v>
      </c>
      <c r="CY350" s="35" t="s">
        <v>7045</v>
      </c>
      <c r="CZ350" s="30">
        <v>47484.0</v>
      </c>
      <c r="DA350" s="30">
        <v>47573.0</v>
      </c>
      <c r="DB350" s="39">
        <v>0.0</v>
      </c>
      <c r="DC350" s="39">
        <v>0.0</v>
      </c>
      <c r="DD350" s="35" t="s">
        <v>7045</v>
      </c>
      <c r="DE350" s="30">
        <v>47574.0</v>
      </c>
      <c r="DF350" s="30">
        <v>47664.0</v>
      </c>
      <c r="DG350" s="39">
        <v>0.0</v>
      </c>
      <c r="DH350" s="39">
        <v>0.0</v>
      </c>
      <c r="DI350" s="35" t="s">
        <v>7045</v>
      </c>
      <c r="DJ350" s="30">
        <v>47665.0</v>
      </c>
      <c r="DK350" s="30">
        <v>47756.0</v>
      </c>
      <c r="DL350" s="39">
        <v>0.0</v>
      </c>
      <c r="DM350" s="39">
        <v>0.0</v>
      </c>
      <c r="DN350" s="35" t="s">
        <v>7045</v>
      </c>
      <c r="DO350" s="30">
        <v>47757.0</v>
      </c>
      <c r="DP350" s="30">
        <v>47848.0</v>
      </c>
      <c r="DQ350" s="39">
        <v>0.0</v>
      </c>
      <c r="DR350" s="39">
        <v>0.0</v>
      </c>
      <c r="DS350" s="35" t="s">
        <v>7045</v>
      </c>
    </row>
    <row r="351" ht="14.25" customHeight="1">
      <c r="A351" s="28" t="s">
        <v>6035</v>
      </c>
      <c r="B351" s="29" t="s">
        <v>6036</v>
      </c>
      <c r="C351" s="29" t="s">
        <v>7041</v>
      </c>
      <c r="D351" s="30">
        <v>45658.0</v>
      </c>
      <c r="E351" s="30">
        <v>45747.0</v>
      </c>
      <c r="F351" s="39">
        <v>8.05</v>
      </c>
      <c r="G351" s="39">
        <v>0.0</v>
      </c>
      <c r="H351" s="38" t="s">
        <v>7047</v>
      </c>
      <c r="I351" s="30">
        <v>45748.0</v>
      </c>
      <c r="J351" s="30">
        <v>45838.0</v>
      </c>
      <c r="K351" s="39">
        <v>3.83</v>
      </c>
      <c r="L351" s="39">
        <v>609.67</v>
      </c>
      <c r="M351" s="38" t="s">
        <v>7043</v>
      </c>
      <c r="N351" s="30">
        <v>45839.0</v>
      </c>
      <c r="O351" s="30">
        <v>45930.0</v>
      </c>
      <c r="P351" s="39">
        <v>304.7</v>
      </c>
      <c r="Q351" s="39">
        <v>566.67</v>
      </c>
      <c r="R351" s="38" t="s">
        <v>7047</v>
      </c>
      <c r="S351" s="30">
        <v>45931.0</v>
      </c>
      <c r="T351" s="30">
        <v>46022.0</v>
      </c>
      <c r="U351" s="39">
        <v>550.44</v>
      </c>
      <c r="V351" s="39">
        <v>597.0</v>
      </c>
      <c r="W351" s="38" t="s">
        <v>7047</v>
      </c>
      <c r="X351" s="30">
        <v>46023.0</v>
      </c>
      <c r="Y351" s="30">
        <v>46112.0</v>
      </c>
      <c r="Z351" s="39">
        <v>80.0</v>
      </c>
      <c r="AA351" s="39">
        <v>0.0</v>
      </c>
      <c r="AB351" s="38" t="s">
        <v>7047</v>
      </c>
      <c r="AC351" s="30">
        <v>46113.0</v>
      </c>
      <c r="AD351" s="30">
        <v>46203.0</v>
      </c>
      <c r="AE351" s="39">
        <v>0.0</v>
      </c>
      <c r="AF351" s="39">
        <v>0.0</v>
      </c>
      <c r="AG351" s="35" t="s">
        <v>7045</v>
      </c>
      <c r="AH351" s="30">
        <v>46204.0</v>
      </c>
      <c r="AI351" s="30">
        <v>46295.0</v>
      </c>
      <c r="AJ351" s="39">
        <v>0.0</v>
      </c>
      <c r="AK351" s="39">
        <v>0.0</v>
      </c>
      <c r="AL351" s="35" t="s">
        <v>7045</v>
      </c>
      <c r="AM351" s="30">
        <v>46296.0</v>
      </c>
      <c r="AN351" s="30">
        <v>46387.0</v>
      </c>
      <c r="AO351" s="39">
        <v>0.0</v>
      </c>
      <c r="AP351" s="39">
        <v>0.0</v>
      </c>
      <c r="AQ351" s="35" t="s">
        <v>7045</v>
      </c>
      <c r="AR351" s="30">
        <v>46388.0</v>
      </c>
      <c r="AS351" s="30">
        <v>46477.0</v>
      </c>
      <c r="AT351" s="39">
        <v>0.0</v>
      </c>
      <c r="AU351" s="39">
        <v>0.0</v>
      </c>
      <c r="AV351" s="35" t="s">
        <v>7045</v>
      </c>
      <c r="AW351" s="30">
        <v>46478.0</v>
      </c>
      <c r="AX351" s="30">
        <v>46568.0</v>
      </c>
      <c r="AY351" s="39">
        <v>0.0</v>
      </c>
      <c r="AZ351" s="39">
        <v>0.0</v>
      </c>
      <c r="BA351" s="35" t="s">
        <v>7045</v>
      </c>
      <c r="BB351" s="30">
        <v>46569.0</v>
      </c>
      <c r="BC351" s="30">
        <v>46660.0</v>
      </c>
      <c r="BD351" s="39">
        <v>0.0</v>
      </c>
      <c r="BE351" s="39">
        <v>0.0</v>
      </c>
      <c r="BF351" s="35" t="s">
        <v>7045</v>
      </c>
      <c r="BG351" s="30">
        <v>46661.0</v>
      </c>
      <c r="BH351" s="30">
        <v>46752.0</v>
      </c>
      <c r="BI351" s="39">
        <v>0.0</v>
      </c>
      <c r="BJ351" s="39">
        <v>0.0</v>
      </c>
      <c r="BK351" s="35" t="s">
        <v>7045</v>
      </c>
      <c r="BL351" s="30">
        <v>46753.0</v>
      </c>
      <c r="BM351" s="30">
        <v>46843.0</v>
      </c>
      <c r="BN351" s="39">
        <v>0.0</v>
      </c>
      <c r="BO351" s="39">
        <v>0.0</v>
      </c>
      <c r="BP351" s="35" t="s">
        <v>7045</v>
      </c>
      <c r="BQ351" s="30">
        <v>46844.0</v>
      </c>
      <c r="BR351" s="30">
        <v>46934.0</v>
      </c>
      <c r="BS351" s="39">
        <v>0.0</v>
      </c>
      <c r="BT351" s="39">
        <v>0.0</v>
      </c>
      <c r="BU351" s="35" t="s">
        <v>7045</v>
      </c>
      <c r="BV351" s="30">
        <v>46935.0</v>
      </c>
      <c r="BW351" s="30">
        <v>47026.0</v>
      </c>
      <c r="BX351" s="39">
        <v>0.0</v>
      </c>
      <c r="BY351" s="39">
        <v>0.0</v>
      </c>
      <c r="BZ351" s="35" t="s">
        <v>7045</v>
      </c>
      <c r="CA351" s="30">
        <v>47027.0</v>
      </c>
      <c r="CB351" s="30">
        <v>47118.0</v>
      </c>
      <c r="CC351" s="39">
        <v>0.0</v>
      </c>
      <c r="CD351" s="39">
        <v>0.0</v>
      </c>
      <c r="CE351" s="35" t="s">
        <v>7045</v>
      </c>
      <c r="CF351" s="30">
        <v>47119.0</v>
      </c>
      <c r="CG351" s="30">
        <v>47208.0</v>
      </c>
      <c r="CH351" s="39">
        <v>0.0</v>
      </c>
      <c r="CI351" s="39">
        <v>0.0</v>
      </c>
      <c r="CJ351" s="35" t="s">
        <v>7045</v>
      </c>
      <c r="CK351" s="30">
        <v>47209.0</v>
      </c>
      <c r="CL351" s="30">
        <v>47299.0</v>
      </c>
      <c r="CM351" s="39">
        <v>0.0</v>
      </c>
      <c r="CN351" s="39">
        <v>0.0</v>
      </c>
      <c r="CO351" s="35" t="s">
        <v>7045</v>
      </c>
      <c r="CP351" s="30">
        <v>47300.0</v>
      </c>
      <c r="CQ351" s="30">
        <v>47391.0</v>
      </c>
      <c r="CR351" s="39">
        <v>0.0</v>
      </c>
      <c r="CS351" s="39">
        <v>0.0</v>
      </c>
      <c r="CT351" s="35" t="s">
        <v>7045</v>
      </c>
      <c r="CU351" s="30">
        <v>47392.0</v>
      </c>
      <c r="CV351" s="30">
        <v>47483.0</v>
      </c>
      <c r="CW351" s="39">
        <v>0.0</v>
      </c>
      <c r="CX351" s="39">
        <v>0.0</v>
      </c>
      <c r="CY351" s="35" t="s">
        <v>7045</v>
      </c>
      <c r="CZ351" s="30">
        <v>47484.0</v>
      </c>
      <c r="DA351" s="30">
        <v>47573.0</v>
      </c>
      <c r="DB351" s="39">
        <v>0.0</v>
      </c>
      <c r="DC351" s="39">
        <v>0.0</v>
      </c>
      <c r="DD351" s="35" t="s">
        <v>7045</v>
      </c>
      <c r="DE351" s="30">
        <v>47574.0</v>
      </c>
      <c r="DF351" s="30">
        <v>47664.0</v>
      </c>
      <c r="DG351" s="39">
        <v>0.0</v>
      </c>
      <c r="DH351" s="39">
        <v>0.0</v>
      </c>
      <c r="DI351" s="35" t="s">
        <v>7045</v>
      </c>
      <c r="DJ351" s="30">
        <v>47665.0</v>
      </c>
      <c r="DK351" s="30">
        <v>47756.0</v>
      </c>
      <c r="DL351" s="39">
        <v>0.0</v>
      </c>
      <c r="DM351" s="39">
        <v>0.0</v>
      </c>
      <c r="DN351" s="35" t="s">
        <v>7045</v>
      </c>
      <c r="DO351" s="30">
        <v>47757.0</v>
      </c>
      <c r="DP351" s="30">
        <v>47848.0</v>
      </c>
      <c r="DQ351" s="39">
        <v>0.0</v>
      </c>
      <c r="DR351" s="39">
        <v>0.0</v>
      </c>
      <c r="DS351" s="35" t="s">
        <v>7045</v>
      </c>
    </row>
    <row r="352" ht="14.25" customHeight="1">
      <c r="A352" s="28" t="s">
        <v>6068</v>
      </c>
      <c r="B352" s="29" t="s">
        <v>6069</v>
      </c>
      <c r="C352" s="29" t="s">
        <v>7041</v>
      </c>
      <c r="D352" s="30">
        <v>45658.0</v>
      </c>
      <c r="E352" s="30">
        <v>45747.0</v>
      </c>
      <c r="F352" s="36">
        <v>28.58</v>
      </c>
      <c r="G352" s="36">
        <v>0.0</v>
      </c>
      <c r="H352" s="38" t="s">
        <v>7047</v>
      </c>
      <c r="I352" s="30">
        <v>45748.0</v>
      </c>
      <c r="J352" s="30">
        <v>45838.0</v>
      </c>
      <c r="K352" s="36">
        <v>56.74</v>
      </c>
      <c r="L352" s="36">
        <v>625.0</v>
      </c>
      <c r="M352" s="38" t="s">
        <v>7043</v>
      </c>
      <c r="N352" s="30">
        <v>45839.0</v>
      </c>
      <c r="O352" s="30">
        <v>45930.0</v>
      </c>
      <c r="P352" s="36">
        <v>145.92</v>
      </c>
      <c r="Q352" s="36">
        <v>625.0</v>
      </c>
      <c r="R352" s="38" t="s">
        <v>7047</v>
      </c>
      <c r="S352" s="30">
        <v>45931.0</v>
      </c>
      <c r="T352" s="30">
        <v>46022.0</v>
      </c>
      <c r="U352" s="36">
        <v>490.63</v>
      </c>
      <c r="V352" s="36">
        <v>625.0</v>
      </c>
      <c r="W352" s="38" t="s">
        <v>7047</v>
      </c>
      <c r="X352" s="30">
        <v>46023.0</v>
      </c>
      <c r="Y352" s="30">
        <v>46112.0</v>
      </c>
      <c r="Z352" s="36">
        <v>343.61</v>
      </c>
      <c r="AA352" s="36">
        <v>0.0</v>
      </c>
      <c r="AB352" s="38" t="s">
        <v>7047</v>
      </c>
      <c r="AC352" s="30">
        <v>46113.0</v>
      </c>
      <c r="AD352" s="30">
        <v>46203.0</v>
      </c>
      <c r="AE352" s="36">
        <v>4.83</v>
      </c>
      <c r="AF352" s="36">
        <v>0.0</v>
      </c>
      <c r="AG352" s="38" t="s">
        <v>7047</v>
      </c>
      <c r="AH352" s="30">
        <v>46204.0</v>
      </c>
      <c r="AI352" s="30">
        <v>46295.0</v>
      </c>
      <c r="AJ352" s="36">
        <v>710.99</v>
      </c>
      <c r="AK352" s="36">
        <v>0.0</v>
      </c>
      <c r="AL352" s="38" t="s">
        <v>7047</v>
      </c>
      <c r="AM352" s="30">
        <v>46296.0</v>
      </c>
      <c r="AN352" s="30">
        <v>46387.0</v>
      </c>
      <c r="AO352" s="36">
        <v>0.0</v>
      </c>
      <c r="AP352" s="36">
        <v>0.0</v>
      </c>
      <c r="AQ352" s="35" t="s">
        <v>7045</v>
      </c>
      <c r="AR352" s="30">
        <v>46388.0</v>
      </c>
      <c r="AS352" s="30">
        <v>46477.0</v>
      </c>
      <c r="AT352" s="36">
        <v>0.0</v>
      </c>
      <c r="AU352" s="36">
        <v>0.0</v>
      </c>
      <c r="AV352" s="35" t="s">
        <v>7045</v>
      </c>
      <c r="AW352" s="30">
        <v>46478.0</v>
      </c>
      <c r="AX352" s="30">
        <v>46568.0</v>
      </c>
      <c r="AY352" s="36">
        <v>0.0</v>
      </c>
      <c r="AZ352" s="36">
        <v>0.0</v>
      </c>
      <c r="BA352" s="35" t="s">
        <v>7045</v>
      </c>
      <c r="BB352" s="30">
        <v>46569.0</v>
      </c>
      <c r="BC352" s="30">
        <v>46660.0</v>
      </c>
      <c r="BD352" s="36">
        <v>0.0</v>
      </c>
      <c r="BE352" s="36">
        <v>0.0</v>
      </c>
      <c r="BF352" s="35" t="s">
        <v>7045</v>
      </c>
      <c r="BG352" s="30">
        <v>46661.0</v>
      </c>
      <c r="BH352" s="30">
        <v>46752.0</v>
      </c>
      <c r="BI352" s="36">
        <v>0.0</v>
      </c>
      <c r="BJ352" s="36">
        <v>0.0</v>
      </c>
      <c r="BK352" s="35" t="s">
        <v>7045</v>
      </c>
      <c r="BL352" s="30">
        <v>46753.0</v>
      </c>
      <c r="BM352" s="30">
        <v>46843.0</v>
      </c>
      <c r="BN352" s="36">
        <v>0.0</v>
      </c>
      <c r="BO352" s="36">
        <v>0.0</v>
      </c>
      <c r="BP352" s="35" t="s">
        <v>7045</v>
      </c>
      <c r="BQ352" s="30">
        <v>46844.0</v>
      </c>
      <c r="BR352" s="30">
        <v>46934.0</v>
      </c>
      <c r="BS352" s="36">
        <v>0.0</v>
      </c>
      <c r="BT352" s="36">
        <v>0.0</v>
      </c>
      <c r="BU352" s="35" t="s">
        <v>7045</v>
      </c>
      <c r="BV352" s="30">
        <v>46935.0</v>
      </c>
      <c r="BW352" s="30">
        <v>47026.0</v>
      </c>
      <c r="BX352" s="36">
        <v>0.0</v>
      </c>
      <c r="BY352" s="36">
        <v>0.0</v>
      </c>
      <c r="BZ352" s="35" t="s">
        <v>7045</v>
      </c>
      <c r="CA352" s="30">
        <v>47027.0</v>
      </c>
      <c r="CB352" s="30">
        <v>47118.0</v>
      </c>
      <c r="CC352" s="36">
        <v>0.0</v>
      </c>
      <c r="CD352" s="36">
        <v>0.0</v>
      </c>
      <c r="CE352" s="35" t="s">
        <v>7045</v>
      </c>
      <c r="CF352" s="30">
        <v>47119.0</v>
      </c>
      <c r="CG352" s="30">
        <v>47208.0</v>
      </c>
      <c r="CH352" s="36">
        <v>0.0</v>
      </c>
      <c r="CI352" s="36">
        <v>0.0</v>
      </c>
      <c r="CJ352" s="35" t="s">
        <v>7045</v>
      </c>
      <c r="CK352" s="30">
        <v>47209.0</v>
      </c>
      <c r="CL352" s="30">
        <v>47299.0</v>
      </c>
      <c r="CM352" s="36">
        <v>0.0</v>
      </c>
      <c r="CN352" s="36">
        <v>0.0</v>
      </c>
      <c r="CO352" s="35" t="s">
        <v>7045</v>
      </c>
      <c r="CP352" s="30">
        <v>47300.0</v>
      </c>
      <c r="CQ352" s="30">
        <v>47391.0</v>
      </c>
      <c r="CR352" s="36">
        <v>0.0</v>
      </c>
      <c r="CS352" s="36">
        <v>0.0</v>
      </c>
      <c r="CT352" s="35" t="s">
        <v>7045</v>
      </c>
      <c r="CU352" s="30">
        <v>47392.0</v>
      </c>
      <c r="CV352" s="30">
        <v>47483.0</v>
      </c>
      <c r="CW352" s="36">
        <v>0.0</v>
      </c>
      <c r="CX352" s="36">
        <v>0.0</v>
      </c>
      <c r="CY352" s="35" t="s">
        <v>7045</v>
      </c>
      <c r="CZ352" s="30">
        <v>47484.0</v>
      </c>
      <c r="DA352" s="30">
        <v>47573.0</v>
      </c>
      <c r="DB352" s="36">
        <v>0.0</v>
      </c>
      <c r="DC352" s="36">
        <v>0.0</v>
      </c>
      <c r="DD352" s="35" t="s">
        <v>7045</v>
      </c>
      <c r="DE352" s="30">
        <v>47574.0</v>
      </c>
      <c r="DF352" s="30">
        <v>47664.0</v>
      </c>
      <c r="DG352" s="36">
        <v>0.0</v>
      </c>
      <c r="DH352" s="36">
        <v>0.0</v>
      </c>
      <c r="DI352" s="35" t="s">
        <v>7045</v>
      </c>
      <c r="DJ352" s="30">
        <v>47665.0</v>
      </c>
      <c r="DK352" s="30">
        <v>47756.0</v>
      </c>
      <c r="DL352" s="36">
        <v>0.0</v>
      </c>
      <c r="DM352" s="36">
        <v>0.0</v>
      </c>
      <c r="DN352" s="35" t="s">
        <v>7045</v>
      </c>
      <c r="DO352" s="30">
        <v>47757.0</v>
      </c>
      <c r="DP352" s="30">
        <v>47848.0</v>
      </c>
      <c r="DQ352" s="36">
        <v>0.0</v>
      </c>
      <c r="DR352" s="36">
        <v>0.0</v>
      </c>
      <c r="DS352" s="35" t="s">
        <v>7045</v>
      </c>
    </row>
    <row r="353" ht="14.25" customHeight="1">
      <c r="A353" s="28" t="s">
        <v>6125</v>
      </c>
      <c r="B353" s="29" t="s">
        <v>6126</v>
      </c>
      <c r="C353" s="29" t="s">
        <v>7041</v>
      </c>
      <c r="D353" s="30">
        <v>45658.0</v>
      </c>
      <c r="E353" s="30">
        <v>45747.0</v>
      </c>
      <c r="F353" s="39">
        <v>3.0</v>
      </c>
      <c r="G353" s="39">
        <v>0.0</v>
      </c>
      <c r="H353" s="38" t="s">
        <v>7047</v>
      </c>
      <c r="I353" s="30">
        <v>45748.0</v>
      </c>
      <c r="J353" s="30">
        <v>45838.0</v>
      </c>
      <c r="K353" s="39">
        <v>76.92</v>
      </c>
      <c r="L353" s="39">
        <v>94.74</v>
      </c>
      <c r="M353" s="38" t="s">
        <v>7047</v>
      </c>
      <c r="N353" s="30">
        <v>45839.0</v>
      </c>
      <c r="O353" s="30">
        <v>45930.0</v>
      </c>
      <c r="P353" s="39">
        <v>143.02</v>
      </c>
      <c r="Q353" s="39">
        <v>76.32</v>
      </c>
      <c r="R353" s="38" t="s">
        <v>7047</v>
      </c>
      <c r="S353" s="30">
        <v>45931.0</v>
      </c>
      <c r="T353" s="30">
        <v>46022.0</v>
      </c>
      <c r="U353" s="39">
        <v>49.0</v>
      </c>
      <c r="V353" s="39">
        <v>96.05</v>
      </c>
      <c r="W353" s="38" t="s">
        <v>7047</v>
      </c>
      <c r="X353" s="30">
        <v>46023.0</v>
      </c>
      <c r="Y353" s="30">
        <v>46112.0</v>
      </c>
      <c r="Z353" s="39">
        <v>132.0</v>
      </c>
      <c r="AA353" s="39">
        <v>0.0</v>
      </c>
      <c r="AB353" s="38" t="s">
        <v>7047</v>
      </c>
      <c r="AC353" s="30">
        <v>46113.0</v>
      </c>
      <c r="AD353" s="30">
        <v>46203.0</v>
      </c>
      <c r="AE353" s="39">
        <v>0.0</v>
      </c>
      <c r="AF353" s="39">
        <v>0.0</v>
      </c>
      <c r="AG353" s="35" t="s">
        <v>7045</v>
      </c>
      <c r="AH353" s="30">
        <v>46204.0</v>
      </c>
      <c r="AI353" s="30">
        <v>46295.0</v>
      </c>
      <c r="AJ353" s="39">
        <v>0.0</v>
      </c>
      <c r="AK353" s="39">
        <v>0.0</v>
      </c>
      <c r="AL353" s="35" t="s">
        <v>7045</v>
      </c>
      <c r="AM353" s="30">
        <v>46296.0</v>
      </c>
      <c r="AN353" s="30">
        <v>46387.0</v>
      </c>
      <c r="AO353" s="39">
        <v>0.0</v>
      </c>
      <c r="AP353" s="39">
        <v>0.0</v>
      </c>
      <c r="AQ353" s="35" t="s">
        <v>7045</v>
      </c>
      <c r="AR353" s="30">
        <v>46388.0</v>
      </c>
      <c r="AS353" s="30">
        <v>46477.0</v>
      </c>
      <c r="AT353" s="39">
        <v>0.0</v>
      </c>
      <c r="AU353" s="39">
        <v>0.0</v>
      </c>
      <c r="AV353" s="35" t="s">
        <v>7045</v>
      </c>
      <c r="AW353" s="30">
        <v>46478.0</v>
      </c>
      <c r="AX353" s="30">
        <v>46568.0</v>
      </c>
      <c r="AY353" s="39">
        <v>0.0</v>
      </c>
      <c r="AZ353" s="39">
        <v>0.0</v>
      </c>
      <c r="BA353" s="35" t="s">
        <v>7045</v>
      </c>
      <c r="BB353" s="30">
        <v>46569.0</v>
      </c>
      <c r="BC353" s="30">
        <v>46660.0</v>
      </c>
      <c r="BD353" s="39">
        <v>0.0</v>
      </c>
      <c r="BE353" s="39">
        <v>0.0</v>
      </c>
      <c r="BF353" s="35" t="s">
        <v>7045</v>
      </c>
      <c r="BG353" s="30">
        <v>46661.0</v>
      </c>
      <c r="BH353" s="30">
        <v>46752.0</v>
      </c>
      <c r="BI353" s="39">
        <v>0.0</v>
      </c>
      <c r="BJ353" s="39">
        <v>0.0</v>
      </c>
      <c r="BK353" s="35" t="s">
        <v>7045</v>
      </c>
      <c r="BL353" s="30">
        <v>46753.0</v>
      </c>
      <c r="BM353" s="30">
        <v>46843.0</v>
      </c>
      <c r="BN353" s="39">
        <v>0.0</v>
      </c>
      <c r="BO353" s="39">
        <v>0.0</v>
      </c>
      <c r="BP353" s="35" t="s">
        <v>7045</v>
      </c>
      <c r="BQ353" s="30">
        <v>46844.0</v>
      </c>
      <c r="BR353" s="30">
        <v>46934.0</v>
      </c>
      <c r="BS353" s="39">
        <v>0.0</v>
      </c>
      <c r="BT353" s="39">
        <v>0.0</v>
      </c>
      <c r="BU353" s="35" t="s">
        <v>7045</v>
      </c>
      <c r="BV353" s="30">
        <v>46935.0</v>
      </c>
      <c r="BW353" s="30">
        <v>47026.0</v>
      </c>
      <c r="BX353" s="39">
        <v>0.0</v>
      </c>
      <c r="BY353" s="39">
        <v>0.0</v>
      </c>
      <c r="BZ353" s="35" t="s">
        <v>7045</v>
      </c>
      <c r="CA353" s="30">
        <v>47027.0</v>
      </c>
      <c r="CB353" s="30">
        <v>47118.0</v>
      </c>
      <c r="CC353" s="39">
        <v>0.0</v>
      </c>
      <c r="CD353" s="39">
        <v>0.0</v>
      </c>
      <c r="CE353" s="35" t="s">
        <v>7045</v>
      </c>
      <c r="CF353" s="30">
        <v>47119.0</v>
      </c>
      <c r="CG353" s="30">
        <v>47208.0</v>
      </c>
      <c r="CH353" s="39">
        <v>0.0</v>
      </c>
      <c r="CI353" s="39">
        <v>0.0</v>
      </c>
      <c r="CJ353" s="35" t="s">
        <v>7045</v>
      </c>
      <c r="CK353" s="30">
        <v>47209.0</v>
      </c>
      <c r="CL353" s="30">
        <v>47299.0</v>
      </c>
      <c r="CM353" s="39">
        <v>0.0</v>
      </c>
      <c r="CN353" s="39">
        <v>0.0</v>
      </c>
      <c r="CO353" s="35" t="s">
        <v>7045</v>
      </c>
      <c r="CP353" s="30">
        <v>47300.0</v>
      </c>
      <c r="CQ353" s="30">
        <v>47391.0</v>
      </c>
      <c r="CR353" s="39">
        <v>0.0</v>
      </c>
      <c r="CS353" s="39">
        <v>0.0</v>
      </c>
      <c r="CT353" s="35" t="s">
        <v>7045</v>
      </c>
      <c r="CU353" s="30">
        <v>47392.0</v>
      </c>
      <c r="CV353" s="30">
        <v>47483.0</v>
      </c>
      <c r="CW353" s="39">
        <v>0.0</v>
      </c>
      <c r="CX353" s="39">
        <v>0.0</v>
      </c>
      <c r="CY353" s="35" t="s">
        <v>7045</v>
      </c>
      <c r="CZ353" s="30">
        <v>47484.0</v>
      </c>
      <c r="DA353" s="30">
        <v>47573.0</v>
      </c>
      <c r="DB353" s="39">
        <v>0.0</v>
      </c>
      <c r="DC353" s="39">
        <v>0.0</v>
      </c>
      <c r="DD353" s="35" t="s">
        <v>7045</v>
      </c>
      <c r="DE353" s="30">
        <v>47574.0</v>
      </c>
      <c r="DF353" s="30">
        <v>47664.0</v>
      </c>
      <c r="DG353" s="39">
        <v>0.0</v>
      </c>
      <c r="DH353" s="39">
        <v>0.0</v>
      </c>
      <c r="DI353" s="35" t="s">
        <v>7045</v>
      </c>
      <c r="DJ353" s="30">
        <v>47665.0</v>
      </c>
      <c r="DK353" s="30">
        <v>47756.0</v>
      </c>
      <c r="DL353" s="39">
        <v>0.0</v>
      </c>
      <c r="DM353" s="39">
        <v>0.0</v>
      </c>
      <c r="DN353" s="35" t="s">
        <v>7045</v>
      </c>
      <c r="DO353" s="30">
        <v>47757.0</v>
      </c>
      <c r="DP353" s="30">
        <v>47848.0</v>
      </c>
      <c r="DQ353" s="39">
        <v>0.0</v>
      </c>
      <c r="DR353" s="39">
        <v>0.0</v>
      </c>
      <c r="DS353" s="35" t="s">
        <v>7045</v>
      </c>
    </row>
    <row r="354" ht="14.25" customHeight="1">
      <c r="A354" s="28" t="s">
        <v>6184</v>
      </c>
      <c r="B354" s="29" t="s">
        <v>6185</v>
      </c>
      <c r="C354" s="29" t="s">
        <v>7041</v>
      </c>
      <c r="D354" s="30">
        <v>45658.0</v>
      </c>
      <c r="E354" s="30">
        <v>45747.0</v>
      </c>
      <c r="F354" s="39">
        <v>2.3</v>
      </c>
      <c r="G354" s="39">
        <v>0.0</v>
      </c>
      <c r="H354" s="38" t="s">
        <v>7047</v>
      </c>
      <c r="I354" s="30">
        <v>45748.0</v>
      </c>
      <c r="J354" s="30">
        <v>45838.0</v>
      </c>
      <c r="K354" s="39">
        <v>2.46</v>
      </c>
      <c r="L354" s="39">
        <v>213.11</v>
      </c>
      <c r="M354" s="38" t="s">
        <v>7043</v>
      </c>
      <c r="N354" s="30">
        <v>45839.0</v>
      </c>
      <c r="O354" s="30">
        <v>45930.0</v>
      </c>
      <c r="P354" s="39">
        <v>482.67</v>
      </c>
      <c r="Q354" s="39">
        <v>318.03</v>
      </c>
      <c r="R354" s="38" t="s">
        <v>7047</v>
      </c>
      <c r="S354" s="30">
        <v>45931.0</v>
      </c>
      <c r="T354" s="30">
        <v>46022.0</v>
      </c>
      <c r="U354" s="39">
        <v>102.29</v>
      </c>
      <c r="V354" s="39">
        <v>321.31</v>
      </c>
      <c r="W354" s="38" t="s">
        <v>7047</v>
      </c>
      <c r="X354" s="30">
        <v>46023.0</v>
      </c>
      <c r="Y354" s="30">
        <v>46112.0</v>
      </c>
      <c r="Z354" s="39">
        <v>25.0</v>
      </c>
      <c r="AA354" s="39">
        <v>0.0</v>
      </c>
      <c r="AB354" s="35" t="s">
        <v>7047</v>
      </c>
      <c r="AC354" s="30">
        <v>46113.0</v>
      </c>
      <c r="AD354" s="30">
        <v>46203.0</v>
      </c>
      <c r="AE354" s="39">
        <v>0.0</v>
      </c>
      <c r="AF354" s="39">
        <v>0.0</v>
      </c>
      <c r="AG354" s="35" t="s">
        <v>7045</v>
      </c>
      <c r="AH354" s="30">
        <v>46204.0</v>
      </c>
      <c r="AI354" s="30">
        <v>46295.0</v>
      </c>
      <c r="AJ354" s="39">
        <v>0.0</v>
      </c>
      <c r="AK354" s="39">
        <v>0.0</v>
      </c>
      <c r="AL354" s="35" t="s">
        <v>7045</v>
      </c>
      <c r="AM354" s="30">
        <v>46296.0</v>
      </c>
      <c r="AN354" s="30">
        <v>46387.0</v>
      </c>
      <c r="AO354" s="39">
        <v>0.0</v>
      </c>
      <c r="AP354" s="39">
        <v>0.0</v>
      </c>
      <c r="AQ354" s="35" t="s">
        <v>7045</v>
      </c>
      <c r="AR354" s="30">
        <v>46388.0</v>
      </c>
      <c r="AS354" s="30">
        <v>46477.0</v>
      </c>
      <c r="AT354" s="39">
        <v>0.0</v>
      </c>
      <c r="AU354" s="39">
        <v>0.0</v>
      </c>
      <c r="AV354" s="35" t="s">
        <v>7045</v>
      </c>
      <c r="AW354" s="30">
        <v>46478.0</v>
      </c>
      <c r="AX354" s="30">
        <v>46568.0</v>
      </c>
      <c r="AY354" s="39">
        <v>0.0</v>
      </c>
      <c r="AZ354" s="39">
        <v>0.0</v>
      </c>
      <c r="BA354" s="35" t="s">
        <v>7045</v>
      </c>
      <c r="BB354" s="30">
        <v>46569.0</v>
      </c>
      <c r="BC354" s="30">
        <v>46660.0</v>
      </c>
      <c r="BD354" s="39">
        <v>0.0</v>
      </c>
      <c r="BE354" s="39">
        <v>0.0</v>
      </c>
      <c r="BF354" s="35" t="s">
        <v>7045</v>
      </c>
      <c r="BG354" s="30">
        <v>46661.0</v>
      </c>
      <c r="BH354" s="30">
        <v>46752.0</v>
      </c>
      <c r="BI354" s="39">
        <v>0.0</v>
      </c>
      <c r="BJ354" s="39">
        <v>0.0</v>
      </c>
      <c r="BK354" s="35" t="s">
        <v>7045</v>
      </c>
      <c r="BL354" s="30">
        <v>46753.0</v>
      </c>
      <c r="BM354" s="30">
        <v>46843.0</v>
      </c>
      <c r="BN354" s="39">
        <v>0.0</v>
      </c>
      <c r="BO354" s="39">
        <v>0.0</v>
      </c>
      <c r="BP354" s="35" t="s">
        <v>7045</v>
      </c>
      <c r="BQ354" s="30">
        <v>46844.0</v>
      </c>
      <c r="BR354" s="30">
        <v>46934.0</v>
      </c>
      <c r="BS354" s="39">
        <v>0.0</v>
      </c>
      <c r="BT354" s="39">
        <v>0.0</v>
      </c>
      <c r="BU354" s="35" t="s">
        <v>7045</v>
      </c>
      <c r="BV354" s="30">
        <v>46935.0</v>
      </c>
      <c r="BW354" s="30">
        <v>47026.0</v>
      </c>
      <c r="BX354" s="39">
        <v>0.0</v>
      </c>
      <c r="BY354" s="39">
        <v>0.0</v>
      </c>
      <c r="BZ354" s="35" t="s">
        <v>7045</v>
      </c>
      <c r="CA354" s="30">
        <v>47027.0</v>
      </c>
      <c r="CB354" s="30">
        <v>47118.0</v>
      </c>
      <c r="CC354" s="39">
        <v>0.0</v>
      </c>
      <c r="CD354" s="39">
        <v>0.0</v>
      </c>
      <c r="CE354" s="35" t="s">
        <v>7045</v>
      </c>
      <c r="CF354" s="30">
        <v>47119.0</v>
      </c>
      <c r="CG354" s="30">
        <v>47208.0</v>
      </c>
      <c r="CH354" s="39">
        <v>0.0</v>
      </c>
      <c r="CI354" s="39">
        <v>0.0</v>
      </c>
      <c r="CJ354" s="35" t="s">
        <v>7045</v>
      </c>
      <c r="CK354" s="30">
        <v>47209.0</v>
      </c>
      <c r="CL354" s="30">
        <v>47299.0</v>
      </c>
      <c r="CM354" s="39">
        <v>0.0</v>
      </c>
      <c r="CN354" s="39">
        <v>0.0</v>
      </c>
      <c r="CO354" s="35" t="s">
        <v>7045</v>
      </c>
      <c r="CP354" s="30">
        <v>47300.0</v>
      </c>
      <c r="CQ354" s="30">
        <v>47391.0</v>
      </c>
      <c r="CR354" s="39">
        <v>0.0</v>
      </c>
      <c r="CS354" s="39">
        <v>0.0</v>
      </c>
      <c r="CT354" s="35" t="s">
        <v>7045</v>
      </c>
      <c r="CU354" s="30">
        <v>47392.0</v>
      </c>
      <c r="CV354" s="30">
        <v>47483.0</v>
      </c>
      <c r="CW354" s="39">
        <v>0.0</v>
      </c>
      <c r="CX354" s="39">
        <v>0.0</v>
      </c>
      <c r="CY354" s="35" t="s">
        <v>7045</v>
      </c>
      <c r="CZ354" s="30">
        <v>47484.0</v>
      </c>
      <c r="DA354" s="30">
        <v>47573.0</v>
      </c>
      <c r="DB354" s="39">
        <v>0.0</v>
      </c>
      <c r="DC354" s="39">
        <v>0.0</v>
      </c>
      <c r="DD354" s="35" t="s">
        <v>7045</v>
      </c>
      <c r="DE354" s="30">
        <v>47574.0</v>
      </c>
      <c r="DF354" s="30">
        <v>47664.0</v>
      </c>
      <c r="DG354" s="39">
        <v>0.0</v>
      </c>
      <c r="DH354" s="39">
        <v>0.0</v>
      </c>
      <c r="DI354" s="35" t="s">
        <v>7045</v>
      </c>
      <c r="DJ354" s="30">
        <v>47665.0</v>
      </c>
      <c r="DK354" s="30">
        <v>47756.0</v>
      </c>
      <c r="DL354" s="39">
        <v>0.0</v>
      </c>
      <c r="DM354" s="39">
        <v>0.0</v>
      </c>
      <c r="DN354" s="35" t="s">
        <v>7045</v>
      </c>
      <c r="DO354" s="30">
        <v>47757.0</v>
      </c>
      <c r="DP354" s="30">
        <v>47848.0</v>
      </c>
      <c r="DQ354" s="39">
        <v>0.0</v>
      </c>
      <c r="DR354" s="39">
        <v>0.0</v>
      </c>
      <c r="DS354" s="35" t="s">
        <v>7045</v>
      </c>
    </row>
    <row r="355" ht="14.25" customHeight="1">
      <c r="A355" s="28" t="s">
        <v>6251</v>
      </c>
      <c r="B355" s="29" t="s">
        <v>6252</v>
      </c>
      <c r="C355" s="29" t="s">
        <v>7041</v>
      </c>
      <c r="D355" s="30">
        <v>45658.0</v>
      </c>
      <c r="E355" s="30">
        <v>45747.0</v>
      </c>
      <c r="F355" s="39">
        <v>2.22</v>
      </c>
      <c r="G355" s="39">
        <v>0.0</v>
      </c>
      <c r="H355" s="38" t="s">
        <v>7047</v>
      </c>
      <c r="I355" s="30">
        <v>45748.0</v>
      </c>
      <c r="J355" s="30">
        <v>45838.0</v>
      </c>
      <c r="K355" s="39">
        <v>1.97</v>
      </c>
      <c r="L355" s="39">
        <v>112.94</v>
      </c>
      <c r="M355" s="32" t="s">
        <v>7043</v>
      </c>
      <c r="N355" s="30">
        <v>45839.0</v>
      </c>
      <c r="O355" s="30">
        <v>45930.0</v>
      </c>
      <c r="P355" s="39">
        <v>22.18</v>
      </c>
      <c r="Q355" s="39">
        <v>169.41</v>
      </c>
      <c r="R355" s="38" t="s">
        <v>7046</v>
      </c>
      <c r="S355" s="30">
        <v>45931.0</v>
      </c>
      <c r="T355" s="30">
        <v>46022.0</v>
      </c>
      <c r="U355" s="39">
        <v>13.24</v>
      </c>
      <c r="V355" s="39">
        <v>169.41</v>
      </c>
      <c r="W355" s="38" t="s">
        <v>7047</v>
      </c>
      <c r="X355" s="30">
        <v>46023.0</v>
      </c>
      <c r="Y355" s="30">
        <v>46112.0</v>
      </c>
      <c r="Z355" s="39">
        <v>0.0</v>
      </c>
      <c r="AA355" s="39">
        <v>0.0</v>
      </c>
      <c r="AB355" s="35" t="s">
        <v>7045</v>
      </c>
      <c r="AC355" s="30">
        <v>46113.0</v>
      </c>
      <c r="AD355" s="30">
        <v>46203.0</v>
      </c>
      <c r="AE355" s="39">
        <v>0.0</v>
      </c>
      <c r="AF355" s="39">
        <v>0.0</v>
      </c>
      <c r="AG355" s="35" t="s">
        <v>7045</v>
      </c>
      <c r="AH355" s="30">
        <v>46204.0</v>
      </c>
      <c r="AI355" s="30">
        <v>46295.0</v>
      </c>
      <c r="AJ355" s="39">
        <v>0.0</v>
      </c>
      <c r="AK355" s="39">
        <v>0.0</v>
      </c>
      <c r="AL355" s="35" t="s">
        <v>7045</v>
      </c>
      <c r="AM355" s="30">
        <v>46296.0</v>
      </c>
      <c r="AN355" s="30">
        <v>46387.0</v>
      </c>
      <c r="AO355" s="39">
        <v>0.0</v>
      </c>
      <c r="AP355" s="39">
        <v>0.0</v>
      </c>
      <c r="AQ355" s="35" t="s">
        <v>7045</v>
      </c>
      <c r="AR355" s="30">
        <v>46388.0</v>
      </c>
      <c r="AS355" s="30">
        <v>46477.0</v>
      </c>
      <c r="AT355" s="39">
        <v>0.0</v>
      </c>
      <c r="AU355" s="39">
        <v>0.0</v>
      </c>
      <c r="AV355" s="35" t="s">
        <v>7045</v>
      </c>
      <c r="AW355" s="30">
        <v>46478.0</v>
      </c>
      <c r="AX355" s="30">
        <v>46568.0</v>
      </c>
      <c r="AY355" s="39">
        <v>0.0</v>
      </c>
      <c r="AZ355" s="39">
        <v>0.0</v>
      </c>
      <c r="BA355" s="35" t="s">
        <v>7045</v>
      </c>
      <c r="BB355" s="30">
        <v>46569.0</v>
      </c>
      <c r="BC355" s="30">
        <v>46660.0</v>
      </c>
      <c r="BD355" s="39">
        <v>0.0</v>
      </c>
      <c r="BE355" s="39">
        <v>0.0</v>
      </c>
      <c r="BF355" s="35" t="s">
        <v>7045</v>
      </c>
      <c r="BG355" s="30">
        <v>46661.0</v>
      </c>
      <c r="BH355" s="30">
        <v>46752.0</v>
      </c>
      <c r="BI355" s="39">
        <v>0.0</v>
      </c>
      <c r="BJ355" s="39">
        <v>0.0</v>
      </c>
      <c r="BK355" s="35" t="s">
        <v>7045</v>
      </c>
      <c r="BL355" s="30">
        <v>46753.0</v>
      </c>
      <c r="BM355" s="30">
        <v>46843.0</v>
      </c>
      <c r="BN355" s="39">
        <v>0.0</v>
      </c>
      <c r="BO355" s="39">
        <v>0.0</v>
      </c>
      <c r="BP355" s="35" t="s">
        <v>7045</v>
      </c>
      <c r="BQ355" s="30">
        <v>46844.0</v>
      </c>
      <c r="BR355" s="30">
        <v>46934.0</v>
      </c>
      <c r="BS355" s="39">
        <v>0.0</v>
      </c>
      <c r="BT355" s="39">
        <v>0.0</v>
      </c>
      <c r="BU355" s="35" t="s">
        <v>7045</v>
      </c>
      <c r="BV355" s="30">
        <v>46935.0</v>
      </c>
      <c r="BW355" s="30">
        <v>47026.0</v>
      </c>
      <c r="BX355" s="39">
        <v>0.0</v>
      </c>
      <c r="BY355" s="39">
        <v>0.0</v>
      </c>
      <c r="BZ355" s="35" t="s">
        <v>7045</v>
      </c>
      <c r="CA355" s="30">
        <v>47027.0</v>
      </c>
      <c r="CB355" s="30">
        <v>47118.0</v>
      </c>
      <c r="CC355" s="39">
        <v>0.0</v>
      </c>
      <c r="CD355" s="39">
        <v>0.0</v>
      </c>
      <c r="CE355" s="35" t="s">
        <v>7045</v>
      </c>
      <c r="CF355" s="30">
        <v>47119.0</v>
      </c>
      <c r="CG355" s="30">
        <v>47208.0</v>
      </c>
      <c r="CH355" s="39">
        <v>0.0</v>
      </c>
      <c r="CI355" s="39">
        <v>0.0</v>
      </c>
      <c r="CJ355" s="35" t="s">
        <v>7045</v>
      </c>
      <c r="CK355" s="30">
        <v>47209.0</v>
      </c>
      <c r="CL355" s="30">
        <v>47299.0</v>
      </c>
      <c r="CM355" s="39">
        <v>0.0</v>
      </c>
      <c r="CN355" s="39">
        <v>0.0</v>
      </c>
      <c r="CO355" s="35" t="s">
        <v>7045</v>
      </c>
      <c r="CP355" s="30">
        <v>47300.0</v>
      </c>
      <c r="CQ355" s="30">
        <v>47391.0</v>
      </c>
      <c r="CR355" s="39">
        <v>0.0</v>
      </c>
      <c r="CS355" s="39">
        <v>0.0</v>
      </c>
      <c r="CT355" s="35" t="s">
        <v>7045</v>
      </c>
      <c r="CU355" s="30">
        <v>47392.0</v>
      </c>
      <c r="CV355" s="30">
        <v>47483.0</v>
      </c>
      <c r="CW355" s="39">
        <v>0.0</v>
      </c>
      <c r="CX355" s="39">
        <v>0.0</v>
      </c>
      <c r="CY355" s="35" t="s">
        <v>7045</v>
      </c>
      <c r="CZ355" s="30">
        <v>47484.0</v>
      </c>
      <c r="DA355" s="30">
        <v>47573.0</v>
      </c>
      <c r="DB355" s="39">
        <v>0.0</v>
      </c>
      <c r="DC355" s="39">
        <v>0.0</v>
      </c>
      <c r="DD355" s="35" t="s">
        <v>7045</v>
      </c>
      <c r="DE355" s="30">
        <v>47574.0</v>
      </c>
      <c r="DF355" s="30">
        <v>47664.0</v>
      </c>
      <c r="DG355" s="39">
        <v>0.0</v>
      </c>
      <c r="DH355" s="39">
        <v>0.0</v>
      </c>
      <c r="DI355" s="35" t="s">
        <v>7045</v>
      </c>
      <c r="DJ355" s="30">
        <v>47665.0</v>
      </c>
      <c r="DK355" s="30">
        <v>47756.0</v>
      </c>
      <c r="DL355" s="39">
        <v>0.0</v>
      </c>
      <c r="DM355" s="39">
        <v>0.0</v>
      </c>
      <c r="DN355" s="35" t="s">
        <v>7045</v>
      </c>
      <c r="DO355" s="30">
        <v>47757.0</v>
      </c>
      <c r="DP355" s="30">
        <v>47848.0</v>
      </c>
      <c r="DQ355" s="39">
        <v>0.0</v>
      </c>
      <c r="DR355" s="39">
        <v>0.0</v>
      </c>
      <c r="DS355" s="35" t="s">
        <v>7045</v>
      </c>
    </row>
    <row r="356" ht="14.25" customHeight="1">
      <c r="A356" s="28" t="s">
        <v>6254</v>
      </c>
      <c r="B356" s="29" t="s">
        <v>6255</v>
      </c>
      <c r="C356" s="29" t="s">
        <v>7041</v>
      </c>
      <c r="D356" s="30">
        <v>45658.0</v>
      </c>
      <c r="E356" s="30">
        <v>45747.0</v>
      </c>
      <c r="F356" s="39">
        <v>10.12</v>
      </c>
      <c r="G356" s="39">
        <v>0.0</v>
      </c>
      <c r="H356" s="38" t="s">
        <v>7047</v>
      </c>
      <c r="I356" s="30">
        <v>45748.0</v>
      </c>
      <c r="J356" s="30">
        <v>45838.0</v>
      </c>
      <c r="K356" s="39">
        <v>13.32</v>
      </c>
      <c r="L356" s="39">
        <v>563.49</v>
      </c>
      <c r="M356" s="32" t="s">
        <v>7043</v>
      </c>
      <c r="N356" s="30">
        <v>45839.0</v>
      </c>
      <c r="O356" s="30">
        <v>45930.0</v>
      </c>
      <c r="P356" s="39">
        <v>52.05</v>
      </c>
      <c r="Q356" s="39">
        <v>530.16</v>
      </c>
      <c r="R356" s="38" t="s">
        <v>7047</v>
      </c>
      <c r="S356" s="30">
        <v>45931.0</v>
      </c>
      <c r="T356" s="30">
        <v>46022.0</v>
      </c>
      <c r="U356" s="39">
        <v>1485.05</v>
      </c>
      <c r="V356" s="39">
        <v>461.9</v>
      </c>
      <c r="W356" s="38" t="s">
        <v>7047</v>
      </c>
      <c r="X356" s="30">
        <v>46023.0</v>
      </c>
      <c r="Y356" s="30">
        <v>46112.0</v>
      </c>
      <c r="Z356" s="39">
        <v>0.0</v>
      </c>
      <c r="AA356" s="39">
        <v>0.0</v>
      </c>
      <c r="AB356" s="35" t="s">
        <v>7045</v>
      </c>
      <c r="AC356" s="30">
        <v>46113.0</v>
      </c>
      <c r="AD356" s="30">
        <v>46203.0</v>
      </c>
      <c r="AE356" s="39">
        <v>0.0</v>
      </c>
      <c r="AF356" s="39">
        <v>0.0</v>
      </c>
      <c r="AG356" s="35" t="s">
        <v>7045</v>
      </c>
      <c r="AH356" s="30">
        <v>46204.0</v>
      </c>
      <c r="AI356" s="30">
        <v>46295.0</v>
      </c>
      <c r="AJ356" s="39">
        <v>480.0</v>
      </c>
      <c r="AK356" s="39">
        <v>0.0</v>
      </c>
      <c r="AL356" s="38" t="s">
        <v>7047</v>
      </c>
      <c r="AM356" s="30">
        <v>46296.0</v>
      </c>
      <c r="AN356" s="30">
        <v>46387.0</v>
      </c>
      <c r="AO356" s="39">
        <v>2500.0</v>
      </c>
      <c r="AP356" s="39">
        <v>0.0</v>
      </c>
      <c r="AQ356" s="38" t="s">
        <v>7047</v>
      </c>
      <c r="AR356" s="30">
        <v>46388.0</v>
      </c>
      <c r="AS356" s="30">
        <v>46477.0</v>
      </c>
      <c r="AT356" s="39">
        <v>0.0</v>
      </c>
      <c r="AU356" s="39">
        <v>0.0</v>
      </c>
      <c r="AV356" s="35" t="s">
        <v>7045</v>
      </c>
      <c r="AW356" s="30">
        <v>46478.0</v>
      </c>
      <c r="AX356" s="30">
        <v>46568.0</v>
      </c>
      <c r="AY356" s="39">
        <v>0.0</v>
      </c>
      <c r="AZ356" s="39">
        <v>0.0</v>
      </c>
      <c r="BA356" s="35" t="s">
        <v>7045</v>
      </c>
      <c r="BB356" s="30">
        <v>46569.0</v>
      </c>
      <c r="BC356" s="30">
        <v>46660.0</v>
      </c>
      <c r="BD356" s="39">
        <v>0.0</v>
      </c>
      <c r="BE356" s="39">
        <v>0.0</v>
      </c>
      <c r="BF356" s="35" t="s">
        <v>7045</v>
      </c>
      <c r="BG356" s="30">
        <v>46661.0</v>
      </c>
      <c r="BH356" s="30">
        <v>46752.0</v>
      </c>
      <c r="BI356" s="39">
        <v>0.0</v>
      </c>
      <c r="BJ356" s="39">
        <v>0.0</v>
      </c>
      <c r="BK356" s="35" t="s">
        <v>7045</v>
      </c>
      <c r="BL356" s="30">
        <v>46753.0</v>
      </c>
      <c r="BM356" s="30">
        <v>46843.0</v>
      </c>
      <c r="BN356" s="39">
        <v>0.0</v>
      </c>
      <c r="BO356" s="39">
        <v>0.0</v>
      </c>
      <c r="BP356" s="35" t="s">
        <v>7045</v>
      </c>
      <c r="BQ356" s="30">
        <v>46844.0</v>
      </c>
      <c r="BR356" s="30">
        <v>46934.0</v>
      </c>
      <c r="BS356" s="39">
        <v>0.0</v>
      </c>
      <c r="BT356" s="39">
        <v>0.0</v>
      </c>
      <c r="BU356" s="35" t="s">
        <v>7045</v>
      </c>
      <c r="BV356" s="30">
        <v>46935.0</v>
      </c>
      <c r="BW356" s="30">
        <v>47026.0</v>
      </c>
      <c r="BX356" s="39">
        <v>0.0</v>
      </c>
      <c r="BY356" s="39">
        <v>0.0</v>
      </c>
      <c r="BZ356" s="35" t="s">
        <v>7045</v>
      </c>
      <c r="CA356" s="30">
        <v>47027.0</v>
      </c>
      <c r="CB356" s="30">
        <v>47118.0</v>
      </c>
      <c r="CC356" s="39">
        <v>0.0</v>
      </c>
      <c r="CD356" s="39">
        <v>0.0</v>
      </c>
      <c r="CE356" s="35" t="s">
        <v>7045</v>
      </c>
      <c r="CF356" s="30">
        <v>47119.0</v>
      </c>
      <c r="CG356" s="30">
        <v>47208.0</v>
      </c>
      <c r="CH356" s="39">
        <v>0.0</v>
      </c>
      <c r="CI356" s="39">
        <v>0.0</v>
      </c>
      <c r="CJ356" s="35" t="s">
        <v>7045</v>
      </c>
      <c r="CK356" s="30">
        <v>47209.0</v>
      </c>
      <c r="CL356" s="30">
        <v>47299.0</v>
      </c>
      <c r="CM356" s="39">
        <v>0.0</v>
      </c>
      <c r="CN356" s="39">
        <v>0.0</v>
      </c>
      <c r="CO356" s="35" t="s">
        <v>7045</v>
      </c>
      <c r="CP356" s="30">
        <v>47300.0</v>
      </c>
      <c r="CQ356" s="30">
        <v>47391.0</v>
      </c>
      <c r="CR356" s="39">
        <v>0.0</v>
      </c>
      <c r="CS356" s="39">
        <v>0.0</v>
      </c>
      <c r="CT356" s="35" t="s">
        <v>7045</v>
      </c>
      <c r="CU356" s="30">
        <v>47392.0</v>
      </c>
      <c r="CV356" s="30">
        <v>47483.0</v>
      </c>
      <c r="CW356" s="39">
        <v>0.0</v>
      </c>
      <c r="CX356" s="39">
        <v>0.0</v>
      </c>
      <c r="CY356" s="35" t="s">
        <v>7045</v>
      </c>
      <c r="CZ356" s="30">
        <v>47484.0</v>
      </c>
      <c r="DA356" s="30">
        <v>47573.0</v>
      </c>
      <c r="DB356" s="39">
        <v>0.0</v>
      </c>
      <c r="DC356" s="39">
        <v>0.0</v>
      </c>
      <c r="DD356" s="35" t="s">
        <v>7045</v>
      </c>
      <c r="DE356" s="30">
        <v>47574.0</v>
      </c>
      <c r="DF356" s="30">
        <v>47664.0</v>
      </c>
      <c r="DG356" s="39">
        <v>0.0</v>
      </c>
      <c r="DH356" s="39">
        <v>0.0</v>
      </c>
      <c r="DI356" s="35" t="s">
        <v>7045</v>
      </c>
      <c r="DJ356" s="30">
        <v>47665.0</v>
      </c>
      <c r="DK356" s="30">
        <v>47756.0</v>
      </c>
      <c r="DL356" s="39">
        <v>0.0</v>
      </c>
      <c r="DM356" s="39">
        <v>0.0</v>
      </c>
      <c r="DN356" s="35" t="s">
        <v>7045</v>
      </c>
      <c r="DO356" s="30">
        <v>47757.0</v>
      </c>
      <c r="DP356" s="30">
        <v>47848.0</v>
      </c>
      <c r="DQ356" s="39">
        <v>0.0</v>
      </c>
      <c r="DR356" s="39">
        <v>0.0</v>
      </c>
      <c r="DS356" s="35" t="s">
        <v>7045</v>
      </c>
    </row>
    <row r="357" ht="14.25" customHeight="1">
      <c r="A357" s="28" t="s">
        <v>6257</v>
      </c>
      <c r="B357" s="29" t="s">
        <v>6258</v>
      </c>
      <c r="C357" s="29" t="s">
        <v>7041</v>
      </c>
      <c r="D357" s="30">
        <v>45658.0</v>
      </c>
      <c r="E357" s="30">
        <v>45747.0</v>
      </c>
      <c r="F357" s="39">
        <v>0.0</v>
      </c>
      <c r="G357" s="39">
        <v>0.0</v>
      </c>
      <c r="H357" s="35" t="s">
        <v>7045</v>
      </c>
      <c r="I357" s="30">
        <v>45748.0</v>
      </c>
      <c r="J357" s="30">
        <v>45838.0</v>
      </c>
      <c r="K357" s="39">
        <v>0.0</v>
      </c>
      <c r="L357" s="39">
        <v>0.0</v>
      </c>
      <c r="M357" s="35" t="s">
        <v>7045</v>
      </c>
      <c r="N357" s="30">
        <v>45839.0</v>
      </c>
      <c r="O357" s="30">
        <v>45930.0</v>
      </c>
      <c r="P357" s="39">
        <v>0.0</v>
      </c>
      <c r="Q357" s="39">
        <v>0.0</v>
      </c>
      <c r="R357" s="35" t="s">
        <v>7045</v>
      </c>
      <c r="S357" s="30">
        <v>45931.0</v>
      </c>
      <c r="T357" s="30">
        <v>46022.0</v>
      </c>
      <c r="U357" s="39">
        <v>0.0</v>
      </c>
      <c r="V357" s="39">
        <v>0.0</v>
      </c>
      <c r="W357" s="35" t="s">
        <v>7045</v>
      </c>
      <c r="X357" s="30">
        <v>46023.0</v>
      </c>
      <c r="Y357" s="30">
        <v>46112.0</v>
      </c>
      <c r="Z357" s="39">
        <v>0.0</v>
      </c>
      <c r="AA357" s="39">
        <v>0.0</v>
      </c>
      <c r="AB357" s="35" t="s">
        <v>7045</v>
      </c>
      <c r="AC357" s="30">
        <v>46113.0</v>
      </c>
      <c r="AD357" s="30">
        <v>46203.0</v>
      </c>
      <c r="AE357" s="39">
        <v>0.0</v>
      </c>
      <c r="AF357" s="39">
        <v>0.0</v>
      </c>
      <c r="AG357" s="35" t="s">
        <v>7045</v>
      </c>
      <c r="AH357" s="30">
        <v>46204.0</v>
      </c>
      <c r="AI357" s="30">
        <v>46295.0</v>
      </c>
      <c r="AJ357" s="39">
        <v>0.0</v>
      </c>
      <c r="AK357" s="39">
        <v>0.0</v>
      </c>
      <c r="AL357" s="35" t="s">
        <v>7045</v>
      </c>
      <c r="AM357" s="30">
        <v>46296.0</v>
      </c>
      <c r="AN357" s="30">
        <v>46387.0</v>
      </c>
      <c r="AO357" s="39">
        <v>0.0</v>
      </c>
      <c r="AP357" s="39">
        <v>0.0</v>
      </c>
      <c r="AQ357" s="35" t="s">
        <v>7045</v>
      </c>
      <c r="AR357" s="30">
        <v>46388.0</v>
      </c>
      <c r="AS357" s="30">
        <v>46477.0</v>
      </c>
      <c r="AT357" s="39">
        <v>0.0</v>
      </c>
      <c r="AU357" s="39">
        <v>0.0</v>
      </c>
      <c r="AV357" s="35" t="s">
        <v>7045</v>
      </c>
      <c r="AW357" s="30">
        <v>46478.0</v>
      </c>
      <c r="AX357" s="30">
        <v>46568.0</v>
      </c>
      <c r="AY357" s="39">
        <v>0.0</v>
      </c>
      <c r="AZ357" s="39">
        <v>0.0</v>
      </c>
      <c r="BA357" s="35" t="s">
        <v>7045</v>
      </c>
      <c r="BB357" s="30">
        <v>46569.0</v>
      </c>
      <c r="BC357" s="30">
        <v>46660.0</v>
      </c>
      <c r="BD357" s="39">
        <v>0.0</v>
      </c>
      <c r="BE357" s="39">
        <v>0.0</v>
      </c>
      <c r="BF357" s="35" t="s">
        <v>7045</v>
      </c>
      <c r="BG357" s="30">
        <v>46661.0</v>
      </c>
      <c r="BH357" s="30">
        <v>46752.0</v>
      </c>
      <c r="BI357" s="39">
        <v>0.0</v>
      </c>
      <c r="BJ357" s="39">
        <v>0.0</v>
      </c>
      <c r="BK357" s="35" t="s">
        <v>7045</v>
      </c>
      <c r="BL357" s="30">
        <v>46753.0</v>
      </c>
      <c r="BM357" s="30">
        <v>46843.0</v>
      </c>
      <c r="BN357" s="39">
        <v>0.0</v>
      </c>
      <c r="BO357" s="39">
        <v>0.0</v>
      </c>
      <c r="BP357" s="35" t="s">
        <v>7045</v>
      </c>
      <c r="BQ357" s="30">
        <v>46844.0</v>
      </c>
      <c r="BR357" s="30">
        <v>46934.0</v>
      </c>
      <c r="BS357" s="39">
        <v>0.0</v>
      </c>
      <c r="BT357" s="39">
        <v>0.0</v>
      </c>
      <c r="BU357" s="35" t="s">
        <v>7045</v>
      </c>
      <c r="BV357" s="30">
        <v>46935.0</v>
      </c>
      <c r="BW357" s="30">
        <v>47026.0</v>
      </c>
      <c r="BX357" s="39">
        <v>0.0</v>
      </c>
      <c r="BY357" s="39">
        <v>0.0</v>
      </c>
      <c r="BZ357" s="35" t="s">
        <v>7045</v>
      </c>
      <c r="CA357" s="30">
        <v>47027.0</v>
      </c>
      <c r="CB357" s="30">
        <v>47118.0</v>
      </c>
      <c r="CC357" s="39">
        <v>0.0</v>
      </c>
      <c r="CD357" s="39">
        <v>0.0</v>
      </c>
      <c r="CE357" s="35" t="s">
        <v>7045</v>
      </c>
      <c r="CF357" s="30">
        <v>47119.0</v>
      </c>
      <c r="CG357" s="30">
        <v>47208.0</v>
      </c>
      <c r="CH357" s="39">
        <v>0.0</v>
      </c>
      <c r="CI357" s="39">
        <v>0.0</v>
      </c>
      <c r="CJ357" s="35" t="s">
        <v>7045</v>
      </c>
      <c r="CK357" s="30">
        <v>47209.0</v>
      </c>
      <c r="CL357" s="30">
        <v>47299.0</v>
      </c>
      <c r="CM357" s="39">
        <v>0.0</v>
      </c>
      <c r="CN357" s="39">
        <v>0.0</v>
      </c>
      <c r="CO357" s="35" t="s">
        <v>7045</v>
      </c>
      <c r="CP357" s="30">
        <v>47300.0</v>
      </c>
      <c r="CQ357" s="30">
        <v>47391.0</v>
      </c>
      <c r="CR357" s="39">
        <v>0.0</v>
      </c>
      <c r="CS357" s="39">
        <v>0.0</v>
      </c>
      <c r="CT357" s="35" t="s">
        <v>7045</v>
      </c>
      <c r="CU357" s="30">
        <v>47392.0</v>
      </c>
      <c r="CV357" s="30">
        <v>47483.0</v>
      </c>
      <c r="CW357" s="39">
        <v>0.0</v>
      </c>
      <c r="CX357" s="39">
        <v>0.0</v>
      </c>
      <c r="CY357" s="35" t="s">
        <v>7045</v>
      </c>
      <c r="CZ357" s="30">
        <v>47484.0</v>
      </c>
      <c r="DA357" s="30">
        <v>47573.0</v>
      </c>
      <c r="DB357" s="39">
        <v>0.0</v>
      </c>
      <c r="DC357" s="39">
        <v>0.0</v>
      </c>
      <c r="DD357" s="35" t="s">
        <v>7045</v>
      </c>
      <c r="DE357" s="30">
        <v>47574.0</v>
      </c>
      <c r="DF357" s="30">
        <v>47664.0</v>
      </c>
      <c r="DG357" s="39">
        <v>0.0</v>
      </c>
      <c r="DH357" s="39">
        <v>0.0</v>
      </c>
      <c r="DI357" s="35" t="s">
        <v>7045</v>
      </c>
      <c r="DJ357" s="30">
        <v>47665.0</v>
      </c>
      <c r="DK357" s="30">
        <v>47756.0</v>
      </c>
      <c r="DL357" s="39">
        <v>0.0</v>
      </c>
      <c r="DM357" s="39">
        <v>0.0</v>
      </c>
      <c r="DN357" s="35" t="s">
        <v>7045</v>
      </c>
      <c r="DO357" s="30">
        <v>47757.0</v>
      </c>
      <c r="DP357" s="30">
        <v>47848.0</v>
      </c>
      <c r="DQ357" s="39">
        <v>0.0</v>
      </c>
      <c r="DR357" s="39">
        <v>0.0</v>
      </c>
      <c r="DS357" s="35" t="s">
        <v>7045</v>
      </c>
    </row>
    <row r="358" ht="14.25" customHeight="1">
      <c r="A358" s="28" t="s">
        <v>6264</v>
      </c>
      <c r="B358" s="29" t="s">
        <v>6265</v>
      </c>
      <c r="C358" s="29" t="s">
        <v>7041</v>
      </c>
      <c r="D358" s="30">
        <v>45658.0</v>
      </c>
      <c r="E358" s="30">
        <v>45747.0</v>
      </c>
      <c r="F358" s="36">
        <v>18.78</v>
      </c>
      <c r="G358" s="36">
        <v>0.0</v>
      </c>
      <c r="H358" s="38" t="s">
        <v>7047</v>
      </c>
      <c r="I358" s="30">
        <v>45748.0</v>
      </c>
      <c r="J358" s="30">
        <v>45838.0</v>
      </c>
      <c r="K358" s="36">
        <v>100.0</v>
      </c>
      <c r="L358" s="36">
        <v>0.0</v>
      </c>
      <c r="M358" s="38" t="s">
        <v>7047</v>
      </c>
      <c r="N358" s="30">
        <v>45839.0</v>
      </c>
      <c r="O358" s="30">
        <v>45930.0</v>
      </c>
      <c r="P358" s="36">
        <v>100.0</v>
      </c>
      <c r="Q358" s="36">
        <v>0.0</v>
      </c>
      <c r="R358" s="38" t="s">
        <v>7047</v>
      </c>
      <c r="S358" s="30">
        <v>45931.0</v>
      </c>
      <c r="T358" s="30">
        <v>46022.0</v>
      </c>
      <c r="U358" s="36">
        <v>100.0</v>
      </c>
      <c r="V358" s="36">
        <v>0.0</v>
      </c>
      <c r="W358" s="35" t="s">
        <v>7047</v>
      </c>
      <c r="X358" s="30">
        <v>46023.0</v>
      </c>
      <c r="Y358" s="30">
        <v>46112.0</v>
      </c>
      <c r="Z358" s="36">
        <v>0.0</v>
      </c>
      <c r="AA358" s="36">
        <v>0.0</v>
      </c>
      <c r="AB358" s="35" t="s">
        <v>7045</v>
      </c>
      <c r="AC358" s="30">
        <v>46113.0</v>
      </c>
      <c r="AD358" s="30">
        <v>46203.0</v>
      </c>
      <c r="AE358" s="36">
        <v>0.0</v>
      </c>
      <c r="AF358" s="36">
        <v>0.0</v>
      </c>
      <c r="AG358" s="35" t="s">
        <v>7045</v>
      </c>
      <c r="AH358" s="30">
        <v>46204.0</v>
      </c>
      <c r="AI358" s="30">
        <v>46295.0</v>
      </c>
      <c r="AJ358" s="36">
        <v>0.0</v>
      </c>
      <c r="AK358" s="36">
        <v>0.0</v>
      </c>
      <c r="AL358" s="35" t="s">
        <v>7045</v>
      </c>
      <c r="AM358" s="30">
        <v>46296.0</v>
      </c>
      <c r="AN358" s="30">
        <v>46387.0</v>
      </c>
      <c r="AO358" s="36">
        <v>0.0</v>
      </c>
      <c r="AP358" s="36">
        <v>0.0</v>
      </c>
      <c r="AQ358" s="35" t="s">
        <v>7045</v>
      </c>
      <c r="AR358" s="30">
        <v>46388.0</v>
      </c>
      <c r="AS358" s="30">
        <v>46477.0</v>
      </c>
      <c r="AT358" s="36">
        <v>0.0</v>
      </c>
      <c r="AU358" s="36">
        <v>0.0</v>
      </c>
      <c r="AV358" s="35" t="s">
        <v>7045</v>
      </c>
      <c r="AW358" s="30">
        <v>46478.0</v>
      </c>
      <c r="AX358" s="30">
        <v>46568.0</v>
      </c>
      <c r="AY358" s="36">
        <v>0.0</v>
      </c>
      <c r="AZ358" s="36">
        <v>0.0</v>
      </c>
      <c r="BA358" s="35" t="s">
        <v>7045</v>
      </c>
      <c r="BB358" s="30">
        <v>46569.0</v>
      </c>
      <c r="BC358" s="30">
        <v>46660.0</v>
      </c>
      <c r="BD358" s="36">
        <v>0.0</v>
      </c>
      <c r="BE358" s="36">
        <v>0.0</v>
      </c>
      <c r="BF358" s="35" t="s">
        <v>7045</v>
      </c>
      <c r="BG358" s="30">
        <v>46661.0</v>
      </c>
      <c r="BH358" s="30">
        <v>46752.0</v>
      </c>
      <c r="BI358" s="36">
        <v>0.0</v>
      </c>
      <c r="BJ358" s="36">
        <v>0.0</v>
      </c>
      <c r="BK358" s="35" t="s">
        <v>7045</v>
      </c>
      <c r="BL358" s="30">
        <v>46753.0</v>
      </c>
      <c r="BM358" s="30">
        <v>46843.0</v>
      </c>
      <c r="BN358" s="36">
        <v>0.0</v>
      </c>
      <c r="BO358" s="36">
        <v>0.0</v>
      </c>
      <c r="BP358" s="35" t="s">
        <v>7045</v>
      </c>
      <c r="BQ358" s="30">
        <v>46844.0</v>
      </c>
      <c r="BR358" s="30">
        <v>46934.0</v>
      </c>
      <c r="BS358" s="36">
        <v>0.0</v>
      </c>
      <c r="BT358" s="36">
        <v>0.0</v>
      </c>
      <c r="BU358" s="35" t="s">
        <v>7045</v>
      </c>
      <c r="BV358" s="30">
        <v>46935.0</v>
      </c>
      <c r="BW358" s="30">
        <v>47026.0</v>
      </c>
      <c r="BX358" s="36">
        <v>0.0</v>
      </c>
      <c r="BY358" s="36">
        <v>0.0</v>
      </c>
      <c r="BZ358" s="35" t="s">
        <v>7045</v>
      </c>
      <c r="CA358" s="30">
        <v>47027.0</v>
      </c>
      <c r="CB358" s="30">
        <v>47118.0</v>
      </c>
      <c r="CC358" s="36">
        <v>0.0</v>
      </c>
      <c r="CD358" s="36">
        <v>0.0</v>
      </c>
      <c r="CE358" s="35" t="s">
        <v>7045</v>
      </c>
      <c r="CF358" s="30">
        <v>47119.0</v>
      </c>
      <c r="CG358" s="30">
        <v>47208.0</v>
      </c>
      <c r="CH358" s="36">
        <v>0.0</v>
      </c>
      <c r="CI358" s="36">
        <v>0.0</v>
      </c>
      <c r="CJ358" s="35" t="s">
        <v>7045</v>
      </c>
      <c r="CK358" s="30">
        <v>47209.0</v>
      </c>
      <c r="CL358" s="30">
        <v>47299.0</v>
      </c>
      <c r="CM358" s="36">
        <v>0.0</v>
      </c>
      <c r="CN358" s="36">
        <v>0.0</v>
      </c>
      <c r="CO358" s="35" t="s">
        <v>7045</v>
      </c>
      <c r="CP358" s="30">
        <v>47300.0</v>
      </c>
      <c r="CQ358" s="30">
        <v>47391.0</v>
      </c>
      <c r="CR358" s="36">
        <v>0.0</v>
      </c>
      <c r="CS358" s="36">
        <v>0.0</v>
      </c>
      <c r="CT358" s="35" t="s">
        <v>7045</v>
      </c>
      <c r="CU358" s="30">
        <v>47392.0</v>
      </c>
      <c r="CV358" s="30">
        <v>47483.0</v>
      </c>
      <c r="CW358" s="36">
        <v>0.0</v>
      </c>
      <c r="CX358" s="36">
        <v>0.0</v>
      </c>
      <c r="CY358" s="35" t="s">
        <v>7045</v>
      </c>
      <c r="CZ358" s="30">
        <v>47484.0</v>
      </c>
      <c r="DA358" s="30">
        <v>47573.0</v>
      </c>
      <c r="DB358" s="36">
        <v>0.0</v>
      </c>
      <c r="DC358" s="36">
        <v>0.0</v>
      </c>
      <c r="DD358" s="35" t="s">
        <v>7045</v>
      </c>
      <c r="DE358" s="30">
        <v>47574.0</v>
      </c>
      <c r="DF358" s="30">
        <v>47664.0</v>
      </c>
      <c r="DG358" s="36">
        <v>0.0</v>
      </c>
      <c r="DH358" s="36">
        <v>0.0</v>
      </c>
      <c r="DI358" s="35" t="s">
        <v>7045</v>
      </c>
      <c r="DJ358" s="30">
        <v>47665.0</v>
      </c>
      <c r="DK358" s="30">
        <v>47756.0</v>
      </c>
      <c r="DL358" s="36">
        <v>0.0</v>
      </c>
      <c r="DM358" s="36">
        <v>0.0</v>
      </c>
      <c r="DN358" s="35" t="s">
        <v>7045</v>
      </c>
      <c r="DO358" s="30">
        <v>47757.0</v>
      </c>
      <c r="DP358" s="30">
        <v>47848.0</v>
      </c>
      <c r="DQ358" s="36">
        <v>0.0</v>
      </c>
      <c r="DR358" s="36">
        <v>0.0</v>
      </c>
      <c r="DS358" s="35" t="s">
        <v>7045</v>
      </c>
    </row>
    <row r="359" ht="14.25" customHeight="1">
      <c r="A359" s="28" t="s">
        <v>6288</v>
      </c>
      <c r="B359" s="29" t="s">
        <v>6289</v>
      </c>
      <c r="C359" s="29" t="s">
        <v>7041</v>
      </c>
      <c r="D359" s="30">
        <v>45658.0</v>
      </c>
      <c r="E359" s="30">
        <v>45747.0</v>
      </c>
      <c r="F359" s="39">
        <v>2.57</v>
      </c>
      <c r="G359" s="39">
        <v>0.0</v>
      </c>
      <c r="H359" s="38" t="s">
        <v>7047</v>
      </c>
      <c r="I359" s="30">
        <v>45748.0</v>
      </c>
      <c r="J359" s="30">
        <v>45838.0</v>
      </c>
      <c r="K359" s="39">
        <v>2.38</v>
      </c>
      <c r="L359" s="39">
        <v>132.41</v>
      </c>
      <c r="M359" s="32" t="s">
        <v>7043</v>
      </c>
      <c r="N359" s="30">
        <v>45839.0</v>
      </c>
      <c r="O359" s="30">
        <v>45930.0</v>
      </c>
      <c r="P359" s="39">
        <v>23.38</v>
      </c>
      <c r="Q359" s="39">
        <v>94.44</v>
      </c>
      <c r="R359" s="38" t="s">
        <v>7047</v>
      </c>
      <c r="S359" s="30">
        <v>45931.0</v>
      </c>
      <c r="T359" s="30">
        <v>46022.0</v>
      </c>
      <c r="U359" s="39">
        <v>448.75</v>
      </c>
      <c r="V359" s="39">
        <v>187.96</v>
      </c>
      <c r="W359" s="38" t="s">
        <v>7047</v>
      </c>
      <c r="X359" s="30">
        <v>46023.0</v>
      </c>
      <c r="Y359" s="30">
        <v>46112.0</v>
      </c>
      <c r="Z359" s="39">
        <v>100.0</v>
      </c>
      <c r="AA359" s="39">
        <v>0.0</v>
      </c>
      <c r="AB359" s="35" t="s">
        <v>7047</v>
      </c>
      <c r="AC359" s="30">
        <v>46113.0</v>
      </c>
      <c r="AD359" s="30">
        <v>46203.0</v>
      </c>
      <c r="AE359" s="39">
        <v>110.0</v>
      </c>
      <c r="AF359" s="39">
        <v>0.0</v>
      </c>
      <c r="AG359" s="38" t="s">
        <v>7047</v>
      </c>
      <c r="AH359" s="30">
        <v>46204.0</v>
      </c>
      <c r="AI359" s="30">
        <v>46295.0</v>
      </c>
      <c r="AJ359" s="39">
        <v>0.0</v>
      </c>
      <c r="AK359" s="39">
        <v>0.0</v>
      </c>
      <c r="AL359" s="35" t="s">
        <v>7045</v>
      </c>
      <c r="AM359" s="30">
        <v>46296.0</v>
      </c>
      <c r="AN359" s="30">
        <v>46387.0</v>
      </c>
      <c r="AO359" s="39">
        <v>0.0</v>
      </c>
      <c r="AP359" s="39">
        <v>0.0</v>
      </c>
      <c r="AQ359" s="35" t="s">
        <v>7045</v>
      </c>
      <c r="AR359" s="30">
        <v>46388.0</v>
      </c>
      <c r="AS359" s="30">
        <v>46477.0</v>
      </c>
      <c r="AT359" s="39">
        <v>0.0</v>
      </c>
      <c r="AU359" s="39">
        <v>0.0</v>
      </c>
      <c r="AV359" s="35" t="s">
        <v>7045</v>
      </c>
      <c r="AW359" s="30">
        <v>46478.0</v>
      </c>
      <c r="AX359" s="30">
        <v>46568.0</v>
      </c>
      <c r="AY359" s="39">
        <v>0.0</v>
      </c>
      <c r="AZ359" s="39">
        <v>0.0</v>
      </c>
      <c r="BA359" s="35" t="s">
        <v>7045</v>
      </c>
      <c r="BB359" s="30">
        <v>46569.0</v>
      </c>
      <c r="BC359" s="30">
        <v>46660.0</v>
      </c>
      <c r="BD359" s="39">
        <v>0.0</v>
      </c>
      <c r="BE359" s="39">
        <v>0.0</v>
      </c>
      <c r="BF359" s="35" t="s">
        <v>7045</v>
      </c>
      <c r="BG359" s="30">
        <v>46661.0</v>
      </c>
      <c r="BH359" s="30">
        <v>46752.0</v>
      </c>
      <c r="BI359" s="39">
        <v>0.0</v>
      </c>
      <c r="BJ359" s="39">
        <v>0.0</v>
      </c>
      <c r="BK359" s="35" t="s">
        <v>7045</v>
      </c>
      <c r="BL359" s="30">
        <v>46753.0</v>
      </c>
      <c r="BM359" s="30">
        <v>46843.0</v>
      </c>
      <c r="BN359" s="39">
        <v>0.0</v>
      </c>
      <c r="BO359" s="39">
        <v>0.0</v>
      </c>
      <c r="BP359" s="35" t="s">
        <v>7045</v>
      </c>
      <c r="BQ359" s="30">
        <v>46844.0</v>
      </c>
      <c r="BR359" s="30">
        <v>46934.0</v>
      </c>
      <c r="BS359" s="39">
        <v>0.0</v>
      </c>
      <c r="BT359" s="39">
        <v>0.0</v>
      </c>
      <c r="BU359" s="35" t="s">
        <v>7045</v>
      </c>
      <c r="BV359" s="30">
        <v>46935.0</v>
      </c>
      <c r="BW359" s="30">
        <v>47026.0</v>
      </c>
      <c r="BX359" s="39">
        <v>0.0</v>
      </c>
      <c r="BY359" s="39">
        <v>0.0</v>
      </c>
      <c r="BZ359" s="35" t="s">
        <v>7045</v>
      </c>
      <c r="CA359" s="30">
        <v>47027.0</v>
      </c>
      <c r="CB359" s="30">
        <v>47118.0</v>
      </c>
      <c r="CC359" s="39">
        <v>0.0</v>
      </c>
      <c r="CD359" s="39">
        <v>0.0</v>
      </c>
      <c r="CE359" s="35" t="s">
        <v>7045</v>
      </c>
      <c r="CF359" s="30">
        <v>47119.0</v>
      </c>
      <c r="CG359" s="30">
        <v>47208.0</v>
      </c>
      <c r="CH359" s="39">
        <v>0.0</v>
      </c>
      <c r="CI359" s="39">
        <v>0.0</v>
      </c>
      <c r="CJ359" s="35" t="s">
        <v>7045</v>
      </c>
      <c r="CK359" s="30">
        <v>47209.0</v>
      </c>
      <c r="CL359" s="30">
        <v>47299.0</v>
      </c>
      <c r="CM359" s="39">
        <v>0.0</v>
      </c>
      <c r="CN359" s="39">
        <v>0.0</v>
      </c>
      <c r="CO359" s="35" t="s">
        <v>7045</v>
      </c>
      <c r="CP359" s="30">
        <v>47300.0</v>
      </c>
      <c r="CQ359" s="30">
        <v>47391.0</v>
      </c>
      <c r="CR359" s="39">
        <v>0.0</v>
      </c>
      <c r="CS359" s="39">
        <v>0.0</v>
      </c>
      <c r="CT359" s="35" t="s">
        <v>7045</v>
      </c>
      <c r="CU359" s="30">
        <v>47392.0</v>
      </c>
      <c r="CV359" s="30">
        <v>47483.0</v>
      </c>
      <c r="CW359" s="39">
        <v>0.0</v>
      </c>
      <c r="CX359" s="39">
        <v>0.0</v>
      </c>
      <c r="CY359" s="35" t="s">
        <v>7045</v>
      </c>
      <c r="CZ359" s="30">
        <v>47484.0</v>
      </c>
      <c r="DA359" s="30">
        <v>47573.0</v>
      </c>
      <c r="DB359" s="39">
        <v>0.0</v>
      </c>
      <c r="DC359" s="39">
        <v>0.0</v>
      </c>
      <c r="DD359" s="35" t="s">
        <v>7045</v>
      </c>
      <c r="DE359" s="30">
        <v>47574.0</v>
      </c>
      <c r="DF359" s="30">
        <v>47664.0</v>
      </c>
      <c r="DG359" s="39">
        <v>0.0</v>
      </c>
      <c r="DH359" s="39">
        <v>0.0</v>
      </c>
      <c r="DI359" s="35" t="s">
        <v>7045</v>
      </c>
      <c r="DJ359" s="30">
        <v>47665.0</v>
      </c>
      <c r="DK359" s="30">
        <v>47756.0</v>
      </c>
      <c r="DL359" s="39">
        <v>0.0</v>
      </c>
      <c r="DM359" s="39">
        <v>0.0</v>
      </c>
      <c r="DN359" s="35" t="s">
        <v>7045</v>
      </c>
      <c r="DO359" s="30">
        <v>47757.0</v>
      </c>
      <c r="DP359" s="30">
        <v>47848.0</v>
      </c>
      <c r="DQ359" s="39">
        <v>0.0</v>
      </c>
      <c r="DR359" s="39">
        <v>0.0</v>
      </c>
      <c r="DS359" s="35" t="s">
        <v>7045</v>
      </c>
    </row>
    <row r="360" ht="14.25" customHeight="1">
      <c r="A360" s="28" t="s">
        <v>6370</v>
      </c>
      <c r="B360" s="29" t="s">
        <v>6371</v>
      </c>
      <c r="C360" s="29" t="s">
        <v>7041</v>
      </c>
      <c r="D360" s="30">
        <v>45658.0</v>
      </c>
      <c r="E360" s="30">
        <v>45747.0</v>
      </c>
      <c r="F360" s="39">
        <v>2.88</v>
      </c>
      <c r="G360" s="39">
        <v>0.0</v>
      </c>
      <c r="H360" s="38" t="s">
        <v>7047</v>
      </c>
      <c r="I360" s="30">
        <v>45748.0</v>
      </c>
      <c r="J360" s="30">
        <v>45838.0</v>
      </c>
      <c r="K360" s="39">
        <v>76.87</v>
      </c>
      <c r="L360" s="39">
        <v>393.94</v>
      </c>
      <c r="M360" s="37" t="s">
        <v>7043</v>
      </c>
      <c r="N360" s="30">
        <v>45839.0</v>
      </c>
      <c r="O360" s="30">
        <v>45930.0</v>
      </c>
      <c r="P360" s="39">
        <v>145.58</v>
      </c>
      <c r="Q360" s="39">
        <v>557.58</v>
      </c>
      <c r="R360" s="38" t="s">
        <v>7047</v>
      </c>
      <c r="S360" s="30">
        <v>45931.0</v>
      </c>
      <c r="T360" s="30">
        <v>46022.0</v>
      </c>
      <c r="U360" s="39">
        <v>179.93</v>
      </c>
      <c r="V360" s="39">
        <v>630.3</v>
      </c>
      <c r="W360" s="38" t="s">
        <v>7047</v>
      </c>
      <c r="X360" s="30">
        <v>46023.0</v>
      </c>
      <c r="Y360" s="30">
        <v>46112.0</v>
      </c>
      <c r="Z360" s="39">
        <v>7.81</v>
      </c>
      <c r="AA360" s="39">
        <v>0.0</v>
      </c>
      <c r="AB360" s="38" t="s">
        <v>7047</v>
      </c>
      <c r="AC360" s="30">
        <v>46113.0</v>
      </c>
      <c r="AD360" s="30">
        <v>46203.0</v>
      </c>
      <c r="AE360" s="39">
        <v>54.99</v>
      </c>
      <c r="AF360" s="39">
        <v>0.0</v>
      </c>
      <c r="AG360" s="38" t="s">
        <v>7047</v>
      </c>
      <c r="AH360" s="30">
        <v>46204.0</v>
      </c>
      <c r="AI360" s="30">
        <v>46295.0</v>
      </c>
      <c r="AJ360" s="39">
        <v>1.8</v>
      </c>
      <c r="AK360" s="39">
        <v>0.0</v>
      </c>
      <c r="AL360" s="38" t="s">
        <v>7047</v>
      </c>
      <c r="AM360" s="30">
        <v>46296.0</v>
      </c>
      <c r="AN360" s="30">
        <v>46387.0</v>
      </c>
      <c r="AO360" s="39">
        <v>22.82</v>
      </c>
      <c r="AP360" s="39">
        <v>0.0</v>
      </c>
      <c r="AQ360" s="38" t="s">
        <v>7047</v>
      </c>
      <c r="AR360" s="30">
        <v>46388.0</v>
      </c>
      <c r="AS360" s="30">
        <v>46477.0</v>
      </c>
      <c r="AT360" s="39">
        <v>0.0</v>
      </c>
      <c r="AU360" s="39">
        <v>0.0</v>
      </c>
      <c r="AV360" s="35" t="s">
        <v>7045</v>
      </c>
      <c r="AW360" s="30">
        <v>46478.0</v>
      </c>
      <c r="AX360" s="30">
        <v>46568.0</v>
      </c>
      <c r="AY360" s="39">
        <v>0.0</v>
      </c>
      <c r="AZ360" s="39">
        <v>0.0</v>
      </c>
      <c r="BA360" s="35" t="s">
        <v>7045</v>
      </c>
      <c r="BB360" s="30">
        <v>46569.0</v>
      </c>
      <c r="BC360" s="30">
        <v>46660.0</v>
      </c>
      <c r="BD360" s="39">
        <v>0.0</v>
      </c>
      <c r="BE360" s="39">
        <v>0.0</v>
      </c>
      <c r="BF360" s="35" t="s">
        <v>7045</v>
      </c>
      <c r="BG360" s="30">
        <v>46661.0</v>
      </c>
      <c r="BH360" s="30">
        <v>46752.0</v>
      </c>
      <c r="BI360" s="39">
        <v>0.0</v>
      </c>
      <c r="BJ360" s="39">
        <v>0.0</v>
      </c>
      <c r="BK360" s="35" t="s">
        <v>7045</v>
      </c>
      <c r="BL360" s="30">
        <v>46753.0</v>
      </c>
      <c r="BM360" s="30">
        <v>46843.0</v>
      </c>
      <c r="BN360" s="39">
        <v>0.0</v>
      </c>
      <c r="BO360" s="39">
        <v>0.0</v>
      </c>
      <c r="BP360" s="35" t="s">
        <v>7045</v>
      </c>
      <c r="BQ360" s="30">
        <v>46844.0</v>
      </c>
      <c r="BR360" s="30">
        <v>46934.0</v>
      </c>
      <c r="BS360" s="39">
        <v>0.0</v>
      </c>
      <c r="BT360" s="39">
        <v>0.0</v>
      </c>
      <c r="BU360" s="35" t="s">
        <v>7045</v>
      </c>
      <c r="BV360" s="30">
        <v>46935.0</v>
      </c>
      <c r="BW360" s="30">
        <v>47026.0</v>
      </c>
      <c r="BX360" s="39">
        <v>0.0</v>
      </c>
      <c r="BY360" s="39">
        <v>0.0</v>
      </c>
      <c r="BZ360" s="35" t="s">
        <v>7045</v>
      </c>
      <c r="CA360" s="30">
        <v>47027.0</v>
      </c>
      <c r="CB360" s="30">
        <v>47118.0</v>
      </c>
      <c r="CC360" s="39">
        <v>0.0</v>
      </c>
      <c r="CD360" s="39">
        <v>0.0</v>
      </c>
      <c r="CE360" s="35" t="s">
        <v>7045</v>
      </c>
      <c r="CF360" s="30">
        <v>47119.0</v>
      </c>
      <c r="CG360" s="30">
        <v>47208.0</v>
      </c>
      <c r="CH360" s="39">
        <v>0.0</v>
      </c>
      <c r="CI360" s="39">
        <v>0.0</v>
      </c>
      <c r="CJ360" s="35" t="s">
        <v>7045</v>
      </c>
      <c r="CK360" s="30">
        <v>47209.0</v>
      </c>
      <c r="CL360" s="30">
        <v>47299.0</v>
      </c>
      <c r="CM360" s="39">
        <v>0.0</v>
      </c>
      <c r="CN360" s="39">
        <v>0.0</v>
      </c>
      <c r="CO360" s="35" t="s">
        <v>7045</v>
      </c>
      <c r="CP360" s="30">
        <v>47300.0</v>
      </c>
      <c r="CQ360" s="30">
        <v>47391.0</v>
      </c>
      <c r="CR360" s="39">
        <v>0.0</v>
      </c>
      <c r="CS360" s="39">
        <v>0.0</v>
      </c>
      <c r="CT360" s="35" t="s">
        <v>7045</v>
      </c>
      <c r="CU360" s="30">
        <v>47392.0</v>
      </c>
      <c r="CV360" s="30">
        <v>47483.0</v>
      </c>
      <c r="CW360" s="39">
        <v>0.0</v>
      </c>
      <c r="CX360" s="39">
        <v>0.0</v>
      </c>
      <c r="CY360" s="35" t="s">
        <v>7045</v>
      </c>
      <c r="CZ360" s="30">
        <v>47484.0</v>
      </c>
      <c r="DA360" s="30">
        <v>47573.0</v>
      </c>
      <c r="DB360" s="39">
        <v>0.0</v>
      </c>
      <c r="DC360" s="39">
        <v>0.0</v>
      </c>
      <c r="DD360" s="35" t="s">
        <v>7045</v>
      </c>
      <c r="DE360" s="30">
        <v>47574.0</v>
      </c>
      <c r="DF360" s="30">
        <v>47664.0</v>
      </c>
      <c r="DG360" s="39">
        <v>0.0</v>
      </c>
      <c r="DH360" s="39">
        <v>0.0</v>
      </c>
      <c r="DI360" s="35" t="s">
        <v>7045</v>
      </c>
      <c r="DJ360" s="30">
        <v>47665.0</v>
      </c>
      <c r="DK360" s="30">
        <v>47756.0</v>
      </c>
      <c r="DL360" s="39">
        <v>0.0</v>
      </c>
      <c r="DM360" s="39">
        <v>0.0</v>
      </c>
      <c r="DN360" s="35" t="s">
        <v>7045</v>
      </c>
      <c r="DO360" s="30">
        <v>47757.0</v>
      </c>
      <c r="DP360" s="30">
        <v>47848.0</v>
      </c>
      <c r="DQ360" s="39">
        <v>0.0</v>
      </c>
      <c r="DR360" s="39">
        <v>0.0</v>
      </c>
      <c r="DS360" s="35" t="s">
        <v>7045</v>
      </c>
    </row>
    <row r="361" ht="14.25" customHeight="1">
      <c r="A361" s="28" t="s">
        <v>6425</v>
      </c>
      <c r="B361" s="29" t="s">
        <v>6426</v>
      </c>
      <c r="C361" s="29" t="s">
        <v>7041</v>
      </c>
      <c r="D361" s="30">
        <v>45658.0</v>
      </c>
      <c r="E361" s="30">
        <v>45747.0</v>
      </c>
      <c r="F361" s="36">
        <v>210.0</v>
      </c>
      <c r="G361" s="36">
        <v>0.0</v>
      </c>
      <c r="H361" s="38" t="s">
        <v>7047</v>
      </c>
      <c r="I361" s="30">
        <v>45748.0</v>
      </c>
      <c r="J361" s="30">
        <v>45838.0</v>
      </c>
      <c r="K361" s="36">
        <v>100.0</v>
      </c>
      <c r="L361" s="36">
        <v>0.0</v>
      </c>
      <c r="M361" s="38" t="s">
        <v>7047</v>
      </c>
      <c r="N361" s="30">
        <v>45839.0</v>
      </c>
      <c r="O361" s="30">
        <v>45930.0</v>
      </c>
      <c r="P361" s="36">
        <v>100.0</v>
      </c>
      <c r="Q361" s="36">
        <v>0.0</v>
      </c>
      <c r="R361" s="35" t="s">
        <v>7047</v>
      </c>
      <c r="S361" s="30">
        <v>45931.0</v>
      </c>
      <c r="T361" s="30">
        <v>46022.0</v>
      </c>
      <c r="U361" s="36">
        <v>100.0</v>
      </c>
      <c r="V361" s="36">
        <v>0.0</v>
      </c>
      <c r="W361" s="35" t="s">
        <v>7047</v>
      </c>
      <c r="X361" s="30">
        <v>46023.0</v>
      </c>
      <c r="Y361" s="30">
        <v>46112.0</v>
      </c>
      <c r="Z361" s="36">
        <v>0.0</v>
      </c>
      <c r="AA361" s="36">
        <v>0.0</v>
      </c>
      <c r="AB361" s="35" t="s">
        <v>7045</v>
      </c>
      <c r="AC361" s="30">
        <v>46113.0</v>
      </c>
      <c r="AD361" s="30">
        <v>46203.0</v>
      </c>
      <c r="AE361" s="36">
        <v>0.0</v>
      </c>
      <c r="AF361" s="36">
        <v>0.0</v>
      </c>
      <c r="AG361" s="35" t="s">
        <v>7045</v>
      </c>
      <c r="AH361" s="30">
        <v>46204.0</v>
      </c>
      <c r="AI361" s="30">
        <v>46295.0</v>
      </c>
      <c r="AJ361" s="36">
        <v>0.0</v>
      </c>
      <c r="AK361" s="36">
        <v>0.0</v>
      </c>
      <c r="AL361" s="35" t="s">
        <v>7045</v>
      </c>
      <c r="AM361" s="30">
        <v>46296.0</v>
      </c>
      <c r="AN361" s="30">
        <v>46387.0</v>
      </c>
      <c r="AO361" s="36">
        <v>0.0</v>
      </c>
      <c r="AP361" s="36">
        <v>0.0</v>
      </c>
      <c r="AQ361" s="35" t="s">
        <v>7045</v>
      </c>
      <c r="AR361" s="30">
        <v>46388.0</v>
      </c>
      <c r="AS361" s="30">
        <v>46477.0</v>
      </c>
      <c r="AT361" s="36">
        <v>0.0</v>
      </c>
      <c r="AU361" s="36">
        <v>0.0</v>
      </c>
      <c r="AV361" s="35" t="s">
        <v>7045</v>
      </c>
      <c r="AW361" s="30">
        <v>46478.0</v>
      </c>
      <c r="AX361" s="30">
        <v>46568.0</v>
      </c>
      <c r="AY361" s="36">
        <v>0.0</v>
      </c>
      <c r="AZ361" s="36">
        <v>0.0</v>
      </c>
      <c r="BA361" s="35" t="s">
        <v>7045</v>
      </c>
      <c r="BB361" s="30">
        <v>46569.0</v>
      </c>
      <c r="BC361" s="30">
        <v>46660.0</v>
      </c>
      <c r="BD361" s="36">
        <v>0.0</v>
      </c>
      <c r="BE361" s="36">
        <v>0.0</v>
      </c>
      <c r="BF361" s="35" t="s">
        <v>7045</v>
      </c>
      <c r="BG361" s="30">
        <v>46661.0</v>
      </c>
      <c r="BH361" s="30">
        <v>46752.0</v>
      </c>
      <c r="BI361" s="36">
        <v>0.0</v>
      </c>
      <c r="BJ361" s="36">
        <v>0.0</v>
      </c>
      <c r="BK361" s="35" t="s">
        <v>7045</v>
      </c>
      <c r="BL361" s="30">
        <v>46753.0</v>
      </c>
      <c r="BM361" s="30">
        <v>46843.0</v>
      </c>
      <c r="BN361" s="36">
        <v>0.0</v>
      </c>
      <c r="BO361" s="36">
        <v>0.0</v>
      </c>
      <c r="BP361" s="35" t="s">
        <v>7045</v>
      </c>
      <c r="BQ361" s="30">
        <v>46844.0</v>
      </c>
      <c r="BR361" s="30">
        <v>46934.0</v>
      </c>
      <c r="BS361" s="36">
        <v>0.0</v>
      </c>
      <c r="BT361" s="36">
        <v>0.0</v>
      </c>
      <c r="BU361" s="35" t="s">
        <v>7045</v>
      </c>
      <c r="BV361" s="30">
        <v>46935.0</v>
      </c>
      <c r="BW361" s="30">
        <v>47026.0</v>
      </c>
      <c r="BX361" s="36">
        <v>0.0</v>
      </c>
      <c r="BY361" s="36">
        <v>0.0</v>
      </c>
      <c r="BZ361" s="35" t="s">
        <v>7045</v>
      </c>
      <c r="CA361" s="30">
        <v>47027.0</v>
      </c>
      <c r="CB361" s="30">
        <v>47118.0</v>
      </c>
      <c r="CC361" s="36">
        <v>0.0</v>
      </c>
      <c r="CD361" s="36">
        <v>0.0</v>
      </c>
      <c r="CE361" s="35" t="s">
        <v>7045</v>
      </c>
      <c r="CF361" s="30">
        <v>47119.0</v>
      </c>
      <c r="CG361" s="30">
        <v>47208.0</v>
      </c>
      <c r="CH361" s="36">
        <v>0.0</v>
      </c>
      <c r="CI361" s="36">
        <v>0.0</v>
      </c>
      <c r="CJ361" s="35" t="s">
        <v>7045</v>
      </c>
      <c r="CK361" s="30">
        <v>47209.0</v>
      </c>
      <c r="CL361" s="30">
        <v>47299.0</v>
      </c>
      <c r="CM361" s="36">
        <v>0.0</v>
      </c>
      <c r="CN361" s="36">
        <v>0.0</v>
      </c>
      <c r="CO361" s="35" t="s">
        <v>7045</v>
      </c>
      <c r="CP361" s="30">
        <v>47300.0</v>
      </c>
      <c r="CQ361" s="30">
        <v>47391.0</v>
      </c>
      <c r="CR361" s="36">
        <v>0.0</v>
      </c>
      <c r="CS361" s="36">
        <v>0.0</v>
      </c>
      <c r="CT361" s="35" t="s">
        <v>7045</v>
      </c>
      <c r="CU361" s="30">
        <v>47392.0</v>
      </c>
      <c r="CV361" s="30">
        <v>47483.0</v>
      </c>
      <c r="CW361" s="36">
        <v>0.0</v>
      </c>
      <c r="CX361" s="36">
        <v>0.0</v>
      </c>
      <c r="CY361" s="35" t="s">
        <v>7045</v>
      </c>
      <c r="CZ361" s="30">
        <v>47484.0</v>
      </c>
      <c r="DA361" s="30">
        <v>47573.0</v>
      </c>
      <c r="DB361" s="36">
        <v>0.0</v>
      </c>
      <c r="DC361" s="36">
        <v>0.0</v>
      </c>
      <c r="DD361" s="35" t="s">
        <v>7045</v>
      </c>
      <c r="DE361" s="30">
        <v>47574.0</v>
      </c>
      <c r="DF361" s="30">
        <v>47664.0</v>
      </c>
      <c r="DG361" s="36">
        <v>0.0</v>
      </c>
      <c r="DH361" s="36">
        <v>0.0</v>
      </c>
      <c r="DI361" s="35" t="s">
        <v>7045</v>
      </c>
      <c r="DJ361" s="30">
        <v>47665.0</v>
      </c>
      <c r="DK361" s="30">
        <v>47756.0</v>
      </c>
      <c r="DL361" s="36">
        <v>0.0</v>
      </c>
      <c r="DM361" s="36">
        <v>0.0</v>
      </c>
      <c r="DN361" s="35" t="s">
        <v>7045</v>
      </c>
      <c r="DO361" s="30">
        <v>47757.0</v>
      </c>
      <c r="DP361" s="30">
        <v>47848.0</v>
      </c>
      <c r="DQ361" s="36">
        <v>0.0</v>
      </c>
      <c r="DR361" s="36">
        <v>0.0</v>
      </c>
      <c r="DS361" s="35" t="s">
        <v>7045</v>
      </c>
    </row>
    <row r="362" ht="14.25" customHeight="1">
      <c r="A362" s="28" t="s">
        <v>6454</v>
      </c>
      <c r="B362" s="29" t="s">
        <v>6455</v>
      </c>
      <c r="C362" s="29" t="s">
        <v>7041</v>
      </c>
      <c r="D362" s="30">
        <v>45658.0</v>
      </c>
      <c r="E362" s="30">
        <v>45747.0</v>
      </c>
      <c r="F362" s="36">
        <v>0.0</v>
      </c>
      <c r="G362" s="36">
        <v>0.0</v>
      </c>
      <c r="H362" s="35" t="s">
        <v>7045</v>
      </c>
      <c r="I362" s="30">
        <v>45748.0</v>
      </c>
      <c r="J362" s="30">
        <v>45838.0</v>
      </c>
      <c r="K362" s="36">
        <v>10.29</v>
      </c>
      <c r="L362" s="36">
        <v>0.0</v>
      </c>
      <c r="M362" s="38" t="s">
        <v>7047</v>
      </c>
      <c r="N362" s="30">
        <v>45839.0</v>
      </c>
      <c r="O362" s="30">
        <v>45930.0</v>
      </c>
      <c r="P362" s="36">
        <v>10.29</v>
      </c>
      <c r="Q362" s="36">
        <v>0.0</v>
      </c>
      <c r="R362" s="35" t="s">
        <v>7047</v>
      </c>
      <c r="S362" s="30">
        <v>45931.0</v>
      </c>
      <c r="T362" s="30">
        <v>46022.0</v>
      </c>
      <c r="U362" s="36">
        <v>0.0</v>
      </c>
      <c r="V362" s="36">
        <v>0.0</v>
      </c>
      <c r="W362" s="35" t="s">
        <v>7045</v>
      </c>
      <c r="X362" s="30">
        <v>46023.0</v>
      </c>
      <c r="Y362" s="30">
        <v>46112.0</v>
      </c>
      <c r="Z362" s="36">
        <v>0.0</v>
      </c>
      <c r="AA362" s="36">
        <v>0.0</v>
      </c>
      <c r="AB362" s="35" t="s">
        <v>7045</v>
      </c>
      <c r="AC362" s="30">
        <v>46113.0</v>
      </c>
      <c r="AD362" s="30">
        <v>46203.0</v>
      </c>
      <c r="AE362" s="36">
        <v>0.0</v>
      </c>
      <c r="AF362" s="36">
        <v>0.0</v>
      </c>
      <c r="AG362" s="35" t="s">
        <v>7045</v>
      </c>
      <c r="AH362" s="30">
        <v>46204.0</v>
      </c>
      <c r="AI362" s="30">
        <v>46295.0</v>
      </c>
      <c r="AJ362" s="36">
        <v>0.0</v>
      </c>
      <c r="AK362" s="36">
        <v>0.0</v>
      </c>
      <c r="AL362" s="35" t="s">
        <v>7045</v>
      </c>
      <c r="AM362" s="30">
        <v>46296.0</v>
      </c>
      <c r="AN362" s="30">
        <v>46387.0</v>
      </c>
      <c r="AO362" s="36">
        <v>0.0</v>
      </c>
      <c r="AP362" s="36">
        <v>0.0</v>
      </c>
      <c r="AQ362" s="35" t="s">
        <v>7045</v>
      </c>
      <c r="AR362" s="30">
        <v>46388.0</v>
      </c>
      <c r="AS362" s="30">
        <v>46477.0</v>
      </c>
      <c r="AT362" s="36">
        <v>0.0</v>
      </c>
      <c r="AU362" s="36">
        <v>0.0</v>
      </c>
      <c r="AV362" s="35" t="s">
        <v>7045</v>
      </c>
      <c r="AW362" s="30">
        <v>46478.0</v>
      </c>
      <c r="AX362" s="30">
        <v>46568.0</v>
      </c>
      <c r="AY362" s="36">
        <v>0.0</v>
      </c>
      <c r="AZ362" s="36">
        <v>0.0</v>
      </c>
      <c r="BA362" s="35" t="s">
        <v>7045</v>
      </c>
      <c r="BB362" s="30">
        <v>46569.0</v>
      </c>
      <c r="BC362" s="30">
        <v>46660.0</v>
      </c>
      <c r="BD362" s="36">
        <v>0.0</v>
      </c>
      <c r="BE362" s="36">
        <v>0.0</v>
      </c>
      <c r="BF362" s="35" t="s">
        <v>7045</v>
      </c>
      <c r="BG362" s="30">
        <v>46661.0</v>
      </c>
      <c r="BH362" s="30">
        <v>46752.0</v>
      </c>
      <c r="BI362" s="36">
        <v>0.0</v>
      </c>
      <c r="BJ362" s="36">
        <v>0.0</v>
      </c>
      <c r="BK362" s="35" t="s">
        <v>7045</v>
      </c>
      <c r="BL362" s="30">
        <v>46753.0</v>
      </c>
      <c r="BM362" s="30">
        <v>46843.0</v>
      </c>
      <c r="BN362" s="36">
        <v>0.0</v>
      </c>
      <c r="BO362" s="36">
        <v>0.0</v>
      </c>
      <c r="BP362" s="35" t="s">
        <v>7045</v>
      </c>
      <c r="BQ362" s="30">
        <v>46844.0</v>
      </c>
      <c r="BR362" s="30">
        <v>46934.0</v>
      </c>
      <c r="BS362" s="36">
        <v>0.0</v>
      </c>
      <c r="BT362" s="36">
        <v>0.0</v>
      </c>
      <c r="BU362" s="35" t="s">
        <v>7045</v>
      </c>
      <c r="BV362" s="30">
        <v>46935.0</v>
      </c>
      <c r="BW362" s="30">
        <v>47026.0</v>
      </c>
      <c r="BX362" s="36">
        <v>0.0</v>
      </c>
      <c r="BY362" s="36">
        <v>0.0</v>
      </c>
      <c r="BZ362" s="35" t="s">
        <v>7045</v>
      </c>
      <c r="CA362" s="30">
        <v>47027.0</v>
      </c>
      <c r="CB362" s="30">
        <v>47118.0</v>
      </c>
      <c r="CC362" s="36">
        <v>0.0</v>
      </c>
      <c r="CD362" s="36">
        <v>0.0</v>
      </c>
      <c r="CE362" s="35" t="s">
        <v>7045</v>
      </c>
      <c r="CF362" s="30">
        <v>47119.0</v>
      </c>
      <c r="CG362" s="30">
        <v>47208.0</v>
      </c>
      <c r="CH362" s="36">
        <v>0.0</v>
      </c>
      <c r="CI362" s="36">
        <v>0.0</v>
      </c>
      <c r="CJ362" s="35" t="s">
        <v>7045</v>
      </c>
      <c r="CK362" s="30">
        <v>47209.0</v>
      </c>
      <c r="CL362" s="30">
        <v>47299.0</v>
      </c>
      <c r="CM362" s="36">
        <v>0.0</v>
      </c>
      <c r="CN362" s="36">
        <v>0.0</v>
      </c>
      <c r="CO362" s="35" t="s">
        <v>7045</v>
      </c>
      <c r="CP362" s="30">
        <v>47300.0</v>
      </c>
      <c r="CQ362" s="30">
        <v>47391.0</v>
      </c>
      <c r="CR362" s="36">
        <v>0.0</v>
      </c>
      <c r="CS362" s="36">
        <v>0.0</v>
      </c>
      <c r="CT362" s="35" t="s">
        <v>7045</v>
      </c>
      <c r="CU362" s="30">
        <v>47392.0</v>
      </c>
      <c r="CV362" s="30">
        <v>47483.0</v>
      </c>
      <c r="CW362" s="36">
        <v>0.0</v>
      </c>
      <c r="CX362" s="36">
        <v>0.0</v>
      </c>
      <c r="CY362" s="35" t="s">
        <v>7045</v>
      </c>
      <c r="CZ362" s="30">
        <v>47484.0</v>
      </c>
      <c r="DA362" s="30">
        <v>47573.0</v>
      </c>
      <c r="DB362" s="36">
        <v>0.0</v>
      </c>
      <c r="DC362" s="36">
        <v>0.0</v>
      </c>
      <c r="DD362" s="35" t="s">
        <v>7045</v>
      </c>
      <c r="DE362" s="30">
        <v>47574.0</v>
      </c>
      <c r="DF362" s="30">
        <v>47664.0</v>
      </c>
      <c r="DG362" s="36">
        <v>0.0</v>
      </c>
      <c r="DH362" s="36">
        <v>0.0</v>
      </c>
      <c r="DI362" s="35" t="s">
        <v>7045</v>
      </c>
      <c r="DJ362" s="30">
        <v>47665.0</v>
      </c>
      <c r="DK362" s="30">
        <v>47756.0</v>
      </c>
      <c r="DL362" s="36">
        <v>0.0</v>
      </c>
      <c r="DM362" s="36">
        <v>0.0</v>
      </c>
      <c r="DN362" s="35" t="s">
        <v>7045</v>
      </c>
      <c r="DO362" s="30">
        <v>47757.0</v>
      </c>
      <c r="DP362" s="30">
        <v>47848.0</v>
      </c>
      <c r="DQ362" s="36">
        <v>0.0</v>
      </c>
      <c r="DR362" s="36">
        <v>0.0</v>
      </c>
      <c r="DS362" s="35" t="s">
        <v>7045</v>
      </c>
    </row>
    <row r="363" ht="14.25" customHeight="1">
      <c r="A363" s="28" t="s">
        <v>6467</v>
      </c>
      <c r="B363" s="29" t="s">
        <v>6468</v>
      </c>
      <c r="C363" s="29" t="s">
        <v>7041</v>
      </c>
      <c r="D363" s="30">
        <v>45658.0</v>
      </c>
      <c r="E363" s="30">
        <v>45747.0</v>
      </c>
      <c r="F363" s="36">
        <v>16.01</v>
      </c>
      <c r="G363" s="36">
        <v>0.0</v>
      </c>
      <c r="H363" s="38" t="s">
        <v>7047</v>
      </c>
      <c r="I363" s="30">
        <v>45748.0</v>
      </c>
      <c r="J363" s="30">
        <v>45838.0</v>
      </c>
      <c r="K363" s="36">
        <v>4.92</v>
      </c>
      <c r="L363" s="36">
        <v>601.85</v>
      </c>
      <c r="M363" s="38" t="s">
        <v>7043</v>
      </c>
      <c r="N363" s="30">
        <v>45839.0</v>
      </c>
      <c r="O363" s="30">
        <v>45930.0</v>
      </c>
      <c r="P363" s="36">
        <v>19.76</v>
      </c>
      <c r="Q363" s="36">
        <v>435.19</v>
      </c>
      <c r="R363" s="38" t="s">
        <v>7047</v>
      </c>
      <c r="S363" s="30">
        <v>45931.0</v>
      </c>
      <c r="T363" s="30">
        <v>46022.0</v>
      </c>
      <c r="U363" s="36">
        <v>644.99</v>
      </c>
      <c r="V363" s="36">
        <v>185.19</v>
      </c>
      <c r="W363" s="38" t="s">
        <v>7047</v>
      </c>
      <c r="X363" s="30">
        <v>46023.0</v>
      </c>
      <c r="Y363" s="30">
        <v>46112.0</v>
      </c>
      <c r="Z363" s="36">
        <v>183.06</v>
      </c>
      <c r="AA363" s="36">
        <v>0.0</v>
      </c>
      <c r="AB363" s="38" t="s">
        <v>7047</v>
      </c>
      <c r="AC363" s="30">
        <v>46113.0</v>
      </c>
      <c r="AD363" s="30">
        <v>46203.0</v>
      </c>
      <c r="AE363" s="36">
        <v>0.0</v>
      </c>
      <c r="AF363" s="36">
        <v>0.0</v>
      </c>
      <c r="AG363" s="35" t="s">
        <v>7045</v>
      </c>
      <c r="AH363" s="30">
        <v>46204.0</v>
      </c>
      <c r="AI363" s="30">
        <v>46295.0</v>
      </c>
      <c r="AJ363" s="36">
        <v>0.0</v>
      </c>
      <c r="AK363" s="36">
        <v>0.0</v>
      </c>
      <c r="AL363" s="35" t="s">
        <v>7045</v>
      </c>
      <c r="AM363" s="30">
        <v>46296.0</v>
      </c>
      <c r="AN363" s="30">
        <v>46387.0</v>
      </c>
      <c r="AO363" s="36">
        <v>0.0</v>
      </c>
      <c r="AP363" s="36">
        <v>0.0</v>
      </c>
      <c r="AQ363" s="35" t="s">
        <v>7045</v>
      </c>
      <c r="AR363" s="30">
        <v>46388.0</v>
      </c>
      <c r="AS363" s="30">
        <v>46477.0</v>
      </c>
      <c r="AT363" s="36">
        <v>0.0</v>
      </c>
      <c r="AU363" s="36">
        <v>0.0</v>
      </c>
      <c r="AV363" s="35" t="s">
        <v>7045</v>
      </c>
      <c r="AW363" s="30">
        <v>46478.0</v>
      </c>
      <c r="AX363" s="30">
        <v>46568.0</v>
      </c>
      <c r="AY363" s="36">
        <v>0.0</v>
      </c>
      <c r="AZ363" s="36">
        <v>0.0</v>
      </c>
      <c r="BA363" s="35" t="s">
        <v>7045</v>
      </c>
      <c r="BB363" s="30">
        <v>46569.0</v>
      </c>
      <c r="BC363" s="30">
        <v>46660.0</v>
      </c>
      <c r="BD363" s="36">
        <v>0.0</v>
      </c>
      <c r="BE363" s="36">
        <v>0.0</v>
      </c>
      <c r="BF363" s="35" t="s">
        <v>7045</v>
      </c>
      <c r="BG363" s="30">
        <v>46661.0</v>
      </c>
      <c r="BH363" s="30">
        <v>46752.0</v>
      </c>
      <c r="BI363" s="36">
        <v>0.0</v>
      </c>
      <c r="BJ363" s="36">
        <v>0.0</v>
      </c>
      <c r="BK363" s="35" t="s">
        <v>7045</v>
      </c>
      <c r="BL363" s="30">
        <v>46753.0</v>
      </c>
      <c r="BM363" s="30">
        <v>46843.0</v>
      </c>
      <c r="BN363" s="36">
        <v>0.0</v>
      </c>
      <c r="BO363" s="36">
        <v>0.0</v>
      </c>
      <c r="BP363" s="35" t="s">
        <v>7045</v>
      </c>
      <c r="BQ363" s="30">
        <v>46844.0</v>
      </c>
      <c r="BR363" s="30">
        <v>46934.0</v>
      </c>
      <c r="BS363" s="36">
        <v>0.0</v>
      </c>
      <c r="BT363" s="36">
        <v>0.0</v>
      </c>
      <c r="BU363" s="35" t="s">
        <v>7045</v>
      </c>
      <c r="BV363" s="30">
        <v>46935.0</v>
      </c>
      <c r="BW363" s="30">
        <v>47026.0</v>
      </c>
      <c r="BX363" s="36">
        <v>0.0</v>
      </c>
      <c r="BY363" s="36">
        <v>0.0</v>
      </c>
      <c r="BZ363" s="35" t="s">
        <v>7045</v>
      </c>
      <c r="CA363" s="30">
        <v>47027.0</v>
      </c>
      <c r="CB363" s="30">
        <v>47118.0</v>
      </c>
      <c r="CC363" s="36">
        <v>0.0</v>
      </c>
      <c r="CD363" s="36">
        <v>0.0</v>
      </c>
      <c r="CE363" s="35" t="s">
        <v>7045</v>
      </c>
      <c r="CF363" s="30">
        <v>47119.0</v>
      </c>
      <c r="CG363" s="30">
        <v>47208.0</v>
      </c>
      <c r="CH363" s="36">
        <v>0.0</v>
      </c>
      <c r="CI363" s="36">
        <v>0.0</v>
      </c>
      <c r="CJ363" s="35" t="s">
        <v>7045</v>
      </c>
      <c r="CK363" s="30">
        <v>47209.0</v>
      </c>
      <c r="CL363" s="30">
        <v>47299.0</v>
      </c>
      <c r="CM363" s="36">
        <v>0.0</v>
      </c>
      <c r="CN363" s="36">
        <v>0.0</v>
      </c>
      <c r="CO363" s="35" t="s">
        <v>7045</v>
      </c>
      <c r="CP363" s="30">
        <v>47300.0</v>
      </c>
      <c r="CQ363" s="30">
        <v>47391.0</v>
      </c>
      <c r="CR363" s="36">
        <v>0.0</v>
      </c>
      <c r="CS363" s="36">
        <v>0.0</v>
      </c>
      <c r="CT363" s="35" t="s">
        <v>7045</v>
      </c>
      <c r="CU363" s="30">
        <v>47392.0</v>
      </c>
      <c r="CV363" s="30">
        <v>47483.0</v>
      </c>
      <c r="CW363" s="36">
        <v>0.0</v>
      </c>
      <c r="CX363" s="36">
        <v>0.0</v>
      </c>
      <c r="CY363" s="35" t="s">
        <v>7045</v>
      </c>
      <c r="CZ363" s="30">
        <v>47484.0</v>
      </c>
      <c r="DA363" s="30">
        <v>47573.0</v>
      </c>
      <c r="DB363" s="36">
        <v>0.0</v>
      </c>
      <c r="DC363" s="36">
        <v>0.0</v>
      </c>
      <c r="DD363" s="35" t="s">
        <v>7045</v>
      </c>
      <c r="DE363" s="30">
        <v>47574.0</v>
      </c>
      <c r="DF363" s="30">
        <v>47664.0</v>
      </c>
      <c r="DG363" s="36">
        <v>0.0</v>
      </c>
      <c r="DH363" s="36">
        <v>0.0</v>
      </c>
      <c r="DI363" s="35" t="s">
        <v>7045</v>
      </c>
      <c r="DJ363" s="30">
        <v>47665.0</v>
      </c>
      <c r="DK363" s="30">
        <v>47756.0</v>
      </c>
      <c r="DL363" s="36">
        <v>0.0</v>
      </c>
      <c r="DM363" s="36">
        <v>0.0</v>
      </c>
      <c r="DN363" s="35" t="s">
        <v>7045</v>
      </c>
      <c r="DO363" s="30">
        <v>47757.0</v>
      </c>
      <c r="DP363" s="30">
        <v>47848.0</v>
      </c>
      <c r="DQ363" s="36">
        <v>0.0</v>
      </c>
      <c r="DR363" s="36">
        <v>0.0</v>
      </c>
      <c r="DS363" s="35" t="s">
        <v>7045</v>
      </c>
    </row>
    <row r="364" ht="14.25" customHeight="1">
      <c r="A364" s="28" t="s">
        <v>6486</v>
      </c>
      <c r="B364" s="29" t="s">
        <v>6487</v>
      </c>
      <c r="C364" s="29" t="s">
        <v>7041</v>
      </c>
      <c r="D364" s="30">
        <v>45658.0</v>
      </c>
      <c r="E364" s="30">
        <v>45747.0</v>
      </c>
      <c r="F364" s="39">
        <v>1.15</v>
      </c>
      <c r="G364" s="39">
        <v>0.0</v>
      </c>
      <c r="H364" s="38" t="s">
        <v>7047</v>
      </c>
      <c r="I364" s="30">
        <v>45748.0</v>
      </c>
      <c r="J364" s="30">
        <v>45838.0</v>
      </c>
      <c r="K364" s="39">
        <v>13.26</v>
      </c>
      <c r="L364" s="39">
        <v>181.03</v>
      </c>
      <c r="M364" s="32" t="s">
        <v>7043</v>
      </c>
      <c r="N364" s="30">
        <v>45839.0</v>
      </c>
      <c r="O364" s="30">
        <v>45930.0</v>
      </c>
      <c r="P364" s="39">
        <v>227.08</v>
      </c>
      <c r="Q364" s="39">
        <v>271.55</v>
      </c>
      <c r="R364" s="38" t="s">
        <v>7047</v>
      </c>
      <c r="S364" s="30">
        <v>45931.0</v>
      </c>
      <c r="T364" s="30">
        <v>46022.0</v>
      </c>
      <c r="U364" s="39">
        <v>128.8</v>
      </c>
      <c r="V364" s="39">
        <v>271.55</v>
      </c>
      <c r="W364" s="38" t="s">
        <v>7047</v>
      </c>
      <c r="X364" s="30">
        <v>46023.0</v>
      </c>
      <c r="Y364" s="30">
        <v>46112.0</v>
      </c>
      <c r="Z364" s="39">
        <v>137.74</v>
      </c>
      <c r="AA364" s="39">
        <v>0.0</v>
      </c>
      <c r="AB364" s="38" t="s">
        <v>7047</v>
      </c>
      <c r="AC364" s="30">
        <v>46113.0</v>
      </c>
      <c r="AD364" s="30">
        <v>46203.0</v>
      </c>
      <c r="AE364" s="39">
        <v>77.54</v>
      </c>
      <c r="AF364" s="39">
        <v>0.0</v>
      </c>
      <c r="AG364" s="38" t="s">
        <v>7047</v>
      </c>
      <c r="AH364" s="30">
        <v>46204.0</v>
      </c>
      <c r="AI364" s="30">
        <v>46295.0</v>
      </c>
      <c r="AJ364" s="39">
        <v>139.33</v>
      </c>
      <c r="AK364" s="39">
        <v>0.0</v>
      </c>
      <c r="AL364" s="38" t="s">
        <v>7047</v>
      </c>
      <c r="AM364" s="30">
        <v>46296.0</v>
      </c>
      <c r="AN364" s="30">
        <v>46387.0</v>
      </c>
      <c r="AO364" s="39">
        <v>29.41</v>
      </c>
      <c r="AP364" s="39">
        <v>0.0</v>
      </c>
      <c r="AQ364" s="38" t="s">
        <v>7047</v>
      </c>
      <c r="AR364" s="30">
        <v>46388.0</v>
      </c>
      <c r="AS364" s="30">
        <v>46477.0</v>
      </c>
      <c r="AT364" s="39">
        <v>0.0</v>
      </c>
      <c r="AU364" s="39">
        <v>0.0</v>
      </c>
      <c r="AV364" s="35" t="s">
        <v>7045</v>
      </c>
      <c r="AW364" s="30">
        <v>46478.0</v>
      </c>
      <c r="AX364" s="30">
        <v>46568.0</v>
      </c>
      <c r="AY364" s="39">
        <v>0.0</v>
      </c>
      <c r="AZ364" s="39">
        <v>0.0</v>
      </c>
      <c r="BA364" s="35" t="s">
        <v>7045</v>
      </c>
      <c r="BB364" s="30">
        <v>46569.0</v>
      </c>
      <c r="BC364" s="30">
        <v>46660.0</v>
      </c>
      <c r="BD364" s="39">
        <v>0.0</v>
      </c>
      <c r="BE364" s="39">
        <v>0.0</v>
      </c>
      <c r="BF364" s="35" t="s">
        <v>7045</v>
      </c>
      <c r="BG364" s="30">
        <v>46661.0</v>
      </c>
      <c r="BH364" s="30">
        <v>46752.0</v>
      </c>
      <c r="BI364" s="39">
        <v>0.0</v>
      </c>
      <c r="BJ364" s="39">
        <v>0.0</v>
      </c>
      <c r="BK364" s="35" t="s">
        <v>7045</v>
      </c>
      <c r="BL364" s="30">
        <v>46753.0</v>
      </c>
      <c r="BM364" s="30">
        <v>46843.0</v>
      </c>
      <c r="BN364" s="39">
        <v>0.0</v>
      </c>
      <c r="BO364" s="39">
        <v>0.0</v>
      </c>
      <c r="BP364" s="35" t="s">
        <v>7045</v>
      </c>
      <c r="BQ364" s="30">
        <v>46844.0</v>
      </c>
      <c r="BR364" s="30">
        <v>46934.0</v>
      </c>
      <c r="BS364" s="39">
        <v>0.0</v>
      </c>
      <c r="BT364" s="39">
        <v>0.0</v>
      </c>
      <c r="BU364" s="35" t="s">
        <v>7045</v>
      </c>
      <c r="BV364" s="30">
        <v>46935.0</v>
      </c>
      <c r="BW364" s="30">
        <v>47026.0</v>
      </c>
      <c r="BX364" s="39">
        <v>0.0</v>
      </c>
      <c r="BY364" s="39">
        <v>0.0</v>
      </c>
      <c r="BZ364" s="35" t="s">
        <v>7045</v>
      </c>
      <c r="CA364" s="30">
        <v>47027.0</v>
      </c>
      <c r="CB364" s="30">
        <v>47118.0</v>
      </c>
      <c r="CC364" s="39">
        <v>0.0</v>
      </c>
      <c r="CD364" s="39">
        <v>0.0</v>
      </c>
      <c r="CE364" s="35" t="s">
        <v>7045</v>
      </c>
      <c r="CF364" s="30">
        <v>47119.0</v>
      </c>
      <c r="CG364" s="30">
        <v>47208.0</v>
      </c>
      <c r="CH364" s="39">
        <v>0.0</v>
      </c>
      <c r="CI364" s="39">
        <v>0.0</v>
      </c>
      <c r="CJ364" s="35" t="s">
        <v>7045</v>
      </c>
      <c r="CK364" s="30">
        <v>47209.0</v>
      </c>
      <c r="CL364" s="30">
        <v>47299.0</v>
      </c>
      <c r="CM364" s="39">
        <v>0.0</v>
      </c>
      <c r="CN364" s="39">
        <v>0.0</v>
      </c>
      <c r="CO364" s="35" t="s">
        <v>7045</v>
      </c>
      <c r="CP364" s="30">
        <v>47300.0</v>
      </c>
      <c r="CQ364" s="30">
        <v>47391.0</v>
      </c>
      <c r="CR364" s="39">
        <v>0.0</v>
      </c>
      <c r="CS364" s="39">
        <v>0.0</v>
      </c>
      <c r="CT364" s="35" t="s">
        <v>7045</v>
      </c>
      <c r="CU364" s="30">
        <v>47392.0</v>
      </c>
      <c r="CV364" s="30">
        <v>47483.0</v>
      </c>
      <c r="CW364" s="39">
        <v>0.0</v>
      </c>
      <c r="CX364" s="39">
        <v>0.0</v>
      </c>
      <c r="CY364" s="35" t="s">
        <v>7045</v>
      </c>
      <c r="CZ364" s="30">
        <v>47484.0</v>
      </c>
      <c r="DA364" s="30">
        <v>47573.0</v>
      </c>
      <c r="DB364" s="39">
        <v>0.0</v>
      </c>
      <c r="DC364" s="39">
        <v>0.0</v>
      </c>
      <c r="DD364" s="35" t="s">
        <v>7045</v>
      </c>
      <c r="DE364" s="30">
        <v>47574.0</v>
      </c>
      <c r="DF364" s="30">
        <v>47664.0</v>
      </c>
      <c r="DG364" s="39">
        <v>0.0</v>
      </c>
      <c r="DH364" s="39">
        <v>0.0</v>
      </c>
      <c r="DI364" s="35" t="s">
        <v>7045</v>
      </c>
      <c r="DJ364" s="30">
        <v>47665.0</v>
      </c>
      <c r="DK364" s="30">
        <v>47756.0</v>
      </c>
      <c r="DL364" s="39">
        <v>0.0</v>
      </c>
      <c r="DM364" s="39">
        <v>0.0</v>
      </c>
      <c r="DN364" s="35" t="s">
        <v>7045</v>
      </c>
      <c r="DO364" s="30">
        <v>47757.0</v>
      </c>
      <c r="DP364" s="30">
        <v>47848.0</v>
      </c>
      <c r="DQ364" s="39">
        <v>0.0</v>
      </c>
      <c r="DR364" s="39">
        <v>0.0</v>
      </c>
      <c r="DS364" s="35" t="s">
        <v>7045</v>
      </c>
    </row>
    <row r="365" ht="14.25" customHeight="1">
      <c r="A365" s="28" t="s">
        <v>6586</v>
      </c>
      <c r="B365" s="29" t="s">
        <v>6587</v>
      </c>
      <c r="C365" s="29" t="s">
        <v>7041</v>
      </c>
      <c r="D365" s="30">
        <v>45658.0</v>
      </c>
      <c r="E365" s="30">
        <v>45747.0</v>
      </c>
      <c r="F365" s="39">
        <v>0.5</v>
      </c>
      <c r="G365" s="39">
        <v>0.0</v>
      </c>
      <c r="H365" s="38" t="s">
        <v>7047</v>
      </c>
      <c r="I365" s="30">
        <v>45748.0</v>
      </c>
      <c r="J365" s="30">
        <v>45838.0</v>
      </c>
      <c r="K365" s="39">
        <v>0.53</v>
      </c>
      <c r="L365" s="39">
        <v>240.0</v>
      </c>
      <c r="M365" s="32" t="s">
        <v>7043</v>
      </c>
      <c r="N365" s="30">
        <v>45839.0</v>
      </c>
      <c r="O365" s="30">
        <v>45930.0</v>
      </c>
      <c r="P365" s="39">
        <v>85.66</v>
      </c>
      <c r="Q365" s="39">
        <v>360.0</v>
      </c>
      <c r="R365" s="38" t="s">
        <v>7047</v>
      </c>
      <c r="S365" s="30">
        <v>45931.0</v>
      </c>
      <c r="T365" s="30">
        <v>46022.0</v>
      </c>
      <c r="U365" s="39">
        <v>93.95</v>
      </c>
      <c r="V365" s="39">
        <v>360.0</v>
      </c>
      <c r="W365" s="38" t="s">
        <v>7047</v>
      </c>
      <c r="X365" s="30">
        <v>46023.0</v>
      </c>
      <c r="Y365" s="30">
        <v>46112.0</v>
      </c>
      <c r="Z365" s="39">
        <v>50.0</v>
      </c>
      <c r="AA365" s="39">
        <v>0.0</v>
      </c>
      <c r="AB365" s="35" t="s">
        <v>7047</v>
      </c>
      <c r="AC365" s="30">
        <v>46113.0</v>
      </c>
      <c r="AD365" s="30">
        <v>46203.0</v>
      </c>
      <c r="AE365" s="39">
        <v>0.0</v>
      </c>
      <c r="AF365" s="39">
        <v>0.0</v>
      </c>
      <c r="AG365" s="35" t="s">
        <v>7045</v>
      </c>
      <c r="AH365" s="30">
        <v>46204.0</v>
      </c>
      <c r="AI365" s="30">
        <v>46295.0</v>
      </c>
      <c r="AJ365" s="39">
        <v>0.0</v>
      </c>
      <c r="AK365" s="39">
        <v>0.0</v>
      </c>
      <c r="AL365" s="35" t="s">
        <v>7045</v>
      </c>
      <c r="AM365" s="30">
        <v>46296.0</v>
      </c>
      <c r="AN365" s="30">
        <v>46387.0</v>
      </c>
      <c r="AO365" s="39">
        <v>0.0</v>
      </c>
      <c r="AP365" s="39">
        <v>0.0</v>
      </c>
      <c r="AQ365" s="35" t="s">
        <v>7045</v>
      </c>
      <c r="AR365" s="30">
        <v>46388.0</v>
      </c>
      <c r="AS365" s="30">
        <v>46477.0</v>
      </c>
      <c r="AT365" s="39">
        <v>0.0</v>
      </c>
      <c r="AU365" s="39">
        <v>0.0</v>
      </c>
      <c r="AV365" s="35" t="s">
        <v>7045</v>
      </c>
      <c r="AW365" s="30">
        <v>46478.0</v>
      </c>
      <c r="AX365" s="30">
        <v>46568.0</v>
      </c>
      <c r="AY365" s="39">
        <v>0.0</v>
      </c>
      <c r="AZ365" s="39">
        <v>0.0</v>
      </c>
      <c r="BA365" s="35" t="s">
        <v>7045</v>
      </c>
      <c r="BB365" s="30">
        <v>46569.0</v>
      </c>
      <c r="BC365" s="30">
        <v>46660.0</v>
      </c>
      <c r="BD365" s="39">
        <v>0.0</v>
      </c>
      <c r="BE365" s="39">
        <v>0.0</v>
      </c>
      <c r="BF365" s="35" t="s">
        <v>7045</v>
      </c>
      <c r="BG365" s="30">
        <v>46661.0</v>
      </c>
      <c r="BH365" s="30">
        <v>46752.0</v>
      </c>
      <c r="BI365" s="39">
        <v>0.0</v>
      </c>
      <c r="BJ365" s="39">
        <v>0.0</v>
      </c>
      <c r="BK365" s="35" t="s">
        <v>7045</v>
      </c>
      <c r="BL365" s="30">
        <v>46753.0</v>
      </c>
      <c r="BM365" s="30">
        <v>46843.0</v>
      </c>
      <c r="BN365" s="39">
        <v>0.0</v>
      </c>
      <c r="BO365" s="39">
        <v>0.0</v>
      </c>
      <c r="BP365" s="35" t="s">
        <v>7045</v>
      </c>
      <c r="BQ365" s="30">
        <v>46844.0</v>
      </c>
      <c r="BR365" s="30">
        <v>46934.0</v>
      </c>
      <c r="BS365" s="39">
        <v>0.0</v>
      </c>
      <c r="BT365" s="39">
        <v>0.0</v>
      </c>
      <c r="BU365" s="35" t="s">
        <v>7045</v>
      </c>
      <c r="BV365" s="30">
        <v>46935.0</v>
      </c>
      <c r="BW365" s="30">
        <v>47026.0</v>
      </c>
      <c r="BX365" s="39">
        <v>0.0</v>
      </c>
      <c r="BY365" s="39">
        <v>0.0</v>
      </c>
      <c r="BZ365" s="35" t="s">
        <v>7045</v>
      </c>
      <c r="CA365" s="30">
        <v>47027.0</v>
      </c>
      <c r="CB365" s="30">
        <v>47118.0</v>
      </c>
      <c r="CC365" s="39">
        <v>0.0</v>
      </c>
      <c r="CD365" s="39">
        <v>0.0</v>
      </c>
      <c r="CE365" s="35" t="s">
        <v>7045</v>
      </c>
      <c r="CF365" s="30">
        <v>47119.0</v>
      </c>
      <c r="CG365" s="30">
        <v>47208.0</v>
      </c>
      <c r="CH365" s="39">
        <v>0.0</v>
      </c>
      <c r="CI365" s="39">
        <v>0.0</v>
      </c>
      <c r="CJ365" s="35" t="s">
        <v>7045</v>
      </c>
      <c r="CK365" s="30">
        <v>47209.0</v>
      </c>
      <c r="CL365" s="30">
        <v>47299.0</v>
      </c>
      <c r="CM365" s="39">
        <v>0.0</v>
      </c>
      <c r="CN365" s="39">
        <v>0.0</v>
      </c>
      <c r="CO365" s="35" t="s">
        <v>7045</v>
      </c>
      <c r="CP365" s="30">
        <v>47300.0</v>
      </c>
      <c r="CQ365" s="30">
        <v>47391.0</v>
      </c>
      <c r="CR365" s="39">
        <v>0.0</v>
      </c>
      <c r="CS365" s="39">
        <v>0.0</v>
      </c>
      <c r="CT365" s="35" t="s">
        <v>7045</v>
      </c>
      <c r="CU365" s="30">
        <v>47392.0</v>
      </c>
      <c r="CV365" s="30">
        <v>47483.0</v>
      </c>
      <c r="CW365" s="39">
        <v>0.0</v>
      </c>
      <c r="CX365" s="39">
        <v>0.0</v>
      </c>
      <c r="CY365" s="35" t="s">
        <v>7045</v>
      </c>
      <c r="CZ365" s="30">
        <v>47484.0</v>
      </c>
      <c r="DA365" s="30">
        <v>47573.0</v>
      </c>
      <c r="DB365" s="39">
        <v>0.0</v>
      </c>
      <c r="DC365" s="39">
        <v>0.0</v>
      </c>
      <c r="DD365" s="35" t="s">
        <v>7045</v>
      </c>
      <c r="DE365" s="30">
        <v>47574.0</v>
      </c>
      <c r="DF365" s="30">
        <v>47664.0</v>
      </c>
      <c r="DG365" s="39">
        <v>0.0</v>
      </c>
      <c r="DH365" s="39">
        <v>0.0</v>
      </c>
      <c r="DI365" s="35" t="s">
        <v>7045</v>
      </c>
      <c r="DJ365" s="30">
        <v>47665.0</v>
      </c>
      <c r="DK365" s="30">
        <v>47756.0</v>
      </c>
      <c r="DL365" s="39">
        <v>0.0</v>
      </c>
      <c r="DM365" s="39">
        <v>0.0</v>
      </c>
      <c r="DN365" s="35" t="s">
        <v>7045</v>
      </c>
      <c r="DO365" s="30">
        <v>47757.0</v>
      </c>
      <c r="DP365" s="30">
        <v>47848.0</v>
      </c>
      <c r="DQ365" s="39">
        <v>0.0</v>
      </c>
      <c r="DR365" s="39">
        <v>0.0</v>
      </c>
      <c r="DS365" s="35" t="s">
        <v>7045</v>
      </c>
    </row>
    <row r="366" ht="14.25" customHeight="1">
      <c r="A366" s="28" t="s">
        <v>6601</v>
      </c>
      <c r="B366" s="29" t="s">
        <v>6602</v>
      </c>
      <c r="C366" s="29" t="s">
        <v>7041</v>
      </c>
      <c r="D366" s="30">
        <v>45658.0</v>
      </c>
      <c r="E366" s="30">
        <v>45747.0</v>
      </c>
      <c r="F366" s="39">
        <v>7.38</v>
      </c>
      <c r="G366" s="39">
        <v>0.0</v>
      </c>
      <c r="H366" s="38" t="s">
        <v>7047</v>
      </c>
      <c r="I366" s="30">
        <v>45748.0</v>
      </c>
      <c r="J366" s="30">
        <v>45838.0</v>
      </c>
      <c r="K366" s="39">
        <v>12.5</v>
      </c>
      <c r="L366" s="39">
        <v>116.22</v>
      </c>
      <c r="M366" s="37" t="s">
        <v>7046</v>
      </c>
      <c r="N366" s="30">
        <v>45839.0</v>
      </c>
      <c r="O366" s="30">
        <v>45930.0</v>
      </c>
      <c r="P366" s="39">
        <v>29.38</v>
      </c>
      <c r="Q366" s="39">
        <v>109.46</v>
      </c>
      <c r="R366" s="38" t="s">
        <v>7047</v>
      </c>
      <c r="S366" s="30">
        <v>45931.0</v>
      </c>
      <c r="T366" s="30">
        <v>46022.0</v>
      </c>
      <c r="U366" s="39">
        <v>263.79</v>
      </c>
      <c r="V366" s="39">
        <v>124.32</v>
      </c>
      <c r="W366" s="38" t="s">
        <v>7047</v>
      </c>
      <c r="X366" s="30">
        <v>46023.0</v>
      </c>
      <c r="Y366" s="30">
        <v>46112.0</v>
      </c>
      <c r="Z366" s="39">
        <v>50.0</v>
      </c>
      <c r="AA366" s="39">
        <v>0.0</v>
      </c>
      <c r="AB366" s="35" t="s">
        <v>7047</v>
      </c>
      <c r="AC366" s="30">
        <v>46113.0</v>
      </c>
      <c r="AD366" s="30">
        <v>46203.0</v>
      </c>
      <c r="AE366" s="39">
        <v>20.0</v>
      </c>
      <c r="AF366" s="39">
        <v>0.0</v>
      </c>
      <c r="AG366" s="38" t="s">
        <v>7047</v>
      </c>
      <c r="AH366" s="30">
        <v>46204.0</v>
      </c>
      <c r="AI366" s="30">
        <v>46295.0</v>
      </c>
      <c r="AJ366" s="39">
        <v>0.0</v>
      </c>
      <c r="AK366" s="39">
        <v>0.0</v>
      </c>
      <c r="AL366" s="35" t="s">
        <v>7045</v>
      </c>
      <c r="AM366" s="30">
        <v>46296.0</v>
      </c>
      <c r="AN366" s="30">
        <v>46387.0</v>
      </c>
      <c r="AO366" s="39">
        <v>0.0</v>
      </c>
      <c r="AP366" s="39">
        <v>0.0</v>
      </c>
      <c r="AQ366" s="35" t="s">
        <v>7045</v>
      </c>
      <c r="AR366" s="30">
        <v>46388.0</v>
      </c>
      <c r="AS366" s="30">
        <v>46477.0</v>
      </c>
      <c r="AT366" s="39">
        <v>0.0</v>
      </c>
      <c r="AU366" s="39">
        <v>0.0</v>
      </c>
      <c r="AV366" s="35" t="s">
        <v>7045</v>
      </c>
      <c r="AW366" s="30">
        <v>46478.0</v>
      </c>
      <c r="AX366" s="30">
        <v>46568.0</v>
      </c>
      <c r="AY366" s="39">
        <v>0.0</v>
      </c>
      <c r="AZ366" s="39">
        <v>0.0</v>
      </c>
      <c r="BA366" s="35" t="s">
        <v>7045</v>
      </c>
      <c r="BB366" s="30">
        <v>46569.0</v>
      </c>
      <c r="BC366" s="30">
        <v>46660.0</v>
      </c>
      <c r="BD366" s="39">
        <v>0.0</v>
      </c>
      <c r="BE366" s="39">
        <v>0.0</v>
      </c>
      <c r="BF366" s="35" t="s">
        <v>7045</v>
      </c>
      <c r="BG366" s="30">
        <v>46661.0</v>
      </c>
      <c r="BH366" s="30">
        <v>46752.0</v>
      </c>
      <c r="BI366" s="39">
        <v>0.0</v>
      </c>
      <c r="BJ366" s="39">
        <v>0.0</v>
      </c>
      <c r="BK366" s="35" t="s">
        <v>7045</v>
      </c>
      <c r="BL366" s="30">
        <v>46753.0</v>
      </c>
      <c r="BM366" s="30">
        <v>46843.0</v>
      </c>
      <c r="BN366" s="39">
        <v>0.0</v>
      </c>
      <c r="BO366" s="39">
        <v>0.0</v>
      </c>
      <c r="BP366" s="35" t="s">
        <v>7045</v>
      </c>
      <c r="BQ366" s="30">
        <v>46844.0</v>
      </c>
      <c r="BR366" s="30">
        <v>46934.0</v>
      </c>
      <c r="BS366" s="39">
        <v>0.0</v>
      </c>
      <c r="BT366" s="39">
        <v>0.0</v>
      </c>
      <c r="BU366" s="35" t="s">
        <v>7045</v>
      </c>
      <c r="BV366" s="30">
        <v>46935.0</v>
      </c>
      <c r="BW366" s="30">
        <v>47026.0</v>
      </c>
      <c r="BX366" s="39">
        <v>0.0</v>
      </c>
      <c r="BY366" s="39">
        <v>0.0</v>
      </c>
      <c r="BZ366" s="35" t="s">
        <v>7045</v>
      </c>
      <c r="CA366" s="30">
        <v>47027.0</v>
      </c>
      <c r="CB366" s="30">
        <v>47118.0</v>
      </c>
      <c r="CC366" s="39">
        <v>0.0</v>
      </c>
      <c r="CD366" s="39">
        <v>0.0</v>
      </c>
      <c r="CE366" s="35" t="s">
        <v>7045</v>
      </c>
      <c r="CF366" s="30">
        <v>47119.0</v>
      </c>
      <c r="CG366" s="30">
        <v>47208.0</v>
      </c>
      <c r="CH366" s="39">
        <v>0.0</v>
      </c>
      <c r="CI366" s="39">
        <v>0.0</v>
      </c>
      <c r="CJ366" s="35" t="s">
        <v>7045</v>
      </c>
      <c r="CK366" s="30">
        <v>47209.0</v>
      </c>
      <c r="CL366" s="30">
        <v>47299.0</v>
      </c>
      <c r="CM366" s="39">
        <v>0.0</v>
      </c>
      <c r="CN366" s="39">
        <v>0.0</v>
      </c>
      <c r="CO366" s="35" t="s">
        <v>7045</v>
      </c>
      <c r="CP366" s="30">
        <v>47300.0</v>
      </c>
      <c r="CQ366" s="30">
        <v>47391.0</v>
      </c>
      <c r="CR366" s="39">
        <v>0.0</v>
      </c>
      <c r="CS366" s="39">
        <v>0.0</v>
      </c>
      <c r="CT366" s="35" t="s">
        <v>7045</v>
      </c>
      <c r="CU366" s="30">
        <v>47392.0</v>
      </c>
      <c r="CV366" s="30">
        <v>47483.0</v>
      </c>
      <c r="CW366" s="39">
        <v>0.0</v>
      </c>
      <c r="CX366" s="39">
        <v>0.0</v>
      </c>
      <c r="CY366" s="35" t="s">
        <v>7045</v>
      </c>
      <c r="CZ366" s="30">
        <v>47484.0</v>
      </c>
      <c r="DA366" s="30">
        <v>47573.0</v>
      </c>
      <c r="DB366" s="39">
        <v>0.0</v>
      </c>
      <c r="DC366" s="39">
        <v>0.0</v>
      </c>
      <c r="DD366" s="35" t="s">
        <v>7045</v>
      </c>
      <c r="DE366" s="30">
        <v>47574.0</v>
      </c>
      <c r="DF366" s="30">
        <v>47664.0</v>
      </c>
      <c r="DG366" s="39">
        <v>0.0</v>
      </c>
      <c r="DH366" s="39">
        <v>0.0</v>
      </c>
      <c r="DI366" s="35" t="s">
        <v>7045</v>
      </c>
      <c r="DJ366" s="30">
        <v>47665.0</v>
      </c>
      <c r="DK366" s="30">
        <v>47756.0</v>
      </c>
      <c r="DL366" s="39">
        <v>0.0</v>
      </c>
      <c r="DM366" s="39">
        <v>0.0</v>
      </c>
      <c r="DN366" s="35" t="s">
        <v>7045</v>
      </c>
      <c r="DO366" s="30">
        <v>47757.0</v>
      </c>
      <c r="DP366" s="30">
        <v>47848.0</v>
      </c>
      <c r="DQ366" s="39">
        <v>0.0</v>
      </c>
      <c r="DR366" s="39">
        <v>0.0</v>
      </c>
      <c r="DS366" s="35" t="s">
        <v>7045</v>
      </c>
    </row>
    <row r="367" ht="14.25" customHeight="1">
      <c r="A367" s="28" t="s">
        <v>6669</v>
      </c>
      <c r="B367" s="29" t="s">
        <v>6670</v>
      </c>
      <c r="C367" s="29" t="s">
        <v>7041</v>
      </c>
      <c r="D367" s="30">
        <v>45658.0</v>
      </c>
      <c r="E367" s="30">
        <v>45747.0</v>
      </c>
      <c r="F367" s="36">
        <v>22.25</v>
      </c>
      <c r="G367" s="36">
        <v>0.0</v>
      </c>
      <c r="H367" s="38" t="s">
        <v>7047</v>
      </c>
      <c r="I367" s="30">
        <v>45748.0</v>
      </c>
      <c r="J367" s="30">
        <v>45838.0</v>
      </c>
      <c r="K367" s="36">
        <v>19.26</v>
      </c>
      <c r="L367" s="36">
        <v>333.35</v>
      </c>
      <c r="M367" s="37" t="s">
        <v>7043</v>
      </c>
      <c r="N367" s="30">
        <v>45839.0</v>
      </c>
      <c r="O367" s="30">
        <v>45930.0</v>
      </c>
      <c r="P367" s="36">
        <v>78.51</v>
      </c>
      <c r="Q367" s="36">
        <v>333.35</v>
      </c>
      <c r="R367" s="38" t="s">
        <v>7047</v>
      </c>
      <c r="S367" s="30">
        <v>45931.0</v>
      </c>
      <c r="T367" s="30">
        <v>46022.0</v>
      </c>
      <c r="U367" s="36">
        <v>49.85</v>
      </c>
      <c r="V367" s="36">
        <v>466.67</v>
      </c>
      <c r="W367" s="38" t="s">
        <v>7047</v>
      </c>
      <c r="X367" s="30">
        <v>46023.0</v>
      </c>
      <c r="Y367" s="30">
        <v>46112.0</v>
      </c>
      <c r="Z367" s="36">
        <v>393.17</v>
      </c>
      <c r="AA367" s="36">
        <v>0.0</v>
      </c>
      <c r="AB367" s="38" t="s">
        <v>7047</v>
      </c>
      <c r="AC367" s="30">
        <v>46113.0</v>
      </c>
      <c r="AD367" s="30">
        <v>46203.0</v>
      </c>
      <c r="AE367" s="36">
        <v>58.84</v>
      </c>
      <c r="AF367" s="36">
        <v>0.0</v>
      </c>
      <c r="AG367" s="38" t="s">
        <v>7047</v>
      </c>
      <c r="AH367" s="30">
        <v>46204.0</v>
      </c>
      <c r="AI367" s="30">
        <v>46295.0</v>
      </c>
      <c r="AJ367" s="36">
        <v>1.14</v>
      </c>
      <c r="AK367" s="36">
        <v>0.0</v>
      </c>
      <c r="AL367" s="35" t="s">
        <v>7047</v>
      </c>
      <c r="AM367" s="30">
        <v>46296.0</v>
      </c>
      <c r="AN367" s="30">
        <v>46387.0</v>
      </c>
      <c r="AO367" s="36">
        <v>149.99</v>
      </c>
      <c r="AP367" s="36">
        <v>0.0</v>
      </c>
      <c r="AQ367" s="35" t="s">
        <v>7047</v>
      </c>
      <c r="AR367" s="30">
        <v>46388.0</v>
      </c>
      <c r="AS367" s="30">
        <v>46477.0</v>
      </c>
      <c r="AT367" s="36">
        <v>0.0</v>
      </c>
      <c r="AU367" s="36">
        <v>0.0</v>
      </c>
      <c r="AV367" s="35" t="s">
        <v>7045</v>
      </c>
      <c r="AW367" s="30">
        <v>46478.0</v>
      </c>
      <c r="AX367" s="30">
        <v>46568.0</v>
      </c>
      <c r="AY367" s="36">
        <v>0.0</v>
      </c>
      <c r="AZ367" s="36">
        <v>0.0</v>
      </c>
      <c r="BA367" s="35" t="s">
        <v>7045</v>
      </c>
      <c r="BB367" s="30">
        <v>46569.0</v>
      </c>
      <c r="BC367" s="30">
        <v>46660.0</v>
      </c>
      <c r="BD367" s="36">
        <v>0.0</v>
      </c>
      <c r="BE367" s="36">
        <v>0.0</v>
      </c>
      <c r="BF367" s="35" t="s">
        <v>7045</v>
      </c>
      <c r="BG367" s="30">
        <v>46661.0</v>
      </c>
      <c r="BH367" s="30">
        <v>46752.0</v>
      </c>
      <c r="BI367" s="36">
        <v>0.0</v>
      </c>
      <c r="BJ367" s="36">
        <v>0.0</v>
      </c>
      <c r="BK367" s="35" t="s">
        <v>7045</v>
      </c>
      <c r="BL367" s="30">
        <v>46753.0</v>
      </c>
      <c r="BM367" s="30">
        <v>46843.0</v>
      </c>
      <c r="BN367" s="36">
        <v>0.0</v>
      </c>
      <c r="BO367" s="36">
        <v>0.0</v>
      </c>
      <c r="BP367" s="35" t="s">
        <v>7045</v>
      </c>
      <c r="BQ367" s="30">
        <v>46844.0</v>
      </c>
      <c r="BR367" s="30">
        <v>46934.0</v>
      </c>
      <c r="BS367" s="36">
        <v>0.0</v>
      </c>
      <c r="BT367" s="36">
        <v>0.0</v>
      </c>
      <c r="BU367" s="35" t="s">
        <v>7045</v>
      </c>
      <c r="BV367" s="30">
        <v>46935.0</v>
      </c>
      <c r="BW367" s="30">
        <v>47026.0</v>
      </c>
      <c r="BX367" s="36">
        <v>0.0</v>
      </c>
      <c r="BY367" s="36">
        <v>0.0</v>
      </c>
      <c r="BZ367" s="35" t="s">
        <v>7045</v>
      </c>
      <c r="CA367" s="30">
        <v>47027.0</v>
      </c>
      <c r="CB367" s="30">
        <v>47118.0</v>
      </c>
      <c r="CC367" s="36">
        <v>0.0</v>
      </c>
      <c r="CD367" s="36">
        <v>0.0</v>
      </c>
      <c r="CE367" s="35" t="s">
        <v>7045</v>
      </c>
      <c r="CF367" s="30">
        <v>47119.0</v>
      </c>
      <c r="CG367" s="30">
        <v>47208.0</v>
      </c>
      <c r="CH367" s="36">
        <v>0.0</v>
      </c>
      <c r="CI367" s="36">
        <v>0.0</v>
      </c>
      <c r="CJ367" s="35" t="s">
        <v>7045</v>
      </c>
      <c r="CK367" s="30">
        <v>47209.0</v>
      </c>
      <c r="CL367" s="30">
        <v>47299.0</v>
      </c>
      <c r="CM367" s="36">
        <v>0.0</v>
      </c>
      <c r="CN367" s="36">
        <v>0.0</v>
      </c>
      <c r="CO367" s="35" t="s">
        <v>7045</v>
      </c>
      <c r="CP367" s="30">
        <v>47300.0</v>
      </c>
      <c r="CQ367" s="30">
        <v>47391.0</v>
      </c>
      <c r="CR367" s="36">
        <v>0.0</v>
      </c>
      <c r="CS367" s="36">
        <v>0.0</v>
      </c>
      <c r="CT367" s="35" t="s">
        <v>7045</v>
      </c>
      <c r="CU367" s="30">
        <v>47392.0</v>
      </c>
      <c r="CV367" s="30">
        <v>47483.0</v>
      </c>
      <c r="CW367" s="36">
        <v>0.0</v>
      </c>
      <c r="CX367" s="36">
        <v>0.0</v>
      </c>
      <c r="CY367" s="35" t="s">
        <v>7045</v>
      </c>
      <c r="CZ367" s="30">
        <v>47484.0</v>
      </c>
      <c r="DA367" s="30">
        <v>47573.0</v>
      </c>
      <c r="DB367" s="36">
        <v>0.0</v>
      </c>
      <c r="DC367" s="36">
        <v>0.0</v>
      </c>
      <c r="DD367" s="35" t="s">
        <v>7045</v>
      </c>
      <c r="DE367" s="30">
        <v>47574.0</v>
      </c>
      <c r="DF367" s="30">
        <v>47664.0</v>
      </c>
      <c r="DG367" s="36">
        <v>0.0</v>
      </c>
      <c r="DH367" s="36">
        <v>0.0</v>
      </c>
      <c r="DI367" s="35" t="s">
        <v>7045</v>
      </c>
      <c r="DJ367" s="30">
        <v>47665.0</v>
      </c>
      <c r="DK367" s="30">
        <v>47756.0</v>
      </c>
      <c r="DL367" s="36">
        <v>0.0</v>
      </c>
      <c r="DM367" s="36">
        <v>0.0</v>
      </c>
      <c r="DN367" s="35" t="s">
        <v>7045</v>
      </c>
      <c r="DO367" s="30">
        <v>47757.0</v>
      </c>
      <c r="DP367" s="30">
        <v>47848.0</v>
      </c>
      <c r="DQ367" s="36">
        <v>0.0</v>
      </c>
      <c r="DR367" s="36">
        <v>0.0</v>
      </c>
      <c r="DS367" s="35" t="s">
        <v>7045</v>
      </c>
    </row>
    <row r="368" ht="14.25" customHeight="1">
      <c r="A368" s="28" t="s">
        <v>6707</v>
      </c>
      <c r="B368" s="29" t="s">
        <v>6708</v>
      </c>
      <c r="C368" s="29" t="s">
        <v>7041</v>
      </c>
      <c r="D368" s="30">
        <v>45658.0</v>
      </c>
      <c r="E368" s="30">
        <v>45747.0</v>
      </c>
      <c r="F368" s="36">
        <v>2.32</v>
      </c>
      <c r="G368" s="36">
        <v>0.0</v>
      </c>
      <c r="H368" s="38" t="s">
        <v>7047</v>
      </c>
      <c r="I368" s="30">
        <v>45748.0</v>
      </c>
      <c r="J368" s="30">
        <v>45838.0</v>
      </c>
      <c r="K368" s="36">
        <v>8.67</v>
      </c>
      <c r="L368" s="36">
        <v>1162.33</v>
      </c>
      <c r="M368" s="32" t="s">
        <v>7043</v>
      </c>
      <c r="N368" s="30">
        <v>45839.0</v>
      </c>
      <c r="O368" s="30">
        <v>45930.0</v>
      </c>
      <c r="P368" s="36">
        <v>272.55</v>
      </c>
      <c r="Q368" s="36">
        <v>1743.3</v>
      </c>
      <c r="R368" s="38" t="s">
        <v>7046</v>
      </c>
      <c r="S368" s="30">
        <v>45931.0</v>
      </c>
      <c r="T368" s="30">
        <v>46022.0</v>
      </c>
      <c r="U368" s="36">
        <v>1934.1</v>
      </c>
      <c r="V368" s="36">
        <v>1743.3</v>
      </c>
      <c r="W368" s="38" t="s">
        <v>7047</v>
      </c>
      <c r="X368" s="30">
        <v>46023.0</v>
      </c>
      <c r="Y368" s="30">
        <v>46112.0</v>
      </c>
      <c r="Z368" s="36">
        <v>0.0</v>
      </c>
      <c r="AA368" s="36">
        <v>0.0</v>
      </c>
      <c r="AB368" s="35" t="s">
        <v>7045</v>
      </c>
      <c r="AC368" s="30">
        <v>46113.0</v>
      </c>
      <c r="AD368" s="30">
        <v>46203.0</v>
      </c>
      <c r="AE368" s="36">
        <v>42.27</v>
      </c>
      <c r="AF368" s="36">
        <v>0.0</v>
      </c>
      <c r="AG368" s="38" t="s">
        <v>7047</v>
      </c>
      <c r="AH368" s="30">
        <v>46204.0</v>
      </c>
      <c r="AI368" s="30">
        <v>46295.0</v>
      </c>
      <c r="AJ368" s="36">
        <v>50.0</v>
      </c>
      <c r="AK368" s="36">
        <v>0.0</v>
      </c>
      <c r="AL368" s="38" t="s">
        <v>7047</v>
      </c>
      <c r="AM368" s="30">
        <v>46296.0</v>
      </c>
      <c r="AN368" s="30">
        <v>46387.0</v>
      </c>
      <c r="AO368" s="36">
        <v>0.0</v>
      </c>
      <c r="AP368" s="36">
        <v>0.0</v>
      </c>
      <c r="AQ368" s="35" t="s">
        <v>7045</v>
      </c>
      <c r="AR368" s="30">
        <v>46388.0</v>
      </c>
      <c r="AS368" s="30">
        <v>46477.0</v>
      </c>
      <c r="AT368" s="36">
        <v>0.0</v>
      </c>
      <c r="AU368" s="36">
        <v>0.0</v>
      </c>
      <c r="AV368" s="35" t="s">
        <v>7045</v>
      </c>
      <c r="AW368" s="30">
        <v>46478.0</v>
      </c>
      <c r="AX368" s="30">
        <v>46568.0</v>
      </c>
      <c r="AY368" s="36">
        <v>0.0</v>
      </c>
      <c r="AZ368" s="36">
        <v>0.0</v>
      </c>
      <c r="BA368" s="35" t="s">
        <v>7045</v>
      </c>
      <c r="BB368" s="30">
        <v>46569.0</v>
      </c>
      <c r="BC368" s="30">
        <v>46660.0</v>
      </c>
      <c r="BD368" s="36">
        <v>0.0</v>
      </c>
      <c r="BE368" s="36">
        <v>0.0</v>
      </c>
      <c r="BF368" s="35" t="s">
        <v>7045</v>
      </c>
      <c r="BG368" s="30">
        <v>46661.0</v>
      </c>
      <c r="BH368" s="30">
        <v>46752.0</v>
      </c>
      <c r="BI368" s="36">
        <v>0.0</v>
      </c>
      <c r="BJ368" s="36">
        <v>0.0</v>
      </c>
      <c r="BK368" s="35" t="s">
        <v>7045</v>
      </c>
      <c r="BL368" s="30">
        <v>46753.0</v>
      </c>
      <c r="BM368" s="30">
        <v>46843.0</v>
      </c>
      <c r="BN368" s="36">
        <v>0.0</v>
      </c>
      <c r="BO368" s="36">
        <v>0.0</v>
      </c>
      <c r="BP368" s="35" t="s">
        <v>7045</v>
      </c>
      <c r="BQ368" s="30">
        <v>46844.0</v>
      </c>
      <c r="BR368" s="30">
        <v>46934.0</v>
      </c>
      <c r="BS368" s="36">
        <v>0.0</v>
      </c>
      <c r="BT368" s="36">
        <v>0.0</v>
      </c>
      <c r="BU368" s="35" t="s">
        <v>7045</v>
      </c>
      <c r="BV368" s="30">
        <v>46935.0</v>
      </c>
      <c r="BW368" s="30">
        <v>47026.0</v>
      </c>
      <c r="BX368" s="36">
        <v>0.0</v>
      </c>
      <c r="BY368" s="36">
        <v>0.0</v>
      </c>
      <c r="BZ368" s="35" t="s">
        <v>7045</v>
      </c>
      <c r="CA368" s="30">
        <v>47027.0</v>
      </c>
      <c r="CB368" s="30">
        <v>47118.0</v>
      </c>
      <c r="CC368" s="36">
        <v>0.0</v>
      </c>
      <c r="CD368" s="36">
        <v>0.0</v>
      </c>
      <c r="CE368" s="35" t="s">
        <v>7045</v>
      </c>
      <c r="CF368" s="30">
        <v>47119.0</v>
      </c>
      <c r="CG368" s="30">
        <v>47208.0</v>
      </c>
      <c r="CH368" s="36">
        <v>0.0</v>
      </c>
      <c r="CI368" s="36">
        <v>0.0</v>
      </c>
      <c r="CJ368" s="35" t="s">
        <v>7045</v>
      </c>
      <c r="CK368" s="30">
        <v>47209.0</v>
      </c>
      <c r="CL368" s="30">
        <v>47299.0</v>
      </c>
      <c r="CM368" s="36">
        <v>0.0</v>
      </c>
      <c r="CN368" s="36">
        <v>0.0</v>
      </c>
      <c r="CO368" s="35" t="s">
        <v>7045</v>
      </c>
      <c r="CP368" s="30">
        <v>47300.0</v>
      </c>
      <c r="CQ368" s="30">
        <v>47391.0</v>
      </c>
      <c r="CR368" s="36">
        <v>0.0</v>
      </c>
      <c r="CS368" s="36">
        <v>0.0</v>
      </c>
      <c r="CT368" s="35" t="s">
        <v>7045</v>
      </c>
      <c r="CU368" s="30">
        <v>47392.0</v>
      </c>
      <c r="CV368" s="30">
        <v>47483.0</v>
      </c>
      <c r="CW368" s="36">
        <v>0.0</v>
      </c>
      <c r="CX368" s="36">
        <v>0.0</v>
      </c>
      <c r="CY368" s="35" t="s">
        <v>7045</v>
      </c>
      <c r="CZ368" s="30">
        <v>47484.0</v>
      </c>
      <c r="DA368" s="30">
        <v>47573.0</v>
      </c>
      <c r="DB368" s="36">
        <v>0.0</v>
      </c>
      <c r="DC368" s="36">
        <v>0.0</v>
      </c>
      <c r="DD368" s="35" t="s">
        <v>7045</v>
      </c>
      <c r="DE368" s="30">
        <v>47574.0</v>
      </c>
      <c r="DF368" s="30">
        <v>47664.0</v>
      </c>
      <c r="DG368" s="36">
        <v>0.0</v>
      </c>
      <c r="DH368" s="36">
        <v>0.0</v>
      </c>
      <c r="DI368" s="35" t="s">
        <v>7045</v>
      </c>
      <c r="DJ368" s="30">
        <v>47665.0</v>
      </c>
      <c r="DK368" s="30">
        <v>47756.0</v>
      </c>
      <c r="DL368" s="36">
        <v>0.0</v>
      </c>
      <c r="DM368" s="36">
        <v>0.0</v>
      </c>
      <c r="DN368" s="35" t="s">
        <v>7045</v>
      </c>
      <c r="DO368" s="30">
        <v>47757.0</v>
      </c>
      <c r="DP368" s="30">
        <v>47848.0</v>
      </c>
      <c r="DQ368" s="36">
        <v>0.0</v>
      </c>
      <c r="DR368" s="36">
        <v>0.0</v>
      </c>
      <c r="DS368" s="35" t="s">
        <v>7045</v>
      </c>
    </row>
    <row r="369" ht="14.25" customHeight="1">
      <c r="A369" s="28" t="s">
        <v>6768</v>
      </c>
      <c r="B369" s="29" t="s">
        <v>6769</v>
      </c>
      <c r="C369" s="29" t="s">
        <v>7041</v>
      </c>
      <c r="D369" s="30">
        <v>45658.0</v>
      </c>
      <c r="E369" s="30">
        <v>45747.0</v>
      </c>
      <c r="F369" s="39">
        <v>11.67</v>
      </c>
      <c r="G369" s="39">
        <v>0.0</v>
      </c>
      <c r="H369" s="38" t="s">
        <v>7047</v>
      </c>
      <c r="I369" s="30">
        <v>45748.0</v>
      </c>
      <c r="J369" s="30">
        <v>45838.0</v>
      </c>
      <c r="K369" s="39">
        <v>1.67</v>
      </c>
      <c r="L369" s="39">
        <v>155.93</v>
      </c>
      <c r="M369" s="38" t="s">
        <v>7043</v>
      </c>
      <c r="N369" s="30">
        <v>45839.0</v>
      </c>
      <c r="O369" s="30">
        <v>45930.0</v>
      </c>
      <c r="P369" s="39">
        <v>106.67</v>
      </c>
      <c r="Q369" s="39">
        <v>233.9</v>
      </c>
      <c r="R369" s="38" t="s">
        <v>7047</v>
      </c>
      <c r="S369" s="30">
        <v>45931.0</v>
      </c>
      <c r="T369" s="30">
        <v>46022.0</v>
      </c>
      <c r="U369" s="39">
        <v>200.84</v>
      </c>
      <c r="V369" s="39">
        <v>233.9</v>
      </c>
      <c r="W369" s="38" t="s">
        <v>7047</v>
      </c>
      <c r="X369" s="30">
        <v>46023.0</v>
      </c>
      <c r="Y369" s="30">
        <v>46112.0</v>
      </c>
      <c r="Z369" s="39">
        <v>250.0</v>
      </c>
      <c r="AA369" s="39">
        <v>0.0</v>
      </c>
      <c r="AB369" s="35" t="s">
        <v>7047</v>
      </c>
      <c r="AC369" s="30">
        <v>46113.0</v>
      </c>
      <c r="AD369" s="30">
        <v>46203.0</v>
      </c>
      <c r="AE369" s="39">
        <v>1000.0</v>
      </c>
      <c r="AF369" s="39">
        <v>0.0</v>
      </c>
      <c r="AG369" s="35" t="s">
        <v>7047</v>
      </c>
      <c r="AH369" s="30">
        <v>46204.0</v>
      </c>
      <c r="AI369" s="30">
        <v>46295.0</v>
      </c>
      <c r="AJ369" s="39">
        <v>0.0</v>
      </c>
      <c r="AK369" s="39">
        <v>0.0</v>
      </c>
      <c r="AL369" s="35" t="s">
        <v>7045</v>
      </c>
      <c r="AM369" s="30">
        <v>46296.0</v>
      </c>
      <c r="AN369" s="30">
        <v>46387.0</v>
      </c>
      <c r="AO369" s="39">
        <v>0.0</v>
      </c>
      <c r="AP369" s="39">
        <v>0.0</v>
      </c>
      <c r="AQ369" s="35" t="s">
        <v>7045</v>
      </c>
      <c r="AR369" s="30">
        <v>46388.0</v>
      </c>
      <c r="AS369" s="30">
        <v>46477.0</v>
      </c>
      <c r="AT369" s="39">
        <v>0.0</v>
      </c>
      <c r="AU369" s="39">
        <v>0.0</v>
      </c>
      <c r="AV369" s="35" t="s">
        <v>7045</v>
      </c>
      <c r="AW369" s="30">
        <v>46478.0</v>
      </c>
      <c r="AX369" s="30">
        <v>46568.0</v>
      </c>
      <c r="AY369" s="39">
        <v>0.0</v>
      </c>
      <c r="AZ369" s="39">
        <v>0.0</v>
      </c>
      <c r="BA369" s="35" t="s">
        <v>7045</v>
      </c>
      <c r="BB369" s="30">
        <v>46569.0</v>
      </c>
      <c r="BC369" s="30">
        <v>46660.0</v>
      </c>
      <c r="BD369" s="39">
        <v>0.0</v>
      </c>
      <c r="BE369" s="39">
        <v>0.0</v>
      </c>
      <c r="BF369" s="35" t="s">
        <v>7045</v>
      </c>
      <c r="BG369" s="30">
        <v>46661.0</v>
      </c>
      <c r="BH369" s="30">
        <v>46752.0</v>
      </c>
      <c r="BI369" s="39">
        <v>0.0</v>
      </c>
      <c r="BJ369" s="39">
        <v>0.0</v>
      </c>
      <c r="BK369" s="35" t="s">
        <v>7045</v>
      </c>
      <c r="BL369" s="30">
        <v>46753.0</v>
      </c>
      <c r="BM369" s="30">
        <v>46843.0</v>
      </c>
      <c r="BN369" s="39">
        <v>0.0</v>
      </c>
      <c r="BO369" s="39">
        <v>0.0</v>
      </c>
      <c r="BP369" s="35" t="s">
        <v>7045</v>
      </c>
      <c r="BQ369" s="30">
        <v>46844.0</v>
      </c>
      <c r="BR369" s="30">
        <v>46934.0</v>
      </c>
      <c r="BS369" s="39">
        <v>0.0</v>
      </c>
      <c r="BT369" s="39">
        <v>0.0</v>
      </c>
      <c r="BU369" s="35" t="s">
        <v>7045</v>
      </c>
      <c r="BV369" s="30">
        <v>46935.0</v>
      </c>
      <c r="BW369" s="30">
        <v>47026.0</v>
      </c>
      <c r="BX369" s="39">
        <v>0.0</v>
      </c>
      <c r="BY369" s="39">
        <v>0.0</v>
      </c>
      <c r="BZ369" s="35" t="s">
        <v>7045</v>
      </c>
      <c r="CA369" s="30">
        <v>47027.0</v>
      </c>
      <c r="CB369" s="30">
        <v>47118.0</v>
      </c>
      <c r="CC369" s="39">
        <v>0.0</v>
      </c>
      <c r="CD369" s="39">
        <v>0.0</v>
      </c>
      <c r="CE369" s="35" t="s">
        <v>7045</v>
      </c>
      <c r="CF369" s="30">
        <v>47119.0</v>
      </c>
      <c r="CG369" s="30">
        <v>47208.0</v>
      </c>
      <c r="CH369" s="39">
        <v>0.0</v>
      </c>
      <c r="CI369" s="39">
        <v>0.0</v>
      </c>
      <c r="CJ369" s="35" t="s">
        <v>7045</v>
      </c>
      <c r="CK369" s="30">
        <v>47209.0</v>
      </c>
      <c r="CL369" s="30">
        <v>47299.0</v>
      </c>
      <c r="CM369" s="39">
        <v>0.0</v>
      </c>
      <c r="CN369" s="39">
        <v>0.0</v>
      </c>
      <c r="CO369" s="35" t="s">
        <v>7045</v>
      </c>
      <c r="CP369" s="30">
        <v>47300.0</v>
      </c>
      <c r="CQ369" s="30">
        <v>47391.0</v>
      </c>
      <c r="CR369" s="39">
        <v>0.0</v>
      </c>
      <c r="CS369" s="39">
        <v>0.0</v>
      </c>
      <c r="CT369" s="35" t="s">
        <v>7045</v>
      </c>
      <c r="CU369" s="30">
        <v>47392.0</v>
      </c>
      <c r="CV369" s="30">
        <v>47483.0</v>
      </c>
      <c r="CW369" s="39">
        <v>0.0</v>
      </c>
      <c r="CX369" s="39">
        <v>0.0</v>
      </c>
      <c r="CY369" s="35" t="s">
        <v>7045</v>
      </c>
      <c r="CZ369" s="30">
        <v>47484.0</v>
      </c>
      <c r="DA369" s="30">
        <v>47573.0</v>
      </c>
      <c r="DB369" s="39">
        <v>0.0</v>
      </c>
      <c r="DC369" s="39">
        <v>0.0</v>
      </c>
      <c r="DD369" s="35" t="s">
        <v>7045</v>
      </c>
      <c r="DE369" s="30">
        <v>47574.0</v>
      </c>
      <c r="DF369" s="30">
        <v>47664.0</v>
      </c>
      <c r="DG369" s="39">
        <v>0.0</v>
      </c>
      <c r="DH369" s="39">
        <v>0.0</v>
      </c>
      <c r="DI369" s="35" t="s">
        <v>7045</v>
      </c>
      <c r="DJ369" s="30">
        <v>47665.0</v>
      </c>
      <c r="DK369" s="30">
        <v>47756.0</v>
      </c>
      <c r="DL369" s="39">
        <v>0.0</v>
      </c>
      <c r="DM369" s="39">
        <v>0.0</v>
      </c>
      <c r="DN369" s="35" t="s">
        <v>7045</v>
      </c>
      <c r="DO369" s="30">
        <v>47757.0</v>
      </c>
      <c r="DP369" s="30">
        <v>47848.0</v>
      </c>
      <c r="DQ369" s="39">
        <v>0.0</v>
      </c>
      <c r="DR369" s="39">
        <v>0.0</v>
      </c>
      <c r="DS369" s="35" t="s">
        <v>7045</v>
      </c>
    </row>
    <row r="370" ht="14.25" customHeight="1">
      <c r="A370" s="28" t="s">
        <v>6835</v>
      </c>
      <c r="B370" s="29" t="s">
        <v>6836</v>
      </c>
      <c r="C370" s="29" t="s">
        <v>7041</v>
      </c>
      <c r="D370" s="30">
        <v>45658.0</v>
      </c>
      <c r="E370" s="30">
        <v>45747.0</v>
      </c>
      <c r="F370" s="36">
        <v>2.5</v>
      </c>
      <c r="G370" s="36">
        <v>0.0</v>
      </c>
      <c r="H370" s="38" t="s">
        <v>7047</v>
      </c>
      <c r="I370" s="30">
        <v>45748.0</v>
      </c>
      <c r="J370" s="30">
        <v>45838.0</v>
      </c>
      <c r="K370" s="36">
        <v>2.5</v>
      </c>
      <c r="L370" s="36">
        <v>324.67</v>
      </c>
      <c r="M370" s="32" t="s">
        <v>7043</v>
      </c>
      <c r="N370" s="30">
        <v>45839.0</v>
      </c>
      <c r="O370" s="30">
        <v>45930.0</v>
      </c>
      <c r="P370" s="36">
        <v>20.64</v>
      </c>
      <c r="Q370" s="36">
        <v>324.67</v>
      </c>
      <c r="R370" s="38" t="s">
        <v>7047</v>
      </c>
      <c r="S370" s="30">
        <v>45931.0</v>
      </c>
      <c r="T370" s="30">
        <v>46022.0</v>
      </c>
      <c r="U370" s="36">
        <v>4.92</v>
      </c>
      <c r="V370" s="36">
        <v>324.67</v>
      </c>
      <c r="W370" s="38" t="s">
        <v>7047</v>
      </c>
      <c r="X370" s="30">
        <v>46023.0</v>
      </c>
      <c r="Y370" s="30">
        <v>46112.0</v>
      </c>
      <c r="Z370" s="36">
        <v>0.0</v>
      </c>
      <c r="AA370" s="36">
        <v>0.0</v>
      </c>
      <c r="AB370" s="35" t="s">
        <v>7045</v>
      </c>
      <c r="AC370" s="30">
        <v>46113.0</v>
      </c>
      <c r="AD370" s="30">
        <v>46203.0</v>
      </c>
      <c r="AE370" s="36">
        <v>1.87</v>
      </c>
      <c r="AF370" s="36">
        <v>0.0</v>
      </c>
      <c r="AG370" s="38" t="s">
        <v>7047</v>
      </c>
      <c r="AH370" s="30">
        <v>46204.0</v>
      </c>
      <c r="AI370" s="30">
        <v>46295.0</v>
      </c>
      <c r="AJ370" s="36">
        <v>0.0</v>
      </c>
      <c r="AK370" s="36">
        <v>0.0</v>
      </c>
      <c r="AL370" s="35" t="s">
        <v>7045</v>
      </c>
      <c r="AM370" s="30">
        <v>46296.0</v>
      </c>
      <c r="AN370" s="30">
        <v>46387.0</v>
      </c>
      <c r="AO370" s="36">
        <v>0.0</v>
      </c>
      <c r="AP370" s="36">
        <v>0.0</v>
      </c>
      <c r="AQ370" s="35" t="s">
        <v>7045</v>
      </c>
      <c r="AR370" s="30">
        <v>46388.0</v>
      </c>
      <c r="AS370" s="30">
        <v>46477.0</v>
      </c>
      <c r="AT370" s="36">
        <v>0.0</v>
      </c>
      <c r="AU370" s="36">
        <v>0.0</v>
      </c>
      <c r="AV370" s="35" t="s">
        <v>7045</v>
      </c>
      <c r="AW370" s="30">
        <v>46478.0</v>
      </c>
      <c r="AX370" s="30">
        <v>46568.0</v>
      </c>
      <c r="AY370" s="36">
        <v>0.0</v>
      </c>
      <c r="AZ370" s="36">
        <v>0.0</v>
      </c>
      <c r="BA370" s="35" t="s">
        <v>7045</v>
      </c>
      <c r="BB370" s="30">
        <v>46569.0</v>
      </c>
      <c r="BC370" s="30">
        <v>46660.0</v>
      </c>
      <c r="BD370" s="36">
        <v>0.0</v>
      </c>
      <c r="BE370" s="36">
        <v>0.0</v>
      </c>
      <c r="BF370" s="35" t="s">
        <v>7045</v>
      </c>
      <c r="BG370" s="30">
        <v>46661.0</v>
      </c>
      <c r="BH370" s="30">
        <v>46752.0</v>
      </c>
      <c r="BI370" s="36">
        <v>0.0</v>
      </c>
      <c r="BJ370" s="36">
        <v>0.0</v>
      </c>
      <c r="BK370" s="35" t="s">
        <v>7045</v>
      </c>
      <c r="BL370" s="30">
        <v>46753.0</v>
      </c>
      <c r="BM370" s="30">
        <v>46843.0</v>
      </c>
      <c r="BN370" s="36">
        <v>0.0</v>
      </c>
      <c r="BO370" s="36">
        <v>0.0</v>
      </c>
      <c r="BP370" s="35" t="s">
        <v>7045</v>
      </c>
      <c r="BQ370" s="30">
        <v>46844.0</v>
      </c>
      <c r="BR370" s="30">
        <v>46934.0</v>
      </c>
      <c r="BS370" s="36">
        <v>0.0</v>
      </c>
      <c r="BT370" s="36">
        <v>0.0</v>
      </c>
      <c r="BU370" s="35" t="s">
        <v>7045</v>
      </c>
      <c r="BV370" s="30">
        <v>46935.0</v>
      </c>
      <c r="BW370" s="30">
        <v>47026.0</v>
      </c>
      <c r="BX370" s="36">
        <v>0.0</v>
      </c>
      <c r="BY370" s="36">
        <v>0.0</v>
      </c>
      <c r="BZ370" s="35" t="s">
        <v>7045</v>
      </c>
      <c r="CA370" s="30">
        <v>47027.0</v>
      </c>
      <c r="CB370" s="30">
        <v>47118.0</v>
      </c>
      <c r="CC370" s="36">
        <v>0.0</v>
      </c>
      <c r="CD370" s="36">
        <v>0.0</v>
      </c>
      <c r="CE370" s="35" t="s">
        <v>7045</v>
      </c>
      <c r="CF370" s="30">
        <v>47119.0</v>
      </c>
      <c r="CG370" s="30">
        <v>47208.0</v>
      </c>
      <c r="CH370" s="36">
        <v>0.0</v>
      </c>
      <c r="CI370" s="36">
        <v>0.0</v>
      </c>
      <c r="CJ370" s="35" t="s">
        <v>7045</v>
      </c>
      <c r="CK370" s="30">
        <v>47209.0</v>
      </c>
      <c r="CL370" s="30">
        <v>47299.0</v>
      </c>
      <c r="CM370" s="36">
        <v>0.0</v>
      </c>
      <c r="CN370" s="36">
        <v>0.0</v>
      </c>
      <c r="CO370" s="35" t="s">
        <v>7045</v>
      </c>
      <c r="CP370" s="30">
        <v>47300.0</v>
      </c>
      <c r="CQ370" s="30">
        <v>47391.0</v>
      </c>
      <c r="CR370" s="36">
        <v>0.0</v>
      </c>
      <c r="CS370" s="36">
        <v>0.0</v>
      </c>
      <c r="CT370" s="35" t="s">
        <v>7045</v>
      </c>
      <c r="CU370" s="30">
        <v>47392.0</v>
      </c>
      <c r="CV370" s="30">
        <v>47483.0</v>
      </c>
      <c r="CW370" s="36">
        <v>0.0</v>
      </c>
      <c r="CX370" s="36">
        <v>0.0</v>
      </c>
      <c r="CY370" s="35" t="s">
        <v>7045</v>
      </c>
      <c r="CZ370" s="30">
        <v>47484.0</v>
      </c>
      <c r="DA370" s="30">
        <v>47573.0</v>
      </c>
      <c r="DB370" s="36">
        <v>0.0</v>
      </c>
      <c r="DC370" s="36">
        <v>0.0</v>
      </c>
      <c r="DD370" s="35" t="s">
        <v>7045</v>
      </c>
      <c r="DE370" s="30">
        <v>47574.0</v>
      </c>
      <c r="DF370" s="30">
        <v>47664.0</v>
      </c>
      <c r="DG370" s="36">
        <v>0.0</v>
      </c>
      <c r="DH370" s="36">
        <v>0.0</v>
      </c>
      <c r="DI370" s="35" t="s">
        <v>7045</v>
      </c>
      <c r="DJ370" s="30">
        <v>47665.0</v>
      </c>
      <c r="DK370" s="30">
        <v>47756.0</v>
      </c>
      <c r="DL370" s="36">
        <v>0.0</v>
      </c>
      <c r="DM370" s="36">
        <v>0.0</v>
      </c>
      <c r="DN370" s="35" t="s">
        <v>7045</v>
      </c>
      <c r="DO370" s="30">
        <v>47757.0</v>
      </c>
      <c r="DP370" s="30">
        <v>47848.0</v>
      </c>
      <c r="DQ370" s="36">
        <v>0.0</v>
      </c>
      <c r="DR370" s="36">
        <v>0.0</v>
      </c>
      <c r="DS370" s="35" t="s">
        <v>7045</v>
      </c>
    </row>
    <row r="371" ht="14.25" customHeight="1">
      <c r="A371" s="28" t="s">
        <v>6892</v>
      </c>
      <c r="B371" s="29" t="s">
        <v>6893</v>
      </c>
      <c r="C371" s="29" t="s">
        <v>7041</v>
      </c>
      <c r="D371" s="30">
        <v>45658.0</v>
      </c>
      <c r="E371" s="30">
        <v>45747.0</v>
      </c>
      <c r="F371" s="39">
        <v>1.27</v>
      </c>
      <c r="G371" s="39">
        <v>0.0</v>
      </c>
      <c r="H371" s="38" t="s">
        <v>7047</v>
      </c>
      <c r="I371" s="30">
        <v>45748.0</v>
      </c>
      <c r="J371" s="30">
        <v>45838.0</v>
      </c>
      <c r="K371" s="39">
        <v>0.3</v>
      </c>
      <c r="L371" s="39">
        <v>361.11</v>
      </c>
      <c r="M371" s="32" t="s">
        <v>7043</v>
      </c>
      <c r="N371" s="30">
        <v>45839.0</v>
      </c>
      <c r="O371" s="30">
        <v>45930.0</v>
      </c>
      <c r="P371" s="39">
        <v>7.03</v>
      </c>
      <c r="Q371" s="39">
        <v>453.7</v>
      </c>
      <c r="R371" s="32" t="s">
        <v>7047</v>
      </c>
      <c r="S371" s="30">
        <v>45931.0</v>
      </c>
      <c r="T371" s="30">
        <v>46022.0</v>
      </c>
      <c r="U371" s="39">
        <v>81.91</v>
      </c>
      <c r="V371" s="39">
        <v>500.0</v>
      </c>
      <c r="W371" s="38" t="s">
        <v>7047</v>
      </c>
      <c r="X371" s="30">
        <v>46023.0</v>
      </c>
      <c r="Y371" s="30">
        <v>46112.0</v>
      </c>
      <c r="Z371" s="39">
        <v>7.44</v>
      </c>
      <c r="AA371" s="39">
        <v>0.0</v>
      </c>
      <c r="AB371" s="38" t="s">
        <v>7047</v>
      </c>
      <c r="AC371" s="30">
        <v>46113.0</v>
      </c>
      <c r="AD371" s="30">
        <v>46203.0</v>
      </c>
      <c r="AE371" s="39">
        <v>5.38</v>
      </c>
      <c r="AF371" s="39">
        <v>0.0</v>
      </c>
      <c r="AG371" s="38" t="s">
        <v>7047</v>
      </c>
      <c r="AH371" s="30">
        <v>46204.0</v>
      </c>
      <c r="AI371" s="30">
        <v>46295.0</v>
      </c>
      <c r="AJ371" s="39">
        <v>0.0</v>
      </c>
      <c r="AK371" s="39">
        <v>0.0</v>
      </c>
      <c r="AL371" s="35" t="s">
        <v>7045</v>
      </c>
      <c r="AM371" s="30">
        <v>46296.0</v>
      </c>
      <c r="AN371" s="30">
        <v>46387.0</v>
      </c>
      <c r="AO371" s="39">
        <v>27.76</v>
      </c>
      <c r="AP371" s="39">
        <v>0.0</v>
      </c>
      <c r="AQ371" s="38" t="s">
        <v>7047</v>
      </c>
      <c r="AR371" s="30">
        <v>46388.0</v>
      </c>
      <c r="AS371" s="30">
        <v>46477.0</v>
      </c>
      <c r="AT371" s="39">
        <v>0.0</v>
      </c>
      <c r="AU371" s="39">
        <v>0.0</v>
      </c>
      <c r="AV371" s="35" t="s">
        <v>7045</v>
      </c>
      <c r="AW371" s="30">
        <v>46478.0</v>
      </c>
      <c r="AX371" s="30">
        <v>46568.0</v>
      </c>
      <c r="AY371" s="39">
        <v>0.0</v>
      </c>
      <c r="AZ371" s="39">
        <v>0.0</v>
      </c>
      <c r="BA371" s="35" t="s">
        <v>7045</v>
      </c>
      <c r="BB371" s="30">
        <v>46569.0</v>
      </c>
      <c r="BC371" s="30">
        <v>46660.0</v>
      </c>
      <c r="BD371" s="39">
        <v>0.0</v>
      </c>
      <c r="BE371" s="39">
        <v>0.0</v>
      </c>
      <c r="BF371" s="35" t="s">
        <v>7045</v>
      </c>
      <c r="BG371" s="30">
        <v>46661.0</v>
      </c>
      <c r="BH371" s="30">
        <v>46752.0</v>
      </c>
      <c r="BI371" s="39">
        <v>0.0</v>
      </c>
      <c r="BJ371" s="39">
        <v>0.0</v>
      </c>
      <c r="BK371" s="35" t="s">
        <v>7045</v>
      </c>
      <c r="BL371" s="30">
        <v>46753.0</v>
      </c>
      <c r="BM371" s="30">
        <v>46843.0</v>
      </c>
      <c r="BN371" s="39">
        <v>0.0</v>
      </c>
      <c r="BO371" s="39">
        <v>0.0</v>
      </c>
      <c r="BP371" s="35" t="s">
        <v>7045</v>
      </c>
      <c r="BQ371" s="30">
        <v>46844.0</v>
      </c>
      <c r="BR371" s="30">
        <v>46934.0</v>
      </c>
      <c r="BS371" s="39">
        <v>0.0</v>
      </c>
      <c r="BT371" s="39">
        <v>0.0</v>
      </c>
      <c r="BU371" s="35" t="s">
        <v>7045</v>
      </c>
      <c r="BV371" s="30">
        <v>46935.0</v>
      </c>
      <c r="BW371" s="30">
        <v>47026.0</v>
      </c>
      <c r="BX371" s="39">
        <v>0.0</v>
      </c>
      <c r="BY371" s="39">
        <v>0.0</v>
      </c>
      <c r="BZ371" s="35" t="s">
        <v>7045</v>
      </c>
      <c r="CA371" s="30">
        <v>47027.0</v>
      </c>
      <c r="CB371" s="30">
        <v>47118.0</v>
      </c>
      <c r="CC371" s="39">
        <v>0.0</v>
      </c>
      <c r="CD371" s="39">
        <v>0.0</v>
      </c>
      <c r="CE371" s="35" t="s">
        <v>7045</v>
      </c>
      <c r="CF371" s="30">
        <v>47119.0</v>
      </c>
      <c r="CG371" s="30">
        <v>47208.0</v>
      </c>
      <c r="CH371" s="39">
        <v>0.0</v>
      </c>
      <c r="CI371" s="39">
        <v>0.0</v>
      </c>
      <c r="CJ371" s="35" t="s">
        <v>7045</v>
      </c>
      <c r="CK371" s="30">
        <v>47209.0</v>
      </c>
      <c r="CL371" s="30">
        <v>47299.0</v>
      </c>
      <c r="CM371" s="39">
        <v>0.0</v>
      </c>
      <c r="CN371" s="39">
        <v>0.0</v>
      </c>
      <c r="CO371" s="35" t="s">
        <v>7045</v>
      </c>
      <c r="CP371" s="30">
        <v>47300.0</v>
      </c>
      <c r="CQ371" s="30">
        <v>47391.0</v>
      </c>
      <c r="CR371" s="39">
        <v>0.0</v>
      </c>
      <c r="CS371" s="39">
        <v>0.0</v>
      </c>
      <c r="CT371" s="35" t="s">
        <v>7045</v>
      </c>
      <c r="CU371" s="30">
        <v>47392.0</v>
      </c>
      <c r="CV371" s="30">
        <v>47483.0</v>
      </c>
      <c r="CW371" s="39">
        <v>0.0</v>
      </c>
      <c r="CX371" s="39">
        <v>0.0</v>
      </c>
      <c r="CY371" s="35" t="s">
        <v>7045</v>
      </c>
      <c r="CZ371" s="30">
        <v>47484.0</v>
      </c>
      <c r="DA371" s="30">
        <v>47573.0</v>
      </c>
      <c r="DB371" s="39">
        <v>0.0</v>
      </c>
      <c r="DC371" s="39">
        <v>0.0</v>
      </c>
      <c r="DD371" s="35" t="s">
        <v>7045</v>
      </c>
      <c r="DE371" s="30">
        <v>47574.0</v>
      </c>
      <c r="DF371" s="30">
        <v>47664.0</v>
      </c>
      <c r="DG371" s="39">
        <v>0.0</v>
      </c>
      <c r="DH371" s="39">
        <v>0.0</v>
      </c>
      <c r="DI371" s="35" t="s">
        <v>7045</v>
      </c>
      <c r="DJ371" s="30">
        <v>47665.0</v>
      </c>
      <c r="DK371" s="30">
        <v>47756.0</v>
      </c>
      <c r="DL371" s="39">
        <v>0.0</v>
      </c>
      <c r="DM371" s="39">
        <v>0.0</v>
      </c>
      <c r="DN371" s="35" t="s">
        <v>7045</v>
      </c>
      <c r="DO371" s="30">
        <v>47757.0</v>
      </c>
      <c r="DP371" s="30">
        <v>47848.0</v>
      </c>
      <c r="DQ371" s="39">
        <v>0.0</v>
      </c>
      <c r="DR371" s="39">
        <v>0.0</v>
      </c>
      <c r="DS371" s="35" t="s">
        <v>7045</v>
      </c>
    </row>
    <row r="372" ht="14.25" customHeight="1">
      <c r="A372" s="28" t="s">
        <v>6895</v>
      </c>
      <c r="B372" s="29" t="s">
        <v>6896</v>
      </c>
      <c r="C372" s="29" t="s">
        <v>7041</v>
      </c>
      <c r="D372" s="30">
        <v>45658.0</v>
      </c>
      <c r="E372" s="30">
        <v>45747.0</v>
      </c>
      <c r="F372" s="36">
        <v>24.09</v>
      </c>
      <c r="G372" s="36">
        <v>0.0</v>
      </c>
      <c r="H372" s="38" t="s">
        <v>7047</v>
      </c>
      <c r="I372" s="30">
        <v>45748.0</v>
      </c>
      <c r="J372" s="30">
        <v>45838.0</v>
      </c>
      <c r="K372" s="36">
        <v>12.47</v>
      </c>
      <c r="L372" s="36">
        <v>1000.0</v>
      </c>
      <c r="M372" s="37" t="s">
        <v>7043</v>
      </c>
      <c r="N372" s="30">
        <v>45839.0</v>
      </c>
      <c r="O372" s="30">
        <v>45930.0</v>
      </c>
      <c r="P372" s="36">
        <v>280.48</v>
      </c>
      <c r="Q372" s="36">
        <v>1000.0</v>
      </c>
      <c r="R372" s="38" t="s">
        <v>7047</v>
      </c>
      <c r="S372" s="30">
        <v>45931.0</v>
      </c>
      <c r="T372" s="30">
        <v>46022.0</v>
      </c>
      <c r="U372" s="36">
        <v>215.42</v>
      </c>
      <c r="V372" s="36">
        <v>333.35</v>
      </c>
      <c r="W372" s="38" t="s">
        <v>7047</v>
      </c>
      <c r="X372" s="30">
        <v>46023.0</v>
      </c>
      <c r="Y372" s="30">
        <v>46112.0</v>
      </c>
      <c r="Z372" s="36">
        <v>54.89</v>
      </c>
      <c r="AA372" s="36">
        <v>0.0</v>
      </c>
      <c r="AB372" s="38" t="s">
        <v>7047</v>
      </c>
      <c r="AC372" s="30">
        <v>46113.0</v>
      </c>
      <c r="AD372" s="30">
        <v>46203.0</v>
      </c>
      <c r="AE372" s="36">
        <v>100.0</v>
      </c>
      <c r="AF372" s="36">
        <v>0.0</v>
      </c>
      <c r="AG372" s="35" t="s">
        <v>7047</v>
      </c>
      <c r="AH372" s="30">
        <v>46204.0</v>
      </c>
      <c r="AI372" s="30">
        <v>46295.0</v>
      </c>
      <c r="AJ372" s="36">
        <v>0.0</v>
      </c>
      <c r="AK372" s="36">
        <v>0.0</v>
      </c>
      <c r="AL372" s="35" t="s">
        <v>7045</v>
      </c>
      <c r="AM372" s="30">
        <v>46296.0</v>
      </c>
      <c r="AN372" s="30">
        <v>46387.0</v>
      </c>
      <c r="AO372" s="36">
        <v>0.0</v>
      </c>
      <c r="AP372" s="36">
        <v>0.0</v>
      </c>
      <c r="AQ372" s="35" t="s">
        <v>7045</v>
      </c>
      <c r="AR372" s="30">
        <v>46388.0</v>
      </c>
      <c r="AS372" s="30">
        <v>46477.0</v>
      </c>
      <c r="AT372" s="36">
        <v>0.0</v>
      </c>
      <c r="AU372" s="36">
        <v>0.0</v>
      </c>
      <c r="AV372" s="35" t="s">
        <v>7045</v>
      </c>
      <c r="AW372" s="30">
        <v>46478.0</v>
      </c>
      <c r="AX372" s="30">
        <v>46568.0</v>
      </c>
      <c r="AY372" s="36">
        <v>0.0</v>
      </c>
      <c r="AZ372" s="36">
        <v>0.0</v>
      </c>
      <c r="BA372" s="35" t="s">
        <v>7045</v>
      </c>
      <c r="BB372" s="30">
        <v>46569.0</v>
      </c>
      <c r="BC372" s="30">
        <v>46660.0</v>
      </c>
      <c r="BD372" s="36">
        <v>0.0</v>
      </c>
      <c r="BE372" s="36">
        <v>0.0</v>
      </c>
      <c r="BF372" s="35" t="s">
        <v>7045</v>
      </c>
      <c r="BG372" s="30">
        <v>46661.0</v>
      </c>
      <c r="BH372" s="30">
        <v>46752.0</v>
      </c>
      <c r="BI372" s="36">
        <v>0.0</v>
      </c>
      <c r="BJ372" s="36">
        <v>0.0</v>
      </c>
      <c r="BK372" s="35" t="s">
        <v>7045</v>
      </c>
      <c r="BL372" s="30">
        <v>46753.0</v>
      </c>
      <c r="BM372" s="30">
        <v>46843.0</v>
      </c>
      <c r="BN372" s="36">
        <v>0.0</v>
      </c>
      <c r="BO372" s="36">
        <v>0.0</v>
      </c>
      <c r="BP372" s="35" t="s">
        <v>7045</v>
      </c>
      <c r="BQ372" s="30">
        <v>46844.0</v>
      </c>
      <c r="BR372" s="30">
        <v>46934.0</v>
      </c>
      <c r="BS372" s="36">
        <v>0.0</v>
      </c>
      <c r="BT372" s="36">
        <v>0.0</v>
      </c>
      <c r="BU372" s="35" t="s">
        <v>7045</v>
      </c>
      <c r="BV372" s="30">
        <v>46935.0</v>
      </c>
      <c r="BW372" s="30">
        <v>47026.0</v>
      </c>
      <c r="BX372" s="36">
        <v>0.0</v>
      </c>
      <c r="BY372" s="36">
        <v>0.0</v>
      </c>
      <c r="BZ372" s="35" t="s">
        <v>7045</v>
      </c>
      <c r="CA372" s="30">
        <v>47027.0</v>
      </c>
      <c r="CB372" s="30">
        <v>47118.0</v>
      </c>
      <c r="CC372" s="36">
        <v>0.0</v>
      </c>
      <c r="CD372" s="36">
        <v>0.0</v>
      </c>
      <c r="CE372" s="35" t="s">
        <v>7045</v>
      </c>
      <c r="CF372" s="30">
        <v>47119.0</v>
      </c>
      <c r="CG372" s="30">
        <v>47208.0</v>
      </c>
      <c r="CH372" s="36">
        <v>0.0</v>
      </c>
      <c r="CI372" s="36">
        <v>0.0</v>
      </c>
      <c r="CJ372" s="35" t="s">
        <v>7045</v>
      </c>
      <c r="CK372" s="30">
        <v>47209.0</v>
      </c>
      <c r="CL372" s="30">
        <v>47299.0</v>
      </c>
      <c r="CM372" s="36">
        <v>0.0</v>
      </c>
      <c r="CN372" s="36">
        <v>0.0</v>
      </c>
      <c r="CO372" s="35" t="s">
        <v>7045</v>
      </c>
      <c r="CP372" s="30">
        <v>47300.0</v>
      </c>
      <c r="CQ372" s="30">
        <v>47391.0</v>
      </c>
      <c r="CR372" s="36">
        <v>0.0</v>
      </c>
      <c r="CS372" s="36">
        <v>0.0</v>
      </c>
      <c r="CT372" s="35" t="s">
        <v>7045</v>
      </c>
      <c r="CU372" s="30">
        <v>47392.0</v>
      </c>
      <c r="CV372" s="30">
        <v>47483.0</v>
      </c>
      <c r="CW372" s="36">
        <v>0.0</v>
      </c>
      <c r="CX372" s="36">
        <v>0.0</v>
      </c>
      <c r="CY372" s="35" t="s">
        <v>7045</v>
      </c>
      <c r="CZ372" s="30">
        <v>47484.0</v>
      </c>
      <c r="DA372" s="30">
        <v>47573.0</v>
      </c>
      <c r="DB372" s="36">
        <v>0.0</v>
      </c>
      <c r="DC372" s="36">
        <v>0.0</v>
      </c>
      <c r="DD372" s="35" t="s">
        <v>7045</v>
      </c>
      <c r="DE372" s="30">
        <v>47574.0</v>
      </c>
      <c r="DF372" s="30">
        <v>47664.0</v>
      </c>
      <c r="DG372" s="36">
        <v>0.0</v>
      </c>
      <c r="DH372" s="36">
        <v>0.0</v>
      </c>
      <c r="DI372" s="35" t="s">
        <v>7045</v>
      </c>
      <c r="DJ372" s="30">
        <v>47665.0</v>
      </c>
      <c r="DK372" s="30">
        <v>47756.0</v>
      </c>
      <c r="DL372" s="36">
        <v>0.0</v>
      </c>
      <c r="DM372" s="36">
        <v>0.0</v>
      </c>
      <c r="DN372" s="35" t="s">
        <v>7045</v>
      </c>
      <c r="DO372" s="30">
        <v>47757.0</v>
      </c>
      <c r="DP372" s="30">
        <v>47848.0</v>
      </c>
      <c r="DQ372" s="36">
        <v>0.0</v>
      </c>
      <c r="DR372" s="36">
        <v>0.0</v>
      </c>
      <c r="DS372" s="35" t="s">
        <v>7045</v>
      </c>
    </row>
    <row r="373" ht="14.25" customHeight="1">
      <c r="A373" s="28" t="s">
        <v>6937</v>
      </c>
      <c r="B373" s="29" t="s">
        <v>6938</v>
      </c>
      <c r="C373" s="29" t="s">
        <v>7041</v>
      </c>
      <c r="D373" s="30">
        <v>45658.0</v>
      </c>
      <c r="E373" s="30">
        <v>45747.0</v>
      </c>
      <c r="F373" s="39">
        <v>20.66</v>
      </c>
      <c r="G373" s="39">
        <v>0.0</v>
      </c>
      <c r="H373" s="38" t="s">
        <v>7047</v>
      </c>
      <c r="I373" s="30">
        <v>45748.0</v>
      </c>
      <c r="J373" s="30">
        <v>45838.0</v>
      </c>
      <c r="K373" s="39">
        <v>47.83</v>
      </c>
      <c r="L373" s="39">
        <v>0.0</v>
      </c>
      <c r="M373" s="38" t="s">
        <v>7047</v>
      </c>
      <c r="N373" s="30">
        <v>45839.0</v>
      </c>
      <c r="O373" s="30">
        <v>45930.0</v>
      </c>
      <c r="P373" s="39">
        <v>275.26</v>
      </c>
      <c r="Q373" s="39">
        <v>0.0</v>
      </c>
      <c r="R373" s="38" t="s">
        <v>7047</v>
      </c>
      <c r="S373" s="30">
        <v>45931.0</v>
      </c>
      <c r="T373" s="30">
        <v>46022.0</v>
      </c>
      <c r="U373" s="39">
        <v>1007.01</v>
      </c>
      <c r="V373" s="39">
        <v>0.0</v>
      </c>
      <c r="W373" s="38" t="s">
        <v>7047</v>
      </c>
      <c r="X373" s="30">
        <v>46023.0</v>
      </c>
      <c r="Y373" s="30">
        <v>46112.0</v>
      </c>
      <c r="Z373" s="39">
        <v>32.91</v>
      </c>
      <c r="AA373" s="39">
        <v>0.0</v>
      </c>
      <c r="AB373" s="38" t="s">
        <v>7047</v>
      </c>
      <c r="AC373" s="30">
        <v>46113.0</v>
      </c>
      <c r="AD373" s="30">
        <v>46203.0</v>
      </c>
      <c r="AE373" s="39">
        <v>168.89</v>
      </c>
      <c r="AF373" s="39">
        <v>0.0</v>
      </c>
      <c r="AG373" s="38" t="s">
        <v>7047</v>
      </c>
      <c r="AH373" s="30">
        <v>46204.0</v>
      </c>
      <c r="AI373" s="30">
        <v>46295.0</v>
      </c>
      <c r="AJ373" s="39">
        <v>6.12</v>
      </c>
      <c r="AK373" s="39">
        <v>0.0</v>
      </c>
      <c r="AL373" s="38" t="s">
        <v>7047</v>
      </c>
      <c r="AM373" s="30">
        <v>46296.0</v>
      </c>
      <c r="AN373" s="30">
        <v>46387.0</v>
      </c>
      <c r="AO373" s="39">
        <v>12.05</v>
      </c>
      <c r="AP373" s="39">
        <v>0.0</v>
      </c>
      <c r="AQ373" s="38" t="s">
        <v>7047</v>
      </c>
      <c r="AR373" s="30">
        <v>46388.0</v>
      </c>
      <c r="AS373" s="30">
        <v>46477.0</v>
      </c>
      <c r="AT373" s="39">
        <v>0.0</v>
      </c>
      <c r="AU373" s="39">
        <v>0.0</v>
      </c>
      <c r="AV373" s="35" t="s">
        <v>7045</v>
      </c>
      <c r="AW373" s="30">
        <v>46478.0</v>
      </c>
      <c r="AX373" s="30">
        <v>46568.0</v>
      </c>
      <c r="AY373" s="39">
        <v>0.0</v>
      </c>
      <c r="AZ373" s="39">
        <v>0.0</v>
      </c>
      <c r="BA373" s="35" t="s">
        <v>7045</v>
      </c>
      <c r="BB373" s="30">
        <v>46569.0</v>
      </c>
      <c r="BC373" s="30">
        <v>46660.0</v>
      </c>
      <c r="BD373" s="39">
        <v>0.0</v>
      </c>
      <c r="BE373" s="39">
        <v>0.0</v>
      </c>
      <c r="BF373" s="35" t="s">
        <v>7045</v>
      </c>
      <c r="BG373" s="30">
        <v>46661.0</v>
      </c>
      <c r="BH373" s="30">
        <v>46752.0</v>
      </c>
      <c r="BI373" s="39">
        <v>0.0</v>
      </c>
      <c r="BJ373" s="39">
        <v>0.0</v>
      </c>
      <c r="BK373" s="35" t="s">
        <v>7045</v>
      </c>
      <c r="BL373" s="30">
        <v>46753.0</v>
      </c>
      <c r="BM373" s="30">
        <v>46843.0</v>
      </c>
      <c r="BN373" s="39">
        <v>0.0</v>
      </c>
      <c r="BO373" s="39">
        <v>0.0</v>
      </c>
      <c r="BP373" s="35" t="s">
        <v>7045</v>
      </c>
      <c r="BQ373" s="30">
        <v>46844.0</v>
      </c>
      <c r="BR373" s="30">
        <v>46934.0</v>
      </c>
      <c r="BS373" s="39">
        <v>0.0</v>
      </c>
      <c r="BT373" s="39">
        <v>0.0</v>
      </c>
      <c r="BU373" s="35" t="s">
        <v>7045</v>
      </c>
      <c r="BV373" s="30">
        <v>46935.0</v>
      </c>
      <c r="BW373" s="30">
        <v>47026.0</v>
      </c>
      <c r="BX373" s="39">
        <v>0.0</v>
      </c>
      <c r="BY373" s="39">
        <v>0.0</v>
      </c>
      <c r="BZ373" s="35" t="s">
        <v>7045</v>
      </c>
      <c r="CA373" s="30">
        <v>47027.0</v>
      </c>
      <c r="CB373" s="30">
        <v>47118.0</v>
      </c>
      <c r="CC373" s="39">
        <v>0.0</v>
      </c>
      <c r="CD373" s="39">
        <v>0.0</v>
      </c>
      <c r="CE373" s="35" t="s">
        <v>7045</v>
      </c>
      <c r="CF373" s="30">
        <v>47119.0</v>
      </c>
      <c r="CG373" s="30">
        <v>47208.0</v>
      </c>
      <c r="CH373" s="39">
        <v>0.0</v>
      </c>
      <c r="CI373" s="39">
        <v>0.0</v>
      </c>
      <c r="CJ373" s="35" t="s">
        <v>7045</v>
      </c>
      <c r="CK373" s="30">
        <v>47209.0</v>
      </c>
      <c r="CL373" s="30">
        <v>47299.0</v>
      </c>
      <c r="CM373" s="39">
        <v>0.0</v>
      </c>
      <c r="CN373" s="39">
        <v>0.0</v>
      </c>
      <c r="CO373" s="35" t="s">
        <v>7045</v>
      </c>
      <c r="CP373" s="30">
        <v>47300.0</v>
      </c>
      <c r="CQ373" s="30">
        <v>47391.0</v>
      </c>
      <c r="CR373" s="39">
        <v>0.0</v>
      </c>
      <c r="CS373" s="39">
        <v>0.0</v>
      </c>
      <c r="CT373" s="35" t="s">
        <v>7045</v>
      </c>
      <c r="CU373" s="30">
        <v>47392.0</v>
      </c>
      <c r="CV373" s="30">
        <v>47483.0</v>
      </c>
      <c r="CW373" s="39">
        <v>0.0</v>
      </c>
      <c r="CX373" s="39">
        <v>0.0</v>
      </c>
      <c r="CY373" s="35" t="s">
        <v>7045</v>
      </c>
      <c r="CZ373" s="30">
        <v>47484.0</v>
      </c>
      <c r="DA373" s="30">
        <v>47573.0</v>
      </c>
      <c r="DB373" s="39">
        <v>0.0</v>
      </c>
      <c r="DC373" s="39">
        <v>0.0</v>
      </c>
      <c r="DD373" s="35" t="s">
        <v>7045</v>
      </c>
      <c r="DE373" s="30">
        <v>47574.0</v>
      </c>
      <c r="DF373" s="30">
        <v>47664.0</v>
      </c>
      <c r="DG373" s="39">
        <v>0.0</v>
      </c>
      <c r="DH373" s="39">
        <v>0.0</v>
      </c>
      <c r="DI373" s="35" t="s">
        <v>7045</v>
      </c>
      <c r="DJ373" s="30">
        <v>47665.0</v>
      </c>
      <c r="DK373" s="30">
        <v>47756.0</v>
      </c>
      <c r="DL373" s="39">
        <v>0.0</v>
      </c>
      <c r="DM373" s="39">
        <v>0.0</v>
      </c>
      <c r="DN373" s="35" t="s">
        <v>7045</v>
      </c>
      <c r="DO373" s="30">
        <v>47757.0</v>
      </c>
      <c r="DP373" s="30">
        <v>47848.0</v>
      </c>
      <c r="DQ373" s="39">
        <v>0.0</v>
      </c>
      <c r="DR373" s="39">
        <v>0.0</v>
      </c>
      <c r="DS373" s="35" t="s">
        <v>7045</v>
      </c>
    </row>
    <row r="374" ht="14.25" customHeight="1">
      <c r="A374" s="28" t="s">
        <v>6999</v>
      </c>
      <c r="B374" s="29" t="s">
        <v>7000</v>
      </c>
      <c r="C374" s="29" t="s">
        <v>7041</v>
      </c>
      <c r="D374" s="30">
        <v>45658.0</v>
      </c>
      <c r="E374" s="30">
        <v>45747.0</v>
      </c>
      <c r="F374" s="39">
        <v>3.54</v>
      </c>
      <c r="G374" s="39">
        <v>0.0</v>
      </c>
      <c r="H374" s="38" t="s">
        <v>7047</v>
      </c>
      <c r="I374" s="30">
        <v>45748.0</v>
      </c>
      <c r="J374" s="30">
        <v>45838.0</v>
      </c>
      <c r="K374" s="39">
        <v>8.96</v>
      </c>
      <c r="L374" s="39">
        <v>167.39</v>
      </c>
      <c r="M374" s="32" t="s">
        <v>7043</v>
      </c>
      <c r="N374" s="30">
        <v>45839.0</v>
      </c>
      <c r="O374" s="30">
        <v>45930.0</v>
      </c>
      <c r="P374" s="39">
        <v>61.73</v>
      </c>
      <c r="Q374" s="39">
        <v>200.0</v>
      </c>
      <c r="R374" s="38" t="s">
        <v>7047</v>
      </c>
      <c r="S374" s="30">
        <v>45931.0</v>
      </c>
      <c r="T374" s="30">
        <v>46022.0</v>
      </c>
      <c r="U374" s="39">
        <v>49.82</v>
      </c>
      <c r="V374" s="39">
        <v>306.52</v>
      </c>
      <c r="W374" s="38" t="s">
        <v>7047</v>
      </c>
      <c r="X374" s="30">
        <v>46023.0</v>
      </c>
      <c r="Y374" s="30">
        <v>46112.0</v>
      </c>
      <c r="Z374" s="39">
        <v>1.16</v>
      </c>
      <c r="AA374" s="39">
        <v>0.0</v>
      </c>
      <c r="AB374" s="38" t="s">
        <v>7047</v>
      </c>
      <c r="AC374" s="30">
        <v>46113.0</v>
      </c>
      <c r="AD374" s="30">
        <v>46203.0</v>
      </c>
      <c r="AE374" s="39">
        <v>463.38</v>
      </c>
      <c r="AF374" s="39">
        <v>0.0</v>
      </c>
      <c r="AG374" s="38" t="s">
        <v>7047</v>
      </c>
      <c r="AH374" s="30">
        <v>46204.0</v>
      </c>
      <c r="AI374" s="30">
        <v>46295.0</v>
      </c>
      <c r="AJ374" s="39">
        <v>50.0</v>
      </c>
      <c r="AK374" s="39">
        <v>0.0</v>
      </c>
      <c r="AL374" s="35" t="s">
        <v>7047</v>
      </c>
      <c r="AM374" s="30">
        <v>46296.0</v>
      </c>
      <c r="AN374" s="30">
        <v>46387.0</v>
      </c>
      <c r="AO374" s="39">
        <v>12.16</v>
      </c>
      <c r="AP374" s="39">
        <v>0.0</v>
      </c>
      <c r="AQ374" s="38" t="s">
        <v>7047</v>
      </c>
      <c r="AR374" s="30">
        <v>46388.0</v>
      </c>
      <c r="AS374" s="30">
        <v>46477.0</v>
      </c>
      <c r="AT374" s="39">
        <v>0.0</v>
      </c>
      <c r="AU374" s="39">
        <v>0.0</v>
      </c>
      <c r="AV374" s="35" t="s">
        <v>7045</v>
      </c>
      <c r="AW374" s="30">
        <v>46478.0</v>
      </c>
      <c r="AX374" s="30">
        <v>46568.0</v>
      </c>
      <c r="AY374" s="39">
        <v>0.0</v>
      </c>
      <c r="AZ374" s="39">
        <v>0.0</v>
      </c>
      <c r="BA374" s="35" t="s">
        <v>7045</v>
      </c>
      <c r="BB374" s="30">
        <v>46569.0</v>
      </c>
      <c r="BC374" s="30">
        <v>46660.0</v>
      </c>
      <c r="BD374" s="39">
        <v>0.0</v>
      </c>
      <c r="BE374" s="39">
        <v>0.0</v>
      </c>
      <c r="BF374" s="35" t="s">
        <v>7045</v>
      </c>
      <c r="BG374" s="30">
        <v>46661.0</v>
      </c>
      <c r="BH374" s="30">
        <v>46752.0</v>
      </c>
      <c r="BI374" s="39">
        <v>0.0</v>
      </c>
      <c r="BJ374" s="39">
        <v>0.0</v>
      </c>
      <c r="BK374" s="35" t="s">
        <v>7045</v>
      </c>
      <c r="BL374" s="30">
        <v>46753.0</v>
      </c>
      <c r="BM374" s="30">
        <v>46843.0</v>
      </c>
      <c r="BN374" s="39">
        <v>0.0</v>
      </c>
      <c r="BO374" s="39">
        <v>0.0</v>
      </c>
      <c r="BP374" s="35" t="s">
        <v>7045</v>
      </c>
      <c r="BQ374" s="30">
        <v>46844.0</v>
      </c>
      <c r="BR374" s="30">
        <v>46934.0</v>
      </c>
      <c r="BS374" s="39">
        <v>0.0</v>
      </c>
      <c r="BT374" s="39">
        <v>0.0</v>
      </c>
      <c r="BU374" s="35" t="s">
        <v>7045</v>
      </c>
      <c r="BV374" s="30">
        <v>46935.0</v>
      </c>
      <c r="BW374" s="30">
        <v>47026.0</v>
      </c>
      <c r="BX374" s="39">
        <v>0.0</v>
      </c>
      <c r="BY374" s="39">
        <v>0.0</v>
      </c>
      <c r="BZ374" s="35" t="s">
        <v>7045</v>
      </c>
      <c r="CA374" s="30">
        <v>47027.0</v>
      </c>
      <c r="CB374" s="30">
        <v>47118.0</v>
      </c>
      <c r="CC374" s="39">
        <v>0.0</v>
      </c>
      <c r="CD374" s="39">
        <v>0.0</v>
      </c>
      <c r="CE374" s="35" t="s">
        <v>7045</v>
      </c>
      <c r="CF374" s="30">
        <v>47119.0</v>
      </c>
      <c r="CG374" s="30">
        <v>47208.0</v>
      </c>
      <c r="CH374" s="39">
        <v>0.0</v>
      </c>
      <c r="CI374" s="39">
        <v>0.0</v>
      </c>
      <c r="CJ374" s="35" t="s">
        <v>7045</v>
      </c>
      <c r="CK374" s="30">
        <v>47209.0</v>
      </c>
      <c r="CL374" s="30">
        <v>47299.0</v>
      </c>
      <c r="CM374" s="39">
        <v>0.0</v>
      </c>
      <c r="CN374" s="39">
        <v>0.0</v>
      </c>
      <c r="CO374" s="35" t="s">
        <v>7045</v>
      </c>
      <c r="CP374" s="30">
        <v>47300.0</v>
      </c>
      <c r="CQ374" s="30">
        <v>47391.0</v>
      </c>
      <c r="CR374" s="39">
        <v>0.0</v>
      </c>
      <c r="CS374" s="39">
        <v>0.0</v>
      </c>
      <c r="CT374" s="35" t="s">
        <v>7045</v>
      </c>
      <c r="CU374" s="30">
        <v>47392.0</v>
      </c>
      <c r="CV374" s="30">
        <v>47483.0</v>
      </c>
      <c r="CW374" s="39">
        <v>0.0</v>
      </c>
      <c r="CX374" s="39">
        <v>0.0</v>
      </c>
      <c r="CY374" s="35" t="s">
        <v>7045</v>
      </c>
      <c r="CZ374" s="30">
        <v>47484.0</v>
      </c>
      <c r="DA374" s="30">
        <v>47573.0</v>
      </c>
      <c r="DB374" s="39">
        <v>0.0</v>
      </c>
      <c r="DC374" s="39">
        <v>0.0</v>
      </c>
      <c r="DD374" s="35" t="s">
        <v>7045</v>
      </c>
      <c r="DE374" s="30">
        <v>47574.0</v>
      </c>
      <c r="DF374" s="30">
        <v>47664.0</v>
      </c>
      <c r="DG374" s="39">
        <v>0.0</v>
      </c>
      <c r="DH374" s="39">
        <v>0.0</v>
      </c>
      <c r="DI374" s="35" t="s">
        <v>7045</v>
      </c>
      <c r="DJ374" s="30">
        <v>47665.0</v>
      </c>
      <c r="DK374" s="30">
        <v>47756.0</v>
      </c>
      <c r="DL374" s="39">
        <v>0.0</v>
      </c>
      <c r="DM374" s="39">
        <v>0.0</v>
      </c>
      <c r="DN374" s="35" t="s">
        <v>7045</v>
      </c>
      <c r="DO374" s="30">
        <v>47757.0</v>
      </c>
      <c r="DP374" s="30">
        <v>47848.0</v>
      </c>
      <c r="DQ374" s="39">
        <v>0.0</v>
      </c>
      <c r="DR374" s="39">
        <v>0.0</v>
      </c>
      <c r="DS374" s="35" t="s">
        <v>7045</v>
      </c>
    </row>
    <row r="375" ht="14.25" customHeight="1">
      <c r="A375" s="28" t="s">
        <v>7019</v>
      </c>
      <c r="B375" s="29" t="s">
        <v>7020</v>
      </c>
      <c r="C375" s="29" t="s">
        <v>7041</v>
      </c>
      <c r="D375" s="30">
        <v>45658.0</v>
      </c>
      <c r="E375" s="30">
        <v>45747.0</v>
      </c>
      <c r="F375" s="36">
        <v>0.95</v>
      </c>
      <c r="G375" s="36">
        <v>0.0</v>
      </c>
      <c r="H375" s="38" t="s">
        <v>7047</v>
      </c>
      <c r="I375" s="30">
        <v>45748.0</v>
      </c>
      <c r="J375" s="30">
        <v>45838.0</v>
      </c>
      <c r="K375" s="36">
        <v>10.66</v>
      </c>
      <c r="L375" s="36">
        <v>412.28</v>
      </c>
      <c r="M375" s="38" t="s">
        <v>7043</v>
      </c>
      <c r="N375" s="30">
        <v>45839.0</v>
      </c>
      <c r="O375" s="30">
        <v>45930.0</v>
      </c>
      <c r="P375" s="36">
        <v>15.66</v>
      </c>
      <c r="Q375" s="36">
        <v>642.44</v>
      </c>
      <c r="R375" s="38" t="s">
        <v>7043</v>
      </c>
      <c r="S375" s="30">
        <v>45931.0</v>
      </c>
      <c r="T375" s="30">
        <v>46022.0</v>
      </c>
      <c r="U375" s="36">
        <v>20.0</v>
      </c>
      <c r="V375" s="36">
        <v>652.63</v>
      </c>
      <c r="W375" s="38" t="s">
        <v>7047</v>
      </c>
      <c r="X375" s="30">
        <v>46023.0</v>
      </c>
      <c r="Y375" s="30">
        <v>46112.0</v>
      </c>
      <c r="Z375" s="36">
        <v>82.03</v>
      </c>
      <c r="AA375" s="36">
        <v>0.0</v>
      </c>
      <c r="AB375" s="38" t="s">
        <v>7047</v>
      </c>
      <c r="AC375" s="30">
        <v>46113.0</v>
      </c>
      <c r="AD375" s="30">
        <v>46203.0</v>
      </c>
      <c r="AE375" s="36">
        <v>3.09</v>
      </c>
      <c r="AF375" s="36">
        <v>0.0</v>
      </c>
      <c r="AG375" s="38" t="s">
        <v>7047</v>
      </c>
      <c r="AH375" s="30">
        <v>46204.0</v>
      </c>
      <c r="AI375" s="30">
        <v>46295.0</v>
      </c>
      <c r="AJ375" s="36">
        <v>0.0</v>
      </c>
      <c r="AK375" s="36">
        <v>0.0</v>
      </c>
      <c r="AL375" s="35" t="s">
        <v>7045</v>
      </c>
      <c r="AM375" s="30">
        <v>46296.0</v>
      </c>
      <c r="AN375" s="30">
        <v>46387.0</v>
      </c>
      <c r="AO375" s="36">
        <v>0.0</v>
      </c>
      <c r="AP375" s="36">
        <v>0.0</v>
      </c>
      <c r="AQ375" s="35" t="s">
        <v>7045</v>
      </c>
      <c r="AR375" s="30">
        <v>46388.0</v>
      </c>
      <c r="AS375" s="30">
        <v>46477.0</v>
      </c>
      <c r="AT375" s="36">
        <v>0.0</v>
      </c>
      <c r="AU375" s="36">
        <v>0.0</v>
      </c>
      <c r="AV375" s="35" t="s">
        <v>7045</v>
      </c>
      <c r="AW375" s="30">
        <v>46478.0</v>
      </c>
      <c r="AX375" s="30">
        <v>46568.0</v>
      </c>
      <c r="AY375" s="36">
        <v>0.0</v>
      </c>
      <c r="AZ375" s="36">
        <v>0.0</v>
      </c>
      <c r="BA375" s="35" t="s">
        <v>7045</v>
      </c>
      <c r="BB375" s="30">
        <v>46569.0</v>
      </c>
      <c r="BC375" s="30">
        <v>46660.0</v>
      </c>
      <c r="BD375" s="36">
        <v>0.0</v>
      </c>
      <c r="BE375" s="36">
        <v>0.0</v>
      </c>
      <c r="BF375" s="35" t="s">
        <v>7045</v>
      </c>
      <c r="BG375" s="30">
        <v>46661.0</v>
      </c>
      <c r="BH375" s="30">
        <v>46752.0</v>
      </c>
      <c r="BI375" s="36">
        <v>0.0</v>
      </c>
      <c r="BJ375" s="36">
        <v>0.0</v>
      </c>
      <c r="BK375" s="35" t="s">
        <v>7045</v>
      </c>
      <c r="BL375" s="30">
        <v>46753.0</v>
      </c>
      <c r="BM375" s="30">
        <v>46843.0</v>
      </c>
      <c r="BN375" s="36">
        <v>0.0</v>
      </c>
      <c r="BO375" s="36">
        <v>0.0</v>
      </c>
      <c r="BP375" s="35" t="s">
        <v>7045</v>
      </c>
      <c r="BQ375" s="30">
        <v>46844.0</v>
      </c>
      <c r="BR375" s="30">
        <v>46934.0</v>
      </c>
      <c r="BS375" s="36">
        <v>0.0</v>
      </c>
      <c r="BT375" s="36">
        <v>0.0</v>
      </c>
      <c r="BU375" s="35" t="s">
        <v>7045</v>
      </c>
      <c r="BV375" s="30">
        <v>46935.0</v>
      </c>
      <c r="BW375" s="30">
        <v>47026.0</v>
      </c>
      <c r="BX375" s="36">
        <v>0.0</v>
      </c>
      <c r="BY375" s="36">
        <v>0.0</v>
      </c>
      <c r="BZ375" s="35" t="s">
        <v>7045</v>
      </c>
      <c r="CA375" s="30">
        <v>47027.0</v>
      </c>
      <c r="CB375" s="30">
        <v>47118.0</v>
      </c>
      <c r="CC375" s="36">
        <v>0.0</v>
      </c>
      <c r="CD375" s="36">
        <v>0.0</v>
      </c>
      <c r="CE375" s="35" t="s">
        <v>7045</v>
      </c>
      <c r="CF375" s="30">
        <v>47119.0</v>
      </c>
      <c r="CG375" s="30">
        <v>47208.0</v>
      </c>
      <c r="CH375" s="36">
        <v>0.0</v>
      </c>
      <c r="CI375" s="36">
        <v>0.0</v>
      </c>
      <c r="CJ375" s="35" t="s">
        <v>7045</v>
      </c>
      <c r="CK375" s="30">
        <v>47209.0</v>
      </c>
      <c r="CL375" s="30">
        <v>47299.0</v>
      </c>
      <c r="CM375" s="36">
        <v>0.0</v>
      </c>
      <c r="CN375" s="36">
        <v>0.0</v>
      </c>
      <c r="CO375" s="35" t="s">
        <v>7045</v>
      </c>
      <c r="CP375" s="30">
        <v>47300.0</v>
      </c>
      <c r="CQ375" s="30">
        <v>47391.0</v>
      </c>
      <c r="CR375" s="36">
        <v>0.0</v>
      </c>
      <c r="CS375" s="36">
        <v>0.0</v>
      </c>
      <c r="CT375" s="35" t="s">
        <v>7045</v>
      </c>
      <c r="CU375" s="30">
        <v>47392.0</v>
      </c>
      <c r="CV375" s="30">
        <v>47483.0</v>
      </c>
      <c r="CW375" s="36">
        <v>0.0</v>
      </c>
      <c r="CX375" s="36">
        <v>0.0</v>
      </c>
      <c r="CY375" s="35" t="s">
        <v>7045</v>
      </c>
      <c r="CZ375" s="30">
        <v>47484.0</v>
      </c>
      <c r="DA375" s="30">
        <v>47573.0</v>
      </c>
      <c r="DB375" s="36">
        <v>0.0</v>
      </c>
      <c r="DC375" s="36">
        <v>0.0</v>
      </c>
      <c r="DD375" s="35" t="s">
        <v>7045</v>
      </c>
      <c r="DE375" s="30">
        <v>47574.0</v>
      </c>
      <c r="DF375" s="30">
        <v>47664.0</v>
      </c>
      <c r="DG375" s="36">
        <v>0.0</v>
      </c>
      <c r="DH375" s="36">
        <v>0.0</v>
      </c>
      <c r="DI375" s="35" t="s">
        <v>7045</v>
      </c>
      <c r="DJ375" s="30">
        <v>47665.0</v>
      </c>
      <c r="DK375" s="30">
        <v>47756.0</v>
      </c>
      <c r="DL375" s="36">
        <v>0.0</v>
      </c>
      <c r="DM375" s="36">
        <v>0.0</v>
      </c>
      <c r="DN375" s="35" t="s">
        <v>7045</v>
      </c>
      <c r="DO375" s="30">
        <v>47757.0</v>
      </c>
      <c r="DP375" s="30">
        <v>47848.0</v>
      </c>
      <c r="DQ375" s="36">
        <v>0.0</v>
      </c>
      <c r="DR375" s="36">
        <v>0.0</v>
      </c>
      <c r="DS375" s="35" t="s">
        <v>7045</v>
      </c>
    </row>
    <row r="376" ht="14.25" customHeight="1">
      <c r="A376" s="28" t="s">
        <v>215</v>
      </c>
      <c r="B376" s="29" t="s">
        <v>216</v>
      </c>
      <c r="C376" s="29" t="s">
        <v>7041</v>
      </c>
      <c r="D376" s="30">
        <v>45658.0</v>
      </c>
      <c r="E376" s="30">
        <v>45747.0</v>
      </c>
      <c r="F376" s="36">
        <v>19.25</v>
      </c>
      <c r="G376" s="36">
        <v>0.0</v>
      </c>
      <c r="H376" s="38" t="s">
        <v>7047</v>
      </c>
      <c r="I376" s="30">
        <v>45748.0</v>
      </c>
      <c r="J376" s="30">
        <v>45838.0</v>
      </c>
      <c r="K376" s="36">
        <v>14.78</v>
      </c>
      <c r="L376" s="36">
        <v>266.68</v>
      </c>
      <c r="M376" s="37" t="s">
        <v>7043</v>
      </c>
      <c r="N376" s="30">
        <v>45839.0</v>
      </c>
      <c r="O376" s="30">
        <v>45930.0</v>
      </c>
      <c r="P376" s="36">
        <v>112.4</v>
      </c>
      <c r="Q376" s="36">
        <v>266.68</v>
      </c>
      <c r="R376" s="38" t="s">
        <v>7047</v>
      </c>
      <c r="S376" s="30">
        <v>45931.0</v>
      </c>
      <c r="T376" s="30">
        <v>46022.0</v>
      </c>
      <c r="U376" s="36">
        <v>128.51</v>
      </c>
      <c r="V376" s="36">
        <v>266.68</v>
      </c>
      <c r="W376" s="38" t="s">
        <v>7047</v>
      </c>
      <c r="X376" s="30">
        <v>46023.0</v>
      </c>
      <c r="Y376" s="30">
        <v>46112.0</v>
      </c>
      <c r="Z376" s="36">
        <v>40.0</v>
      </c>
      <c r="AA376" s="36">
        <v>0.0</v>
      </c>
      <c r="AB376" s="35" t="s">
        <v>7047</v>
      </c>
      <c r="AC376" s="30">
        <v>46113.0</v>
      </c>
      <c r="AD376" s="30">
        <v>46203.0</v>
      </c>
      <c r="AE376" s="36">
        <v>2.27</v>
      </c>
      <c r="AF376" s="36">
        <v>0.0</v>
      </c>
      <c r="AG376" s="38" t="s">
        <v>7047</v>
      </c>
      <c r="AH376" s="30">
        <v>46204.0</v>
      </c>
      <c r="AI376" s="30">
        <v>46295.0</v>
      </c>
      <c r="AJ376" s="36">
        <v>0.0</v>
      </c>
      <c r="AK376" s="36">
        <v>0.0</v>
      </c>
      <c r="AL376" s="35" t="s">
        <v>7045</v>
      </c>
      <c r="AM376" s="30">
        <v>46296.0</v>
      </c>
      <c r="AN376" s="30">
        <v>46387.0</v>
      </c>
      <c r="AO376" s="36">
        <v>0.0</v>
      </c>
      <c r="AP376" s="36">
        <v>0.0</v>
      </c>
      <c r="AQ376" s="35" t="s">
        <v>7045</v>
      </c>
      <c r="AR376" s="30">
        <v>46388.0</v>
      </c>
      <c r="AS376" s="30">
        <v>46477.0</v>
      </c>
      <c r="AT376" s="36">
        <v>0.0</v>
      </c>
      <c r="AU376" s="36">
        <v>0.0</v>
      </c>
      <c r="AV376" s="35" t="s">
        <v>7045</v>
      </c>
      <c r="AW376" s="30">
        <v>46478.0</v>
      </c>
      <c r="AX376" s="30">
        <v>46568.0</v>
      </c>
      <c r="AY376" s="36">
        <v>0.0</v>
      </c>
      <c r="AZ376" s="36">
        <v>0.0</v>
      </c>
      <c r="BA376" s="35" t="s">
        <v>7045</v>
      </c>
      <c r="BB376" s="30">
        <v>46569.0</v>
      </c>
      <c r="BC376" s="30">
        <v>46660.0</v>
      </c>
      <c r="BD376" s="36">
        <v>0.0</v>
      </c>
      <c r="BE376" s="36">
        <v>0.0</v>
      </c>
      <c r="BF376" s="35" t="s">
        <v>7045</v>
      </c>
      <c r="BG376" s="30">
        <v>46661.0</v>
      </c>
      <c r="BH376" s="30">
        <v>46752.0</v>
      </c>
      <c r="BI376" s="36">
        <v>0.0</v>
      </c>
      <c r="BJ376" s="36">
        <v>0.0</v>
      </c>
      <c r="BK376" s="35" t="s">
        <v>7045</v>
      </c>
      <c r="BL376" s="30">
        <v>46753.0</v>
      </c>
      <c r="BM376" s="30">
        <v>46843.0</v>
      </c>
      <c r="BN376" s="36">
        <v>0.0</v>
      </c>
      <c r="BO376" s="36">
        <v>0.0</v>
      </c>
      <c r="BP376" s="35" t="s">
        <v>7045</v>
      </c>
      <c r="BQ376" s="30">
        <v>46844.0</v>
      </c>
      <c r="BR376" s="30">
        <v>46934.0</v>
      </c>
      <c r="BS376" s="36">
        <v>0.0</v>
      </c>
      <c r="BT376" s="36">
        <v>0.0</v>
      </c>
      <c r="BU376" s="35" t="s">
        <v>7045</v>
      </c>
      <c r="BV376" s="30">
        <v>46935.0</v>
      </c>
      <c r="BW376" s="30">
        <v>47026.0</v>
      </c>
      <c r="BX376" s="36">
        <v>0.0</v>
      </c>
      <c r="BY376" s="36">
        <v>0.0</v>
      </c>
      <c r="BZ376" s="35" t="s">
        <v>7045</v>
      </c>
      <c r="CA376" s="30">
        <v>47027.0</v>
      </c>
      <c r="CB376" s="30">
        <v>47118.0</v>
      </c>
      <c r="CC376" s="36">
        <v>0.0</v>
      </c>
      <c r="CD376" s="36">
        <v>0.0</v>
      </c>
      <c r="CE376" s="35" t="s">
        <v>7045</v>
      </c>
      <c r="CF376" s="30">
        <v>47119.0</v>
      </c>
      <c r="CG376" s="30">
        <v>47208.0</v>
      </c>
      <c r="CH376" s="36">
        <v>0.0</v>
      </c>
      <c r="CI376" s="36">
        <v>0.0</v>
      </c>
      <c r="CJ376" s="35" t="s">
        <v>7045</v>
      </c>
      <c r="CK376" s="30">
        <v>47209.0</v>
      </c>
      <c r="CL376" s="30">
        <v>47299.0</v>
      </c>
      <c r="CM376" s="36">
        <v>0.0</v>
      </c>
      <c r="CN376" s="36">
        <v>0.0</v>
      </c>
      <c r="CO376" s="35" t="s">
        <v>7045</v>
      </c>
      <c r="CP376" s="30">
        <v>47300.0</v>
      </c>
      <c r="CQ376" s="30">
        <v>47391.0</v>
      </c>
      <c r="CR376" s="36">
        <v>0.0</v>
      </c>
      <c r="CS376" s="36">
        <v>0.0</v>
      </c>
      <c r="CT376" s="35" t="s">
        <v>7045</v>
      </c>
      <c r="CU376" s="30">
        <v>47392.0</v>
      </c>
      <c r="CV376" s="30">
        <v>47483.0</v>
      </c>
      <c r="CW376" s="36">
        <v>0.0</v>
      </c>
      <c r="CX376" s="36">
        <v>0.0</v>
      </c>
      <c r="CY376" s="35" t="s">
        <v>7045</v>
      </c>
      <c r="CZ376" s="30">
        <v>47484.0</v>
      </c>
      <c r="DA376" s="30">
        <v>47573.0</v>
      </c>
      <c r="DB376" s="36">
        <v>0.0</v>
      </c>
      <c r="DC376" s="36">
        <v>0.0</v>
      </c>
      <c r="DD376" s="35" t="s">
        <v>7045</v>
      </c>
      <c r="DE376" s="30">
        <v>47574.0</v>
      </c>
      <c r="DF376" s="30">
        <v>47664.0</v>
      </c>
      <c r="DG376" s="36">
        <v>0.0</v>
      </c>
      <c r="DH376" s="36">
        <v>0.0</v>
      </c>
      <c r="DI376" s="35" t="s">
        <v>7045</v>
      </c>
      <c r="DJ376" s="30">
        <v>47665.0</v>
      </c>
      <c r="DK376" s="30">
        <v>47756.0</v>
      </c>
      <c r="DL376" s="36">
        <v>0.0</v>
      </c>
      <c r="DM376" s="36">
        <v>0.0</v>
      </c>
      <c r="DN376" s="35" t="s">
        <v>7045</v>
      </c>
      <c r="DO376" s="30">
        <v>47757.0</v>
      </c>
      <c r="DP376" s="30">
        <v>47848.0</v>
      </c>
      <c r="DQ376" s="36">
        <v>0.0</v>
      </c>
      <c r="DR376" s="36">
        <v>0.0</v>
      </c>
      <c r="DS376" s="35" t="s">
        <v>7045</v>
      </c>
    </row>
    <row r="377" ht="14.25" customHeight="1">
      <c r="A377" s="28" t="s">
        <v>4879</v>
      </c>
      <c r="B377" s="29" t="s">
        <v>4880</v>
      </c>
      <c r="C377" s="29" t="s">
        <v>7041</v>
      </c>
      <c r="D377" s="30">
        <v>45658.0</v>
      </c>
      <c r="E377" s="30">
        <v>45747.0</v>
      </c>
      <c r="F377" s="36">
        <v>110.0</v>
      </c>
      <c r="G377" s="36">
        <v>0.0</v>
      </c>
      <c r="H377" s="38" t="s">
        <v>7047</v>
      </c>
      <c r="I377" s="30">
        <v>45748.0</v>
      </c>
      <c r="J377" s="30">
        <v>45838.0</v>
      </c>
      <c r="K377" s="36">
        <v>110.0</v>
      </c>
      <c r="L377" s="36">
        <v>333.35</v>
      </c>
      <c r="M377" s="38" t="s">
        <v>7043</v>
      </c>
      <c r="N377" s="30">
        <v>45839.0</v>
      </c>
      <c r="O377" s="30">
        <v>45930.0</v>
      </c>
      <c r="P377" s="36">
        <v>15.0</v>
      </c>
      <c r="Q377" s="36">
        <v>266.68</v>
      </c>
      <c r="R377" s="32" t="s">
        <v>7043</v>
      </c>
      <c r="S377" s="30">
        <v>45931.0</v>
      </c>
      <c r="T377" s="30">
        <v>46022.0</v>
      </c>
      <c r="U377" s="36">
        <v>110.0</v>
      </c>
      <c r="V377" s="36">
        <v>333.35</v>
      </c>
      <c r="W377" s="32" t="s">
        <v>7047</v>
      </c>
      <c r="X377" s="30">
        <v>46023.0</v>
      </c>
      <c r="Y377" s="30">
        <v>46112.0</v>
      </c>
      <c r="Z377" s="36">
        <v>0.0</v>
      </c>
      <c r="AA377" s="36">
        <v>0.0</v>
      </c>
      <c r="AB377" s="35" t="s">
        <v>7045</v>
      </c>
      <c r="AC377" s="30">
        <v>46113.0</v>
      </c>
      <c r="AD377" s="30">
        <v>46203.0</v>
      </c>
      <c r="AE377" s="36">
        <v>34.01</v>
      </c>
      <c r="AF377" s="36">
        <v>0.0</v>
      </c>
      <c r="AG377" s="35" t="s">
        <v>7047</v>
      </c>
      <c r="AH377" s="30">
        <v>46204.0</v>
      </c>
      <c r="AI377" s="30">
        <v>46295.0</v>
      </c>
      <c r="AJ377" s="36">
        <v>0.0</v>
      </c>
      <c r="AK377" s="36">
        <v>0.0</v>
      </c>
      <c r="AL377" s="35" t="s">
        <v>7045</v>
      </c>
      <c r="AM377" s="30">
        <v>46296.0</v>
      </c>
      <c r="AN377" s="30">
        <v>46387.0</v>
      </c>
      <c r="AO377" s="36">
        <v>0.0</v>
      </c>
      <c r="AP377" s="36">
        <v>0.0</v>
      </c>
      <c r="AQ377" s="35" t="s">
        <v>7045</v>
      </c>
      <c r="AR377" s="30">
        <v>46388.0</v>
      </c>
      <c r="AS377" s="30">
        <v>46477.0</v>
      </c>
      <c r="AT377" s="36">
        <v>0.0</v>
      </c>
      <c r="AU377" s="36">
        <v>0.0</v>
      </c>
      <c r="AV377" s="35" t="s">
        <v>7045</v>
      </c>
      <c r="AW377" s="30">
        <v>46478.0</v>
      </c>
      <c r="AX377" s="30">
        <v>46568.0</v>
      </c>
      <c r="AY377" s="36">
        <v>0.0</v>
      </c>
      <c r="AZ377" s="36">
        <v>0.0</v>
      </c>
      <c r="BA377" s="35" t="s">
        <v>7045</v>
      </c>
      <c r="BB377" s="30">
        <v>46569.0</v>
      </c>
      <c r="BC377" s="30">
        <v>46660.0</v>
      </c>
      <c r="BD377" s="36">
        <v>0.0</v>
      </c>
      <c r="BE377" s="36">
        <v>0.0</v>
      </c>
      <c r="BF377" s="35" t="s">
        <v>7045</v>
      </c>
      <c r="BG377" s="30">
        <v>46661.0</v>
      </c>
      <c r="BH377" s="30">
        <v>46752.0</v>
      </c>
      <c r="BI377" s="36">
        <v>0.0</v>
      </c>
      <c r="BJ377" s="36">
        <v>0.0</v>
      </c>
      <c r="BK377" s="35" t="s">
        <v>7045</v>
      </c>
      <c r="BL377" s="30">
        <v>46753.0</v>
      </c>
      <c r="BM377" s="30">
        <v>46843.0</v>
      </c>
      <c r="BN377" s="36">
        <v>0.0</v>
      </c>
      <c r="BO377" s="36">
        <v>0.0</v>
      </c>
      <c r="BP377" s="35" t="s">
        <v>7045</v>
      </c>
      <c r="BQ377" s="30">
        <v>46844.0</v>
      </c>
      <c r="BR377" s="30">
        <v>46934.0</v>
      </c>
      <c r="BS377" s="36">
        <v>0.0</v>
      </c>
      <c r="BT377" s="36">
        <v>0.0</v>
      </c>
      <c r="BU377" s="35" t="s">
        <v>7045</v>
      </c>
      <c r="BV377" s="30">
        <v>46935.0</v>
      </c>
      <c r="BW377" s="30">
        <v>47026.0</v>
      </c>
      <c r="BX377" s="36">
        <v>0.0</v>
      </c>
      <c r="BY377" s="36">
        <v>0.0</v>
      </c>
      <c r="BZ377" s="35" t="s">
        <v>7045</v>
      </c>
      <c r="CA377" s="30">
        <v>47027.0</v>
      </c>
      <c r="CB377" s="30">
        <v>47118.0</v>
      </c>
      <c r="CC377" s="36">
        <v>0.0</v>
      </c>
      <c r="CD377" s="36">
        <v>0.0</v>
      </c>
      <c r="CE377" s="35" t="s">
        <v>7045</v>
      </c>
      <c r="CF377" s="30">
        <v>47119.0</v>
      </c>
      <c r="CG377" s="30">
        <v>47208.0</v>
      </c>
      <c r="CH377" s="36">
        <v>0.0</v>
      </c>
      <c r="CI377" s="36">
        <v>0.0</v>
      </c>
      <c r="CJ377" s="35" t="s">
        <v>7045</v>
      </c>
      <c r="CK377" s="30">
        <v>47209.0</v>
      </c>
      <c r="CL377" s="30">
        <v>47299.0</v>
      </c>
      <c r="CM377" s="36">
        <v>0.0</v>
      </c>
      <c r="CN377" s="36">
        <v>0.0</v>
      </c>
      <c r="CO377" s="35" t="s">
        <v>7045</v>
      </c>
      <c r="CP377" s="30">
        <v>47300.0</v>
      </c>
      <c r="CQ377" s="30">
        <v>47391.0</v>
      </c>
      <c r="CR377" s="36">
        <v>0.0</v>
      </c>
      <c r="CS377" s="36">
        <v>0.0</v>
      </c>
      <c r="CT377" s="35" t="s">
        <v>7045</v>
      </c>
      <c r="CU377" s="30">
        <v>47392.0</v>
      </c>
      <c r="CV377" s="30">
        <v>47483.0</v>
      </c>
      <c r="CW377" s="36">
        <v>0.0</v>
      </c>
      <c r="CX377" s="36">
        <v>0.0</v>
      </c>
      <c r="CY377" s="35" t="s">
        <v>7045</v>
      </c>
      <c r="CZ377" s="30">
        <v>47484.0</v>
      </c>
      <c r="DA377" s="30">
        <v>47573.0</v>
      </c>
      <c r="DB377" s="36">
        <v>0.0</v>
      </c>
      <c r="DC377" s="36">
        <v>0.0</v>
      </c>
      <c r="DD377" s="35" t="s">
        <v>7045</v>
      </c>
      <c r="DE377" s="30">
        <v>47574.0</v>
      </c>
      <c r="DF377" s="30">
        <v>47664.0</v>
      </c>
      <c r="DG377" s="36">
        <v>0.0</v>
      </c>
      <c r="DH377" s="36">
        <v>0.0</v>
      </c>
      <c r="DI377" s="35" t="s">
        <v>7045</v>
      </c>
      <c r="DJ377" s="30">
        <v>47665.0</v>
      </c>
      <c r="DK377" s="30">
        <v>47756.0</v>
      </c>
      <c r="DL377" s="36">
        <v>0.0</v>
      </c>
      <c r="DM377" s="36">
        <v>0.0</v>
      </c>
      <c r="DN377" s="35" t="s">
        <v>7045</v>
      </c>
      <c r="DO377" s="30">
        <v>47757.0</v>
      </c>
      <c r="DP377" s="30">
        <v>47848.0</v>
      </c>
      <c r="DQ377" s="36">
        <v>0.0</v>
      </c>
      <c r="DR377" s="36">
        <v>0.0</v>
      </c>
      <c r="DS377" s="35" t="s">
        <v>7045</v>
      </c>
    </row>
    <row r="378" ht="14.25" customHeight="1">
      <c r="A378" s="28" t="s">
        <v>1477</v>
      </c>
      <c r="B378" s="29" t="s">
        <v>1478</v>
      </c>
      <c r="C378" s="29" t="s">
        <v>7041</v>
      </c>
      <c r="D378" s="30">
        <v>45658.0</v>
      </c>
      <c r="E378" s="30">
        <v>45747.0</v>
      </c>
      <c r="F378" s="36">
        <v>30.0</v>
      </c>
      <c r="G378" s="36">
        <v>0.0</v>
      </c>
      <c r="H378" s="38" t="s">
        <v>7047</v>
      </c>
      <c r="I378" s="30">
        <v>45748.0</v>
      </c>
      <c r="J378" s="30">
        <v>45838.0</v>
      </c>
      <c r="K378" s="36">
        <v>56.58</v>
      </c>
      <c r="L378" s="36">
        <v>166.67</v>
      </c>
      <c r="M378" s="38" t="s">
        <v>7043</v>
      </c>
      <c r="N378" s="30">
        <v>45839.0</v>
      </c>
      <c r="O378" s="30">
        <v>45930.0</v>
      </c>
      <c r="P378" s="36">
        <v>45.0</v>
      </c>
      <c r="Q378" s="36">
        <v>166.67</v>
      </c>
      <c r="R378" s="38" t="s">
        <v>7047</v>
      </c>
      <c r="S378" s="30">
        <v>45931.0</v>
      </c>
      <c r="T378" s="30">
        <v>46022.0</v>
      </c>
      <c r="U378" s="36">
        <v>0.0</v>
      </c>
      <c r="V378" s="36">
        <v>166.67</v>
      </c>
      <c r="W378" s="32" t="s">
        <v>7043</v>
      </c>
      <c r="X378" s="30">
        <v>46023.0</v>
      </c>
      <c r="Y378" s="30">
        <v>46112.0</v>
      </c>
      <c r="Z378" s="36">
        <v>0.0</v>
      </c>
      <c r="AA378" s="36">
        <v>0.0</v>
      </c>
      <c r="AB378" s="35" t="s">
        <v>7045</v>
      </c>
      <c r="AC378" s="30">
        <v>46113.0</v>
      </c>
      <c r="AD378" s="30">
        <v>46203.0</v>
      </c>
      <c r="AE378" s="36">
        <v>0.0</v>
      </c>
      <c r="AF378" s="36">
        <v>0.0</v>
      </c>
      <c r="AG378" s="35" t="s">
        <v>7045</v>
      </c>
      <c r="AH378" s="30">
        <v>46204.0</v>
      </c>
      <c r="AI378" s="30">
        <v>46295.0</v>
      </c>
      <c r="AJ378" s="36">
        <v>50.0</v>
      </c>
      <c r="AK378" s="36">
        <v>0.0</v>
      </c>
      <c r="AL378" s="35" t="s">
        <v>7047</v>
      </c>
      <c r="AM378" s="30">
        <v>46296.0</v>
      </c>
      <c r="AN378" s="30">
        <v>46387.0</v>
      </c>
      <c r="AO378" s="36">
        <v>0.0</v>
      </c>
      <c r="AP378" s="36">
        <v>0.0</v>
      </c>
      <c r="AQ378" s="35" t="s">
        <v>7045</v>
      </c>
      <c r="AR378" s="30">
        <v>46388.0</v>
      </c>
      <c r="AS378" s="30">
        <v>46477.0</v>
      </c>
      <c r="AT378" s="36">
        <v>0.0</v>
      </c>
      <c r="AU378" s="36">
        <v>0.0</v>
      </c>
      <c r="AV378" s="35" t="s">
        <v>7045</v>
      </c>
      <c r="AW378" s="30">
        <v>46478.0</v>
      </c>
      <c r="AX378" s="30">
        <v>46568.0</v>
      </c>
      <c r="AY378" s="36">
        <v>0.0</v>
      </c>
      <c r="AZ378" s="36">
        <v>0.0</v>
      </c>
      <c r="BA378" s="35" t="s">
        <v>7045</v>
      </c>
      <c r="BB378" s="30">
        <v>46569.0</v>
      </c>
      <c r="BC378" s="30">
        <v>46660.0</v>
      </c>
      <c r="BD378" s="36">
        <v>0.0</v>
      </c>
      <c r="BE378" s="36">
        <v>0.0</v>
      </c>
      <c r="BF378" s="35" t="s">
        <v>7045</v>
      </c>
      <c r="BG378" s="30">
        <v>46661.0</v>
      </c>
      <c r="BH378" s="30">
        <v>46752.0</v>
      </c>
      <c r="BI378" s="36">
        <v>0.0</v>
      </c>
      <c r="BJ378" s="36">
        <v>0.0</v>
      </c>
      <c r="BK378" s="35" t="s">
        <v>7045</v>
      </c>
      <c r="BL378" s="30">
        <v>46753.0</v>
      </c>
      <c r="BM378" s="30">
        <v>46843.0</v>
      </c>
      <c r="BN378" s="36">
        <v>0.0</v>
      </c>
      <c r="BO378" s="36">
        <v>0.0</v>
      </c>
      <c r="BP378" s="35" t="s">
        <v>7045</v>
      </c>
      <c r="BQ378" s="30">
        <v>46844.0</v>
      </c>
      <c r="BR378" s="30">
        <v>46934.0</v>
      </c>
      <c r="BS378" s="36">
        <v>0.0</v>
      </c>
      <c r="BT378" s="36">
        <v>0.0</v>
      </c>
      <c r="BU378" s="35" t="s">
        <v>7045</v>
      </c>
      <c r="BV378" s="30">
        <v>46935.0</v>
      </c>
      <c r="BW378" s="30">
        <v>47026.0</v>
      </c>
      <c r="BX378" s="36">
        <v>0.0</v>
      </c>
      <c r="BY378" s="36">
        <v>0.0</v>
      </c>
      <c r="BZ378" s="35" t="s">
        <v>7045</v>
      </c>
      <c r="CA378" s="30">
        <v>47027.0</v>
      </c>
      <c r="CB378" s="30">
        <v>47118.0</v>
      </c>
      <c r="CC378" s="36">
        <v>0.0</v>
      </c>
      <c r="CD378" s="36">
        <v>0.0</v>
      </c>
      <c r="CE378" s="35" t="s">
        <v>7045</v>
      </c>
      <c r="CF378" s="30">
        <v>47119.0</v>
      </c>
      <c r="CG378" s="30">
        <v>47208.0</v>
      </c>
      <c r="CH378" s="36">
        <v>0.0</v>
      </c>
      <c r="CI378" s="36">
        <v>0.0</v>
      </c>
      <c r="CJ378" s="35" t="s">
        <v>7045</v>
      </c>
      <c r="CK378" s="30">
        <v>47209.0</v>
      </c>
      <c r="CL378" s="30">
        <v>47299.0</v>
      </c>
      <c r="CM378" s="36">
        <v>0.0</v>
      </c>
      <c r="CN378" s="36">
        <v>0.0</v>
      </c>
      <c r="CO378" s="35" t="s">
        <v>7045</v>
      </c>
      <c r="CP378" s="30">
        <v>47300.0</v>
      </c>
      <c r="CQ378" s="30">
        <v>47391.0</v>
      </c>
      <c r="CR378" s="36">
        <v>0.0</v>
      </c>
      <c r="CS378" s="36">
        <v>0.0</v>
      </c>
      <c r="CT378" s="35" t="s">
        <v>7045</v>
      </c>
      <c r="CU378" s="30">
        <v>47392.0</v>
      </c>
      <c r="CV378" s="30">
        <v>47483.0</v>
      </c>
      <c r="CW378" s="36">
        <v>0.0</v>
      </c>
      <c r="CX378" s="36">
        <v>0.0</v>
      </c>
      <c r="CY378" s="35" t="s">
        <v>7045</v>
      </c>
      <c r="CZ378" s="30">
        <v>47484.0</v>
      </c>
      <c r="DA378" s="30">
        <v>47573.0</v>
      </c>
      <c r="DB378" s="36">
        <v>0.0</v>
      </c>
      <c r="DC378" s="36">
        <v>0.0</v>
      </c>
      <c r="DD378" s="35" t="s">
        <v>7045</v>
      </c>
      <c r="DE378" s="30">
        <v>47574.0</v>
      </c>
      <c r="DF378" s="30">
        <v>47664.0</v>
      </c>
      <c r="DG378" s="36">
        <v>0.0</v>
      </c>
      <c r="DH378" s="36">
        <v>0.0</v>
      </c>
      <c r="DI378" s="35" t="s">
        <v>7045</v>
      </c>
      <c r="DJ378" s="30">
        <v>47665.0</v>
      </c>
      <c r="DK378" s="30">
        <v>47756.0</v>
      </c>
      <c r="DL378" s="36">
        <v>0.0</v>
      </c>
      <c r="DM378" s="36">
        <v>0.0</v>
      </c>
      <c r="DN378" s="35" t="s">
        <v>7045</v>
      </c>
      <c r="DO378" s="30">
        <v>47757.0</v>
      </c>
      <c r="DP378" s="30">
        <v>47848.0</v>
      </c>
      <c r="DQ378" s="36">
        <v>0.0</v>
      </c>
      <c r="DR378" s="36">
        <v>0.0</v>
      </c>
      <c r="DS378" s="35" t="s">
        <v>7045</v>
      </c>
    </row>
    <row r="379" ht="14.25" customHeight="1">
      <c r="A379" s="28" t="s">
        <v>3756</v>
      </c>
      <c r="B379" s="29" t="s">
        <v>3757</v>
      </c>
      <c r="C379" s="29" t="s">
        <v>7041</v>
      </c>
      <c r="D379" s="30">
        <v>45658.0</v>
      </c>
      <c r="E379" s="30">
        <v>45747.0</v>
      </c>
      <c r="F379" s="36">
        <v>0.0</v>
      </c>
      <c r="G379" s="36">
        <v>0.0</v>
      </c>
      <c r="H379" s="35" t="s">
        <v>7045</v>
      </c>
      <c r="I379" s="30">
        <v>45748.0</v>
      </c>
      <c r="J379" s="30">
        <v>45838.0</v>
      </c>
      <c r="K379" s="36">
        <v>16.0</v>
      </c>
      <c r="L379" s="36">
        <v>333.35</v>
      </c>
      <c r="M379" s="32" t="s">
        <v>7043</v>
      </c>
      <c r="N379" s="30">
        <v>45839.0</v>
      </c>
      <c r="O379" s="30">
        <v>45930.0</v>
      </c>
      <c r="P379" s="36">
        <v>70.0</v>
      </c>
      <c r="Q379" s="36">
        <v>300.0</v>
      </c>
      <c r="R379" s="38" t="s">
        <v>7047</v>
      </c>
      <c r="S379" s="30">
        <v>45931.0</v>
      </c>
      <c r="T379" s="30">
        <v>46022.0</v>
      </c>
      <c r="U379" s="36">
        <v>240.0</v>
      </c>
      <c r="V379" s="36">
        <v>300.0</v>
      </c>
      <c r="W379" s="38" t="s">
        <v>7047</v>
      </c>
      <c r="X379" s="30">
        <v>46023.0</v>
      </c>
      <c r="Y379" s="30">
        <v>46112.0</v>
      </c>
      <c r="Z379" s="36">
        <v>234.0</v>
      </c>
      <c r="AA379" s="36">
        <v>0.0</v>
      </c>
      <c r="AB379" s="35" t="s">
        <v>7047</v>
      </c>
      <c r="AC379" s="30">
        <v>46113.0</v>
      </c>
      <c r="AD379" s="30">
        <v>46203.0</v>
      </c>
      <c r="AE379" s="36">
        <v>0.0</v>
      </c>
      <c r="AF379" s="36">
        <v>0.0</v>
      </c>
      <c r="AG379" s="35" t="s">
        <v>7045</v>
      </c>
      <c r="AH379" s="30">
        <v>46204.0</v>
      </c>
      <c r="AI379" s="30">
        <v>46295.0</v>
      </c>
      <c r="AJ379" s="36">
        <v>0.0</v>
      </c>
      <c r="AK379" s="36">
        <v>0.0</v>
      </c>
      <c r="AL379" s="35" t="s">
        <v>7045</v>
      </c>
      <c r="AM379" s="30">
        <v>46296.0</v>
      </c>
      <c r="AN379" s="30">
        <v>46387.0</v>
      </c>
      <c r="AO379" s="36">
        <v>0.0</v>
      </c>
      <c r="AP379" s="36">
        <v>0.0</v>
      </c>
      <c r="AQ379" s="35" t="s">
        <v>7045</v>
      </c>
      <c r="AR379" s="30">
        <v>46388.0</v>
      </c>
      <c r="AS379" s="30">
        <v>46477.0</v>
      </c>
      <c r="AT379" s="36">
        <v>0.0</v>
      </c>
      <c r="AU379" s="36">
        <v>0.0</v>
      </c>
      <c r="AV379" s="35" t="s">
        <v>7045</v>
      </c>
      <c r="AW379" s="30">
        <v>46478.0</v>
      </c>
      <c r="AX379" s="30">
        <v>46568.0</v>
      </c>
      <c r="AY379" s="36">
        <v>0.0</v>
      </c>
      <c r="AZ379" s="36">
        <v>0.0</v>
      </c>
      <c r="BA379" s="35" t="s">
        <v>7045</v>
      </c>
      <c r="BB379" s="30">
        <v>46569.0</v>
      </c>
      <c r="BC379" s="30">
        <v>46660.0</v>
      </c>
      <c r="BD379" s="36">
        <v>0.0</v>
      </c>
      <c r="BE379" s="36">
        <v>0.0</v>
      </c>
      <c r="BF379" s="35" t="s">
        <v>7045</v>
      </c>
      <c r="BG379" s="30">
        <v>46661.0</v>
      </c>
      <c r="BH379" s="30">
        <v>46752.0</v>
      </c>
      <c r="BI379" s="36">
        <v>0.0</v>
      </c>
      <c r="BJ379" s="36">
        <v>0.0</v>
      </c>
      <c r="BK379" s="35" t="s">
        <v>7045</v>
      </c>
      <c r="BL379" s="30">
        <v>46753.0</v>
      </c>
      <c r="BM379" s="30">
        <v>46843.0</v>
      </c>
      <c r="BN379" s="36">
        <v>0.0</v>
      </c>
      <c r="BO379" s="36">
        <v>0.0</v>
      </c>
      <c r="BP379" s="35" t="s">
        <v>7045</v>
      </c>
      <c r="BQ379" s="30">
        <v>46844.0</v>
      </c>
      <c r="BR379" s="30">
        <v>46934.0</v>
      </c>
      <c r="BS379" s="36">
        <v>0.0</v>
      </c>
      <c r="BT379" s="36">
        <v>0.0</v>
      </c>
      <c r="BU379" s="35" t="s">
        <v>7045</v>
      </c>
      <c r="BV379" s="30">
        <v>46935.0</v>
      </c>
      <c r="BW379" s="30">
        <v>47026.0</v>
      </c>
      <c r="BX379" s="36">
        <v>0.0</v>
      </c>
      <c r="BY379" s="36">
        <v>0.0</v>
      </c>
      <c r="BZ379" s="35" t="s">
        <v>7045</v>
      </c>
      <c r="CA379" s="30">
        <v>47027.0</v>
      </c>
      <c r="CB379" s="30">
        <v>47118.0</v>
      </c>
      <c r="CC379" s="36">
        <v>0.0</v>
      </c>
      <c r="CD379" s="36">
        <v>0.0</v>
      </c>
      <c r="CE379" s="35" t="s">
        <v>7045</v>
      </c>
      <c r="CF379" s="30">
        <v>47119.0</v>
      </c>
      <c r="CG379" s="30">
        <v>47208.0</v>
      </c>
      <c r="CH379" s="36">
        <v>0.0</v>
      </c>
      <c r="CI379" s="36">
        <v>0.0</v>
      </c>
      <c r="CJ379" s="35" t="s">
        <v>7045</v>
      </c>
      <c r="CK379" s="30">
        <v>47209.0</v>
      </c>
      <c r="CL379" s="30">
        <v>47299.0</v>
      </c>
      <c r="CM379" s="36">
        <v>0.0</v>
      </c>
      <c r="CN379" s="36">
        <v>0.0</v>
      </c>
      <c r="CO379" s="35" t="s">
        <v>7045</v>
      </c>
      <c r="CP379" s="30">
        <v>47300.0</v>
      </c>
      <c r="CQ379" s="30">
        <v>47391.0</v>
      </c>
      <c r="CR379" s="36">
        <v>0.0</v>
      </c>
      <c r="CS379" s="36">
        <v>0.0</v>
      </c>
      <c r="CT379" s="35" t="s">
        <v>7045</v>
      </c>
      <c r="CU379" s="30">
        <v>47392.0</v>
      </c>
      <c r="CV379" s="30">
        <v>47483.0</v>
      </c>
      <c r="CW379" s="36">
        <v>0.0</v>
      </c>
      <c r="CX379" s="36">
        <v>0.0</v>
      </c>
      <c r="CY379" s="35" t="s">
        <v>7045</v>
      </c>
      <c r="CZ379" s="30">
        <v>47484.0</v>
      </c>
      <c r="DA379" s="30">
        <v>47573.0</v>
      </c>
      <c r="DB379" s="36">
        <v>0.0</v>
      </c>
      <c r="DC379" s="36">
        <v>0.0</v>
      </c>
      <c r="DD379" s="35" t="s">
        <v>7045</v>
      </c>
      <c r="DE379" s="30">
        <v>47574.0</v>
      </c>
      <c r="DF379" s="30">
        <v>47664.0</v>
      </c>
      <c r="DG379" s="36">
        <v>0.0</v>
      </c>
      <c r="DH379" s="36">
        <v>0.0</v>
      </c>
      <c r="DI379" s="35" t="s">
        <v>7045</v>
      </c>
      <c r="DJ379" s="30">
        <v>47665.0</v>
      </c>
      <c r="DK379" s="30">
        <v>47756.0</v>
      </c>
      <c r="DL379" s="36">
        <v>0.0</v>
      </c>
      <c r="DM379" s="36">
        <v>0.0</v>
      </c>
      <c r="DN379" s="35" t="s">
        <v>7045</v>
      </c>
      <c r="DO379" s="30">
        <v>47757.0</v>
      </c>
      <c r="DP379" s="30">
        <v>47848.0</v>
      </c>
      <c r="DQ379" s="36">
        <v>0.0</v>
      </c>
      <c r="DR379" s="36">
        <v>0.0</v>
      </c>
      <c r="DS379" s="35" t="s">
        <v>7045</v>
      </c>
    </row>
    <row r="380" ht="14.25" customHeight="1">
      <c r="A380" s="28" t="s">
        <v>5259</v>
      </c>
      <c r="B380" s="29" t="s">
        <v>5260</v>
      </c>
      <c r="C380" s="29" t="s">
        <v>7041</v>
      </c>
      <c r="D380" s="30">
        <v>45658.0</v>
      </c>
      <c r="E380" s="30">
        <v>45747.0</v>
      </c>
      <c r="F380" s="36">
        <v>0.0</v>
      </c>
      <c r="G380" s="36">
        <v>0.0</v>
      </c>
      <c r="H380" s="35" t="s">
        <v>7045</v>
      </c>
      <c r="I380" s="30">
        <v>45748.0</v>
      </c>
      <c r="J380" s="30">
        <v>45838.0</v>
      </c>
      <c r="K380" s="36">
        <v>30.0</v>
      </c>
      <c r="L380" s="36">
        <v>0.0</v>
      </c>
      <c r="M380" s="38" t="s">
        <v>7047</v>
      </c>
      <c r="N380" s="30">
        <v>45839.0</v>
      </c>
      <c r="O380" s="30">
        <v>45930.0</v>
      </c>
      <c r="P380" s="36">
        <v>11.99</v>
      </c>
      <c r="Q380" s="36">
        <v>0.0</v>
      </c>
      <c r="R380" s="38" t="s">
        <v>7047</v>
      </c>
      <c r="S380" s="30">
        <v>45931.0</v>
      </c>
      <c r="T380" s="30">
        <v>46022.0</v>
      </c>
      <c r="U380" s="36">
        <v>0.0</v>
      </c>
      <c r="V380" s="36">
        <v>0.0</v>
      </c>
      <c r="W380" s="35" t="s">
        <v>7045</v>
      </c>
      <c r="X380" s="30">
        <v>46023.0</v>
      </c>
      <c r="Y380" s="30">
        <v>46112.0</v>
      </c>
      <c r="Z380" s="36">
        <v>0.0</v>
      </c>
      <c r="AA380" s="36">
        <v>0.0</v>
      </c>
      <c r="AB380" s="35" t="s">
        <v>7045</v>
      </c>
      <c r="AC380" s="30">
        <v>46113.0</v>
      </c>
      <c r="AD380" s="30">
        <v>46203.0</v>
      </c>
      <c r="AE380" s="36">
        <v>0.0</v>
      </c>
      <c r="AF380" s="36">
        <v>0.0</v>
      </c>
      <c r="AG380" s="35" t="s">
        <v>7045</v>
      </c>
      <c r="AH380" s="30">
        <v>46204.0</v>
      </c>
      <c r="AI380" s="30">
        <v>46295.0</v>
      </c>
      <c r="AJ380" s="36">
        <v>0.0</v>
      </c>
      <c r="AK380" s="36">
        <v>0.0</v>
      </c>
      <c r="AL380" s="35" t="s">
        <v>7045</v>
      </c>
      <c r="AM380" s="30">
        <v>46296.0</v>
      </c>
      <c r="AN380" s="30">
        <v>46387.0</v>
      </c>
      <c r="AO380" s="36">
        <v>0.0</v>
      </c>
      <c r="AP380" s="36">
        <v>0.0</v>
      </c>
      <c r="AQ380" s="35" t="s">
        <v>7045</v>
      </c>
      <c r="AR380" s="30">
        <v>46388.0</v>
      </c>
      <c r="AS380" s="30">
        <v>46477.0</v>
      </c>
      <c r="AT380" s="36">
        <v>0.0</v>
      </c>
      <c r="AU380" s="36">
        <v>0.0</v>
      </c>
      <c r="AV380" s="35" t="s">
        <v>7045</v>
      </c>
      <c r="AW380" s="30">
        <v>46478.0</v>
      </c>
      <c r="AX380" s="30">
        <v>46568.0</v>
      </c>
      <c r="AY380" s="36">
        <v>0.0</v>
      </c>
      <c r="AZ380" s="36">
        <v>0.0</v>
      </c>
      <c r="BA380" s="35" t="s">
        <v>7045</v>
      </c>
      <c r="BB380" s="30">
        <v>46569.0</v>
      </c>
      <c r="BC380" s="30">
        <v>46660.0</v>
      </c>
      <c r="BD380" s="36">
        <v>0.0</v>
      </c>
      <c r="BE380" s="36">
        <v>0.0</v>
      </c>
      <c r="BF380" s="35" t="s">
        <v>7045</v>
      </c>
      <c r="BG380" s="30">
        <v>46661.0</v>
      </c>
      <c r="BH380" s="30">
        <v>46752.0</v>
      </c>
      <c r="BI380" s="36">
        <v>0.0</v>
      </c>
      <c r="BJ380" s="36">
        <v>0.0</v>
      </c>
      <c r="BK380" s="35" t="s">
        <v>7045</v>
      </c>
      <c r="BL380" s="30">
        <v>46753.0</v>
      </c>
      <c r="BM380" s="30">
        <v>46843.0</v>
      </c>
      <c r="BN380" s="36">
        <v>0.0</v>
      </c>
      <c r="BO380" s="36">
        <v>0.0</v>
      </c>
      <c r="BP380" s="35" t="s">
        <v>7045</v>
      </c>
      <c r="BQ380" s="30">
        <v>46844.0</v>
      </c>
      <c r="BR380" s="30">
        <v>46934.0</v>
      </c>
      <c r="BS380" s="36">
        <v>0.0</v>
      </c>
      <c r="BT380" s="36">
        <v>0.0</v>
      </c>
      <c r="BU380" s="35" t="s">
        <v>7045</v>
      </c>
      <c r="BV380" s="30">
        <v>46935.0</v>
      </c>
      <c r="BW380" s="30">
        <v>47026.0</v>
      </c>
      <c r="BX380" s="36">
        <v>0.0</v>
      </c>
      <c r="BY380" s="36">
        <v>0.0</v>
      </c>
      <c r="BZ380" s="35" t="s">
        <v>7045</v>
      </c>
      <c r="CA380" s="30">
        <v>47027.0</v>
      </c>
      <c r="CB380" s="30">
        <v>47118.0</v>
      </c>
      <c r="CC380" s="36">
        <v>0.0</v>
      </c>
      <c r="CD380" s="36">
        <v>0.0</v>
      </c>
      <c r="CE380" s="35" t="s">
        <v>7045</v>
      </c>
      <c r="CF380" s="30">
        <v>47119.0</v>
      </c>
      <c r="CG380" s="30">
        <v>47208.0</v>
      </c>
      <c r="CH380" s="36">
        <v>0.0</v>
      </c>
      <c r="CI380" s="36">
        <v>0.0</v>
      </c>
      <c r="CJ380" s="35" t="s">
        <v>7045</v>
      </c>
      <c r="CK380" s="30">
        <v>47209.0</v>
      </c>
      <c r="CL380" s="30">
        <v>47299.0</v>
      </c>
      <c r="CM380" s="36">
        <v>0.0</v>
      </c>
      <c r="CN380" s="36">
        <v>0.0</v>
      </c>
      <c r="CO380" s="35" t="s">
        <v>7045</v>
      </c>
      <c r="CP380" s="30">
        <v>47300.0</v>
      </c>
      <c r="CQ380" s="30">
        <v>47391.0</v>
      </c>
      <c r="CR380" s="36">
        <v>0.0</v>
      </c>
      <c r="CS380" s="36">
        <v>0.0</v>
      </c>
      <c r="CT380" s="35" t="s">
        <v>7045</v>
      </c>
      <c r="CU380" s="30">
        <v>47392.0</v>
      </c>
      <c r="CV380" s="30">
        <v>47483.0</v>
      </c>
      <c r="CW380" s="36">
        <v>0.0</v>
      </c>
      <c r="CX380" s="36">
        <v>0.0</v>
      </c>
      <c r="CY380" s="35" t="s">
        <v>7045</v>
      </c>
      <c r="CZ380" s="30">
        <v>47484.0</v>
      </c>
      <c r="DA380" s="30">
        <v>47573.0</v>
      </c>
      <c r="DB380" s="36">
        <v>0.0</v>
      </c>
      <c r="DC380" s="36">
        <v>0.0</v>
      </c>
      <c r="DD380" s="35" t="s">
        <v>7045</v>
      </c>
      <c r="DE380" s="30">
        <v>47574.0</v>
      </c>
      <c r="DF380" s="30">
        <v>47664.0</v>
      </c>
      <c r="DG380" s="36">
        <v>0.0</v>
      </c>
      <c r="DH380" s="36">
        <v>0.0</v>
      </c>
      <c r="DI380" s="35" t="s">
        <v>7045</v>
      </c>
      <c r="DJ380" s="30">
        <v>47665.0</v>
      </c>
      <c r="DK380" s="30">
        <v>47756.0</v>
      </c>
      <c r="DL380" s="36">
        <v>0.0</v>
      </c>
      <c r="DM380" s="36">
        <v>0.0</v>
      </c>
      <c r="DN380" s="35" t="s">
        <v>7045</v>
      </c>
      <c r="DO380" s="30">
        <v>47757.0</v>
      </c>
      <c r="DP380" s="30">
        <v>47848.0</v>
      </c>
      <c r="DQ380" s="36">
        <v>0.0</v>
      </c>
      <c r="DR380" s="36">
        <v>0.0</v>
      </c>
      <c r="DS380" s="35" t="s">
        <v>7045</v>
      </c>
    </row>
    <row r="381" ht="14.25" customHeight="1">
      <c r="A381" s="28" t="s">
        <v>5335</v>
      </c>
      <c r="B381" s="29" t="s">
        <v>5336</v>
      </c>
      <c r="C381" s="29" t="s">
        <v>7041</v>
      </c>
      <c r="D381" s="30">
        <v>45658.0</v>
      </c>
      <c r="E381" s="30">
        <v>45747.0</v>
      </c>
      <c r="F381" s="36">
        <v>18.0</v>
      </c>
      <c r="G381" s="36">
        <v>0.0</v>
      </c>
      <c r="H381" s="38" t="s">
        <v>7047</v>
      </c>
      <c r="I381" s="30">
        <v>45748.0</v>
      </c>
      <c r="J381" s="30">
        <v>45838.0</v>
      </c>
      <c r="K381" s="36">
        <v>36.31</v>
      </c>
      <c r="L381" s="36">
        <v>166.67</v>
      </c>
      <c r="M381" s="32" t="s">
        <v>7043</v>
      </c>
      <c r="N381" s="30">
        <v>45839.0</v>
      </c>
      <c r="O381" s="30">
        <v>45930.0</v>
      </c>
      <c r="P381" s="36">
        <v>231.0</v>
      </c>
      <c r="Q381" s="36">
        <v>166.67</v>
      </c>
      <c r="R381" s="38" t="s">
        <v>7047</v>
      </c>
      <c r="S381" s="30">
        <v>45931.0</v>
      </c>
      <c r="T381" s="30">
        <v>46022.0</v>
      </c>
      <c r="U381" s="36">
        <v>179.96</v>
      </c>
      <c r="V381" s="36">
        <v>166.67</v>
      </c>
      <c r="W381" s="38" t="s">
        <v>7047</v>
      </c>
      <c r="X381" s="30">
        <v>46023.0</v>
      </c>
      <c r="Y381" s="30">
        <v>46112.0</v>
      </c>
      <c r="Z381" s="36">
        <v>0.0</v>
      </c>
      <c r="AA381" s="36">
        <v>0.0</v>
      </c>
      <c r="AB381" s="35" t="s">
        <v>7045</v>
      </c>
      <c r="AC381" s="30">
        <v>46113.0</v>
      </c>
      <c r="AD381" s="30">
        <v>46203.0</v>
      </c>
      <c r="AE381" s="36">
        <v>0.0</v>
      </c>
      <c r="AF381" s="36">
        <v>0.0</v>
      </c>
      <c r="AG381" s="35" t="s">
        <v>7045</v>
      </c>
      <c r="AH381" s="30">
        <v>46204.0</v>
      </c>
      <c r="AI381" s="30">
        <v>46295.0</v>
      </c>
      <c r="AJ381" s="36">
        <v>0.0</v>
      </c>
      <c r="AK381" s="36">
        <v>0.0</v>
      </c>
      <c r="AL381" s="35" t="s">
        <v>7045</v>
      </c>
      <c r="AM381" s="30">
        <v>46296.0</v>
      </c>
      <c r="AN381" s="30">
        <v>46387.0</v>
      </c>
      <c r="AO381" s="36">
        <v>0.0</v>
      </c>
      <c r="AP381" s="36">
        <v>0.0</v>
      </c>
      <c r="AQ381" s="35" t="s">
        <v>7045</v>
      </c>
      <c r="AR381" s="30">
        <v>46388.0</v>
      </c>
      <c r="AS381" s="30">
        <v>46477.0</v>
      </c>
      <c r="AT381" s="36">
        <v>0.0</v>
      </c>
      <c r="AU381" s="36">
        <v>0.0</v>
      </c>
      <c r="AV381" s="35" t="s">
        <v>7045</v>
      </c>
      <c r="AW381" s="30">
        <v>46478.0</v>
      </c>
      <c r="AX381" s="30">
        <v>46568.0</v>
      </c>
      <c r="AY381" s="36">
        <v>0.0</v>
      </c>
      <c r="AZ381" s="36">
        <v>0.0</v>
      </c>
      <c r="BA381" s="35" t="s">
        <v>7045</v>
      </c>
      <c r="BB381" s="30">
        <v>46569.0</v>
      </c>
      <c r="BC381" s="30">
        <v>46660.0</v>
      </c>
      <c r="BD381" s="36">
        <v>0.0</v>
      </c>
      <c r="BE381" s="36">
        <v>0.0</v>
      </c>
      <c r="BF381" s="35" t="s">
        <v>7045</v>
      </c>
      <c r="BG381" s="30">
        <v>46661.0</v>
      </c>
      <c r="BH381" s="30">
        <v>46752.0</v>
      </c>
      <c r="BI381" s="36">
        <v>0.0</v>
      </c>
      <c r="BJ381" s="36">
        <v>0.0</v>
      </c>
      <c r="BK381" s="35" t="s">
        <v>7045</v>
      </c>
      <c r="BL381" s="30">
        <v>46753.0</v>
      </c>
      <c r="BM381" s="30">
        <v>46843.0</v>
      </c>
      <c r="BN381" s="36">
        <v>0.0</v>
      </c>
      <c r="BO381" s="36">
        <v>0.0</v>
      </c>
      <c r="BP381" s="35" t="s">
        <v>7045</v>
      </c>
      <c r="BQ381" s="30">
        <v>46844.0</v>
      </c>
      <c r="BR381" s="30">
        <v>46934.0</v>
      </c>
      <c r="BS381" s="36">
        <v>0.0</v>
      </c>
      <c r="BT381" s="36">
        <v>0.0</v>
      </c>
      <c r="BU381" s="35" t="s">
        <v>7045</v>
      </c>
      <c r="BV381" s="30">
        <v>46935.0</v>
      </c>
      <c r="BW381" s="30">
        <v>47026.0</v>
      </c>
      <c r="BX381" s="36">
        <v>0.0</v>
      </c>
      <c r="BY381" s="36">
        <v>0.0</v>
      </c>
      <c r="BZ381" s="35" t="s">
        <v>7045</v>
      </c>
      <c r="CA381" s="30">
        <v>47027.0</v>
      </c>
      <c r="CB381" s="30">
        <v>47118.0</v>
      </c>
      <c r="CC381" s="36">
        <v>0.0</v>
      </c>
      <c r="CD381" s="36">
        <v>0.0</v>
      </c>
      <c r="CE381" s="35" t="s">
        <v>7045</v>
      </c>
      <c r="CF381" s="30">
        <v>47119.0</v>
      </c>
      <c r="CG381" s="30">
        <v>47208.0</v>
      </c>
      <c r="CH381" s="36">
        <v>0.0</v>
      </c>
      <c r="CI381" s="36">
        <v>0.0</v>
      </c>
      <c r="CJ381" s="35" t="s">
        <v>7045</v>
      </c>
      <c r="CK381" s="30">
        <v>47209.0</v>
      </c>
      <c r="CL381" s="30">
        <v>47299.0</v>
      </c>
      <c r="CM381" s="36">
        <v>0.0</v>
      </c>
      <c r="CN381" s="36">
        <v>0.0</v>
      </c>
      <c r="CO381" s="35" t="s">
        <v>7045</v>
      </c>
      <c r="CP381" s="30">
        <v>47300.0</v>
      </c>
      <c r="CQ381" s="30">
        <v>47391.0</v>
      </c>
      <c r="CR381" s="36">
        <v>0.0</v>
      </c>
      <c r="CS381" s="36">
        <v>0.0</v>
      </c>
      <c r="CT381" s="35" t="s">
        <v>7045</v>
      </c>
      <c r="CU381" s="30">
        <v>47392.0</v>
      </c>
      <c r="CV381" s="30">
        <v>47483.0</v>
      </c>
      <c r="CW381" s="36">
        <v>0.0</v>
      </c>
      <c r="CX381" s="36">
        <v>0.0</v>
      </c>
      <c r="CY381" s="35" t="s">
        <v>7045</v>
      </c>
      <c r="CZ381" s="30">
        <v>47484.0</v>
      </c>
      <c r="DA381" s="30">
        <v>47573.0</v>
      </c>
      <c r="DB381" s="36">
        <v>0.0</v>
      </c>
      <c r="DC381" s="36">
        <v>0.0</v>
      </c>
      <c r="DD381" s="35" t="s">
        <v>7045</v>
      </c>
      <c r="DE381" s="30">
        <v>47574.0</v>
      </c>
      <c r="DF381" s="30">
        <v>47664.0</v>
      </c>
      <c r="DG381" s="36">
        <v>0.0</v>
      </c>
      <c r="DH381" s="36">
        <v>0.0</v>
      </c>
      <c r="DI381" s="35" t="s">
        <v>7045</v>
      </c>
      <c r="DJ381" s="30">
        <v>47665.0</v>
      </c>
      <c r="DK381" s="30">
        <v>47756.0</v>
      </c>
      <c r="DL381" s="36">
        <v>0.0</v>
      </c>
      <c r="DM381" s="36">
        <v>0.0</v>
      </c>
      <c r="DN381" s="35" t="s">
        <v>7045</v>
      </c>
      <c r="DO381" s="30">
        <v>47757.0</v>
      </c>
      <c r="DP381" s="30">
        <v>47848.0</v>
      </c>
      <c r="DQ381" s="36">
        <v>0.0</v>
      </c>
      <c r="DR381" s="36">
        <v>0.0</v>
      </c>
      <c r="DS381" s="35" t="s">
        <v>7045</v>
      </c>
    </row>
    <row r="382" ht="14.25" customHeight="1">
      <c r="A382" s="28" t="s">
        <v>5389</v>
      </c>
      <c r="B382" s="29" t="s">
        <v>5390</v>
      </c>
      <c r="C382" s="29" t="s">
        <v>7041</v>
      </c>
      <c r="D382" s="30">
        <v>45658.0</v>
      </c>
      <c r="E382" s="30">
        <v>45747.0</v>
      </c>
      <c r="F382" s="39">
        <v>5.0</v>
      </c>
      <c r="G382" s="39">
        <v>0.0</v>
      </c>
      <c r="H382" s="38" t="s">
        <v>7047</v>
      </c>
      <c r="I382" s="30">
        <v>45748.0</v>
      </c>
      <c r="J382" s="30">
        <v>45838.0</v>
      </c>
      <c r="K382" s="39">
        <v>6.0</v>
      </c>
      <c r="L382" s="39">
        <v>153.33</v>
      </c>
      <c r="M382" s="32" t="s">
        <v>7043</v>
      </c>
      <c r="N382" s="30">
        <v>45839.0</v>
      </c>
      <c r="O382" s="30">
        <v>45930.0</v>
      </c>
      <c r="P382" s="39">
        <v>2.0</v>
      </c>
      <c r="Q382" s="39">
        <v>156.67</v>
      </c>
      <c r="R382" s="38" t="s">
        <v>7047</v>
      </c>
      <c r="S382" s="30">
        <v>45931.0</v>
      </c>
      <c r="T382" s="30">
        <v>46022.0</v>
      </c>
      <c r="U382" s="39">
        <v>60.0</v>
      </c>
      <c r="V382" s="39">
        <v>240.0</v>
      </c>
      <c r="W382" s="38" t="s">
        <v>7047</v>
      </c>
      <c r="X382" s="30">
        <v>46023.0</v>
      </c>
      <c r="Y382" s="30">
        <v>46112.0</v>
      </c>
      <c r="Z382" s="39">
        <v>0.0</v>
      </c>
      <c r="AA382" s="39">
        <v>0.0</v>
      </c>
      <c r="AB382" s="35" t="s">
        <v>7045</v>
      </c>
      <c r="AC382" s="30">
        <v>46113.0</v>
      </c>
      <c r="AD382" s="30">
        <v>46203.0</v>
      </c>
      <c r="AE382" s="39">
        <v>0.0</v>
      </c>
      <c r="AF382" s="39">
        <v>0.0</v>
      </c>
      <c r="AG382" s="35" t="s">
        <v>7045</v>
      </c>
      <c r="AH382" s="30">
        <v>46204.0</v>
      </c>
      <c r="AI382" s="30">
        <v>46295.0</v>
      </c>
      <c r="AJ382" s="39">
        <v>0.0</v>
      </c>
      <c r="AK382" s="39">
        <v>0.0</v>
      </c>
      <c r="AL382" s="35" t="s">
        <v>7045</v>
      </c>
      <c r="AM382" s="30">
        <v>46296.0</v>
      </c>
      <c r="AN382" s="30">
        <v>46387.0</v>
      </c>
      <c r="AO382" s="39">
        <v>0.0</v>
      </c>
      <c r="AP382" s="39">
        <v>0.0</v>
      </c>
      <c r="AQ382" s="35" t="s">
        <v>7045</v>
      </c>
      <c r="AR382" s="30">
        <v>46388.0</v>
      </c>
      <c r="AS382" s="30">
        <v>46477.0</v>
      </c>
      <c r="AT382" s="39">
        <v>0.0</v>
      </c>
      <c r="AU382" s="39">
        <v>0.0</v>
      </c>
      <c r="AV382" s="35" t="s">
        <v>7045</v>
      </c>
      <c r="AW382" s="30">
        <v>46478.0</v>
      </c>
      <c r="AX382" s="30">
        <v>46568.0</v>
      </c>
      <c r="AY382" s="39">
        <v>0.0</v>
      </c>
      <c r="AZ382" s="39">
        <v>0.0</v>
      </c>
      <c r="BA382" s="35" t="s">
        <v>7045</v>
      </c>
      <c r="BB382" s="30">
        <v>46569.0</v>
      </c>
      <c r="BC382" s="30">
        <v>46660.0</v>
      </c>
      <c r="BD382" s="39">
        <v>0.0</v>
      </c>
      <c r="BE382" s="39">
        <v>0.0</v>
      </c>
      <c r="BF382" s="35" t="s">
        <v>7045</v>
      </c>
      <c r="BG382" s="30">
        <v>46661.0</v>
      </c>
      <c r="BH382" s="30">
        <v>46752.0</v>
      </c>
      <c r="BI382" s="39">
        <v>0.0</v>
      </c>
      <c r="BJ382" s="39">
        <v>0.0</v>
      </c>
      <c r="BK382" s="35" t="s">
        <v>7045</v>
      </c>
      <c r="BL382" s="30">
        <v>46753.0</v>
      </c>
      <c r="BM382" s="30">
        <v>46843.0</v>
      </c>
      <c r="BN382" s="39">
        <v>0.0</v>
      </c>
      <c r="BO382" s="39">
        <v>0.0</v>
      </c>
      <c r="BP382" s="35" t="s">
        <v>7045</v>
      </c>
      <c r="BQ382" s="30">
        <v>46844.0</v>
      </c>
      <c r="BR382" s="30">
        <v>46934.0</v>
      </c>
      <c r="BS382" s="39">
        <v>0.0</v>
      </c>
      <c r="BT382" s="39">
        <v>0.0</v>
      </c>
      <c r="BU382" s="35" t="s">
        <v>7045</v>
      </c>
      <c r="BV382" s="30">
        <v>46935.0</v>
      </c>
      <c r="BW382" s="30">
        <v>47026.0</v>
      </c>
      <c r="BX382" s="39">
        <v>0.0</v>
      </c>
      <c r="BY382" s="39">
        <v>0.0</v>
      </c>
      <c r="BZ382" s="35" t="s">
        <v>7045</v>
      </c>
      <c r="CA382" s="30">
        <v>47027.0</v>
      </c>
      <c r="CB382" s="30">
        <v>47118.0</v>
      </c>
      <c r="CC382" s="39">
        <v>0.0</v>
      </c>
      <c r="CD382" s="39">
        <v>0.0</v>
      </c>
      <c r="CE382" s="35" t="s">
        <v>7045</v>
      </c>
      <c r="CF382" s="30">
        <v>47119.0</v>
      </c>
      <c r="CG382" s="30">
        <v>47208.0</v>
      </c>
      <c r="CH382" s="39">
        <v>0.0</v>
      </c>
      <c r="CI382" s="39">
        <v>0.0</v>
      </c>
      <c r="CJ382" s="35" t="s">
        <v>7045</v>
      </c>
      <c r="CK382" s="30">
        <v>47209.0</v>
      </c>
      <c r="CL382" s="30">
        <v>47299.0</v>
      </c>
      <c r="CM382" s="39">
        <v>0.0</v>
      </c>
      <c r="CN382" s="39">
        <v>0.0</v>
      </c>
      <c r="CO382" s="35" t="s">
        <v>7045</v>
      </c>
      <c r="CP382" s="30">
        <v>47300.0</v>
      </c>
      <c r="CQ382" s="30">
        <v>47391.0</v>
      </c>
      <c r="CR382" s="39">
        <v>0.0</v>
      </c>
      <c r="CS382" s="39">
        <v>0.0</v>
      </c>
      <c r="CT382" s="35" t="s">
        <v>7045</v>
      </c>
      <c r="CU382" s="30">
        <v>47392.0</v>
      </c>
      <c r="CV382" s="30">
        <v>47483.0</v>
      </c>
      <c r="CW382" s="39">
        <v>0.0</v>
      </c>
      <c r="CX382" s="39">
        <v>0.0</v>
      </c>
      <c r="CY382" s="35" t="s">
        <v>7045</v>
      </c>
      <c r="CZ382" s="30">
        <v>47484.0</v>
      </c>
      <c r="DA382" s="30">
        <v>47573.0</v>
      </c>
      <c r="DB382" s="39">
        <v>0.0</v>
      </c>
      <c r="DC382" s="39">
        <v>0.0</v>
      </c>
      <c r="DD382" s="35" t="s">
        <v>7045</v>
      </c>
      <c r="DE382" s="30">
        <v>47574.0</v>
      </c>
      <c r="DF382" s="30">
        <v>47664.0</v>
      </c>
      <c r="DG382" s="39">
        <v>0.0</v>
      </c>
      <c r="DH382" s="39">
        <v>0.0</v>
      </c>
      <c r="DI382" s="35" t="s">
        <v>7045</v>
      </c>
      <c r="DJ382" s="30">
        <v>47665.0</v>
      </c>
      <c r="DK382" s="30">
        <v>47756.0</v>
      </c>
      <c r="DL382" s="39">
        <v>0.0</v>
      </c>
      <c r="DM382" s="39">
        <v>0.0</v>
      </c>
      <c r="DN382" s="35" t="s">
        <v>7045</v>
      </c>
      <c r="DO382" s="30">
        <v>47757.0</v>
      </c>
      <c r="DP382" s="30">
        <v>47848.0</v>
      </c>
      <c r="DQ382" s="39">
        <v>0.0</v>
      </c>
      <c r="DR382" s="39">
        <v>0.0</v>
      </c>
      <c r="DS382" s="35" t="s">
        <v>7045</v>
      </c>
    </row>
    <row r="383" ht="14.25" customHeight="1">
      <c r="A383" s="28" t="s">
        <v>1864</v>
      </c>
      <c r="B383" s="29" t="s">
        <v>1865</v>
      </c>
      <c r="C383" s="29" t="s">
        <v>7041</v>
      </c>
      <c r="D383" s="30">
        <v>45658.0</v>
      </c>
      <c r="E383" s="30">
        <v>45747.0</v>
      </c>
      <c r="F383" s="39">
        <v>35.0</v>
      </c>
      <c r="G383" s="39">
        <v>0.0</v>
      </c>
      <c r="H383" s="38" t="s">
        <v>7047</v>
      </c>
      <c r="I383" s="30">
        <v>45748.0</v>
      </c>
      <c r="J383" s="30">
        <v>45838.0</v>
      </c>
      <c r="K383" s="39">
        <v>0.0</v>
      </c>
      <c r="L383" s="39">
        <v>0.0</v>
      </c>
      <c r="M383" s="35" t="s">
        <v>7045</v>
      </c>
      <c r="N383" s="30">
        <v>45839.0</v>
      </c>
      <c r="O383" s="30">
        <v>45930.0</v>
      </c>
      <c r="P383" s="39">
        <v>8.0</v>
      </c>
      <c r="Q383" s="39">
        <v>0.0</v>
      </c>
      <c r="R383" s="38" t="s">
        <v>7047</v>
      </c>
      <c r="S383" s="30">
        <v>45931.0</v>
      </c>
      <c r="T383" s="30">
        <v>46022.0</v>
      </c>
      <c r="U383" s="39">
        <v>8.0</v>
      </c>
      <c r="V383" s="39">
        <v>0.0</v>
      </c>
      <c r="W383" s="38" t="s">
        <v>7047</v>
      </c>
      <c r="X383" s="30">
        <v>46023.0</v>
      </c>
      <c r="Y383" s="30">
        <v>46112.0</v>
      </c>
      <c r="Z383" s="39">
        <v>65.0</v>
      </c>
      <c r="AA383" s="39">
        <v>0.0</v>
      </c>
      <c r="AB383" s="38" t="s">
        <v>7047</v>
      </c>
      <c r="AC383" s="30">
        <v>46113.0</v>
      </c>
      <c r="AD383" s="30">
        <v>46203.0</v>
      </c>
      <c r="AE383" s="39">
        <v>0.0</v>
      </c>
      <c r="AF383" s="39">
        <v>0.0</v>
      </c>
      <c r="AG383" s="35" t="s">
        <v>7045</v>
      </c>
      <c r="AH383" s="30">
        <v>46204.0</v>
      </c>
      <c r="AI383" s="30">
        <v>46295.0</v>
      </c>
      <c r="AJ383" s="39">
        <v>0.0</v>
      </c>
      <c r="AK383" s="39">
        <v>0.0</v>
      </c>
      <c r="AL383" s="35" t="s">
        <v>7045</v>
      </c>
      <c r="AM383" s="30">
        <v>46296.0</v>
      </c>
      <c r="AN383" s="30">
        <v>46387.0</v>
      </c>
      <c r="AO383" s="39">
        <v>0.0</v>
      </c>
      <c r="AP383" s="39">
        <v>0.0</v>
      </c>
      <c r="AQ383" s="35" t="s">
        <v>7045</v>
      </c>
      <c r="AR383" s="30">
        <v>46388.0</v>
      </c>
      <c r="AS383" s="30">
        <v>46477.0</v>
      </c>
      <c r="AT383" s="39">
        <v>0.0</v>
      </c>
      <c r="AU383" s="39">
        <v>0.0</v>
      </c>
      <c r="AV383" s="35" t="s">
        <v>7045</v>
      </c>
      <c r="AW383" s="30">
        <v>46478.0</v>
      </c>
      <c r="AX383" s="30">
        <v>46568.0</v>
      </c>
      <c r="AY383" s="39">
        <v>0.0</v>
      </c>
      <c r="AZ383" s="39">
        <v>0.0</v>
      </c>
      <c r="BA383" s="35" t="s">
        <v>7045</v>
      </c>
      <c r="BB383" s="30">
        <v>46569.0</v>
      </c>
      <c r="BC383" s="30">
        <v>46660.0</v>
      </c>
      <c r="BD383" s="39">
        <v>0.0</v>
      </c>
      <c r="BE383" s="39">
        <v>0.0</v>
      </c>
      <c r="BF383" s="35" t="s">
        <v>7045</v>
      </c>
      <c r="BG383" s="30">
        <v>46661.0</v>
      </c>
      <c r="BH383" s="30">
        <v>46752.0</v>
      </c>
      <c r="BI383" s="39">
        <v>0.0</v>
      </c>
      <c r="BJ383" s="39">
        <v>0.0</v>
      </c>
      <c r="BK383" s="35" t="s">
        <v>7045</v>
      </c>
      <c r="BL383" s="30">
        <v>46753.0</v>
      </c>
      <c r="BM383" s="30">
        <v>46843.0</v>
      </c>
      <c r="BN383" s="39">
        <v>0.0</v>
      </c>
      <c r="BO383" s="39">
        <v>0.0</v>
      </c>
      <c r="BP383" s="35" t="s">
        <v>7045</v>
      </c>
      <c r="BQ383" s="30">
        <v>46844.0</v>
      </c>
      <c r="BR383" s="30">
        <v>46934.0</v>
      </c>
      <c r="BS383" s="39">
        <v>0.0</v>
      </c>
      <c r="BT383" s="39">
        <v>0.0</v>
      </c>
      <c r="BU383" s="35" t="s">
        <v>7045</v>
      </c>
      <c r="BV383" s="30">
        <v>46935.0</v>
      </c>
      <c r="BW383" s="30">
        <v>47026.0</v>
      </c>
      <c r="BX383" s="39">
        <v>0.0</v>
      </c>
      <c r="BY383" s="39">
        <v>0.0</v>
      </c>
      <c r="BZ383" s="35" t="s">
        <v>7045</v>
      </c>
      <c r="CA383" s="30">
        <v>47027.0</v>
      </c>
      <c r="CB383" s="30">
        <v>47118.0</v>
      </c>
      <c r="CC383" s="39">
        <v>0.0</v>
      </c>
      <c r="CD383" s="39">
        <v>0.0</v>
      </c>
      <c r="CE383" s="35" t="s">
        <v>7045</v>
      </c>
      <c r="CF383" s="30">
        <v>47119.0</v>
      </c>
      <c r="CG383" s="30">
        <v>47208.0</v>
      </c>
      <c r="CH383" s="39">
        <v>0.0</v>
      </c>
      <c r="CI383" s="39">
        <v>0.0</v>
      </c>
      <c r="CJ383" s="35" t="s">
        <v>7045</v>
      </c>
      <c r="CK383" s="30">
        <v>47209.0</v>
      </c>
      <c r="CL383" s="30">
        <v>47299.0</v>
      </c>
      <c r="CM383" s="39">
        <v>0.0</v>
      </c>
      <c r="CN383" s="39">
        <v>0.0</v>
      </c>
      <c r="CO383" s="35" t="s">
        <v>7045</v>
      </c>
      <c r="CP383" s="30">
        <v>47300.0</v>
      </c>
      <c r="CQ383" s="30">
        <v>47391.0</v>
      </c>
      <c r="CR383" s="39">
        <v>0.0</v>
      </c>
      <c r="CS383" s="39">
        <v>0.0</v>
      </c>
      <c r="CT383" s="35" t="s">
        <v>7045</v>
      </c>
      <c r="CU383" s="30">
        <v>47392.0</v>
      </c>
      <c r="CV383" s="30">
        <v>47483.0</v>
      </c>
      <c r="CW383" s="39">
        <v>0.0</v>
      </c>
      <c r="CX383" s="39">
        <v>0.0</v>
      </c>
      <c r="CY383" s="35" t="s">
        <v>7045</v>
      </c>
      <c r="CZ383" s="30">
        <v>47484.0</v>
      </c>
      <c r="DA383" s="30">
        <v>47573.0</v>
      </c>
      <c r="DB383" s="39">
        <v>0.0</v>
      </c>
      <c r="DC383" s="39">
        <v>0.0</v>
      </c>
      <c r="DD383" s="35" t="s">
        <v>7045</v>
      </c>
      <c r="DE383" s="30">
        <v>47574.0</v>
      </c>
      <c r="DF383" s="30">
        <v>47664.0</v>
      </c>
      <c r="DG383" s="39">
        <v>0.0</v>
      </c>
      <c r="DH383" s="39">
        <v>0.0</v>
      </c>
      <c r="DI383" s="35" t="s">
        <v>7045</v>
      </c>
      <c r="DJ383" s="30">
        <v>47665.0</v>
      </c>
      <c r="DK383" s="30">
        <v>47756.0</v>
      </c>
      <c r="DL383" s="39">
        <v>0.0</v>
      </c>
      <c r="DM383" s="39">
        <v>0.0</v>
      </c>
      <c r="DN383" s="35" t="s">
        <v>7045</v>
      </c>
      <c r="DO383" s="30">
        <v>47757.0</v>
      </c>
      <c r="DP383" s="30">
        <v>47848.0</v>
      </c>
      <c r="DQ383" s="39">
        <v>0.0</v>
      </c>
      <c r="DR383" s="39">
        <v>0.0</v>
      </c>
      <c r="DS383" s="35" t="s">
        <v>7045</v>
      </c>
    </row>
    <row r="384" ht="14.25" customHeight="1">
      <c r="A384" s="28" t="s">
        <v>5844</v>
      </c>
      <c r="B384" s="29" t="s">
        <v>5845</v>
      </c>
      <c r="C384" s="29" t="s">
        <v>7041</v>
      </c>
      <c r="D384" s="30">
        <v>45658.0</v>
      </c>
      <c r="E384" s="30">
        <v>45747.0</v>
      </c>
      <c r="F384" s="39">
        <v>0.0</v>
      </c>
      <c r="G384" s="39">
        <v>0.0</v>
      </c>
      <c r="H384" s="35" t="s">
        <v>7045</v>
      </c>
      <c r="I384" s="30">
        <v>45748.0</v>
      </c>
      <c r="J384" s="30">
        <v>45838.0</v>
      </c>
      <c r="K384" s="39">
        <v>90.0</v>
      </c>
      <c r="L384" s="39">
        <v>0.0</v>
      </c>
      <c r="M384" s="38" t="s">
        <v>7047</v>
      </c>
      <c r="N384" s="30">
        <v>45839.0</v>
      </c>
      <c r="O384" s="30">
        <v>45930.0</v>
      </c>
      <c r="P384" s="39">
        <v>152.0</v>
      </c>
      <c r="Q384" s="39">
        <v>0.0</v>
      </c>
      <c r="R384" s="38" t="s">
        <v>7047</v>
      </c>
      <c r="S384" s="30">
        <v>45931.0</v>
      </c>
      <c r="T384" s="30">
        <v>46022.0</v>
      </c>
      <c r="U384" s="39">
        <v>90.0</v>
      </c>
      <c r="V384" s="39">
        <v>0.0</v>
      </c>
      <c r="W384" s="35" t="s">
        <v>7047</v>
      </c>
      <c r="X384" s="30">
        <v>46023.0</v>
      </c>
      <c r="Y384" s="30">
        <v>46112.0</v>
      </c>
      <c r="Z384" s="39">
        <v>200.0</v>
      </c>
      <c r="AA384" s="39">
        <v>0.0</v>
      </c>
      <c r="AB384" s="38" t="s">
        <v>7047</v>
      </c>
      <c r="AC384" s="30">
        <v>46113.0</v>
      </c>
      <c r="AD384" s="30">
        <v>46203.0</v>
      </c>
      <c r="AE384" s="39">
        <v>0.0</v>
      </c>
      <c r="AF384" s="39">
        <v>0.0</v>
      </c>
      <c r="AG384" s="35" t="s">
        <v>7045</v>
      </c>
      <c r="AH384" s="30">
        <v>46204.0</v>
      </c>
      <c r="AI384" s="30">
        <v>46295.0</v>
      </c>
      <c r="AJ384" s="39">
        <v>50.0</v>
      </c>
      <c r="AK384" s="39">
        <v>0.0</v>
      </c>
      <c r="AL384" s="38" t="s">
        <v>7047</v>
      </c>
      <c r="AM384" s="30">
        <v>46296.0</v>
      </c>
      <c r="AN384" s="30">
        <v>46387.0</v>
      </c>
      <c r="AO384" s="39">
        <v>0.0</v>
      </c>
      <c r="AP384" s="39">
        <v>0.0</v>
      </c>
      <c r="AQ384" s="35" t="s">
        <v>7045</v>
      </c>
      <c r="AR384" s="30">
        <v>46388.0</v>
      </c>
      <c r="AS384" s="30">
        <v>46477.0</v>
      </c>
      <c r="AT384" s="39">
        <v>0.0</v>
      </c>
      <c r="AU384" s="39">
        <v>0.0</v>
      </c>
      <c r="AV384" s="35" t="s">
        <v>7045</v>
      </c>
      <c r="AW384" s="30">
        <v>46478.0</v>
      </c>
      <c r="AX384" s="30">
        <v>46568.0</v>
      </c>
      <c r="AY384" s="39">
        <v>0.0</v>
      </c>
      <c r="AZ384" s="39">
        <v>0.0</v>
      </c>
      <c r="BA384" s="35" t="s">
        <v>7045</v>
      </c>
      <c r="BB384" s="30">
        <v>46569.0</v>
      </c>
      <c r="BC384" s="30">
        <v>46660.0</v>
      </c>
      <c r="BD384" s="39">
        <v>0.0</v>
      </c>
      <c r="BE384" s="39">
        <v>0.0</v>
      </c>
      <c r="BF384" s="35" t="s">
        <v>7045</v>
      </c>
      <c r="BG384" s="30">
        <v>46661.0</v>
      </c>
      <c r="BH384" s="30">
        <v>46752.0</v>
      </c>
      <c r="BI384" s="39">
        <v>0.0</v>
      </c>
      <c r="BJ384" s="39">
        <v>0.0</v>
      </c>
      <c r="BK384" s="35" t="s">
        <v>7045</v>
      </c>
      <c r="BL384" s="30">
        <v>46753.0</v>
      </c>
      <c r="BM384" s="30">
        <v>46843.0</v>
      </c>
      <c r="BN384" s="39">
        <v>0.0</v>
      </c>
      <c r="BO384" s="39">
        <v>0.0</v>
      </c>
      <c r="BP384" s="35" t="s">
        <v>7045</v>
      </c>
      <c r="BQ384" s="30">
        <v>46844.0</v>
      </c>
      <c r="BR384" s="30">
        <v>46934.0</v>
      </c>
      <c r="BS384" s="39">
        <v>0.0</v>
      </c>
      <c r="BT384" s="39">
        <v>0.0</v>
      </c>
      <c r="BU384" s="35" t="s">
        <v>7045</v>
      </c>
      <c r="BV384" s="30">
        <v>46935.0</v>
      </c>
      <c r="BW384" s="30">
        <v>47026.0</v>
      </c>
      <c r="BX384" s="39">
        <v>0.0</v>
      </c>
      <c r="BY384" s="39">
        <v>0.0</v>
      </c>
      <c r="BZ384" s="35" t="s">
        <v>7045</v>
      </c>
      <c r="CA384" s="30">
        <v>47027.0</v>
      </c>
      <c r="CB384" s="30">
        <v>47118.0</v>
      </c>
      <c r="CC384" s="39">
        <v>0.0</v>
      </c>
      <c r="CD384" s="39">
        <v>0.0</v>
      </c>
      <c r="CE384" s="35" t="s">
        <v>7045</v>
      </c>
      <c r="CF384" s="30">
        <v>47119.0</v>
      </c>
      <c r="CG384" s="30">
        <v>47208.0</v>
      </c>
      <c r="CH384" s="39">
        <v>0.0</v>
      </c>
      <c r="CI384" s="39">
        <v>0.0</v>
      </c>
      <c r="CJ384" s="35" t="s">
        <v>7045</v>
      </c>
      <c r="CK384" s="30">
        <v>47209.0</v>
      </c>
      <c r="CL384" s="30">
        <v>47299.0</v>
      </c>
      <c r="CM384" s="39">
        <v>0.0</v>
      </c>
      <c r="CN384" s="39">
        <v>0.0</v>
      </c>
      <c r="CO384" s="35" t="s">
        <v>7045</v>
      </c>
      <c r="CP384" s="30">
        <v>47300.0</v>
      </c>
      <c r="CQ384" s="30">
        <v>47391.0</v>
      </c>
      <c r="CR384" s="39">
        <v>0.0</v>
      </c>
      <c r="CS384" s="39">
        <v>0.0</v>
      </c>
      <c r="CT384" s="35" t="s">
        <v>7045</v>
      </c>
      <c r="CU384" s="30">
        <v>47392.0</v>
      </c>
      <c r="CV384" s="30">
        <v>47483.0</v>
      </c>
      <c r="CW384" s="39">
        <v>0.0</v>
      </c>
      <c r="CX384" s="39">
        <v>0.0</v>
      </c>
      <c r="CY384" s="35" t="s">
        <v>7045</v>
      </c>
      <c r="CZ384" s="30">
        <v>47484.0</v>
      </c>
      <c r="DA384" s="30">
        <v>47573.0</v>
      </c>
      <c r="DB384" s="39">
        <v>0.0</v>
      </c>
      <c r="DC384" s="39">
        <v>0.0</v>
      </c>
      <c r="DD384" s="35" t="s">
        <v>7045</v>
      </c>
      <c r="DE384" s="30">
        <v>47574.0</v>
      </c>
      <c r="DF384" s="30">
        <v>47664.0</v>
      </c>
      <c r="DG384" s="39">
        <v>0.0</v>
      </c>
      <c r="DH384" s="39">
        <v>0.0</v>
      </c>
      <c r="DI384" s="35" t="s">
        <v>7045</v>
      </c>
      <c r="DJ384" s="30">
        <v>47665.0</v>
      </c>
      <c r="DK384" s="30">
        <v>47756.0</v>
      </c>
      <c r="DL384" s="39">
        <v>0.0</v>
      </c>
      <c r="DM384" s="39">
        <v>0.0</v>
      </c>
      <c r="DN384" s="35" t="s">
        <v>7045</v>
      </c>
      <c r="DO384" s="30">
        <v>47757.0</v>
      </c>
      <c r="DP384" s="30">
        <v>47848.0</v>
      </c>
      <c r="DQ384" s="39">
        <v>0.0</v>
      </c>
      <c r="DR384" s="39">
        <v>0.0</v>
      </c>
      <c r="DS384" s="35" t="s">
        <v>7045</v>
      </c>
    </row>
    <row r="385" ht="14.25" customHeight="1">
      <c r="A385" s="28" t="s">
        <v>4174</v>
      </c>
      <c r="B385" s="29" t="s">
        <v>4175</v>
      </c>
      <c r="C385" s="29" t="s">
        <v>7041</v>
      </c>
      <c r="D385" s="30">
        <v>45658.0</v>
      </c>
      <c r="E385" s="30">
        <v>45747.0</v>
      </c>
      <c r="F385" s="36">
        <v>370.7</v>
      </c>
      <c r="G385" s="36">
        <v>0.0</v>
      </c>
      <c r="H385" s="38" t="s">
        <v>7047</v>
      </c>
      <c r="I385" s="30">
        <v>45748.0</v>
      </c>
      <c r="J385" s="30">
        <v>45838.0</v>
      </c>
      <c r="K385" s="36">
        <v>5.57</v>
      </c>
      <c r="L385" s="36">
        <v>116.64</v>
      </c>
      <c r="M385" s="32" t="s">
        <v>7043</v>
      </c>
      <c r="N385" s="30">
        <v>45839.0</v>
      </c>
      <c r="O385" s="30">
        <v>45930.0</v>
      </c>
      <c r="P385" s="36">
        <v>370.7</v>
      </c>
      <c r="Q385" s="36">
        <v>116.64</v>
      </c>
      <c r="R385" s="38" t="s">
        <v>7047</v>
      </c>
      <c r="S385" s="30">
        <v>45931.0</v>
      </c>
      <c r="T385" s="30">
        <v>46022.0</v>
      </c>
      <c r="U385" s="36">
        <v>0.0</v>
      </c>
      <c r="V385" s="36">
        <v>83.34</v>
      </c>
      <c r="W385" s="32" t="s">
        <v>7043</v>
      </c>
      <c r="X385" s="30">
        <v>46023.0</v>
      </c>
      <c r="Y385" s="30">
        <v>46112.0</v>
      </c>
      <c r="Z385" s="36">
        <v>0.0</v>
      </c>
      <c r="AA385" s="36">
        <v>0.0</v>
      </c>
      <c r="AB385" s="35" t="s">
        <v>7045</v>
      </c>
      <c r="AC385" s="30">
        <v>46113.0</v>
      </c>
      <c r="AD385" s="30">
        <v>46203.0</v>
      </c>
      <c r="AE385" s="36">
        <v>0.0</v>
      </c>
      <c r="AF385" s="36">
        <v>0.0</v>
      </c>
      <c r="AG385" s="35" t="s">
        <v>7045</v>
      </c>
      <c r="AH385" s="30">
        <v>46204.0</v>
      </c>
      <c r="AI385" s="30">
        <v>46295.0</v>
      </c>
      <c r="AJ385" s="36">
        <v>0.0</v>
      </c>
      <c r="AK385" s="36">
        <v>0.0</v>
      </c>
      <c r="AL385" s="35" t="s">
        <v>7045</v>
      </c>
      <c r="AM385" s="30">
        <v>46296.0</v>
      </c>
      <c r="AN385" s="30">
        <v>46387.0</v>
      </c>
      <c r="AO385" s="36">
        <v>0.0</v>
      </c>
      <c r="AP385" s="36">
        <v>0.0</v>
      </c>
      <c r="AQ385" s="35" t="s">
        <v>7045</v>
      </c>
      <c r="AR385" s="30">
        <v>46388.0</v>
      </c>
      <c r="AS385" s="30">
        <v>46477.0</v>
      </c>
      <c r="AT385" s="36">
        <v>0.0</v>
      </c>
      <c r="AU385" s="36">
        <v>0.0</v>
      </c>
      <c r="AV385" s="35" t="s">
        <v>7045</v>
      </c>
      <c r="AW385" s="30">
        <v>46478.0</v>
      </c>
      <c r="AX385" s="30">
        <v>46568.0</v>
      </c>
      <c r="AY385" s="36">
        <v>0.0</v>
      </c>
      <c r="AZ385" s="36">
        <v>0.0</v>
      </c>
      <c r="BA385" s="35" t="s">
        <v>7045</v>
      </c>
      <c r="BB385" s="30">
        <v>46569.0</v>
      </c>
      <c r="BC385" s="30">
        <v>46660.0</v>
      </c>
      <c r="BD385" s="36">
        <v>0.0</v>
      </c>
      <c r="BE385" s="36">
        <v>0.0</v>
      </c>
      <c r="BF385" s="35" t="s">
        <v>7045</v>
      </c>
      <c r="BG385" s="30">
        <v>46661.0</v>
      </c>
      <c r="BH385" s="30">
        <v>46752.0</v>
      </c>
      <c r="BI385" s="36">
        <v>0.0</v>
      </c>
      <c r="BJ385" s="36">
        <v>0.0</v>
      </c>
      <c r="BK385" s="35" t="s">
        <v>7045</v>
      </c>
      <c r="BL385" s="30">
        <v>46753.0</v>
      </c>
      <c r="BM385" s="30">
        <v>46843.0</v>
      </c>
      <c r="BN385" s="36">
        <v>0.0</v>
      </c>
      <c r="BO385" s="36">
        <v>0.0</v>
      </c>
      <c r="BP385" s="35" t="s">
        <v>7045</v>
      </c>
      <c r="BQ385" s="30">
        <v>46844.0</v>
      </c>
      <c r="BR385" s="30">
        <v>46934.0</v>
      </c>
      <c r="BS385" s="36">
        <v>0.0</v>
      </c>
      <c r="BT385" s="36">
        <v>0.0</v>
      </c>
      <c r="BU385" s="35" t="s">
        <v>7045</v>
      </c>
      <c r="BV385" s="30">
        <v>46935.0</v>
      </c>
      <c r="BW385" s="30">
        <v>47026.0</v>
      </c>
      <c r="BX385" s="36">
        <v>0.0</v>
      </c>
      <c r="BY385" s="36">
        <v>0.0</v>
      </c>
      <c r="BZ385" s="35" t="s">
        <v>7045</v>
      </c>
      <c r="CA385" s="30">
        <v>47027.0</v>
      </c>
      <c r="CB385" s="30">
        <v>47118.0</v>
      </c>
      <c r="CC385" s="36">
        <v>0.0</v>
      </c>
      <c r="CD385" s="36">
        <v>0.0</v>
      </c>
      <c r="CE385" s="35" t="s">
        <v>7045</v>
      </c>
      <c r="CF385" s="30">
        <v>47119.0</v>
      </c>
      <c r="CG385" s="30">
        <v>47208.0</v>
      </c>
      <c r="CH385" s="36">
        <v>0.0</v>
      </c>
      <c r="CI385" s="36">
        <v>0.0</v>
      </c>
      <c r="CJ385" s="35" t="s">
        <v>7045</v>
      </c>
      <c r="CK385" s="30">
        <v>47209.0</v>
      </c>
      <c r="CL385" s="30">
        <v>47299.0</v>
      </c>
      <c r="CM385" s="36">
        <v>0.0</v>
      </c>
      <c r="CN385" s="36">
        <v>0.0</v>
      </c>
      <c r="CO385" s="35" t="s">
        <v>7045</v>
      </c>
      <c r="CP385" s="30">
        <v>47300.0</v>
      </c>
      <c r="CQ385" s="30">
        <v>47391.0</v>
      </c>
      <c r="CR385" s="36">
        <v>0.0</v>
      </c>
      <c r="CS385" s="36">
        <v>0.0</v>
      </c>
      <c r="CT385" s="35" t="s">
        <v>7045</v>
      </c>
      <c r="CU385" s="30">
        <v>47392.0</v>
      </c>
      <c r="CV385" s="30">
        <v>47483.0</v>
      </c>
      <c r="CW385" s="36">
        <v>0.0</v>
      </c>
      <c r="CX385" s="36">
        <v>0.0</v>
      </c>
      <c r="CY385" s="35" t="s">
        <v>7045</v>
      </c>
      <c r="CZ385" s="30">
        <v>47484.0</v>
      </c>
      <c r="DA385" s="30">
        <v>47573.0</v>
      </c>
      <c r="DB385" s="36">
        <v>0.0</v>
      </c>
      <c r="DC385" s="36">
        <v>0.0</v>
      </c>
      <c r="DD385" s="35" t="s">
        <v>7045</v>
      </c>
      <c r="DE385" s="30">
        <v>47574.0</v>
      </c>
      <c r="DF385" s="30">
        <v>47664.0</v>
      </c>
      <c r="DG385" s="36">
        <v>0.0</v>
      </c>
      <c r="DH385" s="36">
        <v>0.0</v>
      </c>
      <c r="DI385" s="35" t="s">
        <v>7045</v>
      </c>
      <c r="DJ385" s="30">
        <v>47665.0</v>
      </c>
      <c r="DK385" s="30">
        <v>47756.0</v>
      </c>
      <c r="DL385" s="36">
        <v>0.0</v>
      </c>
      <c r="DM385" s="36">
        <v>0.0</v>
      </c>
      <c r="DN385" s="35" t="s">
        <v>7045</v>
      </c>
      <c r="DO385" s="30">
        <v>47757.0</v>
      </c>
      <c r="DP385" s="30">
        <v>47848.0</v>
      </c>
      <c r="DQ385" s="36">
        <v>0.0</v>
      </c>
      <c r="DR385" s="36">
        <v>0.0</v>
      </c>
      <c r="DS385" s="35" t="s">
        <v>7045</v>
      </c>
    </row>
    <row r="386" ht="14.25" customHeight="1">
      <c r="A386" s="28" t="s">
        <v>2869</v>
      </c>
      <c r="B386" s="29" t="s">
        <v>2870</v>
      </c>
      <c r="C386" s="29" t="s">
        <v>7041</v>
      </c>
      <c r="D386" s="30">
        <v>45658.0</v>
      </c>
      <c r="E386" s="30">
        <v>45747.0</v>
      </c>
      <c r="F386" s="36">
        <v>30.0</v>
      </c>
      <c r="G386" s="36">
        <v>0.0</v>
      </c>
      <c r="H386" s="38" t="s">
        <v>7047</v>
      </c>
      <c r="I386" s="30">
        <v>45748.0</v>
      </c>
      <c r="J386" s="30">
        <v>45838.0</v>
      </c>
      <c r="K386" s="36">
        <v>5.0</v>
      </c>
      <c r="L386" s="36">
        <v>433.32</v>
      </c>
      <c r="M386" s="38" t="s">
        <v>7043</v>
      </c>
      <c r="N386" s="30">
        <v>45839.0</v>
      </c>
      <c r="O386" s="30">
        <v>45930.0</v>
      </c>
      <c r="P386" s="36">
        <v>338.88</v>
      </c>
      <c r="Q386" s="36">
        <v>166.67</v>
      </c>
      <c r="R386" s="38" t="s">
        <v>7047</v>
      </c>
      <c r="S386" s="30">
        <v>45931.0</v>
      </c>
      <c r="T386" s="30">
        <v>46022.0</v>
      </c>
      <c r="U386" s="36">
        <v>614.5</v>
      </c>
      <c r="V386" s="36">
        <v>166.67</v>
      </c>
      <c r="W386" s="38" t="s">
        <v>7047</v>
      </c>
      <c r="X386" s="30">
        <v>46023.0</v>
      </c>
      <c r="Y386" s="30">
        <v>46112.0</v>
      </c>
      <c r="Z386" s="36">
        <v>199.99</v>
      </c>
      <c r="AA386" s="36">
        <v>0.0</v>
      </c>
      <c r="AB386" s="35" t="s">
        <v>7047</v>
      </c>
      <c r="AC386" s="30">
        <v>46113.0</v>
      </c>
      <c r="AD386" s="30">
        <v>46203.0</v>
      </c>
      <c r="AE386" s="36">
        <v>180.0</v>
      </c>
      <c r="AF386" s="36">
        <v>0.0</v>
      </c>
      <c r="AG386" s="35" t="s">
        <v>7047</v>
      </c>
      <c r="AH386" s="30">
        <v>46204.0</v>
      </c>
      <c r="AI386" s="30">
        <v>46295.0</v>
      </c>
      <c r="AJ386" s="36">
        <v>0.0</v>
      </c>
      <c r="AK386" s="36">
        <v>0.0</v>
      </c>
      <c r="AL386" s="35" t="s">
        <v>7045</v>
      </c>
      <c r="AM386" s="30">
        <v>46296.0</v>
      </c>
      <c r="AN386" s="30">
        <v>46387.0</v>
      </c>
      <c r="AO386" s="36">
        <v>89.0</v>
      </c>
      <c r="AP386" s="36">
        <v>0.0</v>
      </c>
      <c r="AQ386" s="35" t="s">
        <v>7047</v>
      </c>
      <c r="AR386" s="30">
        <v>46388.0</v>
      </c>
      <c r="AS386" s="30">
        <v>46477.0</v>
      </c>
      <c r="AT386" s="36">
        <v>0.0</v>
      </c>
      <c r="AU386" s="36">
        <v>0.0</v>
      </c>
      <c r="AV386" s="35" t="s">
        <v>7045</v>
      </c>
      <c r="AW386" s="30">
        <v>46478.0</v>
      </c>
      <c r="AX386" s="30">
        <v>46568.0</v>
      </c>
      <c r="AY386" s="36">
        <v>0.0</v>
      </c>
      <c r="AZ386" s="36">
        <v>0.0</v>
      </c>
      <c r="BA386" s="35" t="s">
        <v>7045</v>
      </c>
      <c r="BB386" s="30">
        <v>46569.0</v>
      </c>
      <c r="BC386" s="30">
        <v>46660.0</v>
      </c>
      <c r="BD386" s="36">
        <v>0.0</v>
      </c>
      <c r="BE386" s="36">
        <v>0.0</v>
      </c>
      <c r="BF386" s="35" t="s">
        <v>7045</v>
      </c>
      <c r="BG386" s="30">
        <v>46661.0</v>
      </c>
      <c r="BH386" s="30">
        <v>46752.0</v>
      </c>
      <c r="BI386" s="36">
        <v>0.0</v>
      </c>
      <c r="BJ386" s="36">
        <v>0.0</v>
      </c>
      <c r="BK386" s="35" t="s">
        <v>7045</v>
      </c>
      <c r="BL386" s="30">
        <v>46753.0</v>
      </c>
      <c r="BM386" s="30">
        <v>46843.0</v>
      </c>
      <c r="BN386" s="36">
        <v>0.0</v>
      </c>
      <c r="BO386" s="36">
        <v>0.0</v>
      </c>
      <c r="BP386" s="35" t="s">
        <v>7045</v>
      </c>
      <c r="BQ386" s="30">
        <v>46844.0</v>
      </c>
      <c r="BR386" s="30">
        <v>46934.0</v>
      </c>
      <c r="BS386" s="36">
        <v>0.0</v>
      </c>
      <c r="BT386" s="36">
        <v>0.0</v>
      </c>
      <c r="BU386" s="35" t="s">
        <v>7045</v>
      </c>
      <c r="BV386" s="30">
        <v>46935.0</v>
      </c>
      <c r="BW386" s="30">
        <v>47026.0</v>
      </c>
      <c r="BX386" s="36">
        <v>0.0</v>
      </c>
      <c r="BY386" s="36">
        <v>0.0</v>
      </c>
      <c r="BZ386" s="35" t="s">
        <v>7045</v>
      </c>
      <c r="CA386" s="30">
        <v>47027.0</v>
      </c>
      <c r="CB386" s="30">
        <v>47118.0</v>
      </c>
      <c r="CC386" s="36">
        <v>0.0</v>
      </c>
      <c r="CD386" s="36">
        <v>0.0</v>
      </c>
      <c r="CE386" s="35" t="s">
        <v>7045</v>
      </c>
      <c r="CF386" s="30">
        <v>47119.0</v>
      </c>
      <c r="CG386" s="30">
        <v>47208.0</v>
      </c>
      <c r="CH386" s="36">
        <v>0.0</v>
      </c>
      <c r="CI386" s="36">
        <v>0.0</v>
      </c>
      <c r="CJ386" s="35" t="s">
        <v>7045</v>
      </c>
      <c r="CK386" s="30">
        <v>47209.0</v>
      </c>
      <c r="CL386" s="30">
        <v>47299.0</v>
      </c>
      <c r="CM386" s="36">
        <v>0.0</v>
      </c>
      <c r="CN386" s="36">
        <v>0.0</v>
      </c>
      <c r="CO386" s="35" t="s">
        <v>7045</v>
      </c>
      <c r="CP386" s="30">
        <v>47300.0</v>
      </c>
      <c r="CQ386" s="30">
        <v>47391.0</v>
      </c>
      <c r="CR386" s="36">
        <v>0.0</v>
      </c>
      <c r="CS386" s="36">
        <v>0.0</v>
      </c>
      <c r="CT386" s="35" t="s">
        <v>7045</v>
      </c>
      <c r="CU386" s="30">
        <v>47392.0</v>
      </c>
      <c r="CV386" s="30">
        <v>47483.0</v>
      </c>
      <c r="CW386" s="36">
        <v>0.0</v>
      </c>
      <c r="CX386" s="36">
        <v>0.0</v>
      </c>
      <c r="CY386" s="35" t="s">
        <v>7045</v>
      </c>
      <c r="CZ386" s="30">
        <v>47484.0</v>
      </c>
      <c r="DA386" s="30">
        <v>47573.0</v>
      </c>
      <c r="DB386" s="36">
        <v>0.0</v>
      </c>
      <c r="DC386" s="36">
        <v>0.0</v>
      </c>
      <c r="DD386" s="35" t="s">
        <v>7045</v>
      </c>
      <c r="DE386" s="30">
        <v>47574.0</v>
      </c>
      <c r="DF386" s="30">
        <v>47664.0</v>
      </c>
      <c r="DG386" s="36">
        <v>0.0</v>
      </c>
      <c r="DH386" s="36">
        <v>0.0</v>
      </c>
      <c r="DI386" s="35" t="s">
        <v>7045</v>
      </c>
      <c r="DJ386" s="30">
        <v>47665.0</v>
      </c>
      <c r="DK386" s="30">
        <v>47756.0</v>
      </c>
      <c r="DL386" s="36">
        <v>0.0</v>
      </c>
      <c r="DM386" s="36">
        <v>0.0</v>
      </c>
      <c r="DN386" s="35" t="s">
        <v>7045</v>
      </c>
      <c r="DO386" s="30">
        <v>47757.0</v>
      </c>
      <c r="DP386" s="30">
        <v>47848.0</v>
      </c>
      <c r="DQ386" s="36">
        <v>0.0</v>
      </c>
      <c r="DR386" s="36">
        <v>0.0</v>
      </c>
      <c r="DS386" s="35" t="s">
        <v>7045</v>
      </c>
    </row>
    <row r="387" ht="14.25" customHeight="1">
      <c r="A387" s="28" t="s">
        <v>6381</v>
      </c>
      <c r="B387" s="29" t="s">
        <v>6382</v>
      </c>
      <c r="C387" s="29" t="s">
        <v>7041</v>
      </c>
      <c r="D387" s="30">
        <v>45658.0</v>
      </c>
      <c r="E387" s="30">
        <v>45747.0</v>
      </c>
      <c r="F387" s="39">
        <v>0.0</v>
      </c>
      <c r="G387" s="39">
        <v>0.0</v>
      </c>
      <c r="H387" s="35" t="s">
        <v>7045</v>
      </c>
      <c r="I387" s="30">
        <v>45748.0</v>
      </c>
      <c r="J387" s="30">
        <v>45838.0</v>
      </c>
      <c r="K387" s="39">
        <v>54.0</v>
      </c>
      <c r="L387" s="39">
        <v>47.19</v>
      </c>
      <c r="M387" s="38" t="s">
        <v>7047</v>
      </c>
      <c r="N387" s="30">
        <v>45839.0</v>
      </c>
      <c r="O387" s="30">
        <v>45930.0</v>
      </c>
      <c r="P387" s="39">
        <v>54.0</v>
      </c>
      <c r="Q387" s="39">
        <v>65.17</v>
      </c>
      <c r="R387" s="38" t="s">
        <v>7047</v>
      </c>
      <c r="S387" s="30">
        <v>45931.0</v>
      </c>
      <c r="T387" s="30">
        <v>46022.0</v>
      </c>
      <c r="U387" s="39">
        <v>54.0</v>
      </c>
      <c r="V387" s="39">
        <v>65.17</v>
      </c>
      <c r="W387" s="38" t="s">
        <v>7047</v>
      </c>
      <c r="X387" s="30">
        <v>46023.0</v>
      </c>
      <c r="Y387" s="30">
        <v>46112.0</v>
      </c>
      <c r="Z387" s="39">
        <v>293.03</v>
      </c>
      <c r="AA387" s="39">
        <v>0.0</v>
      </c>
      <c r="AB387" s="38" t="s">
        <v>7047</v>
      </c>
      <c r="AC387" s="30">
        <v>46113.0</v>
      </c>
      <c r="AD387" s="30">
        <v>46203.0</v>
      </c>
      <c r="AE387" s="39">
        <v>0.0</v>
      </c>
      <c r="AF387" s="39">
        <v>0.0</v>
      </c>
      <c r="AG387" s="35" t="s">
        <v>7045</v>
      </c>
      <c r="AH387" s="30">
        <v>46204.0</v>
      </c>
      <c r="AI387" s="30">
        <v>46295.0</v>
      </c>
      <c r="AJ387" s="39">
        <v>0.0</v>
      </c>
      <c r="AK387" s="39">
        <v>0.0</v>
      </c>
      <c r="AL387" s="35" t="s">
        <v>7045</v>
      </c>
      <c r="AM387" s="30">
        <v>46296.0</v>
      </c>
      <c r="AN387" s="30">
        <v>46387.0</v>
      </c>
      <c r="AO387" s="39">
        <v>12.5</v>
      </c>
      <c r="AP387" s="39">
        <v>0.0</v>
      </c>
      <c r="AQ387" s="35" t="s">
        <v>7047</v>
      </c>
      <c r="AR387" s="30">
        <v>46388.0</v>
      </c>
      <c r="AS387" s="30">
        <v>46477.0</v>
      </c>
      <c r="AT387" s="39">
        <v>0.0</v>
      </c>
      <c r="AU387" s="39">
        <v>0.0</v>
      </c>
      <c r="AV387" s="35" t="s">
        <v>7045</v>
      </c>
      <c r="AW387" s="30">
        <v>46478.0</v>
      </c>
      <c r="AX387" s="30">
        <v>46568.0</v>
      </c>
      <c r="AY387" s="39">
        <v>0.0</v>
      </c>
      <c r="AZ387" s="39">
        <v>0.0</v>
      </c>
      <c r="BA387" s="35" t="s">
        <v>7045</v>
      </c>
      <c r="BB387" s="30">
        <v>46569.0</v>
      </c>
      <c r="BC387" s="30">
        <v>46660.0</v>
      </c>
      <c r="BD387" s="39">
        <v>0.0</v>
      </c>
      <c r="BE387" s="39">
        <v>0.0</v>
      </c>
      <c r="BF387" s="35" t="s">
        <v>7045</v>
      </c>
      <c r="BG387" s="30">
        <v>46661.0</v>
      </c>
      <c r="BH387" s="30">
        <v>46752.0</v>
      </c>
      <c r="BI387" s="39">
        <v>0.0</v>
      </c>
      <c r="BJ387" s="39">
        <v>0.0</v>
      </c>
      <c r="BK387" s="35" t="s">
        <v>7045</v>
      </c>
      <c r="BL387" s="30">
        <v>46753.0</v>
      </c>
      <c r="BM387" s="30">
        <v>46843.0</v>
      </c>
      <c r="BN387" s="39">
        <v>0.0</v>
      </c>
      <c r="BO387" s="39">
        <v>0.0</v>
      </c>
      <c r="BP387" s="35" t="s">
        <v>7045</v>
      </c>
      <c r="BQ387" s="30">
        <v>46844.0</v>
      </c>
      <c r="BR387" s="30">
        <v>46934.0</v>
      </c>
      <c r="BS387" s="39">
        <v>0.0</v>
      </c>
      <c r="BT387" s="39">
        <v>0.0</v>
      </c>
      <c r="BU387" s="35" t="s">
        <v>7045</v>
      </c>
      <c r="BV387" s="30">
        <v>46935.0</v>
      </c>
      <c r="BW387" s="30">
        <v>47026.0</v>
      </c>
      <c r="BX387" s="39">
        <v>0.0</v>
      </c>
      <c r="BY387" s="39">
        <v>0.0</v>
      </c>
      <c r="BZ387" s="35" t="s">
        <v>7045</v>
      </c>
      <c r="CA387" s="30">
        <v>47027.0</v>
      </c>
      <c r="CB387" s="30">
        <v>47118.0</v>
      </c>
      <c r="CC387" s="39">
        <v>0.0</v>
      </c>
      <c r="CD387" s="39">
        <v>0.0</v>
      </c>
      <c r="CE387" s="35" t="s">
        <v>7045</v>
      </c>
      <c r="CF387" s="30">
        <v>47119.0</v>
      </c>
      <c r="CG387" s="30">
        <v>47208.0</v>
      </c>
      <c r="CH387" s="39">
        <v>0.0</v>
      </c>
      <c r="CI387" s="39">
        <v>0.0</v>
      </c>
      <c r="CJ387" s="35" t="s">
        <v>7045</v>
      </c>
      <c r="CK387" s="30">
        <v>47209.0</v>
      </c>
      <c r="CL387" s="30">
        <v>47299.0</v>
      </c>
      <c r="CM387" s="39">
        <v>0.0</v>
      </c>
      <c r="CN387" s="39">
        <v>0.0</v>
      </c>
      <c r="CO387" s="35" t="s">
        <v>7045</v>
      </c>
      <c r="CP387" s="30">
        <v>47300.0</v>
      </c>
      <c r="CQ387" s="30">
        <v>47391.0</v>
      </c>
      <c r="CR387" s="39">
        <v>0.0</v>
      </c>
      <c r="CS387" s="39">
        <v>0.0</v>
      </c>
      <c r="CT387" s="35" t="s">
        <v>7045</v>
      </c>
      <c r="CU387" s="30">
        <v>47392.0</v>
      </c>
      <c r="CV387" s="30">
        <v>47483.0</v>
      </c>
      <c r="CW387" s="39">
        <v>0.0</v>
      </c>
      <c r="CX387" s="39">
        <v>0.0</v>
      </c>
      <c r="CY387" s="35" t="s">
        <v>7045</v>
      </c>
      <c r="CZ387" s="30">
        <v>47484.0</v>
      </c>
      <c r="DA387" s="30">
        <v>47573.0</v>
      </c>
      <c r="DB387" s="39">
        <v>0.0</v>
      </c>
      <c r="DC387" s="39">
        <v>0.0</v>
      </c>
      <c r="DD387" s="35" t="s">
        <v>7045</v>
      </c>
      <c r="DE387" s="30">
        <v>47574.0</v>
      </c>
      <c r="DF387" s="30">
        <v>47664.0</v>
      </c>
      <c r="DG387" s="39">
        <v>0.0</v>
      </c>
      <c r="DH387" s="39">
        <v>0.0</v>
      </c>
      <c r="DI387" s="35" t="s">
        <v>7045</v>
      </c>
      <c r="DJ387" s="30">
        <v>47665.0</v>
      </c>
      <c r="DK387" s="30">
        <v>47756.0</v>
      </c>
      <c r="DL387" s="39">
        <v>0.0</v>
      </c>
      <c r="DM387" s="39">
        <v>0.0</v>
      </c>
      <c r="DN387" s="35" t="s">
        <v>7045</v>
      </c>
      <c r="DO387" s="30">
        <v>47757.0</v>
      </c>
      <c r="DP387" s="30">
        <v>47848.0</v>
      </c>
      <c r="DQ387" s="39">
        <v>0.0</v>
      </c>
      <c r="DR387" s="39">
        <v>0.0</v>
      </c>
      <c r="DS387" s="35" t="s">
        <v>7045</v>
      </c>
    </row>
    <row r="388" ht="14.25" customHeight="1">
      <c r="A388" s="28" t="s">
        <v>2045</v>
      </c>
      <c r="B388" s="29" t="s">
        <v>2046</v>
      </c>
      <c r="C388" s="29" t="s">
        <v>7041</v>
      </c>
      <c r="D388" s="30">
        <v>45658.0</v>
      </c>
      <c r="E388" s="30">
        <v>45747.0</v>
      </c>
      <c r="F388" s="39">
        <v>0.0</v>
      </c>
      <c r="G388" s="39">
        <v>0.0</v>
      </c>
      <c r="H388" s="35" t="s">
        <v>7045</v>
      </c>
      <c r="I388" s="30">
        <v>45748.0</v>
      </c>
      <c r="J388" s="30">
        <v>45838.0</v>
      </c>
      <c r="K388" s="39">
        <v>0.0</v>
      </c>
      <c r="L388" s="39">
        <v>0.0</v>
      </c>
      <c r="M388" s="35" t="s">
        <v>7045</v>
      </c>
      <c r="N388" s="30">
        <v>45839.0</v>
      </c>
      <c r="O388" s="30">
        <v>45930.0</v>
      </c>
      <c r="P388" s="39">
        <v>0.0</v>
      </c>
      <c r="Q388" s="39">
        <v>0.0</v>
      </c>
      <c r="R388" s="35" t="s">
        <v>7045</v>
      </c>
      <c r="S388" s="30">
        <v>45931.0</v>
      </c>
      <c r="T388" s="30">
        <v>46022.0</v>
      </c>
      <c r="U388" s="39">
        <v>0.0</v>
      </c>
      <c r="V388" s="39">
        <v>0.0</v>
      </c>
      <c r="W388" s="35" t="s">
        <v>7045</v>
      </c>
      <c r="X388" s="30">
        <v>46023.0</v>
      </c>
      <c r="Y388" s="30">
        <v>46112.0</v>
      </c>
      <c r="Z388" s="39">
        <v>0.0</v>
      </c>
      <c r="AA388" s="39">
        <v>0.0</v>
      </c>
      <c r="AB388" s="35" t="s">
        <v>7045</v>
      </c>
      <c r="AC388" s="30">
        <v>46113.0</v>
      </c>
      <c r="AD388" s="30">
        <v>46203.0</v>
      </c>
      <c r="AE388" s="39">
        <v>0.0</v>
      </c>
      <c r="AF388" s="39">
        <v>0.0</v>
      </c>
      <c r="AG388" s="35" t="s">
        <v>7045</v>
      </c>
      <c r="AH388" s="30">
        <v>46204.0</v>
      </c>
      <c r="AI388" s="30">
        <v>46295.0</v>
      </c>
      <c r="AJ388" s="39">
        <v>0.0</v>
      </c>
      <c r="AK388" s="39">
        <v>0.0</v>
      </c>
      <c r="AL388" s="35" t="s">
        <v>7045</v>
      </c>
      <c r="AM388" s="30">
        <v>46296.0</v>
      </c>
      <c r="AN388" s="30">
        <v>46387.0</v>
      </c>
      <c r="AO388" s="39">
        <v>0.0</v>
      </c>
      <c r="AP388" s="39">
        <v>0.0</v>
      </c>
      <c r="AQ388" s="35" t="s">
        <v>7045</v>
      </c>
      <c r="AR388" s="30">
        <v>46388.0</v>
      </c>
      <c r="AS388" s="30">
        <v>46477.0</v>
      </c>
      <c r="AT388" s="39">
        <v>0.0</v>
      </c>
      <c r="AU388" s="39">
        <v>0.0</v>
      </c>
      <c r="AV388" s="35" t="s">
        <v>7045</v>
      </c>
      <c r="AW388" s="30">
        <v>46478.0</v>
      </c>
      <c r="AX388" s="30">
        <v>46568.0</v>
      </c>
      <c r="AY388" s="39">
        <v>0.0</v>
      </c>
      <c r="AZ388" s="39">
        <v>0.0</v>
      </c>
      <c r="BA388" s="35" t="s">
        <v>7045</v>
      </c>
      <c r="BB388" s="30">
        <v>46569.0</v>
      </c>
      <c r="BC388" s="30">
        <v>46660.0</v>
      </c>
      <c r="BD388" s="39">
        <v>0.0</v>
      </c>
      <c r="BE388" s="39">
        <v>0.0</v>
      </c>
      <c r="BF388" s="35" t="s">
        <v>7045</v>
      </c>
      <c r="BG388" s="30">
        <v>46661.0</v>
      </c>
      <c r="BH388" s="30">
        <v>46752.0</v>
      </c>
      <c r="BI388" s="39">
        <v>0.0</v>
      </c>
      <c r="BJ388" s="39">
        <v>0.0</v>
      </c>
      <c r="BK388" s="35" t="s">
        <v>7045</v>
      </c>
      <c r="BL388" s="30">
        <v>46753.0</v>
      </c>
      <c r="BM388" s="30">
        <v>46843.0</v>
      </c>
      <c r="BN388" s="39">
        <v>0.0</v>
      </c>
      <c r="BO388" s="39">
        <v>0.0</v>
      </c>
      <c r="BP388" s="35" t="s">
        <v>7045</v>
      </c>
      <c r="BQ388" s="30">
        <v>46844.0</v>
      </c>
      <c r="BR388" s="30">
        <v>46934.0</v>
      </c>
      <c r="BS388" s="39">
        <v>0.0</v>
      </c>
      <c r="BT388" s="39">
        <v>0.0</v>
      </c>
      <c r="BU388" s="35" t="s">
        <v>7045</v>
      </c>
      <c r="BV388" s="30">
        <v>46935.0</v>
      </c>
      <c r="BW388" s="30">
        <v>47026.0</v>
      </c>
      <c r="BX388" s="39">
        <v>0.0</v>
      </c>
      <c r="BY388" s="39">
        <v>0.0</v>
      </c>
      <c r="BZ388" s="35" t="s">
        <v>7045</v>
      </c>
      <c r="CA388" s="30">
        <v>47027.0</v>
      </c>
      <c r="CB388" s="30">
        <v>47118.0</v>
      </c>
      <c r="CC388" s="39">
        <v>0.0</v>
      </c>
      <c r="CD388" s="39">
        <v>0.0</v>
      </c>
      <c r="CE388" s="35" t="s">
        <v>7045</v>
      </c>
      <c r="CF388" s="30">
        <v>47119.0</v>
      </c>
      <c r="CG388" s="30">
        <v>47208.0</v>
      </c>
      <c r="CH388" s="39">
        <v>0.0</v>
      </c>
      <c r="CI388" s="39">
        <v>0.0</v>
      </c>
      <c r="CJ388" s="35" t="s">
        <v>7045</v>
      </c>
      <c r="CK388" s="30">
        <v>47209.0</v>
      </c>
      <c r="CL388" s="30">
        <v>47299.0</v>
      </c>
      <c r="CM388" s="39">
        <v>0.0</v>
      </c>
      <c r="CN388" s="39">
        <v>0.0</v>
      </c>
      <c r="CO388" s="35" t="s">
        <v>7045</v>
      </c>
      <c r="CP388" s="30">
        <v>47300.0</v>
      </c>
      <c r="CQ388" s="30">
        <v>47391.0</v>
      </c>
      <c r="CR388" s="39">
        <v>0.0</v>
      </c>
      <c r="CS388" s="39">
        <v>0.0</v>
      </c>
      <c r="CT388" s="35" t="s">
        <v>7045</v>
      </c>
      <c r="CU388" s="30">
        <v>47392.0</v>
      </c>
      <c r="CV388" s="30">
        <v>47483.0</v>
      </c>
      <c r="CW388" s="39">
        <v>0.0</v>
      </c>
      <c r="CX388" s="39">
        <v>0.0</v>
      </c>
      <c r="CY388" s="35" t="s">
        <v>7045</v>
      </c>
      <c r="CZ388" s="30">
        <v>47484.0</v>
      </c>
      <c r="DA388" s="30">
        <v>47573.0</v>
      </c>
      <c r="DB388" s="39">
        <v>0.0</v>
      </c>
      <c r="DC388" s="39">
        <v>0.0</v>
      </c>
      <c r="DD388" s="35" t="s">
        <v>7045</v>
      </c>
      <c r="DE388" s="30">
        <v>47574.0</v>
      </c>
      <c r="DF388" s="30">
        <v>47664.0</v>
      </c>
      <c r="DG388" s="39">
        <v>0.0</v>
      </c>
      <c r="DH388" s="39">
        <v>0.0</v>
      </c>
      <c r="DI388" s="35" t="s">
        <v>7045</v>
      </c>
      <c r="DJ388" s="30">
        <v>47665.0</v>
      </c>
      <c r="DK388" s="30">
        <v>47756.0</v>
      </c>
      <c r="DL388" s="39">
        <v>0.0</v>
      </c>
      <c r="DM388" s="39">
        <v>0.0</v>
      </c>
      <c r="DN388" s="35" t="s">
        <v>7045</v>
      </c>
      <c r="DO388" s="30">
        <v>47757.0</v>
      </c>
      <c r="DP388" s="30">
        <v>47848.0</v>
      </c>
      <c r="DQ388" s="39">
        <v>0.0</v>
      </c>
      <c r="DR388" s="39">
        <v>0.0</v>
      </c>
      <c r="DS388" s="35" t="s">
        <v>7045</v>
      </c>
    </row>
    <row r="389" ht="14.25" customHeight="1">
      <c r="A389" s="28" t="s">
        <v>4934</v>
      </c>
      <c r="B389" s="29" t="s">
        <v>4935</v>
      </c>
      <c r="C389" s="29" t="s">
        <v>7041</v>
      </c>
      <c r="D389" s="30">
        <v>45658.0</v>
      </c>
      <c r="E389" s="30">
        <v>45747.0</v>
      </c>
      <c r="F389" s="36">
        <v>9.06</v>
      </c>
      <c r="G389" s="36">
        <v>0.0</v>
      </c>
      <c r="H389" s="38" t="s">
        <v>7047</v>
      </c>
      <c r="I389" s="30">
        <v>45748.0</v>
      </c>
      <c r="J389" s="30">
        <v>45838.0</v>
      </c>
      <c r="K389" s="36">
        <v>50.0</v>
      </c>
      <c r="L389" s="36">
        <v>1036.64</v>
      </c>
      <c r="M389" s="37" t="s">
        <v>7043</v>
      </c>
      <c r="N389" s="30">
        <v>45839.0</v>
      </c>
      <c r="O389" s="30">
        <v>45930.0</v>
      </c>
      <c r="P389" s="36">
        <v>2.36</v>
      </c>
      <c r="Q389" s="36">
        <v>966.65</v>
      </c>
      <c r="R389" s="38" t="s">
        <v>7043</v>
      </c>
      <c r="S389" s="30">
        <v>45931.0</v>
      </c>
      <c r="T389" s="30">
        <v>46022.0</v>
      </c>
      <c r="U389" s="36">
        <v>602.23</v>
      </c>
      <c r="V389" s="36">
        <v>1229.99</v>
      </c>
      <c r="W389" s="38" t="s">
        <v>7047</v>
      </c>
      <c r="X389" s="30">
        <v>46023.0</v>
      </c>
      <c r="Y389" s="30">
        <v>46112.0</v>
      </c>
      <c r="Z389" s="36">
        <v>5.59</v>
      </c>
      <c r="AA389" s="36">
        <v>0.0</v>
      </c>
      <c r="AB389" s="38" t="s">
        <v>7047</v>
      </c>
      <c r="AC389" s="30">
        <v>46113.0</v>
      </c>
      <c r="AD389" s="30">
        <v>46203.0</v>
      </c>
      <c r="AE389" s="36">
        <v>0.0</v>
      </c>
      <c r="AF389" s="36">
        <v>0.0</v>
      </c>
      <c r="AG389" s="35" t="s">
        <v>7045</v>
      </c>
      <c r="AH389" s="30">
        <v>46204.0</v>
      </c>
      <c r="AI389" s="30">
        <v>46295.0</v>
      </c>
      <c r="AJ389" s="36">
        <v>0.0</v>
      </c>
      <c r="AK389" s="36">
        <v>0.0</v>
      </c>
      <c r="AL389" s="35" t="s">
        <v>7045</v>
      </c>
      <c r="AM389" s="30">
        <v>46296.0</v>
      </c>
      <c r="AN389" s="30">
        <v>46387.0</v>
      </c>
      <c r="AO389" s="36">
        <v>0.0</v>
      </c>
      <c r="AP389" s="36">
        <v>0.0</v>
      </c>
      <c r="AQ389" s="35" t="s">
        <v>7045</v>
      </c>
      <c r="AR389" s="30">
        <v>46388.0</v>
      </c>
      <c r="AS389" s="30">
        <v>46477.0</v>
      </c>
      <c r="AT389" s="36">
        <v>0.0</v>
      </c>
      <c r="AU389" s="36">
        <v>0.0</v>
      </c>
      <c r="AV389" s="35" t="s">
        <v>7045</v>
      </c>
      <c r="AW389" s="30">
        <v>46478.0</v>
      </c>
      <c r="AX389" s="30">
        <v>46568.0</v>
      </c>
      <c r="AY389" s="36">
        <v>0.0</v>
      </c>
      <c r="AZ389" s="36">
        <v>0.0</v>
      </c>
      <c r="BA389" s="35" t="s">
        <v>7045</v>
      </c>
      <c r="BB389" s="30">
        <v>46569.0</v>
      </c>
      <c r="BC389" s="30">
        <v>46660.0</v>
      </c>
      <c r="BD389" s="36">
        <v>0.0</v>
      </c>
      <c r="BE389" s="36">
        <v>0.0</v>
      </c>
      <c r="BF389" s="35" t="s">
        <v>7045</v>
      </c>
      <c r="BG389" s="30">
        <v>46661.0</v>
      </c>
      <c r="BH389" s="30">
        <v>46752.0</v>
      </c>
      <c r="BI389" s="36">
        <v>0.0</v>
      </c>
      <c r="BJ389" s="36">
        <v>0.0</v>
      </c>
      <c r="BK389" s="35" t="s">
        <v>7045</v>
      </c>
      <c r="BL389" s="30">
        <v>46753.0</v>
      </c>
      <c r="BM389" s="30">
        <v>46843.0</v>
      </c>
      <c r="BN389" s="36">
        <v>0.0</v>
      </c>
      <c r="BO389" s="36">
        <v>0.0</v>
      </c>
      <c r="BP389" s="35" t="s">
        <v>7045</v>
      </c>
      <c r="BQ389" s="30">
        <v>46844.0</v>
      </c>
      <c r="BR389" s="30">
        <v>46934.0</v>
      </c>
      <c r="BS389" s="36">
        <v>0.0</v>
      </c>
      <c r="BT389" s="36">
        <v>0.0</v>
      </c>
      <c r="BU389" s="35" t="s">
        <v>7045</v>
      </c>
      <c r="BV389" s="30">
        <v>46935.0</v>
      </c>
      <c r="BW389" s="30">
        <v>47026.0</v>
      </c>
      <c r="BX389" s="36">
        <v>0.0</v>
      </c>
      <c r="BY389" s="36">
        <v>0.0</v>
      </c>
      <c r="BZ389" s="35" t="s">
        <v>7045</v>
      </c>
      <c r="CA389" s="30">
        <v>47027.0</v>
      </c>
      <c r="CB389" s="30">
        <v>47118.0</v>
      </c>
      <c r="CC389" s="36">
        <v>0.0</v>
      </c>
      <c r="CD389" s="36">
        <v>0.0</v>
      </c>
      <c r="CE389" s="35" t="s">
        <v>7045</v>
      </c>
      <c r="CF389" s="30">
        <v>47119.0</v>
      </c>
      <c r="CG389" s="30">
        <v>47208.0</v>
      </c>
      <c r="CH389" s="36">
        <v>0.0</v>
      </c>
      <c r="CI389" s="36">
        <v>0.0</v>
      </c>
      <c r="CJ389" s="35" t="s">
        <v>7045</v>
      </c>
      <c r="CK389" s="30">
        <v>47209.0</v>
      </c>
      <c r="CL389" s="30">
        <v>47299.0</v>
      </c>
      <c r="CM389" s="36">
        <v>0.0</v>
      </c>
      <c r="CN389" s="36">
        <v>0.0</v>
      </c>
      <c r="CO389" s="35" t="s">
        <v>7045</v>
      </c>
      <c r="CP389" s="30">
        <v>47300.0</v>
      </c>
      <c r="CQ389" s="30">
        <v>47391.0</v>
      </c>
      <c r="CR389" s="36">
        <v>0.0</v>
      </c>
      <c r="CS389" s="36">
        <v>0.0</v>
      </c>
      <c r="CT389" s="35" t="s">
        <v>7045</v>
      </c>
      <c r="CU389" s="30">
        <v>47392.0</v>
      </c>
      <c r="CV389" s="30">
        <v>47483.0</v>
      </c>
      <c r="CW389" s="36">
        <v>0.0</v>
      </c>
      <c r="CX389" s="36">
        <v>0.0</v>
      </c>
      <c r="CY389" s="35" t="s">
        <v>7045</v>
      </c>
      <c r="CZ389" s="30">
        <v>47484.0</v>
      </c>
      <c r="DA389" s="30">
        <v>47573.0</v>
      </c>
      <c r="DB389" s="36">
        <v>0.0</v>
      </c>
      <c r="DC389" s="36">
        <v>0.0</v>
      </c>
      <c r="DD389" s="35" t="s">
        <v>7045</v>
      </c>
      <c r="DE389" s="30">
        <v>47574.0</v>
      </c>
      <c r="DF389" s="30">
        <v>47664.0</v>
      </c>
      <c r="DG389" s="36">
        <v>0.0</v>
      </c>
      <c r="DH389" s="36">
        <v>0.0</v>
      </c>
      <c r="DI389" s="35" t="s">
        <v>7045</v>
      </c>
      <c r="DJ389" s="30">
        <v>47665.0</v>
      </c>
      <c r="DK389" s="30">
        <v>47756.0</v>
      </c>
      <c r="DL389" s="36">
        <v>0.0</v>
      </c>
      <c r="DM389" s="36">
        <v>0.0</v>
      </c>
      <c r="DN389" s="35" t="s">
        <v>7045</v>
      </c>
      <c r="DO389" s="30">
        <v>47757.0</v>
      </c>
      <c r="DP389" s="30">
        <v>47848.0</v>
      </c>
      <c r="DQ389" s="36">
        <v>0.0</v>
      </c>
      <c r="DR389" s="36">
        <v>0.0</v>
      </c>
      <c r="DS389" s="35" t="s">
        <v>7045</v>
      </c>
    </row>
    <row r="390" ht="14.25" customHeight="1">
      <c r="A390" s="28" t="s">
        <v>1386</v>
      </c>
      <c r="B390" s="29" t="s">
        <v>1387</v>
      </c>
      <c r="C390" s="29" t="s">
        <v>7041</v>
      </c>
      <c r="D390" s="30">
        <v>45658.0</v>
      </c>
      <c r="E390" s="30">
        <v>45747.0</v>
      </c>
      <c r="F390" s="39">
        <v>0.0</v>
      </c>
      <c r="G390" s="39">
        <v>0.0</v>
      </c>
      <c r="H390" s="35" t="s">
        <v>7045</v>
      </c>
      <c r="I390" s="30">
        <v>45748.0</v>
      </c>
      <c r="J390" s="30">
        <v>45838.0</v>
      </c>
      <c r="K390" s="39">
        <v>220.0</v>
      </c>
      <c r="L390" s="39">
        <v>0.0</v>
      </c>
      <c r="M390" s="38" t="s">
        <v>7047</v>
      </c>
      <c r="N390" s="30">
        <v>45839.0</v>
      </c>
      <c r="O390" s="30">
        <v>45930.0</v>
      </c>
      <c r="P390" s="39">
        <v>11.0</v>
      </c>
      <c r="Q390" s="39">
        <v>0.0</v>
      </c>
      <c r="R390" s="38" t="s">
        <v>7047</v>
      </c>
      <c r="S390" s="30">
        <v>45931.0</v>
      </c>
      <c r="T390" s="30">
        <v>46022.0</v>
      </c>
      <c r="U390" s="39">
        <v>1350.8</v>
      </c>
      <c r="V390" s="39">
        <v>0.0</v>
      </c>
      <c r="W390" s="38" t="s">
        <v>7047</v>
      </c>
      <c r="X390" s="30">
        <v>46023.0</v>
      </c>
      <c r="Y390" s="30">
        <v>46112.0</v>
      </c>
      <c r="Z390" s="39">
        <v>0.0</v>
      </c>
      <c r="AA390" s="39">
        <v>0.0</v>
      </c>
      <c r="AB390" s="35" t="s">
        <v>7045</v>
      </c>
      <c r="AC390" s="30">
        <v>46113.0</v>
      </c>
      <c r="AD390" s="30">
        <v>46203.0</v>
      </c>
      <c r="AE390" s="39">
        <v>0.0</v>
      </c>
      <c r="AF390" s="39">
        <v>0.0</v>
      </c>
      <c r="AG390" s="35" t="s">
        <v>7045</v>
      </c>
      <c r="AH390" s="30">
        <v>46204.0</v>
      </c>
      <c r="AI390" s="30">
        <v>46295.0</v>
      </c>
      <c r="AJ390" s="39">
        <v>0.0</v>
      </c>
      <c r="AK390" s="39">
        <v>0.0</v>
      </c>
      <c r="AL390" s="35" t="s">
        <v>7045</v>
      </c>
      <c r="AM390" s="30">
        <v>46296.0</v>
      </c>
      <c r="AN390" s="30">
        <v>46387.0</v>
      </c>
      <c r="AO390" s="39">
        <v>0.0</v>
      </c>
      <c r="AP390" s="39">
        <v>0.0</v>
      </c>
      <c r="AQ390" s="35" t="s">
        <v>7045</v>
      </c>
      <c r="AR390" s="30">
        <v>46388.0</v>
      </c>
      <c r="AS390" s="30">
        <v>46477.0</v>
      </c>
      <c r="AT390" s="39">
        <v>0.0</v>
      </c>
      <c r="AU390" s="39">
        <v>0.0</v>
      </c>
      <c r="AV390" s="35" t="s">
        <v>7045</v>
      </c>
      <c r="AW390" s="30">
        <v>46478.0</v>
      </c>
      <c r="AX390" s="30">
        <v>46568.0</v>
      </c>
      <c r="AY390" s="39">
        <v>0.0</v>
      </c>
      <c r="AZ390" s="39">
        <v>0.0</v>
      </c>
      <c r="BA390" s="35" t="s">
        <v>7045</v>
      </c>
      <c r="BB390" s="30">
        <v>46569.0</v>
      </c>
      <c r="BC390" s="30">
        <v>46660.0</v>
      </c>
      <c r="BD390" s="39">
        <v>0.0</v>
      </c>
      <c r="BE390" s="39">
        <v>0.0</v>
      </c>
      <c r="BF390" s="35" t="s">
        <v>7045</v>
      </c>
      <c r="BG390" s="30">
        <v>46661.0</v>
      </c>
      <c r="BH390" s="30">
        <v>46752.0</v>
      </c>
      <c r="BI390" s="39">
        <v>0.0</v>
      </c>
      <c r="BJ390" s="39">
        <v>0.0</v>
      </c>
      <c r="BK390" s="35" t="s">
        <v>7045</v>
      </c>
      <c r="BL390" s="30">
        <v>46753.0</v>
      </c>
      <c r="BM390" s="30">
        <v>46843.0</v>
      </c>
      <c r="BN390" s="39">
        <v>0.0</v>
      </c>
      <c r="BO390" s="39">
        <v>0.0</v>
      </c>
      <c r="BP390" s="35" t="s">
        <v>7045</v>
      </c>
      <c r="BQ390" s="30">
        <v>46844.0</v>
      </c>
      <c r="BR390" s="30">
        <v>46934.0</v>
      </c>
      <c r="BS390" s="39">
        <v>0.0</v>
      </c>
      <c r="BT390" s="39">
        <v>0.0</v>
      </c>
      <c r="BU390" s="35" t="s">
        <v>7045</v>
      </c>
      <c r="BV390" s="30">
        <v>46935.0</v>
      </c>
      <c r="BW390" s="30">
        <v>47026.0</v>
      </c>
      <c r="BX390" s="39">
        <v>0.0</v>
      </c>
      <c r="BY390" s="39">
        <v>0.0</v>
      </c>
      <c r="BZ390" s="35" t="s">
        <v>7045</v>
      </c>
      <c r="CA390" s="30">
        <v>47027.0</v>
      </c>
      <c r="CB390" s="30">
        <v>47118.0</v>
      </c>
      <c r="CC390" s="39">
        <v>0.0</v>
      </c>
      <c r="CD390" s="39">
        <v>0.0</v>
      </c>
      <c r="CE390" s="35" t="s">
        <v>7045</v>
      </c>
      <c r="CF390" s="30">
        <v>47119.0</v>
      </c>
      <c r="CG390" s="30">
        <v>47208.0</v>
      </c>
      <c r="CH390" s="39">
        <v>0.0</v>
      </c>
      <c r="CI390" s="39">
        <v>0.0</v>
      </c>
      <c r="CJ390" s="35" t="s">
        <v>7045</v>
      </c>
      <c r="CK390" s="30">
        <v>47209.0</v>
      </c>
      <c r="CL390" s="30">
        <v>47299.0</v>
      </c>
      <c r="CM390" s="39">
        <v>0.0</v>
      </c>
      <c r="CN390" s="39">
        <v>0.0</v>
      </c>
      <c r="CO390" s="35" t="s">
        <v>7045</v>
      </c>
      <c r="CP390" s="30">
        <v>47300.0</v>
      </c>
      <c r="CQ390" s="30">
        <v>47391.0</v>
      </c>
      <c r="CR390" s="39">
        <v>0.0</v>
      </c>
      <c r="CS390" s="39">
        <v>0.0</v>
      </c>
      <c r="CT390" s="35" t="s">
        <v>7045</v>
      </c>
      <c r="CU390" s="30">
        <v>47392.0</v>
      </c>
      <c r="CV390" s="30">
        <v>47483.0</v>
      </c>
      <c r="CW390" s="39">
        <v>0.0</v>
      </c>
      <c r="CX390" s="39">
        <v>0.0</v>
      </c>
      <c r="CY390" s="35" t="s">
        <v>7045</v>
      </c>
      <c r="CZ390" s="30">
        <v>47484.0</v>
      </c>
      <c r="DA390" s="30">
        <v>47573.0</v>
      </c>
      <c r="DB390" s="39">
        <v>0.0</v>
      </c>
      <c r="DC390" s="39">
        <v>0.0</v>
      </c>
      <c r="DD390" s="35" t="s">
        <v>7045</v>
      </c>
      <c r="DE390" s="30">
        <v>47574.0</v>
      </c>
      <c r="DF390" s="30">
        <v>47664.0</v>
      </c>
      <c r="DG390" s="39">
        <v>0.0</v>
      </c>
      <c r="DH390" s="39">
        <v>0.0</v>
      </c>
      <c r="DI390" s="35" t="s">
        <v>7045</v>
      </c>
      <c r="DJ390" s="30">
        <v>47665.0</v>
      </c>
      <c r="DK390" s="30">
        <v>47756.0</v>
      </c>
      <c r="DL390" s="39">
        <v>0.0</v>
      </c>
      <c r="DM390" s="39">
        <v>0.0</v>
      </c>
      <c r="DN390" s="35" t="s">
        <v>7045</v>
      </c>
      <c r="DO390" s="30">
        <v>47757.0</v>
      </c>
      <c r="DP390" s="30">
        <v>47848.0</v>
      </c>
      <c r="DQ390" s="39">
        <v>0.0</v>
      </c>
      <c r="DR390" s="39">
        <v>0.0</v>
      </c>
      <c r="DS390" s="35" t="s">
        <v>7045</v>
      </c>
    </row>
    <row r="391" ht="14.25" customHeight="1">
      <c r="A391" s="28" t="s">
        <v>2276</v>
      </c>
      <c r="B391" s="29" t="s">
        <v>2277</v>
      </c>
      <c r="C391" s="29" t="s">
        <v>7041</v>
      </c>
      <c r="D391" s="30">
        <v>45658.0</v>
      </c>
      <c r="E391" s="30">
        <v>45747.0</v>
      </c>
      <c r="F391" s="39">
        <v>0.63</v>
      </c>
      <c r="G391" s="39">
        <v>0.0</v>
      </c>
      <c r="H391" s="38" t="s">
        <v>7047</v>
      </c>
      <c r="I391" s="30">
        <v>45748.0</v>
      </c>
      <c r="J391" s="30">
        <v>45838.0</v>
      </c>
      <c r="K391" s="39">
        <v>1.02</v>
      </c>
      <c r="L391" s="39">
        <v>0.0</v>
      </c>
      <c r="M391" s="38" t="s">
        <v>7047</v>
      </c>
      <c r="N391" s="30">
        <v>45839.0</v>
      </c>
      <c r="O391" s="30">
        <v>45930.0</v>
      </c>
      <c r="P391" s="39">
        <v>1.02</v>
      </c>
      <c r="Q391" s="39">
        <v>0.0</v>
      </c>
      <c r="R391" s="38" t="s">
        <v>7047</v>
      </c>
      <c r="S391" s="30">
        <v>45931.0</v>
      </c>
      <c r="T391" s="30">
        <v>46022.0</v>
      </c>
      <c r="U391" s="39">
        <v>155.93</v>
      </c>
      <c r="V391" s="39">
        <v>0.0</v>
      </c>
      <c r="W391" s="38" t="s">
        <v>7047</v>
      </c>
      <c r="X391" s="30">
        <v>46023.0</v>
      </c>
      <c r="Y391" s="30">
        <v>46112.0</v>
      </c>
      <c r="Z391" s="39">
        <v>30.0</v>
      </c>
      <c r="AA391" s="39">
        <v>0.0</v>
      </c>
      <c r="AB391" s="38" t="s">
        <v>7047</v>
      </c>
      <c r="AC391" s="30">
        <v>46113.0</v>
      </c>
      <c r="AD391" s="30">
        <v>46203.0</v>
      </c>
      <c r="AE391" s="39">
        <v>0.0</v>
      </c>
      <c r="AF391" s="39">
        <v>0.0</v>
      </c>
      <c r="AG391" s="35" t="s">
        <v>7045</v>
      </c>
      <c r="AH391" s="30">
        <v>46204.0</v>
      </c>
      <c r="AI391" s="30">
        <v>46295.0</v>
      </c>
      <c r="AJ391" s="39">
        <v>0.0</v>
      </c>
      <c r="AK391" s="39">
        <v>0.0</v>
      </c>
      <c r="AL391" s="35" t="s">
        <v>7045</v>
      </c>
      <c r="AM391" s="30">
        <v>46296.0</v>
      </c>
      <c r="AN391" s="30">
        <v>46387.0</v>
      </c>
      <c r="AO391" s="39">
        <v>0.0</v>
      </c>
      <c r="AP391" s="39">
        <v>0.0</v>
      </c>
      <c r="AQ391" s="35" t="s">
        <v>7045</v>
      </c>
      <c r="AR391" s="30">
        <v>46388.0</v>
      </c>
      <c r="AS391" s="30">
        <v>46477.0</v>
      </c>
      <c r="AT391" s="39">
        <v>0.0</v>
      </c>
      <c r="AU391" s="39">
        <v>0.0</v>
      </c>
      <c r="AV391" s="35" t="s">
        <v>7045</v>
      </c>
      <c r="AW391" s="30">
        <v>46478.0</v>
      </c>
      <c r="AX391" s="30">
        <v>46568.0</v>
      </c>
      <c r="AY391" s="39">
        <v>0.0</v>
      </c>
      <c r="AZ391" s="39">
        <v>0.0</v>
      </c>
      <c r="BA391" s="35" t="s">
        <v>7045</v>
      </c>
      <c r="BB391" s="30">
        <v>46569.0</v>
      </c>
      <c r="BC391" s="30">
        <v>46660.0</v>
      </c>
      <c r="BD391" s="39">
        <v>0.0</v>
      </c>
      <c r="BE391" s="39">
        <v>0.0</v>
      </c>
      <c r="BF391" s="35" t="s">
        <v>7045</v>
      </c>
      <c r="BG391" s="30">
        <v>46661.0</v>
      </c>
      <c r="BH391" s="30">
        <v>46752.0</v>
      </c>
      <c r="BI391" s="39">
        <v>0.0</v>
      </c>
      <c r="BJ391" s="39">
        <v>0.0</v>
      </c>
      <c r="BK391" s="35" t="s">
        <v>7045</v>
      </c>
      <c r="BL391" s="30">
        <v>46753.0</v>
      </c>
      <c r="BM391" s="30">
        <v>46843.0</v>
      </c>
      <c r="BN391" s="39">
        <v>0.0</v>
      </c>
      <c r="BO391" s="39">
        <v>0.0</v>
      </c>
      <c r="BP391" s="35" t="s">
        <v>7045</v>
      </c>
      <c r="BQ391" s="30">
        <v>46844.0</v>
      </c>
      <c r="BR391" s="30">
        <v>46934.0</v>
      </c>
      <c r="BS391" s="39">
        <v>0.0</v>
      </c>
      <c r="BT391" s="39">
        <v>0.0</v>
      </c>
      <c r="BU391" s="35" t="s">
        <v>7045</v>
      </c>
      <c r="BV391" s="30">
        <v>46935.0</v>
      </c>
      <c r="BW391" s="30">
        <v>47026.0</v>
      </c>
      <c r="BX391" s="39">
        <v>0.0</v>
      </c>
      <c r="BY391" s="39">
        <v>0.0</v>
      </c>
      <c r="BZ391" s="35" t="s">
        <v>7045</v>
      </c>
      <c r="CA391" s="30">
        <v>47027.0</v>
      </c>
      <c r="CB391" s="30">
        <v>47118.0</v>
      </c>
      <c r="CC391" s="39">
        <v>0.0</v>
      </c>
      <c r="CD391" s="39">
        <v>0.0</v>
      </c>
      <c r="CE391" s="35" t="s">
        <v>7045</v>
      </c>
      <c r="CF391" s="30">
        <v>47119.0</v>
      </c>
      <c r="CG391" s="30">
        <v>47208.0</v>
      </c>
      <c r="CH391" s="39">
        <v>0.0</v>
      </c>
      <c r="CI391" s="39">
        <v>0.0</v>
      </c>
      <c r="CJ391" s="35" t="s">
        <v>7045</v>
      </c>
      <c r="CK391" s="30">
        <v>47209.0</v>
      </c>
      <c r="CL391" s="30">
        <v>47299.0</v>
      </c>
      <c r="CM391" s="39">
        <v>0.0</v>
      </c>
      <c r="CN391" s="39">
        <v>0.0</v>
      </c>
      <c r="CO391" s="35" t="s">
        <v>7045</v>
      </c>
      <c r="CP391" s="30">
        <v>47300.0</v>
      </c>
      <c r="CQ391" s="30">
        <v>47391.0</v>
      </c>
      <c r="CR391" s="39">
        <v>0.0</v>
      </c>
      <c r="CS391" s="39">
        <v>0.0</v>
      </c>
      <c r="CT391" s="35" t="s">
        <v>7045</v>
      </c>
      <c r="CU391" s="30">
        <v>47392.0</v>
      </c>
      <c r="CV391" s="30">
        <v>47483.0</v>
      </c>
      <c r="CW391" s="39">
        <v>0.0</v>
      </c>
      <c r="CX391" s="39">
        <v>0.0</v>
      </c>
      <c r="CY391" s="35" t="s">
        <v>7045</v>
      </c>
      <c r="CZ391" s="30">
        <v>47484.0</v>
      </c>
      <c r="DA391" s="30">
        <v>47573.0</v>
      </c>
      <c r="DB391" s="39">
        <v>0.0</v>
      </c>
      <c r="DC391" s="39">
        <v>0.0</v>
      </c>
      <c r="DD391" s="35" t="s">
        <v>7045</v>
      </c>
      <c r="DE391" s="30">
        <v>47574.0</v>
      </c>
      <c r="DF391" s="30">
        <v>47664.0</v>
      </c>
      <c r="DG391" s="39">
        <v>0.0</v>
      </c>
      <c r="DH391" s="39">
        <v>0.0</v>
      </c>
      <c r="DI391" s="35" t="s">
        <v>7045</v>
      </c>
      <c r="DJ391" s="30">
        <v>47665.0</v>
      </c>
      <c r="DK391" s="30">
        <v>47756.0</v>
      </c>
      <c r="DL391" s="39">
        <v>0.0</v>
      </c>
      <c r="DM391" s="39">
        <v>0.0</v>
      </c>
      <c r="DN391" s="35" t="s">
        <v>7045</v>
      </c>
      <c r="DO391" s="30">
        <v>47757.0</v>
      </c>
      <c r="DP391" s="30">
        <v>47848.0</v>
      </c>
      <c r="DQ391" s="39">
        <v>0.0</v>
      </c>
      <c r="DR391" s="39">
        <v>0.0</v>
      </c>
      <c r="DS391" s="35" t="s">
        <v>7045</v>
      </c>
    </row>
    <row r="392" ht="14.25" customHeight="1">
      <c r="A392" s="28" t="s">
        <v>5747</v>
      </c>
      <c r="B392" s="29" t="s">
        <v>5748</v>
      </c>
      <c r="C392" s="29" t="s">
        <v>7041</v>
      </c>
      <c r="D392" s="30">
        <v>45658.0</v>
      </c>
      <c r="E392" s="30">
        <v>45747.0</v>
      </c>
      <c r="F392" s="36">
        <v>289.99</v>
      </c>
      <c r="G392" s="36">
        <v>0.0</v>
      </c>
      <c r="H392" s="38" t="s">
        <v>7047</v>
      </c>
      <c r="I392" s="30">
        <v>45748.0</v>
      </c>
      <c r="J392" s="30">
        <v>45838.0</v>
      </c>
      <c r="K392" s="36">
        <v>120.0</v>
      </c>
      <c r="L392" s="36">
        <v>183.66</v>
      </c>
      <c r="M392" s="32" t="s">
        <v>7047</v>
      </c>
      <c r="N392" s="30">
        <v>45839.0</v>
      </c>
      <c r="O392" s="30">
        <v>45930.0</v>
      </c>
      <c r="P392" s="36">
        <v>429.99</v>
      </c>
      <c r="Q392" s="36">
        <v>336.74</v>
      </c>
      <c r="R392" s="38" t="s">
        <v>7047</v>
      </c>
      <c r="S392" s="30">
        <v>45931.0</v>
      </c>
      <c r="T392" s="30">
        <v>46022.0</v>
      </c>
      <c r="U392" s="36">
        <v>2054.99</v>
      </c>
      <c r="V392" s="36">
        <v>551.01</v>
      </c>
      <c r="W392" s="38" t="s">
        <v>7047</v>
      </c>
      <c r="X392" s="30">
        <v>46023.0</v>
      </c>
      <c r="Y392" s="30">
        <v>46112.0</v>
      </c>
      <c r="Z392" s="36">
        <v>1399.99</v>
      </c>
      <c r="AA392" s="36">
        <v>0.0</v>
      </c>
      <c r="AB392" s="38" t="s">
        <v>7047</v>
      </c>
      <c r="AC392" s="30">
        <v>46113.0</v>
      </c>
      <c r="AD392" s="30">
        <v>46203.0</v>
      </c>
      <c r="AE392" s="36">
        <v>2516.98</v>
      </c>
      <c r="AF392" s="36">
        <v>0.0</v>
      </c>
      <c r="AG392" s="38" t="s">
        <v>7047</v>
      </c>
      <c r="AH392" s="30">
        <v>46204.0</v>
      </c>
      <c r="AI392" s="30">
        <v>46295.0</v>
      </c>
      <c r="AJ392" s="36">
        <v>449.99</v>
      </c>
      <c r="AK392" s="36">
        <v>0.0</v>
      </c>
      <c r="AL392" s="38" t="s">
        <v>7047</v>
      </c>
      <c r="AM392" s="30">
        <v>46296.0</v>
      </c>
      <c r="AN392" s="30">
        <v>46387.0</v>
      </c>
      <c r="AO392" s="36">
        <v>0.0</v>
      </c>
      <c r="AP392" s="36">
        <v>0.0</v>
      </c>
      <c r="AQ392" s="35" t="s">
        <v>7045</v>
      </c>
      <c r="AR392" s="30">
        <v>46388.0</v>
      </c>
      <c r="AS392" s="30">
        <v>46477.0</v>
      </c>
      <c r="AT392" s="36">
        <v>0.0</v>
      </c>
      <c r="AU392" s="36">
        <v>0.0</v>
      </c>
      <c r="AV392" s="35" t="s">
        <v>7045</v>
      </c>
      <c r="AW392" s="30">
        <v>46478.0</v>
      </c>
      <c r="AX392" s="30">
        <v>46568.0</v>
      </c>
      <c r="AY392" s="36">
        <v>0.0</v>
      </c>
      <c r="AZ392" s="36">
        <v>0.0</v>
      </c>
      <c r="BA392" s="35" t="s">
        <v>7045</v>
      </c>
      <c r="BB392" s="30">
        <v>46569.0</v>
      </c>
      <c r="BC392" s="30">
        <v>46660.0</v>
      </c>
      <c r="BD392" s="36">
        <v>0.0</v>
      </c>
      <c r="BE392" s="36">
        <v>0.0</v>
      </c>
      <c r="BF392" s="35" t="s">
        <v>7045</v>
      </c>
      <c r="BG392" s="30">
        <v>46661.0</v>
      </c>
      <c r="BH392" s="30">
        <v>46752.0</v>
      </c>
      <c r="BI392" s="36">
        <v>0.0</v>
      </c>
      <c r="BJ392" s="36">
        <v>0.0</v>
      </c>
      <c r="BK392" s="35" t="s">
        <v>7045</v>
      </c>
      <c r="BL392" s="30">
        <v>46753.0</v>
      </c>
      <c r="BM392" s="30">
        <v>46843.0</v>
      </c>
      <c r="BN392" s="36">
        <v>0.0</v>
      </c>
      <c r="BO392" s="36">
        <v>0.0</v>
      </c>
      <c r="BP392" s="35" t="s">
        <v>7045</v>
      </c>
      <c r="BQ392" s="30">
        <v>46844.0</v>
      </c>
      <c r="BR392" s="30">
        <v>46934.0</v>
      </c>
      <c r="BS392" s="36">
        <v>0.0</v>
      </c>
      <c r="BT392" s="36">
        <v>0.0</v>
      </c>
      <c r="BU392" s="35" t="s">
        <v>7045</v>
      </c>
      <c r="BV392" s="30">
        <v>46935.0</v>
      </c>
      <c r="BW392" s="30">
        <v>47026.0</v>
      </c>
      <c r="BX392" s="36">
        <v>0.0</v>
      </c>
      <c r="BY392" s="36">
        <v>0.0</v>
      </c>
      <c r="BZ392" s="35" t="s">
        <v>7045</v>
      </c>
      <c r="CA392" s="30">
        <v>47027.0</v>
      </c>
      <c r="CB392" s="30">
        <v>47118.0</v>
      </c>
      <c r="CC392" s="36">
        <v>0.0</v>
      </c>
      <c r="CD392" s="36">
        <v>0.0</v>
      </c>
      <c r="CE392" s="35" t="s">
        <v>7045</v>
      </c>
      <c r="CF392" s="30">
        <v>47119.0</v>
      </c>
      <c r="CG392" s="30">
        <v>47208.0</v>
      </c>
      <c r="CH392" s="36">
        <v>0.0</v>
      </c>
      <c r="CI392" s="36">
        <v>0.0</v>
      </c>
      <c r="CJ392" s="35" t="s">
        <v>7045</v>
      </c>
      <c r="CK392" s="30">
        <v>47209.0</v>
      </c>
      <c r="CL392" s="30">
        <v>47299.0</v>
      </c>
      <c r="CM392" s="36">
        <v>0.0</v>
      </c>
      <c r="CN392" s="36">
        <v>0.0</v>
      </c>
      <c r="CO392" s="35" t="s">
        <v>7045</v>
      </c>
      <c r="CP392" s="30">
        <v>47300.0</v>
      </c>
      <c r="CQ392" s="30">
        <v>47391.0</v>
      </c>
      <c r="CR392" s="36">
        <v>0.0</v>
      </c>
      <c r="CS392" s="36">
        <v>0.0</v>
      </c>
      <c r="CT392" s="35" t="s">
        <v>7045</v>
      </c>
      <c r="CU392" s="30">
        <v>47392.0</v>
      </c>
      <c r="CV392" s="30">
        <v>47483.0</v>
      </c>
      <c r="CW392" s="36">
        <v>0.0</v>
      </c>
      <c r="CX392" s="36">
        <v>0.0</v>
      </c>
      <c r="CY392" s="35" t="s">
        <v>7045</v>
      </c>
      <c r="CZ392" s="30">
        <v>47484.0</v>
      </c>
      <c r="DA392" s="30">
        <v>47573.0</v>
      </c>
      <c r="DB392" s="36">
        <v>0.0</v>
      </c>
      <c r="DC392" s="36">
        <v>0.0</v>
      </c>
      <c r="DD392" s="35" t="s">
        <v>7045</v>
      </c>
      <c r="DE392" s="30">
        <v>47574.0</v>
      </c>
      <c r="DF392" s="30">
        <v>47664.0</v>
      </c>
      <c r="DG392" s="36">
        <v>0.0</v>
      </c>
      <c r="DH392" s="36">
        <v>0.0</v>
      </c>
      <c r="DI392" s="35" t="s">
        <v>7045</v>
      </c>
      <c r="DJ392" s="30">
        <v>47665.0</v>
      </c>
      <c r="DK392" s="30">
        <v>47756.0</v>
      </c>
      <c r="DL392" s="36">
        <v>0.0</v>
      </c>
      <c r="DM392" s="36">
        <v>0.0</v>
      </c>
      <c r="DN392" s="35" t="s">
        <v>7045</v>
      </c>
      <c r="DO392" s="30">
        <v>47757.0</v>
      </c>
      <c r="DP392" s="30">
        <v>47848.0</v>
      </c>
      <c r="DQ392" s="36">
        <v>0.0</v>
      </c>
      <c r="DR392" s="36">
        <v>0.0</v>
      </c>
      <c r="DS392" s="35" t="s">
        <v>7045</v>
      </c>
    </row>
    <row r="393" ht="14.25" customHeight="1">
      <c r="A393" s="28" t="s">
        <v>3097</v>
      </c>
      <c r="B393" s="29" t="s">
        <v>3098</v>
      </c>
      <c r="C393" s="29" t="s">
        <v>7041</v>
      </c>
      <c r="D393" s="30">
        <v>45658.0</v>
      </c>
      <c r="E393" s="30">
        <v>45747.0</v>
      </c>
      <c r="F393" s="39">
        <v>1.5</v>
      </c>
      <c r="G393" s="39">
        <v>0.0</v>
      </c>
      <c r="H393" s="38" t="s">
        <v>7047</v>
      </c>
      <c r="I393" s="30">
        <v>45748.0</v>
      </c>
      <c r="J393" s="30">
        <v>45838.0</v>
      </c>
      <c r="K393" s="39">
        <v>3.08</v>
      </c>
      <c r="L393" s="39">
        <v>0.0</v>
      </c>
      <c r="M393" s="38" t="s">
        <v>7047</v>
      </c>
      <c r="N393" s="30">
        <v>45839.0</v>
      </c>
      <c r="O393" s="30">
        <v>45930.0</v>
      </c>
      <c r="P393" s="39">
        <v>57.08</v>
      </c>
      <c r="Q393" s="39">
        <v>0.0</v>
      </c>
      <c r="R393" s="38" t="s">
        <v>7047</v>
      </c>
      <c r="S393" s="30">
        <v>45931.0</v>
      </c>
      <c r="T393" s="30">
        <v>46022.0</v>
      </c>
      <c r="U393" s="39">
        <v>203.35</v>
      </c>
      <c r="V393" s="39">
        <v>0.0</v>
      </c>
      <c r="W393" s="38" t="s">
        <v>7047</v>
      </c>
      <c r="X393" s="30">
        <v>46023.0</v>
      </c>
      <c r="Y393" s="30">
        <v>46112.0</v>
      </c>
      <c r="Z393" s="39">
        <v>0.0</v>
      </c>
      <c r="AA393" s="39">
        <v>0.0</v>
      </c>
      <c r="AB393" s="35" t="s">
        <v>7045</v>
      </c>
      <c r="AC393" s="30">
        <v>46113.0</v>
      </c>
      <c r="AD393" s="30">
        <v>46203.0</v>
      </c>
      <c r="AE393" s="39">
        <v>0.0</v>
      </c>
      <c r="AF393" s="39">
        <v>0.0</v>
      </c>
      <c r="AG393" s="35" t="s">
        <v>7045</v>
      </c>
      <c r="AH393" s="30">
        <v>46204.0</v>
      </c>
      <c r="AI393" s="30">
        <v>46295.0</v>
      </c>
      <c r="AJ393" s="39">
        <v>111.0</v>
      </c>
      <c r="AK393" s="39">
        <v>0.0</v>
      </c>
      <c r="AL393" s="38" t="s">
        <v>7047</v>
      </c>
      <c r="AM393" s="30">
        <v>46296.0</v>
      </c>
      <c r="AN393" s="30">
        <v>46387.0</v>
      </c>
      <c r="AO393" s="39">
        <v>0.0</v>
      </c>
      <c r="AP393" s="39">
        <v>0.0</v>
      </c>
      <c r="AQ393" s="35" t="s">
        <v>7045</v>
      </c>
      <c r="AR393" s="30">
        <v>46388.0</v>
      </c>
      <c r="AS393" s="30">
        <v>46477.0</v>
      </c>
      <c r="AT393" s="39">
        <v>0.0</v>
      </c>
      <c r="AU393" s="39">
        <v>0.0</v>
      </c>
      <c r="AV393" s="35" t="s">
        <v>7045</v>
      </c>
      <c r="AW393" s="30">
        <v>46478.0</v>
      </c>
      <c r="AX393" s="30">
        <v>46568.0</v>
      </c>
      <c r="AY393" s="39">
        <v>0.0</v>
      </c>
      <c r="AZ393" s="39">
        <v>0.0</v>
      </c>
      <c r="BA393" s="35" t="s">
        <v>7045</v>
      </c>
      <c r="BB393" s="30">
        <v>46569.0</v>
      </c>
      <c r="BC393" s="30">
        <v>46660.0</v>
      </c>
      <c r="BD393" s="39">
        <v>0.0</v>
      </c>
      <c r="BE393" s="39">
        <v>0.0</v>
      </c>
      <c r="BF393" s="35" t="s">
        <v>7045</v>
      </c>
      <c r="BG393" s="30">
        <v>46661.0</v>
      </c>
      <c r="BH393" s="30">
        <v>46752.0</v>
      </c>
      <c r="BI393" s="39">
        <v>0.0</v>
      </c>
      <c r="BJ393" s="39">
        <v>0.0</v>
      </c>
      <c r="BK393" s="35" t="s">
        <v>7045</v>
      </c>
      <c r="BL393" s="30">
        <v>46753.0</v>
      </c>
      <c r="BM393" s="30">
        <v>46843.0</v>
      </c>
      <c r="BN393" s="39">
        <v>0.0</v>
      </c>
      <c r="BO393" s="39">
        <v>0.0</v>
      </c>
      <c r="BP393" s="35" t="s">
        <v>7045</v>
      </c>
      <c r="BQ393" s="30">
        <v>46844.0</v>
      </c>
      <c r="BR393" s="30">
        <v>46934.0</v>
      </c>
      <c r="BS393" s="39">
        <v>0.0</v>
      </c>
      <c r="BT393" s="39">
        <v>0.0</v>
      </c>
      <c r="BU393" s="35" t="s">
        <v>7045</v>
      </c>
      <c r="BV393" s="30">
        <v>46935.0</v>
      </c>
      <c r="BW393" s="30">
        <v>47026.0</v>
      </c>
      <c r="BX393" s="39">
        <v>0.0</v>
      </c>
      <c r="BY393" s="39">
        <v>0.0</v>
      </c>
      <c r="BZ393" s="35" t="s">
        <v>7045</v>
      </c>
      <c r="CA393" s="30">
        <v>47027.0</v>
      </c>
      <c r="CB393" s="30">
        <v>47118.0</v>
      </c>
      <c r="CC393" s="39">
        <v>0.0</v>
      </c>
      <c r="CD393" s="39">
        <v>0.0</v>
      </c>
      <c r="CE393" s="35" t="s">
        <v>7045</v>
      </c>
      <c r="CF393" s="30">
        <v>47119.0</v>
      </c>
      <c r="CG393" s="30">
        <v>47208.0</v>
      </c>
      <c r="CH393" s="39">
        <v>0.0</v>
      </c>
      <c r="CI393" s="39">
        <v>0.0</v>
      </c>
      <c r="CJ393" s="35" t="s">
        <v>7045</v>
      </c>
      <c r="CK393" s="30">
        <v>47209.0</v>
      </c>
      <c r="CL393" s="30">
        <v>47299.0</v>
      </c>
      <c r="CM393" s="39">
        <v>0.0</v>
      </c>
      <c r="CN393" s="39">
        <v>0.0</v>
      </c>
      <c r="CO393" s="35" t="s">
        <v>7045</v>
      </c>
      <c r="CP393" s="30">
        <v>47300.0</v>
      </c>
      <c r="CQ393" s="30">
        <v>47391.0</v>
      </c>
      <c r="CR393" s="39">
        <v>0.0</v>
      </c>
      <c r="CS393" s="39">
        <v>0.0</v>
      </c>
      <c r="CT393" s="35" t="s">
        <v>7045</v>
      </c>
      <c r="CU393" s="30">
        <v>47392.0</v>
      </c>
      <c r="CV393" s="30">
        <v>47483.0</v>
      </c>
      <c r="CW393" s="39">
        <v>0.0</v>
      </c>
      <c r="CX393" s="39">
        <v>0.0</v>
      </c>
      <c r="CY393" s="35" t="s">
        <v>7045</v>
      </c>
      <c r="CZ393" s="30">
        <v>47484.0</v>
      </c>
      <c r="DA393" s="30">
        <v>47573.0</v>
      </c>
      <c r="DB393" s="39">
        <v>0.0</v>
      </c>
      <c r="DC393" s="39">
        <v>0.0</v>
      </c>
      <c r="DD393" s="35" t="s">
        <v>7045</v>
      </c>
      <c r="DE393" s="30">
        <v>47574.0</v>
      </c>
      <c r="DF393" s="30">
        <v>47664.0</v>
      </c>
      <c r="DG393" s="39">
        <v>0.0</v>
      </c>
      <c r="DH393" s="39">
        <v>0.0</v>
      </c>
      <c r="DI393" s="35" t="s">
        <v>7045</v>
      </c>
      <c r="DJ393" s="30">
        <v>47665.0</v>
      </c>
      <c r="DK393" s="30">
        <v>47756.0</v>
      </c>
      <c r="DL393" s="39">
        <v>0.0</v>
      </c>
      <c r="DM393" s="39">
        <v>0.0</v>
      </c>
      <c r="DN393" s="35" t="s">
        <v>7045</v>
      </c>
      <c r="DO393" s="30">
        <v>47757.0</v>
      </c>
      <c r="DP393" s="30">
        <v>47848.0</v>
      </c>
      <c r="DQ393" s="39">
        <v>0.0</v>
      </c>
      <c r="DR393" s="39">
        <v>0.0</v>
      </c>
      <c r="DS393" s="35" t="s">
        <v>7045</v>
      </c>
    </row>
    <row r="394" ht="14.25" customHeight="1">
      <c r="A394" s="28" t="s">
        <v>6796</v>
      </c>
      <c r="B394" s="29" t="s">
        <v>6797</v>
      </c>
      <c r="C394" s="29" t="s">
        <v>7041</v>
      </c>
      <c r="D394" s="30">
        <v>45658.0</v>
      </c>
      <c r="E394" s="30">
        <v>45747.0</v>
      </c>
      <c r="F394" s="39">
        <v>0.0</v>
      </c>
      <c r="G394" s="39">
        <v>0.0</v>
      </c>
      <c r="H394" s="35" t="s">
        <v>7045</v>
      </c>
      <c r="I394" s="30">
        <v>45748.0</v>
      </c>
      <c r="J394" s="30">
        <v>45838.0</v>
      </c>
      <c r="K394" s="39">
        <v>0.0</v>
      </c>
      <c r="L394" s="39">
        <v>0.0</v>
      </c>
      <c r="M394" s="35" t="s">
        <v>7045</v>
      </c>
      <c r="N394" s="30">
        <v>45839.0</v>
      </c>
      <c r="O394" s="30">
        <v>45930.0</v>
      </c>
      <c r="P394" s="39">
        <v>0.0</v>
      </c>
      <c r="Q394" s="39">
        <v>0.0</v>
      </c>
      <c r="R394" s="35" t="s">
        <v>7045</v>
      </c>
      <c r="S394" s="30">
        <v>45931.0</v>
      </c>
      <c r="T394" s="30">
        <v>46022.0</v>
      </c>
      <c r="U394" s="39">
        <v>0.0</v>
      </c>
      <c r="V394" s="39">
        <v>0.0</v>
      </c>
      <c r="W394" s="35" t="s">
        <v>7045</v>
      </c>
      <c r="X394" s="30">
        <v>46023.0</v>
      </c>
      <c r="Y394" s="30">
        <v>46112.0</v>
      </c>
      <c r="Z394" s="39">
        <v>0.0</v>
      </c>
      <c r="AA394" s="39">
        <v>0.0</v>
      </c>
      <c r="AB394" s="35" t="s">
        <v>7045</v>
      </c>
      <c r="AC394" s="30">
        <v>46113.0</v>
      </c>
      <c r="AD394" s="30">
        <v>46203.0</v>
      </c>
      <c r="AE394" s="39">
        <v>0.0</v>
      </c>
      <c r="AF394" s="39">
        <v>0.0</v>
      </c>
      <c r="AG394" s="35" t="s">
        <v>7045</v>
      </c>
      <c r="AH394" s="30">
        <v>46204.0</v>
      </c>
      <c r="AI394" s="30">
        <v>46295.0</v>
      </c>
      <c r="AJ394" s="39">
        <v>0.0</v>
      </c>
      <c r="AK394" s="39">
        <v>0.0</v>
      </c>
      <c r="AL394" s="35" t="s">
        <v>7045</v>
      </c>
      <c r="AM394" s="30">
        <v>46296.0</v>
      </c>
      <c r="AN394" s="30">
        <v>46387.0</v>
      </c>
      <c r="AO394" s="39">
        <v>0.0</v>
      </c>
      <c r="AP394" s="39">
        <v>0.0</v>
      </c>
      <c r="AQ394" s="35" t="s">
        <v>7045</v>
      </c>
      <c r="AR394" s="30">
        <v>46388.0</v>
      </c>
      <c r="AS394" s="30">
        <v>46477.0</v>
      </c>
      <c r="AT394" s="39">
        <v>0.0</v>
      </c>
      <c r="AU394" s="39">
        <v>0.0</v>
      </c>
      <c r="AV394" s="35" t="s">
        <v>7045</v>
      </c>
      <c r="AW394" s="30">
        <v>46478.0</v>
      </c>
      <c r="AX394" s="30">
        <v>46568.0</v>
      </c>
      <c r="AY394" s="39">
        <v>0.0</v>
      </c>
      <c r="AZ394" s="39">
        <v>0.0</v>
      </c>
      <c r="BA394" s="35" t="s">
        <v>7045</v>
      </c>
      <c r="BB394" s="30">
        <v>46569.0</v>
      </c>
      <c r="BC394" s="30">
        <v>46660.0</v>
      </c>
      <c r="BD394" s="39">
        <v>0.0</v>
      </c>
      <c r="BE394" s="39">
        <v>0.0</v>
      </c>
      <c r="BF394" s="35" t="s">
        <v>7045</v>
      </c>
      <c r="BG394" s="30">
        <v>46661.0</v>
      </c>
      <c r="BH394" s="30">
        <v>46752.0</v>
      </c>
      <c r="BI394" s="39">
        <v>0.0</v>
      </c>
      <c r="BJ394" s="39">
        <v>0.0</v>
      </c>
      <c r="BK394" s="35" t="s">
        <v>7045</v>
      </c>
      <c r="BL394" s="30">
        <v>46753.0</v>
      </c>
      <c r="BM394" s="30">
        <v>46843.0</v>
      </c>
      <c r="BN394" s="39">
        <v>0.0</v>
      </c>
      <c r="BO394" s="39">
        <v>0.0</v>
      </c>
      <c r="BP394" s="35" t="s">
        <v>7045</v>
      </c>
      <c r="BQ394" s="30">
        <v>46844.0</v>
      </c>
      <c r="BR394" s="30">
        <v>46934.0</v>
      </c>
      <c r="BS394" s="39">
        <v>0.0</v>
      </c>
      <c r="BT394" s="39">
        <v>0.0</v>
      </c>
      <c r="BU394" s="35" t="s">
        <v>7045</v>
      </c>
      <c r="BV394" s="30">
        <v>46935.0</v>
      </c>
      <c r="BW394" s="30">
        <v>47026.0</v>
      </c>
      <c r="BX394" s="39">
        <v>0.0</v>
      </c>
      <c r="BY394" s="39">
        <v>0.0</v>
      </c>
      <c r="BZ394" s="35" t="s">
        <v>7045</v>
      </c>
      <c r="CA394" s="30">
        <v>47027.0</v>
      </c>
      <c r="CB394" s="30">
        <v>47118.0</v>
      </c>
      <c r="CC394" s="39">
        <v>0.0</v>
      </c>
      <c r="CD394" s="39">
        <v>0.0</v>
      </c>
      <c r="CE394" s="35" t="s">
        <v>7045</v>
      </c>
      <c r="CF394" s="30">
        <v>47119.0</v>
      </c>
      <c r="CG394" s="30">
        <v>47208.0</v>
      </c>
      <c r="CH394" s="39">
        <v>0.0</v>
      </c>
      <c r="CI394" s="39">
        <v>0.0</v>
      </c>
      <c r="CJ394" s="35" t="s">
        <v>7045</v>
      </c>
      <c r="CK394" s="30">
        <v>47209.0</v>
      </c>
      <c r="CL394" s="30">
        <v>47299.0</v>
      </c>
      <c r="CM394" s="39">
        <v>0.0</v>
      </c>
      <c r="CN394" s="39">
        <v>0.0</v>
      </c>
      <c r="CO394" s="35" t="s">
        <v>7045</v>
      </c>
      <c r="CP394" s="30">
        <v>47300.0</v>
      </c>
      <c r="CQ394" s="30">
        <v>47391.0</v>
      </c>
      <c r="CR394" s="39">
        <v>0.0</v>
      </c>
      <c r="CS394" s="39">
        <v>0.0</v>
      </c>
      <c r="CT394" s="35" t="s">
        <v>7045</v>
      </c>
      <c r="CU394" s="30">
        <v>47392.0</v>
      </c>
      <c r="CV394" s="30">
        <v>47483.0</v>
      </c>
      <c r="CW394" s="39">
        <v>0.0</v>
      </c>
      <c r="CX394" s="39">
        <v>0.0</v>
      </c>
      <c r="CY394" s="35" t="s">
        <v>7045</v>
      </c>
      <c r="CZ394" s="30">
        <v>47484.0</v>
      </c>
      <c r="DA394" s="30">
        <v>47573.0</v>
      </c>
      <c r="DB394" s="39">
        <v>0.0</v>
      </c>
      <c r="DC394" s="39">
        <v>0.0</v>
      </c>
      <c r="DD394" s="35" t="s">
        <v>7045</v>
      </c>
      <c r="DE394" s="30">
        <v>47574.0</v>
      </c>
      <c r="DF394" s="30">
        <v>47664.0</v>
      </c>
      <c r="DG394" s="39">
        <v>0.0</v>
      </c>
      <c r="DH394" s="39">
        <v>0.0</v>
      </c>
      <c r="DI394" s="35" t="s">
        <v>7045</v>
      </c>
      <c r="DJ394" s="30">
        <v>47665.0</v>
      </c>
      <c r="DK394" s="30">
        <v>47756.0</v>
      </c>
      <c r="DL394" s="39">
        <v>0.0</v>
      </c>
      <c r="DM394" s="39">
        <v>0.0</v>
      </c>
      <c r="DN394" s="35" t="s">
        <v>7045</v>
      </c>
      <c r="DO394" s="30">
        <v>47757.0</v>
      </c>
      <c r="DP394" s="30">
        <v>47848.0</v>
      </c>
      <c r="DQ394" s="39">
        <v>0.0</v>
      </c>
      <c r="DR394" s="39">
        <v>0.0</v>
      </c>
      <c r="DS394" s="35" t="s">
        <v>7045</v>
      </c>
    </row>
    <row r="395" ht="14.25" customHeight="1">
      <c r="A395" s="28" t="s">
        <v>5409</v>
      </c>
      <c r="B395" s="29" t="s">
        <v>5410</v>
      </c>
      <c r="C395" s="29" t="s">
        <v>7041</v>
      </c>
      <c r="D395" s="30">
        <v>45658.0</v>
      </c>
      <c r="E395" s="30">
        <v>45747.0</v>
      </c>
      <c r="F395" s="39">
        <v>26.09</v>
      </c>
      <c r="G395" s="39">
        <v>0.0</v>
      </c>
      <c r="H395" s="38" t="s">
        <v>7047</v>
      </c>
      <c r="I395" s="30">
        <v>45748.0</v>
      </c>
      <c r="J395" s="30">
        <v>45838.0</v>
      </c>
      <c r="K395" s="39">
        <v>130.43</v>
      </c>
      <c r="L395" s="39">
        <v>2185.5</v>
      </c>
      <c r="M395" s="32" t="s">
        <v>7043</v>
      </c>
      <c r="N395" s="30">
        <v>45839.0</v>
      </c>
      <c r="O395" s="30">
        <v>45930.0</v>
      </c>
      <c r="P395" s="39">
        <v>130.43</v>
      </c>
      <c r="Q395" s="39">
        <v>2753.63</v>
      </c>
      <c r="R395" s="38" t="s">
        <v>7047</v>
      </c>
      <c r="S395" s="30">
        <v>45931.0</v>
      </c>
      <c r="T395" s="30">
        <v>46022.0</v>
      </c>
      <c r="U395" s="39">
        <v>173.91</v>
      </c>
      <c r="V395" s="39">
        <v>3710.13</v>
      </c>
      <c r="W395" s="38" t="s">
        <v>7047</v>
      </c>
      <c r="X395" s="30">
        <v>46023.0</v>
      </c>
      <c r="Y395" s="30">
        <v>46112.0</v>
      </c>
      <c r="Z395" s="39">
        <v>200.0</v>
      </c>
      <c r="AA395" s="39">
        <v>0.0</v>
      </c>
      <c r="AB395" s="38" t="s">
        <v>7047</v>
      </c>
      <c r="AC395" s="30">
        <v>46113.0</v>
      </c>
      <c r="AD395" s="30">
        <v>46203.0</v>
      </c>
      <c r="AE395" s="39">
        <v>0.0</v>
      </c>
      <c r="AF395" s="39">
        <v>0.0</v>
      </c>
      <c r="AG395" s="35" t="s">
        <v>7045</v>
      </c>
      <c r="AH395" s="30">
        <v>46204.0</v>
      </c>
      <c r="AI395" s="30">
        <v>46295.0</v>
      </c>
      <c r="AJ395" s="39">
        <v>0.0</v>
      </c>
      <c r="AK395" s="39">
        <v>0.0</v>
      </c>
      <c r="AL395" s="35" t="s">
        <v>7045</v>
      </c>
      <c r="AM395" s="30">
        <v>46296.0</v>
      </c>
      <c r="AN395" s="30">
        <v>46387.0</v>
      </c>
      <c r="AO395" s="39">
        <v>0.0</v>
      </c>
      <c r="AP395" s="39">
        <v>0.0</v>
      </c>
      <c r="AQ395" s="35" t="s">
        <v>7045</v>
      </c>
      <c r="AR395" s="30">
        <v>46388.0</v>
      </c>
      <c r="AS395" s="30">
        <v>46477.0</v>
      </c>
      <c r="AT395" s="39">
        <v>0.0</v>
      </c>
      <c r="AU395" s="39">
        <v>0.0</v>
      </c>
      <c r="AV395" s="35" t="s">
        <v>7045</v>
      </c>
      <c r="AW395" s="30">
        <v>46478.0</v>
      </c>
      <c r="AX395" s="30">
        <v>46568.0</v>
      </c>
      <c r="AY395" s="39">
        <v>0.0</v>
      </c>
      <c r="AZ395" s="39">
        <v>0.0</v>
      </c>
      <c r="BA395" s="35" t="s">
        <v>7045</v>
      </c>
      <c r="BB395" s="30">
        <v>46569.0</v>
      </c>
      <c r="BC395" s="30">
        <v>46660.0</v>
      </c>
      <c r="BD395" s="39">
        <v>0.0</v>
      </c>
      <c r="BE395" s="39">
        <v>0.0</v>
      </c>
      <c r="BF395" s="35" t="s">
        <v>7045</v>
      </c>
      <c r="BG395" s="30">
        <v>46661.0</v>
      </c>
      <c r="BH395" s="30">
        <v>46752.0</v>
      </c>
      <c r="BI395" s="39">
        <v>0.0</v>
      </c>
      <c r="BJ395" s="39">
        <v>0.0</v>
      </c>
      <c r="BK395" s="35" t="s">
        <v>7045</v>
      </c>
      <c r="BL395" s="30">
        <v>46753.0</v>
      </c>
      <c r="BM395" s="30">
        <v>46843.0</v>
      </c>
      <c r="BN395" s="39">
        <v>0.0</v>
      </c>
      <c r="BO395" s="39">
        <v>0.0</v>
      </c>
      <c r="BP395" s="35" t="s">
        <v>7045</v>
      </c>
      <c r="BQ395" s="30">
        <v>46844.0</v>
      </c>
      <c r="BR395" s="30">
        <v>46934.0</v>
      </c>
      <c r="BS395" s="39">
        <v>0.0</v>
      </c>
      <c r="BT395" s="39">
        <v>0.0</v>
      </c>
      <c r="BU395" s="35" t="s">
        <v>7045</v>
      </c>
      <c r="BV395" s="30">
        <v>46935.0</v>
      </c>
      <c r="BW395" s="30">
        <v>47026.0</v>
      </c>
      <c r="BX395" s="39">
        <v>0.0</v>
      </c>
      <c r="BY395" s="39">
        <v>0.0</v>
      </c>
      <c r="BZ395" s="35" t="s">
        <v>7045</v>
      </c>
      <c r="CA395" s="30">
        <v>47027.0</v>
      </c>
      <c r="CB395" s="30">
        <v>47118.0</v>
      </c>
      <c r="CC395" s="39">
        <v>0.0</v>
      </c>
      <c r="CD395" s="39">
        <v>0.0</v>
      </c>
      <c r="CE395" s="35" t="s">
        <v>7045</v>
      </c>
      <c r="CF395" s="30">
        <v>47119.0</v>
      </c>
      <c r="CG395" s="30">
        <v>47208.0</v>
      </c>
      <c r="CH395" s="39">
        <v>0.0</v>
      </c>
      <c r="CI395" s="39">
        <v>0.0</v>
      </c>
      <c r="CJ395" s="35" t="s">
        <v>7045</v>
      </c>
      <c r="CK395" s="30">
        <v>47209.0</v>
      </c>
      <c r="CL395" s="30">
        <v>47299.0</v>
      </c>
      <c r="CM395" s="39">
        <v>0.0</v>
      </c>
      <c r="CN395" s="39">
        <v>0.0</v>
      </c>
      <c r="CO395" s="35" t="s">
        <v>7045</v>
      </c>
      <c r="CP395" s="30">
        <v>47300.0</v>
      </c>
      <c r="CQ395" s="30">
        <v>47391.0</v>
      </c>
      <c r="CR395" s="39">
        <v>0.0</v>
      </c>
      <c r="CS395" s="39">
        <v>0.0</v>
      </c>
      <c r="CT395" s="35" t="s">
        <v>7045</v>
      </c>
      <c r="CU395" s="30">
        <v>47392.0</v>
      </c>
      <c r="CV395" s="30">
        <v>47483.0</v>
      </c>
      <c r="CW395" s="39">
        <v>0.0</v>
      </c>
      <c r="CX395" s="39">
        <v>0.0</v>
      </c>
      <c r="CY395" s="35" t="s">
        <v>7045</v>
      </c>
      <c r="CZ395" s="30">
        <v>47484.0</v>
      </c>
      <c r="DA395" s="30">
        <v>47573.0</v>
      </c>
      <c r="DB395" s="39">
        <v>0.0</v>
      </c>
      <c r="DC395" s="39">
        <v>0.0</v>
      </c>
      <c r="DD395" s="35" t="s">
        <v>7045</v>
      </c>
      <c r="DE395" s="30">
        <v>47574.0</v>
      </c>
      <c r="DF395" s="30">
        <v>47664.0</v>
      </c>
      <c r="DG395" s="39">
        <v>0.0</v>
      </c>
      <c r="DH395" s="39">
        <v>0.0</v>
      </c>
      <c r="DI395" s="35" t="s">
        <v>7045</v>
      </c>
      <c r="DJ395" s="30">
        <v>47665.0</v>
      </c>
      <c r="DK395" s="30">
        <v>47756.0</v>
      </c>
      <c r="DL395" s="39">
        <v>0.0</v>
      </c>
      <c r="DM395" s="39">
        <v>0.0</v>
      </c>
      <c r="DN395" s="35" t="s">
        <v>7045</v>
      </c>
      <c r="DO395" s="30">
        <v>47757.0</v>
      </c>
      <c r="DP395" s="30">
        <v>47848.0</v>
      </c>
      <c r="DQ395" s="39">
        <v>0.0</v>
      </c>
      <c r="DR395" s="39">
        <v>0.0</v>
      </c>
      <c r="DS395" s="35" t="s">
        <v>7045</v>
      </c>
    </row>
    <row r="396" ht="14.25" customHeight="1">
      <c r="A396" s="28" t="s">
        <v>5854</v>
      </c>
      <c r="B396" s="29" t="s">
        <v>5855</v>
      </c>
      <c r="C396" s="29" t="s">
        <v>7041</v>
      </c>
      <c r="D396" s="30">
        <v>45658.0</v>
      </c>
      <c r="E396" s="30">
        <v>45747.0</v>
      </c>
      <c r="F396" s="39">
        <v>2.0</v>
      </c>
      <c r="G396" s="39">
        <v>0.0</v>
      </c>
      <c r="H396" s="38" t="s">
        <v>7047</v>
      </c>
      <c r="I396" s="30">
        <v>45748.0</v>
      </c>
      <c r="J396" s="30">
        <v>45838.0</v>
      </c>
      <c r="K396" s="39">
        <v>3.0</v>
      </c>
      <c r="L396" s="39">
        <v>250.0</v>
      </c>
      <c r="M396" s="32" t="s">
        <v>7043</v>
      </c>
      <c r="N396" s="30">
        <v>45839.0</v>
      </c>
      <c r="O396" s="30">
        <v>45930.0</v>
      </c>
      <c r="P396" s="39">
        <v>8.0</v>
      </c>
      <c r="Q396" s="39">
        <v>250.0</v>
      </c>
      <c r="R396" s="38" t="s">
        <v>7047</v>
      </c>
      <c r="S396" s="30">
        <v>45931.0</v>
      </c>
      <c r="T396" s="30">
        <v>46022.0</v>
      </c>
      <c r="U396" s="39">
        <v>256.2</v>
      </c>
      <c r="V396" s="39">
        <v>250.0</v>
      </c>
      <c r="W396" s="38" t="s">
        <v>7047</v>
      </c>
      <c r="X396" s="30">
        <v>46023.0</v>
      </c>
      <c r="Y396" s="30">
        <v>46112.0</v>
      </c>
      <c r="Z396" s="39">
        <v>0.0</v>
      </c>
      <c r="AA396" s="39">
        <v>0.0</v>
      </c>
      <c r="AB396" s="35" t="s">
        <v>7045</v>
      </c>
      <c r="AC396" s="30">
        <v>46113.0</v>
      </c>
      <c r="AD396" s="30">
        <v>46203.0</v>
      </c>
      <c r="AE396" s="39">
        <v>0.0</v>
      </c>
      <c r="AF396" s="39">
        <v>0.0</v>
      </c>
      <c r="AG396" s="35" t="s">
        <v>7045</v>
      </c>
      <c r="AH396" s="30">
        <v>46204.0</v>
      </c>
      <c r="AI396" s="30">
        <v>46295.0</v>
      </c>
      <c r="AJ396" s="39">
        <v>0.0</v>
      </c>
      <c r="AK396" s="39">
        <v>0.0</v>
      </c>
      <c r="AL396" s="35" t="s">
        <v>7045</v>
      </c>
      <c r="AM396" s="30">
        <v>46296.0</v>
      </c>
      <c r="AN396" s="30">
        <v>46387.0</v>
      </c>
      <c r="AO396" s="39">
        <v>0.0</v>
      </c>
      <c r="AP396" s="39">
        <v>0.0</v>
      </c>
      <c r="AQ396" s="35" t="s">
        <v>7045</v>
      </c>
      <c r="AR396" s="30">
        <v>46388.0</v>
      </c>
      <c r="AS396" s="30">
        <v>46477.0</v>
      </c>
      <c r="AT396" s="39">
        <v>0.0</v>
      </c>
      <c r="AU396" s="39">
        <v>0.0</v>
      </c>
      <c r="AV396" s="35" t="s">
        <v>7045</v>
      </c>
      <c r="AW396" s="30">
        <v>46478.0</v>
      </c>
      <c r="AX396" s="30">
        <v>46568.0</v>
      </c>
      <c r="AY396" s="39">
        <v>0.0</v>
      </c>
      <c r="AZ396" s="39">
        <v>0.0</v>
      </c>
      <c r="BA396" s="35" t="s">
        <v>7045</v>
      </c>
      <c r="BB396" s="30">
        <v>46569.0</v>
      </c>
      <c r="BC396" s="30">
        <v>46660.0</v>
      </c>
      <c r="BD396" s="39">
        <v>0.0</v>
      </c>
      <c r="BE396" s="39">
        <v>0.0</v>
      </c>
      <c r="BF396" s="35" t="s">
        <v>7045</v>
      </c>
      <c r="BG396" s="30">
        <v>46661.0</v>
      </c>
      <c r="BH396" s="30">
        <v>46752.0</v>
      </c>
      <c r="BI396" s="39">
        <v>0.0</v>
      </c>
      <c r="BJ396" s="39">
        <v>0.0</v>
      </c>
      <c r="BK396" s="35" t="s">
        <v>7045</v>
      </c>
      <c r="BL396" s="30">
        <v>46753.0</v>
      </c>
      <c r="BM396" s="30">
        <v>46843.0</v>
      </c>
      <c r="BN396" s="39">
        <v>0.0</v>
      </c>
      <c r="BO396" s="39">
        <v>0.0</v>
      </c>
      <c r="BP396" s="35" t="s">
        <v>7045</v>
      </c>
      <c r="BQ396" s="30">
        <v>46844.0</v>
      </c>
      <c r="BR396" s="30">
        <v>46934.0</v>
      </c>
      <c r="BS396" s="39">
        <v>0.0</v>
      </c>
      <c r="BT396" s="39">
        <v>0.0</v>
      </c>
      <c r="BU396" s="35" t="s">
        <v>7045</v>
      </c>
      <c r="BV396" s="30">
        <v>46935.0</v>
      </c>
      <c r="BW396" s="30">
        <v>47026.0</v>
      </c>
      <c r="BX396" s="39">
        <v>0.0</v>
      </c>
      <c r="BY396" s="39">
        <v>0.0</v>
      </c>
      <c r="BZ396" s="35" t="s">
        <v>7045</v>
      </c>
      <c r="CA396" s="30">
        <v>47027.0</v>
      </c>
      <c r="CB396" s="30">
        <v>47118.0</v>
      </c>
      <c r="CC396" s="39">
        <v>0.0</v>
      </c>
      <c r="CD396" s="39">
        <v>0.0</v>
      </c>
      <c r="CE396" s="35" t="s">
        <v>7045</v>
      </c>
      <c r="CF396" s="30">
        <v>47119.0</v>
      </c>
      <c r="CG396" s="30">
        <v>47208.0</v>
      </c>
      <c r="CH396" s="39">
        <v>0.0</v>
      </c>
      <c r="CI396" s="39">
        <v>0.0</v>
      </c>
      <c r="CJ396" s="35" t="s">
        <v>7045</v>
      </c>
      <c r="CK396" s="30">
        <v>47209.0</v>
      </c>
      <c r="CL396" s="30">
        <v>47299.0</v>
      </c>
      <c r="CM396" s="39">
        <v>0.0</v>
      </c>
      <c r="CN396" s="39">
        <v>0.0</v>
      </c>
      <c r="CO396" s="35" t="s">
        <v>7045</v>
      </c>
      <c r="CP396" s="30">
        <v>47300.0</v>
      </c>
      <c r="CQ396" s="30">
        <v>47391.0</v>
      </c>
      <c r="CR396" s="39">
        <v>0.0</v>
      </c>
      <c r="CS396" s="39">
        <v>0.0</v>
      </c>
      <c r="CT396" s="35" t="s">
        <v>7045</v>
      </c>
      <c r="CU396" s="30">
        <v>47392.0</v>
      </c>
      <c r="CV396" s="30">
        <v>47483.0</v>
      </c>
      <c r="CW396" s="39">
        <v>0.0</v>
      </c>
      <c r="CX396" s="39">
        <v>0.0</v>
      </c>
      <c r="CY396" s="35" t="s">
        <v>7045</v>
      </c>
      <c r="CZ396" s="30">
        <v>47484.0</v>
      </c>
      <c r="DA396" s="30">
        <v>47573.0</v>
      </c>
      <c r="DB396" s="39">
        <v>0.0</v>
      </c>
      <c r="DC396" s="39">
        <v>0.0</v>
      </c>
      <c r="DD396" s="35" t="s">
        <v>7045</v>
      </c>
      <c r="DE396" s="30">
        <v>47574.0</v>
      </c>
      <c r="DF396" s="30">
        <v>47664.0</v>
      </c>
      <c r="DG396" s="39">
        <v>0.0</v>
      </c>
      <c r="DH396" s="39">
        <v>0.0</v>
      </c>
      <c r="DI396" s="35" t="s">
        <v>7045</v>
      </c>
      <c r="DJ396" s="30">
        <v>47665.0</v>
      </c>
      <c r="DK396" s="30">
        <v>47756.0</v>
      </c>
      <c r="DL396" s="39">
        <v>0.0</v>
      </c>
      <c r="DM396" s="39">
        <v>0.0</v>
      </c>
      <c r="DN396" s="35" t="s">
        <v>7045</v>
      </c>
      <c r="DO396" s="30">
        <v>47757.0</v>
      </c>
      <c r="DP396" s="30">
        <v>47848.0</v>
      </c>
      <c r="DQ396" s="39">
        <v>0.0</v>
      </c>
      <c r="DR396" s="39">
        <v>0.0</v>
      </c>
      <c r="DS396" s="35" t="s">
        <v>7045</v>
      </c>
    </row>
    <row r="397" ht="14.25" customHeight="1">
      <c r="A397" s="28" t="s">
        <v>444</v>
      </c>
      <c r="B397" s="29" t="s">
        <v>445</v>
      </c>
      <c r="C397" s="29" t="s">
        <v>7041</v>
      </c>
      <c r="D397" s="30">
        <v>45658.0</v>
      </c>
      <c r="E397" s="30">
        <v>45747.0</v>
      </c>
      <c r="F397" s="39">
        <v>0.0</v>
      </c>
      <c r="G397" s="39">
        <v>0.0</v>
      </c>
      <c r="H397" s="35" t="s">
        <v>7045</v>
      </c>
      <c r="I397" s="30">
        <v>45748.0</v>
      </c>
      <c r="J397" s="30">
        <v>45838.0</v>
      </c>
      <c r="K397" s="39">
        <v>230.0</v>
      </c>
      <c r="L397" s="39">
        <v>357.14</v>
      </c>
      <c r="M397" s="38" t="s">
        <v>7047</v>
      </c>
      <c r="N397" s="30">
        <v>45839.0</v>
      </c>
      <c r="O397" s="30">
        <v>45930.0</v>
      </c>
      <c r="P397" s="39">
        <v>85.0</v>
      </c>
      <c r="Q397" s="39">
        <v>357.14</v>
      </c>
      <c r="R397" s="32" t="s">
        <v>7047</v>
      </c>
      <c r="S397" s="30">
        <v>45931.0</v>
      </c>
      <c r="T397" s="30">
        <v>46022.0</v>
      </c>
      <c r="U397" s="39">
        <v>400.0</v>
      </c>
      <c r="V397" s="39">
        <v>357.14</v>
      </c>
      <c r="W397" s="38" t="s">
        <v>7047</v>
      </c>
      <c r="X397" s="30">
        <v>46023.0</v>
      </c>
      <c r="Y397" s="30">
        <v>46112.0</v>
      </c>
      <c r="Z397" s="39">
        <v>780.0</v>
      </c>
      <c r="AA397" s="39">
        <v>0.0</v>
      </c>
      <c r="AB397" s="38" t="s">
        <v>7047</v>
      </c>
      <c r="AC397" s="30">
        <v>46113.0</v>
      </c>
      <c r="AD397" s="30">
        <v>46203.0</v>
      </c>
      <c r="AE397" s="39">
        <v>900.0</v>
      </c>
      <c r="AF397" s="39">
        <v>0.0</v>
      </c>
      <c r="AG397" s="35" t="s">
        <v>7047</v>
      </c>
      <c r="AH397" s="30">
        <v>46204.0</v>
      </c>
      <c r="AI397" s="30">
        <v>46295.0</v>
      </c>
      <c r="AJ397" s="39">
        <v>0.0</v>
      </c>
      <c r="AK397" s="39">
        <v>0.0</v>
      </c>
      <c r="AL397" s="35" t="s">
        <v>7045</v>
      </c>
      <c r="AM397" s="30">
        <v>46296.0</v>
      </c>
      <c r="AN397" s="30">
        <v>46387.0</v>
      </c>
      <c r="AO397" s="39">
        <v>0.0</v>
      </c>
      <c r="AP397" s="39">
        <v>0.0</v>
      </c>
      <c r="AQ397" s="35" t="s">
        <v>7045</v>
      </c>
      <c r="AR397" s="30">
        <v>46388.0</v>
      </c>
      <c r="AS397" s="30">
        <v>46477.0</v>
      </c>
      <c r="AT397" s="39">
        <v>0.0</v>
      </c>
      <c r="AU397" s="39">
        <v>0.0</v>
      </c>
      <c r="AV397" s="35" t="s">
        <v>7045</v>
      </c>
      <c r="AW397" s="30">
        <v>46478.0</v>
      </c>
      <c r="AX397" s="30">
        <v>46568.0</v>
      </c>
      <c r="AY397" s="39">
        <v>0.0</v>
      </c>
      <c r="AZ397" s="39">
        <v>0.0</v>
      </c>
      <c r="BA397" s="35" t="s">
        <v>7045</v>
      </c>
      <c r="BB397" s="30">
        <v>46569.0</v>
      </c>
      <c r="BC397" s="30">
        <v>46660.0</v>
      </c>
      <c r="BD397" s="39">
        <v>0.0</v>
      </c>
      <c r="BE397" s="39">
        <v>0.0</v>
      </c>
      <c r="BF397" s="35" t="s">
        <v>7045</v>
      </c>
      <c r="BG397" s="30">
        <v>46661.0</v>
      </c>
      <c r="BH397" s="30">
        <v>46752.0</v>
      </c>
      <c r="BI397" s="39">
        <v>0.0</v>
      </c>
      <c r="BJ397" s="39">
        <v>0.0</v>
      </c>
      <c r="BK397" s="35" t="s">
        <v>7045</v>
      </c>
      <c r="BL397" s="30">
        <v>46753.0</v>
      </c>
      <c r="BM397" s="30">
        <v>46843.0</v>
      </c>
      <c r="BN397" s="39">
        <v>0.0</v>
      </c>
      <c r="BO397" s="39">
        <v>0.0</v>
      </c>
      <c r="BP397" s="35" t="s">
        <v>7045</v>
      </c>
      <c r="BQ397" s="30">
        <v>46844.0</v>
      </c>
      <c r="BR397" s="30">
        <v>46934.0</v>
      </c>
      <c r="BS397" s="39">
        <v>0.0</v>
      </c>
      <c r="BT397" s="39">
        <v>0.0</v>
      </c>
      <c r="BU397" s="35" t="s">
        <v>7045</v>
      </c>
      <c r="BV397" s="30">
        <v>46935.0</v>
      </c>
      <c r="BW397" s="30">
        <v>47026.0</v>
      </c>
      <c r="BX397" s="39">
        <v>0.0</v>
      </c>
      <c r="BY397" s="39">
        <v>0.0</v>
      </c>
      <c r="BZ397" s="35" t="s">
        <v>7045</v>
      </c>
      <c r="CA397" s="30">
        <v>47027.0</v>
      </c>
      <c r="CB397" s="30">
        <v>47118.0</v>
      </c>
      <c r="CC397" s="39">
        <v>0.0</v>
      </c>
      <c r="CD397" s="39">
        <v>0.0</v>
      </c>
      <c r="CE397" s="35" t="s">
        <v>7045</v>
      </c>
      <c r="CF397" s="30">
        <v>47119.0</v>
      </c>
      <c r="CG397" s="30">
        <v>47208.0</v>
      </c>
      <c r="CH397" s="39">
        <v>0.0</v>
      </c>
      <c r="CI397" s="39">
        <v>0.0</v>
      </c>
      <c r="CJ397" s="35" t="s">
        <v>7045</v>
      </c>
      <c r="CK397" s="30">
        <v>47209.0</v>
      </c>
      <c r="CL397" s="30">
        <v>47299.0</v>
      </c>
      <c r="CM397" s="39">
        <v>0.0</v>
      </c>
      <c r="CN397" s="39">
        <v>0.0</v>
      </c>
      <c r="CO397" s="35" t="s">
        <v>7045</v>
      </c>
      <c r="CP397" s="30">
        <v>47300.0</v>
      </c>
      <c r="CQ397" s="30">
        <v>47391.0</v>
      </c>
      <c r="CR397" s="39">
        <v>0.0</v>
      </c>
      <c r="CS397" s="39">
        <v>0.0</v>
      </c>
      <c r="CT397" s="35" t="s">
        <v>7045</v>
      </c>
      <c r="CU397" s="30">
        <v>47392.0</v>
      </c>
      <c r="CV397" s="30">
        <v>47483.0</v>
      </c>
      <c r="CW397" s="39">
        <v>0.0</v>
      </c>
      <c r="CX397" s="39">
        <v>0.0</v>
      </c>
      <c r="CY397" s="35" t="s">
        <v>7045</v>
      </c>
      <c r="CZ397" s="30">
        <v>47484.0</v>
      </c>
      <c r="DA397" s="30">
        <v>47573.0</v>
      </c>
      <c r="DB397" s="39">
        <v>0.0</v>
      </c>
      <c r="DC397" s="39">
        <v>0.0</v>
      </c>
      <c r="DD397" s="35" t="s">
        <v>7045</v>
      </c>
      <c r="DE397" s="30">
        <v>47574.0</v>
      </c>
      <c r="DF397" s="30">
        <v>47664.0</v>
      </c>
      <c r="DG397" s="39">
        <v>0.0</v>
      </c>
      <c r="DH397" s="39">
        <v>0.0</v>
      </c>
      <c r="DI397" s="35" t="s">
        <v>7045</v>
      </c>
      <c r="DJ397" s="30">
        <v>47665.0</v>
      </c>
      <c r="DK397" s="30">
        <v>47756.0</v>
      </c>
      <c r="DL397" s="39">
        <v>0.0</v>
      </c>
      <c r="DM397" s="39">
        <v>0.0</v>
      </c>
      <c r="DN397" s="35" t="s">
        <v>7045</v>
      </c>
      <c r="DO397" s="30">
        <v>47757.0</v>
      </c>
      <c r="DP397" s="30">
        <v>47848.0</v>
      </c>
      <c r="DQ397" s="39">
        <v>0.0</v>
      </c>
      <c r="DR397" s="39">
        <v>0.0</v>
      </c>
      <c r="DS397" s="35" t="s">
        <v>7045</v>
      </c>
    </row>
    <row r="398" ht="14.25" customHeight="1">
      <c r="A398" s="28" t="s">
        <v>1516</v>
      </c>
      <c r="B398" s="29" t="s">
        <v>1517</v>
      </c>
      <c r="C398" s="29" t="s">
        <v>7041</v>
      </c>
      <c r="D398" s="30">
        <v>45658.0</v>
      </c>
      <c r="E398" s="30">
        <v>45747.0</v>
      </c>
      <c r="F398" s="39">
        <v>9.9</v>
      </c>
      <c r="G398" s="39">
        <v>0.0</v>
      </c>
      <c r="H398" s="38" t="s">
        <v>7047</v>
      </c>
      <c r="I398" s="30">
        <v>45748.0</v>
      </c>
      <c r="J398" s="30">
        <v>45838.0</v>
      </c>
      <c r="K398" s="39">
        <v>0.0</v>
      </c>
      <c r="L398" s="39">
        <v>0.0</v>
      </c>
      <c r="M398" s="35" t="s">
        <v>7045</v>
      </c>
      <c r="N398" s="30">
        <v>45839.0</v>
      </c>
      <c r="O398" s="30">
        <v>45930.0</v>
      </c>
      <c r="P398" s="39">
        <v>0.0</v>
      </c>
      <c r="Q398" s="39">
        <v>0.0</v>
      </c>
      <c r="R398" s="35" t="s">
        <v>7045</v>
      </c>
      <c r="S398" s="30">
        <v>45931.0</v>
      </c>
      <c r="T398" s="30">
        <v>46022.0</v>
      </c>
      <c r="U398" s="39">
        <v>0.0</v>
      </c>
      <c r="V398" s="39">
        <v>0.0</v>
      </c>
      <c r="W398" s="35" t="s">
        <v>7045</v>
      </c>
      <c r="X398" s="30">
        <v>46023.0</v>
      </c>
      <c r="Y398" s="30">
        <v>46112.0</v>
      </c>
      <c r="Z398" s="39">
        <v>0.0</v>
      </c>
      <c r="AA398" s="39">
        <v>0.0</v>
      </c>
      <c r="AB398" s="35" t="s">
        <v>7045</v>
      </c>
      <c r="AC398" s="30">
        <v>46113.0</v>
      </c>
      <c r="AD398" s="30">
        <v>46203.0</v>
      </c>
      <c r="AE398" s="39">
        <v>0.0</v>
      </c>
      <c r="AF398" s="39">
        <v>0.0</v>
      </c>
      <c r="AG398" s="35" t="s">
        <v>7045</v>
      </c>
      <c r="AH398" s="30">
        <v>46204.0</v>
      </c>
      <c r="AI398" s="30">
        <v>46295.0</v>
      </c>
      <c r="AJ398" s="39">
        <v>0.0</v>
      </c>
      <c r="AK398" s="39">
        <v>0.0</v>
      </c>
      <c r="AL398" s="35" t="s">
        <v>7045</v>
      </c>
      <c r="AM398" s="30">
        <v>46296.0</v>
      </c>
      <c r="AN398" s="30">
        <v>46387.0</v>
      </c>
      <c r="AO398" s="39">
        <v>0.0</v>
      </c>
      <c r="AP398" s="39">
        <v>0.0</v>
      </c>
      <c r="AQ398" s="35" t="s">
        <v>7045</v>
      </c>
      <c r="AR398" s="30">
        <v>46388.0</v>
      </c>
      <c r="AS398" s="30">
        <v>46477.0</v>
      </c>
      <c r="AT398" s="39">
        <v>0.0</v>
      </c>
      <c r="AU398" s="39">
        <v>0.0</v>
      </c>
      <c r="AV398" s="35" t="s">
        <v>7045</v>
      </c>
      <c r="AW398" s="30">
        <v>46478.0</v>
      </c>
      <c r="AX398" s="30">
        <v>46568.0</v>
      </c>
      <c r="AY398" s="39">
        <v>0.0</v>
      </c>
      <c r="AZ398" s="39">
        <v>0.0</v>
      </c>
      <c r="BA398" s="35" t="s">
        <v>7045</v>
      </c>
      <c r="BB398" s="30">
        <v>46569.0</v>
      </c>
      <c r="BC398" s="30">
        <v>46660.0</v>
      </c>
      <c r="BD398" s="39">
        <v>0.0</v>
      </c>
      <c r="BE398" s="39">
        <v>0.0</v>
      </c>
      <c r="BF398" s="35" t="s">
        <v>7045</v>
      </c>
      <c r="BG398" s="30">
        <v>46661.0</v>
      </c>
      <c r="BH398" s="30">
        <v>46752.0</v>
      </c>
      <c r="BI398" s="39">
        <v>0.0</v>
      </c>
      <c r="BJ398" s="39">
        <v>0.0</v>
      </c>
      <c r="BK398" s="35" t="s">
        <v>7045</v>
      </c>
      <c r="BL398" s="30">
        <v>46753.0</v>
      </c>
      <c r="BM398" s="30">
        <v>46843.0</v>
      </c>
      <c r="BN398" s="39">
        <v>0.0</v>
      </c>
      <c r="BO398" s="39">
        <v>0.0</v>
      </c>
      <c r="BP398" s="35" t="s">
        <v>7045</v>
      </c>
      <c r="BQ398" s="30">
        <v>46844.0</v>
      </c>
      <c r="BR398" s="30">
        <v>46934.0</v>
      </c>
      <c r="BS398" s="39">
        <v>0.0</v>
      </c>
      <c r="BT398" s="39">
        <v>0.0</v>
      </c>
      <c r="BU398" s="35" t="s">
        <v>7045</v>
      </c>
      <c r="BV398" s="30">
        <v>46935.0</v>
      </c>
      <c r="BW398" s="30">
        <v>47026.0</v>
      </c>
      <c r="BX398" s="39">
        <v>0.0</v>
      </c>
      <c r="BY398" s="39">
        <v>0.0</v>
      </c>
      <c r="BZ398" s="35" t="s">
        <v>7045</v>
      </c>
      <c r="CA398" s="30">
        <v>47027.0</v>
      </c>
      <c r="CB398" s="30">
        <v>47118.0</v>
      </c>
      <c r="CC398" s="39">
        <v>0.0</v>
      </c>
      <c r="CD398" s="39">
        <v>0.0</v>
      </c>
      <c r="CE398" s="35" t="s">
        <v>7045</v>
      </c>
      <c r="CF398" s="30">
        <v>47119.0</v>
      </c>
      <c r="CG398" s="30">
        <v>47208.0</v>
      </c>
      <c r="CH398" s="39">
        <v>0.0</v>
      </c>
      <c r="CI398" s="39">
        <v>0.0</v>
      </c>
      <c r="CJ398" s="35" t="s">
        <v>7045</v>
      </c>
      <c r="CK398" s="30">
        <v>47209.0</v>
      </c>
      <c r="CL398" s="30">
        <v>47299.0</v>
      </c>
      <c r="CM398" s="39">
        <v>0.0</v>
      </c>
      <c r="CN398" s="39">
        <v>0.0</v>
      </c>
      <c r="CO398" s="35" t="s">
        <v>7045</v>
      </c>
      <c r="CP398" s="30">
        <v>47300.0</v>
      </c>
      <c r="CQ398" s="30">
        <v>47391.0</v>
      </c>
      <c r="CR398" s="39">
        <v>0.0</v>
      </c>
      <c r="CS398" s="39">
        <v>0.0</v>
      </c>
      <c r="CT398" s="35" t="s">
        <v>7045</v>
      </c>
      <c r="CU398" s="30">
        <v>47392.0</v>
      </c>
      <c r="CV398" s="30">
        <v>47483.0</v>
      </c>
      <c r="CW398" s="39">
        <v>0.0</v>
      </c>
      <c r="CX398" s="39">
        <v>0.0</v>
      </c>
      <c r="CY398" s="35" t="s">
        <v>7045</v>
      </c>
      <c r="CZ398" s="30">
        <v>47484.0</v>
      </c>
      <c r="DA398" s="30">
        <v>47573.0</v>
      </c>
      <c r="DB398" s="39">
        <v>0.0</v>
      </c>
      <c r="DC398" s="39">
        <v>0.0</v>
      </c>
      <c r="DD398" s="35" t="s">
        <v>7045</v>
      </c>
      <c r="DE398" s="30">
        <v>47574.0</v>
      </c>
      <c r="DF398" s="30">
        <v>47664.0</v>
      </c>
      <c r="DG398" s="39">
        <v>0.0</v>
      </c>
      <c r="DH398" s="39">
        <v>0.0</v>
      </c>
      <c r="DI398" s="35" t="s">
        <v>7045</v>
      </c>
      <c r="DJ398" s="30">
        <v>47665.0</v>
      </c>
      <c r="DK398" s="30">
        <v>47756.0</v>
      </c>
      <c r="DL398" s="39">
        <v>0.0</v>
      </c>
      <c r="DM398" s="39">
        <v>0.0</v>
      </c>
      <c r="DN398" s="35" t="s">
        <v>7045</v>
      </c>
      <c r="DO398" s="30">
        <v>47757.0</v>
      </c>
      <c r="DP398" s="30">
        <v>47848.0</v>
      </c>
      <c r="DQ398" s="39">
        <v>0.0</v>
      </c>
      <c r="DR398" s="39">
        <v>0.0</v>
      </c>
      <c r="DS398" s="35" t="s">
        <v>7045</v>
      </c>
    </row>
    <row r="399" ht="14.25" customHeight="1">
      <c r="A399" s="28" t="s">
        <v>153</v>
      </c>
      <c r="B399" s="29" t="s">
        <v>154</v>
      </c>
      <c r="C399" s="29" t="s">
        <v>7041</v>
      </c>
      <c r="D399" s="30">
        <v>45658.0</v>
      </c>
      <c r="E399" s="30">
        <v>45747.0</v>
      </c>
      <c r="F399" s="39">
        <v>7.52</v>
      </c>
      <c r="G399" s="39">
        <v>0.0</v>
      </c>
      <c r="H399" s="38" t="s">
        <v>7047</v>
      </c>
      <c r="I399" s="30">
        <v>45748.0</v>
      </c>
      <c r="J399" s="30">
        <v>45838.0</v>
      </c>
      <c r="K399" s="39">
        <v>12.4</v>
      </c>
      <c r="L399" s="39">
        <v>62.16</v>
      </c>
      <c r="M399" s="38" t="s">
        <v>7043</v>
      </c>
      <c r="N399" s="30">
        <v>45839.0</v>
      </c>
      <c r="O399" s="30">
        <v>45930.0</v>
      </c>
      <c r="P399" s="39">
        <v>27.54</v>
      </c>
      <c r="Q399" s="39">
        <v>86.49</v>
      </c>
      <c r="R399" s="38" t="s">
        <v>7047</v>
      </c>
      <c r="S399" s="30">
        <v>45931.0</v>
      </c>
      <c r="T399" s="30">
        <v>46022.0</v>
      </c>
      <c r="U399" s="39">
        <v>14.12</v>
      </c>
      <c r="V399" s="39">
        <v>86.49</v>
      </c>
      <c r="W399" s="38" t="s">
        <v>7047</v>
      </c>
      <c r="X399" s="30">
        <v>46023.0</v>
      </c>
      <c r="Y399" s="30">
        <v>46112.0</v>
      </c>
      <c r="Z399" s="39">
        <v>0.0</v>
      </c>
      <c r="AA399" s="39">
        <v>0.0</v>
      </c>
      <c r="AB399" s="35" t="s">
        <v>7045</v>
      </c>
      <c r="AC399" s="30">
        <v>46113.0</v>
      </c>
      <c r="AD399" s="30">
        <v>46203.0</v>
      </c>
      <c r="AE399" s="39">
        <v>0.0</v>
      </c>
      <c r="AF399" s="39">
        <v>0.0</v>
      </c>
      <c r="AG399" s="35" t="s">
        <v>7045</v>
      </c>
      <c r="AH399" s="30">
        <v>46204.0</v>
      </c>
      <c r="AI399" s="30">
        <v>46295.0</v>
      </c>
      <c r="AJ399" s="39">
        <v>0.0</v>
      </c>
      <c r="AK399" s="39">
        <v>0.0</v>
      </c>
      <c r="AL399" s="35" t="s">
        <v>7045</v>
      </c>
      <c r="AM399" s="30">
        <v>46296.0</v>
      </c>
      <c r="AN399" s="30">
        <v>46387.0</v>
      </c>
      <c r="AO399" s="39">
        <v>0.0</v>
      </c>
      <c r="AP399" s="39">
        <v>0.0</v>
      </c>
      <c r="AQ399" s="35" t="s">
        <v>7045</v>
      </c>
      <c r="AR399" s="30">
        <v>46388.0</v>
      </c>
      <c r="AS399" s="30">
        <v>46477.0</v>
      </c>
      <c r="AT399" s="39">
        <v>0.0</v>
      </c>
      <c r="AU399" s="39">
        <v>0.0</v>
      </c>
      <c r="AV399" s="35" t="s">
        <v>7045</v>
      </c>
      <c r="AW399" s="30">
        <v>46478.0</v>
      </c>
      <c r="AX399" s="30">
        <v>46568.0</v>
      </c>
      <c r="AY399" s="39">
        <v>0.0</v>
      </c>
      <c r="AZ399" s="39">
        <v>0.0</v>
      </c>
      <c r="BA399" s="35" t="s">
        <v>7045</v>
      </c>
      <c r="BB399" s="30">
        <v>46569.0</v>
      </c>
      <c r="BC399" s="30">
        <v>46660.0</v>
      </c>
      <c r="BD399" s="39">
        <v>0.0</v>
      </c>
      <c r="BE399" s="39">
        <v>0.0</v>
      </c>
      <c r="BF399" s="35" t="s">
        <v>7045</v>
      </c>
      <c r="BG399" s="30">
        <v>46661.0</v>
      </c>
      <c r="BH399" s="30">
        <v>46752.0</v>
      </c>
      <c r="BI399" s="39">
        <v>0.0</v>
      </c>
      <c r="BJ399" s="39">
        <v>0.0</v>
      </c>
      <c r="BK399" s="35" t="s">
        <v>7045</v>
      </c>
      <c r="BL399" s="30">
        <v>46753.0</v>
      </c>
      <c r="BM399" s="30">
        <v>46843.0</v>
      </c>
      <c r="BN399" s="39">
        <v>0.0</v>
      </c>
      <c r="BO399" s="39">
        <v>0.0</v>
      </c>
      <c r="BP399" s="35" t="s">
        <v>7045</v>
      </c>
      <c r="BQ399" s="30">
        <v>46844.0</v>
      </c>
      <c r="BR399" s="30">
        <v>46934.0</v>
      </c>
      <c r="BS399" s="39">
        <v>0.0</v>
      </c>
      <c r="BT399" s="39">
        <v>0.0</v>
      </c>
      <c r="BU399" s="35" t="s">
        <v>7045</v>
      </c>
      <c r="BV399" s="30">
        <v>46935.0</v>
      </c>
      <c r="BW399" s="30">
        <v>47026.0</v>
      </c>
      <c r="BX399" s="39">
        <v>0.0</v>
      </c>
      <c r="BY399" s="39">
        <v>0.0</v>
      </c>
      <c r="BZ399" s="35" t="s">
        <v>7045</v>
      </c>
      <c r="CA399" s="30">
        <v>47027.0</v>
      </c>
      <c r="CB399" s="30">
        <v>47118.0</v>
      </c>
      <c r="CC399" s="39">
        <v>0.0</v>
      </c>
      <c r="CD399" s="39">
        <v>0.0</v>
      </c>
      <c r="CE399" s="35" t="s">
        <v>7045</v>
      </c>
      <c r="CF399" s="30">
        <v>47119.0</v>
      </c>
      <c r="CG399" s="30">
        <v>47208.0</v>
      </c>
      <c r="CH399" s="39">
        <v>0.0</v>
      </c>
      <c r="CI399" s="39">
        <v>0.0</v>
      </c>
      <c r="CJ399" s="35" t="s">
        <v>7045</v>
      </c>
      <c r="CK399" s="30">
        <v>47209.0</v>
      </c>
      <c r="CL399" s="30">
        <v>47299.0</v>
      </c>
      <c r="CM399" s="39">
        <v>0.0</v>
      </c>
      <c r="CN399" s="39">
        <v>0.0</v>
      </c>
      <c r="CO399" s="35" t="s">
        <v>7045</v>
      </c>
      <c r="CP399" s="30">
        <v>47300.0</v>
      </c>
      <c r="CQ399" s="30">
        <v>47391.0</v>
      </c>
      <c r="CR399" s="39">
        <v>0.0</v>
      </c>
      <c r="CS399" s="39">
        <v>0.0</v>
      </c>
      <c r="CT399" s="35" t="s">
        <v>7045</v>
      </c>
      <c r="CU399" s="30">
        <v>47392.0</v>
      </c>
      <c r="CV399" s="30">
        <v>47483.0</v>
      </c>
      <c r="CW399" s="39">
        <v>0.0</v>
      </c>
      <c r="CX399" s="39">
        <v>0.0</v>
      </c>
      <c r="CY399" s="35" t="s">
        <v>7045</v>
      </c>
      <c r="CZ399" s="30">
        <v>47484.0</v>
      </c>
      <c r="DA399" s="30">
        <v>47573.0</v>
      </c>
      <c r="DB399" s="39">
        <v>0.0</v>
      </c>
      <c r="DC399" s="39">
        <v>0.0</v>
      </c>
      <c r="DD399" s="35" t="s">
        <v>7045</v>
      </c>
      <c r="DE399" s="30">
        <v>47574.0</v>
      </c>
      <c r="DF399" s="30">
        <v>47664.0</v>
      </c>
      <c r="DG399" s="39">
        <v>0.0</v>
      </c>
      <c r="DH399" s="39">
        <v>0.0</v>
      </c>
      <c r="DI399" s="35" t="s">
        <v>7045</v>
      </c>
      <c r="DJ399" s="30">
        <v>47665.0</v>
      </c>
      <c r="DK399" s="30">
        <v>47756.0</v>
      </c>
      <c r="DL399" s="39">
        <v>0.0</v>
      </c>
      <c r="DM399" s="39">
        <v>0.0</v>
      </c>
      <c r="DN399" s="35" t="s">
        <v>7045</v>
      </c>
      <c r="DO399" s="30">
        <v>47757.0</v>
      </c>
      <c r="DP399" s="30">
        <v>47848.0</v>
      </c>
      <c r="DQ399" s="39">
        <v>0.0</v>
      </c>
      <c r="DR399" s="39">
        <v>0.0</v>
      </c>
      <c r="DS399" s="35" t="s">
        <v>7045</v>
      </c>
    </row>
    <row r="400" ht="14.25" customHeight="1">
      <c r="A400" s="28" t="s">
        <v>2678</v>
      </c>
      <c r="B400" s="29" t="s">
        <v>2679</v>
      </c>
      <c r="C400" s="29" t="s">
        <v>7041</v>
      </c>
      <c r="D400" s="30">
        <v>45658.0</v>
      </c>
      <c r="E400" s="30">
        <v>45747.0</v>
      </c>
      <c r="F400" s="39">
        <v>6.07</v>
      </c>
      <c r="G400" s="39">
        <v>0.0</v>
      </c>
      <c r="H400" s="38" t="s">
        <v>7047</v>
      </c>
      <c r="I400" s="30">
        <v>45748.0</v>
      </c>
      <c r="J400" s="30">
        <v>45838.0</v>
      </c>
      <c r="K400" s="39">
        <v>0.06</v>
      </c>
      <c r="L400" s="39">
        <v>0.0</v>
      </c>
      <c r="M400" s="38" t="s">
        <v>7047</v>
      </c>
      <c r="N400" s="30">
        <v>45839.0</v>
      </c>
      <c r="O400" s="30">
        <v>45930.0</v>
      </c>
      <c r="P400" s="39">
        <v>40.66</v>
      </c>
      <c r="Q400" s="39">
        <v>0.0</v>
      </c>
      <c r="R400" s="38" t="s">
        <v>7047</v>
      </c>
      <c r="S400" s="30">
        <v>45931.0</v>
      </c>
      <c r="T400" s="30">
        <v>46022.0</v>
      </c>
      <c r="U400" s="39">
        <v>0.0</v>
      </c>
      <c r="V400" s="39">
        <v>0.0</v>
      </c>
      <c r="W400" s="35" t="s">
        <v>7045</v>
      </c>
      <c r="X400" s="30">
        <v>46023.0</v>
      </c>
      <c r="Y400" s="30">
        <v>46112.0</v>
      </c>
      <c r="Z400" s="39">
        <v>0.0</v>
      </c>
      <c r="AA400" s="39">
        <v>0.0</v>
      </c>
      <c r="AB400" s="35" t="s">
        <v>7045</v>
      </c>
      <c r="AC400" s="30">
        <v>46113.0</v>
      </c>
      <c r="AD400" s="30">
        <v>46203.0</v>
      </c>
      <c r="AE400" s="39">
        <v>0.0</v>
      </c>
      <c r="AF400" s="39">
        <v>0.0</v>
      </c>
      <c r="AG400" s="35" t="s">
        <v>7045</v>
      </c>
      <c r="AH400" s="30">
        <v>46204.0</v>
      </c>
      <c r="AI400" s="30">
        <v>46295.0</v>
      </c>
      <c r="AJ400" s="39">
        <v>0.0</v>
      </c>
      <c r="AK400" s="39">
        <v>0.0</v>
      </c>
      <c r="AL400" s="35" t="s">
        <v>7045</v>
      </c>
      <c r="AM400" s="30">
        <v>46296.0</v>
      </c>
      <c r="AN400" s="30">
        <v>46387.0</v>
      </c>
      <c r="AO400" s="39">
        <v>0.0</v>
      </c>
      <c r="AP400" s="39">
        <v>0.0</v>
      </c>
      <c r="AQ400" s="35" t="s">
        <v>7045</v>
      </c>
      <c r="AR400" s="30">
        <v>46388.0</v>
      </c>
      <c r="AS400" s="30">
        <v>46477.0</v>
      </c>
      <c r="AT400" s="39">
        <v>0.0</v>
      </c>
      <c r="AU400" s="39">
        <v>0.0</v>
      </c>
      <c r="AV400" s="35" t="s">
        <v>7045</v>
      </c>
      <c r="AW400" s="30">
        <v>46478.0</v>
      </c>
      <c r="AX400" s="30">
        <v>46568.0</v>
      </c>
      <c r="AY400" s="39">
        <v>0.0</v>
      </c>
      <c r="AZ400" s="39">
        <v>0.0</v>
      </c>
      <c r="BA400" s="35" t="s">
        <v>7045</v>
      </c>
      <c r="BB400" s="30">
        <v>46569.0</v>
      </c>
      <c r="BC400" s="30">
        <v>46660.0</v>
      </c>
      <c r="BD400" s="39">
        <v>0.0</v>
      </c>
      <c r="BE400" s="39">
        <v>0.0</v>
      </c>
      <c r="BF400" s="35" t="s">
        <v>7045</v>
      </c>
      <c r="BG400" s="30">
        <v>46661.0</v>
      </c>
      <c r="BH400" s="30">
        <v>46752.0</v>
      </c>
      <c r="BI400" s="39">
        <v>0.0</v>
      </c>
      <c r="BJ400" s="39">
        <v>0.0</v>
      </c>
      <c r="BK400" s="35" t="s">
        <v>7045</v>
      </c>
      <c r="BL400" s="30">
        <v>46753.0</v>
      </c>
      <c r="BM400" s="30">
        <v>46843.0</v>
      </c>
      <c r="BN400" s="39">
        <v>0.0</v>
      </c>
      <c r="BO400" s="39">
        <v>0.0</v>
      </c>
      <c r="BP400" s="35" t="s">
        <v>7045</v>
      </c>
      <c r="BQ400" s="30">
        <v>46844.0</v>
      </c>
      <c r="BR400" s="30">
        <v>46934.0</v>
      </c>
      <c r="BS400" s="39">
        <v>0.0</v>
      </c>
      <c r="BT400" s="39">
        <v>0.0</v>
      </c>
      <c r="BU400" s="35" t="s">
        <v>7045</v>
      </c>
      <c r="BV400" s="30">
        <v>46935.0</v>
      </c>
      <c r="BW400" s="30">
        <v>47026.0</v>
      </c>
      <c r="BX400" s="39">
        <v>0.0</v>
      </c>
      <c r="BY400" s="39">
        <v>0.0</v>
      </c>
      <c r="BZ400" s="35" t="s">
        <v>7045</v>
      </c>
      <c r="CA400" s="30">
        <v>47027.0</v>
      </c>
      <c r="CB400" s="30">
        <v>47118.0</v>
      </c>
      <c r="CC400" s="39">
        <v>0.0</v>
      </c>
      <c r="CD400" s="39">
        <v>0.0</v>
      </c>
      <c r="CE400" s="35" t="s">
        <v>7045</v>
      </c>
      <c r="CF400" s="30">
        <v>47119.0</v>
      </c>
      <c r="CG400" s="30">
        <v>47208.0</v>
      </c>
      <c r="CH400" s="39">
        <v>0.0</v>
      </c>
      <c r="CI400" s="39">
        <v>0.0</v>
      </c>
      <c r="CJ400" s="35" t="s">
        <v>7045</v>
      </c>
      <c r="CK400" s="30">
        <v>47209.0</v>
      </c>
      <c r="CL400" s="30">
        <v>47299.0</v>
      </c>
      <c r="CM400" s="39">
        <v>0.0</v>
      </c>
      <c r="CN400" s="39">
        <v>0.0</v>
      </c>
      <c r="CO400" s="35" t="s">
        <v>7045</v>
      </c>
      <c r="CP400" s="30">
        <v>47300.0</v>
      </c>
      <c r="CQ400" s="30">
        <v>47391.0</v>
      </c>
      <c r="CR400" s="39">
        <v>0.0</v>
      </c>
      <c r="CS400" s="39">
        <v>0.0</v>
      </c>
      <c r="CT400" s="35" t="s">
        <v>7045</v>
      </c>
      <c r="CU400" s="30">
        <v>47392.0</v>
      </c>
      <c r="CV400" s="30">
        <v>47483.0</v>
      </c>
      <c r="CW400" s="39">
        <v>0.0</v>
      </c>
      <c r="CX400" s="39">
        <v>0.0</v>
      </c>
      <c r="CY400" s="35" t="s">
        <v>7045</v>
      </c>
      <c r="CZ400" s="30">
        <v>47484.0</v>
      </c>
      <c r="DA400" s="30">
        <v>47573.0</v>
      </c>
      <c r="DB400" s="39">
        <v>0.0</v>
      </c>
      <c r="DC400" s="39">
        <v>0.0</v>
      </c>
      <c r="DD400" s="35" t="s">
        <v>7045</v>
      </c>
      <c r="DE400" s="30">
        <v>47574.0</v>
      </c>
      <c r="DF400" s="30">
        <v>47664.0</v>
      </c>
      <c r="DG400" s="39">
        <v>0.0</v>
      </c>
      <c r="DH400" s="39">
        <v>0.0</v>
      </c>
      <c r="DI400" s="35" t="s">
        <v>7045</v>
      </c>
      <c r="DJ400" s="30">
        <v>47665.0</v>
      </c>
      <c r="DK400" s="30">
        <v>47756.0</v>
      </c>
      <c r="DL400" s="39">
        <v>0.0</v>
      </c>
      <c r="DM400" s="39">
        <v>0.0</v>
      </c>
      <c r="DN400" s="35" t="s">
        <v>7045</v>
      </c>
      <c r="DO400" s="30">
        <v>47757.0</v>
      </c>
      <c r="DP400" s="30">
        <v>47848.0</v>
      </c>
      <c r="DQ400" s="39">
        <v>0.0</v>
      </c>
      <c r="DR400" s="39">
        <v>0.0</v>
      </c>
      <c r="DS400" s="35" t="s">
        <v>7045</v>
      </c>
    </row>
    <row r="401" ht="14.25" customHeight="1">
      <c r="A401" s="28" t="s">
        <v>3931</v>
      </c>
      <c r="B401" s="29" t="s">
        <v>3932</v>
      </c>
      <c r="C401" s="29" t="s">
        <v>7041</v>
      </c>
      <c r="D401" s="30">
        <v>45658.0</v>
      </c>
      <c r="E401" s="30">
        <v>45747.0</v>
      </c>
      <c r="F401" s="39">
        <v>7.64</v>
      </c>
      <c r="G401" s="39">
        <v>0.0</v>
      </c>
      <c r="H401" s="38" t="s">
        <v>7047</v>
      </c>
      <c r="I401" s="30">
        <v>45748.0</v>
      </c>
      <c r="J401" s="30">
        <v>45838.0</v>
      </c>
      <c r="K401" s="39">
        <v>5.0</v>
      </c>
      <c r="L401" s="39">
        <v>66.1</v>
      </c>
      <c r="M401" s="38" t="s">
        <v>7043</v>
      </c>
      <c r="N401" s="30">
        <v>45839.0</v>
      </c>
      <c r="O401" s="30">
        <v>45930.0</v>
      </c>
      <c r="P401" s="39">
        <v>89.1</v>
      </c>
      <c r="Q401" s="39">
        <v>103.39</v>
      </c>
      <c r="R401" s="38" t="s">
        <v>7047</v>
      </c>
      <c r="S401" s="30">
        <v>45931.0</v>
      </c>
      <c r="T401" s="30">
        <v>46022.0</v>
      </c>
      <c r="U401" s="39">
        <v>79.22</v>
      </c>
      <c r="V401" s="39">
        <v>103.39</v>
      </c>
      <c r="W401" s="38" t="s">
        <v>7047</v>
      </c>
      <c r="X401" s="30">
        <v>46023.0</v>
      </c>
      <c r="Y401" s="30">
        <v>46112.0</v>
      </c>
      <c r="Z401" s="39">
        <v>0.0</v>
      </c>
      <c r="AA401" s="39">
        <v>0.0</v>
      </c>
      <c r="AB401" s="35" t="s">
        <v>7045</v>
      </c>
      <c r="AC401" s="30">
        <v>46113.0</v>
      </c>
      <c r="AD401" s="30">
        <v>46203.0</v>
      </c>
      <c r="AE401" s="39">
        <v>0.0</v>
      </c>
      <c r="AF401" s="39">
        <v>0.0</v>
      </c>
      <c r="AG401" s="35" t="s">
        <v>7045</v>
      </c>
      <c r="AH401" s="30">
        <v>46204.0</v>
      </c>
      <c r="AI401" s="30">
        <v>46295.0</v>
      </c>
      <c r="AJ401" s="39">
        <v>0.0</v>
      </c>
      <c r="AK401" s="39">
        <v>0.0</v>
      </c>
      <c r="AL401" s="35" t="s">
        <v>7045</v>
      </c>
      <c r="AM401" s="30">
        <v>46296.0</v>
      </c>
      <c r="AN401" s="30">
        <v>46387.0</v>
      </c>
      <c r="AO401" s="39">
        <v>0.0</v>
      </c>
      <c r="AP401" s="39">
        <v>0.0</v>
      </c>
      <c r="AQ401" s="35" t="s">
        <v>7045</v>
      </c>
      <c r="AR401" s="30">
        <v>46388.0</v>
      </c>
      <c r="AS401" s="30">
        <v>46477.0</v>
      </c>
      <c r="AT401" s="39">
        <v>0.0</v>
      </c>
      <c r="AU401" s="39">
        <v>0.0</v>
      </c>
      <c r="AV401" s="35" t="s">
        <v>7045</v>
      </c>
      <c r="AW401" s="30">
        <v>46478.0</v>
      </c>
      <c r="AX401" s="30">
        <v>46568.0</v>
      </c>
      <c r="AY401" s="39">
        <v>0.0</v>
      </c>
      <c r="AZ401" s="39">
        <v>0.0</v>
      </c>
      <c r="BA401" s="35" t="s">
        <v>7045</v>
      </c>
      <c r="BB401" s="30">
        <v>46569.0</v>
      </c>
      <c r="BC401" s="30">
        <v>46660.0</v>
      </c>
      <c r="BD401" s="39">
        <v>0.0</v>
      </c>
      <c r="BE401" s="39">
        <v>0.0</v>
      </c>
      <c r="BF401" s="35" t="s">
        <v>7045</v>
      </c>
      <c r="BG401" s="30">
        <v>46661.0</v>
      </c>
      <c r="BH401" s="30">
        <v>46752.0</v>
      </c>
      <c r="BI401" s="39">
        <v>0.0</v>
      </c>
      <c r="BJ401" s="39">
        <v>0.0</v>
      </c>
      <c r="BK401" s="35" t="s">
        <v>7045</v>
      </c>
      <c r="BL401" s="30">
        <v>46753.0</v>
      </c>
      <c r="BM401" s="30">
        <v>46843.0</v>
      </c>
      <c r="BN401" s="39">
        <v>0.0</v>
      </c>
      <c r="BO401" s="39">
        <v>0.0</v>
      </c>
      <c r="BP401" s="35" t="s">
        <v>7045</v>
      </c>
      <c r="BQ401" s="30">
        <v>46844.0</v>
      </c>
      <c r="BR401" s="30">
        <v>46934.0</v>
      </c>
      <c r="BS401" s="39">
        <v>0.0</v>
      </c>
      <c r="BT401" s="39">
        <v>0.0</v>
      </c>
      <c r="BU401" s="35" t="s">
        <v>7045</v>
      </c>
      <c r="BV401" s="30">
        <v>46935.0</v>
      </c>
      <c r="BW401" s="30">
        <v>47026.0</v>
      </c>
      <c r="BX401" s="39">
        <v>0.0</v>
      </c>
      <c r="BY401" s="39">
        <v>0.0</v>
      </c>
      <c r="BZ401" s="35" t="s">
        <v>7045</v>
      </c>
      <c r="CA401" s="30">
        <v>47027.0</v>
      </c>
      <c r="CB401" s="30">
        <v>47118.0</v>
      </c>
      <c r="CC401" s="39">
        <v>0.0</v>
      </c>
      <c r="CD401" s="39">
        <v>0.0</v>
      </c>
      <c r="CE401" s="35" t="s">
        <v>7045</v>
      </c>
      <c r="CF401" s="30">
        <v>47119.0</v>
      </c>
      <c r="CG401" s="30">
        <v>47208.0</v>
      </c>
      <c r="CH401" s="39">
        <v>0.0</v>
      </c>
      <c r="CI401" s="39">
        <v>0.0</v>
      </c>
      <c r="CJ401" s="35" t="s">
        <v>7045</v>
      </c>
      <c r="CK401" s="30">
        <v>47209.0</v>
      </c>
      <c r="CL401" s="30">
        <v>47299.0</v>
      </c>
      <c r="CM401" s="39">
        <v>0.0</v>
      </c>
      <c r="CN401" s="39">
        <v>0.0</v>
      </c>
      <c r="CO401" s="35" t="s">
        <v>7045</v>
      </c>
      <c r="CP401" s="30">
        <v>47300.0</v>
      </c>
      <c r="CQ401" s="30">
        <v>47391.0</v>
      </c>
      <c r="CR401" s="39">
        <v>0.0</v>
      </c>
      <c r="CS401" s="39">
        <v>0.0</v>
      </c>
      <c r="CT401" s="35" t="s">
        <v>7045</v>
      </c>
      <c r="CU401" s="30">
        <v>47392.0</v>
      </c>
      <c r="CV401" s="30">
        <v>47483.0</v>
      </c>
      <c r="CW401" s="39">
        <v>0.0</v>
      </c>
      <c r="CX401" s="39">
        <v>0.0</v>
      </c>
      <c r="CY401" s="35" t="s">
        <v>7045</v>
      </c>
      <c r="CZ401" s="30">
        <v>47484.0</v>
      </c>
      <c r="DA401" s="30">
        <v>47573.0</v>
      </c>
      <c r="DB401" s="39">
        <v>0.0</v>
      </c>
      <c r="DC401" s="39">
        <v>0.0</v>
      </c>
      <c r="DD401" s="35" t="s">
        <v>7045</v>
      </c>
      <c r="DE401" s="30">
        <v>47574.0</v>
      </c>
      <c r="DF401" s="30">
        <v>47664.0</v>
      </c>
      <c r="DG401" s="39">
        <v>0.0</v>
      </c>
      <c r="DH401" s="39">
        <v>0.0</v>
      </c>
      <c r="DI401" s="35" t="s">
        <v>7045</v>
      </c>
      <c r="DJ401" s="30">
        <v>47665.0</v>
      </c>
      <c r="DK401" s="30">
        <v>47756.0</v>
      </c>
      <c r="DL401" s="39">
        <v>0.0</v>
      </c>
      <c r="DM401" s="39">
        <v>0.0</v>
      </c>
      <c r="DN401" s="35" t="s">
        <v>7045</v>
      </c>
      <c r="DO401" s="30">
        <v>47757.0</v>
      </c>
      <c r="DP401" s="30">
        <v>47848.0</v>
      </c>
      <c r="DQ401" s="39">
        <v>0.0</v>
      </c>
      <c r="DR401" s="39">
        <v>0.0</v>
      </c>
      <c r="DS401" s="35" t="s">
        <v>7045</v>
      </c>
    </row>
    <row r="402" ht="14.25" customHeight="1">
      <c r="A402" s="28" t="s">
        <v>4949</v>
      </c>
      <c r="B402" s="29" t="s">
        <v>4950</v>
      </c>
      <c r="C402" s="29" t="s">
        <v>7041</v>
      </c>
      <c r="D402" s="30">
        <v>45658.0</v>
      </c>
      <c r="E402" s="30">
        <v>45747.0</v>
      </c>
      <c r="F402" s="39">
        <v>6.0</v>
      </c>
      <c r="G402" s="39">
        <v>0.0</v>
      </c>
      <c r="H402" s="38" t="s">
        <v>7047</v>
      </c>
      <c r="I402" s="30">
        <v>45748.0</v>
      </c>
      <c r="J402" s="30">
        <v>45838.0</v>
      </c>
      <c r="K402" s="39">
        <v>11.0</v>
      </c>
      <c r="L402" s="39">
        <v>0.0</v>
      </c>
      <c r="M402" s="35" t="s">
        <v>7047</v>
      </c>
      <c r="N402" s="30">
        <v>45839.0</v>
      </c>
      <c r="O402" s="30">
        <v>45930.0</v>
      </c>
      <c r="P402" s="39">
        <v>0.0</v>
      </c>
      <c r="Q402" s="39">
        <v>0.0</v>
      </c>
      <c r="R402" s="35" t="s">
        <v>7045</v>
      </c>
      <c r="S402" s="30">
        <v>45931.0</v>
      </c>
      <c r="T402" s="30">
        <v>46022.0</v>
      </c>
      <c r="U402" s="39">
        <v>0.0</v>
      </c>
      <c r="V402" s="39">
        <v>0.0</v>
      </c>
      <c r="W402" s="35" t="s">
        <v>7045</v>
      </c>
      <c r="X402" s="30">
        <v>46023.0</v>
      </c>
      <c r="Y402" s="30">
        <v>46112.0</v>
      </c>
      <c r="Z402" s="39">
        <v>0.0</v>
      </c>
      <c r="AA402" s="39">
        <v>0.0</v>
      </c>
      <c r="AB402" s="35" t="s">
        <v>7045</v>
      </c>
      <c r="AC402" s="30">
        <v>46113.0</v>
      </c>
      <c r="AD402" s="30">
        <v>46203.0</v>
      </c>
      <c r="AE402" s="39">
        <v>0.0</v>
      </c>
      <c r="AF402" s="39">
        <v>0.0</v>
      </c>
      <c r="AG402" s="35" t="s">
        <v>7045</v>
      </c>
      <c r="AH402" s="30">
        <v>46204.0</v>
      </c>
      <c r="AI402" s="30">
        <v>46295.0</v>
      </c>
      <c r="AJ402" s="39">
        <v>0.0</v>
      </c>
      <c r="AK402" s="39">
        <v>0.0</v>
      </c>
      <c r="AL402" s="35" t="s">
        <v>7045</v>
      </c>
      <c r="AM402" s="30">
        <v>46296.0</v>
      </c>
      <c r="AN402" s="30">
        <v>46387.0</v>
      </c>
      <c r="AO402" s="39">
        <v>0.0</v>
      </c>
      <c r="AP402" s="39">
        <v>0.0</v>
      </c>
      <c r="AQ402" s="35" t="s">
        <v>7045</v>
      </c>
      <c r="AR402" s="30">
        <v>46388.0</v>
      </c>
      <c r="AS402" s="30">
        <v>46477.0</v>
      </c>
      <c r="AT402" s="39">
        <v>0.0</v>
      </c>
      <c r="AU402" s="39">
        <v>0.0</v>
      </c>
      <c r="AV402" s="35" t="s">
        <v>7045</v>
      </c>
      <c r="AW402" s="30">
        <v>46478.0</v>
      </c>
      <c r="AX402" s="30">
        <v>46568.0</v>
      </c>
      <c r="AY402" s="39">
        <v>0.0</v>
      </c>
      <c r="AZ402" s="39">
        <v>0.0</v>
      </c>
      <c r="BA402" s="35" t="s">
        <v>7045</v>
      </c>
      <c r="BB402" s="30">
        <v>46569.0</v>
      </c>
      <c r="BC402" s="30">
        <v>46660.0</v>
      </c>
      <c r="BD402" s="39">
        <v>0.0</v>
      </c>
      <c r="BE402" s="39">
        <v>0.0</v>
      </c>
      <c r="BF402" s="35" t="s">
        <v>7045</v>
      </c>
      <c r="BG402" s="30">
        <v>46661.0</v>
      </c>
      <c r="BH402" s="30">
        <v>46752.0</v>
      </c>
      <c r="BI402" s="39">
        <v>0.0</v>
      </c>
      <c r="BJ402" s="39">
        <v>0.0</v>
      </c>
      <c r="BK402" s="35" t="s">
        <v>7045</v>
      </c>
      <c r="BL402" s="30">
        <v>46753.0</v>
      </c>
      <c r="BM402" s="30">
        <v>46843.0</v>
      </c>
      <c r="BN402" s="39">
        <v>0.0</v>
      </c>
      <c r="BO402" s="39">
        <v>0.0</v>
      </c>
      <c r="BP402" s="35" t="s">
        <v>7045</v>
      </c>
      <c r="BQ402" s="30">
        <v>46844.0</v>
      </c>
      <c r="BR402" s="30">
        <v>46934.0</v>
      </c>
      <c r="BS402" s="39">
        <v>0.0</v>
      </c>
      <c r="BT402" s="39">
        <v>0.0</v>
      </c>
      <c r="BU402" s="35" t="s">
        <v>7045</v>
      </c>
      <c r="BV402" s="30">
        <v>46935.0</v>
      </c>
      <c r="BW402" s="30">
        <v>47026.0</v>
      </c>
      <c r="BX402" s="39">
        <v>0.0</v>
      </c>
      <c r="BY402" s="39">
        <v>0.0</v>
      </c>
      <c r="BZ402" s="35" t="s">
        <v>7045</v>
      </c>
      <c r="CA402" s="30">
        <v>47027.0</v>
      </c>
      <c r="CB402" s="30">
        <v>47118.0</v>
      </c>
      <c r="CC402" s="39">
        <v>0.0</v>
      </c>
      <c r="CD402" s="39">
        <v>0.0</v>
      </c>
      <c r="CE402" s="35" t="s">
        <v>7045</v>
      </c>
      <c r="CF402" s="30">
        <v>47119.0</v>
      </c>
      <c r="CG402" s="30">
        <v>47208.0</v>
      </c>
      <c r="CH402" s="39">
        <v>0.0</v>
      </c>
      <c r="CI402" s="39">
        <v>0.0</v>
      </c>
      <c r="CJ402" s="35" t="s">
        <v>7045</v>
      </c>
      <c r="CK402" s="30">
        <v>47209.0</v>
      </c>
      <c r="CL402" s="30">
        <v>47299.0</v>
      </c>
      <c r="CM402" s="39">
        <v>0.0</v>
      </c>
      <c r="CN402" s="39">
        <v>0.0</v>
      </c>
      <c r="CO402" s="35" t="s">
        <v>7045</v>
      </c>
      <c r="CP402" s="30">
        <v>47300.0</v>
      </c>
      <c r="CQ402" s="30">
        <v>47391.0</v>
      </c>
      <c r="CR402" s="39">
        <v>0.0</v>
      </c>
      <c r="CS402" s="39">
        <v>0.0</v>
      </c>
      <c r="CT402" s="35" t="s">
        <v>7045</v>
      </c>
      <c r="CU402" s="30">
        <v>47392.0</v>
      </c>
      <c r="CV402" s="30">
        <v>47483.0</v>
      </c>
      <c r="CW402" s="39">
        <v>0.0</v>
      </c>
      <c r="CX402" s="39">
        <v>0.0</v>
      </c>
      <c r="CY402" s="35" t="s">
        <v>7045</v>
      </c>
      <c r="CZ402" s="30">
        <v>47484.0</v>
      </c>
      <c r="DA402" s="30">
        <v>47573.0</v>
      </c>
      <c r="DB402" s="39">
        <v>0.0</v>
      </c>
      <c r="DC402" s="39">
        <v>0.0</v>
      </c>
      <c r="DD402" s="35" t="s">
        <v>7045</v>
      </c>
      <c r="DE402" s="30">
        <v>47574.0</v>
      </c>
      <c r="DF402" s="30">
        <v>47664.0</v>
      </c>
      <c r="DG402" s="39">
        <v>0.0</v>
      </c>
      <c r="DH402" s="39">
        <v>0.0</v>
      </c>
      <c r="DI402" s="35" t="s">
        <v>7045</v>
      </c>
      <c r="DJ402" s="30">
        <v>47665.0</v>
      </c>
      <c r="DK402" s="30">
        <v>47756.0</v>
      </c>
      <c r="DL402" s="39">
        <v>0.0</v>
      </c>
      <c r="DM402" s="39">
        <v>0.0</v>
      </c>
      <c r="DN402" s="35" t="s">
        <v>7045</v>
      </c>
      <c r="DO402" s="30">
        <v>47757.0</v>
      </c>
      <c r="DP402" s="30">
        <v>47848.0</v>
      </c>
      <c r="DQ402" s="39">
        <v>0.0</v>
      </c>
      <c r="DR402" s="39">
        <v>0.0</v>
      </c>
      <c r="DS402" s="35" t="s">
        <v>7045</v>
      </c>
    </row>
    <row r="403" ht="14.25" customHeight="1">
      <c r="A403" s="28" t="s">
        <v>4943</v>
      </c>
      <c r="B403" s="29" t="s">
        <v>4944</v>
      </c>
      <c r="C403" s="29" t="s">
        <v>7041</v>
      </c>
      <c r="D403" s="30">
        <v>45658.0</v>
      </c>
      <c r="E403" s="30">
        <v>45747.0</v>
      </c>
      <c r="F403" s="39">
        <v>2.5</v>
      </c>
      <c r="G403" s="39">
        <v>0.0</v>
      </c>
      <c r="H403" s="38" t="s">
        <v>7047</v>
      </c>
      <c r="I403" s="30">
        <v>45748.0</v>
      </c>
      <c r="J403" s="30">
        <v>45838.0</v>
      </c>
      <c r="K403" s="39">
        <v>15.55</v>
      </c>
      <c r="L403" s="39">
        <v>44.58</v>
      </c>
      <c r="M403" s="38" t="s">
        <v>7043</v>
      </c>
      <c r="N403" s="30">
        <v>45839.0</v>
      </c>
      <c r="O403" s="30">
        <v>45930.0</v>
      </c>
      <c r="P403" s="39">
        <v>82.0</v>
      </c>
      <c r="Q403" s="39">
        <v>63.86</v>
      </c>
      <c r="R403" s="38" t="s">
        <v>7047</v>
      </c>
      <c r="S403" s="30">
        <v>45931.0</v>
      </c>
      <c r="T403" s="30">
        <v>46022.0</v>
      </c>
      <c r="U403" s="39">
        <v>18.0</v>
      </c>
      <c r="V403" s="39">
        <v>63.86</v>
      </c>
      <c r="W403" s="38" t="s">
        <v>7047</v>
      </c>
      <c r="X403" s="30">
        <v>46023.0</v>
      </c>
      <c r="Y403" s="30">
        <v>46112.0</v>
      </c>
      <c r="Z403" s="39">
        <v>0.0</v>
      </c>
      <c r="AA403" s="39">
        <v>0.0</v>
      </c>
      <c r="AB403" s="35" t="s">
        <v>7045</v>
      </c>
      <c r="AC403" s="30">
        <v>46113.0</v>
      </c>
      <c r="AD403" s="30">
        <v>46203.0</v>
      </c>
      <c r="AE403" s="39">
        <v>0.0</v>
      </c>
      <c r="AF403" s="39">
        <v>0.0</v>
      </c>
      <c r="AG403" s="35" t="s">
        <v>7045</v>
      </c>
      <c r="AH403" s="30">
        <v>46204.0</v>
      </c>
      <c r="AI403" s="30">
        <v>46295.0</v>
      </c>
      <c r="AJ403" s="39">
        <v>0.0</v>
      </c>
      <c r="AK403" s="39">
        <v>0.0</v>
      </c>
      <c r="AL403" s="35" t="s">
        <v>7045</v>
      </c>
      <c r="AM403" s="30">
        <v>46296.0</v>
      </c>
      <c r="AN403" s="30">
        <v>46387.0</v>
      </c>
      <c r="AO403" s="39">
        <v>0.0</v>
      </c>
      <c r="AP403" s="39">
        <v>0.0</v>
      </c>
      <c r="AQ403" s="35" t="s">
        <v>7045</v>
      </c>
      <c r="AR403" s="30">
        <v>46388.0</v>
      </c>
      <c r="AS403" s="30">
        <v>46477.0</v>
      </c>
      <c r="AT403" s="39">
        <v>0.0</v>
      </c>
      <c r="AU403" s="39">
        <v>0.0</v>
      </c>
      <c r="AV403" s="35" t="s">
        <v>7045</v>
      </c>
      <c r="AW403" s="30">
        <v>46478.0</v>
      </c>
      <c r="AX403" s="30">
        <v>46568.0</v>
      </c>
      <c r="AY403" s="39">
        <v>0.0</v>
      </c>
      <c r="AZ403" s="39">
        <v>0.0</v>
      </c>
      <c r="BA403" s="35" t="s">
        <v>7045</v>
      </c>
      <c r="BB403" s="30">
        <v>46569.0</v>
      </c>
      <c r="BC403" s="30">
        <v>46660.0</v>
      </c>
      <c r="BD403" s="39">
        <v>0.0</v>
      </c>
      <c r="BE403" s="39">
        <v>0.0</v>
      </c>
      <c r="BF403" s="35" t="s">
        <v>7045</v>
      </c>
      <c r="BG403" s="30">
        <v>46661.0</v>
      </c>
      <c r="BH403" s="30">
        <v>46752.0</v>
      </c>
      <c r="BI403" s="39">
        <v>0.0</v>
      </c>
      <c r="BJ403" s="39">
        <v>0.0</v>
      </c>
      <c r="BK403" s="35" t="s">
        <v>7045</v>
      </c>
      <c r="BL403" s="30">
        <v>46753.0</v>
      </c>
      <c r="BM403" s="30">
        <v>46843.0</v>
      </c>
      <c r="BN403" s="39">
        <v>0.0</v>
      </c>
      <c r="BO403" s="39">
        <v>0.0</v>
      </c>
      <c r="BP403" s="35" t="s">
        <v>7045</v>
      </c>
      <c r="BQ403" s="30">
        <v>46844.0</v>
      </c>
      <c r="BR403" s="30">
        <v>46934.0</v>
      </c>
      <c r="BS403" s="39">
        <v>0.0</v>
      </c>
      <c r="BT403" s="39">
        <v>0.0</v>
      </c>
      <c r="BU403" s="35" t="s">
        <v>7045</v>
      </c>
      <c r="BV403" s="30">
        <v>46935.0</v>
      </c>
      <c r="BW403" s="30">
        <v>47026.0</v>
      </c>
      <c r="BX403" s="39">
        <v>0.0</v>
      </c>
      <c r="BY403" s="39">
        <v>0.0</v>
      </c>
      <c r="BZ403" s="35" t="s">
        <v>7045</v>
      </c>
      <c r="CA403" s="30">
        <v>47027.0</v>
      </c>
      <c r="CB403" s="30">
        <v>47118.0</v>
      </c>
      <c r="CC403" s="39">
        <v>0.0</v>
      </c>
      <c r="CD403" s="39">
        <v>0.0</v>
      </c>
      <c r="CE403" s="35" t="s">
        <v>7045</v>
      </c>
      <c r="CF403" s="30">
        <v>47119.0</v>
      </c>
      <c r="CG403" s="30">
        <v>47208.0</v>
      </c>
      <c r="CH403" s="39">
        <v>0.0</v>
      </c>
      <c r="CI403" s="39">
        <v>0.0</v>
      </c>
      <c r="CJ403" s="35" t="s">
        <v>7045</v>
      </c>
      <c r="CK403" s="30">
        <v>47209.0</v>
      </c>
      <c r="CL403" s="30">
        <v>47299.0</v>
      </c>
      <c r="CM403" s="39">
        <v>0.0</v>
      </c>
      <c r="CN403" s="39">
        <v>0.0</v>
      </c>
      <c r="CO403" s="35" t="s">
        <v>7045</v>
      </c>
      <c r="CP403" s="30">
        <v>47300.0</v>
      </c>
      <c r="CQ403" s="30">
        <v>47391.0</v>
      </c>
      <c r="CR403" s="39">
        <v>0.0</v>
      </c>
      <c r="CS403" s="39">
        <v>0.0</v>
      </c>
      <c r="CT403" s="35" t="s">
        <v>7045</v>
      </c>
      <c r="CU403" s="30">
        <v>47392.0</v>
      </c>
      <c r="CV403" s="30">
        <v>47483.0</v>
      </c>
      <c r="CW403" s="39">
        <v>0.0</v>
      </c>
      <c r="CX403" s="39">
        <v>0.0</v>
      </c>
      <c r="CY403" s="35" t="s">
        <v>7045</v>
      </c>
      <c r="CZ403" s="30">
        <v>47484.0</v>
      </c>
      <c r="DA403" s="30">
        <v>47573.0</v>
      </c>
      <c r="DB403" s="39">
        <v>0.0</v>
      </c>
      <c r="DC403" s="39">
        <v>0.0</v>
      </c>
      <c r="DD403" s="35" t="s">
        <v>7045</v>
      </c>
      <c r="DE403" s="30">
        <v>47574.0</v>
      </c>
      <c r="DF403" s="30">
        <v>47664.0</v>
      </c>
      <c r="DG403" s="39">
        <v>0.0</v>
      </c>
      <c r="DH403" s="39">
        <v>0.0</v>
      </c>
      <c r="DI403" s="35" t="s">
        <v>7045</v>
      </c>
      <c r="DJ403" s="30">
        <v>47665.0</v>
      </c>
      <c r="DK403" s="30">
        <v>47756.0</v>
      </c>
      <c r="DL403" s="39">
        <v>0.0</v>
      </c>
      <c r="DM403" s="39">
        <v>0.0</v>
      </c>
      <c r="DN403" s="35" t="s">
        <v>7045</v>
      </c>
      <c r="DO403" s="30">
        <v>47757.0</v>
      </c>
      <c r="DP403" s="30">
        <v>47848.0</v>
      </c>
      <c r="DQ403" s="39">
        <v>0.0</v>
      </c>
      <c r="DR403" s="39">
        <v>0.0</v>
      </c>
      <c r="DS403" s="35" t="s">
        <v>7045</v>
      </c>
    </row>
    <row r="404" ht="14.25" customHeight="1">
      <c r="A404" s="28" t="s">
        <v>5906</v>
      </c>
      <c r="B404" s="29" t="s">
        <v>5907</v>
      </c>
      <c r="C404" s="29" t="s">
        <v>7041</v>
      </c>
      <c r="D404" s="30">
        <v>45658.0</v>
      </c>
      <c r="E404" s="30">
        <v>45747.0</v>
      </c>
      <c r="F404" s="39">
        <v>0.0</v>
      </c>
      <c r="G404" s="39">
        <v>0.0</v>
      </c>
      <c r="H404" s="35" t="s">
        <v>7045</v>
      </c>
      <c r="I404" s="30">
        <v>45748.0</v>
      </c>
      <c r="J404" s="30">
        <v>45838.0</v>
      </c>
      <c r="K404" s="39">
        <v>6.47</v>
      </c>
      <c r="L404" s="39">
        <v>53.25</v>
      </c>
      <c r="M404" s="38" t="s">
        <v>7047</v>
      </c>
      <c r="N404" s="30">
        <v>45839.0</v>
      </c>
      <c r="O404" s="30">
        <v>45930.0</v>
      </c>
      <c r="P404" s="39">
        <v>8.97</v>
      </c>
      <c r="Q404" s="39">
        <v>76.62</v>
      </c>
      <c r="R404" s="32" t="s">
        <v>7047</v>
      </c>
      <c r="S404" s="30">
        <v>45931.0</v>
      </c>
      <c r="T404" s="30">
        <v>46022.0</v>
      </c>
      <c r="U404" s="39">
        <v>86.54</v>
      </c>
      <c r="V404" s="39">
        <v>76.62</v>
      </c>
      <c r="W404" s="38" t="s">
        <v>7047</v>
      </c>
      <c r="X404" s="30">
        <v>46023.0</v>
      </c>
      <c r="Y404" s="30">
        <v>46112.0</v>
      </c>
      <c r="Z404" s="39">
        <v>0.0</v>
      </c>
      <c r="AA404" s="39">
        <v>0.0</v>
      </c>
      <c r="AB404" s="35" t="s">
        <v>7045</v>
      </c>
      <c r="AC404" s="30">
        <v>46113.0</v>
      </c>
      <c r="AD404" s="30">
        <v>46203.0</v>
      </c>
      <c r="AE404" s="39">
        <v>0.0</v>
      </c>
      <c r="AF404" s="39">
        <v>0.0</v>
      </c>
      <c r="AG404" s="35" t="s">
        <v>7045</v>
      </c>
      <c r="AH404" s="30">
        <v>46204.0</v>
      </c>
      <c r="AI404" s="30">
        <v>46295.0</v>
      </c>
      <c r="AJ404" s="39">
        <v>0.0</v>
      </c>
      <c r="AK404" s="39">
        <v>0.0</v>
      </c>
      <c r="AL404" s="35" t="s">
        <v>7045</v>
      </c>
      <c r="AM404" s="30">
        <v>46296.0</v>
      </c>
      <c r="AN404" s="30">
        <v>46387.0</v>
      </c>
      <c r="AO404" s="39">
        <v>0.0</v>
      </c>
      <c r="AP404" s="39">
        <v>0.0</v>
      </c>
      <c r="AQ404" s="35" t="s">
        <v>7045</v>
      </c>
      <c r="AR404" s="30">
        <v>46388.0</v>
      </c>
      <c r="AS404" s="30">
        <v>46477.0</v>
      </c>
      <c r="AT404" s="39">
        <v>0.0</v>
      </c>
      <c r="AU404" s="39">
        <v>0.0</v>
      </c>
      <c r="AV404" s="35" t="s">
        <v>7045</v>
      </c>
      <c r="AW404" s="30">
        <v>46478.0</v>
      </c>
      <c r="AX404" s="30">
        <v>46568.0</v>
      </c>
      <c r="AY404" s="39">
        <v>0.0</v>
      </c>
      <c r="AZ404" s="39">
        <v>0.0</v>
      </c>
      <c r="BA404" s="35" t="s">
        <v>7045</v>
      </c>
      <c r="BB404" s="30">
        <v>46569.0</v>
      </c>
      <c r="BC404" s="30">
        <v>46660.0</v>
      </c>
      <c r="BD404" s="39">
        <v>0.0</v>
      </c>
      <c r="BE404" s="39">
        <v>0.0</v>
      </c>
      <c r="BF404" s="35" t="s">
        <v>7045</v>
      </c>
      <c r="BG404" s="30">
        <v>46661.0</v>
      </c>
      <c r="BH404" s="30">
        <v>46752.0</v>
      </c>
      <c r="BI404" s="39">
        <v>0.0</v>
      </c>
      <c r="BJ404" s="39">
        <v>0.0</v>
      </c>
      <c r="BK404" s="35" t="s">
        <v>7045</v>
      </c>
      <c r="BL404" s="30">
        <v>46753.0</v>
      </c>
      <c r="BM404" s="30">
        <v>46843.0</v>
      </c>
      <c r="BN404" s="39">
        <v>0.0</v>
      </c>
      <c r="BO404" s="39">
        <v>0.0</v>
      </c>
      <c r="BP404" s="35" t="s">
        <v>7045</v>
      </c>
      <c r="BQ404" s="30">
        <v>46844.0</v>
      </c>
      <c r="BR404" s="30">
        <v>46934.0</v>
      </c>
      <c r="BS404" s="39">
        <v>0.0</v>
      </c>
      <c r="BT404" s="39">
        <v>0.0</v>
      </c>
      <c r="BU404" s="35" t="s">
        <v>7045</v>
      </c>
      <c r="BV404" s="30">
        <v>46935.0</v>
      </c>
      <c r="BW404" s="30">
        <v>47026.0</v>
      </c>
      <c r="BX404" s="39">
        <v>0.0</v>
      </c>
      <c r="BY404" s="39">
        <v>0.0</v>
      </c>
      <c r="BZ404" s="35" t="s">
        <v>7045</v>
      </c>
      <c r="CA404" s="30">
        <v>47027.0</v>
      </c>
      <c r="CB404" s="30">
        <v>47118.0</v>
      </c>
      <c r="CC404" s="39">
        <v>0.0</v>
      </c>
      <c r="CD404" s="39">
        <v>0.0</v>
      </c>
      <c r="CE404" s="35" t="s">
        <v>7045</v>
      </c>
      <c r="CF404" s="30">
        <v>47119.0</v>
      </c>
      <c r="CG404" s="30">
        <v>47208.0</v>
      </c>
      <c r="CH404" s="39">
        <v>0.0</v>
      </c>
      <c r="CI404" s="39">
        <v>0.0</v>
      </c>
      <c r="CJ404" s="35" t="s">
        <v>7045</v>
      </c>
      <c r="CK404" s="30">
        <v>47209.0</v>
      </c>
      <c r="CL404" s="30">
        <v>47299.0</v>
      </c>
      <c r="CM404" s="39">
        <v>0.0</v>
      </c>
      <c r="CN404" s="39">
        <v>0.0</v>
      </c>
      <c r="CO404" s="35" t="s">
        <v>7045</v>
      </c>
      <c r="CP404" s="30">
        <v>47300.0</v>
      </c>
      <c r="CQ404" s="30">
        <v>47391.0</v>
      </c>
      <c r="CR404" s="39">
        <v>0.0</v>
      </c>
      <c r="CS404" s="39">
        <v>0.0</v>
      </c>
      <c r="CT404" s="35" t="s">
        <v>7045</v>
      </c>
      <c r="CU404" s="30">
        <v>47392.0</v>
      </c>
      <c r="CV404" s="30">
        <v>47483.0</v>
      </c>
      <c r="CW404" s="39">
        <v>0.0</v>
      </c>
      <c r="CX404" s="39">
        <v>0.0</v>
      </c>
      <c r="CY404" s="35" t="s">
        <v>7045</v>
      </c>
      <c r="CZ404" s="30">
        <v>47484.0</v>
      </c>
      <c r="DA404" s="30">
        <v>47573.0</v>
      </c>
      <c r="DB404" s="39">
        <v>0.0</v>
      </c>
      <c r="DC404" s="39">
        <v>0.0</v>
      </c>
      <c r="DD404" s="35" t="s">
        <v>7045</v>
      </c>
      <c r="DE404" s="30">
        <v>47574.0</v>
      </c>
      <c r="DF404" s="30">
        <v>47664.0</v>
      </c>
      <c r="DG404" s="39">
        <v>0.0</v>
      </c>
      <c r="DH404" s="39">
        <v>0.0</v>
      </c>
      <c r="DI404" s="35" t="s">
        <v>7045</v>
      </c>
      <c r="DJ404" s="30">
        <v>47665.0</v>
      </c>
      <c r="DK404" s="30">
        <v>47756.0</v>
      </c>
      <c r="DL404" s="39">
        <v>0.0</v>
      </c>
      <c r="DM404" s="39">
        <v>0.0</v>
      </c>
      <c r="DN404" s="35" t="s">
        <v>7045</v>
      </c>
      <c r="DO404" s="30">
        <v>47757.0</v>
      </c>
      <c r="DP404" s="30">
        <v>47848.0</v>
      </c>
      <c r="DQ404" s="39">
        <v>0.0</v>
      </c>
      <c r="DR404" s="39">
        <v>0.0</v>
      </c>
      <c r="DS404" s="35" t="s">
        <v>7045</v>
      </c>
    </row>
    <row r="405" ht="14.25" customHeight="1">
      <c r="A405" s="28" t="s">
        <v>5966</v>
      </c>
      <c r="B405" s="29" t="s">
        <v>5967</v>
      </c>
      <c r="C405" s="29" t="s">
        <v>7041</v>
      </c>
      <c r="D405" s="30">
        <v>45658.0</v>
      </c>
      <c r="E405" s="30">
        <v>45747.0</v>
      </c>
      <c r="F405" s="39">
        <v>0.0</v>
      </c>
      <c r="G405" s="39">
        <v>0.0</v>
      </c>
      <c r="H405" s="35" t="s">
        <v>7045</v>
      </c>
      <c r="I405" s="30">
        <v>45748.0</v>
      </c>
      <c r="J405" s="30">
        <v>45838.0</v>
      </c>
      <c r="K405" s="39">
        <v>0.0</v>
      </c>
      <c r="L405" s="39">
        <v>0.0</v>
      </c>
      <c r="M405" s="35" t="s">
        <v>7045</v>
      </c>
      <c r="N405" s="30">
        <v>45839.0</v>
      </c>
      <c r="O405" s="30">
        <v>45930.0</v>
      </c>
      <c r="P405" s="39">
        <v>0.0</v>
      </c>
      <c r="Q405" s="39">
        <v>0.0</v>
      </c>
      <c r="R405" s="35" t="s">
        <v>7045</v>
      </c>
      <c r="S405" s="30">
        <v>45931.0</v>
      </c>
      <c r="T405" s="30">
        <v>46022.0</v>
      </c>
      <c r="U405" s="39">
        <v>0.0</v>
      </c>
      <c r="V405" s="39">
        <v>0.0</v>
      </c>
      <c r="W405" s="35" t="s">
        <v>7045</v>
      </c>
      <c r="X405" s="30">
        <v>46023.0</v>
      </c>
      <c r="Y405" s="30">
        <v>46112.0</v>
      </c>
      <c r="Z405" s="39">
        <v>0.0</v>
      </c>
      <c r="AA405" s="39">
        <v>0.0</v>
      </c>
      <c r="AB405" s="35" t="s">
        <v>7045</v>
      </c>
      <c r="AC405" s="30">
        <v>46113.0</v>
      </c>
      <c r="AD405" s="30">
        <v>46203.0</v>
      </c>
      <c r="AE405" s="39">
        <v>0.0</v>
      </c>
      <c r="AF405" s="39">
        <v>0.0</v>
      </c>
      <c r="AG405" s="35" t="s">
        <v>7045</v>
      </c>
      <c r="AH405" s="30">
        <v>46204.0</v>
      </c>
      <c r="AI405" s="30">
        <v>46295.0</v>
      </c>
      <c r="AJ405" s="39">
        <v>0.0</v>
      </c>
      <c r="AK405" s="39">
        <v>0.0</v>
      </c>
      <c r="AL405" s="35" t="s">
        <v>7045</v>
      </c>
      <c r="AM405" s="30">
        <v>46296.0</v>
      </c>
      <c r="AN405" s="30">
        <v>46387.0</v>
      </c>
      <c r="AO405" s="39">
        <v>0.0</v>
      </c>
      <c r="AP405" s="39">
        <v>0.0</v>
      </c>
      <c r="AQ405" s="35" t="s">
        <v>7045</v>
      </c>
      <c r="AR405" s="30">
        <v>46388.0</v>
      </c>
      <c r="AS405" s="30">
        <v>46477.0</v>
      </c>
      <c r="AT405" s="39">
        <v>0.0</v>
      </c>
      <c r="AU405" s="39">
        <v>0.0</v>
      </c>
      <c r="AV405" s="35" t="s">
        <v>7045</v>
      </c>
      <c r="AW405" s="30">
        <v>46478.0</v>
      </c>
      <c r="AX405" s="30">
        <v>46568.0</v>
      </c>
      <c r="AY405" s="39">
        <v>0.0</v>
      </c>
      <c r="AZ405" s="39">
        <v>0.0</v>
      </c>
      <c r="BA405" s="35" t="s">
        <v>7045</v>
      </c>
      <c r="BB405" s="30">
        <v>46569.0</v>
      </c>
      <c r="BC405" s="30">
        <v>46660.0</v>
      </c>
      <c r="BD405" s="39">
        <v>0.0</v>
      </c>
      <c r="BE405" s="39">
        <v>0.0</v>
      </c>
      <c r="BF405" s="35" t="s">
        <v>7045</v>
      </c>
      <c r="BG405" s="30">
        <v>46661.0</v>
      </c>
      <c r="BH405" s="30">
        <v>46752.0</v>
      </c>
      <c r="BI405" s="39">
        <v>0.0</v>
      </c>
      <c r="BJ405" s="39">
        <v>0.0</v>
      </c>
      <c r="BK405" s="35" t="s">
        <v>7045</v>
      </c>
      <c r="BL405" s="30">
        <v>46753.0</v>
      </c>
      <c r="BM405" s="30">
        <v>46843.0</v>
      </c>
      <c r="BN405" s="39">
        <v>0.0</v>
      </c>
      <c r="BO405" s="39">
        <v>0.0</v>
      </c>
      <c r="BP405" s="35" t="s">
        <v>7045</v>
      </c>
      <c r="BQ405" s="30">
        <v>46844.0</v>
      </c>
      <c r="BR405" s="30">
        <v>46934.0</v>
      </c>
      <c r="BS405" s="39">
        <v>0.0</v>
      </c>
      <c r="BT405" s="39">
        <v>0.0</v>
      </c>
      <c r="BU405" s="35" t="s">
        <v>7045</v>
      </c>
      <c r="BV405" s="30">
        <v>46935.0</v>
      </c>
      <c r="BW405" s="30">
        <v>47026.0</v>
      </c>
      <c r="BX405" s="39">
        <v>0.0</v>
      </c>
      <c r="BY405" s="39">
        <v>0.0</v>
      </c>
      <c r="BZ405" s="35" t="s">
        <v>7045</v>
      </c>
      <c r="CA405" s="30">
        <v>47027.0</v>
      </c>
      <c r="CB405" s="30">
        <v>47118.0</v>
      </c>
      <c r="CC405" s="39">
        <v>0.0</v>
      </c>
      <c r="CD405" s="39">
        <v>0.0</v>
      </c>
      <c r="CE405" s="35" t="s">
        <v>7045</v>
      </c>
      <c r="CF405" s="30">
        <v>47119.0</v>
      </c>
      <c r="CG405" s="30">
        <v>47208.0</v>
      </c>
      <c r="CH405" s="39">
        <v>0.0</v>
      </c>
      <c r="CI405" s="39">
        <v>0.0</v>
      </c>
      <c r="CJ405" s="35" t="s">
        <v>7045</v>
      </c>
      <c r="CK405" s="30">
        <v>47209.0</v>
      </c>
      <c r="CL405" s="30">
        <v>47299.0</v>
      </c>
      <c r="CM405" s="39">
        <v>0.0</v>
      </c>
      <c r="CN405" s="39">
        <v>0.0</v>
      </c>
      <c r="CO405" s="35" t="s">
        <v>7045</v>
      </c>
      <c r="CP405" s="30">
        <v>47300.0</v>
      </c>
      <c r="CQ405" s="30">
        <v>47391.0</v>
      </c>
      <c r="CR405" s="39">
        <v>0.0</v>
      </c>
      <c r="CS405" s="39">
        <v>0.0</v>
      </c>
      <c r="CT405" s="35" t="s">
        <v>7045</v>
      </c>
      <c r="CU405" s="30">
        <v>47392.0</v>
      </c>
      <c r="CV405" s="30">
        <v>47483.0</v>
      </c>
      <c r="CW405" s="39">
        <v>0.0</v>
      </c>
      <c r="CX405" s="39">
        <v>0.0</v>
      </c>
      <c r="CY405" s="35" t="s">
        <v>7045</v>
      </c>
      <c r="CZ405" s="30">
        <v>47484.0</v>
      </c>
      <c r="DA405" s="30">
        <v>47573.0</v>
      </c>
      <c r="DB405" s="39">
        <v>0.0</v>
      </c>
      <c r="DC405" s="39">
        <v>0.0</v>
      </c>
      <c r="DD405" s="35" t="s">
        <v>7045</v>
      </c>
      <c r="DE405" s="30">
        <v>47574.0</v>
      </c>
      <c r="DF405" s="30">
        <v>47664.0</v>
      </c>
      <c r="DG405" s="39">
        <v>0.0</v>
      </c>
      <c r="DH405" s="39">
        <v>0.0</v>
      </c>
      <c r="DI405" s="35" t="s">
        <v>7045</v>
      </c>
      <c r="DJ405" s="30">
        <v>47665.0</v>
      </c>
      <c r="DK405" s="30">
        <v>47756.0</v>
      </c>
      <c r="DL405" s="39">
        <v>0.0</v>
      </c>
      <c r="DM405" s="39">
        <v>0.0</v>
      </c>
      <c r="DN405" s="35" t="s">
        <v>7045</v>
      </c>
      <c r="DO405" s="30">
        <v>47757.0</v>
      </c>
      <c r="DP405" s="30">
        <v>47848.0</v>
      </c>
      <c r="DQ405" s="39">
        <v>0.0</v>
      </c>
      <c r="DR405" s="39">
        <v>0.0</v>
      </c>
      <c r="DS405" s="35" t="s">
        <v>7045</v>
      </c>
    </row>
    <row r="406" ht="14.25" customHeight="1">
      <c r="A406" s="28" t="s">
        <v>2243</v>
      </c>
      <c r="B406" s="29" t="s">
        <v>2244</v>
      </c>
      <c r="C406" s="29" t="s">
        <v>7041</v>
      </c>
      <c r="D406" s="30">
        <v>45658.0</v>
      </c>
      <c r="E406" s="30">
        <v>45747.0</v>
      </c>
      <c r="F406" s="36">
        <v>0.0</v>
      </c>
      <c r="G406" s="36">
        <v>0.0</v>
      </c>
      <c r="H406" s="35" t="s">
        <v>7045</v>
      </c>
      <c r="I406" s="30">
        <v>45748.0</v>
      </c>
      <c r="J406" s="30">
        <v>45838.0</v>
      </c>
      <c r="K406" s="36">
        <v>100.0</v>
      </c>
      <c r="L406" s="36">
        <v>666.65</v>
      </c>
      <c r="M406" s="38" t="s">
        <v>7047</v>
      </c>
      <c r="N406" s="30">
        <v>45839.0</v>
      </c>
      <c r="O406" s="30">
        <v>45930.0</v>
      </c>
      <c r="P406" s="36">
        <v>0.0</v>
      </c>
      <c r="Q406" s="36">
        <v>666.65</v>
      </c>
      <c r="R406" s="32" t="s">
        <v>7043</v>
      </c>
      <c r="S406" s="30">
        <v>45931.0</v>
      </c>
      <c r="T406" s="30">
        <v>46022.0</v>
      </c>
      <c r="U406" s="36">
        <v>0.0</v>
      </c>
      <c r="V406" s="36">
        <v>1000.0</v>
      </c>
      <c r="W406" s="32" t="s">
        <v>7043</v>
      </c>
      <c r="X406" s="30">
        <v>46023.0</v>
      </c>
      <c r="Y406" s="30">
        <v>46112.0</v>
      </c>
      <c r="Z406" s="36">
        <v>0.0</v>
      </c>
      <c r="AA406" s="36">
        <v>0.0</v>
      </c>
      <c r="AB406" s="35" t="s">
        <v>7045</v>
      </c>
      <c r="AC406" s="30">
        <v>46113.0</v>
      </c>
      <c r="AD406" s="30">
        <v>46203.0</v>
      </c>
      <c r="AE406" s="36">
        <v>0.0</v>
      </c>
      <c r="AF406" s="36">
        <v>0.0</v>
      </c>
      <c r="AG406" s="35" t="s">
        <v>7045</v>
      </c>
      <c r="AH406" s="30">
        <v>46204.0</v>
      </c>
      <c r="AI406" s="30">
        <v>46295.0</v>
      </c>
      <c r="AJ406" s="36">
        <v>0.0</v>
      </c>
      <c r="AK406" s="36">
        <v>0.0</v>
      </c>
      <c r="AL406" s="35" t="s">
        <v>7045</v>
      </c>
      <c r="AM406" s="30">
        <v>46296.0</v>
      </c>
      <c r="AN406" s="30">
        <v>46387.0</v>
      </c>
      <c r="AO406" s="36">
        <v>0.0</v>
      </c>
      <c r="AP406" s="36">
        <v>0.0</v>
      </c>
      <c r="AQ406" s="35" t="s">
        <v>7045</v>
      </c>
      <c r="AR406" s="30">
        <v>46388.0</v>
      </c>
      <c r="AS406" s="30">
        <v>46477.0</v>
      </c>
      <c r="AT406" s="36">
        <v>0.0</v>
      </c>
      <c r="AU406" s="36">
        <v>0.0</v>
      </c>
      <c r="AV406" s="35" t="s">
        <v>7045</v>
      </c>
      <c r="AW406" s="30">
        <v>46478.0</v>
      </c>
      <c r="AX406" s="30">
        <v>46568.0</v>
      </c>
      <c r="AY406" s="36">
        <v>0.0</v>
      </c>
      <c r="AZ406" s="36">
        <v>0.0</v>
      </c>
      <c r="BA406" s="35" t="s">
        <v>7045</v>
      </c>
      <c r="BB406" s="30">
        <v>46569.0</v>
      </c>
      <c r="BC406" s="30">
        <v>46660.0</v>
      </c>
      <c r="BD406" s="36">
        <v>0.0</v>
      </c>
      <c r="BE406" s="36">
        <v>0.0</v>
      </c>
      <c r="BF406" s="35" t="s">
        <v>7045</v>
      </c>
      <c r="BG406" s="30">
        <v>46661.0</v>
      </c>
      <c r="BH406" s="30">
        <v>46752.0</v>
      </c>
      <c r="BI406" s="36">
        <v>0.0</v>
      </c>
      <c r="BJ406" s="36">
        <v>0.0</v>
      </c>
      <c r="BK406" s="35" t="s">
        <v>7045</v>
      </c>
      <c r="BL406" s="30">
        <v>46753.0</v>
      </c>
      <c r="BM406" s="30">
        <v>46843.0</v>
      </c>
      <c r="BN406" s="36">
        <v>0.0</v>
      </c>
      <c r="BO406" s="36">
        <v>0.0</v>
      </c>
      <c r="BP406" s="35" t="s">
        <v>7045</v>
      </c>
      <c r="BQ406" s="30">
        <v>46844.0</v>
      </c>
      <c r="BR406" s="30">
        <v>46934.0</v>
      </c>
      <c r="BS406" s="36">
        <v>0.0</v>
      </c>
      <c r="BT406" s="36">
        <v>0.0</v>
      </c>
      <c r="BU406" s="35" t="s">
        <v>7045</v>
      </c>
      <c r="BV406" s="30">
        <v>46935.0</v>
      </c>
      <c r="BW406" s="30">
        <v>47026.0</v>
      </c>
      <c r="BX406" s="36">
        <v>0.0</v>
      </c>
      <c r="BY406" s="36">
        <v>0.0</v>
      </c>
      <c r="BZ406" s="35" t="s">
        <v>7045</v>
      </c>
      <c r="CA406" s="30">
        <v>47027.0</v>
      </c>
      <c r="CB406" s="30">
        <v>47118.0</v>
      </c>
      <c r="CC406" s="36">
        <v>0.0</v>
      </c>
      <c r="CD406" s="36">
        <v>0.0</v>
      </c>
      <c r="CE406" s="35" t="s">
        <v>7045</v>
      </c>
      <c r="CF406" s="30">
        <v>47119.0</v>
      </c>
      <c r="CG406" s="30">
        <v>47208.0</v>
      </c>
      <c r="CH406" s="36">
        <v>0.0</v>
      </c>
      <c r="CI406" s="36">
        <v>0.0</v>
      </c>
      <c r="CJ406" s="35" t="s">
        <v>7045</v>
      </c>
      <c r="CK406" s="30">
        <v>47209.0</v>
      </c>
      <c r="CL406" s="30">
        <v>47299.0</v>
      </c>
      <c r="CM406" s="36">
        <v>0.0</v>
      </c>
      <c r="CN406" s="36">
        <v>0.0</v>
      </c>
      <c r="CO406" s="35" t="s">
        <v>7045</v>
      </c>
      <c r="CP406" s="30">
        <v>47300.0</v>
      </c>
      <c r="CQ406" s="30">
        <v>47391.0</v>
      </c>
      <c r="CR406" s="36">
        <v>0.0</v>
      </c>
      <c r="CS406" s="36">
        <v>0.0</v>
      </c>
      <c r="CT406" s="35" t="s">
        <v>7045</v>
      </c>
      <c r="CU406" s="30">
        <v>47392.0</v>
      </c>
      <c r="CV406" s="30">
        <v>47483.0</v>
      </c>
      <c r="CW406" s="36">
        <v>0.0</v>
      </c>
      <c r="CX406" s="36">
        <v>0.0</v>
      </c>
      <c r="CY406" s="35" t="s">
        <v>7045</v>
      </c>
      <c r="CZ406" s="30">
        <v>47484.0</v>
      </c>
      <c r="DA406" s="30">
        <v>47573.0</v>
      </c>
      <c r="DB406" s="36">
        <v>0.0</v>
      </c>
      <c r="DC406" s="36">
        <v>0.0</v>
      </c>
      <c r="DD406" s="35" t="s">
        <v>7045</v>
      </c>
      <c r="DE406" s="30">
        <v>47574.0</v>
      </c>
      <c r="DF406" s="30">
        <v>47664.0</v>
      </c>
      <c r="DG406" s="36">
        <v>0.0</v>
      </c>
      <c r="DH406" s="36">
        <v>0.0</v>
      </c>
      <c r="DI406" s="35" t="s">
        <v>7045</v>
      </c>
      <c r="DJ406" s="30">
        <v>47665.0</v>
      </c>
      <c r="DK406" s="30">
        <v>47756.0</v>
      </c>
      <c r="DL406" s="36">
        <v>0.0</v>
      </c>
      <c r="DM406" s="36">
        <v>0.0</v>
      </c>
      <c r="DN406" s="35" t="s">
        <v>7045</v>
      </c>
      <c r="DO406" s="30">
        <v>47757.0</v>
      </c>
      <c r="DP406" s="30">
        <v>47848.0</v>
      </c>
      <c r="DQ406" s="36">
        <v>0.0</v>
      </c>
      <c r="DR406" s="36">
        <v>0.0</v>
      </c>
      <c r="DS406" s="35" t="s">
        <v>7045</v>
      </c>
    </row>
    <row r="407" ht="14.25" customHeight="1">
      <c r="A407" s="28" t="s">
        <v>2352</v>
      </c>
      <c r="B407" s="29" t="s">
        <v>2353</v>
      </c>
      <c r="C407" s="29" t="s">
        <v>7041</v>
      </c>
      <c r="D407" s="30">
        <v>45658.0</v>
      </c>
      <c r="E407" s="30">
        <v>45747.0</v>
      </c>
      <c r="F407" s="39">
        <v>0.12</v>
      </c>
      <c r="G407" s="39">
        <v>0.0</v>
      </c>
      <c r="H407" s="38" t="s">
        <v>7047</v>
      </c>
      <c r="I407" s="30">
        <v>45748.0</v>
      </c>
      <c r="J407" s="30">
        <v>45838.0</v>
      </c>
      <c r="K407" s="39">
        <v>1.77</v>
      </c>
      <c r="L407" s="39">
        <v>183.33</v>
      </c>
      <c r="M407" s="32" t="s">
        <v>7043</v>
      </c>
      <c r="N407" s="30">
        <v>45839.0</v>
      </c>
      <c r="O407" s="30">
        <v>45930.0</v>
      </c>
      <c r="P407" s="39">
        <v>54.38</v>
      </c>
      <c r="Q407" s="39">
        <v>256.67</v>
      </c>
      <c r="R407" s="38" t="s">
        <v>7047</v>
      </c>
      <c r="S407" s="30">
        <v>45931.0</v>
      </c>
      <c r="T407" s="30">
        <v>46022.0</v>
      </c>
      <c r="U407" s="39">
        <v>174.0</v>
      </c>
      <c r="V407" s="39">
        <v>133.33</v>
      </c>
      <c r="W407" s="38" t="s">
        <v>7047</v>
      </c>
      <c r="X407" s="30">
        <v>46023.0</v>
      </c>
      <c r="Y407" s="30">
        <v>46112.0</v>
      </c>
      <c r="Z407" s="39">
        <v>17.45</v>
      </c>
      <c r="AA407" s="39">
        <v>0.0</v>
      </c>
      <c r="AB407" s="38" t="s">
        <v>7047</v>
      </c>
      <c r="AC407" s="30">
        <v>46113.0</v>
      </c>
      <c r="AD407" s="30">
        <v>46203.0</v>
      </c>
      <c r="AE407" s="39">
        <v>0.0</v>
      </c>
      <c r="AF407" s="39">
        <v>0.0</v>
      </c>
      <c r="AG407" s="35" t="s">
        <v>7045</v>
      </c>
      <c r="AH407" s="30">
        <v>46204.0</v>
      </c>
      <c r="AI407" s="30">
        <v>46295.0</v>
      </c>
      <c r="AJ407" s="39">
        <v>0.0</v>
      </c>
      <c r="AK407" s="39">
        <v>0.0</v>
      </c>
      <c r="AL407" s="35" t="s">
        <v>7045</v>
      </c>
      <c r="AM407" s="30">
        <v>46296.0</v>
      </c>
      <c r="AN407" s="30">
        <v>46387.0</v>
      </c>
      <c r="AO407" s="39">
        <v>0.0</v>
      </c>
      <c r="AP407" s="39">
        <v>0.0</v>
      </c>
      <c r="AQ407" s="35" t="s">
        <v>7045</v>
      </c>
      <c r="AR407" s="30">
        <v>46388.0</v>
      </c>
      <c r="AS407" s="30">
        <v>46477.0</v>
      </c>
      <c r="AT407" s="39">
        <v>0.0</v>
      </c>
      <c r="AU407" s="39">
        <v>0.0</v>
      </c>
      <c r="AV407" s="35" t="s">
        <v>7045</v>
      </c>
      <c r="AW407" s="30">
        <v>46478.0</v>
      </c>
      <c r="AX407" s="30">
        <v>46568.0</v>
      </c>
      <c r="AY407" s="39">
        <v>0.0</v>
      </c>
      <c r="AZ407" s="39">
        <v>0.0</v>
      </c>
      <c r="BA407" s="35" t="s">
        <v>7045</v>
      </c>
      <c r="BB407" s="30">
        <v>46569.0</v>
      </c>
      <c r="BC407" s="30">
        <v>46660.0</v>
      </c>
      <c r="BD407" s="39">
        <v>0.0</v>
      </c>
      <c r="BE407" s="39">
        <v>0.0</v>
      </c>
      <c r="BF407" s="35" t="s">
        <v>7045</v>
      </c>
      <c r="BG407" s="30">
        <v>46661.0</v>
      </c>
      <c r="BH407" s="30">
        <v>46752.0</v>
      </c>
      <c r="BI407" s="39">
        <v>0.0</v>
      </c>
      <c r="BJ407" s="39">
        <v>0.0</v>
      </c>
      <c r="BK407" s="35" t="s">
        <v>7045</v>
      </c>
      <c r="BL407" s="30">
        <v>46753.0</v>
      </c>
      <c r="BM407" s="30">
        <v>46843.0</v>
      </c>
      <c r="BN407" s="39">
        <v>0.0</v>
      </c>
      <c r="BO407" s="39">
        <v>0.0</v>
      </c>
      <c r="BP407" s="35" t="s">
        <v>7045</v>
      </c>
      <c r="BQ407" s="30">
        <v>46844.0</v>
      </c>
      <c r="BR407" s="30">
        <v>46934.0</v>
      </c>
      <c r="BS407" s="39">
        <v>0.0</v>
      </c>
      <c r="BT407" s="39">
        <v>0.0</v>
      </c>
      <c r="BU407" s="35" t="s">
        <v>7045</v>
      </c>
      <c r="BV407" s="30">
        <v>46935.0</v>
      </c>
      <c r="BW407" s="30">
        <v>47026.0</v>
      </c>
      <c r="BX407" s="39">
        <v>0.0</v>
      </c>
      <c r="BY407" s="39">
        <v>0.0</v>
      </c>
      <c r="BZ407" s="35" t="s">
        <v>7045</v>
      </c>
      <c r="CA407" s="30">
        <v>47027.0</v>
      </c>
      <c r="CB407" s="30">
        <v>47118.0</v>
      </c>
      <c r="CC407" s="39">
        <v>0.0</v>
      </c>
      <c r="CD407" s="39">
        <v>0.0</v>
      </c>
      <c r="CE407" s="35" t="s">
        <v>7045</v>
      </c>
      <c r="CF407" s="30">
        <v>47119.0</v>
      </c>
      <c r="CG407" s="30">
        <v>47208.0</v>
      </c>
      <c r="CH407" s="39">
        <v>0.0</v>
      </c>
      <c r="CI407" s="39">
        <v>0.0</v>
      </c>
      <c r="CJ407" s="35" t="s">
        <v>7045</v>
      </c>
      <c r="CK407" s="30">
        <v>47209.0</v>
      </c>
      <c r="CL407" s="30">
        <v>47299.0</v>
      </c>
      <c r="CM407" s="39">
        <v>0.0</v>
      </c>
      <c r="CN407" s="39">
        <v>0.0</v>
      </c>
      <c r="CO407" s="35" t="s">
        <v>7045</v>
      </c>
      <c r="CP407" s="30">
        <v>47300.0</v>
      </c>
      <c r="CQ407" s="30">
        <v>47391.0</v>
      </c>
      <c r="CR407" s="39">
        <v>0.0</v>
      </c>
      <c r="CS407" s="39">
        <v>0.0</v>
      </c>
      <c r="CT407" s="35" t="s">
        <v>7045</v>
      </c>
      <c r="CU407" s="30">
        <v>47392.0</v>
      </c>
      <c r="CV407" s="30">
        <v>47483.0</v>
      </c>
      <c r="CW407" s="39">
        <v>0.0</v>
      </c>
      <c r="CX407" s="39">
        <v>0.0</v>
      </c>
      <c r="CY407" s="35" t="s">
        <v>7045</v>
      </c>
      <c r="CZ407" s="30">
        <v>47484.0</v>
      </c>
      <c r="DA407" s="30">
        <v>47573.0</v>
      </c>
      <c r="DB407" s="39">
        <v>0.0</v>
      </c>
      <c r="DC407" s="39">
        <v>0.0</v>
      </c>
      <c r="DD407" s="35" t="s">
        <v>7045</v>
      </c>
      <c r="DE407" s="30">
        <v>47574.0</v>
      </c>
      <c r="DF407" s="30">
        <v>47664.0</v>
      </c>
      <c r="DG407" s="39">
        <v>0.0</v>
      </c>
      <c r="DH407" s="39">
        <v>0.0</v>
      </c>
      <c r="DI407" s="35" t="s">
        <v>7045</v>
      </c>
      <c r="DJ407" s="30">
        <v>47665.0</v>
      </c>
      <c r="DK407" s="30">
        <v>47756.0</v>
      </c>
      <c r="DL407" s="39">
        <v>0.0</v>
      </c>
      <c r="DM407" s="39">
        <v>0.0</v>
      </c>
      <c r="DN407" s="35" t="s">
        <v>7045</v>
      </c>
      <c r="DO407" s="30">
        <v>47757.0</v>
      </c>
      <c r="DP407" s="30">
        <v>47848.0</v>
      </c>
      <c r="DQ407" s="39">
        <v>0.0</v>
      </c>
      <c r="DR407" s="39">
        <v>0.0</v>
      </c>
      <c r="DS407" s="35" t="s">
        <v>7045</v>
      </c>
    </row>
    <row r="408" ht="14.25" customHeight="1">
      <c r="A408" s="28" t="s">
        <v>3771</v>
      </c>
      <c r="B408" s="29" t="s">
        <v>3772</v>
      </c>
      <c r="C408" s="29" t="s">
        <v>7041</v>
      </c>
      <c r="D408" s="30">
        <v>45658.0</v>
      </c>
      <c r="E408" s="30">
        <v>45747.0</v>
      </c>
      <c r="F408" s="39">
        <v>0.73</v>
      </c>
      <c r="G408" s="39">
        <v>0.0</v>
      </c>
      <c r="H408" s="38" t="s">
        <v>7047</v>
      </c>
      <c r="I408" s="30">
        <v>45748.0</v>
      </c>
      <c r="J408" s="30">
        <v>45838.0</v>
      </c>
      <c r="K408" s="39">
        <v>5.85</v>
      </c>
      <c r="L408" s="39">
        <v>178.29</v>
      </c>
      <c r="M408" s="32" t="s">
        <v>7043</v>
      </c>
      <c r="N408" s="30">
        <v>45839.0</v>
      </c>
      <c r="O408" s="30">
        <v>45930.0</v>
      </c>
      <c r="P408" s="39">
        <v>6.57</v>
      </c>
      <c r="Q408" s="39">
        <v>178.29</v>
      </c>
      <c r="R408" s="32" t="s">
        <v>7047</v>
      </c>
      <c r="S408" s="30">
        <v>45931.0</v>
      </c>
      <c r="T408" s="30">
        <v>46022.0</v>
      </c>
      <c r="U408" s="39">
        <v>41.71</v>
      </c>
      <c r="V408" s="39">
        <v>178.29</v>
      </c>
      <c r="W408" s="38" t="s">
        <v>7047</v>
      </c>
      <c r="X408" s="30">
        <v>46023.0</v>
      </c>
      <c r="Y408" s="30">
        <v>46112.0</v>
      </c>
      <c r="Z408" s="39">
        <v>0.72</v>
      </c>
      <c r="AA408" s="39">
        <v>0.0</v>
      </c>
      <c r="AB408" s="38" t="s">
        <v>7047</v>
      </c>
      <c r="AC408" s="30">
        <v>46113.0</v>
      </c>
      <c r="AD408" s="30">
        <v>46203.0</v>
      </c>
      <c r="AE408" s="39">
        <v>13.0</v>
      </c>
      <c r="AF408" s="39">
        <v>0.0</v>
      </c>
      <c r="AG408" s="35" t="s">
        <v>7047</v>
      </c>
      <c r="AH408" s="30">
        <v>46204.0</v>
      </c>
      <c r="AI408" s="30">
        <v>46295.0</v>
      </c>
      <c r="AJ408" s="39">
        <v>0.0</v>
      </c>
      <c r="AK408" s="39">
        <v>0.0</v>
      </c>
      <c r="AL408" s="35" t="s">
        <v>7045</v>
      </c>
      <c r="AM408" s="30">
        <v>46296.0</v>
      </c>
      <c r="AN408" s="30">
        <v>46387.0</v>
      </c>
      <c r="AO408" s="39">
        <v>0.0</v>
      </c>
      <c r="AP408" s="39">
        <v>0.0</v>
      </c>
      <c r="AQ408" s="35" t="s">
        <v>7045</v>
      </c>
      <c r="AR408" s="30">
        <v>46388.0</v>
      </c>
      <c r="AS408" s="30">
        <v>46477.0</v>
      </c>
      <c r="AT408" s="39">
        <v>0.0</v>
      </c>
      <c r="AU408" s="39">
        <v>0.0</v>
      </c>
      <c r="AV408" s="35" t="s">
        <v>7045</v>
      </c>
      <c r="AW408" s="30">
        <v>46478.0</v>
      </c>
      <c r="AX408" s="30">
        <v>46568.0</v>
      </c>
      <c r="AY408" s="39">
        <v>0.0</v>
      </c>
      <c r="AZ408" s="39">
        <v>0.0</v>
      </c>
      <c r="BA408" s="35" t="s">
        <v>7045</v>
      </c>
      <c r="BB408" s="30">
        <v>46569.0</v>
      </c>
      <c r="BC408" s="30">
        <v>46660.0</v>
      </c>
      <c r="BD408" s="39">
        <v>0.0</v>
      </c>
      <c r="BE408" s="39">
        <v>0.0</v>
      </c>
      <c r="BF408" s="35" t="s">
        <v>7045</v>
      </c>
      <c r="BG408" s="30">
        <v>46661.0</v>
      </c>
      <c r="BH408" s="30">
        <v>46752.0</v>
      </c>
      <c r="BI408" s="39">
        <v>0.0</v>
      </c>
      <c r="BJ408" s="39">
        <v>0.0</v>
      </c>
      <c r="BK408" s="35" t="s">
        <v>7045</v>
      </c>
      <c r="BL408" s="30">
        <v>46753.0</v>
      </c>
      <c r="BM408" s="30">
        <v>46843.0</v>
      </c>
      <c r="BN408" s="39">
        <v>0.0</v>
      </c>
      <c r="BO408" s="39">
        <v>0.0</v>
      </c>
      <c r="BP408" s="35" t="s">
        <v>7045</v>
      </c>
      <c r="BQ408" s="30">
        <v>46844.0</v>
      </c>
      <c r="BR408" s="30">
        <v>46934.0</v>
      </c>
      <c r="BS408" s="39">
        <v>0.0</v>
      </c>
      <c r="BT408" s="39">
        <v>0.0</v>
      </c>
      <c r="BU408" s="35" t="s">
        <v>7045</v>
      </c>
      <c r="BV408" s="30">
        <v>46935.0</v>
      </c>
      <c r="BW408" s="30">
        <v>47026.0</v>
      </c>
      <c r="BX408" s="39">
        <v>0.0</v>
      </c>
      <c r="BY408" s="39">
        <v>0.0</v>
      </c>
      <c r="BZ408" s="35" t="s">
        <v>7045</v>
      </c>
      <c r="CA408" s="30">
        <v>47027.0</v>
      </c>
      <c r="CB408" s="30">
        <v>47118.0</v>
      </c>
      <c r="CC408" s="39">
        <v>0.0</v>
      </c>
      <c r="CD408" s="39">
        <v>0.0</v>
      </c>
      <c r="CE408" s="35" t="s">
        <v>7045</v>
      </c>
      <c r="CF408" s="30">
        <v>47119.0</v>
      </c>
      <c r="CG408" s="30">
        <v>47208.0</v>
      </c>
      <c r="CH408" s="39">
        <v>0.0</v>
      </c>
      <c r="CI408" s="39">
        <v>0.0</v>
      </c>
      <c r="CJ408" s="35" t="s">
        <v>7045</v>
      </c>
      <c r="CK408" s="30">
        <v>47209.0</v>
      </c>
      <c r="CL408" s="30">
        <v>47299.0</v>
      </c>
      <c r="CM408" s="39">
        <v>0.0</v>
      </c>
      <c r="CN408" s="39">
        <v>0.0</v>
      </c>
      <c r="CO408" s="35" t="s">
        <v>7045</v>
      </c>
      <c r="CP408" s="30">
        <v>47300.0</v>
      </c>
      <c r="CQ408" s="30">
        <v>47391.0</v>
      </c>
      <c r="CR408" s="39">
        <v>0.0</v>
      </c>
      <c r="CS408" s="39">
        <v>0.0</v>
      </c>
      <c r="CT408" s="35" t="s">
        <v>7045</v>
      </c>
      <c r="CU408" s="30">
        <v>47392.0</v>
      </c>
      <c r="CV408" s="30">
        <v>47483.0</v>
      </c>
      <c r="CW408" s="39">
        <v>0.0</v>
      </c>
      <c r="CX408" s="39">
        <v>0.0</v>
      </c>
      <c r="CY408" s="35" t="s">
        <v>7045</v>
      </c>
      <c r="CZ408" s="30">
        <v>47484.0</v>
      </c>
      <c r="DA408" s="30">
        <v>47573.0</v>
      </c>
      <c r="DB408" s="39">
        <v>0.0</v>
      </c>
      <c r="DC408" s="39">
        <v>0.0</v>
      </c>
      <c r="DD408" s="35" t="s">
        <v>7045</v>
      </c>
      <c r="DE408" s="30">
        <v>47574.0</v>
      </c>
      <c r="DF408" s="30">
        <v>47664.0</v>
      </c>
      <c r="DG408" s="39">
        <v>0.0</v>
      </c>
      <c r="DH408" s="39">
        <v>0.0</v>
      </c>
      <c r="DI408" s="35" t="s">
        <v>7045</v>
      </c>
      <c r="DJ408" s="30">
        <v>47665.0</v>
      </c>
      <c r="DK408" s="30">
        <v>47756.0</v>
      </c>
      <c r="DL408" s="39">
        <v>0.0</v>
      </c>
      <c r="DM408" s="39">
        <v>0.0</v>
      </c>
      <c r="DN408" s="35" t="s">
        <v>7045</v>
      </c>
      <c r="DO408" s="30">
        <v>47757.0</v>
      </c>
      <c r="DP408" s="30">
        <v>47848.0</v>
      </c>
      <c r="DQ408" s="39">
        <v>0.0</v>
      </c>
      <c r="DR408" s="39">
        <v>0.0</v>
      </c>
      <c r="DS408" s="35" t="s">
        <v>7045</v>
      </c>
    </row>
    <row r="409" ht="14.25" customHeight="1">
      <c r="A409" s="28" t="s">
        <v>3183</v>
      </c>
      <c r="B409" s="29" t="s">
        <v>3184</v>
      </c>
      <c r="C409" s="29" t="s">
        <v>7041</v>
      </c>
      <c r="D409" s="30">
        <v>45658.0</v>
      </c>
      <c r="E409" s="30">
        <v>45747.0</v>
      </c>
      <c r="F409" s="36">
        <v>0.0</v>
      </c>
      <c r="G409" s="36">
        <v>0.0</v>
      </c>
      <c r="H409" s="35" t="s">
        <v>7045</v>
      </c>
      <c r="I409" s="30">
        <v>45748.0</v>
      </c>
      <c r="J409" s="30">
        <v>45838.0</v>
      </c>
      <c r="K409" s="36">
        <v>22.84</v>
      </c>
      <c r="L409" s="36">
        <v>666.65</v>
      </c>
      <c r="M409" s="32" t="s">
        <v>7043</v>
      </c>
      <c r="N409" s="30">
        <v>45839.0</v>
      </c>
      <c r="O409" s="30">
        <v>45930.0</v>
      </c>
      <c r="P409" s="36">
        <v>45.51</v>
      </c>
      <c r="Q409" s="36">
        <v>499.98</v>
      </c>
      <c r="R409" s="38" t="s">
        <v>7047</v>
      </c>
      <c r="S409" s="30">
        <v>45931.0</v>
      </c>
      <c r="T409" s="30">
        <v>46022.0</v>
      </c>
      <c r="U409" s="36">
        <v>0.0</v>
      </c>
      <c r="V409" s="36">
        <v>499.98</v>
      </c>
      <c r="W409" s="32" t="s">
        <v>7043</v>
      </c>
      <c r="X409" s="30">
        <v>46023.0</v>
      </c>
      <c r="Y409" s="30">
        <v>46112.0</v>
      </c>
      <c r="Z409" s="36">
        <v>0.0</v>
      </c>
      <c r="AA409" s="36">
        <v>0.0</v>
      </c>
      <c r="AB409" s="35" t="s">
        <v>7045</v>
      </c>
      <c r="AC409" s="30">
        <v>46113.0</v>
      </c>
      <c r="AD409" s="30">
        <v>46203.0</v>
      </c>
      <c r="AE409" s="36">
        <v>0.0</v>
      </c>
      <c r="AF409" s="36">
        <v>0.0</v>
      </c>
      <c r="AG409" s="35" t="s">
        <v>7045</v>
      </c>
      <c r="AH409" s="30">
        <v>46204.0</v>
      </c>
      <c r="AI409" s="30">
        <v>46295.0</v>
      </c>
      <c r="AJ409" s="36">
        <v>0.0</v>
      </c>
      <c r="AK409" s="36">
        <v>0.0</v>
      </c>
      <c r="AL409" s="35" t="s">
        <v>7045</v>
      </c>
      <c r="AM409" s="30">
        <v>46296.0</v>
      </c>
      <c r="AN409" s="30">
        <v>46387.0</v>
      </c>
      <c r="AO409" s="36">
        <v>0.0</v>
      </c>
      <c r="AP409" s="36">
        <v>0.0</v>
      </c>
      <c r="AQ409" s="35" t="s">
        <v>7045</v>
      </c>
      <c r="AR409" s="30">
        <v>46388.0</v>
      </c>
      <c r="AS409" s="30">
        <v>46477.0</v>
      </c>
      <c r="AT409" s="36">
        <v>0.0</v>
      </c>
      <c r="AU409" s="36">
        <v>0.0</v>
      </c>
      <c r="AV409" s="35" t="s">
        <v>7045</v>
      </c>
      <c r="AW409" s="30">
        <v>46478.0</v>
      </c>
      <c r="AX409" s="30">
        <v>46568.0</v>
      </c>
      <c r="AY409" s="36">
        <v>0.0</v>
      </c>
      <c r="AZ409" s="36">
        <v>0.0</v>
      </c>
      <c r="BA409" s="35" t="s">
        <v>7045</v>
      </c>
      <c r="BB409" s="30">
        <v>46569.0</v>
      </c>
      <c r="BC409" s="30">
        <v>46660.0</v>
      </c>
      <c r="BD409" s="36">
        <v>0.0</v>
      </c>
      <c r="BE409" s="36">
        <v>0.0</v>
      </c>
      <c r="BF409" s="35" t="s">
        <v>7045</v>
      </c>
      <c r="BG409" s="30">
        <v>46661.0</v>
      </c>
      <c r="BH409" s="30">
        <v>46752.0</v>
      </c>
      <c r="BI409" s="36">
        <v>0.0</v>
      </c>
      <c r="BJ409" s="36">
        <v>0.0</v>
      </c>
      <c r="BK409" s="35" t="s">
        <v>7045</v>
      </c>
      <c r="BL409" s="30">
        <v>46753.0</v>
      </c>
      <c r="BM409" s="30">
        <v>46843.0</v>
      </c>
      <c r="BN409" s="36">
        <v>0.0</v>
      </c>
      <c r="BO409" s="36">
        <v>0.0</v>
      </c>
      <c r="BP409" s="35" t="s">
        <v>7045</v>
      </c>
      <c r="BQ409" s="30">
        <v>46844.0</v>
      </c>
      <c r="BR409" s="30">
        <v>46934.0</v>
      </c>
      <c r="BS409" s="36">
        <v>0.0</v>
      </c>
      <c r="BT409" s="36">
        <v>0.0</v>
      </c>
      <c r="BU409" s="35" t="s">
        <v>7045</v>
      </c>
      <c r="BV409" s="30">
        <v>46935.0</v>
      </c>
      <c r="BW409" s="30">
        <v>47026.0</v>
      </c>
      <c r="BX409" s="36">
        <v>0.0</v>
      </c>
      <c r="BY409" s="36">
        <v>0.0</v>
      </c>
      <c r="BZ409" s="35" t="s">
        <v>7045</v>
      </c>
      <c r="CA409" s="30">
        <v>47027.0</v>
      </c>
      <c r="CB409" s="30">
        <v>47118.0</v>
      </c>
      <c r="CC409" s="36">
        <v>0.0</v>
      </c>
      <c r="CD409" s="36">
        <v>0.0</v>
      </c>
      <c r="CE409" s="35" t="s">
        <v>7045</v>
      </c>
      <c r="CF409" s="30">
        <v>47119.0</v>
      </c>
      <c r="CG409" s="30">
        <v>47208.0</v>
      </c>
      <c r="CH409" s="36">
        <v>0.0</v>
      </c>
      <c r="CI409" s="36">
        <v>0.0</v>
      </c>
      <c r="CJ409" s="35" t="s">
        <v>7045</v>
      </c>
      <c r="CK409" s="30">
        <v>47209.0</v>
      </c>
      <c r="CL409" s="30">
        <v>47299.0</v>
      </c>
      <c r="CM409" s="36">
        <v>0.0</v>
      </c>
      <c r="CN409" s="36">
        <v>0.0</v>
      </c>
      <c r="CO409" s="35" t="s">
        <v>7045</v>
      </c>
      <c r="CP409" s="30">
        <v>47300.0</v>
      </c>
      <c r="CQ409" s="30">
        <v>47391.0</v>
      </c>
      <c r="CR409" s="36">
        <v>0.0</v>
      </c>
      <c r="CS409" s="36">
        <v>0.0</v>
      </c>
      <c r="CT409" s="35" t="s">
        <v>7045</v>
      </c>
      <c r="CU409" s="30">
        <v>47392.0</v>
      </c>
      <c r="CV409" s="30">
        <v>47483.0</v>
      </c>
      <c r="CW409" s="36">
        <v>0.0</v>
      </c>
      <c r="CX409" s="36">
        <v>0.0</v>
      </c>
      <c r="CY409" s="35" t="s">
        <v>7045</v>
      </c>
      <c r="CZ409" s="30">
        <v>47484.0</v>
      </c>
      <c r="DA409" s="30">
        <v>47573.0</v>
      </c>
      <c r="DB409" s="36">
        <v>0.0</v>
      </c>
      <c r="DC409" s="36">
        <v>0.0</v>
      </c>
      <c r="DD409" s="35" t="s">
        <v>7045</v>
      </c>
      <c r="DE409" s="30">
        <v>47574.0</v>
      </c>
      <c r="DF409" s="30">
        <v>47664.0</v>
      </c>
      <c r="DG409" s="36">
        <v>0.0</v>
      </c>
      <c r="DH409" s="36">
        <v>0.0</v>
      </c>
      <c r="DI409" s="35" t="s">
        <v>7045</v>
      </c>
      <c r="DJ409" s="30">
        <v>47665.0</v>
      </c>
      <c r="DK409" s="30">
        <v>47756.0</v>
      </c>
      <c r="DL409" s="36">
        <v>0.0</v>
      </c>
      <c r="DM409" s="36">
        <v>0.0</v>
      </c>
      <c r="DN409" s="35" t="s">
        <v>7045</v>
      </c>
      <c r="DO409" s="30">
        <v>47757.0</v>
      </c>
      <c r="DP409" s="30">
        <v>47848.0</v>
      </c>
      <c r="DQ409" s="36">
        <v>0.0</v>
      </c>
      <c r="DR409" s="36">
        <v>0.0</v>
      </c>
      <c r="DS409" s="35" t="s">
        <v>7045</v>
      </c>
    </row>
    <row r="410" ht="14.25" customHeight="1">
      <c r="A410" s="28" t="s">
        <v>2304</v>
      </c>
      <c r="B410" s="29" t="s">
        <v>2305</v>
      </c>
      <c r="C410" s="29" t="s">
        <v>7041</v>
      </c>
      <c r="D410" s="30">
        <v>45658.0</v>
      </c>
      <c r="E410" s="30">
        <v>45747.0</v>
      </c>
      <c r="F410" s="36">
        <v>12.29</v>
      </c>
      <c r="G410" s="36">
        <v>0.0</v>
      </c>
      <c r="H410" s="38" t="s">
        <v>7047</v>
      </c>
      <c r="I410" s="30">
        <v>45748.0</v>
      </c>
      <c r="J410" s="30">
        <v>45838.0</v>
      </c>
      <c r="K410" s="36">
        <v>1.54</v>
      </c>
      <c r="L410" s="36">
        <v>335.69</v>
      </c>
      <c r="M410" s="32" t="s">
        <v>7043</v>
      </c>
      <c r="N410" s="30">
        <v>45839.0</v>
      </c>
      <c r="O410" s="30">
        <v>45930.0</v>
      </c>
      <c r="P410" s="36">
        <v>90.92</v>
      </c>
      <c r="Q410" s="36">
        <v>432.86</v>
      </c>
      <c r="R410" s="38" t="s">
        <v>7047</v>
      </c>
      <c r="S410" s="30">
        <v>45931.0</v>
      </c>
      <c r="T410" s="30">
        <v>46022.0</v>
      </c>
      <c r="U410" s="36">
        <v>7.42</v>
      </c>
      <c r="V410" s="36">
        <v>563.43</v>
      </c>
      <c r="W410" s="38" t="s">
        <v>7047</v>
      </c>
      <c r="X410" s="30">
        <v>46023.0</v>
      </c>
      <c r="Y410" s="30">
        <v>46112.0</v>
      </c>
      <c r="Z410" s="36">
        <v>4.85</v>
      </c>
      <c r="AA410" s="36">
        <v>0.0</v>
      </c>
      <c r="AB410" s="38" t="s">
        <v>7047</v>
      </c>
      <c r="AC410" s="30">
        <v>46113.0</v>
      </c>
      <c r="AD410" s="30">
        <v>46203.0</v>
      </c>
      <c r="AE410" s="36">
        <v>411.19</v>
      </c>
      <c r="AF410" s="36">
        <v>0.0</v>
      </c>
      <c r="AG410" s="38" t="s">
        <v>7047</v>
      </c>
      <c r="AH410" s="30">
        <v>46204.0</v>
      </c>
      <c r="AI410" s="30">
        <v>46295.0</v>
      </c>
      <c r="AJ410" s="36">
        <v>0.0</v>
      </c>
      <c r="AK410" s="36">
        <v>0.0</v>
      </c>
      <c r="AL410" s="35" t="s">
        <v>7045</v>
      </c>
      <c r="AM410" s="30">
        <v>46296.0</v>
      </c>
      <c r="AN410" s="30">
        <v>46387.0</v>
      </c>
      <c r="AO410" s="36">
        <v>0.0</v>
      </c>
      <c r="AP410" s="36">
        <v>0.0</v>
      </c>
      <c r="AQ410" s="35" t="s">
        <v>7045</v>
      </c>
      <c r="AR410" s="30">
        <v>46388.0</v>
      </c>
      <c r="AS410" s="30">
        <v>46477.0</v>
      </c>
      <c r="AT410" s="36">
        <v>0.0</v>
      </c>
      <c r="AU410" s="36">
        <v>0.0</v>
      </c>
      <c r="AV410" s="35" t="s">
        <v>7045</v>
      </c>
      <c r="AW410" s="30">
        <v>46478.0</v>
      </c>
      <c r="AX410" s="30">
        <v>46568.0</v>
      </c>
      <c r="AY410" s="36">
        <v>0.0</v>
      </c>
      <c r="AZ410" s="36">
        <v>0.0</v>
      </c>
      <c r="BA410" s="35" t="s">
        <v>7045</v>
      </c>
      <c r="BB410" s="30">
        <v>46569.0</v>
      </c>
      <c r="BC410" s="30">
        <v>46660.0</v>
      </c>
      <c r="BD410" s="36">
        <v>0.0</v>
      </c>
      <c r="BE410" s="36">
        <v>0.0</v>
      </c>
      <c r="BF410" s="35" t="s">
        <v>7045</v>
      </c>
      <c r="BG410" s="30">
        <v>46661.0</v>
      </c>
      <c r="BH410" s="30">
        <v>46752.0</v>
      </c>
      <c r="BI410" s="36">
        <v>0.0</v>
      </c>
      <c r="BJ410" s="36">
        <v>0.0</v>
      </c>
      <c r="BK410" s="35" t="s">
        <v>7045</v>
      </c>
      <c r="BL410" s="30">
        <v>46753.0</v>
      </c>
      <c r="BM410" s="30">
        <v>46843.0</v>
      </c>
      <c r="BN410" s="36">
        <v>0.0</v>
      </c>
      <c r="BO410" s="36">
        <v>0.0</v>
      </c>
      <c r="BP410" s="35" t="s">
        <v>7045</v>
      </c>
      <c r="BQ410" s="30">
        <v>46844.0</v>
      </c>
      <c r="BR410" s="30">
        <v>46934.0</v>
      </c>
      <c r="BS410" s="36">
        <v>0.0</v>
      </c>
      <c r="BT410" s="36">
        <v>0.0</v>
      </c>
      <c r="BU410" s="35" t="s">
        <v>7045</v>
      </c>
      <c r="BV410" s="30">
        <v>46935.0</v>
      </c>
      <c r="BW410" s="30">
        <v>47026.0</v>
      </c>
      <c r="BX410" s="36">
        <v>0.0</v>
      </c>
      <c r="BY410" s="36">
        <v>0.0</v>
      </c>
      <c r="BZ410" s="35" t="s">
        <v>7045</v>
      </c>
      <c r="CA410" s="30">
        <v>47027.0</v>
      </c>
      <c r="CB410" s="30">
        <v>47118.0</v>
      </c>
      <c r="CC410" s="36">
        <v>0.0</v>
      </c>
      <c r="CD410" s="36">
        <v>0.0</v>
      </c>
      <c r="CE410" s="35" t="s">
        <v>7045</v>
      </c>
      <c r="CF410" s="30">
        <v>47119.0</v>
      </c>
      <c r="CG410" s="30">
        <v>47208.0</v>
      </c>
      <c r="CH410" s="36">
        <v>0.0</v>
      </c>
      <c r="CI410" s="36">
        <v>0.0</v>
      </c>
      <c r="CJ410" s="35" t="s">
        <v>7045</v>
      </c>
      <c r="CK410" s="30">
        <v>47209.0</v>
      </c>
      <c r="CL410" s="30">
        <v>47299.0</v>
      </c>
      <c r="CM410" s="36">
        <v>0.0</v>
      </c>
      <c r="CN410" s="36">
        <v>0.0</v>
      </c>
      <c r="CO410" s="35" t="s">
        <v>7045</v>
      </c>
      <c r="CP410" s="30">
        <v>47300.0</v>
      </c>
      <c r="CQ410" s="30">
        <v>47391.0</v>
      </c>
      <c r="CR410" s="36">
        <v>0.0</v>
      </c>
      <c r="CS410" s="36">
        <v>0.0</v>
      </c>
      <c r="CT410" s="35" t="s">
        <v>7045</v>
      </c>
      <c r="CU410" s="30">
        <v>47392.0</v>
      </c>
      <c r="CV410" s="30">
        <v>47483.0</v>
      </c>
      <c r="CW410" s="36">
        <v>0.0</v>
      </c>
      <c r="CX410" s="36">
        <v>0.0</v>
      </c>
      <c r="CY410" s="35" t="s">
        <v>7045</v>
      </c>
      <c r="CZ410" s="30">
        <v>47484.0</v>
      </c>
      <c r="DA410" s="30">
        <v>47573.0</v>
      </c>
      <c r="DB410" s="36">
        <v>0.0</v>
      </c>
      <c r="DC410" s="36">
        <v>0.0</v>
      </c>
      <c r="DD410" s="35" t="s">
        <v>7045</v>
      </c>
      <c r="DE410" s="30">
        <v>47574.0</v>
      </c>
      <c r="DF410" s="30">
        <v>47664.0</v>
      </c>
      <c r="DG410" s="36">
        <v>0.0</v>
      </c>
      <c r="DH410" s="36">
        <v>0.0</v>
      </c>
      <c r="DI410" s="35" t="s">
        <v>7045</v>
      </c>
      <c r="DJ410" s="30">
        <v>47665.0</v>
      </c>
      <c r="DK410" s="30">
        <v>47756.0</v>
      </c>
      <c r="DL410" s="36">
        <v>0.0</v>
      </c>
      <c r="DM410" s="36">
        <v>0.0</v>
      </c>
      <c r="DN410" s="35" t="s">
        <v>7045</v>
      </c>
      <c r="DO410" s="30">
        <v>47757.0</v>
      </c>
      <c r="DP410" s="30">
        <v>47848.0</v>
      </c>
      <c r="DQ410" s="36">
        <v>0.0</v>
      </c>
      <c r="DR410" s="36">
        <v>0.0</v>
      </c>
      <c r="DS410" s="35" t="s">
        <v>7045</v>
      </c>
    </row>
    <row r="411" ht="14.25" customHeight="1">
      <c r="A411" s="28" t="s">
        <v>4955</v>
      </c>
      <c r="B411" s="29" t="s">
        <v>4956</v>
      </c>
      <c r="C411" s="29" t="s">
        <v>7041</v>
      </c>
      <c r="D411" s="30">
        <v>45658.0</v>
      </c>
      <c r="E411" s="30">
        <v>45747.0</v>
      </c>
      <c r="F411" s="36">
        <v>7.95</v>
      </c>
      <c r="G411" s="36">
        <v>0.0</v>
      </c>
      <c r="H411" s="38" t="s">
        <v>7047</v>
      </c>
      <c r="I411" s="30">
        <v>45748.0</v>
      </c>
      <c r="J411" s="30">
        <v>45838.0</v>
      </c>
      <c r="K411" s="36">
        <v>10.11</v>
      </c>
      <c r="L411" s="36">
        <v>136.37</v>
      </c>
      <c r="M411" s="32" t="s">
        <v>7043</v>
      </c>
      <c r="N411" s="30">
        <v>45839.0</v>
      </c>
      <c r="O411" s="30">
        <v>45930.0</v>
      </c>
      <c r="P411" s="36">
        <v>60.06</v>
      </c>
      <c r="Q411" s="36">
        <v>136.37</v>
      </c>
      <c r="R411" s="38" t="s">
        <v>7047</v>
      </c>
      <c r="S411" s="30">
        <v>45931.0</v>
      </c>
      <c r="T411" s="30">
        <v>46022.0</v>
      </c>
      <c r="U411" s="36">
        <v>4.27</v>
      </c>
      <c r="V411" s="36">
        <v>145.46</v>
      </c>
      <c r="W411" s="38" t="s">
        <v>7047</v>
      </c>
      <c r="X411" s="30">
        <v>46023.0</v>
      </c>
      <c r="Y411" s="30">
        <v>46112.0</v>
      </c>
      <c r="Z411" s="36">
        <v>5.35</v>
      </c>
      <c r="AA411" s="36">
        <v>0.0</v>
      </c>
      <c r="AB411" s="38" t="s">
        <v>7047</v>
      </c>
      <c r="AC411" s="30">
        <v>46113.0</v>
      </c>
      <c r="AD411" s="30">
        <v>46203.0</v>
      </c>
      <c r="AE411" s="36">
        <v>0.02</v>
      </c>
      <c r="AF411" s="36">
        <v>0.0</v>
      </c>
      <c r="AG411" s="35" t="s">
        <v>7047</v>
      </c>
      <c r="AH411" s="30">
        <v>46204.0</v>
      </c>
      <c r="AI411" s="30">
        <v>46295.0</v>
      </c>
      <c r="AJ411" s="36">
        <v>0.0</v>
      </c>
      <c r="AK411" s="36">
        <v>0.0</v>
      </c>
      <c r="AL411" s="35" t="s">
        <v>7045</v>
      </c>
      <c r="AM411" s="30">
        <v>46296.0</v>
      </c>
      <c r="AN411" s="30">
        <v>46387.0</v>
      </c>
      <c r="AO411" s="36">
        <v>0.0</v>
      </c>
      <c r="AP411" s="36">
        <v>0.0</v>
      </c>
      <c r="AQ411" s="35" t="s">
        <v>7045</v>
      </c>
      <c r="AR411" s="30">
        <v>46388.0</v>
      </c>
      <c r="AS411" s="30">
        <v>46477.0</v>
      </c>
      <c r="AT411" s="36">
        <v>0.0</v>
      </c>
      <c r="AU411" s="36">
        <v>0.0</v>
      </c>
      <c r="AV411" s="35" t="s">
        <v>7045</v>
      </c>
      <c r="AW411" s="30">
        <v>46478.0</v>
      </c>
      <c r="AX411" s="30">
        <v>46568.0</v>
      </c>
      <c r="AY411" s="36">
        <v>0.0</v>
      </c>
      <c r="AZ411" s="36">
        <v>0.0</v>
      </c>
      <c r="BA411" s="35" t="s">
        <v>7045</v>
      </c>
      <c r="BB411" s="30">
        <v>46569.0</v>
      </c>
      <c r="BC411" s="30">
        <v>46660.0</v>
      </c>
      <c r="BD411" s="36">
        <v>0.0</v>
      </c>
      <c r="BE411" s="36">
        <v>0.0</v>
      </c>
      <c r="BF411" s="35" t="s">
        <v>7045</v>
      </c>
      <c r="BG411" s="30">
        <v>46661.0</v>
      </c>
      <c r="BH411" s="30">
        <v>46752.0</v>
      </c>
      <c r="BI411" s="36">
        <v>0.0</v>
      </c>
      <c r="BJ411" s="36">
        <v>0.0</v>
      </c>
      <c r="BK411" s="35" t="s">
        <v>7045</v>
      </c>
      <c r="BL411" s="30">
        <v>46753.0</v>
      </c>
      <c r="BM411" s="30">
        <v>46843.0</v>
      </c>
      <c r="BN411" s="36">
        <v>0.0</v>
      </c>
      <c r="BO411" s="36">
        <v>0.0</v>
      </c>
      <c r="BP411" s="35" t="s">
        <v>7045</v>
      </c>
      <c r="BQ411" s="30">
        <v>46844.0</v>
      </c>
      <c r="BR411" s="30">
        <v>46934.0</v>
      </c>
      <c r="BS411" s="36">
        <v>0.0</v>
      </c>
      <c r="BT411" s="36">
        <v>0.0</v>
      </c>
      <c r="BU411" s="35" t="s">
        <v>7045</v>
      </c>
      <c r="BV411" s="30">
        <v>46935.0</v>
      </c>
      <c r="BW411" s="30">
        <v>47026.0</v>
      </c>
      <c r="BX411" s="36">
        <v>0.0</v>
      </c>
      <c r="BY411" s="36">
        <v>0.0</v>
      </c>
      <c r="BZ411" s="35" t="s">
        <v>7045</v>
      </c>
      <c r="CA411" s="30">
        <v>47027.0</v>
      </c>
      <c r="CB411" s="30">
        <v>47118.0</v>
      </c>
      <c r="CC411" s="36">
        <v>0.0</v>
      </c>
      <c r="CD411" s="36">
        <v>0.0</v>
      </c>
      <c r="CE411" s="35" t="s">
        <v>7045</v>
      </c>
      <c r="CF411" s="30">
        <v>47119.0</v>
      </c>
      <c r="CG411" s="30">
        <v>47208.0</v>
      </c>
      <c r="CH411" s="36">
        <v>0.0</v>
      </c>
      <c r="CI411" s="36">
        <v>0.0</v>
      </c>
      <c r="CJ411" s="35" t="s">
        <v>7045</v>
      </c>
      <c r="CK411" s="30">
        <v>47209.0</v>
      </c>
      <c r="CL411" s="30">
        <v>47299.0</v>
      </c>
      <c r="CM411" s="36">
        <v>0.0</v>
      </c>
      <c r="CN411" s="36">
        <v>0.0</v>
      </c>
      <c r="CO411" s="35" t="s">
        <v>7045</v>
      </c>
      <c r="CP411" s="30">
        <v>47300.0</v>
      </c>
      <c r="CQ411" s="30">
        <v>47391.0</v>
      </c>
      <c r="CR411" s="36">
        <v>0.0</v>
      </c>
      <c r="CS411" s="36">
        <v>0.0</v>
      </c>
      <c r="CT411" s="35" t="s">
        <v>7045</v>
      </c>
      <c r="CU411" s="30">
        <v>47392.0</v>
      </c>
      <c r="CV411" s="30">
        <v>47483.0</v>
      </c>
      <c r="CW411" s="36">
        <v>0.0</v>
      </c>
      <c r="CX411" s="36">
        <v>0.0</v>
      </c>
      <c r="CY411" s="35" t="s">
        <v>7045</v>
      </c>
      <c r="CZ411" s="30">
        <v>47484.0</v>
      </c>
      <c r="DA411" s="30">
        <v>47573.0</v>
      </c>
      <c r="DB411" s="36">
        <v>0.0</v>
      </c>
      <c r="DC411" s="36">
        <v>0.0</v>
      </c>
      <c r="DD411" s="35" t="s">
        <v>7045</v>
      </c>
      <c r="DE411" s="30">
        <v>47574.0</v>
      </c>
      <c r="DF411" s="30">
        <v>47664.0</v>
      </c>
      <c r="DG411" s="36">
        <v>0.0</v>
      </c>
      <c r="DH411" s="36">
        <v>0.0</v>
      </c>
      <c r="DI411" s="35" t="s">
        <v>7045</v>
      </c>
      <c r="DJ411" s="30">
        <v>47665.0</v>
      </c>
      <c r="DK411" s="30">
        <v>47756.0</v>
      </c>
      <c r="DL411" s="36">
        <v>0.0</v>
      </c>
      <c r="DM411" s="36">
        <v>0.0</v>
      </c>
      <c r="DN411" s="35" t="s">
        <v>7045</v>
      </c>
      <c r="DO411" s="30">
        <v>47757.0</v>
      </c>
      <c r="DP411" s="30">
        <v>47848.0</v>
      </c>
      <c r="DQ411" s="36">
        <v>0.0</v>
      </c>
      <c r="DR411" s="36">
        <v>0.0</v>
      </c>
      <c r="DS411" s="35" t="s">
        <v>7045</v>
      </c>
    </row>
    <row r="412" ht="14.25" customHeight="1">
      <c r="A412" s="28" t="s">
        <v>4426</v>
      </c>
      <c r="B412" s="29" t="s">
        <v>4427</v>
      </c>
      <c r="C412" s="29" t="s">
        <v>7041</v>
      </c>
      <c r="D412" s="30">
        <v>45658.0</v>
      </c>
      <c r="E412" s="30">
        <v>45747.0</v>
      </c>
      <c r="F412" s="36">
        <v>32.74</v>
      </c>
      <c r="G412" s="36">
        <v>0.0</v>
      </c>
      <c r="H412" s="38" t="s">
        <v>7047</v>
      </c>
      <c r="I412" s="30">
        <v>45748.0</v>
      </c>
      <c r="J412" s="30">
        <v>45838.0</v>
      </c>
      <c r="K412" s="36">
        <v>0.0</v>
      </c>
      <c r="L412" s="36">
        <v>85.23</v>
      </c>
      <c r="M412" s="32" t="s">
        <v>7043</v>
      </c>
      <c r="N412" s="30">
        <v>45839.0</v>
      </c>
      <c r="O412" s="30">
        <v>45930.0</v>
      </c>
      <c r="P412" s="36">
        <v>0.0</v>
      </c>
      <c r="Q412" s="36">
        <v>85.23</v>
      </c>
      <c r="R412" s="32" t="s">
        <v>7043</v>
      </c>
      <c r="S412" s="30">
        <v>45931.0</v>
      </c>
      <c r="T412" s="30">
        <v>46022.0</v>
      </c>
      <c r="U412" s="36">
        <v>120.0</v>
      </c>
      <c r="V412" s="36">
        <v>85.23</v>
      </c>
      <c r="W412" s="38" t="s">
        <v>7047</v>
      </c>
      <c r="X412" s="30">
        <v>46023.0</v>
      </c>
      <c r="Y412" s="30">
        <v>46112.0</v>
      </c>
      <c r="Z412" s="36">
        <v>0.0</v>
      </c>
      <c r="AA412" s="36">
        <v>0.0</v>
      </c>
      <c r="AB412" s="35" t="s">
        <v>7045</v>
      </c>
      <c r="AC412" s="30">
        <v>46113.0</v>
      </c>
      <c r="AD412" s="30">
        <v>46203.0</v>
      </c>
      <c r="AE412" s="36">
        <v>0.0</v>
      </c>
      <c r="AF412" s="36">
        <v>0.0</v>
      </c>
      <c r="AG412" s="35" t="s">
        <v>7045</v>
      </c>
      <c r="AH412" s="30">
        <v>46204.0</v>
      </c>
      <c r="AI412" s="30">
        <v>46295.0</v>
      </c>
      <c r="AJ412" s="36">
        <v>0.0</v>
      </c>
      <c r="AK412" s="36">
        <v>0.0</v>
      </c>
      <c r="AL412" s="35" t="s">
        <v>7045</v>
      </c>
      <c r="AM412" s="30">
        <v>46296.0</v>
      </c>
      <c r="AN412" s="30">
        <v>46387.0</v>
      </c>
      <c r="AO412" s="36">
        <v>0.0</v>
      </c>
      <c r="AP412" s="36">
        <v>0.0</v>
      </c>
      <c r="AQ412" s="35" t="s">
        <v>7045</v>
      </c>
      <c r="AR412" s="30">
        <v>46388.0</v>
      </c>
      <c r="AS412" s="30">
        <v>46477.0</v>
      </c>
      <c r="AT412" s="36">
        <v>0.0</v>
      </c>
      <c r="AU412" s="36">
        <v>0.0</v>
      </c>
      <c r="AV412" s="35" t="s">
        <v>7045</v>
      </c>
      <c r="AW412" s="30">
        <v>46478.0</v>
      </c>
      <c r="AX412" s="30">
        <v>46568.0</v>
      </c>
      <c r="AY412" s="36">
        <v>0.0</v>
      </c>
      <c r="AZ412" s="36">
        <v>0.0</v>
      </c>
      <c r="BA412" s="35" t="s">
        <v>7045</v>
      </c>
      <c r="BB412" s="30">
        <v>46569.0</v>
      </c>
      <c r="BC412" s="30">
        <v>46660.0</v>
      </c>
      <c r="BD412" s="36">
        <v>0.0</v>
      </c>
      <c r="BE412" s="36">
        <v>0.0</v>
      </c>
      <c r="BF412" s="35" t="s">
        <v>7045</v>
      </c>
      <c r="BG412" s="30">
        <v>46661.0</v>
      </c>
      <c r="BH412" s="30">
        <v>46752.0</v>
      </c>
      <c r="BI412" s="36">
        <v>0.0</v>
      </c>
      <c r="BJ412" s="36">
        <v>0.0</v>
      </c>
      <c r="BK412" s="35" t="s">
        <v>7045</v>
      </c>
      <c r="BL412" s="30">
        <v>46753.0</v>
      </c>
      <c r="BM412" s="30">
        <v>46843.0</v>
      </c>
      <c r="BN412" s="36">
        <v>0.0</v>
      </c>
      <c r="BO412" s="36">
        <v>0.0</v>
      </c>
      <c r="BP412" s="35" t="s">
        <v>7045</v>
      </c>
      <c r="BQ412" s="30">
        <v>46844.0</v>
      </c>
      <c r="BR412" s="30">
        <v>46934.0</v>
      </c>
      <c r="BS412" s="36">
        <v>0.0</v>
      </c>
      <c r="BT412" s="36">
        <v>0.0</v>
      </c>
      <c r="BU412" s="35" t="s">
        <v>7045</v>
      </c>
      <c r="BV412" s="30">
        <v>46935.0</v>
      </c>
      <c r="BW412" s="30">
        <v>47026.0</v>
      </c>
      <c r="BX412" s="36">
        <v>0.0</v>
      </c>
      <c r="BY412" s="36">
        <v>0.0</v>
      </c>
      <c r="BZ412" s="35" t="s">
        <v>7045</v>
      </c>
      <c r="CA412" s="30">
        <v>47027.0</v>
      </c>
      <c r="CB412" s="30">
        <v>47118.0</v>
      </c>
      <c r="CC412" s="36">
        <v>0.0</v>
      </c>
      <c r="CD412" s="36">
        <v>0.0</v>
      </c>
      <c r="CE412" s="35" t="s">
        <v>7045</v>
      </c>
      <c r="CF412" s="30">
        <v>47119.0</v>
      </c>
      <c r="CG412" s="30">
        <v>47208.0</v>
      </c>
      <c r="CH412" s="36">
        <v>0.0</v>
      </c>
      <c r="CI412" s="36">
        <v>0.0</v>
      </c>
      <c r="CJ412" s="35" t="s">
        <v>7045</v>
      </c>
      <c r="CK412" s="30">
        <v>47209.0</v>
      </c>
      <c r="CL412" s="30">
        <v>47299.0</v>
      </c>
      <c r="CM412" s="36">
        <v>0.0</v>
      </c>
      <c r="CN412" s="36">
        <v>0.0</v>
      </c>
      <c r="CO412" s="35" t="s">
        <v>7045</v>
      </c>
      <c r="CP412" s="30">
        <v>47300.0</v>
      </c>
      <c r="CQ412" s="30">
        <v>47391.0</v>
      </c>
      <c r="CR412" s="36">
        <v>0.0</v>
      </c>
      <c r="CS412" s="36">
        <v>0.0</v>
      </c>
      <c r="CT412" s="35" t="s">
        <v>7045</v>
      </c>
      <c r="CU412" s="30">
        <v>47392.0</v>
      </c>
      <c r="CV412" s="30">
        <v>47483.0</v>
      </c>
      <c r="CW412" s="36">
        <v>0.0</v>
      </c>
      <c r="CX412" s="36">
        <v>0.0</v>
      </c>
      <c r="CY412" s="35" t="s">
        <v>7045</v>
      </c>
      <c r="CZ412" s="30">
        <v>47484.0</v>
      </c>
      <c r="DA412" s="30">
        <v>47573.0</v>
      </c>
      <c r="DB412" s="36">
        <v>0.0</v>
      </c>
      <c r="DC412" s="36">
        <v>0.0</v>
      </c>
      <c r="DD412" s="35" t="s">
        <v>7045</v>
      </c>
      <c r="DE412" s="30">
        <v>47574.0</v>
      </c>
      <c r="DF412" s="30">
        <v>47664.0</v>
      </c>
      <c r="DG412" s="36">
        <v>0.0</v>
      </c>
      <c r="DH412" s="36">
        <v>0.0</v>
      </c>
      <c r="DI412" s="35" t="s">
        <v>7045</v>
      </c>
      <c r="DJ412" s="30">
        <v>47665.0</v>
      </c>
      <c r="DK412" s="30">
        <v>47756.0</v>
      </c>
      <c r="DL412" s="36">
        <v>0.0</v>
      </c>
      <c r="DM412" s="36">
        <v>0.0</v>
      </c>
      <c r="DN412" s="35" t="s">
        <v>7045</v>
      </c>
      <c r="DO412" s="30">
        <v>47757.0</v>
      </c>
      <c r="DP412" s="30">
        <v>47848.0</v>
      </c>
      <c r="DQ412" s="36">
        <v>0.0</v>
      </c>
      <c r="DR412" s="36">
        <v>0.0</v>
      </c>
      <c r="DS412" s="35" t="s">
        <v>7045</v>
      </c>
    </row>
    <row r="413" ht="14.25" customHeight="1">
      <c r="A413" s="28" t="s">
        <v>1678</v>
      </c>
      <c r="B413" s="29" t="s">
        <v>1679</v>
      </c>
      <c r="C413" s="29" t="s">
        <v>7041</v>
      </c>
      <c r="D413" s="30">
        <v>45658.0</v>
      </c>
      <c r="E413" s="30">
        <v>45747.0</v>
      </c>
      <c r="F413" s="39">
        <v>40.82</v>
      </c>
      <c r="G413" s="39">
        <v>0.0</v>
      </c>
      <c r="H413" s="38" t="s">
        <v>7047</v>
      </c>
      <c r="I413" s="30">
        <v>45748.0</v>
      </c>
      <c r="J413" s="30">
        <v>45838.0</v>
      </c>
      <c r="K413" s="39">
        <v>32.93</v>
      </c>
      <c r="L413" s="39">
        <v>131.58</v>
      </c>
      <c r="M413" s="38" t="s">
        <v>7043</v>
      </c>
      <c r="N413" s="30">
        <v>45839.0</v>
      </c>
      <c r="O413" s="30">
        <v>45930.0</v>
      </c>
      <c r="P413" s="39">
        <v>93.34</v>
      </c>
      <c r="Q413" s="39">
        <v>157.89</v>
      </c>
      <c r="R413" s="38" t="s">
        <v>7047</v>
      </c>
      <c r="S413" s="30">
        <v>45931.0</v>
      </c>
      <c r="T413" s="30">
        <v>46022.0</v>
      </c>
      <c r="U413" s="39">
        <v>160.27</v>
      </c>
      <c r="V413" s="39">
        <v>140.35</v>
      </c>
      <c r="W413" s="38" t="s">
        <v>7047</v>
      </c>
      <c r="X413" s="30">
        <v>46023.0</v>
      </c>
      <c r="Y413" s="30">
        <v>46112.0</v>
      </c>
      <c r="Z413" s="39">
        <v>43.05</v>
      </c>
      <c r="AA413" s="39">
        <v>0.0</v>
      </c>
      <c r="AB413" s="38" t="s">
        <v>7047</v>
      </c>
      <c r="AC413" s="30">
        <v>46113.0</v>
      </c>
      <c r="AD413" s="30">
        <v>46203.0</v>
      </c>
      <c r="AE413" s="39">
        <v>0.0</v>
      </c>
      <c r="AF413" s="39">
        <v>0.0</v>
      </c>
      <c r="AG413" s="35" t="s">
        <v>7045</v>
      </c>
      <c r="AH413" s="30">
        <v>46204.0</v>
      </c>
      <c r="AI413" s="30">
        <v>46295.0</v>
      </c>
      <c r="AJ413" s="39">
        <v>0.0</v>
      </c>
      <c r="AK413" s="39">
        <v>0.0</v>
      </c>
      <c r="AL413" s="35" t="s">
        <v>7045</v>
      </c>
      <c r="AM413" s="30">
        <v>46296.0</v>
      </c>
      <c r="AN413" s="30">
        <v>46387.0</v>
      </c>
      <c r="AO413" s="39">
        <v>0.0</v>
      </c>
      <c r="AP413" s="39">
        <v>0.0</v>
      </c>
      <c r="AQ413" s="35" t="s">
        <v>7045</v>
      </c>
      <c r="AR413" s="30">
        <v>46388.0</v>
      </c>
      <c r="AS413" s="30">
        <v>46477.0</v>
      </c>
      <c r="AT413" s="39">
        <v>0.0</v>
      </c>
      <c r="AU413" s="39">
        <v>0.0</v>
      </c>
      <c r="AV413" s="35" t="s">
        <v>7045</v>
      </c>
      <c r="AW413" s="30">
        <v>46478.0</v>
      </c>
      <c r="AX413" s="30">
        <v>46568.0</v>
      </c>
      <c r="AY413" s="39">
        <v>0.0</v>
      </c>
      <c r="AZ413" s="39">
        <v>0.0</v>
      </c>
      <c r="BA413" s="35" t="s">
        <v>7045</v>
      </c>
      <c r="BB413" s="30">
        <v>46569.0</v>
      </c>
      <c r="BC413" s="30">
        <v>46660.0</v>
      </c>
      <c r="BD413" s="39">
        <v>0.0</v>
      </c>
      <c r="BE413" s="39">
        <v>0.0</v>
      </c>
      <c r="BF413" s="35" t="s">
        <v>7045</v>
      </c>
      <c r="BG413" s="30">
        <v>46661.0</v>
      </c>
      <c r="BH413" s="30">
        <v>46752.0</v>
      </c>
      <c r="BI413" s="39">
        <v>0.0</v>
      </c>
      <c r="BJ413" s="39">
        <v>0.0</v>
      </c>
      <c r="BK413" s="35" t="s">
        <v>7045</v>
      </c>
      <c r="BL413" s="30">
        <v>46753.0</v>
      </c>
      <c r="BM413" s="30">
        <v>46843.0</v>
      </c>
      <c r="BN413" s="39">
        <v>0.0</v>
      </c>
      <c r="BO413" s="39">
        <v>0.0</v>
      </c>
      <c r="BP413" s="35" t="s">
        <v>7045</v>
      </c>
      <c r="BQ413" s="30">
        <v>46844.0</v>
      </c>
      <c r="BR413" s="30">
        <v>46934.0</v>
      </c>
      <c r="BS413" s="39">
        <v>0.0</v>
      </c>
      <c r="BT413" s="39">
        <v>0.0</v>
      </c>
      <c r="BU413" s="35" t="s">
        <v>7045</v>
      </c>
      <c r="BV413" s="30">
        <v>46935.0</v>
      </c>
      <c r="BW413" s="30">
        <v>47026.0</v>
      </c>
      <c r="BX413" s="39">
        <v>0.0</v>
      </c>
      <c r="BY413" s="39">
        <v>0.0</v>
      </c>
      <c r="BZ413" s="35" t="s">
        <v>7045</v>
      </c>
      <c r="CA413" s="30">
        <v>47027.0</v>
      </c>
      <c r="CB413" s="30">
        <v>47118.0</v>
      </c>
      <c r="CC413" s="39">
        <v>0.0</v>
      </c>
      <c r="CD413" s="39">
        <v>0.0</v>
      </c>
      <c r="CE413" s="35" t="s">
        <v>7045</v>
      </c>
      <c r="CF413" s="30">
        <v>47119.0</v>
      </c>
      <c r="CG413" s="30">
        <v>47208.0</v>
      </c>
      <c r="CH413" s="39">
        <v>0.0</v>
      </c>
      <c r="CI413" s="39">
        <v>0.0</v>
      </c>
      <c r="CJ413" s="35" t="s">
        <v>7045</v>
      </c>
      <c r="CK413" s="30">
        <v>47209.0</v>
      </c>
      <c r="CL413" s="30">
        <v>47299.0</v>
      </c>
      <c r="CM413" s="39">
        <v>0.0</v>
      </c>
      <c r="CN413" s="39">
        <v>0.0</v>
      </c>
      <c r="CO413" s="35" t="s">
        <v>7045</v>
      </c>
      <c r="CP413" s="30">
        <v>47300.0</v>
      </c>
      <c r="CQ413" s="30">
        <v>47391.0</v>
      </c>
      <c r="CR413" s="39">
        <v>0.0</v>
      </c>
      <c r="CS413" s="39">
        <v>0.0</v>
      </c>
      <c r="CT413" s="35" t="s">
        <v>7045</v>
      </c>
      <c r="CU413" s="30">
        <v>47392.0</v>
      </c>
      <c r="CV413" s="30">
        <v>47483.0</v>
      </c>
      <c r="CW413" s="39">
        <v>0.0</v>
      </c>
      <c r="CX413" s="39">
        <v>0.0</v>
      </c>
      <c r="CY413" s="35" t="s">
        <v>7045</v>
      </c>
      <c r="CZ413" s="30">
        <v>47484.0</v>
      </c>
      <c r="DA413" s="30">
        <v>47573.0</v>
      </c>
      <c r="DB413" s="39">
        <v>0.0</v>
      </c>
      <c r="DC413" s="39">
        <v>0.0</v>
      </c>
      <c r="DD413" s="35" t="s">
        <v>7045</v>
      </c>
      <c r="DE413" s="30">
        <v>47574.0</v>
      </c>
      <c r="DF413" s="30">
        <v>47664.0</v>
      </c>
      <c r="DG413" s="39">
        <v>0.0</v>
      </c>
      <c r="DH413" s="39">
        <v>0.0</v>
      </c>
      <c r="DI413" s="35" t="s">
        <v>7045</v>
      </c>
      <c r="DJ413" s="30">
        <v>47665.0</v>
      </c>
      <c r="DK413" s="30">
        <v>47756.0</v>
      </c>
      <c r="DL413" s="39">
        <v>0.0</v>
      </c>
      <c r="DM413" s="39">
        <v>0.0</v>
      </c>
      <c r="DN413" s="35" t="s">
        <v>7045</v>
      </c>
      <c r="DO413" s="30">
        <v>47757.0</v>
      </c>
      <c r="DP413" s="30">
        <v>47848.0</v>
      </c>
      <c r="DQ413" s="39">
        <v>0.0</v>
      </c>
      <c r="DR413" s="39">
        <v>0.0</v>
      </c>
      <c r="DS413" s="35" t="s">
        <v>7045</v>
      </c>
    </row>
    <row r="414" ht="14.25" customHeight="1">
      <c r="A414" s="28" t="s">
        <v>4235</v>
      </c>
      <c r="B414" s="29" t="s">
        <v>4236</v>
      </c>
      <c r="C414" s="29" t="s">
        <v>7041</v>
      </c>
      <c r="D414" s="30">
        <v>45658.0</v>
      </c>
      <c r="E414" s="30">
        <v>45747.0</v>
      </c>
      <c r="F414" s="36">
        <v>1.26</v>
      </c>
      <c r="G414" s="36">
        <v>0.0</v>
      </c>
      <c r="H414" s="38" t="s">
        <v>7047</v>
      </c>
      <c r="I414" s="30">
        <v>45748.0</v>
      </c>
      <c r="J414" s="30">
        <v>45838.0</v>
      </c>
      <c r="K414" s="36">
        <v>25.63</v>
      </c>
      <c r="L414" s="36">
        <v>0.0</v>
      </c>
      <c r="M414" s="38" t="s">
        <v>7047</v>
      </c>
      <c r="N414" s="30">
        <v>45839.0</v>
      </c>
      <c r="O414" s="30">
        <v>45930.0</v>
      </c>
      <c r="P414" s="36">
        <v>480.87</v>
      </c>
      <c r="Q414" s="36">
        <v>0.0</v>
      </c>
      <c r="R414" s="38" t="s">
        <v>7047</v>
      </c>
      <c r="S414" s="30">
        <v>45931.0</v>
      </c>
      <c r="T414" s="30">
        <v>46022.0</v>
      </c>
      <c r="U414" s="36">
        <v>303.44</v>
      </c>
      <c r="V414" s="36">
        <v>0.0</v>
      </c>
      <c r="W414" s="38" t="s">
        <v>7047</v>
      </c>
      <c r="X414" s="30">
        <v>46023.0</v>
      </c>
      <c r="Y414" s="30">
        <v>46112.0</v>
      </c>
      <c r="Z414" s="36">
        <v>1108.77</v>
      </c>
      <c r="AA414" s="36">
        <v>0.0</v>
      </c>
      <c r="AB414" s="38" t="s">
        <v>7047</v>
      </c>
      <c r="AC414" s="30">
        <v>46113.0</v>
      </c>
      <c r="AD414" s="30">
        <v>46203.0</v>
      </c>
      <c r="AE414" s="36">
        <v>11.13</v>
      </c>
      <c r="AF414" s="36">
        <v>0.0</v>
      </c>
      <c r="AG414" s="38" t="s">
        <v>7047</v>
      </c>
      <c r="AH414" s="30">
        <v>46204.0</v>
      </c>
      <c r="AI414" s="30">
        <v>46295.0</v>
      </c>
      <c r="AJ414" s="36">
        <v>0.0</v>
      </c>
      <c r="AK414" s="36">
        <v>0.0</v>
      </c>
      <c r="AL414" s="35" t="s">
        <v>7045</v>
      </c>
      <c r="AM414" s="30">
        <v>46296.0</v>
      </c>
      <c r="AN414" s="30">
        <v>46387.0</v>
      </c>
      <c r="AO414" s="36">
        <v>4.89</v>
      </c>
      <c r="AP414" s="36">
        <v>0.0</v>
      </c>
      <c r="AQ414" s="38" t="s">
        <v>7047</v>
      </c>
      <c r="AR414" s="30">
        <v>46388.0</v>
      </c>
      <c r="AS414" s="30">
        <v>46477.0</v>
      </c>
      <c r="AT414" s="36">
        <v>0.0</v>
      </c>
      <c r="AU414" s="36">
        <v>0.0</v>
      </c>
      <c r="AV414" s="35" t="s">
        <v>7045</v>
      </c>
      <c r="AW414" s="30">
        <v>46478.0</v>
      </c>
      <c r="AX414" s="30">
        <v>46568.0</v>
      </c>
      <c r="AY414" s="36">
        <v>0.0</v>
      </c>
      <c r="AZ414" s="36">
        <v>0.0</v>
      </c>
      <c r="BA414" s="35" t="s">
        <v>7045</v>
      </c>
      <c r="BB414" s="30">
        <v>46569.0</v>
      </c>
      <c r="BC414" s="30">
        <v>46660.0</v>
      </c>
      <c r="BD414" s="36">
        <v>0.0</v>
      </c>
      <c r="BE414" s="36">
        <v>0.0</v>
      </c>
      <c r="BF414" s="35" t="s">
        <v>7045</v>
      </c>
      <c r="BG414" s="30">
        <v>46661.0</v>
      </c>
      <c r="BH414" s="30">
        <v>46752.0</v>
      </c>
      <c r="BI414" s="36">
        <v>0.0</v>
      </c>
      <c r="BJ414" s="36">
        <v>0.0</v>
      </c>
      <c r="BK414" s="35" t="s">
        <v>7045</v>
      </c>
      <c r="BL414" s="30">
        <v>46753.0</v>
      </c>
      <c r="BM414" s="30">
        <v>46843.0</v>
      </c>
      <c r="BN414" s="36">
        <v>0.0</v>
      </c>
      <c r="BO414" s="36">
        <v>0.0</v>
      </c>
      <c r="BP414" s="35" t="s">
        <v>7045</v>
      </c>
      <c r="BQ414" s="30">
        <v>46844.0</v>
      </c>
      <c r="BR414" s="30">
        <v>46934.0</v>
      </c>
      <c r="BS414" s="36">
        <v>0.0</v>
      </c>
      <c r="BT414" s="36">
        <v>0.0</v>
      </c>
      <c r="BU414" s="35" t="s">
        <v>7045</v>
      </c>
      <c r="BV414" s="30">
        <v>46935.0</v>
      </c>
      <c r="BW414" s="30">
        <v>47026.0</v>
      </c>
      <c r="BX414" s="36">
        <v>0.0</v>
      </c>
      <c r="BY414" s="36">
        <v>0.0</v>
      </c>
      <c r="BZ414" s="35" t="s">
        <v>7045</v>
      </c>
      <c r="CA414" s="30">
        <v>47027.0</v>
      </c>
      <c r="CB414" s="30">
        <v>47118.0</v>
      </c>
      <c r="CC414" s="36">
        <v>0.0</v>
      </c>
      <c r="CD414" s="36">
        <v>0.0</v>
      </c>
      <c r="CE414" s="35" t="s">
        <v>7045</v>
      </c>
      <c r="CF414" s="30">
        <v>47119.0</v>
      </c>
      <c r="CG414" s="30">
        <v>47208.0</v>
      </c>
      <c r="CH414" s="36">
        <v>0.0</v>
      </c>
      <c r="CI414" s="36">
        <v>0.0</v>
      </c>
      <c r="CJ414" s="35" t="s">
        <v>7045</v>
      </c>
      <c r="CK414" s="30">
        <v>47209.0</v>
      </c>
      <c r="CL414" s="30">
        <v>47299.0</v>
      </c>
      <c r="CM414" s="36">
        <v>0.0</v>
      </c>
      <c r="CN414" s="36">
        <v>0.0</v>
      </c>
      <c r="CO414" s="35" t="s">
        <v>7045</v>
      </c>
      <c r="CP414" s="30">
        <v>47300.0</v>
      </c>
      <c r="CQ414" s="30">
        <v>47391.0</v>
      </c>
      <c r="CR414" s="36">
        <v>0.0</v>
      </c>
      <c r="CS414" s="36">
        <v>0.0</v>
      </c>
      <c r="CT414" s="35" t="s">
        <v>7045</v>
      </c>
      <c r="CU414" s="30">
        <v>47392.0</v>
      </c>
      <c r="CV414" s="30">
        <v>47483.0</v>
      </c>
      <c r="CW414" s="36">
        <v>0.0</v>
      </c>
      <c r="CX414" s="36">
        <v>0.0</v>
      </c>
      <c r="CY414" s="35" t="s">
        <v>7045</v>
      </c>
      <c r="CZ414" s="30">
        <v>47484.0</v>
      </c>
      <c r="DA414" s="30">
        <v>47573.0</v>
      </c>
      <c r="DB414" s="36">
        <v>0.0</v>
      </c>
      <c r="DC414" s="36">
        <v>0.0</v>
      </c>
      <c r="DD414" s="35" t="s">
        <v>7045</v>
      </c>
      <c r="DE414" s="30">
        <v>47574.0</v>
      </c>
      <c r="DF414" s="30">
        <v>47664.0</v>
      </c>
      <c r="DG414" s="36">
        <v>0.0</v>
      </c>
      <c r="DH414" s="36">
        <v>0.0</v>
      </c>
      <c r="DI414" s="35" t="s">
        <v>7045</v>
      </c>
      <c r="DJ414" s="30">
        <v>47665.0</v>
      </c>
      <c r="DK414" s="30">
        <v>47756.0</v>
      </c>
      <c r="DL414" s="36">
        <v>0.0</v>
      </c>
      <c r="DM414" s="36">
        <v>0.0</v>
      </c>
      <c r="DN414" s="35" t="s">
        <v>7045</v>
      </c>
      <c r="DO414" s="30">
        <v>47757.0</v>
      </c>
      <c r="DP414" s="30">
        <v>47848.0</v>
      </c>
      <c r="DQ414" s="36">
        <v>0.0</v>
      </c>
      <c r="DR414" s="36">
        <v>0.0</v>
      </c>
      <c r="DS414" s="35" t="s">
        <v>7045</v>
      </c>
    </row>
    <row r="415" ht="14.25" customHeight="1">
      <c r="A415" s="28" t="s">
        <v>5246</v>
      </c>
      <c r="B415" s="29" t="s">
        <v>5247</v>
      </c>
      <c r="C415" s="29" t="s">
        <v>7041</v>
      </c>
      <c r="D415" s="30">
        <v>45658.0</v>
      </c>
      <c r="E415" s="30">
        <v>45747.0</v>
      </c>
      <c r="F415" s="36">
        <v>0.98</v>
      </c>
      <c r="G415" s="36">
        <v>0.0</v>
      </c>
      <c r="H415" s="38" t="s">
        <v>7047</v>
      </c>
      <c r="I415" s="30">
        <v>45748.0</v>
      </c>
      <c r="J415" s="30">
        <v>45838.0</v>
      </c>
      <c r="K415" s="36">
        <v>12.65</v>
      </c>
      <c r="L415" s="36">
        <v>208.34</v>
      </c>
      <c r="M415" s="32" t="s">
        <v>7043</v>
      </c>
      <c r="N415" s="30">
        <v>45839.0</v>
      </c>
      <c r="O415" s="30">
        <v>45930.0</v>
      </c>
      <c r="P415" s="36">
        <v>25.56</v>
      </c>
      <c r="Q415" s="36">
        <v>208.34</v>
      </c>
      <c r="R415" s="38" t="s">
        <v>7047</v>
      </c>
      <c r="S415" s="30">
        <v>45931.0</v>
      </c>
      <c r="T415" s="30">
        <v>46022.0</v>
      </c>
      <c r="U415" s="36">
        <v>93.14</v>
      </c>
      <c r="V415" s="36">
        <v>208.34</v>
      </c>
      <c r="W415" s="38" t="s">
        <v>7047</v>
      </c>
      <c r="X415" s="30">
        <v>46023.0</v>
      </c>
      <c r="Y415" s="30">
        <v>46112.0</v>
      </c>
      <c r="Z415" s="36">
        <v>102.65</v>
      </c>
      <c r="AA415" s="36">
        <v>0.0</v>
      </c>
      <c r="AB415" s="38" t="s">
        <v>7047</v>
      </c>
      <c r="AC415" s="30">
        <v>46113.0</v>
      </c>
      <c r="AD415" s="30">
        <v>46203.0</v>
      </c>
      <c r="AE415" s="36">
        <v>0.0</v>
      </c>
      <c r="AF415" s="36">
        <v>0.0</v>
      </c>
      <c r="AG415" s="35" t="s">
        <v>7045</v>
      </c>
      <c r="AH415" s="30">
        <v>46204.0</v>
      </c>
      <c r="AI415" s="30">
        <v>46295.0</v>
      </c>
      <c r="AJ415" s="36">
        <v>25.0</v>
      </c>
      <c r="AK415" s="36">
        <v>0.0</v>
      </c>
      <c r="AL415" s="35" t="s">
        <v>7047</v>
      </c>
      <c r="AM415" s="30">
        <v>46296.0</v>
      </c>
      <c r="AN415" s="30">
        <v>46387.0</v>
      </c>
      <c r="AO415" s="36">
        <v>0.0</v>
      </c>
      <c r="AP415" s="36">
        <v>0.0</v>
      </c>
      <c r="AQ415" s="35" t="s">
        <v>7045</v>
      </c>
      <c r="AR415" s="30">
        <v>46388.0</v>
      </c>
      <c r="AS415" s="30">
        <v>46477.0</v>
      </c>
      <c r="AT415" s="36">
        <v>0.0</v>
      </c>
      <c r="AU415" s="36">
        <v>0.0</v>
      </c>
      <c r="AV415" s="35" t="s">
        <v>7045</v>
      </c>
      <c r="AW415" s="30">
        <v>46478.0</v>
      </c>
      <c r="AX415" s="30">
        <v>46568.0</v>
      </c>
      <c r="AY415" s="36">
        <v>0.0</v>
      </c>
      <c r="AZ415" s="36">
        <v>0.0</v>
      </c>
      <c r="BA415" s="35" t="s">
        <v>7045</v>
      </c>
      <c r="BB415" s="30">
        <v>46569.0</v>
      </c>
      <c r="BC415" s="30">
        <v>46660.0</v>
      </c>
      <c r="BD415" s="36">
        <v>0.0</v>
      </c>
      <c r="BE415" s="36">
        <v>0.0</v>
      </c>
      <c r="BF415" s="35" t="s">
        <v>7045</v>
      </c>
      <c r="BG415" s="30">
        <v>46661.0</v>
      </c>
      <c r="BH415" s="30">
        <v>46752.0</v>
      </c>
      <c r="BI415" s="36">
        <v>0.0</v>
      </c>
      <c r="BJ415" s="36">
        <v>0.0</v>
      </c>
      <c r="BK415" s="35" t="s">
        <v>7045</v>
      </c>
      <c r="BL415" s="30">
        <v>46753.0</v>
      </c>
      <c r="BM415" s="30">
        <v>46843.0</v>
      </c>
      <c r="BN415" s="36">
        <v>0.0</v>
      </c>
      <c r="BO415" s="36">
        <v>0.0</v>
      </c>
      <c r="BP415" s="35" t="s">
        <v>7045</v>
      </c>
      <c r="BQ415" s="30">
        <v>46844.0</v>
      </c>
      <c r="BR415" s="30">
        <v>46934.0</v>
      </c>
      <c r="BS415" s="36">
        <v>0.0</v>
      </c>
      <c r="BT415" s="36">
        <v>0.0</v>
      </c>
      <c r="BU415" s="35" t="s">
        <v>7045</v>
      </c>
      <c r="BV415" s="30">
        <v>46935.0</v>
      </c>
      <c r="BW415" s="30">
        <v>47026.0</v>
      </c>
      <c r="BX415" s="36">
        <v>0.0</v>
      </c>
      <c r="BY415" s="36">
        <v>0.0</v>
      </c>
      <c r="BZ415" s="35" t="s">
        <v>7045</v>
      </c>
      <c r="CA415" s="30">
        <v>47027.0</v>
      </c>
      <c r="CB415" s="30">
        <v>47118.0</v>
      </c>
      <c r="CC415" s="36">
        <v>0.0</v>
      </c>
      <c r="CD415" s="36">
        <v>0.0</v>
      </c>
      <c r="CE415" s="35" t="s">
        <v>7045</v>
      </c>
      <c r="CF415" s="30">
        <v>47119.0</v>
      </c>
      <c r="CG415" s="30">
        <v>47208.0</v>
      </c>
      <c r="CH415" s="36">
        <v>0.0</v>
      </c>
      <c r="CI415" s="36">
        <v>0.0</v>
      </c>
      <c r="CJ415" s="35" t="s">
        <v>7045</v>
      </c>
      <c r="CK415" s="30">
        <v>47209.0</v>
      </c>
      <c r="CL415" s="30">
        <v>47299.0</v>
      </c>
      <c r="CM415" s="36">
        <v>0.0</v>
      </c>
      <c r="CN415" s="36">
        <v>0.0</v>
      </c>
      <c r="CO415" s="35" t="s">
        <v>7045</v>
      </c>
      <c r="CP415" s="30">
        <v>47300.0</v>
      </c>
      <c r="CQ415" s="30">
        <v>47391.0</v>
      </c>
      <c r="CR415" s="36">
        <v>0.0</v>
      </c>
      <c r="CS415" s="36">
        <v>0.0</v>
      </c>
      <c r="CT415" s="35" t="s">
        <v>7045</v>
      </c>
      <c r="CU415" s="30">
        <v>47392.0</v>
      </c>
      <c r="CV415" s="30">
        <v>47483.0</v>
      </c>
      <c r="CW415" s="36">
        <v>0.0</v>
      </c>
      <c r="CX415" s="36">
        <v>0.0</v>
      </c>
      <c r="CY415" s="35" t="s">
        <v>7045</v>
      </c>
      <c r="CZ415" s="30">
        <v>47484.0</v>
      </c>
      <c r="DA415" s="30">
        <v>47573.0</v>
      </c>
      <c r="DB415" s="36">
        <v>0.0</v>
      </c>
      <c r="DC415" s="36">
        <v>0.0</v>
      </c>
      <c r="DD415" s="35" t="s">
        <v>7045</v>
      </c>
      <c r="DE415" s="30">
        <v>47574.0</v>
      </c>
      <c r="DF415" s="30">
        <v>47664.0</v>
      </c>
      <c r="DG415" s="36">
        <v>0.0</v>
      </c>
      <c r="DH415" s="36">
        <v>0.0</v>
      </c>
      <c r="DI415" s="35" t="s">
        <v>7045</v>
      </c>
      <c r="DJ415" s="30">
        <v>47665.0</v>
      </c>
      <c r="DK415" s="30">
        <v>47756.0</v>
      </c>
      <c r="DL415" s="36">
        <v>0.0</v>
      </c>
      <c r="DM415" s="36">
        <v>0.0</v>
      </c>
      <c r="DN415" s="35" t="s">
        <v>7045</v>
      </c>
      <c r="DO415" s="30">
        <v>47757.0</v>
      </c>
      <c r="DP415" s="30">
        <v>47848.0</v>
      </c>
      <c r="DQ415" s="36">
        <v>0.0</v>
      </c>
      <c r="DR415" s="36">
        <v>0.0</v>
      </c>
      <c r="DS415" s="35" t="s">
        <v>7045</v>
      </c>
    </row>
    <row r="416" ht="14.25" customHeight="1">
      <c r="A416" s="28" t="s">
        <v>3320</v>
      </c>
      <c r="B416" s="29" t="s">
        <v>3321</v>
      </c>
      <c r="C416" s="29" t="s">
        <v>7041</v>
      </c>
      <c r="D416" s="30">
        <v>45658.0</v>
      </c>
      <c r="E416" s="30">
        <v>45747.0</v>
      </c>
      <c r="F416" s="39">
        <v>5.28</v>
      </c>
      <c r="G416" s="39">
        <v>0.0</v>
      </c>
      <c r="H416" s="38" t="s">
        <v>7047</v>
      </c>
      <c r="I416" s="30">
        <v>45748.0</v>
      </c>
      <c r="J416" s="30">
        <v>45838.0</v>
      </c>
      <c r="K416" s="39">
        <v>5.28</v>
      </c>
      <c r="L416" s="39">
        <v>0.0</v>
      </c>
      <c r="M416" s="38" t="s">
        <v>7047</v>
      </c>
      <c r="N416" s="30">
        <v>45839.0</v>
      </c>
      <c r="O416" s="30">
        <v>45930.0</v>
      </c>
      <c r="P416" s="39">
        <v>158.78</v>
      </c>
      <c r="Q416" s="39">
        <v>0.0</v>
      </c>
      <c r="R416" s="38" t="s">
        <v>7047</v>
      </c>
      <c r="S416" s="30">
        <v>45931.0</v>
      </c>
      <c r="T416" s="30">
        <v>46022.0</v>
      </c>
      <c r="U416" s="39">
        <v>37.0</v>
      </c>
      <c r="V416" s="39">
        <v>0.0</v>
      </c>
      <c r="W416" s="38" t="s">
        <v>7047</v>
      </c>
      <c r="X416" s="30">
        <v>46023.0</v>
      </c>
      <c r="Y416" s="30">
        <v>46112.0</v>
      </c>
      <c r="Z416" s="39">
        <v>0.0</v>
      </c>
      <c r="AA416" s="39">
        <v>0.0</v>
      </c>
      <c r="AB416" s="35" t="s">
        <v>7045</v>
      </c>
      <c r="AC416" s="30">
        <v>46113.0</v>
      </c>
      <c r="AD416" s="30">
        <v>46203.0</v>
      </c>
      <c r="AE416" s="39">
        <v>85.0</v>
      </c>
      <c r="AF416" s="39">
        <v>0.0</v>
      </c>
      <c r="AG416" s="38" t="s">
        <v>7047</v>
      </c>
      <c r="AH416" s="30">
        <v>46204.0</v>
      </c>
      <c r="AI416" s="30">
        <v>46295.0</v>
      </c>
      <c r="AJ416" s="39">
        <v>0.0</v>
      </c>
      <c r="AK416" s="39">
        <v>0.0</v>
      </c>
      <c r="AL416" s="35" t="s">
        <v>7045</v>
      </c>
      <c r="AM416" s="30">
        <v>46296.0</v>
      </c>
      <c r="AN416" s="30">
        <v>46387.0</v>
      </c>
      <c r="AO416" s="39">
        <v>0.0</v>
      </c>
      <c r="AP416" s="39">
        <v>0.0</v>
      </c>
      <c r="AQ416" s="35" t="s">
        <v>7045</v>
      </c>
      <c r="AR416" s="30">
        <v>46388.0</v>
      </c>
      <c r="AS416" s="30">
        <v>46477.0</v>
      </c>
      <c r="AT416" s="39">
        <v>0.0</v>
      </c>
      <c r="AU416" s="39">
        <v>0.0</v>
      </c>
      <c r="AV416" s="35" t="s">
        <v>7045</v>
      </c>
      <c r="AW416" s="30">
        <v>46478.0</v>
      </c>
      <c r="AX416" s="30">
        <v>46568.0</v>
      </c>
      <c r="AY416" s="39">
        <v>0.0</v>
      </c>
      <c r="AZ416" s="39">
        <v>0.0</v>
      </c>
      <c r="BA416" s="35" t="s">
        <v>7045</v>
      </c>
      <c r="BB416" s="30">
        <v>46569.0</v>
      </c>
      <c r="BC416" s="30">
        <v>46660.0</v>
      </c>
      <c r="BD416" s="39">
        <v>0.0</v>
      </c>
      <c r="BE416" s="39">
        <v>0.0</v>
      </c>
      <c r="BF416" s="35" t="s">
        <v>7045</v>
      </c>
      <c r="BG416" s="30">
        <v>46661.0</v>
      </c>
      <c r="BH416" s="30">
        <v>46752.0</v>
      </c>
      <c r="BI416" s="39">
        <v>0.0</v>
      </c>
      <c r="BJ416" s="39">
        <v>0.0</v>
      </c>
      <c r="BK416" s="35" t="s">
        <v>7045</v>
      </c>
      <c r="BL416" s="30">
        <v>46753.0</v>
      </c>
      <c r="BM416" s="30">
        <v>46843.0</v>
      </c>
      <c r="BN416" s="39">
        <v>0.0</v>
      </c>
      <c r="BO416" s="39">
        <v>0.0</v>
      </c>
      <c r="BP416" s="35" t="s">
        <v>7045</v>
      </c>
      <c r="BQ416" s="30">
        <v>46844.0</v>
      </c>
      <c r="BR416" s="30">
        <v>46934.0</v>
      </c>
      <c r="BS416" s="39">
        <v>0.0</v>
      </c>
      <c r="BT416" s="39">
        <v>0.0</v>
      </c>
      <c r="BU416" s="35" t="s">
        <v>7045</v>
      </c>
      <c r="BV416" s="30">
        <v>46935.0</v>
      </c>
      <c r="BW416" s="30">
        <v>47026.0</v>
      </c>
      <c r="BX416" s="39">
        <v>0.0</v>
      </c>
      <c r="BY416" s="39">
        <v>0.0</v>
      </c>
      <c r="BZ416" s="35" t="s">
        <v>7045</v>
      </c>
      <c r="CA416" s="30">
        <v>47027.0</v>
      </c>
      <c r="CB416" s="30">
        <v>47118.0</v>
      </c>
      <c r="CC416" s="39">
        <v>0.0</v>
      </c>
      <c r="CD416" s="39">
        <v>0.0</v>
      </c>
      <c r="CE416" s="35" t="s">
        <v>7045</v>
      </c>
      <c r="CF416" s="30">
        <v>47119.0</v>
      </c>
      <c r="CG416" s="30">
        <v>47208.0</v>
      </c>
      <c r="CH416" s="39">
        <v>0.0</v>
      </c>
      <c r="CI416" s="39">
        <v>0.0</v>
      </c>
      <c r="CJ416" s="35" t="s">
        <v>7045</v>
      </c>
      <c r="CK416" s="30">
        <v>47209.0</v>
      </c>
      <c r="CL416" s="30">
        <v>47299.0</v>
      </c>
      <c r="CM416" s="39">
        <v>0.0</v>
      </c>
      <c r="CN416" s="39">
        <v>0.0</v>
      </c>
      <c r="CO416" s="35" t="s">
        <v>7045</v>
      </c>
      <c r="CP416" s="30">
        <v>47300.0</v>
      </c>
      <c r="CQ416" s="30">
        <v>47391.0</v>
      </c>
      <c r="CR416" s="39">
        <v>0.0</v>
      </c>
      <c r="CS416" s="39">
        <v>0.0</v>
      </c>
      <c r="CT416" s="35" t="s">
        <v>7045</v>
      </c>
      <c r="CU416" s="30">
        <v>47392.0</v>
      </c>
      <c r="CV416" s="30">
        <v>47483.0</v>
      </c>
      <c r="CW416" s="39">
        <v>0.0</v>
      </c>
      <c r="CX416" s="39">
        <v>0.0</v>
      </c>
      <c r="CY416" s="35" t="s">
        <v>7045</v>
      </c>
      <c r="CZ416" s="30">
        <v>47484.0</v>
      </c>
      <c r="DA416" s="30">
        <v>47573.0</v>
      </c>
      <c r="DB416" s="39">
        <v>0.0</v>
      </c>
      <c r="DC416" s="39">
        <v>0.0</v>
      </c>
      <c r="DD416" s="35" t="s">
        <v>7045</v>
      </c>
      <c r="DE416" s="30">
        <v>47574.0</v>
      </c>
      <c r="DF416" s="30">
        <v>47664.0</v>
      </c>
      <c r="DG416" s="39">
        <v>0.0</v>
      </c>
      <c r="DH416" s="39">
        <v>0.0</v>
      </c>
      <c r="DI416" s="35" t="s">
        <v>7045</v>
      </c>
      <c r="DJ416" s="30">
        <v>47665.0</v>
      </c>
      <c r="DK416" s="30">
        <v>47756.0</v>
      </c>
      <c r="DL416" s="39">
        <v>0.0</v>
      </c>
      <c r="DM416" s="39">
        <v>0.0</v>
      </c>
      <c r="DN416" s="35" t="s">
        <v>7045</v>
      </c>
      <c r="DO416" s="30">
        <v>47757.0</v>
      </c>
      <c r="DP416" s="30">
        <v>47848.0</v>
      </c>
      <c r="DQ416" s="39">
        <v>0.0</v>
      </c>
      <c r="DR416" s="39">
        <v>0.0</v>
      </c>
      <c r="DS416" s="35" t="s">
        <v>7045</v>
      </c>
    </row>
    <row r="417" ht="14.25" customHeight="1">
      <c r="A417" s="28" t="s">
        <v>3721</v>
      </c>
      <c r="B417" s="29" t="s">
        <v>3722</v>
      </c>
      <c r="C417" s="29" t="s">
        <v>7041</v>
      </c>
      <c r="D417" s="30">
        <v>45658.0</v>
      </c>
      <c r="E417" s="30">
        <v>45747.0</v>
      </c>
      <c r="F417" s="39">
        <v>25.0</v>
      </c>
      <c r="G417" s="39">
        <v>0.0</v>
      </c>
      <c r="H417" s="38" t="s">
        <v>7047</v>
      </c>
      <c r="I417" s="30">
        <v>45748.0</v>
      </c>
      <c r="J417" s="30">
        <v>45838.0</v>
      </c>
      <c r="K417" s="39">
        <v>65.0</v>
      </c>
      <c r="L417" s="39">
        <v>183.33</v>
      </c>
      <c r="M417" s="37" t="s">
        <v>7046</v>
      </c>
      <c r="N417" s="30">
        <v>45839.0</v>
      </c>
      <c r="O417" s="30">
        <v>45930.0</v>
      </c>
      <c r="P417" s="39">
        <v>139.76</v>
      </c>
      <c r="Q417" s="39">
        <v>274.57</v>
      </c>
      <c r="R417" s="38" t="s">
        <v>7047</v>
      </c>
      <c r="S417" s="30">
        <v>45931.0</v>
      </c>
      <c r="T417" s="30">
        <v>46022.0</v>
      </c>
      <c r="U417" s="39">
        <v>70.0</v>
      </c>
      <c r="V417" s="39">
        <v>275.33</v>
      </c>
      <c r="W417" s="38" t="s">
        <v>7047</v>
      </c>
      <c r="X417" s="30">
        <v>46023.0</v>
      </c>
      <c r="Y417" s="30">
        <v>46112.0</v>
      </c>
      <c r="Z417" s="39">
        <v>85.0</v>
      </c>
      <c r="AA417" s="39">
        <v>0.0</v>
      </c>
      <c r="AB417" s="38" t="s">
        <v>7047</v>
      </c>
      <c r="AC417" s="30">
        <v>46113.0</v>
      </c>
      <c r="AD417" s="30">
        <v>46203.0</v>
      </c>
      <c r="AE417" s="39">
        <v>75.8</v>
      </c>
      <c r="AF417" s="39">
        <v>0.0</v>
      </c>
      <c r="AG417" s="38" t="s">
        <v>7047</v>
      </c>
      <c r="AH417" s="30">
        <v>46204.0</v>
      </c>
      <c r="AI417" s="30">
        <v>46295.0</v>
      </c>
      <c r="AJ417" s="39">
        <v>0.0</v>
      </c>
      <c r="AK417" s="39">
        <v>0.0</v>
      </c>
      <c r="AL417" s="35" t="s">
        <v>7045</v>
      </c>
      <c r="AM417" s="30">
        <v>46296.0</v>
      </c>
      <c r="AN417" s="30">
        <v>46387.0</v>
      </c>
      <c r="AO417" s="39">
        <v>0.0</v>
      </c>
      <c r="AP417" s="39">
        <v>0.0</v>
      </c>
      <c r="AQ417" s="35" t="s">
        <v>7045</v>
      </c>
      <c r="AR417" s="30">
        <v>46388.0</v>
      </c>
      <c r="AS417" s="30">
        <v>46477.0</v>
      </c>
      <c r="AT417" s="39">
        <v>0.0</v>
      </c>
      <c r="AU417" s="39">
        <v>0.0</v>
      </c>
      <c r="AV417" s="35" t="s">
        <v>7045</v>
      </c>
      <c r="AW417" s="30">
        <v>46478.0</v>
      </c>
      <c r="AX417" s="30">
        <v>46568.0</v>
      </c>
      <c r="AY417" s="39">
        <v>0.0</v>
      </c>
      <c r="AZ417" s="39">
        <v>0.0</v>
      </c>
      <c r="BA417" s="35" t="s">
        <v>7045</v>
      </c>
      <c r="BB417" s="30">
        <v>46569.0</v>
      </c>
      <c r="BC417" s="30">
        <v>46660.0</v>
      </c>
      <c r="BD417" s="39">
        <v>0.0</v>
      </c>
      <c r="BE417" s="39">
        <v>0.0</v>
      </c>
      <c r="BF417" s="35" t="s">
        <v>7045</v>
      </c>
      <c r="BG417" s="30">
        <v>46661.0</v>
      </c>
      <c r="BH417" s="30">
        <v>46752.0</v>
      </c>
      <c r="BI417" s="39">
        <v>0.0</v>
      </c>
      <c r="BJ417" s="39">
        <v>0.0</v>
      </c>
      <c r="BK417" s="35" t="s">
        <v>7045</v>
      </c>
      <c r="BL417" s="30">
        <v>46753.0</v>
      </c>
      <c r="BM417" s="30">
        <v>46843.0</v>
      </c>
      <c r="BN417" s="39">
        <v>0.0</v>
      </c>
      <c r="BO417" s="39">
        <v>0.0</v>
      </c>
      <c r="BP417" s="35" t="s">
        <v>7045</v>
      </c>
      <c r="BQ417" s="30">
        <v>46844.0</v>
      </c>
      <c r="BR417" s="30">
        <v>46934.0</v>
      </c>
      <c r="BS417" s="39">
        <v>0.0</v>
      </c>
      <c r="BT417" s="39">
        <v>0.0</v>
      </c>
      <c r="BU417" s="35" t="s">
        <v>7045</v>
      </c>
      <c r="BV417" s="30">
        <v>46935.0</v>
      </c>
      <c r="BW417" s="30">
        <v>47026.0</v>
      </c>
      <c r="BX417" s="39">
        <v>0.0</v>
      </c>
      <c r="BY417" s="39">
        <v>0.0</v>
      </c>
      <c r="BZ417" s="35" t="s">
        <v>7045</v>
      </c>
      <c r="CA417" s="30">
        <v>47027.0</v>
      </c>
      <c r="CB417" s="30">
        <v>47118.0</v>
      </c>
      <c r="CC417" s="39">
        <v>0.0</v>
      </c>
      <c r="CD417" s="39">
        <v>0.0</v>
      </c>
      <c r="CE417" s="35" t="s">
        <v>7045</v>
      </c>
      <c r="CF417" s="30">
        <v>47119.0</v>
      </c>
      <c r="CG417" s="30">
        <v>47208.0</v>
      </c>
      <c r="CH417" s="39">
        <v>0.0</v>
      </c>
      <c r="CI417" s="39">
        <v>0.0</v>
      </c>
      <c r="CJ417" s="35" t="s">
        <v>7045</v>
      </c>
      <c r="CK417" s="30">
        <v>47209.0</v>
      </c>
      <c r="CL417" s="30">
        <v>47299.0</v>
      </c>
      <c r="CM417" s="39">
        <v>0.0</v>
      </c>
      <c r="CN417" s="39">
        <v>0.0</v>
      </c>
      <c r="CO417" s="35" t="s">
        <v>7045</v>
      </c>
      <c r="CP417" s="30">
        <v>47300.0</v>
      </c>
      <c r="CQ417" s="30">
        <v>47391.0</v>
      </c>
      <c r="CR417" s="39">
        <v>0.0</v>
      </c>
      <c r="CS417" s="39">
        <v>0.0</v>
      </c>
      <c r="CT417" s="35" t="s">
        <v>7045</v>
      </c>
      <c r="CU417" s="30">
        <v>47392.0</v>
      </c>
      <c r="CV417" s="30">
        <v>47483.0</v>
      </c>
      <c r="CW417" s="39">
        <v>0.0</v>
      </c>
      <c r="CX417" s="39">
        <v>0.0</v>
      </c>
      <c r="CY417" s="35" t="s">
        <v>7045</v>
      </c>
      <c r="CZ417" s="30">
        <v>47484.0</v>
      </c>
      <c r="DA417" s="30">
        <v>47573.0</v>
      </c>
      <c r="DB417" s="39">
        <v>0.0</v>
      </c>
      <c r="DC417" s="39">
        <v>0.0</v>
      </c>
      <c r="DD417" s="35" t="s">
        <v>7045</v>
      </c>
      <c r="DE417" s="30">
        <v>47574.0</v>
      </c>
      <c r="DF417" s="30">
        <v>47664.0</v>
      </c>
      <c r="DG417" s="39">
        <v>0.0</v>
      </c>
      <c r="DH417" s="39">
        <v>0.0</v>
      </c>
      <c r="DI417" s="35" t="s">
        <v>7045</v>
      </c>
      <c r="DJ417" s="30">
        <v>47665.0</v>
      </c>
      <c r="DK417" s="30">
        <v>47756.0</v>
      </c>
      <c r="DL417" s="39">
        <v>0.0</v>
      </c>
      <c r="DM417" s="39">
        <v>0.0</v>
      </c>
      <c r="DN417" s="35" t="s">
        <v>7045</v>
      </c>
      <c r="DO417" s="30">
        <v>47757.0</v>
      </c>
      <c r="DP417" s="30">
        <v>47848.0</v>
      </c>
      <c r="DQ417" s="39">
        <v>0.0</v>
      </c>
      <c r="DR417" s="39">
        <v>0.0</v>
      </c>
      <c r="DS417" s="35" t="s">
        <v>7045</v>
      </c>
    </row>
    <row r="418" ht="14.25" customHeight="1">
      <c r="A418" s="28" t="s">
        <v>2811</v>
      </c>
      <c r="B418" s="29" t="s">
        <v>2812</v>
      </c>
      <c r="C418" s="29" t="s">
        <v>7041</v>
      </c>
      <c r="D418" s="30">
        <v>45658.0</v>
      </c>
      <c r="E418" s="30">
        <v>45747.0</v>
      </c>
      <c r="F418" s="39">
        <v>9.89</v>
      </c>
      <c r="G418" s="39">
        <v>0.0</v>
      </c>
      <c r="H418" s="38" t="s">
        <v>7047</v>
      </c>
      <c r="I418" s="30">
        <v>45748.0</v>
      </c>
      <c r="J418" s="30">
        <v>45838.0</v>
      </c>
      <c r="K418" s="39">
        <v>12.06</v>
      </c>
      <c r="L418" s="39">
        <v>79.31</v>
      </c>
      <c r="M418" s="38" t="s">
        <v>7047</v>
      </c>
      <c r="N418" s="30">
        <v>45839.0</v>
      </c>
      <c r="O418" s="30">
        <v>45930.0</v>
      </c>
      <c r="P418" s="39">
        <v>11.58</v>
      </c>
      <c r="Q418" s="39">
        <v>119.14</v>
      </c>
      <c r="R418" s="38" t="s">
        <v>7047</v>
      </c>
      <c r="S418" s="30">
        <v>45931.0</v>
      </c>
      <c r="T418" s="30">
        <v>46022.0</v>
      </c>
      <c r="U418" s="39">
        <v>0.0</v>
      </c>
      <c r="V418" s="39">
        <v>119.14</v>
      </c>
      <c r="W418" s="32" t="s">
        <v>7043</v>
      </c>
      <c r="X418" s="30">
        <v>46023.0</v>
      </c>
      <c r="Y418" s="30">
        <v>46112.0</v>
      </c>
      <c r="Z418" s="39">
        <v>0.0</v>
      </c>
      <c r="AA418" s="39">
        <v>0.0</v>
      </c>
      <c r="AB418" s="35" t="s">
        <v>7045</v>
      </c>
      <c r="AC418" s="30">
        <v>46113.0</v>
      </c>
      <c r="AD418" s="30">
        <v>46203.0</v>
      </c>
      <c r="AE418" s="39">
        <v>0.0</v>
      </c>
      <c r="AF418" s="39">
        <v>0.0</v>
      </c>
      <c r="AG418" s="35" t="s">
        <v>7045</v>
      </c>
      <c r="AH418" s="30">
        <v>46204.0</v>
      </c>
      <c r="AI418" s="30">
        <v>46295.0</v>
      </c>
      <c r="AJ418" s="39">
        <v>0.0</v>
      </c>
      <c r="AK418" s="39">
        <v>0.0</v>
      </c>
      <c r="AL418" s="35" t="s">
        <v>7045</v>
      </c>
      <c r="AM418" s="30">
        <v>46296.0</v>
      </c>
      <c r="AN418" s="30">
        <v>46387.0</v>
      </c>
      <c r="AO418" s="39">
        <v>0.0</v>
      </c>
      <c r="AP418" s="39">
        <v>0.0</v>
      </c>
      <c r="AQ418" s="35" t="s">
        <v>7045</v>
      </c>
      <c r="AR418" s="30">
        <v>46388.0</v>
      </c>
      <c r="AS418" s="30">
        <v>46477.0</v>
      </c>
      <c r="AT418" s="39">
        <v>0.0</v>
      </c>
      <c r="AU418" s="39">
        <v>0.0</v>
      </c>
      <c r="AV418" s="35" t="s">
        <v>7045</v>
      </c>
      <c r="AW418" s="30">
        <v>46478.0</v>
      </c>
      <c r="AX418" s="30">
        <v>46568.0</v>
      </c>
      <c r="AY418" s="39">
        <v>0.0</v>
      </c>
      <c r="AZ418" s="39">
        <v>0.0</v>
      </c>
      <c r="BA418" s="35" t="s">
        <v>7045</v>
      </c>
      <c r="BB418" s="30">
        <v>46569.0</v>
      </c>
      <c r="BC418" s="30">
        <v>46660.0</v>
      </c>
      <c r="BD418" s="39">
        <v>0.0</v>
      </c>
      <c r="BE418" s="39">
        <v>0.0</v>
      </c>
      <c r="BF418" s="35" t="s">
        <v>7045</v>
      </c>
      <c r="BG418" s="30">
        <v>46661.0</v>
      </c>
      <c r="BH418" s="30">
        <v>46752.0</v>
      </c>
      <c r="BI418" s="39">
        <v>0.0</v>
      </c>
      <c r="BJ418" s="39">
        <v>0.0</v>
      </c>
      <c r="BK418" s="35" t="s">
        <v>7045</v>
      </c>
      <c r="BL418" s="30">
        <v>46753.0</v>
      </c>
      <c r="BM418" s="30">
        <v>46843.0</v>
      </c>
      <c r="BN418" s="39">
        <v>0.0</v>
      </c>
      <c r="BO418" s="39">
        <v>0.0</v>
      </c>
      <c r="BP418" s="35" t="s">
        <v>7045</v>
      </c>
      <c r="BQ418" s="30">
        <v>46844.0</v>
      </c>
      <c r="BR418" s="30">
        <v>46934.0</v>
      </c>
      <c r="BS418" s="39">
        <v>0.0</v>
      </c>
      <c r="BT418" s="39">
        <v>0.0</v>
      </c>
      <c r="BU418" s="35" t="s">
        <v>7045</v>
      </c>
      <c r="BV418" s="30">
        <v>46935.0</v>
      </c>
      <c r="BW418" s="30">
        <v>47026.0</v>
      </c>
      <c r="BX418" s="39">
        <v>0.0</v>
      </c>
      <c r="BY418" s="39">
        <v>0.0</v>
      </c>
      <c r="BZ418" s="35" t="s">
        <v>7045</v>
      </c>
      <c r="CA418" s="30">
        <v>47027.0</v>
      </c>
      <c r="CB418" s="30">
        <v>47118.0</v>
      </c>
      <c r="CC418" s="39">
        <v>0.0</v>
      </c>
      <c r="CD418" s="39">
        <v>0.0</v>
      </c>
      <c r="CE418" s="35" t="s">
        <v>7045</v>
      </c>
      <c r="CF418" s="30">
        <v>47119.0</v>
      </c>
      <c r="CG418" s="30">
        <v>47208.0</v>
      </c>
      <c r="CH418" s="39">
        <v>0.0</v>
      </c>
      <c r="CI418" s="39">
        <v>0.0</v>
      </c>
      <c r="CJ418" s="35" t="s">
        <v>7045</v>
      </c>
      <c r="CK418" s="30">
        <v>47209.0</v>
      </c>
      <c r="CL418" s="30">
        <v>47299.0</v>
      </c>
      <c r="CM418" s="39">
        <v>0.0</v>
      </c>
      <c r="CN418" s="39">
        <v>0.0</v>
      </c>
      <c r="CO418" s="35" t="s">
        <v>7045</v>
      </c>
      <c r="CP418" s="30">
        <v>47300.0</v>
      </c>
      <c r="CQ418" s="30">
        <v>47391.0</v>
      </c>
      <c r="CR418" s="39">
        <v>0.0</v>
      </c>
      <c r="CS418" s="39">
        <v>0.0</v>
      </c>
      <c r="CT418" s="35" t="s">
        <v>7045</v>
      </c>
      <c r="CU418" s="30">
        <v>47392.0</v>
      </c>
      <c r="CV418" s="30">
        <v>47483.0</v>
      </c>
      <c r="CW418" s="39">
        <v>0.0</v>
      </c>
      <c r="CX418" s="39">
        <v>0.0</v>
      </c>
      <c r="CY418" s="35" t="s">
        <v>7045</v>
      </c>
      <c r="CZ418" s="30">
        <v>47484.0</v>
      </c>
      <c r="DA418" s="30">
        <v>47573.0</v>
      </c>
      <c r="DB418" s="39">
        <v>0.0</v>
      </c>
      <c r="DC418" s="39">
        <v>0.0</v>
      </c>
      <c r="DD418" s="35" t="s">
        <v>7045</v>
      </c>
      <c r="DE418" s="30">
        <v>47574.0</v>
      </c>
      <c r="DF418" s="30">
        <v>47664.0</v>
      </c>
      <c r="DG418" s="39">
        <v>0.0</v>
      </c>
      <c r="DH418" s="39">
        <v>0.0</v>
      </c>
      <c r="DI418" s="35" t="s">
        <v>7045</v>
      </c>
      <c r="DJ418" s="30">
        <v>47665.0</v>
      </c>
      <c r="DK418" s="30">
        <v>47756.0</v>
      </c>
      <c r="DL418" s="39">
        <v>0.0</v>
      </c>
      <c r="DM418" s="39">
        <v>0.0</v>
      </c>
      <c r="DN418" s="35" t="s">
        <v>7045</v>
      </c>
      <c r="DO418" s="30">
        <v>47757.0</v>
      </c>
      <c r="DP418" s="30">
        <v>47848.0</v>
      </c>
      <c r="DQ418" s="39">
        <v>0.0</v>
      </c>
      <c r="DR418" s="39">
        <v>0.0</v>
      </c>
      <c r="DS418" s="35" t="s">
        <v>7045</v>
      </c>
    </row>
    <row r="419" ht="14.25" customHeight="1">
      <c r="A419" s="28" t="s">
        <v>2604</v>
      </c>
      <c r="B419" s="29" t="s">
        <v>2605</v>
      </c>
      <c r="C419" s="29" t="s">
        <v>7041</v>
      </c>
      <c r="D419" s="30">
        <v>45658.0</v>
      </c>
      <c r="E419" s="30">
        <v>45747.0</v>
      </c>
      <c r="F419" s="39">
        <v>20.0</v>
      </c>
      <c r="G419" s="39">
        <v>0.0</v>
      </c>
      <c r="H419" s="38" t="s">
        <v>7047</v>
      </c>
      <c r="I419" s="30">
        <v>45748.0</v>
      </c>
      <c r="J419" s="30">
        <v>45838.0</v>
      </c>
      <c r="K419" s="39">
        <v>27.9</v>
      </c>
      <c r="L419" s="39">
        <v>0.0</v>
      </c>
      <c r="M419" s="38" t="s">
        <v>7047</v>
      </c>
      <c r="N419" s="30">
        <v>45839.0</v>
      </c>
      <c r="O419" s="30">
        <v>45930.0</v>
      </c>
      <c r="P419" s="39">
        <v>27.9</v>
      </c>
      <c r="Q419" s="39">
        <v>256.1</v>
      </c>
      <c r="R419" s="38" t="s">
        <v>7047</v>
      </c>
      <c r="S419" s="30">
        <v>45931.0</v>
      </c>
      <c r="T419" s="30">
        <v>46022.0</v>
      </c>
      <c r="U419" s="39">
        <v>205.79</v>
      </c>
      <c r="V419" s="39">
        <v>256.1</v>
      </c>
      <c r="W419" s="38" t="s">
        <v>7047</v>
      </c>
      <c r="X419" s="30">
        <v>46023.0</v>
      </c>
      <c r="Y419" s="30">
        <v>46112.0</v>
      </c>
      <c r="Z419" s="39">
        <v>0.0</v>
      </c>
      <c r="AA419" s="39">
        <v>0.0</v>
      </c>
      <c r="AB419" s="35" t="s">
        <v>7045</v>
      </c>
      <c r="AC419" s="30">
        <v>46113.0</v>
      </c>
      <c r="AD419" s="30">
        <v>46203.0</v>
      </c>
      <c r="AE419" s="39">
        <v>337.44</v>
      </c>
      <c r="AF419" s="39">
        <v>0.0</v>
      </c>
      <c r="AG419" s="38" t="s">
        <v>7047</v>
      </c>
      <c r="AH419" s="30">
        <v>46204.0</v>
      </c>
      <c r="AI419" s="30">
        <v>46295.0</v>
      </c>
      <c r="AJ419" s="39">
        <v>0.0</v>
      </c>
      <c r="AK419" s="39">
        <v>0.0</v>
      </c>
      <c r="AL419" s="35" t="s">
        <v>7045</v>
      </c>
      <c r="AM419" s="30">
        <v>46296.0</v>
      </c>
      <c r="AN419" s="30">
        <v>46387.0</v>
      </c>
      <c r="AO419" s="39">
        <v>0.0</v>
      </c>
      <c r="AP419" s="39">
        <v>0.0</v>
      </c>
      <c r="AQ419" s="35" t="s">
        <v>7045</v>
      </c>
      <c r="AR419" s="30">
        <v>46388.0</v>
      </c>
      <c r="AS419" s="30">
        <v>46477.0</v>
      </c>
      <c r="AT419" s="39">
        <v>0.0</v>
      </c>
      <c r="AU419" s="39">
        <v>0.0</v>
      </c>
      <c r="AV419" s="35" t="s">
        <v>7045</v>
      </c>
      <c r="AW419" s="30">
        <v>46478.0</v>
      </c>
      <c r="AX419" s="30">
        <v>46568.0</v>
      </c>
      <c r="AY419" s="39">
        <v>0.0</v>
      </c>
      <c r="AZ419" s="39">
        <v>0.0</v>
      </c>
      <c r="BA419" s="35" t="s">
        <v>7045</v>
      </c>
      <c r="BB419" s="30">
        <v>46569.0</v>
      </c>
      <c r="BC419" s="30">
        <v>46660.0</v>
      </c>
      <c r="BD419" s="39">
        <v>0.0</v>
      </c>
      <c r="BE419" s="39">
        <v>0.0</v>
      </c>
      <c r="BF419" s="35" t="s">
        <v>7045</v>
      </c>
      <c r="BG419" s="30">
        <v>46661.0</v>
      </c>
      <c r="BH419" s="30">
        <v>46752.0</v>
      </c>
      <c r="BI419" s="39">
        <v>0.0</v>
      </c>
      <c r="BJ419" s="39">
        <v>0.0</v>
      </c>
      <c r="BK419" s="35" t="s">
        <v>7045</v>
      </c>
      <c r="BL419" s="30">
        <v>46753.0</v>
      </c>
      <c r="BM419" s="30">
        <v>46843.0</v>
      </c>
      <c r="BN419" s="39">
        <v>0.0</v>
      </c>
      <c r="BO419" s="39">
        <v>0.0</v>
      </c>
      <c r="BP419" s="35" t="s">
        <v>7045</v>
      </c>
      <c r="BQ419" s="30">
        <v>46844.0</v>
      </c>
      <c r="BR419" s="30">
        <v>46934.0</v>
      </c>
      <c r="BS419" s="39">
        <v>0.0</v>
      </c>
      <c r="BT419" s="39">
        <v>0.0</v>
      </c>
      <c r="BU419" s="35" t="s">
        <v>7045</v>
      </c>
      <c r="BV419" s="30">
        <v>46935.0</v>
      </c>
      <c r="BW419" s="30">
        <v>47026.0</v>
      </c>
      <c r="BX419" s="39">
        <v>0.0</v>
      </c>
      <c r="BY419" s="39">
        <v>0.0</v>
      </c>
      <c r="BZ419" s="35" t="s">
        <v>7045</v>
      </c>
      <c r="CA419" s="30">
        <v>47027.0</v>
      </c>
      <c r="CB419" s="30">
        <v>47118.0</v>
      </c>
      <c r="CC419" s="39">
        <v>0.0</v>
      </c>
      <c r="CD419" s="39">
        <v>0.0</v>
      </c>
      <c r="CE419" s="35" t="s">
        <v>7045</v>
      </c>
      <c r="CF419" s="30">
        <v>47119.0</v>
      </c>
      <c r="CG419" s="30">
        <v>47208.0</v>
      </c>
      <c r="CH419" s="39">
        <v>0.0</v>
      </c>
      <c r="CI419" s="39">
        <v>0.0</v>
      </c>
      <c r="CJ419" s="35" t="s">
        <v>7045</v>
      </c>
      <c r="CK419" s="30">
        <v>47209.0</v>
      </c>
      <c r="CL419" s="30">
        <v>47299.0</v>
      </c>
      <c r="CM419" s="39">
        <v>0.0</v>
      </c>
      <c r="CN419" s="39">
        <v>0.0</v>
      </c>
      <c r="CO419" s="35" t="s">
        <v>7045</v>
      </c>
      <c r="CP419" s="30">
        <v>47300.0</v>
      </c>
      <c r="CQ419" s="30">
        <v>47391.0</v>
      </c>
      <c r="CR419" s="39">
        <v>0.0</v>
      </c>
      <c r="CS419" s="39">
        <v>0.0</v>
      </c>
      <c r="CT419" s="35" t="s">
        <v>7045</v>
      </c>
      <c r="CU419" s="30">
        <v>47392.0</v>
      </c>
      <c r="CV419" s="30">
        <v>47483.0</v>
      </c>
      <c r="CW419" s="39">
        <v>0.0</v>
      </c>
      <c r="CX419" s="39">
        <v>0.0</v>
      </c>
      <c r="CY419" s="35" t="s">
        <v>7045</v>
      </c>
      <c r="CZ419" s="30">
        <v>47484.0</v>
      </c>
      <c r="DA419" s="30">
        <v>47573.0</v>
      </c>
      <c r="DB419" s="39">
        <v>0.0</v>
      </c>
      <c r="DC419" s="39">
        <v>0.0</v>
      </c>
      <c r="DD419" s="35" t="s">
        <v>7045</v>
      </c>
      <c r="DE419" s="30">
        <v>47574.0</v>
      </c>
      <c r="DF419" s="30">
        <v>47664.0</v>
      </c>
      <c r="DG419" s="39">
        <v>0.0</v>
      </c>
      <c r="DH419" s="39">
        <v>0.0</v>
      </c>
      <c r="DI419" s="35" t="s">
        <v>7045</v>
      </c>
      <c r="DJ419" s="30">
        <v>47665.0</v>
      </c>
      <c r="DK419" s="30">
        <v>47756.0</v>
      </c>
      <c r="DL419" s="39">
        <v>0.0</v>
      </c>
      <c r="DM419" s="39">
        <v>0.0</v>
      </c>
      <c r="DN419" s="35" t="s">
        <v>7045</v>
      </c>
      <c r="DO419" s="30">
        <v>47757.0</v>
      </c>
      <c r="DP419" s="30">
        <v>47848.0</v>
      </c>
      <c r="DQ419" s="39">
        <v>0.0</v>
      </c>
      <c r="DR419" s="39">
        <v>0.0</v>
      </c>
      <c r="DS419" s="35" t="s">
        <v>7045</v>
      </c>
    </row>
    <row r="420" ht="14.25" customHeight="1">
      <c r="A420" s="28" t="s">
        <v>308</v>
      </c>
      <c r="B420" s="29" t="s">
        <v>309</v>
      </c>
      <c r="C420" s="29" t="s">
        <v>7041</v>
      </c>
      <c r="D420" s="30">
        <v>45658.0</v>
      </c>
      <c r="E420" s="30">
        <v>45747.0</v>
      </c>
      <c r="F420" s="39">
        <v>5.0</v>
      </c>
      <c r="G420" s="39">
        <v>0.0</v>
      </c>
      <c r="H420" s="38" t="s">
        <v>7047</v>
      </c>
      <c r="I420" s="30">
        <v>45748.0</v>
      </c>
      <c r="J420" s="30">
        <v>45838.0</v>
      </c>
      <c r="K420" s="39">
        <v>15.0</v>
      </c>
      <c r="L420" s="39">
        <v>52.63</v>
      </c>
      <c r="M420" s="38" t="s">
        <v>7043</v>
      </c>
      <c r="N420" s="30">
        <v>45839.0</v>
      </c>
      <c r="O420" s="30">
        <v>45930.0</v>
      </c>
      <c r="P420" s="39">
        <v>109.1</v>
      </c>
      <c r="Q420" s="39">
        <v>54.74</v>
      </c>
      <c r="R420" s="38" t="s">
        <v>7047</v>
      </c>
      <c r="S420" s="30">
        <v>45931.0</v>
      </c>
      <c r="T420" s="30">
        <v>46022.0</v>
      </c>
      <c r="U420" s="39">
        <v>70.0</v>
      </c>
      <c r="V420" s="39">
        <v>60.0</v>
      </c>
      <c r="W420" s="38" t="s">
        <v>7047</v>
      </c>
      <c r="X420" s="30">
        <v>46023.0</v>
      </c>
      <c r="Y420" s="30">
        <v>46112.0</v>
      </c>
      <c r="Z420" s="39">
        <v>35.0</v>
      </c>
      <c r="AA420" s="39">
        <v>0.0</v>
      </c>
      <c r="AB420" s="38" t="s">
        <v>7047</v>
      </c>
      <c r="AC420" s="30">
        <v>46113.0</v>
      </c>
      <c r="AD420" s="30">
        <v>46203.0</v>
      </c>
      <c r="AE420" s="39">
        <v>0.0</v>
      </c>
      <c r="AF420" s="39">
        <v>0.0</v>
      </c>
      <c r="AG420" s="35" t="s">
        <v>7045</v>
      </c>
      <c r="AH420" s="30">
        <v>46204.0</v>
      </c>
      <c r="AI420" s="30">
        <v>46295.0</v>
      </c>
      <c r="AJ420" s="39">
        <v>0.0</v>
      </c>
      <c r="AK420" s="39">
        <v>0.0</v>
      </c>
      <c r="AL420" s="35" t="s">
        <v>7045</v>
      </c>
      <c r="AM420" s="30">
        <v>46296.0</v>
      </c>
      <c r="AN420" s="30">
        <v>46387.0</v>
      </c>
      <c r="AO420" s="39">
        <v>0.0</v>
      </c>
      <c r="AP420" s="39">
        <v>0.0</v>
      </c>
      <c r="AQ420" s="35" t="s">
        <v>7045</v>
      </c>
      <c r="AR420" s="30">
        <v>46388.0</v>
      </c>
      <c r="AS420" s="30">
        <v>46477.0</v>
      </c>
      <c r="AT420" s="39">
        <v>0.0</v>
      </c>
      <c r="AU420" s="39">
        <v>0.0</v>
      </c>
      <c r="AV420" s="35" t="s">
        <v>7045</v>
      </c>
      <c r="AW420" s="30">
        <v>46478.0</v>
      </c>
      <c r="AX420" s="30">
        <v>46568.0</v>
      </c>
      <c r="AY420" s="39">
        <v>0.0</v>
      </c>
      <c r="AZ420" s="39">
        <v>0.0</v>
      </c>
      <c r="BA420" s="35" t="s">
        <v>7045</v>
      </c>
      <c r="BB420" s="30">
        <v>46569.0</v>
      </c>
      <c r="BC420" s="30">
        <v>46660.0</v>
      </c>
      <c r="BD420" s="39">
        <v>0.0</v>
      </c>
      <c r="BE420" s="39">
        <v>0.0</v>
      </c>
      <c r="BF420" s="35" t="s">
        <v>7045</v>
      </c>
      <c r="BG420" s="30">
        <v>46661.0</v>
      </c>
      <c r="BH420" s="30">
        <v>46752.0</v>
      </c>
      <c r="BI420" s="39">
        <v>0.0</v>
      </c>
      <c r="BJ420" s="39">
        <v>0.0</v>
      </c>
      <c r="BK420" s="35" t="s">
        <v>7045</v>
      </c>
      <c r="BL420" s="30">
        <v>46753.0</v>
      </c>
      <c r="BM420" s="30">
        <v>46843.0</v>
      </c>
      <c r="BN420" s="39">
        <v>0.0</v>
      </c>
      <c r="BO420" s="39">
        <v>0.0</v>
      </c>
      <c r="BP420" s="35" t="s">
        <v>7045</v>
      </c>
      <c r="BQ420" s="30">
        <v>46844.0</v>
      </c>
      <c r="BR420" s="30">
        <v>46934.0</v>
      </c>
      <c r="BS420" s="39">
        <v>0.0</v>
      </c>
      <c r="BT420" s="39">
        <v>0.0</v>
      </c>
      <c r="BU420" s="35" t="s">
        <v>7045</v>
      </c>
      <c r="BV420" s="30">
        <v>46935.0</v>
      </c>
      <c r="BW420" s="30">
        <v>47026.0</v>
      </c>
      <c r="BX420" s="39">
        <v>0.0</v>
      </c>
      <c r="BY420" s="39">
        <v>0.0</v>
      </c>
      <c r="BZ420" s="35" t="s">
        <v>7045</v>
      </c>
      <c r="CA420" s="30">
        <v>47027.0</v>
      </c>
      <c r="CB420" s="30">
        <v>47118.0</v>
      </c>
      <c r="CC420" s="39">
        <v>0.0</v>
      </c>
      <c r="CD420" s="39">
        <v>0.0</v>
      </c>
      <c r="CE420" s="35" t="s">
        <v>7045</v>
      </c>
      <c r="CF420" s="30">
        <v>47119.0</v>
      </c>
      <c r="CG420" s="30">
        <v>47208.0</v>
      </c>
      <c r="CH420" s="39">
        <v>0.0</v>
      </c>
      <c r="CI420" s="39">
        <v>0.0</v>
      </c>
      <c r="CJ420" s="35" t="s">
        <v>7045</v>
      </c>
      <c r="CK420" s="30">
        <v>47209.0</v>
      </c>
      <c r="CL420" s="30">
        <v>47299.0</v>
      </c>
      <c r="CM420" s="39">
        <v>0.0</v>
      </c>
      <c r="CN420" s="39">
        <v>0.0</v>
      </c>
      <c r="CO420" s="35" t="s">
        <v>7045</v>
      </c>
      <c r="CP420" s="30">
        <v>47300.0</v>
      </c>
      <c r="CQ420" s="30">
        <v>47391.0</v>
      </c>
      <c r="CR420" s="39">
        <v>0.0</v>
      </c>
      <c r="CS420" s="39">
        <v>0.0</v>
      </c>
      <c r="CT420" s="35" t="s">
        <v>7045</v>
      </c>
      <c r="CU420" s="30">
        <v>47392.0</v>
      </c>
      <c r="CV420" s="30">
        <v>47483.0</v>
      </c>
      <c r="CW420" s="39">
        <v>0.0</v>
      </c>
      <c r="CX420" s="39">
        <v>0.0</v>
      </c>
      <c r="CY420" s="35" t="s">
        <v>7045</v>
      </c>
      <c r="CZ420" s="30">
        <v>47484.0</v>
      </c>
      <c r="DA420" s="30">
        <v>47573.0</v>
      </c>
      <c r="DB420" s="39">
        <v>0.0</v>
      </c>
      <c r="DC420" s="39">
        <v>0.0</v>
      </c>
      <c r="DD420" s="35" t="s">
        <v>7045</v>
      </c>
      <c r="DE420" s="30">
        <v>47574.0</v>
      </c>
      <c r="DF420" s="30">
        <v>47664.0</v>
      </c>
      <c r="DG420" s="39">
        <v>0.0</v>
      </c>
      <c r="DH420" s="39">
        <v>0.0</v>
      </c>
      <c r="DI420" s="35" t="s">
        <v>7045</v>
      </c>
      <c r="DJ420" s="30">
        <v>47665.0</v>
      </c>
      <c r="DK420" s="30">
        <v>47756.0</v>
      </c>
      <c r="DL420" s="39">
        <v>0.0</v>
      </c>
      <c r="DM420" s="39">
        <v>0.0</v>
      </c>
      <c r="DN420" s="35" t="s">
        <v>7045</v>
      </c>
      <c r="DO420" s="30">
        <v>47757.0</v>
      </c>
      <c r="DP420" s="30">
        <v>47848.0</v>
      </c>
      <c r="DQ420" s="39">
        <v>0.0</v>
      </c>
      <c r="DR420" s="39">
        <v>0.0</v>
      </c>
      <c r="DS420" s="35" t="s">
        <v>7045</v>
      </c>
    </row>
    <row r="421" ht="14.25" customHeight="1">
      <c r="A421" s="28" t="s">
        <v>6002</v>
      </c>
      <c r="B421" s="29" t="s">
        <v>6003</v>
      </c>
      <c r="C421" s="29" t="s">
        <v>7041</v>
      </c>
      <c r="D421" s="30">
        <v>45658.0</v>
      </c>
      <c r="E421" s="30">
        <v>45747.0</v>
      </c>
      <c r="F421" s="39">
        <v>1.06</v>
      </c>
      <c r="G421" s="39">
        <v>0.0</v>
      </c>
      <c r="H421" s="38" t="s">
        <v>7047</v>
      </c>
      <c r="I421" s="30">
        <v>45748.0</v>
      </c>
      <c r="J421" s="30">
        <v>45838.0</v>
      </c>
      <c r="K421" s="39">
        <v>1.06</v>
      </c>
      <c r="L421" s="39">
        <v>0.0</v>
      </c>
      <c r="M421" s="38" t="s">
        <v>7047</v>
      </c>
      <c r="N421" s="30">
        <v>45839.0</v>
      </c>
      <c r="O421" s="30">
        <v>45930.0</v>
      </c>
      <c r="P421" s="39">
        <v>1.06</v>
      </c>
      <c r="Q421" s="39">
        <v>0.0</v>
      </c>
      <c r="R421" s="35" t="s">
        <v>7047</v>
      </c>
      <c r="S421" s="30">
        <v>45931.0</v>
      </c>
      <c r="T421" s="30">
        <v>46022.0</v>
      </c>
      <c r="U421" s="39">
        <v>40.0</v>
      </c>
      <c r="V421" s="39">
        <v>0.0</v>
      </c>
      <c r="W421" s="38" t="s">
        <v>7047</v>
      </c>
      <c r="X421" s="30">
        <v>46023.0</v>
      </c>
      <c r="Y421" s="30">
        <v>46112.0</v>
      </c>
      <c r="Z421" s="39">
        <v>0.5</v>
      </c>
      <c r="AA421" s="39">
        <v>0.0</v>
      </c>
      <c r="AB421" s="38" t="s">
        <v>7047</v>
      </c>
      <c r="AC421" s="30">
        <v>46113.0</v>
      </c>
      <c r="AD421" s="30">
        <v>46203.0</v>
      </c>
      <c r="AE421" s="39">
        <v>0.0</v>
      </c>
      <c r="AF421" s="39">
        <v>0.0</v>
      </c>
      <c r="AG421" s="35" t="s">
        <v>7045</v>
      </c>
      <c r="AH421" s="30">
        <v>46204.0</v>
      </c>
      <c r="AI421" s="30">
        <v>46295.0</v>
      </c>
      <c r="AJ421" s="39">
        <v>53.0</v>
      </c>
      <c r="AK421" s="39">
        <v>0.0</v>
      </c>
      <c r="AL421" s="35" t="s">
        <v>7047</v>
      </c>
      <c r="AM421" s="30">
        <v>46296.0</v>
      </c>
      <c r="AN421" s="30">
        <v>46387.0</v>
      </c>
      <c r="AO421" s="39">
        <v>0.0</v>
      </c>
      <c r="AP421" s="39">
        <v>0.0</v>
      </c>
      <c r="AQ421" s="35" t="s">
        <v>7045</v>
      </c>
      <c r="AR421" s="30">
        <v>46388.0</v>
      </c>
      <c r="AS421" s="30">
        <v>46477.0</v>
      </c>
      <c r="AT421" s="39">
        <v>0.0</v>
      </c>
      <c r="AU421" s="39">
        <v>0.0</v>
      </c>
      <c r="AV421" s="35" t="s">
        <v>7045</v>
      </c>
      <c r="AW421" s="30">
        <v>46478.0</v>
      </c>
      <c r="AX421" s="30">
        <v>46568.0</v>
      </c>
      <c r="AY421" s="39">
        <v>0.0</v>
      </c>
      <c r="AZ421" s="39">
        <v>0.0</v>
      </c>
      <c r="BA421" s="35" t="s">
        <v>7045</v>
      </c>
      <c r="BB421" s="30">
        <v>46569.0</v>
      </c>
      <c r="BC421" s="30">
        <v>46660.0</v>
      </c>
      <c r="BD421" s="39">
        <v>0.0</v>
      </c>
      <c r="BE421" s="39">
        <v>0.0</v>
      </c>
      <c r="BF421" s="35" t="s">
        <v>7045</v>
      </c>
      <c r="BG421" s="30">
        <v>46661.0</v>
      </c>
      <c r="BH421" s="30">
        <v>46752.0</v>
      </c>
      <c r="BI421" s="39">
        <v>0.0</v>
      </c>
      <c r="BJ421" s="39">
        <v>0.0</v>
      </c>
      <c r="BK421" s="35" t="s">
        <v>7045</v>
      </c>
      <c r="BL421" s="30">
        <v>46753.0</v>
      </c>
      <c r="BM421" s="30">
        <v>46843.0</v>
      </c>
      <c r="BN421" s="39">
        <v>0.0</v>
      </c>
      <c r="BO421" s="39">
        <v>0.0</v>
      </c>
      <c r="BP421" s="35" t="s">
        <v>7045</v>
      </c>
      <c r="BQ421" s="30">
        <v>46844.0</v>
      </c>
      <c r="BR421" s="30">
        <v>46934.0</v>
      </c>
      <c r="BS421" s="39">
        <v>0.0</v>
      </c>
      <c r="BT421" s="39">
        <v>0.0</v>
      </c>
      <c r="BU421" s="35" t="s">
        <v>7045</v>
      </c>
      <c r="BV421" s="30">
        <v>46935.0</v>
      </c>
      <c r="BW421" s="30">
        <v>47026.0</v>
      </c>
      <c r="BX421" s="39">
        <v>0.0</v>
      </c>
      <c r="BY421" s="39">
        <v>0.0</v>
      </c>
      <c r="BZ421" s="35" t="s">
        <v>7045</v>
      </c>
      <c r="CA421" s="30">
        <v>47027.0</v>
      </c>
      <c r="CB421" s="30">
        <v>47118.0</v>
      </c>
      <c r="CC421" s="39">
        <v>0.0</v>
      </c>
      <c r="CD421" s="39">
        <v>0.0</v>
      </c>
      <c r="CE421" s="35" t="s">
        <v>7045</v>
      </c>
      <c r="CF421" s="30">
        <v>47119.0</v>
      </c>
      <c r="CG421" s="30">
        <v>47208.0</v>
      </c>
      <c r="CH421" s="39">
        <v>0.0</v>
      </c>
      <c r="CI421" s="39">
        <v>0.0</v>
      </c>
      <c r="CJ421" s="35" t="s">
        <v>7045</v>
      </c>
      <c r="CK421" s="30">
        <v>47209.0</v>
      </c>
      <c r="CL421" s="30">
        <v>47299.0</v>
      </c>
      <c r="CM421" s="39">
        <v>0.0</v>
      </c>
      <c r="CN421" s="39">
        <v>0.0</v>
      </c>
      <c r="CO421" s="35" t="s">
        <v>7045</v>
      </c>
      <c r="CP421" s="30">
        <v>47300.0</v>
      </c>
      <c r="CQ421" s="30">
        <v>47391.0</v>
      </c>
      <c r="CR421" s="39">
        <v>0.0</v>
      </c>
      <c r="CS421" s="39">
        <v>0.0</v>
      </c>
      <c r="CT421" s="35" t="s">
        <v>7045</v>
      </c>
      <c r="CU421" s="30">
        <v>47392.0</v>
      </c>
      <c r="CV421" s="30">
        <v>47483.0</v>
      </c>
      <c r="CW421" s="39">
        <v>0.0</v>
      </c>
      <c r="CX421" s="39">
        <v>0.0</v>
      </c>
      <c r="CY421" s="35" t="s">
        <v>7045</v>
      </c>
      <c r="CZ421" s="30">
        <v>47484.0</v>
      </c>
      <c r="DA421" s="30">
        <v>47573.0</v>
      </c>
      <c r="DB421" s="39">
        <v>0.0</v>
      </c>
      <c r="DC421" s="39">
        <v>0.0</v>
      </c>
      <c r="DD421" s="35" t="s">
        <v>7045</v>
      </c>
      <c r="DE421" s="30">
        <v>47574.0</v>
      </c>
      <c r="DF421" s="30">
        <v>47664.0</v>
      </c>
      <c r="DG421" s="39">
        <v>0.0</v>
      </c>
      <c r="DH421" s="39">
        <v>0.0</v>
      </c>
      <c r="DI421" s="35" t="s">
        <v>7045</v>
      </c>
      <c r="DJ421" s="30">
        <v>47665.0</v>
      </c>
      <c r="DK421" s="30">
        <v>47756.0</v>
      </c>
      <c r="DL421" s="39">
        <v>0.0</v>
      </c>
      <c r="DM421" s="39">
        <v>0.0</v>
      </c>
      <c r="DN421" s="35" t="s">
        <v>7045</v>
      </c>
      <c r="DO421" s="30">
        <v>47757.0</v>
      </c>
      <c r="DP421" s="30">
        <v>47848.0</v>
      </c>
      <c r="DQ421" s="39">
        <v>0.0</v>
      </c>
      <c r="DR421" s="39">
        <v>0.0</v>
      </c>
      <c r="DS421" s="35" t="s">
        <v>7045</v>
      </c>
    </row>
    <row r="422" ht="14.25" customHeight="1">
      <c r="A422" s="28" t="s">
        <v>844</v>
      </c>
      <c r="B422" s="29" t="s">
        <v>845</v>
      </c>
      <c r="C422" s="29" t="s">
        <v>7041</v>
      </c>
      <c r="D422" s="30">
        <v>45658.0</v>
      </c>
      <c r="E422" s="30">
        <v>45747.0</v>
      </c>
      <c r="F422" s="39">
        <v>8.0</v>
      </c>
      <c r="G422" s="39">
        <v>0.0</v>
      </c>
      <c r="H422" s="38" t="s">
        <v>7047</v>
      </c>
      <c r="I422" s="30">
        <v>45748.0</v>
      </c>
      <c r="J422" s="30">
        <v>45838.0</v>
      </c>
      <c r="K422" s="39">
        <v>1.1</v>
      </c>
      <c r="L422" s="39">
        <v>58.44</v>
      </c>
      <c r="M422" s="32" t="s">
        <v>7043</v>
      </c>
      <c r="N422" s="30">
        <v>45839.0</v>
      </c>
      <c r="O422" s="30">
        <v>45930.0</v>
      </c>
      <c r="P422" s="39">
        <v>16.1</v>
      </c>
      <c r="Q422" s="39">
        <v>64.94</v>
      </c>
      <c r="R422" s="38" t="s">
        <v>7047</v>
      </c>
      <c r="S422" s="30">
        <v>45931.0</v>
      </c>
      <c r="T422" s="30">
        <v>46022.0</v>
      </c>
      <c r="U422" s="39">
        <v>28.0</v>
      </c>
      <c r="V422" s="39">
        <v>90.91</v>
      </c>
      <c r="W422" s="38" t="s">
        <v>7047</v>
      </c>
      <c r="X422" s="30">
        <v>46023.0</v>
      </c>
      <c r="Y422" s="30">
        <v>46112.0</v>
      </c>
      <c r="Z422" s="39">
        <v>0.0</v>
      </c>
      <c r="AA422" s="39">
        <v>0.0</v>
      </c>
      <c r="AB422" s="35" t="s">
        <v>7045</v>
      </c>
      <c r="AC422" s="30">
        <v>46113.0</v>
      </c>
      <c r="AD422" s="30">
        <v>46203.0</v>
      </c>
      <c r="AE422" s="39">
        <v>0.0</v>
      </c>
      <c r="AF422" s="39">
        <v>0.0</v>
      </c>
      <c r="AG422" s="35" t="s">
        <v>7045</v>
      </c>
      <c r="AH422" s="30">
        <v>46204.0</v>
      </c>
      <c r="AI422" s="30">
        <v>46295.0</v>
      </c>
      <c r="AJ422" s="39">
        <v>0.0</v>
      </c>
      <c r="AK422" s="39">
        <v>0.0</v>
      </c>
      <c r="AL422" s="35" t="s">
        <v>7045</v>
      </c>
      <c r="AM422" s="30">
        <v>46296.0</v>
      </c>
      <c r="AN422" s="30">
        <v>46387.0</v>
      </c>
      <c r="AO422" s="39">
        <v>0.0</v>
      </c>
      <c r="AP422" s="39">
        <v>0.0</v>
      </c>
      <c r="AQ422" s="35" t="s">
        <v>7045</v>
      </c>
      <c r="AR422" s="30">
        <v>46388.0</v>
      </c>
      <c r="AS422" s="30">
        <v>46477.0</v>
      </c>
      <c r="AT422" s="39">
        <v>0.0</v>
      </c>
      <c r="AU422" s="39">
        <v>0.0</v>
      </c>
      <c r="AV422" s="35" t="s">
        <v>7045</v>
      </c>
      <c r="AW422" s="30">
        <v>46478.0</v>
      </c>
      <c r="AX422" s="30">
        <v>46568.0</v>
      </c>
      <c r="AY422" s="39">
        <v>0.0</v>
      </c>
      <c r="AZ422" s="39">
        <v>0.0</v>
      </c>
      <c r="BA422" s="35" t="s">
        <v>7045</v>
      </c>
      <c r="BB422" s="30">
        <v>46569.0</v>
      </c>
      <c r="BC422" s="30">
        <v>46660.0</v>
      </c>
      <c r="BD422" s="39">
        <v>0.0</v>
      </c>
      <c r="BE422" s="39">
        <v>0.0</v>
      </c>
      <c r="BF422" s="35" t="s">
        <v>7045</v>
      </c>
      <c r="BG422" s="30">
        <v>46661.0</v>
      </c>
      <c r="BH422" s="30">
        <v>46752.0</v>
      </c>
      <c r="BI422" s="39">
        <v>0.0</v>
      </c>
      <c r="BJ422" s="39">
        <v>0.0</v>
      </c>
      <c r="BK422" s="35" t="s">
        <v>7045</v>
      </c>
      <c r="BL422" s="30">
        <v>46753.0</v>
      </c>
      <c r="BM422" s="30">
        <v>46843.0</v>
      </c>
      <c r="BN422" s="39">
        <v>0.0</v>
      </c>
      <c r="BO422" s="39">
        <v>0.0</v>
      </c>
      <c r="BP422" s="35" t="s">
        <v>7045</v>
      </c>
      <c r="BQ422" s="30">
        <v>46844.0</v>
      </c>
      <c r="BR422" s="30">
        <v>46934.0</v>
      </c>
      <c r="BS422" s="39">
        <v>0.0</v>
      </c>
      <c r="BT422" s="39">
        <v>0.0</v>
      </c>
      <c r="BU422" s="35" t="s">
        <v>7045</v>
      </c>
      <c r="BV422" s="30">
        <v>46935.0</v>
      </c>
      <c r="BW422" s="30">
        <v>47026.0</v>
      </c>
      <c r="BX422" s="39">
        <v>0.0</v>
      </c>
      <c r="BY422" s="39">
        <v>0.0</v>
      </c>
      <c r="BZ422" s="35" t="s">
        <v>7045</v>
      </c>
      <c r="CA422" s="30">
        <v>47027.0</v>
      </c>
      <c r="CB422" s="30">
        <v>47118.0</v>
      </c>
      <c r="CC422" s="39">
        <v>0.0</v>
      </c>
      <c r="CD422" s="39">
        <v>0.0</v>
      </c>
      <c r="CE422" s="35" t="s">
        <v>7045</v>
      </c>
      <c r="CF422" s="30">
        <v>47119.0</v>
      </c>
      <c r="CG422" s="30">
        <v>47208.0</v>
      </c>
      <c r="CH422" s="39">
        <v>0.0</v>
      </c>
      <c r="CI422" s="39">
        <v>0.0</v>
      </c>
      <c r="CJ422" s="35" t="s">
        <v>7045</v>
      </c>
      <c r="CK422" s="30">
        <v>47209.0</v>
      </c>
      <c r="CL422" s="30">
        <v>47299.0</v>
      </c>
      <c r="CM422" s="39">
        <v>0.0</v>
      </c>
      <c r="CN422" s="39">
        <v>0.0</v>
      </c>
      <c r="CO422" s="35" t="s">
        <v>7045</v>
      </c>
      <c r="CP422" s="30">
        <v>47300.0</v>
      </c>
      <c r="CQ422" s="30">
        <v>47391.0</v>
      </c>
      <c r="CR422" s="39">
        <v>0.0</v>
      </c>
      <c r="CS422" s="39">
        <v>0.0</v>
      </c>
      <c r="CT422" s="35" t="s">
        <v>7045</v>
      </c>
      <c r="CU422" s="30">
        <v>47392.0</v>
      </c>
      <c r="CV422" s="30">
        <v>47483.0</v>
      </c>
      <c r="CW422" s="39">
        <v>0.0</v>
      </c>
      <c r="CX422" s="39">
        <v>0.0</v>
      </c>
      <c r="CY422" s="35" t="s">
        <v>7045</v>
      </c>
      <c r="CZ422" s="30">
        <v>47484.0</v>
      </c>
      <c r="DA422" s="30">
        <v>47573.0</v>
      </c>
      <c r="DB422" s="39">
        <v>0.0</v>
      </c>
      <c r="DC422" s="39">
        <v>0.0</v>
      </c>
      <c r="DD422" s="35" t="s">
        <v>7045</v>
      </c>
      <c r="DE422" s="30">
        <v>47574.0</v>
      </c>
      <c r="DF422" s="30">
        <v>47664.0</v>
      </c>
      <c r="DG422" s="39">
        <v>0.0</v>
      </c>
      <c r="DH422" s="39">
        <v>0.0</v>
      </c>
      <c r="DI422" s="35" t="s">
        <v>7045</v>
      </c>
      <c r="DJ422" s="30">
        <v>47665.0</v>
      </c>
      <c r="DK422" s="30">
        <v>47756.0</v>
      </c>
      <c r="DL422" s="39">
        <v>0.0</v>
      </c>
      <c r="DM422" s="39">
        <v>0.0</v>
      </c>
      <c r="DN422" s="35" t="s">
        <v>7045</v>
      </c>
      <c r="DO422" s="30">
        <v>47757.0</v>
      </c>
      <c r="DP422" s="30">
        <v>47848.0</v>
      </c>
      <c r="DQ422" s="39">
        <v>0.0</v>
      </c>
      <c r="DR422" s="39">
        <v>0.0</v>
      </c>
      <c r="DS422" s="35" t="s">
        <v>7045</v>
      </c>
    </row>
    <row r="423" ht="14.25" customHeight="1">
      <c r="A423" s="28" t="s">
        <v>6150</v>
      </c>
      <c r="B423" s="29" t="s">
        <v>6151</v>
      </c>
      <c r="C423" s="29" t="s">
        <v>7041</v>
      </c>
      <c r="D423" s="30">
        <v>45658.0</v>
      </c>
      <c r="E423" s="30">
        <v>45747.0</v>
      </c>
      <c r="F423" s="39">
        <v>0.0</v>
      </c>
      <c r="G423" s="39">
        <v>0.0</v>
      </c>
      <c r="H423" s="35" t="s">
        <v>7045</v>
      </c>
      <c r="I423" s="30">
        <v>45748.0</v>
      </c>
      <c r="J423" s="30">
        <v>45838.0</v>
      </c>
      <c r="K423" s="39">
        <v>0.0</v>
      </c>
      <c r="L423" s="39">
        <v>176.67</v>
      </c>
      <c r="M423" s="32" t="s">
        <v>7043</v>
      </c>
      <c r="N423" s="30">
        <v>45839.0</v>
      </c>
      <c r="O423" s="30">
        <v>45930.0</v>
      </c>
      <c r="P423" s="39">
        <v>10.0</v>
      </c>
      <c r="Q423" s="39">
        <v>263.33</v>
      </c>
      <c r="R423" s="38" t="s">
        <v>7047</v>
      </c>
      <c r="S423" s="30">
        <v>45931.0</v>
      </c>
      <c r="T423" s="30">
        <v>46022.0</v>
      </c>
      <c r="U423" s="39">
        <v>85.0</v>
      </c>
      <c r="V423" s="39">
        <v>263.33</v>
      </c>
      <c r="W423" s="38" t="s">
        <v>7047</v>
      </c>
      <c r="X423" s="30">
        <v>46023.0</v>
      </c>
      <c r="Y423" s="30">
        <v>46112.0</v>
      </c>
      <c r="Z423" s="39">
        <v>0.0</v>
      </c>
      <c r="AA423" s="39">
        <v>0.0</v>
      </c>
      <c r="AB423" s="35" t="s">
        <v>7045</v>
      </c>
      <c r="AC423" s="30">
        <v>46113.0</v>
      </c>
      <c r="AD423" s="30">
        <v>46203.0</v>
      </c>
      <c r="AE423" s="39">
        <v>0.0</v>
      </c>
      <c r="AF423" s="39">
        <v>0.0</v>
      </c>
      <c r="AG423" s="35" t="s">
        <v>7045</v>
      </c>
      <c r="AH423" s="30">
        <v>46204.0</v>
      </c>
      <c r="AI423" s="30">
        <v>46295.0</v>
      </c>
      <c r="AJ423" s="39">
        <v>0.0</v>
      </c>
      <c r="AK423" s="39">
        <v>0.0</v>
      </c>
      <c r="AL423" s="35" t="s">
        <v>7045</v>
      </c>
      <c r="AM423" s="30">
        <v>46296.0</v>
      </c>
      <c r="AN423" s="30">
        <v>46387.0</v>
      </c>
      <c r="AO423" s="39">
        <v>0.0</v>
      </c>
      <c r="AP423" s="39">
        <v>0.0</v>
      </c>
      <c r="AQ423" s="35" t="s">
        <v>7045</v>
      </c>
      <c r="AR423" s="30">
        <v>46388.0</v>
      </c>
      <c r="AS423" s="30">
        <v>46477.0</v>
      </c>
      <c r="AT423" s="39">
        <v>0.0</v>
      </c>
      <c r="AU423" s="39">
        <v>0.0</v>
      </c>
      <c r="AV423" s="35" t="s">
        <v>7045</v>
      </c>
      <c r="AW423" s="30">
        <v>46478.0</v>
      </c>
      <c r="AX423" s="30">
        <v>46568.0</v>
      </c>
      <c r="AY423" s="39">
        <v>0.0</v>
      </c>
      <c r="AZ423" s="39">
        <v>0.0</v>
      </c>
      <c r="BA423" s="35" t="s">
        <v>7045</v>
      </c>
      <c r="BB423" s="30">
        <v>46569.0</v>
      </c>
      <c r="BC423" s="30">
        <v>46660.0</v>
      </c>
      <c r="BD423" s="39">
        <v>0.0</v>
      </c>
      <c r="BE423" s="39">
        <v>0.0</v>
      </c>
      <c r="BF423" s="35" t="s">
        <v>7045</v>
      </c>
      <c r="BG423" s="30">
        <v>46661.0</v>
      </c>
      <c r="BH423" s="30">
        <v>46752.0</v>
      </c>
      <c r="BI423" s="39">
        <v>0.0</v>
      </c>
      <c r="BJ423" s="39">
        <v>0.0</v>
      </c>
      <c r="BK423" s="35" t="s">
        <v>7045</v>
      </c>
      <c r="BL423" s="30">
        <v>46753.0</v>
      </c>
      <c r="BM423" s="30">
        <v>46843.0</v>
      </c>
      <c r="BN423" s="39">
        <v>0.0</v>
      </c>
      <c r="BO423" s="39">
        <v>0.0</v>
      </c>
      <c r="BP423" s="35" t="s">
        <v>7045</v>
      </c>
      <c r="BQ423" s="30">
        <v>46844.0</v>
      </c>
      <c r="BR423" s="30">
        <v>46934.0</v>
      </c>
      <c r="BS423" s="39">
        <v>0.0</v>
      </c>
      <c r="BT423" s="39">
        <v>0.0</v>
      </c>
      <c r="BU423" s="35" t="s">
        <v>7045</v>
      </c>
      <c r="BV423" s="30">
        <v>46935.0</v>
      </c>
      <c r="BW423" s="30">
        <v>47026.0</v>
      </c>
      <c r="BX423" s="39">
        <v>0.0</v>
      </c>
      <c r="BY423" s="39">
        <v>0.0</v>
      </c>
      <c r="BZ423" s="35" t="s">
        <v>7045</v>
      </c>
      <c r="CA423" s="30">
        <v>47027.0</v>
      </c>
      <c r="CB423" s="30">
        <v>47118.0</v>
      </c>
      <c r="CC423" s="39">
        <v>0.0</v>
      </c>
      <c r="CD423" s="39">
        <v>0.0</v>
      </c>
      <c r="CE423" s="35" t="s">
        <v>7045</v>
      </c>
      <c r="CF423" s="30">
        <v>47119.0</v>
      </c>
      <c r="CG423" s="30">
        <v>47208.0</v>
      </c>
      <c r="CH423" s="39">
        <v>0.0</v>
      </c>
      <c r="CI423" s="39">
        <v>0.0</v>
      </c>
      <c r="CJ423" s="35" t="s">
        <v>7045</v>
      </c>
      <c r="CK423" s="30">
        <v>47209.0</v>
      </c>
      <c r="CL423" s="30">
        <v>47299.0</v>
      </c>
      <c r="CM423" s="39">
        <v>0.0</v>
      </c>
      <c r="CN423" s="39">
        <v>0.0</v>
      </c>
      <c r="CO423" s="35" t="s">
        <v>7045</v>
      </c>
      <c r="CP423" s="30">
        <v>47300.0</v>
      </c>
      <c r="CQ423" s="30">
        <v>47391.0</v>
      </c>
      <c r="CR423" s="39">
        <v>0.0</v>
      </c>
      <c r="CS423" s="39">
        <v>0.0</v>
      </c>
      <c r="CT423" s="35" t="s">
        <v>7045</v>
      </c>
      <c r="CU423" s="30">
        <v>47392.0</v>
      </c>
      <c r="CV423" s="30">
        <v>47483.0</v>
      </c>
      <c r="CW423" s="39">
        <v>0.0</v>
      </c>
      <c r="CX423" s="39">
        <v>0.0</v>
      </c>
      <c r="CY423" s="35" t="s">
        <v>7045</v>
      </c>
      <c r="CZ423" s="30">
        <v>47484.0</v>
      </c>
      <c r="DA423" s="30">
        <v>47573.0</v>
      </c>
      <c r="DB423" s="39">
        <v>0.0</v>
      </c>
      <c r="DC423" s="39">
        <v>0.0</v>
      </c>
      <c r="DD423" s="35" t="s">
        <v>7045</v>
      </c>
      <c r="DE423" s="30">
        <v>47574.0</v>
      </c>
      <c r="DF423" s="30">
        <v>47664.0</v>
      </c>
      <c r="DG423" s="39">
        <v>0.0</v>
      </c>
      <c r="DH423" s="39">
        <v>0.0</v>
      </c>
      <c r="DI423" s="35" t="s">
        <v>7045</v>
      </c>
      <c r="DJ423" s="30">
        <v>47665.0</v>
      </c>
      <c r="DK423" s="30">
        <v>47756.0</v>
      </c>
      <c r="DL423" s="39">
        <v>0.0</v>
      </c>
      <c r="DM423" s="39">
        <v>0.0</v>
      </c>
      <c r="DN423" s="35" t="s">
        <v>7045</v>
      </c>
      <c r="DO423" s="30">
        <v>47757.0</v>
      </c>
      <c r="DP423" s="30">
        <v>47848.0</v>
      </c>
      <c r="DQ423" s="39">
        <v>0.0</v>
      </c>
      <c r="DR423" s="39">
        <v>0.0</v>
      </c>
      <c r="DS423" s="35" t="s">
        <v>7045</v>
      </c>
    </row>
    <row r="424" ht="14.25" customHeight="1">
      <c r="A424" s="28" t="s">
        <v>1641</v>
      </c>
      <c r="B424" s="29" t="s">
        <v>1642</v>
      </c>
      <c r="C424" s="29" t="s">
        <v>7041</v>
      </c>
      <c r="D424" s="30">
        <v>45658.0</v>
      </c>
      <c r="E424" s="30">
        <v>45747.0</v>
      </c>
      <c r="F424" s="39">
        <v>41.75</v>
      </c>
      <c r="G424" s="39">
        <v>0.0</v>
      </c>
      <c r="H424" s="38" t="s">
        <v>7047</v>
      </c>
      <c r="I424" s="30">
        <v>45748.0</v>
      </c>
      <c r="J424" s="30">
        <v>45838.0</v>
      </c>
      <c r="K424" s="39">
        <v>41.75</v>
      </c>
      <c r="L424" s="39">
        <v>0.0</v>
      </c>
      <c r="M424" s="38" t="s">
        <v>7047</v>
      </c>
      <c r="N424" s="30">
        <v>45839.0</v>
      </c>
      <c r="O424" s="30">
        <v>45930.0</v>
      </c>
      <c r="P424" s="39">
        <v>41.75</v>
      </c>
      <c r="Q424" s="39">
        <v>0.0</v>
      </c>
      <c r="R424" s="38" t="s">
        <v>7047</v>
      </c>
      <c r="S424" s="30">
        <v>45931.0</v>
      </c>
      <c r="T424" s="30">
        <v>46022.0</v>
      </c>
      <c r="U424" s="39">
        <v>2275.0</v>
      </c>
      <c r="V424" s="39">
        <v>0.0</v>
      </c>
      <c r="W424" s="38" t="s">
        <v>7047</v>
      </c>
      <c r="X424" s="30">
        <v>46023.0</v>
      </c>
      <c r="Y424" s="30">
        <v>46112.0</v>
      </c>
      <c r="Z424" s="39">
        <v>0.0</v>
      </c>
      <c r="AA424" s="39">
        <v>0.0</v>
      </c>
      <c r="AB424" s="35" t="s">
        <v>7045</v>
      </c>
      <c r="AC424" s="30">
        <v>46113.0</v>
      </c>
      <c r="AD424" s="30">
        <v>46203.0</v>
      </c>
      <c r="AE424" s="39">
        <v>0.0</v>
      </c>
      <c r="AF424" s="39">
        <v>0.0</v>
      </c>
      <c r="AG424" s="35" t="s">
        <v>7045</v>
      </c>
      <c r="AH424" s="30">
        <v>46204.0</v>
      </c>
      <c r="AI424" s="30">
        <v>46295.0</v>
      </c>
      <c r="AJ424" s="39">
        <v>0.0</v>
      </c>
      <c r="AK424" s="39">
        <v>0.0</v>
      </c>
      <c r="AL424" s="35" t="s">
        <v>7045</v>
      </c>
      <c r="AM424" s="30">
        <v>46296.0</v>
      </c>
      <c r="AN424" s="30">
        <v>46387.0</v>
      </c>
      <c r="AO424" s="39">
        <v>0.0</v>
      </c>
      <c r="AP424" s="39">
        <v>0.0</v>
      </c>
      <c r="AQ424" s="35" t="s">
        <v>7045</v>
      </c>
      <c r="AR424" s="30">
        <v>46388.0</v>
      </c>
      <c r="AS424" s="30">
        <v>46477.0</v>
      </c>
      <c r="AT424" s="39">
        <v>0.0</v>
      </c>
      <c r="AU424" s="39">
        <v>0.0</v>
      </c>
      <c r="AV424" s="35" t="s">
        <v>7045</v>
      </c>
      <c r="AW424" s="30">
        <v>46478.0</v>
      </c>
      <c r="AX424" s="30">
        <v>46568.0</v>
      </c>
      <c r="AY424" s="39">
        <v>0.0</v>
      </c>
      <c r="AZ424" s="39">
        <v>0.0</v>
      </c>
      <c r="BA424" s="35" t="s">
        <v>7045</v>
      </c>
      <c r="BB424" s="30">
        <v>46569.0</v>
      </c>
      <c r="BC424" s="30">
        <v>46660.0</v>
      </c>
      <c r="BD424" s="39">
        <v>0.0</v>
      </c>
      <c r="BE424" s="39">
        <v>0.0</v>
      </c>
      <c r="BF424" s="35" t="s">
        <v>7045</v>
      </c>
      <c r="BG424" s="30">
        <v>46661.0</v>
      </c>
      <c r="BH424" s="30">
        <v>46752.0</v>
      </c>
      <c r="BI424" s="39">
        <v>0.0</v>
      </c>
      <c r="BJ424" s="39">
        <v>0.0</v>
      </c>
      <c r="BK424" s="35" t="s">
        <v>7045</v>
      </c>
      <c r="BL424" s="30">
        <v>46753.0</v>
      </c>
      <c r="BM424" s="30">
        <v>46843.0</v>
      </c>
      <c r="BN424" s="39">
        <v>0.0</v>
      </c>
      <c r="BO424" s="39">
        <v>0.0</v>
      </c>
      <c r="BP424" s="35" t="s">
        <v>7045</v>
      </c>
      <c r="BQ424" s="30">
        <v>46844.0</v>
      </c>
      <c r="BR424" s="30">
        <v>46934.0</v>
      </c>
      <c r="BS424" s="39">
        <v>0.0</v>
      </c>
      <c r="BT424" s="39">
        <v>0.0</v>
      </c>
      <c r="BU424" s="35" t="s">
        <v>7045</v>
      </c>
      <c r="BV424" s="30">
        <v>46935.0</v>
      </c>
      <c r="BW424" s="30">
        <v>47026.0</v>
      </c>
      <c r="BX424" s="39">
        <v>0.0</v>
      </c>
      <c r="BY424" s="39">
        <v>0.0</v>
      </c>
      <c r="BZ424" s="35" t="s">
        <v>7045</v>
      </c>
      <c r="CA424" s="30">
        <v>47027.0</v>
      </c>
      <c r="CB424" s="30">
        <v>47118.0</v>
      </c>
      <c r="CC424" s="39">
        <v>0.0</v>
      </c>
      <c r="CD424" s="39">
        <v>0.0</v>
      </c>
      <c r="CE424" s="35" t="s">
        <v>7045</v>
      </c>
      <c r="CF424" s="30">
        <v>47119.0</v>
      </c>
      <c r="CG424" s="30">
        <v>47208.0</v>
      </c>
      <c r="CH424" s="39">
        <v>0.0</v>
      </c>
      <c r="CI424" s="39">
        <v>0.0</v>
      </c>
      <c r="CJ424" s="35" t="s">
        <v>7045</v>
      </c>
      <c r="CK424" s="30">
        <v>47209.0</v>
      </c>
      <c r="CL424" s="30">
        <v>47299.0</v>
      </c>
      <c r="CM424" s="39">
        <v>0.0</v>
      </c>
      <c r="CN424" s="39">
        <v>0.0</v>
      </c>
      <c r="CO424" s="35" t="s">
        <v>7045</v>
      </c>
      <c r="CP424" s="30">
        <v>47300.0</v>
      </c>
      <c r="CQ424" s="30">
        <v>47391.0</v>
      </c>
      <c r="CR424" s="39">
        <v>0.0</v>
      </c>
      <c r="CS424" s="39">
        <v>0.0</v>
      </c>
      <c r="CT424" s="35" t="s">
        <v>7045</v>
      </c>
      <c r="CU424" s="30">
        <v>47392.0</v>
      </c>
      <c r="CV424" s="30">
        <v>47483.0</v>
      </c>
      <c r="CW424" s="39">
        <v>0.0</v>
      </c>
      <c r="CX424" s="39">
        <v>0.0</v>
      </c>
      <c r="CY424" s="35" t="s">
        <v>7045</v>
      </c>
      <c r="CZ424" s="30">
        <v>47484.0</v>
      </c>
      <c r="DA424" s="30">
        <v>47573.0</v>
      </c>
      <c r="DB424" s="39">
        <v>0.0</v>
      </c>
      <c r="DC424" s="39">
        <v>0.0</v>
      </c>
      <c r="DD424" s="35" t="s">
        <v>7045</v>
      </c>
      <c r="DE424" s="30">
        <v>47574.0</v>
      </c>
      <c r="DF424" s="30">
        <v>47664.0</v>
      </c>
      <c r="DG424" s="39">
        <v>0.0</v>
      </c>
      <c r="DH424" s="39">
        <v>0.0</v>
      </c>
      <c r="DI424" s="35" t="s">
        <v>7045</v>
      </c>
      <c r="DJ424" s="30">
        <v>47665.0</v>
      </c>
      <c r="DK424" s="30">
        <v>47756.0</v>
      </c>
      <c r="DL424" s="39">
        <v>0.0</v>
      </c>
      <c r="DM424" s="39">
        <v>0.0</v>
      </c>
      <c r="DN424" s="35" t="s">
        <v>7045</v>
      </c>
      <c r="DO424" s="30">
        <v>47757.0</v>
      </c>
      <c r="DP424" s="30">
        <v>47848.0</v>
      </c>
      <c r="DQ424" s="39">
        <v>0.0</v>
      </c>
      <c r="DR424" s="39">
        <v>0.0</v>
      </c>
      <c r="DS424" s="35" t="s">
        <v>7045</v>
      </c>
    </row>
    <row r="425" ht="14.25" customHeight="1">
      <c r="A425" s="28" t="s">
        <v>5525</v>
      </c>
      <c r="B425" s="29" t="s">
        <v>5526</v>
      </c>
      <c r="C425" s="29" t="s">
        <v>7041</v>
      </c>
      <c r="D425" s="30">
        <v>45658.0</v>
      </c>
      <c r="E425" s="30">
        <v>45747.0</v>
      </c>
      <c r="F425" s="39">
        <v>20.0</v>
      </c>
      <c r="G425" s="39">
        <v>0.0</v>
      </c>
      <c r="H425" s="38" t="s">
        <v>7047</v>
      </c>
      <c r="I425" s="30">
        <v>45748.0</v>
      </c>
      <c r="J425" s="30">
        <v>45838.0</v>
      </c>
      <c r="K425" s="39">
        <v>20.0</v>
      </c>
      <c r="L425" s="39">
        <v>71.79</v>
      </c>
      <c r="M425" s="38" t="s">
        <v>7047</v>
      </c>
      <c r="N425" s="30">
        <v>45839.0</v>
      </c>
      <c r="O425" s="30">
        <v>45930.0</v>
      </c>
      <c r="P425" s="39">
        <v>10.0</v>
      </c>
      <c r="Q425" s="39">
        <v>105.89</v>
      </c>
      <c r="R425" s="38" t="s">
        <v>7047</v>
      </c>
      <c r="S425" s="30">
        <v>45931.0</v>
      </c>
      <c r="T425" s="30">
        <v>46022.0</v>
      </c>
      <c r="U425" s="39">
        <v>20.0</v>
      </c>
      <c r="V425" s="39">
        <v>107.68</v>
      </c>
      <c r="W425" s="38" t="s">
        <v>7047</v>
      </c>
      <c r="X425" s="30">
        <v>46023.0</v>
      </c>
      <c r="Y425" s="30">
        <v>46112.0</v>
      </c>
      <c r="Z425" s="39">
        <v>10.0</v>
      </c>
      <c r="AA425" s="39">
        <v>0.0</v>
      </c>
      <c r="AB425" s="38" t="s">
        <v>7047</v>
      </c>
      <c r="AC425" s="30">
        <v>46113.0</v>
      </c>
      <c r="AD425" s="30">
        <v>46203.0</v>
      </c>
      <c r="AE425" s="39">
        <v>0.0</v>
      </c>
      <c r="AF425" s="39">
        <v>0.0</v>
      </c>
      <c r="AG425" s="35" t="s">
        <v>7045</v>
      </c>
      <c r="AH425" s="30">
        <v>46204.0</v>
      </c>
      <c r="AI425" s="30">
        <v>46295.0</v>
      </c>
      <c r="AJ425" s="39">
        <v>0.0</v>
      </c>
      <c r="AK425" s="39">
        <v>0.0</v>
      </c>
      <c r="AL425" s="35" t="s">
        <v>7045</v>
      </c>
      <c r="AM425" s="30">
        <v>46296.0</v>
      </c>
      <c r="AN425" s="30">
        <v>46387.0</v>
      </c>
      <c r="AO425" s="39">
        <v>0.0</v>
      </c>
      <c r="AP425" s="39">
        <v>0.0</v>
      </c>
      <c r="AQ425" s="35" t="s">
        <v>7045</v>
      </c>
      <c r="AR425" s="30">
        <v>46388.0</v>
      </c>
      <c r="AS425" s="30">
        <v>46477.0</v>
      </c>
      <c r="AT425" s="39">
        <v>0.0</v>
      </c>
      <c r="AU425" s="39">
        <v>0.0</v>
      </c>
      <c r="AV425" s="35" t="s">
        <v>7045</v>
      </c>
      <c r="AW425" s="30">
        <v>46478.0</v>
      </c>
      <c r="AX425" s="30">
        <v>46568.0</v>
      </c>
      <c r="AY425" s="39">
        <v>0.0</v>
      </c>
      <c r="AZ425" s="39">
        <v>0.0</v>
      </c>
      <c r="BA425" s="35" t="s">
        <v>7045</v>
      </c>
      <c r="BB425" s="30">
        <v>46569.0</v>
      </c>
      <c r="BC425" s="30">
        <v>46660.0</v>
      </c>
      <c r="BD425" s="39">
        <v>0.0</v>
      </c>
      <c r="BE425" s="39">
        <v>0.0</v>
      </c>
      <c r="BF425" s="35" t="s">
        <v>7045</v>
      </c>
      <c r="BG425" s="30">
        <v>46661.0</v>
      </c>
      <c r="BH425" s="30">
        <v>46752.0</v>
      </c>
      <c r="BI425" s="39">
        <v>0.0</v>
      </c>
      <c r="BJ425" s="39">
        <v>0.0</v>
      </c>
      <c r="BK425" s="35" t="s">
        <v>7045</v>
      </c>
      <c r="BL425" s="30">
        <v>46753.0</v>
      </c>
      <c r="BM425" s="30">
        <v>46843.0</v>
      </c>
      <c r="BN425" s="39">
        <v>0.0</v>
      </c>
      <c r="BO425" s="39">
        <v>0.0</v>
      </c>
      <c r="BP425" s="35" t="s">
        <v>7045</v>
      </c>
      <c r="BQ425" s="30">
        <v>46844.0</v>
      </c>
      <c r="BR425" s="30">
        <v>46934.0</v>
      </c>
      <c r="BS425" s="39">
        <v>0.0</v>
      </c>
      <c r="BT425" s="39">
        <v>0.0</v>
      </c>
      <c r="BU425" s="35" t="s">
        <v>7045</v>
      </c>
      <c r="BV425" s="30">
        <v>46935.0</v>
      </c>
      <c r="BW425" s="30">
        <v>47026.0</v>
      </c>
      <c r="BX425" s="39">
        <v>0.0</v>
      </c>
      <c r="BY425" s="39">
        <v>0.0</v>
      </c>
      <c r="BZ425" s="35" t="s">
        <v>7045</v>
      </c>
      <c r="CA425" s="30">
        <v>47027.0</v>
      </c>
      <c r="CB425" s="30">
        <v>47118.0</v>
      </c>
      <c r="CC425" s="39">
        <v>0.0</v>
      </c>
      <c r="CD425" s="39">
        <v>0.0</v>
      </c>
      <c r="CE425" s="35" t="s">
        <v>7045</v>
      </c>
      <c r="CF425" s="30">
        <v>47119.0</v>
      </c>
      <c r="CG425" s="30">
        <v>47208.0</v>
      </c>
      <c r="CH425" s="39">
        <v>0.0</v>
      </c>
      <c r="CI425" s="39">
        <v>0.0</v>
      </c>
      <c r="CJ425" s="35" t="s">
        <v>7045</v>
      </c>
      <c r="CK425" s="30">
        <v>47209.0</v>
      </c>
      <c r="CL425" s="30">
        <v>47299.0</v>
      </c>
      <c r="CM425" s="39">
        <v>0.0</v>
      </c>
      <c r="CN425" s="39">
        <v>0.0</v>
      </c>
      <c r="CO425" s="35" t="s">
        <v>7045</v>
      </c>
      <c r="CP425" s="30">
        <v>47300.0</v>
      </c>
      <c r="CQ425" s="30">
        <v>47391.0</v>
      </c>
      <c r="CR425" s="39">
        <v>0.0</v>
      </c>
      <c r="CS425" s="39">
        <v>0.0</v>
      </c>
      <c r="CT425" s="35" t="s">
        <v>7045</v>
      </c>
      <c r="CU425" s="30">
        <v>47392.0</v>
      </c>
      <c r="CV425" s="30">
        <v>47483.0</v>
      </c>
      <c r="CW425" s="39">
        <v>0.0</v>
      </c>
      <c r="CX425" s="39">
        <v>0.0</v>
      </c>
      <c r="CY425" s="35" t="s">
        <v>7045</v>
      </c>
      <c r="CZ425" s="30">
        <v>47484.0</v>
      </c>
      <c r="DA425" s="30">
        <v>47573.0</v>
      </c>
      <c r="DB425" s="39">
        <v>0.0</v>
      </c>
      <c r="DC425" s="39">
        <v>0.0</v>
      </c>
      <c r="DD425" s="35" t="s">
        <v>7045</v>
      </c>
      <c r="DE425" s="30">
        <v>47574.0</v>
      </c>
      <c r="DF425" s="30">
        <v>47664.0</v>
      </c>
      <c r="DG425" s="39">
        <v>0.0</v>
      </c>
      <c r="DH425" s="39">
        <v>0.0</v>
      </c>
      <c r="DI425" s="35" t="s">
        <v>7045</v>
      </c>
      <c r="DJ425" s="30">
        <v>47665.0</v>
      </c>
      <c r="DK425" s="30">
        <v>47756.0</v>
      </c>
      <c r="DL425" s="39">
        <v>0.0</v>
      </c>
      <c r="DM425" s="39">
        <v>0.0</v>
      </c>
      <c r="DN425" s="35" t="s">
        <v>7045</v>
      </c>
      <c r="DO425" s="30">
        <v>47757.0</v>
      </c>
      <c r="DP425" s="30">
        <v>47848.0</v>
      </c>
      <c r="DQ425" s="39">
        <v>0.0</v>
      </c>
      <c r="DR425" s="39">
        <v>0.0</v>
      </c>
      <c r="DS425" s="35" t="s">
        <v>7045</v>
      </c>
    </row>
    <row r="426" ht="14.25" customHeight="1">
      <c r="A426" s="28" t="s">
        <v>5212</v>
      </c>
      <c r="B426" s="29" t="s">
        <v>5213</v>
      </c>
      <c r="C426" s="29" t="s">
        <v>7041</v>
      </c>
      <c r="D426" s="30">
        <v>45658.0</v>
      </c>
      <c r="E426" s="30">
        <v>45747.0</v>
      </c>
      <c r="F426" s="39">
        <v>0.0</v>
      </c>
      <c r="G426" s="39">
        <v>0.0</v>
      </c>
      <c r="H426" s="35" t="s">
        <v>7045</v>
      </c>
      <c r="I426" s="30">
        <v>45748.0</v>
      </c>
      <c r="J426" s="30">
        <v>45838.0</v>
      </c>
      <c r="K426" s="39">
        <v>0.0</v>
      </c>
      <c r="L426" s="39">
        <v>35.0</v>
      </c>
      <c r="M426" s="32" t="s">
        <v>7043</v>
      </c>
      <c r="N426" s="30">
        <v>45839.0</v>
      </c>
      <c r="O426" s="30">
        <v>45930.0</v>
      </c>
      <c r="P426" s="39">
        <v>30.0</v>
      </c>
      <c r="Q426" s="39">
        <v>62.0</v>
      </c>
      <c r="R426" s="38" t="s">
        <v>7047</v>
      </c>
      <c r="S426" s="30">
        <v>45931.0</v>
      </c>
      <c r="T426" s="30">
        <v>46022.0</v>
      </c>
      <c r="U426" s="39">
        <v>0.0</v>
      </c>
      <c r="V426" s="39">
        <v>58.0</v>
      </c>
      <c r="W426" s="32" t="s">
        <v>7043</v>
      </c>
      <c r="X426" s="30">
        <v>46023.0</v>
      </c>
      <c r="Y426" s="30">
        <v>46112.0</v>
      </c>
      <c r="Z426" s="39">
        <v>0.0</v>
      </c>
      <c r="AA426" s="39">
        <v>0.0</v>
      </c>
      <c r="AB426" s="35" t="s">
        <v>7045</v>
      </c>
      <c r="AC426" s="30">
        <v>46113.0</v>
      </c>
      <c r="AD426" s="30">
        <v>46203.0</v>
      </c>
      <c r="AE426" s="39">
        <v>0.0</v>
      </c>
      <c r="AF426" s="39">
        <v>0.0</v>
      </c>
      <c r="AG426" s="35" t="s">
        <v>7045</v>
      </c>
      <c r="AH426" s="30">
        <v>46204.0</v>
      </c>
      <c r="AI426" s="30">
        <v>46295.0</v>
      </c>
      <c r="AJ426" s="39">
        <v>0.0</v>
      </c>
      <c r="AK426" s="39">
        <v>0.0</v>
      </c>
      <c r="AL426" s="35" t="s">
        <v>7045</v>
      </c>
      <c r="AM426" s="30">
        <v>46296.0</v>
      </c>
      <c r="AN426" s="30">
        <v>46387.0</v>
      </c>
      <c r="AO426" s="39">
        <v>0.0</v>
      </c>
      <c r="AP426" s="39">
        <v>0.0</v>
      </c>
      <c r="AQ426" s="35" t="s">
        <v>7045</v>
      </c>
      <c r="AR426" s="30">
        <v>46388.0</v>
      </c>
      <c r="AS426" s="30">
        <v>46477.0</v>
      </c>
      <c r="AT426" s="39">
        <v>0.0</v>
      </c>
      <c r="AU426" s="39">
        <v>0.0</v>
      </c>
      <c r="AV426" s="35" t="s">
        <v>7045</v>
      </c>
      <c r="AW426" s="30">
        <v>46478.0</v>
      </c>
      <c r="AX426" s="30">
        <v>46568.0</v>
      </c>
      <c r="AY426" s="39">
        <v>0.0</v>
      </c>
      <c r="AZ426" s="39">
        <v>0.0</v>
      </c>
      <c r="BA426" s="35" t="s">
        <v>7045</v>
      </c>
      <c r="BB426" s="30">
        <v>46569.0</v>
      </c>
      <c r="BC426" s="30">
        <v>46660.0</v>
      </c>
      <c r="BD426" s="39">
        <v>0.0</v>
      </c>
      <c r="BE426" s="39">
        <v>0.0</v>
      </c>
      <c r="BF426" s="35" t="s">
        <v>7045</v>
      </c>
      <c r="BG426" s="30">
        <v>46661.0</v>
      </c>
      <c r="BH426" s="30">
        <v>46752.0</v>
      </c>
      <c r="BI426" s="39">
        <v>0.0</v>
      </c>
      <c r="BJ426" s="39">
        <v>0.0</v>
      </c>
      <c r="BK426" s="35" t="s">
        <v>7045</v>
      </c>
      <c r="BL426" s="30">
        <v>46753.0</v>
      </c>
      <c r="BM426" s="30">
        <v>46843.0</v>
      </c>
      <c r="BN426" s="39">
        <v>0.0</v>
      </c>
      <c r="BO426" s="39">
        <v>0.0</v>
      </c>
      <c r="BP426" s="35" t="s">
        <v>7045</v>
      </c>
      <c r="BQ426" s="30">
        <v>46844.0</v>
      </c>
      <c r="BR426" s="30">
        <v>46934.0</v>
      </c>
      <c r="BS426" s="39">
        <v>0.0</v>
      </c>
      <c r="BT426" s="39">
        <v>0.0</v>
      </c>
      <c r="BU426" s="35" t="s">
        <v>7045</v>
      </c>
      <c r="BV426" s="30">
        <v>46935.0</v>
      </c>
      <c r="BW426" s="30">
        <v>47026.0</v>
      </c>
      <c r="BX426" s="39">
        <v>0.0</v>
      </c>
      <c r="BY426" s="39">
        <v>0.0</v>
      </c>
      <c r="BZ426" s="35" t="s">
        <v>7045</v>
      </c>
      <c r="CA426" s="30">
        <v>47027.0</v>
      </c>
      <c r="CB426" s="30">
        <v>47118.0</v>
      </c>
      <c r="CC426" s="39">
        <v>0.0</v>
      </c>
      <c r="CD426" s="39">
        <v>0.0</v>
      </c>
      <c r="CE426" s="35" t="s">
        <v>7045</v>
      </c>
      <c r="CF426" s="30">
        <v>47119.0</v>
      </c>
      <c r="CG426" s="30">
        <v>47208.0</v>
      </c>
      <c r="CH426" s="39">
        <v>0.0</v>
      </c>
      <c r="CI426" s="39">
        <v>0.0</v>
      </c>
      <c r="CJ426" s="35" t="s">
        <v>7045</v>
      </c>
      <c r="CK426" s="30">
        <v>47209.0</v>
      </c>
      <c r="CL426" s="30">
        <v>47299.0</v>
      </c>
      <c r="CM426" s="39">
        <v>0.0</v>
      </c>
      <c r="CN426" s="39">
        <v>0.0</v>
      </c>
      <c r="CO426" s="35" t="s">
        <v>7045</v>
      </c>
      <c r="CP426" s="30">
        <v>47300.0</v>
      </c>
      <c r="CQ426" s="30">
        <v>47391.0</v>
      </c>
      <c r="CR426" s="39">
        <v>0.0</v>
      </c>
      <c r="CS426" s="39">
        <v>0.0</v>
      </c>
      <c r="CT426" s="35" t="s">
        <v>7045</v>
      </c>
      <c r="CU426" s="30">
        <v>47392.0</v>
      </c>
      <c r="CV426" s="30">
        <v>47483.0</v>
      </c>
      <c r="CW426" s="39">
        <v>0.0</v>
      </c>
      <c r="CX426" s="39">
        <v>0.0</v>
      </c>
      <c r="CY426" s="35" t="s">
        <v>7045</v>
      </c>
      <c r="CZ426" s="30">
        <v>47484.0</v>
      </c>
      <c r="DA426" s="30">
        <v>47573.0</v>
      </c>
      <c r="DB426" s="39">
        <v>0.0</v>
      </c>
      <c r="DC426" s="39">
        <v>0.0</v>
      </c>
      <c r="DD426" s="35" t="s">
        <v>7045</v>
      </c>
      <c r="DE426" s="30">
        <v>47574.0</v>
      </c>
      <c r="DF426" s="30">
        <v>47664.0</v>
      </c>
      <c r="DG426" s="39">
        <v>0.0</v>
      </c>
      <c r="DH426" s="39">
        <v>0.0</v>
      </c>
      <c r="DI426" s="35" t="s">
        <v>7045</v>
      </c>
      <c r="DJ426" s="30">
        <v>47665.0</v>
      </c>
      <c r="DK426" s="30">
        <v>47756.0</v>
      </c>
      <c r="DL426" s="39">
        <v>0.0</v>
      </c>
      <c r="DM426" s="39">
        <v>0.0</v>
      </c>
      <c r="DN426" s="35" t="s">
        <v>7045</v>
      </c>
      <c r="DO426" s="30">
        <v>47757.0</v>
      </c>
      <c r="DP426" s="30">
        <v>47848.0</v>
      </c>
      <c r="DQ426" s="39">
        <v>0.0</v>
      </c>
      <c r="DR426" s="39">
        <v>0.0</v>
      </c>
      <c r="DS426" s="35" t="s">
        <v>7045</v>
      </c>
    </row>
    <row r="427" ht="14.25" customHeight="1">
      <c r="A427" s="28" t="s">
        <v>3832</v>
      </c>
      <c r="B427" s="29" t="s">
        <v>3833</v>
      </c>
      <c r="C427" s="29" t="s">
        <v>7041</v>
      </c>
      <c r="D427" s="30">
        <v>45658.0</v>
      </c>
      <c r="E427" s="30">
        <v>45747.0</v>
      </c>
      <c r="F427" s="39">
        <v>3.0</v>
      </c>
      <c r="G427" s="39">
        <v>0.0</v>
      </c>
      <c r="H427" s="38" t="s">
        <v>7047</v>
      </c>
      <c r="I427" s="30">
        <v>45748.0</v>
      </c>
      <c r="J427" s="30">
        <v>45838.0</v>
      </c>
      <c r="K427" s="39">
        <v>0.45</v>
      </c>
      <c r="L427" s="39">
        <v>61.73</v>
      </c>
      <c r="M427" s="38" t="s">
        <v>7043</v>
      </c>
      <c r="N427" s="30">
        <v>45839.0</v>
      </c>
      <c r="O427" s="30">
        <v>45930.0</v>
      </c>
      <c r="P427" s="39">
        <v>43.0</v>
      </c>
      <c r="Q427" s="39">
        <v>67.9</v>
      </c>
      <c r="R427" s="38" t="s">
        <v>7047</v>
      </c>
      <c r="S427" s="30">
        <v>45931.0</v>
      </c>
      <c r="T427" s="30">
        <v>46022.0</v>
      </c>
      <c r="U427" s="39">
        <v>45.0</v>
      </c>
      <c r="V427" s="39">
        <v>80.25</v>
      </c>
      <c r="W427" s="38" t="s">
        <v>7047</v>
      </c>
      <c r="X427" s="30">
        <v>46023.0</v>
      </c>
      <c r="Y427" s="30">
        <v>46112.0</v>
      </c>
      <c r="Z427" s="39">
        <v>35.0</v>
      </c>
      <c r="AA427" s="39">
        <v>0.0</v>
      </c>
      <c r="AB427" s="35" t="s">
        <v>7047</v>
      </c>
      <c r="AC427" s="30">
        <v>46113.0</v>
      </c>
      <c r="AD427" s="30">
        <v>46203.0</v>
      </c>
      <c r="AE427" s="39">
        <v>0.0</v>
      </c>
      <c r="AF427" s="39">
        <v>0.0</v>
      </c>
      <c r="AG427" s="35" t="s">
        <v>7045</v>
      </c>
      <c r="AH427" s="30">
        <v>46204.0</v>
      </c>
      <c r="AI427" s="30">
        <v>46295.0</v>
      </c>
      <c r="AJ427" s="39">
        <v>0.0</v>
      </c>
      <c r="AK427" s="39">
        <v>0.0</v>
      </c>
      <c r="AL427" s="35" t="s">
        <v>7045</v>
      </c>
      <c r="AM427" s="30">
        <v>46296.0</v>
      </c>
      <c r="AN427" s="30">
        <v>46387.0</v>
      </c>
      <c r="AO427" s="39">
        <v>5.0</v>
      </c>
      <c r="AP427" s="39">
        <v>0.0</v>
      </c>
      <c r="AQ427" s="35" t="s">
        <v>7047</v>
      </c>
      <c r="AR427" s="30">
        <v>46388.0</v>
      </c>
      <c r="AS427" s="30">
        <v>46477.0</v>
      </c>
      <c r="AT427" s="39">
        <v>0.0</v>
      </c>
      <c r="AU427" s="39">
        <v>0.0</v>
      </c>
      <c r="AV427" s="35" t="s">
        <v>7045</v>
      </c>
      <c r="AW427" s="30">
        <v>46478.0</v>
      </c>
      <c r="AX427" s="30">
        <v>46568.0</v>
      </c>
      <c r="AY427" s="39">
        <v>0.0</v>
      </c>
      <c r="AZ427" s="39">
        <v>0.0</v>
      </c>
      <c r="BA427" s="35" t="s">
        <v>7045</v>
      </c>
      <c r="BB427" s="30">
        <v>46569.0</v>
      </c>
      <c r="BC427" s="30">
        <v>46660.0</v>
      </c>
      <c r="BD427" s="39">
        <v>0.0</v>
      </c>
      <c r="BE427" s="39">
        <v>0.0</v>
      </c>
      <c r="BF427" s="35" t="s">
        <v>7045</v>
      </c>
      <c r="BG427" s="30">
        <v>46661.0</v>
      </c>
      <c r="BH427" s="30">
        <v>46752.0</v>
      </c>
      <c r="BI427" s="39">
        <v>0.0</v>
      </c>
      <c r="BJ427" s="39">
        <v>0.0</v>
      </c>
      <c r="BK427" s="35" t="s">
        <v>7045</v>
      </c>
      <c r="BL427" s="30">
        <v>46753.0</v>
      </c>
      <c r="BM427" s="30">
        <v>46843.0</v>
      </c>
      <c r="BN427" s="39">
        <v>0.0</v>
      </c>
      <c r="BO427" s="39">
        <v>0.0</v>
      </c>
      <c r="BP427" s="35" t="s">
        <v>7045</v>
      </c>
      <c r="BQ427" s="30">
        <v>46844.0</v>
      </c>
      <c r="BR427" s="30">
        <v>46934.0</v>
      </c>
      <c r="BS427" s="39">
        <v>0.0</v>
      </c>
      <c r="BT427" s="39">
        <v>0.0</v>
      </c>
      <c r="BU427" s="35" t="s">
        <v>7045</v>
      </c>
      <c r="BV427" s="30">
        <v>46935.0</v>
      </c>
      <c r="BW427" s="30">
        <v>47026.0</v>
      </c>
      <c r="BX427" s="39">
        <v>0.0</v>
      </c>
      <c r="BY427" s="39">
        <v>0.0</v>
      </c>
      <c r="BZ427" s="35" t="s">
        <v>7045</v>
      </c>
      <c r="CA427" s="30">
        <v>47027.0</v>
      </c>
      <c r="CB427" s="30">
        <v>47118.0</v>
      </c>
      <c r="CC427" s="39">
        <v>0.0</v>
      </c>
      <c r="CD427" s="39">
        <v>0.0</v>
      </c>
      <c r="CE427" s="35" t="s">
        <v>7045</v>
      </c>
      <c r="CF427" s="30">
        <v>47119.0</v>
      </c>
      <c r="CG427" s="30">
        <v>47208.0</v>
      </c>
      <c r="CH427" s="39">
        <v>0.0</v>
      </c>
      <c r="CI427" s="39">
        <v>0.0</v>
      </c>
      <c r="CJ427" s="35" t="s">
        <v>7045</v>
      </c>
      <c r="CK427" s="30">
        <v>47209.0</v>
      </c>
      <c r="CL427" s="30">
        <v>47299.0</v>
      </c>
      <c r="CM427" s="39">
        <v>0.0</v>
      </c>
      <c r="CN427" s="39">
        <v>0.0</v>
      </c>
      <c r="CO427" s="35" t="s">
        <v>7045</v>
      </c>
      <c r="CP427" s="30">
        <v>47300.0</v>
      </c>
      <c r="CQ427" s="30">
        <v>47391.0</v>
      </c>
      <c r="CR427" s="39">
        <v>0.0</v>
      </c>
      <c r="CS427" s="39">
        <v>0.0</v>
      </c>
      <c r="CT427" s="35" t="s">
        <v>7045</v>
      </c>
      <c r="CU427" s="30">
        <v>47392.0</v>
      </c>
      <c r="CV427" s="30">
        <v>47483.0</v>
      </c>
      <c r="CW427" s="39">
        <v>0.0</v>
      </c>
      <c r="CX427" s="39">
        <v>0.0</v>
      </c>
      <c r="CY427" s="35" t="s">
        <v>7045</v>
      </c>
      <c r="CZ427" s="30">
        <v>47484.0</v>
      </c>
      <c r="DA427" s="30">
        <v>47573.0</v>
      </c>
      <c r="DB427" s="39">
        <v>0.0</v>
      </c>
      <c r="DC427" s="39">
        <v>0.0</v>
      </c>
      <c r="DD427" s="35" t="s">
        <v>7045</v>
      </c>
      <c r="DE427" s="30">
        <v>47574.0</v>
      </c>
      <c r="DF427" s="30">
        <v>47664.0</v>
      </c>
      <c r="DG427" s="39">
        <v>0.0</v>
      </c>
      <c r="DH427" s="39">
        <v>0.0</v>
      </c>
      <c r="DI427" s="35" t="s">
        <v>7045</v>
      </c>
      <c r="DJ427" s="30">
        <v>47665.0</v>
      </c>
      <c r="DK427" s="30">
        <v>47756.0</v>
      </c>
      <c r="DL427" s="39">
        <v>0.0</v>
      </c>
      <c r="DM427" s="39">
        <v>0.0</v>
      </c>
      <c r="DN427" s="35" t="s">
        <v>7045</v>
      </c>
      <c r="DO427" s="30">
        <v>47757.0</v>
      </c>
      <c r="DP427" s="30">
        <v>47848.0</v>
      </c>
      <c r="DQ427" s="39">
        <v>0.0</v>
      </c>
      <c r="DR427" s="39">
        <v>0.0</v>
      </c>
      <c r="DS427" s="35" t="s">
        <v>7045</v>
      </c>
    </row>
    <row r="428" ht="14.25" customHeight="1">
      <c r="A428" s="28" t="s">
        <v>1695</v>
      </c>
      <c r="B428" s="29" t="s">
        <v>1696</v>
      </c>
      <c r="C428" s="29" t="s">
        <v>7041</v>
      </c>
      <c r="D428" s="30">
        <v>45658.0</v>
      </c>
      <c r="E428" s="30">
        <v>45747.0</v>
      </c>
      <c r="F428" s="39">
        <v>0.0</v>
      </c>
      <c r="G428" s="39">
        <v>0.0</v>
      </c>
      <c r="H428" s="35" t="s">
        <v>7045</v>
      </c>
      <c r="I428" s="30">
        <v>45748.0</v>
      </c>
      <c r="J428" s="30">
        <v>45838.0</v>
      </c>
      <c r="K428" s="39">
        <v>10.0</v>
      </c>
      <c r="L428" s="39">
        <v>121.57</v>
      </c>
      <c r="M428" s="37" t="s">
        <v>7043</v>
      </c>
      <c r="N428" s="30">
        <v>45839.0</v>
      </c>
      <c r="O428" s="30">
        <v>45930.0</v>
      </c>
      <c r="P428" s="39">
        <v>5.0</v>
      </c>
      <c r="Q428" s="39">
        <v>121.57</v>
      </c>
      <c r="R428" s="38" t="s">
        <v>7043</v>
      </c>
      <c r="S428" s="30">
        <v>45931.0</v>
      </c>
      <c r="T428" s="30">
        <v>46022.0</v>
      </c>
      <c r="U428" s="39">
        <v>20.0</v>
      </c>
      <c r="V428" s="39">
        <v>121.57</v>
      </c>
      <c r="W428" s="38" t="s">
        <v>7047</v>
      </c>
      <c r="X428" s="30">
        <v>46023.0</v>
      </c>
      <c r="Y428" s="30">
        <v>46112.0</v>
      </c>
      <c r="Z428" s="39">
        <v>20.0</v>
      </c>
      <c r="AA428" s="39">
        <v>0.0</v>
      </c>
      <c r="AB428" s="35" t="s">
        <v>7047</v>
      </c>
      <c r="AC428" s="30">
        <v>46113.0</v>
      </c>
      <c r="AD428" s="30">
        <v>46203.0</v>
      </c>
      <c r="AE428" s="39">
        <v>45.0</v>
      </c>
      <c r="AF428" s="39">
        <v>0.0</v>
      </c>
      <c r="AG428" s="38" t="s">
        <v>7047</v>
      </c>
      <c r="AH428" s="30">
        <v>46204.0</v>
      </c>
      <c r="AI428" s="30">
        <v>46295.0</v>
      </c>
      <c r="AJ428" s="39">
        <v>0.0</v>
      </c>
      <c r="AK428" s="39">
        <v>0.0</v>
      </c>
      <c r="AL428" s="35" t="s">
        <v>7045</v>
      </c>
      <c r="AM428" s="30">
        <v>46296.0</v>
      </c>
      <c r="AN428" s="30">
        <v>46387.0</v>
      </c>
      <c r="AO428" s="39">
        <v>0.0</v>
      </c>
      <c r="AP428" s="39">
        <v>0.0</v>
      </c>
      <c r="AQ428" s="35" t="s">
        <v>7045</v>
      </c>
      <c r="AR428" s="30">
        <v>46388.0</v>
      </c>
      <c r="AS428" s="30">
        <v>46477.0</v>
      </c>
      <c r="AT428" s="39">
        <v>0.0</v>
      </c>
      <c r="AU428" s="39">
        <v>0.0</v>
      </c>
      <c r="AV428" s="35" t="s">
        <v>7045</v>
      </c>
      <c r="AW428" s="30">
        <v>46478.0</v>
      </c>
      <c r="AX428" s="30">
        <v>46568.0</v>
      </c>
      <c r="AY428" s="39">
        <v>0.0</v>
      </c>
      <c r="AZ428" s="39">
        <v>0.0</v>
      </c>
      <c r="BA428" s="35" t="s">
        <v>7045</v>
      </c>
      <c r="BB428" s="30">
        <v>46569.0</v>
      </c>
      <c r="BC428" s="30">
        <v>46660.0</v>
      </c>
      <c r="BD428" s="39">
        <v>0.0</v>
      </c>
      <c r="BE428" s="39">
        <v>0.0</v>
      </c>
      <c r="BF428" s="35" t="s">
        <v>7045</v>
      </c>
      <c r="BG428" s="30">
        <v>46661.0</v>
      </c>
      <c r="BH428" s="30">
        <v>46752.0</v>
      </c>
      <c r="BI428" s="39">
        <v>0.0</v>
      </c>
      <c r="BJ428" s="39">
        <v>0.0</v>
      </c>
      <c r="BK428" s="35" t="s">
        <v>7045</v>
      </c>
      <c r="BL428" s="30">
        <v>46753.0</v>
      </c>
      <c r="BM428" s="30">
        <v>46843.0</v>
      </c>
      <c r="BN428" s="39">
        <v>0.0</v>
      </c>
      <c r="BO428" s="39">
        <v>0.0</v>
      </c>
      <c r="BP428" s="35" t="s">
        <v>7045</v>
      </c>
      <c r="BQ428" s="30">
        <v>46844.0</v>
      </c>
      <c r="BR428" s="30">
        <v>46934.0</v>
      </c>
      <c r="BS428" s="39">
        <v>0.0</v>
      </c>
      <c r="BT428" s="39">
        <v>0.0</v>
      </c>
      <c r="BU428" s="35" t="s">
        <v>7045</v>
      </c>
      <c r="BV428" s="30">
        <v>46935.0</v>
      </c>
      <c r="BW428" s="30">
        <v>47026.0</v>
      </c>
      <c r="BX428" s="39">
        <v>0.0</v>
      </c>
      <c r="BY428" s="39">
        <v>0.0</v>
      </c>
      <c r="BZ428" s="35" t="s">
        <v>7045</v>
      </c>
      <c r="CA428" s="30">
        <v>47027.0</v>
      </c>
      <c r="CB428" s="30">
        <v>47118.0</v>
      </c>
      <c r="CC428" s="39">
        <v>0.0</v>
      </c>
      <c r="CD428" s="39">
        <v>0.0</v>
      </c>
      <c r="CE428" s="35" t="s">
        <v>7045</v>
      </c>
      <c r="CF428" s="30">
        <v>47119.0</v>
      </c>
      <c r="CG428" s="30">
        <v>47208.0</v>
      </c>
      <c r="CH428" s="39">
        <v>0.0</v>
      </c>
      <c r="CI428" s="39">
        <v>0.0</v>
      </c>
      <c r="CJ428" s="35" t="s">
        <v>7045</v>
      </c>
      <c r="CK428" s="30">
        <v>47209.0</v>
      </c>
      <c r="CL428" s="30">
        <v>47299.0</v>
      </c>
      <c r="CM428" s="39">
        <v>0.0</v>
      </c>
      <c r="CN428" s="39">
        <v>0.0</v>
      </c>
      <c r="CO428" s="35" t="s">
        <v>7045</v>
      </c>
      <c r="CP428" s="30">
        <v>47300.0</v>
      </c>
      <c r="CQ428" s="30">
        <v>47391.0</v>
      </c>
      <c r="CR428" s="39">
        <v>0.0</v>
      </c>
      <c r="CS428" s="39">
        <v>0.0</v>
      </c>
      <c r="CT428" s="35" t="s">
        <v>7045</v>
      </c>
      <c r="CU428" s="30">
        <v>47392.0</v>
      </c>
      <c r="CV428" s="30">
        <v>47483.0</v>
      </c>
      <c r="CW428" s="39">
        <v>0.0</v>
      </c>
      <c r="CX428" s="39">
        <v>0.0</v>
      </c>
      <c r="CY428" s="35" t="s">
        <v>7045</v>
      </c>
      <c r="CZ428" s="30">
        <v>47484.0</v>
      </c>
      <c r="DA428" s="30">
        <v>47573.0</v>
      </c>
      <c r="DB428" s="39">
        <v>0.0</v>
      </c>
      <c r="DC428" s="39">
        <v>0.0</v>
      </c>
      <c r="DD428" s="35" t="s">
        <v>7045</v>
      </c>
      <c r="DE428" s="30">
        <v>47574.0</v>
      </c>
      <c r="DF428" s="30">
        <v>47664.0</v>
      </c>
      <c r="DG428" s="39">
        <v>0.0</v>
      </c>
      <c r="DH428" s="39">
        <v>0.0</v>
      </c>
      <c r="DI428" s="35" t="s">
        <v>7045</v>
      </c>
      <c r="DJ428" s="30">
        <v>47665.0</v>
      </c>
      <c r="DK428" s="30">
        <v>47756.0</v>
      </c>
      <c r="DL428" s="39">
        <v>0.0</v>
      </c>
      <c r="DM428" s="39">
        <v>0.0</v>
      </c>
      <c r="DN428" s="35" t="s">
        <v>7045</v>
      </c>
      <c r="DO428" s="30">
        <v>47757.0</v>
      </c>
      <c r="DP428" s="30">
        <v>47848.0</v>
      </c>
      <c r="DQ428" s="39">
        <v>0.0</v>
      </c>
      <c r="DR428" s="39">
        <v>0.0</v>
      </c>
      <c r="DS428" s="35" t="s">
        <v>7045</v>
      </c>
    </row>
    <row r="429" ht="14.25" customHeight="1">
      <c r="A429" s="28" t="s">
        <v>1316</v>
      </c>
      <c r="B429" s="29" t="s">
        <v>1317</v>
      </c>
      <c r="C429" s="29" t="s">
        <v>7041</v>
      </c>
      <c r="D429" s="30">
        <v>45658.0</v>
      </c>
      <c r="E429" s="30">
        <v>45747.0</v>
      </c>
      <c r="F429" s="36">
        <v>0.0</v>
      </c>
      <c r="G429" s="36">
        <v>0.0</v>
      </c>
      <c r="H429" s="35" t="s">
        <v>7045</v>
      </c>
      <c r="I429" s="30">
        <v>45748.0</v>
      </c>
      <c r="J429" s="30">
        <v>45838.0</v>
      </c>
      <c r="K429" s="36">
        <v>0.0</v>
      </c>
      <c r="L429" s="36">
        <v>0.0</v>
      </c>
      <c r="M429" s="35" t="s">
        <v>7045</v>
      </c>
      <c r="N429" s="30">
        <v>45839.0</v>
      </c>
      <c r="O429" s="30">
        <v>45930.0</v>
      </c>
      <c r="P429" s="36">
        <v>0.0</v>
      </c>
      <c r="Q429" s="36">
        <v>0.0</v>
      </c>
      <c r="R429" s="35" t="s">
        <v>7045</v>
      </c>
      <c r="S429" s="30">
        <v>45931.0</v>
      </c>
      <c r="T429" s="30">
        <v>46022.0</v>
      </c>
      <c r="U429" s="36">
        <v>0.0</v>
      </c>
      <c r="V429" s="36">
        <v>0.0</v>
      </c>
      <c r="W429" s="35" t="s">
        <v>7045</v>
      </c>
      <c r="X429" s="30">
        <v>46023.0</v>
      </c>
      <c r="Y429" s="30">
        <v>46112.0</v>
      </c>
      <c r="Z429" s="36">
        <v>0.0</v>
      </c>
      <c r="AA429" s="36">
        <v>0.0</v>
      </c>
      <c r="AB429" s="35" t="s">
        <v>7045</v>
      </c>
      <c r="AC429" s="30">
        <v>46113.0</v>
      </c>
      <c r="AD429" s="30">
        <v>46203.0</v>
      </c>
      <c r="AE429" s="36">
        <v>0.0</v>
      </c>
      <c r="AF429" s="36">
        <v>0.0</v>
      </c>
      <c r="AG429" s="35" t="s">
        <v>7045</v>
      </c>
      <c r="AH429" s="30">
        <v>46204.0</v>
      </c>
      <c r="AI429" s="30">
        <v>46295.0</v>
      </c>
      <c r="AJ429" s="36">
        <v>0.0</v>
      </c>
      <c r="AK429" s="36">
        <v>0.0</v>
      </c>
      <c r="AL429" s="35" t="s">
        <v>7045</v>
      </c>
      <c r="AM429" s="30">
        <v>46296.0</v>
      </c>
      <c r="AN429" s="30">
        <v>46387.0</v>
      </c>
      <c r="AO429" s="36">
        <v>0.0</v>
      </c>
      <c r="AP429" s="36">
        <v>0.0</v>
      </c>
      <c r="AQ429" s="35" t="s">
        <v>7045</v>
      </c>
      <c r="AR429" s="30">
        <v>46388.0</v>
      </c>
      <c r="AS429" s="30">
        <v>46477.0</v>
      </c>
      <c r="AT429" s="36">
        <v>0.0</v>
      </c>
      <c r="AU429" s="36">
        <v>0.0</v>
      </c>
      <c r="AV429" s="35" t="s">
        <v>7045</v>
      </c>
      <c r="AW429" s="30">
        <v>46478.0</v>
      </c>
      <c r="AX429" s="30">
        <v>46568.0</v>
      </c>
      <c r="AY429" s="36">
        <v>0.0</v>
      </c>
      <c r="AZ429" s="36">
        <v>0.0</v>
      </c>
      <c r="BA429" s="35" t="s">
        <v>7045</v>
      </c>
      <c r="BB429" s="30">
        <v>46569.0</v>
      </c>
      <c r="BC429" s="30">
        <v>46660.0</v>
      </c>
      <c r="BD429" s="36">
        <v>0.0</v>
      </c>
      <c r="BE429" s="36">
        <v>0.0</v>
      </c>
      <c r="BF429" s="35" t="s">
        <v>7045</v>
      </c>
      <c r="BG429" s="30">
        <v>46661.0</v>
      </c>
      <c r="BH429" s="30">
        <v>46752.0</v>
      </c>
      <c r="BI429" s="36">
        <v>0.0</v>
      </c>
      <c r="BJ429" s="36">
        <v>0.0</v>
      </c>
      <c r="BK429" s="35" t="s">
        <v>7045</v>
      </c>
      <c r="BL429" s="30">
        <v>46753.0</v>
      </c>
      <c r="BM429" s="30">
        <v>46843.0</v>
      </c>
      <c r="BN429" s="36">
        <v>0.0</v>
      </c>
      <c r="BO429" s="36">
        <v>0.0</v>
      </c>
      <c r="BP429" s="35" t="s">
        <v>7045</v>
      </c>
      <c r="BQ429" s="30">
        <v>46844.0</v>
      </c>
      <c r="BR429" s="30">
        <v>46934.0</v>
      </c>
      <c r="BS429" s="36">
        <v>0.0</v>
      </c>
      <c r="BT429" s="36">
        <v>0.0</v>
      </c>
      <c r="BU429" s="35" t="s">
        <v>7045</v>
      </c>
      <c r="BV429" s="30">
        <v>46935.0</v>
      </c>
      <c r="BW429" s="30">
        <v>47026.0</v>
      </c>
      <c r="BX429" s="36">
        <v>0.0</v>
      </c>
      <c r="BY429" s="36">
        <v>0.0</v>
      </c>
      <c r="BZ429" s="35" t="s">
        <v>7045</v>
      </c>
      <c r="CA429" s="30">
        <v>47027.0</v>
      </c>
      <c r="CB429" s="30">
        <v>47118.0</v>
      </c>
      <c r="CC429" s="36">
        <v>0.0</v>
      </c>
      <c r="CD429" s="36">
        <v>0.0</v>
      </c>
      <c r="CE429" s="35" t="s">
        <v>7045</v>
      </c>
      <c r="CF429" s="30">
        <v>47119.0</v>
      </c>
      <c r="CG429" s="30">
        <v>47208.0</v>
      </c>
      <c r="CH429" s="36">
        <v>0.0</v>
      </c>
      <c r="CI429" s="36">
        <v>0.0</v>
      </c>
      <c r="CJ429" s="35" t="s">
        <v>7045</v>
      </c>
      <c r="CK429" s="30">
        <v>47209.0</v>
      </c>
      <c r="CL429" s="30">
        <v>47299.0</v>
      </c>
      <c r="CM429" s="36">
        <v>0.0</v>
      </c>
      <c r="CN429" s="36">
        <v>0.0</v>
      </c>
      <c r="CO429" s="35" t="s">
        <v>7045</v>
      </c>
      <c r="CP429" s="30">
        <v>47300.0</v>
      </c>
      <c r="CQ429" s="30">
        <v>47391.0</v>
      </c>
      <c r="CR429" s="36">
        <v>0.0</v>
      </c>
      <c r="CS429" s="36">
        <v>0.0</v>
      </c>
      <c r="CT429" s="35" t="s">
        <v>7045</v>
      </c>
      <c r="CU429" s="30">
        <v>47392.0</v>
      </c>
      <c r="CV429" s="30">
        <v>47483.0</v>
      </c>
      <c r="CW429" s="36">
        <v>0.0</v>
      </c>
      <c r="CX429" s="36">
        <v>0.0</v>
      </c>
      <c r="CY429" s="35" t="s">
        <v>7045</v>
      </c>
      <c r="CZ429" s="30">
        <v>47484.0</v>
      </c>
      <c r="DA429" s="30">
        <v>47573.0</v>
      </c>
      <c r="DB429" s="36">
        <v>0.0</v>
      </c>
      <c r="DC429" s="36">
        <v>0.0</v>
      </c>
      <c r="DD429" s="35" t="s">
        <v>7045</v>
      </c>
      <c r="DE429" s="30">
        <v>47574.0</v>
      </c>
      <c r="DF429" s="30">
        <v>47664.0</v>
      </c>
      <c r="DG429" s="36">
        <v>0.0</v>
      </c>
      <c r="DH429" s="36">
        <v>0.0</v>
      </c>
      <c r="DI429" s="35" t="s">
        <v>7045</v>
      </c>
      <c r="DJ429" s="30">
        <v>47665.0</v>
      </c>
      <c r="DK429" s="30">
        <v>47756.0</v>
      </c>
      <c r="DL429" s="36">
        <v>0.0</v>
      </c>
      <c r="DM429" s="36">
        <v>0.0</v>
      </c>
      <c r="DN429" s="35" t="s">
        <v>7045</v>
      </c>
      <c r="DO429" s="30">
        <v>47757.0</v>
      </c>
      <c r="DP429" s="30">
        <v>47848.0</v>
      </c>
      <c r="DQ429" s="36">
        <v>0.0</v>
      </c>
      <c r="DR429" s="36">
        <v>0.0</v>
      </c>
      <c r="DS429" s="35" t="s">
        <v>7045</v>
      </c>
    </row>
    <row r="430" ht="14.25" customHeight="1">
      <c r="A430" s="28" t="s">
        <v>2215</v>
      </c>
      <c r="B430" s="29" t="s">
        <v>2216</v>
      </c>
      <c r="C430" s="29" t="s">
        <v>7041</v>
      </c>
      <c r="D430" s="30">
        <v>45658.0</v>
      </c>
      <c r="E430" s="30">
        <v>45747.0</v>
      </c>
      <c r="F430" s="36">
        <v>135.24</v>
      </c>
      <c r="G430" s="36">
        <v>0.0</v>
      </c>
      <c r="H430" s="38" t="s">
        <v>7047</v>
      </c>
      <c r="I430" s="30">
        <v>45748.0</v>
      </c>
      <c r="J430" s="30">
        <v>45838.0</v>
      </c>
      <c r="K430" s="36">
        <v>141.9</v>
      </c>
      <c r="L430" s="36">
        <v>166.67</v>
      </c>
      <c r="M430" s="38" t="s">
        <v>7047</v>
      </c>
      <c r="N430" s="30">
        <v>45839.0</v>
      </c>
      <c r="O430" s="30">
        <v>45930.0</v>
      </c>
      <c r="P430" s="36">
        <v>2372.05</v>
      </c>
      <c r="Q430" s="36">
        <v>666.65</v>
      </c>
      <c r="R430" s="38" t="s">
        <v>7047</v>
      </c>
      <c r="S430" s="30">
        <v>45931.0</v>
      </c>
      <c r="T430" s="30">
        <v>46022.0</v>
      </c>
      <c r="U430" s="36">
        <v>720.58</v>
      </c>
      <c r="V430" s="36">
        <v>333.35</v>
      </c>
      <c r="W430" s="32" t="s">
        <v>7047</v>
      </c>
      <c r="X430" s="30">
        <v>46023.0</v>
      </c>
      <c r="Y430" s="30">
        <v>46112.0</v>
      </c>
      <c r="Z430" s="36">
        <v>0.0</v>
      </c>
      <c r="AA430" s="36">
        <v>0.0</v>
      </c>
      <c r="AB430" s="35" t="s">
        <v>7045</v>
      </c>
      <c r="AC430" s="30">
        <v>46113.0</v>
      </c>
      <c r="AD430" s="30">
        <v>46203.0</v>
      </c>
      <c r="AE430" s="36">
        <v>0.0</v>
      </c>
      <c r="AF430" s="36">
        <v>0.0</v>
      </c>
      <c r="AG430" s="35" t="s">
        <v>7045</v>
      </c>
      <c r="AH430" s="30">
        <v>46204.0</v>
      </c>
      <c r="AI430" s="30">
        <v>46295.0</v>
      </c>
      <c r="AJ430" s="36">
        <v>0.0</v>
      </c>
      <c r="AK430" s="36">
        <v>0.0</v>
      </c>
      <c r="AL430" s="35" t="s">
        <v>7045</v>
      </c>
      <c r="AM430" s="30">
        <v>46296.0</v>
      </c>
      <c r="AN430" s="30">
        <v>46387.0</v>
      </c>
      <c r="AO430" s="36">
        <v>0.0</v>
      </c>
      <c r="AP430" s="36">
        <v>0.0</v>
      </c>
      <c r="AQ430" s="35" t="s">
        <v>7045</v>
      </c>
      <c r="AR430" s="30">
        <v>46388.0</v>
      </c>
      <c r="AS430" s="30">
        <v>46477.0</v>
      </c>
      <c r="AT430" s="36">
        <v>0.0</v>
      </c>
      <c r="AU430" s="36">
        <v>0.0</v>
      </c>
      <c r="AV430" s="35" t="s">
        <v>7045</v>
      </c>
      <c r="AW430" s="30">
        <v>46478.0</v>
      </c>
      <c r="AX430" s="30">
        <v>46568.0</v>
      </c>
      <c r="AY430" s="36">
        <v>0.0</v>
      </c>
      <c r="AZ430" s="36">
        <v>0.0</v>
      </c>
      <c r="BA430" s="35" t="s">
        <v>7045</v>
      </c>
      <c r="BB430" s="30">
        <v>46569.0</v>
      </c>
      <c r="BC430" s="30">
        <v>46660.0</v>
      </c>
      <c r="BD430" s="36">
        <v>0.0</v>
      </c>
      <c r="BE430" s="36">
        <v>0.0</v>
      </c>
      <c r="BF430" s="35" t="s">
        <v>7045</v>
      </c>
      <c r="BG430" s="30">
        <v>46661.0</v>
      </c>
      <c r="BH430" s="30">
        <v>46752.0</v>
      </c>
      <c r="BI430" s="36">
        <v>0.0</v>
      </c>
      <c r="BJ430" s="36">
        <v>0.0</v>
      </c>
      <c r="BK430" s="35" t="s">
        <v>7045</v>
      </c>
      <c r="BL430" s="30">
        <v>46753.0</v>
      </c>
      <c r="BM430" s="30">
        <v>46843.0</v>
      </c>
      <c r="BN430" s="36">
        <v>0.0</v>
      </c>
      <c r="BO430" s="36">
        <v>0.0</v>
      </c>
      <c r="BP430" s="35" t="s">
        <v>7045</v>
      </c>
      <c r="BQ430" s="30">
        <v>46844.0</v>
      </c>
      <c r="BR430" s="30">
        <v>46934.0</v>
      </c>
      <c r="BS430" s="36">
        <v>0.0</v>
      </c>
      <c r="BT430" s="36">
        <v>0.0</v>
      </c>
      <c r="BU430" s="35" t="s">
        <v>7045</v>
      </c>
      <c r="BV430" s="30">
        <v>46935.0</v>
      </c>
      <c r="BW430" s="30">
        <v>47026.0</v>
      </c>
      <c r="BX430" s="36">
        <v>0.0</v>
      </c>
      <c r="BY430" s="36">
        <v>0.0</v>
      </c>
      <c r="BZ430" s="35" t="s">
        <v>7045</v>
      </c>
      <c r="CA430" s="30">
        <v>47027.0</v>
      </c>
      <c r="CB430" s="30">
        <v>47118.0</v>
      </c>
      <c r="CC430" s="36">
        <v>0.0</v>
      </c>
      <c r="CD430" s="36">
        <v>0.0</v>
      </c>
      <c r="CE430" s="35" t="s">
        <v>7045</v>
      </c>
      <c r="CF430" s="30">
        <v>47119.0</v>
      </c>
      <c r="CG430" s="30">
        <v>47208.0</v>
      </c>
      <c r="CH430" s="36">
        <v>0.0</v>
      </c>
      <c r="CI430" s="36">
        <v>0.0</v>
      </c>
      <c r="CJ430" s="35" t="s">
        <v>7045</v>
      </c>
      <c r="CK430" s="30">
        <v>47209.0</v>
      </c>
      <c r="CL430" s="30">
        <v>47299.0</v>
      </c>
      <c r="CM430" s="36">
        <v>0.0</v>
      </c>
      <c r="CN430" s="36">
        <v>0.0</v>
      </c>
      <c r="CO430" s="35" t="s">
        <v>7045</v>
      </c>
      <c r="CP430" s="30">
        <v>47300.0</v>
      </c>
      <c r="CQ430" s="30">
        <v>47391.0</v>
      </c>
      <c r="CR430" s="36">
        <v>0.0</v>
      </c>
      <c r="CS430" s="36">
        <v>0.0</v>
      </c>
      <c r="CT430" s="35" t="s">
        <v>7045</v>
      </c>
      <c r="CU430" s="30">
        <v>47392.0</v>
      </c>
      <c r="CV430" s="30">
        <v>47483.0</v>
      </c>
      <c r="CW430" s="36">
        <v>0.0</v>
      </c>
      <c r="CX430" s="36">
        <v>0.0</v>
      </c>
      <c r="CY430" s="35" t="s">
        <v>7045</v>
      </c>
      <c r="CZ430" s="30">
        <v>47484.0</v>
      </c>
      <c r="DA430" s="30">
        <v>47573.0</v>
      </c>
      <c r="DB430" s="36">
        <v>0.0</v>
      </c>
      <c r="DC430" s="36">
        <v>0.0</v>
      </c>
      <c r="DD430" s="35" t="s">
        <v>7045</v>
      </c>
      <c r="DE430" s="30">
        <v>47574.0</v>
      </c>
      <c r="DF430" s="30">
        <v>47664.0</v>
      </c>
      <c r="DG430" s="36">
        <v>0.0</v>
      </c>
      <c r="DH430" s="36">
        <v>0.0</v>
      </c>
      <c r="DI430" s="35" t="s">
        <v>7045</v>
      </c>
      <c r="DJ430" s="30">
        <v>47665.0</v>
      </c>
      <c r="DK430" s="30">
        <v>47756.0</v>
      </c>
      <c r="DL430" s="36">
        <v>0.0</v>
      </c>
      <c r="DM430" s="36">
        <v>0.0</v>
      </c>
      <c r="DN430" s="35" t="s">
        <v>7045</v>
      </c>
      <c r="DO430" s="30">
        <v>47757.0</v>
      </c>
      <c r="DP430" s="30">
        <v>47848.0</v>
      </c>
      <c r="DQ430" s="36">
        <v>0.0</v>
      </c>
      <c r="DR430" s="36">
        <v>0.0</v>
      </c>
      <c r="DS430" s="35" t="s">
        <v>7045</v>
      </c>
    </row>
    <row r="431" ht="14.25" customHeight="1">
      <c r="A431" s="28" t="s">
        <v>2891</v>
      </c>
      <c r="B431" s="29" t="s">
        <v>2892</v>
      </c>
      <c r="C431" s="29" t="s">
        <v>7041</v>
      </c>
      <c r="D431" s="30">
        <v>45658.0</v>
      </c>
      <c r="E431" s="30">
        <v>45747.0</v>
      </c>
      <c r="F431" s="36">
        <v>0.0</v>
      </c>
      <c r="G431" s="36">
        <v>0.0</v>
      </c>
      <c r="H431" s="35" t="s">
        <v>7045</v>
      </c>
      <c r="I431" s="30">
        <v>45748.0</v>
      </c>
      <c r="J431" s="30">
        <v>45838.0</v>
      </c>
      <c r="K431" s="36">
        <v>0.0</v>
      </c>
      <c r="L431" s="36">
        <v>0.0</v>
      </c>
      <c r="M431" s="35" t="s">
        <v>7045</v>
      </c>
      <c r="N431" s="30">
        <v>45839.0</v>
      </c>
      <c r="O431" s="30">
        <v>45930.0</v>
      </c>
      <c r="P431" s="36">
        <v>95.0</v>
      </c>
      <c r="Q431" s="36">
        <v>0.0</v>
      </c>
      <c r="R431" s="38" t="s">
        <v>7047</v>
      </c>
      <c r="S431" s="30">
        <v>45931.0</v>
      </c>
      <c r="T431" s="30">
        <v>46022.0</v>
      </c>
      <c r="U431" s="36">
        <v>95.0</v>
      </c>
      <c r="V431" s="36">
        <v>0.0</v>
      </c>
      <c r="W431" s="35" t="s">
        <v>7047</v>
      </c>
      <c r="X431" s="30">
        <v>46023.0</v>
      </c>
      <c r="Y431" s="30">
        <v>46112.0</v>
      </c>
      <c r="Z431" s="36">
        <v>95.0</v>
      </c>
      <c r="AA431" s="36">
        <v>0.0</v>
      </c>
      <c r="AB431" s="35" t="s">
        <v>7047</v>
      </c>
      <c r="AC431" s="30">
        <v>46113.0</v>
      </c>
      <c r="AD431" s="30">
        <v>46203.0</v>
      </c>
      <c r="AE431" s="36">
        <v>0.0</v>
      </c>
      <c r="AF431" s="36">
        <v>0.0</v>
      </c>
      <c r="AG431" s="35" t="s">
        <v>7045</v>
      </c>
      <c r="AH431" s="30">
        <v>46204.0</v>
      </c>
      <c r="AI431" s="30">
        <v>46295.0</v>
      </c>
      <c r="AJ431" s="36">
        <v>0.0</v>
      </c>
      <c r="AK431" s="36">
        <v>0.0</v>
      </c>
      <c r="AL431" s="35" t="s">
        <v>7045</v>
      </c>
      <c r="AM431" s="30">
        <v>46296.0</v>
      </c>
      <c r="AN431" s="30">
        <v>46387.0</v>
      </c>
      <c r="AO431" s="36">
        <v>0.0</v>
      </c>
      <c r="AP431" s="36">
        <v>0.0</v>
      </c>
      <c r="AQ431" s="35" t="s">
        <v>7045</v>
      </c>
      <c r="AR431" s="30">
        <v>46388.0</v>
      </c>
      <c r="AS431" s="30">
        <v>46477.0</v>
      </c>
      <c r="AT431" s="36">
        <v>0.0</v>
      </c>
      <c r="AU431" s="36">
        <v>0.0</v>
      </c>
      <c r="AV431" s="35" t="s">
        <v>7045</v>
      </c>
      <c r="AW431" s="30">
        <v>46478.0</v>
      </c>
      <c r="AX431" s="30">
        <v>46568.0</v>
      </c>
      <c r="AY431" s="36">
        <v>0.0</v>
      </c>
      <c r="AZ431" s="36">
        <v>0.0</v>
      </c>
      <c r="BA431" s="35" t="s">
        <v>7045</v>
      </c>
      <c r="BB431" s="30">
        <v>46569.0</v>
      </c>
      <c r="BC431" s="30">
        <v>46660.0</v>
      </c>
      <c r="BD431" s="36">
        <v>0.0</v>
      </c>
      <c r="BE431" s="36">
        <v>0.0</v>
      </c>
      <c r="BF431" s="35" t="s">
        <v>7045</v>
      </c>
      <c r="BG431" s="30">
        <v>46661.0</v>
      </c>
      <c r="BH431" s="30">
        <v>46752.0</v>
      </c>
      <c r="BI431" s="36">
        <v>0.0</v>
      </c>
      <c r="BJ431" s="36">
        <v>0.0</v>
      </c>
      <c r="BK431" s="35" t="s">
        <v>7045</v>
      </c>
      <c r="BL431" s="30">
        <v>46753.0</v>
      </c>
      <c r="BM431" s="30">
        <v>46843.0</v>
      </c>
      <c r="BN431" s="36">
        <v>0.0</v>
      </c>
      <c r="BO431" s="36">
        <v>0.0</v>
      </c>
      <c r="BP431" s="35" t="s">
        <v>7045</v>
      </c>
      <c r="BQ431" s="30">
        <v>46844.0</v>
      </c>
      <c r="BR431" s="30">
        <v>46934.0</v>
      </c>
      <c r="BS431" s="36">
        <v>0.0</v>
      </c>
      <c r="BT431" s="36">
        <v>0.0</v>
      </c>
      <c r="BU431" s="35" t="s">
        <v>7045</v>
      </c>
      <c r="BV431" s="30">
        <v>46935.0</v>
      </c>
      <c r="BW431" s="30">
        <v>47026.0</v>
      </c>
      <c r="BX431" s="36">
        <v>0.0</v>
      </c>
      <c r="BY431" s="36">
        <v>0.0</v>
      </c>
      <c r="BZ431" s="35" t="s">
        <v>7045</v>
      </c>
      <c r="CA431" s="30">
        <v>47027.0</v>
      </c>
      <c r="CB431" s="30">
        <v>47118.0</v>
      </c>
      <c r="CC431" s="36">
        <v>0.0</v>
      </c>
      <c r="CD431" s="36">
        <v>0.0</v>
      </c>
      <c r="CE431" s="35" t="s">
        <v>7045</v>
      </c>
      <c r="CF431" s="30">
        <v>47119.0</v>
      </c>
      <c r="CG431" s="30">
        <v>47208.0</v>
      </c>
      <c r="CH431" s="36">
        <v>0.0</v>
      </c>
      <c r="CI431" s="36">
        <v>0.0</v>
      </c>
      <c r="CJ431" s="35" t="s">
        <v>7045</v>
      </c>
      <c r="CK431" s="30">
        <v>47209.0</v>
      </c>
      <c r="CL431" s="30">
        <v>47299.0</v>
      </c>
      <c r="CM431" s="36">
        <v>0.0</v>
      </c>
      <c r="CN431" s="36">
        <v>0.0</v>
      </c>
      <c r="CO431" s="35" t="s">
        <v>7045</v>
      </c>
      <c r="CP431" s="30">
        <v>47300.0</v>
      </c>
      <c r="CQ431" s="30">
        <v>47391.0</v>
      </c>
      <c r="CR431" s="36">
        <v>0.0</v>
      </c>
      <c r="CS431" s="36">
        <v>0.0</v>
      </c>
      <c r="CT431" s="35" t="s">
        <v>7045</v>
      </c>
      <c r="CU431" s="30">
        <v>47392.0</v>
      </c>
      <c r="CV431" s="30">
        <v>47483.0</v>
      </c>
      <c r="CW431" s="36">
        <v>0.0</v>
      </c>
      <c r="CX431" s="36">
        <v>0.0</v>
      </c>
      <c r="CY431" s="35" t="s">
        <v>7045</v>
      </c>
      <c r="CZ431" s="30">
        <v>47484.0</v>
      </c>
      <c r="DA431" s="30">
        <v>47573.0</v>
      </c>
      <c r="DB431" s="36">
        <v>0.0</v>
      </c>
      <c r="DC431" s="36">
        <v>0.0</v>
      </c>
      <c r="DD431" s="35" t="s">
        <v>7045</v>
      </c>
      <c r="DE431" s="30">
        <v>47574.0</v>
      </c>
      <c r="DF431" s="30">
        <v>47664.0</v>
      </c>
      <c r="DG431" s="36">
        <v>0.0</v>
      </c>
      <c r="DH431" s="36">
        <v>0.0</v>
      </c>
      <c r="DI431" s="35" t="s">
        <v>7045</v>
      </c>
      <c r="DJ431" s="30">
        <v>47665.0</v>
      </c>
      <c r="DK431" s="30">
        <v>47756.0</v>
      </c>
      <c r="DL431" s="36">
        <v>0.0</v>
      </c>
      <c r="DM431" s="36">
        <v>0.0</v>
      </c>
      <c r="DN431" s="35" t="s">
        <v>7045</v>
      </c>
      <c r="DO431" s="30">
        <v>47757.0</v>
      </c>
      <c r="DP431" s="30">
        <v>47848.0</v>
      </c>
      <c r="DQ431" s="36">
        <v>0.0</v>
      </c>
      <c r="DR431" s="36">
        <v>0.0</v>
      </c>
      <c r="DS431" s="35" t="s">
        <v>7045</v>
      </c>
    </row>
    <row r="432" ht="14.25" customHeight="1">
      <c r="A432" s="28" t="s">
        <v>3219</v>
      </c>
      <c r="B432" s="29" t="s">
        <v>3220</v>
      </c>
      <c r="C432" s="29" t="s">
        <v>7041</v>
      </c>
      <c r="D432" s="30">
        <v>45658.0</v>
      </c>
      <c r="E432" s="30">
        <v>45747.0</v>
      </c>
      <c r="F432" s="36">
        <v>0.0</v>
      </c>
      <c r="G432" s="36">
        <v>0.0</v>
      </c>
      <c r="H432" s="35" t="s">
        <v>7045</v>
      </c>
      <c r="I432" s="30">
        <v>45748.0</v>
      </c>
      <c r="J432" s="30">
        <v>45838.0</v>
      </c>
      <c r="K432" s="36">
        <v>34.05</v>
      </c>
      <c r="L432" s="36">
        <v>0.0</v>
      </c>
      <c r="M432" s="38" t="s">
        <v>7047</v>
      </c>
      <c r="N432" s="30">
        <v>45839.0</v>
      </c>
      <c r="O432" s="30">
        <v>45930.0</v>
      </c>
      <c r="P432" s="36">
        <v>128.01</v>
      </c>
      <c r="Q432" s="36">
        <v>0.0</v>
      </c>
      <c r="R432" s="38" t="s">
        <v>7047</v>
      </c>
      <c r="S432" s="30">
        <v>45931.0</v>
      </c>
      <c r="T432" s="30">
        <v>46022.0</v>
      </c>
      <c r="U432" s="36">
        <v>128.01</v>
      </c>
      <c r="V432" s="36">
        <v>0.0</v>
      </c>
      <c r="W432" s="35" t="s">
        <v>7047</v>
      </c>
      <c r="X432" s="30">
        <v>46023.0</v>
      </c>
      <c r="Y432" s="30">
        <v>46112.0</v>
      </c>
      <c r="Z432" s="36">
        <v>0.0</v>
      </c>
      <c r="AA432" s="36">
        <v>0.0</v>
      </c>
      <c r="AB432" s="35" t="s">
        <v>7045</v>
      </c>
      <c r="AC432" s="30">
        <v>46113.0</v>
      </c>
      <c r="AD432" s="30">
        <v>46203.0</v>
      </c>
      <c r="AE432" s="36">
        <v>0.0</v>
      </c>
      <c r="AF432" s="36">
        <v>0.0</v>
      </c>
      <c r="AG432" s="35" t="s">
        <v>7045</v>
      </c>
      <c r="AH432" s="30">
        <v>46204.0</v>
      </c>
      <c r="AI432" s="30">
        <v>46295.0</v>
      </c>
      <c r="AJ432" s="36">
        <v>0.0</v>
      </c>
      <c r="AK432" s="36">
        <v>0.0</v>
      </c>
      <c r="AL432" s="35" t="s">
        <v>7045</v>
      </c>
      <c r="AM432" s="30">
        <v>46296.0</v>
      </c>
      <c r="AN432" s="30">
        <v>46387.0</v>
      </c>
      <c r="AO432" s="36">
        <v>0.0</v>
      </c>
      <c r="AP432" s="36">
        <v>0.0</v>
      </c>
      <c r="AQ432" s="35" t="s">
        <v>7045</v>
      </c>
      <c r="AR432" s="30">
        <v>46388.0</v>
      </c>
      <c r="AS432" s="30">
        <v>46477.0</v>
      </c>
      <c r="AT432" s="36">
        <v>0.0</v>
      </c>
      <c r="AU432" s="36">
        <v>0.0</v>
      </c>
      <c r="AV432" s="35" t="s">
        <v>7045</v>
      </c>
      <c r="AW432" s="30">
        <v>46478.0</v>
      </c>
      <c r="AX432" s="30">
        <v>46568.0</v>
      </c>
      <c r="AY432" s="36">
        <v>0.0</v>
      </c>
      <c r="AZ432" s="36">
        <v>0.0</v>
      </c>
      <c r="BA432" s="35" t="s">
        <v>7045</v>
      </c>
      <c r="BB432" s="30">
        <v>46569.0</v>
      </c>
      <c r="BC432" s="30">
        <v>46660.0</v>
      </c>
      <c r="BD432" s="36">
        <v>0.0</v>
      </c>
      <c r="BE432" s="36">
        <v>0.0</v>
      </c>
      <c r="BF432" s="35" t="s">
        <v>7045</v>
      </c>
      <c r="BG432" s="30">
        <v>46661.0</v>
      </c>
      <c r="BH432" s="30">
        <v>46752.0</v>
      </c>
      <c r="BI432" s="36">
        <v>0.0</v>
      </c>
      <c r="BJ432" s="36">
        <v>0.0</v>
      </c>
      <c r="BK432" s="35" t="s">
        <v>7045</v>
      </c>
      <c r="BL432" s="30">
        <v>46753.0</v>
      </c>
      <c r="BM432" s="30">
        <v>46843.0</v>
      </c>
      <c r="BN432" s="36">
        <v>0.0</v>
      </c>
      <c r="BO432" s="36">
        <v>0.0</v>
      </c>
      <c r="BP432" s="35" t="s">
        <v>7045</v>
      </c>
      <c r="BQ432" s="30">
        <v>46844.0</v>
      </c>
      <c r="BR432" s="30">
        <v>46934.0</v>
      </c>
      <c r="BS432" s="36">
        <v>0.0</v>
      </c>
      <c r="BT432" s="36">
        <v>0.0</v>
      </c>
      <c r="BU432" s="35" t="s">
        <v>7045</v>
      </c>
      <c r="BV432" s="30">
        <v>46935.0</v>
      </c>
      <c r="BW432" s="30">
        <v>47026.0</v>
      </c>
      <c r="BX432" s="36">
        <v>0.0</v>
      </c>
      <c r="BY432" s="36">
        <v>0.0</v>
      </c>
      <c r="BZ432" s="35" t="s">
        <v>7045</v>
      </c>
      <c r="CA432" s="30">
        <v>47027.0</v>
      </c>
      <c r="CB432" s="30">
        <v>47118.0</v>
      </c>
      <c r="CC432" s="36">
        <v>0.0</v>
      </c>
      <c r="CD432" s="36">
        <v>0.0</v>
      </c>
      <c r="CE432" s="35" t="s">
        <v>7045</v>
      </c>
      <c r="CF432" s="30">
        <v>47119.0</v>
      </c>
      <c r="CG432" s="30">
        <v>47208.0</v>
      </c>
      <c r="CH432" s="36">
        <v>0.0</v>
      </c>
      <c r="CI432" s="36">
        <v>0.0</v>
      </c>
      <c r="CJ432" s="35" t="s">
        <v>7045</v>
      </c>
      <c r="CK432" s="30">
        <v>47209.0</v>
      </c>
      <c r="CL432" s="30">
        <v>47299.0</v>
      </c>
      <c r="CM432" s="36">
        <v>0.0</v>
      </c>
      <c r="CN432" s="36">
        <v>0.0</v>
      </c>
      <c r="CO432" s="35" t="s">
        <v>7045</v>
      </c>
      <c r="CP432" s="30">
        <v>47300.0</v>
      </c>
      <c r="CQ432" s="30">
        <v>47391.0</v>
      </c>
      <c r="CR432" s="36">
        <v>0.0</v>
      </c>
      <c r="CS432" s="36">
        <v>0.0</v>
      </c>
      <c r="CT432" s="35" t="s">
        <v>7045</v>
      </c>
      <c r="CU432" s="30">
        <v>47392.0</v>
      </c>
      <c r="CV432" s="30">
        <v>47483.0</v>
      </c>
      <c r="CW432" s="36">
        <v>0.0</v>
      </c>
      <c r="CX432" s="36">
        <v>0.0</v>
      </c>
      <c r="CY432" s="35" t="s">
        <v>7045</v>
      </c>
      <c r="CZ432" s="30">
        <v>47484.0</v>
      </c>
      <c r="DA432" s="30">
        <v>47573.0</v>
      </c>
      <c r="DB432" s="36">
        <v>0.0</v>
      </c>
      <c r="DC432" s="36">
        <v>0.0</v>
      </c>
      <c r="DD432" s="35" t="s">
        <v>7045</v>
      </c>
      <c r="DE432" s="30">
        <v>47574.0</v>
      </c>
      <c r="DF432" s="30">
        <v>47664.0</v>
      </c>
      <c r="DG432" s="36">
        <v>0.0</v>
      </c>
      <c r="DH432" s="36">
        <v>0.0</v>
      </c>
      <c r="DI432" s="35" t="s">
        <v>7045</v>
      </c>
      <c r="DJ432" s="30">
        <v>47665.0</v>
      </c>
      <c r="DK432" s="30">
        <v>47756.0</v>
      </c>
      <c r="DL432" s="36">
        <v>0.0</v>
      </c>
      <c r="DM432" s="36">
        <v>0.0</v>
      </c>
      <c r="DN432" s="35" t="s">
        <v>7045</v>
      </c>
      <c r="DO432" s="30">
        <v>47757.0</v>
      </c>
      <c r="DP432" s="30">
        <v>47848.0</v>
      </c>
      <c r="DQ432" s="36">
        <v>0.0</v>
      </c>
      <c r="DR432" s="36">
        <v>0.0</v>
      </c>
      <c r="DS432" s="35" t="s">
        <v>7045</v>
      </c>
    </row>
    <row r="433" ht="14.25" customHeight="1">
      <c r="A433" s="28" t="s">
        <v>3491</v>
      </c>
      <c r="B433" s="29" t="s">
        <v>3492</v>
      </c>
      <c r="C433" s="29" t="s">
        <v>7041</v>
      </c>
      <c r="D433" s="30">
        <v>45658.0</v>
      </c>
      <c r="E433" s="30">
        <v>45747.0</v>
      </c>
      <c r="F433" s="36">
        <v>0.0</v>
      </c>
      <c r="G433" s="36">
        <v>0.0</v>
      </c>
      <c r="H433" s="35" t="s">
        <v>7045</v>
      </c>
      <c r="I433" s="30">
        <v>45748.0</v>
      </c>
      <c r="J433" s="30">
        <v>45838.0</v>
      </c>
      <c r="K433" s="36">
        <v>0.0</v>
      </c>
      <c r="L433" s="36">
        <v>0.0</v>
      </c>
      <c r="M433" s="35" t="s">
        <v>7045</v>
      </c>
      <c r="N433" s="30">
        <v>45839.0</v>
      </c>
      <c r="O433" s="30">
        <v>45930.0</v>
      </c>
      <c r="P433" s="36">
        <v>0.0</v>
      </c>
      <c r="Q433" s="36">
        <v>0.0</v>
      </c>
      <c r="R433" s="35" t="s">
        <v>7045</v>
      </c>
      <c r="S433" s="30">
        <v>45931.0</v>
      </c>
      <c r="T433" s="30">
        <v>46022.0</v>
      </c>
      <c r="U433" s="36">
        <v>0.0</v>
      </c>
      <c r="V433" s="36">
        <v>0.0</v>
      </c>
      <c r="W433" s="35" t="s">
        <v>7045</v>
      </c>
      <c r="X433" s="30">
        <v>46023.0</v>
      </c>
      <c r="Y433" s="30">
        <v>46112.0</v>
      </c>
      <c r="Z433" s="36">
        <v>0.0</v>
      </c>
      <c r="AA433" s="36">
        <v>0.0</v>
      </c>
      <c r="AB433" s="35" t="s">
        <v>7045</v>
      </c>
      <c r="AC433" s="30">
        <v>46113.0</v>
      </c>
      <c r="AD433" s="30">
        <v>46203.0</v>
      </c>
      <c r="AE433" s="36">
        <v>0.0</v>
      </c>
      <c r="AF433" s="36">
        <v>0.0</v>
      </c>
      <c r="AG433" s="35" t="s">
        <v>7045</v>
      </c>
      <c r="AH433" s="30">
        <v>46204.0</v>
      </c>
      <c r="AI433" s="30">
        <v>46295.0</v>
      </c>
      <c r="AJ433" s="36">
        <v>0.0</v>
      </c>
      <c r="AK433" s="36">
        <v>0.0</v>
      </c>
      <c r="AL433" s="35" t="s">
        <v>7045</v>
      </c>
      <c r="AM433" s="30">
        <v>46296.0</v>
      </c>
      <c r="AN433" s="30">
        <v>46387.0</v>
      </c>
      <c r="AO433" s="36">
        <v>0.0</v>
      </c>
      <c r="AP433" s="36">
        <v>0.0</v>
      </c>
      <c r="AQ433" s="35" t="s">
        <v>7045</v>
      </c>
      <c r="AR433" s="30">
        <v>46388.0</v>
      </c>
      <c r="AS433" s="30">
        <v>46477.0</v>
      </c>
      <c r="AT433" s="36">
        <v>0.0</v>
      </c>
      <c r="AU433" s="36">
        <v>0.0</v>
      </c>
      <c r="AV433" s="35" t="s">
        <v>7045</v>
      </c>
      <c r="AW433" s="30">
        <v>46478.0</v>
      </c>
      <c r="AX433" s="30">
        <v>46568.0</v>
      </c>
      <c r="AY433" s="36">
        <v>0.0</v>
      </c>
      <c r="AZ433" s="36">
        <v>0.0</v>
      </c>
      <c r="BA433" s="35" t="s">
        <v>7045</v>
      </c>
      <c r="BB433" s="30">
        <v>46569.0</v>
      </c>
      <c r="BC433" s="30">
        <v>46660.0</v>
      </c>
      <c r="BD433" s="36">
        <v>0.0</v>
      </c>
      <c r="BE433" s="36">
        <v>0.0</v>
      </c>
      <c r="BF433" s="35" t="s">
        <v>7045</v>
      </c>
      <c r="BG433" s="30">
        <v>46661.0</v>
      </c>
      <c r="BH433" s="30">
        <v>46752.0</v>
      </c>
      <c r="BI433" s="36">
        <v>0.0</v>
      </c>
      <c r="BJ433" s="36">
        <v>0.0</v>
      </c>
      <c r="BK433" s="35" t="s">
        <v>7045</v>
      </c>
      <c r="BL433" s="30">
        <v>46753.0</v>
      </c>
      <c r="BM433" s="30">
        <v>46843.0</v>
      </c>
      <c r="BN433" s="36">
        <v>0.0</v>
      </c>
      <c r="BO433" s="36">
        <v>0.0</v>
      </c>
      <c r="BP433" s="35" t="s">
        <v>7045</v>
      </c>
      <c r="BQ433" s="30">
        <v>46844.0</v>
      </c>
      <c r="BR433" s="30">
        <v>46934.0</v>
      </c>
      <c r="BS433" s="36">
        <v>0.0</v>
      </c>
      <c r="BT433" s="36">
        <v>0.0</v>
      </c>
      <c r="BU433" s="35" t="s">
        <v>7045</v>
      </c>
      <c r="BV433" s="30">
        <v>46935.0</v>
      </c>
      <c r="BW433" s="30">
        <v>47026.0</v>
      </c>
      <c r="BX433" s="36">
        <v>0.0</v>
      </c>
      <c r="BY433" s="36">
        <v>0.0</v>
      </c>
      <c r="BZ433" s="35" t="s">
        <v>7045</v>
      </c>
      <c r="CA433" s="30">
        <v>47027.0</v>
      </c>
      <c r="CB433" s="30">
        <v>47118.0</v>
      </c>
      <c r="CC433" s="36">
        <v>0.0</v>
      </c>
      <c r="CD433" s="36">
        <v>0.0</v>
      </c>
      <c r="CE433" s="35" t="s">
        <v>7045</v>
      </c>
      <c r="CF433" s="30">
        <v>47119.0</v>
      </c>
      <c r="CG433" s="30">
        <v>47208.0</v>
      </c>
      <c r="CH433" s="36">
        <v>0.0</v>
      </c>
      <c r="CI433" s="36">
        <v>0.0</v>
      </c>
      <c r="CJ433" s="35" t="s">
        <v>7045</v>
      </c>
      <c r="CK433" s="30">
        <v>47209.0</v>
      </c>
      <c r="CL433" s="30">
        <v>47299.0</v>
      </c>
      <c r="CM433" s="36">
        <v>0.0</v>
      </c>
      <c r="CN433" s="36">
        <v>0.0</v>
      </c>
      <c r="CO433" s="35" t="s">
        <v>7045</v>
      </c>
      <c r="CP433" s="30">
        <v>47300.0</v>
      </c>
      <c r="CQ433" s="30">
        <v>47391.0</v>
      </c>
      <c r="CR433" s="36">
        <v>0.0</v>
      </c>
      <c r="CS433" s="36">
        <v>0.0</v>
      </c>
      <c r="CT433" s="35" t="s">
        <v>7045</v>
      </c>
      <c r="CU433" s="30">
        <v>47392.0</v>
      </c>
      <c r="CV433" s="30">
        <v>47483.0</v>
      </c>
      <c r="CW433" s="36">
        <v>0.0</v>
      </c>
      <c r="CX433" s="36">
        <v>0.0</v>
      </c>
      <c r="CY433" s="35" t="s">
        <v>7045</v>
      </c>
      <c r="CZ433" s="30">
        <v>47484.0</v>
      </c>
      <c r="DA433" s="30">
        <v>47573.0</v>
      </c>
      <c r="DB433" s="36">
        <v>0.0</v>
      </c>
      <c r="DC433" s="36">
        <v>0.0</v>
      </c>
      <c r="DD433" s="35" t="s">
        <v>7045</v>
      </c>
      <c r="DE433" s="30">
        <v>47574.0</v>
      </c>
      <c r="DF433" s="30">
        <v>47664.0</v>
      </c>
      <c r="DG433" s="36">
        <v>0.0</v>
      </c>
      <c r="DH433" s="36">
        <v>0.0</v>
      </c>
      <c r="DI433" s="35" t="s">
        <v>7045</v>
      </c>
      <c r="DJ433" s="30">
        <v>47665.0</v>
      </c>
      <c r="DK433" s="30">
        <v>47756.0</v>
      </c>
      <c r="DL433" s="36">
        <v>0.0</v>
      </c>
      <c r="DM433" s="36">
        <v>0.0</v>
      </c>
      <c r="DN433" s="35" t="s">
        <v>7045</v>
      </c>
      <c r="DO433" s="30">
        <v>47757.0</v>
      </c>
      <c r="DP433" s="30">
        <v>47848.0</v>
      </c>
      <c r="DQ433" s="36">
        <v>0.0</v>
      </c>
      <c r="DR433" s="36">
        <v>0.0</v>
      </c>
      <c r="DS433" s="35" t="s">
        <v>7045</v>
      </c>
    </row>
    <row r="434" ht="14.25" customHeight="1">
      <c r="A434" s="28" t="s">
        <v>3649</v>
      </c>
      <c r="B434" s="29" t="s">
        <v>3650</v>
      </c>
      <c r="C434" s="29" t="s">
        <v>7041</v>
      </c>
      <c r="D434" s="30">
        <v>45658.0</v>
      </c>
      <c r="E434" s="30">
        <v>45747.0</v>
      </c>
      <c r="F434" s="36">
        <v>0.0</v>
      </c>
      <c r="G434" s="36">
        <v>0.0</v>
      </c>
      <c r="H434" s="35" t="s">
        <v>7045</v>
      </c>
      <c r="I434" s="30">
        <v>45748.0</v>
      </c>
      <c r="J434" s="30">
        <v>45838.0</v>
      </c>
      <c r="K434" s="36">
        <v>0.0</v>
      </c>
      <c r="L434" s="36">
        <v>0.0</v>
      </c>
      <c r="M434" s="35" t="s">
        <v>7045</v>
      </c>
      <c r="N434" s="30">
        <v>45839.0</v>
      </c>
      <c r="O434" s="30">
        <v>45930.0</v>
      </c>
      <c r="P434" s="36">
        <v>2966.81</v>
      </c>
      <c r="Q434" s="36">
        <v>0.0</v>
      </c>
      <c r="R434" s="38" t="s">
        <v>7047</v>
      </c>
      <c r="S434" s="30">
        <v>45931.0</v>
      </c>
      <c r="T434" s="30">
        <v>46022.0</v>
      </c>
      <c r="U434" s="36">
        <v>0.0</v>
      </c>
      <c r="V434" s="36">
        <v>0.0</v>
      </c>
      <c r="W434" s="35" t="s">
        <v>7045</v>
      </c>
      <c r="X434" s="30">
        <v>46023.0</v>
      </c>
      <c r="Y434" s="30">
        <v>46112.0</v>
      </c>
      <c r="Z434" s="36">
        <v>0.0</v>
      </c>
      <c r="AA434" s="36">
        <v>0.0</v>
      </c>
      <c r="AB434" s="35" t="s">
        <v>7045</v>
      </c>
      <c r="AC434" s="30">
        <v>46113.0</v>
      </c>
      <c r="AD434" s="30">
        <v>46203.0</v>
      </c>
      <c r="AE434" s="36">
        <v>0.0</v>
      </c>
      <c r="AF434" s="36">
        <v>0.0</v>
      </c>
      <c r="AG434" s="35" t="s">
        <v>7045</v>
      </c>
      <c r="AH434" s="30">
        <v>46204.0</v>
      </c>
      <c r="AI434" s="30">
        <v>46295.0</v>
      </c>
      <c r="AJ434" s="36">
        <v>0.0</v>
      </c>
      <c r="AK434" s="36">
        <v>0.0</v>
      </c>
      <c r="AL434" s="35" t="s">
        <v>7045</v>
      </c>
      <c r="AM434" s="30">
        <v>46296.0</v>
      </c>
      <c r="AN434" s="30">
        <v>46387.0</v>
      </c>
      <c r="AO434" s="36">
        <v>0.0</v>
      </c>
      <c r="AP434" s="36">
        <v>0.0</v>
      </c>
      <c r="AQ434" s="35" t="s">
        <v>7045</v>
      </c>
      <c r="AR434" s="30">
        <v>46388.0</v>
      </c>
      <c r="AS434" s="30">
        <v>46477.0</v>
      </c>
      <c r="AT434" s="36">
        <v>0.0</v>
      </c>
      <c r="AU434" s="36">
        <v>0.0</v>
      </c>
      <c r="AV434" s="35" t="s">
        <v>7045</v>
      </c>
      <c r="AW434" s="30">
        <v>46478.0</v>
      </c>
      <c r="AX434" s="30">
        <v>46568.0</v>
      </c>
      <c r="AY434" s="36">
        <v>0.0</v>
      </c>
      <c r="AZ434" s="36">
        <v>0.0</v>
      </c>
      <c r="BA434" s="35" t="s">
        <v>7045</v>
      </c>
      <c r="BB434" s="30">
        <v>46569.0</v>
      </c>
      <c r="BC434" s="30">
        <v>46660.0</v>
      </c>
      <c r="BD434" s="36">
        <v>0.0</v>
      </c>
      <c r="BE434" s="36">
        <v>0.0</v>
      </c>
      <c r="BF434" s="35" t="s">
        <v>7045</v>
      </c>
      <c r="BG434" s="30">
        <v>46661.0</v>
      </c>
      <c r="BH434" s="30">
        <v>46752.0</v>
      </c>
      <c r="BI434" s="36">
        <v>0.0</v>
      </c>
      <c r="BJ434" s="36">
        <v>0.0</v>
      </c>
      <c r="BK434" s="35" t="s">
        <v>7045</v>
      </c>
      <c r="BL434" s="30">
        <v>46753.0</v>
      </c>
      <c r="BM434" s="30">
        <v>46843.0</v>
      </c>
      <c r="BN434" s="36">
        <v>0.0</v>
      </c>
      <c r="BO434" s="36">
        <v>0.0</v>
      </c>
      <c r="BP434" s="35" t="s">
        <v>7045</v>
      </c>
      <c r="BQ434" s="30">
        <v>46844.0</v>
      </c>
      <c r="BR434" s="30">
        <v>46934.0</v>
      </c>
      <c r="BS434" s="36">
        <v>0.0</v>
      </c>
      <c r="BT434" s="36">
        <v>0.0</v>
      </c>
      <c r="BU434" s="35" t="s">
        <v>7045</v>
      </c>
      <c r="BV434" s="30">
        <v>46935.0</v>
      </c>
      <c r="BW434" s="30">
        <v>47026.0</v>
      </c>
      <c r="BX434" s="36">
        <v>0.0</v>
      </c>
      <c r="BY434" s="36">
        <v>0.0</v>
      </c>
      <c r="BZ434" s="35" t="s">
        <v>7045</v>
      </c>
      <c r="CA434" s="30">
        <v>47027.0</v>
      </c>
      <c r="CB434" s="30">
        <v>47118.0</v>
      </c>
      <c r="CC434" s="36">
        <v>0.0</v>
      </c>
      <c r="CD434" s="36">
        <v>0.0</v>
      </c>
      <c r="CE434" s="35" t="s">
        <v>7045</v>
      </c>
      <c r="CF434" s="30">
        <v>47119.0</v>
      </c>
      <c r="CG434" s="30">
        <v>47208.0</v>
      </c>
      <c r="CH434" s="36">
        <v>0.0</v>
      </c>
      <c r="CI434" s="36">
        <v>0.0</v>
      </c>
      <c r="CJ434" s="35" t="s">
        <v>7045</v>
      </c>
      <c r="CK434" s="30">
        <v>47209.0</v>
      </c>
      <c r="CL434" s="30">
        <v>47299.0</v>
      </c>
      <c r="CM434" s="36">
        <v>0.0</v>
      </c>
      <c r="CN434" s="36">
        <v>0.0</v>
      </c>
      <c r="CO434" s="35" t="s">
        <v>7045</v>
      </c>
      <c r="CP434" s="30">
        <v>47300.0</v>
      </c>
      <c r="CQ434" s="30">
        <v>47391.0</v>
      </c>
      <c r="CR434" s="36">
        <v>0.0</v>
      </c>
      <c r="CS434" s="36">
        <v>0.0</v>
      </c>
      <c r="CT434" s="35" t="s">
        <v>7045</v>
      </c>
      <c r="CU434" s="30">
        <v>47392.0</v>
      </c>
      <c r="CV434" s="30">
        <v>47483.0</v>
      </c>
      <c r="CW434" s="36">
        <v>0.0</v>
      </c>
      <c r="CX434" s="36">
        <v>0.0</v>
      </c>
      <c r="CY434" s="35" t="s">
        <v>7045</v>
      </c>
      <c r="CZ434" s="30">
        <v>47484.0</v>
      </c>
      <c r="DA434" s="30">
        <v>47573.0</v>
      </c>
      <c r="DB434" s="36">
        <v>0.0</v>
      </c>
      <c r="DC434" s="36">
        <v>0.0</v>
      </c>
      <c r="DD434" s="35" t="s">
        <v>7045</v>
      </c>
      <c r="DE434" s="30">
        <v>47574.0</v>
      </c>
      <c r="DF434" s="30">
        <v>47664.0</v>
      </c>
      <c r="DG434" s="36">
        <v>0.0</v>
      </c>
      <c r="DH434" s="36">
        <v>0.0</v>
      </c>
      <c r="DI434" s="35" t="s">
        <v>7045</v>
      </c>
      <c r="DJ434" s="30">
        <v>47665.0</v>
      </c>
      <c r="DK434" s="30">
        <v>47756.0</v>
      </c>
      <c r="DL434" s="36">
        <v>0.0</v>
      </c>
      <c r="DM434" s="36">
        <v>0.0</v>
      </c>
      <c r="DN434" s="35" t="s">
        <v>7045</v>
      </c>
      <c r="DO434" s="30">
        <v>47757.0</v>
      </c>
      <c r="DP434" s="30">
        <v>47848.0</v>
      </c>
      <c r="DQ434" s="36">
        <v>0.0</v>
      </c>
      <c r="DR434" s="36">
        <v>0.0</v>
      </c>
      <c r="DS434" s="35" t="s">
        <v>7045</v>
      </c>
    </row>
    <row r="435" ht="14.25" customHeight="1">
      <c r="A435" s="28" t="s">
        <v>6672</v>
      </c>
      <c r="B435" s="29" t="s">
        <v>6673</v>
      </c>
      <c r="C435" s="29" t="s">
        <v>7041</v>
      </c>
      <c r="D435" s="30">
        <v>45658.0</v>
      </c>
      <c r="E435" s="30">
        <v>45747.0</v>
      </c>
      <c r="F435" s="36">
        <v>30.0</v>
      </c>
      <c r="G435" s="36">
        <v>0.0</v>
      </c>
      <c r="H435" s="38" t="s">
        <v>7047</v>
      </c>
      <c r="I435" s="30">
        <v>45748.0</v>
      </c>
      <c r="J435" s="30">
        <v>45838.0</v>
      </c>
      <c r="K435" s="36">
        <v>11.13</v>
      </c>
      <c r="L435" s="36">
        <v>0.0</v>
      </c>
      <c r="M435" s="38" t="s">
        <v>7047</v>
      </c>
      <c r="N435" s="30">
        <v>45839.0</v>
      </c>
      <c r="O435" s="30">
        <v>45930.0</v>
      </c>
      <c r="P435" s="36">
        <v>30.0</v>
      </c>
      <c r="Q435" s="36">
        <v>0.0</v>
      </c>
      <c r="R435" s="38" t="s">
        <v>7047</v>
      </c>
      <c r="S435" s="30">
        <v>45931.0</v>
      </c>
      <c r="T435" s="30">
        <v>46022.0</v>
      </c>
      <c r="U435" s="36">
        <v>11.13</v>
      </c>
      <c r="V435" s="36">
        <v>0.0</v>
      </c>
      <c r="W435" s="38" t="s">
        <v>7047</v>
      </c>
      <c r="X435" s="30">
        <v>46023.0</v>
      </c>
      <c r="Y435" s="30">
        <v>46112.0</v>
      </c>
      <c r="Z435" s="36">
        <v>0.0</v>
      </c>
      <c r="AA435" s="36">
        <v>0.0</v>
      </c>
      <c r="AB435" s="35" t="s">
        <v>7045</v>
      </c>
      <c r="AC435" s="30">
        <v>46113.0</v>
      </c>
      <c r="AD435" s="30">
        <v>46203.0</v>
      </c>
      <c r="AE435" s="36">
        <v>0.0</v>
      </c>
      <c r="AF435" s="36">
        <v>0.0</v>
      </c>
      <c r="AG435" s="35" t="s">
        <v>7045</v>
      </c>
      <c r="AH435" s="30">
        <v>46204.0</v>
      </c>
      <c r="AI435" s="30">
        <v>46295.0</v>
      </c>
      <c r="AJ435" s="36">
        <v>0.0</v>
      </c>
      <c r="AK435" s="36">
        <v>0.0</v>
      </c>
      <c r="AL435" s="35" t="s">
        <v>7045</v>
      </c>
      <c r="AM435" s="30">
        <v>46296.0</v>
      </c>
      <c r="AN435" s="30">
        <v>46387.0</v>
      </c>
      <c r="AO435" s="36">
        <v>0.0</v>
      </c>
      <c r="AP435" s="36">
        <v>0.0</v>
      </c>
      <c r="AQ435" s="35" t="s">
        <v>7045</v>
      </c>
      <c r="AR435" s="30">
        <v>46388.0</v>
      </c>
      <c r="AS435" s="30">
        <v>46477.0</v>
      </c>
      <c r="AT435" s="36">
        <v>0.0</v>
      </c>
      <c r="AU435" s="36">
        <v>0.0</v>
      </c>
      <c r="AV435" s="35" t="s">
        <v>7045</v>
      </c>
      <c r="AW435" s="30">
        <v>46478.0</v>
      </c>
      <c r="AX435" s="30">
        <v>46568.0</v>
      </c>
      <c r="AY435" s="36">
        <v>0.0</v>
      </c>
      <c r="AZ435" s="36">
        <v>0.0</v>
      </c>
      <c r="BA435" s="35" t="s">
        <v>7045</v>
      </c>
      <c r="BB435" s="30">
        <v>46569.0</v>
      </c>
      <c r="BC435" s="30">
        <v>46660.0</v>
      </c>
      <c r="BD435" s="36">
        <v>0.0</v>
      </c>
      <c r="BE435" s="36">
        <v>0.0</v>
      </c>
      <c r="BF435" s="35" t="s">
        <v>7045</v>
      </c>
      <c r="BG435" s="30">
        <v>46661.0</v>
      </c>
      <c r="BH435" s="30">
        <v>46752.0</v>
      </c>
      <c r="BI435" s="36">
        <v>0.0</v>
      </c>
      <c r="BJ435" s="36">
        <v>0.0</v>
      </c>
      <c r="BK435" s="35" t="s">
        <v>7045</v>
      </c>
      <c r="BL435" s="30">
        <v>46753.0</v>
      </c>
      <c r="BM435" s="30">
        <v>46843.0</v>
      </c>
      <c r="BN435" s="36">
        <v>0.0</v>
      </c>
      <c r="BO435" s="36">
        <v>0.0</v>
      </c>
      <c r="BP435" s="35" t="s">
        <v>7045</v>
      </c>
      <c r="BQ435" s="30">
        <v>46844.0</v>
      </c>
      <c r="BR435" s="30">
        <v>46934.0</v>
      </c>
      <c r="BS435" s="36">
        <v>0.0</v>
      </c>
      <c r="BT435" s="36">
        <v>0.0</v>
      </c>
      <c r="BU435" s="35" t="s">
        <v>7045</v>
      </c>
      <c r="BV435" s="30">
        <v>46935.0</v>
      </c>
      <c r="BW435" s="30">
        <v>47026.0</v>
      </c>
      <c r="BX435" s="36">
        <v>0.0</v>
      </c>
      <c r="BY435" s="36">
        <v>0.0</v>
      </c>
      <c r="BZ435" s="35" t="s">
        <v>7045</v>
      </c>
      <c r="CA435" s="30">
        <v>47027.0</v>
      </c>
      <c r="CB435" s="30">
        <v>47118.0</v>
      </c>
      <c r="CC435" s="36">
        <v>0.0</v>
      </c>
      <c r="CD435" s="36">
        <v>0.0</v>
      </c>
      <c r="CE435" s="35" t="s">
        <v>7045</v>
      </c>
      <c r="CF435" s="30">
        <v>47119.0</v>
      </c>
      <c r="CG435" s="30">
        <v>47208.0</v>
      </c>
      <c r="CH435" s="36">
        <v>0.0</v>
      </c>
      <c r="CI435" s="36">
        <v>0.0</v>
      </c>
      <c r="CJ435" s="35" t="s">
        <v>7045</v>
      </c>
      <c r="CK435" s="30">
        <v>47209.0</v>
      </c>
      <c r="CL435" s="30">
        <v>47299.0</v>
      </c>
      <c r="CM435" s="36">
        <v>0.0</v>
      </c>
      <c r="CN435" s="36">
        <v>0.0</v>
      </c>
      <c r="CO435" s="35" t="s">
        <v>7045</v>
      </c>
      <c r="CP435" s="30">
        <v>47300.0</v>
      </c>
      <c r="CQ435" s="30">
        <v>47391.0</v>
      </c>
      <c r="CR435" s="36">
        <v>0.0</v>
      </c>
      <c r="CS435" s="36">
        <v>0.0</v>
      </c>
      <c r="CT435" s="35" t="s">
        <v>7045</v>
      </c>
      <c r="CU435" s="30">
        <v>47392.0</v>
      </c>
      <c r="CV435" s="30">
        <v>47483.0</v>
      </c>
      <c r="CW435" s="36">
        <v>0.0</v>
      </c>
      <c r="CX435" s="36">
        <v>0.0</v>
      </c>
      <c r="CY435" s="35" t="s">
        <v>7045</v>
      </c>
      <c r="CZ435" s="30">
        <v>47484.0</v>
      </c>
      <c r="DA435" s="30">
        <v>47573.0</v>
      </c>
      <c r="DB435" s="36">
        <v>0.0</v>
      </c>
      <c r="DC435" s="36">
        <v>0.0</v>
      </c>
      <c r="DD435" s="35" t="s">
        <v>7045</v>
      </c>
      <c r="DE435" s="30">
        <v>47574.0</v>
      </c>
      <c r="DF435" s="30">
        <v>47664.0</v>
      </c>
      <c r="DG435" s="36">
        <v>0.0</v>
      </c>
      <c r="DH435" s="36">
        <v>0.0</v>
      </c>
      <c r="DI435" s="35" t="s">
        <v>7045</v>
      </c>
      <c r="DJ435" s="30">
        <v>47665.0</v>
      </c>
      <c r="DK435" s="30">
        <v>47756.0</v>
      </c>
      <c r="DL435" s="36">
        <v>0.0</v>
      </c>
      <c r="DM435" s="36">
        <v>0.0</v>
      </c>
      <c r="DN435" s="35" t="s">
        <v>7045</v>
      </c>
      <c r="DO435" s="30">
        <v>47757.0</v>
      </c>
      <c r="DP435" s="30">
        <v>47848.0</v>
      </c>
      <c r="DQ435" s="36">
        <v>0.0</v>
      </c>
      <c r="DR435" s="36">
        <v>0.0</v>
      </c>
      <c r="DS435" s="35" t="s">
        <v>7045</v>
      </c>
    </row>
    <row r="436" ht="14.25" customHeight="1">
      <c r="A436" s="28" t="s">
        <v>1117</v>
      </c>
      <c r="B436" s="29" t="s">
        <v>1118</v>
      </c>
      <c r="C436" s="29" t="s">
        <v>7041</v>
      </c>
      <c r="D436" s="30">
        <v>45658.0</v>
      </c>
      <c r="E436" s="30">
        <v>45747.0</v>
      </c>
      <c r="F436" s="36">
        <v>0.0</v>
      </c>
      <c r="G436" s="36">
        <v>0.0</v>
      </c>
      <c r="H436" s="35" t="s">
        <v>7045</v>
      </c>
      <c r="I436" s="30">
        <v>45748.0</v>
      </c>
      <c r="J436" s="30">
        <v>45838.0</v>
      </c>
      <c r="K436" s="36">
        <v>0.0</v>
      </c>
      <c r="L436" s="36">
        <v>99.67</v>
      </c>
      <c r="M436" s="32" t="s">
        <v>7043</v>
      </c>
      <c r="N436" s="30">
        <v>45839.0</v>
      </c>
      <c r="O436" s="30">
        <v>45930.0</v>
      </c>
      <c r="P436" s="36">
        <v>70.61</v>
      </c>
      <c r="Q436" s="36">
        <v>149.65</v>
      </c>
      <c r="R436" s="38" t="s">
        <v>7047</v>
      </c>
      <c r="S436" s="30">
        <v>45931.0</v>
      </c>
      <c r="T436" s="30">
        <v>46022.0</v>
      </c>
      <c r="U436" s="36">
        <v>100.0</v>
      </c>
      <c r="V436" s="36">
        <v>149.65</v>
      </c>
      <c r="W436" s="38" t="s">
        <v>7047</v>
      </c>
      <c r="X436" s="30">
        <v>46023.0</v>
      </c>
      <c r="Y436" s="30">
        <v>46112.0</v>
      </c>
      <c r="Z436" s="36">
        <v>0.0</v>
      </c>
      <c r="AA436" s="36">
        <v>0.0</v>
      </c>
      <c r="AB436" s="35" t="s">
        <v>7045</v>
      </c>
      <c r="AC436" s="30">
        <v>46113.0</v>
      </c>
      <c r="AD436" s="30">
        <v>46203.0</v>
      </c>
      <c r="AE436" s="36">
        <v>100.0</v>
      </c>
      <c r="AF436" s="36">
        <v>0.0</v>
      </c>
      <c r="AG436" s="38" t="s">
        <v>7047</v>
      </c>
      <c r="AH436" s="30">
        <v>46204.0</v>
      </c>
      <c r="AI436" s="30">
        <v>46295.0</v>
      </c>
      <c r="AJ436" s="36">
        <v>0.0</v>
      </c>
      <c r="AK436" s="36">
        <v>0.0</v>
      </c>
      <c r="AL436" s="35" t="s">
        <v>7045</v>
      </c>
      <c r="AM436" s="30">
        <v>46296.0</v>
      </c>
      <c r="AN436" s="30">
        <v>46387.0</v>
      </c>
      <c r="AO436" s="36">
        <v>0.0</v>
      </c>
      <c r="AP436" s="36">
        <v>0.0</v>
      </c>
      <c r="AQ436" s="35" t="s">
        <v>7045</v>
      </c>
      <c r="AR436" s="30">
        <v>46388.0</v>
      </c>
      <c r="AS436" s="30">
        <v>46477.0</v>
      </c>
      <c r="AT436" s="36">
        <v>0.0</v>
      </c>
      <c r="AU436" s="36">
        <v>0.0</v>
      </c>
      <c r="AV436" s="35" t="s">
        <v>7045</v>
      </c>
      <c r="AW436" s="30">
        <v>46478.0</v>
      </c>
      <c r="AX436" s="30">
        <v>46568.0</v>
      </c>
      <c r="AY436" s="36">
        <v>0.0</v>
      </c>
      <c r="AZ436" s="36">
        <v>0.0</v>
      </c>
      <c r="BA436" s="35" t="s">
        <v>7045</v>
      </c>
      <c r="BB436" s="30">
        <v>46569.0</v>
      </c>
      <c r="BC436" s="30">
        <v>46660.0</v>
      </c>
      <c r="BD436" s="36">
        <v>0.0</v>
      </c>
      <c r="BE436" s="36">
        <v>0.0</v>
      </c>
      <c r="BF436" s="35" t="s">
        <v>7045</v>
      </c>
      <c r="BG436" s="30">
        <v>46661.0</v>
      </c>
      <c r="BH436" s="30">
        <v>46752.0</v>
      </c>
      <c r="BI436" s="36">
        <v>0.0</v>
      </c>
      <c r="BJ436" s="36">
        <v>0.0</v>
      </c>
      <c r="BK436" s="35" t="s">
        <v>7045</v>
      </c>
      <c r="BL436" s="30">
        <v>46753.0</v>
      </c>
      <c r="BM436" s="30">
        <v>46843.0</v>
      </c>
      <c r="BN436" s="36">
        <v>0.0</v>
      </c>
      <c r="BO436" s="36">
        <v>0.0</v>
      </c>
      <c r="BP436" s="35" t="s">
        <v>7045</v>
      </c>
      <c r="BQ436" s="30">
        <v>46844.0</v>
      </c>
      <c r="BR436" s="30">
        <v>46934.0</v>
      </c>
      <c r="BS436" s="36">
        <v>0.0</v>
      </c>
      <c r="BT436" s="36">
        <v>0.0</v>
      </c>
      <c r="BU436" s="35" t="s">
        <v>7045</v>
      </c>
      <c r="BV436" s="30">
        <v>46935.0</v>
      </c>
      <c r="BW436" s="30">
        <v>47026.0</v>
      </c>
      <c r="BX436" s="36">
        <v>0.0</v>
      </c>
      <c r="BY436" s="36">
        <v>0.0</v>
      </c>
      <c r="BZ436" s="35" t="s">
        <v>7045</v>
      </c>
      <c r="CA436" s="30">
        <v>47027.0</v>
      </c>
      <c r="CB436" s="30">
        <v>47118.0</v>
      </c>
      <c r="CC436" s="36">
        <v>0.0</v>
      </c>
      <c r="CD436" s="36">
        <v>0.0</v>
      </c>
      <c r="CE436" s="35" t="s">
        <v>7045</v>
      </c>
      <c r="CF436" s="30">
        <v>47119.0</v>
      </c>
      <c r="CG436" s="30">
        <v>47208.0</v>
      </c>
      <c r="CH436" s="36">
        <v>0.0</v>
      </c>
      <c r="CI436" s="36">
        <v>0.0</v>
      </c>
      <c r="CJ436" s="35" t="s">
        <v>7045</v>
      </c>
      <c r="CK436" s="30">
        <v>47209.0</v>
      </c>
      <c r="CL436" s="30">
        <v>47299.0</v>
      </c>
      <c r="CM436" s="36">
        <v>0.0</v>
      </c>
      <c r="CN436" s="36">
        <v>0.0</v>
      </c>
      <c r="CO436" s="35" t="s">
        <v>7045</v>
      </c>
      <c r="CP436" s="30">
        <v>47300.0</v>
      </c>
      <c r="CQ436" s="30">
        <v>47391.0</v>
      </c>
      <c r="CR436" s="36">
        <v>0.0</v>
      </c>
      <c r="CS436" s="36">
        <v>0.0</v>
      </c>
      <c r="CT436" s="35" t="s">
        <v>7045</v>
      </c>
      <c r="CU436" s="30">
        <v>47392.0</v>
      </c>
      <c r="CV436" s="30">
        <v>47483.0</v>
      </c>
      <c r="CW436" s="36">
        <v>0.0</v>
      </c>
      <c r="CX436" s="36">
        <v>0.0</v>
      </c>
      <c r="CY436" s="35" t="s">
        <v>7045</v>
      </c>
      <c r="CZ436" s="30">
        <v>47484.0</v>
      </c>
      <c r="DA436" s="30">
        <v>47573.0</v>
      </c>
      <c r="DB436" s="36">
        <v>0.0</v>
      </c>
      <c r="DC436" s="36">
        <v>0.0</v>
      </c>
      <c r="DD436" s="35" t="s">
        <v>7045</v>
      </c>
      <c r="DE436" s="30">
        <v>47574.0</v>
      </c>
      <c r="DF436" s="30">
        <v>47664.0</v>
      </c>
      <c r="DG436" s="36">
        <v>0.0</v>
      </c>
      <c r="DH436" s="36">
        <v>0.0</v>
      </c>
      <c r="DI436" s="35" t="s">
        <v>7045</v>
      </c>
      <c r="DJ436" s="30">
        <v>47665.0</v>
      </c>
      <c r="DK436" s="30">
        <v>47756.0</v>
      </c>
      <c r="DL436" s="36">
        <v>0.0</v>
      </c>
      <c r="DM436" s="36">
        <v>0.0</v>
      </c>
      <c r="DN436" s="35" t="s">
        <v>7045</v>
      </c>
      <c r="DO436" s="30">
        <v>47757.0</v>
      </c>
      <c r="DP436" s="30">
        <v>47848.0</v>
      </c>
      <c r="DQ436" s="36">
        <v>0.0</v>
      </c>
      <c r="DR436" s="36">
        <v>0.0</v>
      </c>
      <c r="DS436" s="35" t="s">
        <v>7045</v>
      </c>
    </row>
    <row r="437" ht="14.25" customHeight="1">
      <c r="A437" s="28" t="s">
        <v>4031</v>
      </c>
      <c r="B437" s="29" t="s">
        <v>4032</v>
      </c>
      <c r="C437" s="29" t="s">
        <v>7041</v>
      </c>
      <c r="D437" s="30">
        <v>45658.0</v>
      </c>
      <c r="E437" s="30">
        <v>45747.0</v>
      </c>
      <c r="F437" s="36">
        <v>9.98</v>
      </c>
      <c r="G437" s="36">
        <v>0.0</v>
      </c>
      <c r="H437" s="38" t="s">
        <v>7047</v>
      </c>
      <c r="I437" s="30">
        <v>45748.0</v>
      </c>
      <c r="J437" s="30">
        <v>45838.0</v>
      </c>
      <c r="K437" s="36">
        <v>9.98</v>
      </c>
      <c r="L437" s="36">
        <v>74.42</v>
      </c>
      <c r="M437" s="38" t="s">
        <v>7043</v>
      </c>
      <c r="N437" s="30">
        <v>45839.0</v>
      </c>
      <c r="O437" s="30">
        <v>45930.0</v>
      </c>
      <c r="P437" s="36">
        <v>13.88</v>
      </c>
      <c r="Q437" s="36">
        <v>109.11</v>
      </c>
      <c r="R437" s="38" t="s">
        <v>7046</v>
      </c>
      <c r="S437" s="30">
        <v>45931.0</v>
      </c>
      <c r="T437" s="30">
        <v>46022.0</v>
      </c>
      <c r="U437" s="36">
        <v>65.0</v>
      </c>
      <c r="V437" s="36">
        <v>109.11</v>
      </c>
      <c r="W437" s="32" t="s">
        <v>7047</v>
      </c>
      <c r="X437" s="30">
        <v>46023.0</v>
      </c>
      <c r="Y437" s="30">
        <v>46112.0</v>
      </c>
      <c r="Z437" s="36">
        <v>0.0</v>
      </c>
      <c r="AA437" s="36">
        <v>0.0</v>
      </c>
      <c r="AB437" s="35" t="s">
        <v>7045</v>
      </c>
      <c r="AC437" s="30">
        <v>46113.0</v>
      </c>
      <c r="AD437" s="30">
        <v>46203.0</v>
      </c>
      <c r="AE437" s="36">
        <v>0.0</v>
      </c>
      <c r="AF437" s="36">
        <v>0.0</v>
      </c>
      <c r="AG437" s="35" t="s">
        <v>7045</v>
      </c>
      <c r="AH437" s="30">
        <v>46204.0</v>
      </c>
      <c r="AI437" s="30">
        <v>46295.0</v>
      </c>
      <c r="AJ437" s="36">
        <v>0.0</v>
      </c>
      <c r="AK437" s="36">
        <v>0.0</v>
      </c>
      <c r="AL437" s="35" t="s">
        <v>7045</v>
      </c>
      <c r="AM437" s="30">
        <v>46296.0</v>
      </c>
      <c r="AN437" s="30">
        <v>46387.0</v>
      </c>
      <c r="AO437" s="36">
        <v>0.0</v>
      </c>
      <c r="AP437" s="36">
        <v>0.0</v>
      </c>
      <c r="AQ437" s="35" t="s">
        <v>7045</v>
      </c>
      <c r="AR437" s="30">
        <v>46388.0</v>
      </c>
      <c r="AS437" s="30">
        <v>46477.0</v>
      </c>
      <c r="AT437" s="36">
        <v>0.0</v>
      </c>
      <c r="AU437" s="36">
        <v>0.0</v>
      </c>
      <c r="AV437" s="35" t="s">
        <v>7045</v>
      </c>
      <c r="AW437" s="30">
        <v>46478.0</v>
      </c>
      <c r="AX437" s="30">
        <v>46568.0</v>
      </c>
      <c r="AY437" s="36">
        <v>0.0</v>
      </c>
      <c r="AZ437" s="36">
        <v>0.0</v>
      </c>
      <c r="BA437" s="35" t="s">
        <v>7045</v>
      </c>
      <c r="BB437" s="30">
        <v>46569.0</v>
      </c>
      <c r="BC437" s="30">
        <v>46660.0</v>
      </c>
      <c r="BD437" s="36">
        <v>0.0</v>
      </c>
      <c r="BE437" s="36">
        <v>0.0</v>
      </c>
      <c r="BF437" s="35" t="s">
        <v>7045</v>
      </c>
      <c r="BG437" s="30">
        <v>46661.0</v>
      </c>
      <c r="BH437" s="30">
        <v>46752.0</v>
      </c>
      <c r="BI437" s="36">
        <v>0.0</v>
      </c>
      <c r="BJ437" s="36">
        <v>0.0</v>
      </c>
      <c r="BK437" s="35" t="s">
        <v>7045</v>
      </c>
      <c r="BL437" s="30">
        <v>46753.0</v>
      </c>
      <c r="BM437" s="30">
        <v>46843.0</v>
      </c>
      <c r="BN437" s="36">
        <v>0.0</v>
      </c>
      <c r="BO437" s="36">
        <v>0.0</v>
      </c>
      <c r="BP437" s="35" t="s">
        <v>7045</v>
      </c>
      <c r="BQ437" s="30">
        <v>46844.0</v>
      </c>
      <c r="BR437" s="30">
        <v>46934.0</v>
      </c>
      <c r="BS437" s="36">
        <v>0.0</v>
      </c>
      <c r="BT437" s="36">
        <v>0.0</v>
      </c>
      <c r="BU437" s="35" t="s">
        <v>7045</v>
      </c>
      <c r="BV437" s="30">
        <v>46935.0</v>
      </c>
      <c r="BW437" s="30">
        <v>47026.0</v>
      </c>
      <c r="BX437" s="36">
        <v>0.0</v>
      </c>
      <c r="BY437" s="36">
        <v>0.0</v>
      </c>
      <c r="BZ437" s="35" t="s">
        <v>7045</v>
      </c>
      <c r="CA437" s="30">
        <v>47027.0</v>
      </c>
      <c r="CB437" s="30">
        <v>47118.0</v>
      </c>
      <c r="CC437" s="36">
        <v>0.0</v>
      </c>
      <c r="CD437" s="36">
        <v>0.0</v>
      </c>
      <c r="CE437" s="35" t="s">
        <v>7045</v>
      </c>
      <c r="CF437" s="30">
        <v>47119.0</v>
      </c>
      <c r="CG437" s="30">
        <v>47208.0</v>
      </c>
      <c r="CH437" s="36">
        <v>0.0</v>
      </c>
      <c r="CI437" s="36">
        <v>0.0</v>
      </c>
      <c r="CJ437" s="35" t="s">
        <v>7045</v>
      </c>
      <c r="CK437" s="30">
        <v>47209.0</v>
      </c>
      <c r="CL437" s="30">
        <v>47299.0</v>
      </c>
      <c r="CM437" s="36">
        <v>0.0</v>
      </c>
      <c r="CN437" s="36">
        <v>0.0</v>
      </c>
      <c r="CO437" s="35" t="s">
        <v>7045</v>
      </c>
      <c r="CP437" s="30">
        <v>47300.0</v>
      </c>
      <c r="CQ437" s="30">
        <v>47391.0</v>
      </c>
      <c r="CR437" s="36">
        <v>0.0</v>
      </c>
      <c r="CS437" s="36">
        <v>0.0</v>
      </c>
      <c r="CT437" s="35" t="s">
        <v>7045</v>
      </c>
      <c r="CU437" s="30">
        <v>47392.0</v>
      </c>
      <c r="CV437" s="30">
        <v>47483.0</v>
      </c>
      <c r="CW437" s="36">
        <v>0.0</v>
      </c>
      <c r="CX437" s="36">
        <v>0.0</v>
      </c>
      <c r="CY437" s="35" t="s">
        <v>7045</v>
      </c>
      <c r="CZ437" s="30">
        <v>47484.0</v>
      </c>
      <c r="DA437" s="30">
        <v>47573.0</v>
      </c>
      <c r="DB437" s="36">
        <v>0.0</v>
      </c>
      <c r="DC437" s="36">
        <v>0.0</v>
      </c>
      <c r="DD437" s="35" t="s">
        <v>7045</v>
      </c>
      <c r="DE437" s="30">
        <v>47574.0</v>
      </c>
      <c r="DF437" s="30">
        <v>47664.0</v>
      </c>
      <c r="DG437" s="36">
        <v>0.0</v>
      </c>
      <c r="DH437" s="36">
        <v>0.0</v>
      </c>
      <c r="DI437" s="35" t="s">
        <v>7045</v>
      </c>
      <c r="DJ437" s="30">
        <v>47665.0</v>
      </c>
      <c r="DK437" s="30">
        <v>47756.0</v>
      </c>
      <c r="DL437" s="36">
        <v>0.0</v>
      </c>
      <c r="DM437" s="36">
        <v>0.0</v>
      </c>
      <c r="DN437" s="35" t="s">
        <v>7045</v>
      </c>
      <c r="DO437" s="30">
        <v>47757.0</v>
      </c>
      <c r="DP437" s="30">
        <v>47848.0</v>
      </c>
      <c r="DQ437" s="36">
        <v>0.0</v>
      </c>
      <c r="DR437" s="36">
        <v>0.0</v>
      </c>
      <c r="DS437" s="35" t="s">
        <v>7045</v>
      </c>
    </row>
    <row r="438" ht="14.25" customHeight="1">
      <c r="A438" s="28" t="s">
        <v>5887</v>
      </c>
      <c r="B438" s="29" t="s">
        <v>5888</v>
      </c>
      <c r="C438" s="29" t="s">
        <v>7041</v>
      </c>
      <c r="D438" s="30">
        <v>45658.0</v>
      </c>
      <c r="E438" s="30">
        <v>45747.0</v>
      </c>
      <c r="F438" s="36">
        <v>2.73</v>
      </c>
      <c r="G438" s="36">
        <v>0.0</v>
      </c>
      <c r="H438" s="38" t="s">
        <v>7047</v>
      </c>
      <c r="I438" s="30">
        <v>45748.0</v>
      </c>
      <c r="J438" s="30">
        <v>45838.0</v>
      </c>
      <c r="K438" s="36">
        <v>19.16</v>
      </c>
      <c r="L438" s="36">
        <v>0.0</v>
      </c>
      <c r="M438" s="38" t="s">
        <v>7047</v>
      </c>
      <c r="N438" s="30">
        <v>45839.0</v>
      </c>
      <c r="O438" s="30">
        <v>45930.0</v>
      </c>
      <c r="P438" s="36">
        <v>6.82</v>
      </c>
      <c r="Q438" s="36">
        <v>0.0</v>
      </c>
      <c r="R438" s="38" t="s">
        <v>7047</v>
      </c>
      <c r="S438" s="30">
        <v>45931.0</v>
      </c>
      <c r="T438" s="30">
        <v>46022.0</v>
      </c>
      <c r="U438" s="36">
        <v>181.84</v>
      </c>
      <c r="V438" s="36">
        <v>0.0</v>
      </c>
      <c r="W438" s="38" t="s">
        <v>7047</v>
      </c>
      <c r="X438" s="30">
        <v>46023.0</v>
      </c>
      <c r="Y438" s="30">
        <v>46112.0</v>
      </c>
      <c r="Z438" s="36">
        <v>20.0</v>
      </c>
      <c r="AA438" s="36">
        <v>0.0</v>
      </c>
      <c r="AB438" s="38" t="s">
        <v>7047</v>
      </c>
      <c r="AC438" s="30">
        <v>46113.0</v>
      </c>
      <c r="AD438" s="30">
        <v>46203.0</v>
      </c>
      <c r="AE438" s="36">
        <v>0.0</v>
      </c>
      <c r="AF438" s="36">
        <v>0.0</v>
      </c>
      <c r="AG438" s="35" t="s">
        <v>7045</v>
      </c>
      <c r="AH438" s="30">
        <v>46204.0</v>
      </c>
      <c r="AI438" s="30">
        <v>46295.0</v>
      </c>
      <c r="AJ438" s="36">
        <v>0.0</v>
      </c>
      <c r="AK438" s="36">
        <v>0.0</v>
      </c>
      <c r="AL438" s="35" t="s">
        <v>7045</v>
      </c>
      <c r="AM438" s="30">
        <v>46296.0</v>
      </c>
      <c r="AN438" s="30">
        <v>46387.0</v>
      </c>
      <c r="AO438" s="36">
        <v>0.0</v>
      </c>
      <c r="AP438" s="36">
        <v>0.0</v>
      </c>
      <c r="AQ438" s="35" t="s">
        <v>7045</v>
      </c>
      <c r="AR438" s="30">
        <v>46388.0</v>
      </c>
      <c r="AS438" s="30">
        <v>46477.0</v>
      </c>
      <c r="AT438" s="36">
        <v>0.0</v>
      </c>
      <c r="AU438" s="36">
        <v>0.0</v>
      </c>
      <c r="AV438" s="35" t="s">
        <v>7045</v>
      </c>
      <c r="AW438" s="30">
        <v>46478.0</v>
      </c>
      <c r="AX438" s="30">
        <v>46568.0</v>
      </c>
      <c r="AY438" s="36">
        <v>0.0</v>
      </c>
      <c r="AZ438" s="36">
        <v>0.0</v>
      </c>
      <c r="BA438" s="35" t="s">
        <v>7045</v>
      </c>
      <c r="BB438" s="30">
        <v>46569.0</v>
      </c>
      <c r="BC438" s="30">
        <v>46660.0</v>
      </c>
      <c r="BD438" s="36">
        <v>0.0</v>
      </c>
      <c r="BE438" s="36">
        <v>0.0</v>
      </c>
      <c r="BF438" s="35" t="s">
        <v>7045</v>
      </c>
      <c r="BG438" s="30">
        <v>46661.0</v>
      </c>
      <c r="BH438" s="30">
        <v>46752.0</v>
      </c>
      <c r="BI438" s="36">
        <v>0.0</v>
      </c>
      <c r="BJ438" s="36">
        <v>0.0</v>
      </c>
      <c r="BK438" s="35" t="s">
        <v>7045</v>
      </c>
      <c r="BL438" s="30">
        <v>46753.0</v>
      </c>
      <c r="BM438" s="30">
        <v>46843.0</v>
      </c>
      <c r="BN438" s="36">
        <v>0.0</v>
      </c>
      <c r="BO438" s="36">
        <v>0.0</v>
      </c>
      <c r="BP438" s="35" t="s">
        <v>7045</v>
      </c>
      <c r="BQ438" s="30">
        <v>46844.0</v>
      </c>
      <c r="BR438" s="30">
        <v>46934.0</v>
      </c>
      <c r="BS438" s="36">
        <v>0.0</v>
      </c>
      <c r="BT438" s="36">
        <v>0.0</v>
      </c>
      <c r="BU438" s="35" t="s">
        <v>7045</v>
      </c>
      <c r="BV438" s="30">
        <v>46935.0</v>
      </c>
      <c r="BW438" s="30">
        <v>47026.0</v>
      </c>
      <c r="BX438" s="36">
        <v>0.0</v>
      </c>
      <c r="BY438" s="36">
        <v>0.0</v>
      </c>
      <c r="BZ438" s="35" t="s">
        <v>7045</v>
      </c>
      <c r="CA438" s="30">
        <v>47027.0</v>
      </c>
      <c r="CB438" s="30">
        <v>47118.0</v>
      </c>
      <c r="CC438" s="36">
        <v>0.0</v>
      </c>
      <c r="CD438" s="36">
        <v>0.0</v>
      </c>
      <c r="CE438" s="35" t="s">
        <v>7045</v>
      </c>
      <c r="CF438" s="30">
        <v>47119.0</v>
      </c>
      <c r="CG438" s="30">
        <v>47208.0</v>
      </c>
      <c r="CH438" s="36">
        <v>0.0</v>
      </c>
      <c r="CI438" s="36">
        <v>0.0</v>
      </c>
      <c r="CJ438" s="35" t="s">
        <v>7045</v>
      </c>
      <c r="CK438" s="30">
        <v>47209.0</v>
      </c>
      <c r="CL438" s="30">
        <v>47299.0</v>
      </c>
      <c r="CM438" s="36">
        <v>0.0</v>
      </c>
      <c r="CN438" s="36">
        <v>0.0</v>
      </c>
      <c r="CO438" s="35" t="s">
        <v>7045</v>
      </c>
      <c r="CP438" s="30">
        <v>47300.0</v>
      </c>
      <c r="CQ438" s="30">
        <v>47391.0</v>
      </c>
      <c r="CR438" s="36">
        <v>0.0</v>
      </c>
      <c r="CS438" s="36">
        <v>0.0</v>
      </c>
      <c r="CT438" s="35" t="s">
        <v>7045</v>
      </c>
      <c r="CU438" s="30">
        <v>47392.0</v>
      </c>
      <c r="CV438" s="30">
        <v>47483.0</v>
      </c>
      <c r="CW438" s="36">
        <v>0.0</v>
      </c>
      <c r="CX438" s="36">
        <v>0.0</v>
      </c>
      <c r="CY438" s="35" t="s">
        <v>7045</v>
      </c>
      <c r="CZ438" s="30">
        <v>47484.0</v>
      </c>
      <c r="DA438" s="30">
        <v>47573.0</v>
      </c>
      <c r="DB438" s="36">
        <v>0.0</v>
      </c>
      <c r="DC438" s="36">
        <v>0.0</v>
      </c>
      <c r="DD438" s="35" t="s">
        <v>7045</v>
      </c>
      <c r="DE438" s="30">
        <v>47574.0</v>
      </c>
      <c r="DF438" s="30">
        <v>47664.0</v>
      </c>
      <c r="DG438" s="36">
        <v>0.0</v>
      </c>
      <c r="DH438" s="36">
        <v>0.0</v>
      </c>
      <c r="DI438" s="35" t="s">
        <v>7045</v>
      </c>
      <c r="DJ438" s="30">
        <v>47665.0</v>
      </c>
      <c r="DK438" s="30">
        <v>47756.0</v>
      </c>
      <c r="DL438" s="36">
        <v>0.0</v>
      </c>
      <c r="DM438" s="36">
        <v>0.0</v>
      </c>
      <c r="DN438" s="35" t="s">
        <v>7045</v>
      </c>
      <c r="DO438" s="30">
        <v>47757.0</v>
      </c>
      <c r="DP438" s="30">
        <v>47848.0</v>
      </c>
      <c r="DQ438" s="36">
        <v>0.0</v>
      </c>
      <c r="DR438" s="36">
        <v>0.0</v>
      </c>
      <c r="DS438" s="35" t="s">
        <v>7045</v>
      </c>
    </row>
    <row r="439" ht="14.25" customHeight="1">
      <c r="A439" s="28" t="s">
        <v>6349</v>
      </c>
      <c r="B439" s="29" t="s">
        <v>6350</v>
      </c>
      <c r="C439" s="29" t="s">
        <v>7041</v>
      </c>
      <c r="D439" s="30">
        <v>45658.0</v>
      </c>
      <c r="E439" s="30">
        <v>45747.0</v>
      </c>
      <c r="F439" s="36">
        <v>9.14</v>
      </c>
      <c r="G439" s="36">
        <v>0.0</v>
      </c>
      <c r="H439" s="38" t="s">
        <v>7047</v>
      </c>
      <c r="I439" s="30">
        <v>45748.0</v>
      </c>
      <c r="J439" s="30">
        <v>45838.0</v>
      </c>
      <c r="K439" s="36">
        <v>1.54</v>
      </c>
      <c r="L439" s="36">
        <v>0.0</v>
      </c>
      <c r="M439" s="38" t="s">
        <v>7047</v>
      </c>
      <c r="N439" s="30">
        <v>45839.0</v>
      </c>
      <c r="O439" s="30">
        <v>45930.0</v>
      </c>
      <c r="P439" s="36">
        <v>761.04</v>
      </c>
      <c r="Q439" s="36">
        <v>0.0</v>
      </c>
      <c r="R439" s="38" t="s">
        <v>7047</v>
      </c>
      <c r="S439" s="30">
        <v>45931.0</v>
      </c>
      <c r="T439" s="30">
        <v>46022.0</v>
      </c>
      <c r="U439" s="36">
        <v>97.25</v>
      </c>
      <c r="V439" s="36">
        <v>0.0</v>
      </c>
      <c r="W439" s="38" t="s">
        <v>7047</v>
      </c>
      <c r="X439" s="30">
        <v>46023.0</v>
      </c>
      <c r="Y439" s="30">
        <v>46112.0</v>
      </c>
      <c r="Z439" s="36">
        <v>0.0</v>
      </c>
      <c r="AA439" s="36">
        <v>0.0</v>
      </c>
      <c r="AB439" s="35" t="s">
        <v>7045</v>
      </c>
      <c r="AC439" s="30">
        <v>46113.0</v>
      </c>
      <c r="AD439" s="30">
        <v>46203.0</v>
      </c>
      <c r="AE439" s="36">
        <v>0.0</v>
      </c>
      <c r="AF439" s="36">
        <v>0.0</v>
      </c>
      <c r="AG439" s="35" t="s">
        <v>7045</v>
      </c>
      <c r="AH439" s="30">
        <v>46204.0</v>
      </c>
      <c r="AI439" s="30">
        <v>46295.0</v>
      </c>
      <c r="AJ439" s="36">
        <v>0.0</v>
      </c>
      <c r="AK439" s="36">
        <v>0.0</v>
      </c>
      <c r="AL439" s="35" t="s">
        <v>7045</v>
      </c>
      <c r="AM439" s="30">
        <v>46296.0</v>
      </c>
      <c r="AN439" s="30">
        <v>46387.0</v>
      </c>
      <c r="AO439" s="36">
        <v>0.0</v>
      </c>
      <c r="AP439" s="36">
        <v>0.0</v>
      </c>
      <c r="AQ439" s="35" t="s">
        <v>7045</v>
      </c>
      <c r="AR439" s="30">
        <v>46388.0</v>
      </c>
      <c r="AS439" s="30">
        <v>46477.0</v>
      </c>
      <c r="AT439" s="36">
        <v>0.0</v>
      </c>
      <c r="AU439" s="36">
        <v>0.0</v>
      </c>
      <c r="AV439" s="35" t="s">
        <v>7045</v>
      </c>
      <c r="AW439" s="30">
        <v>46478.0</v>
      </c>
      <c r="AX439" s="30">
        <v>46568.0</v>
      </c>
      <c r="AY439" s="36">
        <v>0.0</v>
      </c>
      <c r="AZ439" s="36">
        <v>0.0</v>
      </c>
      <c r="BA439" s="35" t="s">
        <v>7045</v>
      </c>
      <c r="BB439" s="30">
        <v>46569.0</v>
      </c>
      <c r="BC439" s="30">
        <v>46660.0</v>
      </c>
      <c r="BD439" s="36">
        <v>0.0</v>
      </c>
      <c r="BE439" s="36">
        <v>0.0</v>
      </c>
      <c r="BF439" s="35" t="s">
        <v>7045</v>
      </c>
      <c r="BG439" s="30">
        <v>46661.0</v>
      </c>
      <c r="BH439" s="30">
        <v>46752.0</v>
      </c>
      <c r="BI439" s="36">
        <v>0.0</v>
      </c>
      <c r="BJ439" s="36">
        <v>0.0</v>
      </c>
      <c r="BK439" s="35" t="s">
        <v>7045</v>
      </c>
      <c r="BL439" s="30">
        <v>46753.0</v>
      </c>
      <c r="BM439" s="30">
        <v>46843.0</v>
      </c>
      <c r="BN439" s="36">
        <v>0.0</v>
      </c>
      <c r="BO439" s="36">
        <v>0.0</v>
      </c>
      <c r="BP439" s="35" t="s">
        <v>7045</v>
      </c>
      <c r="BQ439" s="30">
        <v>46844.0</v>
      </c>
      <c r="BR439" s="30">
        <v>46934.0</v>
      </c>
      <c r="BS439" s="36">
        <v>0.0</v>
      </c>
      <c r="BT439" s="36">
        <v>0.0</v>
      </c>
      <c r="BU439" s="35" t="s">
        <v>7045</v>
      </c>
      <c r="BV439" s="30">
        <v>46935.0</v>
      </c>
      <c r="BW439" s="30">
        <v>47026.0</v>
      </c>
      <c r="BX439" s="36">
        <v>0.0</v>
      </c>
      <c r="BY439" s="36">
        <v>0.0</v>
      </c>
      <c r="BZ439" s="35" t="s">
        <v>7045</v>
      </c>
      <c r="CA439" s="30">
        <v>47027.0</v>
      </c>
      <c r="CB439" s="30">
        <v>47118.0</v>
      </c>
      <c r="CC439" s="36">
        <v>0.0</v>
      </c>
      <c r="CD439" s="36">
        <v>0.0</v>
      </c>
      <c r="CE439" s="35" t="s">
        <v>7045</v>
      </c>
      <c r="CF439" s="30">
        <v>47119.0</v>
      </c>
      <c r="CG439" s="30">
        <v>47208.0</v>
      </c>
      <c r="CH439" s="36">
        <v>0.0</v>
      </c>
      <c r="CI439" s="36">
        <v>0.0</v>
      </c>
      <c r="CJ439" s="35" t="s">
        <v>7045</v>
      </c>
      <c r="CK439" s="30">
        <v>47209.0</v>
      </c>
      <c r="CL439" s="30">
        <v>47299.0</v>
      </c>
      <c r="CM439" s="36">
        <v>0.0</v>
      </c>
      <c r="CN439" s="36">
        <v>0.0</v>
      </c>
      <c r="CO439" s="35" t="s">
        <v>7045</v>
      </c>
      <c r="CP439" s="30">
        <v>47300.0</v>
      </c>
      <c r="CQ439" s="30">
        <v>47391.0</v>
      </c>
      <c r="CR439" s="36">
        <v>0.0</v>
      </c>
      <c r="CS439" s="36">
        <v>0.0</v>
      </c>
      <c r="CT439" s="35" t="s">
        <v>7045</v>
      </c>
      <c r="CU439" s="30">
        <v>47392.0</v>
      </c>
      <c r="CV439" s="30">
        <v>47483.0</v>
      </c>
      <c r="CW439" s="36">
        <v>0.0</v>
      </c>
      <c r="CX439" s="36">
        <v>0.0</v>
      </c>
      <c r="CY439" s="35" t="s">
        <v>7045</v>
      </c>
      <c r="CZ439" s="30">
        <v>47484.0</v>
      </c>
      <c r="DA439" s="30">
        <v>47573.0</v>
      </c>
      <c r="DB439" s="36">
        <v>0.0</v>
      </c>
      <c r="DC439" s="36">
        <v>0.0</v>
      </c>
      <c r="DD439" s="35" t="s">
        <v>7045</v>
      </c>
      <c r="DE439" s="30">
        <v>47574.0</v>
      </c>
      <c r="DF439" s="30">
        <v>47664.0</v>
      </c>
      <c r="DG439" s="36">
        <v>0.0</v>
      </c>
      <c r="DH439" s="36">
        <v>0.0</v>
      </c>
      <c r="DI439" s="35" t="s">
        <v>7045</v>
      </c>
      <c r="DJ439" s="30">
        <v>47665.0</v>
      </c>
      <c r="DK439" s="30">
        <v>47756.0</v>
      </c>
      <c r="DL439" s="36">
        <v>0.0</v>
      </c>
      <c r="DM439" s="36">
        <v>0.0</v>
      </c>
      <c r="DN439" s="35" t="s">
        <v>7045</v>
      </c>
      <c r="DO439" s="30">
        <v>47757.0</v>
      </c>
      <c r="DP439" s="30">
        <v>47848.0</v>
      </c>
      <c r="DQ439" s="36">
        <v>0.0</v>
      </c>
      <c r="DR439" s="36">
        <v>0.0</v>
      </c>
      <c r="DS439" s="35" t="s">
        <v>7045</v>
      </c>
    </row>
    <row r="440" ht="14.25" customHeight="1">
      <c r="A440" s="28" t="s">
        <v>6644</v>
      </c>
      <c r="B440" s="29" t="s">
        <v>6645</v>
      </c>
      <c r="C440" s="29" t="s">
        <v>7041</v>
      </c>
      <c r="D440" s="30">
        <v>45658.0</v>
      </c>
      <c r="E440" s="30">
        <v>45747.0</v>
      </c>
      <c r="F440" s="36">
        <v>0.0</v>
      </c>
      <c r="G440" s="36">
        <v>0.0</v>
      </c>
      <c r="H440" s="35" t="s">
        <v>7045</v>
      </c>
      <c r="I440" s="30">
        <v>45748.0</v>
      </c>
      <c r="J440" s="30">
        <v>45838.0</v>
      </c>
      <c r="K440" s="36">
        <v>0.0</v>
      </c>
      <c r="L440" s="36">
        <v>0.0</v>
      </c>
      <c r="M440" s="35" t="s">
        <v>7045</v>
      </c>
      <c r="N440" s="30">
        <v>45839.0</v>
      </c>
      <c r="O440" s="30">
        <v>45930.0</v>
      </c>
      <c r="P440" s="36">
        <v>0.0</v>
      </c>
      <c r="Q440" s="36">
        <v>0.0</v>
      </c>
      <c r="R440" s="35" t="s">
        <v>7045</v>
      </c>
      <c r="S440" s="30">
        <v>45931.0</v>
      </c>
      <c r="T440" s="30">
        <v>46022.0</v>
      </c>
      <c r="U440" s="36">
        <v>2119.98</v>
      </c>
      <c r="V440" s="36">
        <v>0.0</v>
      </c>
      <c r="W440" s="38" t="s">
        <v>7047</v>
      </c>
      <c r="X440" s="30">
        <v>46023.0</v>
      </c>
      <c r="Y440" s="30">
        <v>46112.0</v>
      </c>
      <c r="Z440" s="36">
        <v>0.0</v>
      </c>
      <c r="AA440" s="36">
        <v>0.0</v>
      </c>
      <c r="AB440" s="35" t="s">
        <v>7045</v>
      </c>
      <c r="AC440" s="30">
        <v>46113.0</v>
      </c>
      <c r="AD440" s="30">
        <v>46203.0</v>
      </c>
      <c r="AE440" s="36">
        <v>0.0</v>
      </c>
      <c r="AF440" s="36">
        <v>0.0</v>
      </c>
      <c r="AG440" s="35" t="s">
        <v>7045</v>
      </c>
      <c r="AH440" s="30">
        <v>46204.0</v>
      </c>
      <c r="AI440" s="30">
        <v>46295.0</v>
      </c>
      <c r="AJ440" s="36">
        <v>0.0</v>
      </c>
      <c r="AK440" s="36">
        <v>0.0</v>
      </c>
      <c r="AL440" s="35" t="s">
        <v>7045</v>
      </c>
      <c r="AM440" s="30">
        <v>46296.0</v>
      </c>
      <c r="AN440" s="30">
        <v>46387.0</v>
      </c>
      <c r="AO440" s="36">
        <v>0.0</v>
      </c>
      <c r="AP440" s="36">
        <v>0.0</v>
      </c>
      <c r="AQ440" s="35" t="s">
        <v>7045</v>
      </c>
      <c r="AR440" s="30">
        <v>46388.0</v>
      </c>
      <c r="AS440" s="30">
        <v>46477.0</v>
      </c>
      <c r="AT440" s="36">
        <v>0.0</v>
      </c>
      <c r="AU440" s="36">
        <v>0.0</v>
      </c>
      <c r="AV440" s="35" t="s">
        <v>7045</v>
      </c>
      <c r="AW440" s="30">
        <v>46478.0</v>
      </c>
      <c r="AX440" s="30">
        <v>46568.0</v>
      </c>
      <c r="AY440" s="36">
        <v>0.0</v>
      </c>
      <c r="AZ440" s="36">
        <v>0.0</v>
      </c>
      <c r="BA440" s="35" t="s">
        <v>7045</v>
      </c>
      <c r="BB440" s="30">
        <v>46569.0</v>
      </c>
      <c r="BC440" s="30">
        <v>46660.0</v>
      </c>
      <c r="BD440" s="36">
        <v>0.0</v>
      </c>
      <c r="BE440" s="36">
        <v>0.0</v>
      </c>
      <c r="BF440" s="35" t="s">
        <v>7045</v>
      </c>
      <c r="BG440" s="30">
        <v>46661.0</v>
      </c>
      <c r="BH440" s="30">
        <v>46752.0</v>
      </c>
      <c r="BI440" s="36">
        <v>0.0</v>
      </c>
      <c r="BJ440" s="36">
        <v>0.0</v>
      </c>
      <c r="BK440" s="35" t="s">
        <v>7045</v>
      </c>
      <c r="BL440" s="30">
        <v>46753.0</v>
      </c>
      <c r="BM440" s="30">
        <v>46843.0</v>
      </c>
      <c r="BN440" s="36">
        <v>0.0</v>
      </c>
      <c r="BO440" s="36">
        <v>0.0</v>
      </c>
      <c r="BP440" s="35" t="s">
        <v>7045</v>
      </c>
      <c r="BQ440" s="30">
        <v>46844.0</v>
      </c>
      <c r="BR440" s="30">
        <v>46934.0</v>
      </c>
      <c r="BS440" s="36">
        <v>0.0</v>
      </c>
      <c r="BT440" s="36">
        <v>0.0</v>
      </c>
      <c r="BU440" s="35" t="s">
        <v>7045</v>
      </c>
      <c r="BV440" s="30">
        <v>46935.0</v>
      </c>
      <c r="BW440" s="30">
        <v>47026.0</v>
      </c>
      <c r="BX440" s="36">
        <v>0.0</v>
      </c>
      <c r="BY440" s="36">
        <v>0.0</v>
      </c>
      <c r="BZ440" s="35" t="s">
        <v>7045</v>
      </c>
      <c r="CA440" s="30">
        <v>47027.0</v>
      </c>
      <c r="CB440" s="30">
        <v>47118.0</v>
      </c>
      <c r="CC440" s="36">
        <v>0.0</v>
      </c>
      <c r="CD440" s="36">
        <v>0.0</v>
      </c>
      <c r="CE440" s="35" t="s">
        <v>7045</v>
      </c>
      <c r="CF440" s="30">
        <v>47119.0</v>
      </c>
      <c r="CG440" s="30">
        <v>47208.0</v>
      </c>
      <c r="CH440" s="36">
        <v>0.0</v>
      </c>
      <c r="CI440" s="36">
        <v>0.0</v>
      </c>
      <c r="CJ440" s="35" t="s">
        <v>7045</v>
      </c>
      <c r="CK440" s="30">
        <v>47209.0</v>
      </c>
      <c r="CL440" s="30">
        <v>47299.0</v>
      </c>
      <c r="CM440" s="36">
        <v>0.0</v>
      </c>
      <c r="CN440" s="36">
        <v>0.0</v>
      </c>
      <c r="CO440" s="35" t="s">
        <v>7045</v>
      </c>
      <c r="CP440" s="30">
        <v>47300.0</v>
      </c>
      <c r="CQ440" s="30">
        <v>47391.0</v>
      </c>
      <c r="CR440" s="36">
        <v>0.0</v>
      </c>
      <c r="CS440" s="36">
        <v>0.0</v>
      </c>
      <c r="CT440" s="35" t="s">
        <v>7045</v>
      </c>
      <c r="CU440" s="30">
        <v>47392.0</v>
      </c>
      <c r="CV440" s="30">
        <v>47483.0</v>
      </c>
      <c r="CW440" s="36">
        <v>0.0</v>
      </c>
      <c r="CX440" s="36">
        <v>0.0</v>
      </c>
      <c r="CY440" s="35" t="s">
        <v>7045</v>
      </c>
      <c r="CZ440" s="30">
        <v>47484.0</v>
      </c>
      <c r="DA440" s="30">
        <v>47573.0</v>
      </c>
      <c r="DB440" s="36">
        <v>0.0</v>
      </c>
      <c r="DC440" s="36">
        <v>0.0</v>
      </c>
      <c r="DD440" s="35" t="s">
        <v>7045</v>
      </c>
      <c r="DE440" s="30">
        <v>47574.0</v>
      </c>
      <c r="DF440" s="30">
        <v>47664.0</v>
      </c>
      <c r="DG440" s="36">
        <v>0.0</v>
      </c>
      <c r="DH440" s="36">
        <v>0.0</v>
      </c>
      <c r="DI440" s="35" t="s">
        <v>7045</v>
      </c>
      <c r="DJ440" s="30">
        <v>47665.0</v>
      </c>
      <c r="DK440" s="30">
        <v>47756.0</v>
      </c>
      <c r="DL440" s="36">
        <v>0.0</v>
      </c>
      <c r="DM440" s="36">
        <v>0.0</v>
      </c>
      <c r="DN440" s="35" t="s">
        <v>7045</v>
      </c>
      <c r="DO440" s="30">
        <v>47757.0</v>
      </c>
      <c r="DP440" s="30">
        <v>47848.0</v>
      </c>
      <c r="DQ440" s="36">
        <v>0.0</v>
      </c>
      <c r="DR440" s="36">
        <v>0.0</v>
      </c>
      <c r="DS440" s="35" t="s">
        <v>7045</v>
      </c>
    </row>
    <row r="441" ht="14.25" customHeight="1">
      <c r="A441" s="28" t="s">
        <v>6651</v>
      </c>
      <c r="B441" s="29" t="s">
        <v>6652</v>
      </c>
      <c r="C441" s="29" t="s">
        <v>7041</v>
      </c>
      <c r="D441" s="30">
        <v>45658.0</v>
      </c>
      <c r="E441" s="30">
        <v>45747.0</v>
      </c>
      <c r="F441" s="36">
        <v>229.35</v>
      </c>
      <c r="G441" s="36">
        <v>0.0</v>
      </c>
      <c r="H441" s="38" t="s">
        <v>7047</v>
      </c>
      <c r="I441" s="30">
        <v>45748.0</v>
      </c>
      <c r="J441" s="30">
        <v>45838.0</v>
      </c>
      <c r="K441" s="36">
        <v>42.65</v>
      </c>
      <c r="L441" s="36">
        <v>0.0</v>
      </c>
      <c r="M441" s="38" t="s">
        <v>7047</v>
      </c>
      <c r="N441" s="30">
        <v>45839.0</v>
      </c>
      <c r="O441" s="30">
        <v>45930.0</v>
      </c>
      <c r="P441" s="36">
        <v>203.57</v>
      </c>
      <c r="Q441" s="36">
        <v>0.0</v>
      </c>
      <c r="R441" s="38" t="s">
        <v>7047</v>
      </c>
      <c r="S441" s="30">
        <v>45931.0</v>
      </c>
      <c r="T441" s="30">
        <v>46022.0</v>
      </c>
      <c r="U441" s="36">
        <v>386.29</v>
      </c>
      <c r="V441" s="36">
        <v>0.0</v>
      </c>
      <c r="W441" s="38" t="s">
        <v>7047</v>
      </c>
      <c r="X441" s="30">
        <v>46023.0</v>
      </c>
      <c r="Y441" s="30">
        <v>46112.0</v>
      </c>
      <c r="Z441" s="36">
        <v>0.0</v>
      </c>
      <c r="AA441" s="36">
        <v>0.0</v>
      </c>
      <c r="AB441" s="35" t="s">
        <v>7045</v>
      </c>
      <c r="AC441" s="30">
        <v>46113.0</v>
      </c>
      <c r="AD441" s="30">
        <v>46203.0</v>
      </c>
      <c r="AE441" s="36">
        <v>0.0</v>
      </c>
      <c r="AF441" s="36">
        <v>0.0</v>
      </c>
      <c r="AG441" s="35" t="s">
        <v>7045</v>
      </c>
      <c r="AH441" s="30">
        <v>46204.0</v>
      </c>
      <c r="AI441" s="30">
        <v>46295.0</v>
      </c>
      <c r="AJ441" s="36">
        <v>589.85</v>
      </c>
      <c r="AK441" s="36">
        <v>0.0</v>
      </c>
      <c r="AL441" s="35" t="s">
        <v>7047</v>
      </c>
      <c r="AM441" s="30">
        <v>46296.0</v>
      </c>
      <c r="AN441" s="30">
        <v>46387.0</v>
      </c>
      <c r="AO441" s="36">
        <v>0.0</v>
      </c>
      <c r="AP441" s="36">
        <v>0.0</v>
      </c>
      <c r="AQ441" s="35" t="s">
        <v>7045</v>
      </c>
      <c r="AR441" s="30">
        <v>46388.0</v>
      </c>
      <c r="AS441" s="30">
        <v>46477.0</v>
      </c>
      <c r="AT441" s="36">
        <v>0.0</v>
      </c>
      <c r="AU441" s="36">
        <v>0.0</v>
      </c>
      <c r="AV441" s="35" t="s">
        <v>7045</v>
      </c>
      <c r="AW441" s="30">
        <v>46478.0</v>
      </c>
      <c r="AX441" s="30">
        <v>46568.0</v>
      </c>
      <c r="AY441" s="36">
        <v>0.0</v>
      </c>
      <c r="AZ441" s="36">
        <v>0.0</v>
      </c>
      <c r="BA441" s="35" t="s">
        <v>7045</v>
      </c>
      <c r="BB441" s="30">
        <v>46569.0</v>
      </c>
      <c r="BC441" s="30">
        <v>46660.0</v>
      </c>
      <c r="BD441" s="36">
        <v>0.0</v>
      </c>
      <c r="BE441" s="36">
        <v>0.0</v>
      </c>
      <c r="BF441" s="35" t="s">
        <v>7045</v>
      </c>
      <c r="BG441" s="30">
        <v>46661.0</v>
      </c>
      <c r="BH441" s="30">
        <v>46752.0</v>
      </c>
      <c r="BI441" s="36">
        <v>0.0</v>
      </c>
      <c r="BJ441" s="36">
        <v>0.0</v>
      </c>
      <c r="BK441" s="35" t="s">
        <v>7045</v>
      </c>
      <c r="BL441" s="30">
        <v>46753.0</v>
      </c>
      <c r="BM441" s="30">
        <v>46843.0</v>
      </c>
      <c r="BN441" s="36">
        <v>0.0</v>
      </c>
      <c r="BO441" s="36">
        <v>0.0</v>
      </c>
      <c r="BP441" s="35" t="s">
        <v>7045</v>
      </c>
      <c r="BQ441" s="30">
        <v>46844.0</v>
      </c>
      <c r="BR441" s="30">
        <v>46934.0</v>
      </c>
      <c r="BS441" s="36">
        <v>0.0</v>
      </c>
      <c r="BT441" s="36">
        <v>0.0</v>
      </c>
      <c r="BU441" s="35" t="s">
        <v>7045</v>
      </c>
      <c r="BV441" s="30">
        <v>46935.0</v>
      </c>
      <c r="BW441" s="30">
        <v>47026.0</v>
      </c>
      <c r="BX441" s="36">
        <v>0.0</v>
      </c>
      <c r="BY441" s="36">
        <v>0.0</v>
      </c>
      <c r="BZ441" s="35" t="s">
        <v>7045</v>
      </c>
      <c r="CA441" s="30">
        <v>47027.0</v>
      </c>
      <c r="CB441" s="30">
        <v>47118.0</v>
      </c>
      <c r="CC441" s="36">
        <v>0.0</v>
      </c>
      <c r="CD441" s="36">
        <v>0.0</v>
      </c>
      <c r="CE441" s="35" t="s">
        <v>7045</v>
      </c>
      <c r="CF441" s="30">
        <v>47119.0</v>
      </c>
      <c r="CG441" s="30">
        <v>47208.0</v>
      </c>
      <c r="CH441" s="36">
        <v>0.0</v>
      </c>
      <c r="CI441" s="36">
        <v>0.0</v>
      </c>
      <c r="CJ441" s="35" t="s">
        <v>7045</v>
      </c>
      <c r="CK441" s="30">
        <v>47209.0</v>
      </c>
      <c r="CL441" s="30">
        <v>47299.0</v>
      </c>
      <c r="CM441" s="36">
        <v>0.0</v>
      </c>
      <c r="CN441" s="36">
        <v>0.0</v>
      </c>
      <c r="CO441" s="35" t="s">
        <v>7045</v>
      </c>
      <c r="CP441" s="30">
        <v>47300.0</v>
      </c>
      <c r="CQ441" s="30">
        <v>47391.0</v>
      </c>
      <c r="CR441" s="36">
        <v>0.0</v>
      </c>
      <c r="CS441" s="36">
        <v>0.0</v>
      </c>
      <c r="CT441" s="35" t="s">
        <v>7045</v>
      </c>
      <c r="CU441" s="30">
        <v>47392.0</v>
      </c>
      <c r="CV441" s="30">
        <v>47483.0</v>
      </c>
      <c r="CW441" s="36">
        <v>0.0</v>
      </c>
      <c r="CX441" s="36">
        <v>0.0</v>
      </c>
      <c r="CY441" s="35" t="s">
        <v>7045</v>
      </c>
      <c r="CZ441" s="30">
        <v>47484.0</v>
      </c>
      <c r="DA441" s="30">
        <v>47573.0</v>
      </c>
      <c r="DB441" s="36">
        <v>0.0</v>
      </c>
      <c r="DC441" s="36">
        <v>0.0</v>
      </c>
      <c r="DD441" s="35" t="s">
        <v>7045</v>
      </c>
      <c r="DE441" s="30">
        <v>47574.0</v>
      </c>
      <c r="DF441" s="30">
        <v>47664.0</v>
      </c>
      <c r="DG441" s="36">
        <v>0.0</v>
      </c>
      <c r="DH441" s="36">
        <v>0.0</v>
      </c>
      <c r="DI441" s="35" t="s">
        <v>7045</v>
      </c>
      <c r="DJ441" s="30">
        <v>47665.0</v>
      </c>
      <c r="DK441" s="30">
        <v>47756.0</v>
      </c>
      <c r="DL441" s="36">
        <v>0.0</v>
      </c>
      <c r="DM441" s="36">
        <v>0.0</v>
      </c>
      <c r="DN441" s="35" t="s">
        <v>7045</v>
      </c>
      <c r="DO441" s="30">
        <v>47757.0</v>
      </c>
      <c r="DP441" s="30">
        <v>47848.0</v>
      </c>
      <c r="DQ441" s="36">
        <v>0.0</v>
      </c>
      <c r="DR441" s="36">
        <v>0.0</v>
      </c>
      <c r="DS441" s="35" t="s">
        <v>7045</v>
      </c>
    </row>
    <row r="442" ht="14.25" customHeight="1">
      <c r="A442" s="28" t="s">
        <v>6783</v>
      </c>
      <c r="B442" s="29" t="s">
        <v>6784</v>
      </c>
      <c r="C442" s="29" t="s">
        <v>7041</v>
      </c>
      <c r="D442" s="30">
        <v>45658.0</v>
      </c>
      <c r="E442" s="30">
        <v>45747.0</v>
      </c>
      <c r="F442" s="36">
        <v>0.92</v>
      </c>
      <c r="G442" s="36">
        <v>0.0</v>
      </c>
      <c r="H442" s="38" t="s">
        <v>7047</v>
      </c>
      <c r="I442" s="30">
        <v>45748.0</v>
      </c>
      <c r="J442" s="30">
        <v>45838.0</v>
      </c>
      <c r="K442" s="36">
        <v>0.92</v>
      </c>
      <c r="L442" s="36">
        <v>0.0</v>
      </c>
      <c r="M442" s="38" t="s">
        <v>7047</v>
      </c>
      <c r="N442" s="30">
        <v>45839.0</v>
      </c>
      <c r="O442" s="30">
        <v>45930.0</v>
      </c>
      <c r="P442" s="36">
        <v>0.0</v>
      </c>
      <c r="Q442" s="36">
        <v>0.0</v>
      </c>
      <c r="R442" s="35" t="s">
        <v>7045</v>
      </c>
      <c r="S442" s="30">
        <v>45931.0</v>
      </c>
      <c r="T442" s="30">
        <v>46022.0</v>
      </c>
      <c r="U442" s="36">
        <v>0.0</v>
      </c>
      <c r="V442" s="36">
        <v>0.0</v>
      </c>
      <c r="W442" s="35" t="s">
        <v>7045</v>
      </c>
      <c r="X442" s="30">
        <v>46023.0</v>
      </c>
      <c r="Y442" s="30">
        <v>46112.0</v>
      </c>
      <c r="Z442" s="36">
        <v>0.0</v>
      </c>
      <c r="AA442" s="36">
        <v>0.0</v>
      </c>
      <c r="AB442" s="35" t="s">
        <v>7045</v>
      </c>
      <c r="AC442" s="30">
        <v>46113.0</v>
      </c>
      <c r="AD442" s="30">
        <v>46203.0</v>
      </c>
      <c r="AE442" s="36">
        <v>0.0</v>
      </c>
      <c r="AF442" s="36">
        <v>0.0</v>
      </c>
      <c r="AG442" s="35" t="s">
        <v>7045</v>
      </c>
      <c r="AH442" s="30">
        <v>46204.0</v>
      </c>
      <c r="AI442" s="30">
        <v>46295.0</v>
      </c>
      <c r="AJ442" s="36">
        <v>0.0</v>
      </c>
      <c r="AK442" s="36">
        <v>0.0</v>
      </c>
      <c r="AL442" s="35" t="s">
        <v>7045</v>
      </c>
      <c r="AM442" s="30">
        <v>46296.0</v>
      </c>
      <c r="AN442" s="30">
        <v>46387.0</v>
      </c>
      <c r="AO442" s="36">
        <v>0.0</v>
      </c>
      <c r="AP442" s="36">
        <v>0.0</v>
      </c>
      <c r="AQ442" s="35" t="s">
        <v>7045</v>
      </c>
      <c r="AR442" s="30">
        <v>46388.0</v>
      </c>
      <c r="AS442" s="30">
        <v>46477.0</v>
      </c>
      <c r="AT442" s="36">
        <v>0.0</v>
      </c>
      <c r="AU442" s="36">
        <v>0.0</v>
      </c>
      <c r="AV442" s="35" t="s">
        <v>7045</v>
      </c>
      <c r="AW442" s="30">
        <v>46478.0</v>
      </c>
      <c r="AX442" s="30">
        <v>46568.0</v>
      </c>
      <c r="AY442" s="36">
        <v>0.0</v>
      </c>
      <c r="AZ442" s="36">
        <v>0.0</v>
      </c>
      <c r="BA442" s="35" t="s">
        <v>7045</v>
      </c>
      <c r="BB442" s="30">
        <v>46569.0</v>
      </c>
      <c r="BC442" s="30">
        <v>46660.0</v>
      </c>
      <c r="BD442" s="36">
        <v>0.0</v>
      </c>
      <c r="BE442" s="36">
        <v>0.0</v>
      </c>
      <c r="BF442" s="35" t="s">
        <v>7045</v>
      </c>
      <c r="BG442" s="30">
        <v>46661.0</v>
      </c>
      <c r="BH442" s="30">
        <v>46752.0</v>
      </c>
      <c r="BI442" s="36">
        <v>0.0</v>
      </c>
      <c r="BJ442" s="36">
        <v>0.0</v>
      </c>
      <c r="BK442" s="35" t="s">
        <v>7045</v>
      </c>
      <c r="BL442" s="30">
        <v>46753.0</v>
      </c>
      <c r="BM442" s="30">
        <v>46843.0</v>
      </c>
      <c r="BN442" s="36">
        <v>0.0</v>
      </c>
      <c r="BO442" s="36">
        <v>0.0</v>
      </c>
      <c r="BP442" s="35" t="s">
        <v>7045</v>
      </c>
      <c r="BQ442" s="30">
        <v>46844.0</v>
      </c>
      <c r="BR442" s="30">
        <v>46934.0</v>
      </c>
      <c r="BS442" s="36">
        <v>0.0</v>
      </c>
      <c r="BT442" s="36">
        <v>0.0</v>
      </c>
      <c r="BU442" s="35" t="s">
        <v>7045</v>
      </c>
      <c r="BV442" s="30">
        <v>46935.0</v>
      </c>
      <c r="BW442" s="30">
        <v>47026.0</v>
      </c>
      <c r="BX442" s="36">
        <v>0.0</v>
      </c>
      <c r="BY442" s="36">
        <v>0.0</v>
      </c>
      <c r="BZ442" s="35" t="s">
        <v>7045</v>
      </c>
      <c r="CA442" s="30">
        <v>47027.0</v>
      </c>
      <c r="CB442" s="30">
        <v>47118.0</v>
      </c>
      <c r="CC442" s="36">
        <v>0.0</v>
      </c>
      <c r="CD442" s="36">
        <v>0.0</v>
      </c>
      <c r="CE442" s="35" t="s">
        <v>7045</v>
      </c>
      <c r="CF442" s="30">
        <v>47119.0</v>
      </c>
      <c r="CG442" s="30">
        <v>47208.0</v>
      </c>
      <c r="CH442" s="36">
        <v>0.0</v>
      </c>
      <c r="CI442" s="36">
        <v>0.0</v>
      </c>
      <c r="CJ442" s="35" t="s">
        <v>7045</v>
      </c>
      <c r="CK442" s="30">
        <v>47209.0</v>
      </c>
      <c r="CL442" s="30">
        <v>47299.0</v>
      </c>
      <c r="CM442" s="36">
        <v>0.0</v>
      </c>
      <c r="CN442" s="36">
        <v>0.0</v>
      </c>
      <c r="CO442" s="35" t="s">
        <v>7045</v>
      </c>
      <c r="CP442" s="30">
        <v>47300.0</v>
      </c>
      <c r="CQ442" s="30">
        <v>47391.0</v>
      </c>
      <c r="CR442" s="36">
        <v>0.0</v>
      </c>
      <c r="CS442" s="36">
        <v>0.0</v>
      </c>
      <c r="CT442" s="35" t="s">
        <v>7045</v>
      </c>
      <c r="CU442" s="30">
        <v>47392.0</v>
      </c>
      <c r="CV442" s="30">
        <v>47483.0</v>
      </c>
      <c r="CW442" s="36">
        <v>0.0</v>
      </c>
      <c r="CX442" s="36">
        <v>0.0</v>
      </c>
      <c r="CY442" s="35" t="s">
        <v>7045</v>
      </c>
      <c r="CZ442" s="30">
        <v>47484.0</v>
      </c>
      <c r="DA442" s="30">
        <v>47573.0</v>
      </c>
      <c r="DB442" s="36">
        <v>0.0</v>
      </c>
      <c r="DC442" s="36">
        <v>0.0</v>
      </c>
      <c r="DD442" s="35" t="s">
        <v>7045</v>
      </c>
      <c r="DE442" s="30">
        <v>47574.0</v>
      </c>
      <c r="DF442" s="30">
        <v>47664.0</v>
      </c>
      <c r="DG442" s="36">
        <v>0.0</v>
      </c>
      <c r="DH442" s="36">
        <v>0.0</v>
      </c>
      <c r="DI442" s="35" t="s">
        <v>7045</v>
      </c>
      <c r="DJ442" s="30">
        <v>47665.0</v>
      </c>
      <c r="DK442" s="30">
        <v>47756.0</v>
      </c>
      <c r="DL442" s="36">
        <v>0.0</v>
      </c>
      <c r="DM442" s="36">
        <v>0.0</v>
      </c>
      <c r="DN442" s="35" t="s">
        <v>7045</v>
      </c>
      <c r="DO442" s="30">
        <v>47757.0</v>
      </c>
      <c r="DP442" s="30">
        <v>47848.0</v>
      </c>
      <c r="DQ442" s="36">
        <v>0.0</v>
      </c>
      <c r="DR442" s="36">
        <v>0.0</v>
      </c>
      <c r="DS442" s="35" t="s">
        <v>7045</v>
      </c>
    </row>
    <row r="443" ht="14.25" customHeight="1">
      <c r="A443" s="28" t="s">
        <v>139</v>
      </c>
      <c r="B443" s="29" t="s">
        <v>140</v>
      </c>
      <c r="C443" s="29" t="s">
        <v>7041</v>
      </c>
      <c r="D443" s="30">
        <v>45658.0</v>
      </c>
      <c r="E443" s="30">
        <v>45747.0</v>
      </c>
      <c r="F443" s="36">
        <v>0.0</v>
      </c>
      <c r="G443" s="36">
        <v>0.0</v>
      </c>
      <c r="H443" s="35" t="s">
        <v>7045</v>
      </c>
      <c r="I443" s="30">
        <v>45748.0</v>
      </c>
      <c r="J443" s="30">
        <v>45838.0</v>
      </c>
      <c r="K443" s="36">
        <v>44.27</v>
      </c>
      <c r="L443" s="36">
        <v>66.01</v>
      </c>
      <c r="M443" s="38" t="s">
        <v>7047</v>
      </c>
      <c r="N443" s="30">
        <v>45839.0</v>
      </c>
      <c r="O443" s="30">
        <v>45930.0</v>
      </c>
      <c r="P443" s="36">
        <v>30.0</v>
      </c>
      <c r="Q443" s="36">
        <v>99.32</v>
      </c>
      <c r="R443" s="38" t="s">
        <v>7047</v>
      </c>
      <c r="S443" s="30">
        <v>45931.0</v>
      </c>
      <c r="T443" s="30">
        <v>46022.0</v>
      </c>
      <c r="U443" s="36">
        <v>301.0</v>
      </c>
      <c r="V443" s="36">
        <v>99.32</v>
      </c>
      <c r="W443" s="38" t="s">
        <v>7047</v>
      </c>
      <c r="X443" s="30">
        <v>46023.0</v>
      </c>
      <c r="Y443" s="30">
        <v>46112.0</v>
      </c>
      <c r="Z443" s="36">
        <v>301.0</v>
      </c>
      <c r="AA443" s="36">
        <v>0.0</v>
      </c>
      <c r="AB443" s="35" t="s">
        <v>7047</v>
      </c>
      <c r="AC443" s="30">
        <v>46113.0</v>
      </c>
      <c r="AD443" s="30">
        <v>46203.0</v>
      </c>
      <c r="AE443" s="36">
        <v>0.0</v>
      </c>
      <c r="AF443" s="36">
        <v>0.0</v>
      </c>
      <c r="AG443" s="35" t="s">
        <v>7045</v>
      </c>
      <c r="AH443" s="30">
        <v>46204.0</v>
      </c>
      <c r="AI443" s="30">
        <v>46295.0</v>
      </c>
      <c r="AJ443" s="36">
        <v>0.0</v>
      </c>
      <c r="AK443" s="36">
        <v>0.0</v>
      </c>
      <c r="AL443" s="35" t="s">
        <v>7045</v>
      </c>
      <c r="AM443" s="30">
        <v>46296.0</v>
      </c>
      <c r="AN443" s="30">
        <v>46387.0</v>
      </c>
      <c r="AO443" s="36">
        <v>0.0</v>
      </c>
      <c r="AP443" s="36">
        <v>0.0</v>
      </c>
      <c r="AQ443" s="35" t="s">
        <v>7045</v>
      </c>
      <c r="AR443" s="30">
        <v>46388.0</v>
      </c>
      <c r="AS443" s="30">
        <v>46477.0</v>
      </c>
      <c r="AT443" s="36">
        <v>0.0</v>
      </c>
      <c r="AU443" s="36">
        <v>0.0</v>
      </c>
      <c r="AV443" s="35" t="s">
        <v>7045</v>
      </c>
      <c r="AW443" s="30">
        <v>46478.0</v>
      </c>
      <c r="AX443" s="30">
        <v>46568.0</v>
      </c>
      <c r="AY443" s="36">
        <v>0.0</v>
      </c>
      <c r="AZ443" s="36">
        <v>0.0</v>
      </c>
      <c r="BA443" s="35" t="s">
        <v>7045</v>
      </c>
      <c r="BB443" s="30">
        <v>46569.0</v>
      </c>
      <c r="BC443" s="30">
        <v>46660.0</v>
      </c>
      <c r="BD443" s="36">
        <v>0.0</v>
      </c>
      <c r="BE443" s="36">
        <v>0.0</v>
      </c>
      <c r="BF443" s="35" t="s">
        <v>7045</v>
      </c>
      <c r="BG443" s="30">
        <v>46661.0</v>
      </c>
      <c r="BH443" s="30">
        <v>46752.0</v>
      </c>
      <c r="BI443" s="36">
        <v>0.0</v>
      </c>
      <c r="BJ443" s="36">
        <v>0.0</v>
      </c>
      <c r="BK443" s="35" t="s">
        <v>7045</v>
      </c>
      <c r="BL443" s="30">
        <v>46753.0</v>
      </c>
      <c r="BM443" s="30">
        <v>46843.0</v>
      </c>
      <c r="BN443" s="36">
        <v>0.0</v>
      </c>
      <c r="BO443" s="36">
        <v>0.0</v>
      </c>
      <c r="BP443" s="35" t="s">
        <v>7045</v>
      </c>
      <c r="BQ443" s="30">
        <v>46844.0</v>
      </c>
      <c r="BR443" s="30">
        <v>46934.0</v>
      </c>
      <c r="BS443" s="36">
        <v>0.0</v>
      </c>
      <c r="BT443" s="36">
        <v>0.0</v>
      </c>
      <c r="BU443" s="35" t="s">
        <v>7045</v>
      </c>
      <c r="BV443" s="30">
        <v>46935.0</v>
      </c>
      <c r="BW443" s="30">
        <v>47026.0</v>
      </c>
      <c r="BX443" s="36">
        <v>0.0</v>
      </c>
      <c r="BY443" s="36">
        <v>0.0</v>
      </c>
      <c r="BZ443" s="35" t="s">
        <v>7045</v>
      </c>
      <c r="CA443" s="30">
        <v>47027.0</v>
      </c>
      <c r="CB443" s="30">
        <v>47118.0</v>
      </c>
      <c r="CC443" s="36">
        <v>0.0</v>
      </c>
      <c r="CD443" s="36">
        <v>0.0</v>
      </c>
      <c r="CE443" s="35" t="s">
        <v>7045</v>
      </c>
      <c r="CF443" s="30">
        <v>47119.0</v>
      </c>
      <c r="CG443" s="30">
        <v>47208.0</v>
      </c>
      <c r="CH443" s="36">
        <v>0.0</v>
      </c>
      <c r="CI443" s="36">
        <v>0.0</v>
      </c>
      <c r="CJ443" s="35" t="s">
        <v>7045</v>
      </c>
      <c r="CK443" s="30">
        <v>47209.0</v>
      </c>
      <c r="CL443" s="30">
        <v>47299.0</v>
      </c>
      <c r="CM443" s="36">
        <v>0.0</v>
      </c>
      <c r="CN443" s="36">
        <v>0.0</v>
      </c>
      <c r="CO443" s="35" t="s">
        <v>7045</v>
      </c>
      <c r="CP443" s="30">
        <v>47300.0</v>
      </c>
      <c r="CQ443" s="30">
        <v>47391.0</v>
      </c>
      <c r="CR443" s="36">
        <v>0.0</v>
      </c>
      <c r="CS443" s="36">
        <v>0.0</v>
      </c>
      <c r="CT443" s="35" t="s">
        <v>7045</v>
      </c>
      <c r="CU443" s="30">
        <v>47392.0</v>
      </c>
      <c r="CV443" s="30">
        <v>47483.0</v>
      </c>
      <c r="CW443" s="36">
        <v>0.0</v>
      </c>
      <c r="CX443" s="36">
        <v>0.0</v>
      </c>
      <c r="CY443" s="35" t="s">
        <v>7045</v>
      </c>
      <c r="CZ443" s="30">
        <v>47484.0</v>
      </c>
      <c r="DA443" s="30">
        <v>47573.0</v>
      </c>
      <c r="DB443" s="36">
        <v>0.0</v>
      </c>
      <c r="DC443" s="36">
        <v>0.0</v>
      </c>
      <c r="DD443" s="35" t="s">
        <v>7045</v>
      </c>
      <c r="DE443" s="30">
        <v>47574.0</v>
      </c>
      <c r="DF443" s="30">
        <v>47664.0</v>
      </c>
      <c r="DG443" s="36">
        <v>0.0</v>
      </c>
      <c r="DH443" s="36">
        <v>0.0</v>
      </c>
      <c r="DI443" s="35" t="s">
        <v>7045</v>
      </c>
      <c r="DJ443" s="30">
        <v>47665.0</v>
      </c>
      <c r="DK443" s="30">
        <v>47756.0</v>
      </c>
      <c r="DL443" s="36">
        <v>0.0</v>
      </c>
      <c r="DM443" s="36">
        <v>0.0</v>
      </c>
      <c r="DN443" s="35" t="s">
        <v>7045</v>
      </c>
      <c r="DO443" s="30">
        <v>47757.0</v>
      </c>
      <c r="DP443" s="30">
        <v>47848.0</v>
      </c>
      <c r="DQ443" s="36">
        <v>0.0</v>
      </c>
      <c r="DR443" s="36">
        <v>0.0</v>
      </c>
      <c r="DS443" s="35" t="s">
        <v>7045</v>
      </c>
    </row>
    <row r="444" ht="14.25" customHeight="1">
      <c r="A444" s="28" t="s">
        <v>1113</v>
      </c>
      <c r="B444" s="29" t="s">
        <v>1114</v>
      </c>
      <c r="C444" s="29" t="s">
        <v>7041</v>
      </c>
      <c r="D444" s="30">
        <v>45658.0</v>
      </c>
      <c r="E444" s="30">
        <v>45747.0</v>
      </c>
      <c r="F444" s="36">
        <v>0.0</v>
      </c>
      <c r="G444" s="36">
        <v>0.0</v>
      </c>
      <c r="H444" s="35" t="s">
        <v>7045</v>
      </c>
      <c r="I444" s="30">
        <v>45748.0</v>
      </c>
      <c r="J444" s="30">
        <v>45838.0</v>
      </c>
      <c r="K444" s="36">
        <v>0.0</v>
      </c>
      <c r="L444" s="36">
        <v>0.0</v>
      </c>
      <c r="M444" s="35" t="s">
        <v>7045</v>
      </c>
      <c r="N444" s="30">
        <v>45839.0</v>
      </c>
      <c r="O444" s="30">
        <v>45930.0</v>
      </c>
      <c r="P444" s="36">
        <v>0.0</v>
      </c>
      <c r="Q444" s="36">
        <v>0.0</v>
      </c>
      <c r="R444" s="35" t="s">
        <v>7045</v>
      </c>
      <c r="S444" s="30">
        <v>45931.0</v>
      </c>
      <c r="T444" s="30">
        <v>46022.0</v>
      </c>
      <c r="U444" s="36">
        <v>0.0</v>
      </c>
      <c r="V444" s="36">
        <v>0.0</v>
      </c>
      <c r="W444" s="35" t="s">
        <v>7045</v>
      </c>
      <c r="X444" s="30">
        <v>46023.0</v>
      </c>
      <c r="Y444" s="30">
        <v>46112.0</v>
      </c>
      <c r="Z444" s="36">
        <v>0.0</v>
      </c>
      <c r="AA444" s="36">
        <v>0.0</v>
      </c>
      <c r="AB444" s="35" t="s">
        <v>7045</v>
      </c>
      <c r="AC444" s="30">
        <v>46113.0</v>
      </c>
      <c r="AD444" s="30">
        <v>46203.0</v>
      </c>
      <c r="AE444" s="36">
        <v>0.0</v>
      </c>
      <c r="AF444" s="36">
        <v>0.0</v>
      </c>
      <c r="AG444" s="35" t="s">
        <v>7045</v>
      </c>
      <c r="AH444" s="30">
        <v>46204.0</v>
      </c>
      <c r="AI444" s="30">
        <v>46295.0</v>
      </c>
      <c r="AJ444" s="36">
        <v>0.0</v>
      </c>
      <c r="AK444" s="36">
        <v>0.0</v>
      </c>
      <c r="AL444" s="35" t="s">
        <v>7045</v>
      </c>
      <c r="AM444" s="30">
        <v>46296.0</v>
      </c>
      <c r="AN444" s="30">
        <v>46387.0</v>
      </c>
      <c r="AO444" s="36">
        <v>0.0</v>
      </c>
      <c r="AP444" s="36">
        <v>0.0</v>
      </c>
      <c r="AQ444" s="35" t="s">
        <v>7045</v>
      </c>
      <c r="AR444" s="30">
        <v>46388.0</v>
      </c>
      <c r="AS444" s="30">
        <v>46477.0</v>
      </c>
      <c r="AT444" s="36">
        <v>0.0</v>
      </c>
      <c r="AU444" s="36">
        <v>0.0</v>
      </c>
      <c r="AV444" s="35" t="s">
        <v>7045</v>
      </c>
      <c r="AW444" s="30">
        <v>46478.0</v>
      </c>
      <c r="AX444" s="30">
        <v>46568.0</v>
      </c>
      <c r="AY444" s="36">
        <v>0.0</v>
      </c>
      <c r="AZ444" s="36">
        <v>0.0</v>
      </c>
      <c r="BA444" s="35" t="s">
        <v>7045</v>
      </c>
      <c r="BB444" s="30">
        <v>46569.0</v>
      </c>
      <c r="BC444" s="30">
        <v>46660.0</v>
      </c>
      <c r="BD444" s="36">
        <v>0.0</v>
      </c>
      <c r="BE444" s="36">
        <v>0.0</v>
      </c>
      <c r="BF444" s="35" t="s">
        <v>7045</v>
      </c>
      <c r="BG444" s="30">
        <v>46661.0</v>
      </c>
      <c r="BH444" s="30">
        <v>46752.0</v>
      </c>
      <c r="BI444" s="36">
        <v>0.0</v>
      </c>
      <c r="BJ444" s="36">
        <v>0.0</v>
      </c>
      <c r="BK444" s="35" t="s">
        <v>7045</v>
      </c>
      <c r="BL444" s="30">
        <v>46753.0</v>
      </c>
      <c r="BM444" s="30">
        <v>46843.0</v>
      </c>
      <c r="BN444" s="36">
        <v>0.0</v>
      </c>
      <c r="BO444" s="36">
        <v>0.0</v>
      </c>
      <c r="BP444" s="35" t="s">
        <v>7045</v>
      </c>
      <c r="BQ444" s="30">
        <v>46844.0</v>
      </c>
      <c r="BR444" s="30">
        <v>46934.0</v>
      </c>
      <c r="BS444" s="36">
        <v>0.0</v>
      </c>
      <c r="BT444" s="36">
        <v>0.0</v>
      </c>
      <c r="BU444" s="35" t="s">
        <v>7045</v>
      </c>
      <c r="BV444" s="30">
        <v>46935.0</v>
      </c>
      <c r="BW444" s="30">
        <v>47026.0</v>
      </c>
      <c r="BX444" s="36">
        <v>0.0</v>
      </c>
      <c r="BY444" s="36">
        <v>0.0</v>
      </c>
      <c r="BZ444" s="35" t="s">
        <v>7045</v>
      </c>
      <c r="CA444" s="30">
        <v>47027.0</v>
      </c>
      <c r="CB444" s="30">
        <v>47118.0</v>
      </c>
      <c r="CC444" s="36">
        <v>0.0</v>
      </c>
      <c r="CD444" s="36">
        <v>0.0</v>
      </c>
      <c r="CE444" s="35" t="s">
        <v>7045</v>
      </c>
      <c r="CF444" s="30">
        <v>47119.0</v>
      </c>
      <c r="CG444" s="30">
        <v>47208.0</v>
      </c>
      <c r="CH444" s="36">
        <v>0.0</v>
      </c>
      <c r="CI444" s="36">
        <v>0.0</v>
      </c>
      <c r="CJ444" s="35" t="s">
        <v>7045</v>
      </c>
      <c r="CK444" s="30">
        <v>47209.0</v>
      </c>
      <c r="CL444" s="30">
        <v>47299.0</v>
      </c>
      <c r="CM444" s="36">
        <v>0.0</v>
      </c>
      <c r="CN444" s="36">
        <v>0.0</v>
      </c>
      <c r="CO444" s="35" t="s">
        <v>7045</v>
      </c>
      <c r="CP444" s="30">
        <v>47300.0</v>
      </c>
      <c r="CQ444" s="30">
        <v>47391.0</v>
      </c>
      <c r="CR444" s="36">
        <v>0.0</v>
      </c>
      <c r="CS444" s="36">
        <v>0.0</v>
      </c>
      <c r="CT444" s="35" t="s">
        <v>7045</v>
      </c>
      <c r="CU444" s="30">
        <v>47392.0</v>
      </c>
      <c r="CV444" s="30">
        <v>47483.0</v>
      </c>
      <c r="CW444" s="36">
        <v>0.0</v>
      </c>
      <c r="CX444" s="36">
        <v>0.0</v>
      </c>
      <c r="CY444" s="35" t="s">
        <v>7045</v>
      </c>
      <c r="CZ444" s="30">
        <v>47484.0</v>
      </c>
      <c r="DA444" s="30">
        <v>47573.0</v>
      </c>
      <c r="DB444" s="36">
        <v>0.0</v>
      </c>
      <c r="DC444" s="36">
        <v>0.0</v>
      </c>
      <c r="DD444" s="35" t="s">
        <v>7045</v>
      </c>
      <c r="DE444" s="30">
        <v>47574.0</v>
      </c>
      <c r="DF444" s="30">
        <v>47664.0</v>
      </c>
      <c r="DG444" s="36">
        <v>0.0</v>
      </c>
      <c r="DH444" s="36">
        <v>0.0</v>
      </c>
      <c r="DI444" s="35" t="s">
        <v>7045</v>
      </c>
      <c r="DJ444" s="30">
        <v>47665.0</v>
      </c>
      <c r="DK444" s="30">
        <v>47756.0</v>
      </c>
      <c r="DL444" s="36">
        <v>0.0</v>
      </c>
      <c r="DM444" s="36">
        <v>0.0</v>
      </c>
      <c r="DN444" s="35" t="s">
        <v>7045</v>
      </c>
      <c r="DO444" s="30">
        <v>47757.0</v>
      </c>
      <c r="DP444" s="30">
        <v>47848.0</v>
      </c>
      <c r="DQ444" s="36">
        <v>0.0</v>
      </c>
      <c r="DR444" s="36">
        <v>0.0</v>
      </c>
      <c r="DS444" s="35" t="s">
        <v>7045</v>
      </c>
    </row>
    <row r="445" ht="14.25" customHeight="1">
      <c r="A445" s="28" t="s">
        <v>1308</v>
      </c>
      <c r="B445" s="29" t="s">
        <v>1309</v>
      </c>
      <c r="C445" s="29" t="s">
        <v>7041</v>
      </c>
      <c r="D445" s="30">
        <v>45658.0</v>
      </c>
      <c r="E445" s="30">
        <v>45747.0</v>
      </c>
      <c r="F445" s="36">
        <v>115.0</v>
      </c>
      <c r="G445" s="36">
        <v>0.0</v>
      </c>
      <c r="H445" s="38" t="s">
        <v>7047</v>
      </c>
      <c r="I445" s="30">
        <v>45748.0</v>
      </c>
      <c r="J445" s="30">
        <v>45838.0</v>
      </c>
      <c r="K445" s="36">
        <v>66.0</v>
      </c>
      <c r="L445" s="36">
        <v>533.33</v>
      </c>
      <c r="M445" s="32" t="s">
        <v>7043</v>
      </c>
      <c r="N445" s="30">
        <v>45839.0</v>
      </c>
      <c r="O445" s="30">
        <v>45930.0</v>
      </c>
      <c r="P445" s="36">
        <v>367.93</v>
      </c>
      <c r="Q445" s="36">
        <v>633.33</v>
      </c>
      <c r="R445" s="38" t="s">
        <v>7047</v>
      </c>
      <c r="S445" s="30">
        <v>45931.0</v>
      </c>
      <c r="T445" s="30">
        <v>46022.0</v>
      </c>
      <c r="U445" s="36">
        <v>115.0</v>
      </c>
      <c r="V445" s="36">
        <v>499.98</v>
      </c>
      <c r="W445" s="38" t="s">
        <v>7047</v>
      </c>
      <c r="X445" s="30">
        <v>46023.0</v>
      </c>
      <c r="Y445" s="30">
        <v>46112.0</v>
      </c>
      <c r="Z445" s="36">
        <v>0.0</v>
      </c>
      <c r="AA445" s="36">
        <v>0.0</v>
      </c>
      <c r="AB445" s="35" t="s">
        <v>7045</v>
      </c>
      <c r="AC445" s="30">
        <v>46113.0</v>
      </c>
      <c r="AD445" s="30">
        <v>46203.0</v>
      </c>
      <c r="AE445" s="36">
        <v>929.0</v>
      </c>
      <c r="AF445" s="36">
        <v>0.0</v>
      </c>
      <c r="AG445" s="38" t="s">
        <v>7047</v>
      </c>
      <c r="AH445" s="30">
        <v>46204.0</v>
      </c>
      <c r="AI445" s="30">
        <v>46295.0</v>
      </c>
      <c r="AJ445" s="36">
        <v>13.55</v>
      </c>
      <c r="AK445" s="36">
        <v>0.0</v>
      </c>
      <c r="AL445" s="38" t="s">
        <v>7047</v>
      </c>
      <c r="AM445" s="30">
        <v>46296.0</v>
      </c>
      <c r="AN445" s="30">
        <v>46387.0</v>
      </c>
      <c r="AO445" s="36">
        <v>40.0</v>
      </c>
      <c r="AP445" s="36">
        <v>0.0</v>
      </c>
      <c r="AQ445" s="38" t="s">
        <v>7047</v>
      </c>
      <c r="AR445" s="30">
        <v>46388.0</v>
      </c>
      <c r="AS445" s="30">
        <v>46477.0</v>
      </c>
      <c r="AT445" s="36">
        <v>0.0</v>
      </c>
      <c r="AU445" s="36">
        <v>0.0</v>
      </c>
      <c r="AV445" s="35" t="s">
        <v>7045</v>
      </c>
      <c r="AW445" s="30">
        <v>46478.0</v>
      </c>
      <c r="AX445" s="30">
        <v>46568.0</v>
      </c>
      <c r="AY445" s="36">
        <v>0.0</v>
      </c>
      <c r="AZ445" s="36">
        <v>0.0</v>
      </c>
      <c r="BA445" s="35" t="s">
        <v>7045</v>
      </c>
      <c r="BB445" s="30">
        <v>46569.0</v>
      </c>
      <c r="BC445" s="30">
        <v>46660.0</v>
      </c>
      <c r="BD445" s="36">
        <v>0.0</v>
      </c>
      <c r="BE445" s="36">
        <v>0.0</v>
      </c>
      <c r="BF445" s="35" t="s">
        <v>7045</v>
      </c>
      <c r="BG445" s="30">
        <v>46661.0</v>
      </c>
      <c r="BH445" s="30">
        <v>46752.0</v>
      </c>
      <c r="BI445" s="36">
        <v>0.0</v>
      </c>
      <c r="BJ445" s="36">
        <v>0.0</v>
      </c>
      <c r="BK445" s="35" t="s">
        <v>7045</v>
      </c>
      <c r="BL445" s="30">
        <v>46753.0</v>
      </c>
      <c r="BM445" s="30">
        <v>46843.0</v>
      </c>
      <c r="BN445" s="36">
        <v>0.0</v>
      </c>
      <c r="BO445" s="36">
        <v>0.0</v>
      </c>
      <c r="BP445" s="35" t="s">
        <v>7045</v>
      </c>
      <c r="BQ445" s="30">
        <v>46844.0</v>
      </c>
      <c r="BR445" s="30">
        <v>46934.0</v>
      </c>
      <c r="BS445" s="36">
        <v>0.0</v>
      </c>
      <c r="BT445" s="36">
        <v>0.0</v>
      </c>
      <c r="BU445" s="35" t="s">
        <v>7045</v>
      </c>
      <c r="BV445" s="30">
        <v>46935.0</v>
      </c>
      <c r="BW445" s="30">
        <v>47026.0</v>
      </c>
      <c r="BX445" s="36">
        <v>0.0</v>
      </c>
      <c r="BY445" s="36">
        <v>0.0</v>
      </c>
      <c r="BZ445" s="35" t="s">
        <v>7045</v>
      </c>
      <c r="CA445" s="30">
        <v>47027.0</v>
      </c>
      <c r="CB445" s="30">
        <v>47118.0</v>
      </c>
      <c r="CC445" s="36">
        <v>0.0</v>
      </c>
      <c r="CD445" s="36">
        <v>0.0</v>
      </c>
      <c r="CE445" s="35" t="s">
        <v>7045</v>
      </c>
      <c r="CF445" s="30">
        <v>47119.0</v>
      </c>
      <c r="CG445" s="30">
        <v>47208.0</v>
      </c>
      <c r="CH445" s="36">
        <v>0.0</v>
      </c>
      <c r="CI445" s="36">
        <v>0.0</v>
      </c>
      <c r="CJ445" s="35" t="s">
        <v>7045</v>
      </c>
      <c r="CK445" s="30">
        <v>47209.0</v>
      </c>
      <c r="CL445" s="30">
        <v>47299.0</v>
      </c>
      <c r="CM445" s="36">
        <v>0.0</v>
      </c>
      <c r="CN445" s="36">
        <v>0.0</v>
      </c>
      <c r="CO445" s="35" t="s">
        <v>7045</v>
      </c>
      <c r="CP445" s="30">
        <v>47300.0</v>
      </c>
      <c r="CQ445" s="30">
        <v>47391.0</v>
      </c>
      <c r="CR445" s="36">
        <v>0.0</v>
      </c>
      <c r="CS445" s="36">
        <v>0.0</v>
      </c>
      <c r="CT445" s="35" t="s">
        <v>7045</v>
      </c>
      <c r="CU445" s="30">
        <v>47392.0</v>
      </c>
      <c r="CV445" s="30">
        <v>47483.0</v>
      </c>
      <c r="CW445" s="36">
        <v>0.0</v>
      </c>
      <c r="CX445" s="36">
        <v>0.0</v>
      </c>
      <c r="CY445" s="35" t="s">
        <v>7045</v>
      </c>
      <c r="CZ445" s="30">
        <v>47484.0</v>
      </c>
      <c r="DA445" s="30">
        <v>47573.0</v>
      </c>
      <c r="DB445" s="36">
        <v>0.0</v>
      </c>
      <c r="DC445" s="36">
        <v>0.0</v>
      </c>
      <c r="DD445" s="35" t="s">
        <v>7045</v>
      </c>
      <c r="DE445" s="30">
        <v>47574.0</v>
      </c>
      <c r="DF445" s="30">
        <v>47664.0</v>
      </c>
      <c r="DG445" s="36">
        <v>0.0</v>
      </c>
      <c r="DH445" s="36">
        <v>0.0</v>
      </c>
      <c r="DI445" s="35" t="s">
        <v>7045</v>
      </c>
      <c r="DJ445" s="30">
        <v>47665.0</v>
      </c>
      <c r="DK445" s="30">
        <v>47756.0</v>
      </c>
      <c r="DL445" s="36">
        <v>0.0</v>
      </c>
      <c r="DM445" s="36">
        <v>0.0</v>
      </c>
      <c r="DN445" s="35" t="s">
        <v>7045</v>
      </c>
      <c r="DO445" s="30">
        <v>47757.0</v>
      </c>
      <c r="DP445" s="30">
        <v>47848.0</v>
      </c>
      <c r="DQ445" s="36">
        <v>0.0</v>
      </c>
      <c r="DR445" s="36">
        <v>0.0</v>
      </c>
      <c r="DS445" s="35" t="s">
        <v>7045</v>
      </c>
    </row>
    <row r="446" ht="14.25" customHeight="1">
      <c r="A446" s="28" t="s">
        <v>222</v>
      </c>
      <c r="B446" s="29" t="s">
        <v>223</v>
      </c>
      <c r="C446" s="29" t="s">
        <v>7041</v>
      </c>
      <c r="D446" s="30">
        <v>45658.0</v>
      </c>
      <c r="E446" s="30">
        <v>45747.0</v>
      </c>
      <c r="F446" s="36">
        <v>0.0</v>
      </c>
      <c r="G446" s="36">
        <v>0.0</v>
      </c>
      <c r="H446" s="35" t="s">
        <v>7045</v>
      </c>
      <c r="I446" s="30">
        <v>45748.0</v>
      </c>
      <c r="J446" s="30">
        <v>45838.0</v>
      </c>
      <c r="K446" s="36">
        <v>0.0</v>
      </c>
      <c r="L446" s="36">
        <v>0.0</v>
      </c>
      <c r="M446" s="35" t="s">
        <v>7045</v>
      </c>
      <c r="N446" s="30">
        <v>45839.0</v>
      </c>
      <c r="O446" s="30">
        <v>45930.0</v>
      </c>
      <c r="P446" s="36">
        <v>0.0</v>
      </c>
      <c r="Q446" s="36">
        <v>154.98</v>
      </c>
      <c r="R446" s="35" t="s">
        <v>7043</v>
      </c>
      <c r="S446" s="30">
        <v>45931.0</v>
      </c>
      <c r="T446" s="30">
        <v>46022.0</v>
      </c>
      <c r="U446" s="36">
        <v>0.0</v>
      </c>
      <c r="V446" s="36">
        <v>154.98</v>
      </c>
      <c r="W446" s="35" t="s">
        <v>7043</v>
      </c>
      <c r="X446" s="30">
        <v>46023.0</v>
      </c>
      <c r="Y446" s="30">
        <v>46112.0</v>
      </c>
      <c r="Z446" s="36">
        <v>0.0</v>
      </c>
      <c r="AA446" s="36">
        <v>0.0</v>
      </c>
      <c r="AB446" s="35" t="s">
        <v>7045</v>
      </c>
      <c r="AC446" s="30">
        <v>46113.0</v>
      </c>
      <c r="AD446" s="30">
        <v>46203.0</v>
      </c>
      <c r="AE446" s="36">
        <v>0.0</v>
      </c>
      <c r="AF446" s="36">
        <v>0.0</v>
      </c>
      <c r="AG446" s="35" t="s">
        <v>7045</v>
      </c>
      <c r="AH446" s="30">
        <v>46204.0</v>
      </c>
      <c r="AI446" s="30">
        <v>46295.0</v>
      </c>
      <c r="AJ446" s="36">
        <v>0.0</v>
      </c>
      <c r="AK446" s="36">
        <v>0.0</v>
      </c>
      <c r="AL446" s="35" t="s">
        <v>7045</v>
      </c>
      <c r="AM446" s="30">
        <v>46296.0</v>
      </c>
      <c r="AN446" s="30">
        <v>46387.0</v>
      </c>
      <c r="AO446" s="36">
        <v>0.0</v>
      </c>
      <c r="AP446" s="36">
        <v>0.0</v>
      </c>
      <c r="AQ446" s="35" t="s">
        <v>7045</v>
      </c>
      <c r="AR446" s="30">
        <v>46388.0</v>
      </c>
      <c r="AS446" s="30">
        <v>46477.0</v>
      </c>
      <c r="AT446" s="36">
        <v>0.0</v>
      </c>
      <c r="AU446" s="36">
        <v>0.0</v>
      </c>
      <c r="AV446" s="35" t="s">
        <v>7045</v>
      </c>
      <c r="AW446" s="30">
        <v>46478.0</v>
      </c>
      <c r="AX446" s="30">
        <v>46568.0</v>
      </c>
      <c r="AY446" s="36">
        <v>0.0</v>
      </c>
      <c r="AZ446" s="36">
        <v>0.0</v>
      </c>
      <c r="BA446" s="35" t="s">
        <v>7045</v>
      </c>
      <c r="BB446" s="30">
        <v>46569.0</v>
      </c>
      <c r="BC446" s="30">
        <v>46660.0</v>
      </c>
      <c r="BD446" s="36">
        <v>0.0</v>
      </c>
      <c r="BE446" s="36">
        <v>0.0</v>
      </c>
      <c r="BF446" s="35" t="s">
        <v>7045</v>
      </c>
      <c r="BG446" s="30">
        <v>46661.0</v>
      </c>
      <c r="BH446" s="30">
        <v>46752.0</v>
      </c>
      <c r="BI446" s="36">
        <v>0.0</v>
      </c>
      <c r="BJ446" s="36">
        <v>0.0</v>
      </c>
      <c r="BK446" s="35" t="s">
        <v>7045</v>
      </c>
      <c r="BL446" s="30">
        <v>46753.0</v>
      </c>
      <c r="BM446" s="30">
        <v>46843.0</v>
      </c>
      <c r="BN446" s="36">
        <v>0.0</v>
      </c>
      <c r="BO446" s="36">
        <v>0.0</v>
      </c>
      <c r="BP446" s="35" t="s">
        <v>7045</v>
      </c>
      <c r="BQ446" s="30">
        <v>46844.0</v>
      </c>
      <c r="BR446" s="30">
        <v>46934.0</v>
      </c>
      <c r="BS446" s="36">
        <v>0.0</v>
      </c>
      <c r="BT446" s="36">
        <v>0.0</v>
      </c>
      <c r="BU446" s="35" t="s">
        <v>7045</v>
      </c>
      <c r="BV446" s="30">
        <v>46935.0</v>
      </c>
      <c r="BW446" s="30">
        <v>47026.0</v>
      </c>
      <c r="BX446" s="36">
        <v>0.0</v>
      </c>
      <c r="BY446" s="36">
        <v>0.0</v>
      </c>
      <c r="BZ446" s="35" t="s">
        <v>7045</v>
      </c>
      <c r="CA446" s="30">
        <v>47027.0</v>
      </c>
      <c r="CB446" s="30">
        <v>47118.0</v>
      </c>
      <c r="CC446" s="36">
        <v>0.0</v>
      </c>
      <c r="CD446" s="36">
        <v>0.0</v>
      </c>
      <c r="CE446" s="35" t="s">
        <v>7045</v>
      </c>
      <c r="CF446" s="30">
        <v>47119.0</v>
      </c>
      <c r="CG446" s="30">
        <v>47208.0</v>
      </c>
      <c r="CH446" s="36">
        <v>0.0</v>
      </c>
      <c r="CI446" s="36">
        <v>0.0</v>
      </c>
      <c r="CJ446" s="35" t="s">
        <v>7045</v>
      </c>
      <c r="CK446" s="30">
        <v>47209.0</v>
      </c>
      <c r="CL446" s="30">
        <v>47299.0</v>
      </c>
      <c r="CM446" s="36">
        <v>0.0</v>
      </c>
      <c r="CN446" s="36">
        <v>0.0</v>
      </c>
      <c r="CO446" s="35" t="s">
        <v>7045</v>
      </c>
      <c r="CP446" s="30">
        <v>47300.0</v>
      </c>
      <c r="CQ446" s="30">
        <v>47391.0</v>
      </c>
      <c r="CR446" s="36">
        <v>0.0</v>
      </c>
      <c r="CS446" s="36">
        <v>0.0</v>
      </c>
      <c r="CT446" s="35" t="s">
        <v>7045</v>
      </c>
      <c r="CU446" s="30">
        <v>47392.0</v>
      </c>
      <c r="CV446" s="30">
        <v>47483.0</v>
      </c>
      <c r="CW446" s="36">
        <v>0.0</v>
      </c>
      <c r="CX446" s="36">
        <v>0.0</v>
      </c>
      <c r="CY446" s="35" t="s">
        <v>7045</v>
      </c>
      <c r="CZ446" s="30">
        <v>47484.0</v>
      </c>
      <c r="DA446" s="30">
        <v>47573.0</v>
      </c>
      <c r="DB446" s="36">
        <v>0.0</v>
      </c>
      <c r="DC446" s="36">
        <v>0.0</v>
      </c>
      <c r="DD446" s="35" t="s">
        <v>7045</v>
      </c>
      <c r="DE446" s="30">
        <v>47574.0</v>
      </c>
      <c r="DF446" s="30">
        <v>47664.0</v>
      </c>
      <c r="DG446" s="36">
        <v>0.0</v>
      </c>
      <c r="DH446" s="36">
        <v>0.0</v>
      </c>
      <c r="DI446" s="35" t="s">
        <v>7045</v>
      </c>
      <c r="DJ446" s="30">
        <v>47665.0</v>
      </c>
      <c r="DK446" s="30">
        <v>47756.0</v>
      </c>
      <c r="DL446" s="36">
        <v>0.0</v>
      </c>
      <c r="DM446" s="36">
        <v>0.0</v>
      </c>
      <c r="DN446" s="35" t="s">
        <v>7045</v>
      </c>
      <c r="DO446" s="30">
        <v>47757.0</v>
      </c>
      <c r="DP446" s="30">
        <v>47848.0</v>
      </c>
      <c r="DQ446" s="36">
        <v>0.0</v>
      </c>
      <c r="DR446" s="36">
        <v>0.0</v>
      </c>
      <c r="DS446" s="35" t="s">
        <v>7045</v>
      </c>
    </row>
    <row r="447" ht="14.25" customHeight="1">
      <c r="A447" s="28" t="s">
        <v>4156</v>
      </c>
      <c r="B447" s="29" t="s">
        <v>4157</v>
      </c>
      <c r="C447" s="29" t="s">
        <v>7041</v>
      </c>
      <c r="D447" s="30">
        <v>45658.0</v>
      </c>
      <c r="E447" s="30">
        <v>45747.0</v>
      </c>
      <c r="F447" s="36">
        <v>4.52</v>
      </c>
      <c r="G447" s="36">
        <v>0.0</v>
      </c>
      <c r="H447" s="38" t="s">
        <v>7047</v>
      </c>
      <c r="I447" s="30">
        <v>45748.0</v>
      </c>
      <c r="J447" s="30">
        <v>45838.0</v>
      </c>
      <c r="K447" s="36">
        <v>19.33</v>
      </c>
      <c r="L447" s="36">
        <v>71.33</v>
      </c>
      <c r="M447" s="37" t="s">
        <v>7043</v>
      </c>
      <c r="N447" s="30">
        <v>45839.0</v>
      </c>
      <c r="O447" s="30">
        <v>45930.0</v>
      </c>
      <c r="P447" s="36">
        <v>60.1</v>
      </c>
      <c r="Q447" s="36">
        <v>107.33</v>
      </c>
      <c r="R447" s="38" t="s">
        <v>7047</v>
      </c>
      <c r="S447" s="30">
        <v>45931.0</v>
      </c>
      <c r="T447" s="30">
        <v>46022.0</v>
      </c>
      <c r="U447" s="36">
        <v>244.99</v>
      </c>
      <c r="V447" s="36">
        <v>107.33</v>
      </c>
      <c r="W447" s="38" t="s">
        <v>7047</v>
      </c>
      <c r="X447" s="30">
        <v>46023.0</v>
      </c>
      <c r="Y447" s="30">
        <v>46112.0</v>
      </c>
      <c r="Z447" s="36">
        <v>0.0</v>
      </c>
      <c r="AA447" s="36">
        <v>0.0</v>
      </c>
      <c r="AB447" s="35" t="s">
        <v>7045</v>
      </c>
      <c r="AC447" s="30">
        <v>46113.0</v>
      </c>
      <c r="AD447" s="30">
        <v>46203.0</v>
      </c>
      <c r="AE447" s="36">
        <v>25.0</v>
      </c>
      <c r="AF447" s="36">
        <v>0.0</v>
      </c>
      <c r="AG447" s="38" t="s">
        <v>7047</v>
      </c>
      <c r="AH447" s="30">
        <v>46204.0</v>
      </c>
      <c r="AI447" s="30">
        <v>46295.0</v>
      </c>
      <c r="AJ447" s="36">
        <v>0.0</v>
      </c>
      <c r="AK447" s="36">
        <v>0.0</v>
      </c>
      <c r="AL447" s="35" t="s">
        <v>7045</v>
      </c>
      <c r="AM447" s="30">
        <v>46296.0</v>
      </c>
      <c r="AN447" s="30">
        <v>46387.0</v>
      </c>
      <c r="AO447" s="36">
        <v>0.0</v>
      </c>
      <c r="AP447" s="36">
        <v>0.0</v>
      </c>
      <c r="AQ447" s="35" t="s">
        <v>7045</v>
      </c>
      <c r="AR447" s="30">
        <v>46388.0</v>
      </c>
      <c r="AS447" s="30">
        <v>46477.0</v>
      </c>
      <c r="AT447" s="36">
        <v>0.0</v>
      </c>
      <c r="AU447" s="36">
        <v>0.0</v>
      </c>
      <c r="AV447" s="35" t="s">
        <v>7045</v>
      </c>
      <c r="AW447" s="30">
        <v>46478.0</v>
      </c>
      <c r="AX447" s="30">
        <v>46568.0</v>
      </c>
      <c r="AY447" s="36">
        <v>0.0</v>
      </c>
      <c r="AZ447" s="36">
        <v>0.0</v>
      </c>
      <c r="BA447" s="35" t="s">
        <v>7045</v>
      </c>
      <c r="BB447" s="30">
        <v>46569.0</v>
      </c>
      <c r="BC447" s="30">
        <v>46660.0</v>
      </c>
      <c r="BD447" s="36">
        <v>0.0</v>
      </c>
      <c r="BE447" s="36">
        <v>0.0</v>
      </c>
      <c r="BF447" s="35" t="s">
        <v>7045</v>
      </c>
      <c r="BG447" s="30">
        <v>46661.0</v>
      </c>
      <c r="BH447" s="30">
        <v>46752.0</v>
      </c>
      <c r="BI447" s="36">
        <v>0.0</v>
      </c>
      <c r="BJ447" s="36">
        <v>0.0</v>
      </c>
      <c r="BK447" s="35" t="s">
        <v>7045</v>
      </c>
      <c r="BL447" s="30">
        <v>46753.0</v>
      </c>
      <c r="BM447" s="30">
        <v>46843.0</v>
      </c>
      <c r="BN447" s="36">
        <v>0.0</v>
      </c>
      <c r="BO447" s="36">
        <v>0.0</v>
      </c>
      <c r="BP447" s="35" t="s">
        <v>7045</v>
      </c>
      <c r="BQ447" s="30">
        <v>46844.0</v>
      </c>
      <c r="BR447" s="30">
        <v>46934.0</v>
      </c>
      <c r="BS447" s="36">
        <v>0.0</v>
      </c>
      <c r="BT447" s="36">
        <v>0.0</v>
      </c>
      <c r="BU447" s="35" t="s">
        <v>7045</v>
      </c>
      <c r="BV447" s="30">
        <v>46935.0</v>
      </c>
      <c r="BW447" s="30">
        <v>47026.0</v>
      </c>
      <c r="BX447" s="36">
        <v>0.0</v>
      </c>
      <c r="BY447" s="36">
        <v>0.0</v>
      </c>
      <c r="BZ447" s="35" t="s">
        <v>7045</v>
      </c>
      <c r="CA447" s="30">
        <v>47027.0</v>
      </c>
      <c r="CB447" s="30">
        <v>47118.0</v>
      </c>
      <c r="CC447" s="36">
        <v>0.0</v>
      </c>
      <c r="CD447" s="36">
        <v>0.0</v>
      </c>
      <c r="CE447" s="35" t="s">
        <v>7045</v>
      </c>
      <c r="CF447" s="30">
        <v>47119.0</v>
      </c>
      <c r="CG447" s="30">
        <v>47208.0</v>
      </c>
      <c r="CH447" s="36">
        <v>0.0</v>
      </c>
      <c r="CI447" s="36">
        <v>0.0</v>
      </c>
      <c r="CJ447" s="35" t="s">
        <v>7045</v>
      </c>
      <c r="CK447" s="30">
        <v>47209.0</v>
      </c>
      <c r="CL447" s="30">
        <v>47299.0</v>
      </c>
      <c r="CM447" s="36">
        <v>0.0</v>
      </c>
      <c r="CN447" s="36">
        <v>0.0</v>
      </c>
      <c r="CO447" s="35" t="s">
        <v>7045</v>
      </c>
      <c r="CP447" s="30">
        <v>47300.0</v>
      </c>
      <c r="CQ447" s="30">
        <v>47391.0</v>
      </c>
      <c r="CR447" s="36">
        <v>0.0</v>
      </c>
      <c r="CS447" s="36">
        <v>0.0</v>
      </c>
      <c r="CT447" s="35" t="s">
        <v>7045</v>
      </c>
      <c r="CU447" s="30">
        <v>47392.0</v>
      </c>
      <c r="CV447" s="30">
        <v>47483.0</v>
      </c>
      <c r="CW447" s="36">
        <v>0.0</v>
      </c>
      <c r="CX447" s="36">
        <v>0.0</v>
      </c>
      <c r="CY447" s="35" t="s">
        <v>7045</v>
      </c>
      <c r="CZ447" s="30">
        <v>47484.0</v>
      </c>
      <c r="DA447" s="30">
        <v>47573.0</v>
      </c>
      <c r="DB447" s="36">
        <v>0.0</v>
      </c>
      <c r="DC447" s="36">
        <v>0.0</v>
      </c>
      <c r="DD447" s="35" t="s">
        <v>7045</v>
      </c>
      <c r="DE447" s="30">
        <v>47574.0</v>
      </c>
      <c r="DF447" s="30">
        <v>47664.0</v>
      </c>
      <c r="DG447" s="36">
        <v>0.0</v>
      </c>
      <c r="DH447" s="36">
        <v>0.0</v>
      </c>
      <c r="DI447" s="35" t="s">
        <v>7045</v>
      </c>
      <c r="DJ447" s="30">
        <v>47665.0</v>
      </c>
      <c r="DK447" s="30">
        <v>47756.0</v>
      </c>
      <c r="DL447" s="36">
        <v>0.0</v>
      </c>
      <c r="DM447" s="36">
        <v>0.0</v>
      </c>
      <c r="DN447" s="35" t="s">
        <v>7045</v>
      </c>
      <c r="DO447" s="30">
        <v>47757.0</v>
      </c>
      <c r="DP447" s="30">
        <v>47848.0</v>
      </c>
      <c r="DQ447" s="36">
        <v>0.0</v>
      </c>
      <c r="DR447" s="36">
        <v>0.0</v>
      </c>
      <c r="DS447" s="35" t="s">
        <v>7045</v>
      </c>
    </row>
    <row r="448" ht="14.25" customHeight="1">
      <c r="A448" s="28" t="s">
        <v>3844</v>
      </c>
      <c r="B448" s="29" t="s">
        <v>3845</v>
      </c>
      <c r="C448" s="29" t="s">
        <v>7041</v>
      </c>
      <c r="D448" s="30">
        <v>45658.0</v>
      </c>
      <c r="E448" s="30">
        <v>45747.0</v>
      </c>
      <c r="F448" s="36">
        <v>0.0</v>
      </c>
      <c r="G448" s="36">
        <v>0.0</v>
      </c>
      <c r="H448" s="35" t="s">
        <v>7045</v>
      </c>
      <c r="I448" s="30">
        <v>45748.0</v>
      </c>
      <c r="J448" s="30">
        <v>45838.0</v>
      </c>
      <c r="K448" s="36">
        <v>0.0</v>
      </c>
      <c r="L448" s="36">
        <v>166.67</v>
      </c>
      <c r="M448" s="32" t="s">
        <v>7043</v>
      </c>
      <c r="N448" s="30">
        <v>45839.0</v>
      </c>
      <c r="O448" s="30">
        <v>45930.0</v>
      </c>
      <c r="P448" s="36">
        <v>0.0</v>
      </c>
      <c r="Q448" s="36">
        <v>250.01</v>
      </c>
      <c r="R448" s="32" t="s">
        <v>7043</v>
      </c>
      <c r="S448" s="30">
        <v>45931.0</v>
      </c>
      <c r="T448" s="30">
        <v>46022.0</v>
      </c>
      <c r="U448" s="36">
        <v>0.0</v>
      </c>
      <c r="V448" s="36">
        <v>250.01</v>
      </c>
      <c r="W448" s="32" t="s">
        <v>7043</v>
      </c>
      <c r="X448" s="30">
        <v>46023.0</v>
      </c>
      <c r="Y448" s="30">
        <v>46112.0</v>
      </c>
      <c r="Z448" s="36">
        <v>0.0</v>
      </c>
      <c r="AA448" s="36">
        <v>0.0</v>
      </c>
      <c r="AB448" s="35" t="s">
        <v>7045</v>
      </c>
      <c r="AC448" s="30">
        <v>46113.0</v>
      </c>
      <c r="AD448" s="30">
        <v>46203.0</v>
      </c>
      <c r="AE448" s="36">
        <v>0.0</v>
      </c>
      <c r="AF448" s="36">
        <v>0.0</v>
      </c>
      <c r="AG448" s="35" t="s">
        <v>7045</v>
      </c>
      <c r="AH448" s="30">
        <v>46204.0</v>
      </c>
      <c r="AI448" s="30">
        <v>46295.0</v>
      </c>
      <c r="AJ448" s="36">
        <v>0.0</v>
      </c>
      <c r="AK448" s="36">
        <v>0.0</v>
      </c>
      <c r="AL448" s="35" t="s">
        <v>7045</v>
      </c>
      <c r="AM448" s="30">
        <v>46296.0</v>
      </c>
      <c r="AN448" s="30">
        <v>46387.0</v>
      </c>
      <c r="AO448" s="36">
        <v>0.0</v>
      </c>
      <c r="AP448" s="36">
        <v>0.0</v>
      </c>
      <c r="AQ448" s="35" t="s">
        <v>7045</v>
      </c>
      <c r="AR448" s="30">
        <v>46388.0</v>
      </c>
      <c r="AS448" s="30">
        <v>46477.0</v>
      </c>
      <c r="AT448" s="36">
        <v>0.0</v>
      </c>
      <c r="AU448" s="36">
        <v>0.0</v>
      </c>
      <c r="AV448" s="35" t="s">
        <v>7045</v>
      </c>
      <c r="AW448" s="30">
        <v>46478.0</v>
      </c>
      <c r="AX448" s="30">
        <v>46568.0</v>
      </c>
      <c r="AY448" s="36">
        <v>0.0</v>
      </c>
      <c r="AZ448" s="36">
        <v>0.0</v>
      </c>
      <c r="BA448" s="35" t="s">
        <v>7045</v>
      </c>
      <c r="BB448" s="30">
        <v>46569.0</v>
      </c>
      <c r="BC448" s="30">
        <v>46660.0</v>
      </c>
      <c r="BD448" s="36">
        <v>0.0</v>
      </c>
      <c r="BE448" s="36">
        <v>0.0</v>
      </c>
      <c r="BF448" s="35" t="s">
        <v>7045</v>
      </c>
      <c r="BG448" s="30">
        <v>46661.0</v>
      </c>
      <c r="BH448" s="30">
        <v>46752.0</v>
      </c>
      <c r="BI448" s="36">
        <v>0.0</v>
      </c>
      <c r="BJ448" s="36">
        <v>0.0</v>
      </c>
      <c r="BK448" s="35" t="s">
        <v>7045</v>
      </c>
      <c r="BL448" s="30">
        <v>46753.0</v>
      </c>
      <c r="BM448" s="30">
        <v>46843.0</v>
      </c>
      <c r="BN448" s="36">
        <v>0.0</v>
      </c>
      <c r="BO448" s="36">
        <v>0.0</v>
      </c>
      <c r="BP448" s="35" t="s">
        <v>7045</v>
      </c>
      <c r="BQ448" s="30">
        <v>46844.0</v>
      </c>
      <c r="BR448" s="30">
        <v>46934.0</v>
      </c>
      <c r="BS448" s="36">
        <v>0.0</v>
      </c>
      <c r="BT448" s="36">
        <v>0.0</v>
      </c>
      <c r="BU448" s="35" t="s">
        <v>7045</v>
      </c>
      <c r="BV448" s="30">
        <v>46935.0</v>
      </c>
      <c r="BW448" s="30">
        <v>47026.0</v>
      </c>
      <c r="BX448" s="36">
        <v>0.0</v>
      </c>
      <c r="BY448" s="36">
        <v>0.0</v>
      </c>
      <c r="BZ448" s="35" t="s">
        <v>7045</v>
      </c>
      <c r="CA448" s="30">
        <v>47027.0</v>
      </c>
      <c r="CB448" s="30">
        <v>47118.0</v>
      </c>
      <c r="CC448" s="36">
        <v>0.0</v>
      </c>
      <c r="CD448" s="36">
        <v>0.0</v>
      </c>
      <c r="CE448" s="35" t="s">
        <v>7045</v>
      </c>
      <c r="CF448" s="30">
        <v>47119.0</v>
      </c>
      <c r="CG448" s="30">
        <v>47208.0</v>
      </c>
      <c r="CH448" s="36">
        <v>0.0</v>
      </c>
      <c r="CI448" s="36">
        <v>0.0</v>
      </c>
      <c r="CJ448" s="35" t="s">
        <v>7045</v>
      </c>
      <c r="CK448" s="30">
        <v>47209.0</v>
      </c>
      <c r="CL448" s="30">
        <v>47299.0</v>
      </c>
      <c r="CM448" s="36">
        <v>0.0</v>
      </c>
      <c r="CN448" s="36">
        <v>0.0</v>
      </c>
      <c r="CO448" s="35" t="s">
        <v>7045</v>
      </c>
      <c r="CP448" s="30">
        <v>47300.0</v>
      </c>
      <c r="CQ448" s="30">
        <v>47391.0</v>
      </c>
      <c r="CR448" s="36">
        <v>0.0</v>
      </c>
      <c r="CS448" s="36">
        <v>0.0</v>
      </c>
      <c r="CT448" s="35" t="s">
        <v>7045</v>
      </c>
      <c r="CU448" s="30">
        <v>47392.0</v>
      </c>
      <c r="CV448" s="30">
        <v>47483.0</v>
      </c>
      <c r="CW448" s="36">
        <v>0.0</v>
      </c>
      <c r="CX448" s="36">
        <v>0.0</v>
      </c>
      <c r="CY448" s="35" t="s">
        <v>7045</v>
      </c>
      <c r="CZ448" s="30">
        <v>47484.0</v>
      </c>
      <c r="DA448" s="30">
        <v>47573.0</v>
      </c>
      <c r="DB448" s="36">
        <v>0.0</v>
      </c>
      <c r="DC448" s="36">
        <v>0.0</v>
      </c>
      <c r="DD448" s="35" t="s">
        <v>7045</v>
      </c>
      <c r="DE448" s="30">
        <v>47574.0</v>
      </c>
      <c r="DF448" s="30">
        <v>47664.0</v>
      </c>
      <c r="DG448" s="36">
        <v>0.0</v>
      </c>
      <c r="DH448" s="36">
        <v>0.0</v>
      </c>
      <c r="DI448" s="35" t="s">
        <v>7045</v>
      </c>
      <c r="DJ448" s="30">
        <v>47665.0</v>
      </c>
      <c r="DK448" s="30">
        <v>47756.0</v>
      </c>
      <c r="DL448" s="36">
        <v>0.0</v>
      </c>
      <c r="DM448" s="36">
        <v>0.0</v>
      </c>
      <c r="DN448" s="35" t="s">
        <v>7045</v>
      </c>
      <c r="DO448" s="30">
        <v>47757.0</v>
      </c>
      <c r="DP448" s="30">
        <v>47848.0</v>
      </c>
      <c r="DQ448" s="36">
        <v>0.0</v>
      </c>
      <c r="DR448" s="36">
        <v>0.0</v>
      </c>
      <c r="DS448" s="35" t="s">
        <v>7045</v>
      </c>
    </row>
    <row r="449" ht="14.25" customHeight="1">
      <c r="A449" s="28" t="s">
        <v>6022</v>
      </c>
      <c r="B449" s="29" t="s">
        <v>6023</v>
      </c>
      <c r="C449" s="29" t="s">
        <v>7041</v>
      </c>
      <c r="D449" s="30">
        <v>45658.0</v>
      </c>
      <c r="E449" s="30">
        <v>45747.0</v>
      </c>
      <c r="F449" s="39">
        <v>7.09</v>
      </c>
      <c r="G449" s="39">
        <v>0.0</v>
      </c>
      <c r="H449" s="38" t="s">
        <v>7047</v>
      </c>
      <c r="I449" s="30">
        <v>45748.0</v>
      </c>
      <c r="J449" s="30">
        <v>45838.0</v>
      </c>
      <c r="K449" s="39">
        <v>7.09</v>
      </c>
      <c r="L449" s="39">
        <v>0.0</v>
      </c>
      <c r="M449" s="38" t="s">
        <v>7047</v>
      </c>
      <c r="N449" s="30">
        <v>45839.0</v>
      </c>
      <c r="O449" s="30">
        <v>45930.0</v>
      </c>
      <c r="P449" s="39">
        <v>7.09</v>
      </c>
      <c r="Q449" s="39">
        <v>0.0</v>
      </c>
      <c r="R449" s="35" t="s">
        <v>7047</v>
      </c>
      <c r="S449" s="30">
        <v>45931.0</v>
      </c>
      <c r="T449" s="30">
        <v>46022.0</v>
      </c>
      <c r="U449" s="39">
        <v>39.74</v>
      </c>
      <c r="V449" s="39">
        <v>0.0</v>
      </c>
      <c r="W449" s="35" t="s">
        <v>7047</v>
      </c>
      <c r="X449" s="30">
        <v>46023.0</v>
      </c>
      <c r="Y449" s="30">
        <v>46112.0</v>
      </c>
      <c r="Z449" s="39">
        <v>0.0</v>
      </c>
      <c r="AA449" s="39">
        <v>0.0</v>
      </c>
      <c r="AB449" s="35" t="s">
        <v>7045</v>
      </c>
      <c r="AC449" s="30">
        <v>46113.0</v>
      </c>
      <c r="AD449" s="30">
        <v>46203.0</v>
      </c>
      <c r="AE449" s="39">
        <v>0.0</v>
      </c>
      <c r="AF449" s="39">
        <v>0.0</v>
      </c>
      <c r="AG449" s="35" t="s">
        <v>7045</v>
      </c>
      <c r="AH449" s="30">
        <v>46204.0</v>
      </c>
      <c r="AI449" s="30">
        <v>46295.0</v>
      </c>
      <c r="AJ449" s="39">
        <v>0.0</v>
      </c>
      <c r="AK449" s="39">
        <v>0.0</v>
      </c>
      <c r="AL449" s="35" t="s">
        <v>7045</v>
      </c>
      <c r="AM449" s="30">
        <v>46296.0</v>
      </c>
      <c r="AN449" s="30">
        <v>46387.0</v>
      </c>
      <c r="AO449" s="39">
        <v>0.0</v>
      </c>
      <c r="AP449" s="39">
        <v>0.0</v>
      </c>
      <c r="AQ449" s="35" t="s">
        <v>7045</v>
      </c>
      <c r="AR449" s="30">
        <v>46388.0</v>
      </c>
      <c r="AS449" s="30">
        <v>46477.0</v>
      </c>
      <c r="AT449" s="39">
        <v>0.0</v>
      </c>
      <c r="AU449" s="39">
        <v>0.0</v>
      </c>
      <c r="AV449" s="35" t="s">
        <v>7045</v>
      </c>
      <c r="AW449" s="30">
        <v>46478.0</v>
      </c>
      <c r="AX449" s="30">
        <v>46568.0</v>
      </c>
      <c r="AY449" s="39">
        <v>0.0</v>
      </c>
      <c r="AZ449" s="39">
        <v>0.0</v>
      </c>
      <c r="BA449" s="35" t="s">
        <v>7045</v>
      </c>
      <c r="BB449" s="30">
        <v>46569.0</v>
      </c>
      <c r="BC449" s="30">
        <v>46660.0</v>
      </c>
      <c r="BD449" s="39">
        <v>0.0</v>
      </c>
      <c r="BE449" s="39">
        <v>0.0</v>
      </c>
      <c r="BF449" s="35" t="s">
        <v>7045</v>
      </c>
      <c r="BG449" s="30">
        <v>46661.0</v>
      </c>
      <c r="BH449" s="30">
        <v>46752.0</v>
      </c>
      <c r="BI449" s="39">
        <v>0.0</v>
      </c>
      <c r="BJ449" s="39">
        <v>0.0</v>
      </c>
      <c r="BK449" s="35" t="s">
        <v>7045</v>
      </c>
      <c r="BL449" s="30">
        <v>46753.0</v>
      </c>
      <c r="BM449" s="30">
        <v>46843.0</v>
      </c>
      <c r="BN449" s="39">
        <v>0.0</v>
      </c>
      <c r="BO449" s="39">
        <v>0.0</v>
      </c>
      <c r="BP449" s="35" t="s">
        <v>7045</v>
      </c>
      <c r="BQ449" s="30">
        <v>46844.0</v>
      </c>
      <c r="BR449" s="30">
        <v>46934.0</v>
      </c>
      <c r="BS449" s="39">
        <v>0.0</v>
      </c>
      <c r="BT449" s="39">
        <v>0.0</v>
      </c>
      <c r="BU449" s="35" t="s">
        <v>7045</v>
      </c>
      <c r="BV449" s="30">
        <v>46935.0</v>
      </c>
      <c r="BW449" s="30">
        <v>47026.0</v>
      </c>
      <c r="BX449" s="39">
        <v>0.0</v>
      </c>
      <c r="BY449" s="39">
        <v>0.0</v>
      </c>
      <c r="BZ449" s="35" t="s">
        <v>7045</v>
      </c>
      <c r="CA449" s="30">
        <v>47027.0</v>
      </c>
      <c r="CB449" s="30">
        <v>47118.0</v>
      </c>
      <c r="CC449" s="39">
        <v>0.0</v>
      </c>
      <c r="CD449" s="39">
        <v>0.0</v>
      </c>
      <c r="CE449" s="35" t="s">
        <v>7045</v>
      </c>
      <c r="CF449" s="30">
        <v>47119.0</v>
      </c>
      <c r="CG449" s="30">
        <v>47208.0</v>
      </c>
      <c r="CH449" s="39">
        <v>0.0</v>
      </c>
      <c r="CI449" s="39">
        <v>0.0</v>
      </c>
      <c r="CJ449" s="35" t="s">
        <v>7045</v>
      </c>
      <c r="CK449" s="30">
        <v>47209.0</v>
      </c>
      <c r="CL449" s="30">
        <v>47299.0</v>
      </c>
      <c r="CM449" s="39">
        <v>0.0</v>
      </c>
      <c r="CN449" s="39">
        <v>0.0</v>
      </c>
      <c r="CO449" s="35" t="s">
        <v>7045</v>
      </c>
      <c r="CP449" s="30">
        <v>47300.0</v>
      </c>
      <c r="CQ449" s="30">
        <v>47391.0</v>
      </c>
      <c r="CR449" s="39">
        <v>0.0</v>
      </c>
      <c r="CS449" s="39">
        <v>0.0</v>
      </c>
      <c r="CT449" s="35" t="s">
        <v>7045</v>
      </c>
      <c r="CU449" s="30">
        <v>47392.0</v>
      </c>
      <c r="CV449" s="30">
        <v>47483.0</v>
      </c>
      <c r="CW449" s="39">
        <v>0.0</v>
      </c>
      <c r="CX449" s="39">
        <v>0.0</v>
      </c>
      <c r="CY449" s="35" t="s">
        <v>7045</v>
      </c>
      <c r="CZ449" s="30">
        <v>47484.0</v>
      </c>
      <c r="DA449" s="30">
        <v>47573.0</v>
      </c>
      <c r="DB449" s="39">
        <v>0.0</v>
      </c>
      <c r="DC449" s="39">
        <v>0.0</v>
      </c>
      <c r="DD449" s="35" t="s">
        <v>7045</v>
      </c>
      <c r="DE449" s="30">
        <v>47574.0</v>
      </c>
      <c r="DF449" s="30">
        <v>47664.0</v>
      </c>
      <c r="DG449" s="39">
        <v>0.0</v>
      </c>
      <c r="DH449" s="39">
        <v>0.0</v>
      </c>
      <c r="DI449" s="35" t="s">
        <v>7045</v>
      </c>
      <c r="DJ449" s="30">
        <v>47665.0</v>
      </c>
      <c r="DK449" s="30">
        <v>47756.0</v>
      </c>
      <c r="DL449" s="39">
        <v>0.0</v>
      </c>
      <c r="DM449" s="39">
        <v>0.0</v>
      </c>
      <c r="DN449" s="35" t="s">
        <v>7045</v>
      </c>
      <c r="DO449" s="30">
        <v>47757.0</v>
      </c>
      <c r="DP449" s="30">
        <v>47848.0</v>
      </c>
      <c r="DQ449" s="39">
        <v>0.0</v>
      </c>
      <c r="DR449" s="39">
        <v>0.0</v>
      </c>
      <c r="DS449" s="35" t="s">
        <v>7045</v>
      </c>
    </row>
    <row r="450" ht="14.25" customHeight="1">
      <c r="A450" s="28" t="s">
        <v>6960</v>
      </c>
      <c r="B450" s="29" t="s">
        <v>6961</v>
      </c>
      <c r="C450" s="29" t="s">
        <v>7041</v>
      </c>
      <c r="D450" s="30">
        <v>45658.0</v>
      </c>
      <c r="E450" s="30">
        <v>45747.0</v>
      </c>
      <c r="F450" s="39">
        <v>0.0</v>
      </c>
      <c r="G450" s="39">
        <v>0.0</v>
      </c>
      <c r="H450" s="35" t="s">
        <v>7045</v>
      </c>
      <c r="I450" s="30">
        <v>45748.0</v>
      </c>
      <c r="J450" s="30">
        <v>45838.0</v>
      </c>
      <c r="K450" s="39">
        <v>0.0</v>
      </c>
      <c r="L450" s="39">
        <v>1000.0</v>
      </c>
      <c r="M450" s="32" t="s">
        <v>7043</v>
      </c>
      <c r="N450" s="30">
        <v>45839.0</v>
      </c>
      <c r="O450" s="30">
        <v>45930.0</v>
      </c>
      <c r="P450" s="39">
        <v>605.0</v>
      </c>
      <c r="Q450" s="39">
        <v>1333.33</v>
      </c>
      <c r="R450" s="38" t="s">
        <v>7047</v>
      </c>
      <c r="S450" s="30">
        <v>45931.0</v>
      </c>
      <c r="T450" s="30">
        <v>46022.0</v>
      </c>
      <c r="U450" s="39">
        <v>30.0</v>
      </c>
      <c r="V450" s="39">
        <v>1450.0</v>
      </c>
      <c r="W450" s="38" t="s">
        <v>7047</v>
      </c>
      <c r="X450" s="30">
        <v>46023.0</v>
      </c>
      <c r="Y450" s="30">
        <v>46112.0</v>
      </c>
      <c r="Z450" s="39">
        <v>0.0</v>
      </c>
      <c r="AA450" s="39">
        <v>0.0</v>
      </c>
      <c r="AB450" s="35" t="s">
        <v>7045</v>
      </c>
      <c r="AC450" s="30">
        <v>46113.0</v>
      </c>
      <c r="AD450" s="30">
        <v>46203.0</v>
      </c>
      <c r="AE450" s="39">
        <v>0.0</v>
      </c>
      <c r="AF450" s="39">
        <v>0.0</v>
      </c>
      <c r="AG450" s="35" t="s">
        <v>7045</v>
      </c>
      <c r="AH450" s="30">
        <v>46204.0</v>
      </c>
      <c r="AI450" s="30">
        <v>46295.0</v>
      </c>
      <c r="AJ450" s="39">
        <v>0.0</v>
      </c>
      <c r="AK450" s="39">
        <v>0.0</v>
      </c>
      <c r="AL450" s="35" t="s">
        <v>7045</v>
      </c>
      <c r="AM450" s="30">
        <v>46296.0</v>
      </c>
      <c r="AN450" s="30">
        <v>46387.0</v>
      </c>
      <c r="AO450" s="39">
        <v>0.0</v>
      </c>
      <c r="AP450" s="39">
        <v>0.0</v>
      </c>
      <c r="AQ450" s="35" t="s">
        <v>7045</v>
      </c>
      <c r="AR450" s="30">
        <v>46388.0</v>
      </c>
      <c r="AS450" s="30">
        <v>46477.0</v>
      </c>
      <c r="AT450" s="39">
        <v>0.0</v>
      </c>
      <c r="AU450" s="39">
        <v>0.0</v>
      </c>
      <c r="AV450" s="35" t="s">
        <v>7045</v>
      </c>
      <c r="AW450" s="30">
        <v>46478.0</v>
      </c>
      <c r="AX450" s="30">
        <v>46568.0</v>
      </c>
      <c r="AY450" s="39">
        <v>0.0</v>
      </c>
      <c r="AZ450" s="39">
        <v>0.0</v>
      </c>
      <c r="BA450" s="35" t="s">
        <v>7045</v>
      </c>
      <c r="BB450" s="30">
        <v>46569.0</v>
      </c>
      <c r="BC450" s="30">
        <v>46660.0</v>
      </c>
      <c r="BD450" s="39">
        <v>0.0</v>
      </c>
      <c r="BE450" s="39">
        <v>0.0</v>
      </c>
      <c r="BF450" s="35" t="s">
        <v>7045</v>
      </c>
      <c r="BG450" s="30">
        <v>46661.0</v>
      </c>
      <c r="BH450" s="30">
        <v>46752.0</v>
      </c>
      <c r="BI450" s="39">
        <v>0.0</v>
      </c>
      <c r="BJ450" s="39">
        <v>0.0</v>
      </c>
      <c r="BK450" s="35" t="s">
        <v>7045</v>
      </c>
      <c r="BL450" s="30">
        <v>46753.0</v>
      </c>
      <c r="BM450" s="30">
        <v>46843.0</v>
      </c>
      <c r="BN450" s="39">
        <v>0.0</v>
      </c>
      <c r="BO450" s="39">
        <v>0.0</v>
      </c>
      <c r="BP450" s="35" t="s">
        <v>7045</v>
      </c>
      <c r="BQ450" s="30">
        <v>46844.0</v>
      </c>
      <c r="BR450" s="30">
        <v>46934.0</v>
      </c>
      <c r="BS450" s="39">
        <v>0.0</v>
      </c>
      <c r="BT450" s="39">
        <v>0.0</v>
      </c>
      <c r="BU450" s="35" t="s">
        <v>7045</v>
      </c>
      <c r="BV450" s="30">
        <v>46935.0</v>
      </c>
      <c r="BW450" s="30">
        <v>47026.0</v>
      </c>
      <c r="BX450" s="39">
        <v>0.0</v>
      </c>
      <c r="BY450" s="39">
        <v>0.0</v>
      </c>
      <c r="BZ450" s="35" t="s">
        <v>7045</v>
      </c>
      <c r="CA450" s="30">
        <v>47027.0</v>
      </c>
      <c r="CB450" s="30">
        <v>47118.0</v>
      </c>
      <c r="CC450" s="39">
        <v>0.0</v>
      </c>
      <c r="CD450" s="39">
        <v>0.0</v>
      </c>
      <c r="CE450" s="35" t="s">
        <v>7045</v>
      </c>
      <c r="CF450" s="30">
        <v>47119.0</v>
      </c>
      <c r="CG450" s="30">
        <v>47208.0</v>
      </c>
      <c r="CH450" s="39">
        <v>0.0</v>
      </c>
      <c r="CI450" s="39">
        <v>0.0</v>
      </c>
      <c r="CJ450" s="35" t="s">
        <v>7045</v>
      </c>
      <c r="CK450" s="30">
        <v>47209.0</v>
      </c>
      <c r="CL450" s="30">
        <v>47299.0</v>
      </c>
      <c r="CM450" s="39">
        <v>0.0</v>
      </c>
      <c r="CN450" s="39">
        <v>0.0</v>
      </c>
      <c r="CO450" s="35" t="s">
        <v>7045</v>
      </c>
      <c r="CP450" s="30">
        <v>47300.0</v>
      </c>
      <c r="CQ450" s="30">
        <v>47391.0</v>
      </c>
      <c r="CR450" s="39">
        <v>0.0</v>
      </c>
      <c r="CS450" s="39">
        <v>0.0</v>
      </c>
      <c r="CT450" s="35" t="s">
        <v>7045</v>
      </c>
      <c r="CU450" s="30">
        <v>47392.0</v>
      </c>
      <c r="CV450" s="30">
        <v>47483.0</v>
      </c>
      <c r="CW450" s="39">
        <v>0.0</v>
      </c>
      <c r="CX450" s="39">
        <v>0.0</v>
      </c>
      <c r="CY450" s="35" t="s">
        <v>7045</v>
      </c>
      <c r="CZ450" s="30">
        <v>47484.0</v>
      </c>
      <c r="DA450" s="30">
        <v>47573.0</v>
      </c>
      <c r="DB450" s="39">
        <v>0.0</v>
      </c>
      <c r="DC450" s="39">
        <v>0.0</v>
      </c>
      <c r="DD450" s="35" t="s">
        <v>7045</v>
      </c>
      <c r="DE450" s="30">
        <v>47574.0</v>
      </c>
      <c r="DF450" s="30">
        <v>47664.0</v>
      </c>
      <c r="DG450" s="39">
        <v>0.0</v>
      </c>
      <c r="DH450" s="39">
        <v>0.0</v>
      </c>
      <c r="DI450" s="35" t="s">
        <v>7045</v>
      </c>
      <c r="DJ450" s="30">
        <v>47665.0</v>
      </c>
      <c r="DK450" s="30">
        <v>47756.0</v>
      </c>
      <c r="DL450" s="39">
        <v>0.0</v>
      </c>
      <c r="DM450" s="39">
        <v>0.0</v>
      </c>
      <c r="DN450" s="35" t="s">
        <v>7045</v>
      </c>
      <c r="DO450" s="30">
        <v>47757.0</v>
      </c>
      <c r="DP450" s="30">
        <v>47848.0</v>
      </c>
      <c r="DQ450" s="39">
        <v>0.0</v>
      </c>
      <c r="DR450" s="39">
        <v>0.0</v>
      </c>
      <c r="DS450" s="35" t="s">
        <v>7045</v>
      </c>
    </row>
    <row r="451" ht="14.25" customHeight="1">
      <c r="A451" s="28" t="s">
        <v>955</v>
      </c>
      <c r="B451" s="29" t="s">
        <v>956</v>
      </c>
      <c r="C451" s="29" t="s">
        <v>7041</v>
      </c>
      <c r="D451" s="30">
        <v>45658.0</v>
      </c>
      <c r="E451" s="30">
        <v>45747.0</v>
      </c>
      <c r="F451" s="39">
        <v>0.0</v>
      </c>
      <c r="G451" s="39">
        <v>0.0</v>
      </c>
      <c r="H451" s="35" t="s">
        <v>7045</v>
      </c>
      <c r="I451" s="30">
        <v>45748.0</v>
      </c>
      <c r="J451" s="30">
        <v>45838.0</v>
      </c>
      <c r="K451" s="39">
        <v>0.0</v>
      </c>
      <c r="L451" s="39">
        <v>133.33</v>
      </c>
      <c r="M451" s="32" t="s">
        <v>7043</v>
      </c>
      <c r="N451" s="30">
        <v>45839.0</v>
      </c>
      <c r="O451" s="30">
        <v>45930.0</v>
      </c>
      <c r="P451" s="39">
        <v>0.0</v>
      </c>
      <c r="Q451" s="39">
        <v>166.67</v>
      </c>
      <c r="R451" s="32" t="s">
        <v>7043</v>
      </c>
      <c r="S451" s="30">
        <v>45931.0</v>
      </c>
      <c r="T451" s="30">
        <v>46022.0</v>
      </c>
      <c r="U451" s="39">
        <v>100.0</v>
      </c>
      <c r="V451" s="39">
        <v>233.33</v>
      </c>
      <c r="W451" s="38" t="s">
        <v>7047</v>
      </c>
      <c r="X451" s="30">
        <v>46023.0</v>
      </c>
      <c r="Y451" s="30">
        <v>46112.0</v>
      </c>
      <c r="Z451" s="39">
        <v>100.0</v>
      </c>
      <c r="AA451" s="39">
        <v>0.0</v>
      </c>
      <c r="AB451" s="35" t="s">
        <v>7047</v>
      </c>
      <c r="AC451" s="30">
        <v>46113.0</v>
      </c>
      <c r="AD451" s="30">
        <v>46203.0</v>
      </c>
      <c r="AE451" s="39">
        <v>0.0</v>
      </c>
      <c r="AF451" s="39">
        <v>0.0</v>
      </c>
      <c r="AG451" s="35" t="s">
        <v>7045</v>
      </c>
      <c r="AH451" s="30">
        <v>46204.0</v>
      </c>
      <c r="AI451" s="30">
        <v>46295.0</v>
      </c>
      <c r="AJ451" s="39">
        <v>0.0</v>
      </c>
      <c r="AK451" s="39">
        <v>0.0</v>
      </c>
      <c r="AL451" s="35" t="s">
        <v>7045</v>
      </c>
      <c r="AM451" s="30">
        <v>46296.0</v>
      </c>
      <c r="AN451" s="30">
        <v>46387.0</v>
      </c>
      <c r="AO451" s="39">
        <v>0.0</v>
      </c>
      <c r="AP451" s="39">
        <v>0.0</v>
      </c>
      <c r="AQ451" s="35" t="s">
        <v>7045</v>
      </c>
      <c r="AR451" s="30">
        <v>46388.0</v>
      </c>
      <c r="AS451" s="30">
        <v>46477.0</v>
      </c>
      <c r="AT451" s="39">
        <v>0.0</v>
      </c>
      <c r="AU451" s="39">
        <v>0.0</v>
      </c>
      <c r="AV451" s="35" t="s">
        <v>7045</v>
      </c>
      <c r="AW451" s="30">
        <v>46478.0</v>
      </c>
      <c r="AX451" s="30">
        <v>46568.0</v>
      </c>
      <c r="AY451" s="39">
        <v>0.0</v>
      </c>
      <c r="AZ451" s="39">
        <v>0.0</v>
      </c>
      <c r="BA451" s="35" t="s">
        <v>7045</v>
      </c>
      <c r="BB451" s="30">
        <v>46569.0</v>
      </c>
      <c r="BC451" s="30">
        <v>46660.0</v>
      </c>
      <c r="BD451" s="39">
        <v>0.0</v>
      </c>
      <c r="BE451" s="39">
        <v>0.0</v>
      </c>
      <c r="BF451" s="35" t="s">
        <v>7045</v>
      </c>
      <c r="BG451" s="30">
        <v>46661.0</v>
      </c>
      <c r="BH451" s="30">
        <v>46752.0</v>
      </c>
      <c r="BI451" s="39">
        <v>0.0</v>
      </c>
      <c r="BJ451" s="39">
        <v>0.0</v>
      </c>
      <c r="BK451" s="35" t="s">
        <v>7045</v>
      </c>
      <c r="BL451" s="30">
        <v>46753.0</v>
      </c>
      <c r="BM451" s="30">
        <v>46843.0</v>
      </c>
      <c r="BN451" s="39">
        <v>0.0</v>
      </c>
      <c r="BO451" s="39">
        <v>0.0</v>
      </c>
      <c r="BP451" s="35" t="s">
        <v>7045</v>
      </c>
      <c r="BQ451" s="30">
        <v>46844.0</v>
      </c>
      <c r="BR451" s="30">
        <v>46934.0</v>
      </c>
      <c r="BS451" s="39">
        <v>0.0</v>
      </c>
      <c r="BT451" s="39">
        <v>0.0</v>
      </c>
      <c r="BU451" s="35" t="s">
        <v>7045</v>
      </c>
      <c r="BV451" s="30">
        <v>46935.0</v>
      </c>
      <c r="BW451" s="30">
        <v>47026.0</v>
      </c>
      <c r="BX451" s="39">
        <v>0.0</v>
      </c>
      <c r="BY451" s="39">
        <v>0.0</v>
      </c>
      <c r="BZ451" s="35" t="s">
        <v>7045</v>
      </c>
      <c r="CA451" s="30">
        <v>47027.0</v>
      </c>
      <c r="CB451" s="30">
        <v>47118.0</v>
      </c>
      <c r="CC451" s="39">
        <v>0.0</v>
      </c>
      <c r="CD451" s="39">
        <v>0.0</v>
      </c>
      <c r="CE451" s="35" t="s">
        <v>7045</v>
      </c>
      <c r="CF451" s="30">
        <v>47119.0</v>
      </c>
      <c r="CG451" s="30">
        <v>47208.0</v>
      </c>
      <c r="CH451" s="39">
        <v>0.0</v>
      </c>
      <c r="CI451" s="39">
        <v>0.0</v>
      </c>
      <c r="CJ451" s="35" t="s">
        <v>7045</v>
      </c>
      <c r="CK451" s="30">
        <v>47209.0</v>
      </c>
      <c r="CL451" s="30">
        <v>47299.0</v>
      </c>
      <c r="CM451" s="39">
        <v>0.0</v>
      </c>
      <c r="CN451" s="39">
        <v>0.0</v>
      </c>
      <c r="CO451" s="35" t="s">
        <v>7045</v>
      </c>
      <c r="CP451" s="30">
        <v>47300.0</v>
      </c>
      <c r="CQ451" s="30">
        <v>47391.0</v>
      </c>
      <c r="CR451" s="39">
        <v>0.0</v>
      </c>
      <c r="CS451" s="39">
        <v>0.0</v>
      </c>
      <c r="CT451" s="35" t="s">
        <v>7045</v>
      </c>
      <c r="CU451" s="30">
        <v>47392.0</v>
      </c>
      <c r="CV451" s="30">
        <v>47483.0</v>
      </c>
      <c r="CW451" s="39">
        <v>0.0</v>
      </c>
      <c r="CX451" s="39">
        <v>0.0</v>
      </c>
      <c r="CY451" s="35" t="s">
        <v>7045</v>
      </c>
      <c r="CZ451" s="30">
        <v>47484.0</v>
      </c>
      <c r="DA451" s="30">
        <v>47573.0</v>
      </c>
      <c r="DB451" s="39">
        <v>0.0</v>
      </c>
      <c r="DC451" s="39">
        <v>0.0</v>
      </c>
      <c r="DD451" s="35" t="s">
        <v>7045</v>
      </c>
      <c r="DE451" s="30">
        <v>47574.0</v>
      </c>
      <c r="DF451" s="30">
        <v>47664.0</v>
      </c>
      <c r="DG451" s="39">
        <v>0.0</v>
      </c>
      <c r="DH451" s="39">
        <v>0.0</v>
      </c>
      <c r="DI451" s="35" t="s">
        <v>7045</v>
      </c>
      <c r="DJ451" s="30">
        <v>47665.0</v>
      </c>
      <c r="DK451" s="30">
        <v>47756.0</v>
      </c>
      <c r="DL451" s="39">
        <v>0.0</v>
      </c>
      <c r="DM451" s="39">
        <v>0.0</v>
      </c>
      <c r="DN451" s="35" t="s">
        <v>7045</v>
      </c>
      <c r="DO451" s="30">
        <v>47757.0</v>
      </c>
      <c r="DP451" s="30">
        <v>47848.0</v>
      </c>
      <c r="DQ451" s="39">
        <v>0.0</v>
      </c>
      <c r="DR451" s="39">
        <v>0.0</v>
      </c>
      <c r="DS451" s="35" t="s">
        <v>7045</v>
      </c>
    </row>
    <row r="452" ht="14.25" customHeight="1">
      <c r="A452" s="28" t="s">
        <v>5488</v>
      </c>
      <c r="B452" s="29" t="s">
        <v>5489</v>
      </c>
      <c r="C452" s="29" t="s">
        <v>7041</v>
      </c>
      <c r="D452" s="30">
        <v>45658.0</v>
      </c>
      <c r="E452" s="30">
        <v>45747.0</v>
      </c>
      <c r="F452" s="39">
        <v>7.14</v>
      </c>
      <c r="G452" s="39">
        <v>0.0</v>
      </c>
      <c r="H452" s="38" t="s">
        <v>7047</v>
      </c>
      <c r="I452" s="30">
        <v>45748.0</v>
      </c>
      <c r="J452" s="30">
        <v>45838.0</v>
      </c>
      <c r="K452" s="39">
        <v>8.92</v>
      </c>
      <c r="L452" s="39">
        <v>133.33</v>
      </c>
      <c r="M452" s="37" t="s">
        <v>7046</v>
      </c>
      <c r="N452" s="30">
        <v>45839.0</v>
      </c>
      <c r="O452" s="30">
        <v>45930.0</v>
      </c>
      <c r="P452" s="39">
        <v>23.31</v>
      </c>
      <c r="Q452" s="39">
        <v>183.33</v>
      </c>
      <c r="R452" s="38" t="s">
        <v>7047</v>
      </c>
      <c r="S452" s="30">
        <v>45931.0</v>
      </c>
      <c r="T452" s="30">
        <v>46022.0</v>
      </c>
      <c r="U452" s="39">
        <v>30.0</v>
      </c>
      <c r="V452" s="39">
        <v>216.67</v>
      </c>
      <c r="W452" s="38" t="s">
        <v>7047</v>
      </c>
      <c r="X452" s="30">
        <v>46023.0</v>
      </c>
      <c r="Y452" s="30">
        <v>46112.0</v>
      </c>
      <c r="Z452" s="39">
        <v>0.0</v>
      </c>
      <c r="AA452" s="39">
        <v>0.0</v>
      </c>
      <c r="AB452" s="35" t="s">
        <v>7045</v>
      </c>
      <c r="AC452" s="30">
        <v>46113.0</v>
      </c>
      <c r="AD452" s="30">
        <v>46203.0</v>
      </c>
      <c r="AE452" s="39">
        <v>0.0</v>
      </c>
      <c r="AF452" s="39">
        <v>0.0</v>
      </c>
      <c r="AG452" s="35" t="s">
        <v>7045</v>
      </c>
      <c r="AH452" s="30">
        <v>46204.0</v>
      </c>
      <c r="AI452" s="30">
        <v>46295.0</v>
      </c>
      <c r="AJ452" s="39">
        <v>0.0</v>
      </c>
      <c r="AK452" s="39">
        <v>0.0</v>
      </c>
      <c r="AL452" s="35" t="s">
        <v>7045</v>
      </c>
      <c r="AM452" s="30">
        <v>46296.0</v>
      </c>
      <c r="AN452" s="30">
        <v>46387.0</v>
      </c>
      <c r="AO452" s="39">
        <v>0.0</v>
      </c>
      <c r="AP452" s="39">
        <v>0.0</v>
      </c>
      <c r="AQ452" s="35" t="s">
        <v>7045</v>
      </c>
      <c r="AR452" s="30">
        <v>46388.0</v>
      </c>
      <c r="AS452" s="30">
        <v>46477.0</v>
      </c>
      <c r="AT452" s="39">
        <v>0.0</v>
      </c>
      <c r="AU452" s="39">
        <v>0.0</v>
      </c>
      <c r="AV452" s="35" t="s">
        <v>7045</v>
      </c>
      <c r="AW452" s="30">
        <v>46478.0</v>
      </c>
      <c r="AX452" s="30">
        <v>46568.0</v>
      </c>
      <c r="AY452" s="39">
        <v>0.0</v>
      </c>
      <c r="AZ452" s="39">
        <v>0.0</v>
      </c>
      <c r="BA452" s="35" t="s">
        <v>7045</v>
      </c>
      <c r="BB452" s="30">
        <v>46569.0</v>
      </c>
      <c r="BC452" s="30">
        <v>46660.0</v>
      </c>
      <c r="BD452" s="39">
        <v>0.0</v>
      </c>
      <c r="BE452" s="39">
        <v>0.0</v>
      </c>
      <c r="BF452" s="35" t="s">
        <v>7045</v>
      </c>
      <c r="BG452" s="30">
        <v>46661.0</v>
      </c>
      <c r="BH452" s="30">
        <v>46752.0</v>
      </c>
      <c r="BI452" s="39">
        <v>0.0</v>
      </c>
      <c r="BJ452" s="39">
        <v>0.0</v>
      </c>
      <c r="BK452" s="35" t="s">
        <v>7045</v>
      </c>
      <c r="BL452" s="30">
        <v>46753.0</v>
      </c>
      <c r="BM452" s="30">
        <v>46843.0</v>
      </c>
      <c r="BN452" s="39">
        <v>0.0</v>
      </c>
      <c r="BO452" s="39">
        <v>0.0</v>
      </c>
      <c r="BP452" s="35" t="s">
        <v>7045</v>
      </c>
      <c r="BQ452" s="30">
        <v>46844.0</v>
      </c>
      <c r="BR452" s="30">
        <v>46934.0</v>
      </c>
      <c r="BS452" s="39">
        <v>0.0</v>
      </c>
      <c r="BT452" s="39">
        <v>0.0</v>
      </c>
      <c r="BU452" s="35" t="s">
        <v>7045</v>
      </c>
      <c r="BV452" s="30">
        <v>46935.0</v>
      </c>
      <c r="BW452" s="30">
        <v>47026.0</v>
      </c>
      <c r="BX452" s="39">
        <v>0.0</v>
      </c>
      <c r="BY452" s="39">
        <v>0.0</v>
      </c>
      <c r="BZ452" s="35" t="s">
        <v>7045</v>
      </c>
      <c r="CA452" s="30">
        <v>47027.0</v>
      </c>
      <c r="CB452" s="30">
        <v>47118.0</v>
      </c>
      <c r="CC452" s="39">
        <v>0.0</v>
      </c>
      <c r="CD452" s="39">
        <v>0.0</v>
      </c>
      <c r="CE452" s="35" t="s">
        <v>7045</v>
      </c>
      <c r="CF452" s="30">
        <v>47119.0</v>
      </c>
      <c r="CG452" s="30">
        <v>47208.0</v>
      </c>
      <c r="CH452" s="39">
        <v>0.0</v>
      </c>
      <c r="CI452" s="39">
        <v>0.0</v>
      </c>
      <c r="CJ452" s="35" t="s">
        <v>7045</v>
      </c>
      <c r="CK452" s="30">
        <v>47209.0</v>
      </c>
      <c r="CL452" s="30">
        <v>47299.0</v>
      </c>
      <c r="CM452" s="39">
        <v>0.0</v>
      </c>
      <c r="CN452" s="39">
        <v>0.0</v>
      </c>
      <c r="CO452" s="35" t="s">
        <v>7045</v>
      </c>
      <c r="CP452" s="30">
        <v>47300.0</v>
      </c>
      <c r="CQ452" s="30">
        <v>47391.0</v>
      </c>
      <c r="CR452" s="39">
        <v>0.0</v>
      </c>
      <c r="CS452" s="39">
        <v>0.0</v>
      </c>
      <c r="CT452" s="35" t="s">
        <v>7045</v>
      </c>
      <c r="CU452" s="30">
        <v>47392.0</v>
      </c>
      <c r="CV452" s="30">
        <v>47483.0</v>
      </c>
      <c r="CW452" s="39">
        <v>0.0</v>
      </c>
      <c r="CX452" s="39">
        <v>0.0</v>
      </c>
      <c r="CY452" s="35" t="s">
        <v>7045</v>
      </c>
      <c r="CZ452" s="30">
        <v>47484.0</v>
      </c>
      <c r="DA452" s="30">
        <v>47573.0</v>
      </c>
      <c r="DB452" s="39">
        <v>0.0</v>
      </c>
      <c r="DC452" s="39">
        <v>0.0</v>
      </c>
      <c r="DD452" s="35" t="s">
        <v>7045</v>
      </c>
      <c r="DE452" s="30">
        <v>47574.0</v>
      </c>
      <c r="DF452" s="30">
        <v>47664.0</v>
      </c>
      <c r="DG452" s="39">
        <v>0.0</v>
      </c>
      <c r="DH452" s="39">
        <v>0.0</v>
      </c>
      <c r="DI452" s="35" t="s">
        <v>7045</v>
      </c>
      <c r="DJ452" s="30">
        <v>47665.0</v>
      </c>
      <c r="DK452" s="30">
        <v>47756.0</v>
      </c>
      <c r="DL452" s="39">
        <v>0.0</v>
      </c>
      <c r="DM452" s="39">
        <v>0.0</v>
      </c>
      <c r="DN452" s="35" t="s">
        <v>7045</v>
      </c>
      <c r="DO452" s="30">
        <v>47757.0</v>
      </c>
      <c r="DP452" s="30">
        <v>47848.0</v>
      </c>
      <c r="DQ452" s="39">
        <v>0.0</v>
      </c>
      <c r="DR452" s="39">
        <v>0.0</v>
      </c>
      <c r="DS452" s="35" t="s">
        <v>7045</v>
      </c>
    </row>
    <row r="453" ht="14.25" customHeight="1">
      <c r="A453" s="28" t="s">
        <v>3816</v>
      </c>
      <c r="B453" s="29" t="s">
        <v>3817</v>
      </c>
      <c r="C453" s="29" t="s">
        <v>7041</v>
      </c>
      <c r="D453" s="30">
        <v>45658.0</v>
      </c>
      <c r="E453" s="30">
        <v>45747.0</v>
      </c>
      <c r="F453" s="39">
        <v>0.0</v>
      </c>
      <c r="G453" s="39">
        <v>0.0</v>
      </c>
      <c r="H453" s="35" t="s">
        <v>7045</v>
      </c>
      <c r="I453" s="30">
        <v>45748.0</v>
      </c>
      <c r="J453" s="30">
        <v>45838.0</v>
      </c>
      <c r="K453" s="39">
        <v>67.0</v>
      </c>
      <c r="L453" s="39">
        <v>87.5</v>
      </c>
      <c r="M453" s="38" t="s">
        <v>7047</v>
      </c>
      <c r="N453" s="30">
        <v>45839.0</v>
      </c>
      <c r="O453" s="30">
        <v>45930.0</v>
      </c>
      <c r="P453" s="39">
        <v>100.0</v>
      </c>
      <c r="Q453" s="39">
        <v>100.0</v>
      </c>
      <c r="R453" s="38" t="s">
        <v>7047</v>
      </c>
      <c r="S453" s="30">
        <v>45931.0</v>
      </c>
      <c r="T453" s="30">
        <v>46022.0</v>
      </c>
      <c r="U453" s="39">
        <v>48.0</v>
      </c>
      <c r="V453" s="39">
        <v>100.0</v>
      </c>
      <c r="W453" s="38" t="s">
        <v>7047</v>
      </c>
      <c r="X453" s="30">
        <v>46023.0</v>
      </c>
      <c r="Y453" s="30">
        <v>46112.0</v>
      </c>
      <c r="Z453" s="39">
        <v>0.0</v>
      </c>
      <c r="AA453" s="39">
        <v>0.0</v>
      </c>
      <c r="AB453" s="35" t="s">
        <v>7045</v>
      </c>
      <c r="AC453" s="30">
        <v>46113.0</v>
      </c>
      <c r="AD453" s="30">
        <v>46203.0</v>
      </c>
      <c r="AE453" s="39">
        <v>10.0</v>
      </c>
      <c r="AF453" s="39">
        <v>0.0</v>
      </c>
      <c r="AG453" s="38" t="s">
        <v>7047</v>
      </c>
      <c r="AH453" s="30">
        <v>46204.0</v>
      </c>
      <c r="AI453" s="30">
        <v>46295.0</v>
      </c>
      <c r="AJ453" s="39">
        <v>0.0</v>
      </c>
      <c r="AK453" s="39">
        <v>0.0</v>
      </c>
      <c r="AL453" s="35" t="s">
        <v>7045</v>
      </c>
      <c r="AM453" s="30">
        <v>46296.0</v>
      </c>
      <c r="AN453" s="30">
        <v>46387.0</v>
      </c>
      <c r="AO453" s="39">
        <v>0.0</v>
      </c>
      <c r="AP453" s="39">
        <v>0.0</v>
      </c>
      <c r="AQ453" s="35" t="s">
        <v>7045</v>
      </c>
      <c r="AR453" s="30">
        <v>46388.0</v>
      </c>
      <c r="AS453" s="30">
        <v>46477.0</v>
      </c>
      <c r="AT453" s="39">
        <v>0.0</v>
      </c>
      <c r="AU453" s="39">
        <v>0.0</v>
      </c>
      <c r="AV453" s="35" t="s">
        <v>7045</v>
      </c>
      <c r="AW453" s="30">
        <v>46478.0</v>
      </c>
      <c r="AX453" s="30">
        <v>46568.0</v>
      </c>
      <c r="AY453" s="39">
        <v>0.0</v>
      </c>
      <c r="AZ453" s="39">
        <v>0.0</v>
      </c>
      <c r="BA453" s="35" t="s">
        <v>7045</v>
      </c>
      <c r="BB453" s="30">
        <v>46569.0</v>
      </c>
      <c r="BC453" s="30">
        <v>46660.0</v>
      </c>
      <c r="BD453" s="39">
        <v>0.0</v>
      </c>
      <c r="BE453" s="39">
        <v>0.0</v>
      </c>
      <c r="BF453" s="35" t="s">
        <v>7045</v>
      </c>
      <c r="BG453" s="30">
        <v>46661.0</v>
      </c>
      <c r="BH453" s="30">
        <v>46752.0</v>
      </c>
      <c r="BI453" s="39">
        <v>0.0</v>
      </c>
      <c r="BJ453" s="39">
        <v>0.0</v>
      </c>
      <c r="BK453" s="35" t="s">
        <v>7045</v>
      </c>
      <c r="BL453" s="30">
        <v>46753.0</v>
      </c>
      <c r="BM453" s="30">
        <v>46843.0</v>
      </c>
      <c r="BN453" s="39">
        <v>0.0</v>
      </c>
      <c r="BO453" s="39">
        <v>0.0</v>
      </c>
      <c r="BP453" s="35" t="s">
        <v>7045</v>
      </c>
      <c r="BQ453" s="30">
        <v>46844.0</v>
      </c>
      <c r="BR453" s="30">
        <v>46934.0</v>
      </c>
      <c r="BS453" s="39">
        <v>0.0</v>
      </c>
      <c r="BT453" s="39">
        <v>0.0</v>
      </c>
      <c r="BU453" s="35" t="s">
        <v>7045</v>
      </c>
      <c r="BV453" s="30">
        <v>46935.0</v>
      </c>
      <c r="BW453" s="30">
        <v>47026.0</v>
      </c>
      <c r="BX453" s="39">
        <v>0.0</v>
      </c>
      <c r="BY453" s="39">
        <v>0.0</v>
      </c>
      <c r="BZ453" s="35" t="s">
        <v>7045</v>
      </c>
      <c r="CA453" s="30">
        <v>47027.0</v>
      </c>
      <c r="CB453" s="30">
        <v>47118.0</v>
      </c>
      <c r="CC453" s="39">
        <v>0.0</v>
      </c>
      <c r="CD453" s="39">
        <v>0.0</v>
      </c>
      <c r="CE453" s="35" t="s">
        <v>7045</v>
      </c>
      <c r="CF453" s="30">
        <v>47119.0</v>
      </c>
      <c r="CG453" s="30">
        <v>47208.0</v>
      </c>
      <c r="CH453" s="39">
        <v>0.0</v>
      </c>
      <c r="CI453" s="39">
        <v>0.0</v>
      </c>
      <c r="CJ453" s="35" t="s">
        <v>7045</v>
      </c>
      <c r="CK453" s="30">
        <v>47209.0</v>
      </c>
      <c r="CL453" s="30">
        <v>47299.0</v>
      </c>
      <c r="CM453" s="39">
        <v>0.0</v>
      </c>
      <c r="CN453" s="39">
        <v>0.0</v>
      </c>
      <c r="CO453" s="35" t="s">
        <v>7045</v>
      </c>
      <c r="CP453" s="30">
        <v>47300.0</v>
      </c>
      <c r="CQ453" s="30">
        <v>47391.0</v>
      </c>
      <c r="CR453" s="39">
        <v>0.0</v>
      </c>
      <c r="CS453" s="39">
        <v>0.0</v>
      </c>
      <c r="CT453" s="35" t="s">
        <v>7045</v>
      </c>
      <c r="CU453" s="30">
        <v>47392.0</v>
      </c>
      <c r="CV453" s="30">
        <v>47483.0</v>
      </c>
      <c r="CW453" s="39">
        <v>0.0</v>
      </c>
      <c r="CX453" s="39">
        <v>0.0</v>
      </c>
      <c r="CY453" s="35" t="s">
        <v>7045</v>
      </c>
      <c r="CZ453" s="30">
        <v>47484.0</v>
      </c>
      <c r="DA453" s="30">
        <v>47573.0</v>
      </c>
      <c r="DB453" s="39">
        <v>0.0</v>
      </c>
      <c r="DC453" s="39">
        <v>0.0</v>
      </c>
      <c r="DD453" s="35" t="s">
        <v>7045</v>
      </c>
      <c r="DE453" s="30">
        <v>47574.0</v>
      </c>
      <c r="DF453" s="30">
        <v>47664.0</v>
      </c>
      <c r="DG453" s="39">
        <v>0.0</v>
      </c>
      <c r="DH453" s="39">
        <v>0.0</v>
      </c>
      <c r="DI453" s="35" t="s">
        <v>7045</v>
      </c>
      <c r="DJ453" s="30">
        <v>47665.0</v>
      </c>
      <c r="DK453" s="30">
        <v>47756.0</v>
      </c>
      <c r="DL453" s="39">
        <v>0.0</v>
      </c>
      <c r="DM453" s="39">
        <v>0.0</v>
      </c>
      <c r="DN453" s="35" t="s">
        <v>7045</v>
      </c>
      <c r="DO453" s="30">
        <v>47757.0</v>
      </c>
      <c r="DP453" s="30">
        <v>47848.0</v>
      </c>
      <c r="DQ453" s="39">
        <v>0.0</v>
      </c>
      <c r="DR453" s="39">
        <v>0.0</v>
      </c>
      <c r="DS453" s="35" t="s">
        <v>7045</v>
      </c>
    </row>
    <row r="454" ht="14.25" customHeight="1">
      <c r="A454" s="28" t="s">
        <v>1595</v>
      </c>
      <c r="B454" s="29" t="s">
        <v>1596</v>
      </c>
      <c r="C454" s="29" t="s">
        <v>7041</v>
      </c>
      <c r="D454" s="30">
        <v>45658.0</v>
      </c>
      <c r="E454" s="30">
        <v>45747.0</v>
      </c>
      <c r="F454" s="39">
        <v>0.0</v>
      </c>
      <c r="G454" s="39">
        <v>0.0</v>
      </c>
      <c r="H454" s="35" t="s">
        <v>7045</v>
      </c>
      <c r="I454" s="30">
        <v>45748.0</v>
      </c>
      <c r="J454" s="30">
        <v>45838.0</v>
      </c>
      <c r="K454" s="39">
        <v>6.5</v>
      </c>
      <c r="L454" s="39">
        <v>89.13</v>
      </c>
      <c r="M454" s="32" t="s">
        <v>7043</v>
      </c>
      <c r="N454" s="30">
        <v>45839.0</v>
      </c>
      <c r="O454" s="30">
        <v>45930.0</v>
      </c>
      <c r="P454" s="39">
        <v>6.5</v>
      </c>
      <c r="Q454" s="39">
        <v>205.0</v>
      </c>
      <c r="R454" s="32" t="s">
        <v>7047</v>
      </c>
      <c r="S454" s="30">
        <v>45931.0</v>
      </c>
      <c r="T454" s="30">
        <v>46022.0</v>
      </c>
      <c r="U454" s="39">
        <v>66.4</v>
      </c>
      <c r="V454" s="39">
        <v>205.0</v>
      </c>
      <c r="W454" s="38" t="s">
        <v>7047</v>
      </c>
      <c r="X454" s="30">
        <v>46023.0</v>
      </c>
      <c r="Y454" s="30">
        <v>46112.0</v>
      </c>
      <c r="Z454" s="39">
        <v>0.0</v>
      </c>
      <c r="AA454" s="39">
        <v>0.0</v>
      </c>
      <c r="AB454" s="35" t="s">
        <v>7045</v>
      </c>
      <c r="AC454" s="30">
        <v>46113.0</v>
      </c>
      <c r="AD454" s="30">
        <v>46203.0</v>
      </c>
      <c r="AE454" s="39">
        <v>0.0</v>
      </c>
      <c r="AF454" s="39">
        <v>0.0</v>
      </c>
      <c r="AG454" s="35" t="s">
        <v>7045</v>
      </c>
      <c r="AH454" s="30">
        <v>46204.0</v>
      </c>
      <c r="AI454" s="30">
        <v>46295.0</v>
      </c>
      <c r="AJ454" s="39">
        <v>0.0</v>
      </c>
      <c r="AK454" s="39">
        <v>0.0</v>
      </c>
      <c r="AL454" s="35" t="s">
        <v>7045</v>
      </c>
      <c r="AM454" s="30">
        <v>46296.0</v>
      </c>
      <c r="AN454" s="30">
        <v>46387.0</v>
      </c>
      <c r="AO454" s="39">
        <v>0.0</v>
      </c>
      <c r="AP454" s="39">
        <v>0.0</v>
      </c>
      <c r="AQ454" s="35" t="s">
        <v>7045</v>
      </c>
      <c r="AR454" s="30">
        <v>46388.0</v>
      </c>
      <c r="AS454" s="30">
        <v>46477.0</v>
      </c>
      <c r="AT454" s="39">
        <v>0.0</v>
      </c>
      <c r="AU454" s="39">
        <v>0.0</v>
      </c>
      <c r="AV454" s="35" t="s">
        <v>7045</v>
      </c>
      <c r="AW454" s="30">
        <v>46478.0</v>
      </c>
      <c r="AX454" s="30">
        <v>46568.0</v>
      </c>
      <c r="AY454" s="39">
        <v>0.0</v>
      </c>
      <c r="AZ454" s="39">
        <v>0.0</v>
      </c>
      <c r="BA454" s="35" t="s">
        <v>7045</v>
      </c>
      <c r="BB454" s="30">
        <v>46569.0</v>
      </c>
      <c r="BC454" s="30">
        <v>46660.0</v>
      </c>
      <c r="BD454" s="39">
        <v>0.0</v>
      </c>
      <c r="BE454" s="39">
        <v>0.0</v>
      </c>
      <c r="BF454" s="35" t="s">
        <v>7045</v>
      </c>
      <c r="BG454" s="30">
        <v>46661.0</v>
      </c>
      <c r="BH454" s="30">
        <v>46752.0</v>
      </c>
      <c r="BI454" s="39">
        <v>0.0</v>
      </c>
      <c r="BJ454" s="39">
        <v>0.0</v>
      </c>
      <c r="BK454" s="35" t="s">
        <v>7045</v>
      </c>
      <c r="BL454" s="30">
        <v>46753.0</v>
      </c>
      <c r="BM454" s="30">
        <v>46843.0</v>
      </c>
      <c r="BN454" s="39">
        <v>0.0</v>
      </c>
      <c r="BO454" s="39">
        <v>0.0</v>
      </c>
      <c r="BP454" s="35" t="s">
        <v>7045</v>
      </c>
      <c r="BQ454" s="30">
        <v>46844.0</v>
      </c>
      <c r="BR454" s="30">
        <v>46934.0</v>
      </c>
      <c r="BS454" s="39">
        <v>0.0</v>
      </c>
      <c r="BT454" s="39">
        <v>0.0</v>
      </c>
      <c r="BU454" s="35" t="s">
        <v>7045</v>
      </c>
      <c r="BV454" s="30">
        <v>46935.0</v>
      </c>
      <c r="BW454" s="30">
        <v>47026.0</v>
      </c>
      <c r="BX454" s="39">
        <v>0.0</v>
      </c>
      <c r="BY454" s="39">
        <v>0.0</v>
      </c>
      <c r="BZ454" s="35" t="s">
        <v>7045</v>
      </c>
      <c r="CA454" s="30">
        <v>47027.0</v>
      </c>
      <c r="CB454" s="30">
        <v>47118.0</v>
      </c>
      <c r="CC454" s="39">
        <v>0.0</v>
      </c>
      <c r="CD454" s="39">
        <v>0.0</v>
      </c>
      <c r="CE454" s="35" t="s">
        <v>7045</v>
      </c>
      <c r="CF454" s="30">
        <v>47119.0</v>
      </c>
      <c r="CG454" s="30">
        <v>47208.0</v>
      </c>
      <c r="CH454" s="39">
        <v>0.0</v>
      </c>
      <c r="CI454" s="39">
        <v>0.0</v>
      </c>
      <c r="CJ454" s="35" t="s">
        <v>7045</v>
      </c>
      <c r="CK454" s="30">
        <v>47209.0</v>
      </c>
      <c r="CL454" s="30">
        <v>47299.0</v>
      </c>
      <c r="CM454" s="39">
        <v>0.0</v>
      </c>
      <c r="CN454" s="39">
        <v>0.0</v>
      </c>
      <c r="CO454" s="35" t="s">
        <v>7045</v>
      </c>
      <c r="CP454" s="30">
        <v>47300.0</v>
      </c>
      <c r="CQ454" s="30">
        <v>47391.0</v>
      </c>
      <c r="CR454" s="39">
        <v>0.0</v>
      </c>
      <c r="CS454" s="39">
        <v>0.0</v>
      </c>
      <c r="CT454" s="35" t="s">
        <v>7045</v>
      </c>
      <c r="CU454" s="30">
        <v>47392.0</v>
      </c>
      <c r="CV454" s="30">
        <v>47483.0</v>
      </c>
      <c r="CW454" s="39">
        <v>0.0</v>
      </c>
      <c r="CX454" s="39">
        <v>0.0</v>
      </c>
      <c r="CY454" s="35" t="s">
        <v>7045</v>
      </c>
      <c r="CZ454" s="30">
        <v>47484.0</v>
      </c>
      <c r="DA454" s="30">
        <v>47573.0</v>
      </c>
      <c r="DB454" s="39">
        <v>0.0</v>
      </c>
      <c r="DC454" s="39">
        <v>0.0</v>
      </c>
      <c r="DD454" s="35" t="s">
        <v>7045</v>
      </c>
      <c r="DE454" s="30">
        <v>47574.0</v>
      </c>
      <c r="DF454" s="30">
        <v>47664.0</v>
      </c>
      <c r="DG454" s="39">
        <v>0.0</v>
      </c>
      <c r="DH454" s="39">
        <v>0.0</v>
      </c>
      <c r="DI454" s="35" t="s">
        <v>7045</v>
      </c>
      <c r="DJ454" s="30">
        <v>47665.0</v>
      </c>
      <c r="DK454" s="30">
        <v>47756.0</v>
      </c>
      <c r="DL454" s="39">
        <v>0.0</v>
      </c>
      <c r="DM454" s="39">
        <v>0.0</v>
      </c>
      <c r="DN454" s="35" t="s">
        <v>7045</v>
      </c>
      <c r="DO454" s="30">
        <v>47757.0</v>
      </c>
      <c r="DP454" s="30">
        <v>47848.0</v>
      </c>
      <c r="DQ454" s="39">
        <v>0.0</v>
      </c>
      <c r="DR454" s="39">
        <v>0.0</v>
      </c>
      <c r="DS454" s="35" t="s">
        <v>7045</v>
      </c>
    </row>
    <row r="455" ht="14.25" customHeight="1">
      <c r="A455" s="28" t="s">
        <v>2611</v>
      </c>
      <c r="B455" s="29" t="s">
        <v>2612</v>
      </c>
      <c r="C455" s="29" t="s">
        <v>7044</v>
      </c>
      <c r="D455" s="30">
        <v>45658.0</v>
      </c>
      <c r="E455" s="30">
        <v>45747.0</v>
      </c>
      <c r="F455" s="39">
        <v>1500.0</v>
      </c>
      <c r="G455" s="39">
        <v>2000.0</v>
      </c>
      <c r="H455" s="38" t="s">
        <v>7047</v>
      </c>
      <c r="I455" s="30">
        <v>45748.0</v>
      </c>
      <c r="J455" s="30">
        <v>45838.0</v>
      </c>
      <c r="K455" s="39">
        <v>2500.0</v>
      </c>
      <c r="L455" s="39">
        <v>2000.0</v>
      </c>
      <c r="M455" s="38" t="s">
        <v>7047</v>
      </c>
      <c r="N455" s="30">
        <v>45839.0</v>
      </c>
      <c r="O455" s="30">
        <v>45930.0</v>
      </c>
      <c r="P455" s="39">
        <v>1000.0</v>
      </c>
      <c r="Q455" s="39">
        <v>2000.0</v>
      </c>
      <c r="R455" s="38" t="s">
        <v>7047</v>
      </c>
      <c r="S455" s="30">
        <v>45931.0</v>
      </c>
      <c r="T455" s="30">
        <v>46022.0</v>
      </c>
      <c r="U455" s="39">
        <v>1500.0</v>
      </c>
      <c r="V455" s="39">
        <v>2000.0</v>
      </c>
      <c r="W455" s="38" t="s">
        <v>7047</v>
      </c>
      <c r="X455" s="30">
        <v>46023.0</v>
      </c>
      <c r="Y455" s="30">
        <v>46112.0</v>
      </c>
      <c r="Z455" s="39">
        <v>0.0</v>
      </c>
      <c r="AA455" s="39">
        <v>0.0</v>
      </c>
      <c r="AB455" s="35" t="s">
        <v>7045</v>
      </c>
      <c r="AC455" s="30">
        <v>46113.0</v>
      </c>
      <c r="AD455" s="30">
        <v>46203.0</v>
      </c>
      <c r="AE455" s="39">
        <v>0.0</v>
      </c>
      <c r="AF455" s="39">
        <v>0.0</v>
      </c>
      <c r="AG455" s="35" t="s">
        <v>7045</v>
      </c>
      <c r="AH455" s="30">
        <v>46204.0</v>
      </c>
      <c r="AI455" s="30">
        <v>46295.0</v>
      </c>
      <c r="AJ455" s="39">
        <v>0.0</v>
      </c>
      <c r="AK455" s="39">
        <v>0.0</v>
      </c>
      <c r="AL455" s="35" t="s">
        <v>7045</v>
      </c>
      <c r="AM455" s="30">
        <v>46296.0</v>
      </c>
      <c r="AN455" s="30">
        <v>46387.0</v>
      </c>
      <c r="AO455" s="39">
        <v>0.0</v>
      </c>
      <c r="AP455" s="39">
        <v>0.0</v>
      </c>
      <c r="AQ455" s="35" t="s">
        <v>7045</v>
      </c>
      <c r="AR455" s="30">
        <v>46388.0</v>
      </c>
      <c r="AS455" s="30">
        <v>46477.0</v>
      </c>
      <c r="AT455" s="39">
        <v>0.0</v>
      </c>
      <c r="AU455" s="39">
        <v>0.0</v>
      </c>
      <c r="AV455" s="35" t="s">
        <v>7045</v>
      </c>
      <c r="AW455" s="30">
        <v>46478.0</v>
      </c>
      <c r="AX455" s="30">
        <v>46568.0</v>
      </c>
      <c r="AY455" s="39">
        <v>0.0</v>
      </c>
      <c r="AZ455" s="39">
        <v>0.0</v>
      </c>
      <c r="BA455" s="35" t="s">
        <v>7045</v>
      </c>
      <c r="BB455" s="30">
        <v>46569.0</v>
      </c>
      <c r="BC455" s="30">
        <v>46660.0</v>
      </c>
      <c r="BD455" s="39">
        <v>0.0</v>
      </c>
      <c r="BE455" s="39">
        <v>0.0</v>
      </c>
      <c r="BF455" s="35" t="s">
        <v>7045</v>
      </c>
      <c r="BG455" s="30">
        <v>46661.0</v>
      </c>
      <c r="BH455" s="30">
        <v>46752.0</v>
      </c>
      <c r="BI455" s="39">
        <v>0.0</v>
      </c>
      <c r="BJ455" s="39">
        <v>0.0</v>
      </c>
      <c r="BK455" s="35" t="s">
        <v>7045</v>
      </c>
      <c r="BL455" s="30">
        <v>46753.0</v>
      </c>
      <c r="BM455" s="30">
        <v>46843.0</v>
      </c>
      <c r="BN455" s="39">
        <v>0.0</v>
      </c>
      <c r="BO455" s="39">
        <v>0.0</v>
      </c>
      <c r="BP455" s="35" t="s">
        <v>7045</v>
      </c>
      <c r="BQ455" s="30">
        <v>46844.0</v>
      </c>
      <c r="BR455" s="30">
        <v>46934.0</v>
      </c>
      <c r="BS455" s="39">
        <v>0.0</v>
      </c>
      <c r="BT455" s="39">
        <v>0.0</v>
      </c>
      <c r="BU455" s="35" t="s">
        <v>7045</v>
      </c>
      <c r="BV455" s="30">
        <v>46935.0</v>
      </c>
      <c r="BW455" s="30">
        <v>47026.0</v>
      </c>
      <c r="BX455" s="39">
        <v>0.0</v>
      </c>
      <c r="BY455" s="39">
        <v>0.0</v>
      </c>
      <c r="BZ455" s="35" t="s">
        <v>7045</v>
      </c>
      <c r="CA455" s="30">
        <v>47027.0</v>
      </c>
      <c r="CB455" s="30">
        <v>47118.0</v>
      </c>
      <c r="CC455" s="39">
        <v>0.0</v>
      </c>
      <c r="CD455" s="39">
        <v>0.0</v>
      </c>
      <c r="CE455" s="35" t="s">
        <v>7045</v>
      </c>
      <c r="CF455" s="30">
        <v>47119.0</v>
      </c>
      <c r="CG455" s="30">
        <v>47208.0</v>
      </c>
      <c r="CH455" s="39">
        <v>0.0</v>
      </c>
      <c r="CI455" s="39">
        <v>0.0</v>
      </c>
      <c r="CJ455" s="35" t="s">
        <v>7045</v>
      </c>
      <c r="CK455" s="30">
        <v>47209.0</v>
      </c>
      <c r="CL455" s="30">
        <v>47299.0</v>
      </c>
      <c r="CM455" s="39">
        <v>0.0</v>
      </c>
      <c r="CN455" s="39">
        <v>0.0</v>
      </c>
      <c r="CO455" s="35" t="s">
        <v>7045</v>
      </c>
      <c r="CP455" s="30">
        <v>47300.0</v>
      </c>
      <c r="CQ455" s="30">
        <v>47391.0</v>
      </c>
      <c r="CR455" s="39">
        <v>0.0</v>
      </c>
      <c r="CS455" s="39">
        <v>0.0</v>
      </c>
      <c r="CT455" s="35" t="s">
        <v>7045</v>
      </c>
      <c r="CU455" s="30">
        <v>47392.0</v>
      </c>
      <c r="CV455" s="30">
        <v>47483.0</v>
      </c>
      <c r="CW455" s="39">
        <v>0.0</v>
      </c>
      <c r="CX455" s="39">
        <v>0.0</v>
      </c>
      <c r="CY455" s="35" t="s">
        <v>7045</v>
      </c>
      <c r="CZ455" s="30">
        <v>47484.0</v>
      </c>
      <c r="DA455" s="30">
        <v>47573.0</v>
      </c>
      <c r="DB455" s="39">
        <v>0.0</v>
      </c>
      <c r="DC455" s="39">
        <v>0.0</v>
      </c>
      <c r="DD455" s="35" t="s">
        <v>7045</v>
      </c>
      <c r="DE455" s="30">
        <v>47574.0</v>
      </c>
      <c r="DF455" s="30">
        <v>47664.0</v>
      </c>
      <c r="DG455" s="39">
        <v>0.0</v>
      </c>
      <c r="DH455" s="39">
        <v>0.0</v>
      </c>
      <c r="DI455" s="35" t="s">
        <v>7045</v>
      </c>
      <c r="DJ455" s="30">
        <v>47665.0</v>
      </c>
      <c r="DK455" s="30">
        <v>47756.0</v>
      </c>
      <c r="DL455" s="39">
        <v>0.0</v>
      </c>
      <c r="DM455" s="39">
        <v>0.0</v>
      </c>
      <c r="DN455" s="35" t="s">
        <v>7045</v>
      </c>
      <c r="DO455" s="30">
        <v>47757.0</v>
      </c>
      <c r="DP455" s="30">
        <v>47848.0</v>
      </c>
      <c r="DQ455" s="39">
        <v>0.0</v>
      </c>
      <c r="DR455" s="39">
        <v>0.0</v>
      </c>
      <c r="DS455" s="35" t="s">
        <v>7045</v>
      </c>
    </row>
    <row r="456" ht="14.25" customHeight="1">
      <c r="A456" s="28" t="s">
        <v>854</v>
      </c>
      <c r="B456" s="29" t="s">
        <v>855</v>
      </c>
      <c r="C456" s="29" t="s">
        <v>7041</v>
      </c>
      <c r="D456" s="30">
        <v>45658.0</v>
      </c>
      <c r="E456" s="30">
        <v>45747.0</v>
      </c>
      <c r="F456" s="39">
        <v>11.52</v>
      </c>
      <c r="G456" s="39">
        <v>0.0</v>
      </c>
      <c r="H456" s="38" t="s">
        <v>7047</v>
      </c>
      <c r="I456" s="30">
        <v>45748.0</v>
      </c>
      <c r="J456" s="30">
        <v>45838.0</v>
      </c>
      <c r="K456" s="39">
        <v>22.0</v>
      </c>
      <c r="L456" s="39">
        <v>110.0</v>
      </c>
      <c r="M456" s="38" t="s">
        <v>7047</v>
      </c>
      <c r="N456" s="30">
        <v>45839.0</v>
      </c>
      <c r="O456" s="30">
        <v>45930.0</v>
      </c>
      <c r="P456" s="39">
        <v>106.4</v>
      </c>
      <c r="Q456" s="39">
        <v>170.0</v>
      </c>
      <c r="R456" s="38" t="s">
        <v>7047</v>
      </c>
      <c r="S456" s="30">
        <v>45931.0</v>
      </c>
      <c r="T456" s="30">
        <v>46022.0</v>
      </c>
      <c r="U456" s="39">
        <v>20.0</v>
      </c>
      <c r="V456" s="39">
        <v>170.0</v>
      </c>
      <c r="W456" s="32" t="s">
        <v>7047</v>
      </c>
      <c r="X456" s="30">
        <v>46023.0</v>
      </c>
      <c r="Y456" s="30">
        <v>46112.0</v>
      </c>
      <c r="Z456" s="39">
        <v>0.0</v>
      </c>
      <c r="AA456" s="39">
        <v>0.0</v>
      </c>
      <c r="AB456" s="35" t="s">
        <v>7045</v>
      </c>
      <c r="AC456" s="30">
        <v>46113.0</v>
      </c>
      <c r="AD456" s="30">
        <v>46203.0</v>
      </c>
      <c r="AE456" s="39">
        <v>0.0</v>
      </c>
      <c r="AF456" s="39">
        <v>0.0</v>
      </c>
      <c r="AG456" s="35" t="s">
        <v>7045</v>
      </c>
      <c r="AH456" s="30">
        <v>46204.0</v>
      </c>
      <c r="AI456" s="30">
        <v>46295.0</v>
      </c>
      <c r="AJ456" s="39">
        <v>0.0</v>
      </c>
      <c r="AK456" s="39">
        <v>0.0</v>
      </c>
      <c r="AL456" s="35" t="s">
        <v>7045</v>
      </c>
      <c r="AM456" s="30">
        <v>46296.0</v>
      </c>
      <c r="AN456" s="30">
        <v>46387.0</v>
      </c>
      <c r="AO456" s="39">
        <v>0.0</v>
      </c>
      <c r="AP456" s="39">
        <v>0.0</v>
      </c>
      <c r="AQ456" s="35" t="s">
        <v>7045</v>
      </c>
      <c r="AR456" s="30">
        <v>46388.0</v>
      </c>
      <c r="AS456" s="30">
        <v>46477.0</v>
      </c>
      <c r="AT456" s="39">
        <v>0.0</v>
      </c>
      <c r="AU456" s="39">
        <v>0.0</v>
      </c>
      <c r="AV456" s="35" t="s">
        <v>7045</v>
      </c>
      <c r="AW456" s="30">
        <v>46478.0</v>
      </c>
      <c r="AX456" s="30">
        <v>46568.0</v>
      </c>
      <c r="AY456" s="39">
        <v>0.0</v>
      </c>
      <c r="AZ456" s="39">
        <v>0.0</v>
      </c>
      <c r="BA456" s="35" t="s">
        <v>7045</v>
      </c>
      <c r="BB456" s="30">
        <v>46569.0</v>
      </c>
      <c r="BC456" s="30">
        <v>46660.0</v>
      </c>
      <c r="BD456" s="39">
        <v>0.0</v>
      </c>
      <c r="BE456" s="39">
        <v>0.0</v>
      </c>
      <c r="BF456" s="35" t="s">
        <v>7045</v>
      </c>
      <c r="BG456" s="30">
        <v>46661.0</v>
      </c>
      <c r="BH456" s="30">
        <v>46752.0</v>
      </c>
      <c r="BI456" s="39">
        <v>0.0</v>
      </c>
      <c r="BJ456" s="39">
        <v>0.0</v>
      </c>
      <c r="BK456" s="35" t="s">
        <v>7045</v>
      </c>
      <c r="BL456" s="30">
        <v>46753.0</v>
      </c>
      <c r="BM456" s="30">
        <v>46843.0</v>
      </c>
      <c r="BN456" s="39">
        <v>0.0</v>
      </c>
      <c r="BO456" s="39">
        <v>0.0</v>
      </c>
      <c r="BP456" s="35" t="s">
        <v>7045</v>
      </c>
      <c r="BQ456" s="30">
        <v>46844.0</v>
      </c>
      <c r="BR456" s="30">
        <v>46934.0</v>
      </c>
      <c r="BS456" s="39">
        <v>0.0</v>
      </c>
      <c r="BT456" s="39">
        <v>0.0</v>
      </c>
      <c r="BU456" s="35" t="s">
        <v>7045</v>
      </c>
      <c r="BV456" s="30">
        <v>46935.0</v>
      </c>
      <c r="BW456" s="30">
        <v>47026.0</v>
      </c>
      <c r="BX456" s="39">
        <v>0.0</v>
      </c>
      <c r="BY456" s="39">
        <v>0.0</v>
      </c>
      <c r="BZ456" s="35" t="s">
        <v>7045</v>
      </c>
      <c r="CA456" s="30">
        <v>47027.0</v>
      </c>
      <c r="CB456" s="30">
        <v>47118.0</v>
      </c>
      <c r="CC456" s="39">
        <v>0.0</v>
      </c>
      <c r="CD456" s="39">
        <v>0.0</v>
      </c>
      <c r="CE456" s="35" t="s">
        <v>7045</v>
      </c>
      <c r="CF456" s="30">
        <v>47119.0</v>
      </c>
      <c r="CG456" s="30">
        <v>47208.0</v>
      </c>
      <c r="CH456" s="39">
        <v>0.0</v>
      </c>
      <c r="CI456" s="39">
        <v>0.0</v>
      </c>
      <c r="CJ456" s="35" t="s">
        <v>7045</v>
      </c>
      <c r="CK456" s="30">
        <v>47209.0</v>
      </c>
      <c r="CL456" s="30">
        <v>47299.0</v>
      </c>
      <c r="CM456" s="39">
        <v>0.0</v>
      </c>
      <c r="CN456" s="39">
        <v>0.0</v>
      </c>
      <c r="CO456" s="35" t="s">
        <v>7045</v>
      </c>
      <c r="CP456" s="30">
        <v>47300.0</v>
      </c>
      <c r="CQ456" s="30">
        <v>47391.0</v>
      </c>
      <c r="CR456" s="39">
        <v>0.0</v>
      </c>
      <c r="CS456" s="39">
        <v>0.0</v>
      </c>
      <c r="CT456" s="35" t="s">
        <v>7045</v>
      </c>
      <c r="CU456" s="30">
        <v>47392.0</v>
      </c>
      <c r="CV456" s="30">
        <v>47483.0</v>
      </c>
      <c r="CW456" s="39">
        <v>0.0</v>
      </c>
      <c r="CX456" s="39">
        <v>0.0</v>
      </c>
      <c r="CY456" s="35" t="s">
        <v>7045</v>
      </c>
      <c r="CZ456" s="30">
        <v>47484.0</v>
      </c>
      <c r="DA456" s="30">
        <v>47573.0</v>
      </c>
      <c r="DB456" s="39">
        <v>0.0</v>
      </c>
      <c r="DC456" s="39">
        <v>0.0</v>
      </c>
      <c r="DD456" s="35" t="s">
        <v>7045</v>
      </c>
      <c r="DE456" s="30">
        <v>47574.0</v>
      </c>
      <c r="DF456" s="30">
        <v>47664.0</v>
      </c>
      <c r="DG456" s="39">
        <v>0.0</v>
      </c>
      <c r="DH456" s="39">
        <v>0.0</v>
      </c>
      <c r="DI456" s="35" t="s">
        <v>7045</v>
      </c>
      <c r="DJ456" s="30">
        <v>47665.0</v>
      </c>
      <c r="DK456" s="30">
        <v>47756.0</v>
      </c>
      <c r="DL456" s="39">
        <v>0.0</v>
      </c>
      <c r="DM456" s="39">
        <v>0.0</v>
      </c>
      <c r="DN456" s="35" t="s">
        <v>7045</v>
      </c>
      <c r="DO456" s="30">
        <v>47757.0</v>
      </c>
      <c r="DP456" s="30">
        <v>47848.0</v>
      </c>
      <c r="DQ456" s="39">
        <v>0.0</v>
      </c>
      <c r="DR456" s="39">
        <v>0.0</v>
      </c>
      <c r="DS456" s="35" t="s">
        <v>7045</v>
      </c>
    </row>
    <row r="457" ht="14.25" customHeight="1">
      <c r="A457" s="28" t="s">
        <v>5469</v>
      </c>
      <c r="B457" s="29" t="s">
        <v>5470</v>
      </c>
      <c r="C457" s="29" t="s">
        <v>7041</v>
      </c>
      <c r="D457" s="30">
        <v>45658.0</v>
      </c>
      <c r="E457" s="30">
        <v>45747.0</v>
      </c>
      <c r="F457" s="39">
        <v>0.0</v>
      </c>
      <c r="G457" s="39">
        <v>0.0</v>
      </c>
      <c r="H457" s="35" t="s">
        <v>7045</v>
      </c>
      <c r="I457" s="30">
        <v>45748.0</v>
      </c>
      <c r="J457" s="30">
        <v>45838.0</v>
      </c>
      <c r="K457" s="39">
        <v>5.0</v>
      </c>
      <c r="L457" s="39">
        <v>0.0</v>
      </c>
      <c r="M457" s="38" t="s">
        <v>7047</v>
      </c>
      <c r="N457" s="30">
        <v>45839.0</v>
      </c>
      <c r="O457" s="30">
        <v>45930.0</v>
      </c>
      <c r="P457" s="39">
        <v>0.0</v>
      </c>
      <c r="Q457" s="39">
        <v>0.0</v>
      </c>
      <c r="R457" s="35" t="s">
        <v>7045</v>
      </c>
      <c r="S457" s="30">
        <v>45931.0</v>
      </c>
      <c r="T457" s="30">
        <v>46022.0</v>
      </c>
      <c r="U457" s="39">
        <v>0.0</v>
      </c>
      <c r="V457" s="39">
        <v>0.0</v>
      </c>
      <c r="W457" s="35" t="s">
        <v>7045</v>
      </c>
      <c r="X457" s="30">
        <v>46023.0</v>
      </c>
      <c r="Y457" s="30">
        <v>46112.0</v>
      </c>
      <c r="Z457" s="39">
        <v>0.0</v>
      </c>
      <c r="AA457" s="39">
        <v>0.0</v>
      </c>
      <c r="AB457" s="35" t="s">
        <v>7045</v>
      </c>
      <c r="AC457" s="30">
        <v>46113.0</v>
      </c>
      <c r="AD457" s="30">
        <v>46203.0</v>
      </c>
      <c r="AE457" s="39">
        <v>0.0</v>
      </c>
      <c r="AF457" s="39">
        <v>0.0</v>
      </c>
      <c r="AG457" s="35" t="s">
        <v>7045</v>
      </c>
      <c r="AH457" s="30">
        <v>46204.0</v>
      </c>
      <c r="AI457" s="30">
        <v>46295.0</v>
      </c>
      <c r="AJ457" s="39">
        <v>0.0</v>
      </c>
      <c r="AK457" s="39">
        <v>0.0</v>
      </c>
      <c r="AL457" s="35" t="s">
        <v>7045</v>
      </c>
      <c r="AM457" s="30">
        <v>46296.0</v>
      </c>
      <c r="AN457" s="30">
        <v>46387.0</v>
      </c>
      <c r="AO457" s="39">
        <v>0.0</v>
      </c>
      <c r="AP457" s="39">
        <v>0.0</v>
      </c>
      <c r="AQ457" s="35" t="s">
        <v>7045</v>
      </c>
      <c r="AR457" s="30">
        <v>46388.0</v>
      </c>
      <c r="AS457" s="30">
        <v>46477.0</v>
      </c>
      <c r="AT457" s="39">
        <v>0.0</v>
      </c>
      <c r="AU457" s="39">
        <v>0.0</v>
      </c>
      <c r="AV457" s="35" t="s">
        <v>7045</v>
      </c>
      <c r="AW457" s="30">
        <v>46478.0</v>
      </c>
      <c r="AX457" s="30">
        <v>46568.0</v>
      </c>
      <c r="AY457" s="39">
        <v>0.0</v>
      </c>
      <c r="AZ457" s="39">
        <v>0.0</v>
      </c>
      <c r="BA457" s="35" t="s">
        <v>7045</v>
      </c>
      <c r="BB457" s="30">
        <v>46569.0</v>
      </c>
      <c r="BC457" s="30">
        <v>46660.0</v>
      </c>
      <c r="BD457" s="39">
        <v>0.0</v>
      </c>
      <c r="BE457" s="39">
        <v>0.0</v>
      </c>
      <c r="BF457" s="35" t="s">
        <v>7045</v>
      </c>
      <c r="BG457" s="30">
        <v>46661.0</v>
      </c>
      <c r="BH457" s="30">
        <v>46752.0</v>
      </c>
      <c r="BI457" s="39">
        <v>0.0</v>
      </c>
      <c r="BJ457" s="39">
        <v>0.0</v>
      </c>
      <c r="BK457" s="35" t="s">
        <v>7045</v>
      </c>
      <c r="BL457" s="30">
        <v>46753.0</v>
      </c>
      <c r="BM457" s="30">
        <v>46843.0</v>
      </c>
      <c r="BN457" s="39">
        <v>0.0</v>
      </c>
      <c r="BO457" s="39">
        <v>0.0</v>
      </c>
      <c r="BP457" s="35" t="s">
        <v>7045</v>
      </c>
      <c r="BQ457" s="30">
        <v>46844.0</v>
      </c>
      <c r="BR457" s="30">
        <v>46934.0</v>
      </c>
      <c r="BS457" s="39">
        <v>0.0</v>
      </c>
      <c r="BT457" s="39">
        <v>0.0</v>
      </c>
      <c r="BU457" s="35" t="s">
        <v>7045</v>
      </c>
      <c r="BV457" s="30">
        <v>46935.0</v>
      </c>
      <c r="BW457" s="30">
        <v>47026.0</v>
      </c>
      <c r="BX457" s="39">
        <v>0.0</v>
      </c>
      <c r="BY457" s="39">
        <v>0.0</v>
      </c>
      <c r="BZ457" s="35" t="s">
        <v>7045</v>
      </c>
      <c r="CA457" s="30">
        <v>47027.0</v>
      </c>
      <c r="CB457" s="30">
        <v>47118.0</v>
      </c>
      <c r="CC457" s="39">
        <v>0.0</v>
      </c>
      <c r="CD457" s="39">
        <v>0.0</v>
      </c>
      <c r="CE457" s="35" t="s">
        <v>7045</v>
      </c>
      <c r="CF457" s="30">
        <v>47119.0</v>
      </c>
      <c r="CG457" s="30">
        <v>47208.0</v>
      </c>
      <c r="CH457" s="39">
        <v>0.0</v>
      </c>
      <c r="CI457" s="39">
        <v>0.0</v>
      </c>
      <c r="CJ457" s="35" t="s">
        <v>7045</v>
      </c>
      <c r="CK457" s="30">
        <v>47209.0</v>
      </c>
      <c r="CL457" s="30">
        <v>47299.0</v>
      </c>
      <c r="CM457" s="39">
        <v>0.0</v>
      </c>
      <c r="CN457" s="39">
        <v>0.0</v>
      </c>
      <c r="CO457" s="35" t="s">
        <v>7045</v>
      </c>
      <c r="CP457" s="30">
        <v>47300.0</v>
      </c>
      <c r="CQ457" s="30">
        <v>47391.0</v>
      </c>
      <c r="CR457" s="39">
        <v>0.0</v>
      </c>
      <c r="CS457" s="39">
        <v>0.0</v>
      </c>
      <c r="CT457" s="35" t="s">
        <v>7045</v>
      </c>
      <c r="CU457" s="30">
        <v>47392.0</v>
      </c>
      <c r="CV457" s="30">
        <v>47483.0</v>
      </c>
      <c r="CW457" s="39">
        <v>0.0</v>
      </c>
      <c r="CX457" s="39">
        <v>0.0</v>
      </c>
      <c r="CY457" s="35" t="s">
        <v>7045</v>
      </c>
      <c r="CZ457" s="30">
        <v>47484.0</v>
      </c>
      <c r="DA457" s="30">
        <v>47573.0</v>
      </c>
      <c r="DB457" s="39">
        <v>0.0</v>
      </c>
      <c r="DC457" s="39">
        <v>0.0</v>
      </c>
      <c r="DD457" s="35" t="s">
        <v>7045</v>
      </c>
      <c r="DE457" s="30">
        <v>47574.0</v>
      </c>
      <c r="DF457" s="30">
        <v>47664.0</v>
      </c>
      <c r="DG457" s="39">
        <v>0.0</v>
      </c>
      <c r="DH457" s="39">
        <v>0.0</v>
      </c>
      <c r="DI457" s="35" t="s">
        <v>7045</v>
      </c>
      <c r="DJ457" s="30">
        <v>47665.0</v>
      </c>
      <c r="DK457" s="30">
        <v>47756.0</v>
      </c>
      <c r="DL457" s="39">
        <v>0.0</v>
      </c>
      <c r="DM457" s="39">
        <v>0.0</v>
      </c>
      <c r="DN457" s="35" t="s">
        <v>7045</v>
      </c>
      <c r="DO457" s="30">
        <v>47757.0</v>
      </c>
      <c r="DP457" s="30">
        <v>47848.0</v>
      </c>
      <c r="DQ457" s="39">
        <v>0.0</v>
      </c>
      <c r="DR457" s="39">
        <v>0.0</v>
      </c>
      <c r="DS457" s="35" t="s">
        <v>7045</v>
      </c>
    </row>
    <row r="458" ht="14.25" customHeight="1">
      <c r="A458" s="28" t="s">
        <v>5562</v>
      </c>
      <c r="B458" s="29" t="s">
        <v>5563</v>
      </c>
      <c r="C458" s="29" t="s">
        <v>7041</v>
      </c>
      <c r="D458" s="30">
        <v>45658.0</v>
      </c>
      <c r="E458" s="30">
        <v>45747.0</v>
      </c>
      <c r="F458" s="39">
        <v>12.87</v>
      </c>
      <c r="G458" s="39">
        <v>0.0</v>
      </c>
      <c r="H458" s="38" t="s">
        <v>7047</v>
      </c>
      <c r="I458" s="30">
        <v>45748.0</v>
      </c>
      <c r="J458" s="30">
        <v>45838.0</v>
      </c>
      <c r="K458" s="39">
        <v>16.72</v>
      </c>
      <c r="L458" s="39">
        <v>270.0</v>
      </c>
      <c r="M458" s="32" t="s">
        <v>7043</v>
      </c>
      <c r="N458" s="30">
        <v>45839.0</v>
      </c>
      <c r="O458" s="30">
        <v>45930.0</v>
      </c>
      <c r="P458" s="39">
        <v>14.6</v>
      </c>
      <c r="Q458" s="39">
        <v>316.67</v>
      </c>
      <c r="R458" s="38" t="s">
        <v>7047</v>
      </c>
      <c r="S458" s="30">
        <v>45931.0</v>
      </c>
      <c r="T458" s="30">
        <v>46022.0</v>
      </c>
      <c r="U458" s="39">
        <v>29.0</v>
      </c>
      <c r="V458" s="39">
        <v>317.67</v>
      </c>
      <c r="W458" s="38" t="s">
        <v>7047</v>
      </c>
      <c r="X458" s="30">
        <v>46023.0</v>
      </c>
      <c r="Y458" s="30">
        <v>46112.0</v>
      </c>
      <c r="Z458" s="39">
        <v>0.0</v>
      </c>
      <c r="AA458" s="39">
        <v>0.0</v>
      </c>
      <c r="AB458" s="35" t="s">
        <v>7045</v>
      </c>
      <c r="AC458" s="30">
        <v>46113.0</v>
      </c>
      <c r="AD458" s="30">
        <v>46203.0</v>
      </c>
      <c r="AE458" s="39">
        <v>0.0</v>
      </c>
      <c r="AF458" s="39">
        <v>0.0</v>
      </c>
      <c r="AG458" s="35" t="s">
        <v>7045</v>
      </c>
      <c r="AH458" s="30">
        <v>46204.0</v>
      </c>
      <c r="AI458" s="30">
        <v>46295.0</v>
      </c>
      <c r="AJ458" s="39">
        <v>0.0</v>
      </c>
      <c r="AK458" s="39">
        <v>0.0</v>
      </c>
      <c r="AL458" s="35" t="s">
        <v>7045</v>
      </c>
      <c r="AM458" s="30">
        <v>46296.0</v>
      </c>
      <c r="AN458" s="30">
        <v>46387.0</v>
      </c>
      <c r="AO458" s="39">
        <v>0.0</v>
      </c>
      <c r="AP458" s="39">
        <v>0.0</v>
      </c>
      <c r="AQ458" s="35" t="s">
        <v>7045</v>
      </c>
      <c r="AR458" s="30">
        <v>46388.0</v>
      </c>
      <c r="AS458" s="30">
        <v>46477.0</v>
      </c>
      <c r="AT458" s="39">
        <v>0.0</v>
      </c>
      <c r="AU458" s="39">
        <v>0.0</v>
      </c>
      <c r="AV458" s="35" t="s">
        <v>7045</v>
      </c>
      <c r="AW458" s="30">
        <v>46478.0</v>
      </c>
      <c r="AX458" s="30">
        <v>46568.0</v>
      </c>
      <c r="AY458" s="39">
        <v>0.0</v>
      </c>
      <c r="AZ458" s="39">
        <v>0.0</v>
      </c>
      <c r="BA458" s="35" t="s">
        <v>7045</v>
      </c>
      <c r="BB458" s="30">
        <v>46569.0</v>
      </c>
      <c r="BC458" s="30">
        <v>46660.0</v>
      </c>
      <c r="BD458" s="39">
        <v>0.0</v>
      </c>
      <c r="BE458" s="39">
        <v>0.0</v>
      </c>
      <c r="BF458" s="35" t="s">
        <v>7045</v>
      </c>
      <c r="BG458" s="30">
        <v>46661.0</v>
      </c>
      <c r="BH458" s="30">
        <v>46752.0</v>
      </c>
      <c r="BI458" s="39">
        <v>0.0</v>
      </c>
      <c r="BJ458" s="39">
        <v>0.0</v>
      </c>
      <c r="BK458" s="35" t="s">
        <v>7045</v>
      </c>
      <c r="BL458" s="30">
        <v>46753.0</v>
      </c>
      <c r="BM458" s="30">
        <v>46843.0</v>
      </c>
      <c r="BN458" s="39">
        <v>0.0</v>
      </c>
      <c r="BO458" s="39">
        <v>0.0</v>
      </c>
      <c r="BP458" s="35" t="s">
        <v>7045</v>
      </c>
      <c r="BQ458" s="30">
        <v>46844.0</v>
      </c>
      <c r="BR458" s="30">
        <v>46934.0</v>
      </c>
      <c r="BS458" s="39">
        <v>0.0</v>
      </c>
      <c r="BT458" s="39">
        <v>0.0</v>
      </c>
      <c r="BU458" s="35" t="s">
        <v>7045</v>
      </c>
      <c r="BV458" s="30">
        <v>46935.0</v>
      </c>
      <c r="BW458" s="30">
        <v>47026.0</v>
      </c>
      <c r="BX458" s="39">
        <v>0.0</v>
      </c>
      <c r="BY458" s="39">
        <v>0.0</v>
      </c>
      <c r="BZ458" s="35" t="s">
        <v>7045</v>
      </c>
      <c r="CA458" s="30">
        <v>47027.0</v>
      </c>
      <c r="CB458" s="30">
        <v>47118.0</v>
      </c>
      <c r="CC458" s="39">
        <v>0.0</v>
      </c>
      <c r="CD458" s="39">
        <v>0.0</v>
      </c>
      <c r="CE458" s="35" t="s">
        <v>7045</v>
      </c>
      <c r="CF458" s="30">
        <v>47119.0</v>
      </c>
      <c r="CG458" s="30">
        <v>47208.0</v>
      </c>
      <c r="CH458" s="39">
        <v>0.0</v>
      </c>
      <c r="CI458" s="39">
        <v>0.0</v>
      </c>
      <c r="CJ458" s="35" t="s">
        <v>7045</v>
      </c>
      <c r="CK458" s="30">
        <v>47209.0</v>
      </c>
      <c r="CL458" s="30">
        <v>47299.0</v>
      </c>
      <c r="CM458" s="39">
        <v>0.0</v>
      </c>
      <c r="CN458" s="39">
        <v>0.0</v>
      </c>
      <c r="CO458" s="35" t="s">
        <v>7045</v>
      </c>
      <c r="CP458" s="30">
        <v>47300.0</v>
      </c>
      <c r="CQ458" s="30">
        <v>47391.0</v>
      </c>
      <c r="CR458" s="39">
        <v>0.0</v>
      </c>
      <c r="CS458" s="39">
        <v>0.0</v>
      </c>
      <c r="CT458" s="35" t="s">
        <v>7045</v>
      </c>
      <c r="CU458" s="30">
        <v>47392.0</v>
      </c>
      <c r="CV458" s="30">
        <v>47483.0</v>
      </c>
      <c r="CW458" s="39">
        <v>0.0</v>
      </c>
      <c r="CX458" s="39">
        <v>0.0</v>
      </c>
      <c r="CY458" s="35" t="s">
        <v>7045</v>
      </c>
      <c r="CZ458" s="30">
        <v>47484.0</v>
      </c>
      <c r="DA458" s="30">
        <v>47573.0</v>
      </c>
      <c r="DB458" s="39">
        <v>0.0</v>
      </c>
      <c r="DC458" s="39">
        <v>0.0</v>
      </c>
      <c r="DD458" s="35" t="s">
        <v>7045</v>
      </c>
      <c r="DE458" s="30">
        <v>47574.0</v>
      </c>
      <c r="DF458" s="30">
        <v>47664.0</v>
      </c>
      <c r="DG458" s="39">
        <v>0.0</v>
      </c>
      <c r="DH458" s="39">
        <v>0.0</v>
      </c>
      <c r="DI458" s="35" t="s">
        <v>7045</v>
      </c>
      <c r="DJ458" s="30">
        <v>47665.0</v>
      </c>
      <c r="DK458" s="30">
        <v>47756.0</v>
      </c>
      <c r="DL458" s="39">
        <v>0.0</v>
      </c>
      <c r="DM458" s="39">
        <v>0.0</v>
      </c>
      <c r="DN458" s="35" t="s">
        <v>7045</v>
      </c>
      <c r="DO458" s="30">
        <v>47757.0</v>
      </c>
      <c r="DP458" s="30">
        <v>47848.0</v>
      </c>
      <c r="DQ458" s="39">
        <v>0.0</v>
      </c>
      <c r="DR458" s="39">
        <v>0.0</v>
      </c>
      <c r="DS458" s="35" t="s">
        <v>7045</v>
      </c>
    </row>
    <row r="459" ht="14.25" customHeight="1">
      <c r="A459" s="28" t="s">
        <v>6137</v>
      </c>
      <c r="B459" s="29" t="s">
        <v>6138</v>
      </c>
      <c r="C459" s="29" t="s">
        <v>7041</v>
      </c>
      <c r="D459" s="30">
        <v>45658.0</v>
      </c>
      <c r="E459" s="30">
        <v>45747.0</v>
      </c>
      <c r="F459" s="39">
        <v>20.0</v>
      </c>
      <c r="G459" s="39">
        <v>0.0</v>
      </c>
      <c r="H459" s="38" t="s">
        <v>7047</v>
      </c>
      <c r="I459" s="30">
        <v>45748.0</v>
      </c>
      <c r="J459" s="30">
        <v>45838.0</v>
      </c>
      <c r="K459" s="39">
        <v>70.0</v>
      </c>
      <c r="L459" s="39">
        <v>0.0</v>
      </c>
      <c r="M459" s="38" t="s">
        <v>7047</v>
      </c>
      <c r="N459" s="30">
        <v>45839.0</v>
      </c>
      <c r="O459" s="30">
        <v>45930.0</v>
      </c>
      <c r="P459" s="39">
        <v>39.0</v>
      </c>
      <c r="Q459" s="39">
        <v>0.0</v>
      </c>
      <c r="R459" s="38" t="s">
        <v>7047</v>
      </c>
      <c r="S459" s="30">
        <v>45931.0</v>
      </c>
      <c r="T459" s="30">
        <v>46022.0</v>
      </c>
      <c r="U459" s="39">
        <v>40.0</v>
      </c>
      <c r="V459" s="39">
        <v>0.0</v>
      </c>
      <c r="W459" s="35" t="s">
        <v>7047</v>
      </c>
      <c r="X459" s="30">
        <v>46023.0</v>
      </c>
      <c r="Y459" s="30">
        <v>46112.0</v>
      </c>
      <c r="Z459" s="39">
        <v>0.0</v>
      </c>
      <c r="AA459" s="39">
        <v>0.0</v>
      </c>
      <c r="AB459" s="35" t="s">
        <v>7045</v>
      </c>
      <c r="AC459" s="30">
        <v>46113.0</v>
      </c>
      <c r="AD459" s="30">
        <v>46203.0</v>
      </c>
      <c r="AE459" s="39">
        <v>30.0</v>
      </c>
      <c r="AF459" s="39">
        <v>0.0</v>
      </c>
      <c r="AG459" s="38" t="s">
        <v>7047</v>
      </c>
      <c r="AH459" s="30">
        <v>46204.0</v>
      </c>
      <c r="AI459" s="30">
        <v>46295.0</v>
      </c>
      <c r="AJ459" s="39">
        <v>0.0</v>
      </c>
      <c r="AK459" s="39">
        <v>0.0</v>
      </c>
      <c r="AL459" s="35" t="s">
        <v>7045</v>
      </c>
      <c r="AM459" s="30">
        <v>46296.0</v>
      </c>
      <c r="AN459" s="30">
        <v>46387.0</v>
      </c>
      <c r="AO459" s="39">
        <v>0.0</v>
      </c>
      <c r="AP459" s="39">
        <v>0.0</v>
      </c>
      <c r="AQ459" s="35" t="s">
        <v>7045</v>
      </c>
      <c r="AR459" s="30">
        <v>46388.0</v>
      </c>
      <c r="AS459" s="30">
        <v>46477.0</v>
      </c>
      <c r="AT459" s="39">
        <v>0.0</v>
      </c>
      <c r="AU459" s="39">
        <v>0.0</v>
      </c>
      <c r="AV459" s="35" t="s">
        <v>7045</v>
      </c>
      <c r="AW459" s="30">
        <v>46478.0</v>
      </c>
      <c r="AX459" s="30">
        <v>46568.0</v>
      </c>
      <c r="AY459" s="39">
        <v>0.0</v>
      </c>
      <c r="AZ459" s="39">
        <v>0.0</v>
      </c>
      <c r="BA459" s="35" t="s">
        <v>7045</v>
      </c>
      <c r="BB459" s="30">
        <v>46569.0</v>
      </c>
      <c r="BC459" s="30">
        <v>46660.0</v>
      </c>
      <c r="BD459" s="39">
        <v>0.0</v>
      </c>
      <c r="BE459" s="39">
        <v>0.0</v>
      </c>
      <c r="BF459" s="35" t="s">
        <v>7045</v>
      </c>
      <c r="BG459" s="30">
        <v>46661.0</v>
      </c>
      <c r="BH459" s="30">
        <v>46752.0</v>
      </c>
      <c r="BI459" s="39">
        <v>0.0</v>
      </c>
      <c r="BJ459" s="39">
        <v>0.0</v>
      </c>
      <c r="BK459" s="35" t="s">
        <v>7045</v>
      </c>
      <c r="BL459" s="30">
        <v>46753.0</v>
      </c>
      <c r="BM459" s="30">
        <v>46843.0</v>
      </c>
      <c r="BN459" s="39">
        <v>0.0</v>
      </c>
      <c r="BO459" s="39">
        <v>0.0</v>
      </c>
      <c r="BP459" s="35" t="s">
        <v>7045</v>
      </c>
      <c r="BQ459" s="30">
        <v>46844.0</v>
      </c>
      <c r="BR459" s="30">
        <v>46934.0</v>
      </c>
      <c r="BS459" s="39">
        <v>0.0</v>
      </c>
      <c r="BT459" s="39">
        <v>0.0</v>
      </c>
      <c r="BU459" s="35" t="s">
        <v>7045</v>
      </c>
      <c r="BV459" s="30">
        <v>46935.0</v>
      </c>
      <c r="BW459" s="30">
        <v>47026.0</v>
      </c>
      <c r="BX459" s="39">
        <v>0.0</v>
      </c>
      <c r="BY459" s="39">
        <v>0.0</v>
      </c>
      <c r="BZ459" s="35" t="s">
        <v>7045</v>
      </c>
      <c r="CA459" s="30">
        <v>47027.0</v>
      </c>
      <c r="CB459" s="30">
        <v>47118.0</v>
      </c>
      <c r="CC459" s="39">
        <v>0.0</v>
      </c>
      <c r="CD459" s="39">
        <v>0.0</v>
      </c>
      <c r="CE459" s="35" t="s">
        <v>7045</v>
      </c>
      <c r="CF459" s="30">
        <v>47119.0</v>
      </c>
      <c r="CG459" s="30">
        <v>47208.0</v>
      </c>
      <c r="CH459" s="39">
        <v>0.0</v>
      </c>
      <c r="CI459" s="39">
        <v>0.0</v>
      </c>
      <c r="CJ459" s="35" t="s">
        <v>7045</v>
      </c>
      <c r="CK459" s="30">
        <v>47209.0</v>
      </c>
      <c r="CL459" s="30">
        <v>47299.0</v>
      </c>
      <c r="CM459" s="39">
        <v>0.0</v>
      </c>
      <c r="CN459" s="39">
        <v>0.0</v>
      </c>
      <c r="CO459" s="35" t="s">
        <v>7045</v>
      </c>
      <c r="CP459" s="30">
        <v>47300.0</v>
      </c>
      <c r="CQ459" s="30">
        <v>47391.0</v>
      </c>
      <c r="CR459" s="39">
        <v>0.0</v>
      </c>
      <c r="CS459" s="39">
        <v>0.0</v>
      </c>
      <c r="CT459" s="35" t="s">
        <v>7045</v>
      </c>
      <c r="CU459" s="30">
        <v>47392.0</v>
      </c>
      <c r="CV459" s="30">
        <v>47483.0</v>
      </c>
      <c r="CW459" s="39">
        <v>0.0</v>
      </c>
      <c r="CX459" s="39">
        <v>0.0</v>
      </c>
      <c r="CY459" s="35" t="s">
        <v>7045</v>
      </c>
      <c r="CZ459" s="30">
        <v>47484.0</v>
      </c>
      <c r="DA459" s="30">
        <v>47573.0</v>
      </c>
      <c r="DB459" s="39">
        <v>0.0</v>
      </c>
      <c r="DC459" s="39">
        <v>0.0</v>
      </c>
      <c r="DD459" s="35" t="s">
        <v>7045</v>
      </c>
      <c r="DE459" s="30">
        <v>47574.0</v>
      </c>
      <c r="DF459" s="30">
        <v>47664.0</v>
      </c>
      <c r="DG459" s="39">
        <v>0.0</v>
      </c>
      <c r="DH459" s="39">
        <v>0.0</v>
      </c>
      <c r="DI459" s="35" t="s">
        <v>7045</v>
      </c>
      <c r="DJ459" s="30">
        <v>47665.0</v>
      </c>
      <c r="DK459" s="30">
        <v>47756.0</v>
      </c>
      <c r="DL459" s="39">
        <v>0.0</v>
      </c>
      <c r="DM459" s="39">
        <v>0.0</v>
      </c>
      <c r="DN459" s="35" t="s">
        <v>7045</v>
      </c>
      <c r="DO459" s="30">
        <v>47757.0</v>
      </c>
      <c r="DP459" s="30">
        <v>47848.0</v>
      </c>
      <c r="DQ459" s="39">
        <v>0.0</v>
      </c>
      <c r="DR459" s="39">
        <v>0.0</v>
      </c>
      <c r="DS459" s="35" t="s">
        <v>7045</v>
      </c>
    </row>
    <row r="460" ht="14.25" customHeight="1">
      <c r="A460" s="28" t="s">
        <v>352</v>
      </c>
      <c r="B460" s="29" t="s">
        <v>353</v>
      </c>
      <c r="C460" s="29" t="s">
        <v>7041</v>
      </c>
      <c r="D460" s="30">
        <v>45658.0</v>
      </c>
      <c r="E460" s="30">
        <v>45747.0</v>
      </c>
      <c r="F460" s="36">
        <v>0.0</v>
      </c>
      <c r="G460" s="36">
        <v>0.0</v>
      </c>
      <c r="H460" s="35" t="s">
        <v>7045</v>
      </c>
      <c r="I460" s="30">
        <v>45748.0</v>
      </c>
      <c r="J460" s="30">
        <v>45838.0</v>
      </c>
      <c r="K460" s="36">
        <v>8.0</v>
      </c>
      <c r="L460" s="36">
        <v>0.0</v>
      </c>
      <c r="M460" s="38" t="s">
        <v>7047</v>
      </c>
      <c r="N460" s="30">
        <v>45839.0</v>
      </c>
      <c r="O460" s="30">
        <v>45930.0</v>
      </c>
      <c r="P460" s="36">
        <v>13.12</v>
      </c>
      <c r="Q460" s="36">
        <v>0.0</v>
      </c>
      <c r="R460" s="38" t="s">
        <v>7047</v>
      </c>
      <c r="S460" s="30">
        <v>45931.0</v>
      </c>
      <c r="T460" s="30">
        <v>46022.0</v>
      </c>
      <c r="U460" s="36">
        <v>248.14</v>
      </c>
      <c r="V460" s="36">
        <v>0.0</v>
      </c>
      <c r="W460" s="38" t="s">
        <v>7047</v>
      </c>
      <c r="X460" s="30">
        <v>46023.0</v>
      </c>
      <c r="Y460" s="30">
        <v>46112.0</v>
      </c>
      <c r="Z460" s="36">
        <v>0.0</v>
      </c>
      <c r="AA460" s="36">
        <v>0.0</v>
      </c>
      <c r="AB460" s="35" t="s">
        <v>7045</v>
      </c>
      <c r="AC460" s="30">
        <v>46113.0</v>
      </c>
      <c r="AD460" s="30">
        <v>46203.0</v>
      </c>
      <c r="AE460" s="36">
        <v>3.98</v>
      </c>
      <c r="AF460" s="36">
        <v>0.0</v>
      </c>
      <c r="AG460" s="38" t="s">
        <v>7047</v>
      </c>
      <c r="AH460" s="30">
        <v>46204.0</v>
      </c>
      <c r="AI460" s="30">
        <v>46295.0</v>
      </c>
      <c r="AJ460" s="36">
        <v>4.04</v>
      </c>
      <c r="AK460" s="36">
        <v>0.0</v>
      </c>
      <c r="AL460" s="38" t="s">
        <v>7047</v>
      </c>
      <c r="AM460" s="30">
        <v>46296.0</v>
      </c>
      <c r="AN460" s="30">
        <v>46387.0</v>
      </c>
      <c r="AO460" s="36">
        <v>0.0</v>
      </c>
      <c r="AP460" s="36">
        <v>0.0</v>
      </c>
      <c r="AQ460" s="35" t="s">
        <v>7045</v>
      </c>
      <c r="AR460" s="30">
        <v>46388.0</v>
      </c>
      <c r="AS460" s="30">
        <v>46477.0</v>
      </c>
      <c r="AT460" s="36">
        <v>0.0</v>
      </c>
      <c r="AU460" s="36">
        <v>0.0</v>
      </c>
      <c r="AV460" s="35" t="s">
        <v>7045</v>
      </c>
      <c r="AW460" s="30">
        <v>46478.0</v>
      </c>
      <c r="AX460" s="30">
        <v>46568.0</v>
      </c>
      <c r="AY460" s="36">
        <v>0.0</v>
      </c>
      <c r="AZ460" s="36">
        <v>0.0</v>
      </c>
      <c r="BA460" s="35" t="s">
        <v>7045</v>
      </c>
      <c r="BB460" s="30">
        <v>46569.0</v>
      </c>
      <c r="BC460" s="30">
        <v>46660.0</v>
      </c>
      <c r="BD460" s="36">
        <v>0.0</v>
      </c>
      <c r="BE460" s="36">
        <v>0.0</v>
      </c>
      <c r="BF460" s="35" t="s">
        <v>7045</v>
      </c>
      <c r="BG460" s="30">
        <v>46661.0</v>
      </c>
      <c r="BH460" s="30">
        <v>46752.0</v>
      </c>
      <c r="BI460" s="36">
        <v>0.0</v>
      </c>
      <c r="BJ460" s="36">
        <v>0.0</v>
      </c>
      <c r="BK460" s="35" t="s">
        <v>7045</v>
      </c>
      <c r="BL460" s="30">
        <v>46753.0</v>
      </c>
      <c r="BM460" s="30">
        <v>46843.0</v>
      </c>
      <c r="BN460" s="36">
        <v>0.0</v>
      </c>
      <c r="BO460" s="36">
        <v>0.0</v>
      </c>
      <c r="BP460" s="35" t="s">
        <v>7045</v>
      </c>
      <c r="BQ460" s="30">
        <v>46844.0</v>
      </c>
      <c r="BR460" s="30">
        <v>46934.0</v>
      </c>
      <c r="BS460" s="36">
        <v>0.0</v>
      </c>
      <c r="BT460" s="36">
        <v>0.0</v>
      </c>
      <c r="BU460" s="35" t="s">
        <v>7045</v>
      </c>
      <c r="BV460" s="30">
        <v>46935.0</v>
      </c>
      <c r="BW460" s="30">
        <v>47026.0</v>
      </c>
      <c r="BX460" s="36">
        <v>0.0</v>
      </c>
      <c r="BY460" s="36">
        <v>0.0</v>
      </c>
      <c r="BZ460" s="35" t="s">
        <v>7045</v>
      </c>
      <c r="CA460" s="30">
        <v>47027.0</v>
      </c>
      <c r="CB460" s="30">
        <v>47118.0</v>
      </c>
      <c r="CC460" s="36">
        <v>0.0</v>
      </c>
      <c r="CD460" s="36">
        <v>0.0</v>
      </c>
      <c r="CE460" s="35" t="s">
        <v>7045</v>
      </c>
      <c r="CF460" s="30">
        <v>47119.0</v>
      </c>
      <c r="CG460" s="30">
        <v>47208.0</v>
      </c>
      <c r="CH460" s="36">
        <v>0.0</v>
      </c>
      <c r="CI460" s="36">
        <v>0.0</v>
      </c>
      <c r="CJ460" s="35" t="s">
        <v>7045</v>
      </c>
      <c r="CK460" s="30">
        <v>47209.0</v>
      </c>
      <c r="CL460" s="30">
        <v>47299.0</v>
      </c>
      <c r="CM460" s="36">
        <v>0.0</v>
      </c>
      <c r="CN460" s="36">
        <v>0.0</v>
      </c>
      <c r="CO460" s="35" t="s">
        <v>7045</v>
      </c>
      <c r="CP460" s="30">
        <v>47300.0</v>
      </c>
      <c r="CQ460" s="30">
        <v>47391.0</v>
      </c>
      <c r="CR460" s="36">
        <v>0.0</v>
      </c>
      <c r="CS460" s="36">
        <v>0.0</v>
      </c>
      <c r="CT460" s="35" t="s">
        <v>7045</v>
      </c>
      <c r="CU460" s="30">
        <v>47392.0</v>
      </c>
      <c r="CV460" s="30">
        <v>47483.0</v>
      </c>
      <c r="CW460" s="36">
        <v>0.0</v>
      </c>
      <c r="CX460" s="36">
        <v>0.0</v>
      </c>
      <c r="CY460" s="35" t="s">
        <v>7045</v>
      </c>
      <c r="CZ460" s="30">
        <v>47484.0</v>
      </c>
      <c r="DA460" s="30">
        <v>47573.0</v>
      </c>
      <c r="DB460" s="36">
        <v>0.0</v>
      </c>
      <c r="DC460" s="36">
        <v>0.0</v>
      </c>
      <c r="DD460" s="35" t="s">
        <v>7045</v>
      </c>
      <c r="DE460" s="30">
        <v>47574.0</v>
      </c>
      <c r="DF460" s="30">
        <v>47664.0</v>
      </c>
      <c r="DG460" s="36">
        <v>0.0</v>
      </c>
      <c r="DH460" s="36">
        <v>0.0</v>
      </c>
      <c r="DI460" s="35" t="s">
        <v>7045</v>
      </c>
      <c r="DJ460" s="30">
        <v>47665.0</v>
      </c>
      <c r="DK460" s="30">
        <v>47756.0</v>
      </c>
      <c r="DL460" s="36">
        <v>0.0</v>
      </c>
      <c r="DM460" s="36">
        <v>0.0</v>
      </c>
      <c r="DN460" s="35" t="s">
        <v>7045</v>
      </c>
      <c r="DO460" s="30">
        <v>47757.0</v>
      </c>
      <c r="DP460" s="30">
        <v>47848.0</v>
      </c>
      <c r="DQ460" s="36">
        <v>0.0</v>
      </c>
      <c r="DR460" s="36">
        <v>0.0</v>
      </c>
      <c r="DS460" s="35" t="s">
        <v>7045</v>
      </c>
    </row>
    <row r="461" ht="14.25" customHeight="1">
      <c r="A461" s="28" t="s">
        <v>5120</v>
      </c>
      <c r="B461" s="29" t="s">
        <v>5121</v>
      </c>
      <c r="C461" s="29" t="s">
        <v>7041</v>
      </c>
      <c r="D461" s="30">
        <v>45658.0</v>
      </c>
      <c r="E461" s="30">
        <v>45747.0</v>
      </c>
      <c r="F461" s="39">
        <v>0.0</v>
      </c>
      <c r="G461" s="39">
        <v>0.0</v>
      </c>
      <c r="H461" s="35" t="s">
        <v>7045</v>
      </c>
      <c r="I461" s="30">
        <v>45748.0</v>
      </c>
      <c r="J461" s="30">
        <v>45838.0</v>
      </c>
      <c r="K461" s="39">
        <v>2700.0</v>
      </c>
      <c r="L461" s="39">
        <v>0.0</v>
      </c>
      <c r="M461" s="38" t="s">
        <v>7047</v>
      </c>
      <c r="N461" s="30">
        <v>45839.0</v>
      </c>
      <c r="O461" s="30">
        <v>45930.0</v>
      </c>
      <c r="P461" s="39">
        <v>0.0</v>
      </c>
      <c r="Q461" s="39">
        <v>0.0</v>
      </c>
      <c r="R461" s="35" t="s">
        <v>7045</v>
      </c>
      <c r="S461" s="30">
        <v>45931.0</v>
      </c>
      <c r="T461" s="30">
        <v>46022.0</v>
      </c>
      <c r="U461" s="39">
        <v>315.0</v>
      </c>
      <c r="V461" s="39">
        <v>0.0</v>
      </c>
      <c r="W461" s="38" t="s">
        <v>7047</v>
      </c>
      <c r="X461" s="30">
        <v>46023.0</v>
      </c>
      <c r="Y461" s="30">
        <v>46112.0</v>
      </c>
      <c r="Z461" s="39">
        <v>900.0</v>
      </c>
      <c r="AA461" s="39">
        <v>0.0</v>
      </c>
      <c r="AB461" s="35" t="s">
        <v>7047</v>
      </c>
      <c r="AC461" s="30">
        <v>46113.0</v>
      </c>
      <c r="AD461" s="30">
        <v>46203.0</v>
      </c>
      <c r="AE461" s="39">
        <v>0.0</v>
      </c>
      <c r="AF461" s="39">
        <v>0.0</v>
      </c>
      <c r="AG461" s="35" t="s">
        <v>7045</v>
      </c>
      <c r="AH461" s="30">
        <v>46204.0</v>
      </c>
      <c r="AI461" s="30">
        <v>46295.0</v>
      </c>
      <c r="AJ461" s="39">
        <v>0.0</v>
      </c>
      <c r="AK461" s="39">
        <v>0.0</v>
      </c>
      <c r="AL461" s="35" t="s">
        <v>7045</v>
      </c>
      <c r="AM461" s="30">
        <v>46296.0</v>
      </c>
      <c r="AN461" s="30">
        <v>46387.0</v>
      </c>
      <c r="AO461" s="39">
        <v>0.0</v>
      </c>
      <c r="AP461" s="39">
        <v>0.0</v>
      </c>
      <c r="AQ461" s="35" t="s">
        <v>7045</v>
      </c>
      <c r="AR461" s="30">
        <v>46388.0</v>
      </c>
      <c r="AS461" s="30">
        <v>46477.0</v>
      </c>
      <c r="AT461" s="39">
        <v>0.0</v>
      </c>
      <c r="AU461" s="39">
        <v>0.0</v>
      </c>
      <c r="AV461" s="35" t="s">
        <v>7045</v>
      </c>
      <c r="AW461" s="30">
        <v>46478.0</v>
      </c>
      <c r="AX461" s="30">
        <v>46568.0</v>
      </c>
      <c r="AY461" s="39">
        <v>0.0</v>
      </c>
      <c r="AZ461" s="39">
        <v>0.0</v>
      </c>
      <c r="BA461" s="35" t="s">
        <v>7045</v>
      </c>
      <c r="BB461" s="30">
        <v>46569.0</v>
      </c>
      <c r="BC461" s="30">
        <v>46660.0</v>
      </c>
      <c r="BD461" s="39">
        <v>0.0</v>
      </c>
      <c r="BE461" s="39">
        <v>0.0</v>
      </c>
      <c r="BF461" s="35" t="s">
        <v>7045</v>
      </c>
      <c r="BG461" s="30">
        <v>46661.0</v>
      </c>
      <c r="BH461" s="30">
        <v>46752.0</v>
      </c>
      <c r="BI461" s="39">
        <v>0.0</v>
      </c>
      <c r="BJ461" s="39">
        <v>0.0</v>
      </c>
      <c r="BK461" s="35" t="s">
        <v>7045</v>
      </c>
      <c r="BL461" s="30">
        <v>46753.0</v>
      </c>
      <c r="BM461" s="30">
        <v>46843.0</v>
      </c>
      <c r="BN461" s="39">
        <v>0.0</v>
      </c>
      <c r="BO461" s="39">
        <v>0.0</v>
      </c>
      <c r="BP461" s="35" t="s">
        <v>7045</v>
      </c>
      <c r="BQ461" s="30">
        <v>46844.0</v>
      </c>
      <c r="BR461" s="30">
        <v>46934.0</v>
      </c>
      <c r="BS461" s="39">
        <v>0.0</v>
      </c>
      <c r="BT461" s="39">
        <v>0.0</v>
      </c>
      <c r="BU461" s="35" t="s">
        <v>7045</v>
      </c>
      <c r="BV461" s="30">
        <v>46935.0</v>
      </c>
      <c r="BW461" s="30">
        <v>47026.0</v>
      </c>
      <c r="BX461" s="39">
        <v>0.0</v>
      </c>
      <c r="BY461" s="39">
        <v>0.0</v>
      </c>
      <c r="BZ461" s="35" t="s">
        <v>7045</v>
      </c>
      <c r="CA461" s="30">
        <v>47027.0</v>
      </c>
      <c r="CB461" s="30">
        <v>47118.0</v>
      </c>
      <c r="CC461" s="39">
        <v>0.0</v>
      </c>
      <c r="CD461" s="39">
        <v>0.0</v>
      </c>
      <c r="CE461" s="35" t="s">
        <v>7045</v>
      </c>
      <c r="CF461" s="30">
        <v>47119.0</v>
      </c>
      <c r="CG461" s="30">
        <v>47208.0</v>
      </c>
      <c r="CH461" s="39">
        <v>0.0</v>
      </c>
      <c r="CI461" s="39">
        <v>0.0</v>
      </c>
      <c r="CJ461" s="35" t="s">
        <v>7045</v>
      </c>
      <c r="CK461" s="30">
        <v>47209.0</v>
      </c>
      <c r="CL461" s="30">
        <v>47299.0</v>
      </c>
      <c r="CM461" s="39">
        <v>0.0</v>
      </c>
      <c r="CN461" s="39">
        <v>0.0</v>
      </c>
      <c r="CO461" s="35" t="s">
        <v>7045</v>
      </c>
      <c r="CP461" s="30">
        <v>47300.0</v>
      </c>
      <c r="CQ461" s="30">
        <v>47391.0</v>
      </c>
      <c r="CR461" s="39">
        <v>0.0</v>
      </c>
      <c r="CS461" s="39">
        <v>0.0</v>
      </c>
      <c r="CT461" s="35" t="s">
        <v>7045</v>
      </c>
      <c r="CU461" s="30">
        <v>47392.0</v>
      </c>
      <c r="CV461" s="30">
        <v>47483.0</v>
      </c>
      <c r="CW461" s="39">
        <v>0.0</v>
      </c>
      <c r="CX461" s="39">
        <v>0.0</v>
      </c>
      <c r="CY461" s="35" t="s">
        <v>7045</v>
      </c>
      <c r="CZ461" s="30">
        <v>47484.0</v>
      </c>
      <c r="DA461" s="30">
        <v>47573.0</v>
      </c>
      <c r="DB461" s="39">
        <v>0.0</v>
      </c>
      <c r="DC461" s="39">
        <v>0.0</v>
      </c>
      <c r="DD461" s="35" t="s">
        <v>7045</v>
      </c>
      <c r="DE461" s="30">
        <v>47574.0</v>
      </c>
      <c r="DF461" s="30">
        <v>47664.0</v>
      </c>
      <c r="DG461" s="39">
        <v>0.0</v>
      </c>
      <c r="DH461" s="39">
        <v>0.0</v>
      </c>
      <c r="DI461" s="35" t="s">
        <v>7045</v>
      </c>
      <c r="DJ461" s="30">
        <v>47665.0</v>
      </c>
      <c r="DK461" s="30">
        <v>47756.0</v>
      </c>
      <c r="DL461" s="39">
        <v>0.0</v>
      </c>
      <c r="DM461" s="39">
        <v>0.0</v>
      </c>
      <c r="DN461" s="35" t="s">
        <v>7045</v>
      </c>
      <c r="DO461" s="30">
        <v>47757.0</v>
      </c>
      <c r="DP461" s="30">
        <v>47848.0</v>
      </c>
      <c r="DQ461" s="39">
        <v>0.0</v>
      </c>
      <c r="DR461" s="39">
        <v>0.0</v>
      </c>
      <c r="DS461" s="35" t="s">
        <v>7045</v>
      </c>
    </row>
    <row r="462" ht="14.25" customHeight="1">
      <c r="A462" s="28" t="s">
        <v>3873</v>
      </c>
      <c r="B462" s="29" t="s">
        <v>3874</v>
      </c>
      <c r="C462" s="29" t="s">
        <v>7041</v>
      </c>
      <c r="D462" s="30">
        <v>45658.0</v>
      </c>
      <c r="E462" s="30">
        <v>45747.0</v>
      </c>
      <c r="F462" s="36">
        <v>23.2</v>
      </c>
      <c r="G462" s="36">
        <v>0.0</v>
      </c>
      <c r="H462" s="38" t="s">
        <v>7047</v>
      </c>
      <c r="I462" s="30">
        <v>45748.0</v>
      </c>
      <c r="J462" s="30">
        <v>45838.0</v>
      </c>
      <c r="K462" s="36">
        <v>9.43</v>
      </c>
      <c r="L462" s="36">
        <v>161.3</v>
      </c>
      <c r="M462" s="38" t="s">
        <v>7043</v>
      </c>
      <c r="N462" s="30">
        <v>45839.0</v>
      </c>
      <c r="O462" s="30">
        <v>45930.0</v>
      </c>
      <c r="P462" s="36">
        <v>260.58</v>
      </c>
      <c r="Q462" s="36">
        <v>161.3</v>
      </c>
      <c r="R462" s="38" t="s">
        <v>7047</v>
      </c>
      <c r="S462" s="30">
        <v>45931.0</v>
      </c>
      <c r="T462" s="30">
        <v>46022.0</v>
      </c>
      <c r="U462" s="36">
        <v>234.84</v>
      </c>
      <c r="V462" s="36">
        <v>161.3</v>
      </c>
      <c r="W462" s="38" t="s">
        <v>7047</v>
      </c>
      <c r="X462" s="30">
        <v>46023.0</v>
      </c>
      <c r="Y462" s="30">
        <v>46112.0</v>
      </c>
      <c r="Z462" s="36">
        <v>161.0</v>
      </c>
      <c r="AA462" s="36">
        <v>0.0</v>
      </c>
      <c r="AB462" s="38" t="s">
        <v>7047</v>
      </c>
      <c r="AC462" s="30">
        <v>46113.0</v>
      </c>
      <c r="AD462" s="30">
        <v>46203.0</v>
      </c>
      <c r="AE462" s="36">
        <v>437.0</v>
      </c>
      <c r="AF462" s="36">
        <v>0.0</v>
      </c>
      <c r="AG462" s="38" t="s">
        <v>7047</v>
      </c>
      <c r="AH462" s="30">
        <v>46204.0</v>
      </c>
      <c r="AI462" s="30">
        <v>46295.0</v>
      </c>
      <c r="AJ462" s="36">
        <v>0.0</v>
      </c>
      <c r="AK462" s="36">
        <v>0.0</v>
      </c>
      <c r="AL462" s="35" t="s">
        <v>7045</v>
      </c>
      <c r="AM462" s="30">
        <v>46296.0</v>
      </c>
      <c r="AN462" s="30">
        <v>46387.0</v>
      </c>
      <c r="AO462" s="36">
        <v>0.0</v>
      </c>
      <c r="AP462" s="36">
        <v>0.0</v>
      </c>
      <c r="AQ462" s="35" t="s">
        <v>7045</v>
      </c>
      <c r="AR462" s="30">
        <v>46388.0</v>
      </c>
      <c r="AS462" s="30">
        <v>46477.0</v>
      </c>
      <c r="AT462" s="36">
        <v>0.0</v>
      </c>
      <c r="AU462" s="36">
        <v>0.0</v>
      </c>
      <c r="AV462" s="35" t="s">
        <v>7045</v>
      </c>
      <c r="AW462" s="30">
        <v>46478.0</v>
      </c>
      <c r="AX462" s="30">
        <v>46568.0</v>
      </c>
      <c r="AY462" s="36">
        <v>0.0</v>
      </c>
      <c r="AZ462" s="36">
        <v>0.0</v>
      </c>
      <c r="BA462" s="35" t="s">
        <v>7045</v>
      </c>
      <c r="BB462" s="30">
        <v>46569.0</v>
      </c>
      <c r="BC462" s="30">
        <v>46660.0</v>
      </c>
      <c r="BD462" s="36">
        <v>0.0</v>
      </c>
      <c r="BE462" s="36">
        <v>0.0</v>
      </c>
      <c r="BF462" s="35" t="s">
        <v>7045</v>
      </c>
      <c r="BG462" s="30">
        <v>46661.0</v>
      </c>
      <c r="BH462" s="30">
        <v>46752.0</v>
      </c>
      <c r="BI462" s="36">
        <v>0.0</v>
      </c>
      <c r="BJ462" s="36">
        <v>0.0</v>
      </c>
      <c r="BK462" s="35" t="s">
        <v>7045</v>
      </c>
      <c r="BL462" s="30">
        <v>46753.0</v>
      </c>
      <c r="BM462" s="30">
        <v>46843.0</v>
      </c>
      <c r="BN462" s="36">
        <v>0.0</v>
      </c>
      <c r="BO462" s="36">
        <v>0.0</v>
      </c>
      <c r="BP462" s="35" t="s">
        <v>7045</v>
      </c>
      <c r="BQ462" s="30">
        <v>46844.0</v>
      </c>
      <c r="BR462" s="30">
        <v>46934.0</v>
      </c>
      <c r="BS462" s="36">
        <v>0.0</v>
      </c>
      <c r="BT462" s="36">
        <v>0.0</v>
      </c>
      <c r="BU462" s="35" t="s">
        <v>7045</v>
      </c>
      <c r="BV462" s="30">
        <v>46935.0</v>
      </c>
      <c r="BW462" s="30">
        <v>47026.0</v>
      </c>
      <c r="BX462" s="36">
        <v>0.0</v>
      </c>
      <c r="BY462" s="36">
        <v>0.0</v>
      </c>
      <c r="BZ462" s="35" t="s">
        <v>7045</v>
      </c>
      <c r="CA462" s="30">
        <v>47027.0</v>
      </c>
      <c r="CB462" s="30">
        <v>47118.0</v>
      </c>
      <c r="CC462" s="36">
        <v>0.0</v>
      </c>
      <c r="CD462" s="36">
        <v>0.0</v>
      </c>
      <c r="CE462" s="35" t="s">
        <v>7045</v>
      </c>
      <c r="CF462" s="30">
        <v>47119.0</v>
      </c>
      <c r="CG462" s="30">
        <v>47208.0</v>
      </c>
      <c r="CH462" s="36">
        <v>0.0</v>
      </c>
      <c r="CI462" s="36">
        <v>0.0</v>
      </c>
      <c r="CJ462" s="35" t="s">
        <v>7045</v>
      </c>
      <c r="CK462" s="30">
        <v>47209.0</v>
      </c>
      <c r="CL462" s="30">
        <v>47299.0</v>
      </c>
      <c r="CM462" s="36">
        <v>0.0</v>
      </c>
      <c r="CN462" s="36">
        <v>0.0</v>
      </c>
      <c r="CO462" s="35" t="s">
        <v>7045</v>
      </c>
      <c r="CP462" s="30">
        <v>47300.0</v>
      </c>
      <c r="CQ462" s="30">
        <v>47391.0</v>
      </c>
      <c r="CR462" s="36">
        <v>0.0</v>
      </c>
      <c r="CS462" s="36">
        <v>0.0</v>
      </c>
      <c r="CT462" s="35" t="s">
        <v>7045</v>
      </c>
      <c r="CU462" s="30">
        <v>47392.0</v>
      </c>
      <c r="CV462" s="30">
        <v>47483.0</v>
      </c>
      <c r="CW462" s="36">
        <v>0.0</v>
      </c>
      <c r="CX462" s="36">
        <v>0.0</v>
      </c>
      <c r="CY462" s="35" t="s">
        <v>7045</v>
      </c>
      <c r="CZ462" s="30">
        <v>47484.0</v>
      </c>
      <c r="DA462" s="30">
        <v>47573.0</v>
      </c>
      <c r="DB462" s="36">
        <v>0.0</v>
      </c>
      <c r="DC462" s="36">
        <v>0.0</v>
      </c>
      <c r="DD462" s="35" t="s">
        <v>7045</v>
      </c>
      <c r="DE462" s="30">
        <v>47574.0</v>
      </c>
      <c r="DF462" s="30">
        <v>47664.0</v>
      </c>
      <c r="DG462" s="36">
        <v>0.0</v>
      </c>
      <c r="DH462" s="36">
        <v>0.0</v>
      </c>
      <c r="DI462" s="35" t="s">
        <v>7045</v>
      </c>
      <c r="DJ462" s="30">
        <v>47665.0</v>
      </c>
      <c r="DK462" s="30">
        <v>47756.0</v>
      </c>
      <c r="DL462" s="36">
        <v>0.0</v>
      </c>
      <c r="DM462" s="36">
        <v>0.0</v>
      </c>
      <c r="DN462" s="35" t="s">
        <v>7045</v>
      </c>
      <c r="DO462" s="30">
        <v>47757.0</v>
      </c>
      <c r="DP462" s="30">
        <v>47848.0</v>
      </c>
      <c r="DQ462" s="36">
        <v>0.0</v>
      </c>
      <c r="DR462" s="36">
        <v>0.0</v>
      </c>
      <c r="DS462" s="35" t="s">
        <v>7045</v>
      </c>
    </row>
    <row r="463" ht="14.25" customHeight="1">
      <c r="A463" s="28" t="s">
        <v>2383</v>
      </c>
      <c r="B463" s="29" t="s">
        <v>2384</v>
      </c>
      <c r="C463" s="29" t="s">
        <v>7041</v>
      </c>
      <c r="D463" s="30">
        <v>45658.0</v>
      </c>
      <c r="E463" s="30">
        <v>45747.0</v>
      </c>
      <c r="F463" s="36">
        <v>0.0</v>
      </c>
      <c r="G463" s="36">
        <v>0.0</v>
      </c>
      <c r="H463" s="35" t="s">
        <v>7045</v>
      </c>
      <c r="I463" s="30">
        <v>45748.0</v>
      </c>
      <c r="J463" s="30">
        <v>45838.0</v>
      </c>
      <c r="K463" s="36">
        <v>0.0</v>
      </c>
      <c r="L463" s="36">
        <v>166.67</v>
      </c>
      <c r="M463" s="32" t="s">
        <v>7043</v>
      </c>
      <c r="N463" s="30">
        <v>45839.0</v>
      </c>
      <c r="O463" s="30">
        <v>45930.0</v>
      </c>
      <c r="P463" s="36">
        <v>121.55</v>
      </c>
      <c r="Q463" s="36">
        <v>666.65</v>
      </c>
      <c r="R463" s="38" t="s">
        <v>7047</v>
      </c>
      <c r="S463" s="30">
        <v>45931.0</v>
      </c>
      <c r="T463" s="30">
        <v>46022.0</v>
      </c>
      <c r="U463" s="36">
        <v>138.57</v>
      </c>
      <c r="V463" s="36">
        <v>1666.65</v>
      </c>
      <c r="W463" s="38" t="s">
        <v>7047</v>
      </c>
      <c r="X463" s="30">
        <v>46023.0</v>
      </c>
      <c r="Y463" s="30">
        <v>46112.0</v>
      </c>
      <c r="Z463" s="36">
        <v>0.0</v>
      </c>
      <c r="AA463" s="36">
        <v>0.0</v>
      </c>
      <c r="AB463" s="35" t="s">
        <v>7045</v>
      </c>
      <c r="AC463" s="30">
        <v>46113.0</v>
      </c>
      <c r="AD463" s="30">
        <v>46203.0</v>
      </c>
      <c r="AE463" s="36">
        <v>0.0</v>
      </c>
      <c r="AF463" s="36">
        <v>0.0</v>
      </c>
      <c r="AG463" s="35" t="s">
        <v>7045</v>
      </c>
      <c r="AH463" s="30">
        <v>46204.0</v>
      </c>
      <c r="AI463" s="30">
        <v>46295.0</v>
      </c>
      <c r="AJ463" s="36">
        <v>0.0</v>
      </c>
      <c r="AK463" s="36">
        <v>0.0</v>
      </c>
      <c r="AL463" s="35" t="s">
        <v>7045</v>
      </c>
      <c r="AM463" s="30">
        <v>46296.0</v>
      </c>
      <c r="AN463" s="30">
        <v>46387.0</v>
      </c>
      <c r="AO463" s="36">
        <v>0.0</v>
      </c>
      <c r="AP463" s="36">
        <v>0.0</v>
      </c>
      <c r="AQ463" s="35" t="s">
        <v>7045</v>
      </c>
      <c r="AR463" s="30">
        <v>46388.0</v>
      </c>
      <c r="AS463" s="30">
        <v>46477.0</v>
      </c>
      <c r="AT463" s="36">
        <v>0.0</v>
      </c>
      <c r="AU463" s="36">
        <v>0.0</v>
      </c>
      <c r="AV463" s="35" t="s">
        <v>7045</v>
      </c>
      <c r="AW463" s="30">
        <v>46478.0</v>
      </c>
      <c r="AX463" s="30">
        <v>46568.0</v>
      </c>
      <c r="AY463" s="36">
        <v>0.0</v>
      </c>
      <c r="AZ463" s="36">
        <v>0.0</v>
      </c>
      <c r="BA463" s="35" t="s">
        <v>7045</v>
      </c>
      <c r="BB463" s="30">
        <v>46569.0</v>
      </c>
      <c r="BC463" s="30">
        <v>46660.0</v>
      </c>
      <c r="BD463" s="36">
        <v>0.0</v>
      </c>
      <c r="BE463" s="36">
        <v>0.0</v>
      </c>
      <c r="BF463" s="35" t="s">
        <v>7045</v>
      </c>
      <c r="BG463" s="30">
        <v>46661.0</v>
      </c>
      <c r="BH463" s="30">
        <v>46752.0</v>
      </c>
      <c r="BI463" s="36">
        <v>0.0</v>
      </c>
      <c r="BJ463" s="36">
        <v>0.0</v>
      </c>
      <c r="BK463" s="35" t="s">
        <v>7045</v>
      </c>
      <c r="BL463" s="30">
        <v>46753.0</v>
      </c>
      <c r="BM463" s="30">
        <v>46843.0</v>
      </c>
      <c r="BN463" s="36">
        <v>0.0</v>
      </c>
      <c r="BO463" s="36">
        <v>0.0</v>
      </c>
      <c r="BP463" s="35" t="s">
        <v>7045</v>
      </c>
      <c r="BQ463" s="30">
        <v>46844.0</v>
      </c>
      <c r="BR463" s="30">
        <v>46934.0</v>
      </c>
      <c r="BS463" s="36">
        <v>0.0</v>
      </c>
      <c r="BT463" s="36">
        <v>0.0</v>
      </c>
      <c r="BU463" s="35" t="s">
        <v>7045</v>
      </c>
      <c r="BV463" s="30">
        <v>46935.0</v>
      </c>
      <c r="BW463" s="30">
        <v>47026.0</v>
      </c>
      <c r="BX463" s="36">
        <v>0.0</v>
      </c>
      <c r="BY463" s="36">
        <v>0.0</v>
      </c>
      <c r="BZ463" s="35" t="s">
        <v>7045</v>
      </c>
      <c r="CA463" s="30">
        <v>47027.0</v>
      </c>
      <c r="CB463" s="30">
        <v>47118.0</v>
      </c>
      <c r="CC463" s="36">
        <v>0.0</v>
      </c>
      <c r="CD463" s="36">
        <v>0.0</v>
      </c>
      <c r="CE463" s="35" t="s">
        <v>7045</v>
      </c>
      <c r="CF463" s="30">
        <v>47119.0</v>
      </c>
      <c r="CG463" s="30">
        <v>47208.0</v>
      </c>
      <c r="CH463" s="36">
        <v>0.0</v>
      </c>
      <c r="CI463" s="36">
        <v>0.0</v>
      </c>
      <c r="CJ463" s="35" t="s">
        <v>7045</v>
      </c>
      <c r="CK463" s="30">
        <v>47209.0</v>
      </c>
      <c r="CL463" s="30">
        <v>47299.0</v>
      </c>
      <c r="CM463" s="36">
        <v>0.0</v>
      </c>
      <c r="CN463" s="36">
        <v>0.0</v>
      </c>
      <c r="CO463" s="35" t="s">
        <v>7045</v>
      </c>
      <c r="CP463" s="30">
        <v>47300.0</v>
      </c>
      <c r="CQ463" s="30">
        <v>47391.0</v>
      </c>
      <c r="CR463" s="36">
        <v>0.0</v>
      </c>
      <c r="CS463" s="36">
        <v>0.0</v>
      </c>
      <c r="CT463" s="35" t="s">
        <v>7045</v>
      </c>
      <c r="CU463" s="30">
        <v>47392.0</v>
      </c>
      <c r="CV463" s="30">
        <v>47483.0</v>
      </c>
      <c r="CW463" s="36">
        <v>0.0</v>
      </c>
      <c r="CX463" s="36">
        <v>0.0</v>
      </c>
      <c r="CY463" s="35" t="s">
        <v>7045</v>
      </c>
      <c r="CZ463" s="30">
        <v>47484.0</v>
      </c>
      <c r="DA463" s="30">
        <v>47573.0</v>
      </c>
      <c r="DB463" s="36">
        <v>0.0</v>
      </c>
      <c r="DC463" s="36">
        <v>0.0</v>
      </c>
      <c r="DD463" s="35" t="s">
        <v>7045</v>
      </c>
      <c r="DE463" s="30">
        <v>47574.0</v>
      </c>
      <c r="DF463" s="30">
        <v>47664.0</v>
      </c>
      <c r="DG463" s="36">
        <v>0.0</v>
      </c>
      <c r="DH463" s="36">
        <v>0.0</v>
      </c>
      <c r="DI463" s="35" t="s">
        <v>7045</v>
      </c>
      <c r="DJ463" s="30">
        <v>47665.0</v>
      </c>
      <c r="DK463" s="30">
        <v>47756.0</v>
      </c>
      <c r="DL463" s="36">
        <v>0.0</v>
      </c>
      <c r="DM463" s="36">
        <v>0.0</v>
      </c>
      <c r="DN463" s="35" t="s">
        <v>7045</v>
      </c>
      <c r="DO463" s="30">
        <v>47757.0</v>
      </c>
      <c r="DP463" s="30">
        <v>47848.0</v>
      </c>
      <c r="DQ463" s="36">
        <v>0.0</v>
      </c>
      <c r="DR463" s="36">
        <v>0.0</v>
      </c>
      <c r="DS463" s="35" t="s">
        <v>7045</v>
      </c>
    </row>
    <row r="464" ht="14.25" customHeight="1">
      <c r="A464" s="28" t="s">
        <v>5170</v>
      </c>
      <c r="B464" s="29" t="s">
        <v>5171</v>
      </c>
      <c r="C464" s="29" t="s">
        <v>7041</v>
      </c>
      <c r="D464" s="30">
        <v>45658.0</v>
      </c>
      <c r="E464" s="30">
        <v>45747.0</v>
      </c>
      <c r="F464" s="39">
        <v>0.0</v>
      </c>
      <c r="G464" s="39">
        <v>0.0</v>
      </c>
      <c r="H464" s="35" t="s">
        <v>7045</v>
      </c>
      <c r="I464" s="30">
        <v>45748.0</v>
      </c>
      <c r="J464" s="30">
        <v>45838.0</v>
      </c>
      <c r="K464" s="39">
        <v>15.0</v>
      </c>
      <c r="L464" s="39">
        <v>996.67</v>
      </c>
      <c r="M464" s="32" t="s">
        <v>7043</v>
      </c>
      <c r="N464" s="30">
        <v>45839.0</v>
      </c>
      <c r="O464" s="30">
        <v>45930.0</v>
      </c>
      <c r="P464" s="39">
        <v>248.7</v>
      </c>
      <c r="Q464" s="39">
        <v>920.0</v>
      </c>
      <c r="R464" s="38" t="s">
        <v>7047</v>
      </c>
      <c r="S464" s="30">
        <v>45931.0</v>
      </c>
      <c r="T464" s="30">
        <v>46022.0</v>
      </c>
      <c r="U464" s="39">
        <v>1137.29</v>
      </c>
      <c r="V464" s="39">
        <v>1073.33</v>
      </c>
      <c r="W464" s="38" t="s">
        <v>7047</v>
      </c>
      <c r="X464" s="30">
        <v>46023.0</v>
      </c>
      <c r="Y464" s="30">
        <v>46112.0</v>
      </c>
      <c r="Z464" s="39">
        <v>205.0</v>
      </c>
      <c r="AA464" s="39">
        <v>0.0</v>
      </c>
      <c r="AB464" s="38" t="s">
        <v>7047</v>
      </c>
      <c r="AC464" s="30">
        <v>46113.0</v>
      </c>
      <c r="AD464" s="30">
        <v>46203.0</v>
      </c>
      <c r="AE464" s="39">
        <v>0.0</v>
      </c>
      <c r="AF464" s="39">
        <v>0.0</v>
      </c>
      <c r="AG464" s="35" t="s">
        <v>7045</v>
      </c>
      <c r="AH464" s="30">
        <v>46204.0</v>
      </c>
      <c r="AI464" s="30">
        <v>46295.0</v>
      </c>
      <c r="AJ464" s="39">
        <v>0.0</v>
      </c>
      <c r="AK464" s="39">
        <v>0.0</v>
      </c>
      <c r="AL464" s="35" t="s">
        <v>7045</v>
      </c>
      <c r="AM464" s="30">
        <v>46296.0</v>
      </c>
      <c r="AN464" s="30">
        <v>46387.0</v>
      </c>
      <c r="AO464" s="39">
        <v>0.0</v>
      </c>
      <c r="AP464" s="39">
        <v>0.0</v>
      </c>
      <c r="AQ464" s="35" t="s">
        <v>7045</v>
      </c>
      <c r="AR464" s="30">
        <v>46388.0</v>
      </c>
      <c r="AS464" s="30">
        <v>46477.0</v>
      </c>
      <c r="AT464" s="39">
        <v>0.0</v>
      </c>
      <c r="AU464" s="39">
        <v>0.0</v>
      </c>
      <c r="AV464" s="35" t="s">
        <v>7045</v>
      </c>
      <c r="AW464" s="30">
        <v>46478.0</v>
      </c>
      <c r="AX464" s="30">
        <v>46568.0</v>
      </c>
      <c r="AY464" s="39">
        <v>0.0</v>
      </c>
      <c r="AZ464" s="39">
        <v>0.0</v>
      </c>
      <c r="BA464" s="35" t="s">
        <v>7045</v>
      </c>
      <c r="BB464" s="30">
        <v>46569.0</v>
      </c>
      <c r="BC464" s="30">
        <v>46660.0</v>
      </c>
      <c r="BD464" s="39">
        <v>0.0</v>
      </c>
      <c r="BE464" s="39">
        <v>0.0</v>
      </c>
      <c r="BF464" s="35" t="s">
        <v>7045</v>
      </c>
      <c r="BG464" s="30">
        <v>46661.0</v>
      </c>
      <c r="BH464" s="30">
        <v>46752.0</v>
      </c>
      <c r="BI464" s="39">
        <v>0.0</v>
      </c>
      <c r="BJ464" s="39">
        <v>0.0</v>
      </c>
      <c r="BK464" s="35" t="s">
        <v>7045</v>
      </c>
      <c r="BL464" s="30">
        <v>46753.0</v>
      </c>
      <c r="BM464" s="30">
        <v>46843.0</v>
      </c>
      <c r="BN464" s="39">
        <v>0.0</v>
      </c>
      <c r="BO464" s="39">
        <v>0.0</v>
      </c>
      <c r="BP464" s="35" t="s">
        <v>7045</v>
      </c>
      <c r="BQ464" s="30">
        <v>46844.0</v>
      </c>
      <c r="BR464" s="30">
        <v>46934.0</v>
      </c>
      <c r="BS464" s="39">
        <v>0.0</v>
      </c>
      <c r="BT464" s="39">
        <v>0.0</v>
      </c>
      <c r="BU464" s="35" t="s">
        <v>7045</v>
      </c>
      <c r="BV464" s="30">
        <v>46935.0</v>
      </c>
      <c r="BW464" s="30">
        <v>47026.0</v>
      </c>
      <c r="BX464" s="39">
        <v>0.0</v>
      </c>
      <c r="BY464" s="39">
        <v>0.0</v>
      </c>
      <c r="BZ464" s="35" t="s">
        <v>7045</v>
      </c>
      <c r="CA464" s="30">
        <v>47027.0</v>
      </c>
      <c r="CB464" s="30">
        <v>47118.0</v>
      </c>
      <c r="CC464" s="39">
        <v>0.0</v>
      </c>
      <c r="CD464" s="39">
        <v>0.0</v>
      </c>
      <c r="CE464" s="35" t="s">
        <v>7045</v>
      </c>
      <c r="CF464" s="30">
        <v>47119.0</v>
      </c>
      <c r="CG464" s="30">
        <v>47208.0</v>
      </c>
      <c r="CH464" s="39">
        <v>0.0</v>
      </c>
      <c r="CI464" s="39">
        <v>0.0</v>
      </c>
      <c r="CJ464" s="35" t="s">
        <v>7045</v>
      </c>
      <c r="CK464" s="30">
        <v>47209.0</v>
      </c>
      <c r="CL464" s="30">
        <v>47299.0</v>
      </c>
      <c r="CM464" s="39">
        <v>0.0</v>
      </c>
      <c r="CN464" s="39">
        <v>0.0</v>
      </c>
      <c r="CO464" s="35" t="s">
        <v>7045</v>
      </c>
      <c r="CP464" s="30">
        <v>47300.0</v>
      </c>
      <c r="CQ464" s="30">
        <v>47391.0</v>
      </c>
      <c r="CR464" s="39">
        <v>0.0</v>
      </c>
      <c r="CS464" s="39">
        <v>0.0</v>
      </c>
      <c r="CT464" s="35" t="s">
        <v>7045</v>
      </c>
      <c r="CU464" s="30">
        <v>47392.0</v>
      </c>
      <c r="CV464" s="30">
        <v>47483.0</v>
      </c>
      <c r="CW464" s="39">
        <v>0.0</v>
      </c>
      <c r="CX464" s="39">
        <v>0.0</v>
      </c>
      <c r="CY464" s="35" t="s">
        <v>7045</v>
      </c>
      <c r="CZ464" s="30">
        <v>47484.0</v>
      </c>
      <c r="DA464" s="30">
        <v>47573.0</v>
      </c>
      <c r="DB464" s="39">
        <v>0.0</v>
      </c>
      <c r="DC464" s="39">
        <v>0.0</v>
      </c>
      <c r="DD464" s="35" t="s">
        <v>7045</v>
      </c>
      <c r="DE464" s="30">
        <v>47574.0</v>
      </c>
      <c r="DF464" s="30">
        <v>47664.0</v>
      </c>
      <c r="DG464" s="39">
        <v>0.0</v>
      </c>
      <c r="DH464" s="39">
        <v>0.0</v>
      </c>
      <c r="DI464" s="35" t="s">
        <v>7045</v>
      </c>
      <c r="DJ464" s="30">
        <v>47665.0</v>
      </c>
      <c r="DK464" s="30">
        <v>47756.0</v>
      </c>
      <c r="DL464" s="39">
        <v>0.0</v>
      </c>
      <c r="DM464" s="39">
        <v>0.0</v>
      </c>
      <c r="DN464" s="35" t="s">
        <v>7045</v>
      </c>
      <c r="DO464" s="30">
        <v>47757.0</v>
      </c>
      <c r="DP464" s="30">
        <v>47848.0</v>
      </c>
      <c r="DQ464" s="39">
        <v>0.0</v>
      </c>
      <c r="DR464" s="39">
        <v>0.0</v>
      </c>
      <c r="DS464" s="35" t="s">
        <v>7045</v>
      </c>
    </row>
    <row r="465" ht="14.25" customHeight="1">
      <c r="A465" s="28" t="s">
        <v>799</v>
      </c>
      <c r="B465" s="29" t="s">
        <v>800</v>
      </c>
      <c r="C465" s="29" t="s">
        <v>7041</v>
      </c>
      <c r="D465" s="30">
        <v>45658.0</v>
      </c>
      <c r="E465" s="30">
        <v>45747.0</v>
      </c>
      <c r="F465" s="36">
        <v>0.0</v>
      </c>
      <c r="G465" s="36">
        <v>0.0</v>
      </c>
      <c r="H465" s="35" t="s">
        <v>7045</v>
      </c>
      <c r="I465" s="30">
        <v>45748.0</v>
      </c>
      <c r="J465" s="30">
        <v>45838.0</v>
      </c>
      <c r="K465" s="36">
        <v>100.0</v>
      </c>
      <c r="L465" s="36">
        <v>0.0</v>
      </c>
      <c r="M465" s="38" t="s">
        <v>7047</v>
      </c>
      <c r="N465" s="30">
        <v>45839.0</v>
      </c>
      <c r="O465" s="30">
        <v>45930.0</v>
      </c>
      <c r="P465" s="36">
        <v>100.0</v>
      </c>
      <c r="Q465" s="36">
        <v>0.0</v>
      </c>
      <c r="R465" s="38" t="s">
        <v>7047</v>
      </c>
      <c r="S465" s="30">
        <v>45931.0</v>
      </c>
      <c r="T465" s="30">
        <v>46022.0</v>
      </c>
      <c r="U465" s="36">
        <v>0.0</v>
      </c>
      <c r="V465" s="36">
        <v>0.0</v>
      </c>
      <c r="W465" s="35" t="s">
        <v>7045</v>
      </c>
      <c r="X465" s="30">
        <v>46023.0</v>
      </c>
      <c r="Y465" s="30">
        <v>46112.0</v>
      </c>
      <c r="Z465" s="36">
        <v>0.0</v>
      </c>
      <c r="AA465" s="36">
        <v>0.0</v>
      </c>
      <c r="AB465" s="35" t="s">
        <v>7045</v>
      </c>
      <c r="AC465" s="30">
        <v>46113.0</v>
      </c>
      <c r="AD465" s="30">
        <v>46203.0</v>
      </c>
      <c r="AE465" s="36">
        <v>0.0</v>
      </c>
      <c r="AF465" s="36">
        <v>0.0</v>
      </c>
      <c r="AG465" s="35" t="s">
        <v>7045</v>
      </c>
      <c r="AH465" s="30">
        <v>46204.0</v>
      </c>
      <c r="AI465" s="30">
        <v>46295.0</v>
      </c>
      <c r="AJ465" s="36">
        <v>0.0</v>
      </c>
      <c r="AK465" s="36">
        <v>0.0</v>
      </c>
      <c r="AL465" s="35" t="s">
        <v>7045</v>
      </c>
      <c r="AM465" s="30">
        <v>46296.0</v>
      </c>
      <c r="AN465" s="30">
        <v>46387.0</v>
      </c>
      <c r="AO465" s="36">
        <v>0.0</v>
      </c>
      <c r="AP465" s="36">
        <v>0.0</v>
      </c>
      <c r="AQ465" s="35" t="s">
        <v>7045</v>
      </c>
      <c r="AR465" s="30">
        <v>46388.0</v>
      </c>
      <c r="AS465" s="30">
        <v>46477.0</v>
      </c>
      <c r="AT465" s="36">
        <v>0.0</v>
      </c>
      <c r="AU465" s="36">
        <v>0.0</v>
      </c>
      <c r="AV465" s="35" t="s">
        <v>7045</v>
      </c>
      <c r="AW465" s="30">
        <v>46478.0</v>
      </c>
      <c r="AX465" s="30">
        <v>46568.0</v>
      </c>
      <c r="AY465" s="36">
        <v>0.0</v>
      </c>
      <c r="AZ465" s="36">
        <v>0.0</v>
      </c>
      <c r="BA465" s="35" t="s">
        <v>7045</v>
      </c>
      <c r="BB465" s="30">
        <v>46569.0</v>
      </c>
      <c r="BC465" s="30">
        <v>46660.0</v>
      </c>
      <c r="BD465" s="36">
        <v>0.0</v>
      </c>
      <c r="BE465" s="36">
        <v>0.0</v>
      </c>
      <c r="BF465" s="35" t="s">
        <v>7045</v>
      </c>
      <c r="BG465" s="30">
        <v>46661.0</v>
      </c>
      <c r="BH465" s="30">
        <v>46752.0</v>
      </c>
      <c r="BI465" s="36">
        <v>0.0</v>
      </c>
      <c r="BJ465" s="36">
        <v>0.0</v>
      </c>
      <c r="BK465" s="35" t="s">
        <v>7045</v>
      </c>
      <c r="BL465" s="30">
        <v>46753.0</v>
      </c>
      <c r="BM465" s="30">
        <v>46843.0</v>
      </c>
      <c r="BN465" s="36">
        <v>0.0</v>
      </c>
      <c r="BO465" s="36">
        <v>0.0</v>
      </c>
      <c r="BP465" s="35" t="s">
        <v>7045</v>
      </c>
      <c r="BQ465" s="30">
        <v>46844.0</v>
      </c>
      <c r="BR465" s="30">
        <v>46934.0</v>
      </c>
      <c r="BS465" s="36">
        <v>0.0</v>
      </c>
      <c r="BT465" s="36">
        <v>0.0</v>
      </c>
      <c r="BU465" s="35" t="s">
        <v>7045</v>
      </c>
      <c r="BV465" s="30">
        <v>46935.0</v>
      </c>
      <c r="BW465" s="30">
        <v>47026.0</v>
      </c>
      <c r="BX465" s="36">
        <v>0.0</v>
      </c>
      <c r="BY465" s="36">
        <v>0.0</v>
      </c>
      <c r="BZ465" s="35" t="s">
        <v>7045</v>
      </c>
      <c r="CA465" s="30">
        <v>47027.0</v>
      </c>
      <c r="CB465" s="30">
        <v>47118.0</v>
      </c>
      <c r="CC465" s="36">
        <v>0.0</v>
      </c>
      <c r="CD465" s="36">
        <v>0.0</v>
      </c>
      <c r="CE465" s="35" t="s">
        <v>7045</v>
      </c>
      <c r="CF465" s="30">
        <v>47119.0</v>
      </c>
      <c r="CG465" s="30">
        <v>47208.0</v>
      </c>
      <c r="CH465" s="36">
        <v>0.0</v>
      </c>
      <c r="CI465" s="36">
        <v>0.0</v>
      </c>
      <c r="CJ465" s="35" t="s">
        <v>7045</v>
      </c>
      <c r="CK465" s="30">
        <v>47209.0</v>
      </c>
      <c r="CL465" s="30">
        <v>47299.0</v>
      </c>
      <c r="CM465" s="36">
        <v>0.0</v>
      </c>
      <c r="CN465" s="36">
        <v>0.0</v>
      </c>
      <c r="CO465" s="35" t="s">
        <v>7045</v>
      </c>
      <c r="CP465" s="30">
        <v>47300.0</v>
      </c>
      <c r="CQ465" s="30">
        <v>47391.0</v>
      </c>
      <c r="CR465" s="36">
        <v>0.0</v>
      </c>
      <c r="CS465" s="36">
        <v>0.0</v>
      </c>
      <c r="CT465" s="35" t="s">
        <v>7045</v>
      </c>
      <c r="CU465" s="30">
        <v>47392.0</v>
      </c>
      <c r="CV465" s="30">
        <v>47483.0</v>
      </c>
      <c r="CW465" s="36">
        <v>0.0</v>
      </c>
      <c r="CX465" s="36">
        <v>0.0</v>
      </c>
      <c r="CY465" s="35" t="s">
        <v>7045</v>
      </c>
      <c r="CZ465" s="30">
        <v>47484.0</v>
      </c>
      <c r="DA465" s="30">
        <v>47573.0</v>
      </c>
      <c r="DB465" s="36">
        <v>0.0</v>
      </c>
      <c r="DC465" s="36">
        <v>0.0</v>
      </c>
      <c r="DD465" s="35" t="s">
        <v>7045</v>
      </c>
      <c r="DE465" s="30">
        <v>47574.0</v>
      </c>
      <c r="DF465" s="30">
        <v>47664.0</v>
      </c>
      <c r="DG465" s="36">
        <v>0.0</v>
      </c>
      <c r="DH465" s="36">
        <v>0.0</v>
      </c>
      <c r="DI465" s="35" t="s">
        <v>7045</v>
      </c>
      <c r="DJ465" s="30">
        <v>47665.0</v>
      </c>
      <c r="DK465" s="30">
        <v>47756.0</v>
      </c>
      <c r="DL465" s="36">
        <v>0.0</v>
      </c>
      <c r="DM465" s="36">
        <v>0.0</v>
      </c>
      <c r="DN465" s="35" t="s">
        <v>7045</v>
      </c>
      <c r="DO465" s="30">
        <v>47757.0</v>
      </c>
      <c r="DP465" s="30">
        <v>47848.0</v>
      </c>
      <c r="DQ465" s="36">
        <v>0.0</v>
      </c>
      <c r="DR465" s="36">
        <v>0.0</v>
      </c>
      <c r="DS465" s="35" t="s">
        <v>7045</v>
      </c>
    </row>
    <row r="466" ht="14.25" customHeight="1">
      <c r="A466" s="28" t="s">
        <v>1732</v>
      </c>
      <c r="B466" s="29" t="s">
        <v>1733</v>
      </c>
      <c r="C466" s="29" t="s">
        <v>7041</v>
      </c>
      <c r="D466" s="30">
        <v>45658.0</v>
      </c>
      <c r="E466" s="30">
        <v>45747.0</v>
      </c>
      <c r="F466" s="39">
        <v>0.0</v>
      </c>
      <c r="G466" s="39">
        <v>0.0</v>
      </c>
      <c r="H466" s="35" t="s">
        <v>7045</v>
      </c>
      <c r="I466" s="30">
        <v>45748.0</v>
      </c>
      <c r="J466" s="30">
        <v>45838.0</v>
      </c>
      <c r="K466" s="39">
        <v>0.0</v>
      </c>
      <c r="L466" s="39">
        <v>0.0</v>
      </c>
      <c r="M466" s="35" t="s">
        <v>7045</v>
      </c>
      <c r="N466" s="30">
        <v>45839.0</v>
      </c>
      <c r="O466" s="30">
        <v>45930.0</v>
      </c>
      <c r="P466" s="39">
        <v>100.0</v>
      </c>
      <c r="Q466" s="39">
        <v>0.0</v>
      </c>
      <c r="R466" s="38" t="s">
        <v>7047</v>
      </c>
      <c r="S466" s="30">
        <v>45931.0</v>
      </c>
      <c r="T466" s="30">
        <v>46022.0</v>
      </c>
      <c r="U466" s="39">
        <v>100.0</v>
      </c>
      <c r="V466" s="39">
        <v>0.0</v>
      </c>
      <c r="W466" s="38" t="s">
        <v>7047</v>
      </c>
      <c r="X466" s="30">
        <v>46023.0</v>
      </c>
      <c r="Y466" s="30">
        <v>46112.0</v>
      </c>
      <c r="Z466" s="39">
        <v>0.0</v>
      </c>
      <c r="AA466" s="39">
        <v>0.0</v>
      </c>
      <c r="AB466" s="35" t="s">
        <v>7045</v>
      </c>
      <c r="AC466" s="30">
        <v>46113.0</v>
      </c>
      <c r="AD466" s="30">
        <v>46203.0</v>
      </c>
      <c r="AE466" s="39">
        <v>40.0</v>
      </c>
      <c r="AF466" s="39">
        <v>0.0</v>
      </c>
      <c r="AG466" s="38" t="s">
        <v>7047</v>
      </c>
      <c r="AH466" s="30">
        <v>46204.0</v>
      </c>
      <c r="AI466" s="30">
        <v>46295.0</v>
      </c>
      <c r="AJ466" s="39">
        <v>0.0</v>
      </c>
      <c r="AK466" s="39">
        <v>0.0</v>
      </c>
      <c r="AL466" s="35" t="s">
        <v>7045</v>
      </c>
      <c r="AM466" s="30">
        <v>46296.0</v>
      </c>
      <c r="AN466" s="30">
        <v>46387.0</v>
      </c>
      <c r="AO466" s="39">
        <v>0.0</v>
      </c>
      <c r="AP466" s="39">
        <v>0.0</v>
      </c>
      <c r="AQ466" s="35" t="s">
        <v>7045</v>
      </c>
      <c r="AR466" s="30">
        <v>46388.0</v>
      </c>
      <c r="AS466" s="30">
        <v>46477.0</v>
      </c>
      <c r="AT466" s="39">
        <v>0.0</v>
      </c>
      <c r="AU466" s="39">
        <v>0.0</v>
      </c>
      <c r="AV466" s="35" t="s">
        <v>7045</v>
      </c>
      <c r="AW466" s="30">
        <v>46478.0</v>
      </c>
      <c r="AX466" s="30">
        <v>46568.0</v>
      </c>
      <c r="AY466" s="39">
        <v>0.0</v>
      </c>
      <c r="AZ466" s="39">
        <v>0.0</v>
      </c>
      <c r="BA466" s="35" t="s">
        <v>7045</v>
      </c>
      <c r="BB466" s="30">
        <v>46569.0</v>
      </c>
      <c r="BC466" s="30">
        <v>46660.0</v>
      </c>
      <c r="BD466" s="39">
        <v>0.0</v>
      </c>
      <c r="BE466" s="39">
        <v>0.0</v>
      </c>
      <c r="BF466" s="35" t="s">
        <v>7045</v>
      </c>
      <c r="BG466" s="30">
        <v>46661.0</v>
      </c>
      <c r="BH466" s="30">
        <v>46752.0</v>
      </c>
      <c r="BI466" s="39">
        <v>0.0</v>
      </c>
      <c r="BJ466" s="39">
        <v>0.0</v>
      </c>
      <c r="BK466" s="35" t="s">
        <v>7045</v>
      </c>
      <c r="BL466" s="30">
        <v>46753.0</v>
      </c>
      <c r="BM466" s="30">
        <v>46843.0</v>
      </c>
      <c r="BN466" s="39">
        <v>0.0</v>
      </c>
      <c r="BO466" s="39">
        <v>0.0</v>
      </c>
      <c r="BP466" s="35" t="s">
        <v>7045</v>
      </c>
      <c r="BQ466" s="30">
        <v>46844.0</v>
      </c>
      <c r="BR466" s="30">
        <v>46934.0</v>
      </c>
      <c r="BS466" s="39">
        <v>0.0</v>
      </c>
      <c r="BT466" s="39">
        <v>0.0</v>
      </c>
      <c r="BU466" s="35" t="s">
        <v>7045</v>
      </c>
      <c r="BV466" s="30">
        <v>46935.0</v>
      </c>
      <c r="BW466" s="30">
        <v>47026.0</v>
      </c>
      <c r="BX466" s="39">
        <v>0.0</v>
      </c>
      <c r="BY466" s="39">
        <v>0.0</v>
      </c>
      <c r="BZ466" s="35" t="s">
        <v>7045</v>
      </c>
      <c r="CA466" s="30">
        <v>47027.0</v>
      </c>
      <c r="CB466" s="30">
        <v>47118.0</v>
      </c>
      <c r="CC466" s="39">
        <v>0.0</v>
      </c>
      <c r="CD466" s="39">
        <v>0.0</v>
      </c>
      <c r="CE466" s="35" t="s">
        <v>7045</v>
      </c>
      <c r="CF466" s="30">
        <v>47119.0</v>
      </c>
      <c r="CG466" s="30">
        <v>47208.0</v>
      </c>
      <c r="CH466" s="39">
        <v>0.0</v>
      </c>
      <c r="CI466" s="39">
        <v>0.0</v>
      </c>
      <c r="CJ466" s="35" t="s">
        <v>7045</v>
      </c>
      <c r="CK466" s="30">
        <v>47209.0</v>
      </c>
      <c r="CL466" s="30">
        <v>47299.0</v>
      </c>
      <c r="CM466" s="39">
        <v>0.0</v>
      </c>
      <c r="CN466" s="39">
        <v>0.0</v>
      </c>
      <c r="CO466" s="35" t="s">
        <v>7045</v>
      </c>
      <c r="CP466" s="30">
        <v>47300.0</v>
      </c>
      <c r="CQ466" s="30">
        <v>47391.0</v>
      </c>
      <c r="CR466" s="39">
        <v>0.0</v>
      </c>
      <c r="CS466" s="39">
        <v>0.0</v>
      </c>
      <c r="CT466" s="35" t="s">
        <v>7045</v>
      </c>
      <c r="CU466" s="30">
        <v>47392.0</v>
      </c>
      <c r="CV466" s="30">
        <v>47483.0</v>
      </c>
      <c r="CW466" s="39">
        <v>0.0</v>
      </c>
      <c r="CX466" s="39">
        <v>0.0</v>
      </c>
      <c r="CY466" s="35" t="s">
        <v>7045</v>
      </c>
      <c r="CZ466" s="30">
        <v>47484.0</v>
      </c>
      <c r="DA466" s="30">
        <v>47573.0</v>
      </c>
      <c r="DB466" s="39">
        <v>0.0</v>
      </c>
      <c r="DC466" s="39">
        <v>0.0</v>
      </c>
      <c r="DD466" s="35" t="s">
        <v>7045</v>
      </c>
      <c r="DE466" s="30">
        <v>47574.0</v>
      </c>
      <c r="DF466" s="30">
        <v>47664.0</v>
      </c>
      <c r="DG466" s="39">
        <v>0.0</v>
      </c>
      <c r="DH466" s="39">
        <v>0.0</v>
      </c>
      <c r="DI466" s="35" t="s">
        <v>7045</v>
      </c>
      <c r="DJ466" s="30">
        <v>47665.0</v>
      </c>
      <c r="DK466" s="30">
        <v>47756.0</v>
      </c>
      <c r="DL466" s="39">
        <v>0.0</v>
      </c>
      <c r="DM466" s="39">
        <v>0.0</v>
      </c>
      <c r="DN466" s="35" t="s">
        <v>7045</v>
      </c>
      <c r="DO466" s="30">
        <v>47757.0</v>
      </c>
      <c r="DP466" s="30">
        <v>47848.0</v>
      </c>
      <c r="DQ466" s="39">
        <v>0.0</v>
      </c>
      <c r="DR466" s="39">
        <v>0.0</v>
      </c>
      <c r="DS466" s="35" t="s">
        <v>7045</v>
      </c>
    </row>
    <row r="467" ht="14.25" customHeight="1">
      <c r="A467" s="28" t="s">
        <v>6399</v>
      </c>
      <c r="B467" s="29" t="s">
        <v>6400</v>
      </c>
      <c r="C467" s="29" t="s">
        <v>7041</v>
      </c>
      <c r="D467" s="30">
        <v>45658.0</v>
      </c>
      <c r="E467" s="30">
        <v>45747.0</v>
      </c>
      <c r="F467" s="36">
        <v>23.33</v>
      </c>
      <c r="G467" s="36">
        <v>0.0</v>
      </c>
      <c r="H467" s="38" t="s">
        <v>7047</v>
      </c>
      <c r="I467" s="30">
        <v>45748.0</v>
      </c>
      <c r="J467" s="30">
        <v>45838.0</v>
      </c>
      <c r="K467" s="36">
        <v>27.85</v>
      </c>
      <c r="L467" s="36">
        <v>0.0</v>
      </c>
      <c r="M467" s="38" t="s">
        <v>7047</v>
      </c>
      <c r="N467" s="30">
        <v>45839.0</v>
      </c>
      <c r="O467" s="30">
        <v>45930.0</v>
      </c>
      <c r="P467" s="36">
        <v>65.86</v>
      </c>
      <c r="Q467" s="36">
        <v>0.0</v>
      </c>
      <c r="R467" s="38" t="s">
        <v>7047</v>
      </c>
      <c r="S467" s="30">
        <v>45931.0</v>
      </c>
      <c r="T467" s="30">
        <v>46022.0</v>
      </c>
      <c r="U467" s="36">
        <v>14.94</v>
      </c>
      <c r="V467" s="36">
        <v>0.0</v>
      </c>
      <c r="W467" s="38" t="s">
        <v>7047</v>
      </c>
      <c r="X467" s="30">
        <v>46023.0</v>
      </c>
      <c r="Y467" s="30">
        <v>46112.0</v>
      </c>
      <c r="Z467" s="36">
        <v>0.0</v>
      </c>
      <c r="AA467" s="36">
        <v>0.0</v>
      </c>
      <c r="AB467" s="35" t="s">
        <v>7045</v>
      </c>
      <c r="AC467" s="30">
        <v>46113.0</v>
      </c>
      <c r="AD467" s="30">
        <v>46203.0</v>
      </c>
      <c r="AE467" s="36">
        <v>0.0</v>
      </c>
      <c r="AF467" s="36">
        <v>0.0</v>
      </c>
      <c r="AG467" s="35" t="s">
        <v>7045</v>
      </c>
      <c r="AH467" s="30">
        <v>46204.0</v>
      </c>
      <c r="AI467" s="30">
        <v>46295.0</v>
      </c>
      <c r="AJ467" s="36">
        <v>0.0</v>
      </c>
      <c r="AK467" s="36">
        <v>0.0</v>
      </c>
      <c r="AL467" s="35" t="s">
        <v>7045</v>
      </c>
      <c r="AM467" s="30">
        <v>46296.0</v>
      </c>
      <c r="AN467" s="30">
        <v>46387.0</v>
      </c>
      <c r="AO467" s="36">
        <v>0.0</v>
      </c>
      <c r="AP467" s="36">
        <v>0.0</v>
      </c>
      <c r="AQ467" s="35" t="s">
        <v>7045</v>
      </c>
      <c r="AR467" s="30">
        <v>46388.0</v>
      </c>
      <c r="AS467" s="30">
        <v>46477.0</v>
      </c>
      <c r="AT467" s="36">
        <v>0.0</v>
      </c>
      <c r="AU467" s="36">
        <v>0.0</v>
      </c>
      <c r="AV467" s="35" t="s">
        <v>7045</v>
      </c>
      <c r="AW467" s="30">
        <v>46478.0</v>
      </c>
      <c r="AX467" s="30">
        <v>46568.0</v>
      </c>
      <c r="AY467" s="36">
        <v>0.0</v>
      </c>
      <c r="AZ467" s="36">
        <v>0.0</v>
      </c>
      <c r="BA467" s="35" t="s">
        <v>7045</v>
      </c>
      <c r="BB467" s="30">
        <v>46569.0</v>
      </c>
      <c r="BC467" s="30">
        <v>46660.0</v>
      </c>
      <c r="BD467" s="36">
        <v>0.0</v>
      </c>
      <c r="BE467" s="36">
        <v>0.0</v>
      </c>
      <c r="BF467" s="35" t="s">
        <v>7045</v>
      </c>
      <c r="BG467" s="30">
        <v>46661.0</v>
      </c>
      <c r="BH467" s="30">
        <v>46752.0</v>
      </c>
      <c r="BI467" s="36">
        <v>0.0</v>
      </c>
      <c r="BJ467" s="36">
        <v>0.0</v>
      </c>
      <c r="BK467" s="35" t="s">
        <v>7045</v>
      </c>
      <c r="BL467" s="30">
        <v>46753.0</v>
      </c>
      <c r="BM467" s="30">
        <v>46843.0</v>
      </c>
      <c r="BN467" s="36">
        <v>0.0</v>
      </c>
      <c r="BO467" s="36">
        <v>0.0</v>
      </c>
      <c r="BP467" s="35" t="s">
        <v>7045</v>
      </c>
      <c r="BQ467" s="30">
        <v>46844.0</v>
      </c>
      <c r="BR467" s="30">
        <v>46934.0</v>
      </c>
      <c r="BS467" s="36">
        <v>0.0</v>
      </c>
      <c r="BT467" s="36">
        <v>0.0</v>
      </c>
      <c r="BU467" s="35" t="s">
        <v>7045</v>
      </c>
      <c r="BV467" s="30">
        <v>46935.0</v>
      </c>
      <c r="BW467" s="30">
        <v>47026.0</v>
      </c>
      <c r="BX467" s="36">
        <v>0.0</v>
      </c>
      <c r="BY467" s="36">
        <v>0.0</v>
      </c>
      <c r="BZ467" s="35" t="s">
        <v>7045</v>
      </c>
      <c r="CA467" s="30">
        <v>47027.0</v>
      </c>
      <c r="CB467" s="30">
        <v>47118.0</v>
      </c>
      <c r="CC467" s="36">
        <v>0.0</v>
      </c>
      <c r="CD467" s="36">
        <v>0.0</v>
      </c>
      <c r="CE467" s="35" t="s">
        <v>7045</v>
      </c>
      <c r="CF467" s="30">
        <v>47119.0</v>
      </c>
      <c r="CG467" s="30">
        <v>47208.0</v>
      </c>
      <c r="CH467" s="36">
        <v>0.0</v>
      </c>
      <c r="CI467" s="36">
        <v>0.0</v>
      </c>
      <c r="CJ467" s="35" t="s">
        <v>7045</v>
      </c>
      <c r="CK467" s="30">
        <v>47209.0</v>
      </c>
      <c r="CL467" s="30">
        <v>47299.0</v>
      </c>
      <c r="CM467" s="36">
        <v>0.0</v>
      </c>
      <c r="CN467" s="36">
        <v>0.0</v>
      </c>
      <c r="CO467" s="35" t="s">
        <v>7045</v>
      </c>
      <c r="CP467" s="30">
        <v>47300.0</v>
      </c>
      <c r="CQ467" s="30">
        <v>47391.0</v>
      </c>
      <c r="CR467" s="36">
        <v>0.0</v>
      </c>
      <c r="CS467" s="36">
        <v>0.0</v>
      </c>
      <c r="CT467" s="35" t="s">
        <v>7045</v>
      </c>
      <c r="CU467" s="30">
        <v>47392.0</v>
      </c>
      <c r="CV467" s="30">
        <v>47483.0</v>
      </c>
      <c r="CW467" s="36">
        <v>0.0</v>
      </c>
      <c r="CX467" s="36">
        <v>0.0</v>
      </c>
      <c r="CY467" s="35" t="s">
        <v>7045</v>
      </c>
      <c r="CZ467" s="30">
        <v>47484.0</v>
      </c>
      <c r="DA467" s="30">
        <v>47573.0</v>
      </c>
      <c r="DB467" s="36">
        <v>0.0</v>
      </c>
      <c r="DC467" s="36">
        <v>0.0</v>
      </c>
      <c r="DD467" s="35" t="s">
        <v>7045</v>
      </c>
      <c r="DE467" s="30">
        <v>47574.0</v>
      </c>
      <c r="DF467" s="30">
        <v>47664.0</v>
      </c>
      <c r="DG467" s="36">
        <v>0.0</v>
      </c>
      <c r="DH467" s="36">
        <v>0.0</v>
      </c>
      <c r="DI467" s="35" t="s">
        <v>7045</v>
      </c>
      <c r="DJ467" s="30">
        <v>47665.0</v>
      </c>
      <c r="DK467" s="30">
        <v>47756.0</v>
      </c>
      <c r="DL467" s="36">
        <v>0.0</v>
      </c>
      <c r="DM467" s="36">
        <v>0.0</v>
      </c>
      <c r="DN467" s="35" t="s">
        <v>7045</v>
      </c>
      <c r="DO467" s="30">
        <v>47757.0</v>
      </c>
      <c r="DP467" s="30">
        <v>47848.0</v>
      </c>
      <c r="DQ467" s="36">
        <v>0.0</v>
      </c>
      <c r="DR467" s="36">
        <v>0.0</v>
      </c>
      <c r="DS467" s="35" t="s">
        <v>7045</v>
      </c>
    </row>
    <row r="468" ht="14.25" customHeight="1">
      <c r="A468" s="28" t="s">
        <v>6162</v>
      </c>
      <c r="B468" s="29" t="s">
        <v>6163</v>
      </c>
      <c r="C468" s="29" t="s">
        <v>7041</v>
      </c>
      <c r="D468" s="30">
        <v>45658.0</v>
      </c>
      <c r="E468" s="30">
        <v>45747.0</v>
      </c>
      <c r="F468" s="36">
        <v>26.74</v>
      </c>
      <c r="G468" s="36">
        <v>0.0</v>
      </c>
      <c r="H468" s="38" t="s">
        <v>7047</v>
      </c>
      <c r="I468" s="30">
        <v>45748.0</v>
      </c>
      <c r="J468" s="30">
        <v>45838.0</v>
      </c>
      <c r="K468" s="36">
        <v>49.82</v>
      </c>
      <c r="L468" s="36">
        <v>590.52</v>
      </c>
      <c r="M468" s="32" t="s">
        <v>7043</v>
      </c>
      <c r="N468" s="30">
        <v>45839.0</v>
      </c>
      <c r="O468" s="30">
        <v>45930.0</v>
      </c>
      <c r="P468" s="36">
        <v>533.24</v>
      </c>
      <c r="Q468" s="36">
        <v>668.11</v>
      </c>
      <c r="R468" s="38" t="s">
        <v>7047</v>
      </c>
      <c r="S468" s="30">
        <v>45931.0</v>
      </c>
      <c r="T468" s="30">
        <v>46022.0</v>
      </c>
      <c r="U468" s="36">
        <v>466.17</v>
      </c>
      <c r="V468" s="36">
        <v>867.23</v>
      </c>
      <c r="W468" s="38" t="s">
        <v>7047</v>
      </c>
      <c r="X468" s="30">
        <v>46023.0</v>
      </c>
      <c r="Y468" s="30">
        <v>46112.0</v>
      </c>
      <c r="Z468" s="36">
        <v>608.16</v>
      </c>
      <c r="AA468" s="36">
        <v>0.0</v>
      </c>
      <c r="AB468" s="38" t="s">
        <v>7047</v>
      </c>
      <c r="AC468" s="30">
        <v>46113.0</v>
      </c>
      <c r="AD468" s="30">
        <v>46203.0</v>
      </c>
      <c r="AE468" s="36">
        <v>205.33</v>
      </c>
      <c r="AF468" s="36">
        <v>0.0</v>
      </c>
      <c r="AG468" s="38" t="s">
        <v>7047</v>
      </c>
      <c r="AH468" s="30">
        <v>46204.0</v>
      </c>
      <c r="AI468" s="30">
        <v>46295.0</v>
      </c>
      <c r="AJ468" s="36">
        <v>9.11</v>
      </c>
      <c r="AK468" s="36">
        <v>0.0</v>
      </c>
      <c r="AL468" s="38" t="s">
        <v>7047</v>
      </c>
      <c r="AM468" s="30">
        <v>46296.0</v>
      </c>
      <c r="AN468" s="30">
        <v>46387.0</v>
      </c>
      <c r="AO468" s="36">
        <v>23.48</v>
      </c>
      <c r="AP468" s="36">
        <v>0.0</v>
      </c>
      <c r="AQ468" s="38" t="s">
        <v>7047</v>
      </c>
      <c r="AR468" s="30">
        <v>46388.0</v>
      </c>
      <c r="AS468" s="30">
        <v>46477.0</v>
      </c>
      <c r="AT468" s="36">
        <v>0.0</v>
      </c>
      <c r="AU468" s="36">
        <v>0.0</v>
      </c>
      <c r="AV468" s="35" t="s">
        <v>7045</v>
      </c>
      <c r="AW468" s="30">
        <v>46478.0</v>
      </c>
      <c r="AX468" s="30">
        <v>46568.0</v>
      </c>
      <c r="AY468" s="36">
        <v>0.0</v>
      </c>
      <c r="AZ468" s="36">
        <v>0.0</v>
      </c>
      <c r="BA468" s="35" t="s">
        <v>7045</v>
      </c>
      <c r="BB468" s="30">
        <v>46569.0</v>
      </c>
      <c r="BC468" s="30">
        <v>46660.0</v>
      </c>
      <c r="BD468" s="36">
        <v>0.0</v>
      </c>
      <c r="BE468" s="36">
        <v>0.0</v>
      </c>
      <c r="BF468" s="35" t="s">
        <v>7045</v>
      </c>
      <c r="BG468" s="30">
        <v>46661.0</v>
      </c>
      <c r="BH468" s="30">
        <v>46752.0</v>
      </c>
      <c r="BI468" s="36">
        <v>0.0</v>
      </c>
      <c r="BJ468" s="36">
        <v>0.0</v>
      </c>
      <c r="BK468" s="35" t="s">
        <v>7045</v>
      </c>
      <c r="BL468" s="30">
        <v>46753.0</v>
      </c>
      <c r="BM468" s="30">
        <v>46843.0</v>
      </c>
      <c r="BN468" s="36">
        <v>0.0</v>
      </c>
      <c r="BO468" s="36">
        <v>0.0</v>
      </c>
      <c r="BP468" s="35" t="s">
        <v>7045</v>
      </c>
      <c r="BQ468" s="30">
        <v>46844.0</v>
      </c>
      <c r="BR468" s="30">
        <v>46934.0</v>
      </c>
      <c r="BS468" s="36">
        <v>0.0</v>
      </c>
      <c r="BT468" s="36">
        <v>0.0</v>
      </c>
      <c r="BU468" s="35" t="s">
        <v>7045</v>
      </c>
      <c r="BV468" s="30">
        <v>46935.0</v>
      </c>
      <c r="BW468" s="30">
        <v>47026.0</v>
      </c>
      <c r="BX468" s="36">
        <v>0.0</v>
      </c>
      <c r="BY468" s="36">
        <v>0.0</v>
      </c>
      <c r="BZ468" s="35" t="s">
        <v>7045</v>
      </c>
      <c r="CA468" s="30">
        <v>47027.0</v>
      </c>
      <c r="CB468" s="30">
        <v>47118.0</v>
      </c>
      <c r="CC468" s="36">
        <v>0.0</v>
      </c>
      <c r="CD468" s="36">
        <v>0.0</v>
      </c>
      <c r="CE468" s="35" t="s">
        <v>7045</v>
      </c>
      <c r="CF468" s="30">
        <v>47119.0</v>
      </c>
      <c r="CG468" s="30">
        <v>47208.0</v>
      </c>
      <c r="CH468" s="36">
        <v>0.0</v>
      </c>
      <c r="CI468" s="36">
        <v>0.0</v>
      </c>
      <c r="CJ468" s="35" t="s">
        <v>7045</v>
      </c>
      <c r="CK468" s="30">
        <v>47209.0</v>
      </c>
      <c r="CL468" s="30">
        <v>47299.0</v>
      </c>
      <c r="CM468" s="36">
        <v>0.0</v>
      </c>
      <c r="CN468" s="36">
        <v>0.0</v>
      </c>
      <c r="CO468" s="35" t="s">
        <v>7045</v>
      </c>
      <c r="CP468" s="30">
        <v>47300.0</v>
      </c>
      <c r="CQ468" s="30">
        <v>47391.0</v>
      </c>
      <c r="CR468" s="36">
        <v>0.0</v>
      </c>
      <c r="CS468" s="36">
        <v>0.0</v>
      </c>
      <c r="CT468" s="35" t="s">
        <v>7045</v>
      </c>
      <c r="CU468" s="30">
        <v>47392.0</v>
      </c>
      <c r="CV468" s="30">
        <v>47483.0</v>
      </c>
      <c r="CW468" s="36">
        <v>0.0</v>
      </c>
      <c r="CX468" s="36">
        <v>0.0</v>
      </c>
      <c r="CY468" s="35" t="s">
        <v>7045</v>
      </c>
      <c r="CZ468" s="30">
        <v>47484.0</v>
      </c>
      <c r="DA468" s="30">
        <v>47573.0</v>
      </c>
      <c r="DB468" s="36">
        <v>0.0</v>
      </c>
      <c r="DC468" s="36">
        <v>0.0</v>
      </c>
      <c r="DD468" s="35" t="s">
        <v>7045</v>
      </c>
      <c r="DE468" s="30">
        <v>47574.0</v>
      </c>
      <c r="DF468" s="30">
        <v>47664.0</v>
      </c>
      <c r="DG468" s="36">
        <v>0.0</v>
      </c>
      <c r="DH468" s="36">
        <v>0.0</v>
      </c>
      <c r="DI468" s="35" t="s">
        <v>7045</v>
      </c>
      <c r="DJ468" s="30">
        <v>47665.0</v>
      </c>
      <c r="DK468" s="30">
        <v>47756.0</v>
      </c>
      <c r="DL468" s="36">
        <v>0.0</v>
      </c>
      <c r="DM468" s="36">
        <v>0.0</v>
      </c>
      <c r="DN468" s="35" t="s">
        <v>7045</v>
      </c>
      <c r="DO468" s="30">
        <v>47757.0</v>
      </c>
      <c r="DP468" s="30">
        <v>47848.0</v>
      </c>
      <c r="DQ468" s="36">
        <v>0.0</v>
      </c>
      <c r="DR468" s="36">
        <v>0.0</v>
      </c>
      <c r="DS468" s="35" t="s">
        <v>7045</v>
      </c>
    </row>
    <row r="469" ht="14.25" customHeight="1">
      <c r="A469" s="28" t="s">
        <v>6415</v>
      </c>
      <c r="B469" s="29" t="s">
        <v>6416</v>
      </c>
      <c r="C469" s="29" t="s">
        <v>7041</v>
      </c>
      <c r="D469" s="30">
        <v>45658.0</v>
      </c>
      <c r="E469" s="30">
        <v>45747.0</v>
      </c>
      <c r="F469" s="36">
        <v>0.0</v>
      </c>
      <c r="G469" s="36">
        <v>0.0</v>
      </c>
      <c r="H469" s="35" t="s">
        <v>7045</v>
      </c>
      <c r="I469" s="30">
        <v>45748.0</v>
      </c>
      <c r="J469" s="30">
        <v>45838.0</v>
      </c>
      <c r="K469" s="36">
        <v>4.0</v>
      </c>
      <c r="L469" s="36">
        <v>0.0</v>
      </c>
      <c r="M469" s="38" t="s">
        <v>7047</v>
      </c>
      <c r="N469" s="30">
        <v>45839.0</v>
      </c>
      <c r="O469" s="30">
        <v>45930.0</v>
      </c>
      <c r="P469" s="36">
        <v>47.49</v>
      </c>
      <c r="Q469" s="36">
        <v>0.0</v>
      </c>
      <c r="R469" s="38" t="s">
        <v>7047</v>
      </c>
      <c r="S469" s="30">
        <v>45931.0</v>
      </c>
      <c r="T469" s="30">
        <v>46022.0</v>
      </c>
      <c r="U469" s="36">
        <v>41.7</v>
      </c>
      <c r="V469" s="36">
        <v>0.0</v>
      </c>
      <c r="W469" s="38" t="s">
        <v>7047</v>
      </c>
      <c r="X469" s="30">
        <v>46023.0</v>
      </c>
      <c r="Y469" s="30">
        <v>46112.0</v>
      </c>
      <c r="Z469" s="36">
        <v>2.0</v>
      </c>
      <c r="AA469" s="36">
        <v>0.0</v>
      </c>
      <c r="AB469" s="35" t="s">
        <v>7047</v>
      </c>
      <c r="AC469" s="30">
        <v>46113.0</v>
      </c>
      <c r="AD469" s="30">
        <v>46203.0</v>
      </c>
      <c r="AE469" s="36">
        <v>0.0</v>
      </c>
      <c r="AF469" s="36">
        <v>0.0</v>
      </c>
      <c r="AG469" s="35" t="s">
        <v>7045</v>
      </c>
      <c r="AH469" s="30">
        <v>46204.0</v>
      </c>
      <c r="AI469" s="30">
        <v>46295.0</v>
      </c>
      <c r="AJ469" s="36">
        <v>0.0</v>
      </c>
      <c r="AK469" s="36">
        <v>0.0</v>
      </c>
      <c r="AL469" s="35" t="s">
        <v>7045</v>
      </c>
      <c r="AM469" s="30">
        <v>46296.0</v>
      </c>
      <c r="AN469" s="30">
        <v>46387.0</v>
      </c>
      <c r="AO469" s="36">
        <v>0.0</v>
      </c>
      <c r="AP469" s="36">
        <v>0.0</v>
      </c>
      <c r="AQ469" s="35" t="s">
        <v>7045</v>
      </c>
      <c r="AR469" s="30">
        <v>46388.0</v>
      </c>
      <c r="AS469" s="30">
        <v>46477.0</v>
      </c>
      <c r="AT469" s="36">
        <v>0.0</v>
      </c>
      <c r="AU469" s="36">
        <v>0.0</v>
      </c>
      <c r="AV469" s="35" t="s">
        <v>7045</v>
      </c>
      <c r="AW469" s="30">
        <v>46478.0</v>
      </c>
      <c r="AX469" s="30">
        <v>46568.0</v>
      </c>
      <c r="AY469" s="36">
        <v>0.0</v>
      </c>
      <c r="AZ469" s="36">
        <v>0.0</v>
      </c>
      <c r="BA469" s="35" t="s">
        <v>7045</v>
      </c>
      <c r="BB469" s="30">
        <v>46569.0</v>
      </c>
      <c r="BC469" s="30">
        <v>46660.0</v>
      </c>
      <c r="BD469" s="36">
        <v>0.0</v>
      </c>
      <c r="BE469" s="36">
        <v>0.0</v>
      </c>
      <c r="BF469" s="35" t="s">
        <v>7045</v>
      </c>
      <c r="BG469" s="30">
        <v>46661.0</v>
      </c>
      <c r="BH469" s="30">
        <v>46752.0</v>
      </c>
      <c r="BI469" s="36">
        <v>0.0</v>
      </c>
      <c r="BJ469" s="36">
        <v>0.0</v>
      </c>
      <c r="BK469" s="35" t="s">
        <v>7045</v>
      </c>
      <c r="BL469" s="30">
        <v>46753.0</v>
      </c>
      <c r="BM469" s="30">
        <v>46843.0</v>
      </c>
      <c r="BN469" s="36">
        <v>0.0</v>
      </c>
      <c r="BO469" s="36">
        <v>0.0</v>
      </c>
      <c r="BP469" s="35" t="s">
        <v>7045</v>
      </c>
      <c r="BQ469" s="30">
        <v>46844.0</v>
      </c>
      <c r="BR469" s="30">
        <v>46934.0</v>
      </c>
      <c r="BS469" s="36">
        <v>0.0</v>
      </c>
      <c r="BT469" s="36">
        <v>0.0</v>
      </c>
      <c r="BU469" s="35" t="s">
        <v>7045</v>
      </c>
      <c r="BV469" s="30">
        <v>46935.0</v>
      </c>
      <c r="BW469" s="30">
        <v>47026.0</v>
      </c>
      <c r="BX469" s="36">
        <v>0.0</v>
      </c>
      <c r="BY469" s="36">
        <v>0.0</v>
      </c>
      <c r="BZ469" s="35" t="s">
        <v>7045</v>
      </c>
      <c r="CA469" s="30">
        <v>47027.0</v>
      </c>
      <c r="CB469" s="30">
        <v>47118.0</v>
      </c>
      <c r="CC469" s="36">
        <v>0.0</v>
      </c>
      <c r="CD469" s="36">
        <v>0.0</v>
      </c>
      <c r="CE469" s="35" t="s">
        <v>7045</v>
      </c>
      <c r="CF469" s="30">
        <v>47119.0</v>
      </c>
      <c r="CG469" s="30">
        <v>47208.0</v>
      </c>
      <c r="CH469" s="36">
        <v>0.0</v>
      </c>
      <c r="CI469" s="36">
        <v>0.0</v>
      </c>
      <c r="CJ469" s="35" t="s">
        <v>7045</v>
      </c>
      <c r="CK469" s="30">
        <v>47209.0</v>
      </c>
      <c r="CL469" s="30">
        <v>47299.0</v>
      </c>
      <c r="CM469" s="36">
        <v>0.0</v>
      </c>
      <c r="CN469" s="36">
        <v>0.0</v>
      </c>
      <c r="CO469" s="35" t="s">
        <v>7045</v>
      </c>
      <c r="CP469" s="30">
        <v>47300.0</v>
      </c>
      <c r="CQ469" s="30">
        <v>47391.0</v>
      </c>
      <c r="CR469" s="36">
        <v>0.0</v>
      </c>
      <c r="CS469" s="36">
        <v>0.0</v>
      </c>
      <c r="CT469" s="35" t="s">
        <v>7045</v>
      </c>
      <c r="CU469" s="30">
        <v>47392.0</v>
      </c>
      <c r="CV469" s="30">
        <v>47483.0</v>
      </c>
      <c r="CW469" s="36">
        <v>0.0</v>
      </c>
      <c r="CX469" s="36">
        <v>0.0</v>
      </c>
      <c r="CY469" s="35" t="s">
        <v>7045</v>
      </c>
      <c r="CZ469" s="30">
        <v>47484.0</v>
      </c>
      <c r="DA469" s="30">
        <v>47573.0</v>
      </c>
      <c r="DB469" s="36">
        <v>0.0</v>
      </c>
      <c r="DC469" s="36">
        <v>0.0</v>
      </c>
      <c r="DD469" s="35" t="s">
        <v>7045</v>
      </c>
      <c r="DE469" s="30">
        <v>47574.0</v>
      </c>
      <c r="DF469" s="30">
        <v>47664.0</v>
      </c>
      <c r="DG469" s="36">
        <v>0.0</v>
      </c>
      <c r="DH469" s="36">
        <v>0.0</v>
      </c>
      <c r="DI469" s="35" t="s">
        <v>7045</v>
      </c>
      <c r="DJ469" s="30">
        <v>47665.0</v>
      </c>
      <c r="DK469" s="30">
        <v>47756.0</v>
      </c>
      <c r="DL469" s="36">
        <v>0.0</v>
      </c>
      <c r="DM469" s="36">
        <v>0.0</v>
      </c>
      <c r="DN469" s="35" t="s">
        <v>7045</v>
      </c>
      <c r="DO469" s="30">
        <v>47757.0</v>
      </c>
      <c r="DP469" s="30">
        <v>47848.0</v>
      </c>
      <c r="DQ469" s="36">
        <v>0.0</v>
      </c>
      <c r="DR469" s="36">
        <v>0.0</v>
      </c>
      <c r="DS469" s="35" t="s">
        <v>7045</v>
      </c>
    </row>
    <row r="470" ht="14.25" customHeight="1">
      <c r="A470" s="28" t="s">
        <v>4432</v>
      </c>
      <c r="B470" s="29" t="s">
        <v>4433</v>
      </c>
      <c r="C470" s="29" t="s">
        <v>7041</v>
      </c>
      <c r="D470" s="30">
        <v>45658.0</v>
      </c>
      <c r="E470" s="30">
        <v>45747.0</v>
      </c>
      <c r="F470" s="36">
        <v>0.0</v>
      </c>
      <c r="G470" s="36">
        <v>0.0</v>
      </c>
      <c r="H470" s="35" t="s">
        <v>7045</v>
      </c>
      <c r="I470" s="30">
        <v>45748.0</v>
      </c>
      <c r="J470" s="30">
        <v>45838.0</v>
      </c>
      <c r="K470" s="36">
        <v>30.0</v>
      </c>
      <c r="L470" s="36">
        <v>243.34</v>
      </c>
      <c r="M470" s="37" t="s">
        <v>7046</v>
      </c>
      <c r="N470" s="30">
        <v>45839.0</v>
      </c>
      <c r="O470" s="30">
        <v>45930.0</v>
      </c>
      <c r="P470" s="36">
        <v>95.0</v>
      </c>
      <c r="Q470" s="36">
        <v>183.34</v>
      </c>
      <c r="R470" s="32" t="s">
        <v>7047</v>
      </c>
      <c r="S470" s="30">
        <v>45931.0</v>
      </c>
      <c r="T470" s="30">
        <v>46022.0</v>
      </c>
      <c r="U470" s="36">
        <v>20.0</v>
      </c>
      <c r="V470" s="36">
        <v>289.99</v>
      </c>
      <c r="W470" s="38" t="s">
        <v>7047</v>
      </c>
      <c r="X470" s="30">
        <v>46023.0</v>
      </c>
      <c r="Y470" s="30">
        <v>46112.0</v>
      </c>
      <c r="Z470" s="36">
        <v>0.0</v>
      </c>
      <c r="AA470" s="36">
        <v>0.0</v>
      </c>
      <c r="AB470" s="35" t="s">
        <v>7045</v>
      </c>
      <c r="AC470" s="30">
        <v>46113.0</v>
      </c>
      <c r="AD470" s="30">
        <v>46203.0</v>
      </c>
      <c r="AE470" s="36">
        <v>0.0</v>
      </c>
      <c r="AF470" s="36">
        <v>0.0</v>
      </c>
      <c r="AG470" s="35" t="s">
        <v>7045</v>
      </c>
      <c r="AH470" s="30">
        <v>46204.0</v>
      </c>
      <c r="AI470" s="30">
        <v>46295.0</v>
      </c>
      <c r="AJ470" s="36">
        <v>0.0</v>
      </c>
      <c r="AK470" s="36">
        <v>0.0</v>
      </c>
      <c r="AL470" s="35" t="s">
        <v>7045</v>
      </c>
      <c r="AM470" s="30">
        <v>46296.0</v>
      </c>
      <c r="AN470" s="30">
        <v>46387.0</v>
      </c>
      <c r="AO470" s="36">
        <v>0.0</v>
      </c>
      <c r="AP470" s="36">
        <v>0.0</v>
      </c>
      <c r="AQ470" s="35" t="s">
        <v>7045</v>
      </c>
      <c r="AR470" s="30">
        <v>46388.0</v>
      </c>
      <c r="AS470" s="30">
        <v>46477.0</v>
      </c>
      <c r="AT470" s="36">
        <v>0.0</v>
      </c>
      <c r="AU470" s="36">
        <v>0.0</v>
      </c>
      <c r="AV470" s="35" t="s">
        <v>7045</v>
      </c>
      <c r="AW470" s="30">
        <v>46478.0</v>
      </c>
      <c r="AX470" s="30">
        <v>46568.0</v>
      </c>
      <c r="AY470" s="36">
        <v>0.0</v>
      </c>
      <c r="AZ470" s="36">
        <v>0.0</v>
      </c>
      <c r="BA470" s="35" t="s">
        <v>7045</v>
      </c>
      <c r="BB470" s="30">
        <v>46569.0</v>
      </c>
      <c r="BC470" s="30">
        <v>46660.0</v>
      </c>
      <c r="BD470" s="36">
        <v>0.0</v>
      </c>
      <c r="BE470" s="36">
        <v>0.0</v>
      </c>
      <c r="BF470" s="35" t="s">
        <v>7045</v>
      </c>
      <c r="BG470" s="30">
        <v>46661.0</v>
      </c>
      <c r="BH470" s="30">
        <v>46752.0</v>
      </c>
      <c r="BI470" s="36">
        <v>0.0</v>
      </c>
      <c r="BJ470" s="36">
        <v>0.0</v>
      </c>
      <c r="BK470" s="35" t="s">
        <v>7045</v>
      </c>
      <c r="BL470" s="30">
        <v>46753.0</v>
      </c>
      <c r="BM470" s="30">
        <v>46843.0</v>
      </c>
      <c r="BN470" s="36">
        <v>0.0</v>
      </c>
      <c r="BO470" s="36">
        <v>0.0</v>
      </c>
      <c r="BP470" s="35" t="s">
        <v>7045</v>
      </c>
      <c r="BQ470" s="30">
        <v>46844.0</v>
      </c>
      <c r="BR470" s="30">
        <v>46934.0</v>
      </c>
      <c r="BS470" s="36">
        <v>0.0</v>
      </c>
      <c r="BT470" s="36">
        <v>0.0</v>
      </c>
      <c r="BU470" s="35" t="s">
        <v>7045</v>
      </c>
      <c r="BV470" s="30">
        <v>46935.0</v>
      </c>
      <c r="BW470" s="30">
        <v>47026.0</v>
      </c>
      <c r="BX470" s="36">
        <v>0.0</v>
      </c>
      <c r="BY470" s="36">
        <v>0.0</v>
      </c>
      <c r="BZ470" s="35" t="s">
        <v>7045</v>
      </c>
      <c r="CA470" s="30">
        <v>47027.0</v>
      </c>
      <c r="CB470" s="30">
        <v>47118.0</v>
      </c>
      <c r="CC470" s="36">
        <v>0.0</v>
      </c>
      <c r="CD470" s="36">
        <v>0.0</v>
      </c>
      <c r="CE470" s="35" t="s">
        <v>7045</v>
      </c>
      <c r="CF470" s="30">
        <v>47119.0</v>
      </c>
      <c r="CG470" s="30">
        <v>47208.0</v>
      </c>
      <c r="CH470" s="36">
        <v>0.0</v>
      </c>
      <c r="CI470" s="36">
        <v>0.0</v>
      </c>
      <c r="CJ470" s="35" t="s">
        <v>7045</v>
      </c>
      <c r="CK470" s="30">
        <v>47209.0</v>
      </c>
      <c r="CL470" s="30">
        <v>47299.0</v>
      </c>
      <c r="CM470" s="36">
        <v>0.0</v>
      </c>
      <c r="CN470" s="36">
        <v>0.0</v>
      </c>
      <c r="CO470" s="35" t="s">
        <v>7045</v>
      </c>
      <c r="CP470" s="30">
        <v>47300.0</v>
      </c>
      <c r="CQ470" s="30">
        <v>47391.0</v>
      </c>
      <c r="CR470" s="36">
        <v>0.0</v>
      </c>
      <c r="CS470" s="36">
        <v>0.0</v>
      </c>
      <c r="CT470" s="35" t="s">
        <v>7045</v>
      </c>
      <c r="CU470" s="30">
        <v>47392.0</v>
      </c>
      <c r="CV470" s="30">
        <v>47483.0</v>
      </c>
      <c r="CW470" s="36">
        <v>0.0</v>
      </c>
      <c r="CX470" s="36">
        <v>0.0</v>
      </c>
      <c r="CY470" s="35" t="s">
        <v>7045</v>
      </c>
      <c r="CZ470" s="30">
        <v>47484.0</v>
      </c>
      <c r="DA470" s="30">
        <v>47573.0</v>
      </c>
      <c r="DB470" s="36">
        <v>0.0</v>
      </c>
      <c r="DC470" s="36">
        <v>0.0</v>
      </c>
      <c r="DD470" s="35" t="s">
        <v>7045</v>
      </c>
      <c r="DE470" s="30">
        <v>47574.0</v>
      </c>
      <c r="DF470" s="30">
        <v>47664.0</v>
      </c>
      <c r="DG470" s="36">
        <v>0.0</v>
      </c>
      <c r="DH470" s="36">
        <v>0.0</v>
      </c>
      <c r="DI470" s="35" t="s">
        <v>7045</v>
      </c>
      <c r="DJ470" s="30">
        <v>47665.0</v>
      </c>
      <c r="DK470" s="30">
        <v>47756.0</v>
      </c>
      <c r="DL470" s="36">
        <v>0.0</v>
      </c>
      <c r="DM470" s="36">
        <v>0.0</v>
      </c>
      <c r="DN470" s="35" t="s">
        <v>7045</v>
      </c>
      <c r="DO470" s="30">
        <v>47757.0</v>
      </c>
      <c r="DP470" s="30">
        <v>47848.0</v>
      </c>
      <c r="DQ470" s="36">
        <v>0.0</v>
      </c>
      <c r="DR470" s="36">
        <v>0.0</v>
      </c>
      <c r="DS470" s="35" t="s">
        <v>7045</v>
      </c>
    </row>
    <row r="471" ht="14.25" customHeight="1">
      <c r="A471" s="28" t="s">
        <v>2344</v>
      </c>
      <c r="B471" s="29" t="s">
        <v>2345</v>
      </c>
      <c r="C471" s="29" t="s">
        <v>7041</v>
      </c>
      <c r="D471" s="30">
        <v>45658.0</v>
      </c>
      <c r="E471" s="30">
        <v>45747.0</v>
      </c>
      <c r="F471" s="36">
        <v>0.0</v>
      </c>
      <c r="G471" s="36">
        <v>0.0</v>
      </c>
      <c r="H471" s="35" t="s">
        <v>7045</v>
      </c>
      <c r="I471" s="30">
        <v>45748.0</v>
      </c>
      <c r="J471" s="30">
        <v>45838.0</v>
      </c>
      <c r="K471" s="36">
        <v>339.99</v>
      </c>
      <c r="L471" s="36">
        <v>166.67</v>
      </c>
      <c r="M471" s="38" t="s">
        <v>7047</v>
      </c>
      <c r="N471" s="30">
        <v>45839.0</v>
      </c>
      <c r="O471" s="30">
        <v>45930.0</v>
      </c>
      <c r="P471" s="36">
        <v>339.99</v>
      </c>
      <c r="Q471" s="36">
        <v>433.32</v>
      </c>
      <c r="R471" s="32" t="s">
        <v>7047</v>
      </c>
      <c r="S471" s="30">
        <v>45931.0</v>
      </c>
      <c r="T471" s="30">
        <v>46022.0</v>
      </c>
      <c r="U471" s="36">
        <v>0.0</v>
      </c>
      <c r="V471" s="36">
        <v>566.68</v>
      </c>
      <c r="W471" s="32" t="s">
        <v>7043</v>
      </c>
      <c r="X471" s="30">
        <v>46023.0</v>
      </c>
      <c r="Y471" s="30">
        <v>46112.0</v>
      </c>
      <c r="Z471" s="36">
        <v>0.0</v>
      </c>
      <c r="AA471" s="36">
        <v>0.0</v>
      </c>
      <c r="AB471" s="35" t="s">
        <v>7045</v>
      </c>
      <c r="AC471" s="30">
        <v>46113.0</v>
      </c>
      <c r="AD471" s="30">
        <v>46203.0</v>
      </c>
      <c r="AE471" s="36">
        <v>0.0</v>
      </c>
      <c r="AF471" s="36">
        <v>0.0</v>
      </c>
      <c r="AG471" s="35" t="s">
        <v>7045</v>
      </c>
      <c r="AH471" s="30">
        <v>46204.0</v>
      </c>
      <c r="AI471" s="30">
        <v>46295.0</v>
      </c>
      <c r="AJ471" s="36">
        <v>0.0</v>
      </c>
      <c r="AK471" s="36">
        <v>0.0</v>
      </c>
      <c r="AL471" s="35" t="s">
        <v>7045</v>
      </c>
      <c r="AM471" s="30">
        <v>46296.0</v>
      </c>
      <c r="AN471" s="30">
        <v>46387.0</v>
      </c>
      <c r="AO471" s="36">
        <v>0.0</v>
      </c>
      <c r="AP471" s="36">
        <v>0.0</v>
      </c>
      <c r="AQ471" s="35" t="s">
        <v>7045</v>
      </c>
      <c r="AR471" s="30">
        <v>46388.0</v>
      </c>
      <c r="AS471" s="30">
        <v>46477.0</v>
      </c>
      <c r="AT471" s="36">
        <v>0.0</v>
      </c>
      <c r="AU471" s="36">
        <v>0.0</v>
      </c>
      <c r="AV471" s="35" t="s">
        <v>7045</v>
      </c>
      <c r="AW471" s="30">
        <v>46478.0</v>
      </c>
      <c r="AX471" s="30">
        <v>46568.0</v>
      </c>
      <c r="AY471" s="36">
        <v>0.0</v>
      </c>
      <c r="AZ471" s="36">
        <v>0.0</v>
      </c>
      <c r="BA471" s="35" t="s">
        <v>7045</v>
      </c>
      <c r="BB471" s="30">
        <v>46569.0</v>
      </c>
      <c r="BC471" s="30">
        <v>46660.0</v>
      </c>
      <c r="BD471" s="36">
        <v>0.0</v>
      </c>
      <c r="BE471" s="36">
        <v>0.0</v>
      </c>
      <c r="BF471" s="35" t="s">
        <v>7045</v>
      </c>
      <c r="BG471" s="30">
        <v>46661.0</v>
      </c>
      <c r="BH471" s="30">
        <v>46752.0</v>
      </c>
      <c r="BI471" s="36">
        <v>0.0</v>
      </c>
      <c r="BJ471" s="36">
        <v>0.0</v>
      </c>
      <c r="BK471" s="35" t="s">
        <v>7045</v>
      </c>
      <c r="BL471" s="30">
        <v>46753.0</v>
      </c>
      <c r="BM471" s="30">
        <v>46843.0</v>
      </c>
      <c r="BN471" s="36">
        <v>0.0</v>
      </c>
      <c r="BO471" s="36">
        <v>0.0</v>
      </c>
      <c r="BP471" s="35" t="s">
        <v>7045</v>
      </c>
      <c r="BQ471" s="30">
        <v>46844.0</v>
      </c>
      <c r="BR471" s="30">
        <v>46934.0</v>
      </c>
      <c r="BS471" s="36">
        <v>0.0</v>
      </c>
      <c r="BT471" s="36">
        <v>0.0</v>
      </c>
      <c r="BU471" s="35" t="s">
        <v>7045</v>
      </c>
      <c r="BV471" s="30">
        <v>46935.0</v>
      </c>
      <c r="BW471" s="30">
        <v>47026.0</v>
      </c>
      <c r="BX471" s="36">
        <v>0.0</v>
      </c>
      <c r="BY471" s="36">
        <v>0.0</v>
      </c>
      <c r="BZ471" s="35" t="s">
        <v>7045</v>
      </c>
      <c r="CA471" s="30">
        <v>47027.0</v>
      </c>
      <c r="CB471" s="30">
        <v>47118.0</v>
      </c>
      <c r="CC471" s="36">
        <v>0.0</v>
      </c>
      <c r="CD471" s="36">
        <v>0.0</v>
      </c>
      <c r="CE471" s="35" t="s">
        <v>7045</v>
      </c>
      <c r="CF471" s="30">
        <v>47119.0</v>
      </c>
      <c r="CG471" s="30">
        <v>47208.0</v>
      </c>
      <c r="CH471" s="36">
        <v>0.0</v>
      </c>
      <c r="CI471" s="36">
        <v>0.0</v>
      </c>
      <c r="CJ471" s="35" t="s">
        <v>7045</v>
      </c>
      <c r="CK471" s="30">
        <v>47209.0</v>
      </c>
      <c r="CL471" s="30">
        <v>47299.0</v>
      </c>
      <c r="CM471" s="36">
        <v>0.0</v>
      </c>
      <c r="CN471" s="36">
        <v>0.0</v>
      </c>
      <c r="CO471" s="35" t="s">
        <v>7045</v>
      </c>
      <c r="CP471" s="30">
        <v>47300.0</v>
      </c>
      <c r="CQ471" s="30">
        <v>47391.0</v>
      </c>
      <c r="CR471" s="36">
        <v>0.0</v>
      </c>
      <c r="CS471" s="36">
        <v>0.0</v>
      </c>
      <c r="CT471" s="35" t="s">
        <v>7045</v>
      </c>
      <c r="CU471" s="30">
        <v>47392.0</v>
      </c>
      <c r="CV471" s="30">
        <v>47483.0</v>
      </c>
      <c r="CW471" s="36">
        <v>0.0</v>
      </c>
      <c r="CX471" s="36">
        <v>0.0</v>
      </c>
      <c r="CY471" s="35" t="s">
        <v>7045</v>
      </c>
      <c r="CZ471" s="30">
        <v>47484.0</v>
      </c>
      <c r="DA471" s="30">
        <v>47573.0</v>
      </c>
      <c r="DB471" s="36">
        <v>0.0</v>
      </c>
      <c r="DC471" s="36">
        <v>0.0</v>
      </c>
      <c r="DD471" s="35" t="s">
        <v>7045</v>
      </c>
      <c r="DE471" s="30">
        <v>47574.0</v>
      </c>
      <c r="DF471" s="30">
        <v>47664.0</v>
      </c>
      <c r="DG471" s="36">
        <v>0.0</v>
      </c>
      <c r="DH471" s="36">
        <v>0.0</v>
      </c>
      <c r="DI471" s="35" t="s">
        <v>7045</v>
      </c>
      <c r="DJ471" s="30">
        <v>47665.0</v>
      </c>
      <c r="DK471" s="30">
        <v>47756.0</v>
      </c>
      <c r="DL471" s="36">
        <v>0.0</v>
      </c>
      <c r="DM471" s="36">
        <v>0.0</v>
      </c>
      <c r="DN471" s="35" t="s">
        <v>7045</v>
      </c>
      <c r="DO471" s="30">
        <v>47757.0</v>
      </c>
      <c r="DP471" s="30">
        <v>47848.0</v>
      </c>
      <c r="DQ471" s="36">
        <v>0.0</v>
      </c>
      <c r="DR471" s="36">
        <v>0.0</v>
      </c>
      <c r="DS471" s="35" t="s">
        <v>7045</v>
      </c>
    </row>
    <row r="472" ht="14.25" customHeight="1">
      <c r="A472" s="28" t="s">
        <v>6931</v>
      </c>
      <c r="B472" s="29" t="s">
        <v>6932</v>
      </c>
      <c r="C472" s="29" t="s">
        <v>7041</v>
      </c>
      <c r="D472" s="30">
        <v>45658.0</v>
      </c>
      <c r="E472" s="30">
        <v>45747.0</v>
      </c>
      <c r="F472" s="39">
        <v>0.0</v>
      </c>
      <c r="G472" s="39">
        <v>0.0</v>
      </c>
      <c r="H472" s="35" t="s">
        <v>7045</v>
      </c>
      <c r="I472" s="30">
        <v>45748.0</v>
      </c>
      <c r="J472" s="30">
        <v>45838.0</v>
      </c>
      <c r="K472" s="39">
        <v>0.0</v>
      </c>
      <c r="L472" s="39">
        <v>83.33</v>
      </c>
      <c r="M472" s="32" t="s">
        <v>7043</v>
      </c>
      <c r="N472" s="30">
        <v>45839.0</v>
      </c>
      <c r="O472" s="30">
        <v>45930.0</v>
      </c>
      <c r="P472" s="39">
        <v>0.0</v>
      </c>
      <c r="Q472" s="39">
        <v>125.0</v>
      </c>
      <c r="R472" s="32" t="s">
        <v>7043</v>
      </c>
      <c r="S472" s="30">
        <v>45931.0</v>
      </c>
      <c r="T472" s="30">
        <v>46022.0</v>
      </c>
      <c r="U472" s="39">
        <v>65.0</v>
      </c>
      <c r="V472" s="39">
        <v>125.0</v>
      </c>
      <c r="W472" s="38" t="s">
        <v>7047</v>
      </c>
      <c r="X472" s="30">
        <v>46023.0</v>
      </c>
      <c r="Y472" s="30">
        <v>46112.0</v>
      </c>
      <c r="Z472" s="39">
        <v>46.5</v>
      </c>
      <c r="AA472" s="39">
        <v>0.0</v>
      </c>
      <c r="AB472" s="38" t="s">
        <v>7047</v>
      </c>
      <c r="AC472" s="30">
        <v>46113.0</v>
      </c>
      <c r="AD472" s="30">
        <v>46203.0</v>
      </c>
      <c r="AE472" s="39">
        <v>0.0</v>
      </c>
      <c r="AF472" s="39">
        <v>0.0</v>
      </c>
      <c r="AG472" s="35" t="s">
        <v>7045</v>
      </c>
      <c r="AH472" s="30">
        <v>46204.0</v>
      </c>
      <c r="AI472" s="30">
        <v>46295.0</v>
      </c>
      <c r="AJ472" s="39">
        <v>0.0</v>
      </c>
      <c r="AK472" s="39">
        <v>0.0</v>
      </c>
      <c r="AL472" s="35" t="s">
        <v>7045</v>
      </c>
      <c r="AM472" s="30">
        <v>46296.0</v>
      </c>
      <c r="AN472" s="30">
        <v>46387.0</v>
      </c>
      <c r="AO472" s="39">
        <v>0.0</v>
      </c>
      <c r="AP472" s="39">
        <v>0.0</v>
      </c>
      <c r="AQ472" s="35" t="s">
        <v>7045</v>
      </c>
      <c r="AR472" s="30">
        <v>46388.0</v>
      </c>
      <c r="AS472" s="30">
        <v>46477.0</v>
      </c>
      <c r="AT472" s="39">
        <v>0.0</v>
      </c>
      <c r="AU472" s="39">
        <v>0.0</v>
      </c>
      <c r="AV472" s="35" t="s">
        <v>7045</v>
      </c>
      <c r="AW472" s="30">
        <v>46478.0</v>
      </c>
      <c r="AX472" s="30">
        <v>46568.0</v>
      </c>
      <c r="AY472" s="39">
        <v>0.0</v>
      </c>
      <c r="AZ472" s="39">
        <v>0.0</v>
      </c>
      <c r="BA472" s="35" t="s">
        <v>7045</v>
      </c>
      <c r="BB472" s="30">
        <v>46569.0</v>
      </c>
      <c r="BC472" s="30">
        <v>46660.0</v>
      </c>
      <c r="BD472" s="39">
        <v>0.0</v>
      </c>
      <c r="BE472" s="39">
        <v>0.0</v>
      </c>
      <c r="BF472" s="35" t="s">
        <v>7045</v>
      </c>
      <c r="BG472" s="30">
        <v>46661.0</v>
      </c>
      <c r="BH472" s="30">
        <v>46752.0</v>
      </c>
      <c r="BI472" s="39">
        <v>0.0</v>
      </c>
      <c r="BJ472" s="39">
        <v>0.0</v>
      </c>
      <c r="BK472" s="35" t="s">
        <v>7045</v>
      </c>
      <c r="BL472" s="30">
        <v>46753.0</v>
      </c>
      <c r="BM472" s="30">
        <v>46843.0</v>
      </c>
      <c r="BN472" s="39">
        <v>0.0</v>
      </c>
      <c r="BO472" s="39">
        <v>0.0</v>
      </c>
      <c r="BP472" s="35" t="s">
        <v>7045</v>
      </c>
      <c r="BQ472" s="30">
        <v>46844.0</v>
      </c>
      <c r="BR472" s="30">
        <v>46934.0</v>
      </c>
      <c r="BS472" s="39">
        <v>0.0</v>
      </c>
      <c r="BT472" s="39">
        <v>0.0</v>
      </c>
      <c r="BU472" s="35" t="s">
        <v>7045</v>
      </c>
      <c r="BV472" s="30">
        <v>46935.0</v>
      </c>
      <c r="BW472" s="30">
        <v>47026.0</v>
      </c>
      <c r="BX472" s="39">
        <v>0.0</v>
      </c>
      <c r="BY472" s="39">
        <v>0.0</v>
      </c>
      <c r="BZ472" s="35" t="s">
        <v>7045</v>
      </c>
      <c r="CA472" s="30">
        <v>47027.0</v>
      </c>
      <c r="CB472" s="30">
        <v>47118.0</v>
      </c>
      <c r="CC472" s="39">
        <v>0.0</v>
      </c>
      <c r="CD472" s="39">
        <v>0.0</v>
      </c>
      <c r="CE472" s="35" t="s">
        <v>7045</v>
      </c>
      <c r="CF472" s="30">
        <v>47119.0</v>
      </c>
      <c r="CG472" s="30">
        <v>47208.0</v>
      </c>
      <c r="CH472" s="39">
        <v>0.0</v>
      </c>
      <c r="CI472" s="39">
        <v>0.0</v>
      </c>
      <c r="CJ472" s="35" t="s">
        <v>7045</v>
      </c>
      <c r="CK472" s="30">
        <v>47209.0</v>
      </c>
      <c r="CL472" s="30">
        <v>47299.0</v>
      </c>
      <c r="CM472" s="39">
        <v>0.0</v>
      </c>
      <c r="CN472" s="39">
        <v>0.0</v>
      </c>
      <c r="CO472" s="35" t="s">
        <v>7045</v>
      </c>
      <c r="CP472" s="30">
        <v>47300.0</v>
      </c>
      <c r="CQ472" s="30">
        <v>47391.0</v>
      </c>
      <c r="CR472" s="39">
        <v>0.0</v>
      </c>
      <c r="CS472" s="39">
        <v>0.0</v>
      </c>
      <c r="CT472" s="35" t="s">
        <v>7045</v>
      </c>
      <c r="CU472" s="30">
        <v>47392.0</v>
      </c>
      <c r="CV472" s="30">
        <v>47483.0</v>
      </c>
      <c r="CW472" s="39">
        <v>0.0</v>
      </c>
      <c r="CX472" s="39">
        <v>0.0</v>
      </c>
      <c r="CY472" s="35" t="s">
        <v>7045</v>
      </c>
      <c r="CZ472" s="30">
        <v>47484.0</v>
      </c>
      <c r="DA472" s="30">
        <v>47573.0</v>
      </c>
      <c r="DB472" s="39">
        <v>0.0</v>
      </c>
      <c r="DC472" s="39">
        <v>0.0</v>
      </c>
      <c r="DD472" s="35" t="s">
        <v>7045</v>
      </c>
      <c r="DE472" s="30">
        <v>47574.0</v>
      </c>
      <c r="DF472" s="30">
        <v>47664.0</v>
      </c>
      <c r="DG472" s="39">
        <v>0.0</v>
      </c>
      <c r="DH472" s="39">
        <v>0.0</v>
      </c>
      <c r="DI472" s="35" t="s">
        <v>7045</v>
      </c>
      <c r="DJ472" s="30">
        <v>47665.0</v>
      </c>
      <c r="DK472" s="30">
        <v>47756.0</v>
      </c>
      <c r="DL472" s="39">
        <v>0.0</v>
      </c>
      <c r="DM472" s="39">
        <v>0.0</v>
      </c>
      <c r="DN472" s="35" t="s">
        <v>7045</v>
      </c>
      <c r="DO472" s="30">
        <v>47757.0</v>
      </c>
      <c r="DP472" s="30">
        <v>47848.0</v>
      </c>
      <c r="DQ472" s="39">
        <v>0.0</v>
      </c>
      <c r="DR472" s="39">
        <v>0.0</v>
      </c>
      <c r="DS472" s="35" t="s">
        <v>7045</v>
      </c>
    </row>
    <row r="473" ht="14.25" customHeight="1">
      <c r="A473" s="28" t="s">
        <v>1735</v>
      </c>
      <c r="B473" s="29" t="s">
        <v>1736</v>
      </c>
      <c r="C473" s="29" t="s">
        <v>7041</v>
      </c>
      <c r="D473" s="30">
        <v>45658.0</v>
      </c>
      <c r="E473" s="30">
        <v>45747.0</v>
      </c>
      <c r="F473" s="39">
        <v>0.0</v>
      </c>
      <c r="G473" s="39">
        <v>0.0</v>
      </c>
      <c r="H473" s="35" t="s">
        <v>7045</v>
      </c>
      <c r="I473" s="30">
        <v>45748.0</v>
      </c>
      <c r="J473" s="30">
        <v>45838.0</v>
      </c>
      <c r="K473" s="39">
        <v>5.69</v>
      </c>
      <c r="L473" s="39">
        <v>900.0</v>
      </c>
      <c r="M473" s="32" t="s">
        <v>7043</v>
      </c>
      <c r="N473" s="30">
        <v>45839.0</v>
      </c>
      <c r="O473" s="30">
        <v>45930.0</v>
      </c>
      <c r="P473" s="39">
        <v>14.64</v>
      </c>
      <c r="Q473" s="39">
        <v>833.33</v>
      </c>
      <c r="R473" s="38" t="s">
        <v>7047</v>
      </c>
      <c r="S473" s="30">
        <v>45931.0</v>
      </c>
      <c r="T473" s="30">
        <v>46022.0</v>
      </c>
      <c r="U473" s="39">
        <v>344.61</v>
      </c>
      <c r="V473" s="39">
        <v>1433.33</v>
      </c>
      <c r="W473" s="38" t="s">
        <v>7047</v>
      </c>
      <c r="X473" s="30">
        <v>46023.0</v>
      </c>
      <c r="Y473" s="30">
        <v>46112.0</v>
      </c>
      <c r="Z473" s="39">
        <v>260.54</v>
      </c>
      <c r="AA473" s="39">
        <v>0.0</v>
      </c>
      <c r="AB473" s="38" t="s">
        <v>7047</v>
      </c>
      <c r="AC473" s="30">
        <v>46113.0</v>
      </c>
      <c r="AD473" s="30">
        <v>46203.0</v>
      </c>
      <c r="AE473" s="39">
        <v>0.0</v>
      </c>
      <c r="AF473" s="39">
        <v>0.0</v>
      </c>
      <c r="AG473" s="35" t="s">
        <v>7045</v>
      </c>
      <c r="AH473" s="30">
        <v>46204.0</v>
      </c>
      <c r="AI473" s="30">
        <v>46295.0</v>
      </c>
      <c r="AJ473" s="39">
        <v>0.0</v>
      </c>
      <c r="AK473" s="39">
        <v>0.0</v>
      </c>
      <c r="AL473" s="35" t="s">
        <v>7045</v>
      </c>
      <c r="AM473" s="30">
        <v>46296.0</v>
      </c>
      <c r="AN473" s="30">
        <v>46387.0</v>
      </c>
      <c r="AO473" s="39">
        <v>125.0</v>
      </c>
      <c r="AP473" s="39">
        <v>0.0</v>
      </c>
      <c r="AQ473" s="38" t="s">
        <v>7047</v>
      </c>
      <c r="AR473" s="30">
        <v>46388.0</v>
      </c>
      <c r="AS473" s="30">
        <v>46477.0</v>
      </c>
      <c r="AT473" s="39">
        <v>0.0</v>
      </c>
      <c r="AU473" s="39">
        <v>0.0</v>
      </c>
      <c r="AV473" s="35" t="s">
        <v>7045</v>
      </c>
      <c r="AW473" s="30">
        <v>46478.0</v>
      </c>
      <c r="AX473" s="30">
        <v>46568.0</v>
      </c>
      <c r="AY473" s="39">
        <v>0.0</v>
      </c>
      <c r="AZ473" s="39">
        <v>0.0</v>
      </c>
      <c r="BA473" s="35" t="s">
        <v>7045</v>
      </c>
      <c r="BB473" s="30">
        <v>46569.0</v>
      </c>
      <c r="BC473" s="30">
        <v>46660.0</v>
      </c>
      <c r="BD473" s="39">
        <v>0.0</v>
      </c>
      <c r="BE473" s="39">
        <v>0.0</v>
      </c>
      <c r="BF473" s="35" t="s">
        <v>7045</v>
      </c>
      <c r="BG473" s="30">
        <v>46661.0</v>
      </c>
      <c r="BH473" s="30">
        <v>46752.0</v>
      </c>
      <c r="BI473" s="39">
        <v>0.0</v>
      </c>
      <c r="BJ473" s="39">
        <v>0.0</v>
      </c>
      <c r="BK473" s="35" t="s">
        <v>7045</v>
      </c>
      <c r="BL473" s="30">
        <v>46753.0</v>
      </c>
      <c r="BM473" s="30">
        <v>46843.0</v>
      </c>
      <c r="BN473" s="39">
        <v>0.0</v>
      </c>
      <c r="BO473" s="39">
        <v>0.0</v>
      </c>
      <c r="BP473" s="35" t="s">
        <v>7045</v>
      </c>
      <c r="BQ473" s="30">
        <v>46844.0</v>
      </c>
      <c r="BR473" s="30">
        <v>46934.0</v>
      </c>
      <c r="BS473" s="39">
        <v>0.0</v>
      </c>
      <c r="BT473" s="39">
        <v>0.0</v>
      </c>
      <c r="BU473" s="35" t="s">
        <v>7045</v>
      </c>
      <c r="BV473" s="30">
        <v>46935.0</v>
      </c>
      <c r="BW473" s="30">
        <v>47026.0</v>
      </c>
      <c r="BX473" s="39">
        <v>0.0</v>
      </c>
      <c r="BY473" s="39">
        <v>0.0</v>
      </c>
      <c r="BZ473" s="35" t="s">
        <v>7045</v>
      </c>
      <c r="CA473" s="30">
        <v>47027.0</v>
      </c>
      <c r="CB473" s="30">
        <v>47118.0</v>
      </c>
      <c r="CC473" s="39">
        <v>0.0</v>
      </c>
      <c r="CD473" s="39">
        <v>0.0</v>
      </c>
      <c r="CE473" s="35" t="s">
        <v>7045</v>
      </c>
      <c r="CF473" s="30">
        <v>47119.0</v>
      </c>
      <c r="CG473" s="30">
        <v>47208.0</v>
      </c>
      <c r="CH473" s="39">
        <v>0.0</v>
      </c>
      <c r="CI473" s="39">
        <v>0.0</v>
      </c>
      <c r="CJ473" s="35" t="s">
        <v>7045</v>
      </c>
      <c r="CK473" s="30">
        <v>47209.0</v>
      </c>
      <c r="CL473" s="30">
        <v>47299.0</v>
      </c>
      <c r="CM473" s="39">
        <v>0.0</v>
      </c>
      <c r="CN473" s="39">
        <v>0.0</v>
      </c>
      <c r="CO473" s="35" t="s">
        <v>7045</v>
      </c>
      <c r="CP473" s="30">
        <v>47300.0</v>
      </c>
      <c r="CQ473" s="30">
        <v>47391.0</v>
      </c>
      <c r="CR473" s="39">
        <v>0.0</v>
      </c>
      <c r="CS473" s="39">
        <v>0.0</v>
      </c>
      <c r="CT473" s="35" t="s">
        <v>7045</v>
      </c>
      <c r="CU473" s="30">
        <v>47392.0</v>
      </c>
      <c r="CV473" s="30">
        <v>47483.0</v>
      </c>
      <c r="CW473" s="39">
        <v>0.0</v>
      </c>
      <c r="CX473" s="39">
        <v>0.0</v>
      </c>
      <c r="CY473" s="35" t="s">
        <v>7045</v>
      </c>
      <c r="CZ473" s="30">
        <v>47484.0</v>
      </c>
      <c r="DA473" s="30">
        <v>47573.0</v>
      </c>
      <c r="DB473" s="39">
        <v>0.0</v>
      </c>
      <c r="DC473" s="39">
        <v>0.0</v>
      </c>
      <c r="DD473" s="35" t="s">
        <v>7045</v>
      </c>
      <c r="DE473" s="30">
        <v>47574.0</v>
      </c>
      <c r="DF473" s="30">
        <v>47664.0</v>
      </c>
      <c r="DG473" s="39">
        <v>0.0</v>
      </c>
      <c r="DH473" s="39">
        <v>0.0</v>
      </c>
      <c r="DI473" s="35" t="s">
        <v>7045</v>
      </c>
      <c r="DJ473" s="30">
        <v>47665.0</v>
      </c>
      <c r="DK473" s="30">
        <v>47756.0</v>
      </c>
      <c r="DL473" s="39">
        <v>0.0</v>
      </c>
      <c r="DM473" s="39">
        <v>0.0</v>
      </c>
      <c r="DN473" s="35" t="s">
        <v>7045</v>
      </c>
      <c r="DO473" s="30">
        <v>47757.0</v>
      </c>
      <c r="DP473" s="30">
        <v>47848.0</v>
      </c>
      <c r="DQ473" s="39">
        <v>0.0</v>
      </c>
      <c r="DR473" s="39">
        <v>0.0</v>
      </c>
      <c r="DS473" s="35" t="s">
        <v>7045</v>
      </c>
    </row>
    <row r="474" ht="14.25" customHeight="1">
      <c r="A474" s="28" t="s">
        <v>4038</v>
      </c>
      <c r="B474" s="29" t="s">
        <v>4039</v>
      </c>
      <c r="C474" s="29" t="s">
        <v>7041</v>
      </c>
      <c r="D474" s="30">
        <v>45658.0</v>
      </c>
      <c r="E474" s="30">
        <v>45747.0</v>
      </c>
      <c r="F474" s="36">
        <v>0.0</v>
      </c>
      <c r="G474" s="36">
        <v>0.0</v>
      </c>
      <c r="H474" s="35" t="s">
        <v>7045</v>
      </c>
      <c r="I474" s="30">
        <v>45748.0</v>
      </c>
      <c r="J474" s="30">
        <v>45838.0</v>
      </c>
      <c r="K474" s="36">
        <v>100.0</v>
      </c>
      <c r="L474" s="36">
        <v>305.54</v>
      </c>
      <c r="M474" s="38" t="s">
        <v>7047</v>
      </c>
      <c r="N474" s="30">
        <v>45839.0</v>
      </c>
      <c r="O474" s="30">
        <v>45930.0</v>
      </c>
      <c r="P474" s="36">
        <v>30.73</v>
      </c>
      <c r="Q474" s="36">
        <v>55.56</v>
      </c>
      <c r="R474" s="38" t="s">
        <v>7047</v>
      </c>
      <c r="S474" s="30">
        <v>45931.0</v>
      </c>
      <c r="T474" s="30">
        <v>46022.0</v>
      </c>
      <c r="U474" s="36">
        <v>600.38</v>
      </c>
      <c r="V474" s="36">
        <v>444.44</v>
      </c>
      <c r="W474" s="38" t="s">
        <v>7047</v>
      </c>
      <c r="X474" s="30">
        <v>46023.0</v>
      </c>
      <c r="Y474" s="30">
        <v>46112.0</v>
      </c>
      <c r="Z474" s="36">
        <v>3.14</v>
      </c>
      <c r="AA474" s="36">
        <v>0.0</v>
      </c>
      <c r="AB474" s="38" t="s">
        <v>7047</v>
      </c>
      <c r="AC474" s="30">
        <v>46113.0</v>
      </c>
      <c r="AD474" s="30">
        <v>46203.0</v>
      </c>
      <c r="AE474" s="36">
        <v>0.38</v>
      </c>
      <c r="AF474" s="36">
        <v>0.0</v>
      </c>
      <c r="AG474" s="38" t="s">
        <v>7047</v>
      </c>
      <c r="AH474" s="30">
        <v>46204.0</v>
      </c>
      <c r="AI474" s="30">
        <v>46295.0</v>
      </c>
      <c r="AJ474" s="36">
        <v>0.0</v>
      </c>
      <c r="AK474" s="36">
        <v>0.0</v>
      </c>
      <c r="AL474" s="35" t="s">
        <v>7045</v>
      </c>
      <c r="AM474" s="30">
        <v>46296.0</v>
      </c>
      <c r="AN474" s="30">
        <v>46387.0</v>
      </c>
      <c r="AO474" s="36">
        <v>0.0</v>
      </c>
      <c r="AP474" s="36">
        <v>0.0</v>
      </c>
      <c r="AQ474" s="35" t="s">
        <v>7045</v>
      </c>
      <c r="AR474" s="30">
        <v>46388.0</v>
      </c>
      <c r="AS474" s="30">
        <v>46477.0</v>
      </c>
      <c r="AT474" s="36">
        <v>0.0</v>
      </c>
      <c r="AU474" s="36">
        <v>0.0</v>
      </c>
      <c r="AV474" s="35" t="s">
        <v>7045</v>
      </c>
      <c r="AW474" s="30">
        <v>46478.0</v>
      </c>
      <c r="AX474" s="30">
        <v>46568.0</v>
      </c>
      <c r="AY474" s="36">
        <v>0.0</v>
      </c>
      <c r="AZ474" s="36">
        <v>0.0</v>
      </c>
      <c r="BA474" s="35" t="s">
        <v>7045</v>
      </c>
      <c r="BB474" s="30">
        <v>46569.0</v>
      </c>
      <c r="BC474" s="30">
        <v>46660.0</v>
      </c>
      <c r="BD474" s="36">
        <v>0.0</v>
      </c>
      <c r="BE474" s="36">
        <v>0.0</v>
      </c>
      <c r="BF474" s="35" t="s">
        <v>7045</v>
      </c>
      <c r="BG474" s="30">
        <v>46661.0</v>
      </c>
      <c r="BH474" s="30">
        <v>46752.0</v>
      </c>
      <c r="BI474" s="36">
        <v>0.0</v>
      </c>
      <c r="BJ474" s="36">
        <v>0.0</v>
      </c>
      <c r="BK474" s="35" t="s">
        <v>7045</v>
      </c>
      <c r="BL474" s="30">
        <v>46753.0</v>
      </c>
      <c r="BM474" s="30">
        <v>46843.0</v>
      </c>
      <c r="BN474" s="36">
        <v>0.0</v>
      </c>
      <c r="BO474" s="36">
        <v>0.0</v>
      </c>
      <c r="BP474" s="35" t="s">
        <v>7045</v>
      </c>
      <c r="BQ474" s="30">
        <v>46844.0</v>
      </c>
      <c r="BR474" s="30">
        <v>46934.0</v>
      </c>
      <c r="BS474" s="36">
        <v>0.0</v>
      </c>
      <c r="BT474" s="36">
        <v>0.0</v>
      </c>
      <c r="BU474" s="35" t="s">
        <v>7045</v>
      </c>
      <c r="BV474" s="30">
        <v>46935.0</v>
      </c>
      <c r="BW474" s="30">
        <v>47026.0</v>
      </c>
      <c r="BX474" s="36">
        <v>0.0</v>
      </c>
      <c r="BY474" s="36">
        <v>0.0</v>
      </c>
      <c r="BZ474" s="35" t="s">
        <v>7045</v>
      </c>
      <c r="CA474" s="30">
        <v>47027.0</v>
      </c>
      <c r="CB474" s="30">
        <v>47118.0</v>
      </c>
      <c r="CC474" s="36">
        <v>0.0</v>
      </c>
      <c r="CD474" s="36">
        <v>0.0</v>
      </c>
      <c r="CE474" s="35" t="s">
        <v>7045</v>
      </c>
      <c r="CF474" s="30">
        <v>47119.0</v>
      </c>
      <c r="CG474" s="30">
        <v>47208.0</v>
      </c>
      <c r="CH474" s="36">
        <v>0.0</v>
      </c>
      <c r="CI474" s="36">
        <v>0.0</v>
      </c>
      <c r="CJ474" s="35" t="s">
        <v>7045</v>
      </c>
      <c r="CK474" s="30">
        <v>47209.0</v>
      </c>
      <c r="CL474" s="30">
        <v>47299.0</v>
      </c>
      <c r="CM474" s="36">
        <v>0.0</v>
      </c>
      <c r="CN474" s="36">
        <v>0.0</v>
      </c>
      <c r="CO474" s="35" t="s">
        <v>7045</v>
      </c>
      <c r="CP474" s="30">
        <v>47300.0</v>
      </c>
      <c r="CQ474" s="30">
        <v>47391.0</v>
      </c>
      <c r="CR474" s="36">
        <v>0.0</v>
      </c>
      <c r="CS474" s="36">
        <v>0.0</v>
      </c>
      <c r="CT474" s="35" t="s">
        <v>7045</v>
      </c>
      <c r="CU474" s="30">
        <v>47392.0</v>
      </c>
      <c r="CV474" s="30">
        <v>47483.0</v>
      </c>
      <c r="CW474" s="36">
        <v>0.0</v>
      </c>
      <c r="CX474" s="36">
        <v>0.0</v>
      </c>
      <c r="CY474" s="35" t="s">
        <v>7045</v>
      </c>
      <c r="CZ474" s="30">
        <v>47484.0</v>
      </c>
      <c r="DA474" s="30">
        <v>47573.0</v>
      </c>
      <c r="DB474" s="36">
        <v>0.0</v>
      </c>
      <c r="DC474" s="36">
        <v>0.0</v>
      </c>
      <c r="DD474" s="35" t="s">
        <v>7045</v>
      </c>
      <c r="DE474" s="30">
        <v>47574.0</v>
      </c>
      <c r="DF474" s="30">
        <v>47664.0</v>
      </c>
      <c r="DG474" s="36">
        <v>0.0</v>
      </c>
      <c r="DH474" s="36">
        <v>0.0</v>
      </c>
      <c r="DI474" s="35" t="s">
        <v>7045</v>
      </c>
      <c r="DJ474" s="30">
        <v>47665.0</v>
      </c>
      <c r="DK474" s="30">
        <v>47756.0</v>
      </c>
      <c r="DL474" s="36">
        <v>0.0</v>
      </c>
      <c r="DM474" s="36">
        <v>0.0</v>
      </c>
      <c r="DN474" s="35" t="s">
        <v>7045</v>
      </c>
      <c r="DO474" s="30">
        <v>47757.0</v>
      </c>
      <c r="DP474" s="30">
        <v>47848.0</v>
      </c>
      <c r="DQ474" s="36">
        <v>0.0</v>
      </c>
      <c r="DR474" s="36">
        <v>0.0</v>
      </c>
      <c r="DS474" s="35" t="s">
        <v>7045</v>
      </c>
    </row>
    <row r="475" ht="14.25" customHeight="1">
      <c r="A475" s="28" t="s">
        <v>5049</v>
      </c>
      <c r="B475" s="29" t="s">
        <v>5050</v>
      </c>
      <c r="C475" s="29" t="s">
        <v>7041</v>
      </c>
      <c r="D475" s="30">
        <v>45658.0</v>
      </c>
      <c r="E475" s="30">
        <v>45747.0</v>
      </c>
      <c r="F475" s="39">
        <v>0.0</v>
      </c>
      <c r="G475" s="39">
        <v>0.0</v>
      </c>
      <c r="H475" s="35" t="s">
        <v>7045</v>
      </c>
      <c r="I475" s="30">
        <v>45748.0</v>
      </c>
      <c r="J475" s="30">
        <v>45838.0</v>
      </c>
      <c r="K475" s="39">
        <v>0.35</v>
      </c>
      <c r="L475" s="39">
        <v>333.33</v>
      </c>
      <c r="M475" s="32" t="s">
        <v>7043</v>
      </c>
      <c r="N475" s="30">
        <v>45839.0</v>
      </c>
      <c r="O475" s="30">
        <v>45930.0</v>
      </c>
      <c r="P475" s="39">
        <v>0.0</v>
      </c>
      <c r="Q475" s="39">
        <v>450.0</v>
      </c>
      <c r="R475" s="32" t="s">
        <v>7043</v>
      </c>
      <c r="S475" s="30">
        <v>45931.0</v>
      </c>
      <c r="T475" s="30">
        <v>46022.0</v>
      </c>
      <c r="U475" s="39">
        <v>0.0</v>
      </c>
      <c r="V475" s="39">
        <v>800.0</v>
      </c>
      <c r="W475" s="32" t="s">
        <v>7043</v>
      </c>
      <c r="X475" s="30">
        <v>46023.0</v>
      </c>
      <c r="Y475" s="30">
        <v>46112.0</v>
      </c>
      <c r="Z475" s="39">
        <v>1.26</v>
      </c>
      <c r="AA475" s="39">
        <v>0.0</v>
      </c>
      <c r="AB475" s="38" t="s">
        <v>7047</v>
      </c>
      <c r="AC475" s="30">
        <v>46113.0</v>
      </c>
      <c r="AD475" s="30">
        <v>46203.0</v>
      </c>
      <c r="AE475" s="39">
        <v>0.0</v>
      </c>
      <c r="AF475" s="39">
        <v>0.0</v>
      </c>
      <c r="AG475" s="35" t="s">
        <v>7045</v>
      </c>
      <c r="AH475" s="30">
        <v>46204.0</v>
      </c>
      <c r="AI475" s="30">
        <v>46295.0</v>
      </c>
      <c r="AJ475" s="39">
        <v>0.0</v>
      </c>
      <c r="AK475" s="39">
        <v>0.0</v>
      </c>
      <c r="AL475" s="35" t="s">
        <v>7045</v>
      </c>
      <c r="AM475" s="30">
        <v>46296.0</v>
      </c>
      <c r="AN475" s="30">
        <v>46387.0</v>
      </c>
      <c r="AO475" s="39">
        <v>0.0</v>
      </c>
      <c r="AP475" s="39">
        <v>0.0</v>
      </c>
      <c r="AQ475" s="35" t="s">
        <v>7045</v>
      </c>
      <c r="AR475" s="30">
        <v>46388.0</v>
      </c>
      <c r="AS475" s="30">
        <v>46477.0</v>
      </c>
      <c r="AT475" s="39">
        <v>0.0</v>
      </c>
      <c r="AU475" s="39">
        <v>0.0</v>
      </c>
      <c r="AV475" s="35" t="s">
        <v>7045</v>
      </c>
      <c r="AW475" s="30">
        <v>46478.0</v>
      </c>
      <c r="AX475" s="30">
        <v>46568.0</v>
      </c>
      <c r="AY475" s="39">
        <v>0.0</v>
      </c>
      <c r="AZ475" s="39">
        <v>0.0</v>
      </c>
      <c r="BA475" s="35" t="s">
        <v>7045</v>
      </c>
      <c r="BB475" s="30">
        <v>46569.0</v>
      </c>
      <c r="BC475" s="30">
        <v>46660.0</v>
      </c>
      <c r="BD475" s="39">
        <v>0.0</v>
      </c>
      <c r="BE475" s="39">
        <v>0.0</v>
      </c>
      <c r="BF475" s="35" t="s">
        <v>7045</v>
      </c>
      <c r="BG475" s="30">
        <v>46661.0</v>
      </c>
      <c r="BH475" s="30">
        <v>46752.0</v>
      </c>
      <c r="BI475" s="39">
        <v>0.0</v>
      </c>
      <c r="BJ475" s="39">
        <v>0.0</v>
      </c>
      <c r="BK475" s="35" t="s">
        <v>7045</v>
      </c>
      <c r="BL475" s="30">
        <v>46753.0</v>
      </c>
      <c r="BM475" s="30">
        <v>46843.0</v>
      </c>
      <c r="BN475" s="39">
        <v>0.0</v>
      </c>
      <c r="BO475" s="39">
        <v>0.0</v>
      </c>
      <c r="BP475" s="35" t="s">
        <v>7045</v>
      </c>
      <c r="BQ475" s="30">
        <v>46844.0</v>
      </c>
      <c r="BR475" s="30">
        <v>46934.0</v>
      </c>
      <c r="BS475" s="39">
        <v>0.0</v>
      </c>
      <c r="BT475" s="39">
        <v>0.0</v>
      </c>
      <c r="BU475" s="35" t="s">
        <v>7045</v>
      </c>
      <c r="BV475" s="30">
        <v>46935.0</v>
      </c>
      <c r="BW475" s="30">
        <v>47026.0</v>
      </c>
      <c r="BX475" s="39">
        <v>0.0</v>
      </c>
      <c r="BY475" s="39">
        <v>0.0</v>
      </c>
      <c r="BZ475" s="35" t="s">
        <v>7045</v>
      </c>
      <c r="CA475" s="30">
        <v>47027.0</v>
      </c>
      <c r="CB475" s="30">
        <v>47118.0</v>
      </c>
      <c r="CC475" s="39">
        <v>0.0</v>
      </c>
      <c r="CD475" s="39">
        <v>0.0</v>
      </c>
      <c r="CE475" s="35" t="s">
        <v>7045</v>
      </c>
      <c r="CF475" s="30">
        <v>47119.0</v>
      </c>
      <c r="CG475" s="30">
        <v>47208.0</v>
      </c>
      <c r="CH475" s="39">
        <v>0.0</v>
      </c>
      <c r="CI475" s="39">
        <v>0.0</v>
      </c>
      <c r="CJ475" s="35" t="s">
        <v>7045</v>
      </c>
      <c r="CK475" s="30">
        <v>47209.0</v>
      </c>
      <c r="CL475" s="30">
        <v>47299.0</v>
      </c>
      <c r="CM475" s="39">
        <v>0.0</v>
      </c>
      <c r="CN475" s="39">
        <v>0.0</v>
      </c>
      <c r="CO475" s="35" t="s">
        <v>7045</v>
      </c>
      <c r="CP475" s="30">
        <v>47300.0</v>
      </c>
      <c r="CQ475" s="30">
        <v>47391.0</v>
      </c>
      <c r="CR475" s="39">
        <v>0.0</v>
      </c>
      <c r="CS475" s="39">
        <v>0.0</v>
      </c>
      <c r="CT475" s="35" t="s">
        <v>7045</v>
      </c>
      <c r="CU475" s="30">
        <v>47392.0</v>
      </c>
      <c r="CV475" s="30">
        <v>47483.0</v>
      </c>
      <c r="CW475" s="39">
        <v>0.0</v>
      </c>
      <c r="CX475" s="39">
        <v>0.0</v>
      </c>
      <c r="CY475" s="35" t="s">
        <v>7045</v>
      </c>
      <c r="CZ475" s="30">
        <v>47484.0</v>
      </c>
      <c r="DA475" s="30">
        <v>47573.0</v>
      </c>
      <c r="DB475" s="39">
        <v>0.0</v>
      </c>
      <c r="DC475" s="39">
        <v>0.0</v>
      </c>
      <c r="DD475" s="35" t="s">
        <v>7045</v>
      </c>
      <c r="DE475" s="30">
        <v>47574.0</v>
      </c>
      <c r="DF475" s="30">
        <v>47664.0</v>
      </c>
      <c r="DG475" s="39">
        <v>0.0</v>
      </c>
      <c r="DH475" s="39">
        <v>0.0</v>
      </c>
      <c r="DI475" s="35" t="s">
        <v>7045</v>
      </c>
      <c r="DJ475" s="30">
        <v>47665.0</v>
      </c>
      <c r="DK475" s="30">
        <v>47756.0</v>
      </c>
      <c r="DL475" s="39">
        <v>0.0</v>
      </c>
      <c r="DM475" s="39">
        <v>0.0</v>
      </c>
      <c r="DN475" s="35" t="s">
        <v>7045</v>
      </c>
      <c r="DO475" s="30">
        <v>47757.0</v>
      </c>
      <c r="DP475" s="30">
        <v>47848.0</v>
      </c>
      <c r="DQ475" s="39">
        <v>0.0</v>
      </c>
      <c r="DR475" s="39">
        <v>0.0</v>
      </c>
      <c r="DS475" s="35" t="s">
        <v>7045</v>
      </c>
    </row>
    <row r="476" ht="14.25" customHeight="1">
      <c r="A476" s="28" t="s">
        <v>6172</v>
      </c>
      <c r="B476" s="29" t="s">
        <v>6173</v>
      </c>
      <c r="C476" s="29" t="s">
        <v>7041</v>
      </c>
      <c r="D476" s="30">
        <v>45658.0</v>
      </c>
      <c r="E476" s="30">
        <v>45747.0</v>
      </c>
      <c r="F476" s="39">
        <v>0.0</v>
      </c>
      <c r="G476" s="39">
        <v>0.0</v>
      </c>
      <c r="H476" s="35" t="s">
        <v>7045</v>
      </c>
      <c r="I476" s="30">
        <v>45748.0</v>
      </c>
      <c r="J476" s="30">
        <v>45838.0</v>
      </c>
      <c r="K476" s="39">
        <v>0.0</v>
      </c>
      <c r="L476" s="39">
        <v>416.67</v>
      </c>
      <c r="M476" s="32" t="s">
        <v>7043</v>
      </c>
      <c r="N476" s="30">
        <v>45839.0</v>
      </c>
      <c r="O476" s="30">
        <v>45930.0</v>
      </c>
      <c r="P476" s="39">
        <v>0.0</v>
      </c>
      <c r="Q476" s="39">
        <v>416.67</v>
      </c>
      <c r="R476" s="32" t="s">
        <v>7043</v>
      </c>
      <c r="S476" s="30">
        <v>45931.0</v>
      </c>
      <c r="T476" s="30">
        <v>46022.0</v>
      </c>
      <c r="U476" s="39">
        <v>40.4</v>
      </c>
      <c r="V476" s="39">
        <v>416.67</v>
      </c>
      <c r="W476" s="38" t="s">
        <v>7047</v>
      </c>
      <c r="X476" s="30">
        <v>46023.0</v>
      </c>
      <c r="Y476" s="30">
        <v>46112.0</v>
      </c>
      <c r="Z476" s="39">
        <v>0.0</v>
      </c>
      <c r="AA476" s="39">
        <v>0.0</v>
      </c>
      <c r="AB476" s="35" t="s">
        <v>7045</v>
      </c>
      <c r="AC476" s="30">
        <v>46113.0</v>
      </c>
      <c r="AD476" s="30">
        <v>46203.0</v>
      </c>
      <c r="AE476" s="39">
        <v>0.0</v>
      </c>
      <c r="AF476" s="39">
        <v>0.0</v>
      </c>
      <c r="AG476" s="35" t="s">
        <v>7045</v>
      </c>
      <c r="AH476" s="30">
        <v>46204.0</v>
      </c>
      <c r="AI476" s="30">
        <v>46295.0</v>
      </c>
      <c r="AJ476" s="39">
        <v>0.0</v>
      </c>
      <c r="AK476" s="39">
        <v>0.0</v>
      </c>
      <c r="AL476" s="35" t="s">
        <v>7045</v>
      </c>
      <c r="AM476" s="30">
        <v>46296.0</v>
      </c>
      <c r="AN476" s="30">
        <v>46387.0</v>
      </c>
      <c r="AO476" s="39">
        <v>0.0</v>
      </c>
      <c r="AP476" s="39">
        <v>0.0</v>
      </c>
      <c r="AQ476" s="35" t="s">
        <v>7045</v>
      </c>
      <c r="AR476" s="30">
        <v>46388.0</v>
      </c>
      <c r="AS476" s="30">
        <v>46477.0</v>
      </c>
      <c r="AT476" s="39">
        <v>0.0</v>
      </c>
      <c r="AU476" s="39">
        <v>0.0</v>
      </c>
      <c r="AV476" s="35" t="s">
        <v>7045</v>
      </c>
      <c r="AW476" s="30">
        <v>46478.0</v>
      </c>
      <c r="AX476" s="30">
        <v>46568.0</v>
      </c>
      <c r="AY476" s="39">
        <v>0.0</v>
      </c>
      <c r="AZ476" s="39">
        <v>0.0</v>
      </c>
      <c r="BA476" s="35" t="s">
        <v>7045</v>
      </c>
      <c r="BB476" s="30">
        <v>46569.0</v>
      </c>
      <c r="BC476" s="30">
        <v>46660.0</v>
      </c>
      <c r="BD476" s="39">
        <v>0.0</v>
      </c>
      <c r="BE476" s="39">
        <v>0.0</v>
      </c>
      <c r="BF476" s="35" t="s">
        <v>7045</v>
      </c>
      <c r="BG476" s="30">
        <v>46661.0</v>
      </c>
      <c r="BH476" s="30">
        <v>46752.0</v>
      </c>
      <c r="BI476" s="39">
        <v>0.0</v>
      </c>
      <c r="BJ476" s="39">
        <v>0.0</v>
      </c>
      <c r="BK476" s="35" t="s">
        <v>7045</v>
      </c>
      <c r="BL476" s="30">
        <v>46753.0</v>
      </c>
      <c r="BM476" s="30">
        <v>46843.0</v>
      </c>
      <c r="BN476" s="39">
        <v>0.0</v>
      </c>
      <c r="BO476" s="39">
        <v>0.0</v>
      </c>
      <c r="BP476" s="35" t="s">
        <v>7045</v>
      </c>
      <c r="BQ476" s="30">
        <v>46844.0</v>
      </c>
      <c r="BR476" s="30">
        <v>46934.0</v>
      </c>
      <c r="BS476" s="39">
        <v>0.0</v>
      </c>
      <c r="BT476" s="39">
        <v>0.0</v>
      </c>
      <c r="BU476" s="35" t="s">
        <v>7045</v>
      </c>
      <c r="BV476" s="30">
        <v>46935.0</v>
      </c>
      <c r="BW476" s="30">
        <v>47026.0</v>
      </c>
      <c r="BX476" s="39">
        <v>0.0</v>
      </c>
      <c r="BY476" s="39">
        <v>0.0</v>
      </c>
      <c r="BZ476" s="35" t="s">
        <v>7045</v>
      </c>
      <c r="CA476" s="30">
        <v>47027.0</v>
      </c>
      <c r="CB476" s="30">
        <v>47118.0</v>
      </c>
      <c r="CC476" s="39">
        <v>0.0</v>
      </c>
      <c r="CD476" s="39">
        <v>0.0</v>
      </c>
      <c r="CE476" s="35" t="s">
        <v>7045</v>
      </c>
      <c r="CF476" s="30">
        <v>47119.0</v>
      </c>
      <c r="CG476" s="30">
        <v>47208.0</v>
      </c>
      <c r="CH476" s="39">
        <v>0.0</v>
      </c>
      <c r="CI476" s="39">
        <v>0.0</v>
      </c>
      <c r="CJ476" s="35" t="s">
        <v>7045</v>
      </c>
      <c r="CK476" s="30">
        <v>47209.0</v>
      </c>
      <c r="CL476" s="30">
        <v>47299.0</v>
      </c>
      <c r="CM476" s="39">
        <v>0.0</v>
      </c>
      <c r="CN476" s="39">
        <v>0.0</v>
      </c>
      <c r="CO476" s="35" t="s">
        <v>7045</v>
      </c>
      <c r="CP476" s="30">
        <v>47300.0</v>
      </c>
      <c r="CQ476" s="30">
        <v>47391.0</v>
      </c>
      <c r="CR476" s="39">
        <v>0.0</v>
      </c>
      <c r="CS476" s="39">
        <v>0.0</v>
      </c>
      <c r="CT476" s="35" t="s">
        <v>7045</v>
      </c>
      <c r="CU476" s="30">
        <v>47392.0</v>
      </c>
      <c r="CV476" s="30">
        <v>47483.0</v>
      </c>
      <c r="CW476" s="39">
        <v>0.0</v>
      </c>
      <c r="CX476" s="39">
        <v>0.0</v>
      </c>
      <c r="CY476" s="35" t="s">
        <v>7045</v>
      </c>
      <c r="CZ476" s="30">
        <v>47484.0</v>
      </c>
      <c r="DA476" s="30">
        <v>47573.0</v>
      </c>
      <c r="DB476" s="39">
        <v>0.0</v>
      </c>
      <c r="DC476" s="39">
        <v>0.0</v>
      </c>
      <c r="DD476" s="35" t="s">
        <v>7045</v>
      </c>
      <c r="DE476" s="30">
        <v>47574.0</v>
      </c>
      <c r="DF476" s="30">
        <v>47664.0</v>
      </c>
      <c r="DG476" s="39">
        <v>0.0</v>
      </c>
      <c r="DH476" s="39">
        <v>0.0</v>
      </c>
      <c r="DI476" s="35" t="s">
        <v>7045</v>
      </c>
      <c r="DJ476" s="30">
        <v>47665.0</v>
      </c>
      <c r="DK476" s="30">
        <v>47756.0</v>
      </c>
      <c r="DL476" s="39">
        <v>0.0</v>
      </c>
      <c r="DM476" s="39">
        <v>0.0</v>
      </c>
      <c r="DN476" s="35" t="s">
        <v>7045</v>
      </c>
      <c r="DO476" s="30">
        <v>47757.0</v>
      </c>
      <c r="DP476" s="30">
        <v>47848.0</v>
      </c>
      <c r="DQ476" s="39">
        <v>0.0</v>
      </c>
      <c r="DR476" s="39">
        <v>0.0</v>
      </c>
      <c r="DS476" s="35" t="s">
        <v>7045</v>
      </c>
    </row>
    <row r="477" ht="14.25" customHeight="1">
      <c r="A477" s="28" t="s">
        <v>5947</v>
      </c>
      <c r="B477" s="29" t="s">
        <v>5948</v>
      </c>
      <c r="C477" s="29" t="s">
        <v>7041</v>
      </c>
      <c r="D477" s="30">
        <v>45658.0</v>
      </c>
      <c r="E477" s="30">
        <v>45747.0</v>
      </c>
      <c r="F477" s="36">
        <v>0.0</v>
      </c>
      <c r="G477" s="36">
        <v>0.0</v>
      </c>
      <c r="H477" s="35" t="s">
        <v>7045</v>
      </c>
      <c r="I477" s="30">
        <v>45748.0</v>
      </c>
      <c r="J477" s="30">
        <v>45838.0</v>
      </c>
      <c r="K477" s="36">
        <v>17.24</v>
      </c>
      <c r="L477" s="36">
        <v>343.35</v>
      </c>
      <c r="M477" s="38" t="s">
        <v>7043</v>
      </c>
      <c r="N477" s="30">
        <v>45839.0</v>
      </c>
      <c r="O477" s="30">
        <v>45930.0</v>
      </c>
      <c r="P477" s="36">
        <v>15.74</v>
      </c>
      <c r="Q477" s="36">
        <v>253.34</v>
      </c>
      <c r="R477" s="38" t="s">
        <v>7046</v>
      </c>
      <c r="S477" s="30">
        <v>45931.0</v>
      </c>
      <c r="T477" s="30">
        <v>46022.0</v>
      </c>
      <c r="U477" s="36">
        <v>20.8</v>
      </c>
      <c r="V477" s="36">
        <v>246.33</v>
      </c>
      <c r="W477" s="38" t="s">
        <v>7047</v>
      </c>
      <c r="X477" s="30">
        <v>46023.0</v>
      </c>
      <c r="Y477" s="30">
        <v>46112.0</v>
      </c>
      <c r="Z477" s="36">
        <v>5.44</v>
      </c>
      <c r="AA477" s="36">
        <v>0.0</v>
      </c>
      <c r="AB477" s="38" t="s">
        <v>7047</v>
      </c>
      <c r="AC477" s="30">
        <v>46113.0</v>
      </c>
      <c r="AD477" s="30">
        <v>46203.0</v>
      </c>
      <c r="AE477" s="36">
        <v>0.0</v>
      </c>
      <c r="AF477" s="36">
        <v>0.0</v>
      </c>
      <c r="AG477" s="35" t="s">
        <v>7045</v>
      </c>
      <c r="AH477" s="30">
        <v>46204.0</v>
      </c>
      <c r="AI477" s="30">
        <v>46295.0</v>
      </c>
      <c r="AJ477" s="36">
        <v>0.0</v>
      </c>
      <c r="AK477" s="36">
        <v>0.0</v>
      </c>
      <c r="AL477" s="35" t="s">
        <v>7045</v>
      </c>
      <c r="AM477" s="30">
        <v>46296.0</v>
      </c>
      <c r="AN477" s="30">
        <v>46387.0</v>
      </c>
      <c r="AO477" s="36">
        <v>0.0</v>
      </c>
      <c r="AP477" s="36">
        <v>0.0</v>
      </c>
      <c r="AQ477" s="35" t="s">
        <v>7045</v>
      </c>
      <c r="AR477" s="30">
        <v>46388.0</v>
      </c>
      <c r="AS477" s="30">
        <v>46477.0</v>
      </c>
      <c r="AT477" s="36">
        <v>0.0</v>
      </c>
      <c r="AU477" s="36">
        <v>0.0</v>
      </c>
      <c r="AV477" s="35" t="s">
        <v>7045</v>
      </c>
      <c r="AW477" s="30">
        <v>46478.0</v>
      </c>
      <c r="AX477" s="30">
        <v>46568.0</v>
      </c>
      <c r="AY477" s="36">
        <v>0.0</v>
      </c>
      <c r="AZ477" s="36">
        <v>0.0</v>
      </c>
      <c r="BA477" s="35" t="s">
        <v>7045</v>
      </c>
      <c r="BB477" s="30">
        <v>46569.0</v>
      </c>
      <c r="BC477" s="30">
        <v>46660.0</v>
      </c>
      <c r="BD477" s="36">
        <v>0.0</v>
      </c>
      <c r="BE477" s="36">
        <v>0.0</v>
      </c>
      <c r="BF477" s="35" t="s">
        <v>7045</v>
      </c>
      <c r="BG477" s="30">
        <v>46661.0</v>
      </c>
      <c r="BH477" s="30">
        <v>46752.0</v>
      </c>
      <c r="BI477" s="36">
        <v>0.0</v>
      </c>
      <c r="BJ477" s="36">
        <v>0.0</v>
      </c>
      <c r="BK477" s="35" t="s">
        <v>7045</v>
      </c>
      <c r="BL477" s="30">
        <v>46753.0</v>
      </c>
      <c r="BM477" s="30">
        <v>46843.0</v>
      </c>
      <c r="BN477" s="36">
        <v>0.0</v>
      </c>
      <c r="BO477" s="36">
        <v>0.0</v>
      </c>
      <c r="BP477" s="35" t="s">
        <v>7045</v>
      </c>
      <c r="BQ477" s="30">
        <v>46844.0</v>
      </c>
      <c r="BR477" s="30">
        <v>46934.0</v>
      </c>
      <c r="BS477" s="36">
        <v>0.0</v>
      </c>
      <c r="BT477" s="36">
        <v>0.0</v>
      </c>
      <c r="BU477" s="35" t="s">
        <v>7045</v>
      </c>
      <c r="BV477" s="30">
        <v>46935.0</v>
      </c>
      <c r="BW477" s="30">
        <v>47026.0</v>
      </c>
      <c r="BX477" s="36">
        <v>0.0</v>
      </c>
      <c r="BY477" s="36">
        <v>0.0</v>
      </c>
      <c r="BZ477" s="35" t="s">
        <v>7045</v>
      </c>
      <c r="CA477" s="30">
        <v>47027.0</v>
      </c>
      <c r="CB477" s="30">
        <v>47118.0</v>
      </c>
      <c r="CC477" s="36">
        <v>0.0</v>
      </c>
      <c r="CD477" s="36">
        <v>0.0</v>
      </c>
      <c r="CE477" s="35" t="s">
        <v>7045</v>
      </c>
      <c r="CF477" s="30">
        <v>47119.0</v>
      </c>
      <c r="CG477" s="30">
        <v>47208.0</v>
      </c>
      <c r="CH477" s="36">
        <v>0.0</v>
      </c>
      <c r="CI477" s="36">
        <v>0.0</v>
      </c>
      <c r="CJ477" s="35" t="s">
        <v>7045</v>
      </c>
      <c r="CK477" s="30">
        <v>47209.0</v>
      </c>
      <c r="CL477" s="30">
        <v>47299.0</v>
      </c>
      <c r="CM477" s="36">
        <v>0.0</v>
      </c>
      <c r="CN477" s="36">
        <v>0.0</v>
      </c>
      <c r="CO477" s="35" t="s">
        <v>7045</v>
      </c>
      <c r="CP477" s="30">
        <v>47300.0</v>
      </c>
      <c r="CQ477" s="30">
        <v>47391.0</v>
      </c>
      <c r="CR477" s="36">
        <v>0.0</v>
      </c>
      <c r="CS477" s="36">
        <v>0.0</v>
      </c>
      <c r="CT477" s="35" t="s">
        <v>7045</v>
      </c>
      <c r="CU477" s="30">
        <v>47392.0</v>
      </c>
      <c r="CV477" s="30">
        <v>47483.0</v>
      </c>
      <c r="CW477" s="36">
        <v>0.0</v>
      </c>
      <c r="CX477" s="36">
        <v>0.0</v>
      </c>
      <c r="CY477" s="35" t="s">
        <v>7045</v>
      </c>
      <c r="CZ477" s="30">
        <v>47484.0</v>
      </c>
      <c r="DA477" s="30">
        <v>47573.0</v>
      </c>
      <c r="DB477" s="36">
        <v>0.0</v>
      </c>
      <c r="DC477" s="36">
        <v>0.0</v>
      </c>
      <c r="DD477" s="35" t="s">
        <v>7045</v>
      </c>
      <c r="DE477" s="30">
        <v>47574.0</v>
      </c>
      <c r="DF477" s="30">
        <v>47664.0</v>
      </c>
      <c r="DG477" s="36">
        <v>0.0</v>
      </c>
      <c r="DH477" s="36">
        <v>0.0</v>
      </c>
      <c r="DI477" s="35" t="s">
        <v>7045</v>
      </c>
      <c r="DJ477" s="30">
        <v>47665.0</v>
      </c>
      <c r="DK477" s="30">
        <v>47756.0</v>
      </c>
      <c r="DL477" s="36">
        <v>0.0</v>
      </c>
      <c r="DM477" s="36">
        <v>0.0</v>
      </c>
      <c r="DN477" s="35" t="s">
        <v>7045</v>
      </c>
      <c r="DO477" s="30">
        <v>47757.0</v>
      </c>
      <c r="DP477" s="30">
        <v>47848.0</v>
      </c>
      <c r="DQ477" s="36">
        <v>0.0</v>
      </c>
      <c r="DR477" s="36">
        <v>0.0</v>
      </c>
      <c r="DS477" s="35" t="s">
        <v>7045</v>
      </c>
    </row>
    <row r="478" ht="14.25" customHeight="1">
      <c r="A478" s="28" t="s">
        <v>2833</v>
      </c>
      <c r="B478" s="29" t="s">
        <v>2834</v>
      </c>
      <c r="C478" s="29" t="s">
        <v>7041</v>
      </c>
      <c r="D478" s="30">
        <v>45658.0</v>
      </c>
      <c r="E478" s="30">
        <v>45747.0</v>
      </c>
      <c r="F478" s="39">
        <v>0.0</v>
      </c>
      <c r="G478" s="39">
        <v>0.0</v>
      </c>
      <c r="H478" s="35" t="s">
        <v>7045</v>
      </c>
      <c r="I478" s="30">
        <v>45748.0</v>
      </c>
      <c r="J478" s="30">
        <v>45838.0</v>
      </c>
      <c r="K478" s="39">
        <v>0.0</v>
      </c>
      <c r="L478" s="39">
        <v>193.33</v>
      </c>
      <c r="M478" s="32" t="s">
        <v>7043</v>
      </c>
      <c r="N478" s="30">
        <v>45839.0</v>
      </c>
      <c r="O478" s="30">
        <v>45930.0</v>
      </c>
      <c r="P478" s="39">
        <v>40.0</v>
      </c>
      <c r="Q478" s="39">
        <v>190.0</v>
      </c>
      <c r="R478" s="32" t="s">
        <v>7047</v>
      </c>
      <c r="S478" s="30">
        <v>45931.0</v>
      </c>
      <c r="T478" s="30">
        <v>46022.0</v>
      </c>
      <c r="U478" s="39">
        <v>238.6</v>
      </c>
      <c r="V478" s="39">
        <v>193.33</v>
      </c>
      <c r="W478" s="38" t="s">
        <v>7047</v>
      </c>
      <c r="X478" s="30">
        <v>46023.0</v>
      </c>
      <c r="Y478" s="30">
        <v>46112.0</v>
      </c>
      <c r="Z478" s="39">
        <v>0.0</v>
      </c>
      <c r="AA478" s="39">
        <v>0.0</v>
      </c>
      <c r="AB478" s="35" t="s">
        <v>7045</v>
      </c>
      <c r="AC478" s="30">
        <v>46113.0</v>
      </c>
      <c r="AD478" s="30">
        <v>46203.0</v>
      </c>
      <c r="AE478" s="39">
        <v>0.0</v>
      </c>
      <c r="AF478" s="39">
        <v>0.0</v>
      </c>
      <c r="AG478" s="35" t="s">
        <v>7045</v>
      </c>
      <c r="AH478" s="30">
        <v>46204.0</v>
      </c>
      <c r="AI478" s="30">
        <v>46295.0</v>
      </c>
      <c r="AJ478" s="39">
        <v>0.0</v>
      </c>
      <c r="AK478" s="39">
        <v>0.0</v>
      </c>
      <c r="AL478" s="35" t="s">
        <v>7045</v>
      </c>
      <c r="AM478" s="30">
        <v>46296.0</v>
      </c>
      <c r="AN478" s="30">
        <v>46387.0</v>
      </c>
      <c r="AO478" s="39">
        <v>40.0</v>
      </c>
      <c r="AP478" s="39">
        <v>0.0</v>
      </c>
      <c r="AQ478" s="38" t="s">
        <v>7047</v>
      </c>
      <c r="AR478" s="30">
        <v>46388.0</v>
      </c>
      <c r="AS478" s="30">
        <v>46477.0</v>
      </c>
      <c r="AT478" s="39">
        <v>0.0</v>
      </c>
      <c r="AU478" s="39">
        <v>0.0</v>
      </c>
      <c r="AV478" s="35" t="s">
        <v>7045</v>
      </c>
      <c r="AW478" s="30">
        <v>46478.0</v>
      </c>
      <c r="AX478" s="30">
        <v>46568.0</v>
      </c>
      <c r="AY478" s="39">
        <v>0.0</v>
      </c>
      <c r="AZ478" s="39">
        <v>0.0</v>
      </c>
      <c r="BA478" s="35" t="s">
        <v>7045</v>
      </c>
      <c r="BB478" s="30">
        <v>46569.0</v>
      </c>
      <c r="BC478" s="30">
        <v>46660.0</v>
      </c>
      <c r="BD478" s="39">
        <v>0.0</v>
      </c>
      <c r="BE478" s="39">
        <v>0.0</v>
      </c>
      <c r="BF478" s="35" t="s">
        <v>7045</v>
      </c>
      <c r="BG478" s="30">
        <v>46661.0</v>
      </c>
      <c r="BH478" s="30">
        <v>46752.0</v>
      </c>
      <c r="BI478" s="39">
        <v>0.0</v>
      </c>
      <c r="BJ478" s="39">
        <v>0.0</v>
      </c>
      <c r="BK478" s="35" t="s">
        <v>7045</v>
      </c>
      <c r="BL478" s="30">
        <v>46753.0</v>
      </c>
      <c r="BM478" s="30">
        <v>46843.0</v>
      </c>
      <c r="BN478" s="39">
        <v>0.0</v>
      </c>
      <c r="BO478" s="39">
        <v>0.0</v>
      </c>
      <c r="BP478" s="35" t="s">
        <v>7045</v>
      </c>
      <c r="BQ478" s="30">
        <v>46844.0</v>
      </c>
      <c r="BR478" s="30">
        <v>46934.0</v>
      </c>
      <c r="BS478" s="39">
        <v>0.0</v>
      </c>
      <c r="BT478" s="39">
        <v>0.0</v>
      </c>
      <c r="BU478" s="35" t="s">
        <v>7045</v>
      </c>
      <c r="BV478" s="30">
        <v>46935.0</v>
      </c>
      <c r="BW478" s="30">
        <v>47026.0</v>
      </c>
      <c r="BX478" s="39">
        <v>0.0</v>
      </c>
      <c r="BY478" s="39">
        <v>0.0</v>
      </c>
      <c r="BZ478" s="35" t="s">
        <v>7045</v>
      </c>
      <c r="CA478" s="30">
        <v>47027.0</v>
      </c>
      <c r="CB478" s="30">
        <v>47118.0</v>
      </c>
      <c r="CC478" s="39">
        <v>0.0</v>
      </c>
      <c r="CD478" s="39">
        <v>0.0</v>
      </c>
      <c r="CE478" s="35" t="s">
        <v>7045</v>
      </c>
      <c r="CF478" s="30">
        <v>47119.0</v>
      </c>
      <c r="CG478" s="30">
        <v>47208.0</v>
      </c>
      <c r="CH478" s="39">
        <v>0.0</v>
      </c>
      <c r="CI478" s="39">
        <v>0.0</v>
      </c>
      <c r="CJ478" s="35" t="s">
        <v>7045</v>
      </c>
      <c r="CK478" s="30">
        <v>47209.0</v>
      </c>
      <c r="CL478" s="30">
        <v>47299.0</v>
      </c>
      <c r="CM478" s="39">
        <v>0.0</v>
      </c>
      <c r="CN478" s="39">
        <v>0.0</v>
      </c>
      <c r="CO478" s="35" t="s">
        <v>7045</v>
      </c>
      <c r="CP478" s="30">
        <v>47300.0</v>
      </c>
      <c r="CQ478" s="30">
        <v>47391.0</v>
      </c>
      <c r="CR478" s="39">
        <v>0.0</v>
      </c>
      <c r="CS478" s="39">
        <v>0.0</v>
      </c>
      <c r="CT478" s="35" t="s">
        <v>7045</v>
      </c>
      <c r="CU478" s="30">
        <v>47392.0</v>
      </c>
      <c r="CV478" s="30">
        <v>47483.0</v>
      </c>
      <c r="CW478" s="39">
        <v>0.0</v>
      </c>
      <c r="CX478" s="39">
        <v>0.0</v>
      </c>
      <c r="CY478" s="35" t="s">
        <v>7045</v>
      </c>
      <c r="CZ478" s="30">
        <v>47484.0</v>
      </c>
      <c r="DA478" s="30">
        <v>47573.0</v>
      </c>
      <c r="DB478" s="39">
        <v>0.0</v>
      </c>
      <c r="DC478" s="39">
        <v>0.0</v>
      </c>
      <c r="DD478" s="35" t="s">
        <v>7045</v>
      </c>
      <c r="DE478" s="30">
        <v>47574.0</v>
      </c>
      <c r="DF478" s="30">
        <v>47664.0</v>
      </c>
      <c r="DG478" s="39">
        <v>0.0</v>
      </c>
      <c r="DH478" s="39">
        <v>0.0</v>
      </c>
      <c r="DI478" s="35" t="s">
        <v>7045</v>
      </c>
      <c r="DJ478" s="30">
        <v>47665.0</v>
      </c>
      <c r="DK478" s="30">
        <v>47756.0</v>
      </c>
      <c r="DL478" s="39">
        <v>0.0</v>
      </c>
      <c r="DM478" s="39">
        <v>0.0</v>
      </c>
      <c r="DN478" s="35" t="s">
        <v>7045</v>
      </c>
      <c r="DO478" s="30">
        <v>47757.0</v>
      </c>
      <c r="DP478" s="30">
        <v>47848.0</v>
      </c>
      <c r="DQ478" s="39">
        <v>0.0</v>
      </c>
      <c r="DR478" s="39">
        <v>0.0</v>
      </c>
      <c r="DS478" s="35" t="s">
        <v>7045</v>
      </c>
    </row>
    <row r="479" ht="14.25" customHeight="1">
      <c r="A479" s="28" t="s">
        <v>551</v>
      </c>
      <c r="B479" s="29" t="s">
        <v>552</v>
      </c>
      <c r="C479" s="29" t="s">
        <v>7041</v>
      </c>
      <c r="D479" s="30">
        <v>45658.0</v>
      </c>
      <c r="E479" s="30">
        <v>45747.0</v>
      </c>
      <c r="F479" s="36">
        <v>0.0</v>
      </c>
      <c r="G479" s="36">
        <v>0.0</v>
      </c>
      <c r="H479" s="35" t="s">
        <v>7045</v>
      </c>
      <c r="I479" s="30">
        <v>45748.0</v>
      </c>
      <c r="J479" s="30">
        <v>45838.0</v>
      </c>
      <c r="K479" s="36">
        <v>440.0</v>
      </c>
      <c r="L479" s="36">
        <v>733.31</v>
      </c>
      <c r="M479" s="37" t="s">
        <v>7046</v>
      </c>
      <c r="N479" s="30">
        <v>45839.0</v>
      </c>
      <c r="O479" s="30">
        <v>45930.0</v>
      </c>
      <c r="P479" s="36">
        <v>440.0</v>
      </c>
      <c r="Q479" s="36">
        <v>2499.96</v>
      </c>
      <c r="R479" s="38" t="s">
        <v>7047</v>
      </c>
      <c r="S479" s="30">
        <v>45931.0</v>
      </c>
      <c r="T479" s="30">
        <v>46022.0</v>
      </c>
      <c r="U479" s="36">
        <v>1339.99</v>
      </c>
      <c r="V479" s="36">
        <v>4033.28</v>
      </c>
      <c r="W479" s="38" t="s">
        <v>7047</v>
      </c>
      <c r="X479" s="30">
        <v>46023.0</v>
      </c>
      <c r="Y479" s="30">
        <v>46112.0</v>
      </c>
      <c r="Z479" s="36">
        <v>0.0</v>
      </c>
      <c r="AA479" s="36">
        <v>0.0</v>
      </c>
      <c r="AB479" s="35" t="s">
        <v>7045</v>
      </c>
      <c r="AC479" s="30">
        <v>46113.0</v>
      </c>
      <c r="AD479" s="30">
        <v>46203.0</v>
      </c>
      <c r="AE479" s="36">
        <v>0.0</v>
      </c>
      <c r="AF479" s="36">
        <v>0.0</v>
      </c>
      <c r="AG479" s="35" t="s">
        <v>7045</v>
      </c>
      <c r="AH479" s="30">
        <v>46204.0</v>
      </c>
      <c r="AI479" s="30">
        <v>46295.0</v>
      </c>
      <c r="AJ479" s="36">
        <v>0.0</v>
      </c>
      <c r="AK479" s="36">
        <v>0.0</v>
      </c>
      <c r="AL479" s="35" t="s">
        <v>7045</v>
      </c>
      <c r="AM479" s="30">
        <v>46296.0</v>
      </c>
      <c r="AN479" s="30">
        <v>46387.0</v>
      </c>
      <c r="AO479" s="36">
        <v>0.0</v>
      </c>
      <c r="AP479" s="36">
        <v>0.0</v>
      </c>
      <c r="AQ479" s="35" t="s">
        <v>7045</v>
      </c>
      <c r="AR479" s="30">
        <v>46388.0</v>
      </c>
      <c r="AS479" s="30">
        <v>46477.0</v>
      </c>
      <c r="AT479" s="36">
        <v>0.0</v>
      </c>
      <c r="AU479" s="36">
        <v>0.0</v>
      </c>
      <c r="AV479" s="35" t="s">
        <v>7045</v>
      </c>
      <c r="AW479" s="30">
        <v>46478.0</v>
      </c>
      <c r="AX479" s="30">
        <v>46568.0</v>
      </c>
      <c r="AY479" s="36">
        <v>0.0</v>
      </c>
      <c r="AZ479" s="36">
        <v>0.0</v>
      </c>
      <c r="BA479" s="35" t="s">
        <v>7045</v>
      </c>
      <c r="BB479" s="30">
        <v>46569.0</v>
      </c>
      <c r="BC479" s="30">
        <v>46660.0</v>
      </c>
      <c r="BD479" s="36">
        <v>0.0</v>
      </c>
      <c r="BE479" s="36">
        <v>0.0</v>
      </c>
      <c r="BF479" s="35" t="s">
        <v>7045</v>
      </c>
      <c r="BG479" s="30">
        <v>46661.0</v>
      </c>
      <c r="BH479" s="30">
        <v>46752.0</v>
      </c>
      <c r="BI479" s="36">
        <v>0.0</v>
      </c>
      <c r="BJ479" s="36">
        <v>0.0</v>
      </c>
      <c r="BK479" s="35" t="s">
        <v>7045</v>
      </c>
      <c r="BL479" s="30">
        <v>46753.0</v>
      </c>
      <c r="BM479" s="30">
        <v>46843.0</v>
      </c>
      <c r="BN479" s="36">
        <v>0.0</v>
      </c>
      <c r="BO479" s="36">
        <v>0.0</v>
      </c>
      <c r="BP479" s="35" t="s">
        <v>7045</v>
      </c>
      <c r="BQ479" s="30">
        <v>46844.0</v>
      </c>
      <c r="BR479" s="30">
        <v>46934.0</v>
      </c>
      <c r="BS479" s="36">
        <v>0.0</v>
      </c>
      <c r="BT479" s="36">
        <v>0.0</v>
      </c>
      <c r="BU479" s="35" t="s">
        <v>7045</v>
      </c>
      <c r="BV479" s="30">
        <v>46935.0</v>
      </c>
      <c r="BW479" s="30">
        <v>47026.0</v>
      </c>
      <c r="BX479" s="36">
        <v>0.0</v>
      </c>
      <c r="BY479" s="36">
        <v>0.0</v>
      </c>
      <c r="BZ479" s="35" t="s">
        <v>7045</v>
      </c>
      <c r="CA479" s="30">
        <v>47027.0</v>
      </c>
      <c r="CB479" s="30">
        <v>47118.0</v>
      </c>
      <c r="CC479" s="36">
        <v>0.0</v>
      </c>
      <c r="CD479" s="36">
        <v>0.0</v>
      </c>
      <c r="CE479" s="35" t="s">
        <v>7045</v>
      </c>
      <c r="CF479" s="30">
        <v>47119.0</v>
      </c>
      <c r="CG479" s="30">
        <v>47208.0</v>
      </c>
      <c r="CH479" s="36">
        <v>0.0</v>
      </c>
      <c r="CI479" s="36">
        <v>0.0</v>
      </c>
      <c r="CJ479" s="35" t="s">
        <v>7045</v>
      </c>
      <c r="CK479" s="30">
        <v>47209.0</v>
      </c>
      <c r="CL479" s="30">
        <v>47299.0</v>
      </c>
      <c r="CM479" s="36">
        <v>0.0</v>
      </c>
      <c r="CN479" s="36">
        <v>0.0</v>
      </c>
      <c r="CO479" s="35" t="s">
        <v>7045</v>
      </c>
      <c r="CP479" s="30">
        <v>47300.0</v>
      </c>
      <c r="CQ479" s="30">
        <v>47391.0</v>
      </c>
      <c r="CR479" s="36">
        <v>0.0</v>
      </c>
      <c r="CS479" s="36">
        <v>0.0</v>
      </c>
      <c r="CT479" s="35" t="s">
        <v>7045</v>
      </c>
      <c r="CU479" s="30">
        <v>47392.0</v>
      </c>
      <c r="CV479" s="30">
        <v>47483.0</v>
      </c>
      <c r="CW479" s="36">
        <v>0.0</v>
      </c>
      <c r="CX479" s="36">
        <v>0.0</v>
      </c>
      <c r="CY479" s="35" t="s">
        <v>7045</v>
      </c>
      <c r="CZ479" s="30">
        <v>47484.0</v>
      </c>
      <c r="DA479" s="30">
        <v>47573.0</v>
      </c>
      <c r="DB479" s="36">
        <v>0.0</v>
      </c>
      <c r="DC479" s="36">
        <v>0.0</v>
      </c>
      <c r="DD479" s="35" t="s">
        <v>7045</v>
      </c>
      <c r="DE479" s="30">
        <v>47574.0</v>
      </c>
      <c r="DF479" s="30">
        <v>47664.0</v>
      </c>
      <c r="DG479" s="36">
        <v>0.0</v>
      </c>
      <c r="DH479" s="36">
        <v>0.0</v>
      </c>
      <c r="DI479" s="35" t="s">
        <v>7045</v>
      </c>
      <c r="DJ479" s="30">
        <v>47665.0</v>
      </c>
      <c r="DK479" s="30">
        <v>47756.0</v>
      </c>
      <c r="DL479" s="36">
        <v>0.0</v>
      </c>
      <c r="DM479" s="36">
        <v>0.0</v>
      </c>
      <c r="DN479" s="35" t="s">
        <v>7045</v>
      </c>
      <c r="DO479" s="30">
        <v>47757.0</v>
      </c>
      <c r="DP479" s="30">
        <v>47848.0</v>
      </c>
      <c r="DQ479" s="36">
        <v>0.0</v>
      </c>
      <c r="DR479" s="36">
        <v>0.0</v>
      </c>
      <c r="DS479" s="35" t="s">
        <v>7045</v>
      </c>
    </row>
    <row r="480" ht="14.25" customHeight="1">
      <c r="A480" s="28" t="s">
        <v>132</v>
      </c>
      <c r="B480" s="29" t="s">
        <v>133</v>
      </c>
      <c r="C480" s="29" t="s">
        <v>7041</v>
      </c>
      <c r="D480" s="30">
        <v>45658.0</v>
      </c>
      <c r="E480" s="30">
        <v>45747.0</v>
      </c>
      <c r="F480" s="36">
        <v>0.0</v>
      </c>
      <c r="G480" s="36">
        <v>0.0</v>
      </c>
      <c r="H480" s="35" t="s">
        <v>7045</v>
      </c>
      <c r="I480" s="30">
        <v>45748.0</v>
      </c>
      <c r="J480" s="30">
        <v>45838.0</v>
      </c>
      <c r="K480" s="36">
        <v>0.0</v>
      </c>
      <c r="L480" s="36">
        <v>383.33</v>
      </c>
      <c r="M480" s="32" t="s">
        <v>7043</v>
      </c>
      <c r="N480" s="30">
        <v>45839.0</v>
      </c>
      <c r="O480" s="30">
        <v>45930.0</v>
      </c>
      <c r="P480" s="36">
        <v>49.55</v>
      </c>
      <c r="Q480" s="36">
        <v>449.99</v>
      </c>
      <c r="R480" s="38" t="s">
        <v>7047</v>
      </c>
      <c r="S480" s="30">
        <v>45931.0</v>
      </c>
      <c r="T480" s="30">
        <v>46022.0</v>
      </c>
      <c r="U480" s="36">
        <v>45.83</v>
      </c>
      <c r="V480" s="36">
        <v>483.34</v>
      </c>
      <c r="W480" s="32" t="s">
        <v>7047</v>
      </c>
      <c r="X480" s="30">
        <v>46023.0</v>
      </c>
      <c r="Y480" s="30">
        <v>46112.0</v>
      </c>
      <c r="Z480" s="36">
        <v>0.0</v>
      </c>
      <c r="AA480" s="36">
        <v>0.0</v>
      </c>
      <c r="AB480" s="35" t="s">
        <v>7045</v>
      </c>
      <c r="AC480" s="30">
        <v>46113.0</v>
      </c>
      <c r="AD480" s="30">
        <v>46203.0</v>
      </c>
      <c r="AE480" s="36">
        <v>0.0</v>
      </c>
      <c r="AF480" s="36">
        <v>0.0</v>
      </c>
      <c r="AG480" s="35" t="s">
        <v>7045</v>
      </c>
      <c r="AH480" s="30">
        <v>46204.0</v>
      </c>
      <c r="AI480" s="30">
        <v>46295.0</v>
      </c>
      <c r="AJ480" s="36">
        <v>0.0</v>
      </c>
      <c r="AK480" s="36">
        <v>0.0</v>
      </c>
      <c r="AL480" s="35" t="s">
        <v>7045</v>
      </c>
      <c r="AM480" s="30">
        <v>46296.0</v>
      </c>
      <c r="AN480" s="30">
        <v>46387.0</v>
      </c>
      <c r="AO480" s="36">
        <v>0.0</v>
      </c>
      <c r="AP480" s="36">
        <v>0.0</v>
      </c>
      <c r="AQ480" s="35" t="s">
        <v>7045</v>
      </c>
      <c r="AR480" s="30">
        <v>46388.0</v>
      </c>
      <c r="AS480" s="30">
        <v>46477.0</v>
      </c>
      <c r="AT480" s="36">
        <v>0.0</v>
      </c>
      <c r="AU480" s="36">
        <v>0.0</v>
      </c>
      <c r="AV480" s="35" t="s">
        <v>7045</v>
      </c>
      <c r="AW480" s="30">
        <v>46478.0</v>
      </c>
      <c r="AX480" s="30">
        <v>46568.0</v>
      </c>
      <c r="AY480" s="36">
        <v>0.0</v>
      </c>
      <c r="AZ480" s="36">
        <v>0.0</v>
      </c>
      <c r="BA480" s="35" t="s">
        <v>7045</v>
      </c>
      <c r="BB480" s="30">
        <v>46569.0</v>
      </c>
      <c r="BC480" s="30">
        <v>46660.0</v>
      </c>
      <c r="BD480" s="36">
        <v>0.0</v>
      </c>
      <c r="BE480" s="36">
        <v>0.0</v>
      </c>
      <c r="BF480" s="35" t="s">
        <v>7045</v>
      </c>
      <c r="BG480" s="30">
        <v>46661.0</v>
      </c>
      <c r="BH480" s="30">
        <v>46752.0</v>
      </c>
      <c r="BI480" s="36">
        <v>0.0</v>
      </c>
      <c r="BJ480" s="36">
        <v>0.0</v>
      </c>
      <c r="BK480" s="35" t="s">
        <v>7045</v>
      </c>
      <c r="BL480" s="30">
        <v>46753.0</v>
      </c>
      <c r="BM480" s="30">
        <v>46843.0</v>
      </c>
      <c r="BN480" s="36">
        <v>0.0</v>
      </c>
      <c r="BO480" s="36">
        <v>0.0</v>
      </c>
      <c r="BP480" s="35" t="s">
        <v>7045</v>
      </c>
      <c r="BQ480" s="30">
        <v>46844.0</v>
      </c>
      <c r="BR480" s="30">
        <v>46934.0</v>
      </c>
      <c r="BS480" s="36">
        <v>0.0</v>
      </c>
      <c r="BT480" s="36">
        <v>0.0</v>
      </c>
      <c r="BU480" s="35" t="s">
        <v>7045</v>
      </c>
      <c r="BV480" s="30">
        <v>46935.0</v>
      </c>
      <c r="BW480" s="30">
        <v>47026.0</v>
      </c>
      <c r="BX480" s="36">
        <v>0.0</v>
      </c>
      <c r="BY480" s="36">
        <v>0.0</v>
      </c>
      <c r="BZ480" s="35" t="s">
        <v>7045</v>
      </c>
      <c r="CA480" s="30">
        <v>47027.0</v>
      </c>
      <c r="CB480" s="30">
        <v>47118.0</v>
      </c>
      <c r="CC480" s="36">
        <v>0.0</v>
      </c>
      <c r="CD480" s="36">
        <v>0.0</v>
      </c>
      <c r="CE480" s="35" t="s">
        <v>7045</v>
      </c>
      <c r="CF480" s="30">
        <v>47119.0</v>
      </c>
      <c r="CG480" s="30">
        <v>47208.0</v>
      </c>
      <c r="CH480" s="36">
        <v>0.0</v>
      </c>
      <c r="CI480" s="36">
        <v>0.0</v>
      </c>
      <c r="CJ480" s="35" t="s">
        <v>7045</v>
      </c>
      <c r="CK480" s="30">
        <v>47209.0</v>
      </c>
      <c r="CL480" s="30">
        <v>47299.0</v>
      </c>
      <c r="CM480" s="36">
        <v>0.0</v>
      </c>
      <c r="CN480" s="36">
        <v>0.0</v>
      </c>
      <c r="CO480" s="35" t="s">
        <v>7045</v>
      </c>
      <c r="CP480" s="30">
        <v>47300.0</v>
      </c>
      <c r="CQ480" s="30">
        <v>47391.0</v>
      </c>
      <c r="CR480" s="36">
        <v>0.0</v>
      </c>
      <c r="CS480" s="36">
        <v>0.0</v>
      </c>
      <c r="CT480" s="35" t="s">
        <v>7045</v>
      </c>
      <c r="CU480" s="30">
        <v>47392.0</v>
      </c>
      <c r="CV480" s="30">
        <v>47483.0</v>
      </c>
      <c r="CW480" s="36">
        <v>0.0</v>
      </c>
      <c r="CX480" s="36">
        <v>0.0</v>
      </c>
      <c r="CY480" s="35" t="s">
        <v>7045</v>
      </c>
      <c r="CZ480" s="30">
        <v>47484.0</v>
      </c>
      <c r="DA480" s="30">
        <v>47573.0</v>
      </c>
      <c r="DB480" s="36">
        <v>0.0</v>
      </c>
      <c r="DC480" s="36">
        <v>0.0</v>
      </c>
      <c r="DD480" s="35" t="s">
        <v>7045</v>
      </c>
      <c r="DE480" s="30">
        <v>47574.0</v>
      </c>
      <c r="DF480" s="30">
        <v>47664.0</v>
      </c>
      <c r="DG480" s="36">
        <v>0.0</v>
      </c>
      <c r="DH480" s="36">
        <v>0.0</v>
      </c>
      <c r="DI480" s="35" t="s">
        <v>7045</v>
      </c>
      <c r="DJ480" s="30">
        <v>47665.0</v>
      </c>
      <c r="DK480" s="30">
        <v>47756.0</v>
      </c>
      <c r="DL480" s="36">
        <v>0.0</v>
      </c>
      <c r="DM480" s="36">
        <v>0.0</v>
      </c>
      <c r="DN480" s="35" t="s">
        <v>7045</v>
      </c>
      <c r="DO480" s="30">
        <v>47757.0</v>
      </c>
      <c r="DP480" s="30">
        <v>47848.0</v>
      </c>
      <c r="DQ480" s="36">
        <v>0.0</v>
      </c>
      <c r="DR480" s="36">
        <v>0.0</v>
      </c>
      <c r="DS480" s="35" t="s">
        <v>7045</v>
      </c>
    </row>
    <row r="481" ht="14.25" customHeight="1">
      <c r="A481" s="28" t="s">
        <v>5124</v>
      </c>
      <c r="B481" s="29" t="s">
        <v>5125</v>
      </c>
      <c r="C481" s="29" t="s">
        <v>7041</v>
      </c>
      <c r="D481" s="30">
        <v>45658.0</v>
      </c>
      <c r="E481" s="30">
        <v>45747.0</v>
      </c>
      <c r="F481" s="39">
        <v>0.0</v>
      </c>
      <c r="G481" s="39">
        <v>0.0</v>
      </c>
      <c r="H481" s="35" t="s">
        <v>7045</v>
      </c>
      <c r="I481" s="30">
        <v>45748.0</v>
      </c>
      <c r="J481" s="30">
        <v>45838.0</v>
      </c>
      <c r="K481" s="39">
        <v>0.0</v>
      </c>
      <c r="L481" s="39">
        <v>133.33</v>
      </c>
      <c r="M481" s="32" t="s">
        <v>7043</v>
      </c>
      <c r="N481" s="30">
        <v>45839.0</v>
      </c>
      <c r="O481" s="30">
        <v>45930.0</v>
      </c>
      <c r="P481" s="39">
        <v>5.0</v>
      </c>
      <c r="Q481" s="39">
        <v>166.67</v>
      </c>
      <c r="R481" s="38" t="s">
        <v>7047</v>
      </c>
      <c r="S481" s="30">
        <v>45931.0</v>
      </c>
      <c r="T481" s="30">
        <v>46022.0</v>
      </c>
      <c r="U481" s="39">
        <v>0.0</v>
      </c>
      <c r="V481" s="39">
        <v>133.33</v>
      </c>
      <c r="W481" s="32" t="s">
        <v>7043</v>
      </c>
      <c r="X481" s="30">
        <v>46023.0</v>
      </c>
      <c r="Y481" s="30">
        <v>46112.0</v>
      </c>
      <c r="Z481" s="39">
        <v>0.0</v>
      </c>
      <c r="AA481" s="39">
        <v>0.0</v>
      </c>
      <c r="AB481" s="35" t="s">
        <v>7045</v>
      </c>
      <c r="AC481" s="30">
        <v>46113.0</v>
      </c>
      <c r="AD481" s="30">
        <v>46203.0</v>
      </c>
      <c r="AE481" s="39">
        <v>0.0</v>
      </c>
      <c r="AF481" s="39">
        <v>0.0</v>
      </c>
      <c r="AG481" s="35" t="s">
        <v>7045</v>
      </c>
      <c r="AH481" s="30">
        <v>46204.0</v>
      </c>
      <c r="AI481" s="30">
        <v>46295.0</v>
      </c>
      <c r="AJ481" s="39">
        <v>0.0</v>
      </c>
      <c r="AK481" s="39">
        <v>0.0</v>
      </c>
      <c r="AL481" s="35" t="s">
        <v>7045</v>
      </c>
      <c r="AM481" s="30">
        <v>46296.0</v>
      </c>
      <c r="AN481" s="30">
        <v>46387.0</v>
      </c>
      <c r="AO481" s="39">
        <v>0.0</v>
      </c>
      <c r="AP481" s="39">
        <v>0.0</v>
      </c>
      <c r="AQ481" s="35" t="s">
        <v>7045</v>
      </c>
      <c r="AR481" s="30">
        <v>46388.0</v>
      </c>
      <c r="AS481" s="30">
        <v>46477.0</v>
      </c>
      <c r="AT481" s="39">
        <v>0.0</v>
      </c>
      <c r="AU481" s="39">
        <v>0.0</v>
      </c>
      <c r="AV481" s="35" t="s">
        <v>7045</v>
      </c>
      <c r="AW481" s="30">
        <v>46478.0</v>
      </c>
      <c r="AX481" s="30">
        <v>46568.0</v>
      </c>
      <c r="AY481" s="39">
        <v>0.0</v>
      </c>
      <c r="AZ481" s="39">
        <v>0.0</v>
      </c>
      <c r="BA481" s="35" t="s">
        <v>7045</v>
      </c>
      <c r="BB481" s="30">
        <v>46569.0</v>
      </c>
      <c r="BC481" s="30">
        <v>46660.0</v>
      </c>
      <c r="BD481" s="39">
        <v>0.0</v>
      </c>
      <c r="BE481" s="39">
        <v>0.0</v>
      </c>
      <c r="BF481" s="35" t="s">
        <v>7045</v>
      </c>
      <c r="BG481" s="30">
        <v>46661.0</v>
      </c>
      <c r="BH481" s="30">
        <v>46752.0</v>
      </c>
      <c r="BI481" s="39">
        <v>0.0</v>
      </c>
      <c r="BJ481" s="39">
        <v>0.0</v>
      </c>
      <c r="BK481" s="35" t="s">
        <v>7045</v>
      </c>
      <c r="BL481" s="30">
        <v>46753.0</v>
      </c>
      <c r="BM481" s="30">
        <v>46843.0</v>
      </c>
      <c r="BN481" s="39">
        <v>0.0</v>
      </c>
      <c r="BO481" s="39">
        <v>0.0</v>
      </c>
      <c r="BP481" s="35" t="s">
        <v>7045</v>
      </c>
      <c r="BQ481" s="30">
        <v>46844.0</v>
      </c>
      <c r="BR481" s="30">
        <v>46934.0</v>
      </c>
      <c r="BS481" s="39">
        <v>0.0</v>
      </c>
      <c r="BT481" s="39">
        <v>0.0</v>
      </c>
      <c r="BU481" s="35" t="s">
        <v>7045</v>
      </c>
      <c r="BV481" s="30">
        <v>46935.0</v>
      </c>
      <c r="BW481" s="30">
        <v>47026.0</v>
      </c>
      <c r="BX481" s="39">
        <v>0.0</v>
      </c>
      <c r="BY481" s="39">
        <v>0.0</v>
      </c>
      <c r="BZ481" s="35" t="s">
        <v>7045</v>
      </c>
      <c r="CA481" s="30">
        <v>47027.0</v>
      </c>
      <c r="CB481" s="30">
        <v>47118.0</v>
      </c>
      <c r="CC481" s="39">
        <v>0.0</v>
      </c>
      <c r="CD481" s="39">
        <v>0.0</v>
      </c>
      <c r="CE481" s="35" t="s">
        <v>7045</v>
      </c>
      <c r="CF481" s="30">
        <v>47119.0</v>
      </c>
      <c r="CG481" s="30">
        <v>47208.0</v>
      </c>
      <c r="CH481" s="39">
        <v>0.0</v>
      </c>
      <c r="CI481" s="39">
        <v>0.0</v>
      </c>
      <c r="CJ481" s="35" t="s">
        <v>7045</v>
      </c>
      <c r="CK481" s="30">
        <v>47209.0</v>
      </c>
      <c r="CL481" s="30">
        <v>47299.0</v>
      </c>
      <c r="CM481" s="39">
        <v>0.0</v>
      </c>
      <c r="CN481" s="39">
        <v>0.0</v>
      </c>
      <c r="CO481" s="35" t="s">
        <v>7045</v>
      </c>
      <c r="CP481" s="30">
        <v>47300.0</v>
      </c>
      <c r="CQ481" s="30">
        <v>47391.0</v>
      </c>
      <c r="CR481" s="39">
        <v>0.0</v>
      </c>
      <c r="CS481" s="39">
        <v>0.0</v>
      </c>
      <c r="CT481" s="35" t="s">
        <v>7045</v>
      </c>
      <c r="CU481" s="30">
        <v>47392.0</v>
      </c>
      <c r="CV481" s="30">
        <v>47483.0</v>
      </c>
      <c r="CW481" s="39">
        <v>0.0</v>
      </c>
      <c r="CX481" s="39">
        <v>0.0</v>
      </c>
      <c r="CY481" s="35" t="s">
        <v>7045</v>
      </c>
      <c r="CZ481" s="30">
        <v>47484.0</v>
      </c>
      <c r="DA481" s="30">
        <v>47573.0</v>
      </c>
      <c r="DB481" s="39">
        <v>0.0</v>
      </c>
      <c r="DC481" s="39">
        <v>0.0</v>
      </c>
      <c r="DD481" s="35" t="s">
        <v>7045</v>
      </c>
      <c r="DE481" s="30">
        <v>47574.0</v>
      </c>
      <c r="DF481" s="30">
        <v>47664.0</v>
      </c>
      <c r="DG481" s="39">
        <v>0.0</v>
      </c>
      <c r="DH481" s="39">
        <v>0.0</v>
      </c>
      <c r="DI481" s="35" t="s">
        <v>7045</v>
      </c>
      <c r="DJ481" s="30">
        <v>47665.0</v>
      </c>
      <c r="DK481" s="30">
        <v>47756.0</v>
      </c>
      <c r="DL481" s="39">
        <v>0.0</v>
      </c>
      <c r="DM481" s="39">
        <v>0.0</v>
      </c>
      <c r="DN481" s="35" t="s">
        <v>7045</v>
      </c>
      <c r="DO481" s="30">
        <v>47757.0</v>
      </c>
      <c r="DP481" s="30">
        <v>47848.0</v>
      </c>
      <c r="DQ481" s="39">
        <v>0.0</v>
      </c>
      <c r="DR481" s="39">
        <v>0.0</v>
      </c>
      <c r="DS481" s="35" t="s">
        <v>7045</v>
      </c>
    </row>
    <row r="482" ht="14.25" customHeight="1">
      <c r="A482" s="28" t="s">
        <v>4988</v>
      </c>
      <c r="B482" s="29" t="s">
        <v>4989</v>
      </c>
      <c r="C482" s="29" t="s">
        <v>7041</v>
      </c>
      <c r="D482" s="30">
        <v>45658.0</v>
      </c>
      <c r="E482" s="30">
        <v>45747.0</v>
      </c>
      <c r="F482" s="39">
        <v>0.0</v>
      </c>
      <c r="G482" s="39">
        <v>0.0</v>
      </c>
      <c r="H482" s="35" t="s">
        <v>7045</v>
      </c>
      <c r="I482" s="30">
        <v>45748.0</v>
      </c>
      <c r="J482" s="30">
        <v>45838.0</v>
      </c>
      <c r="K482" s="39">
        <v>0.0</v>
      </c>
      <c r="L482" s="39">
        <v>430.3</v>
      </c>
      <c r="M482" s="32" t="s">
        <v>7043</v>
      </c>
      <c r="N482" s="30">
        <v>45839.0</v>
      </c>
      <c r="O482" s="30">
        <v>45930.0</v>
      </c>
      <c r="P482" s="39">
        <v>0.0</v>
      </c>
      <c r="Q482" s="39">
        <v>251.52</v>
      </c>
      <c r="R482" s="32" t="s">
        <v>7043</v>
      </c>
      <c r="S482" s="30">
        <v>45931.0</v>
      </c>
      <c r="T482" s="30">
        <v>46022.0</v>
      </c>
      <c r="U482" s="39">
        <v>0.0</v>
      </c>
      <c r="V482" s="39">
        <v>463.64</v>
      </c>
      <c r="W482" s="32" t="s">
        <v>7043</v>
      </c>
      <c r="X482" s="30">
        <v>46023.0</v>
      </c>
      <c r="Y482" s="30">
        <v>46112.0</v>
      </c>
      <c r="Z482" s="39">
        <v>0.0</v>
      </c>
      <c r="AA482" s="39">
        <v>0.0</v>
      </c>
      <c r="AB482" s="35" t="s">
        <v>7045</v>
      </c>
      <c r="AC482" s="30">
        <v>46113.0</v>
      </c>
      <c r="AD482" s="30">
        <v>46203.0</v>
      </c>
      <c r="AE482" s="39">
        <v>0.0</v>
      </c>
      <c r="AF482" s="39">
        <v>0.0</v>
      </c>
      <c r="AG482" s="35" t="s">
        <v>7045</v>
      </c>
      <c r="AH482" s="30">
        <v>46204.0</v>
      </c>
      <c r="AI482" s="30">
        <v>46295.0</v>
      </c>
      <c r="AJ482" s="39">
        <v>0.0</v>
      </c>
      <c r="AK482" s="39">
        <v>0.0</v>
      </c>
      <c r="AL482" s="35" t="s">
        <v>7045</v>
      </c>
      <c r="AM482" s="30">
        <v>46296.0</v>
      </c>
      <c r="AN482" s="30">
        <v>46387.0</v>
      </c>
      <c r="AO482" s="39">
        <v>0.0</v>
      </c>
      <c r="AP482" s="39">
        <v>0.0</v>
      </c>
      <c r="AQ482" s="35" t="s">
        <v>7045</v>
      </c>
      <c r="AR482" s="30">
        <v>46388.0</v>
      </c>
      <c r="AS482" s="30">
        <v>46477.0</v>
      </c>
      <c r="AT482" s="39">
        <v>0.0</v>
      </c>
      <c r="AU482" s="39">
        <v>0.0</v>
      </c>
      <c r="AV482" s="35" t="s">
        <v>7045</v>
      </c>
      <c r="AW482" s="30">
        <v>46478.0</v>
      </c>
      <c r="AX482" s="30">
        <v>46568.0</v>
      </c>
      <c r="AY482" s="39">
        <v>0.0</v>
      </c>
      <c r="AZ482" s="39">
        <v>0.0</v>
      </c>
      <c r="BA482" s="35" t="s">
        <v>7045</v>
      </c>
      <c r="BB482" s="30">
        <v>46569.0</v>
      </c>
      <c r="BC482" s="30">
        <v>46660.0</v>
      </c>
      <c r="BD482" s="39">
        <v>0.0</v>
      </c>
      <c r="BE482" s="39">
        <v>0.0</v>
      </c>
      <c r="BF482" s="35" t="s">
        <v>7045</v>
      </c>
      <c r="BG482" s="30">
        <v>46661.0</v>
      </c>
      <c r="BH482" s="30">
        <v>46752.0</v>
      </c>
      <c r="BI482" s="39">
        <v>0.0</v>
      </c>
      <c r="BJ482" s="39">
        <v>0.0</v>
      </c>
      <c r="BK482" s="35" t="s">
        <v>7045</v>
      </c>
      <c r="BL482" s="30">
        <v>46753.0</v>
      </c>
      <c r="BM482" s="30">
        <v>46843.0</v>
      </c>
      <c r="BN482" s="39">
        <v>0.0</v>
      </c>
      <c r="BO482" s="39">
        <v>0.0</v>
      </c>
      <c r="BP482" s="35" t="s">
        <v>7045</v>
      </c>
      <c r="BQ482" s="30">
        <v>46844.0</v>
      </c>
      <c r="BR482" s="30">
        <v>46934.0</v>
      </c>
      <c r="BS482" s="39">
        <v>0.0</v>
      </c>
      <c r="BT482" s="39">
        <v>0.0</v>
      </c>
      <c r="BU482" s="35" t="s">
        <v>7045</v>
      </c>
      <c r="BV482" s="30">
        <v>46935.0</v>
      </c>
      <c r="BW482" s="30">
        <v>47026.0</v>
      </c>
      <c r="BX482" s="39">
        <v>0.0</v>
      </c>
      <c r="BY482" s="39">
        <v>0.0</v>
      </c>
      <c r="BZ482" s="35" t="s">
        <v>7045</v>
      </c>
      <c r="CA482" s="30">
        <v>47027.0</v>
      </c>
      <c r="CB482" s="30">
        <v>47118.0</v>
      </c>
      <c r="CC482" s="39">
        <v>0.0</v>
      </c>
      <c r="CD482" s="39">
        <v>0.0</v>
      </c>
      <c r="CE482" s="35" t="s">
        <v>7045</v>
      </c>
      <c r="CF482" s="30">
        <v>47119.0</v>
      </c>
      <c r="CG482" s="30">
        <v>47208.0</v>
      </c>
      <c r="CH482" s="39">
        <v>0.0</v>
      </c>
      <c r="CI482" s="39">
        <v>0.0</v>
      </c>
      <c r="CJ482" s="35" t="s">
        <v>7045</v>
      </c>
      <c r="CK482" s="30">
        <v>47209.0</v>
      </c>
      <c r="CL482" s="30">
        <v>47299.0</v>
      </c>
      <c r="CM482" s="39">
        <v>0.0</v>
      </c>
      <c r="CN482" s="39">
        <v>0.0</v>
      </c>
      <c r="CO482" s="35" t="s">
        <v>7045</v>
      </c>
      <c r="CP482" s="30">
        <v>47300.0</v>
      </c>
      <c r="CQ482" s="30">
        <v>47391.0</v>
      </c>
      <c r="CR482" s="39">
        <v>0.0</v>
      </c>
      <c r="CS482" s="39">
        <v>0.0</v>
      </c>
      <c r="CT482" s="35" t="s">
        <v>7045</v>
      </c>
      <c r="CU482" s="30">
        <v>47392.0</v>
      </c>
      <c r="CV482" s="30">
        <v>47483.0</v>
      </c>
      <c r="CW482" s="39">
        <v>0.0</v>
      </c>
      <c r="CX482" s="39">
        <v>0.0</v>
      </c>
      <c r="CY482" s="35" t="s">
        <v>7045</v>
      </c>
      <c r="CZ482" s="30">
        <v>47484.0</v>
      </c>
      <c r="DA482" s="30">
        <v>47573.0</v>
      </c>
      <c r="DB482" s="39">
        <v>0.0</v>
      </c>
      <c r="DC482" s="39">
        <v>0.0</v>
      </c>
      <c r="DD482" s="35" t="s">
        <v>7045</v>
      </c>
      <c r="DE482" s="30">
        <v>47574.0</v>
      </c>
      <c r="DF482" s="30">
        <v>47664.0</v>
      </c>
      <c r="DG482" s="39">
        <v>0.0</v>
      </c>
      <c r="DH482" s="39">
        <v>0.0</v>
      </c>
      <c r="DI482" s="35" t="s">
        <v>7045</v>
      </c>
      <c r="DJ482" s="30">
        <v>47665.0</v>
      </c>
      <c r="DK482" s="30">
        <v>47756.0</v>
      </c>
      <c r="DL482" s="39">
        <v>0.0</v>
      </c>
      <c r="DM482" s="39">
        <v>0.0</v>
      </c>
      <c r="DN482" s="35" t="s">
        <v>7045</v>
      </c>
      <c r="DO482" s="30">
        <v>47757.0</v>
      </c>
      <c r="DP482" s="30">
        <v>47848.0</v>
      </c>
      <c r="DQ482" s="39">
        <v>0.0</v>
      </c>
      <c r="DR482" s="39">
        <v>0.0</v>
      </c>
      <c r="DS482" s="35" t="s">
        <v>7045</v>
      </c>
    </row>
    <row r="483" ht="14.25" customHeight="1">
      <c r="A483" s="28" t="s">
        <v>867</v>
      </c>
      <c r="B483" s="29" t="s">
        <v>868</v>
      </c>
      <c r="C483" s="29" t="s">
        <v>7041</v>
      </c>
      <c r="D483" s="30">
        <v>45658.0</v>
      </c>
      <c r="E483" s="30">
        <v>45747.0</v>
      </c>
      <c r="F483" s="36">
        <v>0.0</v>
      </c>
      <c r="G483" s="36">
        <v>0.0</v>
      </c>
      <c r="H483" s="35" t="s">
        <v>7045</v>
      </c>
      <c r="I483" s="30">
        <v>45748.0</v>
      </c>
      <c r="J483" s="30">
        <v>45838.0</v>
      </c>
      <c r="K483" s="36">
        <v>13.03</v>
      </c>
      <c r="L483" s="36">
        <v>0.0</v>
      </c>
      <c r="M483" s="38" t="s">
        <v>7047</v>
      </c>
      <c r="N483" s="30">
        <v>45839.0</v>
      </c>
      <c r="O483" s="30">
        <v>45930.0</v>
      </c>
      <c r="P483" s="36">
        <v>15.97</v>
      </c>
      <c r="Q483" s="36">
        <v>0.0</v>
      </c>
      <c r="R483" s="38" t="s">
        <v>7047</v>
      </c>
      <c r="S483" s="30">
        <v>45931.0</v>
      </c>
      <c r="T483" s="30">
        <v>46022.0</v>
      </c>
      <c r="U483" s="36">
        <v>0.0</v>
      </c>
      <c r="V483" s="36">
        <v>0.0</v>
      </c>
      <c r="W483" s="35" t="s">
        <v>7045</v>
      </c>
      <c r="X483" s="30">
        <v>46023.0</v>
      </c>
      <c r="Y483" s="30">
        <v>46112.0</v>
      </c>
      <c r="Z483" s="36">
        <v>75.0</v>
      </c>
      <c r="AA483" s="36">
        <v>0.0</v>
      </c>
      <c r="AB483" s="35" t="s">
        <v>7047</v>
      </c>
      <c r="AC483" s="30">
        <v>46113.0</v>
      </c>
      <c r="AD483" s="30">
        <v>46203.0</v>
      </c>
      <c r="AE483" s="36">
        <v>0.0</v>
      </c>
      <c r="AF483" s="36">
        <v>0.0</v>
      </c>
      <c r="AG483" s="35" t="s">
        <v>7045</v>
      </c>
      <c r="AH483" s="30">
        <v>46204.0</v>
      </c>
      <c r="AI483" s="30">
        <v>46295.0</v>
      </c>
      <c r="AJ483" s="36">
        <v>0.0</v>
      </c>
      <c r="AK483" s="36">
        <v>0.0</v>
      </c>
      <c r="AL483" s="35" t="s">
        <v>7045</v>
      </c>
      <c r="AM483" s="30">
        <v>46296.0</v>
      </c>
      <c r="AN483" s="30">
        <v>46387.0</v>
      </c>
      <c r="AO483" s="36">
        <v>0.0</v>
      </c>
      <c r="AP483" s="36">
        <v>0.0</v>
      </c>
      <c r="AQ483" s="35" t="s">
        <v>7045</v>
      </c>
      <c r="AR483" s="30">
        <v>46388.0</v>
      </c>
      <c r="AS483" s="30">
        <v>46477.0</v>
      </c>
      <c r="AT483" s="36">
        <v>0.0</v>
      </c>
      <c r="AU483" s="36">
        <v>0.0</v>
      </c>
      <c r="AV483" s="35" t="s">
        <v>7045</v>
      </c>
      <c r="AW483" s="30">
        <v>46478.0</v>
      </c>
      <c r="AX483" s="30">
        <v>46568.0</v>
      </c>
      <c r="AY483" s="36">
        <v>0.0</v>
      </c>
      <c r="AZ483" s="36">
        <v>0.0</v>
      </c>
      <c r="BA483" s="35" t="s">
        <v>7045</v>
      </c>
      <c r="BB483" s="30">
        <v>46569.0</v>
      </c>
      <c r="BC483" s="30">
        <v>46660.0</v>
      </c>
      <c r="BD483" s="36">
        <v>0.0</v>
      </c>
      <c r="BE483" s="36">
        <v>0.0</v>
      </c>
      <c r="BF483" s="35" t="s">
        <v>7045</v>
      </c>
      <c r="BG483" s="30">
        <v>46661.0</v>
      </c>
      <c r="BH483" s="30">
        <v>46752.0</v>
      </c>
      <c r="BI483" s="36">
        <v>0.0</v>
      </c>
      <c r="BJ483" s="36">
        <v>0.0</v>
      </c>
      <c r="BK483" s="35" t="s">
        <v>7045</v>
      </c>
      <c r="BL483" s="30">
        <v>46753.0</v>
      </c>
      <c r="BM483" s="30">
        <v>46843.0</v>
      </c>
      <c r="BN483" s="36">
        <v>0.0</v>
      </c>
      <c r="BO483" s="36">
        <v>0.0</v>
      </c>
      <c r="BP483" s="35" t="s">
        <v>7045</v>
      </c>
      <c r="BQ483" s="30">
        <v>46844.0</v>
      </c>
      <c r="BR483" s="30">
        <v>46934.0</v>
      </c>
      <c r="BS483" s="36">
        <v>0.0</v>
      </c>
      <c r="BT483" s="36">
        <v>0.0</v>
      </c>
      <c r="BU483" s="35" t="s">
        <v>7045</v>
      </c>
      <c r="BV483" s="30">
        <v>46935.0</v>
      </c>
      <c r="BW483" s="30">
        <v>47026.0</v>
      </c>
      <c r="BX483" s="36">
        <v>0.0</v>
      </c>
      <c r="BY483" s="36">
        <v>0.0</v>
      </c>
      <c r="BZ483" s="35" t="s">
        <v>7045</v>
      </c>
      <c r="CA483" s="30">
        <v>47027.0</v>
      </c>
      <c r="CB483" s="30">
        <v>47118.0</v>
      </c>
      <c r="CC483" s="36">
        <v>0.0</v>
      </c>
      <c r="CD483" s="36">
        <v>0.0</v>
      </c>
      <c r="CE483" s="35" t="s">
        <v>7045</v>
      </c>
      <c r="CF483" s="30">
        <v>47119.0</v>
      </c>
      <c r="CG483" s="30">
        <v>47208.0</v>
      </c>
      <c r="CH483" s="36">
        <v>0.0</v>
      </c>
      <c r="CI483" s="36">
        <v>0.0</v>
      </c>
      <c r="CJ483" s="35" t="s">
        <v>7045</v>
      </c>
      <c r="CK483" s="30">
        <v>47209.0</v>
      </c>
      <c r="CL483" s="30">
        <v>47299.0</v>
      </c>
      <c r="CM483" s="36">
        <v>0.0</v>
      </c>
      <c r="CN483" s="36">
        <v>0.0</v>
      </c>
      <c r="CO483" s="35" t="s">
        <v>7045</v>
      </c>
      <c r="CP483" s="30">
        <v>47300.0</v>
      </c>
      <c r="CQ483" s="30">
        <v>47391.0</v>
      </c>
      <c r="CR483" s="36">
        <v>0.0</v>
      </c>
      <c r="CS483" s="36">
        <v>0.0</v>
      </c>
      <c r="CT483" s="35" t="s">
        <v>7045</v>
      </c>
      <c r="CU483" s="30">
        <v>47392.0</v>
      </c>
      <c r="CV483" s="30">
        <v>47483.0</v>
      </c>
      <c r="CW483" s="36">
        <v>0.0</v>
      </c>
      <c r="CX483" s="36">
        <v>0.0</v>
      </c>
      <c r="CY483" s="35" t="s">
        <v>7045</v>
      </c>
      <c r="CZ483" s="30">
        <v>47484.0</v>
      </c>
      <c r="DA483" s="30">
        <v>47573.0</v>
      </c>
      <c r="DB483" s="36">
        <v>0.0</v>
      </c>
      <c r="DC483" s="36">
        <v>0.0</v>
      </c>
      <c r="DD483" s="35" t="s">
        <v>7045</v>
      </c>
      <c r="DE483" s="30">
        <v>47574.0</v>
      </c>
      <c r="DF483" s="30">
        <v>47664.0</v>
      </c>
      <c r="DG483" s="36">
        <v>0.0</v>
      </c>
      <c r="DH483" s="36">
        <v>0.0</v>
      </c>
      <c r="DI483" s="35" t="s">
        <v>7045</v>
      </c>
      <c r="DJ483" s="30">
        <v>47665.0</v>
      </c>
      <c r="DK483" s="30">
        <v>47756.0</v>
      </c>
      <c r="DL483" s="36">
        <v>0.0</v>
      </c>
      <c r="DM483" s="36">
        <v>0.0</v>
      </c>
      <c r="DN483" s="35" t="s">
        <v>7045</v>
      </c>
      <c r="DO483" s="30">
        <v>47757.0</v>
      </c>
      <c r="DP483" s="30">
        <v>47848.0</v>
      </c>
      <c r="DQ483" s="36">
        <v>0.0</v>
      </c>
      <c r="DR483" s="36">
        <v>0.0</v>
      </c>
      <c r="DS483" s="35" t="s">
        <v>7045</v>
      </c>
    </row>
    <row r="484" ht="14.25" customHeight="1">
      <c r="A484" s="28" t="s">
        <v>6912</v>
      </c>
      <c r="B484" s="29" t="s">
        <v>6913</v>
      </c>
      <c r="C484" s="29" t="s">
        <v>7041</v>
      </c>
      <c r="D484" s="30">
        <v>45658.0</v>
      </c>
      <c r="E484" s="30">
        <v>45747.0</v>
      </c>
      <c r="F484" s="36">
        <v>0.0</v>
      </c>
      <c r="G484" s="36">
        <v>0.0</v>
      </c>
      <c r="H484" s="35" t="s">
        <v>7045</v>
      </c>
      <c r="I484" s="30">
        <v>45748.0</v>
      </c>
      <c r="J484" s="30">
        <v>45838.0</v>
      </c>
      <c r="K484" s="36">
        <v>57.74</v>
      </c>
      <c r="L484" s="36">
        <v>0.0</v>
      </c>
      <c r="M484" s="38" t="s">
        <v>7047</v>
      </c>
      <c r="N484" s="30">
        <v>45839.0</v>
      </c>
      <c r="O484" s="30">
        <v>45930.0</v>
      </c>
      <c r="P484" s="36">
        <v>59.74</v>
      </c>
      <c r="Q484" s="36">
        <v>0.0</v>
      </c>
      <c r="R484" s="38" t="s">
        <v>7047</v>
      </c>
      <c r="S484" s="30">
        <v>45931.0</v>
      </c>
      <c r="T484" s="30">
        <v>46022.0</v>
      </c>
      <c r="U484" s="36">
        <v>108.0</v>
      </c>
      <c r="V484" s="36">
        <v>0.0</v>
      </c>
      <c r="W484" s="38" t="s">
        <v>7047</v>
      </c>
      <c r="X484" s="30">
        <v>46023.0</v>
      </c>
      <c r="Y484" s="30">
        <v>46112.0</v>
      </c>
      <c r="Z484" s="36">
        <v>0.0</v>
      </c>
      <c r="AA484" s="36">
        <v>0.0</v>
      </c>
      <c r="AB484" s="35" t="s">
        <v>7045</v>
      </c>
      <c r="AC484" s="30">
        <v>46113.0</v>
      </c>
      <c r="AD484" s="30">
        <v>46203.0</v>
      </c>
      <c r="AE484" s="36">
        <v>0.0</v>
      </c>
      <c r="AF484" s="36">
        <v>0.0</v>
      </c>
      <c r="AG484" s="35" t="s">
        <v>7045</v>
      </c>
      <c r="AH484" s="30">
        <v>46204.0</v>
      </c>
      <c r="AI484" s="30">
        <v>46295.0</v>
      </c>
      <c r="AJ484" s="36">
        <v>0.0</v>
      </c>
      <c r="AK484" s="36">
        <v>0.0</v>
      </c>
      <c r="AL484" s="35" t="s">
        <v>7045</v>
      </c>
      <c r="AM484" s="30">
        <v>46296.0</v>
      </c>
      <c r="AN484" s="30">
        <v>46387.0</v>
      </c>
      <c r="AO484" s="36">
        <v>0.0</v>
      </c>
      <c r="AP484" s="36">
        <v>0.0</v>
      </c>
      <c r="AQ484" s="35" t="s">
        <v>7045</v>
      </c>
      <c r="AR484" s="30">
        <v>46388.0</v>
      </c>
      <c r="AS484" s="30">
        <v>46477.0</v>
      </c>
      <c r="AT484" s="36">
        <v>0.0</v>
      </c>
      <c r="AU484" s="36">
        <v>0.0</v>
      </c>
      <c r="AV484" s="35" t="s">
        <v>7045</v>
      </c>
      <c r="AW484" s="30">
        <v>46478.0</v>
      </c>
      <c r="AX484" s="30">
        <v>46568.0</v>
      </c>
      <c r="AY484" s="36">
        <v>0.0</v>
      </c>
      <c r="AZ484" s="36">
        <v>0.0</v>
      </c>
      <c r="BA484" s="35" t="s">
        <v>7045</v>
      </c>
      <c r="BB484" s="30">
        <v>46569.0</v>
      </c>
      <c r="BC484" s="30">
        <v>46660.0</v>
      </c>
      <c r="BD484" s="36">
        <v>0.0</v>
      </c>
      <c r="BE484" s="36">
        <v>0.0</v>
      </c>
      <c r="BF484" s="35" t="s">
        <v>7045</v>
      </c>
      <c r="BG484" s="30">
        <v>46661.0</v>
      </c>
      <c r="BH484" s="30">
        <v>46752.0</v>
      </c>
      <c r="BI484" s="36">
        <v>0.0</v>
      </c>
      <c r="BJ484" s="36">
        <v>0.0</v>
      </c>
      <c r="BK484" s="35" t="s">
        <v>7045</v>
      </c>
      <c r="BL484" s="30">
        <v>46753.0</v>
      </c>
      <c r="BM484" s="30">
        <v>46843.0</v>
      </c>
      <c r="BN484" s="36">
        <v>0.0</v>
      </c>
      <c r="BO484" s="36">
        <v>0.0</v>
      </c>
      <c r="BP484" s="35" t="s">
        <v>7045</v>
      </c>
      <c r="BQ484" s="30">
        <v>46844.0</v>
      </c>
      <c r="BR484" s="30">
        <v>46934.0</v>
      </c>
      <c r="BS484" s="36">
        <v>0.0</v>
      </c>
      <c r="BT484" s="36">
        <v>0.0</v>
      </c>
      <c r="BU484" s="35" t="s">
        <v>7045</v>
      </c>
      <c r="BV484" s="30">
        <v>46935.0</v>
      </c>
      <c r="BW484" s="30">
        <v>47026.0</v>
      </c>
      <c r="BX484" s="36">
        <v>0.0</v>
      </c>
      <c r="BY484" s="36">
        <v>0.0</v>
      </c>
      <c r="BZ484" s="35" t="s">
        <v>7045</v>
      </c>
      <c r="CA484" s="30">
        <v>47027.0</v>
      </c>
      <c r="CB484" s="30">
        <v>47118.0</v>
      </c>
      <c r="CC484" s="36">
        <v>0.0</v>
      </c>
      <c r="CD484" s="36">
        <v>0.0</v>
      </c>
      <c r="CE484" s="35" t="s">
        <v>7045</v>
      </c>
      <c r="CF484" s="30">
        <v>47119.0</v>
      </c>
      <c r="CG484" s="30">
        <v>47208.0</v>
      </c>
      <c r="CH484" s="36">
        <v>0.0</v>
      </c>
      <c r="CI484" s="36">
        <v>0.0</v>
      </c>
      <c r="CJ484" s="35" t="s">
        <v>7045</v>
      </c>
      <c r="CK484" s="30">
        <v>47209.0</v>
      </c>
      <c r="CL484" s="30">
        <v>47299.0</v>
      </c>
      <c r="CM484" s="36">
        <v>0.0</v>
      </c>
      <c r="CN484" s="36">
        <v>0.0</v>
      </c>
      <c r="CO484" s="35" t="s">
        <v>7045</v>
      </c>
      <c r="CP484" s="30">
        <v>47300.0</v>
      </c>
      <c r="CQ484" s="30">
        <v>47391.0</v>
      </c>
      <c r="CR484" s="36">
        <v>0.0</v>
      </c>
      <c r="CS484" s="36">
        <v>0.0</v>
      </c>
      <c r="CT484" s="35" t="s">
        <v>7045</v>
      </c>
      <c r="CU484" s="30">
        <v>47392.0</v>
      </c>
      <c r="CV484" s="30">
        <v>47483.0</v>
      </c>
      <c r="CW484" s="36">
        <v>0.0</v>
      </c>
      <c r="CX484" s="36">
        <v>0.0</v>
      </c>
      <c r="CY484" s="35" t="s">
        <v>7045</v>
      </c>
      <c r="CZ484" s="30">
        <v>47484.0</v>
      </c>
      <c r="DA484" s="30">
        <v>47573.0</v>
      </c>
      <c r="DB484" s="36">
        <v>0.0</v>
      </c>
      <c r="DC484" s="36">
        <v>0.0</v>
      </c>
      <c r="DD484" s="35" t="s">
        <v>7045</v>
      </c>
      <c r="DE484" s="30">
        <v>47574.0</v>
      </c>
      <c r="DF484" s="30">
        <v>47664.0</v>
      </c>
      <c r="DG484" s="36">
        <v>0.0</v>
      </c>
      <c r="DH484" s="36">
        <v>0.0</v>
      </c>
      <c r="DI484" s="35" t="s">
        <v>7045</v>
      </c>
      <c r="DJ484" s="30">
        <v>47665.0</v>
      </c>
      <c r="DK484" s="30">
        <v>47756.0</v>
      </c>
      <c r="DL484" s="36">
        <v>0.0</v>
      </c>
      <c r="DM484" s="36">
        <v>0.0</v>
      </c>
      <c r="DN484" s="35" t="s">
        <v>7045</v>
      </c>
      <c r="DO484" s="30">
        <v>47757.0</v>
      </c>
      <c r="DP484" s="30">
        <v>47848.0</v>
      </c>
      <c r="DQ484" s="36">
        <v>0.0</v>
      </c>
      <c r="DR484" s="36">
        <v>0.0</v>
      </c>
      <c r="DS484" s="35" t="s">
        <v>7045</v>
      </c>
    </row>
    <row r="485" ht="14.25" customHeight="1">
      <c r="A485" s="28" t="s">
        <v>1938</v>
      </c>
      <c r="B485" s="29" t="s">
        <v>1939</v>
      </c>
      <c r="C485" s="29" t="s">
        <v>7041</v>
      </c>
      <c r="D485" s="30">
        <v>45658.0</v>
      </c>
      <c r="E485" s="30">
        <v>45747.0</v>
      </c>
      <c r="F485" s="36">
        <v>0.0</v>
      </c>
      <c r="G485" s="36">
        <v>0.0</v>
      </c>
      <c r="H485" s="35" t="s">
        <v>7045</v>
      </c>
      <c r="I485" s="30">
        <v>45748.0</v>
      </c>
      <c r="J485" s="30">
        <v>45838.0</v>
      </c>
      <c r="K485" s="36">
        <v>30.0</v>
      </c>
      <c r="L485" s="36">
        <v>0.0</v>
      </c>
      <c r="M485" s="38" t="s">
        <v>7047</v>
      </c>
      <c r="N485" s="30">
        <v>45839.0</v>
      </c>
      <c r="O485" s="30">
        <v>45930.0</v>
      </c>
      <c r="P485" s="36">
        <v>330.0</v>
      </c>
      <c r="Q485" s="36">
        <v>833.32</v>
      </c>
      <c r="R485" s="38" t="s">
        <v>7047</v>
      </c>
      <c r="S485" s="30">
        <v>45931.0</v>
      </c>
      <c r="T485" s="30">
        <v>46022.0</v>
      </c>
      <c r="U485" s="36">
        <v>1304.99</v>
      </c>
      <c r="V485" s="36">
        <v>833.32</v>
      </c>
      <c r="W485" s="38" t="s">
        <v>7047</v>
      </c>
      <c r="X485" s="30">
        <v>46023.0</v>
      </c>
      <c r="Y485" s="30">
        <v>46112.0</v>
      </c>
      <c r="Z485" s="36">
        <v>330.0</v>
      </c>
      <c r="AA485" s="36">
        <v>0.0</v>
      </c>
      <c r="AB485" s="38" t="s">
        <v>7047</v>
      </c>
      <c r="AC485" s="30">
        <v>46113.0</v>
      </c>
      <c r="AD485" s="30">
        <v>46203.0</v>
      </c>
      <c r="AE485" s="36">
        <v>99.0</v>
      </c>
      <c r="AF485" s="36">
        <v>0.0</v>
      </c>
      <c r="AG485" s="38" t="s">
        <v>7047</v>
      </c>
      <c r="AH485" s="30">
        <v>46204.0</v>
      </c>
      <c r="AI485" s="30">
        <v>46295.0</v>
      </c>
      <c r="AJ485" s="36">
        <v>0.0</v>
      </c>
      <c r="AK485" s="36">
        <v>0.0</v>
      </c>
      <c r="AL485" s="35" t="s">
        <v>7045</v>
      </c>
      <c r="AM485" s="30">
        <v>46296.0</v>
      </c>
      <c r="AN485" s="30">
        <v>46387.0</v>
      </c>
      <c r="AO485" s="36">
        <v>0.0</v>
      </c>
      <c r="AP485" s="36">
        <v>0.0</v>
      </c>
      <c r="AQ485" s="35" t="s">
        <v>7045</v>
      </c>
      <c r="AR485" s="30">
        <v>46388.0</v>
      </c>
      <c r="AS485" s="30">
        <v>46477.0</v>
      </c>
      <c r="AT485" s="36">
        <v>0.0</v>
      </c>
      <c r="AU485" s="36">
        <v>0.0</v>
      </c>
      <c r="AV485" s="35" t="s">
        <v>7045</v>
      </c>
      <c r="AW485" s="30">
        <v>46478.0</v>
      </c>
      <c r="AX485" s="30">
        <v>46568.0</v>
      </c>
      <c r="AY485" s="36">
        <v>0.0</v>
      </c>
      <c r="AZ485" s="36">
        <v>0.0</v>
      </c>
      <c r="BA485" s="35" t="s">
        <v>7045</v>
      </c>
      <c r="BB485" s="30">
        <v>46569.0</v>
      </c>
      <c r="BC485" s="30">
        <v>46660.0</v>
      </c>
      <c r="BD485" s="36">
        <v>0.0</v>
      </c>
      <c r="BE485" s="36">
        <v>0.0</v>
      </c>
      <c r="BF485" s="35" t="s">
        <v>7045</v>
      </c>
      <c r="BG485" s="30">
        <v>46661.0</v>
      </c>
      <c r="BH485" s="30">
        <v>46752.0</v>
      </c>
      <c r="BI485" s="36">
        <v>0.0</v>
      </c>
      <c r="BJ485" s="36">
        <v>0.0</v>
      </c>
      <c r="BK485" s="35" t="s">
        <v>7045</v>
      </c>
      <c r="BL485" s="30">
        <v>46753.0</v>
      </c>
      <c r="BM485" s="30">
        <v>46843.0</v>
      </c>
      <c r="BN485" s="36">
        <v>0.0</v>
      </c>
      <c r="BO485" s="36">
        <v>0.0</v>
      </c>
      <c r="BP485" s="35" t="s">
        <v>7045</v>
      </c>
      <c r="BQ485" s="30">
        <v>46844.0</v>
      </c>
      <c r="BR485" s="30">
        <v>46934.0</v>
      </c>
      <c r="BS485" s="36">
        <v>0.0</v>
      </c>
      <c r="BT485" s="36">
        <v>0.0</v>
      </c>
      <c r="BU485" s="35" t="s">
        <v>7045</v>
      </c>
      <c r="BV485" s="30">
        <v>46935.0</v>
      </c>
      <c r="BW485" s="30">
        <v>47026.0</v>
      </c>
      <c r="BX485" s="36">
        <v>0.0</v>
      </c>
      <c r="BY485" s="36">
        <v>0.0</v>
      </c>
      <c r="BZ485" s="35" t="s">
        <v>7045</v>
      </c>
      <c r="CA485" s="30">
        <v>47027.0</v>
      </c>
      <c r="CB485" s="30">
        <v>47118.0</v>
      </c>
      <c r="CC485" s="36">
        <v>0.0</v>
      </c>
      <c r="CD485" s="36">
        <v>0.0</v>
      </c>
      <c r="CE485" s="35" t="s">
        <v>7045</v>
      </c>
      <c r="CF485" s="30">
        <v>47119.0</v>
      </c>
      <c r="CG485" s="30">
        <v>47208.0</v>
      </c>
      <c r="CH485" s="36">
        <v>0.0</v>
      </c>
      <c r="CI485" s="36">
        <v>0.0</v>
      </c>
      <c r="CJ485" s="35" t="s">
        <v>7045</v>
      </c>
      <c r="CK485" s="30">
        <v>47209.0</v>
      </c>
      <c r="CL485" s="30">
        <v>47299.0</v>
      </c>
      <c r="CM485" s="36">
        <v>0.0</v>
      </c>
      <c r="CN485" s="36">
        <v>0.0</v>
      </c>
      <c r="CO485" s="35" t="s">
        <v>7045</v>
      </c>
      <c r="CP485" s="30">
        <v>47300.0</v>
      </c>
      <c r="CQ485" s="30">
        <v>47391.0</v>
      </c>
      <c r="CR485" s="36">
        <v>0.0</v>
      </c>
      <c r="CS485" s="36">
        <v>0.0</v>
      </c>
      <c r="CT485" s="35" t="s">
        <v>7045</v>
      </c>
      <c r="CU485" s="30">
        <v>47392.0</v>
      </c>
      <c r="CV485" s="30">
        <v>47483.0</v>
      </c>
      <c r="CW485" s="36">
        <v>0.0</v>
      </c>
      <c r="CX485" s="36">
        <v>0.0</v>
      </c>
      <c r="CY485" s="35" t="s">
        <v>7045</v>
      </c>
      <c r="CZ485" s="30">
        <v>47484.0</v>
      </c>
      <c r="DA485" s="30">
        <v>47573.0</v>
      </c>
      <c r="DB485" s="36">
        <v>0.0</v>
      </c>
      <c r="DC485" s="36">
        <v>0.0</v>
      </c>
      <c r="DD485" s="35" t="s">
        <v>7045</v>
      </c>
      <c r="DE485" s="30">
        <v>47574.0</v>
      </c>
      <c r="DF485" s="30">
        <v>47664.0</v>
      </c>
      <c r="DG485" s="36">
        <v>0.0</v>
      </c>
      <c r="DH485" s="36">
        <v>0.0</v>
      </c>
      <c r="DI485" s="35" t="s">
        <v>7045</v>
      </c>
      <c r="DJ485" s="30">
        <v>47665.0</v>
      </c>
      <c r="DK485" s="30">
        <v>47756.0</v>
      </c>
      <c r="DL485" s="36">
        <v>0.0</v>
      </c>
      <c r="DM485" s="36">
        <v>0.0</v>
      </c>
      <c r="DN485" s="35" t="s">
        <v>7045</v>
      </c>
      <c r="DO485" s="30">
        <v>47757.0</v>
      </c>
      <c r="DP485" s="30">
        <v>47848.0</v>
      </c>
      <c r="DQ485" s="36">
        <v>0.0</v>
      </c>
      <c r="DR485" s="36">
        <v>0.0</v>
      </c>
      <c r="DS485" s="35" t="s">
        <v>7045</v>
      </c>
    </row>
    <row r="486" ht="14.25" customHeight="1">
      <c r="A486" s="28" t="s">
        <v>1218</v>
      </c>
      <c r="B486" s="29" t="s">
        <v>1219</v>
      </c>
      <c r="C486" s="29" t="s">
        <v>7041</v>
      </c>
      <c r="D486" s="30">
        <v>45658.0</v>
      </c>
      <c r="E486" s="30">
        <v>45747.0</v>
      </c>
      <c r="F486" s="36">
        <v>0.0</v>
      </c>
      <c r="G486" s="36">
        <v>0.0</v>
      </c>
      <c r="H486" s="35" t="s">
        <v>7045</v>
      </c>
      <c r="I486" s="30">
        <v>45748.0</v>
      </c>
      <c r="J486" s="30">
        <v>45838.0</v>
      </c>
      <c r="K486" s="36">
        <v>149.99</v>
      </c>
      <c r="L486" s="36">
        <v>0.0</v>
      </c>
      <c r="M486" s="38" t="s">
        <v>7047</v>
      </c>
      <c r="N486" s="30">
        <v>45839.0</v>
      </c>
      <c r="O486" s="30">
        <v>45930.0</v>
      </c>
      <c r="P486" s="36">
        <v>70.0</v>
      </c>
      <c r="Q486" s="36">
        <v>1033.35</v>
      </c>
      <c r="R486" s="38" t="s">
        <v>7047</v>
      </c>
      <c r="S486" s="30">
        <v>45931.0</v>
      </c>
      <c r="T486" s="30">
        <v>46022.0</v>
      </c>
      <c r="U486" s="36">
        <v>0.0</v>
      </c>
      <c r="V486" s="36">
        <v>1216.65</v>
      </c>
      <c r="W486" s="35" t="s">
        <v>7043</v>
      </c>
      <c r="X486" s="30">
        <v>46023.0</v>
      </c>
      <c r="Y486" s="30">
        <v>46112.0</v>
      </c>
      <c r="Z486" s="36">
        <v>0.0</v>
      </c>
      <c r="AA486" s="36">
        <v>0.0</v>
      </c>
      <c r="AB486" s="35" t="s">
        <v>7045</v>
      </c>
      <c r="AC486" s="30">
        <v>46113.0</v>
      </c>
      <c r="AD486" s="30">
        <v>46203.0</v>
      </c>
      <c r="AE486" s="36">
        <v>100.0</v>
      </c>
      <c r="AF486" s="36">
        <v>0.0</v>
      </c>
      <c r="AG486" s="35" t="s">
        <v>7047</v>
      </c>
      <c r="AH486" s="30">
        <v>46204.0</v>
      </c>
      <c r="AI486" s="30">
        <v>46295.0</v>
      </c>
      <c r="AJ486" s="36">
        <v>0.0</v>
      </c>
      <c r="AK486" s="36">
        <v>0.0</v>
      </c>
      <c r="AL486" s="35" t="s">
        <v>7045</v>
      </c>
      <c r="AM486" s="30">
        <v>46296.0</v>
      </c>
      <c r="AN486" s="30">
        <v>46387.0</v>
      </c>
      <c r="AO486" s="36">
        <v>0.0</v>
      </c>
      <c r="AP486" s="36">
        <v>0.0</v>
      </c>
      <c r="AQ486" s="35" t="s">
        <v>7045</v>
      </c>
      <c r="AR486" s="30">
        <v>46388.0</v>
      </c>
      <c r="AS486" s="30">
        <v>46477.0</v>
      </c>
      <c r="AT486" s="36">
        <v>0.0</v>
      </c>
      <c r="AU486" s="36">
        <v>0.0</v>
      </c>
      <c r="AV486" s="35" t="s">
        <v>7045</v>
      </c>
      <c r="AW486" s="30">
        <v>46478.0</v>
      </c>
      <c r="AX486" s="30">
        <v>46568.0</v>
      </c>
      <c r="AY486" s="36">
        <v>0.0</v>
      </c>
      <c r="AZ486" s="36">
        <v>0.0</v>
      </c>
      <c r="BA486" s="35" t="s">
        <v>7045</v>
      </c>
      <c r="BB486" s="30">
        <v>46569.0</v>
      </c>
      <c r="BC486" s="30">
        <v>46660.0</v>
      </c>
      <c r="BD486" s="36">
        <v>0.0</v>
      </c>
      <c r="BE486" s="36">
        <v>0.0</v>
      </c>
      <c r="BF486" s="35" t="s">
        <v>7045</v>
      </c>
      <c r="BG486" s="30">
        <v>46661.0</v>
      </c>
      <c r="BH486" s="30">
        <v>46752.0</v>
      </c>
      <c r="BI486" s="36">
        <v>0.0</v>
      </c>
      <c r="BJ486" s="36">
        <v>0.0</v>
      </c>
      <c r="BK486" s="35" t="s">
        <v>7045</v>
      </c>
      <c r="BL486" s="30">
        <v>46753.0</v>
      </c>
      <c r="BM486" s="30">
        <v>46843.0</v>
      </c>
      <c r="BN486" s="36">
        <v>0.0</v>
      </c>
      <c r="BO486" s="36">
        <v>0.0</v>
      </c>
      <c r="BP486" s="35" t="s">
        <v>7045</v>
      </c>
      <c r="BQ486" s="30">
        <v>46844.0</v>
      </c>
      <c r="BR486" s="30">
        <v>46934.0</v>
      </c>
      <c r="BS486" s="36">
        <v>0.0</v>
      </c>
      <c r="BT486" s="36">
        <v>0.0</v>
      </c>
      <c r="BU486" s="35" t="s">
        <v>7045</v>
      </c>
      <c r="BV486" s="30">
        <v>46935.0</v>
      </c>
      <c r="BW486" s="30">
        <v>47026.0</v>
      </c>
      <c r="BX486" s="36">
        <v>0.0</v>
      </c>
      <c r="BY486" s="36">
        <v>0.0</v>
      </c>
      <c r="BZ486" s="35" t="s">
        <v>7045</v>
      </c>
      <c r="CA486" s="30">
        <v>47027.0</v>
      </c>
      <c r="CB486" s="30">
        <v>47118.0</v>
      </c>
      <c r="CC486" s="36">
        <v>0.0</v>
      </c>
      <c r="CD486" s="36">
        <v>0.0</v>
      </c>
      <c r="CE486" s="35" t="s">
        <v>7045</v>
      </c>
      <c r="CF486" s="30">
        <v>47119.0</v>
      </c>
      <c r="CG486" s="30">
        <v>47208.0</v>
      </c>
      <c r="CH486" s="36">
        <v>0.0</v>
      </c>
      <c r="CI486" s="36">
        <v>0.0</v>
      </c>
      <c r="CJ486" s="35" t="s">
        <v>7045</v>
      </c>
      <c r="CK486" s="30">
        <v>47209.0</v>
      </c>
      <c r="CL486" s="30">
        <v>47299.0</v>
      </c>
      <c r="CM486" s="36">
        <v>0.0</v>
      </c>
      <c r="CN486" s="36">
        <v>0.0</v>
      </c>
      <c r="CO486" s="35" t="s">
        <v>7045</v>
      </c>
      <c r="CP486" s="30">
        <v>47300.0</v>
      </c>
      <c r="CQ486" s="30">
        <v>47391.0</v>
      </c>
      <c r="CR486" s="36">
        <v>0.0</v>
      </c>
      <c r="CS486" s="36">
        <v>0.0</v>
      </c>
      <c r="CT486" s="35" t="s">
        <v>7045</v>
      </c>
      <c r="CU486" s="30">
        <v>47392.0</v>
      </c>
      <c r="CV486" s="30">
        <v>47483.0</v>
      </c>
      <c r="CW486" s="36">
        <v>0.0</v>
      </c>
      <c r="CX486" s="36">
        <v>0.0</v>
      </c>
      <c r="CY486" s="35" t="s">
        <v>7045</v>
      </c>
      <c r="CZ486" s="30">
        <v>47484.0</v>
      </c>
      <c r="DA486" s="30">
        <v>47573.0</v>
      </c>
      <c r="DB486" s="36">
        <v>0.0</v>
      </c>
      <c r="DC486" s="36">
        <v>0.0</v>
      </c>
      <c r="DD486" s="35" t="s">
        <v>7045</v>
      </c>
      <c r="DE486" s="30">
        <v>47574.0</v>
      </c>
      <c r="DF486" s="30">
        <v>47664.0</v>
      </c>
      <c r="DG486" s="36">
        <v>0.0</v>
      </c>
      <c r="DH486" s="36">
        <v>0.0</v>
      </c>
      <c r="DI486" s="35" t="s">
        <v>7045</v>
      </c>
      <c r="DJ486" s="30">
        <v>47665.0</v>
      </c>
      <c r="DK486" s="30">
        <v>47756.0</v>
      </c>
      <c r="DL486" s="36">
        <v>0.0</v>
      </c>
      <c r="DM486" s="36">
        <v>0.0</v>
      </c>
      <c r="DN486" s="35" t="s">
        <v>7045</v>
      </c>
      <c r="DO486" s="30">
        <v>47757.0</v>
      </c>
      <c r="DP486" s="30">
        <v>47848.0</v>
      </c>
      <c r="DQ486" s="36">
        <v>0.0</v>
      </c>
      <c r="DR486" s="36">
        <v>0.0</v>
      </c>
      <c r="DS486" s="35" t="s">
        <v>7045</v>
      </c>
    </row>
    <row r="487" ht="14.25" customHeight="1">
      <c r="A487" s="28" t="s">
        <v>2259</v>
      </c>
      <c r="B487" s="29" t="s">
        <v>2260</v>
      </c>
      <c r="C487" s="29" t="s">
        <v>7041</v>
      </c>
      <c r="D487" s="30">
        <v>45658.0</v>
      </c>
      <c r="E487" s="30">
        <v>45747.0</v>
      </c>
      <c r="F487" s="36">
        <v>0.0</v>
      </c>
      <c r="G487" s="36">
        <v>0.0</v>
      </c>
      <c r="H487" s="35" t="s">
        <v>7045</v>
      </c>
      <c r="I487" s="30">
        <v>45748.0</v>
      </c>
      <c r="J487" s="30">
        <v>45838.0</v>
      </c>
      <c r="K487" s="36">
        <v>6.51</v>
      </c>
      <c r="L487" s="36">
        <v>0.0</v>
      </c>
      <c r="M487" s="38" t="s">
        <v>7047</v>
      </c>
      <c r="N487" s="30">
        <v>45839.0</v>
      </c>
      <c r="O487" s="30">
        <v>45930.0</v>
      </c>
      <c r="P487" s="36">
        <v>70.98</v>
      </c>
      <c r="Q487" s="36">
        <v>250.01</v>
      </c>
      <c r="R487" s="38" t="s">
        <v>7047</v>
      </c>
      <c r="S487" s="30">
        <v>45931.0</v>
      </c>
      <c r="T487" s="30">
        <v>46022.0</v>
      </c>
      <c r="U487" s="36">
        <v>3.52</v>
      </c>
      <c r="V487" s="36">
        <v>266.68</v>
      </c>
      <c r="W487" s="38" t="s">
        <v>7047</v>
      </c>
      <c r="X487" s="30">
        <v>46023.0</v>
      </c>
      <c r="Y487" s="30">
        <v>46112.0</v>
      </c>
      <c r="Z487" s="36">
        <v>4.91</v>
      </c>
      <c r="AA487" s="36">
        <v>0.0</v>
      </c>
      <c r="AB487" s="38" t="s">
        <v>7047</v>
      </c>
      <c r="AC487" s="30">
        <v>46113.0</v>
      </c>
      <c r="AD487" s="30">
        <v>46203.0</v>
      </c>
      <c r="AE487" s="36">
        <v>0.0</v>
      </c>
      <c r="AF487" s="36">
        <v>0.0</v>
      </c>
      <c r="AG487" s="35" t="s">
        <v>7045</v>
      </c>
      <c r="AH487" s="30">
        <v>46204.0</v>
      </c>
      <c r="AI487" s="30">
        <v>46295.0</v>
      </c>
      <c r="AJ487" s="36">
        <v>2.21</v>
      </c>
      <c r="AK487" s="36">
        <v>0.0</v>
      </c>
      <c r="AL487" s="38" t="s">
        <v>7047</v>
      </c>
      <c r="AM487" s="30">
        <v>46296.0</v>
      </c>
      <c r="AN487" s="30">
        <v>46387.0</v>
      </c>
      <c r="AO487" s="36">
        <v>7.03</v>
      </c>
      <c r="AP487" s="36">
        <v>0.0</v>
      </c>
      <c r="AQ487" s="38" t="s">
        <v>7047</v>
      </c>
      <c r="AR487" s="30">
        <v>46388.0</v>
      </c>
      <c r="AS487" s="30">
        <v>46477.0</v>
      </c>
      <c r="AT487" s="36">
        <v>0.0</v>
      </c>
      <c r="AU487" s="36">
        <v>0.0</v>
      </c>
      <c r="AV487" s="35" t="s">
        <v>7045</v>
      </c>
      <c r="AW487" s="30">
        <v>46478.0</v>
      </c>
      <c r="AX487" s="30">
        <v>46568.0</v>
      </c>
      <c r="AY487" s="36">
        <v>0.0</v>
      </c>
      <c r="AZ487" s="36">
        <v>0.0</v>
      </c>
      <c r="BA487" s="35" t="s">
        <v>7045</v>
      </c>
      <c r="BB487" s="30">
        <v>46569.0</v>
      </c>
      <c r="BC487" s="30">
        <v>46660.0</v>
      </c>
      <c r="BD487" s="36">
        <v>0.0</v>
      </c>
      <c r="BE487" s="36">
        <v>0.0</v>
      </c>
      <c r="BF487" s="35" t="s">
        <v>7045</v>
      </c>
      <c r="BG487" s="30">
        <v>46661.0</v>
      </c>
      <c r="BH487" s="30">
        <v>46752.0</v>
      </c>
      <c r="BI487" s="36">
        <v>0.0</v>
      </c>
      <c r="BJ487" s="36">
        <v>0.0</v>
      </c>
      <c r="BK487" s="35" t="s">
        <v>7045</v>
      </c>
      <c r="BL487" s="30">
        <v>46753.0</v>
      </c>
      <c r="BM487" s="30">
        <v>46843.0</v>
      </c>
      <c r="BN487" s="36">
        <v>0.0</v>
      </c>
      <c r="BO487" s="36">
        <v>0.0</v>
      </c>
      <c r="BP487" s="35" t="s">
        <v>7045</v>
      </c>
      <c r="BQ487" s="30">
        <v>46844.0</v>
      </c>
      <c r="BR487" s="30">
        <v>46934.0</v>
      </c>
      <c r="BS487" s="36">
        <v>0.0</v>
      </c>
      <c r="BT487" s="36">
        <v>0.0</v>
      </c>
      <c r="BU487" s="35" t="s">
        <v>7045</v>
      </c>
      <c r="BV487" s="30">
        <v>46935.0</v>
      </c>
      <c r="BW487" s="30">
        <v>47026.0</v>
      </c>
      <c r="BX487" s="36">
        <v>0.0</v>
      </c>
      <c r="BY487" s="36">
        <v>0.0</v>
      </c>
      <c r="BZ487" s="35" t="s">
        <v>7045</v>
      </c>
      <c r="CA487" s="30">
        <v>47027.0</v>
      </c>
      <c r="CB487" s="30">
        <v>47118.0</v>
      </c>
      <c r="CC487" s="36">
        <v>0.0</v>
      </c>
      <c r="CD487" s="36">
        <v>0.0</v>
      </c>
      <c r="CE487" s="35" t="s">
        <v>7045</v>
      </c>
      <c r="CF487" s="30">
        <v>47119.0</v>
      </c>
      <c r="CG487" s="30">
        <v>47208.0</v>
      </c>
      <c r="CH487" s="36">
        <v>0.0</v>
      </c>
      <c r="CI487" s="36">
        <v>0.0</v>
      </c>
      <c r="CJ487" s="35" t="s">
        <v>7045</v>
      </c>
      <c r="CK487" s="30">
        <v>47209.0</v>
      </c>
      <c r="CL487" s="30">
        <v>47299.0</v>
      </c>
      <c r="CM487" s="36">
        <v>0.0</v>
      </c>
      <c r="CN487" s="36">
        <v>0.0</v>
      </c>
      <c r="CO487" s="35" t="s">
        <v>7045</v>
      </c>
      <c r="CP487" s="30">
        <v>47300.0</v>
      </c>
      <c r="CQ487" s="30">
        <v>47391.0</v>
      </c>
      <c r="CR487" s="36">
        <v>0.0</v>
      </c>
      <c r="CS487" s="36">
        <v>0.0</v>
      </c>
      <c r="CT487" s="35" t="s">
        <v>7045</v>
      </c>
      <c r="CU487" s="30">
        <v>47392.0</v>
      </c>
      <c r="CV487" s="30">
        <v>47483.0</v>
      </c>
      <c r="CW487" s="36">
        <v>0.0</v>
      </c>
      <c r="CX487" s="36">
        <v>0.0</v>
      </c>
      <c r="CY487" s="35" t="s">
        <v>7045</v>
      </c>
      <c r="CZ487" s="30">
        <v>47484.0</v>
      </c>
      <c r="DA487" s="30">
        <v>47573.0</v>
      </c>
      <c r="DB487" s="36">
        <v>0.0</v>
      </c>
      <c r="DC487" s="36">
        <v>0.0</v>
      </c>
      <c r="DD487" s="35" t="s">
        <v>7045</v>
      </c>
      <c r="DE487" s="30">
        <v>47574.0</v>
      </c>
      <c r="DF487" s="30">
        <v>47664.0</v>
      </c>
      <c r="DG487" s="36">
        <v>0.0</v>
      </c>
      <c r="DH487" s="36">
        <v>0.0</v>
      </c>
      <c r="DI487" s="35" t="s">
        <v>7045</v>
      </c>
      <c r="DJ487" s="30">
        <v>47665.0</v>
      </c>
      <c r="DK487" s="30">
        <v>47756.0</v>
      </c>
      <c r="DL487" s="36">
        <v>0.0</v>
      </c>
      <c r="DM487" s="36">
        <v>0.0</v>
      </c>
      <c r="DN487" s="35" t="s">
        <v>7045</v>
      </c>
      <c r="DO487" s="30">
        <v>47757.0</v>
      </c>
      <c r="DP487" s="30">
        <v>47848.0</v>
      </c>
      <c r="DQ487" s="36">
        <v>0.0</v>
      </c>
      <c r="DR487" s="36">
        <v>0.0</v>
      </c>
      <c r="DS487" s="35" t="s">
        <v>7045</v>
      </c>
    </row>
    <row r="488" ht="14.25" customHeight="1">
      <c r="A488" s="28" t="s">
        <v>3246</v>
      </c>
      <c r="B488" s="29" t="s">
        <v>3247</v>
      </c>
      <c r="C488" s="29" t="s">
        <v>7041</v>
      </c>
      <c r="D488" s="30">
        <v>45658.0</v>
      </c>
      <c r="E488" s="30">
        <v>45747.0</v>
      </c>
      <c r="F488" s="36">
        <v>0.0</v>
      </c>
      <c r="G488" s="36">
        <v>0.0</v>
      </c>
      <c r="H488" s="35" t="s">
        <v>7045</v>
      </c>
      <c r="I488" s="30">
        <v>45748.0</v>
      </c>
      <c r="J488" s="30">
        <v>45838.0</v>
      </c>
      <c r="K488" s="36">
        <v>80.0</v>
      </c>
      <c r="L488" s="36">
        <v>0.0</v>
      </c>
      <c r="M488" s="38" t="s">
        <v>7047</v>
      </c>
      <c r="N488" s="30">
        <v>45839.0</v>
      </c>
      <c r="O488" s="30">
        <v>45930.0</v>
      </c>
      <c r="P488" s="36">
        <v>199.99</v>
      </c>
      <c r="Q488" s="36">
        <v>250.01</v>
      </c>
      <c r="R488" s="38" t="s">
        <v>7047</v>
      </c>
      <c r="S488" s="30">
        <v>45931.0</v>
      </c>
      <c r="T488" s="30">
        <v>46022.0</v>
      </c>
      <c r="U488" s="36">
        <v>30.0</v>
      </c>
      <c r="V488" s="36">
        <v>250.01</v>
      </c>
      <c r="W488" s="35" t="s">
        <v>7047</v>
      </c>
      <c r="X488" s="30">
        <v>46023.0</v>
      </c>
      <c r="Y488" s="30">
        <v>46112.0</v>
      </c>
      <c r="Z488" s="36">
        <v>0.0</v>
      </c>
      <c r="AA488" s="36">
        <v>0.0</v>
      </c>
      <c r="AB488" s="35" t="s">
        <v>7045</v>
      </c>
      <c r="AC488" s="30">
        <v>46113.0</v>
      </c>
      <c r="AD488" s="30">
        <v>46203.0</v>
      </c>
      <c r="AE488" s="36">
        <v>0.0</v>
      </c>
      <c r="AF488" s="36">
        <v>0.0</v>
      </c>
      <c r="AG488" s="35" t="s">
        <v>7045</v>
      </c>
      <c r="AH488" s="30">
        <v>46204.0</v>
      </c>
      <c r="AI488" s="30">
        <v>46295.0</v>
      </c>
      <c r="AJ488" s="36">
        <v>0.0</v>
      </c>
      <c r="AK488" s="36">
        <v>0.0</v>
      </c>
      <c r="AL488" s="35" t="s">
        <v>7045</v>
      </c>
      <c r="AM488" s="30">
        <v>46296.0</v>
      </c>
      <c r="AN488" s="30">
        <v>46387.0</v>
      </c>
      <c r="AO488" s="36">
        <v>0.0</v>
      </c>
      <c r="AP488" s="36">
        <v>0.0</v>
      </c>
      <c r="AQ488" s="35" t="s">
        <v>7045</v>
      </c>
      <c r="AR488" s="30">
        <v>46388.0</v>
      </c>
      <c r="AS488" s="30">
        <v>46477.0</v>
      </c>
      <c r="AT488" s="36">
        <v>0.0</v>
      </c>
      <c r="AU488" s="36">
        <v>0.0</v>
      </c>
      <c r="AV488" s="35" t="s">
        <v>7045</v>
      </c>
      <c r="AW488" s="30">
        <v>46478.0</v>
      </c>
      <c r="AX488" s="30">
        <v>46568.0</v>
      </c>
      <c r="AY488" s="36">
        <v>0.0</v>
      </c>
      <c r="AZ488" s="36">
        <v>0.0</v>
      </c>
      <c r="BA488" s="35" t="s">
        <v>7045</v>
      </c>
      <c r="BB488" s="30">
        <v>46569.0</v>
      </c>
      <c r="BC488" s="30">
        <v>46660.0</v>
      </c>
      <c r="BD488" s="36">
        <v>0.0</v>
      </c>
      <c r="BE488" s="36">
        <v>0.0</v>
      </c>
      <c r="BF488" s="35" t="s">
        <v>7045</v>
      </c>
      <c r="BG488" s="30">
        <v>46661.0</v>
      </c>
      <c r="BH488" s="30">
        <v>46752.0</v>
      </c>
      <c r="BI488" s="36">
        <v>0.0</v>
      </c>
      <c r="BJ488" s="36">
        <v>0.0</v>
      </c>
      <c r="BK488" s="35" t="s">
        <v>7045</v>
      </c>
      <c r="BL488" s="30">
        <v>46753.0</v>
      </c>
      <c r="BM488" s="30">
        <v>46843.0</v>
      </c>
      <c r="BN488" s="36">
        <v>0.0</v>
      </c>
      <c r="BO488" s="36">
        <v>0.0</v>
      </c>
      <c r="BP488" s="35" t="s">
        <v>7045</v>
      </c>
      <c r="BQ488" s="30">
        <v>46844.0</v>
      </c>
      <c r="BR488" s="30">
        <v>46934.0</v>
      </c>
      <c r="BS488" s="36">
        <v>0.0</v>
      </c>
      <c r="BT488" s="36">
        <v>0.0</v>
      </c>
      <c r="BU488" s="35" t="s">
        <v>7045</v>
      </c>
      <c r="BV488" s="30">
        <v>46935.0</v>
      </c>
      <c r="BW488" s="30">
        <v>47026.0</v>
      </c>
      <c r="BX488" s="36">
        <v>0.0</v>
      </c>
      <c r="BY488" s="36">
        <v>0.0</v>
      </c>
      <c r="BZ488" s="35" t="s">
        <v>7045</v>
      </c>
      <c r="CA488" s="30">
        <v>47027.0</v>
      </c>
      <c r="CB488" s="30">
        <v>47118.0</v>
      </c>
      <c r="CC488" s="36">
        <v>0.0</v>
      </c>
      <c r="CD488" s="36">
        <v>0.0</v>
      </c>
      <c r="CE488" s="35" t="s">
        <v>7045</v>
      </c>
      <c r="CF488" s="30">
        <v>47119.0</v>
      </c>
      <c r="CG488" s="30">
        <v>47208.0</v>
      </c>
      <c r="CH488" s="36">
        <v>0.0</v>
      </c>
      <c r="CI488" s="36">
        <v>0.0</v>
      </c>
      <c r="CJ488" s="35" t="s">
        <v>7045</v>
      </c>
      <c r="CK488" s="30">
        <v>47209.0</v>
      </c>
      <c r="CL488" s="30">
        <v>47299.0</v>
      </c>
      <c r="CM488" s="36">
        <v>0.0</v>
      </c>
      <c r="CN488" s="36">
        <v>0.0</v>
      </c>
      <c r="CO488" s="35" t="s">
        <v>7045</v>
      </c>
      <c r="CP488" s="30">
        <v>47300.0</v>
      </c>
      <c r="CQ488" s="30">
        <v>47391.0</v>
      </c>
      <c r="CR488" s="36">
        <v>0.0</v>
      </c>
      <c r="CS488" s="36">
        <v>0.0</v>
      </c>
      <c r="CT488" s="35" t="s">
        <v>7045</v>
      </c>
      <c r="CU488" s="30">
        <v>47392.0</v>
      </c>
      <c r="CV488" s="30">
        <v>47483.0</v>
      </c>
      <c r="CW488" s="36">
        <v>0.0</v>
      </c>
      <c r="CX488" s="36">
        <v>0.0</v>
      </c>
      <c r="CY488" s="35" t="s">
        <v>7045</v>
      </c>
      <c r="CZ488" s="30">
        <v>47484.0</v>
      </c>
      <c r="DA488" s="30">
        <v>47573.0</v>
      </c>
      <c r="DB488" s="36">
        <v>0.0</v>
      </c>
      <c r="DC488" s="36">
        <v>0.0</v>
      </c>
      <c r="DD488" s="35" t="s">
        <v>7045</v>
      </c>
      <c r="DE488" s="30">
        <v>47574.0</v>
      </c>
      <c r="DF488" s="30">
        <v>47664.0</v>
      </c>
      <c r="DG488" s="36">
        <v>0.0</v>
      </c>
      <c r="DH488" s="36">
        <v>0.0</v>
      </c>
      <c r="DI488" s="35" t="s">
        <v>7045</v>
      </c>
      <c r="DJ488" s="30">
        <v>47665.0</v>
      </c>
      <c r="DK488" s="30">
        <v>47756.0</v>
      </c>
      <c r="DL488" s="36">
        <v>0.0</v>
      </c>
      <c r="DM488" s="36">
        <v>0.0</v>
      </c>
      <c r="DN488" s="35" t="s">
        <v>7045</v>
      </c>
      <c r="DO488" s="30">
        <v>47757.0</v>
      </c>
      <c r="DP488" s="30">
        <v>47848.0</v>
      </c>
      <c r="DQ488" s="36">
        <v>0.0</v>
      </c>
      <c r="DR488" s="36">
        <v>0.0</v>
      </c>
      <c r="DS488" s="35" t="s">
        <v>7045</v>
      </c>
    </row>
    <row r="489" ht="14.25" customHeight="1">
      <c r="A489" s="28" t="s">
        <v>321</v>
      </c>
      <c r="B489" s="29" t="s">
        <v>322</v>
      </c>
      <c r="C489" s="29" t="s">
        <v>7041</v>
      </c>
      <c r="D489" s="30">
        <v>45658.0</v>
      </c>
      <c r="E489" s="30">
        <v>45747.0</v>
      </c>
      <c r="F489" s="36">
        <v>1.13</v>
      </c>
      <c r="G489" s="36">
        <v>0.0</v>
      </c>
      <c r="H489" s="35" t="s">
        <v>7047</v>
      </c>
      <c r="I489" s="30">
        <v>45748.0</v>
      </c>
      <c r="J489" s="30">
        <v>45838.0</v>
      </c>
      <c r="K489" s="36">
        <v>36.43</v>
      </c>
      <c r="L489" s="36">
        <v>0.0</v>
      </c>
      <c r="M489" s="38" t="s">
        <v>7047</v>
      </c>
      <c r="N489" s="30">
        <v>45839.0</v>
      </c>
      <c r="O489" s="30">
        <v>45930.0</v>
      </c>
      <c r="P489" s="36">
        <v>95.94</v>
      </c>
      <c r="Q489" s="36">
        <v>300.0</v>
      </c>
      <c r="R489" s="38" t="s">
        <v>7047</v>
      </c>
      <c r="S489" s="30">
        <v>45931.0</v>
      </c>
      <c r="T489" s="30">
        <v>46022.0</v>
      </c>
      <c r="U489" s="36">
        <v>152.16</v>
      </c>
      <c r="V489" s="36">
        <v>300.0</v>
      </c>
      <c r="W489" s="38" t="s">
        <v>7047</v>
      </c>
      <c r="X489" s="30">
        <v>46023.0</v>
      </c>
      <c r="Y489" s="30">
        <v>46112.0</v>
      </c>
      <c r="Z489" s="36">
        <v>0.0</v>
      </c>
      <c r="AA489" s="36">
        <v>0.0</v>
      </c>
      <c r="AB489" s="35" t="s">
        <v>7045</v>
      </c>
      <c r="AC489" s="30">
        <v>46113.0</v>
      </c>
      <c r="AD489" s="30">
        <v>46203.0</v>
      </c>
      <c r="AE489" s="36">
        <v>300.0</v>
      </c>
      <c r="AF489" s="36">
        <v>0.0</v>
      </c>
      <c r="AG489" s="35" t="s">
        <v>7047</v>
      </c>
      <c r="AH489" s="30">
        <v>46204.0</v>
      </c>
      <c r="AI489" s="30">
        <v>46295.0</v>
      </c>
      <c r="AJ489" s="36">
        <v>1.13</v>
      </c>
      <c r="AK489" s="36">
        <v>0.0</v>
      </c>
      <c r="AL489" s="35" t="s">
        <v>7047</v>
      </c>
      <c r="AM489" s="30">
        <v>46296.0</v>
      </c>
      <c r="AN489" s="30">
        <v>46387.0</v>
      </c>
      <c r="AO489" s="36">
        <v>0.0</v>
      </c>
      <c r="AP489" s="36">
        <v>0.0</v>
      </c>
      <c r="AQ489" s="35" t="s">
        <v>7045</v>
      </c>
      <c r="AR489" s="30">
        <v>46388.0</v>
      </c>
      <c r="AS489" s="30">
        <v>46477.0</v>
      </c>
      <c r="AT489" s="36">
        <v>0.0</v>
      </c>
      <c r="AU489" s="36">
        <v>0.0</v>
      </c>
      <c r="AV489" s="35" t="s">
        <v>7045</v>
      </c>
      <c r="AW489" s="30">
        <v>46478.0</v>
      </c>
      <c r="AX489" s="30">
        <v>46568.0</v>
      </c>
      <c r="AY489" s="36">
        <v>0.0</v>
      </c>
      <c r="AZ489" s="36">
        <v>0.0</v>
      </c>
      <c r="BA489" s="35" t="s">
        <v>7045</v>
      </c>
      <c r="BB489" s="30">
        <v>46569.0</v>
      </c>
      <c r="BC489" s="30">
        <v>46660.0</v>
      </c>
      <c r="BD489" s="36">
        <v>0.0</v>
      </c>
      <c r="BE489" s="36">
        <v>0.0</v>
      </c>
      <c r="BF489" s="35" t="s">
        <v>7045</v>
      </c>
      <c r="BG489" s="30">
        <v>46661.0</v>
      </c>
      <c r="BH489" s="30">
        <v>46752.0</v>
      </c>
      <c r="BI489" s="36">
        <v>0.0</v>
      </c>
      <c r="BJ489" s="36">
        <v>0.0</v>
      </c>
      <c r="BK489" s="35" t="s">
        <v>7045</v>
      </c>
      <c r="BL489" s="30">
        <v>46753.0</v>
      </c>
      <c r="BM489" s="30">
        <v>46843.0</v>
      </c>
      <c r="BN489" s="36">
        <v>0.0</v>
      </c>
      <c r="BO489" s="36">
        <v>0.0</v>
      </c>
      <c r="BP489" s="35" t="s">
        <v>7045</v>
      </c>
      <c r="BQ489" s="30">
        <v>46844.0</v>
      </c>
      <c r="BR489" s="30">
        <v>46934.0</v>
      </c>
      <c r="BS489" s="36">
        <v>0.0</v>
      </c>
      <c r="BT489" s="36">
        <v>0.0</v>
      </c>
      <c r="BU489" s="35" t="s">
        <v>7045</v>
      </c>
      <c r="BV489" s="30">
        <v>46935.0</v>
      </c>
      <c r="BW489" s="30">
        <v>47026.0</v>
      </c>
      <c r="BX489" s="36">
        <v>0.0</v>
      </c>
      <c r="BY489" s="36">
        <v>0.0</v>
      </c>
      <c r="BZ489" s="35" t="s">
        <v>7045</v>
      </c>
      <c r="CA489" s="30">
        <v>47027.0</v>
      </c>
      <c r="CB489" s="30">
        <v>47118.0</v>
      </c>
      <c r="CC489" s="36">
        <v>0.0</v>
      </c>
      <c r="CD489" s="36">
        <v>0.0</v>
      </c>
      <c r="CE489" s="35" t="s">
        <v>7045</v>
      </c>
      <c r="CF489" s="30">
        <v>47119.0</v>
      </c>
      <c r="CG489" s="30">
        <v>47208.0</v>
      </c>
      <c r="CH489" s="36">
        <v>0.0</v>
      </c>
      <c r="CI489" s="36">
        <v>0.0</v>
      </c>
      <c r="CJ489" s="35" t="s">
        <v>7045</v>
      </c>
      <c r="CK489" s="30">
        <v>47209.0</v>
      </c>
      <c r="CL489" s="30">
        <v>47299.0</v>
      </c>
      <c r="CM489" s="36">
        <v>0.0</v>
      </c>
      <c r="CN489" s="36">
        <v>0.0</v>
      </c>
      <c r="CO489" s="35" t="s">
        <v>7045</v>
      </c>
      <c r="CP489" s="30">
        <v>47300.0</v>
      </c>
      <c r="CQ489" s="30">
        <v>47391.0</v>
      </c>
      <c r="CR489" s="36">
        <v>0.0</v>
      </c>
      <c r="CS489" s="36">
        <v>0.0</v>
      </c>
      <c r="CT489" s="35" t="s">
        <v>7045</v>
      </c>
      <c r="CU489" s="30">
        <v>47392.0</v>
      </c>
      <c r="CV489" s="30">
        <v>47483.0</v>
      </c>
      <c r="CW489" s="36">
        <v>0.0</v>
      </c>
      <c r="CX489" s="36">
        <v>0.0</v>
      </c>
      <c r="CY489" s="35" t="s">
        <v>7045</v>
      </c>
      <c r="CZ489" s="30">
        <v>47484.0</v>
      </c>
      <c r="DA489" s="30">
        <v>47573.0</v>
      </c>
      <c r="DB489" s="36">
        <v>0.0</v>
      </c>
      <c r="DC489" s="36">
        <v>0.0</v>
      </c>
      <c r="DD489" s="35" t="s">
        <v>7045</v>
      </c>
      <c r="DE489" s="30">
        <v>47574.0</v>
      </c>
      <c r="DF489" s="30">
        <v>47664.0</v>
      </c>
      <c r="DG489" s="36">
        <v>0.0</v>
      </c>
      <c r="DH489" s="36">
        <v>0.0</v>
      </c>
      <c r="DI489" s="35" t="s">
        <v>7045</v>
      </c>
      <c r="DJ489" s="30">
        <v>47665.0</v>
      </c>
      <c r="DK489" s="30">
        <v>47756.0</v>
      </c>
      <c r="DL489" s="36">
        <v>0.0</v>
      </c>
      <c r="DM489" s="36">
        <v>0.0</v>
      </c>
      <c r="DN489" s="35" t="s">
        <v>7045</v>
      </c>
      <c r="DO489" s="30">
        <v>47757.0</v>
      </c>
      <c r="DP489" s="30">
        <v>47848.0</v>
      </c>
      <c r="DQ489" s="36">
        <v>0.0</v>
      </c>
      <c r="DR489" s="36">
        <v>0.0</v>
      </c>
      <c r="DS489" s="35" t="s">
        <v>7045</v>
      </c>
    </row>
    <row r="490" ht="14.25" customHeight="1">
      <c r="A490" s="28" t="s">
        <v>494</v>
      </c>
      <c r="B490" s="29" t="s">
        <v>495</v>
      </c>
      <c r="C490" s="29" t="s">
        <v>7041</v>
      </c>
      <c r="D490" s="30">
        <v>45658.0</v>
      </c>
      <c r="E490" s="30">
        <v>45747.0</v>
      </c>
      <c r="F490" s="36">
        <v>0.0</v>
      </c>
      <c r="G490" s="36">
        <v>0.0</v>
      </c>
      <c r="H490" s="35" t="s">
        <v>7045</v>
      </c>
      <c r="I490" s="30">
        <v>45748.0</v>
      </c>
      <c r="J490" s="30">
        <v>45838.0</v>
      </c>
      <c r="K490" s="36">
        <v>0.0</v>
      </c>
      <c r="L490" s="36">
        <v>0.0</v>
      </c>
      <c r="M490" s="35" t="s">
        <v>7045</v>
      </c>
      <c r="N490" s="30">
        <v>45839.0</v>
      </c>
      <c r="O490" s="30">
        <v>45930.0</v>
      </c>
      <c r="P490" s="36">
        <v>0.0</v>
      </c>
      <c r="Q490" s="36">
        <v>199.98</v>
      </c>
      <c r="R490" s="35" t="s">
        <v>7043</v>
      </c>
      <c r="S490" s="30">
        <v>45931.0</v>
      </c>
      <c r="T490" s="30">
        <v>46022.0</v>
      </c>
      <c r="U490" s="36">
        <v>50.0</v>
      </c>
      <c r="V490" s="36">
        <v>349.98</v>
      </c>
      <c r="W490" s="38" t="s">
        <v>7047</v>
      </c>
      <c r="X490" s="30">
        <v>46023.0</v>
      </c>
      <c r="Y490" s="30">
        <v>46112.0</v>
      </c>
      <c r="Z490" s="36">
        <v>0.0</v>
      </c>
      <c r="AA490" s="36">
        <v>0.0</v>
      </c>
      <c r="AB490" s="35" t="s">
        <v>7045</v>
      </c>
      <c r="AC490" s="30">
        <v>46113.0</v>
      </c>
      <c r="AD490" s="30">
        <v>46203.0</v>
      </c>
      <c r="AE490" s="36">
        <v>0.0</v>
      </c>
      <c r="AF490" s="36">
        <v>0.0</v>
      </c>
      <c r="AG490" s="35" t="s">
        <v>7045</v>
      </c>
      <c r="AH490" s="30">
        <v>46204.0</v>
      </c>
      <c r="AI490" s="30">
        <v>46295.0</v>
      </c>
      <c r="AJ490" s="36">
        <v>0.0</v>
      </c>
      <c r="AK490" s="36">
        <v>0.0</v>
      </c>
      <c r="AL490" s="35" t="s">
        <v>7045</v>
      </c>
      <c r="AM490" s="30">
        <v>46296.0</v>
      </c>
      <c r="AN490" s="30">
        <v>46387.0</v>
      </c>
      <c r="AO490" s="36">
        <v>0.0</v>
      </c>
      <c r="AP490" s="36">
        <v>0.0</v>
      </c>
      <c r="AQ490" s="35" t="s">
        <v>7045</v>
      </c>
      <c r="AR490" s="30">
        <v>46388.0</v>
      </c>
      <c r="AS490" s="30">
        <v>46477.0</v>
      </c>
      <c r="AT490" s="36">
        <v>0.0</v>
      </c>
      <c r="AU490" s="36">
        <v>0.0</v>
      </c>
      <c r="AV490" s="35" t="s">
        <v>7045</v>
      </c>
      <c r="AW490" s="30">
        <v>46478.0</v>
      </c>
      <c r="AX490" s="30">
        <v>46568.0</v>
      </c>
      <c r="AY490" s="36">
        <v>0.0</v>
      </c>
      <c r="AZ490" s="36">
        <v>0.0</v>
      </c>
      <c r="BA490" s="35" t="s">
        <v>7045</v>
      </c>
      <c r="BB490" s="30">
        <v>46569.0</v>
      </c>
      <c r="BC490" s="30">
        <v>46660.0</v>
      </c>
      <c r="BD490" s="36">
        <v>0.0</v>
      </c>
      <c r="BE490" s="36">
        <v>0.0</v>
      </c>
      <c r="BF490" s="35" t="s">
        <v>7045</v>
      </c>
      <c r="BG490" s="30">
        <v>46661.0</v>
      </c>
      <c r="BH490" s="30">
        <v>46752.0</v>
      </c>
      <c r="BI490" s="36">
        <v>0.0</v>
      </c>
      <c r="BJ490" s="36">
        <v>0.0</v>
      </c>
      <c r="BK490" s="35" t="s">
        <v>7045</v>
      </c>
      <c r="BL490" s="30">
        <v>46753.0</v>
      </c>
      <c r="BM490" s="30">
        <v>46843.0</v>
      </c>
      <c r="BN490" s="36">
        <v>0.0</v>
      </c>
      <c r="BO490" s="36">
        <v>0.0</v>
      </c>
      <c r="BP490" s="35" t="s">
        <v>7045</v>
      </c>
      <c r="BQ490" s="30">
        <v>46844.0</v>
      </c>
      <c r="BR490" s="30">
        <v>46934.0</v>
      </c>
      <c r="BS490" s="36">
        <v>0.0</v>
      </c>
      <c r="BT490" s="36">
        <v>0.0</v>
      </c>
      <c r="BU490" s="35" t="s">
        <v>7045</v>
      </c>
      <c r="BV490" s="30">
        <v>46935.0</v>
      </c>
      <c r="BW490" s="30">
        <v>47026.0</v>
      </c>
      <c r="BX490" s="36">
        <v>0.0</v>
      </c>
      <c r="BY490" s="36">
        <v>0.0</v>
      </c>
      <c r="BZ490" s="35" t="s">
        <v>7045</v>
      </c>
      <c r="CA490" s="30">
        <v>47027.0</v>
      </c>
      <c r="CB490" s="30">
        <v>47118.0</v>
      </c>
      <c r="CC490" s="36">
        <v>0.0</v>
      </c>
      <c r="CD490" s="36">
        <v>0.0</v>
      </c>
      <c r="CE490" s="35" t="s">
        <v>7045</v>
      </c>
      <c r="CF490" s="30">
        <v>47119.0</v>
      </c>
      <c r="CG490" s="30">
        <v>47208.0</v>
      </c>
      <c r="CH490" s="36">
        <v>0.0</v>
      </c>
      <c r="CI490" s="36">
        <v>0.0</v>
      </c>
      <c r="CJ490" s="35" t="s">
        <v>7045</v>
      </c>
      <c r="CK490" s="30">
        <v>47209.0</v>
      </c>
      <c r="CL490" s="30">
        <v>47299.0</v>
      </c>
      <c r="CM490" s="36">
        <v>0.0</v>
      </c>
      <c r="CN490" s="36">
        <v>0.0</v>
      </c>
      <c r="CO490" s="35" t="s">
        <v>7045</v>
      </c>
      <c r="CP490" s="30">
        <v>47300.0</v>
      </c>
      <c r="CQ490" s="30">
        <v>47391.0</v>
      </c>
      <c r="CR490" s="36">
        <v>0.0</v>
      </c>
      <c r="CS490" s="36">
        <v>0.0</v>
      </c>
      <c r="CT490" s="35" t="s">
        <v>7045</v>
      </c>
      <c r="CU490" s="30">
        <v>47392.0</v>
      </c>
      <c r="CV490" s="30">
        <v>47483.0</v>
      </c>
      <c r="CW490" s="36">
        <v>0.0</v>
      </c>
      <c r="CX490" s="36">
        <v>0.0</v>
      </c>
      <c r="CY490" s="35" t="s">
        <v>7045</v>
      </c>
      <c r="CZ490" s="30">
        <v>47484.0</v>
      </c>
      <c r="DA490" s="30">
        <v>47573.0</v>
      </c>
      <c r="DB490" s="36">
        <v>0.0</v>
      </c>
      <c r="DC490" s="36">
        <v>0.0</v>
      </c>
      <c r="DD490" s="35" t="s">
        <v>7045</v>
      </c>
      <c r="DE490" s="30">
        <v>47574.0</v>
      </c>
      <c r="DF490" s="30">
        <v>47664.0</v>
      </c>
      <c r="DG490" s="36">
        <v>0.0</v>
      </c>
      <c r="DH490" s="36">
        <v>0.0</v>
      </c>
      <c r="DI490" s="35" t="s">
        <v>7045</v>
      </c>
      <c r="DJ490" s="30">
        <v>47665.0</v>
      </c>
      <c r="DK490" s="30">
        <v>47756.0</v>
      </c>
      <c r="DL490" s="36">
        <v>0.0</v>
      </c>
      <c r="DM490" s="36">
        <v>0.0</v>
      </c>
      <c r="DN490" s="35" t="s">
        <v>7045</v>
      </c>
      <c r="DO490" s="30">
        <v>47757.0</v>
      </c>
      <c r="DP490" s="30">
        <v>47848.0</v>
      </c>
      <c r="DQ490" s="36">
        <v>0.0</v>
      </c>
      <c r="DR490" s="36">
        <v>0.0</v>
      </c>
      <c r="DS490" s="35" t="s">
        <v>7045</v>
      </c>
    </row>
    <row r="491" ht="14.25" customHeight="1">
      <c r="A491" s="28" t="s">
        <v>1240</v>
      </c>
      <c r="B491" s="29" t="s">
        <v>1241</v>
      </c>
      <c r="C491" s="29" t="s">
        <v>7041</v>
      </c>
      <c r="D491" s="30">
        <v>45658.0</v>
      </c>
      <c r="E491" s="30">
        <v>45747.0</v>
      </c>
      <c r="F491" s="36">
        <v>0.0</v>
      </c>
      <c r="G491" s="36">
        <v>0.0</v>
      </c>
      <c r="H491" s="35" t="s">
        <v>7045</v>
      </c>
      <c r="I491" s="30">
        <v>45748.0</v>
      </c>
      <c r="J491" s="30">
        <v>45838.0</v>
      </c>
      <c r="K491" s="36">
        <v>0.0</v>
      </c>
      <c r="L491" s="36">
        <v>0.0</v>
      </c>
      <c r="M491" s="35" t="s">
        <v>7045</v>
      </c>
      <c r="N491" s="30">
        <v>45839.0</v>
      </c>
      <c r="O491" s="30">
        <v>45930.0</v>
      </c>
      <c r="P491" s="36">
        <v>0.0</v>
      </c>
      <c r="Q491" s="36">
        <v>0.0</v>
      </c>
      <c r="R491" s="35" t="s">
        <v>7045</v>
      </c>
      <c r="S491" s="30">
        <v>45931.0</v>
      </c>
      <c r="T491" s="30">
        <v>46022.0</v>
      </c>
      <c r="U491" s="36">
        <v>0.0</v>
      </c>
      <c r="V491" s="36">
        <v>0.0</v>
      </c>
      <c r="W491" s="35" t="s">
        <v>7045</v>
      </c>
      <c r="X491" s="30">
        <v>46023.0</v>
      </c>
      <c r="Y491" s="30">
        <v>46112.0</v>
      </c>
      <c r="Z491" s="36">
        <v>0.0</v>
      </c>
      <c r="AA491" s="36">
        <v>0.0</v>
      </c>
      <c r="AB491" s="35" t="s">
        <v>7045</v>
      </c>
      <c r="AC491" s="30">
        <v>46113.0</v>
      </c>
      <c r="AD491" s="30">
        <v>46203.0</v>
      </c>
      <c r="AE491" s="36">
        <v>0.0</v>
      </c>
      <c r="AF491" s="36">
        <v>0.0</v>
      </c>
      <c r="AG491" s="35" t="s">
        <v>7045</v>
      </c>
      <c r="AH491" s="30">
        <v>46204.0</v>
      </c>
      <c r="AI491" s="30">
        <v>46295.0</v>
      </c>
      <c r="AJ491" s="36">
        <v>0.0</v>
      </c>
      <c r="AK491" s="36">
        <v>0.0</v>
      </c>
      <c r="AL491" s="35" t="s">
        <v>7045</v>
      </c>
      <c r="AM491" s="30">
        <v>46296.0</v>
      </c>
      <c r="AN491" s="30">
        <v>46387.0</v>
      </c>
      <c r="AO491" s="36">
        <v>0.0</v>
      </c>
      <c r="AP491" s="36">
        <v>0.0</v>
      </c>
      <c r="AQ491" s="35" t="s">
        <v>7045</v>
      </c>
      <c r="AR491" s="30">
        <v>46388.0</v>
      </c>
      <c r="AS491" s="30">
        <v>46477.0</v>
      </c>
      <c r="AT491" s="36">
        <v>0.0</v>
      </c>
      <c r="AU491" s="36">
        <v>0.0</v>
      </c>
      <c r="AV491" s="35" t="s">
        <v>7045</v>
      </c>
      <c r="AW491" s="30">
        <v>46478.0</v>
      </c>
      <c r="AX491" s="30">
        <v>46568.0</v>
      </c>
      <c r="AY491" s="36">
        <v>0.0</v>
      </c>
      <c r="AZ491" s="36">
        <v>0.0</v>
      </c>
      <c r="BA491" s="35" t="s">
        <v>7045</v>
      </c>
      <c r="BB491" s="30">
        <v>46569.0</v>
      </c>
      <c r="BC491" s="30">
        <v>46660.0</v>
      </c>
      <c r="BD491" s="36">
        <v>0.0</v>
      </c>
      <c r="BE491" s="36">
        <v>0.0</v>
      </c>
      <c r="BF491" s="35" t="s">
        <v>7045</v>
      </c>
      <c r="BG491" s="30">
        <v>46661.0</v>
      </c>
      <c r="BH491" s="30">
        <v>46752.0</v>
      </c>
      <c r="BI491" s="36">
        <v>0.0</v>
      </c>
      <c r="BJ491" s="36">
        <v>0.0</v>
      </c>
      <c r="BK491" s="35" t="s">
        <v>7045</v>
      </c>
      <c r="BL491" s="30">
        <v>46753.0</v>
      </c>
      <c r="BM491" s="30">
        <v>46843.0</v>
      </c>
      <c r="BN491" s="36">
        <v>0.0</v>
      </c>
      <c r="BO491" s="36">
        <v>0.0</v>
      </c>
      <c r="BP491" s="35" t="s">
        <v>7045</v>
      </c>
      <c r="BQ491" s="30">
        <v>46844.0</v>
      </c>
      <c r="BR491" s="30">
        <v>46934.0</v>
      </c>
      <c r="BS491" s="36">
        <v>0.0</v>
      </c>
      <c r="BT491" s="36">
        <v>0.0</v>
      </c>
      <c r="BU491" s="35" t="s">
        <v>7045</v>
      </c>
      <c r="BV491" s="30">
        <v>46935.0</v>
      </c>
      <c r="BW491" s="30">
        <v>47026.0</v>
      </c>
      <c r="BX491" s="36">
        <v>0.0</v>
      </c>
      <c r="BY491" s="36">
        <v>0.0</v>
      </c>
      <c r="BZ491" s="35" t="s">
        <v>7045</v>
      </c>
      <c r="CA491" s="30">
        <v>47027.0</v>
      </c>
      <c r="CB491" s="30">
        <v>47118.0</v>
      </c>
      <c r="CC491" s="36">
        <v>0.0</v>
      </c>
      <c r="CD491" s="36">
        <v>0.0</v>
      </c>
      <c r="CE491" s="35" t="s">
        <v>7045</v>
      </c>
      <c r="CF491" s="30">
        <v>47119.0</v>
      </c>
      <c r="CG491" s="30">
        <v>47208.0</v>
      </c>
      <c r="CH491" s="36">
        <v>0.0</v>
      </c>
      <c r="CI491" s="36">
        <v>0.0</v>
      </c>
      <c r="CJ491" s="35" t="s">
        <v>7045</v>
      </c>
      <c r="CK491" s="30">
        <v>47209.0</v>
      </c>
      <c r="CL491" s="30">
        <v>47299.0</v>
      </c>
      <c r="CM491" s="36">
        <v>0.0</v>
      </c>
      <c r="CN491" s="36">
        <v>0.0</v>
      </c>
      <c r="CO491" s="35" t="s">
        <v>7045</v>
      </c>
      <c r="CP491" s="30">
        <v>47300.0</v>
      </c>
      <c r="CQ491" s="30">
        <v>47391.0</v>
      </c>
      <c r="CR491" s="36">
        <v>0.0</v>
      </c>
      <c r="CS491" s="36">
        <v>0.0</v>
      </c>
      <c r="CT491" s="35" t="s">
        <v>7045</v>
      </c>
      <c r="CU491" s="30">
        <v>47392.0</v>
      </c>
      <c r="CV491" s="30">
        <v>47483.0</v>
      </c>
      <c r="CW491" s="36">
        <v>0.0</v>
      </c>
      <c r="CX491" s="36">
        <v>0.0</v>
      </c>
      <c r="CY491" s="35" t="s">
        <v>7045</v>
      </c>
      <c r="CZ491" s="30">
        <v>47484.0</v>
      </c>
      <c r="DA491" s="30">
        <v>47573.0</v>
      </c>
      <c r="DB491" s="36">
        <v>0.0</v>
      </c>
      <c r="DC491" s="36">
        <v>0.0</v>
      </c>
      <c r="DD491" s="35" t="s">
        <v>7045</v>
      </c>
      <c r="DE491" s="30">
        <v>47574.0</v>
      </c>
      <c r="DF491" s="30">
        <v>47664.0</v>
      </c>
      <c r="DG491" s="36">
        <v>0.0</v>
      </c>
      <c r="DH491" s="36">
        <v>0.0</v>
      </c>
      <c r="DI491" s="35" t="s">
        <v>7045</v>
      </c>
      <c r="DJ491" s="30">
        <v>47665.0</v>
      </c>
      <c r="DK491" s="30">
        <v>47756.0</v>
      </c>
      <c r="DL491" s="36">
        <v>0.0</v>
      </c>
      <c r="DM491" s="36">
        <v>0.0</v>
      </c>
      <c r="DN491" s="35" t="s">
        <v>7045</v>
      </c>
      <c r="DO491" s="30">
        <v>47757.0</v>
      </c>
      <c r="DP491" s="30">
        <v>47848.0</v>
      </c>
      <c r="DQ491" s="36">
        <v>0.0</v>
      </c>
      <c r="DR491" s="36">
        <v>0.0</v>
      </c>
      <c r="DS491" s="35" t="s">
        <v>7045</v>
      </c>
    </row>
    <row r="492" ht="14.25" customHeight="1">
      <c r="A492" s="28" t="s">
        <v>6864</v>
      </c>
      <c r="B492" s="29" t="s">
        <v>6865</v>
      </c>
      <c r="C492" s="29" t="s">
        <v>7041</v>
      </c>
      <c r="D492" s="30">
        <v>45658.0</v>
      </c>
      <c r="E492" s="30">
        <v>45747.0</v>
      </c>
      <c r="F492" s="36">
        <v>0.0</v>
      </c>
      <c r="G492" s="36">
        <v>0.0</v>
      </c>
      <c r="H492" s="35" t="s">
        <v>7045</v>
      </c>
      <c r="I492" s="30">
        <v>45748.0</v>
      </c>
      <c r="J492" s="30">
        <v>45838.0</v>
      </c>
      <c r="K492" s="36">
        <v>4.8</v>
      </c>
      <c r="L492" s="36">
        <v>0.0</v>
      </c>
      <c r="M492" s="38" t="s">
        <v>7047</v>
      </c>
      <c r="N492" s="30">
        <v>45839.0</v>
      </c>
      <c r="O492" s="30">
        <v>45930.0</v>
      </c>
      <c r="P492" s="36">
        <v>23.55</v>
      </c>
      <c r="Q492" s="36">
        <v>243.34</v>
      </c>
      <c r="R492" s="38" t="s">
        <v>7047</v>
      </c>
      <c r="S492" s="30">
        <v>45931.0</v>
      </c>
      <c r="T492" s="30">
        <v>46022.0</v>
      </c>
      <c r="U492" s="36">
        <v>0.0</v>
      </c>
      <c r="V492" s="36">
        <v>253.34</v>
      </c>
      <c r="W492" s="35" t="s">
        <v>7043</v>
      </c>
      <c r="X492" s="30">
        <v>46023.0</v>
      </c>
      <c r="Y492" s="30">
        <v>46112.0</v>
      </c>
      <c r="Z492" s="36">
        <v>0.0</v>
      </c>
      <c r="AA492" s="36">
        <v>0.0</v>
      </c>
      <c r="AB492" s="35" t="s">
        <v>7045</v>
      </c>
      <c r="AC492" s="30">
        <v>46113.0</v>
      </c>
      <c r="AD492" s="30">
        <v>46203.0</v>
      </c>
      <c r="AE492" s="36">
        <v>3.38</v>
      </c>
      <c r="AF492" s="36">
        <v>0.0</v>
      </c>
      <c r="AG492" s="38" t="s">
        <v>7047</v>
      </c>
      <c r="AH492" s="30">
        <v>46204.0</v>
      </c>
      <c r="AI492" s="30">
        <v>46295.0</v>
      </c>
      <c r="AJ492" s="36">
        <v>0.0</v>
      </c>
      <c r="AK492" s="36">
        <v>0.0</v>
      </c>
      <c r="AL492" s="35" t="s">
        <v>7045</v>
      </c>
      <c r="AM492" s="30">
        <v>46296.0</v>
      </c>
      <c r="AN492" s="30">
        <v>46387.0</v>
      </c>
      <c r="AO492" s="36">
        <v>0.0</v>
      </c>
      <c r="AP492" s="36">
        <v>0.0</v>
      </c>
      <c r="AQ492" s="35" t="s">
        <v>7045</v>
      </c>
      <c r="AR492" s="30">
        <v>46388.0</v>
      </c>
      <c r="AS492" s="30">
        <v>46477.0</v>
      </c>
      <c r="AT492" s="36">
        <v>0.0</v>
      </c>
      <c r="AU492" s="36">
        <v>0.0</v>
      </c>
      <c r="AV492" s="35" t="s">
        <v>7045</v>
      </c>
      <c r="AW492" s="30">
        <v>46478.0</v>
      </c>
      <c r="AX492" s="30">
        <v>46568.0</v>
      </c>
      <c r="AY492" s="36">
        <v>0.0</v>
      </c>
      <c r="AZ492" s="36">
        <v>0.0</v>
      </c>
      <c r="BA492" s="35" t="s">
        <v>7045</v>
      </c>
      <c r="BB492" s="30">
        <v>46569.0</v>
      </c>
      <c r="BC492" s="30">
        <v>46660.0</v>
      </c>
      <c r="BD492" s="36">
        <v>0.0</v>
      </c>
      <c r="BE492" s="36">
        <v>0.0</v>
      </c>
      <c r="BF492" s="35" t="s">
        <v>7045</v>
      </c>
      <c r="BG492" s="30">
        <v>46661.0</v>
      </c>
      <c r="BH492" s="30">
        <v>46752.0</v>
      </c>
      <c r="BI492" s="36">
        <v>0.0</v>
      </c>
      <c r="BJ492" s="36">
        <v>0.0</v>
      </c>
      <c r="BK492" s="35" t="s">
        <v>7045</v>
      </c>
      <c r="BL492" s="30">
        <v>46753.0</v>
      </c>
      <c r="BM492" s="30">
        <v>46843.0</v>
      </c>
      <c r="BN492" s="36">
        <v>0.0</v>
      </c>
      <c r="BO492" s="36">
        <v>0.0</v>
      </c>
      <c r="BP492" s="35" t="s">
        <v>7045</v>
      </c>
      <c r="BQ492" s="30">
        <v>46844.0</v>
      </c>
      <c r="BR492" s="30">
        <v>46934.0</v>
      </c>
      <c r="BS492" s="36">
        <v>0.0</v>
      </c>
      <c r="BT492" s="36">
        <v>0.0</v>
      </c>
      <c r="BU492" s="35" t="s">
        <v>7045</v>
      </c>
      <c r="BV492" s="30">
        <v>46935.0</v>
      </c>
      <c r="BW492" s="30">
        <v>47026.0</v>
      </c>
      <c r="BX492" s="36">
        <v>0.0</v>
      </c>
      <c r="BY492" s="36">
        <v>0.0</v>
      </c>
      <c r="BZ492" s="35" t="s">
        <v>7045</v>
      </c>
      <c r="CA492" s="30">
        <v>47027.0</v>
      </c>
      <c r="CB492" s="30">
        <v>47118.0</v>
      </c>
      <c r="CC492" s="36">
        <v>0.0</v>
      </c>
      <c r="CD492" s="36">
        <v>0.0</v>
      </c>
      <c r="CE492" s="35" t="s">
        <v>7045</v>
      </c>
      <c r="CF492" s="30">
        <v>47119.0</v>
      </c>
      <c r="CG492" s="30">
        <v>47208.0</v>
      </c>
      <c r="CH492" s="36">
        <v>0.0</v>
      </c>
      <c r="CI492" s="36">
        <v>0.0</v>
      </c>
      <c r="CJ492" s="35" t="s">
        <v>7045</v>
      </c>
      <c r="CK492" s="30">
        <v>47209.0</v>
      </c>
      <c r="CL492" s="30">
        <v>47299.0</v>
      </c>
      <c r="CM492" s="36">
        <v>0.0</v>
      </c>
      <c r="CN492" s="36">
        <v>0.0</v>
      </c>
      <c r="CO492" s="35" t="s">
        <v>7045</v>
      </c>
      <c r="CP492" s="30">
        <v>47300.0</v>
      </c>
      <c r="CQ492" s="30">
        <v>47391.0</v>
      </c>
      <c r="CR492" s="36">
        <v>0.0</v>
      </c>
      <c r="CS492" s="36">
        <v>0.0</v>
      </c>
      <c r="CT492" s="35" t="s">
        <v>7045</v>
      </c>
      <c r="CU492" s="30">
        <v>47392.0</v>
      </c>
      <c r="CV492" s="30">
        <v>47483.0</v>
      </c>
      <c r="CW492" s="36">
        <v>0.0</v>
      </c>
      <c r="CX492" s="36">
        <v>0.0</v>
      </c>
      <c r="CY492" s="35" t="s">
        <v>7045</v>
      </c>
      <c r="CZ492" s="30">
        <v>47484.0</v>
      </c>
      <c r="DA492" s="30">
        <v>47573.0</v>
      </c>
      <c r="DB492" s="36">
        <v>0.0</v>
      </c>
      <c r="DC492" s="36">
        <v>0.0</v>
      </c>
      <c r="DD492" s="35" t="s">
        <v>7045</v>
      </c>
      <c r="DE492" s="30">
        <v>47574.0</v>
      </c>
      <c r="DF492" s="30">
        <v>47664.0</v>
      </c>
      <c r="DG492" s="36">
        <v>0.0</v>
      </c>
      <c r="DH492" s="36">
        <v>0.0</v>
      </c>
      <c r="DI492" s="35" t="s">
        <v>7045</v>
      </c>
      <c r="DJ492" s="30">
        <v>47665.0</v>
      </c>
      <c r="DK492" s="30">
        <v>47756.0</v>
      </c>
      <c r="DL492" s="36">
        <v>0.0</v>
      </c>
      <c r="DM492" s="36">
        <v>0.0</v>
      </c>
      <c r="DN492" s="35" t="s">
        <v>7045</v>
      </c>
      <c r="DO492" s="30">
        <v>47757.0</v>
      </c>
      <c r="DP492" s="30">
        <v>47848.0</v>
      </c>
      <c r="DQ492" s="36">
        <v>0.0</v>
      </c>
      <c r="DR492" s="36">
        <v>0.0</v>
      </c>
      <c r="DS492" s="35" t="s">
        <v>7045</v>
      </c>
    </row>
    <row r="493" ht="14.25" customHeight="1">
      <c r="A493" s="28" t="s">
        <v>6402</v>
      </c>
      <c r="B493" s="29" t="s">
        <v>6403</v>
      </c>
      <c r="C493" s="29" t="s">
        <v>7041</v>
      </c>
      <c r="D493" s="30">
        <v>45658.0</v>
      </c>
      <c r="E493" s="30">
        <v>45747.0</v>
      </c>
      <c r="F493" s="39">
        <v>0.0</v>
      </c>
      <c r="G493" s="39">
        <v>0.0</v>
      </c>
      <c r="H493" s="35" t="s">
        <v>7045</v>
      </c>
      <c r="I493" s="30">
        <v>45748.0</v>
      </c>
      <c r="J493" s="30">
        <v>45838.0</v>
      </c>
      <c r="K493" s="39">
        <v>4.42</v>
      </c>
      <c r="L493" s="39">
        <v>0.0</v>
      </c>
      <c r="M493" s="38" t="s">
        <v>7047</v>
      </c>
      <c r="N493" s="30">
        <v>45839.0</v>
      </c>
      <c r="O493" s="30">
        <v>45930.0</v>
      </c>
      <c r="P493" s="39">
        <v>4.65</v>
      </c>
      <c r="Q493" s="39">
        <v>150.0</v>
      </c>
      <c r="R493" s="38" t="s">
        <v>7043</v>
      </c>
      <c r="S493" s="30">
        <v>45931.0</v>
      </c>
      <c r="T493" s="30">
        <v>46022.0</v>
      </c>
      <c r="U493" s="39">
        <v>721.0</v>
      </c>
      <c r="V493" s="39">
        <v>216.67</v>
      </c>
      <c r="W493" s="38" t="s">
        <v>7047</v>
      </c>
      <c r="X493" s="30">
        <v>46023.0</v>
      </c>
      <c r="Y493" s="30">
        <v>46112.0</v>
      </c>
      <c r="Z493" s="39">
        <v>30.69</v>
      </c>
      <c r="AA493" s="39">
        <v>0.0</v>
      </c>
      <c r="AB493" s="38" t="s">
        <v>7047</v>
      </c>
      <c r="AC493" s="30">
        <v>46113.0</v>
      </c>
      <c r="AD493" s="30">
        <v>46203.0</v>
      </c>
      <c r="AE493" s="39">
        <v>78.0</v>
      </c>
      <c r="AF493" s="39">
        <v>0.0</v>
      </c>
      <c r="AG493" s="35" t="s">
        <v>7047</v>
      </c>
      <c r="AH493" s="30">
        <v>46204.0</v>
      </c>
      <c r="AI493" s="30">
        <v>46295.0</v>
      </c>
      <c r="AJ493" s="39">
        <v>124.5</v>
      </c>
      <c r="AK493" s="39">
        <v>0.0</v>
      </c>
      <c r="AL493" s="38" t="s">
        <v>7047</v>
      </c>
      <c r="AM493" s="30">
        <v>46296.0</v>
      </c>
      <c r="AN493" s="30">
        <v>46387.0</v>
      </c>
      <c r="AO493" s="39">
        <v>31.0</v>
      </c>
      <c r="AP493" s="39">
        <v>0.0</v>
      </c>
      <c r="AQ493" s="38" t="s">
        <v>7047</v>
      </c>
      <c r="AR493" s="30">
        <v>46388.0</v>
      </c>
      <c r="AS493" s="30">
        <v>46477.0</v>
      </c>
      <c r="AT493" s="39">
        <v>0.0</v>
      </c>
      <c r="AU493" s="39">
        <v>0.0</v>
      </c>
      <c r="AV493" s="35" t="s">
        <v>7045</v>
      </c>
      <c r="AW493" s="30">
        <v>46478.0</v>
      </c>
      <c r="AX493" s="30">
        <v>46568.0</v>
      </c>
      <c r="AY493" s="39">
        <v>0.0</v>
      </c>
      <c r="AZ493" s="39">
        <v>0.0</v>
      </c>
      <c r="BA493" s="35" t="s">
        <v>7045</v>
      </c>
      <c r="BB493" s="30">
        <v>46569.0</v>
      </c>
      <c r="BC493" s="30">
        <v>46660.0</v>
      </c>
      <c r="BD493" s="39">
        <v>0.0</v>
      </c>
      <c r="BE493" s="39">
        <v>0.0</v>
      </c>
      <c r="BF493" s="35" t="s">
        <v>7045</v>
      </c>
      <c r="BG493" s="30">
        <v>46661.0</v>
      </c>
      <c r="BH493" s="30">
        <v>46752.0</v>
      </c>
      <c r="BI493" s="39">
        <v>0.0</v>
      </c>
      <c r="BJ493" s="39">
        <v>0.0</v>
      </c>
      <c r="BK493" s="35" t="s">
        <v>7045</v>
      </c>
      <c r="BL493" s="30">
        <v>46753.0</v>
      </c>
      <c r="BM493" s="30">
        <v>46843.0</v>
      </c>
      <c r="BN493" s="39">
        <v>0.0</v>
      </c>
      <c r="BO493" s="39">
        <v>0.0</v>
      </c>
      <c r="BP493" s="35" t="s">
        <v>7045</v>
      </c>
      <c r="BQ493" s="30">
        <v>46844.0</v>
      </c>
      <c r="BR493" s="30">
        <v>46934.0</v>
      </c>
      <c r="BS493" s="39">
        <v>0.0</v>
      </c>
      <c r="BT493" s="39">
        <v>0.0</v>
      </c>
      <c r="BU493" s="35" t="s">
        <v>7045</v>
      </c>
      <c r="BV493" s="30">
        <v>46935.0</v>
      </c>
      <c r="BW493" s="30">
        <v>47026.0</v>
      </c>
      <c r="BX493" s="39">
        <v>0.0</v>
      </c>
      <c r="BY493" s="39">
        <v>0.0</v>
      </c>
      <c r="BZ493" s="35" t="s">
        <v>7045</v>
      </c>
      <c r="CA493" s="30">
        <v>47027.0</v>
      </c>
      <c r="CB493" s="30">
        <v>47118.0</v>
      </c>
      <c r="CC493" s="39">
        <v>0.0</v>
      </c>
      <c r="CD493" s="39">
        <v>0.0</v>
      </c>
      <c r="CE493" s="35" t="s">
        <v>7045</v>
      </c>
      <c r="CF493" s="30">
        <v>47119.0</v>
      </c>
      <c r="CG493" s="30">
        <v>47208.0</v>
      </c>
      <c r="CH493" s="39">
        <v>0.0</v>
      </c>
      <c r="CI493" s="39">
        <v>0.0</v>
      </c>
      <c r="CJ493" s="35" t="s">
        <v>7045</v>
      </c>
      <c r="CK493" s="30">
        <v>47209.0</v>
      </c>
      <c r="CL493" s="30">
        <v>47299.0</v>
      </c>
      <c r="CM493" s="39">
        <v>0.0</v>
      </c>
      <c r="CN493" s="39">
        <v>0.0</v>
      </c>
      <c r="CO493" s="35" t="s">
        <v>7045</v>
      </c>
      <c r="CP493" s="30">
        <v>47300.0</v>
      </c>
      <c r="CQ493" s="30">
        <v>47391.0</v>
      </c>
      <c r="CR493" s="39">
        <v>0.0</v>
      </c>
      <c r="CS493" s="39">
        <v>0.0</v>
      </c>
      <c r="CT493" s="35" t="s">
        <v>7045</v>
      </c>
      <c r="CU493" s="30">
        <v>47392.0</v>
      </c>
      <c r="CV493" s="30">
        <v>47483.0</v>
      </c>
      <c r="CW493" s="39">
        <v>0.0</v>
      </c>
      <c r="CX493" s="39">
        <v>0.0</v>
      </c>
      <c r="CY493" s="35" t="s">
        <v>7045</v>
      </c>
      <c r="CZ493" s="30">
        <v>47484.0</v>
      </c>
      <c r="DA493" s="30">
        <v>47573.0</v>
      </c>
      <c r="DB493" s="39">
        <v>0.0</v>
      </c>
      <c r="DC493" s="39">
        <v>0.0</v>
      </c>
      <c r="DD493" s="35" t="s">
        <v>7045</v>
      </c>
      <c r="DE493" s="30">
        <v>47574.0</v>
      </c>
      <c r="DF493" s="30">
        <v>47664.0</v>
      </c>
      <c r="DG493" s="39">
        <v>0.0</v>
      </c>
      <c r="DH493" s="39">
        <v>0.0</v>
      </c>
      <c r="DI493" s="35" t="s">
        <v>7045</v>
      </c>
      <c r="DJ493" s="30">
        <v>47665.0</v>
      </c>
      <c r="DK493" s="30">
        <v>47756.0</v>
      </c>
      <c r="DL493" s="39">
        <v>0.0</v>
      </c>
      <c r="DM493" s="39">
        <v>0.0</v>
      </c>
      <c r="DN493" s="35" t="s">
        <v>7045</v>
      </c>
      <c r="DO493" s="30">
        <v>47757.0</v>
      </c>
      <c r="DP493" s="30">
        <v>47848.0</v>
      </c>
      <c r="DQ493" s="39">
        <v>0.0</v>
      </c>
      <c r="DR493" s="39">
        <v>0.0</v>
      </c>
      <c r="DS493" s="35" t="s">
        <v>7045</v>
      </c>
    </row>
    <row r="494" ht="14.25" customHeight="1">
      <c r="A494" s="28" t="s">
        <v>2719</v>
      </c>
      <c r="B494" s="29" t="s">
        <v>2720</v>
      </c>
      <c r="C494" s="29" t="s">
        <v>7041</v>
      </c>
      <c r="D494" s="30">
        <v>45658.0</v>
      </c>
      <c r="E494" s="30">
        <v>45747.0</v>
      </c>
      <c r="F494" s="36">
        <v>0.0</v>
      </c>
      <c r="G494" s="36">
        <v>0.0</v>
      </c>
      <c r="H494" s="35" t="s">
        <v>7045</v>
      </c>
      <c r="I494" s="30">
        <v>45748.0</v>
      </c>
      <c r="J494" s="30">
        <v>45838.0</v>
      </c>
      <c r="K494" s="36">
        <v>7.57</v>
      </c>
      <c r="L494" s="36">
        <v>0.0</v>
      </c>
      <c r="M494" s="38" t="s">
        <v>7047</v>
      </c>
      <c r="N494" s="30">
        <v>45839.0</v>
      </c>
      <c r="O494" s="30">
        <v>45930.0</v>
      </c>
      <c r="P494" s="36">
        <v>86.56</v>
      </c>
      <c r="Q494" s="36">
        <v>133.32</v>
      </c>
      <c r="R494" s="38" t="s">
        <v>7047</v>
      </c>
      <c r="S494" s="30">
        <v>45931.0</v>
      </c>
      <c r="T494" s="30">
        <v>46022.0</v>
      </c>
      <c r="U494" s="36">
        <v>489.0</v>
      </c>
      <c r="V494" s="36">
        <v>599.98</v>
      </c>
      <c r="W494" s="38" t="s">
        <v>7047</v>
      </c>
      <c r="X494" s="30">
        <v>46023.0</v>
      </c>
      <c r="Y494" s="30">
        <v>46112.0</v>
      </c>
      <c r="Z494" s="36">
        <v>95.0</v>
      </c>
      <c r="AA494" s="36">
        <v>0.0</v>
      </c>
      <c r="AB494" s="35" t="s">
        <v>7047</v>
      </c>
      <c r="AC494" s="30">
        <v>46113.0</v>
      </c>
      <c r="AD494" s="30">
        <v>46203.0</v>
      </c>
      <c r="AE494" s="36">
        <v>0.0</v>
      </c>
      <c r="AF494" s="36">
        <v>0.0</v>
      </c>
      <c r="AG494" s="35" t="s">
        <v>7045</v>
      </c>
      <c r="AH494" s="30">
        <v>46204.0</v>
      </c>
      <c r="AI494" s="30">
        <v>46295.0</v>
      </c>
      <c r="AJ494" s="36">
        <v>0.0</v>
      </c>
      <c r="AK494" s="36">
        <v>0.0</v>
      </c>
      <c r="AL494" s="35" t="s">
        <v>7045</v>
      </c>
      <c r="AM494" s="30">
        <v>46296.0</v>
      </c>
      <c r="AN494" s="30">
        <v>46387.0</v>
      </c>
      <c r="AO494" s="36">
        <v>0.0</v>
      </c>
      <c r="AP494" s="36">
        <v>0.0</v>
      </c>
      <c r="AQ494" s="35" t="s">
        <v>7045</v>
      </c>
      <c r="AR494" s="30">
        <v>46388.0</v>
      </c>
      <c r="AS494" s="30">
        <v>46477.0</v>
      </c>
      <c r="AT494" s="36">
        <v>0.0</v>
      </c>
      <c r="AU494" s="36">
        <v>0.0</v>
      </c>
      <c r="AV494" s="35" t="s">
        <v>7045</v>
      </c>
      <c r="AW494" s="30">
        <v>46478.0</v>
      </c>
      <c r="AX494" s="30">
        <v>46568.0</v>
      </c>
      <c r="AY494" s="36">
        <v>0.0</v>
      </c>
      <c r="AZ494" s="36">
        <v>0.0</v>
      </c>
      <c r="BA494" s="35" t="s">
        <v>7045</v>
      </c>
      <c r="BB494" s="30">
        <v>46569.0</v>
      </c>
      <c r="BC494" s="30">
        <v>46660.0</v>
      </c>
      <c r="BD494" s="36">
        <v>0.0</v>
      </c>
      <c r="BE494" s="36">
        <v>0.0</v>
      </c>
      <c r="BF494" s="35" t="s">
        <v>7045</v>
      </c>
      <c r="BG494" s="30">
        <v>46661.0</v>
      </c>
      <c r="BH494" s="30">
        <v>46752.0</v>
      </c>
      <c r="BI494" s="36">
        <v>0.0</v>
      </c>
      <c r="BJ494" s="36">
        <v>0.0</v>
      </c>
      <c r="BK494" s="35" t="s">
        <v>7045</v>
      </c>
      <c r="BL494" s="30">
        <v>46753.0</v>
      </c>
      <c r="BM494" s="30">
        <v>46843.0</v>
      </c>
      <c r="BN494" s="36">
        <v>0.0</v>
      </c>
      <c r="BO494" s="36">
        <v>0.0</v>
      </c>
      <c r="BP494" s="35" t="s">
        <v>7045</v>
      </c>
      <c r="BQ494" s="30">
        <v>46844.0</v>
      </c>
      <c r="BR494" s="30">
        <v>46934.0</v>
      </c>
      <c r="BS494" s="36">
        <v>0.0</v>
      </c>
      <c r="BT494" s="36">
        <v>0.0</v>
      </c>
      <c r="BU494" s="35" t="s">
        <v>7045</v>
      </c>
      <c r="BV494" s="30">
        <v>46935.0</v>
      </c>
      <c r="BW494" s="30">
        <v>47026.0</v>
      </c>
      <c r="BX494" s="36">
        <v>0.0</v>
      </c>
      <c r="BY494" s="36">
        <v>0.0</v>
      </c>
      <c r="BZ494" s="35" t="s">
        <v>7045</v>
      </c>
      <c r="CA494" s="30">
        <v>47027.0</v>
      </c>
      <c r="CB494" s="30">
        <v>47118.0</v>
      </c>
      <c r="CC494" s="36">
        <v>0.0</v>
      </c>
      <c r="CD494" s="36">
        <v>0.0</v>
      </c>
      <c r="CE494" s="35" t="s">
        <v>7045</v>
      </c>
      <c r="CF494" s="30">
        <v>47119.0</v>
      </c>
      <c r="CG494" s="30">
        <v>47208.0</v>
      </c>
      <c r="CH494" s="36">
        <v>0.0</v>
      </c>
      <c r="CI494" s="36">
        <v>0.0</v>
      </c>
      <c r="CJ494" s="35" t="s">
        <v>7045</v>
      </c>
      <c r="CK494" s="30">
        <v>47209.0</v>
      </c>
      <c r="CL494" s="30">
        <v>47299.0</v>
      </c>
      <c r="CM494" s="36">
        <v>0.0</v>
      </c>
      <c r="CN494" s="36">
        <v>0.0</v>
      </c>
      <c r="CO494" s="35" t="s">
        <v>7045</v>
      </c>
      <c r="CP494" s="30">
        <v>47300.0</v>
      </c>
      <c r="CQ494" s="30">
        <v>47391.0</v>
      </c>
      <c r="CR494" s="36">
        <v>0.0</v>
      </c>
      <c r="CS494" s="36">
        <v>0.0</v>
      </c>
      <c r="CT494" s="35" t="s">
        <v>7045</v>
      </c>
      <c r="CU494" s="30">
        <v>47392.0</v>
      </c>
      <c r="CV494" s="30">
        <v>47483.0</v>
      </c>
      <c r="CW494" s="36">
        <v>0.0</v>
      </c>
      <c r="CX494" s="36">
        <v>0.0</v>
      </c>
      <c r="CY494" s="35" t="s">
        <v>7045</v>
      </c>
      <c r="CZ494" s="30">
        <v>47484.0</v>
      </c>
      <c r="DA494" s="30">
        <v>47573.0</v>
      </c>
      <c r="DB494" s="36">
        <v>0.0</v>
      </c>
      <c r="DC494" s="36">
        <v>0.0</v>
      </c>
      <c r="DD494" s="35" t="s">
        <v>7045</v>
      </c>
      <c r="DE494" s="30">
        <v>47574.0</v>
      </c>
      <c r="DF494" s="30">
        <v>47664.0</v>
      </c>
      <c r="DG494" s="36">
        <v>0.0</v>
      </c>
      <c r="DH494" s="36">
        <v>0.0</v>
      </c>
      <c r="DI494" s="35" t="s">
        <v>7045</v>
      </c>
      <c r="DJ494" s="30">
        <v>47665.0</v>
      </c>
      <c r="DK494" s="30">
        <v>47756.0</v>
      </c>
      <c r="DL494" s="36">
        <v>0.0</v>
      </c>
      <c r="DM494" s="36">
        <v>0.0</v>
      </c>
      <c r="DN494" s="35" t="s">
        <v>7045</v>
      </c>
      <c r="DO494" s="30">
        <v>47757.0</v>
      </c>
      <c r="DP494" s="30">
        <v>47848.0</v>
      </c>
      <c r="DQ494" s="36">
        <v>0.0</v>
      </c>
      <c r="DR494" s="36">
        <v>0.0</v>
      </c>
      <c r="DS494" s="35" t="s">
        <v>7045</v>
      </c>
    </row>
    <row r="495" ht="14.25" customHeight="1">
      <c r="A495" s="28" t="s">
        <v>2301</v>
      </c>
      <c r="B495" s="29" t="s">
        <v>2302</v>
      </c>
      <c r="C495" s="29" t="s">
        <v>7041</v>
      </c>
      <c r="D495" s="30">
        <v>45658.0</v>
      </c>
      <c r="E495" s="30">
        <v>45747.0</v>
      </c>
      <c r="F495" s="36">
        <v>0.0</v>
      </c>
      <c r="G495" s="36">
        <v>0.0</v>
      </c>
      <c r="H495" s="35" t="s">
        <v>7045</v>
      </c>
      <c r="I495" s="30">
        <v>45748.0</v>
      </c>
      <c r="J495" s="30">
        <v>45838.0</v>
      </c>
      <c r="K495" s="36">
        <v>21.0</v>
      </c>
      <c r="L495" s="36">
        <v>0.0</v>
      </c>
      <c r="M495" s="38" t="s">
        <v>7047</v>
      </c>
      <c r="N495" s="30">
        <v>45839.0</v>
      </c>
      <c r="O495" s="30">
        <v>45930.0</v>
      </c>
      <c r="P495" s="36">
        <v>4.67</v>
      </c>
      <c r="Q495" s="36">
        <v>183.34</v>
      </c>
      <c r="R495" s="38" t="s">
        <v>7047</v>
      </c>
      <c r="S495" s="30">
        <v>45931.0</v>
      </c>
      <c r="T495" s="30">
        <v>46022.0</v>
      </c>
      <c r="U495" s="36">
        <v>20.0</v>
      </c>
      <c r="V495" s="36">
        <v>216.66</v>
      </c>
      <c r="W495" s="38" t="s">
        <v>7047</v>
      </c>
      <c r="X495" s="30">
        <v>46023.0</v>
      </c>
      <c r="Y495" s="30">
        <v>46112.0</v>
      </c>
      <c r="Z495" s="36">
        <v>49.0</v>
      </c>
      <c r="AA495" s="36">
        <v>0.0</v>
      </c>
      <c r="AB495" s="38" t="s">
        <v>7047</v>
      </c>
      <c r="AC495" s="30">
        <v>46113.0</v>
      </c>
      <c r="AD495" s="30">
        <v>46203.0</v>
      </c>
      <c r="AE495" s="36">
        <v>1.72</v>
      </c>
      <c r="AF495" s="36">
        <v>0.0</v>
      </c>
      <c r="AG495" s="38" t="s">
        <v>7047</v>
      </c>
      <c r="AH495" s="30">
        <v>46204.0</v>
      </c>
      <c r="AI495" s="30">
        <v>46295.0</v>
      </c>
      <c r="AJ495" s="36">
        <v>0.0</v>
      </c>
      <c r="AK495" s="36">
        <v>0.0</v>
      </c>
      <c r="AL495" s="35" t="s">
        <v>7045</v>
      </c>
      <c r="AM495" s="30">
        <v>46296.0</v>
      </c>
      <c r="AN495" s="30">
        <v>46387.0</v>
      </c>
      <c r="AO495" s="36">
        <v>0.0</v>
      </c>
      <c r="AP495" s="36">
        <v>0.0</v>
      </c>
      <c r="AQ495" s="35" t="s">
        <v>7045</v>
      </c>
      <c r="AR495" s="30">
        <v>46388.0</v>
      </c>
      <c r="AS495" s="30">
        <v>46477.0</v>
      </c>
      <c r="AT495" s="36">
        <v>0.0</v>
      </c>
      <c r="AU495" s="36">
        <v>0.0</v>
      </c>
      <c r="AV495" s="35" t="s">
        <v>7045</v>
      </c>
      <c r="AW495" s="30">
        <v>46478.0</v>
      </c>
      <c r="AX495" s="30">
        <v>46568.0</v>
      </c>
      <c r="AY495" s="36">
        <v>0.0</v>
      </c>
      <c r="AZ495" s="36">
        <v>0.0</v>
      </c>
      <c r="BA495" s="35" t="s">
        <v>7045</v>
      </c>
      <c r="BB495" s="30">
        <v>46569.0</v>
      </c>
      <c r="BC495" s="30">
        <v>46660.0</v>
      </c>
      <c r="BD495" s="36">
        <v>0.0</v>
      </c>
      <c r="BE495" s="36">
        <v>0.0</v>
      </c>
      <c r="BF495" s="35" t="s">
        <v>7045</v>
      </c>
      <c r="BG495" s="30">
        <v>46661.0</v>
      </c>
      <c r="BH495" s="30">
        <v>46752.0</v>
      </c>
      <c r="BI495" s="36">
        <v>0.0</v>
      </c>
      <c r="BJ495" s="36">
        <v>0.0</v>
      </c>
      <c r="BK495" s="35" t="s">
        <v>7045</v>
      </c>
      <c r="BL495" s="30">
        <v>46753.0</v>
      </c>
      <c r="BM495" s="30">
        <v>46843.0</v>
      </c>
      <c r="BN495" s="36">
        <v>0.0</v>
      </c>
      <c r="BO495" s="36">
        <v>0.0</v>
      </c>
      <c r="BP495" s="35" t="s">
        <v>7045</v>
      </c>
      <c r="BQ495" s="30">
        <v>46844.0</v>
      </c>
      <c r="BR495" s="30">
        <v>46934.0</v>
      </c>
      <c r="BS495" s="36">
        <v>0.0</v>
      </c>
      <c r="BT495" s="36">
        <v>0.0</v>
      </c>
      <c r="BU495" s="35" t="s">
        <v>7045</v>
      </c>
      <c r="BV495" s="30">
        <v>46935.0</v>
      </c>
      <c r="BW495" s="30">
        <v>47026.0</v>
      </c>
      <c r="BX495" s="36">
        <v>0.0</v>
      </c>
      <c r="BY495" s="36">
        <v>0.0</v>
      </c>
      <c r="BZ495" s="35" t="s">
        <v>7045</v>
      </c>
      <c r="CA495" s="30">
        <v>47027.0</v>
      </c>
      <c r="CB495" s="30">
        <v>47118.0</v>
      </c>
      <c r="CC495" s="36">
        <v>0.0</v>
      </c>
      <c r="CD495" s="36">
        <v>0.0</v>
      </c>
      <c r="CE495" s="35" t="s">
        <v>7045</v>
      </c>
      <c r="CF495" s="30">
        <v>47119.0</v>
      </c>
      <c r="CG495" s="30">
        <v>47208.0</v>
      </c>
      <c r="CH495" s="36">
        <v>0.0</v>
      </c>
      <c r="CI495" s="36">
        <v>0.0</v>
      </c>
      <c r="CJ495" s="35" t="s">
        <v>7045</v>
      </c>
      <c r="CK495" s="30">
        <v>47209.0</v>
      </c>
      <c r="CL495" s="30">
        <v>47299.0</v>
      </c>
      <c r="CM495" s="36">
        <v>0.0</v>
      </c>
      <c r="CN495" s="36">
        <v>0.0</v>
      </c>
      <c r="CO495" s="35" t="s">
        <v>7045</v>
      </c>
      <c r="CP495" s="30">
        <v>47300.0</v>
      </c>
      <c r="CQ495" s="30">
        <v>47391.0</v>
      </c>
      <c r="CR495" s="36">
        <v>0.0</v>
      </c>
      <c r="CS495" s="36">
        <v>0.0</v>
      </c>
      <c r="CT495" s="35" t="s">
        <v>7045</v>
      </c>
      <c r="CU495" s="30">
        <v>47392.0</v>
      </c>
      <c r="CV495" s="30">
        <v>47483.0</v>
      </c>
      <c r="CW495" s="36">
        <v>0.0</v>
      </c>
      <c r="CX495" s="36">
        <v>0.0</v>
      </c>
      <c r="CY495" s="35" t="s">
        <v>7045</v>
      </c>
      <c r="CZ495" s="30">
        <v>47484.0</v>
      </c>
      <c r="DA495" s="30">
        <v>47573.0</v>
      </c>
      <c r="DB495" s="36">
        <v>0.0</v>
      </c>
      <c r="DC495" s="36">
        <v>0.0</v>
      </c>
      <c r="DD495" s="35" t="s">
        <v>7045</v>
      </c>
      <c r="DE495" s="30">
        <v>47574.0</v>
      </c>
      <c r="DF495" s="30">
        <v>47664.0</v>
      </c>
      <c r="DG495" s="36">
        <v>0.0</v>
      </c>
      <c r="DH495" s="36">
        <v>0.0</v>
      </c>
      <c r="DI495" s="35" t="s">
        <v>7045</v>
      </c>
      <c r="DJ495" s="30">
        <v>47665.0</v>
      </c>
      <c r="DK495" s="30">
        <v>47756.0</v>
      </c>
      <c r="DL495" s="36">
        <v>0.0</v>
      </c>
      <c r="DM495" s="36">
        <v>0.0</v>
      </c>
      <c r="DN495" s="35" t="s">
        <v>7045</v>
      </c>
      <c r="DO495" s="30">
        <v>47757.0</v>
      </c>
      <c r="DP495" s="30">
        <v>47848.0</v>
      </c>
      <c r="DQ495" s="36">
        <v>0.0</v>
      </c>
      <c r="DR495" s="36">
        <v>0.0</v>
      </c>
      <c r="DS495" s="35" t="s">
        <v>7045</v>
      </c>
    </row>
    <row r="496" ht="14.25" customHeight="1">
      <c r="A496" s="28" t="s">
        <v>3120</v>
      </c>
      <c r="B496" s="29" t="s">
        <v>3121</v>
      </c>
      <c r="C496" s="29" t="s">
        <v>7041</v>
      </c>
      <c r="D496" s="30">
        <v>45658.0</v>
      </c>
      <c r="E496" s="30">
        <v>45747.0</v>
      </c>
      <c r="F496" s="36">
        <v>0.0</v>
      </c>
      <c r="G496" s="36">
        <v>0.0</v>
      </c>
      <c r="H496" s="35" t="s">
        <v>7045</v>
      </c>
      <c r="I496" s="30">
        <v>45748.0</v>
      </c>
      <c r="J496" s="30">
        <v>45838.0</v>
      </c>
      <c r="K496" s="36">
        <v>80.0</v>
      </c>
      <c r="L496" s="36">
        <v>0.0</v>
      </c>
      <c r="M496" s="38" t="s">
        <v>7047</v>
      </c>
      <c r="N496" s="30">
        <v>45839.0</v>
      </c>
      <c r="O496" s="30">
        <v>45930.0</v>
      </c>
      <c r="P496" s="36">
        <v>80.0</v>
      </c>
      <c r="Q496" s="36">
        <v>333.35</v>
      </c>
      <c r="R496" s="38" t="s">
        <v>7047</v>
      </c>
      <c r="S496" s="30">
        <v>45931.0</v>
      </c>
      <c r="T496" s="30">
        <v>46022.0</v>
      </c>
      <c r="U496" s="36">
        <v>479.99</v>
      </c>
      <c r="V496" s="36">
        <v>666.65</v>
      </c>
      <c r="W496" s="38" t="s">
        <v>7047</v>
      </c>
      <c r="X496" s="30">
        <v>46023.0</v>
      </c>
      <c r="Y496" s="30">
        <v>46112.0</v>
      </c>
      <c r="Z496" s="36">
        <v>0.0</v>
      </c>
      <c r="AA496" s="36">
        <v>0.0</v>
      </c>
      <c r="AB496" s="35" t="s">
        <v>7045</v>
      </c>
      <c r="AC496" s="30">
        <v>46113.0</v>
      </c>
      <c r="AD496" s="30">
        <v>46203.0</v>
      </c>
      <c r="AE496" s="36">
        <v>84.5</v>
      </c>
      <c r="AF496" s="36">
        <v>0.0</v>
      </c>
      <c r="AG496" s="35" t="s">
        <v>7047</v>
      </c>
      <c r="AH496" s="30">
        <v>46204.0</v>
      </c>
      <c r="AI496" s="30">
        <v>46295.0</v>
      </c>
      <c r="AJ496" s="36">
        <v>30.0</v>
      </c>
      <c r="AK496" s="36">
        <v>0.0</v>
      </c>
      <c r="AL496" s="38" t="s">
        <v>7047</v>
      </c>
      <c r="AM496" s="30">
        <v>46296.0</v>
      </c>
      <c r="AN496" s="30">
        <v>46387.0</v>
      </c>
      <c r="AO496" s="36">
        <v>0.0</v>
      </c>
      <c r="AP496" s="36">
        <v>0.0</v>
      </c>
      <c r="AQ496" s="35" t="s">
        <v>7045</v>
      </c>
      <c r="AR496" s="30">
        <v>46388.0</v>
      </c>
      <c r="AS496" s="30">
        <v>46477.0</v>
      </c>
      <c r="AT496" s="36">
        <v>0.0</v>
      </c>
      <c r="AU496" s="36">
        <v>0.0</v>
      </c>
      <c r="AV496" s="35" t="s">
        <v>7045</v>
      </c>
      <c r="AW496" s="30">
        <v>46478.0</v>
      </c>
      <c r="AX496" s="30">
        <v>46568.0</v>
      </c>
      <c r="AY496" s="36">
        <v>0.0</v>
      </c>
      <c r="AZ496" s="36">
        <v>0.0</v>
      </c>
      <c r="BA496" s="35" t="s">
        <v>7045</v>
      </c>
      <c r="BB496" s="30">
        <v>46569.0</v>
      </c>
      <c r="BC496" s="30">
        <v>46660.0</v>
      </c>
      <c r="BD496" s="36">
        <v>0.0</v>
      </c>
      <c r="BE496" s="36">
        <v>0.0</v>
      </c>
      <c r="BF496" s="35" t="s">
        <v>7045</v>
      </c>
      <c r="BG496" s="30">
        <v>46661.0</v>
      </c>
      <c r="BH496" s="30">
        <v>46752.0</v>
      </c>
      <c r="BI496" s="36">
        <v>0.0</v>
      </c>
      <c r="BJ496" s="36">
        <v>0.0</v>
      </c>
      <c r="BK496" s="35" t="s">
        <v>7045</v>
      </c>
      <c r="BL496" s="30">
        <v>46753.0</v>
      </c>
      <c r="BM496" s="30">
        <v>46843.0</v>
      </c>
      <c r="BN496" s="36">
        <v>0.0</v>
      </c>
      <c r="BO496" s="36">
        <v>0.0</v>
      </c>
      <c r="BP496" s="35" t="s">
        <v>7045</v>
      </c>
      <c r="BQ496" s="30">
        <v>46844.0</v>
      </c>
      <c r="BR496" s="30">
        <v>46934.0</v>
      </c>
      <c r="BS496" s="36">
        <v>0.0</v>
      </c>
      <c r="BT496" s="36">
        <v>0.0</v>
      </c>
      <c r="BU496" s="35" t="s">
        <v>7045</v>
      </c>
      <c r="BV496" s="30">
        <v>46935.0</v>
      </c>
      <c r="BW496" s="30">
        <v>47026.0</v>
      </c>
      <c r="BX496" s="36">
        <v>0.0</v>
      </c>
      <c r="BY496" s="36">
        <v>0.0</v>
      </c>
      <c r="BZ496" s="35" t="s">
        <v>7045</v>
      </c>
      <c r="CA496" s="30">
        <v>47027.0</v>
      </c>
      <c r="CB496" s="30">
        <v>47118.0</v>
      </c>
      <c r="CC496" s="36">
        <v>0.0</v>
      </c>
      <c r="CD496" s="36">
        <v>0.0</v>
      </c>
      <c r="CE496" s="35" t="s">
        <v>7045</v>
      </c>
      <c r="CF496" s="30">
        <v>47119.0</v>
      </c>
      <c r="CG496" s="30">
        <v>47208.0</v>
      </c>
      <c r="CH496" s="36">
        <v>0.0</v>
      </c>
      <c r="CI496" s="36">
        <v>0.0</v>
      </c>
      <c r="CJ496" s="35" t="s">
        <v>7045</v>
      </c>
      <c r="CK496" s="30">
        <v>47209.0</v>
      </c>
      <c r="CL496" s="30">
        <v>47299.0</v>
      </c>
      <c r="CM496" s="36">
        <v>0.0</v>
      </c>
      <c r="CN496" s="36">
        <v>0.0</v>
      </c>
      <c r="CO496" s="35" t="s">
        <v>7045</v>
      </c>
      <c r="CP496" s="30">
        <v>47300.0</v>
      </c>
      <c r="CQ496" s="30">
        <v>47391.0</v>
      </c>
      <c r="CR496" s="36">
        <v>0.0</v>
      </c>
      <c r="CS496" s="36">
        <v>0.0</v>
      </c>
      <c r="CT496" s="35" t="s">
        <v>7045</v>
      </c>
      <c r="CU496" s="30">
        <v>47392.0</v>
      </c>
      <c r="CV496" s="30">
        <v>47483.0</v>
      </c>
      <c r="CW496" s="36">
        <v>0.0</v>
      </c>
      <c r="CX496" s="36">
        <v>0.0</v>
      </c>
      <c r="CY496" s="35" t="s">
        <v>7045</v>
      </c>
      <c r="CZ496" s="30">
        <v>47484.0</v>
      </c>
      <c r="DA496" s="30">
        <v>47573.0</v>
      </c>
      <c r="DB496" s="36">
        <v>0.0</v>
      </c>
      <c r="DC496" s="36">
        <v>0.0</v>
      </c>
      <c r="DD496" s="35" t="s">
        <v>7045</v>
      </c>
      <c r="DE496" s="30">
        <v>47574.0</v>
      </c>
      <c r="DF496" s="30">
        <v>47664.0</v>
      </c>
      <c r="DG496" s="36">
        <v>0.0</v>
      </c>
      <c r="DH496" s="36">
        <v>0.0</v>
      </c>
      <c r="DI496" s="35" t="s">
        <v>7045</v>
      </c>
      <c r="DJ496" s="30">
        <v>47665.0</v>
      </c>
      <c r="DK496" s="30">
        <v>47756.0</v>
      </c>
      <c r="DL496" s="36">
        <v>0.0</v>
      </c>
      <c r="DM496" s="36">
        <v>0.0</v>
      </c>
      <c r="DN496" s="35" t="s">
        <v>7045</v>
      </c>
      <c r="DO496" s="30">
        <v>47757.0</v>
      </c>
      <c r="DP496" s="30">
        <v>47848.0</v>
      </c>
      <c r="DQ496" s="36">
        <v>0.0</v>
      </c>
      <c r="DR496" s="36">
        <v>0.0</v>
      </c>
      <c r="DS496" s="35" t="s">
        <v>7045</v>
      </c>
    </row>
    <row r="497" ht="14.25" customHeight="1">
      <c r="A497" s="28" t="s">
        <v>7022</v>
      </c>
      <c r="B497" s="29" t="s">
        <v>7023</v>
      </c>
      <c r="C497" s="29" t="s">
        <v>7041</v>
      </c>
      <c r="D497" s="30">
        <v>45658.0</v>
      </c>
      <c r="E497" s="30">
        <v>45747.0</v>
      </c>
      <c r="F497" s="36">
        <v>9.73</v>
      </c>
      <c r="G497" s="36">
        <v>0.0</v>
      </c>
      <c r="H497" s="38" t="s">
        <v>7047</v>
      </c>
      <c r="I497" s="30">
        <v>45748.0</v>
      </c>
      <c r="J497" s="30">
        <v>45838.0</v>
      </c>
      <c r="K497" s="36">
        <v>1.25</v>
      </c>
      <c r="L497" s="36">
        <v>0.0</v>
      </c>
      <c r="M497" s="38" t="s">
        <v>7047</v>
      </c>
      <c r="N497" s="30">
        <v>45839.0</v>
      </c>
      <c r="O497" s="30">
        <v>45930.0</v>
      </c>
      <c r="P497" s="36">
        <v>33.58</v>
      </c>
      <c r="Q497" s="36">
        <v>466.67</v>
      </c>
      <c r="R497" s="38" t="s">
        <v>7047</v>
      </c>
      <c r="S497" s="30">
        <v>45931.0</v>
      </c>
      <c r="T497" s="30">
        <v>46022.0</v>
      </c>
      <c r="U497" s="36">
        <v>205.0</v>
      </c>
      <c r="V497" s="36">
        <v>499.98</v>
      </c>
      <c r="W497" s="38" t="s">
        <v>7047</v>
      </c>
      <c r="X497" s="30">
        <v>46023.0</v>
      </c>
      <c r="Y497" s="30">
        <v>46112.0</v>
      </c>
      <c r="Z497" s="36">
        <v>59.73</v>
      </c>
      <c r="AA497" s="36">
        <v>0.0</v>
      </c>
      <c r="AB497" s="38" t="s">
        <v>7047</v>
      </c>
      <c r="AC497" s="30">
        <v>46113.0</v>
      </c>
      <c r="AD497" s="30">
        <v>46203.0</v>
      </c>
      <c r="AE497" s="36">
        <v>0.0</v>
      </c>
      <c r="AF497" s="36">
        <v>0.0</v>
      </c>
      <c r="AG497" s="35" t="s">
        <v>7045</v>
      </c>
      <c r="AH497" s="30">
        <v>46204.0</v>
      </c>
      <c r="AI497" s="30">
        <v>46295.0</v>
      </c>
      <c r="AJ497" s="36">
        <v>0.0</v>
      </c>
      <c r="AK497" s="36">
        <v>0.0</v>
      </c>
      <c r="AL497" s="35" t="s">
        <v>7045</v>
      </c>
      <c r="AM497" s="30">
        <v>46296.0</v>
      </c>
      <c r="AN497" s="30">
        <v>46387.0</v>
      </c>
      <c r="AO497" s="36">
        <v>0.0</v>
      </c>
      <c r="AP497" s="36">
        <v>0.0</v>
      </c>
      <c r="AQ497" s="35" t="s">
        <v>7045</v>
      </c>
      <c r="AR497" s="30">
        <v>46388.0</v>
      </c>
      <c r="AS497" s="30">
        <v>46477.0</v>
      </c>
      <c r="AT497" s="36">
        <v>0.0</v>
      </c>
      <c r="AU497" s="36">
        <v>0.0</v>
      </c>
      <c r="AV497" s="35" t="s">
        <v>7045</v>
      </c>
      <c r="AW497" s="30">
        <v>46478.0</v>
      </c>
      <c r="AX497" s="30">
        <v>46568.0</v>
      </c>
      <c r="AY497" s="36">
        <v>0.0</v>
      </c>
      <c r="AZ497" s="36">
        <v>0.0</v>
      </c>
      <c r="BA497" s="35" t="s">
        <v>7045</v>
      </c>
      <c r="BB497" s="30">
        <v>46569.0</v>
      </c>
      <c r="BC497" s="30">
        <v>46660.0</v>
      </c>
      <c r="BD497" s="36">
        <v>0.0</v>
      </c>
      <c r="BE497" s="36">
        <v>0.0</v>
      </c>
      <c r="BF497" s="35" t="s">
        <v>7045</v>
      </c>
      <c r="BG497" s="30">
        <v>46661.0</v>
      </c>
      <c r="BH497" s="30">
        <v>46752.0</v>
      </c>
      <c r="BI497" s="36">
        <v>0.0</v>
      </c>
      <c r="BJ497" s="36">
        <v>0.0</v>
      </c>
      <c r="BK497" s="35" t="s">
        <v>7045</v>
      </c>
      <c r="BL497" s="30">
        <v>46753.0</v>
      </c>
      <c r="BM497" s="30">
        <v>46843.0</v>
      </c>
      <c r="BN497" s="36">
        <v>0.0</v>
      </c>
      <c r="BO497" s="36">
        <v>0.0</v>
      </c>
      <c r="BP497" s="35" t="s">
        <v>7045</v>
      </c>
      <c r="BQ497" s="30">
        <v>46844.0</v>
      </c>
      <c r="BR497" s="30">
        <v>46934.0</v>
      </c>
      <c r="BS497" s="36">
        <v>0.0</v>
      </c>
      <c r="BT497" s="36">
        <v>0.0</v>
      </c>
      <c r="BU497" s="35" t="s">
        <v>7045</v>
      </c>
      <c r="BV497" s="30">
        <v>46935.0</v>
      </c>
      <c r="BW497" s="30">
        <v>47026.0</v>
      </c>
      <c r="BX497" s="36">
        <v>0.0</v>
      </c>
      <c r="BY497" s="36">
        <v>0.0</v>
      </c>
      <c r="BZ497" s="35" t="s">
        <v>7045</v>
      </c>
      <c r="CA497" s="30">
        <v>47027.0</v>
      </c>
      <c r="CB497" s="30">
        <v>47118.0</v>
      </c>
      <c r="CC497" s="36">
        <v>0.0</v>
      </c>
      <c r="CD497" s="36">
        <v>0.0</v>
      </c>
      <c r="CE497" s="35" t="s">
        <v>7045</v>
      </c>
      <c r="CF497" s="30">
        <v>47119.0</v>
      </c>
      <c r="CG497" s="30">
        <v>47208.0</v>
      </c>
      <c r="CH497" s="36">
        <v>0.0</v>
      </c>
      <c r="CI497" s="36">
        <v>0.0</v>
      </c>
      <c r="CJ497" s="35" t="s">
        <v>7045</v>
      </c>
      <c r="CK497" s="30">
        <v>47209.0</v>
      </c>
      <c r="CL497" s="30">
        <v>47299.0</v>
      </c>
      <c r="CM497" s="36">
        <v>0.0</v>
      </c>
      <c r="CN497" s="36">
        <v>0.0</v>
      </c>
      <c r="CO497" s="35" t="s">
        <v>7045</v>
      </c>
      <c r="CP497" s="30">
        <v>47300.0</v>
      </c>
      <c r="CQ497" s="30">
        <v>47391.0</v>
      </c>
      <c r="CR497" s="36">
        <v>0.0</v>
      </c>
      <c r="CS497" s="36">
        <v>0.0</v>
      </c>
      <c r="CT497" s="35" t="s">
        <v>7045</v>
      </c>
      <c r="CU497" s="30">
        <v>47392.0</v>
      </c>
      <c r="CV497" s="30">
        <v>47483.0</v>
      </c>
      <c r="CW497" s="36">
        <v>0.0</v>
      </c>
      <c r="CX497" s="36">
        <v>0.0</v>
      </c>
      <c r="CY497" s="35" t="s">
        <v>7045</v>
      </c>
      <c r="CZ497" s="30">
        <v>47484.0</v>
      </c>
      <c r="DA497" s="30">
        <v>47573.0</v>
      </c>
      <c r="DB497" s="36">
        <v>0.0</v>
      </c>
      <c r="DC497" s="36">
        <v>0.0</v>
      </c>
      <c r="DD497" s="35" t="s">
        <v>7045</v>
      </c>
      <c r="DE497" s="30">
        <v>47574.0</v>
      </c>
      <c r="DF497" s="30">
        <v>47664.0</v>
      </c>
      <c r="DG497" s="36">
        <v>0.0</v>
      </c>
      <c r="DH497" s="36">
        <v>0.0</v>
      </c>
      <c r="DI497" s="35" t="s">
        <v>7045</v>
      </c>
      <c r="DJ497" s="30">
        <v>47665.0</v>
      </c>
      <c r="DK497" s="30">
        <v>47756.0</v>
      </c>
      <c r="DL497" s="36">
        <v>0.0</v>
      </c>
      <c r="DM497" s="36">
        <v>0.0</v>
      </c>
      <c r="DN497" s="35" t="s">
        <v>7045</v>
      </c>
      <c r="DO497" s="30">
        <v>47757.0</v>
      </c>
      <c r="DP497" s="30">
        <v>47848.0</v>
      </c>
      <c r="DQ497" s="36">
        <v>0.0</v>
      </c>
      <c r="DR497" s="36">
        <v>0.0</v>
      </c>
      <c r="DS497" s="35" t="s">
        <v>7045</v>
      </c>
    </row>
    <row r="498" ht="14.25" customHeight="1">
      <c r="A498" s="28" t="s">
        <v>6684</v>
      </c>
      <c r="B498" s="29" t="s">
        <v>6685</v>
      </c>
      <c r="C498" s="29" t="s">
        <v>7041</v>
      </c>
      <c r="D498" s="30">
        <v>45658.0</v>
      </c>
      <c r="E498" s="30">
        <v>45747.0</v>
      </c>
      <c r="F498" s="39">
        <v>0.0</v>
      </c>
      <c r="G498" s="39">
        <v>0.0</v>
      </c>
      <c r="H498" s="35" t="s">
        <v>7045</v>
      </c>
      <c r="I498" s="30">
        <v>45748.0</v>
      </c>
      <c r="J498" s="30">
        <v>45838.0</v>
      </c>
      <c r="K498" s="39">
        <v>6.5</v>
      </c>
      <c r="L498" s="39">
        <v>0.0</v>
      </c>
      <c r="M498" s="38" t="s">
        <v>7047</v>
      </c>
      <c r="N498" s="30">
        <v>45839.0</v>
      </c>
      <c r="O498" s="30">
        <v>45930.0</v>
      </c>
      <c r="P498" s="39">
        <v>11.8</v>
      </c>
      <c r="Q498" s="39">
        <v>111.67</v>
      </c>
      <c r="R498" s="38" t="s">
        <v>7047</v>
      </c>
      <c r="S498" s="30">
        <v>45931.0</v>
      </c>
      <c r="T498" s="30">
        <v>46022.0</v>
      </c>
      <c r="U498" s="39">
        <v>130.0</v>
      </c>
      <c r="V498" s="39">
        <v>190.0</v>
      </c>
      <c r="W498" s="38" t="s">
        <v>7047</v>
      </c>
      <c r="X498" s="30">
        <v>46023.0</v>
      </c>
      <c r="Y498" s="30">
        <v>46112.0</v>
      </c>
      <c r="Z498" s="39">
        <v>0.0</v>
      </c>
      <c r="AA498" s="39">
        <v>0.0</v>
      </c>
      <c r="AB498" s="35" t="s">
        <v>7045</v>
      </c>
      <c r="AC498" s="30">
        <v>46113.0</v>
      </c>
      <c r="AD498" s="30">
        <v>46203.0</v>
      </c>
      <c r="AE498" s="39">
        <v>0.0</v>
      </c>
      <c r="AF498" s="39">
        <v>0.0</v>
      </c>
      <c r="AG498" s="35" t="s">
        <v>7045</v>
      </c>
      <c r="AH498" s="30">
        <v>46204.0</v>
      </c>
      <c r="AI498" s="30">
        <v>46295.0</v>
      </c>
      <c r="AJ498" s="39">
        <v>0.0</v>
      </c>
      <c r="AK498" s="39">
        <v>0.0</v>
      </c>
      <c r="AL498" s="35" t="s">
        <v>7045</v>
      </c>
      <c r="AM498" s="30">
        <v>46296.0</v>
      </c>
      <c r="AN498" s="30">
        <v>46387.0</v>
      </c>
      <c r="AO498" s="39">
        <v>0.0</v>
      </c>
      <c r="AP498" s="39">
        <v>0.0</v>
      </c>
      <c r="AQ498" s="35" t="s">
        <v>7045</v>
      </c>
      <c r="AR498" s="30">
        <v>46388.0</v>
      </c>
      <c r="AS498" s="30">
        <v>46477.0</v>
      </c>
      <c r="AT498" s="39">
        <v>0.0</v>
      </c>
      <c r="AU498" s="39">
        <v>0.0</v>
      </c>
      <c r="AV498" s="35" t="s">
        <v>7045</v>
      </c>
      <c r="AW498" s="30">
        <v>46478.0</v>
      </c>
      <c r="AX498" s="30">
        <v>46568.0</v>
      </c>
      <c r="AY498" s="39">
        <v>0.0</v>
      </c>
      <c r="AZ498" s="39">
        <v>0.0</v>
      </c>
      <c r="BA498" s="35" t="s">
        <v>7045</v>
      </c>
      <c r="BB498" s="30">
        <v>46569.0</v>
      </c>
      <c r="BC498" s="30">
        <v>46660.0</v>
      </c>
      <c r="BD498" s="39">
        <v>0.0</v>
      </c>
      <c r="BE498" s="39">
        <v>0.0</v>
      </c>
      <c r="BF498" s="35" t="s">
        <v>7045</v>
      </c>
      <c r="BG498" s="30">
        <v>46661.0</v>
      </c>
      <c r="BH498" s="30">
        <v>46752.0</v>
      </c>
      <c r="BI498" s="39">
        <v>0.0</v>
      </c>
      <c r="BJ498" s="39">
        <v>0.0</v>
      </c>
      <c r="BK498" s="35" t="s">
        <v>7045</v>
      </c>
      <c r="BL498" s="30">
        <v>46753.0</v>
      </c>
      <c r="BM498" s="30">
        <v>46843.0</v>
      </c>
      <c r="BN498" s="39">
        <v>0.0</v>
      </c>
      <c r="BO498" s="39">
        <v>0.0</v>
      </c>
      <c r="BP498" s="35" t="s">
        <v>7045</v>
      </c>
      <c r="BQ498" s="30">
        <v>46844.0</v>
      </c>
      <c r="BR498" s="30">
        <v>46934.0</v>
      </c>
      <c r="BS498" s="39">
        <v>0.0</v>
      </c>
      <c r="BT498" s="39">
        <v>0.0</v>
      </c>
      <c r="BU498" s="35" t="s">
        <v>7045</v>
      </c>
      <c r="BV498" s="30">
        <v>46935.0</v>
      </c>
      <c r="BW498" s="30">
        <v>47026.0</v>
      </c>
      <c r="BX498" s="39">
        <v>0.0</v>
      </c>
      <c r="BY498" s="39">
        <v>0.0</v>
      </c>
      <c r="BZ498" s="35" t="s">
        <v>7045</v>
      </c>
      <c r="CA498" s="30">
        <v>47027.0</v>
      </c>
      <c r="CB498" s="30">
        <v>47118.0</v>
      </c>
      <c r="CC498" s="39">
        <v>0.0</v>
      </c>
      <c r="CD498" s="39">
        <v>0.0</v>
      </c>
      <c r="CE498" s="35" t="s">
        <v>7045</v>
      </c>
      <c r="CF498" s="30">
        <v>47119.0</v>
      </c>
      <c r="CG498" s="30">
        <v>47208.0</v>
      </c>
      <c r="CH498" s="39">
        <v>0.0</v>
      </c>
      <c r="CI498" s="39">
        <v>0.0</v>
      </c>
      <c r="CJ498" s="35" t="s">
        <v>7045</v>
      </c>
      <c r="CK498" s="30">
        <v>47209.0</v>
      </c>
      <c r="CL498" s="30">
        <v>47299.0</v>
      </c>
      <c r="CM498" s="39">
        <v>0.0</v>
      </c>
      <c r="CN498" s="39">
        <v>0.0</v>
      </c>
      <c r="CO498" s="35" t="s">
        <v>7045</v>
      </c>
      <c r="CP498" s="30">
        <v>47300.0</v>
      </c>
      <c r="CQ498" s="30">
        <v>47391.0</v>
      </c>
      <c r="CR498" s="39">
        <v>0.0</v>
      </c>
      <c r="CS498" s="39">
        <v>0.0</v>
      </c>
      <c r="CT498" s="35" t="s">
        <v>7045</v>
      </c>
      <c r="CU498" s="30">
        <v>47392.0</v>
      </c>
      <c r="CV498" s="30">
        <v>47483.0</v>
      </c>
      <c r="CW498" s="39">
        <v>0.0</v>
      </c>
      <c r="CX498" s="39">
        <v>0.0</v>
      </c>
      <c r="CY498" s="35" t="s">
        <v>7045</v>
      </c>
      <c r="CZ498" s="30">
        <v>47484.0</v>
      </c>
      <c r="DA498" s="30">
        <v>47573.0</v>
      </c>
      <c r="DB498" s="39">
        <v>0.0</v>
      </c>
      <c r="DC498" s="39">
        <v>0.0</v>
      </c>
      <c r="DD498" s="35" t="s">
        <v>7045</v>
      </c>
      <c r="DE498" s="30">
        <v>47574.0</v>
      </c>
      <c r="DF498" s="30">
        <v>47664.0</v>
      </c>
      <c r="DG498" s="39">
        <v>0.0</v>
      </c>
      <c r="DH498" s="39">
        <v>0.0</v>
      </c>
      <c r="DI498" s="35" t="s">
        <v>7045</v>
      </c>
      <c r="DJ498" s="30">
        <v>47665.0</v>
      </c>
      <c r="DK498" s="30">
        <v>47756.0</v>
      </c>
      <c r="DL498" s="39">
        <v>0.0</v>
      </c>
      <c r="DM498" s="39">
        <v>0.0</v>
      </c>
      <c r="DN498" s="35" t="s">
        <v>7045</v>
      </c>
      <c r="DO498" s="30">
        <v>47757.0</v>
      </c>
      <c r="DP498" s="30">
        <v>47848.0</v>
      </c>
      <c r="DQ498" s="39">
        <v>0.0</v>
      </c>
      <c r="DR498" s="39">
        <v>0.0</v>
      </c>
      <c r="DS498" s="35" t="s">
        <v>7045</v>
      </c>
    </row>
    <row r="499" ht="14.25" customHeight="1">
      <c r="A499" s="28" t="s">
        <v>4798</v>
      </c>
      <c r="B499" s="29" t="s">
        <v>4799</v>
      </c>
      <c r="C499" s="29" t="s">
        <v>7041</v>
      </c>
      <c r="D499" s="30">
        <v>45658.0</v>
      </c>
      <c r="E499" s="30">
        <v>45747.0</v>
      </c>
      <c r="F499" s="39">
        <v>0.0</v>
      </c>
      <c r="G499" s="39">
        <v>0.0</v>
      </c>
      <c r="H499" s="35" t="s">
        <v>7045</v>
      </c>
      <c r="I499" s="30">
        <v>45748.0</v>
      </c>
      <c r="J499" s="30">
        <v>45838.0</v>
      </c>
      <c r="K499" s="39">
        <v>12.89</v>
      </c>
      <c r="L499" s="39">
        <v>0.0</v>
      </c>
      <c r="M499" s="38" t="s">
        <v>7047</v>
      </c>
      <c r="N499" s="30">
        <v>45839.0</v>
      </c>
      <c r="O499" s="30">
        <v>45930.0</v>
      </c>
      <c r="P499" s="39">
        <v>38.0</v>
      </c>
      <c r="Q499" s="39">
        <v>133.33</v>
      </c>
      <c r="R499" s="38" t="s">
        <v>7047</v>
      </c>
      <c r="S499" s="30">
        <v>45931.0</v>
      </c>
      <c r="T499" s="30">
        <v>46022.0</v>
      </c>
      <c r="U499" s="39">
        <v>135.74</v>
      </c>
      <c r="V499" s="39">
        <v>150.0</v>
      </c>
      <c r="W499" s="38" t="s">
        <v>7047</v>
      </c>
      <c r="X499" s="30">
        <v>46023.0</v>
      </c>
      <c r="Y499" s="30">
        <v>46112.0</v>
      </c>
      <c r="Z499" s="39">
        <v>0.98</v>
      </c>
      <c r="AA499" s="39">
        <v>0.0</v>
      </c>
      <c r="AB499" s="38" t="s">
        <v>7047</v>
      </c>
      <c r="AC499" s="30">
        <v>46113.0</v>
      </c>
      <c r="AD499" s="30">
        <v>46203.0</v>
      </c>
      <c r="AE499" s="39">
        <v>3.43</v>
      </c>
      <c r="AF499" s="39">
        <v>0.0</v>
      </c>
      <c r="AG499" s="38" t="s">
        <v>7047</v>
      </c>
      <c r="AH499" s="30">
        <v>46204.0</v>
      </c>
      <c r="AI499" s="30">
        <v>46295.0</v>
      </c>
      <c r="AJ499" s="39">
        <v>0.0</v>
      </c>
      <c r="AK499" s="39">
        <v>0.0</v>
      </c>
      <c r="AL499" s="35" t="s">
        <v>7045</v>
      </c>
      <c r="AM499" s="30">
        <v>46296.0</v>
      </c>
      <c r="AN499" s="30">
        <v>46387.0</v>
      </c>
      <c r="AO499" s="39">
        <v>0.0</v>
      </c>
      <c r="AP499" s="39">
        <v>0.0</v>
      </c>
      <c r="AQ499" s="35" t="s">
        <v>7045</v>
      </c>
      <c r="AR499" s="30">
        <v>46388.0</v>
      </c>
      <c r="AS499" s="30">
        <v>46477.0</v>
      </c>
      <c r="AT499" s="39">
        <v>0.0</v>
      </c>
      <c r="AU499" s="39">
        <v>0.0</v>
      </c>
      <c r="AV499" s="35" t="s">
        <v>7045</v>
      </c>
      <c r="AW499" s="30">
        <v>46478.0</v>
      </c>
      <c r="AX499" s="30">
        <v>46568.0</v>
      </c>
      <c r="AY499" s="39">
        <v>0.0</v>
      </c>
      <c r="AZ499" s="39">
        <v>0.0</v>
      </c>
      <c r="BA499" s="35" t="s">
        <v>7045</v>
      </c>
      <c r="BB499" s="30">
        <v>46569.0</v>
      </c>
      <c r="BC499" s="30">
        <v>46660.0</v>
      </c>
      <c r="BD499" s="39">
        <v>0.0</v>
      </c>
      <c r="BE499" s="39">
        <v>0.0</v>
      </c>
      <c r="BF499" s="35" t="s">
        <v>7045</v>
      </c>
      <c r="BG499" s="30">
        <v>46661.0</v>
      </c>
      <c r="BH499" s="30">
        <v>46752.0</v>
      </c>
      <c r="BI499" s="39">
        <v>0.0</v>
      </c>
      <c r="BJ499" s="39">
        <v>0.0</v>
      </c>
      <c r="BK499" s="35" t="s">
        <v>7045</v>
      </c>
      <c r="BL499" s="30">
        <v>46753.0</v>
      </c>
      <c r="BM499" s="30">
        <v>46843.0</v>
      </c>
      <c r="BN499" s="39">
        <v>0.0</v>
      </c>
      <c r="BO499" s="39">
        <v>0.0</v>
      </c>
      <c r="BP499" s="35" t="s">
        <v>7045</v>
      </c>
      <c r="BQ499" s="30">
        <v>46844.0</v>
      </c>
      <c r="BR499" s="30">
        <v>46934.0</v>
      </c>
      <c r="BS499" s="39">
        <v>0.0</v>
      </c>
      <c r="BT499" s="39">
        <v>0.0</v>
      </c>
      <c r="BU499" s="35" t="s">
        <v>7045</v>
      </c>
      <c r="BV499" s="30">
        <v>46935.0</v>
      </c>
      <c r="BW499" s="30">
        <v>47026.0</v>
      </c>
      <c r="BX499" s="39">
        <v>0.0</v>
      </c>
      <c r="BY499" s="39">
        <v>0.0</v>
      </c>
      <c r="BZ499" s="35" t="s">
        <v>7045</v>
      </c>
      <c r="CA499" s="30">
        <v>47027.0</v>
      </c>
      <c r="CB499" s="30">
        <v>47118.0</v>
      </c>
      <c r="CC499" s="39">
        <v>0.0</v>
      </c>
      <c r="CD499" s="39">
        <v>0.0</v>
      </c>
      <c r="CE499" s="35" t="s">
        <v>7045</v>
      </c>
      <c r="CF499" s="30">
        <v>47119.0</v>
      </c>
      <c r="CG499" s="30">
        <v>47208.0</v>
      </c>
      <c r="CH499" s="39">
        <v>0.0</v>
      </c>
      <c r="CI499" s="39">
        <v>0.0</v>
      </c>
      <c r="CJ499" s="35" t="s">
        <v>7045</v>
      </c>
      <c r="CK499" s="30">
        <v>47209.0</v>
      </c>
      <c r="CL499" s="30">
        <v>47299.0</v>
      </c>
      <c r="CM499" s="39">
        <v>0.0</v>
      </c>
      <c r="CN499" s="39">
        <v>0.0</v>
      </c>
      <c r="CO499" s="35" t="s">
        <v>7045</v>
      </c>
      <c r="CP499" s="30">
        <v>47300.0</v>
      </c>
      <c r="CQ499" s="30">
        <v>47391.0</v>
      </c>
      <c r="CR499" s="39">
        <v>0.0</v>
      </c>
      <c r="CS499" s="39">
        <v>0.0</v>
      </c>
      <c r="CT499" s="35" t="s">
        <v>7045</v>
      </c>
      <c r="CU499" s="30">
        <v>47392.0</v>
      </c>
      <c r="CV499" s="30">
        <v>47483.0</v>
      </c>
      <c r="CW499" s="39">
        <v>0.0</v>
      </c>
      <c r="CX499" s="39">
        <v>0.0</v>
      </c>
      <c r="CY499" s="35" t="s">
        <v>7045</v>
      </c>
      <c r="CZ499" s="30">
        <v>47484.0</v>
      </c>
      <c r="DA499" s="30">
        <v>47573.0</v>
      </c>
      <c r="DB499" s="39">
        <v>0.0</v>
      </c>
      <c r="DC499" s="39">
        <v>0.0</v>
      </c>
      <c r="DD499" s="35" t="s">
        <v>7045</v>
      </c>
      <c r="DE499" s="30">
        <v>47574.0</v>
      </c>
      <c r="DF499" s="30">
        <v>47664.0</v>
      </c>
      <c r="DG499" s="39">
        <v>0.0</v>
      </c>
      <c r="DH499" s="39">
        <v>0.0</v>
      </c>
      <c r="DI499" s="35" t="s">
        <v>7045</v>
      </c>
      <c r="DJ499" s="30">
        <v>47665.0</v>
      </c>
      <c r="DK499" s="30">
        <v>47756.0</v>
      </c>
      <c r="DL499" s="39">
        <v>0.0</v>
      </c>
      <c r="DM499" s="39">
        <v>0.0</v>
      </c>
      <c r="DN499" s="35" t="s">
        <v>7045</v>
      </c>
      <c r="DO499" s="30">
        <v>47757.0</v>
      </c>
      <c r="DP499" s="30">
        <v>47848.0</v>
      </c>
      <c r="DQ499" s="39">
        <v>0.0</v>
      </c>
      <c r="DR499" s="39">
        <v>0.0</v>
      </c>
      <c r="DS499" s="35" t="s">
        <v>7045</v>
      </c>
    </row>
    <row r="500" ht="14.25" customHeight="1">
      <c r="A500" s="28" t="s">
        <v>3206</v>
      </c>
      <c r="B500" s="29" t="s">
        <v>3207</v>
      </c>
      <c r="C500" s="29" t="s">
        <v>7041</v>
      </c>
      <c r="D500" s="30">
        <v>45658.0</v>
      </c>
      <c r="E500" s="30">
        <v>45747.0</v>
      </c>
      <c r="F500" s="36">
        <v>0.0</v>
      </c>
      <c r="G500" s="36">
        <v>0.0</v>
      </c>
      <c r="H500" s="35" t="s">
        <v>7045</v>
      </c>
      <c r="I500" s="30">
        <v>45748.0</v>
      </c>
      <c r="J500" s="30">
        <v>45838.0</v>
      </c>
      <c r="K500" s="36">
        <v>1.63</v>
      </c>
      <c r="L500" s="36">
        <v>0.0</v>
      </c>
      <c r="M500" s="38" t="s">
        <v>7047</v>
      </c>
      <c r="N500" s="30">
        <v>45839.0</v>
      </c>
      <c r="O500" s="30">
        <v>45930.0</v>
      </c>
      <c r="P500" s="36">
        <v>301.63</v>
      </c>
      <c r="Q500" s="36">
        <v>233.33</v>
      </c>
      <c r="R500" s="38" t="s">
        <v>7047</v>
      </c>
      <c r="S500" s="30">
        <v>45931.0</v>
      </c>
      <c r="T500" s="30">
        <v>46022.0</v>
      </c>
      <c r="U500" s="36">
        <v>0.0</v>
      </c>
      <c r="V500" s="36">
        <v>286.66</v>
      </c>
      <c r="W500" s="35" t="s">
        <v>7043</v>
      </c>
      <c r="X500" s="30">
        <v>46023.0</v>
      </c>
      <c r="Y500" s="30">
        <v>46112.0</v>
      </c>
      <c r="Z500" s="36">
        <v>3.68</v>
      </c>
      <c r="AA500" s="36">
        <v>0.0</v>
      </c>
      <c r="AB500" s="38" t="s">
        <v>7047</v>
      </c>
      <c r="AC500" s="30">
        <v>46113.0</v>
      </c>
      <c r="AD500" s="30">
        <v>46203.0</v>
      </c>
      <c r="AE500" s="36">
        <v>0.0</v>
      </c>
      <c r="AF500" s="36">
        <v>0.0</v>
      </c>
      <c r="AG500" s="35" t="s">
        <v>7045</v>
      </c>
      <c r="AH500" s="30">
        <v>46204.0</v>
      </c>
      <c r="AI500" s="30">
        <v>46295.0</v>
      </c>
      <c r="AJ500" s="36">
        <v>0.0</v>
      </c>
      <c r="AK500" s="36">
        <v>0.0</v>
      </c>
      <c r="AL500" s="35" t="s">
        <v>7045</v>
      </c>
      <c r="AM500" s="30">
        <v>46296.0</v>
      </c>
      <c r="AN500" s="30">
        <v>46387.0</v>
      </c>
      <c r="AO500" s="36">
        <v>0.0</v>
      </c>
      <c r="AP500" s="36">
        <v>0.0</v>
      </c>
      <c r="AQ500" s="35" t="s">
        <v>7045</v>
      </c>
      <c r="AR500" s="30">
        <v>46388.0</v>
      </c>
      <c r="AS500" s="30">
        <v>46477.0</v>
      </c>
      <c r="AT500" s="36">
        <v>0.0</v>
      </c>
      <c r="AU500" s="36">
        <v>0.0</v>
      </c>
      <c r="AV500" s="35" t="s">
        <v>7045</v>
      </c>
      <c r="AW500" s="30">
        <v>46478.0</v>
      </c>
      <c r="AX500" s="30">
        <v>46568.0</v>
      </c>
      <c r="AY500" s="36">
        <v>0.0</v>
      </c>
      <c r="AZ500" s="36">
        <v>0.0</v>
      </c>
      <c r="BA500" s="35" t="s">
        <v>7045</v>
      </c>
      <c r="BB500" s="30">
        <v>46569.0</v>
      </c>
      <c r="BC500" s="30">
        <v>46660.0</v>
      </c>
      <c r="BD500" s="36">
        <v>0.0</v>
      </c>
      <c r="BE500" s="36">
        <v>0.0</v>
      </c>
      <c r="BF500" s="35" t="s">
        <v>7045</v>
      </c>
      <c r="BG500" s="30">
        <v>46661.0</v>
      </c>
      <c r="BH500" s="30">
        <v>46752.0</v>
      </c>
      <c r="BI500" s="36">
        <v>0.0</v>
      </c>
      <c r="BJ500" s="36">
        <v>0.0</v>
      </c>
      <c r="BK500" s="35" t="s">
        <v>7045</v>
      </c>
      <c r="BL500" s="30">
        <v>46753.0</v>
      </c>
      <c r="BM500" s="30">
        <v>46843.0</v>
      </c>
      <c r="BN500" s="36">
        <v>0.0</v>
      </c>
      <c r="BO500" s="36">
        <v>0.0</v>
      </c>
      <c r="BP500" s="35" t="s">
        <v>7045</v>
      </c>
      <c r="BQ500" s="30">
        <v>46844.0</v>
      </c>
      <c r="BR500" s="30">
        <v>46934.0</v>
      </c>
      <c r="BS500" s="36">
        <v>0.0</v>
      </c>
      <c r="BT500" s="36">
        <v>0.0</v>
      </c>
      <c r="BU500" s="35" t="s">
        <v>7045</v>
      </c>
      <c r="BV500" s="30">
        <v>46935.0</v>
      </c>
      <c r="BW500" s="30">
        <v>47026.0</v>
      </c>
      <c r="BX500" s="36">
        <v>0.0</v>
      </c>
      <c r="BY500" s="36">
        <v>0.0</v>
      </c>
      <c r="BZ500" s="35" t="s">
        <v>7045</v>
      </c>
      <c r="CA500" s="30">
        <v>47027.0</v>
      </c>
      <c r="CB500" s="30">
        <v>47118.0</v>
      </c>
      <c r="CC500" s="36">
        <v>0.0</v>
      </c>
      <c r="CD500" s="36">
        <v>0.0</v>
      </c>
      <c r="CE500" s="35" t="s">
        <v>7045</v>
      </c>
      <c r="CF500" s="30">
        <v>47119.0</v>
      </c>
      <c r="CG500" s="30">
        <v>47208.0</v>
      </c>
      <c r="CH500" s="36">
        <v>0.0</v>
      </c>
      <c r="CI500" s="36">
        <v>0.0</v>
      </c>
      <c r="CJ500" s="35" t="s">
        <v>7045</v>
      </c>
      <c r="CK500" s="30">
        <v>47209.0</v>
      </c>
      <c r="CL500" s="30">
        <v>47299.0</v>
      </c>
      <c r="CM500" s="36">
        <v>0.0</v>
      </c>
      <c r="CN500" s="36">
        <v>0.0</v>
      </c>
      <c r="CO500" s="35" t="s">
        <v>7045</v>
      </c>
      <c r="CP500" s="30">
        <v>47300.0</v>
      </c>
      <c r="CQ500" s="30">
        <v>47391.0</v>
      </c>
      <c r="CR500" s="36">
        <v>0.0</v>
      </c>
      <c r="CS500" s="36">
        <v>0.0</v>
      </c>
      <c r="CT500" s="35" t="s">
        <v>7045</v>
      </c>
      <c r="CU500" s="30">
        <v>47392.0</v>
      </c>
      <c r="CV500" s="30">
        <v>47483.0</v>
      </c>
      <c r="CW500" s="36">
        <v>0.0</v>
      </c>
      <c r="CX500" s="36">
        <v>0.0</v>
      </c>
      <c r="CY500" s="35" t="s">
        <v>7045</v>
      </c>
      <c r="CZ500" s="30">
        <v>47484.0</v>
      </c>
      <c r="DA500" s="30">
        <v>47573.0</v>
      </c>
      <c r="DB500" s="36">
        <v>0.0</v>
      </c>
      <c r="DC500" s="36">
        <v>0.0</v>
      </c>
      <c r="DD500" s="35" t="s">
        <v>7045</v>
      </c>
      <c r="DE500" s="30">
        <v>47574.0</v>
      </c>
      <c r="DF500" s="30">
        <v>47664.0</v>
      </c>
      <c r="DG500" s="36">
        <v>0.0</v>
      </c>
      <c r="DH500" s="36">
        <v>0.0</v>
      </c>
      <c r="DI500" s="35" t="s">
        <v>7045</v>
      </c>
      <c r="DJ500" s="30">
        <v>47665.0</v>
      </c>
      <c r="DK500" s="30">
        <v>47756.0</v>
      </c>
      <c r="DL500" s="36">
        <v>0.0</v>
      </c>
      <c r="DM500" s="36">
        <v>0.0</v>
      </c>
      <c r="DN500" s="35" t="s">
        <v>7045</v>
      </c>
      <c r="DO500" s="30">
        <v>47757.0</v>
      </c>
      <c r="DP500" s="30">
        <v>47848.0</v>
      </c>
      <c r="DQ500" s="36">
        <v>0.0</v>
      </c>
      <c r="DR500" s="36">
        <v>0.0</v>
      </c>
      <c r="DS500" s="35" t="s">
        <v>7045</v>
      </c>
    </row>
    <row r="501" ht="14.25" customHeight="1">
      <c r="A501" s="28" t="s">
        <v>3330</v>
      </c>
      <c r="B501" s="29" t="s">
        <v>3331</v>
      </c>
      <c r="C501" s="29" t="s">
        <v>7041</v>
      </c>
      <c r="D501" s="30">
        <v>45658.0</v>
      </c>
      <c r="E501" s="30">
        <v>45747.0</v>
      </c>
      <c r="F501" s="39">
        <v>0.0</v>
      </c>
      <c r="G501" s="39">
        <v>0.0</v>
      </c>
      <c r="H501" s="35" t="s">
        <v>7045</v>
      </c>
      <c r="I501" s="30">
        <v>45748.0</v>
      </c>
      <c r="J501" s="30">
        <v>45838.0</v>
      </c>
      <c r="K501" s="39">
        <v>41.17</v>
      </c>
      <c r="L501" s="39">
        <v>0.0</v>
      </c>
      <c r="M501" s="38" t="s">
        <v>7047</v>
      </c>
      <c r="N501" s="30">
        <v>45839.0</v>
      </c>
      <c r="O501" s="30">
        <v>45930.0</v>
      </c>
      <c r="P501" s="39">
        <v>46.0</v>
      </c>
      <c r="Q501" s="39">
        <v>166.67</v>
      </c>
      <c r="R501" s="38" t="s">
        <v>7047</v>
      </c>
      <c r="S501" s="30">
        <v>45931.0</v>
      </c>
      <c r="T501" s="30">
        <v>46022.0</v>
      </c>
      <c r="U501" s="39">
        <v>0.0</v>
      </c>
      <c r="V501" s="39">
        <v>166.67</v>
      </c>
      <c r="W501" s="35" t="s">
        <v>7043</v>
      </c>
      <c r="X501" s="30">
        <v>46023.0</v>
      </c>
      <c r="Y501" s="30">
        <v>46112.0</v>
      </c>
      <c r="Z501" s="39">
        <v>0.0</v>
      </c>
      <c r="AA501" s="39">
        <v>0.0</v>
      </c>
      <c r="AB501" s="35" t="s">
        <v>7045</v>
      </c>
      <c r="AC501" s="30">
        <v>46113.0</v>
      </c>
      <c r="AD501" s="30">
        <v>46203.0</v>
      </c>
      <c r="AE501" s="39">
        <v>0.0</v>
      </c>
      <c r="AF501" s="39">
        <v>0.0</v>
      </c>
      <c r="AG501" s="35" t="s">
        <v>7045</v>
      </c>
      <c r="AH501" s="30">
        <v>46204.0</v>
      </c>
      <c r="AI501" s="30">
        <v>46295.0</v>
      </c>
      <c r="AJ501" s="39">
        <v>0.0</v>
      </c>
      <c r="AK501" s="39">
        <v>0.0</v>
      </c>
      <c r="AL501" s="35" t="s">
        <v>7045</v>
      </c>
      <c r="AM501" s="30">
        <v>46296.0</v>
      </c>
      <c r="AN501" s="30">
        <v>46387.0</v>
      </c>
      <c r="AO501" s="39">
        <v>0.0</v>
      </c>
      <c r="AP501" s="39">
        <v>0.0</v>
      </c>
      <c r="AQ501" s="35" t="s">
        <v>7045</v>
      </c>
      <c r="AR501" s="30">
        <v>46388.0</v>
      </c>
      <c r="AS501" s="30">
        <v>46477.0</v>
      </c>
      <c r="AT501" s="39">
        <v>0.0</v>
      </c>
      <c r="AU501" s="39">
        <v>0.0</v>
      </c>
      <c r="AV501" s="35" t="s">
        <v>7045</v>
      </c>
      <c r="AW501" s="30">
        <v>46478.0</v>
      </c>
      <c r="AX501" s="30">
        <v>46568.0</v>
      </c>
      <c r="AY501" s="39">
        <v>0.0</v>
      </c>
      <c r="AZ501" s="39">
        <v>0.0</v>
      </c>
      <c r="BA501" s="35" t="s">
        <v>7045</v>
      </c>
      <c r="BB501" s="30">
        <v>46569.0</v>
      </c>
      <c r="BC501" s="30">
        <v>46660.0</v>
      </c>
      <c r="BD501" s="39">
        <v>0.0</v>
      </c>
      <c r="BE501" s="39">
        <v>0.0</v>
      </c>
      <c r="BF501" s="35" t="s">
        <v>7045</v>
      </c>
      <c r="BG501" s="30">
        <v>46661.0</v>
      </c>
      <c r="BH501" s="30">
        <v>46752.0</v>
      </c>
      <c r="BI501" s="39">
        <v>0.0</v>
      </c>
      <c r="BJ501" s="39">
        <v>0.0</v>
      </c>
      <c r="BK501" s="35" t="s">
        <v>7045</v>
      </c>
      <c r="BL501" s="30">
        <v>46753.0</v>
      </c>
      <c r="BM501" s="30">
        <v>46843.0</v>
      </c>
      <c r="BN501" s="39">
        <v>0.0</v>
      </c>
      <c r="BO501" s="39">
        <v>0.0</v>
      </c>
      <c r="BP501" s="35" t="s">
        <v>7045</v>
      </c>
      <c r="BQ501" s="30">
        <v>46844.0</v>
      </c>
      <c r="BR501" s="30">
        <v>46934.0</v>
      </c>
      <c r="BS501" s="39">
        <v>0.0</v>
      </c>
      <c r="BT501" s="39">
        <v>0.0</v>
      </c>
      <c r="BU501" s="35" t="s">
        <v>7045</v>
      </c>
      <c r="BV501" s="30">
        <v>46935.0</v>
      </c>
      <c r="BW501" s="30">
        <v>47026.0</v>
      </c>
      <c r="BX501" s="39">
        <v>0.0</v>
      </c>
      <c r="BY501" s="39">
        <v>0.0</v>
      </c>
      <c r="BZ501" s="35" t="s">
        <v>7045</v>
      </c>
      <c r="CA501" s="30">
        <v>47027.0</v>
      </c>
      <c r="CB501" s="30">
        <v>47118.0</v>
      </c>
      <c r="CC501" s="39">
        <v>0.0</v>
      </c>
      <c r="CD501" s="39">
        <v>0.0</v>
      </c>
      <c r="CE501" s="35" t="s">
        <v>7045</v>
      </c>
      <c r="CF501" s="30">
        <v>47119.0</v>
      </c>
      <c r="CG501" s="30">
        <v>47208.0</v>
      </c>
      <c r="CH501" s="39">
        <v>0.0</v>
      </c>
      <c r="CI501" s="39">
        <v>0.0</v>
      </c>
      <c r="CJ501" s="35" t="s">
        <v>7045</v>
      </c>
      <c r="CK501" s="30">
        <v>47209.0</v>
      </c>
      <c r="CL501" s="30">
        <v>47299.0</v>
      </c>
      <c r="CM501" s="39">
        <v>0.0</v>
      </c>
      <c r="CN501" s="39">
        <v>0.0</v>
      </c>
      <c r="CO501" s="35" t="s">
        <v>7045</v>
      </c>
      <c r="CP501" s="30">
        <v>47300.0</v>
      </c>
      <c r="CQ501" s="30">
        <v>47391.0</v>
      </c>
      <c r="CR501" s="39">
        <v>0.0</v>
      </c>
      <c r="CS501" s="39">
        <v>0.0</v>
      </c>
      <c r="CT501" s="35" t="s">
        <v>7045</v>
      </c>
      <c r="CU501" s="30">
        <v>47392.0</v>
      </c>
      <c r="CV501" s="30">
        <v>47483.0</v>
      </c>
      <c r="CW501" s="39">
        <v>0.0</v>
      </c>
      <c r="CX501" s="39">
        <v>0.0</v>
      </c>
      <c r="CY501" s="35" t="s">
        <v>7045</v>
      </c>
      <c r="CZ501" s="30">
        <v>47484.0</v>
      </c>
      <c r="DA501" s="30">
        <v>47573.0</v>
      </c>
      <c r="DB501" s="39">
        <v>0.0</v>
      </c>
      <c r="DC501" s="39">
        <v>0.0</v>
      </c>
      <c r="DD501" s="35" t="s">
        <v>7045</v>
      </c>
      <c r="DE501" s="30">
        <v>47574.0</v>
      </c>
      <c r="DF501" s="30">
        <v>47664.0</v>
      </c>
      <c r="DG501" s="39">
        <v>0.0</v>
      </c>
      <c r="DH501" s="39">
        <v>0.0</v>
      </c>
      <c r="DI501" s="35" t="s">
        <v>7045</v>
      </c>
      <c r="DJ501" s="30">
        <v>47665.0</v>
      </c>
      <c r="DK501" s="30">
        <v>47756.0</v>
      </c>
      <c r="DL501" s="39">
        <v>0.0</v>
      </c>
      <c r="DM501" s="39">
        <v>0.0</v>
      </c>
      <c r="DN501" s="35" t="s">
        <v>7045</v>
      </c>
      <c r="DO501" s="30">
        <v>47757.0</v>
      </c>
      <c r="DP501" s="30">
        <v>47848.0</v>
      </c>
      <c r="DQ501" s="39">
        <v>0.0</v>
      </c>
      <c r="DR501" s="39">
        <v>0.0</v>
      </c>
      <c r="DS501" s="35" t="s">
        <v>7045</v>
      </c>
    </row>
    <row r="502" ht="14.25" customHeight="1">
      <c r="A502" s="28" t="s">
        <v>4501</v>
      </c>
      <c r="B502" s="29" t="s">
        <v>4502</v>
      </c>
      <c r="C502" s="29" t="s">
        <v>7041</v>
      </c>
      <c r="D502" s="30">
        <v>45658.0</v>
      </c>
      <c r="E502" s="30">
        <v>45747.0</v>
      </c>
      <c r="F502" s="36">
        <v>1.13</v>
      </c>
      <c r="G502" s="36">
        <v>0.0</v>
      </c>
      <c r="H502" s="38" t="s">
        <v>7047</v>
      </c>
      <c r="I502" s="30">
        <v>45748.0</v>
      </c>
      <c r="J502" s="30">
        <v>45838.0</v>
      </c>
      <c r="K502" s="36">
        <v>0.97</v>
      </c>
      <c r="L502" s="36">
        <v>0.0</v>
      </c>
      <c r="M502" s="38" t="s">
        <v>7047</v>
      </c>
      <c r="N502" s="30">
        <v>45839.0</v>
      </c>
      <c r="O502" s="30">
        <v>45930.0</v>
      </c>
      <c r="P502" s="36">
        <v>56.52</v>
      </c>
      <c r="Q502" s="36">
        <v>666.65</v>
      </c>
      <c r="R502" s="38" t="s">
        <v>7047</v>
      </c>
      <c r="S502" s="30">
        <v>45931.0</v>
      </c>
      <c r="T502" s="30">
        <v>46022.0</v>
      </c>
      <c r="U502" s="36">
        <v>160.0</v>
      </c>
      <c r="V502" s="36">
        <v>599.98</v>
      </c>
      <c r="W502" s="38" t="s">
        <v>7047</v>
      </c>
      <c r="X502" s="30">
        <v>46023.0</v>
      </c>
      <c r="Y502" s="30">
        <v>46112.0</v>
      </c>
      <c r="Z502" s="36">
        <v>2.33</v>
      </c>
      <c r="AA502" s="36">
        <v>0.0</v>
      </c>
      <c r="AB502" s="38" t="s">
        <v>7047</v>
      </c>
      <c r="AC502" s="30">
        <v>46113.0</v>
      </c>
      <c r="AD502" s="30">
        <v>46203.0</v>
      </c>
      <c r="AE502" s="36">
        <v>0.0</v>
      </c>
      <c r="AF502" s="36">
        <v>0.0</v>
      </c>
      <c r="AG502" s="35" t="s">
        <v>7045</v>
      </c>
      <c r="AH502" s="30">
        <v>46204.0</v>
      </c>
      <c r="AI502" s="30">
        <v>46295.0</v>
      </c>
      <c r="AJ502" s="36">
        <v>0.0</v>
      </c>
      <c r="AK502" s="36">
        <v>0.0</v>
      </c>
      <c r="AL502" s="35" t="s">
        <v>7045</v>
      </c>
      <c r="AM502" s="30">
        <v>46296.0</v>
      </c>
      <c r="AN502" s="30">
        <v>46387.0</v>
      </c>
      <c r="AO502" s="36">
        <v>0.0</v>
      </c>
      <c r="AP502" s="36">
        <v>0.0</v>
      </c>
      <c r="AQ502" s="35" t="s">
        <v>7045</v>
      </c>
      <c r="AR502" s="30">
        <v>46388.0</v>
      </c>
      <c r="AS502" s="30">
        <v>46477.0</v>
      </c>
      <c r="AT502" s="36">
        <v>0.0</v>
      </c>
      <c r="AU502" s="36">
        <v>0.0</v>
      </c>
      <c r="AV502" s="35" t="s">
        <v>7045</v>
      </c>
      <c r="AW502" s="30">
        <v>46478.0</v>
      </c>
      <c r="AX502" s="30">
        <v>46568.0</v>
      </c>
      <c r="AY502" s="36">
        <v>0.0</v>
      </c>
      <c r="AZ502" s="36">
        <v>0.0</v>
      </c>
      <c r="BA502" s="35" t="s">
        <v>7045</v>
      </c>
      <c r="BB502" s="30">
        <v>46569.0</v>
      </c>
      <c r="BC502" s="30">
        <v>46660.0</v>
      </c>
      <c r="BD502" s="36">
        <v>0.0</v>
      </c>
      <c r="BE502" s="36">
        <v>0.0</v>
      </c>
      <c r="BF502" s="35" t="s">
        <v>7045</v>
      </c>
      <c r="BG502" s="30">
        <v>46661.0</v>
      </c>
      <c r="BH502" s="30">
        <v>46752.0</v>
      </c>
      <c r="BI502" s="36">
        <v>0.0</v>
      </c>
      <c r="BJ502" s="36">
        <v>0.0</v>
      </c>
      <c r="BK502" s="35" t="s">
        <v>7045</v>
      </c>
      <c r="BL502" s="30">
        <v>46753.0</v>
      </c>
      <c r="BM502" s="30">
        <v>46843.0</v>
      </c>
      <c r="BN502" s="36">
        <v>0.0</v>
      </c>
      <c r="BO502" s="36">
        <v>0.0</v>
      </c>
      <c r="BP502" s="35" t="s">
        <v>7045</v>
      </c>
      <c r="BQ502" s="30">
        <v>46844.0</v>
      </c>
      <c r="BR502" s="30">
        <v>46934.0</v>
      </c>
      <c r="BS502" s="36">
        <v>0.0</v>
      </c>
      <c r="BT502" s="36">
        <v>0.0</v>
      </c>
      <c r="BU502" s="35" t="s">
        <v>7045</v>
      </c>
      <c r="BV502" s="30">
        <v>46935.0</v>
      </c>
      <c r="BW502" s="30">
        <v>47026.0</v>
      </c>
      <c r="BX502" s="36">
        <v>0.0</v>
      </c>
      <c r="BY502" s="36">
        <v>0.0</v>
      </c>
      <c r="BZ502" s="35" t="s">
        <v>7045</v>
      </c>
      <c r="CA502" s="30">
        <v>47027.0</v>
      </c>
      <c r="CB502" s="30">
        <v>47118.0</v>
      </c>
      <c r="CC502" s="36">
        <v>0.0</v>
      </c>
      <c r="CD502" s="36">
        <v>0.0</v>
      </c>
      <c r="CE502" s="35" t="s">
        <v>7045</v>
      </c>
      <c r="CF502" s="30">
        <v>47119.0</v>
      </c>
      <c r="CG502" s="30">
        <v>47208.0</v>
      </c>
      <c r="CH502" s="36">
        <v>0.0</v>
      </c>
      <c r="CI502" s="36">
        <v>0.0</v>
      </c>
      <c r="CJ502" s="35" t="s">
        <v>7045</v>
      </c>
      <c r="CK502" s="30">
        <v>47209.0</v>
      </c>
      <c r="CL502" s="30">
        <v>47299.0</v>
      </c>
      <c r="CM502" s="36">
        <v>0.0</v>
      </c>
      <c r="CN502" s="36">
        <v>0.0</v>
      </c>
      <c r="CO502" s="35" t="s">
        <v>7045</v>
      </c>
      <c r="CP502" s="30">
        <v>47300.0</v>
      </c>
      <c r="CQ502" s="30">
        <v>47391.0</v>
      </c>
      <c r="CR502" s="36">
        <v>0.0</v>
      </c>
      <c r="CS502" s="36">
        <v>0.0</v>
      </c>
      <c r="CT502" s="35" t="s">
        <v>7045</v>
      </c>
      <c r="CU502" s="30">
        <v>47392.0</v>
      </c>
      <c r="CV502" s="30">
        <v>47483.0</v>
      </c>
      <c r="CW502" s="36">
        <v>0.0</v>
      </c>
      <c r="CX502" s="36">
        <v>0.0</v>
      </c>
      <c r="CY502" s="35" t="s">
        <v>7045</v>
      </c>
      <c r="CZ502" s="30">
        <v>47484.0</v>
      </c>
      <c r="DA502" s="30">
        <v>47573.0</v>
      </c>
      <c r="DB502" s="36">
        <v>0.0</v>
      </c>
      <c r="DC502" s="36">
        <v>0.0</v>
      </c>
      <c r="DD502" s="35" t="s">
        <v>7045</v>
      </c>
      <c r="DE502" s="30">
        <v>47574.0</v>
      </c>
      <c r="DF502" s="30">
        <v>47664.0</v>
      </c>
      <c r="DG502" s="36">
        <v>0.0</v>
      </c>
      <c r="DH502" s="36">
        <v>0.0</v>
      </c>
      <c r="DI502" s="35" t="s">
        <v>7045</v>
      </c>
      <c r="DJ502" s="30">
        <v>47665.0</v>
      </c>
      <c r="DK502" s="30">
        <v>47756.0</v>
      </c>
      <c r="DL502" s="36">
        <v>0.0</v>
      </c>
      <c r="DM502" s="36">
        <v>0.0</v>
      </c>
      <c r="DN502" s="35" t="s">
        <v>7045</v>
      </c>
      <c r="DO502" s="30">
        <v>47757.0</v>
      </c>
      <c r="DP502" s="30">
        <v>47848.0</v>
      </c>
      <c r="DQ502" s="36">
        <v>0.0</v>
      </c>
      <c r="DR502" s="36">
        <v>0.0</v>
      </c>
      <c r="DS502" s="35" t="s">
        <v>7045</v>
      </c>
    </row>
    <row r="503" ht="14.25" customHeight="1">
      <c r="A503" s="28" t="s">
        <v>3067</v>
      </c>
      <c r="B503" s="29" t="s">
        <v>3068</v>
      </c>
      <c r="C503" s="29" t="s">
        <v>7041</v>
      </c>
      <c r="D503" s="30">
        <v>45658.0</v>
      </c>
      <c r="E503" s="30">
        <v>45747.0</v>
      </c>
      <c r="F503" s="39">
        <v>0.0</v>
      </c>
      <c r="G503" s="39">
        <v>0.0</v>
      </c>
      <c r="H503" s="35" t="s">
        <v>7045</v>
      </c>
      <c r="I503" s="30">
        <v>45748.0</v>
      </c>
      <c r="J503" s="30">
        <v>45838.0</v>
      </c>
      <c r="K503" s="39">
        <v>17.21</v>
      </c>
      <c r="L503" s="39">
        <v>0.0</v>
      </c>
      <c r="M503" s="38" t="s">
        <v>7047</v>
      </c>
      <c r="N503" s="30">
        <v>45839.0</v>
      </c>
      <c r="O503" s="30">
        <v>45930.0</v>
      </c>
      <c r="P503" s="39">
        <v>182.0</v>
      </c>
      <c r="Q503" s="39">
        <v>134.67</v>
      </c>
      <c r="R503" s="35" t="s">
        <v>7047</v>
      </c>
      <c r="S503" s="30">
        <v>45931.0</v>
      </c>
      <c r="T503" s="30">
        <v>46022.0</v>
      </c>
      <c r="U503" s="39">
        <v>400.67</v>
      </c>
      <c r="V503" s="39">
        <v>232.0</v>
      </c>
      <c r="W503" s="38" t="s">
        <v>7047</v>
      </c>
      <c r="X503" s="30">
        <v>46023.0</v>
      </c>
      <c r="Y503" s="30">
        <v>46112.0</v>
      </c>
      <c r="Z503" s="39">
        <v>0.0</v>
      </c>
      <c r="AA503" s="39">
        <v>0.0</v>
      </c>
      <c r="AB503" s="35" t="s">
        <v>7045</v>
      </c>
      <c r="AC503" s="30">
        <v>46113.0</v>
      </c>
      <c r="AD503" s="30">
        <v>46203.0</v>
      </c>
      <c r="AE503" s="39">
        <v>0.0</v>
      </c>
      <c r="AF503" s="39">
        <v>0.0</v>
      </c>
      <c r="AG503" s="35" t="s">
        <v>7045</v>
      </c>
      <c r="AH503" s="30">
        <v>46204.0</v>
      </c>
      <c r="AI503" s="30">
        <v>46295.0</v>
      </c>
      <c r="AJ503" s="39">
        <v>0.0</v>
      </c>
      <c r="AK503" s="39">
        <v>0.0</v>
      </c>
      <c r="AL503" s="35" t="s">
        <v>7045</v>
      </c>
      <c r="AM503" s="30">
        <v>46296.0</v>
      </c>
      <c r="AN503" s="30">
        <v>46387.0</v>
      </c>
      <c r="AO503" s="39">
        <v>0.0</v>
      </c>
      <c r="AP503" s="39">
        <v>0.0</v>
      </c>
      <c r="AQ503" s="35" t="s">
        <v>7045</v>
      </c>
      <c r="AR503" s="30">
        <v>46388.0</v>
      </c>
      <c r="AS503" s="30">
        <v>46477.0</v>
      </c>
      <c r="AT503" s="39">
        <v>0.0</v>
      </c>
      <c r="AU503" s="39">
        <v>0.0</v>
      </c>
      <c r="AV503" s="35" t="s">
        <v>7045</v>
      </c>
      <c r="AW503" s="30">
        <v>46478.0</v>
      </c>
      <c r="AX503" s="30">
        <v>46568.0</v>
      </c>
      <c r="AY503" s="39">
        <v>0.0</v>
      </c>
      <c r="AZ503" s="39">
        <v>0.0</v>
      </c>
      <c r="BA503" s="35" t="s">
        <v>7045</v>
      </c>
      <c r="BB503" s="30">
        <v>46569.0</v>
      </c>
      <c r="BC503" s="30">
        <v>46660.0</v>
      </c>
      <c r="BD503" s="39">
        <v>0.0</v>
      </c>
      <c r="BE503" s="39">
        <v>0.0</v>
      </c>
      <c r="BF503" s="35" t="s">
        <v>7045</v>
      </c>
      <c r="BG503" s="30">
        <v>46661.0</v>
      </c>
      <c r="BH503" s="30">
        <v>46752.0</v>
      </c>
      <c r="BI503" s="39">
        <v>0.0</v>
      </c>
      <c r="BJ503" s="39">
        <v>0.0</v>
      </c>
      <c r="BK503" s="35" t="s">
        <v>7045</v>
      </c>
      <c r="BL503" s="30">
        <v>46753.0</v>
      </c>
      <c r="BM503" s="30">
        <v>46843.0</v>
      </c>
      <c r="BN503" s="39">
        <v>0.0</v>
      </c>
      <c r="BO503" s="39">
        <v>0.0</v>
      </c>
      <c r="BP503" s="35" t="s">
        <v>7045</v>
      </c>
      <c r="BQ503" s="30">
        <v>46844.0</v>
      </c>
      <c r="BR503" s="30">
        <v>46934.0</v>
      </c>
      <c r="BS503" s="39">
        <v>0.0</v>
      </c>
      <c r="BT503" s="39">
        <v>0.0</v>
      </c>
      <c r="BU503" s="35" t="s">
        <v>7045</v>
      </c>
      <c r="BV503" s="30">
        <v>46935.0</v>
      </c>
      <c r="BW503" s="30">
        <v>47026.0</v>
      </c>
      <c r="BX503" s="39">
        <v>0.0</v>
      </c>
      <c r="BY503" s="39">
        <v>0.0</v>
      </c>
      <c r="BZ503" s="35" t="s">
        <v>7045</v>
      </c>
      <c r="CA503" s="30">
        <v>47027.0</v>
      </c>
      <c r="CB503" s="30">
        <v>47118.0</v>
      </c>
      <c r="CC503" s="39">
        <v>0.0</v>
      </c>
      <c r="CD503" s="39">
        <v>0.0</v>
      </c>
      <c r="CE503" s="35" t="s">
        <v>7045</v>
      </c>
      <c r="CF503" s="30">
        <v>47119.0</v>
      </c>
      <c r="CG503" s="30">
        <v>47208.0</v>
      </c>
      <c r="CH503" s="39">
        <v>0.0</v>
      </c>
      <c r="CI503" s="39">
        <v>0.0</v>
      </c>
      <c r="CJ503" s="35" t="s">
        <v>7045</v>
      </c>
      <c r="CK503" s="30">
        <v>47209.0</v>
      </c>
      <c r="CL503" s="30">
        <v>47299.0</v>
      </c>
      <c r="CM503" s="39">
        <v>0.0</v>
      </c>
      <c r="CN503" s="39">
        <v>0.0</v>
      </c>
      <c r="CO503" s="35" t="s">
        <v>7045</v>
      </c>
      <c r="CP503" s="30">
        <v>47300.0</v>
      </c>
      <c r="CQ503" s="30">
        <v>47391.0</v>
      </c>
      <c r="CR503" s="39">
        <v>0.0</v>
      </c>
      <c r="CS503" s="39">
        <v>0.0</v>
      </c>
      <c r="CT503" s="35" t="s">
        <v>7045</v>
      </c>
      <c r="CU503" s="30">
        <v>47392.0</v>
      </c>
      <c r="CV503" s="30">
        <v>47483.0</v>
      </c>
      <c r="CW503" s="39">
        <v>0.0</v>
      </c>
      <c r="CX503" s="39">
        <v>0.0</v>
      </c>
      <c r="CY503" s="35" t="s">
        <v>7045</v>
      </c>
      <c r="CZ503" s="30">
        <v>47484.0</v>
      </c>
      <c r="DA503" s="30">
        <v>47573.0</v>
      </c>
      <c r="DB503" s="39">
        <v>0.0</v>
      </c>
      <c r="DC503" s="39">
        <v>0.0</v>
      </c>
      <c r="DD503" s="35" t="s">
        <v>7045</v>
      </c>
      <c r="DE503" s="30">
        <v>47574.0</v>
      </c>
      <c r="DF503" s="30">
        <v>47664.0</v>
      </c>
      <c r="DG503" s="39">
        <v>0.0</v>
      </c>
      <c r="DH503" s="39">
        <v>0.0</v>
      </c>
      <c r="DI503" s="35" t="s">
        <v>7045</v>
      </c>
      <c r="DJ503" s="30">
        <v>47665.0</v>
      </c>
      <c r="DK503" s="30">
        <v>47756.0</v>
      </c>
      <c r="DL503" s="39">
        <v>0.0</v>
      </c>
      <c r="DM503" s="39">
        <v>0.0</v>
      </c>
      <c r="DN503" s="35" t="s">
        <v>7045</v>
      </c>
      <c r="DO503" s="30">
        <v>47757.0</v>
      </c>
      <c r="DP503" s="30">
        <v>47848.0</v>
      </c>
      <c r="DQ503" s="39">
        <v>0.0</v>
      </c>
      <c r="DR503" s="39">
        <v>0.0</v>
      </c>
      <c r="DS503" s="35" t="s">
        <v>7045</v>
      </c>
    </row>
    <row r="504" ht="14.25" customHeight="1">
      <c r="A504" s="28" t="s">
        <v>6744</v>
      </c>
      <c r="B504" s="29" t="s">
        <v>6745</v>
      </c>
      <c r="C504" s="29" t="s">
        <v>7041</v>
      </c>
      <c r="D504" s="30">
        <v>45658.0</v>
      </c>
      <c r="E504" s="30">
        <v>45747.0</v>
      </c>
      <c r="F504" s="39">
        <v>0.0</v>
      </c>
      <c r="G504" s="39">
        <v>0.0</v>
      </c>
      <c r="H504" s="35" t="s">
        <v>7045</v>
      </c>
      <c r="I504" s="30">
        <v>45748.0</v>
      </c>
      <c r="J504" s="30">
        <v>45838.0</v>
      </c>
      <c r="K504" s="39">
        <v>8.57</v>
      </c>
      <c r="L504" s="39">
        <v>0.0</v>
      </c>
      <c r="M504" s="38" t="s">
        <v>7047</v>
      </c>
      <c r="N504" s="30">
        <v>45839.0</v>
      </c>
      <c r="O504" s="30">
        <v>45930.0</v>
      </c>
      <c r="P504" s="39">
        <v>7.07</v>
      </c>
      <c r="Q504" s="39">
        <v>180.0</v>
      </c>
      <c r="R504" s="38" t="s">
        <v>7046</v>
      </c>
      <c r="S504" s="30">
        <v>45931.0</v>
      </c>
      <c r="T504" s="30">
        <v>46022.0</v>
      </c>
      <c r="U504" s="39">
        <v>71.8</v>
      </c>
      <c r="V504" s="39">
        <v>200.0</v>
      </c>
      <c r="W504" s="38" t="s">
        <v>7047</v>
      </c>
      <c r="X504" s="30">
        <v>46023.0</v>
      </c>
      <c r="Y504" s="30">
        <v>46112.0</v>
      </c>
      <c r="Z504" s="39">
        <v>0.0</v>
      </c>
      <c r="AA504" s="39">
        <v>0.0</v>
      </c>
      <c r="AB504" s="35" t="s">
        <v>7045</v>
      </c>
      <c r="AC504" s="30">
        <v>46113.0</v>
      </c>
      <c r="AD504" s="30">
        <v>46203.0</v>
      </c>
      <c r="AE504" s="39">
        <v>0.0</v>
      </c>
      <c r="AF504" s="39">
        <v>0.0</v>
      </c>
      <c r="AG504" s="35" t="s">
        <v>7045</v>
      </c>
      <c r="AH504" s="30">
        <v>46204.0</v>
      </c>
      <c r="AI504" s="30">
        <v>46295.0</v>
      </c>
      <c r="AJ504" s="39">
        <v>0.0</v>
      </c>
      <c r="AK504" s="39">
        <v>0.0</v>
      </c>
      <c r="AL504" s="35" t="s">
        <v>7045</v>
      </c>
      <c r="AM504" s="30">
        <v>46296.0</v>
      </c>
      <c r="AN504" s="30">
        <v>46387.0</v>
      </c>
      <c r="AO504" s="39">
        <v>0.0</v>
      </c>
      <c r="AP504" s="39">
        <v>0.0</v>
      </c>
      <c r="AQ504" s="35" t="s">
        <v>7045</v>
      </c>
      <c r="AR504" s="30">
        <v>46388.0</v>
      </c>
      <c r="AS504" s="30">
        <v>46477.0</v>
      </c>
      <c r="AT504" s="39">
        <v>0.0</v>
      </c>
      <c r="AU504" s="39">
        <v>0.0</v>
      </c>
      <c r="AV504" s="35" t="s">
        <v>7045</v>
      </c>
      <c r="AW504" s="30">
        <v>46478.0</v>
      </c>
      <c r="AX504" s="30">
        <v>46568.0</v>
      </c>
      <c r="AY504" s="39">
        <v>0.0</v>
      </c>
      <c r="AZ504" s="39">
        <v>0.0</v>
      </c>
      <c r="BA504" s="35" t="s">
        <v>7045</v>
      </c>
      <c r="BB504" s="30">
        <v>46569.0</v>
      </c>
      <c r="BC504" s="30">
        <v>46660.0</v>
      </c>
      <c r="BD504" s="39">
        <v>0.0</v>
      </c>
      <c r="BE504" s="39">
        <v>0.0</v>
      </c>
      <c r="BF504" s="35" t="s">
        <v>7045</v>
      </c>
      <c r="BG504" s="30">
        <v>46661.0</v>
      </c>
      <c r="BH504" s="30">
        <v>46752.0</v>
      </c>
      <c r="BI504" s="39">
        <v>0.0</v>
      </c>
      <c r="BJ504" s="39">
        <v>0.0</v>
      </c>
      <c r="BK504" s="35" t="s">
        <v>7045</v>
      </c>
      <c r="BL504" s="30">
        <v>46753.0</v>
      </c>
      <c r="BM504" s="30">
        <v>46843.0</v>
      </c>
      <c r="BN504" s="39">
        <v>0.0</v>
      </c>
      <c r="BO504" s="39">
        <v>0.0</v>
      </c>
      <c r="BP504" s="35" t="s">
        <v>7045</v>
      </c>
      <c r="BQ504" s="30">
        <v>46844.0</v>
      </c>
      <c r="BR504" s="30">
        <v>46934.0</v>
      </c>
      <c r="BS504" s="39">
        <v>0.0</v>
      </c>
      <c r="BT504" s="39">
        <v>0.0</v>
      </c>
      <c r="BU504" s="35" t="s">
        <v>7045</v>
      </c>
      <c r="BV504" s="30">
        <v>46935.0</v>
      </c>
      <c r="BW504" s="30">
        <v>47026.0</v>
      </c>
      <c r="BX504" s="39">
        <v>0.0</v>
      </c>
      <c r="BY504" s="39">
        <v>0.0</v>
      </c>
      <c r="BZ504" s="35" t="s">
        <v>7045</v>
      </c>
      <c r="CA504" s="30">
        <v>47027.0</v>
      </c>
      <c r="CB504" s="30">
        <v>47118.0</v>
      </c>
      <c r="CC504" s="39">
        <v>0.0</v>
      </c>
      <c r="CD504" s="39">
        <v>0.0</v>
      </c>
      <c r="CE504" s="35" t="s">
        <v>7045</v>
      </c>
      <c r="CF504" s="30">
        <v>47119.0</v>
      </c>
      <c r="CG504" s="30">
        <v>47208.0</v>
      </c>
      <c r="CH504" s="39">
        <v>0.0</v>
      </c>
      <c r="CI504" s="39">
        <v>0.0</v>
      </c>
      <c r="CJ504" s="35" t="s">
        <v>7045</v>
      </c>
      <c r="CK504" s="30">
        <v>47209.0</v>
      </c>
      <c r="CL504" s="30">
        <v>47299.0</v>
      </c>
      <c r="CM504" s="39">
        <v>0.0</v>
      </c>
      <c r="CN504" s="39">
        <v>0.0</v>
      </c>
      <c r="CO504" s="35" t="s">
        <v>7045</v>
      </c>
      <c r="CP504" s="30">
        <v>47300.0</v>
      </c>
      <c r="CQ504" s="30">
        <v>47391.0</v>
      </c>
      <c r="CR504" s="39">
        <v>0.0</v>
      </c>
      <c r="CS504" s="39">
        <v>0.0</v>
      </c>
      <c r="CT504" s="35" t="s">
        <v>7045</v>
      </c>
      <c r="CU504" s="30">
        <v>47392.0</v>
      </c>
      <c r="CV504" s="30">
        <v>47483.0</v>
      </c>
      <c r="CW504" s="39">
        <v>0.0</v>
      </c>
      <c r="CX504" s="39">
        <v>0.0</v>
      </c>
      <c r="CY504" s="35" t="s">
        <v>7045</v>
      </c>
      <c r="CZ504" s="30">
        <v>47484.0</v>
      </c>
      <c r="DA504" s="30">
        <v>47573.0</v>
      </c>
      <c r="DB504" s="39">
        <v>0.0</v>
      </c>
      <c r="DC504" s="39">
        <v>0.0</v>
      </c>
      <c r="DD504" s="35" t="s">
        <v>7045</v>
      </c>
      <c r="DE504" s="30">
        <v>47574.0</v>
      </c>
      <c r="DF504" s="30">
        <v>47664.0</v>
      </c>
      <c r="DG504" s="39">
        <v>0.0</v>
      </c>
      <c r="DH504" s="39">
        <v>0.0</v>
      </c>
      <c r="DI504" s="35" t="s">
        <v>7045</v>
      </c>
      <c r="DJ504" s="30">
        <v>47665.0</v>
      </c>
      <c r="DK504" s="30">
        <v>47756.0</v>
      </c>
      <c r="DL504" s="39">
        <v>0.0</v>
      </c>
      <c r="DM504" s="39">
        <v>0.0</v>
      </c>
      <c r="DN504" s="35" t="s">
        <v>7045</v>
      </c>
      <c r="DO504" s="30">
        <v>47757.0</v>
      </c>
      <c r="DP504" s="30">
        <v>47848.0</v>
      </c>
      <c r="DQ504" s="39">
        <v>0.0</v>
      </c>
      <c r="DR504" s="39">
        <v>0.0</v>
      </c>
      <c r="DS504" s="35" t="s">
        <v>7045</v>
      </c>
    </row>
    <row r="505" ht="14.25" customHeight="1">
      <c r="A505" s="28" t="s">
        <v>4178</v>
      </c>
      <c r="B505" s="29" t="s">
        <v>4179</v>
      </c>
      <c r="C505" s="29" t="s">
        <v>7041</v>
      </c>
      <c r="D505" s="30">
        <v>45658.0</v>
      </c>
      <c r="E505" s="30">
        <v>45747.0</v>
      </c>
      <c r="F505" s="39">
        <v>0.0</v>
      </c>
      <c r="G505" s="39">
        <v>0.0</v>
      </c>
      <c r="H505" s="35" t="s">
        <v>7045</v>
      </c>
      <c r="I505" s="30">
        <v>45748.0</v>
      </c>
      <c r="J505" s="30">
        <v>45838.0</v>
      </c>
      <c r="K505" s="39">
        <v>11.7</v>
      </c>
      <c r="L505" s="39">
        <v>0.0</v>
      </c>
      <c r="M505" s="38" t="s">
        <v>7047</v>
      </c>
      <c r="N505" s="30">
        <v>45839.0</v>
      </c>
      <c r="O505" s="30">
        <v>45930.0</v>
      </c>
      <c r="P505" s="39">
        <v>11.3</v>
      </c>
      <c r="Q505" s="39">
        <v>166.67</v>
      </c>
      <c r="R505" s="38" t="s">
        <v>7047</v>
      </c>
      <c r="S505" s="30">
        <v>45931.0</v>
      </c>
      <c r="T505" s="30">
        <v>46022.0</v>
      </c>
      <c r="U505" s="39">
        <v>45.0</v>
      </c>
      <c r="V505" s="39">
        <v>166.67</v>
      </c>
      <c r="W505" s="38" t="s">
        <v>7047</v>
      </c>
      <c r="X505" s="30">
        <v>46023.0</v>
      </c>
      <c r="Y505" s="30">
        <v>46112.0</v>
      </c>
      <c r="Z505" s="39">
        <v>0.0</v>
      </c>
      <c r="AA505" s="39">
        <v>0.0</v>
      </c>
      <c r="AB505" s="35" t="s">
        <v>7045</v>
      </c>
      <c r="AC505" s="30">
        <v>46113.0</v>
      </c>
      <c r="AD505" s="30">
        <v>46203.0</v>
      </c>
      <c r="AE505" s="39">
        <v>0.0</v>
      </c>
      <c r="AF505" s="39">
        <v>0.0</v>
      </c>
      <c r="AG505" s="35" t="s">
        <v>7045</v>
      </c>
      <c r="AH505" s="30">
        <v>46204.0</v>
      </c>
      <c r="AI505" s="30">
        <v>46295.0</v>
      </c>
      <c r="AJ505" s="39">
        <v>0.0</v>
      </c>
      <c r="AK505" s="39">
        <v>0.0</v>
      </c>
      <c r="AL505" s="35" t="s">
        <v>7045</v>
      </c>
      <c r="AM505" s="30">
        <v>46296.0</v>
      </c>
      <c r="AN505" s="30">
        <v>46387.0</v>
      </c>
      <c r="AO505" s="39">
        <v>300.0</v>
      </c>
      <c r="AP505" s="39">
        <v>0.0</v>
      </c>
      <c r="AQ505" s="35" t="s">
        <v>7047</v>
      </c>
      <c r="AR505" s="30">
        <v>46388.0</v>
      </c>
      <c r="AS505" s="30">
        <v>46477.0</v>
      </c>
      <c r="AT505" s="39">
        <v>0.0</v>
      </c>
      <c r="AU505" s="39">
        <v>0.0</v>
      </c>
      <c r="AV505" s="35" t="s">
        <v>7045</v>
      </c>
      <c r="AW505" s="30">
        <v>46478.0</v>
      </c>
      <c r="AX505" s="30">
        <v>46568.0</v>
      </c>
      <c r="AY505" s="39">
        <v>0.0</v>
      </c>
      <c r="AZ505" s="39">
        <v>0.0</v>
      </c>
      <c r="BA505" s="35" t="s">
        <v>7045</v>
      </c>
      <c r="BB505" s="30">
        <v>46569.0</v>
      </c>
      <c r="BC505" s="30">
        <v>46660.0</v>
      </c>
      <c r="BD505" s="39">
        <v>0.0</v>
      </c>
      <c r="BE505" s="39">
        <v>0.0</v>
      </c>
      <c r="BF505" s="35" t="s">
        <v>7045</v>
      </c>
      <c r="BG505" s="30">
        <v>46661.0</v>
      </c>
      <c r="BH505" s="30">
        <v>46752.0</v>
      </c>
      <c r="BI505" s="39">
        <v>0.0</v>
      </c>
      <c r="BJ505" s="39">
        <v>0.0</v>
      </c>
      <c r="BK505" s="35" t="s">
        <v>7045</v>
      </c>
      <c r="BL505" s="30">
        <v>46753.0</v>
      </c>
      <c r="BM505" s="30">
        <v>46843.0</v>
      </c>
      <c r="BN505" s="39">
        <v>0.0</v>
      </c>
      <c r="BO505" s="39">
        <v>0.0</v>
      </c>
      <c r="BP505" s="35" t="s">
        <v>7045</v>
      </c>
      <c r="BQ505" s="30">
        <v>46844.0</v>
      </c>
      <c r="BR505" s="30">
        <v>46934.0</v>
      </c>
      <c r="BS505" s="39">
        <v>0.0</v>
      </c>
      <c r="BT505" s="39">
        <v>0.0</v>
      </c>
      <c r="BU505" s="35" t="s">
        <v>7045</v>
      </c>
      <c r="BV505" s="30">
        <v>46935.0</v>
      </c>
      <c r="BW505" s="30">
        <v>47026.0</v>
      </c>
      <c r="BX505" s="39">
        <v>0.0</v>
      </c>
      <c r="BY505" s="39">
        <v>0.0</v>
      </c>
      <c r="BZ505" s="35" t="s">
        <v>7045</v>
      </c>
      <c r="CA505" s="30">
        <v>47027.0</v>
      </c>
      <c r="CB505" s="30">
        <v>47118.0</v>
      </c>
      <c r="CC505" s="39">
        <v>0.0</v>
      </c>
      <c r="CD505" s="39">
        <v>0.0</v>
      </c>
      <c r="CE505" s="35" t="s">
        <v>7045</v>
      </c>
      <c r="CF505" s="30">
        <v>47119.0</v>
      </c>
      <c r="CG505" s="30">
        <v>47208.0</v>
      </c>
      <c r="CH505" s="39">
        <v>0.0</v>
      </c>
      <c r="CI505" s="39">
        <v>0.0</v>
      </c>
      <c r="CJ505" s="35" t="s">
        <v>7045</v>
      </c>
      <c r="CK505" s="30">
        <v>47209.0</v>
      </c>
      <c r="CL505" s="30">
        <v>47299.0</v>
      </c>
      <c r="CM505" s="39">
        <v>0.0</v>
      </c>
      <c r="CN505" s="39">
        <v>0.0</v>
      </c>
      <c r="CO505" s="35" t="s">
        <v>7045</v>
      </c>
      <c r="CP505" s="30">
        <v>47300.0</v>
      </c>
      <c r="CQ505" s="30">
        <v>47391.0</v>
      </c>
      <c r="CR505" s="39">
        <v>0.0</v>
      </c>
      <c r="CS505" s="39">
        <v>0.0</v>
      </c>
      <c r="CT505" s="35" t="s">
        <v>7045</v>
      </c>
      <c r="CU505" s="30">
        <v>47392.0</v>
      </c>
      <c r="CV505" s="30">
        <v>47483.0</v>
      </c>
      <c r="CW505" s="39">
        <v>0.0</v>
      </c>
      <c r="CX505" s="39">
        <v>0.0</v>
      </c>
      <c r="CY505" s="35" t="s">
        <v>7045</v>
      </c>
      <c r="CZ505" s="30">
        <v>47484.0</v>
      </c>
      <c r="DA505" s="30">
        <v>47573.0</v>
      </c>
      <c r="DB505" s="39">
        <v>0.0</v>
      </c>
      <c r="DC505" s="39">
        <v>0.0</v>
      </c>
      <c r="DD505" s="35" t="s">
        <v>7045</v>
      </c>
      <c r="DE505" s="30">
        <v>47574.0</v>
      </c>
      <c r="DF505" s="30">
        <v>47664.0</v>
      </c>
      <c r="DG505" s="39">
        <v>0.0</v>
      </c>
      <c r="DH505" s="39">
        <v>0.0</v>
      </c>
      <c r="DI505" s="35" t="s">
        <v>7045</v>
      </c>
      <c r="DJ505" s="30">
        <v>47665.0</v>
      </c>
      <c r="DK505" s="30">
        <v>47756.0</v>
      </c>
      <c r="DL505" s="39">
        <v>0.0</v>
      </c>
      <c r="DM505" s="39">
        <v>0.0</v>
      </c>
      <c r="DN505" s="35" t="s">
        <v>7045</v>
      </c>
      <c r="DO505" s="30">
        <v>47757.0</v>
      </c>
      <c r="DP505" s="30">
        <v>47848.0</v>
      </c>
      <c r="DQ505" s="39">
        <v>0.0</v>
      </c>
      <c r="DR505" s="39">
        <v>0.0</v>
      </c>
      <c r="DS505" s="35" t="s">
        <v>7045</v>
      </c>
    </row>
    <row r="506" ht="14.25" customHeight="1">
      <c r="A506" s="28" t="s">
        <v>6408</v>
      </c>
      <c r="B506" s="29" t="s">
        <v>6409</v>
      </c>
      <c r="C506" s="29" t="s">
        <v>7041</v>
      </c>
      <c r="D506" s="30">
        <v>45658.0</v>
      </c>
      <c r="E506" s="30">
        <v>45747.0</v>
      </c>
      <c r="F506" s="39">
        <v>0.0</v>
      </c>
      <c r="G506" s="39">
        <v>0.0</v>
      </c>
      <c r="H506" s="35" t="s">
        <v>7045</v>
      </c>
      <c r="I506" s="30">
        <v>45748.0</v>
      </c>
      <c r="J506" s="30">
        <v>45838.0</v>
      </c>
      <c r="K506" s="39">
        <v>17.54</v>
      </c>
      <c r="L506" s="39">
        <v>0.0</v>
      </c>
      <c r="M506" s="38" t="s">
        <v>7047</v>
      </c>
      <c r="N506" s="30">
        <v>45839.0</v>
      </c>
      <c r="O506" s="30">
        <v>45930.0</v>
      </c>
      <c r="P506" s="39">
        <v>252.73</v>
      </c>
      <c r="Q506" s="39">
        <v>710.0</v>
      </c>
      <c r="R506" s="38" t="s">
        <v>7047</v>
      </c>
      <c r="S506" s="30">
        <v>45931.0</v>
      </c>
      <c r="T506" s="30">
        <v>46022.0</v>
      </c>
      <c r="U506" s="39">
        <v>1067.29</v>
      </c>
      <c r="V506" s="39">
        <v>770.0</v>
      </c>
      <c r="W506" s="38" t="s">
        <v>7047</v>
      </c>
      <c r="X506" s="30">
        <v>46023.0</v>
      </c>
      <c r="Y506" s="30">
        <v>46112.0</v>
      </c>
      <c r="Z506" s="39">
        <v>700.0</v>
      </c>
      <c r="AA506" s="39">
        <v>0.0</v>
      </c>
      <c r="AB506" s="38" t="s">
        <v>7047</v>
      </c>
      <c r="AC506" s="30">
        <v>46113.0</v>
      </c>
      <c r="AD506" s="30">
        <v>46203.0</v>
      </c>
      <c r="AE506" s="39">
        <v>5.97</v>
      </c>
      <c r="AF506" s="39">
        <v>0.0</v>
      </c>
      <c r="AG506" s="38" t="s">
        <v>7047</v>
      </c>
      <c r="AH506" s="30">
        <v>46204.0</v>
      </c>
      <c r="AI506" s="30">
        <v>46295.0</v>
      </c>
      <c r="AJ506" s="39">
        <v>100.0</v>
      </c>
      <c r="AK506" s="39">
        <v>0.0</v>
      </c>
      <c r="AL506" s="35" t="s">
        <v>7047</v>
      </c>
      <c r="AM506" s="30">
        <v>46296.0</v>
      </c>
      <c r="AN506" s="30">
        <v>46387.0</v>
      </c>
      <c r="AO506" s="39">
        <v>150.33</v>
      </c>
      <c r="AP506" s="39">
        <v>0.0</v>
      </c>
      <c r="AQ506" s="38" t="s">
        <v>7047</v>
      </c>
      <c r="AR506" s="30">
        <v>46388.0</v>
      </c>
      <c r="AS506" s="30">
        <v>46477.0</v>
      </c>
      <c r="AT506" s="39">
        <v>0.0</v>
      </c>
      <c r="AU506" s="39">
        <v>0.0</v>
      </c>
      <c r="AV506" s="35" t="s">
        <v>7045</v>
      </c>
      <c r="AW506" s="30">
        <v>46478.0</v>
      </c>
      <c r="AX506" s="30">
        <v>46568.0</v>
      </c>
      <c r="AY506" s="39">
        <v>0.0</v>
      </c>
      <c r="AZ506" s="39">
        <v>0.0</v>
      </c>
      <c r="BA506" s="35" t="s">
        <v>7045</v>
      </c>
      <c r="BB506" s="30">
        <v>46569.0</v>
      </c>
      <c r="BC506" s="30">
        <v>46660.0</v>
      </c>
      <c r="BD506" s="39">
        <v>0.0</v>
      </c>
      <c r="BE506" s="39">
        <v>0.0</v>
      </c>
      <c r="BF506" s="35" t="s">
        <v>7045</v>
      </c>
      <c r="BG506" s="30">
        <v>46661.0</v>
      </c>
      <c r="BH506" s="30">
        <v>46752.0</v>
      </c>
      <c r="BI506" s="39">
        <v>0.0</v>
      </c>
      <c r="BJ506" s="39">
        <v>0.0</v>
      </c>
      <c r="BK506" s="35" t="s">
        <v>7045</v>
      </c>
      <c r="BL506" s="30">
        <v>46753.0</v>
      </c>
      <c r="BM506" s="30">
        <v>46843.0</v>
      </c>
      <c r="BN506" s="39">
        <v>0.0</v>
      </c>
      <c r="BO506" s="39">
        <v>0.0</v>
      </c>
      <c r="BP506" s="35" t="s">
        <v>7045</v>
      </c>
      <c r="BQ506" s="30">
        <v>46844.0</v>
      </c>
      <c r="BR506" s="30">
        <v>46934.0</v>
      </c>
      <c r="BS506" s="39">
        <v>0.0</v>
      </c>
      <c r="BT506" s="39">
        <v>0.0</v>
      </c>
      <c r="BU506" s="35" t="s">
        <v>7045</v>
      </c>
      <c r="BV506" s="30">
        <v>46935.0</v>
      </c>
      <c r="BW506" s="30">
        <v>47026.0</v>
      </c>
      <c r="BX506" s="39">
        <v>0.0</v>
      </c>
      <c r="BY506" s="39">
        <v>0.0</v>
      </c>
      <c r="BZ506" s="35" t="s">
        <v>7045</v>
      </c>
      <c r="CA506" s="30">
        <v>47027.0</v>
      </c>
      <c r="CB506" s="30">
        <v>47118.0</v>
      </c>
      <c r="CC506" s="39">
        <v>0.0</v>
      </c>
      <c r="CD506" s="39">
        <v>0.0</v>
      </c>
      <c r="CE506" s="35" t="s">
        <v>7045</v>
      </c>
      <c r="CF506" s="30">
        <v>47119.0</v>
      </c>
      <c r="CG506" s="30">
        <v>47208.0</v>
      </c>
      <c r="CH506" s="39">
        <v>0.0</v>
      </c>
      <c r="CI506" s="39">
        <v>0.0</v>
      </c>
      <c r="CJ506" s="35" t="s">
        <v>7045</v>
      </c>
      <c r="CK506" s="30">
        <v>47209.0</v>
      </c>
      <c r="CL506" s="30">
        <v>47299.0</v>
      </c>
      <c r="CM506" s="39">
        <v>0.0</v>
      </c>
      <c r="CN506" s="39">
        <v>0.0</v>
      </c>
      <c r="CO506" s="35" t="s">
        <v>7045</v>
      </c>
      <c r="CP506" s="30">
        <v>47300.0</v>
      </c>
      <c r="CQ506" s="30">
        <v>47391.0</v>
      </c>
      <c r="CR506" s="39">
        <v>0.0</v>
      </c>
      <c r="CS506" s="39">
        <v>0.0</v>
      </c>
      <c r="CT506" s="35" t="s">
        <v>7045</v>
      </c>
      <c r="CU506" s="30">
        <v>47392.0</v>
      </c>
      <c r="CV506" s="30">
        <v>47483.0</v>
      </c>
      <c r="CW506" s="39">
        <v>0.0</v>
      </c>
      <c r="CX506" s="39">
        <v>0.0</v>
      </c>
      <c r="CY506" s="35" t="s">
        <v>7045</v>
      </c>
      <c r="CZ506" s="30">
        <v>47484.0</v>
      </c>
      <c r="DA506" s="30">
        <v>47573.0</v>
      </c>
      <c r="DB506" s="39">
        <v>0.0</v>
      </c>
      <c r="DC506" s="39">
        <v>0.0</v>
      </c>
      <c r="DD506" s="35" t="s">
        <v>7045</v>
      </c>
      <c r="DE506" s="30">
        <v>47574.0</v>
      </c>
      <c r="DF506" s="30">
        <v>47664.0</v>
      </c>
      <c r="DG506" s="39">
        <v>0.0</v>
      </c>
      <c r="DH506" s="39">
        <v>0.0</v>
      </c>
      <c r="DI506" s="35" t="s">
        <v>7045</v>
      </c>
      <c r="DJ506" s="30">
        <v>47665.0</v>
      </c>
      <c r="DK506" s="30">
        <v>47756.0</v>
      </c>
      <c r="DL506" s="39">
        <v>0.0</v>
      </c>
      <c r="DM506" s="39">
        <v>0.0</v>
      </c>
      <c r="DN506" s="35" t="s">
        <v>7045</v>
      </c>
      <c r="DO506" s="30">
        <v>47757.0</v>
      </c>
      <c r="DP506" s="30">
        <v>47848.0</v>
      </c>
      <c r="DQ506" s="39">
        <v>0.0</v>
      </c>
      <c r="DR506" s="39">
        <v>0.0</v>
      </c>
      <c r="DS506" s="35" t="s">
        <v>7045</v>
      </c>
    </row>
    <row r="507" ht="14.25" customHeight="1">
      <c r="A507" s="28" t="s">
        <v>6420</v>
      </c>
      <c r="B507" s="29" t="s">
        <v>6421</v>
      </c>
      <c r="C507" s="29" t="s">
        <v>7041</v>
      </c>
      <c r="D507" s="30">
        <v>45658.0</v>
      </c>
      <c r="E507" s="30">
        <v>45747.0</v>
      </c>
      <c r="F507" s="39">
        <v>0.0</v>
      </c>
      <c r="G507" s="39">
        <v>0.0</v>
      </c>
      <c r="H507" s="35" t="s">
        <v>7045</v>
      </c>
      <c r="I507" s="30">
        <v>45748.0</v>
      </c>
      <c r="J507" s="30">
        <v>45838.0</v>
      </c>
      <c r="K507" s="39">
        <v>4.04</v>
      </c>
      <c r="L507" s="39">
        <v>0.0</v>
      </c>
      <c r="M507" s="38" t="s">
        <v>7047</v>
      </c>
      <c r="N507" s="30">
        <v>45839.0</v>
      </c>
      <c r="O507" s="30">
        <v>45930.0</v>
      </c>
      <c r="P507" s="39">
        <v>4.04</v>
      </c>
      <c r="Q507" s="39">
        <v>170.0</v>
      </c>
      <c r="R507" s="35" t="s">
        <v>7047</v>
      </c>
      <c r="S507" s="30">
        <v>45931.0</v>
      </c>
      <c r="T507" s="30">
        <v>46022.0</v>
      </c>
      <c r="U507" s="39">
        <v>0.0</v>
      </c>
      <c r="V507" s="39">
        <v>203.33</v>
      </c>
      <c r="W507" s="35" t="s">
        <v>7043</v>
      </c>
      <c r="X507" s="30">
        <v>46023.0</v>
      </c>
      <c r="Y507" s="30">
        <v>46112.0</v>
      </c>
      <c r="Z507" s="39">
        <v>0.0</v>
      </c>
      <c r="AA507" s="39">
        <v>0.0</v>
      </c>
      <c r="AB507" s="35" t="s">
        <v>7045</v>
      </c>
      <c r="AC507" s="30">
        <v>46113.0</v>
      </c>
      <c r="AD507" s="30">
        <v>46203.0</v>
      </c>
      <c r="AE507" s="39">
        <v>0.0</v>
      </c>
      <c r="AF507" s="39">
        <v>0.0</v>
      </c>
      <c r="AG507" s="35" t="s">
        <v>7045</v>
      </c>
      <c r="AH507" s="30">
        <v>46204.0</v>
      </c>
      <c r="AI507" s="30">
        <v>46295.0</v>
      </c>
      <c r="AJ507" s="39">
        <v>0.0</v>
      </c>
      <c r="AK507" s="39">
        <v>0.0</v>
      </c>
      <c r="AL507" s="35" t="s">
        <v>7045</v>
      </c>
      <c r="AM507" s="30">
        <v>46296.0</v>
      </c>
      <c r="AN507" s="30">
        <v>46387.0</v>
      </c>
      <c r="AO507" s="39">
        <v>25.01</v>
      </c>
      <c r="AP507" s="39">
        <v>0.0</v>
      </c>
      <c r="AQ507" s="38" t="s">
        <v>7047</v>
      </c>
      <c r="AR507" s="30">
        <v>46388.0</v>
      </c>
      <c r="AS507" s="30">
        <v>46477.0</v>
      </c>
      <c r="AT507" s="39">
        <v>0.0</v>
      </c>
      <c r="AU507" s="39">
        <v>0.0</v>
      </c>
      <c r="AV507" s="35" t="s">
        <v>7045</v>
      </c>
      <c r="AW507" s="30">
        <v>46478.0</v>
      </c>
      <c r="AX507" s="30">
        <v>46568.0</v>
      </c>
      <c r="AY507" s="39">
        <v>0.0</v>
      </c>
      <c r="AZ507" s="39">
        <v>0.0</v>
      </c>
      <c r="BA507" s="35" t="s">
        <v>7045</v>
      </c>
      <c r="BB507" s="30">
        <v>46569.0</v>
      </c>
      <c r="BC507" s="30">
        <v>46660.0</v>
      </c>
      <c r="BD507" s="39">
        <v>0.0</v>
      </c>
      <c r="BE507" s="39">
        <v>0.0</v>
      </c>
      <c r="BF507" s="35" t="s">
        <v>7045</v>
      </c>
      <c r="BG507" s="30">
        <v>46661.0</v>
      </c>
      <c r="BH507" s="30">
        <v>46752.0</v>
      </c>
      <c r="BI507" s="39">
        <v>0.0</v>
      </c>
      <c r="BJ507" s="39">
        <v>0.0</v>
      </c>
      <c r="BK507" s="35" t="s">
        <v>7045</v>
      </c>
      <c r="BL507" s="30">
        <v>46753.0</v>
      </c>
      <c r="BM507" s="30">
        <v>46843.0</v>
      </c>
      <c r="BN507" s="39">
        <v>0.0</v>
      </c>
      <c r="BO507" s="39">
        <v>0.0</v>
      </c>
      <c r="BP507" s="35" t="s">
        <v>7045</v>
      </c>
      <c r="BQ507" s="30">
        <v>46844.0</v>
      </c>
      <c r="BR507" s="30">
        <v>46934.0</v>
      </c>
      <c r="BS507" s="39">
        <v>0.0</v>
      </c>
      <c r="BT507" s="39">
        <v>0.0</v>
      </c>
      <c r="BU507" s="35" t="s">
        <v>7045</v>
      </c>
      <c r="BV507" s="30">
        <v>46935.0</v>
      </c>
      <c r="BW507" s="30">
        <v>47026.0</v>
      </c>
      <c r="BX507" s="39">
        <v>0.0</v>
      </c>
      <c r="BY507" s="39">
        <v>0.0</v>
      </c>
      <c r="BZ507" s="35" t="s">
        <v>7045</v>
      </c>
      <c r="CA507" s="30">
        <v>47027.0</v>
      </c>
      <c r="CB507" s="30">
        <v>47118.0</v>
      </c>
      <c r="CC507" s="39">
        <v>0.0</v>
      </c>
      <c r="CD507" s="39">
        <v>0.0</v>
      </c>
      <c r="CE507" s="35" t="s">
        <v>7045</v>
      </c>
      <c r="CF507" s="30">
        <v>47119.0</v>
      </c>
      <c r="CG507" s="30">
        <v>47208.0</v>
      </c>
      <c r="CH507" s="39">
        <v>0.0</v>
      </c>
      <c r="CI507" s="39">
        <v>0.0</v>
      </c>
      <c r="CJ507" s="35" t="s">
        <v>7045</v>
      </c>
      <c r="CK507" s="30">
        <v>47209.0</v>
      </c>
      <c r="CL507" s="30">
        <v>47299.0</v>
      </c>
      <c r="CM507" s="39">
        <v>0.0</v>
      </c>
      <c r="CN507" s="39">
        <v>0.0</v>
      </c>
      <c r="CO507" s="35" t="s">
        <v>7045</v>
      </c>
      <c r="CP507" s="30">
        <v>47300.0</v>
      </c>
      <c r="CQ507" s="30">
        <v>47391.0</v>
      </c>
      <c r="CR507" s="39">
        <v>0.0</v>
      </c>
      <c r="CS507" s="39">
        <v>0.0</v>
      </c>
      <c r="CT507" s="35" t="s">
        <v>7045</v>
      </c>
      <c r="CU507" s="30">
        <v>47392.0</v>
      </c>
      <c r="CV507" s="30">
        <v>47483.0</v>
      </c>
      <c r="CW507" s="39">
        <v>0.0</v>
      </c>
      <c r="CX507" s="39">
        <v>0.0</v>
      </c>
      <c r="CY507" s="35" t="s">
        <v>7045</v>
      </c>
      <c r="CZ507" s="30">
        <v>47484.0</v>
      </c>
      <c r="DA507" s="30">
        <v>47573.0</v>
      </c>
      <c r="DB507" s="39">
        <v>0.0</v>
      </c>
      <c r="DC507" s="39">
        <v>0.0</v>
      </c>
      <c r="DD507" s="35" t="s">
        <v>7045</v>
      </c>
      <c r="DE507" s="30">
        <v>47574.0</v>
      </c>
      <c r="DF507" s="30">
        <v>47664.0</v>
      </c>
      <c r="DG507" s="39">
        <v>0.0</v>
      </c>
      <c r="DH507" s="39">
        <v>0.0</v>
      </c>
      <c r="DI507" s="35" t="s">
        <v>7045</v>
      </c>
      <c r="DJ507" s="30">
        <v>47665.0</v>
      </c>
      <c r="DK507" s="30">
        <v>47756.0</v>
      </c>
      <c r="DL507" s="39">
        <v>0.0</v>
      </c>
      <c r="DM507" s="39">
        <v>0.0</v>
      </c>
      <c r="DN507" s="35" t="s">
        <v>7045</v>
      </c>
      <c r="DO507" s="30">
        <v>47757.0</v>
      </c>
      <c r="DP507" s="30">
        <v>47848.0</v>
      </c>
      <c r="DQ507" s="39">
        <v>0.0</v>
      </c>
      <c r="DR507" s="39">
        <v>0.0</v>
      </c>
      <c r="DS507" s="35" t="s">
        <v>7045</v>
      </c>
    </row>
    <row r="508" ht="14.25" customHeight="1">
      <c r="A508" s="28" t="s">
        <v>1702</v>
      </c>
      <c r="B508" s="29" t="s">
        <v>1703</v>
      </c>
      <c r="C508" s="29" t="s">
        <v>7041</v>
      </c>
      <c r="D508" s="30">
        <v>45658.0</v>
      </c>
      <c r="E508" s="30">
        <v>45747.0</v>
      </c>
      <c r="F508" s="39">
        <v>0.0</v>
      </c>
      <c r="G508" s="39">
        <v>0.0</v>
      </c>
      <c r="H508" s="35" t="s">
        <v>7045</v>
      </c>
      <c r="I508" s="30">
        <v>45748.0</v>
      </c>
      <c r="J508" s="30">
        <v>45838.0</v>
      </c>
      <c r="K508" s="39">
        <v>17.5</v>
      </c>
      <c r="L508" s="39">
        <v>0.0</v>
      </c>
      <c r="M508" s="38" t="s">
        <v>7047</v>
      </c>
      <c r="N508" s="30">
        <v>45839.0</v>
      </c>
      <c r="O508" s="30">
        <v>45930.0</v>
      </c>
      <c r="P508" s="39">
        <v>14.32</v>
      </c>
      <c r="Q508" s="39">
        <v>283.33</v>
      </c>
      <c r="R508" s="38" t="s">
        <v>7043</v>
      </c>
      <c r="S508" s="30">
        <v>45931.0</v>
      </c>
      <c r="T508" s="30">
        <v>46022.0</v>
      </c>
      <c r="U508" s="39">
        <v>347.5</v>
      </c>
      <c r="V508" s="39">
        <v>290.0</v>
      </c>
      <c r="W508" s="38" t="s">
        <v>7047</v>
      </c>
      <c r="X508" s="30">
        <v>46023.0</v>
      </c>
      <c r="Y508" s="30">
        <v>46112.0</v>
      </c>
      <c r="Z508" s="39">
        <v>0.0</v>
      </c>
      <c r="AA508" s="39">
        <v>0.0</v>
      </c>
      <c r="AB508" s="35" t="s">
        <v>7045</v>
      </c>
      <c r="AC508" s="30">
        <v>46113.0</v>
      </c>
      <c r="AD508" s="30">
        <v>46203.0</v>
      </c>
      <c r="AE508" s="39">
        <v>14.0</v>
      </c>
      <c r="AF508" s="39">
        <v>0.0</v>
      </c>
      <c r="AG508" s="35" t="s">
        <v>7047</v>
      </c>
      <c r="AH508" s="30">
        <v>46204.0</v>
      </c>
      <c r="AI508" s="30">
        <v>46295.0</v>
      </c>
      <c r="AJ508" s="39">
        <v>0.0</v>
      </c>
      <c r="AK508" s="39">
        <v>0.0</v>
      </c>
      <c r="AL508" s="35" t="s">
        <v>7045</v>
      </c>
      <c r="AM508" s="30">
        <v>46296.0</v>
      </c>
      <c r="AN508" s="30">
        <v>46387.0</v>
      </c>
      <c r="AO508" s="39">
        <v>0.0</v>
      </c>
      <c r="AP508" s="39">
        <v>0.0</v>
      </c>
      <c r="AQ508" s="35" t="s">
        <v>7045</v>
      </c>
      <c r="AR508" s="30">
        <v>46388.0</v>
      </c>
      <c r="AS508" s="30">
        <v>46477.0</v>
      </c>
      <c r="AT508" s="39">
        <v>0.0</v>
      </c>
      <c r="AU508" s="39">
        <v>0.0</v>
      </c>
      <c r="AV508" s="35" t="s">
        <v>7045</v>
      </c>
      <c r="AW508" s="30">
        <v>46478.0</v>
      </c>
      <c r="AX508" s="30">
        <v>46568.0</v>
      </c>
      <c r="AY508" s="39">
        <v>0.0</v>
      </c>
      <c r="AZ508" s="39">
        <v>0.0</v>
      </c>
      <c r="BA508" s="35" t="s">
        <v>7045</v>
      </c>
      <c r="BB508" s="30">
        <v>46569.0</v>
      </c>
      <c r="BC508" s="30">
        <v>46660.0</v>
      </c>
      <c r="BD508" s="39">
        <v>0.0</v>
      </c>
      <c r="BE508" s="39">
        <v>0.0</v>
      </c>
      <c r="BF508" s="35" t="s">
        <v>7045</v>
      </c>
      <c r="BG508" s="30">
        <v>46661.0</v>
      </c>
      <c r="BH508" s="30">
        <v>46752.0</v>
      </c>
      <c r="BI508" s="39">
        <v>0.0</v>
      </c>
      <c r="BJ508" s="39">
        <v>0.0</v>
      </c>
      <c r="BK508" s="35" t="s">
        <v>7045</v>
      </c>
      <c r="BL508" s="30">
        <v>46753.0</v>
      </c>
      <c r="BM508" s="30">
        <v>46843.0</v>
      </c>
      <c r="BN508" s="39">
        <v>0.0</v>
      </c>
      <c r="BO508" s="39">
        <v>0.0</v>
      </c>
      <c r="BP508" s="35" t="s">
        <v>7045</v>
      </c>
      <c r="BQ508" s="30">
        <v>46844.0</v>
      </c>
      <c r="BR508" s="30">
        <v>46934.0</v>
      </c>
      <c r="BS508" s="39">
        <v>0.0</v>
      </c>
      <c r="BT508" s="39">
        <v>0.0</v>
      </c>
      <c r="BU508" s="35" t="s">
        <v>7045</v>
      </c>
      <c r="BV508" s="30">
        <v>46935.0</v>
      </c>
      <c r="BW508" s="30">
        <v>47026.0</v>
      </c>
      <c r="BX508" s="39">
        <v>0.0</v>
      </c>
      <c r="BY508" s="39">
        <v>0.0</v>
      </c>
      <c r="BZ508" s="35" t="s">
        <v>7045</v>
      </c>
      <c r="CA508" s="30">
        <v>47027.0</v>
      </c>
      <c r="CB508" s="30">
        <v>47118.0</v>
      </c>
      <c r="CC508" s="39">
        <v>0.0</v>
      </c>
      <c r="CD508" s="39">
        <v>0.0</v>
      </c>
      <c r="CE508" s="35" t="s">
        <v>7045</v>
      </c>
      <c r="CF508" s="30">
        <v>47119.0</v>
      </c>
      <c r="CG508" s="30">
        <v>47208.0</v>
      </c>
      <c r="CH508" s="39">
        <v>0.0</v>
      </c>
      <c r="CI508" s="39">
        <v>0.0</v>
      </c>
      <c r="CJ508" s="35" t="s">
        <v>7045</v>
      </c>
      <c r="CK508" s="30">
        <v>47209.0</v>
      </c>
      <c r="CL508" s="30">
        <v>47299.0</v>
      </c>
      <c r="CM508" s="39">
        <v>0.0</v>
      </c>
      <c r="CN508" s="39">
        <v>0.0</v>
      </c>
      <c r="CO508" s="35" t="s">
        <v>7045</v>
      </c>
      <c r="CP508" s="30">
        <v>47300.0</v>
      </c>
      <c r="CQ508" s="30">
        <v>47391.0</v>
      </c>
      <c r="CR508" s="39">
        <v>0.0</v>
      </c>
      <c r="CS508" s="39">
        <v>0.0</v>
      </c>
      <c r="CT508" s="35" t="s">
        <v>7045</v>
      </c>
      <c r="CU508" s="30">
        <v>47392.0</v>
      </c>
      <c r="CV508" s="30">
        <v>47483.0</v>
      </c>
      <c r="CW508" s="39">
        <v>0.0</v>
      </c>
      <c r="CX508" s="39">
        <v>0.0</v>
      </c>
      <c r="CY508" s="35" t="s">
        <v>7045</v>
      </c>
      <c r="CZ508" s="30">
        <v>47484.0</v>
      </c>
      <c r="DA508" s="30">
        <v>47573.0</v>
      </c>
      <c r="DB508" s="39">
        <v>0.0</v>
      </c>
      <c r="DC508" s="39">
        <v>0.0</v>
      </c>
      <c r="DD508" s="35" t="s">
        <v>7045</v>
      </c>
      <c r="DE508" s="30">
        <v>47574.0</v>
      </c>
      <c r="DF508" s="30">
        <v>47664.0</v>
      </c>
      <c r="DG508" s="39">
        <v>0.0</v>
      </c>
      <c r="DH508" s="39">
        <v>0.0</v>
      </c>
      <c r="DI508" s="35" t="s">
        <v>7045</v>
      </c>
      <c r="DJ508" s="30">
        <v>47665.0</v>
      </c>
      <c r="DK508" s="30">
        <v>47756.0</v>
      </c>
      <c r="DL508" s="39">
        <v>0.0</v>
      </c>
      <c r="DM508" s="39">
        <v>0.0</v>
      </c>
      <c r="DN508" s="35" t="s">
        <v>7045</v>
      </c>
      <c r="DO508" s="30">
        <v>47757.0</v>
      </c>
      <c r="DP508" s="30">
        <v>47848.0</v>
      </c>
      <c r="DQ508" s="39">
        <v>0.0</v>
      </c>
      <c r="DR508" s="39">
        <v>0.0</v>
      </c>
      <c r="DS508" s="35" t="s">
        <v>7045</v>
      </c>
    </row>
    <row r="509" ht="14.25" customHeight="1">
      <c r="A509" s="28" t="s">
        <v>2056</v>
      </c>
      <c r="B509" s="29" t="s">
        <v>2057</v>
      </c>
      <c r="C509" s="29" t="s">
        <v>7041</v>
      </c>
      <c r="D509" s="30">
        <v>45658.0</v>
      </c>
      <c r="E509" s="30">
        <v>45747.0</v>
      </c>
      <c r="F509" s="39">
        <v>0.0</v>
      </c>
      <c r="G509" s="39">
        <v>0.0</v>
      </c>
      <c r="H509" s="35" t="s">
        <v>7045</v>
      </c>
      <c r="I509" s="30">
        <v>45748.0</v>
      </c>
      <c r="J509" s="30">
        <v>45838.0</v>
      </c>
      <c r="K509" s="39">
        <v>233.4</v>
      </c>
      <c r="L509" s="39">
        <v>0.0</v>
      </c>
      <c r="M509" s="38" t="s">
        <v>7047</v>
      </c>
      <c r="N509" s="30">
        <v>45839.0</v>
      </c>
      <c r="O509" s="30">
        <v>45930.0</v>
      </c>
      <c r="P509" s="39">
        <v>104.49</v>
      </c>
      <c r="Q509" s="39">
        <v>187.33</v>
      </c>
      <c r="R509" s="38" t="s">
        <v>7047</v>
      </c>
      <c r="S509" s="30">
        <v>45931.0</v>
      </c>
      <c r="T509" s="30">
        <v>46022.0</v>
      </c>
      <c r="U509" s="39">
        <v>120.0</v>
      </c>
      <c r="V509" s="39">
        <v>212.67</v>
      </c>
      <c r="W509" s="35" t="s">
        <v>7047</v>
      </c>
      <c r="X509" s="30">
        <v>46023.0</v>
      </c>
      <c r="Y509" s="30">
        <v>46112.0</v>
      </c>
      <c r="Z509" s="39">
        <v>0.0</v>
      </c>
      <c r="AA509" s="39">
        <v>0.0</v>
      </c>
      <c r="AB509" s="35" t="s">
        <v>7045</v>
      </c>
      <c r="AC509" s="30">
        <v>46113.0</v>
      </c>
      <c r="AD509" s="30">
        <v>46203.0</v>
      </c>
      <c r="AE509" s="39">
        <v>0.0</v>
      </c>
      <c r="AF509" s="39">
        <v>0.0</v>
      </c>
      <c r="AG509" s="35" t="s">
        <v>7045</v>
      </c>
      <c r="AH509" s="30">
        <v>46204.0</v>
      </c>
      <c r="AI509" s="30">
        <v>46295.0</v>
      </c>
      <c r="AJ509" s="39">
        <v>0.0</v>
      </c>
      <c r="AK509" s="39">
        <v>0.0</v>
      </c>
      <c r="AL509" s="35" t="s">
        <v>7045</v>
      </c>
      <c r="AM509" s="30">
        <v>46296.0</v>
      </c>
      <c r="AN509" s="30">
        <v>46387.0</v>
      </c>
      <c r="AO509" s="39">
        <v>0.0</v>
      </c>
      <c r="AP509" s="39">
        <v>0.0</v>
      </c>
      <c r="AQ509" s="35" t="s">
        <v>7045</v>
      </c>
      <c r="AR509" s="30">
        <v>46388.0</v>
      </c>
      <c r="AS509" s="30">
        <v>46477.0</v>
      </c>
      <c r="AT509" s="39">
        <v>0.0</v>
      </c>
      <c r="AU509" s="39">
        <v>0.0</v>
      </c>
      <c r="AV509" s="35" t="s">
        <v>7045</v>
      </c>
      <c r="AW509" s="30">
        <v>46478.0</v>
      </c>
      <c r="AX509" s="30">
        <v>46568.0</v>
      </c>
      <c r="AY509" s="39">
        <v>0.0</v>
      </c>
      <c r="AZ509" s="39">
        <v>0.0</v>
      </c>
      <c r="BA509" s="35" t="s">
        <v>7045</v>
      </c>
      <c r="BB509" s="30">
        <v>46569.0</v>
      </c>
      <c r="BC509" s="30">
        <v>46660.0</v>
      </c>
      <c r="BD509" s="39">
        <v>0.0</v>
      </c>
      <c r="BE509" s="39">
        <v>0.0</v>
      </c>
      <c r="BF509" s="35" t="s">
        <v>7045</v>
      </c>
      <c r="BG509" s="30">
        <v>46661.0</v>
      </c>
      <c r="BH509" s="30">
        <v>46752.0</v>
      </c>
      <c r="BI509" s="39">
        <v>0.0</v>
      </c>
      <c r="BJ509" s="39">
        <v>0.0</v>
      </c>
      <c r="BK509" s="35" t="s">
        <v>7045</v>
      </c>
      <c r="BL509" s="30">
        <v>46753.0</v>
      </c>
      <c r="BM509" s="30">
        <v>46843.0</v>
      </c>
      <c r="BN509" s="39">
        <v>0.0</v>
      </c>
      <c r="BO509" s="39">
        <v>0.0</v>
      </c>
      <c r="BP509" s="35" t="s">
        <v>7045</v>
      </c>
      <c r="BQ509" s="30">
        <v>46844.0</v>
      </c>
      <c r="BR509" s="30">
        <v>46934.0</v>
      </c>
      <c r="BS509" s="39">
        <v>0.0</v>
      </c>
      <c r="BT509" s="39">
        <v>0.0</v>
      </c>
      <c r="BU509" s="35" t="s">
        <v>7045</v>
      </c>
      <c r="BV509" s="30">
        <v>46935.0</v>
      </c>
      <c r="BW509" s="30">
        <v>47026.0</v>
      </c>
      <c r="BX509" s="39">
        <v>0.0</v>
      </c>
      <c r="BY509" s="39">
        <v>0.0</v>
      </c>
      <c r="BZ509" s="35" t="s">
        <v>7045</v>
      </c>
      <c r="CA509" s="30">
        <v>47027.0</v>
      </c>
      <c r="CB509" s="30">
        <v>47118.0</v>
      </c>
      <c r="CC509" s="39">
        <v>0.0</v>
      </c>
      <c r="CD509" s="39">
        <v>0.0</v>
      </c>
      <c r="CE509" s="35" t="s">
        <v>7045</v>
      </c>
      <c r="CF509" s="30">
        <v>47119.0</v>
      </c>
      <c r="CG509" s="30">
        <v>47208.0</v>
      </c>
      <c r="CH509" s="39">
        <v>0.0</v>
      </c>
      <c r="CI509" s="39">
        <v>0.0</v>
      </c>
      <c r="CJ509" s="35" t="s">
        <v>7045</v>
      </c>
      <c r="CK509" s="30">
        <v>47209.0</v>
      </c>
      <c r="CL509" s="30">
        <v>47299.0</v>
      </c>
      <c r="CM509" s="39">
        <v>0.0</v>
      </c>
      <c r="CN509" s="39">
        <v>0.0</v>
      </c>
      <c r="CO509" s="35" t="s">
        <v>7045</v>
      </c>
      <c r="CP509" s="30">
        <v>47300.0</v>
      </c>
      <c r="CQ509" s="30">
        <v>47391.0</v>
      </c>
      <c r="CR509" s="39">
        <v>0.0</v>
      </c>
      <c r="CS509" s="39">
        <v>0.0</v>
      </c>
      <c r="CT509" s="35" t="s">
        <v>7045</v>
      </c>
      <c r="CU509" s="30">
        <v>47392.0</v>
      </c>
      <c r="CV509" s="30">
        <v>47483.0</v>
      </c>
      <c r="CW509" s="39">
        <v>0.0</v>
      </c>
      <c r="CX509" s="39">
        <v>0.0</v>
      </c>
      <c r="CY509" s="35" t="s">
        <v>7045</v>
      </c>
      <c r="CZ509" s="30">
        <v>47484.0</v>
      </c>
      <c r="DA509" s="30">
        <v>47573.0</v>
      </c>
      <c r="DB509" s="39">
        <v>0.0</v>
      </c>
      <c r="DC509" s="39">
        <v>0.0</v>
      </c>
      <c r="DD509" s="35" t="s">
        <v>7045</v>
      </c>
      <c r="DE509" s="30">
        <v>47574.0</v>
      </c>
      <c r="DF509" s="30">
        <v>47664.0</v>
      </c>
      <c r="DG509" s="39">
        <v>0.0</v>
      </c>
      <c r="DH509" s="39">
        <v>0.0</v>
      </c>
      <c r="DI509" s="35" t="s">
        <v>7045</v>
      </c>
      <c r="DJ509" s="30">
        <v>47665.0</v>
      </c>
      <c r="DK509" s="30">
        <v>47756.0</v>
      </c>
      <c r="DL509" s="39">
        <v>0.0</v>
      </c>
      <c r="DM509" s="39">
        <v>0.0</v>
      </c>
      <c r="DN509" s="35" t="s">
        <v>7045</v>
      </c>
      <c r="DO509" s="30">
        <v>47757.0</v>
      </c>
      <c r="DP509" s="30">
        <v>47848.0</v>
      </c>
      <c r="DQ509" s="39">
        <v>0.0</v>
      </c>
      <c r="DR509" s="39">
        <v>0.0</v>
      </c>
      <c r="DS509" s="35" t="s">
        <v>7045</v>
      </c>
    </row>
    <row r="510" ht="14.25" customHeight="1">
      <c r="A510" s="28" t="s">
        <v>2662</v>
      </c>
      <c r="B510" s="29" t="s">
        <v>2663</v>
      </c>
      <c r="C510" s="29" t="s">
        <v>7041</v>
      </c>
      <c r="D510" s="30">
        <v>45658.0</v>
      </c>
      <c r="E510" s="30">
        <v>45747.0</v>
      </c>
      <c r="F510" s="39">
        <v>0.0</v>
      </c>
      <c r="G510" s="39">
        <v>0.0</v>
      </c>
      <c r="H510" s="35" t="s">
        <v>7045</v>
      </c>
      <c r="I510" s="30">
        <v>45748.0</v>
      </c>
      <c r="J510" s="30">
        <v>45838.0</v>
      </c>
      <c r="K510" s="39">
        <v>100.0</v>
      </c>
      <c r="L510" s="39">
        <v>0.0</v>
      </c>
      <c r="M510" s="38" t="s">
        <v>7047</v>
      </c>
      <c r="N510" s="30">
        <v>45839.0</v>
      </c>
      <c r="O510" s="30">
        <v>45930.0</v>
      </c>
      <c r="P510" s="39">
        <v>0.0</v>
      </c>
      <c r="Q510" s="39">
        <v>166.67</v>
      </c>
      <c r="R510" s="35" t="s">
        <v>7043</v>
      </c>
      <c r="S510" s="30">
        <v>45931.0</v>
      </c>
      <c r="T510" s="30">
        <v>46022.0</v>
      </c>
      <c r="U510" s="39">
        <v>0.0</v>
      </c>
      <c r="V510" s="39">
        <v>166.67</v>
      </c>
      <c r="W510" s="35" t="s">
        <v>7043</v>
      </c>
      <c r="X510" s="30">
        <v>46023.0</v>
      </c>
      <c r="Y510" s="30">
        <v>46112.0</v>
      </c>
      <c r="Z510" s="39">
        <v>0.0</v>
      </c>
      <c r="AA510" s="39">
        <v>0.0</v>
      </c>
      <c r="AB510" s="35" t="s">
        <v>7045</v>
      </c>
      <c r="AC510" s="30">
        <v>46113.0</v>
      </c>
      <c r="AD510" s="30">
        <v>46203.0</v>
      </c>
      <c r="AE510" s="39">
        <v>0.0</v>
      </c>
      <c r="AF510" s="39">
        <v>0.0</v>
      </c>
      <c r="AG510" s="35" t="s">
        <v>7045</v>
      </c>
      <c r="AH510" s="30">
        <v>46204.0</v>
      </c>
      <c r="AI510" s="30">
        <v>46295.0</v>
      </c>
      <c r="AJ510" s="39">
        <v>0.0</v>
      </c>
      <c r="AK510" s="39">
        <v>0.0</v>
      </c>
      <c r="AL510" s="35" t="s">
        <v>7045</v>
      </c>
      <c r="AM510" s="30">
        <v>46296.0</v>
      </c>
      <c r="AN510" s="30">
        <v>46387.0</v>
      </c>
      <c r="AO510" s="39">
        <v>0.0</v>
      </c>
      <c r="AP510" s="39">
        <v>0.0</v>
      </c>
      <c r="AQ510" s="35" t="s">
        <v>7045</v>
      </c>
      <c r="AR510" s="30">
        <v>46388.0</v>
      </c>
      <c r="AS510" s="30">
        <v>46477.0</v>
      </c>
      <c r="AT510" s="39">
        <v>0.0</v>
      </c>
      <c r="AU510" s="39">
        <v>0.0</v>
      </c>
      <c r="AV510" s="35" t="s">
        <v>7045</v>
      </c>
      <c r="AW510" s="30">
        <v>46478.0</v>
      </c>
      <c r="AX510" s="30">
        <v>46568.0</v>
      </c>
      <c r="AY510" s="39">
        <v>0.0</v>
      </c>
      <c r="AZ510" s="39">
        <v>0.0</v>
      </c>
      <c r="BA510" s="35" t="s">
        <v>7045</v>
      </c>
      <c r="BB510" s="30">
        <v>46569.0</v>
      </c>
      <c r="BC510" s="30">
        <v>46660.0</v>
      </c>
      <c r="BD510" s="39">
        <v>0.0</v>
      </c>
      <c r="BE510" s="39">
        <v>0.0</v>
      </c>
      <c r="BF510" s="35" t="s">
        <v>7045</v>
      </c>
      <c r="BG510" s="30">
        <v>46661.0</v>
      </c>
      <c r="BH510" s="30">
        <v>46752.0</v>
      </c>
      <c r="BI510" s="39">
        <v>0.0</v>
      </c>
      <c r="BJ510" s="39">
        <v>0.0</v>
      </c>
      <c r="BK510" s="35" t="s">
        <v>7045</v>
      </c>
      <c r="BL510" s="30">
        <v>46753.0</v>
      </c>
      <c r="BM510" s="30">
        <v>46843.0</v>
      </c>
      <c r="BN510" s="39">
        <v>0.0</v>
      </c>
      <c r="BO510" s="39">
        <v>0.0</v>
      </c>
      <c r="BP510" s="35" t="s">
        <v>7045</v>
      </c>
      <c r="BQ510" s="30">
        <v>46844.0</v>
      </c>
      <c r="BR510" s="30">
        <v>46934.0</v>
      </c>
      <c r="BS510" s="39">
        <v>0.0</v>
      </c>
      <c r="BT510" s="39">
        <v>0.0</v>
      </c>
      <c r="BU510" s="35" t="s">
        <v>7045</v>
      </c>
      <c r="BV510" s="30">
        <v>46935.0</v>
      </c>
      <c r="BW510" s="30">
        <v>47026.0</v>
      </c>
      <c r="BX510" s="39">
        <v>0.0</v>
      </c>
      <c r="BY510" s="39">
        <v>0.0</v>
      </c>
      <c r="BZ510" s="35" t="s">
        <v>7045</v>
      </c>
      <c r="CA510" s="30">
        <v>47027.0</v>
      </c>
      <c r="CB510" s="30">
        <v>47118.0</v>
      </c>
      <c r="CC510" s="39">
        <v>0.0</v>
      </c>
      <c r="CD510" s="39">
        <v>0.0</v>
      </c>
      <c r="CE510" s="35" t="s">
        <v>7045</v>
      </c>
      <c r="CF510" s="30">
        <v>47119.0</v>
      </c>
      <c r="CG510" s="30">
        <v>47208.0</v>
      </c>
      <c r="CH510" s="39">
        <v>0.0</v>
      </c>
      <c r="CI510" s="39">
        <v>0.0</v>
      </c>
      <c r="CJ510" s="35" t="s">
        <v>7045</v>
      </c>
      <c r="CK510" s="30">
        <v>47209.0</v>
      </c>
      <c r="CL510" s="30">
        <v>47299.0</v>
      </c>
      <c r="CM510" s="39">
        <v>0.0</v>
      </c>
      <c r="CN510" s="39">
        <v>0.0</v>
      </c>
      <c r="CO510" s="35" t="s">
        <v>7045</v>
      </c>
      <c r="CP510" s="30">
        <v>47300.0</v>
      </c>
      <c r="CQ510" s="30">
        <v>47391.0</v>
      </c>
      <c r="CR510" s="39">
        <v>0.0</v>
      </c>
      <c r="CS510" s="39">
        <v>0.0</v>
      </c>
      <c r="CT510" s="35" t="s">
        <v>7045</v>
      </c>
      <c r="CU510" s="30">
        <v>47392.0</v>
      </c>
      <c r="CV510" s="30">
        <v>47483.0</v>
      </c>
      <c r="CW510" s="39">
        <v>0.0</v>
      </c>
      <c r="CX510" s="39">
        <v>0.0</v>
      </c>
      <c r="CY510" s="35" t="s">
        <v>7045</v>
      </c>
      <c r="CZ510" s="30">
        <v>47484.0</v>
      </c>
      <c r="DA510" s="30">
        <v>47573.0</v>
      </c>
      <c r="DB510" s="39">
        <v>0.0</v>
      </c>
      <c r="DC510" s="39">
        <v>0.0</v>
      </c>
      <c r="DD510" s="35" t="s">
        <v>7045</v>
      </c>
      <c r="DE510" s="30">
        <v>47574.0</v>
      </c>
      <c r="DF510" s="30">
        <v>47664.0</v>
      </c>
      <c r="DG510" s="39">
        <v>0.0</v>
      </c>
      <c r="DH510" s="39">
        <v>0.0</v>
      </c>
      <c r="DI510" s="35" t="s">
        <v>7045</v>
      </c>
      <c r="DJ510" s="30">
        <v>47665.0</v>
      </c>
      <c r="DK510" s="30">
        <v>47756.0</v>
      </c>
      <c r="DL510" s="39">
        <v>0.0</v>
      </c>
      <c r="DM510" s="39">
        <v>0.0</v>
      </c>
      <c r="DN510" s="35" t="s">
        <v>7045</v>
      </c>
      <c r="DO510" s="30">
        <v>47757.0</v>
      </c>
      <c r="DP510" s="30">
        <v>47848.0</v>
      </c>
      <c r="DQ510" s="39">
        <v>0.0</v>
      </c>
      <c r="DR510" s="39">
        <v>0.0</v>
      </c>
      <c r="DS510" s="35" t="s">
        <v>7045</v>
      </c>
    </row>
    <row r="511" ht="14.25" customHeight="1">
      <c r="A511" s="28" t="s">
        <v>5507</v>
      </c>
      <c r="B511" s="29" t="s">
        <v>5508</v>
      </c>
      <c r="C511" s="29" t="s">
        <v>7041</v>
      </c>
      <c r="D511" s="30">
        <v>45658.0</v>
      </c>
      <c r="E511" s="30">
        <v>45747.0</v>
      </c>
      <c r="F511" s="36">
        <v>0.0</v>
      </c>
      <c r="G511" s="36">
        <v>0.0</v>
      </c>
      <c r="H511" s="35" t="s">
        <v>7045</v>
      </c>
      <c r="I511" s="30">
        <v>45748.0</v>
      </c>
      <c r="J511" s="30">
        <v>45838.0</v>
      </c>
      <c r="K511" s="36">
        <v>25.0</v>
      </c>
      <c r="L511" s="36">
        <v>0.0</v>
      </c>
      <c r="M511" s="38" t="s">
        <v>7047</v>
      </c>
      <c r="N511" s="30">
        <v>45839.0</v>
      </c>
      <c r="O511" s="30">
        <v>45930.0</v>
      </c>
      <c r="P511" s="36">
        <v>40.0</v>
      </c>
      <c r="Q511" s="36">
        <v>176.67</v>
      </c>
      <c r="R511" s="38" t="s">
        <v>7047</v>
      </c>
      <c r="S511" s="30">
        <v>45931.0</v>
      </c>
      <c r="T511" s="30">
        <v>46022.0</v>
      </c>
      <c r="U511" s="36">
        <v>90.0</v>
      </c>
      <c r="V511" s="36">
        <v>176.67</v>
      </c>
      <c r="W511" s="38" t="s">
        <v>7047</v>
      </c>
      <c r="X511" s="30">
        <v>46023.0</v>
      </c>
      <c r="Y511" s="30">
        <v>46112.0</v>
      </c>
      <c r="Z511" s="36">
        <v>5.11</v>
      </c>
      <c r="AA511" s="36">
        <v>0.0</v>
      </c>
      <c r="AB511" s="38" t="s">
        <v>7047</v>
      </c>
      <c r="AC511" s="30">
        <v>46113.0</v>
      </c>
      <c r="AD511" s="30">
        <v>46203.0</v>
      </c>
      <c r="AE511" s="36">
        <v>0.0</v>
      </c>
      <c r="AF511" s="36">
        <v>0.0</v>
      </c>
      <c r="AG511" s="35" t="s">
        <v>7045</v>
      </c>
      <c r="AH511" s="30">
        <v>46204.0</v>
      </c>
      <c r="AI511" s="30">
        <v>46295.0</v>
      </c>
      <c r="AJ511" s="36">
        <v>0.0</v>
      </c>
      <c r="AK511" s="36">
        <v>0.0</v>
      </c>
      <c r="AL511" s="35" t="s">
        <v>7045</v>
      </c>
      <c r="AM511" s="30">
        <v>46296.0</v>
      </c>
      <c r="AN511" s="30">
        <v>46387.0</v>
      </c>
      <c r="AO511" s="36">
        <v>3.0</v>
      </c>
      <c r="AP511" s="36">
        <v>0.0</v>
      </c>
      <c r="AQ511" s="38" t="s">
        <v>7047</v>
      </c>
      <c r="AR511" s="30">
        <v>46388.0</v>
      </c>
      <c r="AS511" s="30">
        <v>46477.0</v>
      </c>
      <c r="AT511" s="36">
        <v>0.0</v>
      </c>
      <c r="AU511" s="36">
        <v>0.0</v>
      </c>
      <c r="AV511" s="35" t="s">
        <v>7045</v>
      </c>
      <c r="AW511" s="30">
        <v>46478.0</v>
      </c>
      <c r="AX511" s="30">
        <v>46568.0</v>
      </c>
      <c r="AY511" s="36">
        <v>0.0</v>
      </c>
      <c r="AZ511" s="36">
        <v>0.0</v>
      </c>
      <c r="BA511" s="35" t="s">
        <v>7045</v>
      </c>
      <c r="BB511" s="30">
        <v>46569.0</v>
      </c>
      <c r="BC511" s="30">
        <v>46660.0</v>
      </c>
      <c r="BD511" s="36">
        <v>0.0</v>
      </c>
      <c r="BE511" s="36">
        <v>0.0</v>
      </c>
      <c r="BF511" s="35" t="s">
        <v>7045</v>
      </c>
      <c r="BG511" s="30">
        <v>46661.0</v>
      </c>
      <c r="BH511" s="30">
        <v>46752.0</v>
      </c>
      <c r="BI511" s="36">
        <v>0.0</v>
      </c>
      <c r="BJ511" s="36">
        <v>0.0</v>
      </c>
      <c r="BK511" s="35" t="s">
        <v>7045</v>
      </c>
      <c r="BL511" s="30">
        <v>46753.0</v>
      </c>
      <c r="BM511" s="30">
        <v>46843.0</v>
      </c>
      <c r="BN511" s="36">
        <v>0.0</v>
      </c>
      <c r="BO511" s="36">
        <v>0.0</v>
      </c>
      <c r="BP511" s="35" t="s">
        <v>7045</v>
      </c>
      <c r="BQ511" s="30">
        <v>46844.0</v>
      </c>
      <c r="BR511" s="30">
        <v>46934.0</v>
      </c>
      <c r="BS511" s="36">
        <v>0.0</v>
      </c>
      <c r="BT511" s="36">
        <v>0.0</v>
      </c>
      <c r="BU511" s="35" t="s">
        <v>7045</v>
      </c>
      <c r="BV511" s="30">
        <v>46935.0</v>
      </c>
      <c r="BW511" s="30">
        <v>47026.0</v>
      </c>
      <c r="BX511" s="36">
        <v>0.0</v>
      </c>
      <c r="BY511" s="36">
        <v>0.0</v>
      </c>
      <c r="BZ511" s="35" t="s">
        <v>7045</v>
      </c>
      <c r="CA511" s="30">
        <v>47027.0</v>
      </c>
      <c r="CB511" s="30">
        <v>47118.0</v>
      </c>
      <c r="CC511" s="36">
        <v>0.0</v>
      </c>
      <c r="CD511" s="36">
        <v>0.0</v>
      </c>
      <c r="CE511" s="35" t="s">
        <v>7045</v>
      </c>
      <c r="CF511" s="30">
        <v>47119.0</v>
      </c>
      <c r="CG511" s="30">
        <v>47208.0</v>
      </c>
      <c r="CH511" s="36">
        <v>0.0</v>
      </c>
      <c r="CI511" s="36">
        <v>0.0</v>
      </c>
      <c r="CJ511" s="35" t="s">
        <v>7045</v>
      </c>
      <c r="CK511" s="30">
        <v>47209.0</v>
      </c>
      <c r="CL511" s="30">
        <v>47299.0</v>
      </c>
      <c r="CM511" s="36">
        <v>0.0</v>
      </c>
      <c r="CN511" s="36">
        <v>0.0</v>
      </c>
      <c r="CO511" s="35" t="s">
        <v>7045</v>
      </c>
      <c r="CP511" s="30">
        <v>47300.0</v>
      </c>
      <c r="CQ511" s="30">
        <v>47391.0</v>
      </c>
      <c r="CR511" s="36">
        <v>0.0</v>
      </c>
      <c r="CS511" s="36">
        <v>0.0</v>
      </c>
      <c r="CT511" s="35" t="s">
        <v>7045</v>
      </c>
      <c r="CU511" s="30">
        <v>47392.0</v>
      </c>
      <c r="CV511" s="30">
        <v>47483.0</v>
      </c>
      <c r="CW511" s="36">
        <v>0.0</v>
      </c>
      <c r="CX511" s="36">
        <v>0.0</v>
      </c>
      <c r="CY511" s="35" t="s">
        <v>7045</v>
      </c>
      <c r="CZ511" s="30">
        <v>47484.0</v>
      </c>
      <c r="DA511" s="30">
        <v>47573.0</v>
      </c>
      <c r="DB511" s="36">
        <v>0.0</v>
      </c>
      <c r="DC511" s="36">
        <v>0.0</v>
      </c>
      <c r="DD511" s="35" t="s">
        <v>7045</v>
      </c>
      <c r="DE511" s="30">
        <v>47574.0</v>
      </c>
      <c r="DF511" s="30">
        <v>47664.0</v>
      </c>
      <c r="DG511" s="36">
        <v>0.0</v>
      </c>
      <c r="DH511" s="36">
        <v>0.0</v>
      </c>
      <c r="DI511" s="35" t="s">
        <v>7045</v>
      </c>
      <c r="DJ511" s="30">
        <v>47665.0</v>
      </c>
      <c r="DK511" s="30">
        <v>47756.0</v>
      </c>
      <c r="DL511" s="36">
        <v>0.0</v>
      </c>
      <c r="DM511" s="36">
        <v>0.0</v>
      </c>
      <c r="DN511" s="35" t="s">
        <v>7045</v>
      </c>
      <c r="DO511" s="30">
        <v>47757.0</v>
      </c>
      <c r="DP511" s="30">
        <v>47848.0</v>
      </c>
      <c r="DQ511" s="36">
        <v>0.0</v>
      </c>
      <c r="DR511" s="36">
        <v>0.0</v>
      </c>
      <c r="DS511" s="35" t="s">
        <v>7045</v>
      </c>
    </row>
    <row r="512" ht="14.25" customHeight="1">
      <c r="A512" s="28" t="s">
        <v>165</v>
      </c>
      <c r="B512" s="29" t="s">
        <v>166</v>
      </c>
      <c r="C512" s="29" t="s">
        <v>7041</v>
      </c>
      <c r="D512" s="30">
        <v>45658.0</v>
      </c>
      <c r="E512" s="30">
        <v>45747.0</v>
      </c>
      <c r="F512" s="39">
        <v>0.0</v>
      </c>
      <c r="G512" s="39">
        <v>0.0</v>
      </c>
      <c r="H512" s="35" t="s">
        <v>7045</v>
      </c>
      <c r="I512" s="30">
        <v>45748.0</v>
      </c>
      <c r="J512" s="30">
        <v>45838.0</v>
      </c>
      <c r="K512" s="39">
        <v>3.01</v>
      </c>
      <c r="L512" s="39">
        <v>0.0</v>
      </c>
      <c r="M512" s="38" t="s">
        <v>7047</v>
      </c>
      <c r="N512" s="30">
        <v>45839.0</v>
      </c>
      <c r="O512" s="30">
        <v>45930.0</v>
      </c>
      <c r="P512" s="39">
        <v>13.01</v>
      </c>
      <c r="Q512" s="39">
        <v>183.33</v>
      </c>
      <c r="R512" s="38" t="s">
        <v>7047</v>
      </c>
      <c r="S512" s="30">
        <v>45931.0</v>
      </c>
      <c r="T512" s="30">
        <v>46022.0</v>
      </c>
      <c r="U512" s="39">
        <v>350.0</v>
      </c>
      <c r="V512" s="39">
        <v>166.67</v>
      </c>
      <c r="W512" s="38" t="s">
        <v>7047</v>
      </c>
      <c r="X512" s="30">
        <v>46023.0</v>
      </c>
      <c r="Y512" s="30">
        <v>46112.0</v>
      </c>
      <c r="Z512" s="39">
        <v>0.0</v>
      </c>
      <c r="AA512" s="39">
        <v>0.0</v>
      </c>
      <c r="AB512" s="35" t="s">
        <v>7045</v>
      </c>
      <c r="AC512" s="30">
        <v>46113.0</v>
      </c>
      <c r="AD512" s="30">
        <v>46203.0</v>
      </c>
      <c r="AE512" s="39">
        <v>10.0</v>
      </c>
      <c r="AF512" s="39">
        <v>0.0</v>
      </c>
      <c r="AG512" s="35" t="s">
        <v>7047</v>
      </c>
      <c r="AH512" s="30">
        <v>46204.0</v>
      </c>
      <c r="AI512" s="30">
        <v>46295.0</v>
      </c>
      <c r="AJ512" s="39">
        <v>0.0</v>
      </c>
      <c r="AK512" s="39">
        <v>0.0</v>
      </c>
      <c r="AL512" s="35" t="s">
        <v>7045</v>
      </c>
      <c r="AM512" s="30">
        <v>46296.0</v>
      </c>
      <c r="AN512" s="30">
        <v>46387.0</v>
      </c>
      <c r="AO512" s="39">
        <v>0.0</v>
      </c>
      <c r="AP512" s="39">
        <v>0.0</v>
      </c>
      <c r="AQ512" s="35" t="s">
        <v>7045</v>
      </c>
      <c r="AR512" s="30">
        <v>46388.0</v>
      </c>
      <c r="AS512" s="30">
        <v>46477.0</v>
      </c>
      <c r="AT512" s="39">
        <v>0.0</v>
      </c>
      <c r="AU512" s="39">
        <v>0.0</v>
      </c>
      <c r="AV512" s="35" t="s">
        <v>7045</v>
      </c>
      <c r="AW512" s="30">
        <v>46478.0</v>
      </c>
      <c r="AX512" s="30">
        <v>46568.0</v>
      </c>
      <c r="AY512" s="39">
        <v>0.0</v>
      </c>
      <c r="AZ512" s="39">
        <v>0.0</v>
      </c>
      <c r="BA512" s="35" t="s">
        <v>7045</v>
      </c>
      <c r="BB512" s="30">
        <v>46569.0</v>
      </c>
      <c r="BC512" s="30">
        <v>46660.0</v>
      </c>
      <c r="BD512" s="39">
        <v>0.0</v>
      </c>
      <c r="BE512" s="39">
        <v>0.0</v>
      </c>
      <c r="BF512" s="35" t="s">
        <v>7045</v>
      </c>
      <c r="BG512" s="30">
        <v>46661.0</v>
      </c>
      <c r="BH512" s="30">
        <v>46752.0</v>
      </c>
      <c r="BI512" s="39">
        <v>0.0</v>
      </c>
      <c r="BJ512" s="39">
        <v>0.0</v>
      </c>
      <c r="BK512" s="35" t="s">
        <v>7045</v>
      </c>
      <c r="BL512" s="30">
        <v>46753.0</v>
      </c>
      <c r="BM512" s="30">
        <v>46843.0</v>
      </c>
      <c r="BN512" s="39">
        <v>0.0</v>
      </c>
      <c r="BO512" s="39">
        <v>0.0</v>
      </c>
      <c r="BP512" s="35" t="s">
        <v>7045</v>
      </c>
      <c r="BQ512" s="30">
        <v>46844.0</v>
      </c>
      <c r="BR512" s="30">
        <v>46934.0</v>
      </c>
      <c r="BS512" s="39">
        <v>0.0</v>
      </c>
      <c r="BT512" s="39">
        <v>0.0</v>
      </c>
      <c r="BU512" s="35" t="s">
        <v>7045</v>
      </c>
      <c r="BV512" s="30">
        <v>46935.0</v>
      </c>
      <c r="BW512" s="30">
        <v>47026.0</v>
      </c>
      <c r="BX512" s="39">
        <v>0.0</v>
      </c>
      <c r="BY512" s="39">
        <v>0.0</v>
      </c>
      <c r="BZ512" s="35" t="s">
        <v>7045</v>
      </c>
      <c r="CA512" s="30">
        <v>47027.0</v>
      </c>
      <c r="CB512" s="30">
        <v>47118.0</v>
      </c>
      <c r="CC512" s="39">
        <v>0.0</v>
      </c>
      <c r="CD512" s="39">
        <v>0.0</v>
      </c>
      <c r="CE512" s="35" t="s">
        <v>7045</v>
      </c>
      <c r="CF512" s="30">
        <v>47119.0</v>
      </c>
      <c r="CG512" s="30">
        <v>47208.0</v>
      </c>
      <c r="CH512" s="39">
        <v>0.0</v>
      </c>
      <c r="CI512" s="39">
        <v>0.0</v>
      </c>
      <c r="CJ512" s="35" t="s">
        <v>7045</v>
      </c>
      <c r="CK512" s="30">
        <v>47209.0</v>
      </c>
      <c r="CL512" s="30">
        <v>47299.0</v>
      </c>
      <c r="CM512" s="39">
        <v>0.0</v>
      </c>
      <c r="CN512" s="39">
        <v>0.0</v>
      </c>
      <c r="CO512" s="35" t="s">
        <v>7045</v>
      </c>
      <c r="CP512" s="30">
        <v>47300.0</v>
      </c>
      <c r="CQ512" s="30">
        <v>47391.0</v>
      </c>
      <c r="CR512" s="39">
        <v>0.0</v>
      </c>
      <c r="CS512" s="39">
        <v>0.0</v>
      </c>
      <c r="CT512" s="35" t="s">
        <v>7045</v>
      </c>
      <c r="CU512" s="30">
        <v>47392.0</v>
      </c>
      <c r="CV512" s="30">
        <v>47483.0</v>
      </c>
      <c r="CW512" s="39">
        <v>0.0</v>
      </c>
      <c r="CX512" s="39">
        <v>0.0</v>
      </c>
      <c r="CY512" s="35" t="s">
        <v>7045</v>
      </c>
      <c r="CZ512" s="30">
        <v>47484.0</v>
      </c>
      <c r="DA512" s="30">
        <v>47573.0</v>
      </c>
      <c r="DB512" s="39">
        <v>0.0</v>
      </c>
      <c r="DC512" s="39">
        <v>0.0</v>
      </c>
      <c r="DD512" s="35" t="s">
        <v>7045</v>
      </c>
      <c r="DE512" s="30">
        <v>47574.0</v>
      </c>
      <c r="DF512" s="30">
        <v>47664.0</v>
      </c>
      <c r="DG512" s="39">
        <v>0.0</v>
      </c>
      <c r="DH512" s="39">
        <v>0.0</v>
      </c>
      <c r="DI512" s="35" t="s">
        <v>7045</v>
      </c>
      <c r="DJ512" s="30">
        <v>47665.0</v>
      </c>
      <c r="DK512" s="30">
        <v>47756.0</v>
      </c>
      <c r="DL512" s="39">
        <v>0.0</v>
      </c>
      <c r="DM512" s="39">
        <v>0.0</v>
      </c>
      <c r="DN512" s="35" t="s">
        <v>7045</v>
      </c>
      <c r="DO512" s="30">
        <v>47757.0</v>
      </c>
      <c r="DP512" s="30">
        <v>47848.0</v>
      </c>
      <c r="DQ512" s="39">
        <v>0.0</v>
      </c>
      <c r="DR512" s="39">
        <v>0.0</v>
      </c>
      <c r="DS512" s="35" t="s">
        <v>7045</v>
      </c>
    </row>
    <row r="513" ht="14.25" customHeight="1">
      <c r="A513" s="28" t="s">
        <v>6877</v>
      </c>
      <c r="B513" s="29" t="s">
        <v>6878</v>
      </c>
      <c r="C513" s="29" t="s">
        <v>7041</v>
      </c>
      <c r="D513" s="30">
        <v>45658.0</v>
      </c>
      <c r="E513" s="30">
        <v>45747.0</v>
      </c>
      <c r="F513" s="36">
        <v>0.0</v>
      </c>
      <c r="G513" s="36">
        <v>0.0</v>
      </c>
      <c r="H513" s="35" t="s">
        <v>7045</v>
      </c>
      <c r="I513" s="30">
        <v>45748.0</v>
      </c>
      <c r="J513" s="30">
        <v>45838.0</v>
      </c>
      <c r="K513" s="36">
        <v>8.95</v>
      </c>
      <c r="L513" s="36">
        <v>0.0</v>
      </c>
      <c r="M513" s="38" t="s">
        <v>7047</v>
      </c>
      <c r="N513" s="30">
        <v>45839.0</v>
      </c>
      <c r="O513" s="30">
        <v>45930.0</v>
      </c>
      <c r="P513" s="36">
        <v>21.36</v>
      </c>
      <c r="Q513" s="36">
        <v>300.0</v>
      </c>
      <c r="R513" s="35" t="s">
        <v>7047</v>
      </c>
      <c r="S513" s="30">
        <v>45931.0</v>
      </c>
      <c r="T513" s="30">
        <v>46022.0</v>
      </c>
      <c r="U513" s="36">
        <v>53.95</v>
      </c>
      <c r="V513" s="36">
        <v>300.0</v>
      </c>
      <c r="W513" s="38" t="s">
        <v>7047</v>
      </c>
      <c r="X513" s="30">
        <v>46023.0</v>
      </c>
      <c r="Y513" s="30">
        <v>46112.0</v>
      </c>
      <c r="Z513" s="36">
        <v>1.43</v>
      </c>
      <c r="AA513" s="36">
        <v>0.0</v>
      </c>
      <c r="AB513" s="38" t="s">
        <v>7047</v>
      </c>
      <c r="AC513" s="30">
        <v>46113.0</v>
      </c>
      <c r="AD513" s="30">
        <v>46203.0</v>
      </c>
      <c r="AE513" s="36">
        <v>5.38</v>
      </c>
      <c r="AF513" s="36">
        <v>0.0</v>
      </c>
      <c r="AG513" s="38" t="s">
        <v>7047</v>
      </c>
      <c r="AH513" s="30">
        <v>46204.0</v>
      </c>
      <c r="AI513" s="30">
        <v>46295.0</v>
      </c>
      <c r="AJ513" s="36">
        <v>0.0</v>
      </c>
      <c r="AK513" s="36">
        <v>0.0</v>
      </c>
      <c r="AL513" s="35" t="s">
        <v>7045</v>
      </c>
      <c r="AM513" s="30">
        <v>46296.0</v>
      </c>
      <c r="AN513" s="30">
        <v>46387.0</v>
      </c>
      <c r="AO513" s="36">
        <v>0.0</v>
      </c>
      <c r="AP513" s="36">
        <v>0.0</v>
      </c>
      <c r="AQ513" s="35" t="s">
        <v>7045</v>
      </c>
      <c r="AR513" s="30">
        <v>46388.0</v>
      </c>
      <c r="AS513" s="30">
        <v>46477.0</v>
      </c>
      <c r="AT513" s="36">
        <v>0.0</v>
      </c>
      <c r="AU513" s="36">
        <v>0.0</v>
      </c>
      <c r="AV513" s="35" t="s">
        <v>7045</v>
      </c>
      <c r="AW513" s="30">
        <v>46478.0</v>
      </c>
      <c r="AX513" s="30">
        <v>46568.0</v>
      </c>
      <c r="AY513" s="36">
        <v>0.0</v>
      </c>
      <c r="AZ513" s="36">
        <v>0.0</v>
      </c>
      <c r="BA513" s="35" t="s">
        <v>7045</v>
      </c>
      <c r="BB513" s="30">
        <v>46569.0</v>
      </c>
      <c r="BC513" s="30">
        <v>46660.0</v>
      </c>
      <c r="BD513" s="36">
        <v>0.0</v>
      </c>
      <c r="BE513" s="36">
        <v>0.0</v>
      </c>
      <c r="BF513" s="35" t="s">
        <v>7045</v>
      </c>
      <c r="BG513" s="30">
        <v>46661.0</v>
      </c>
      <c r="BH513" s="30">
        <v>46752.0</v>
      </c>
      <c r="BI513" s="36">
        <v>0.0</v>
      </c>
      <c r="BJ513" s="36">
        <v>0.0</v>
      </c>
      <c r="BK513" s="35" t="s">
        <v>7045</v>
      </c>
      <c r="BL513" s="30">
        <v>46753.0</v>
      </c>
      <c r="BM513" s="30">
        <v>46843.0</v>
      </c>
      <c r="BN513" s="36">
        <v>0.0</v>
      </c>
      <c r="BO513" s="36">
        <v>0.0</v>
      </c>
      <c r="BP513" s="35" t="s">
        <v>7045</v>
      </c>
      <c r="BQ513" s="30">
        <v>46844.0</v>
      </c>
      <c r="BR513" s="30">
        <v>46934.0</v>
      </c>
      <c r="BS513" s="36">
        <v>0.0</v>
      </c>
      <c r="BT513" s="36">
        <v>0.0</v>
      </c>
      <c r="BU513" s="35" t="s">
        <v>7045</v>
      </c>
      <c r="BV513" s="30">
        <v>46935.0</v>
      </c>
      <c r="BW513" s="30">
        <v>47026.0</v>
      </c>
      <c r="BX513" s="36">
        <v>0.0</v>
      </c>
      <c r="BY513" s="36">
        <v>0.0</v>
      </c>
      <c r="BZ513" s="35" t="s">
        <v>7045</v>
      </c>
      <c r="CA513" s="30">
        <v>47027.0</v>
      </c>
      <c r="CB513" s="30">
        <v>47118.0</v>
      </c>
      <c r="CC513" s="36">
        <v>0.0</v>
      </c>
      <c r="CD513" s="36">
        <v>0.0</v>
      </c>
      <c r="CE513" s="35" t="s">
        <v>7045</v>
      </c>
      <c r="CF513" s="30">
        <v>47119.0</v>
      </c>
      <c r="CG513" s="30">
        <v>47208.0</v>
      </c>
      <c r="CH513" s="36">
        <v>0.0</v>
      </c>
      <c r="CI513" s="36">
        <v>0.0</v>
      </c>
      <c r="CJ513" s="35" t="s">
        <v>7045</v>
      </c>
      <c r="CK513" s="30">
        <v>47209.0</v>
      </c>
      <c r="CL513" s="30">
        <v>47299.0</v>
      </c>
      <c r="CM513" s="36">
        <v>0.0</v>
      </c>
      <c r="CN513" s="36">
        <v>0.0</v>
      </c>
      <c r="CO513" s="35" t="s">
        <v>7045</v>
      </c>
      <c r="CP513" s="30">
        <v>47300.0</v>
      </c>
      <c r="CQ513" s="30">
        <v>47391.0</v>
      </c>
      <c r="CR513" s="36">
        <v>0.0</v>
      </c>
      <c r="CS513" s="36">
        <v>0.0</v>
      </c>
      <c r="CT513" s="35" t="s">
        <v>7045</v>
      </c>
      <c r="CU513" s="30">
        <v>47392.0</v>
      </c>
      <c r="CV513" s="30">
        <v>47483.0</v>
      </c>
      <c r="CW513" s="36">
        <v>0.0</v>
      </c>
      <c r="CX513" s="36">
        <v>0.0</v>
      </c>
      <c r="CY513" s="35" t="s">
        <v>7045</v>
      </c>
      <c r="CZ513" s="30">
        <v>47484.0</v>
      </c>
      <c r="DA513" s="30">
        <v>47573.0</v>
      </c>
      <c r="DB513" s="36">
        <v>0.0</v>
      </c>
      <c r="DC513" s="36">
        <v>0.0</v>
      </c>
      <c r="DD513" s="35" t="s">
        <v>7045</v>
      </c>
      <c r="DE513" s="30">
        <v>47574.0</v>
      </c>
      <c r="DF513" s="30">
        <v>47664.0</v>
      </c>
      <c r="DG513" s="36">
        <v>0.0</v>
      </c>
      <c r="DH513" s="36">
        <v>0.0</v>
      </c>
      <c r="DI513" s="35" t="s">
        <v>7045</v>
      </c>
      <c r="DJ513" s="30">
        <v>47665.0</v>
      </c>
      <c r="DK513" s="30">
        <v>47756.0</v>
      </c>
      <c r="DL513" s="36">
        <v>0.0</v>
      </c>
      <c r="DM513" s="36">
        <v>0.0</v>
      </c>
      <c r="DN513" s="35" t="s">
        <v>7045</v>
      </c>
      <c r="DO513" s="30">
        <v>47757.0</v>
      </c>
      <c r="DP513" s="30">
        <v>47848.0</v>
      </c>
      <c r="DQ513" s="36">
        <v>0.0</v>
      </c>
      <c r="DR513" s="36">
        <v>0.0</v>
      </c>
      <c r="DS513" s="35" t="s">
        <v>7045</v>
      </c>
    </row>
    <row r="514" ht="14.25" customHeight="1">
      <c r="A514" s="28" t="s">
        <v>6504</v>
      </c>
      <c r="B514" s="29" t="s">
        <v>6505</v>
      </c>
      <c r="C514" s="29" t="s">
        <v>7041</v>
      </c>
      <c r="D514" s="30">
        <v>45658.0</v>
      </c>
      <c r="E514" s="30">
        <v>45747.0</v>
      </c>
      <c r="F514" s="39">
        <v>0.0</v>
      </c>
      <c r="G514" s="39">
        <v>0.0</v>
      </c>
      <c r="H514" s="35" t="s">
        <v>7045</v>
      </c>
      <c r="I514" s="30">
        <v>45748.0</v>
      </c>
      <c r="J514" s="30">
        <v>45838.0</v>
      </c>
      <c r="K514" s="39">
        <v>4.77</v>
      </c>
      <c r="L514" s="39">
        <v>0.0</v>
      </c>
      <c r="M514" s="38" t="s">
        <v>7047</v>
      </c>
      <c r="N514" s="30">
        <v>45839.0</v>
      </c>
      <c r="O514" s="30">
        <v>45930.0</v>
      </c>
      <c r="P514" s="39">
        <v>7.1</v>
      </c>
      <c r="Q514" s="39">
        <v>166.67</v>
      </c>
      <c r="R514" s="35" t="s">
        <v>7043</v>
      </c>
      <c r="S514" s="30">
        <v>45931.0</v>
      </c>
      <c r="T514" s="30">
        <v>46022.0</v>
      </c>
      <c r="U514" s="39">
        <v>38.8</v>
      </c>
      <c r="V514" s="39">
        <v>166.67</v>
      </c>
      <c r="W514" s="38" t="s">
        <v>7047</v>
      </c>
      <c r="X514" s="30">
        <v>46023.0</v>
      </c>
      <c r="Y514" s="30">
        <v>46112.0</v>
      </c>
      <c r="Z514" s="39">
        <v>0.0</v>
      </c>
      <c r="AA514" s="39">
        <v>0.0</v>
      </c>
      <c r="AB514" s="35" t="s">
        <v>7045</v>
      </c>
      <c r="AC514" s="30">
        <v>46113.0</v>
      </c>
      <c r="AD514" s="30">
        <v>46203.0</v>
      </c>
      <c r="AE514" s="39">
        <v>0.0</v>
      </c>
      <c r="AF514" s="39">
        <v>0.0</v>
      </c>
      <c r="AG514" s="35" t="s">
        <v>7045</v>
      </c>
      <c r="AH514" s="30">
        <v>46204.0</v>
      </c>
      <c r="AI514" s="30">
        <v>46295.0</v>
      </c>
      <c r="AJ514" s="39">
        <v>0.0</v>
      </c>
      <c r="AK514" s="39">
        <v>0.0</v>
      </c>
      <c r="AL514" s="35" t="s">
        <v>7045</v>
      </c>
      <c r="AM514" s="30">
        <v>46296.0</v>
      </c>
      <c r="AN514" s="30">
        <v>46387.0</v>
      </c>
      <c r="AO514" s="39">
        <v>0.0</v>
      </c>
      <c r="AP514" s="39">
        <v>0.0</v>
      </c>
      <c r="AQ514" s="35" t="s">
        <v>7045</v>
      </c>
      <c r="AR514" s="30">
        <v>46388.0</v>
      </c>
      <c r="AS514" s="30">
        <v>46477.0</v>
      </c>
      <c r="AT514" s="39">
        <v>0.0</v>
      </c>
      <c r="AU514" s="39">
        <v>0.0</v>
      </c>
      <c r="AV514" s="35" t="s">
        <v>7045</v>
      </c>
      <c r="AW514" s="30">
        <v>46478.0</v>
      </c>
      <c r="AX514" s="30">
        <v>46568.0</v>
      </c>
      <c r="AY514" s="39">
        <v>0.0</v>
      </c>
      <c r="AZ514" s="39">
        <v>0.0</v>
      </c>
      <c r="BA514" s="35" t="s">
        <v>7045</v>
      </c>
      <c r="BB514" s="30">
        <v>46569.0</v>
      </c>
      <c r="BC514" s="30">
        <v>46660.0</v>
      </c>
      <c r="BD514" s="39">
        <v>0.0</v>
      </c>
      <c r="BE514" s="39">
        <v>0.0</v>
      </c>
      <c r="BF514" s="35" t="s">
        <v>7045</v>
      </c>
      <c r="BG514" s="30">
        <v>46661.0</v>
      </c>
      <c r="BH514" s="30">
        <v>46752.0</v>
      </c>
      <c r="BI514" s="39">
        <v>0.0</v>
      </c>
      <c r="BJ514" s="39">
        <v>0.0</v>
      </c>
      <c r="BK514" s="35" t="s">
        <v>7045</v>
      </c>
      <c r="BL514" s="30">
        <v>46753.0</v>
      </c>
      <c r="BM514" s="30">
        <v>46843.0</v>
      </c>
      <c r="BN514" s="39">
        <v>0.0</v>
      </c>
      <c r="BO514" s="39">
        <v>0.0</v>
      </c>
      <c r="BP514" s="35" t="s">
        <v>7045</v>
      </c>
      <c r="BQ514" s="30">
        <v>46844.0</v>
      </c>
      <c r="BR514" s="30">
        <v>46934.0</v>
      </c>
      <c r="BS514" s="39">
        <v>0.0</v>
      </c>
      <c r="BT514" s="39">
        <v>0.0</v>
      </c>
      <c r="BU514" s="35" t="s">
        <v>7045</v>
      </c>
      <c r="BV514" s="30">
        <v>46935.0</v>
      </c>
      <c r="BW514" s="30">
        <v>47026.0</v>
      </c>
      <c r="BX514" s="39">
        <v>0.0</v>
      </c>
      <c r="BY514" s="39">
        <v>0.0</v>
      </c>
      <c r="BZ514" s="35" t="s">
        <v>7045</v>
      </c>
      <c r="CA514" s="30">
        <v>47027.0</v>
      </c>
      <c r="CB514" s="30">
        <v>47118.0</v>
      </c>
      <c r="CC514" s="39">
        <v>0.0</v>
      </c>
      <c r="CD514" s="39">
        <v>0.0</v>
      </c>
      <c r="CE514" s="35" t="s">
        <v>7045</v>
      </c>
      <c r="CF514" s="30">
        <v>47119.0</v>
      </c>
      <c r="CG514" s="30">
        <v>47208.0</v>
      </c>
      <c r="CH514" s="39">
        <v>0.0</v>
      </c>
      <c r="CI514" s="39">
        <v>0.0</v>
      </c>
      <c r="CJ514" s="35" t="s">
        <v>7045</v>
      </c>
      <c r="CK514" s="30">
        <v>47209.0</v>
      </c>
      <c r="CL514" s="30">
        <v>47299.0</v>
      </c>
      <c r="CM514" s="39">
        <v>0.0</v>
      </c>
      <c r="CN514" s="39">
        <v>0.0</v>
      </c>
      <c r="CO514" s="35" t="s">
        <v>7045</v>
      </c>
      <c r="CP514" s="30">
        <v>47300.0</v>
      </c>
      <c r="CQ514" s="30">
        <v>47391.0</v>
      </c>
      <c r="CR514" s="39">
        <v>0.0</v>
      </c>
      <c r="CS514" s="39">
        <v>0.0</v>
      </c>
      <c r="CT514" s="35" t="s">
        <v>7045</v>
      </c>
      <c r="CU514" s="30">
        <v>47392.0</v>
      </c>
      <c r="CV514" s="30">
        <v>47483.0</v>
      </c>
      <c r="CW514" s="39">
        <v>0.0</v>
      </c>
      <c r="CX514" s="39">
        <v>0.0</v>
      </c>
      <c r="CY514" s="35" t="s">
        <v>7045</v>
      </c>
      <c r="CZ514" s="30">
        <v>47484.0</v>
      </c>
      <c r="DA514" s="30">
        <v>47573.0</v>
      </c>
      <c r="DB514" s="39">
        <v>0.0</v>
      </c>
      <c r="DC514" s="39">
        <v>0.0</v>
      </c>
      <c r="DD514" s="35" t="s">
        <v>7045</v>
      </c>
      <c r="DE514" s="30">
        <v>47574.0</v>
      </c>
      <c r="DF514" s="30">
        <v>47664.0</v>
      </c>
      <c r="DG514" s="39">
        <v>0.0</v>
      </c>
      <c r="DH514" s="39">
        <v>0.0</v>
      </c>
      <c r="DI514" s="35" t="s">
        <v>7045</v>
      </c>
      <c r="DJ514" s="30">
        <v>47665.0</v>
      </c>
      <c r="DK514" s="30">
        <v>47756.0</v>
      </c>
      <c r="DL514" s="39">
        <v>0.0</v>
      </c>
      <c r="DM514" s="39">
        <v>0.0</v>
      </c>
      <c r="DN514" s="35" t="s">
        <v>7045</v>
      </c>
      <c r="DO514" s="30">
        <v>47757.0</v>
      </c>
      <c r="DP514" s="30">
        <v>47848.0</v>
      </c>
      <c r="DQ514" s="39">
        <v>0.0</v>
      </c>
      <c r="DR514" s="39">
        <v>0.0</v>
      </c>
      <c r="DS514" s="35" t="s">
        <v>7045</v>
      </c>
    </row>
    <row r="515" ht="14.25" customHeight="1">
      <c r="A515" s="28" t="s">
        <v>2348</v>
      </c>
      <c r="B515" s="29" t="s">
        <v>2349</v>
      </c>
      <c r="C515" s="29" t="s">
        <v>7041</v>
      </c>
      <c r="D515" s="30">
        <v>45658.0</v>
      </c>
      <c r="E515" s="30">
        <v>45747.0</v>
      </c>
      <c r="F515" s="39">
        <v>0.0</v>
      </c>
      <c r="G515" s="39">
        <v>0.0</v>
      </c>
      <c r="H515" s="35" t="s">
        <v>7045</v>
      </c>
      <c r="I515" s="30">
        <v>45748.0</v>
      </c>
      <c r="J515" s="30">
        <v>45838.0</v>
      </c>
      <c r="K515" s="39">
        <v>1.09</v>
      </c>
      <c r="L515" s="39">
        <v>0.0</v>
      </c>
      <c r="M515" s="38" t="s">
        <v>7047</v>
      </c>
      <c r="N515" s="30">
        <v>45839.0</v>
      </c>
      <c r="O515" s="30">
        <v>45930.0</v>
      </c>
      <c r="P515" s="39">
        <v>362.09</v>
      </c>
      <c r="Q515" s="39">
        <v>176.67</v>
      </c>
      <c r="R515" s="38" t="s">
        <v>7047</v>
      </c>
      <c r="S515" s="30">
        <v>45931.0</v>
      </c>
      <c r="T515" s="30">
        <v>46022.0</v>
      </c>
      <c r="U515" s="39">
        <v>165.0</v>
      </c>
      <c r="V515" s="39">
        <v>153.33</v>
      </c>
      <c r="W515" s="38" t="s">
        <v>7047</v>
      </c>
      <c r="X515" s="30">
        <v>46023.0</v>
      </c>
      <c r="Y515" s="30">
        <v>46112.0</v>
      </c>
      <c r="Z515" s="39">
        <v>82.0</v>
      </c>
      <c r="AA515" s="39">
        <v>0.0</v>
      </c>
      <c r="AB515" s="38" t="s">
        <v>7047</v>
      </c>
      <c r="AC515" s="30">
        <v>46113.0</v>
      </c>
      <c r="AD515" s="30">
        <v>46203.0</v>
      </c>
      <c r="AE515" s="39">
        <v>65.0</v>
      </c>
      <c r="AF515" s="39">
        <v>0.0</v>
      </c>
      <c r="AG515" s="38" t="s">
        <v>7047</v>
      </c>
      <c r="AH515" s="30">
        <v>46204.0</v>
      </c>
      <c r="AI515" s="30">
        <v>46295.0</v>
      </c>
      <c r="AJ515" s="39">
        <v>120.0</v>
      </c>
      <c r="AK515" s="39">
        <v>0.0</v>
      </c>
      <c r="AL515" s="35" t="s">
        <v>7047</v>
      </c>
      <c r="AM515" s="30">
        <v>46296.0</v>
      </c>
      <c r="AN515" s="30">
        <v>46387.0</v>
      </c>
      <c r="AO515" s="39">
        <v>0.0</v>
      </c>
      <c r="AP515" s="39">
        <v>0.0</v>
      </c>
      <c r="AQ515" s="35" t="s">
        <v>7045</v>
      </c>
      <c r="AR515" s="30">
        <v>46388.0</v>
      </c>
      <c r="AS515" s="30">
        <v>46477.0</v>
      </c>
      <c r="AT515" s="39">
        <v>0.0</v>
      </c>
      <c r="AU515" s="39">
        <v>0.0</v>
      </c>
      <c r="AV515" s="35" t="s">
        <v>7045</v>
      </c>
      <c r="AW515" s="30">
        <v>46478.0</v>
      </c>
      <c r="AX515" s="30">
        <v>46568.0</v>
      </c>
      <c r="AY515" s="39">
        <v>0.0</v>
      </c>
      <c r="AZ515" s="39">
        <v>0.0</v>
      </c>
      <c r="BA515" s="35" t="s">
        <v>7045</v>
      </c>
      <c r="BB515" s="30">
        <v>46569.0</v>
      </c>
      <c r="BC515" s="30">
        <v>46660.0</v>
      </c>
      <c r="BD515" s="39">
        <v>0.0</v>
      </c>
      <c r="BE515" s="39">
        <v>0.0</v>
      </c>
      <c r="BF515" s="35" t="s">
        <v>7045</v>
      </c>
      <c r="BG515" s="30">
        <v>46661.0</v>
      </c>
      <c r="BH515" s="30">
        <v>46752.0</v>
      </c>
      <c r="BI515" s="39">
        <v>0.0</v>
      </c>
      <c r="BJ515" s="39">
        <v>0.0</v>
      </c>
      <c r="BK515" s="35" t="s">
        <v>7045</v>
      </c>
      <c r="BL515" s="30">
        <v>46753.0</v>
      </c>
      <c r="BM515" s="30">
        <v>46843.0</v>
      </c>
      <c r="BN515" s="39">
        <v>0.0</v>
      </c>
      <c r="BO515" s="39">
        <v>0.0</v>
      </c>
      <c r="BP515" s="35" t="s">
        <v>7045</v>
      </c>
      <c r="BQ515" s="30">
        <v>46844.0</v>
      </c>
      <c r="BR515" s="30">
        <v>46934.0</v>
      </c>
      <c r="BS515" s="39">
        <v>0.0</v>
      </c>
      <c r="BT515" s="39">
        <v>0.0</v>
      </c>
      <c r="BU515" s="35" t="s">
        <v>7045</v>
      </c>
      <c r="BV515" s="30">
        <v>46935.0</v>
      </c>
      <c r="BW515" s="30">
        <v>47026.0</v>
      </c>
      <c r="BX515" s="39">
        <v>0.0</v>
      </c>
      <c r="BY515" s="39">
        <v>0.0</v>
      </c>
      <c r="BZ515" s="35" t="s">
        <v>7045</v>
      </c>
      <c r="CA515" s="30">
        <v>47027.0</v>
      </c>
      <c r="CB515" s="30">
        <v>47118.0</v>
      </c>
      <c r="CC515" s="39">
        <v>0.0</v>
      </c>
      <c r="CD515" s="39">
        <v>0.0</v>
      </c>
      <c r="CE515" s="35" t="s">
        <v>7045</v>
      </c>
      <c r="CF515" s="30">
        <v>47119.0</v>
      </c>
      <c r="CG515" s="30">
        <v>47208.0</v>
      </c>
      <c r="CH515" s="39">
        <v>0.0</v>
      </c>
      <c r="CI515" s="39">
        <v>0.0</v>
      </c>
      <c r="CJ515" s="35" t="s">
        <v>7045</v>
      </c>
      <c r="CK515" s="30">
        <v>47209.0</v>
      </c>
      <c r="CL515" s="30">
        <v>47299.0</v>
      </c>
      <c r="CM515" s="39">
        <v>0.0</v>
      </c>
      <c r="CN515" s="39">
        <v>0.0</v>
      </c>
      <c r="CO515" s="35" t="s">
        <v>7045</v>
      </c>
      <c r="CP515" s="30">
        <v>47300.0</v>
      </c>
      <c r="CQ515" s="30">
        <v>47391.0</v>
      </c>
      <c r="CR515" s="39">
        <v>0.0</v>
      </c>
      <c r="CS515" s="39">
        <v>0.0</v>
      </c>
      <c r="CT515" s="35" t="s">
        <v>7045</v>
      </c>
      <c r="CU515" s="30">
        <v>47392.0</v>
      </c>
      <c r="CV515" s="30">
        <v>47483.0</v>
      </c>
      <c r="CW515" s="39">
        <v>0.0</v>
      </c>
      <c r="CX515" s="39">
        <v>0.0</v>
      </c>
      <c r="CY515" s="35" t="s">
        <v>7045</v>
      </c>
      <c r="CZ515" s="30">
        <v>47484.0</v>
      </c>
      <c r="DA515" s="30">
        <v>47573.0</v>
      </c>
      <c r="DB515" s="39">
        <v>0.0</v>
      </c>
      <c r="DC515" s="39">
        <v>0.0</v>
      </c>
      <c r="DD515" s="35" t="s">
        <v>7045</v>
      </c>
      <c r="DE515" s="30">
        <v>47574.0</v>
      </c>
      <c r="DF515" s="30">
        <v>47664.0</v>
      </c>
      <c r="DG515" s="39">
        <v>0.0</v>
      </c>
      <c r="DH515" s="39">
        <v>0.0</v>
      </c>
      <c r="DI515" s="35" t="s">
        <v>7045</v>
      </c>
      <c r="DJ515" s="30">
        <v>47665.0</v>
      </c>
      <c r="DK515" s="30">
        <v>47756.0</v>
      </c>
      <c r="DL515" s="39">
        <v>0.0</v>
      </c>
      <c r="DM515" s="39">
        <v>0.0</v>
      </c>
      <c r="DN515" s="35" t="s">
        <v>7045</v>
      </c>
      <c r="DO515" s="30">
        <v>47757.0</v>
      </c>
      <c r="DP515" s="30">
        <v>47848.0</v>
      </c>
      <c r="DQ515" s="39">
        <v>0.0</v>
      </c>
      <c r="DR515" s="39">
        <v>0.0</v>
      </c>
      <c r="DS515" s="35" t="s">
        <v>7045</v>
      </c>
    </row>
    <row r="516" ht="14.25" customHeight="1">
      <c r="A516" s="28" t="s">
        <v>2945</v>
      </c>
      <c r="B516" s="29" t="s">
        <v>2946</v>
      </c>
      <c r="C516" s="29" t="s">
        <v>7041</v>
      </c>
      <c r="D516" s="30">
        <v>45658.0</v>
      </c>
      <c r="E516" s="30">
        <v>45747.0</v>
      </c>
      <c r="F516" s="36">
        <v>0.0</v>
      </c>
      <c r="G516" s="36">
        <v>0.0</v>
      </c>
      <c r="H516" s="35" t="s">
        <v>7045</v>
      </c>
      <c r="I516" s="30">
        <v>45748.0</v>
      </c>
      <c r="J516" s="30">
        <v>45838.0</v>
      </c>
      <c r="K516" s="36">
        <v>0.0</v>
      </c>
      <c r="L516" s="36">
        <v>0.0</v>
      </c>
      <c r="M516" s="35" t="s">
        <v>7045</v>
      </c>
      <c r="N516" s="30">
        <v>45839.0</v>
      </c>
      <c r="O516" s="30">
        <v>45930.0</v>
      </c>
      <c r="P516" s="36">
        <v>26.0</v>
      </c>
      <c r="Q516" s="36">
        <v>1333.33</v>
      </c>
      <c r="R516" s="38" t="s">
        <v>7043</v>
      </c>
      <c r="S516" s="30">
        <v>45931.0</v>
      </c>
      <c r="T516" s="30">
        <v>46022.0</v>
      </c>
      <c r="U516" s="36">
        <v>0.0</v>
      </c>
      <c r="V516" s="36">
        <v>333.35</v>
      </c>
      <c r="W516" s="35" t="s">
        <v>7043</v>
      </c>
      <c r="X516" s="30">
        <v>46023.0</v>
      </c>
      <c r="Y516" s="30">
        <v>46112.0</v>
      </c>
      <c r="Z516" s="36">
        <v>0.0</v>
      </c>
      <c r="AA516" s="36">
        <v>0.0</v>
      </c>
      <c r="AB516" s="35" t="s">
        <v>7045</v>
      </c>
      <c r="AC516" s="30">
        <v>46113.0</v>
      </c>
      <c r="AD516" s="30">
        <v>46203.0</v>
      </c>
      <c r="AE516" s="36">
        <v>0.0</v>
      </c>
      <c r="AF516" s="36">
        <v>0.0</v>
      </c>
      <c r="AG516" s="35" t="s">
        <v>7045</v>
      </c>
      <c r="AH516" s="30">
        <v>46204.0</v>
      </c>
      <c r="AI516" s="30">
        <v>46295.0</v>
      </c>
      <c r="AJ516" s="36">
        <v>0.0</v>
      </c>
      <c r="AK516" s="36">
        <v>0.0</v>
      </c>
      <c r="AL516" s="35" t="s">
        <v>7045</v>
      </c>
      <c r="AM516" s="30">
        <v>46296.0</v>
      </c>
      <c r="AN516" s="30">
        <v>46387.0</v>
      </c>
      <c r="AO516" s="36">
        <v>0.0</v>
      </c>
      <c r="AP516" s="36">
        <v>0.0</v>
      </c>
      <c r="AQ516" s="35" t="s">
        <v>7045</v>
      </c>
      <c r="AR516" s="30">
        <v>46388.0</v>
      </c>
      <c r="AS516" s="30">
        <v>46477.0</v>
      </c>
      <c r="AT516" s="36">
        <v>0.0</v>
      </c>
      <c r="AU516" s="36">
        <v>0.0</v>
      </c>
      <c r="AV516" s="35" t="s">
        <v>7045</v>
      </c>
      <c r="AW516" s="30">
        <v>46478.0</v>
      </c>
      <c r="AX516" s="30">
        <v>46568.0</v>
      </c>
      <c r="AY516" s="36">
        <v>0.0</v>
      </c>
      <c r="AZ516" s="36">
        <v>0.0</v>
      </c>
      <c r="BA516" s="35" t="s">
        <v>7045</v>
      </c>
      <c r="BB516" s="30">
        <v>46569.0</v>
      </c>
      <c r="BC516" s="30">
        <v>46660.0</v>
      </c>
      <c r="BD516" s="36">
        <v>0.0</v>
      </c>
      <c r="BE516" s="36">
        <v>0.0</v>
      </c>
      <c r="BF516" s="35" t="s">
        <v>7045</v>
      </c>
      <c r="BG516" s="30">
        <v>46661.0</v>
      </c>
      <c r="BH516" s="30">
        <v>46752.0</v>
      </c>
      <c r="BI516" s="36">
        <v>0.0</v>
      </c>
      <c r="BJ516" s="36">
        <v>0.0</v>
      </c>
      <c r="BK516" s="35" t="s">
        <v>7045</v>
      </c>
      <c r="BL516" s="30">
        <v>46753.0</v>
      </c>
      <c r="BM516" s="30">
        <v>46843.0</v>
      </c>
      <c r="BN516" s="36">
        <v>0.0</v>
      </c>
      <c r="BO516" s="36">
        <v>0.0</v>
      </c>
      <c r="BP516" s="35" t="s">
        <v>7045</v>
      </c>
      <c r="BQ516" s="30">
        <v>46844.0</v>
      </c>
      <c r="BR516" s="30">
        <v>46934.0</v>
      </c>
      <c r="BS516" s="36">
        <v>0.0</v>
      </c>
      <c r="BT516" s="36">
        <v>0.0</v>
      </c>
      <c r="BU516" s="35" t="s">
        <v>7045</v>
      </c>
      <c r="BV516" s="30">
        <v>46935.0</v>
      </c>
      <c r="BW516" s="30">
        <v>47026.0</v>
      </c>
      <c r="BX516" s="36">
        <v>0.0</v>
      </c>
      <c r="BY516" s="36">
        <v>0.0</v>
      </c>
      <c r="BZ516" s="35" t="s">
        <v>7045</v>
      </c>
      <c r="CA516" s="30">
        <v>47027.0</v>
      </c>
      <c r="CB516" s="30">
        <v>47118.0</v>
      </c>
      <c r="CC516" s="36">
        <v>0.0</v>
      </c>
      <c r="CD516" s="36">
        <v>0.0</v>
      </c>
      <c r="CE516" s="35" t="s">
        <v>7045</v>
      </c>
      <c r="CF516" s="30">
        <v>47119.0</v>
      </c>
      <c r="CG516" s="30">
        <v>47208.0</v>
      </c>
      <c r="CH516" s="36">
        <v>0.0</v>
      </c>
      <c r="CI516" s="36">
        <v>0.0</v>
      </c>
      <c r="CJ516" s="35" t="s">
        <v>7045</v>
      </c>
      <c r="CK516" s="30">
        <v>47209.0</v>
      </c>
      <c r="CL516" s="30">
        <v>47299.0</v>
      </c>
      <c r="CM516" s="36">
        <v>0.0</v>
      </c>
      <c r="CN516" s="36">
        <v>0.0</v>
      </c>
      <c r="CO516" s="35" t="s">
        <v>7045</v>
      </c>
      <c r="CP516" s="30">
        <v>47300.0</v>
      </c>
      <c r="CQ516" s="30">
        <v>47391.0</v>
      </c>
      <c r="CR516" s="36">
        <v>0.0</v>
      </c>
      <c r="CS516" s="36">
        <v>0.0</v>
      </c>
      <c r="CT516" s="35" t="s">
        <v>7045</v>
      </c>
      <c r="CU516" s="30">
        <v>47392.0</v>
      </c>
      <c r="CV516" s="30">
        <v>47483.0</v>
      </c>
      <c r="CW516" s="36">
        <v>0.0</v>
      </c>
      <c r="CX516" s="36">
        <v>0.0</v>
      </c>
      <c r="CY516" s="35" t="s">
        <v>7045</v>
      </c>
      <c r="CZ516" s="30">
        <v>47484.0</v>
      </c>
      <c r="DA516" s="30">
        <v>47573.0</v>
      </c>
      <c r="DB516" s="36">
        <v>0.0</v>
      </c>
      <c r="DC516" s="36">
        <v>0.0</v>
      </c>
      <c r="DD516" s="35" t="s">
        <v>7045</v>
      </c>
      <c r="DE516" s="30">
        <v>47574.0</v>
      </c>
      <c r="DF516" s="30">
        <v>47664.0</v>
      </c>
      <c r="DG516" s="36">
        <v>0.0</v>
      </c>
      <c r="DH516" s="36">
        <v>0.0</v>
      </c>
      <c r="DI516" s="35" t="s">
        <v>7045</v>
      </c>
      <c r="DJ516" s="30">
        <v>47665.0</v>
      </c>
      <c r="DK516" s="30">
        <v>47756.0</v>
      </c>
      <c r="DL516" s="36">
        <v>0.0</v>
      </c>
      <c r="DM516" s="36">
        <v>0.0</v>
      </c>
      <c r="DN516" s="35" t="s">
        <v>7045</v>
      </c>
      <c r="DO516" s="30">
        <v>47757.0</v>
      </c>
      <c r="DP516" s="30">
        <v>47848.0</v>
      </c>
      <c r="DQ516" s="36">
        <v>0.0</v>
      </c>
      <c r="DR516" s="36">
        <v>0.0</v>
      </c>
      <c r="DS516" s="35" t="s">
        <v>7045</v>
      </c>
    </row>
    <row r="517" ht="14.25" customHeight="1">
      <c r="A517" s="28" t="s">
        <v>1380</v>
      </c>
      <c r="B517" s="29" t="s">
        <v>1381</v>
      </c>
      <c r="C517" s="29" t="s">
        <v>7041</v>
      </c>
      <c r="D517" s="30">
        <v>45658.0</v>
      </c>
      <c r="E517" s="30">
        <v>45747.0</v>
      </c>
      <c r="F517" s="36">
        <v>0.0</v>
      </c>
      <c r="G517" s="36">
        <v>0.0</v>
      </c>
      <c r="H517" s="35" t="s">
        <v>7045</v>
      </c>
      <c r="I517" s="30">
        <v>45748.0</v>
      </c>
      <c r="J517" s="30">
        <v>45838.0</v>
      </c>
      <c r="K517" s="36">
        <v>40.0</v>
      </c>
      <c r="L517" s="36">
        <v>0.0</v>
      </c>
      <c r="M517" s="38" t="s">
        <v>7047</v>
      </c>
      <c r="N517" s="30">
        <v>45839.0</v>
      </c>
      <c r="O517" s="30">
        <v>45930.0</v>
      </c>
      <c r="P517" s="36">
        <v>50.0</v>
      </c>
      <c r="Q517" s="36">
        <v>133.32</v>
      </c>
      <c r="R517" s="35" t="s">
        <v>7047</v>
      </c>
      <c r="S517" s="30">
        <v>45931.0</v>
      </c>
      <c r="T517" s="30">
        <v>46022.0</v>
      </c>
      <c r="U517" s="36">
        <v>0.0</v>
      </c>
      <c r="V517" s="36">
        <v>33.35</v>
      </c>
      <c r="W517" s="35" t="s">
        <v>7043</v>
      </c>
      <c r="X517" s="30">
        <v>46023.0</v>
      </c>
      <c r="Y517" s="30">
        <v>46112.0</v>
      </c>
      <c r="Z517" s="36">
        <v>0.0</v>
      </c>
      <c r="AA517" s="36">
        <v>0.0</v>
      </c>
      <c r="AB517" s="35" t="s">
        <v>7045</v>
      </c>
      <c r="AC517" s="30">
        <v>46113.0</v>
      </c>
      <c r="AD517" s="30">
        <v>46203.0</v>
      </c>
      <c r="AE517" s="36">
        <v>0.0</v>
      </c>
      <c r="AF517" s="36">
        <v>0.0</v>
      </c>
      <c r="AG517" s="35" t="s">
        <v>7045</v>
      </c>
      <c r="AH517" s="30">
        <v>46204.0</v>
      </c>
      <c r="AI517" s="30">
        <v>46295.0</v>
      </c>
      <c r="AJ517" s="36">
        <v>0.0</v>
      </c>
      <c r="AK517" s="36">
        <v>0.0</v>
      </c>
      <c r="AL517" s="35" t="s">
        <v>7045</v>
      </c>
      <c r="AM517" s="30">
        <v>46296.0</v>
      </c>
      <c r="AN517" s="30">
        <v>46387.0</v>
      </c>
      <c r="AO517" s="36">
        <v>0.0</v>
      </c>
      <c r="AP517" s="36">
        <v>0.0</v>
      </c>
      <c r="AQ517" s="35" t="s">
        <v>7045</v>
      </c>
      <c r="AR517" s="30">
        <v>46388.0</v>
      </c>
      <c r="AS517" s="30">
        <v>46477.0</v>
      </c>
      <c r="AT517" s="36">
        <v>0.0</v>
      </c>
      <c r="AU517" s="36">
        <v>0.0</v>
      </c>
      <c r="AV517" s="35" t="s">
        <v>7045</v>
      </c>
      <c r="AW517" s="30">
        <v>46478.0</v>
      </c>
      <c r="AX517" s="30">
        <v>46568.0</v>
      </c>
      <c r="AY517" s="36">
        <v>0.0</v>
      </c>
      <c r="AZ517" s="36">
        <v>0.0</v>
      </c>
      <c r="BA517" s="35" t="s">
        <v>7045</v>
      </c>
      <c r="BB517" s="30">
        <v>46569.0</v>
      </c>
      <c r="BC517" s="30">
        <v>46660.0</v>
      </c>
      <c r="BD517" s="36">
        <v>0.0</v>
      </c>
      <c r="BE517" s="36">
        <v>0.0</v>
      </c>
      <c r="BF517" s="35" t="s">
        <v>7045</v>
      </c>
      <c r="BG517" s="30">
        <v>46661.0</v>
      </c>
      <c r="BH517" s="30">
        <v>46752.0</v>
      </c>
      <c r="BI517" s="36">
        <v>0.0</v>
      </c>
      <c r="BJ517" s="36">
        <v>0.0</v>
      </c>
      <c r="BK517" s="35" t="s">
        <v>7045</v>
      </c>
      <c r="BL517" s="30">
        <v>46753.0</v>
      </c>
      <c r="BM517" s="30">
        <v>46843.0</v>
      </c>
      <c r="BN517" s="36">
        <v>0.0</v>
      </c>
      <c r="BO517" s="36">
        <v>0.0</v>
      </c>
      <c r="BP517" s="35" t="s">
        <v>7045</v>
      </c>
      <c r="BQ517" s="30">
        <v>46844.0</v>
      </c>
      <c r="BR517" s="30">
        <v>46934.0</v>
      </c>
      <c r="BS517" s="36">
        <v>0.0</v>
      </c>
      <c r="BT517" s="36">
        <v>0.0</v>
      </c>
      <c r="BU517" s="35" t="s">
        <v>7045</v>
      </c>
      <c r="BV517" s="30">
        <v>46935.0</v>
      </c>
      <c r="BW517" s="30">
        <v>47026.0</v>
      </c>
      <c r="BX517" s="36">
        <v>0.0</v>
      </c>
      <c r="BY517" s="36">
        <v>0.0</v>
      </c>
      <c r="BZ517" s="35" t="s">
        <v>7045</v>
      </c>
      <c r="CA517" s="30">
        <v>47027.0</v>
      </c>
      <c r="CB517" s="30">
        <v>47118.0</v>
      </c>
      <c r="CC517" s="36">
        <v>0.0</v>
      </c>
      <c r="CD517" s="36">
        <v>0.0</v>
      </c>
      <c r="CE517" s="35" t="s">
        <v>7045</v>
      </c>
      <c r="CF517" s="30">
        <v>47119.0</v>
      </c>
      <c r="CG517" s="30">
        <v>47208.0</v>
      </c>
      <c r="CH517" s="36">
        <v>0.0</v>
      </c>
      <c r="CI517" s="36">
        <v>0.0</v>
      </c>
      <c r="CJ517" s="35" t="s">
        <v>7045</v>
      </c>
      <c r="CK517" s="30">
        <v>47209.0</v>
      </c>
      <c r="CL517" s="30">
        <v>47299.0</v>
      </c>
      <c r="CM517" s="36">
        <v>0.0</v>
      </c>
      <c r="CN517" s="36">
        <v>0.0</v>
      </c>
      <c r="CO517" s="35" t="s">
        <v>7045</v>
      </c>
      <c r="CP517" s="30">
        <v>47300.0</v>
      </c>
      <c r="CQ517" s="30">
        <v>47391.0</v>
      </c>
      <c r="CR517" s="36">
        <v>0.0</v>
      </c>
      <c r="CS517" s="36">
        <v>0.0</v>
      </c>
      <c r="CT517" s="35" t="s">
        <v>7045</v>
      </c>
      <c r="CU517" s="30">
        <v>47392.0</v>
      </c>
      <c r="CV517" s="30">
        <v>47483.0</v>
      </c>
      <c r="CW517" s="36">
        <v>0.0</v>
      </c>
      <c r="CX517" s="36">
        <v>0.0</v>
      </c>
      <c r="CY517" s="35" t="s">
        <v>7045</v>
      </c>
      <c r="CZ517" s="30">
        <v>47484.0</v>
      </c>
      <c r="DA517" s="30">
        <v>47573.0</v>
      </c>
      <c r="DB517" s="36">
        <v>0.0</v>
      </c>
      <c r="DC517" s="36">
        <v>0.0</v>
      </c>
      <c r="DD517" s="35" t="s">
        <v>7045</v>
      </c>
      <c r="DE517" s="30">
        <v>47574.0</v>
      </c>
      <c r="DF517" s="30">
        <v>47664.0</v>
      </c>
      <c r="DG517" s="36">
        <v>0.0</v>
      </c>
      <c r="DH517" s="36">
        <v>0.0</v>
      </c>
      <c r="DI517" s="35" t="s">
        <v>7045</v>
      </c>
      <c r="DJ517" s="30">
        <v>47665.0</v>
      </c>
      <c r="DK517" s="30">
        <v>47756.0</v>
      </c>
      <c r="DL517" s="36">
        <v>0.0</v>
      </c>
      <c r="DM517" s="36">
        <v>0.0</v>
      </c>
      <c r="DN517" s="35" t="s">
        <v>7045</v>
      </c>
      <c r="DO517" s="30">
        <v>47757.0</v>
      </c>
      <c r="DP517" s="30">
        <v>47848.0</v>
      </c>
      <c r="DQ517" s="36">
        <v>0.0</v>
      </c>
      <c r="DR517" s="36">
        <v>0.0</v>
      </c>
      <c r="DS517" s="35" t="s">
        <v>7045</v>
      </c>
    </row>
    <row r="518" ht="14.25" customHeight="1">
      <c r="A518" s="28" t="s">
        <v>3159</v>
      </c>
      <c r="B518" s="29" t="s">
        <v>3160</v>
      </c>
      <c r="C518" s="29" t="s">
        <v>7041</v>
      </c>
      <c r="D518" s="30">
        <v>45658.0</v>
      </c>
      <c r="E518" s="30">
        <v>45747.0</v>
      </c>
      <c r="F518" s="39">
        <v>0.0</v>
      </c>
      <c r="G518" s="39">
        <v>0.0</v>
      </c>
      <c r="H518" s="35" t="s">
        <v>7045</v>
      </c>
      <c r="I518" s="30">
        <v>45748.0</v>
      </c>
      <c r="J518" s="30">
        <v>45838.0</v>
      </c>
      <c r="K518" s="39">
        <v>0.0</v>
      </c>
      <c r="L518" s="39">
        <v>0.0</v>
      </c>
      <c r="M518" s="35" t="s">
        <v>7045</v>
      </c>
      <c r="N518" s="30">
        <v>45839.0</v>
      </c>
      <c r="O518" s="30">
        <v>45930.0</v>
      </c>
      <c r="P518" s="39">
        <v>0.0</v>
      </c>
      <c r="Q518" s="39">
        <v>860.0</v>
      </c>
      <c r="R518" s="35" t="s">
        <v>7043</v>
      </c>
      <c r="S518" s="30">
        <v>45931.0</v>
      </c>
      <c r="T518" s="30">
        <v>46022.0</v>
      </c>
      <c r="U518" s="39">
        <v>0.0</v>
      </c>
      <c r="V518" s="39">
        <v>1000.0</v>
      </c>
      <c r="W518" s="35" t="s">
        <v>7043</v>
      </c>
      <c r="X518" s="30">
        <v>46023.0</v>
      </c>
      <c r="Y518" s="30">
        <v>46112.0</v>
      </c>
      <c r="Z518" s="39">
        <v>0.0</v>
      </c>
      <c r="AA518" s="39">
        <v>0.0</v>
      </c>
      <c r="AB518" s="35" t="s">
        <v>7045</v>
      </c>
      <c r="AC518" s="30">
        <v>46113.0</v>
      </c>
      <c r="AD518" s="30">
        <v>46203.0</v>
      </c>
      <c r="AE518" s="39">
        <v>0.0</v>
      </c>
      <c r="AF518" s="39">
        <v>0.0</v>
      </c>
      <c r="AG518" s="35" t="s">
        <v>7045</v>
      </c>
      <c r="AH518" s="30">
        <v>46204.0</v>
      </c>
      <c r="AI518" s="30">
        <v>46295.0</v>
      </c>
      <c r="AJ518" s="39">
        <v>0.0</v>
      </c>
      <c r="AK518" s="39">
        <v>0.0</v>
      </c>
      <c r="AL518" s="35" t="s">
        <v>7045</v>
      </c>
      <c r="AM518" s="30">
        <v>46296.0</v>
      </c>
      <c r="AN518" s="30">
        <v>46387.0</v>
      </c>
      <c r="AO518" s="39">
        <v>0.0</v>
      </c>
      <c r="AP518" s="39">
        <v>0.0</v>
      </c>
      <c r="AQ518" s="35" t="s">
        <v>7045</v>
      </c>
      <c r="AR518" s="30">
        <v>46388.0</v>
      </c>
      <c r="AS518" s="30">
        <v>46477.0</v>
      </c>
      <c r="AT518" s="39">
        <v>0.0</v>
      </c>
      <c r="AU518" s="39">
        <v>0.0</v>
      </c>
      <c r="AV518" s="35" t="s">
        <v>7045</v>
      </c>
      <c r="AW518" s="30">
        <v>46478.0</v>
      </c>
      <c r="AX518" s="30">
        <v>46568.0</v>
      </c>
      <c r="AY518" s="39">
        <v>0.0</v>
      </c>
      <c r="AZ518" s="39">
        <v>0.0</v>
      </c>
      <c r="BA518" s="35" t="s">
        <v>7045</v>
      </c>
      <c r="BB518" s="30">
        <v>46569.0</v>
      </c>
      <c r="BC518" s="30">
        <v>46660.0</v>
      </c>
      <c r="BD518" s="39">
        <v>0.0</v>
      </c>
      <c r="BE518" s="39">
        <v>0.0</v>
      </c>
      <c r="BF518" s="35" t="s">
        <v>7045</v>
      </c>
      <c r="BG518" s="30">
        <v>46661.0</v>
      </c>
      <c r="BH518" s="30">
        <v>46752.0</v>
      </c>
      <c r="BI518" s="39">
        <v>0.0</v>
      </c>
      <c r="BJ518" s="39">
        <v>0.0</v>
      </c>
      <c r="BK518" s="35" t="s">
        <v>7045</v>
      </c>
      <c r="BL518" s="30">
        <v>46753.0</v>
      </c>
      <c r="BM518" s="30">
        <v>46843.0</v>
      </c>
      <c r="BN518" s="39">
        <v>0.0</v>
      </c>
      <c r="BO518" s="39">
        <v>0.0</v>
      </c>
      <c r="BP518" s="35" t="s">
        <v>7045</v>
      </c>
      <c r="BQ518" s="30">
        <v>46844.0</v>
      </c>
      <c r="BR518" s="30">
        <v>46934.0</v>
      </c>
      <c r="BS518" s="39">
        <v>0.0</v>
      </c>
      <c r="BT518" s="39">
        <v>0.0</v>
      </c>
      <c r="BU518" s="35" t="s">
        <v>7045</v>
      </c>
      <c r="BV518" s="30">
        <v>46935.0</v>
      </c>
      <c r="BW518" s="30">
        <v>47026.0</v>
      </c>
      <c r="BX518" s="39">
        <v>0.0</v>
      </c>
      <c r="BY518" s="39">
        <v>0.0</v>
      </c>
      <c r="BZ518" s="35" t="s">
        <v>7045</v>
      </c>
      <c r="CA518" s="30">
        <v>47027.0</v>
      </c>
      <c r="CB518" s="30">
        <v>47118.0</v>
      </c>
      <c r="CC518" s="39">
        <v>0.0</v>
      </c>
      <c r="CD518" s="39">
        <v>0.0</v>
      </c>
      <c r="CE518" s="35" t="s">
        <v>7045</v>
      </c>
      <c r="CF518" s="30">
        <v>47119.0</v>
      </c>
      <c r="CG518" s="30">
        <v>47208.0</v>
      </c>
      <c r="CH518" s="39">
        <v>0.0</v>
      </c>
      <c r="CI518" s="39">
        <v>0.0</v>
      </c>
      <c r="CJ518" s="35" t="s">
        <v>7045</v>
      </c>
      <c r="CK518" s="30">
        <v>47209.0</v>
      </c>
      <c r="CL518" s="30">
        <v>47299.0</v>
      </c>
      <c r="CM518" s="39">
        <v>0.0</v>
      </c>
      <c r="CN518" s="39">
        <v>0.0</v>
      </c>
      <c r="CO518" s="35" t="s">
        <v>7045</v>
      </c>
      <c r="CP518" s="30">
        <v>47300.0</v>
      </c>
      <c r="CQ518" s="30">
        <v>47391.0</v>
      </c>
      <c r="CR518" s="39">
        <v>0.0</v>
      </c>
      <c r="CS518" s="39">
        <v>0.0</v>
      </c>
      <c r="CT518" s="35" t="s">
        <v>7045</v>
      </c>
      <c r="CU518" s="30">
        <v>47392.0</v>
      </c>
      <c r="CV518" s="30">
        <v>47483.0</v>
      </c>
      <c r="CW518" s="39">
        <v>0.0</v>
      </c>
      <c r="CX518" s="39">
        <v>0.0</v>
      </c>
      <c r="CY518" s="35" t="s">
        <v>7045</v>
      </c>
      <c r="CZ518" s="30">
        <v>47484.0</v>
      </c>
      <c r="DA518" s="30">
        <v>47573.0</v>
      </c>
      <c r="DB518" s="39">
        <v>0.0</v>
      </c>
      <c r="DC518" s="39">
        <v>0.0</v>
      </c>
      <c r="DD518" s="35" t="s">
        <v>7045</v>
      </c>
      <c r="DE518" s="30">
        <v>47574.0</v>
      </c>
      <c r="DF518" s="30">
        <v>47664.0</v>
      </c>
      <c r="DG518" s="39">
        <v>0.0</v>
      </c>
      <c r="DH518" s="39">
        <v>0.0</v>
      </c>
      <c r="DI518" s="35" t="s">
        <v>7045</v>
      </c>
      <c r="DJ518" s="30">
        <v>47665.0</v>
      </c>
      <c r="DK518" s="30">
        <v>47756.0</v>
      </c>
      <c r="DL518" s="39">
        <v>0.0</v>
      </c>
      <c r="DM518" s="39">
        <v>0.0</v>
      </c>
      <c r="DN518" s="35" t="s">
        <v>7045</v>
      </c>
      <c r="DO518" s="30">
        <v>47757.0</v>
      </c>
      <c r="DP518" s="30">
        <v>47848.0</v>
      </c>
      <c r="DQ518" s="39">
        <v>0.0</v>
      </c>
      <c r="DR518" s="39">
        <v>0.0</v>
      </c>
      <c r="DS518" s="35" t="s">
        <v>7045</v>
      </c>
    </row>
    <row r="519" ht="14.25" customHeight="1">
      <c r="A519" s="28" t="s">
        <v>3418</v>
      </c>
      <c r="B519" s="29" t="s">
        <v>3419</v>
      </c>
      <c r="C519" s="29" t="s">
        <v>7041</v>
      </c>
      <c r="D519" s="30">
        <v>45658.0</v>
      </c>
      <c r="E519" s="30">
        <v>45747.0</v>
      </c>
      <c r="F519" s="39">
        <v>0.0</v>
      </c>
      <c r="G519" s="39">
        <v>0.0</v>
      </c>
      <c r="H519" s="35" t="s">
        <v>7045</v>
      </c>
      <c r="I519" s="30">
        <v>45748.0</v>
      </c>
      <c r="J519" s="30">
        <v>45838.0</v>
      </c>
      <c r="K519" s="39">
        <v>1.62</v>
      </c>
      <c r="L519" s="39">
        <v>0.0</v>
      </c>
      <c r="M519" s="38" t="s">
        <v>7047</v>
      </c>
      <c r="N519" s="30">
        <v>45839.0</v>
      </c>
      <c r="O519" s="30">
        <v>45930.0</v>
      </c>
      <c r="P519" s="39">
        <v>18.47</v>
      </c>
      <c r="Q519" s="39">
        <v>266.67</v>
      </c>
      <c r="R519" s="38" t="s">
        <v>7043</v>
      </c>
      <c r="S519" s="30">
        <v>45931.0</v>
      </c>
      <c r="T519" s="30">
        <v>46022.0</v>
      </c>
      <c r="U519" s="39">
        <v>111.89</v>
      </c>
      <c r="V519" s="39">
        <v>266.67</v>
      </c>
      <c r="W519" s="38" t="s">
        <v>7047</v>
      </c>
      <c r="X519" s="30">
        <v>46023.0</v>
      </c>
      <c r="Y519" s="30">
        <v>46112.0</v>
      </c>
      <c r="Z519" s="39">
        <v>28.04</v>
      </c>
      <c r="AA519" s="39">
        <v>0.0</v>
      </c>
      <c r="AB519" s="38" t="s">
        <v>7047</v>
      </c>
      <c r="AC519" s="30">
        <v>46113.0</v>
      </c>
      <c r="AD519" s="30">
        <v>46203.0</v>
      </c>
      <c r="AE519" s="39">
        <v>40.0</v>
      </c>
      <c r="AF519" s="39">
        <v>0.0</v>
      </c>
      <c r="AG519" s="35" t="s">
        <v>7047</v>
      </c>
      <c r="AH519" s="30">
        <v>46204.0</v>
      </c>
      <c r="AI519" s="30">
        <v>46295.0</v>
      </c>
      <c r="AJ519" s="39">
        <v>0.0</v>
      </c>
      <c r="AK519" s="39">
        <v>0.0</v>
      </c>
      <c r="AL519" s="35" t="s">
        <v>7045</v>
      </c>
      <c r="AM519" s="30">
        <v>46296.0</v>
      </c>
      <c r="AN519" s="30">
        <v>46387.0</v>
      </c>
      <c r="AO519" s="39">
        <v>4.37</v>
      </c>
      <c r="AP519" s="39">
        <v>0.0</v>
      </c>
      <c r="AQ519" s="38" t="s">
        <v>7047</v>
      </c>
      <c r="AR519" s="30">
        <v>46388.0</v>
      </c>
      <c r="AS519" s="30">
        <v>46477.0</v>
      </c>
      <c r="AT519" s="39">
        <v>0.0</v>
      </c>
      <c r="AU519" s="39">
        <v>0.0</v>
      </c>
      <c r="AV519" s="35" t="s">
        <v>7045</v>
      </c>
      <c r="AW519" s="30">
        <v>46478.0</v>
      </c>
      <c r="AX519" s="30">
        <v>46568.0</v>
      </c>
      <c r="AY519" s="39">
        <v>0.0</v>
      </c>
      <c r="AZ519" s="39">
        <v>0.0</v>
      </c>
      <c r="BA519" s="35" t="s">
        <v>7045</v>
      </c>
      <c r="BB519" s="30">
        <v>46569.0</v>
      </c>
      <c r="BC519" s="30">
        <v>46660.0</v>
      </c>
      <c r="BD519" s="39">
        <v>0.0</v>
      </c>
      <c r="BE519" s="39">
        <v>0.0</v>
      </c>
      <c r="BF519" s="35" t="s">
        <v>7045</v>
      </c>
      <c r="BG519" s="30">
        <v>46661.0</v>
      </c>
      <c r="BH519" s="30">
        <v>46752.0</v>
      </c>
      <c r="BI519" s="39">
        <v>0.0</v>
      </c>
      <c r="BJ519" s="39">
        <v>0.0</v>
      </c>
      <c r="BK519" s="35" t="s">
        <v>7045</v>
      </c>
      <c r="BL519" s="30">
        <v>46753.0</v>
      </c>
      <c r="BM519" s="30">
        <v>46843.0</v>
      </c>
      <c r="BN519" s="39">
        <v>0.0</v>
      </c>
      <c r="BO519" s="39">
        <v>0.0</v>
      </c>
      <c r="BP519" s="35" t="s">
        <v>7045</v>
      </c>
      <c r="BQ519" s="30">
        <v>46844.0</v>
      </c>
      <c r="BR519" s="30">
        <v>46934.0</v>
      </c>
      <c r="BS519" s="39">
        <v>0.0</v>
      </c>
      <c r="BT519" s="39">
        <v>0.0</v>
      </c>
      <c r="BU519" s="35" t="s">
        <v>7045</v>
      </c>
      <c r="BV519" s="30">
        <v>46935.0</v>
      </c>
      <c r="BW519" s="30">
        <v>47026.0</v>
      </c>
      <c r="BX519" s="39">
        <v>0.0</v>
      </c>
      <c r="BY519" s="39">
        <v>0.0</v>
      </c>
      <c r="BZ519" s="35" t="s">
        <v>7045</v>
      </c>
      <c r="CA519" s="30">
        <v>47027.0</v>
      </c>
      <c r="CB519" s="30">
        <v>47118.0</v>
      </c>
      <c r="CC519" s="39">
        <v>0.0</v>
      </c>
      <c r="CD519" s="39">
        <v>0.0</v>
      </c>
      <c r="CE519" s="35" t="s">
        <v>7045</v>
      </c>
      <c r="CF519" s="30">
        <v>47119.0</v>
      </c>
      <c r="CG519" s="30">
        <v>47208.0</v>
      </c>
      <c r="CH519" s="39">
        <v>0.0</v>
      </c>
      <c r="CI519" s="39">
        <v>0.0</v>
      </c>
      <c r="CJ519" s="35" t="s">
        <v>7045</v>
      </c>
      <c r="CK519" s="30">
        <v>47209.0</v>
      </c>
      <c r="CL519" s="30">
        <v>47299.0</v>
      </c>
      <c r="CM519" s="39">
        <v>0.0</v>
      </c>
      <c r="CN519" s="39">
        <v>0.0</v>
      </c>
      <c r="CO519" s="35" t="s">
        <v>7045</v>
      </c>
      <c r="CP519" s="30">
        <v>47300.0</v>
      </c>
      <c r="CQ519" s="30">
        <v>47391.0</v>
      </c>
      <c r="CR519" s="39">
        <v>0.0</v>
      </c>
      <c r="CS519" s="39">
        <v>0.0</v>
      </c>
      <c r="CT519" s="35" t="s">
        <v>7045</v>
      </c>
      <c r="CU519" s="30">
        <v>47392.0</v>
      </c>
      <c r="CV519" s="30">
        <v>47483.0</v>
      </c>
      <c r="CW519" s="39">
        <v>0.0</v>
      </c>
      <c r="CX519" s="39">
        <v>0.0</v>
      </c>
      <c r="CY519" s="35" t="s">
        <v>7045</v>
      </c>
      <c r="CZ519" s="30">
        <v>47484.0</v>
      </c>
      <c r="DA519" s="30">
        <v>47573.0</v>
      </c>
      <c r="DB519" s="39">
        <v>0.0</v>
      </c>
      <c r="DC519" s="39">
        <v>0.0</v>
      </c>
      <c r="DD519" s="35" t="s">
        <v>7045</v>
      </c>
      <c r="DE519" s="30">
        <v>47574.0</v>
      </c>
      <c r="DF519" s="30">
        <v>47664.0</v>
      </c>
      <c r="DG519" s="39">
        <v>0.0</v>
      </c>
      <c r="DH519" s="39">
        <v>0.0</v>
      </c>
      <c r="DI519" s="35" t="s">
        <v>7045</v>
      </c>
      <c r="DJ519" s="30">
        <v>47665.0</v>
      </c>
      <c r="DK519" s="30">
        <v>47756.0</v>
      </c>
      <c r="DL519" s="39">
        <v>0.0</v>
      </c>
      <c r="DM519" s="39">
        <v>0.0</v>
      </c>
      <c r="DN519" s="35" t="s">
        <v>7045</v>
      </c>
      <c r="DO519" s="30">
        <v>47757.0</v>
      </c>
      <c r="DP519" s="30">
        <v>47848.0</v>
      </c>
      <c r="DQ519" s="39">
        <v>0.0</v>
      </c>
      <c r="DR519" s="39">
        <v>0.0</v>
      </c>
      <c r="DS519" s="35" t="s">
        <v>7045</v>
      </c>
    </row>
    <row r="520" ht="14.25" customHeight="1">
      <c r="A520" s="28" t="s">
        <v>2068</v>
      </c>
      <c r="B520" s="29" t="s">
        <v>2069</v>
      </c>
      <c r="C520" s="29" t="s">
        <v>7041</v>
      </c>
      <c r="D520" s="30">
        <v>45658.0</v>
      </c>
      <c r="E520" s="30">
        <v>45747.0</v>
      </c>
      <c r="F520" s="39">
        <v>0.0</v>
      </c>
      <c r="G520" s="39">
        <v>0.0</v>
      </c>
      <c r="H520" s="35" t="s">
        <v>7045</v>
      </c>
      <c r="I520" s="30">
        <v>45748.0</v>
      </c>
      <c r="J520" s="30">
        <v>45838.0</v>
      </c>
      <c r="K520" s="39">
        <v>0.01</v>
      </c>
      <c r="L520" s="39">
        <v>0.0</v>
      </c>
      <c r="M520" s="38" t="s">
        <v>7047</v>
      </c>
      <c r="N520" s="30">
        <v>45839.0</v>
      </c>
      <c r="O520" s="30">
        <v>45930.0</v>
      </c>
      <c r="P520" s="39">
        <v>0.01</v>
      </c>
      <c r="Q520" s="39">
        <v>183.33</v>
      </c>
      <c r="R520" s="35" t="s">
        <v>7047</v>
      </c>
      <c r="S520" s="30">
        <v>45931.0</v>
      </c>
      <c r="T520" s="30">
        <v>46022.0</v>
      </c>
      <c r="U520" s="39">
        <v>60.0</v>
      </c>
      <c r="V520" s="39">
        <v>210.0</v>
      </c>
      <c r="W520" s="35" t="s">
        <v>7047</v>
      </c>
      <c r="X520" s="30">
        <v>46023.0</v>
      </c>
      <c r="Y520" s="30">
        <v>46112.0</v>
      </c>
      <c r="Z520" s="39">
        <v>0.0</v>
      </c>
      <c r="AA520" s="39">
        <v>0.0</v>
      </c>
      <c r="AB520" s="35" t="s">
        <v>7045</v>
      </c>
      <c r="AC520" s="30">
        <v>46113.0</v>
      </c>
      <c r="AD520" s="30">
        <v>46203.0</v>
      </c>
      <c r="AE520" s="39">
        <v>0.0</v>
      </c>
      <c r="AF520" s="39">
        <v>0.0</v>
      </c>
      <c r="AG520" s="35" t="s">
        <v>7045</v>
      </c>
      <c r="AH520" s="30">
        <v>46204.0</v>
      </c>
      <c r="AI520" s="30">
        <v>46295.0</v>
      </c>
      <c r="AJ520" s="39">
        <v>0.0</v>
      </c>
      <c r="AK520" s="39">
        <v>0.0</v>
      </c>
      <c r="AL520" s="35" t="s">
        <v>7045</v>
      </c>
      <c r="AM520" s="30">
        <v>46296.0</v>
      </c>
      <c r="AN520" s="30">
        <v>46387.0</v>
      </c>
      <c r="AO520" s="39">
        <v>0.0</v>
      </c>
      <c r="AP520" s="39">
        <v>0.0</v>
      </c>
      <c r="AQ520" s="35" t="s">
        <v>7045</v>
      </c>
      <c r="AR520" s="30">
        <v>46388.0</v>
      </c>
      <c r="AS520" s="30">
        <v>46477.0</v>
      </c>
      <c r="AT520" s="39">
        <v>0.0</v>
      </c>
      <c r="AU520" s="39">
        <v>0.0</v>
      </c>
      <c r="AV520" s="35" t="s">
        <v>7045</v>
      </c>
      <c r="AW520" s="30">
        <v>46478.0</v>
      </c>
      <c r="AX520" s="30">
        <v>46568.0</v>
      </c>
      <c r="AY520" s="39">
        <v>0.0</v>
      </c>
      <c r="AZ520" s="39">
        <v>0.0</v>
      </c>
      <c r="BA520" s="35" t="s">
        <v>7045</v>
      </c>
      <c r="BB520" s="30">
        <v>46569.0</v>
      </c>
      <c r="BC520" s="30">
        <v>46660.0</v>
      </c>
      <c r="BD520" s="39">
        <v>0.0</v>
      </c>
      <c r="BE520" s="39">
        <v>0.0</v>
      </c>
      <c r="BF520" s="35" t="s">
        <v>7045</v>
      </c>
      <c r="BG520" s="30">
        <v>46661.0</v>
      </c>
      <c r="BH520" s="30">
        <v>46752.0</v>
      </c>
      <c r="BI520" s="39">
        <v>0.0</v>
      </c>
      <c r="BJ520" s="39">
        <v>0.0</v>
      </c>
      <c r="BK520" s="35" t="s">
        <v>7045</v>
      </c>
      <c r="BL520" s="30">
        <v>46753.0</v>
      </c>
      <c r="BM520" s="30">
        <v>46843.0</v>
      </c>
      <c r="BN520" s="39">
        <v>0.0</v>
      </c>
      <c r="BO520" s="39">
        <v>0.0</v>
      </c>
      <c r="BP520" s="35" t="s">
        <v>7045</v>
      </c>
      <c r="BQ520" s="30">
        <v>46844.0</v>
      </c>
      <c r="BR520" s="30">
        <v>46934.0</v>
      </c>
      <c r="BS520" s="39">
        <v>0.0</v>
      </c>
      <c r="BT520" s="39">
        <v>0.0</v>
      </c>
      <c r="BU520" s="35" t="s">
        <v>7045</v>
      </c>
      <c r="BV520" s="30">
        <v>46935.0</v>
      </c>
      <c r="BW520" s="30">
        <v>47026.0</v>
      </c>
      <c r="BX520" s="39">
        <v>0.0</v>
      </c>
      <c r="BY520" s="39">
        <v>0.0</v>
      </c>
      <c r="BZ520" s="35" t="s">
        <v>7045</v>
      </c>
      <c r="CA520" s="30">
        <v>47027.0</v>
      </c>
      <c r="CB520" s="30">
        <v>47118.0</v>
      </c>
      <c r="CC520" s="39">
        <v>0.0</v>
      </c>
      <c r="CD520" s="39">
        <v>0.0</v>
      </c>
      <c r="CE520" s="35" t="s">
        <v>7045</v>
      </c>
      <c r="CF520" s="30">
        <v>47119.0</v>
      </c>
      <c r="CG520" s="30">
        <v>47208.0</v>
      </c>
      <c r="CH520" s="39">
        <v>0.0</v>
      </c>
      <c r="CI520" s="39">
        <v>0.0</v>
      </c>
      <c r="CJ520" s="35" t="s">
        <v>7045</v>
      </c>
      <c r="CK520" s="30">
        <v>47209.0</v>
      </c>
      <c r="CL520" s="30">
        <v>47299.0</v>
      </c>
      <c r="CM520" s="39">
        <v>0.0</v>
      </c>
      <c r="CN520" s="39">
        <v>0.0</v>
      </c>
      <c r="CO520" s="35" t="s">
        <v>7045</v>
      </c>
      <c r="CP520" s="30">
        <v>47300.0</v>
      </c>
      <c r="CQ520" s="30">
        <v>47391.0</v>
      </c>
      <c r="CR520" s="39">
        <v>0.0</v>
      </c>
      <c r="CS520" s="39">
        <v>0.0</v>
      </c>
      <c r="CT520" s="35" t="s">
        <v>7045</v>
      </c>
      <c r="CU520" s="30">
        <v>47392.0</v>
      </c>
      <c r="CV520" s="30">
        <v>47483.0</v>
      </c>
      <c r="CW520" s="39">
        <v>0.0</v>
      </c>
      <c r="CX520" s="39">
        <v>0.0</v>
      </c>
      <c r="CY520" s="35" t="s">
        <v>7045</v>
      </c>
      <c r="CZ520" s="30">
        <v>47484.0</v>
      </c>
      <c r="DA520" s="30">
        <v>47573.0</v>
      </c>
      <c r="DB520" s="39">
        <v>0.0</v>
      </c>
      <c r="DC520" s="39">
        <v>0.0</v>
      </c>
      <c r="DD520" s="35" t="s">
        <v>7045</v>
      </c>
      <c r="DE520" s="30">
        <v>47574.0</v>
      </c>
      <c r="DF520" s="30">
        <v>47664.0</v>
      </c>
      <c r="DG520" s="39">
        <v>0.0</v>
      </c>
      <c r="DH520" s="39">
        <v>0.0</v>
      </c>
      <c r="DI520" s="35" t="s">
        <v>7045</v>
      </c>
      <c r="DJ520" s="30">
        <v>47665.0</v>
      </c>
      <c r="DK520" s="30">
        <v>47756.0</v>
      </c>
      <c r="DL520" s="39">
        <v>0.0</v>
      </c>
      <c r="DM520" s="39">
        <v>0.0</v>
      </c>
      <c r="DN520" s="35" t="s">
        <v>7045</v>
      </c>
      <c r="DO520" s="30">
        <v>47757.0</v>
      </c>
      <c r="DP520" s="30">
        <v>47848.0</v>
      </c>
      <c r="DQ520" s="39">
        <v>0.0</v>
      </c>
      <c r="DR520" s="39">
        <v>0.0</v>
      </c>
      <c r="DS520" s="35" t="s">
        <v>7045</v>
      </c>
    </row>
    <row r="521" ht="14.25" customHeight="1">
      <c r="A521" s="28" t="s">
        <v>6678</v>
      </c>
      <c r="B521" s="29" t="s">
        <v>6679</v>
      </c>
      <c r="C521" s="29" t="s">
        <v>7041</v>
      </c>
      <c r="D521" s="30">
        <v>45658.0</v>
      </c>
      <c r="E521" s="30">
        <v>45747.0</v>
      </c>
      <c r="F521" s="39">
        <v>0.0</v>
      </c>
      <c r="G521" s="39">
        <v>0.0</v>
      </c>
      <c r="H521" s="35" t="s">
        <v>7045</v>
      </c>
      <c r="I521" s="30">
        <v>45748.0</v>
      </c>
      <c r="J521" s="30">
        <v>45838.0</v>
      </c>
      <c r="K521" s="39">
        <v>0.0</v>
      </c>
      <c r="L521" s="39">
        <v>0.0</v>
      </c>
      <c r="M521" s="35" t="s">
        <v>7045</v>
      </c>
      <c r="N521" s="30">
        <v>45839.0</v>
      </c>
      <c r="O521" s="30">
        <v>45930.0</v>
      </c>
      <c r="P521" s="39">
        <v>40.0</v>
      </c>
      <c r="Q521" s="39">
        <v>200.0</v>
      </c>
      <c r="R521" s="38" t="s">
        <v>7047</v>
      </c>
      <c r="S521" s="30">
        <v>45931.0</v>
      </c>
      <c r="T521" s="30">
        <v>46022.0</v>
      </c>
      <c r="U521" s="39">
        <v>50.0</v>
      </c>
      <c r="V521" s="39">
        <v>250.0</v>
      </c>
      <c r="W521" s="38" t="s">
        <v>7047</v>
      </c>
      <c r="X521" s="30">
        <v>46023.0</v>
      </c>
      <c r="Y521" s="30">
        <v>46112.0</v>
      </c>
      <c r="Z521" s="39">
        <v>0.0</v>
      </c>
      <c r="AA521" s="39">
        <v>0.0</v>
      </c>
      <c r="AB521" s="35" t="s">
        <v>7045</v>
      </c>
      <c r="AC521" s="30">
        <v>46113.0</v>
      </c>
      <c r="AD521" s="30">
        <v>46203.0</v>
      </c>
      <c r="AE521" s="39">
        <v>0.0</v>
      </c>
      <c r="AF521" s="39">
        <v>0.0</v>
      </c>
      <c r="AG521" s="35" t="s">
        <v>7045</v>
      </c>
      <c r="AH521" s="30">
        <v>46204.0</v>
      </c>
      <c r="AI521" s="30">
        <v>46295.0</v>
      </c>
      <c r="AJ521" s="39">
        <v>0.0</v>
      </c>
      <c r="AK521" s="39">
        <v>0.0</v>
      </c>
      <c r="AL521" s="35" t="s">
        <v>7045</v>
      </c>
      <c r="AM521" s="30">
        <v>46296.0</v>
      </c>
      <c r="AN521" s="30">
        <v>46387.0</v>
      </c>
      <c r="AO521" s="39">
        <v>0.0</v>
      </c>
      <c r="AP521" s="39">
        <v>0.0</v>
      </c>
      <c r="AQ521" s="35" t="s">
        <v>7045</v>
      </c>
      <c r="AR521" s="30">
        <v>46388.0</v>
      </c>
      <c r="AS521" s="30">
        <v>46477.0</v>
      </c>
      <c r="AT521" s="39">
        <v>0.0</v>
      </c>
      <c r="AU521" s="39">
        <v>0.0</v>
      </c>
      <c r="AV521" s="35" t="s">
        <v>7045</v>
      </c>
      <c r="AW521" s="30">
        <v>46478.0</v>
      </c>
      <c r="AX521" s="30">
        <v>46568.0</v>
      </c>
      <c r="AY521" s="39">
        <v>0.0</v>
      </c>
      <c r="AZ521" s="39">
        <v>0.0</v>
      </c>
      <c r="BA521" s="35" t="s">
        <v>7045</v>
      </c>
      <c r="BB521" s="30">
        <v>46569.0</v>
      </c>
      <c r="BC521" s="30">
        <v>46660.0</v>
      </c>
      <c r="BD521" s="39">
        <v>0.0</v>
      </c>
      <c r="BE521" s="39">
        <v>0.0</v>
      </c>
      <c r="BF521" s="35" t="s">
        <v>7045</v>
      </c>
      <c r="BG521" s="30">
        <v>46661.0</v>
      </c>
      <c r="BH521" s="30">
        <v>46752.0</v>
      </c>
      <c r="BI521" s="39">
        <v>0.0</v>
      </c>
      <c r="BJ521" s="39">
        <v>0.0</v>
      </c>
      <c r="BK521" s="35" t="s">
        <v>7045</v>
      </c>
      <c r="BL521" s="30">
        <v>46753.0</v>
      </c>
      <c r="BM521" s="30">
        <v>46843.0</v>
      </c>
      <c r="BN521" s="39">
        <v>0.0</v>
      </c>
      <c r="BO521" s="39">
        <v>0.0</v>
      </c>
      <c r="BP521" s="35" t="s">
        <v>7045</v>
      </c>
      <c r="BQ521" s="30">
        <v>46844.0</v>
      </c>
      <c r="BR521" s="30">
        <v>46934.0</v>
      </c>
      <c r="BS521" s="39">
        <v>0.0</v>
      </c>
      <c r="BT521" s="39">
        <v>0.0</v>
      </c>
      <c r="BU521" s="35" t="s">
        <v>7045</v>
      </c>
      <c r="BV521" s="30">
        <v>46935.0</v>
      </c>
      <c r="BW521" s="30">
        <v>47026.0</v>
      </c>
      <c r="BX521" s="39">
        <v>0.0</v>
      </c>
      <c r="BY521" s="39">
        <v>0.0</v>
      </c>
      <c r="BZ521" s="35" t="s">
        <v>7045</v>
      </c>
      <c r="CA521" s="30">
        <v>47027.0</v>
      </c>
      <c r="CB521" s="30">
        <v>47118.0</v>
      </c>
      <c r="CC521" s="39">
        <v>0.0</v>
      </c>
      <c r="CD521" s="39">
        <v>0.0</v>
      </c>
      <c r="CE521" s="35" t="s">
        <v>7045</v>
      </c>
      <c r="CF521" s="30">
        <v>47119.0</v>
      </c>
      <c r="CG521" s="30">
        <v>47208.0</v>
      </c>
      <c r="CH521" s="39">
        <v>0.0</v>
      </c>
      <c r="CI521" s="39">
        <v>0.0</v>
      </c>
      <c r="CJ521" s="35" t="s">
        <v>7045</v>
      </c>
      <c r="CK521" s="30">
        <v>47209.0</v>
      </c>
      <c r="CL521" s="30">
        <v>47299.0</v>
      </c>
      <c r="CM521" s="39">
        <v>0.0</v>
      </c>
      <c r="CN521" s="39">
        <v>0.0</v>
      </c>
      <c r="CO521" s="35" t="s">
        <v>7045</v>
      </c>
      <c r="CP521" s="30">
        <v>47300.0</v>
      </c>
      <c r="CQ521" s="30">
        <v>47391.0</v>
      </c>
      <c r="CR521" s="39">
        <v>0.0</v>
      </c>
      <c r="CS521" s="39">
        <v>0.0</v>
      </c>
      <c r="CT521" s="35" t="s">
        <v>7045</v>
      </c>
      <c r="CU521" s="30">
        <v>47392.0</v>
      </c>
      <c r="CV521" s="30">
        <v>47483.0</v>
      </c>
      <c r="CW521" s="39">
        <v>0.0</v>
      </c>
      <c r="CX521" s="39">
        <v>0.0</v>
      </c>
      <c r="CY521" s="35" t="s">
        <v>7045</v>
      </c>
      <c r="CZ521" s="30">
        <v>47484.0</v>
      </c>
      <c r="DA521" s="30">
        <v>47573.0</v>
      </c>
      <c r="DB521" s="39">
        <v>0.0</v>
      </c>
      <c r="DC521" s="39">
        <v>0.0</v>
      </c>
      <c r="DD521" s="35" t="s">
        <v>7045</v>
      </c>
      <c r="DE521" s="30">
        <v>47574.0</v>
      </c>
      <c r="DF521" s="30">
        <v>47664.0</v>
      </c>
      <c r="DG521" s="39">
        <v>0.0</v>
      </c>
      <c r="DH521" s="39">
        <v>0.0</v>
      </c>
      <c r="DI521" s="35" t="s">
        <v>7045</v>
      </c>
      <c r="DJ521" s="30">
        <v>47665.0</v>
      </c>
      <c r="DK521" s="30">
        <v>47756.0</v>
      </c>
      <c r="DL521" s="39">
        <v>0.0</v>
      </c>
      <c r="DM521" s="39">
        <v>0.0</v>
      </c>
      <c r="DN521" s="35" t="s">
        <v>7045</v>
      </c>
      <c r="DO521" s="30">
        <v>47757.0</v>
      </c>
      <c r="DP521" s="30">
        <v>47848.0</v>
      </c>
      <c r="DQ521" s="39">
        <v>0.0</v>
      </c>
      <c r="DR521" s="39">
        <v>0.0</v>
      </c>
      <c r="DS521" s="35" t="s">
        <v>7045</v>
      </c>
    </row>
    <row r="522" ht="14.25" customHeight="1">
      <c r="A522" s="28" t="s">
        <v>1829</v>
      </c>
      <c r="B522" s="29" t="s">
        <v>1830</v>
      </c>
      <c r="C522" s="29" t="s">
        <v>7041</v>
      </c>
      <c r="D522" s="30">
        <v>45658.0</v>
      </c>
      <c r="E522" s="30">
        <v>45747.0</v>
      </c>
      <c r="F522" s="36">
        <v>0.0</v>
      </c>
      <c r="G522" s="36">
        <v>0.0</v>
      </c>
      <c r="H522" s="35" t="s">
        <v>7045</v>
      </c>
      <c r="I522" s="30">
        <v>45748.0</v>
      </c>
      <c r="J522" s="30">
        <v>45838.0</v>
      </c>
      <c r="K522" s="36">
        <v>0.0</v>
      </c>
      <c r="L522" s="36">
        <v>0.0</v>
      </c>
      <c r="M522" s="35" t="s">
        <v>7045</v>
      </c>
      <c r="N522" s="30">
        <v>45839.0</v>
      </c>
      <c r="O522" s="30">
        <v>45930.0</v>
      </c>
      <c r="P522" s="36">
        <v>0.0</v>
      </c>
      <c r="Q522" s="36">
        <v>0.0</v>
      </c>
      <c r="R522" s="35" t="s">
        <v>7045</v>
      </c>
      <c r="S522" s="30">
        <v>45931.0</v>
      </c>
      <c r="T522" s="30">
        <v>46022.0</v>
      </c>
      <c r="U522" s="36">
        <v>0.0</v>
      </c>
      <c r="V522" s="36">
        <v>0.0</v>
      </c>
      <c r="W522" s="35" t="s">
        <v>7045</v>
      </c>
      <c r="X522" s="30">
        <v>46023.0</v>
      </c>
      <c r="Y522" s="30">
        <v>46112.0</v>
      </c>
      <c r="Z522" s="36">
        <v>0.0</v>
      </c>
      <c r="AA522" s="36">
        <v>0.0</v>
      </c>
      <c r="AB522" s="35" t="s">
        <v>7045</v>
      </c>
      <c r="AC522" s="30">
        <v>46113.0</v>
      </c>
      <c r="AD522" s="30">
        <v>46203.0</v>
      </c>
      <c r="AE522" s="36">
        <v>0.0</v>
      </c>
      <c r="AF522" s="36">
        <v>0.0</v>
      </c>
      <c r="AG522" s="35" t="s">
        <v>7045</v>
      </c>
      <c r="AH522" s="30">
        <v>46204.0</v>
      </c>
      <c r="AI522" s="30">
        <v>46295.0</v>
      </c>
      <c r="AJ522" s="36">
        <v>0.0</v>
      </c>
      <c r="AK522" s="36">
        <v>0.0</v>
      </c>
      <c r="AL522" s="35" t="s">
        <v>7045</v>
      </c>
      <c r="AM522" s="30">
        <v>46296.0</v>
      </c>
      <c r="AN522" s="30">
        <v>46387.0</v>
      </c>
      <c r="AO522" s="36">
        <v>0.0</v>
      </c>
      <c r="AP522" s="36">
        <v>0.0</v>
      </c>
      <c r="AQ522" s="35" t="s">
        <v>7045</v>
      </c>
      <c r="AR522" s="30">
        <v>46388.0</v>
      </c>
      <c r="AS522" s="30">
        <v>46477.0</v>
      </c>
      <c r="AT522" s="36">
        <v>0.0</v>
      </c>
      <c r="AU522" s="36">
        <v>0.0</v>
      </c>
      <c r="AV522" s="35" t="s">
        <v>7045</v>
      </c>
      <c r="AW522" s="30">
        <v>46478.0</v>
      </c>
      <c r="AX522" s="30">
        <v>46568.0</v>
      </c>
      <c r="AY522" s="36">
        <v>0.0</v>
      </c>
      <c r="AZ522" s="36">
        <v>0.0</v>
      </c>
      <c r="BA522" s="35" t="s">
        <v>7045</v>
      </c>
      <c r="BB522" s="30">
        <v>46569.0</v>
      </c>
      <c r="BC522" s="30">
        <v>46660.0</v>
      </c>
      <c r="BD522" s="36">
        <v>0.0</v>
      </c>
      <c r="BE522" s="36">
        <v>0.0</v>
      </c>
      <c r="BF522" s="35" t="s">
        <v>7045</v>
      </c>
      <c r="BG522" s="30">
        <v>46661.0</v>
      </c>
      <c r="BH522" s="30">
        <v>46752.0</v>
      </c>
      <c r="BI522" s="36">
        <v>0.0</v>
      </c>
      <c r="BJ522" s="36">
        <v>0.0</v>
      </c>
      <c r="BK522" s="35" t="s">
        <v>7045</v>
      </c>
      <c r="BL522" s="30">
        <v>46753.0</v>
      </c>
      <c r="BM522" s="30">
        <v>46843.0</v>
      </c>
      <c r="BN522" s="36">
        <v>0.0</v>
      </c>
      <c r="BO522" s="36">
        <v>0.0</v>
      </c>
      <c r="BP522" s="35" t="s">
        <v>7045</v>
      </c>
      <c r="BQ522" s="30">
        <v>46844.0</v>
      </c>
      <c r="BR522" s="30">
        <v>46934.0</v>
      </c>
      <c r="BS522" s="36">
        <v>0.0</v>
      </c>
      <c r="BT522" s="36">
        <v>0.0</v>
      </c>
      <c r="BU522" s="35" t="s">
        <v>7045</v>
      </c>
      <c r="BV522" s="30">
        <v>46935.0</v>
      </c>
      <c r="BW522" s="30">
        <v>47026.0</v>
      </c>
      <c r="BX522" s="36">
        <v>0.0</v>
      </c>
      <c r="BY522" s="36">
        <v>0.0</v>
      </c>
      <c r="BZ522" s="35" t="s">
        <v>7045</v>
      </c>
      <c r="CA522" s="30">
        <v>47027.0</v>
      </c>
      <c r="CB522" s="30">
        <v>47118.0</v>
      </c>
      <c r="CC522" s="36">
        <v>0.0</v>
      </c>
      <c r="CD522" s="36">
        <v>0.0</v>
      </c>
      <c r="CE522" s="35" t="s">
        <v>7045</v>
      </c>
      <c r="CF522" s="30">
        <v>47119.0</v>
      </c>
      <c r="CG522" s="30">
        <v>47208.0</v>
      </c>
      <c r="CH522" s="36">
        <v>0.0</v>
      </c>
      <c r="CI522" s="36">
        <v>0.0</v>
      </c>
      <c r="CJ522" s="35" t="s">
        <v>7045</v>
      </c>
      <c r="CK522" s="30">
        <v>47209.0</v>
      </c>
      <c r="CL522" s="30">
        <v>47299.0</v>
      </c>
      <c r="CM522" s="36">
        <v>0.0</v>
      </c>
      <c r="CN522" s="36">
        <v>0.0</v>
      </c>
      <c r="CO522" s="35" t="s">
        <v>7045</v>
      </c>
      <c r="CP522" s="30">
        <v>47300.0</v>
      </c>
      <c r="CQ522" s="30">
        <v>47391.0</v>
      </c>
      <c r="CR522" s="36">
        <v>0.0</v>
      </c>
      <c r="CS522" s="36">
        <v>0.0</v>
      </c>
      <c r="CT522" s="35" t="s">
        <v>7045</v>
      </c>
      <c r="CU522" s="30">
        <v>47392.0</v>
      </c>
      <c r="CV522" s="30">
        <v>47483.0</v>
      </c>
      <c r="CW522" s="36">
        <v>0.0</v>
      </c>
      <c r="CX522" s="36">
        <v>0.0</v>
      </c>
      <c r="CY522" s="35" t="s">
        <v>7045</v>
      </c>
      <c r="CZ522" s="30">
        <v>47484.0</v>
      </c>
      <c r="DA522" s="30">
        <v>47573.0</v>
      </c>
      <c r="DB522" s="36">
        <v>0.0</v>
      </c>
      <c r="DC522" s="36">
        <v>0.0</v>
      </c>
      <c r="DD522" s="35" t="s">
        <v>7045</v>
      </c>
      <c r="DE522" s="30">
        <v>47574.0</v>
      </c>
      <c r="DF522" s="30">
        <v>47664.0</v>
      </c>
      <c r="DG522" s="36">
        <v>0.0</v>
      </c>
      <c r="DH522" s="36">
        <v>0.0</v>
      </c>
      <c r="DI522" s="35" t="s">
        <v>7045</v>
      </c>
      <c r="DJ522" s="30">
        <v>47665.0</v>
      </c>
      <c r="DK522" s="30">
        <v>47756.0</v>
      </c>
      <c r="DL522" s="36">
        <v>0.0</v>
      </c>
      <c r="DM522" s="36">
        <v>0.0</v>
      </c>
      <c r="DN522" s="35" t="s">
        <v>7045</v>
      </c>
      <c r="DO522" s="30">
        <v>47757.0</v>
      </c>
      <c r="DP522" s="30">
        <v>47848.0</v>
      </c>
      <c r="DQ522" s="36">
        <v>0.0</v>
      </c>
      <c r="DR522" s="36">
        <v>0.0</v>
      </c>
      <c r="DS522" s="35" t="s">
        <v>7045</v>
      </c>
    </row>
    <row r="523" ht="14.25" customHeight="1">
      <c r="A523" s="28" t="s">
        <v>2488</v>
      </c>
      <c r="B523" s="29" t="s">
        <v>2489</v>
      </c>
      <c r="C523" s="29" t="s">
        <v>7041</v>
      </c>
      <c r="D523" s="30">
        <v>45658.0</v>
      </c>
      <c r="E523" s="30">
        <v>45747.0</v>
      </c>
      <c r="F523" s="39">
        <v>0.0</v>
      </c>
      <c r="G523" s="39">
        <v>0.0</v>
      </c>
      <c r="H523" s="35" t="s">
        <v>7045</v>
      </c>
      <c r="I523" s="30">
        <v>45748.0</v>
      </c>
      <c r="J523" s="30">
        <v>45838.0</v>
      </c>
      <c r="K523" s="39">
        <v>0.0</v>
      </c>
      <c r="L523" s="39">
        <v>0.0</v>
      </c>
      <c r="M523" s="35" t="s">
        <v>7045</v>
      </c>
      <c r="N523" s="30">
        <v>45839.0</v>
      </c>
      <c r="O523" s="30">
        <v>45930.0</v>
      </c>
      <c r="P523" s="39">
        <v>0.0</v>
      </c>
      <c r="Q523" s="39">
        <v>0.0</v>
      </c>
      <c r="R523" s="35" t="s">
        <v>7045</v>
      </c>
      <c r="S523" s="30">
        <v>45931.0</v>
      </c>
      <c r="T523" s="30">
        <v>46022.0</v>
      </c>
      <c r="U523" s="39">
        <v>0.0</v>
      </c>
      <c r="V523" s="39">
        <v>0.0</v>
      </c>
      <c r="W523" s="35" t="s">
        <v>7045</v>
      </c>
      <c r="X523" s="30">
        <v>46023.0</v>
      </c>
      <c r="Y523" s="30">
        <v>46112.0</v>
      </c>
      <c r="Z523" s="39">
        <v>0.0</v>
      </c>
      <c r="AA523" s="39">
        <v>0.0</v>
      </c>
      <c r="AB523" s="35" t="s">
        <v>7045</v>
      </c>
      <c r="AC523" s="30">
        <v>46113.0</v>
      </c>
      <c r="AD523" s="30">
        <v>46203.0</v>
      </c>
      <c r="AE523" s="39">
        <v>0.0</v>
      </c>
      <c r="AF523" s="39">
        <v>0.0</v>
      </c>
      <c r="AG523" s="35" t="s">
        <v>7045</v>
      </c>
      <c r="AH523" s="30">
        <v>46204.0</v>
      </c>
      <c r="AI523" s="30">
        <v>46295.0</v>
      </c>
      <c r="AJ523" s="39">
        <v>0.0</v>
      </c>
      <c r="AK523" s="39">
        <v>0.0</v>
      </c>
      <c r="AL523" s="35" t="s">
        <v>7045</v>
      </c>
      <c r="AM523" s="30">
        <v>46296.0</v>
      </c>
      <c r="AN523" s="30">
        <v>46387.0</v>
      </c>
      <c r="AO523" s="39">
        <v>0.0</v>
      </c>
      <c r="AP523" s="39">
        <v>0.0</v>
      </c>
      <c r="AQ523" s="35" t="s">
        <v>7045</v>
      </c>
      <c r="AR523" s="30">
        <v>46388.0</v>
      </c>
      <c r="AS523" s="30">
        <v>46477.0</v>
      </c>
      <c r="AT523" s="39">
        <v>0.0</v>
      </c>
      <c r="AU523" s="39">
        <v>0.0</v>
      </c>
      <c r="AV523" s="35" t="s">
        <v>7045</v>
      </c>
      <c r="AW523" s="30">
        <v>46478.0</v>
      </c>
      <c r="AX523" s="30">
        <v>46568.0</v>
      </c>
      <c r="AY523" s="39">
        <v>0.0</v>
      </c>
      <c r="AZ523" s="39">
        <v>0.0</v>
      </c>
      <c r="BA523" s="35" t="s">
        <v>7045</v>
      </c>
      <c r="BB523" s="30">
        <v>46569.0</v>
      </c>
      <c r="BC523" s="30">
        <v>46660.0</v>
      </c>
      <c r="BD523" s="39">
        <v>0.0</v>
      </c>
      <c r="BE523" s="39">
        <v>0.0</v>
      </c>
      <c r="BF523" s="35" t="s">
        <v>7045</v>
      </c>
      <c r="BG523" s="30">
        <v>46661.0</v>
      </c>
      <c r="BH523" s="30">
        <v>46752.0</v>
      </c>
      <c r="BI523" s="39">
        <v>0.0</v>
      </c>
      <c r="BJ523" s="39">
        <v>0.0</v>
      </c>
      <c r="BK523" s="35" t="s">
        <v>7045</v>
      </c>
      <c r="BL523" s="30">
        <v>46753.0</v>
      </c>
      <c r="BM523" s="30">
        <v>46843.0</v>
      </c>
      <c r="BN523" s="39">
        <v>0.0</v>
      </c>
      <c r="BO523" s="39">
        <v>0.0</v>
      </c>
      <c r="BP523" s="35" t="s">
        <v>7045</v>
      </c>
      <c r="BQ523" s="30">
        <v>46844.0</v>
      </c>
      <c r="BR523" s="30">
        <v>46934.0</v>
      </c>
      <c r="BS523" s="39">
        <v>0.0</v>
      </c>
      <c r="BT523" s="39">
        <v>0.0</v>
      </c>
      <c r="BU523" s="35" t="s">
        <v>7045</v>
      </c>
      <c r="BV523" s="30">
        <v>46935.0</v>
      </c>
      <c r="BW523" s="30">
        <v>47026.0</v>
      </c>
      <c r="BX523" s="39">
        <v>0.0</v>
      </c>
      <c r="BY523" s="39">
        <v>0.0</v>
      </c>
      <c r="BZ523" s="35" t="s">
        <v>7045</v>
      </c>
      <c r="CA523" s="30">
        <v>47027.0</v>
      </c>
      <c r="CB523" s="30">
        <v>47118.0</v>
      </c>
      <c r="CC523" s="39">
        <v>0.0</v>
      </c>
      <c r="CD523" s="39">
        <v>0.0</v>
      </c>
      <c r="CE523" s="35" t="s">
        <v>7045</v>
      </c>
      <c r="CF523" s="30">
        <v>47119.0</v>
      </c>
      <c r="CG523" s="30">
        <v>47208.0</v>
      </c>
      <c r="CH523" s="39">
        <v>0.0</v>
      </c>
      <c r="CI523" s="39">
        <v>0.0</v>
      </c>
      <c r="CJ523" s="35" t="s">
        <v>7045</v>
      </c>
      <c r="CK523" s="30">
        <v>47209.0</v>
      </c>
      <c r="CL523" s="30">
        <v>47299.0</v>
      </c>
      <c r="CM523" s="39">
        <v>0.0</v>
      </c>
      <c r="CN523" s="39">
        <v>0.0</v>
      </c>
      <c r="CO523" s="35" t="s">
        <v>7045</v>
      </c>
      <c r="CP523" s="30">
        <v>47300.0</v>
      </c>
      <c r="CQ523" s="30">
        <v>47391.0</v>
      </c>
      <c r="CR523" s="39">
        <v>0.0</v>
      </c>
      <c r="CS523" s="39">
        <v>0.0</v>
      </c>
      <c r="CT523" s="35" t="s">
        <v>7045</v>
      </c>
      <c r="CU523" s="30">
        <v>47392.0</v>
      </c>
      <c r="CV523" s="30">
        <v>47483.0</v>
      </c>
      <c r="CW523" s="39">
        <v>0.0</v>
      </c>
      <c r="CX523" s="39">
        <v>0.0</v>
      </c>
      <c r="CY523" s="35" t="s">
        <v>7045</v>
      </c>
      <c r="CZ523" s="30">
        <v>47484.0</v>
      </c>
      <c r="DA523" s="30">
        <v>47573.0</v>
      </c>
      <c r="DB523" s="39">
        <v>0.0</v>
      </c>
      <c r="DC523" s="39">
        <v>0.0</v>
      </c>
      <c r="DD523" s="35" t="s">
        <v>7045</v>
      </c>
      <c r="DE523" s="30">
        <v>47574.0</v>
      </c>
      <c r="DF523" s="30">
        <v>47664.0</v>
      </c>
      <c r="DG523" s="39">
        <v>0.0</v>
      </c>
      <c r="DH523" s="39">
        <v>0.0</v>
      </c>
      <c r="DI523" s="35" t="s">
        <v>7045</v>
      </c>
      <c r="DJ523" s="30">
        <v>47665.0</v>
      </c>
      <c r="DK523" s="30">
        <v>47756.0</v>
      </c>
      <c r="DL523" s="39">
        <v>0.0</v>
      </c>
      <c r="DM523" s="39">
        <v>0.0</v>
      </c>
      <c r="DN523" s="35" t="s">
        <v>7045</v>
      </c>
      <c r="DO523" s="30">
        <v>47757.0</v>
      </c>
      <c r="DP523" s="30">
        <v>47848.0</v>
      </c>
      <c r="DQ523" s="39">
        <v>0.0</v>
      </c>
      <c r="DR523" s="39">
        <v>0.0</v>
      </c>
      <c r="DS523" s="35" t="s">
        <v>7045</v>
      </c>
    </row>
    <row r="524" ht="14.25" customHeight="1">
      <c r="A524" s="43" t="s">
        <v>4686</v>
      </c>
      <c r="B524" s="29" t="s">
        <v>4687</v>
      </c>
      <c r="C524" s="29" t="s">
        <v>7041</v>
      </c>
      <c r="D524" s="30">
        <v>45658.0</v>
      </c>
      <c r="E524" s="30">
        <v>45747.0</v>
      </c>
      <c r="F524" s="36">
        <v>0.0</v>
      </c>
      <c r="G524" s="36">
        <v>0.0</v>
      </c>
      <c r="H524" s="35" t="s">
        <v>7045</v>
      </c>
      <c r="I524" s="30">
        <v>45748.0</v>
      </c>
      <c r="J524" s="30">
        <v>45838.0</v>
      </c>
      <c r="K524" s="36">
        <v>0.0</v>
      </c>
      <c r="L524" s="36">
        <v>0.0</v>
      </c>
      <c r="M524" s="35" t="s">
        <v>7045</v>
      </c>
      <c r="N524" s="30">
        <v>45839.0</v>
      </c>
      <c r="O524" s="30">
        <v>45930.0</v>
      </c>
      <c r="P524" s="36">
        <v>30.0</v>
      </c>
      <c r="Q524" s="36">
        <v>0.0</v>
      </c>
      <c r="R524" s="35" t="s">
        <v>7047</v>
      </c>
      <c r="S524" s="30">
        <v>45931.0</v>
      </c>
      <c r="T524" s="30">
        <v>46022.0</v>
      </c>
      <c r="U524" s="36">
        <v>30.0</v>
      </c>
      <c r="V524" s="36">
        <v>0.0</v>
      </c>
      <c r="W524" s="35" t="s">
        <v>7047</v>
      </c>
      <c r="X524" s="30">
        <v>46023.0</v>
      </c>
      <c r="Y524" s="30">
        <v>46112.0</v>
      </c>
      <c r="Z524" s="36">
        <v>0.0</v>
      </c>
      <c r="AA524" s="36">
        <v>0.0</v>
      </c>
      <c r="AB524" s="35" t="s">
        <v>7045</v>
      </c>
      <c r="AC524" s="30">
        <v>46113.0</v>
      </c>
      <c r="AD524" s="30">
        <v>46203.0</v>
      </c>
      <c r="AE524" s="36">
        <v>0.0</v>
      </c>
      <c r="AF524" s="36">
        <v>0.0</v>
      </c>
      <c r="AG524" s="35" t="s">
        <v>7045</v>
      </c>
      <c r="AH524" s="30">
        <v>46204.0</v>
      </c>
      <c r="AI524" s="30">
        <v>46295.0</v>
      </c>
      <c r="AJ524" s="36">
        <v>0.0</v>
      </c>
      <c r="AK524" s="36">
        <v>0.0</v>
      </c>
      <c r="AL524" s="35" t="s">
        <v>7045</v>
      </c>
      <c r="AM524" s="30">
        <v>46296.0</v>
      </c>
      <c r="AN524" s="30">
        <v>46387.0</v>
      </c>
      <c r="AO524" s="36">
        <v>0.0</v>
      </c>
      <c r="AP524" s="36">
        <v>0.0</v>
      </c>
      <c r="AQ524" s="35" t="s">
        <v>7045</v>
      </c>
      <c r="AR524" s="30">
        <v>46388.0</v>
      </c>
      <c r="AS524" s="30">
        <v>46477.0</v>
      </c>
      <c r="AT524" s="36">
        <v>0.0</v>
      </c>
      <c r="AU524" s="36">
        <v>0.0</v>
      </c>
      <c r="AV524" s="35" t="s">
        <v>7045</v>
      </c>
      <c r="AW524" s="30">
        <v>46478.0</v>
      </c>
      <c r="AX524" s="30">
        <v>46568.0</v>
      </c>
      <c r="AY524" s="36">
        <v>0.0</v>
      </c>
      <c r="AZ524" s="36">
        <v>0.0</v>
      </c>
      <c r="BA524" s="35" t="s">
        <v>7045</v>
      </c>
      <c r="BB524" s="30">
        <v>46569.0</v>
      </c>
      <c r="BC524" s="30">
        <v>46660.0</v>
      </c>
      <c r="BD524" s="36">
        <v>0.0</v>
      </c>
      <c r="BE524" s="36">
        <v>0.0</v>
      </c>
      <c r="BF524" s="35" t="s">
        <v>7045</v>
      </c>
      <c r="BG524" s="30">
        <v>46661.0</v>
      </c>
      <c r="BH524" s="30">
        <v>46752.0</v>
      </c>
      <c r="BI524" s="36">
        <v>0.0</v>
      </c>
      <c r="BJ524" s="36">
        <v>0.0</v>
      </c>
      <c r="BK524" s="35" t="s">
        <v>7045</v>
      </c>
      <c r="BL524" s="30">
        <v>46753.0</v>
      </c>
      <c r="BM524" s="30">
        <v>46843.0</v>
      </c>
      <c r="BN524" s="36">
        <v>0.0</v>
      </c>
      <c r="BO524" s="36">
        <v>0.0</v>
      </c>
      <c r="BP524" s="35" t="s">
        <v>7045</v>
      </c>
      <c r="BQ524" s="30">
        <v>46844.0</v>
      </c>
      <c r="BR524" s="30">
        <v>46934.0</v>
      </c>
      <c r="BS524" s="36">
        <v>0.0</v>
      </c>
      <c r="BT524" s="36">
        <v>0.0</v>
      </c>
      <c r="BU524" s="35" t="s">
        <v>7045</v>
      </c>
      <c r="BV524" s="30">
        <v>46935.0</v>
      </c>
      <c r="BW524" s="30">
        <v>47026.0</v>
      </c>
      <c r="BX524" s="36">
        <v>0.0</v>
      </c>
      <c r="BY524" s="36">
        <v>0.0</v>
      </c>
      <c r="BZ524" s="35" t="s">
        <v>7045</v>
      </c>
      <c r="CA524" s="30">
        <v>47027.0</v>
      </c>
      <c r="CB524" s="30">
        <v>47118.0</v>
      </c>
      <c r="CC524" s="36">
        <v>0.0</v>
      </c>
      <c r="CD524" s="36">
        <v>0.0</v>
      </c>
      <c r="CE524" s="35" t="s">
        <v>7045</v>
      </c>
      <c r="CF524" s="30">
        <v>47119.0</v>
      </c>
      <c r="CG524" s="30">
        <v>47208.0</v>
      </c>
      <c r="CH524" s="36">
        <v>0.0</v>
      </c>
      <c r="CI524" s="36">
        <v>0.0</v>
      </c>
      <c r="CJ524" s="35" t="s">
        <v>7045</v>
      </c>
      <c r="CK524" s="30">
        <v>47209.0</v>
      </c>
      <c r="CL524" s="30">
        <v>47299.0</v>
      </c>
      <c r="CM524" s="36">
        <v>0.0</v>
      </c>
      <c r="CN524" s="36">
        <v>0.0</v>
      </c>
      <c r="CO524" s="35" t="s">
        <v>7045</v>
      </c>
      <c r="CP524" s="30">
        <v>47300.0</v>
      </c>
      <c r="CQ524" s="30">
        <v>47391.0</v>
      </c>
      <c r="CR524" s="36">
        <v>0.0</v>
      </c>
      <c r="CS524" s="36">
        <v>0.0</v>
      </c>
      <c r="CT524" s="35" t="s">
        <v>7045</v>
      </c>
      <c r="CU524" s="30">
        <v>47392.0</v>
      </c>
      <c r="CV524" s="30">
        <v>47483.0</v>
      </c>
      <c r="CW524" s="36">
        <v>0.0</v>
      </c>
      <c r="CX524" s="36">
        <v>0.0</v>
      </c>
      <c r="CY524" s="35" t="s">
        <v>7045</v>
      </c>
      <c r="CZ524" s="30">
        <v>47484.0</v>
      </c>
      <c r="DA524" s="30">
        <v>47573.0</v>
      </c>
      <c r="DB524" s="36">
        <v>0.0</v>
      </c>
      <c r="DC524" s="36">
        <v>0.0</v>
      </c>
      <c r="DD524" s="35" t="s">
        <v>7045</v>
      </c>
      <c r="DE524" s="30">
        <v>47574.0</v>
      </c>
      <c r="DF524" s="30">
        <v>47664.0</v>
      </c>
      <c r="DG524" s="36">
        <v>0.0</v>
      </c>
      <c r="DH524" s="36">
        <v>0.0</v>
      </c>
      <c r="DI524" s="35" t="s">
        <v>7045</v>
      </c>
      <c r="DJ524" s="30">
        <v>47665.0</v>
      </c>
      <c r="DK524" s="30">
        <v>47756.0</v>
      </c>
      <c r="DL524" s="36">
        <v>0.0</v>
      </c>
      <c r="DM524" s="36">
        <v>0.0</v>
      </c>
      <c r="DN524" s="35" t="s">
        <v>7045</v>
      </c>
      <c r="DO524" s="30">
        <v>47757.0</v>
      </c>
      <c r="DP524" s="30">
        <v>47848.0</v>
      </c>
      <c r="DQ524" s="36">
        <v>0.0</v>
      </c>
      <c r="DR524" s="36">
        <v>0.0</v>
      </c>
      <c r="DS524" s="35" t="s">
        <v>7045</v>
      </c>
    </row>
    <row r="525" ht="14.25" customHeight="1">
      <c r="A525" s="43" t="s">
        <v>6336</v>
      </c>
      <c r="B525" s="29" t="s">
        <v>6337</v>
      </c>
      <c r="C525" s="29" t="s">
        <v>7041</v>
      </c>
      <c r="D525" s="30">
        <v>45658.0</v>
      </c>
      <c r="E525" s="30">
        <v>45747.0</v>
      </c>
      <c r="F525" s="36">
        <v>0.0</v>
      </c>
      <c r="G525" s="36">
        <v>0.0</v>
      </c>
      <c r="H525" s="35" t="s">
        <v>7045</v>
      </c>
      <c r="I525" s="30">
        <v>45748.0</v>
      </c>
      <c r="J525" s="30">
        <v>45838.0</v>
      </c>
      <c r="K525" s="36">
        <v>0.0</v>
      </c>
      <c r="L525" s="36">
        <v>0.0</v>
      </c>
      <c r="M525" s="35" t="s">
        <v>7045</v>
      </c>
      <c r="N525" s="30">
        <v>45839.0</v>
      </c>
      <c r="O525" s="30">
        <v>45930.0</v>
      </c>
      <c r="P525" s="36">
        <v>0.0</v>
      </c>
      <c r="Q525" s="36">
        <v>0.0</v>
      </c>
      <c r="R525" s="35" t="s">
        <v>7045</v>
      </c>
      <c r="S525" s="30">
        <v>45931.0</v>
      </c>
      <c r="T525" s="30">
        <v>46022.0</v>
      </c>
      <c r="U525" s="36">
        <v>0.0</v>
      </c>
      <c r="V525" s="36">
        <v>0.0</v>
      </c>
      <c r="W525" s="35" t="s">
        <v>7045</v>
      </c>
      <c r="X525" s="30">
        <v>46023.0</v>
      </c>
      <c r="Y525" s="30">
        <v>46112.0</v>
      </c>
      <c r="Z525" s="36">
        <v>0.0</v>
      </c>
      <c r="AA525" s="36">
        <v>0.0</v>
      </c>
      <c r="AB525" s="35" t="s">
        <v>7045</v>
      </c>
      <c r="AC525" s="30">
        <v>46113.0</v>
      </c>
      <c r="AD525" s="30">
        <v>46203.0</v>
      </c>
      <c r="AE525" s="36">
        <v>0.0</v>
      </c>
      <c r="AF525" s="36">
        <v>0.0</v>
      </c>
      <c r="AG525" s="35" t="s">
        <v>7045</v>
      </c>
      <c r="AH525" s="30">
        <v>46204.0</v>
      </c>
      <c r="AI525" s="30">
        <v>46295.0</v>
      </c>
      <c r="AJ525" s="36">
        <v>0.0</v>
      </c>
      <c r="AK525" s="36">
        <v>0.0</v>
      </c>
      <c r="AL525" s="35" t="s">
        <v>7045</v>
      </c>
      <c r="AM525" s="30">
        <v>46296.0</v>
      </c>
      <c r="AN525" s="30">
        <v>46387.0</v>
      </c>
      <c r="AO525" s="36">
        <v>0.0</v>
      </c>
      <c r="AP525" s="36">
        <v>0.0</v>
      </c>
      <c r="AQ525" s="35" t="s">
        <v>7045</v>
      </c>
      <c r="AR525" s="30">
        <v>46388.0</v>
      </c>
      <c r="AS525" s="30">
        <v>46477.0</v>
      </c>
      <c r="AT525" s="36">
        <v>0.0</v>
      </c>
      <c r="AU525" s="36">
        <v>0.0</v>
      </c>
      <c r="AV525" s="35" t="s">
        <v>7045</v>
      </c>
      <c r="AW525" s="30">
        <v>46478.0</v>
      </c>
      <c r="AX525" s="30">
        <v>46568.0</v>
      </c>
      <c r="AY525" s="36">
        <v>0.0</v>
      </c>
      <c r="AZ525" s="36">
        <v>0.0</v>
      </c>
      <c r="BA525" s="35" t="s">
        <v>7045</v>
      </c>
      <c r="BB525" s="30">
        <v>46569.0</v>
      </c>
      <c r="BC525" s="30">
        <v>46660.0</v>
      </c>
      <c r="BD525" s="36">
        <v>0.0</v>
      </c>
      <c r="BE525" s="36">
        <v>0.0</v>
      </c>
      <c r="BF525" s="35" t="s">
        <v>7045</v>
      </c>
      <c r="BG525" s="30">
        <v>46661.0</v>
      </c>
      <c r="BH525" s="30">
        <v>46752.0</v>
      </c>
      <c r="BI525" s="36">
        <v>0.0</v>
      </c>
      <c r="BJ525" s="36">
        <v>0.0</v>
      </c>
      <c r="BK525" s="35" t="s">
        <v>7045</v>
      </c>
      <c r="BL525" s="30">
        <v>46753.0</v>
      </c>
      <c r="BM525" s="30">
        <v>46843.0</v>
      </c>
      <c r="BN525" s="36">
        <v>0.0</v>
      </c>
      <c r="BO525" s="36">
        <v>0.0</v>
      </c>
      <c r="BP525" s="35" t="s">
        <v>7045</v>
      </c>
      <c r="BQ525" s="30">
        <v>46844.0</v>
      </c>
      <c r="BR525" s="30">
        <v>46934.0</v>
      </c>
      <c r="BS525" s="36">
        <v>0.0</v>
      </c>
      <c r="BT525" s="36">
        <v>0.0</v>
      </c>
      <c r="BU525" s="35" t="s">
        <v>7045</v>
      </c>
      <c r="BV525" s="30">
        <v>46935.0</v>
      </c>
      <c r="BW525" s="30">
        <v>47026.0</v>
      </c>
      <c r="BX525" s="36">
        <v>0.0</v>
      </c>
      <c r="BY525" s="36">
        <v>0.0</v>
      </c>
      <c r="BZ525" s="35" t="s">
        <v>7045</v>
      </c>
      <c r="CA525" s="30">
        <v>47027.0</v>
      </c>
      <c r="CB525" s="30">
        <v>47118.0</v>
      </c>
      <c r="CC525" s="36">
        <v>0.0</v>
      </c>
      <c r="CD525" s="36">
        <v>0.0</v>
      </c>
      <c r="CE525" s="35" t="s">
        <v>7045</v>
      </c>
      <c r="CF525" s="30">
        <v>47119.0</v>
      </c>
      <c r="CG525" s="30">
        <v>47208.0</v>
      </c>
      <c r="CH525" s="36">
        <v>0.0</v>
      </c>
      <c r="CI525" s="36">
        <v>0.0</v>
      </c>
      <c r="CJ525" s="35" t="s">
        <v>7045</v>
      </c>
      <c r="CK525" s="30">
        <v>47209.0</v>
      </c>
      <c r="CL525" s="30">
        <v>47299.0</v>
      </c>
      <c r="CM525" s="36">
        <v>0.0</v>
      </c>
      <c r="CN525" s="36">
        <v>0.0</v>
      </c>
      <c r="CO525" s="35" t="s">
        <v>7045</v>
      </c>
      <c r="CP525" s="30">
        <v>47300.0</v>
      </c>
      <c r="CQ525" s="30">
        <v>47391.0</v>
      </c>
      <c r="CR525" s="36">
        <v>0.0</v>
      </c>
      <c r="CS525" s="36">
        <v>0.0</v>
      </c>
      <c r="CT525" s="35" t="s">
        <v>7045</v>
      </c>
      <c r="CU525" s="30">
        <v>47392.0</v>
      </c>
      <c r="CV525" s="30">
        <v>47483.0</v>
      </c>
      <c r="CW525" s="36">
        <v>0.0</v>
      </c>
      <c r="CX525" s="36">
        <v>0.0</v>
      </c>
      <c r="CY525" s="35" t="s">
        <v>7045</v>
      </c>
      <c r="CZ525" s="30">
        <v>47484.0</v>
      </c>
      <c r="DA525" s="30">
        <v>47573.0</v>
      </c>
      <c r="DB525" s="36">
        <v>0.0</v>
      </c>
      <c r="DC525" s="36">
        <v>0.0</v>
      </c>
      <c r="DD525" s="35" t="s">
        <v>7045</v>
      </c>
      <c r="DE525" s="30">
        <v>47574.0</v>
      </c>
      <c r="DF525" s="30">
        <v>47664.0</v>
      </c>
      <c r="DG525" s="36">
        <v>0.0</v>
      </c>
      <c r="DH525" s="36">
        <v>0.0</v>
      </c>
      <c r="DI525" s="35" t="s">
        <v>7045</v>
      </c>
      <c r="DJ525" s="30">
        <v>47665.0</v>
      </c>
      <c r="DK525" s="30">
        <v>47756.0</v>
      </c>
      <c r="DL525" s="36">
        <v>0.0</v>
      </c>
      <c r="DM525" s="36">
        <v>0.0</v>
      </c>
      <c r="DN525" s="35" t="s">
        <v>7045</v>
      </c>
      <c r="DO525" s="30">
        <v>47757.0</v>
      </c>
      <c r="DP525" s="30">
        <v>47848.0</v>
      </c>
      <c r="DQ525" s="36">
        <v>0.0</v>
      </c>
      <c r="DR525" s="36">
        <v>0.0</v>
      </c>
      <c r="DS525" s="35" t="s">
        <v>7045</v>
      </c>
    </row>
    <row r="526" ht="14.25" customHeight="1">
      <c r="A526" s="43" t="s">
        <v>4272</v>
      </c>
      <c r="B526" s="29" t="s">
        <v>4273</v>
      </c>
      <c r="C526" s="29" t="s">
        <v>7041</v>
      </c>
      <c r="D526" s="30">
        <v>45658.0</v>
      </c>
      <c r="E526" s="30">
        <v>45747.0</v>
      </c>
      <c r="F526" s="36">
        <v>0.0</v>
      </c>
      <c r="G526" s="36">
        <v>0.0</v>
      </c>
      <c r="H526" s="35" t="s">
        <v>7045</v>
      </c>
      <c r="I526" s="30">
        <v>45748.0</v>
      </c>
      <c r="J526" s="30">
        <v>45838.0</v>
      </c>
      <c r="K526" s="36">
        <v>7.56</v>
      </c>
      <c r="L526" s="36">
        <v>0.0</v>
      </c>
      <c r="M526" s="35" t="s">
        <v>7047</v>
      </c>
      <c r="N526" s="30">
        <v>45839.0</v>
      </c>
      <c r="O526" s="30">
        <v>45930.0</v>
      </c>
      <c r="P526" s="36">
        <v>458.79</v>
      </c>
      <c r="Q526" s="36">
        <v>0.0</v>
      </c>
      <c r="R526" s="35" t="s">
        <v>7047</v>
      </c>
      <c r="S526" s="30">
        <v>45931.0</v>
      </c>
      <c r="T526" s="30">
        <v>46022.0</v>
      </c>
      <c r="U526" s="36">
        <v>166.24</v>
      </c>
      <c r="V526" s="36">
        <v>0.0</v>
      </c>
      <c r="W526" s="35" t="s">
        <v>7047</v>
      </c>
      <c r="X526" s="30">
        <v>46023.0</v>
      </c>
      <c r="Y526" s="30">
        <v>46112.0</v>
      </c>
      <c r="Z526" s="36">
        <v>191.0</v>
      </c>
      <c r="AA526" s="36">
        <v>0.0</v>
      </c>
      <c r="AB526" s="35" t="s">
        <v>7047</v>
      </c>
      <c r="AC526" s="30">
        <v>46113.0</v>
      </c>
      <c r="AD526" s="30">
        <v>46203.0</v>
      </c>
      <c r="AE526" s="36">
        <v>0.0</v>
      </c>
      <c r="AF526" s="36">
        <v>0.0</v>
      </c>
      <c r="AG526" s="35" t="s">
        <v>7045</v>
      </c>
      <c r="AH526" s="30">
        <v>46204.0</v>
      </c>
      <c r="AI526" s="30">
        <v>46295.0</v>
      </c>
      <c r="AJ526" s="36">
        <v>1.47</v>
      </c>
      <c r="AK526" s="36">
        <v>0.0</v>
      </c>
      <c r="AL526" s="35" t="s">
        <v>7047</v>
      </c>
      <c r="AM526" s="30">
        <v>46296.0</v>
      </c>
      <c r="AN526" s="30">
        <v>46387.0</v>
      </c>
      <c r="AO526" s="36">
        <v>0.0</v>
      </c>
      <c r="AP526" s="36">
        <v>0.0</v>
      </c>
      <c r="AQ526" s="35" t="s">
        <v>7045</v>
      </c>
      <c r="AR526" s="30">
        <v>46388.0</v>
      </c>
      <c r="AS526" s="30">
        <v>46477.0</v>
      </c>
      <c r="AT526" s="36">
        <v>0.0</v>
      </c>
      <c r="AU526" s="36">
        <v>0.0</v>
      </c>
      <c r="AV526" s="35" t="s">
        <v>7045</v>
      </c>
      <c r="AW526" s="30">
        <v>46478.0</v>
      </c>
      <c r="AX526" s="30">
        <v>46568.0</v>
      </c>
      <c r="AY526" s="36">
        <v>0.0</v>
      </c>
      <c r="AZ526" s="36">
        <v>0.0</v>
      </c>
      <c r="BA526" s="35" t="s">
        <v>7045</v>
      </c>
      <c r="BB526" s="30">
        <v>46569.0</v>
      </c>
      <c r="BC526" s="30">
        <v>46660.0</v>
      </c>
      <c r="BD526" s="36">
        <v>0.0</v>
      </c>
      <c r="BE526" s="36">
        <v>0.0</v>
      </c>
      <c r="BF526" s="35" t="s">
        <v>7045</v>
      </c>
      <c r="BG526" s="30">
        <v>46661.0</v>
      </c>
      <c r="BH526" s="30">
        <v>46752.0</v>
      </c>
      <c r="BI526" s="36">
        <v>0.0</v>
      </c>
      <c r="BJ526" s="36">
        <v>0.0</v>
      </c>
      <c r="BK526" s="35" t="s">
        <v>7045</v>
      </c>
      <c r="BL526" s="30">
        <v>46753.0</v>
      </c>
      <c r="BM526" s="30">
        <v>46843.0</v>
      </c>
      <c r="BN526" s="36">
        <v>0.0</v>
      </c>
      <c r="BO526" s="36">
        <v>0.0</v>
      </c>
      <c r="BP526" s="35" t="s">
        <v>7045</v>
      </c>
      <c r="BQ526" s="30">
        <v>46844.0</v>
      </c>
      <c r="BR526" s="30">
        <v>46934.0</v>
      </c>
      <c r="BS526" s="36">
        <v>0.0</v>
      </c>
      <c r="BT526" s="36">
        <v>0.0</v>
      </c>
      <c r="BU526" s="35" t="s">
        <v>7045</v>
      </c>
      <c r="BV526" s="30">
        <v>46935.0</v>
      </c>
      <c r="BW526" s="30">
        <v>47026.0</v>
      </c>
      <c r="BX526" s="36">
        <v>0.0</v>
      </c>
      <c r="BY526" s="36">
        <v>0.0</v>
      </c>
      <c r="BZ526" s="35" t="s">
        <v>7045</v>
      </c>
      <c r="CA526" s="30">
        <v>47027.0</v>
      </c>
      <c r="CB526" s="30">
        <v>47118.0</v>
      </c>
      <c r="CC526" s="36">
        <v>0.0</v>
      </c>
      <c r="CD526" s="36">
        <v>0.0</v>
      </c>
      <c r="CE526" s="35" t="s">
        <v>7045</v>
      </c>
      <c r="CF526" s="30">
        <v>47119.0</v>
      </c>
      <c r="CG526" s="30">
        <v>47208.0</v>
      </c>
      <c r="CH526" s="36">
        <v>0.0</v>
      </c>
      <c r="CI526" s="36">
        <v>0.0</v>
      </c>
      <c r="CJ526" s="35" t="s">
        <v>7045</v>
      </c>
      <c r="CK526" s="30">
        <v>47209.0</v>
      </c>
      <c r="CL526" s="30">
        <v>47299.0</v>
      </c>
      <c r="CM526" s="36">
        <v>0.0</v>
      </c>
      <c r="CN526" s="36">
        <v>0.0</v>
      </c>
      <c r="CO526" s="35" t="s">
        <v>7045</v>
      </c>
      <c r="CP526" s="30">
        <v>47300.0</v>
      </c>
      <c r="CQ526" s="30">
        <v>47391.0</v>
      </c>
      <c r="CR526" s="36">
        <v>0.0</v>
      </c>
      <c r="CS526" s="36">
        <v>0.0</v>
      </c>
      <c r="CT526" s="35" t="s">
        <v>7045</v>
      </c>
      <c r="CU526" s="30">
        <v>47392.0</v>
      </c>
      <c r="CV526" s="30">
        <v>47483.0</v>
      </c>
      <c r="CW526" s="36">
        <v>0.0</v>
      </c>
      <c r="CX526" s="36">
        <v>0.0</v>
      </c>
      <c r="CY526" s="35" t="s">
        <v>7045</v>
      </c>
      <c r="CZ526" s="30">
        <v>47484.0</v>
      </c>
      <c r="DA526" s="30">
        <v>47573.0</v>
      </c>
      <c r="DB526" s="36">
        <v>0.0</v>
      </c>
      <c r="DC526" s="36">
        <v>0.0</v>
      </c>
      <c r="DD526" s="35" t="s">
        <v>7045</v>
      </c>
      <c r="DE526" s="30">
        <v>47574.0</v>
      </c>
      <c r="DF526" s="30">
        <v>47664.0</v>
      </c>
      <c r="DG526" s="36">
        <v>0.0</v>
      </c>
      <c r="DH526" s="36">
        <v>0.0</v>
      </c>
      <c r="DI526" s="35" t="s">
        <v>7045</v>
      </c>
      <c r="DJ526" s="30">
        <v>47665.0</v>
      </c>
      <c r="DK526" s="30">
        <v>47756.0</v>
      </c>
      <c r="DL526" s="36">
        <v>0.0</v>
      </c>
      <c r="DM526" s="36">
        <v>0.0</v>
      </c>
      <c r="DN526" s="35" t="s">
        <v>7045</v>
      </c>
      <c r="DO526" s="30">
        <v>47757.0</v>
      </c>
      <c r="DP526" s="30">
        <v>47848.0</v>
      </c>
      <c r="DQ526" s="36">
        <v>0.0</v>
      </c>
      <c r="DR526" s="36">
        <v>0.0</v>
      </c>
      <c r="DS526" s="35" t="s">
        <v>7045</v>
      </c>
    </row>
    <row r="527" ht="14.25" customHeight="1">
      <c r="A527" s="43" t="s">
        <v>4107</v>
      </c>
      <c r="B527" s="29" t="s">
        <v>4108</v>
      </c>
      <c r="C527" s="29" t="s">
        <v>7041</v>
      </c>
      <c r="D527" s="30">
        <v>45658.0</v>
      </c>
      <c r="E527" s="30">
        <v>45747.0</v>
      </c>
      <c r="F527" s="36">
        <v>0.0</v>
      </c>
      <c r="G527" s="36">
        <v>0.0</v>
      </c>
      <c r="H527" s="35" t="s">
        <v>7045</v>
      </c>
      <c r="I527" s="30">
        <v>45748.0</v>
      </c>
      <c r="J527" s="30">
        <v>45838.0</v>
      </c>
      <c r="K527" s="36">
        <v>3.5</v>
      </c>
      <c r="L527" s="36">
        <v>0.0</v>
      </c>
      <c r="M527" s="35" t="s">
        <v>7047</v>
      </c>
      <c r="N527" s="30">
        <v>45839.0</v>
      </c>
      <c r="O527" s="30">
        <v>45930.0</v>
      </c>
      <c r="P527" s="36">
        <v>76.68</v>
      </c>
      <c r="Q527" s="36">
        <v>0.0</v>
      </c>
      <c r="R527" s="35" t="s">
        <v>7047</v>
      </c>
      <c r="S527" s="30">
        <v>45931.0</v>
      </c>
      <c r="T527" s="30">
        <v>46022.0</v>
      </c>
      <c r="U527" s="36">
        <v>175.86</v>
      </c>
      <c r="V527" s="36">
        <v>0.0</v>
      </c>
      <c r="W527" s="35" t="s">
        <v>7047</v>
      </c>
      <c r="X527" s="30">
        <v>46023.0</v>
      </c>
      <c r="Y527" s="30">
        <v>46112.0</v>
      </c>
      <c r="Z527" s="36">
        <v>27.34</v>
      </c>
      <c r="AA527" s="36">
        <v>0.0</v>
      </c>
      <c r="AB527" s="35" t="s">
        <v>7047</v>
      </c>
      <c r="AC527" s="30">
        <v>46113.0</v>
      </c>
      <c r="AD527" s="30">
        <v>46203.0</v>
      </c>
      <c r="AE527" s="36">
        <v>5.73</v>
      </c>
      <c r="AF527" s="36">
        <v>0.0</v>
      </c>
      <c r="AG527" s="35" t="s">
        <v>7047</v>
      </c>
      <c r="AH527" s="30">
        <v>46204.0</v>
      </c>
      <c r="AI527" s="30">
        <v>46295.0</v>
      </c>
      <c r="AJ527" s="36">
        <v>0.0</v>
      </c>
      <c r="AK527" s="36">
        <v>0.0</v>
      </c>
      <c r="AL527" s="35" t="s">
        <v>7045</v>
      </c>
      <c r="AM527" s="30">
        <v>46296.0</v>
      </c>
      <c r="AN527" s="30">
        <v>46387.0</v>
      </c>
      <c r="AO527" s="36">
        <v>0.0</v>
      </c>
      <c r="AP527" s="36">
        <v>0.0</v>
      </c>
      <c r="AQ527" s="35" t="s">
        <v>7045</v>
      </c>
      <c r="AR527" s="30">
        <v>46388.0</v>
      </c>
      <c r="AS527" s="30">
        <v>46477.0</v>
      </c>
      <c r="AT527" s="36">
        <v>0.0</v>
      </c>
      <c r="AU527" s="36">
        <v>0.0</v>
      </c>
      <c r="AV527" s="35" t="s">
        <v>7045</v>
      </c>
      <c r="AW527" s="30">
        <v>46478.0</v>
      </c>
      <c r="AX527" s="30">
        <v>46568.0</v>
      </c>
      <c r="AY527" s="36">
        <v>0.0</v>
      </c>
      <c r="AZ527" s="36">
        <v>0.0</v>
      </c>
      <c r="BA527" s="35" t="s">
        <v>7045</v>
      </c>
      <c r="BB527" s="30">
        <v>46569.0</v>
      </c>
      <c r="BC527" s="30">
        <v>46660.0</v>
      </c>
      <c r="BD527" s="36">
        <v>0.0</v>
      </c>
      <c r="BE527" s="36">
        <v>0.0</v>
      </c>
      <c r="BF527" s="35" t="s">
        <v>7045</v>
      </c>
      <c r="BG527" s="30">
        <v>46661.0</v>
      </c>
      <c r="BH527" s="30">
        <v>46752.0</v>
      </c>
      <c r="BI527" s="36">
        <v>0.0</v>
      </c>
      <c r="BJ527" s="36">
        <v>0.0</v>
      </c>
      <c r="BK527" s="35" t="s">
        <v>7045</v>
      </c>
      <c r="BL527" s="30">
        <v>46753.0</v>
      </c>
      <c r="BM527" s="30">
        <v>46843.0</v>
      </c>
      <c r="BN527" s="36">
        <v>0.0</v>
      </c>
      <c r="BO527" s="36">
        <v>0.0</v>
      </c>
      <c r="BP527" s="35" t="s">
        <v>7045</v>
      </c>
      <c r="BQ527" s="30">
        <v>46844.0</v>
      </c>
      <c r="BR527" s="30">
        <v>46934.0</v>
      </c>
      <c r="BS527" s="36">
        <v>0.0</v>
      </c>
      <c r="BT527" s="36">
        <v>0.0</v>
      </c>
      <c r="BU527" s="35" t="s">
        <v>7045</v>
      </c>
      <c r="BV527" s="30">
        <v>46935.0</v>
      </c>
      <c r="BW527" s="30">
        <v>47026.0</v>
      </c>
      <c r="BX527" s="36">
        <v>0.0</v>
      </c>
      <c r="BY527" s="36">
        <v>0.0</v>
      </c>
      <c r="BZ527" s="35" t="s">
        <v>7045</v>
      </c>
      <c r="CA527" s="30">
        <v>47027.0</v>
      </c>
      <c r="CB527" s="30">
        <v>47118.0</v>
      </c>
      <c r="CC527" s="36">
        <v>0.0</v>
      </c>
      <c r="CD527" s="36">
        <v>0.0</v>
      </c>
      <c r="CE527" s="35" t="s">
        <v>7045</v>
      </c>
      <c r="CF527" s="30">
        <v>47119.0</v>
      </c>
      <c r="CG527" s="30">
        <v>47208.0</v>
      </c>
      <c r="CH527" s="36">
        <v>0.0</v>
      </c>
      <c r="CI527" s="36">
        <v>0.0</v>
      </c>
      <c r="CJ527" s="35" t="s">
        <v>7045</v>
      </c>
      <c r="CK527" s="30">
        <v>47209.0</v>
      </c>
      <c r="CL527" s="30">
        <v>47299.0</v>
      </c>
      <c r="CM527" s="36">
        <v>0.0</v>
      </c>
      <c r="CN527" s="36">
        <v>0.0</v>
      </c>
      <c r="CO527" s="35" t="s">
        <v>7045</v>
      </c>
      <c r="CP527" s="30">
        <v>47300.0</v>
      </c>
      <c r="CQ527" s="30">
        <v>47391.0</v>
      </c>
      <c r="CR527" s="36">
        <v>0.0</v>
      </c>
      <c r="CS527" s="36">
        <v>0.0</v>
      </c>
      <c r="CT527" s="35" t="s">
        <v>7045</v>
      </c>
      <c r="CU527" s="30">
        <v>47392.0</v>
      </c>
      <c r="CV527" s="30">
        <v>47483.0</v>
      </c>
      <c r="CW527" s="36">
        <v>0.0</v>
      </c>
      <c r="CX527" s="36">
        <v>0.0</v>
      </c>
      <c r="CY527" s="35" t="s">
        <v>7045</v>
      </c>
      <c r="CZ527" s="30">
        <v>47484.0</v>
      </c>
      <c r="DA527" s="30">
        <v>47573.0</v>
      </c>
      <c r="DB527" s="36">
        <v>0.0</v>
      </c>
      <c r="DC527" s="36">
        <v>0.0</v>
      </c>
      <c r="DD527" s="35" t="s">
        <v>7045</v>
      </c>
      <c r="DE527" s="30">
        <v>47574.0</v>
      </c>
      <c r="DF527" s="30">
        <v>47664.0</v>
      </c>
      <c r="DG527" s="36">
        <v>0.0</v>
      </c>
      <c r="DH527" s="36">
        <v>0.0</v>
      </c>
      <c r="DI527" s="35" t="s">
        <v>7045</v>
      </c>
      <c r="DJ527" s="30">
        <v>47665.0</v>
      </c>
      <c r="DK527" s="30">
        <v>47756.0</v>
      </c>
      <c r="DL527" s="36">
        <v>0.0</v>
      </c>
      <c r="DM527" s="36">
        <v>0.0</v>
      </c>
      <c r="DN527" s="35" t="s">
        <v>7045</v>
      </c>
      <c r="DO527" s="30">
        <v>47757.0</v>
      </c>
      <c r="DP527" s="30">
        <v>47848.0</v>
      </c>
      <c r="DQ527" s="36">
        <v>0.0</v>
      </c>
      <c r="DR527" s="36">
        <v>0.0</v>
      </c>
      <c r="DS527" s="35" t="s">
        <v>7045</v>
      </c>
    </row>
    <row r="528" ht="14.25" customHeight="1">
      <c r="A528" s="43" t="s">
        <v>6367</v>
      </c>
      <c r="B528" s="29" t="s">
        <v>6368</v>
      </c>
      <c r="C528" s="29" t="s">
        <v>7041</v>
      </c>
      <c r="D528" s="30">
        <v>45658.0</v>
      </c>
      <c r="E528" s="30">
        <v>45747.0</v>
      </c>
      <c r="F528" s="36">
        <v>0.0</v>
      </c>
      <c r="G528" s="36">
        <v>0.0</v>
      </c>
      <c r="H528" s="35" t="s">
        <v>7045</v>
      </c>
      <c r="I528" s="30">
        <v>45748.0</v>
      </c>
      <c r="J528" s="30">
        <v>45838.0</v>
      </c>
      <c r="K528" s="36">
        <v>0.0</v>
      </c>
      <c r="L528" s="36">
        <v>0.0</v>
      </c>
      <c r="M528" s="35" t="s">
        <v>7045</v>
      </c>
      <c r="N528" s="30">
        <v>45839.0</v>
      </c>
      <c r="O528" s="30">
        <v>45930.0</v>
      </c>
      <c r="P528" s="36">
        <v>332.0</v>
      </c>
      <c r="Q528" s="36">
        <v>413.34</v>
      </c>
      <c r="R528" s="35" t="s">
        <v>7047</v>
      </c>
      <c r="S528" s="30">
        <v>45931.0</v>
      </c>
      <c r="T528" s="30">
        <v>46022.0</v>
      </c>
      <c r="U528" s="36">
        <v>5.0</v>
      </c>
      <c r="V528" s="36">
        <v>0.0</v>
      </c>
      <c r="W528" s="35" t="s">
        <v>7047</v>
      </c>
      <c r="X528" s="30">
        <v>46023.0</v>
      </c>
      <c r="Y528" s="30">
        <v>46112.0</v>
      </c>
      <c r="Z528" s="36">
        <v>0.0</v>
      </c>
      <c r="AA528" s="36">
        <v>0.0</v>
      </c>
      <c r="AB528" s="35" t="s">
        <v>7045</v>
      </c>
      <c r="AC528" s="30">
        <v>46113.0</v>
      </c>
      <c r="AD528" s="30">
        <v>46203.0</v>
      </c>
      <c r="AE528" s="36">
        <v>0.0</v>
      </c>
      <c r="AF528" s="36">
        <v>0.0</v>
      </c>
      <c r="AG528" s="35" t="s">
        <v>7045</v>
      </c>
      <c r="AH528" s="30">
        <v>46204.0</v>
      </c>
      <c r="AI528" s="30">
        <v>46295.0</v>
      </c>
      <c r="AJ528" s="36">
        <v>0.0</v>
      </c>
      <c r="AK528" s="36">
        <v>0.0</v>
      </c>
      <c r="AL528" s="35" t="s">
        <v>7045</v>
      </c>
      <c r="AM528" s="30">
        <v>46296.0</v>
      </c>
      <c r="AN528" s="30">
        <v>46387.0</v>
      </c>
      <c r="AO528" s="36">
        <v>0.0</v>
      </c>
      <c r="AP528" s="36">
        <v>0.0</v>
      </c>
      <c r="AQ528" s="35" t="s">
        <v>7045</v>
      </c>
      <c r="AR528" s="30">
        <v>46388.0</v>
      </c>
      <c r="AS528" s="30">
        <v>46477.0</v>
      </c>
      <c r="AT528" s="36">
        <v>0.0</v>
      </c>
      <c r="AU528" s="36">
        <v>0.0</v>
      </c>
      <c r="AV528" s="35" t="s">
        <v>7045</v>
      </c>
      <c r="AW528" s="30">
        <v>46478.0</v>
      </c>
      <c r="AX528" s="30">
        <v>46568.0</v>
      </c>
      <c r="AY528" s="36">
        <v>0.0</v>
      </c>
      <c r="AZ528" s="36">
        <v>0.0</v>
      </c>
      <c r="BA528" s="35" t="s">
        <v>7045</v>
      </c>
      <c r="BB528" s="30">
        <v>46569.0</v>
      </c>
      <c r="BC528" s="30">
        <v>46660.0</v>
      </c>
      <c r="BD528" s="36">
        <v>0.0</v>
      </c>
      <c r="BE528" s="36">
        <v>0.0</v>
      </c>
      <c r="BF528" s="35" t="s">
        <v>7045</v>
      </c>
      <c r="BG528" s="30">
        <v>46661.0</v>
      </c>
      <c r="BH528" s="30">
        <v>46752.0</v>
      </c>
      <c r="BI528" s="36">
        <v>0.0</v>
      </c>
      <c r="BJ528" s="36">
        <v>0.0</v>
      </c>
      <c r="BK528" s="35" t="s">
        <v>7045</v>
      </c>
      <c r="BL528" s="30">
        <v>46753.0</v>
      </c>
      <c r="BM528" s="30">
        <v>46843.0</v>
      </c>
      <c r="BN528" s="36">
        <v>0.0</v>
      </c>
      <c r="BO528" s="36">
        <v>0.0</v>
      </c>
      <c r="BP528" s="35" t="s">
        <v>7045</v>
      </c>
      <c r="BQ528" s="30">
        <v>46844.0</v>
      </c>
      <c r="BR528" s="30">
        <v>46934.0</v>
      </c>
      <c r="BS528" s="36">
        <v>0.0</v>
      </c>
      <c r="BT528" s="36">
        <v>0.0</v>
      </c>
      <c r="BU528" s="35" t="s">
        <v>7045</v>
      </c>
      <c r="BV528" s="30">
        <v>46935.0</v>
      </c>
      <c r="BW528" s="30">
        <v>47026.0</v>
      </c>
      <c r="BX528" s="36">
        <v>0.0</v>
      </c>
      <c r="BY528" s="36">
        <v>0.0</v>
      </c>
      <c r="BZ528" s="35" t="s">
        <v>7045</v>
      </c>
      <c r="CA528" s="30">
        <v>47027.0</v>
      </c>
      <c r="CB528" s="30">
        <v>47118.0</v>
      </c>
      <c r="CC528" s="36">
        <v>0.0</v>
      </c>
      <c r="CD528" s="36">
        <v>0.0</v>
      </c>
      <c r="CE528" s="35" t="s">
        <v>7045</v>
      </c>
      <c r="CF528" s="30">
        <v>47119.0</v>
      </c>
      <c r="CG528" s="30">
        <v>47208.0</v>
      </c>
      <c r="CH528" s="36">
        <v>0.0</v>
      </c>
      <c r="CI528" s="36">
        <v>0.0</v>
      </c>
      <c r="CJ528" s="35" t="s">
        <v>7045</v>
      </c>
      <c r="CK528" s="30">
        <v>47209.0</v>
      </c>
      <c r="CL528" s="30">
        <v>47299.0</v>
      </c>
      <c r="CM528" s="36">
        <v>0.0</v>
      </c>
      <c r="CN528" s="36">
        <v>0.0</v>
      </c>
      <c r="CO528" s="35" t="s">
        <v>7045</v>
      </c>
      <c r="CP528" s="30">
        <v>47300.0</v>
      </c>
      <c r="CQ528" s="30">
        <v>47391.0</v>
      </c>
      <c r="CR528" s="36">
        <v>0.0</v>
      </c>
      <c r="CS528" s="36">
        <v>0.0</v>
      </c>
      <c r="CT528" s="35" t="s">
        <v>7045</v>
      </c>
      <c r="CU528" s="30">
        <v>47392.0</v>
      </c>
      <c r="CV528" s="30">
        <v>47483.0</v>
      </c>
      <c r="CW528" s="36">
        <v>0.0</v>
      </c>
      <c r="CX528" s="36">
        <v>0.0</v>
      </c>
      <c r="CY528" s="35" t="s">
        <v>7045</v>
      </c>
      <c r="CZ528" s="30">
        <v>47484.0</v>
      </c>
      <c r="DA528" s="30">
        <v>47573.0</v>
      </c>
      <c r="DB528" s="36">
        <v>0.0</v>
      </c>
      <c r="DC528" s="36">
        <v>0.0</v>
      </c>
      <c r="DD528" s="35" t="s">
        <v>7045</v>
      </c>
      <c r="DE528" s="30">
        <v>47574.0</v>
      </c>
      <c r="DF528" s="30">
        <v>47664.0</v>
      </c>
      <c r="DG528" s="36">
        <v>0.0</v>
      </c>
      <c r="DH528" s="36">
        <v>0.0</v>
      </c>
      <c r="DI528" s="35" t="s">
        <v>7045</v>
      </c>
      <c r="DJ528" s="30">
        <v>47665.0</v>
      </c>
      <c r="DK528" s="30">
        <v>47756.0</v>
      </c>
      <c r="DL528" s="36">
        <v>0.0</v>
      </c>
      <c r="DM528" s="36">
        <v>0.0</v>
      </c>
      <c r="DN528" s="35" t="s">
        <v>7045</v>
      </c>
      <c r="DO528" s="30">
        <v>47757.0</v>
      </c>
      <c r="DP528" s="30">
        <v>47848.0</v>
      </c>
      <c r="DQ528" s="36">
        <v>0.0</v>
      </c>
      <c r="DR528" s="36">
        <v>0.0</v>
      </c>
      <c r="DS528" s="35" t="s">
        <v>7045</v>
      </c>
    </row>
    <row r="529" ht="14.25" customHeight="1">
      <c r="A529" s="43" t="s">
        <v>4457</v>
      </c>
      <c r="B529" s="29" t="s">
        <v>4458</v>
      </c>
      <c r="C529" s="29" t="s">
        <v>7041</v>
      </c>
      <c r="D529" s="30">
        <v>45658.0</v>
      </c>
      <c r="E529" s="30">
        <v>45747.0</v>
      </c>
      <c r="F529" s="36">
        <v>0.0</v>
      </c>
      <c r="G529" s="36">
        <v>0.0</v>
      </c>
      <c r="H529" s="35" t="s">
        <v>7045</v>
      </c>
      <c r="I529" s="30">
        <v>45748.0</v>
      </c>
      <c r="J529" s="30">
        <v>45838.0</v>
      </c>
      <c r="K529" s="36">
        <v>0.0</v>
      </c>
      <c r="L529" s="36">
        <v>0.0</v>
      </c>
      <c r="M529" s="35" t="s">
        <v>7045</v>
      </c>
      <c r="N529" s="30">
        <v>45839.0</v>
      </c>
      <c r="O529" s="30">
        <v>45930.0</v>
      </c>
      <c r="P529" s="36">
        <v>0.0</v>
      </c>
      <c r="Q529" s="36">
        <v>0.0</v>
      </c>
      <c r="R529" s="35" t="s">
        <v>7045</v>
      </c>
      <c r="S529" s="30">
        <v>45931.0</v>
      </c>
      <c r="T529" s="30">
        <v>46022.0</v>
      </c>
      <c r="U529" s="36">
        <v>0.0</v>
      </c>
      <c r="V529" s="36">
        <v>0.0</v>
      </c>
      <c r="W529" s="35" t="s">
        <v>7045</v>
      </c>
      <c r="X529" s="30">
        <v>46023.0</v>
      </c>
      <c r="Y529" s="30">
        <v>46112.0</v>
      </c>
      <c r="Z529" s="36">
        <v>0.0</v>
      </c>
      <c r="AA529" s="36">
        <v>0.0</v>
      </c>
      <c r="AB529" s="35" t="s">
        <v>7045</v>
      </c>
      <c r="AC529" s="30">
        <v>46113.0</v>
      </c>
      <c r="AD529" s="30">
        <v>46203.0</v>
      </c>
      <c r="AE529" s="36">
        <v>0.0</v>
      </c>
      <c r="AF529" s="36">
        <v>0.0</v>
      </c>
      <c r="AG529" s="35" t="s">
        <v>7045</v>
      </c>
      <c r="AH529" s="30">
        <v>46204.0</v>
      </c>
      <c r="AI529" s="30">
        <v>46295.0</v>
      </c>
      <c r="AJ529" s="36">
        <v>0.0</v>
      </c>
      <c r="AK529" s="36">
        <v>0.0</v>
      </c>
      <c r="AL529" s="35" t="s">
        <v>7045</v>
      </c>
      <c r="AM529" s="30">
        <v>46296.0</v>
      </c>
      <c r="AN529" s="30">
        <v>46387.0</v>
      </c>
      <c r="AO529" s="36">
        <v>0.0</v>
      </c>
      <c r="AP529" s="36">
        <v>0.0</v>
      </c>
      <c r="AQ529" s="35" t="s">
        <v>7045</v>
      </c>
      <c r="AR529" s="30">
        <v>46388.0</v>
      </c>
      <c r="AS529" s="30">
        <v>46477.0</v>
      </c>
      <c r="AT529" s="36">
        <v>0.0</v>
      </c>
      <c r="AU529" s="36">
        <v>0.0</v>
      </c>
      <c r="AV529" s="35" t="s">
        <v>7045</v>
      </c>
      <c r="AW529" s="30">
        <v>46478.0</v>
      </c>
      <c r="AX529" s="30">
        <v>46568.0</v>
      </c>
      <c r="AY529" s="36">
        <v>0.0</v>
      </c>
      <c r="AZ529" s="36">
        <v>0.0</v>
      </c>
      <c r="BA529" s="35" t="s">
        <v>7045</v>
      </c>
      <c r="BB529" s="30">
        <v>46569.0</v>
      </c>
      <c r="BC529" s="30">
        <v>46660.0</v>
      </c>
      <c r="BD529" s="36">
        <v>0.0</v>
      </c>
      <c r="BE529" s="36">
        <v>0.0</v>
      </c>
      <c r="BF529" s="35" t="s">
        <v>7045</v>
      </c>
      <c r="BG529" s="30">
        <v>46661.0</v>
      </c>
      <c r="BH529" s="30">
        <v>46752.0</v>
      </c>
      <c r="BI529" s="36">
        <v>0.0</v>
      </c>
      <c r="BJ529" s="36">
        <v>0.0</v>
      </c>
      <c r="BK529" s="35" t="s">
        <v>7045</v>
      </c>
      <c r="BL529" s="30">
        <v>46753.0</v>
      </c>
      <c r="BM529" s="30">
        <v>46843.0</v>
      </c>
      <c r="BN529" s="36">
        <v>0.0</v>
      </c>
      <c r="BO529" s="36">
        <v>0.0</v>
      </c>
      <c r="BP529" s="35" t="s">
        <v>7045</v>
      </c>
      <c r="BQ529" s="30">
        <v>46844.0</v>
      </c>
      <c r="BR529" s="30">
        <v>46934.0</v>
      </c>
      <c r="BS529" s="36">
        <v>0.0</v>
      </c>
      <c r="BT529" s="36">
        <v>0.0</v>
      </c>
      <c r="BU529" s="35" t="s">
        <v>7045</v>
      </c>
      <c r="BV529" s="30">
        <v>46935.0</v>
      </c>
      <c r="BW529" s="30">
        <v>47026.0</v>
      </c>
      <c r="BX529" s="36">
        <v>0.0</v>
      </c>
      <c r="BY529" s="36">
        <v>0.0</v>
      </c>
      <c r="BZ529" s="35" t="s">
        <v>7045</v>
      </c>
      <c r="CA529" s="30">
        <v>47027.0</v>
      </c>
      <c r="CB529" s="30">
        <v>47118.0</v>
      </c>
      <c r="CC529" s="36">
        <v>0.0</v>
      </c>
      <c r="CD529" s="36">
        <v>0.0</v>
      </c>
      <c r="CE529" s="35" t="s">
        <v>7045</v>
      </c>
      <c r="CF529" s="30">
        <v>47119.0</v>
      </c>
      <c r="CG529" s="30">
        <v>47208.0</v>
      </c>
      <c r="CH529" s="36">
        <v>0.0</v>
      </c>
      <c r="CI529" s="36">
        <v>0.0</v>
      </c>
      <c r="CJ529" s="35" t="s">
        <v>7045</v>
      </c>
      <c r="CK529" s="30">
        <v>47209.0</v>
      </c>
      <c r="CL529" s="30">
        <v>47299.0</v>
      </c>
      <c r="CM529" s="36">
        <v>0.0</v>
      </c>
      <c r="CN529" s="36">
        <v>0.0</v>
      </c>
      <c r="CO529" s="35" t="s">
        <v>7045</v>
      </c>
      <c r="CP529" s="30">
        <v>47300.0</v>
      </c>
      <c r="CQ529" s="30">
        <v>47391.0</v>
      </c>
      <c r="CR529" s="36">
        <v>0.0</v>
      </c>
      <c r="CS529" s="36">
        <v>0.0</v>
      </c>
      <c r="CT529" s="35" t="s">
        <v>7045</v>
      </c>
      <c r="CU529" s="30">
        <v>47392.0</v>
      </c>
      <c r="CV529" s="30">
        <v>47483.0</v>
      </c>
      <c r="CW529" s="36">
        <v>0.0</v>
      </c>
      <c r="CX529" s="36">
        <v>0.0</v>
      </c>
      <c r="CY529" s="35" t="s">
        <v>7045</v>
      </c>
      <c r="CZ529" s="30">
        <v>47484.0</v>
      </c>
      <c r="DA529" s="30">
        <v>47573.0</v>
      </c>
      <c r="DB529" s="36">
        <v>0.0</v>
      </c>
      <c r="DC529" s="36">
        <v>0.0</v>
      </c>
      <c r="DD529" s="35" t="s">
        <v>7045</v>
      </c>
      <c r="DE529" s="30">
        <v>47574.0</v>
      </c>
      <c r="DF529" s="30">
        <v>47664.0</v>
      </c>
      <c r="DG529" s="36">
        <v>0.0</v>
      </c>
      <c r="DH529" s="36">
        <v>0.0</v>
      </c>
      <c r="DI529" s="35" t="s">
        <v>7045</v>
      </c>
      <c r="DJ529" s="30">
        <v>47665.0</v>
      </c>
      <c r="DK529" s="30">
        <v>47756.0</v>
      </c>
      <c r="DL529" s="36">
        <v>0.0</v>
      </c>
      <c r="DM529" s="36">
        <v>0.0</v>
      </c>
      <c r="DN529" s="35" t="s">
        <v>7045</v>
      </c>
      <c r="DO529" s="30">
        <v>47757.0</v>
      </c>
      <c r="DP529" s="30">
        <v>47848.0</v>
      </c>
      <c r="DQ529" s="36">
        <v>0.0</v>
      </c>
      <c r="DR529" s="36">
        <v>0.0</v>
      </c>
      <c r="DS529" s="35" t="s">
        <v>7045</v>
      </c>
    </row>
    <row r="530" ht="14.25" customHeight="1">
      <c r="A530" s="43" t="s">
        <v>1433</v>
      </c>
      <c r="B530" s="29" t="s">
        <v>1434</v>
      </c>
      <c r="C530" s="29" t="s">
        <v>7041</v>
      </c>
      <c r="D530" s="30">
        <v>45658.0</v>
      </c>
      <c r="E530" s="30">
        <v>45747.0</v>
      </c>
      <c r="F530" s="36">
        <v>0.0</v>
      </c>
      <c r="G530" s="36">
        <v>0.0</v>
      </c>
      <c r="H530" s="35" t="s">
        <v>7045</v>
      </c>
      <c r="I530" s="30">
        <v>45748.0</v>
      </c>
      <c r="J530" s="30">
        <v>45838.0</v>
      </c>
      <c r="K530" s="36">
        <v>0.0</v>
      </c>
      <c r="L530" s="36">
        <v>0.0</v>
      </c>
      <c r="M530" s="35" t="s">
        <v>7045</v>
      </c>
      <c r="N530" s="30">
        <v>45839.0</v>
      </c>
      <c r="O530" s="30">
        <v>45930.0</v>
      </c>
      <c r="P530" s="36">
        <v>21.3</v>
      </c>
      <c r="Q530" s="36">
        <v>0.0</v>
      </c>
      <c r="R530" s="35" t="s">
        <v>7047</v>
      </c>
      <c r="S530" s="30">
        <v>45931.0</v>
      </c>
      <c r="T530" s="30">
        <v>46022.0</v>
      </c>
      <c r="U530" s="36">
        <v>0.0</v>
      </c>
      <c r="V530" s="36">
        <v>0.0</v>
      </c>
      <c r="W530" s="35" t="s">
        <v>7045</v>
      </c>
      <c r="X530" s="30">
        <v>46023.0</v>
      </c>
      <c r="Y530" s="30">
        <v>46112.0</v>
      </c>
      <c r="Z530" s="36">
        <v>0.0</v>
      </c>
      <c r="AA530" s="36">
        <v>0.0</v>
      </c>
      <c r="AB530" s="35" t="s">
        <v>7045</v>
      </c>
      <c r="AC530" s="30">
        <v>46113.0</v>
      </c>
      <c r="AD530" s="30">
        <v>46203.0</v>
      </c>
      <c r="AE530" s="36">
        <v>0.0</v>
      </c>
      <c r="AF530" s="36">
        <v>0.0</v>
      </c>
      <c r="AG530" s="35" t="s">
        <v>7045</v>
      </c>
      <c r="AH530" s="30">
        <v>46204.0</v>
      </c>
      <c r="AI530" s="30">
        <v>46295.0</v>
      </c>
      <c r="AJ530" s="36">
        <v>0.0</v>
      </c>
      <c r="AK530" s="36">
        <v>0.0</v>
      </c>
      <c r="AL530" s="35" t="s">
        <v>7045</v>
      </c>
      <c r="AM530" s="30">
        <v>46296.0</v>
      </c>
      <c r="AN530" s="30">
        <v>46387.0</v>
      </c>
      <c r="AO530" s="36">
        <v>0.0</v>
      </c>
      <c r="AP530" s="36">
        <v>0.0</v>
      </c>
      <c r="AQ530" s="35" t="s">
        <v>7045</v>
      </c>
      <c r="AR530" s="30">
        <v>46388.0</v>
      </c>
      <c r="AS530" s="30">
        <v>46477.0</v>
      </c>
      <c r="AT530" s="36">
        <v>0.0</v>
      </c>
      <c r="AU530" s="36">
        <v>0.0</v>
      </c>
      <c r="AV530" s="35" t="s">
        <v>7045</v>
      </c>
      <c r="AW530" s="30">
        <v>46478.0</v>
      </c>
      <c r="AX530" s="30">
        <v>46568.0</v>
      </c>
      <c r="AY530" s="36">
        <v>0.0</v>
      </c>
      <c r="AZ530" s="36">
        <v>0.0</v>
      </c>
      <c r="BA530" s="35" t="s">
        <v>7045</v>
      </c>
      <c r="BB530" s="30">
        <v>46569.0</v>
      </c>
      <c r="BC530" s="30">
        <v>46660.0</v>
      </c>
      <c r="BD530" s="36">
        <v>0.0</v>
      </c>
      <c r="BE530" s="36">
        <v>0.0</v>
      </c>
      <c r="BF530" s="35" t="s">
        <v>7045</v>
      </c>
      <c r="BG530" s="30">
        <v>46661.0</v>
      </c>
      <c r="BH530" s="30">
        <v>46752.0</v>
      </c>
      <c r="BI530" s="36">
        <v>0.0</v>
      </c>
      <c r="BJ530" s="36">
        <v>0.0</v>
      </c>
      <c r="BK530" s="35" t="s">
        <v>7045</v>
      </c>
      <c r="BL530" s="30">
        <v>46753.0</v>
      </c>
      <c r="BM530" s="30">
        <v>46843.0</v>
      </c>
      <c r="BN530" s="36">
        <v>0.0</v>
      </c>
      <c r="BO530" s="36">
        <v>0.0</v>
      </c>
      <c r="BP530" s="35" t="s">
        <v>7045</v>
      </c>
      <c r="BQ530" s="30">
        <v>46844.0</v>
      </c>
      <c r="BR530" s="30">
        <v>46934.0</v>
      </c>
      <c r="BS530" s="36">
        <v>0.0</v>
      </c>
      <c r="BT530" s="36">
        <v>0.0</v>
      </c>
      <c r="BU530" s="35" t="s">
        <v>7045</v>
      </c>
      <c r="BV530" s="30">
        <v>46935.0</v>
      </c>
      <c r="BW530" s="30">
        <v>47026.0</v>
      </c>
      <c r="BX530" s="36">
        <v>0.0</v>
      </c>
      <c r="BY530" s="36">
        <v>0.0</v>
      </c>
      <c r="BZ530" s="35" t="s">
        <v>7045</v>
      </c>
      <c r="CA530" s="30">
        <v>47027.0</v>
      </c>
      <c r="CB530" s="30">
        <v>47118.0</v>
      </c>
      <c r="CC530" s="36">
        <v>0.0</v>
      </c>
      <c r="CD530" s="36">
        <v>0.0</v>
      </c>
      <c r="CE530" s="35" t="s">
        <v>7045</v>
      </c>
      <c r="CF530" s="30">
        <v>47119.0</v>
      </c>
      <c r="CG530" s="30">
        <v>47208.0</v>
      </c>
      <c r="CH530" s="36">
        <v>0.0</v>
      </c>
      <c r="CI530" s="36">
        <v>0.0</v>
      </c>
      <c r="CJ530" s="35" t="s">
        <v>7045</v>
      </c>
      <c r="CK530" s="30">
        <v>47209.0</v>
      </c>
      <c r="CL530" s="30">
        <v>47299.0</v>
      </c>
      <c r="CM530" s="36">
        <v>0.0</v>
      </c>
      <c r="CN530" s="36">
        <v>0.0</v>
      </c>
      <c r="CO530" s="35" t="s">
        <v>7045</v>
      </c>
      <c r="CP530" s="30">
        <v>47300.0</v>
      </c>
      <c r="CQ530" s="30">
        <v>47391.0</v>
      </c>
      <c r="CR530" s="36">
        <v>0.0</v>
      </c>
      <c r="CS530" s="36">
        <v>0.0</v>
      </c>
      <c r="CT530" s="35" t="s">
        <v>7045</v>
      </c>
      <c r="CU530" s="30">
        <v>47392.0</v>
      </c>
      <c r="CV530" s="30">
        <v>47483.0</v>
      </c>
      <c r="CW530" s="36">
        <v>0.0</v>
      </c>
      <c r="CX530" s="36">
        <v>0.0</v>
      </c>
      <c r="CY530" s="35" t="s">
        <v>7045</v>
      </c>
      <c r="CZ530" s="30">
        <v>47484.0</v>
      </c>
      <c r="DA530" s="30">
        <v>47573.0</v>
      </c>
      <c r="DB530" s="36">
        <v>0.0</v>
      </c>
      <c r="DC530" s="36">
        <v>0.0</v>
      </c>
      <c r="DD530" s="35" t="s">
        <v>7045</v>
      </c>
      <c r="DE530" s="30">
        <v>47574.0</v>
      </c>
      <c r="DF530" s="30">
        <v>47664.0</v>
      </c>
      <c r="DG530" s="36">
        <v>0.0</v>
      </c>
      <c r="DH530" s="36">
        <v>0.0</v>
      </c>
      <c r="DI530" s="35" t="s">
        <v>7045</v>
      </c>
      <c r="DJ530" s="30">
        <v>47665.0</v>
      </c>
      <c r="DK530" s="30">
        <v>47756.0</v>
      </c>
      <c r="DL530" s="36">
        <v>0.0</v>
      </c>
      <c r="DM530" s="36">
        <v>0.0</v>
      </c>
      <c r="DN530" s="35" t="s">
        <v>7045</v>
      </c>
      <c r="DO530" s="30">
        <v>47757.0</v>
      </c>
      <c r="DP530" s="30">
        <v>47848.0</v>
      </c>
      <c r="DQ530" s="36">
        <v>0.0</v>
      </c>
      <c r="DR530" s="36">
        <v>0.0</v>
      </c>
      <c r="DS530" s="35" t="s">
        <v>7045</v>
      </c>
    </row>
    <row r="531" ht="14.25" customHeight="1">
      <c r="A531" s="43" t="s">
        <v>3897</v>
      </c>
      <c r="B531" s="29" t="s">
        <v>3898</v>
      </c>
      <c r="C531" s="29" t="s">
        <v>7044</v>
      </c>
      <c r="D531" s="30">
        <v>45658.0</v>
      </c>
      <c r="E531" s="30">
        <v>45747.0</v>
      </c>
      <c r="F531" s="36">
        <v>0.0</v>
      </c>
      <c r="G531" s="36">
        <v>0.0</v>
      </c>
      <c r="H531" s="35" t="s">
        <v>7045</v>
      </c>
      <c r="I531" s="30">
        <v>45748.0</v>
      </c>
      <c r="J531" s="30">
        <v>45838.0</v>
      </c>
      <c r="K531" s="36">
        <v>0.0</v>
      </c>
      <c r="L531" s="36">
        <v>0.0</v>
      </c>
      <c r="M531" s="35" t="s">
        <v>7045</v>
      </c>
      <c r="N531" s="30">
        <v>45839.0</v>
      </c>
      <c r="O531" s="30">
        <v>45930.0</v>
      </c>
      <c r="P531" s="36">
        <v>5.0</v>
      </c>
      <c r="Q531" s="36">
        <v>0.0</v>
      </c>
      <c r="R531" s="35" t="s">
        <v>7047</v>
      </c>
      <c r="S531" s="30">
        <v>45931.0</v>
      </c>
      <c r="T531" s="30">
        <v>46022.0</v>
      </c>
      <c r="U531" s="36">
        <v>0.0</v>
      </c>
      <c r="V531" s="36">
        <v>0.0</v>
      </c>
      <c r="W531" s="35" t="s">
        <v>7045</v>
      </c>
      <c r="X531" s="30">
        <v>46023.0</v>
      </c>
      <c r="Y531" s="30">
        <v>46112.0</v>
      </c>
      <c r="Z531" s="36">
        <v>0.0</v>
      </c>
      <c r="AA531" s="36">
        <v>0.0</v>
      </c>
      <c r="AB531" s="35" t="s">
        <v>7045</v>
      </c>
      <c r="AC531" s="30">
        <v>46113.0</v>
      </c>
      <c r="AD531" s="30">
        <v>46203.0</v>
      </c>
      <c r="AE531" s="36">
        <v>0.0</v>
      </c>
      <c r="AF531" s="36">
        <v>0.0</v>
      </c>
      <c r="AG531" s="35" t="s">
        <v>7045</v>
      </c>
      <c r="AH531" s="30">
        <v>46204.0</v>
      </c>
      <c r="AI531" s="30">
        <v>46295.0</v>
      </c>
      <c r="AJ531" s="36">
        <v>0.0</v>
      </c>
      <c r="AK531" s="36">
        <v>0.0</v>
      </c>
      <c r="AL531" s="35" t="s">
        <v>7045</v>
      </c>
      <c r="AM531" s="30">
        <v>46296.0</v>
      </c>
      <c r="AN531" s="30">
        <v>46387.0</v>
      </c>
      <c r="AO531" s="36">
        <v>0.0</v>
      </c>
      <c r="AP531" s="36">
        <v>0.0</v>
      </c>
      <c r="AQ531" s="35" t="s">
        <v>7045</v>
      </c>
      <c r="AR531" s="30">
        <v>46388.0</v>
      </c>
      <c r="AS531" s="30">
        <v>46477.0</v>
      </c>
      <c r="AT531" s="36">
        <v>0.0</v>
      </c>
      <c r="AU531" s="36">
        <v>0.0</v>
      </c>
      <c r="AV531" s="35" t="s">
        <v>7045</v>
      </c>
      <c r="AW531" s="30">
        <v>46478.0</v>
      </c>
      <c r="AX531" s="30">
        <v>46568.0</v>
      </c>
      <c r="AY531" s="36">
        <v>0.0</v>
      </c>
      <c r="AZ531" s="36">
        <v>0.0</v>
      </c>
      <c r="BA531" s="35" t="s">
        <v>7045</v>
      </c>
      <c r="BB531" s="30">
        <v>46569.0</v>
      </c>
      <c r="BC531" s="30">
        <v>46660.0</v>
      </c>
      <c r="BD531" s="36">
        <v>0.0</v>
      </c>
      <c r="BE531" s="36">
        <v>0.0</v>
      </c>
      <c r="BF531" s="35" t="s">
        <v>7045</v>
      </c>
      <c r="BG531" s="30">
        <v>46661.0</v>
      </c>
      <c r="BH531" s="30">
        <v>46752.0</v>
      </c>
      <c r="BI531" s="36">
        <v>0.0</v>
      </c>
      <c r="BJ531" s="36">
        <v>0.0</v>
      </c>
      <c r="BK531" s="35" t="s">
        <v>7045</v>
      </c>
      <c r="BL531" s="30">
        <v>46753.0</v>
      </c>
      <c r="BM531" s="30">
        <v>46843.0</v>
      </c>
      <c r="BN531" s="36">
        <v>0.0</v>
      </c>
      <c r="BO531" s="36">
        <v>0.0</v>
      </c>
      <c r="BP531" s="35" t="s">
        <v>7045</v>
      </c>
      <c r="BQ531" s="30">
        <v>46844.0</v>
      </c>
      <c r="BR531" s="30">
        <v>46934.0</v>
      </c>
      <c r="BS531" s="36">
        <v>0.0</v>
      </c>
      <c r="BT531" s="36">
        <v>0.0</v>
      </c>
      <c r="BU531" s="35" t="s">
        <v>7045</v>
      </c>
      <c r="BV531" s="30">
        <v>46935.0</v>
      </c>
      <c r="BW531" s="30">
        <v>47026.0</v>
      </c>
      <c r="BX531" s="36">
        <v>0.0</v>
      </c>
      <c r="BY531" s="36">
        <v>0.0</v>
      </c>
      <c r="BZ531" s="35" t="s">
        <v>7045</v>
      </c>
      <c r="CA531" s="30">
        <v>47027.0</v>
      </c>
      <c r="CB531" s="30">
        <v>47118.0</v>
      </c>
      <c r="CC531" s="36">
        <v>0.0</v>
      </c>
      <c r="CD531" s="36">
        <v>0.0</v>
      </c>
      <c r="CE531" s="35" t="s">
        <v>7045</v>
      </c>
      <c r="CF531" s="30">
        <v>47119.0</v>
      </c>
      <c r="CG531" s="30">
        <v>47208.0</v>
      </c>
      <c r="CH531" s="36">
        <v>0.0</v>
      </c>
      <c r="CI531" s="36">
        <v>0.0</v>
      </c>
      <c r="CJ531" s="35" t="s">
        <v>7045</v>
      </c>
      <c r="CK531" s="30">
        <v>47209.0</v>
      </c>
      <c r="CL531" s="30">
        <v>47299.0</v>
      </c>
      <c r="CM531" s="36">
        <v>0.0</v>
      </c>
      <c r="CN531" s="36">
        <v>0.0</v>
      </c>
      <c r="CO531" s="35" t="s">
        <v>7045</v>
      </c>
      <c r="CP531" s="30">
        <v>47300.0</v>
      </c>
      <c r="CQ531" s="30">
        <v>47391.0</v>
      </c>
      <c r="CR531" s="36">
        <v>0.0</v>
      </c>
      <c r="CS531" s="36">
        <v>0.0</v>
      </c>
      <c r="CT531" s="35" t="s">
        <v>7045</v>
      </c>
      <c r="CU531" s="30">
        <v>47392.0</v>
      </c>
      <c r="CV531" s="30">
        <v>47483.0</v>
      </c>
      <c r="CW531" s="36">
        <v>0.0</v>
      </c>
      <c r="CX531" s="36">
        <v>0.0</v>
      </c>
      <c r="CY531" s="35" t="s">
        <v>7045</v>
      </c>
      <c r="CZ531" s="30">
        <v>47484.0</v>
      </c>
      <c r="DA531" s="30">
        <v>47573.0</v>
      </c>
      <c r="DB531" s="36">
        <v>0.0</v>
      </c>
      <c r="DC531" s="36">
        <v>0.0</v>
      </c>
      <c r="DD531" s="35" t="s">
        <v>7045</v>
      </c>
      <c r="DE531" s="30">
        <v>47574.0</v>
      </c>
      <c r="DF531" s="30">
        <v>47664.0</v>
      </c>
      <c r="DG531" s="36">
        <v>0.0</v>
      </c>
      <c r="DH531" s="36">
        <v>0.0</v>
      </c>
      <c r="DI531" s="35" t="s">
        <v>7045</v>
      </c>
      <c r="DJ531" s="30">
        <v>47665.0</v>
      </c>
      <c r="DK531" s="30">
        <v>47756.0</v>
      </c>
      <c r="DL531" s="36">
        <v>0.0</v>
      </c>
      <c r="DM531" s="36">
        <v>0.0</v>
      </c>
      <c r="DN531" s="35" t="s">
        <v>7045</v>
      </c>
      <c r="DO531" s="30">
        <v>47757.0</v>
      </c>
      <c r="DP531" s="30">
        <v>47848.0</v>
      </c>
      <c r="DQ531" s="36">
        <v>0.0</v>
      </c>
      <c r="DR531" s="36">
        <v>0.0</v>
      </c>
      <c r="DS531" s="35" t="s">
        <v>7045</v>
      </c>
    </row>
  </sheetData>
  <hyperlinks>
    <hyperlink r:id="rId1" ref="B80"/>
    <hyperlink r:id="rId2" ref="B172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50.57"/>
    <col customWidth="1" min="5" max="5" width="20.14"/>
    <col customWidth="1" min="6" max="7" width="18.14"/>
    <col customWidth="1" min="8" max="8" width="25.43"/>
    <col customWidth="1" min="9" max="9" width="22.43"/>
    <col customWidth="1" min="10" max="10" width="20.14"/>
    <col customWidth="1" min="11" max="12" width="18.14"/>
    <col customWidth="1" min="13" max="13" width="25.43"/>
    <col customWidth="1" min="14" max="14" width="22.43"/>
    <col customWidth="1" min="15" max="15" width="20.14"/>
    <col customWidth="1" min="16" max="17" width="18.14"/>
    <col customWidth="1" min="18" max="18" width="25.43"/>
    <col customWidth="1" min="19" max="19" width="22.43"/>
    <col customWidth="1" min="20" max="20" width="20.14"/>
    <col customWidth="1" min="21" max="22" width="18.14"/>
    <col customWidth="1" min="23" max="23" width="25.43"/>
    <col customWidth="1" min="24" max="24" width="22.43"/>
    <col customWidth="1" min="25" max="25" width="20.14"/>
    <col customWidth="1" min="26" max="27" width="18.14"/>
    <col customWidth="1" min="28" max="28" width="25.43"/>
    <col customWidth="1" min="29" max="29" width="22.43"/>
    <col customWidth="1" min="30" max="30" width="20.14"/>
    <col customWidth="1" min="31" max="32" width="18.14"/>
    <col customWidth="1" min="33" max="33" width="25.43"/>
    <col customWidth="1" min="34" max="34" width="22.43"/>
    <col customWidth="1" min="35" max="35" width="20.14"/>
    <col customWidth="1" min="36" max="37" width="18.14"/>
    <col customWidth="1" min="38" max="38" width="25.43"/>
  </cols>
  <sheetData>
    <row r="1" ht="14.25" customHeight="1">
      <c r="A1" s="27" t="s">
        <v>7033</v>
      </c>
      <c r="B1" s="27" t="s">
        <v>7034</v>
      </c>
      <c r="C1" s="27" t="s">
        <v>7035</v>
      </c>
      <c r="D1" s="27" t="s">
        <v>7036</v>
      </c>
      <c r="E1" s="27" t="s">
        <v>7037</v>
      </c>
      <c r="F1" s="27" t="s">
        <v>7038</v>
      </c>
      <c r="G1" s="27" t="s">
        <v>7039</v>
      </c>
      <c r="H1" s="27" t="s">
        <v>7040</v>
      </c>
      <c r="I1" s="27" t="s">
        <v>7036</v>
      </c>
      <c r="J1" s="27" t="s">
        <v>7037</v>
      </c>
      <c r="K1" s="27" t="s">
        <v>7038</v>
      </c>
      <c r="L1" s="27" t="s">
        <v>7039</v>
      </c>
      <c r="M1" s="27" t="s">
        <v>7040</v>
      </c>
      <c r="N1" s="27" t="s">
        <v>7036</v>
      </c>
      <c r="O1" s="27" t="s">
        <v>7037</v>
      </c>
      <c r="P1" s="27" t="s">
        <v>7038</v>
      </c>
      <c r="Q1" s="27" t="s">
        <v>7039</v>
      </c>
      <c r="R1" s="27" t="s">
        <v>7040</v>
      </c>
      <c r="S1" s="27" t="s">
        <v>7036</v>
      </c>
      <c r="T1" s="27" t="s">
        <v>7037</v>
      </c>
      <c r="U1" s="27" t="s">
        <v>7038</v>
      </c>
      <c r="V1" s="27" t="s">
        <v>7039</v>
      </c>
      <c r="W1" s="27" t="s">
        <v>7040</v>
      </c>
      <c r="X1" s="27" t="s">
        <v>7036</v>
      </c>
      <c r="Y1" s="27" t="s">
        <v>7037</v>
      </c>
      <c r="Z1" s="27" t="s">
        <v>7038</v>
      </c>
      <c r="AA1" s="27" t="s">
        <v>7039</v>
      </c>
      <c r="AB1" s="27" t="s">
        <v>7040</v>
      </c>
      <c r="AC1" s="27" t="s">
        <v>7036</v>
      </c>
      <c r="AD1" s="27" t="s">
        <v>7037</v>
      </c>
      <c r="AE1" s="27" t="s">
        <v>7038</v>
      </c>
      <c r="AF1" s="27" t="s">
        <v>7039</v>
      </c>
      <c r="AG1" s="27" t="s">
        <v>7040</v>
      </c>
      <c r="AH1" s="27" t="s">
        <v>7036</v>
      </c>
      <c r="AI1" s="27" t="s">
        <v>7037</v>
      </c>
      <c r="AJ1" s="27" t="s">
        <v>7038</v>
      </c>
      <c r="AK1" s="27" t="s">
        <v>7039</v>
      </c>
      <c r="AL1" s="27" t="s">
        <v>7040</v>
      </c>
    </row>
    <row r="2" ht="14.25" customHeight="1">
      <c r="A2" s="28" t="s">
        <v>1031</v>
      </c>
      <c r="B2" s="29" t="s">
        <v>1032</v>
      </c>
      <c r="C2" s="29" t="s">
        <v>7041</v>
      </c>
      <c r="D2" s="30">
        <v>45292.0</v>
      </c>
      <c r="E2" s="30">
        <v>45657.0</v>
      </c>
      <c r="F2" s="29" t="s">
        <v>7050</v>
      </c>
      <c r="G2" s="29" t="s">
        <v>7051</v>
      </c>
      <c r="H2" s="32" t="s">
        <v>7043</v>
      </c>
      <c r="I2" s="30">
        <v>45658.0</v>
      </c>
      <c r="J2" s="30">
        <v>46022.0</v>
      </c>
      <c r="K2" s="29" t="s">
        <v>7052</v>
      </c>
      <c r="L2" s="29" t="s">
        <v>7053</v>
      </c>
      <c r="M2" s="38" t="s">
        <v>7047</v>
      </c>
      <c r="N2" s="30">
        <v>46023.0</v>
      </c>
      <c r="O2" s="30">
        <v>46387.0</v>
      </c>
      <c r="P2" s="29" t="s">
        <v>7053</v>
      </c>
      <c r="Q2" s="29" t="s">
        <v>7053</v>
      </c>
      <c r="R2" s="32" t="s">
        <v>7043</v>
      </c>
      <c r="S2" s="30">
        <v>46388.0</v>
      </c>
      <c r="T2" s="30">
        <v>46752.0</v>
      </c>
      <c r="U2" s="29" t="s">
        <v>7053</v>
      </c>
      <c r="V2" s="29" t="s">
        <v>7053</v>
      </c>
      <c r="W2" s="32" t="s">
        <v>7043</v>
      </c>
      <c r="X2" s="30">
        <v>46753.0</v>
      </c>
      <c r="Y2" s="30">
        <v>47118.0</v>
      </c>
      <c r="Z2" s="29" t="s">
        <v>7053</v>
      </c>
      <c r="AA2" s="29" t="s">
        <v>7053</v>
      </c>
      <c r="AB2" s="32" t="s">
        <v>7043</v>
      </c>
      <c r="AC2" s="30">
        <v>47119.0</v>
      </c>
      <c r="AD2" s="30">
        <v>47483.0</v>
      </c>
      <c r="AE2" s="29" t="s">
        <v>7053</v>
      </c>
      <c r="AF2" s="29" t="s">
        <v>7053</v>
      </c>
      <c r="AG2" s="32" t="s">
        <v>7043</v>
      </c>
      <c r="AH2" s="30">
        <v>47484.0</v>
      </c>
      <c r="AI2" s="30">
        <v>47848.0</v>
      </c>
      <c r="AJ2" s="29" t="s">
        <v>7053</v>
      </c>
      <c r="AK2" s="29" t="s">
        <v>7053</v>
      </c>
      <c r="AL2" s="32" t="s">
        <v>7043</v>
      </c>
    </row>
    <row r="3" ht="14.25" customHeight="1">
      <c r="A3" s="28" t="s">
        <v>1057</v>
      </c>
      <c r="B3" s="29" t="s">
        <v>1058</v>
      </c>
      <c r="C3" s="29" t="s">
        <v>7041</v>
      </c>
      <c r="D3" s="30">
        <v>45292.0</v>
      </c>
      <c r="E3" s="30">
        <v>45657.0</v>
      </c>
      <c r="F3" s="29" t="s">
        <v>7054</v>
      </c>
      <c r="G3" s="29" t="s">
        <v>7055</v>
      </c>
      <c r="H3" s="32" t="s">
        <v>7043</v>
      </c>
      <c r="I3" s="30">
        <v>45658.0</v>
      </c>
      <c r="J3" s="30">
        <v>46022.0</v>
      </c>
      <c r="K3" s="29" t="s">
        <v>7056</v>
      </c>
      <c r="L3" s="29" t="s">
        <v>7053</v>
      </c>
      <c r="M3" s="38" t="s">
        <v>7047</v>
      </c>
      <c r="N3" s="30">
        <v>46023.0</v>
      </c>
      <c r="O3" s="30">
        <v>46387.0</v>
      </c>
      <c r="P3" s="29" t="s">
        <v>7053</v>
      </c>
      <c r="Q3" s="29" t="s">
        <v>7053</v>
      </c>
      <c r="R3" s="32" t="s">
        <v>7043</v>
      </c>
      <c r="S3" s="30">
        <v>46388.0</v>
      </c>
      <c r="T3" s="30">
        <v>46752.0</v>
      </c>
      <c r="U3" s="29" t="s">
        <v>7053</v>
      </c>
      <c r="V3" s="29" t="s">
        <v>7053</v>
      </c>
      <c r="W3" s="32" t="s">
        <v>7043</v>
      </c>
      <c r="X3" s="30">
        <v>46753.0</v>
      </c>
      <c r="Y3" s="30">
        <v>47118.0</v>
      </c>
      <c r="Z3" s="29" t="s">
        <v>7053</v>
      </c>
      <c r="AA3" s="29" t="s">
        <v>7053</v>
      </c>
      <c r="AB3" s="32" t="s">
        <v>7043</v>
      </c>
      <c r="AC3" s="30">
        <v>47119.0</v>
      </c>
      <c r="AD3" s="30">
        <v>47483.0</v>
      </c>
      <c r="AE3" s="29" t="s">
        <v>7053</v>
      </c>
      <c r="AF3" s="29" t="s">
        <v>7053</v>
      </c>
      <c r="AG3" s="32" t="s">
        <v>7043</v>
      </c>
      <c r="AH3" s="30">
        <v>47484.0</v>
      </c>
      <c r="AI3" s="30">
        <v>47848.0</v>
      </c>
      <c r="AJ3" s="29" t="s">
        <v>7053</v>
      </c>
      <c r="AK3" s="29" t="s">
        <v>7053</v>
      </c>
      <c r="AL3" s="32" t="s">
        <v>7043</v>
      </c>
    </row>
    <row r="4" ht="14.25" customHeight="1">
      <c r="A4" s="28" t="s">
        <v>1094</v>
      </c>
      <c r="B4" s="29" t="s">
        <v>1095</v>
      </c>
      <c r="C4" s="29" t="s">
        <v>7041</v>
      </c>
      <c r="D4" s="30">
        <v>45292.0</v>
      </c>
      <c r="E4" s="30">
        <v>45657.0</v>
      </c>
      <c r="F4" s="29" t="s">
        <v>7057</v>
      </c>
      <c r="G4" s="29" t="s">
        <v>7051</v>
      </c>
      <c r="H4" s="37" t="s">
        <v>7046</v>
      </c>
      <c r="I4" s="30">
        <v>45658.0</v>
      </c>
      <c r="J4" s="30">
        <v>46022.0</v>
      </c>
      <c r="K4" s="29" t="s">
        <v>7058</v>
      </c>
      <c r="L4" s="29" t="s">
        <v>7053</v>
      </c>
      <c r="M4" s="38" t="s">
        <v>7047</v>
      </c>
      <c r="N4" s="30">
        <v>46023.0</v>
      </c>
      <c r="O4" s="30">
        <v>46387.0</v>
      </c>
      <c r="P4" s="29" t="s">
        <v>7053</v>
      </c>
      <c r="Q4" s="29" t="s">
        <v>7053</v>
      </c>
      <c r="R4" s="32" t="s">
        <v>7043</v>
      </c>
      <c r="S4" s="30">
        <v>46388.0</v>
      </c>
      <c r="T4" s="30">
        <v>46752.0</v>
      </c>
      <c r="U4" s="29" t="s">
        <v>7053</v>
      </c>
      <c r="V4" s="29" t="s">
        <v>7053</v>
      </c>
      <c r="W4" s="32" t="s">
        <v>7043</v>
      </c>
      <c r="X4" s="30">
        <v>46753.0</v>
      </c>
      <c r="Y4" s="30">
        <v>47118.0</v>
      </c>
      <c r="Z4" s="29" t="s">
        <v>7053</v>
      </c>
      <c r="AA4" s="29" t="s">
        <v>7053</v>
      </c>
      <c r="AB4" s="32" t="s">
        <v>7043</v>
      </c>
      <c r="AC4" s="30">
        <v>47119.0</v>
      </c>
      <c r="AD4" s="30">
        <v>47483.0</v>
      </c>
      <c r="AE4" s="29" t="s">
        <v>7053</v>
      </c>
      <c r="AF4" s="29" t="s">
        <v>7053</v>
      </c>
      <c r="AG4" s="32" t="s">
        <v>7043</v>
      </c>
      <c r="AH4" s="30">
        <v>47484.0</v>
      </c>
      <c r="AI4" s="30">
        <v>47848.0</v>
      </c>
      <c r="AJ4" s="29" t="s">
        <v>7053</v>
      </c>
      <c r="AK4" s="29" t="s">
        <v>7053</v>
      </c>
      <c r="AL4" s="32" t="s">
        <v>7043</v>
      </c>
    </row>
    <row r="5" ht="14.25" customHeight="1">
      <c r="A5" s="28" t="s">
        <v>1124</v>
      </c>
      <c r="B5" s="29" t="s">
        <v>1125</v>
      </c>
      <c r="C5" s="29" t="s">
        <v>7041</v>
      </c>
      <c r="D5" s="30">
        <v>45292.0</v>
      </c>
      <c r="E5" s="30">
        <v>45657.0</v>
      </c>
      <c r="F5" s="29" t="s">
        <v>7059</v>
      </c>
      <c r="G5" s="29" t="s">
        <v>7051</v>
      </c>
      <c r="H5" s="38" t="s">
        <v>7047</v>
      </c>
      <c r="I5" s="30">
        <v>45658.0</v>
      </c>
      <c r="J5" s="30">
        <v>46022.0</v>
      </c>
      <c r="K5" s="29" t="s">
        <v>7060</v>
      </c>
      <c r="L5" s="29" t="s">
        <v>7053</v>
      </c>
      <c r="M5" s="38" t="s">
        <v>7047</v>
      </c>
      <c r="N5" s="30">
        <v>46023.0</v>
      </c>
      <c r="O5" s="30">
        <v>46387.0</v>
      </c>
      <c r="P5" s="29" t="s">
        <v>7053</v>
      </c>
      <c r="Q5" s="29" t="s">
        <v>7053</v>
      </c>
      <c r="R5" s="32" t="s">
        <v>7043</v>
      </c>
      <c r="S5" s="30">
        <v>46388.0</v>
      </c>
      <c r="T5" s="30">
        <v>46752.0</v>
      </c>
      <c r="U5" s="29" t="s">
        <v>7053</v>
      </c>
      <c r="V5" s="29" t="s">
        <v>7053</v>
      </c>
      <c r="W5" s="32" t="s">
        <v>7043</v>
      </c>
      <c r="X5" s="30">
        <v>46753.0</v>
      </c>
      <c r="Y5" s="30">
        <v>47118.0</v>
      </c>
      <c r="Z5" s="29" t="s">
        <v>7053</v>
      </c>
      <c r="AA5" s="29" t="s">
        <v>7053</v>
      </c>
      <c r="AB5" s="32" t="s">
        <v>7043</v>
      </c>
      <c r="AC5" s="30">
        <v>47119.0</v>
      </c>
      <c r="AD5" s="30">
        <v>47483.0</v>
      </c>
      <c r="AE5" s="29" t="s">
        <v>7053</v>
      </c>
      <c r="AF5" s="29" t="s">
        <v>7053</v>
      </c>
      <c r="AG5" s="32" t="s">
        <v>7043</v>
      </c>
      <c r="AH5" s="30">
        <v>47484.0</v>
      </c>
      <c r="AI5" s="30">
        <v>47848.0</v>
      </c>
      <c r="AJ5" s="29" t="s">
        <v>7053</v>
      </c>
      <c r="AK5" s="29" t="s">
        <v>7053</v>
      </c>
      <c r="AL5" s="32" t="s">
        <v>7043</v>
      </c>
    </row>
    <row r="6" ht="14.25" customHeight="1">
      <c r="A6" s="28" t="s">
        <v>1146</v>
      </c>
      <c r="B6" s="29" t="s">
        <v>1147</v>
      </c>
      <c r="C6" s="29" t="s">
        <v>7041</v>
      </c>
      <c r="D6" s="30">
        <v>45292.0</v>
      </c>
      <c r="E6" s="30">
        <v>45657.0</v>
      </c>
      <c r="F6" s="29" t="s">
        <v>7051</v>
      </c>
      <c r="G6" s="29" t="s">
        <v>7055</v>
      </c>
      <c r="H6" s="37" t="s">
        <v>7046</v>
      </c>
      <c r="I6" s="30">
        <v>45658.0</v>
      </c>
      <c r="J6" s="30">
        <v>46022.0</v>
      </c>
      <c r="K6" s="29" t="s">
        <v>7061</v>
      </c>
      <c r="L6" s="29" t="s">
        <v>7053</v>
      </c>
      <c r="M6" s="38" t="s">
        <v>7047</v>
      </c>
      <c r="N6" s="30">
        <v>46023.0</v>
      </c>
      <c r="O6" s="30">
        <v>46387.0</v>
      </c>
      <c r="P6" s="29" t="s">
        <v>7053</v>
      </c>
      <c r="Q6" s="29" t="s">
        <v>7053</v>
      </c>
      <c r="R6" s="32" t="s">
        <v>7043</v>
      </c>
      <c r="S6" s="30">
        <v>46388.0</v>
      </c>
      <c r="T6" s="30">
        <v>46752.0</v>
      </c>
      <c r="U6" s="29" t="s">
        <v>7053</v>
      </c>
      <c r="V6" s="29" t="s">
        <v>7053</v>
      </c>
      <c r="W6" s="32" t="s">
        <v>7043</v>
      </c>
      <c r="X6" s="30">
        <v>46753.0</v>
      </c>
      <c r="Y6" s="30">
        <v>47118.0</v>
      </c>
      <c r="Z6" s="29" t="s">
        <v>7053</v>
      </c>
      <c r="AA6" s="29" t="s">
        <v>7053</v>
      </c>
      <c r="AB6" s="32" t="s">
        <v>7043</v>
      </c>
      <c r="AC6" s="30">
        <v>47119.0</v>
      </c>
      <c r="AD6" s="30">
        <v>47483.0</v>
      </c>
      <c r="AE6" s="29" t="s">
        <v>7053</v>
      </c>
      <c r="AF6" s="29" t="s">
        <v>7053</v>
      </c>
      <c r="AG6" s="32" t="s">
        <v>7043</v>
      </c>
      <c r="AH6" s="30">
        <v>47484.0</v>
      </c>
      <c r="AI6" s="30">
        <v>47848.0</v>
      </c>
      <c r="AJ6" s="29" t="s">
        <v>7053</v>
      </c>
      <c r="AK6" s="29" t="s">
        <v>7053</v>
      </c>
      <c r="AL6" s="32" t="s">
        <v>7043</v>
      </c>
    </row>
    <row r="7" ht="14.25" customHeight="1">
      <c r="A7" s="28" t="s">
        <v>1174</v>
      </c>
      <c r="B7" s="29" t="s">
        <v>1175</v>
      </c>
      <c r="C7" s="29" t="s">
        <v>7041</v>
      </c>
      <c r="D7" s="30">
        <v>45292.0</v>
      </c>
      <c r="E7" s="30">
        <v>45657.0</v>
      </c>
      <c r="F7" s="29" t="s">
        <v>7062</v>
      </c>
      <c r="G7" s="29" t="s">
        <v>7063</v>
      </c>
      <c r="H7" s="32" t="s">
        <v>7043</v>
      </c>
      <c r="I7" s="30">
        <v>45658.0</v>
      </c>
      <c r="J7" s="30">
        <v>46022.0</v>
      </c>
      <c r="K7" s="29" t="s">
        <v>7064</v>
      </c>
      <c r="L7" s="29" t="s">
        <v>7053</v>
      </c>
      <c r="M7" s="38" t="s">
        <v>7047</v>
      </c>
      <c r="N7" s="30">
        <v>46023.0</v>
      </c>
      <c r="O7" s="30">
        <v>46387.0</v>
      </c>
      <c r="P7" s="29" t="s">
        <v>7053</v>
      </c>
      <c r="Q7" s="29" t="s">
        <v>7053</v>
      </c>
      <c r="R7" s="32" t="s">
        <v>7043</v>
      </c>
      <c r="S7" s="30">
        <v>46388.0</v>
      </c>
      <c r="T7" s="30">
        <v>46752.0</v>
      </c>
      <c r="U7" s="29" t="s">
        <v>7053</v>
      </c>
      <c r="V7" s="29" t="s">
        <v>7053</v>
      </c>
      <c r="W7" s="32" t="s">
        <v>7043</v>
      </c>
      <c r="X7" s="30">
        <v>46753.0</v>
      </c>
      <c r="Y7" s="30">
        <v>47118.0</v>
      </c>
      <c r="Z7" s="29" t="s">
        <v>7053</v>
      </c>
      <c r="AA7" s="29" t="s">
        <v>7053</v>
      </c>
      <c r="AB7" s="32" t="s">
        <v>7043</v>
      </c>
      <c r="AC7" s="30">
        <v>47119.0</v>
      </c>
      <c r="AD7" s="30">
        <v>47483.0</v>
      </c>
      <c r="AE7" s="29" t="s">
        <v>7053</v>
      </c>
      <c r="AF7" s="29" t="s">
        <v>7053</v>
      </c>
      <c r="AG7" s="32" t="s">
        <v>7043</v>
      </c>
      <c r="AH7" s="30">
        <v>47484.0</v>
      </c>
      <c r="AI7" s="30">
        <v>47848.0</v>
      </c>
      <c r="AJ7" s="29" t="s">
        <v>7053</v>
      </c>
      <c r="AK7" s="29" t="s">
        <v>7053</v>
      </c>
      <c r="AL7" s="32" t="s">
        <v>7043</v>
      </c>
    </row>
    <row r="8" ht="14.25" customHeight="1">
      <c r="A8" s="28" t="s">
        <v>1253</v>
      </c>
      <c r="B8" s="29" t="s">
        <v>1254</v>
      </c>
      <c r="C8" s="29" t="s">
        <v>7041</v>
      </c>
      <c r="D8" s="30">
        <v>45292.0</v>
      </c>
      <c r="E8" s="30">
        <v>45657.0</v>
      </c>
      <c r="F8" s="29" t="s">
        <v>7065</v>
      </c>
      <c r="G8" s="29" t="s">
        <v>7051</v>
      </c>
      <c r="H8" s="37" t="s">
        <v>7046</v>
      </c>
      <c r="I8" s="30">
        <v>45658.0</v>
      </c>
      <c r="J8" s="30">
        <v>46022.0</v>
      </c>
      <c r="K8" s="29" t="s">
        <v>7066</v>
      </c>
      <c r="L8" s="29" t="s">
        <v>7053</v>
      </c>
      <c r="M8" s="38" t="s">
        <v>7047</v>
      </c>
      <c r="N8" s="30">
        <v>46023.0</v>
      </c>
      <c r="O8" s="30">
        <v>46387.0</v>
      </c>
      <c r="P8" s="29" t="s">
        <v>7053</v>
      </c>
      <c r="Q8" s="29" t="s">
        <v>7053</v>
      </c>
      <c r="R8" s="32" t="s">
        <v>7043</v>
      </c>
      <c r="S8" s="30">
        <v>46388.0</v>
      </c>
      <c r="T8" s="30">
        <v>46752.0</v>
      </c>
      <c r="U8" s="29" t="s">
        <v>7053</v>
      </c>
      <c r="V8" s="29" t="s">
        <v>7053</v>
      </c>
      <c r="W8" s="32" t="s">
        <v>7043</v>
      </c>
      <c r="X8" s="30">
        <v>46753.0</v>
      </c>
      <c r="Y8" s="30">
        <v>47118.0</v>
      </c>
      <c r="Z8" s="29" t="s">
        <v>7053</v>
      </c>
      <c r="AA8" s="29" t="s">
        <v>7053</v>
      </c>
      <c r="AB8" s="32" t="s">
        <v>7043</v>
      </c>
      <c r="AC8" s="30">
        <v>47119.0</v>
      </c>
      <c r="AD8" s="30">
        <v>47483.0</v>
      </c>
      <c r="AE8" s="29" t="s">
        <v>7053</v>
      </c>
      <c r="AF8" s="29" t="s">
        <v>7053</v>
      </c>
      <c r="AG8" s="32" t="s">
        <v>7043</v>
      </c>
      <c r="AH8" s="30">
        <v>47484.0</v>
      </c>
      <c r="AI8" s="30">
        <v>47848.0</v>
      </c>
      <c r="AJ8" s="29" t="s">
        <v>7053</v>
      </c>
      <c r="AK8" s="29" t="s">
        <v>7053</v>
      </c>
      <c r="AL8" s="32" t="s">
        <v>7043</v>
      </c>
    </row>
    <row r="9" ht="14.25" customHeight="1">
      <c r="A9" s="28" t="s">
        <v>1267</v>
      </c>
      <c r="B9" s="29" t="s">
        <v>1268</v>
      </c>
      <c r="C9" s="29" t="s">
        <v>7041</v>
      </c>
      <c r="D9" s="30">
        <v>45292.0</v>
      </c>
      <c r="E9" s="30">
        <v>45657.0</v>
      </c>
      <c r="F9" s="29" t="s">
        <v>7052</v>
      </c>
      <c r="G9" s="29" t="s">
        <v>7067</v>
      </c>
      <c r="H9" s="32" t="s">
        <v>7043</v>
      </c>
      <c r="I9" s="30">
        <v>45658.0</v>
      </c>
      <c r="J9" s="30">
        <v>46022.0</v>
      </c>
      <c r="K9" s="29" t="s">
        <v>7068</v>
      </c>
      <c r="L9" s="29" t="s">
        <v>7053</v>
      </c>
      <c r="M9" s="38" t="s">
        <v>7047</v>
      </c>
      <c r="N9" s="30">
        <v>46023.0</v>
      </c>
      <c r="O9" s="30">
        <v>46387.0</v>
      </c>
      <c r="P9" s="29" t="s">
        <v>7053</v>
      </c>
      <c r="Q9" s="29" t="s">
        <v>7053</v>
      </c>
      <c r="R9" s="32" t="s">
        <v>7043</v>
      </c>
      <c r="S9" s="30">
        <v>46388.0</v>
      </c>
      <c r="T9" s="30">
        <v>46752.0</v>
      </c>
      <c r="U9" s="29" t="s">
        <v>7053</v>
      </c>
      <c r="V9" s="29" t="s">
        <v>7053</v>
      </c>
      <c r="W9" s="32" t="s">
        <v>7043</v>
      </c>
      <c r="X9" s="30">
        <v>46753.0</v>
      </c>
      <c r="Y9" s="30">
        <v>47118.0</v>
      </c>
      <c r="Z9" s="29" t="s">
        <v>7053</v>
      </c>
      <c r="AA9" s="29" t="s">
        <v>7053</v>
      </c>
      <c r="AB9" s="32" t="s">
        <v>7043</v>
      </c>
      <c r="AC9" s="30">
        <v>47119.0</v>
      </c>
      <c r="AD9" s="30">
        <v>47483.0</v>
      </c>
      <c r="AE9" s="29" t="s">
        <v>7053</v>
      </c>
      <c r="AF9" s="29" t="s">
        <v>7053</v>
      </c>
      <c r="AG9" s="32" t="s">
        <v>7043</v>
      </c>
      <c r="AH9" s="30">
        <v>47484.0</v>
      </c>
      <c r="AI9" s="30">
        <v>47848.0</v>
      </c>
      <c r="AJ9" s="29" t="s">
        <v>7053</v>
      </c>
      <c r="AK9" s="29" t="s">
        <v>7053</v>
      </c>
      <c r="AL9" s="32" t="s">
        <v>7043</v>
      </c>
    </row>
    <row r="10" ht="14.25" customHeight="1">
      <c r="A10" s="28" t="s">
        <v>1271</v>
      </c>
      <c r="B10" s="29" t="s">
        <v>1272</v>
      </c>
      <c r="C10" s="29" t="s">
        <v>7041</v>
      </c>
      <c r="D10" s="30">
        <v>45292.0</v>
      </c>
      <c r="E10" s="30">
        <v>45657.0</v>
      </c>
      <c r="F10" s="29" t="s">
        <v>7069</v>
      </c>
      <c r="G10" s="29" t="s">
        <v>7051</v>
      </c>
      <c r="H10" s="37" t="s">
        <v>7046</v>
      </c>
      <c r="I10" s="30">
        <v>45658.0</v>
      </c>
      <c r="J10" s="30">
        <v>46022.0</v>
      </c>
      <c r="K10" s="29" t="s">
        <v>7058</v>
      </c>
      <c r="L10" s="29" t="s">
        <v>7057</v>
      </c>
      <c r="M10" s="38" t="s">
        <v>7047</v>
      </c>
      <c r="N10" s="30">
        <v>46023.0</v>
      </c>
      <c r="O10" s="30">
        <v>46387.0</v>
      </c>
      <c r="P10" s="29" t="s">
        <v>7053</v>
      </c>
      <c r="Q10" s="29" t="s">
        <v>7053</v>
      </c>
      <c r="R10" s="32" t="s">
        <v>7043</v>
      </c>
      <c r="S10" s="30">
        <v>46388.0</v>
      </c>
      <c r="T10" s="30">
        <v>46752.0</v>
      </c>
      <c r="U10" s="29" t="s">
        <v>7053</v>
      </c>
      <c r="V10" s="29" t="s">
        <v>7053</v>
      </c>
      <c r="W10" s="32" t="s">
        <v>7043</v>
      </c>
      <c r="X10" s="30">
        <v>46753.0</v>
      </c>
      <c r="Y10" s="30">
        <v>47118.0</v>
      </c>
      <c r="Z10" s="29" t="s">
        <v>7053</v>
      </c>
      <c r="AA10" s="29" t="s">
        <v>7053</v>
      </c>
      <c r="AB10" s="32" t="s">
        <v>7043</v>
      </c>
      <c r="AC10" s="30">
        <v>47119.0</v>
      </c>
      <c r="AD10" s="30">
        <v>47483.0</v>
      </c>
      <c r="AE10" s="29" t="s">
        <v>7053</v>
      </c>
      <c r="AF10" s="29" t="s">
        <v>7053</v>
      </c>
      <c r="AG10" s="32" t="s">
        <v>7043</v>
      </c>
      <c r="AH10" s="30">
        <v>47484.0</v>
      </c>
      <c r="AI10" s="30">
        <v>47848.0</v>
      </c>
      <c r="AJ10" s="29" t="s">
        <v>7053</v>
      </c>
      <c r="AK10" s="29" t="s">
        <v>7053</v>
      </c>
      <c r="AL10" s="32" t="s">
        <v>7043</v>
      </c>
    </row>
    <row r="11" ht="14.25" customHeight="1">
      <c r="A11" s="28" t="s">
        <v>1303</v>
      </c>
      <c r="B11" s="29" t="s">
        <v>1304</v>
      </c>
      <c r="C11" s="29" t="s">
        <v>7041</v>
      </c>
      <c r="D11" s="30">
        <v>45292.0</v>
      </c>
      <c r="E11" s="30">
        <v>45657.0</v>
      </c>
      <c r="F11" s="29" t="s">
        <v>7063</v>
      </c>
      <c r="G11" s="29" t="s">
        <v>7051</v>
      </c>
      <c r="H11" s="37" t="s">
        <v>7046</v>
      </c>
      <c r="I11" s="30">
        <v>45658.0</v>
      </c>
      <c r="J11" s="30">
        <v>46022.0</v>
      </c>
      <c r="K11" s="29" t="s">
        <v>7057</v>
      </c>
      <c r="L11" s="29" t="s">
        <v>7053</v>
      </c>
      <c r="M11" s="38" t="s">
        <v>7047</v>
      </c>
      <c r="N11" s="30">
        <v>46023.0</v>
      </c>
      <c r="O11" s="30">
        <v>46387.0</v>
      </c>
      <c r="P11" s="29" t="s">
        <v>7053</v>
      </c>
      <c r="Q11" s="29" t="s">
        <v>7053</v>
      </c>
      <c r="R11" s="32" t="s">
        <v>7043</v>
      </c>
      <c r="S11" s="30">
        <v>46388.0</v>
      </c>
      <c r="T11" s="30">
        <v>46752.0</v>
      </c>
      <c r="U11" s="29" t="s">
        <v>7053</v>
      </c>
      <c r="V11" s="29" t="s">
        <v>7053</v>
      </c>
      <c r="W11" s="32" t="s">
        <v>7043</v>
      </c>
      <c r="X11" s="30">
        <v>46753.0</v>
      </c>
      <c r="Y11" s="30">
        <v>47118.0</v>
      </c>
      <c r="Z11" s="29" t="s">
        <v>7053</v>
      </c>
      <c r="AA11" s="29" t="s">
        <v>7053</v>
      </c>
      <c r="AB11" s="32" t="s">
        <v>7043</v>
      </c>
      <c r="AC11" s="30">
        <v>47119.0</v>
      </c>
      <c r="AD11" s="30">
        <v>47483.0</v>
      </c>
      <c r="AE11" s="29" t="s">
        <v>7053</v>
      </c>
      <c r="AF11" s="29" t="s">
        <v>7053</v>
      </c>
      <c r="AG11" s="32" t="s">
        <v>7043</v>
      </c>
      <c r="AH11" s="30">
        <v>47484.0</v>
      </c>
      <c r="AI11" s="30">
        <v>47848.0</v>
      </c>
      <c r="AJ11" s="29" t="s">
        <v>7053</v>
      </c>
      <c r="AK11" s="29" t="s">
        <v>7053</v>
      </c>
      <c r="AL11" s="32" t="s">
        <v>7043</v>
      </c>
    </row>
    <row r="12" ht="14.25" customHeight="1">
      <c r="A12" s="28" t="s">
        <v>1312</v>
      </c>
      <c r="B12" s="29" t="s">
        <v>1313</v>
      </c>
      <c r="C12" s="29" t="s">
        <v>7041</v>
      </c>
      <c r="D12" s="30">
        <v>45292.0</v>
      </c>
      <c r="E12" s="30">
        <v>45657.0</v>
      </c>
      <c r="F12" s="29" t="s">
        <v>7070</v>
      </c>
      <c r="G12" s="29" t="s">
        <v>7051</v>
      </c>
      <c r="H12" s="32" t="s">
        <v>7043</v>
      </c>
      <c r="I12" s="30">
        <v>45658.0</v>
      </c>
      <c r="J12" s="30">
        <v>46022.0</v>
      </c>
      <c r="K12" s="29" t="s">
        <v>7071</v>
      </c>
      <c r="L12" s="29" t="s">
        <v>7053</v>
      </c>
      <c r="M12" s="38" t="s">
        <v>7047</v>
      </c>
      <c r="N12" s="30">
        <v>46023.0</v>
      </c>
      <c r="O12" s="30">
        <v>46387.0</v>
      </c>
      <c r="P12" s="29" t="s">
        <v>7053</v>
      </c>
      <c r="Q12" s="29" t="s">
        <v>7053</v>
      </c>
      <c r="R12" s="32" t="s">
        <v>7043</v>
      </c>
      <c r="S12" s="30">
        <v>46388.0</v>
      </c>
      <c r="T12" s="30">
        <v>46752.0</v>
      </c>
      <c r="U12" s="29" t="s">
        <v>7053</v>
      </c>
      <c r="V12" s="29" t="s">
        <v>7053</v>
      </c>
      <c r="W12" s="32" t="s">
        <v>7043</v>
      </c>
      <c r="X12" s="30">
        <v>46753.0</v>
      </c>
      <c r="Y12" s="30">
        <v>47118.0</v>
      </c>
      <c r="Z12" s="29" t="s">
        <v>7053</v>
      </c>
      <c r="AA12" s="29" t="s">
        <v>7053</v>
      </c>
      <c r="AB12" s="32" t="s">
        <v>7043</v>
      </c>
      <c r="AC12" s="30">
        <v>47119.0</v>
      </c>
      <c r="AD12" s="30">
        <v>47483.0</v>
      </c>
      <c r="AE12" s="29" t="s">
        <v>7053</v>
      </c>
      <c r="AF12" s="29" t="s">
        <v>7053</v>
      </c>
      <c r="AG12" s="32" t="s">
        <v>7043</v>
      </c>
      <c r="AH12" s="30">
        <v>47484.0</v>
      </c>
      <c r="AI12" s="30">
        <v>47848.0</v>
      </c>
      <c r="AJ12" s="29" t="s">
        <v>7053</v>
      </c>
      <c r="AK12" s="29" t="s">
        <v>7053</v>
      </c>
      <c r="AL12" s="32" t="s">
        <v>7043</v>
      </c>
    </row>
    <row r="13" ht="14.25" customHeight="1">
      <c r="A13" s="28" t="s">
        <v>1328</v>
      </c>
      <c r="B13" s="29" t="s">
        <v>1329</v>
      </c>
      <c r="C13" s="29" t="s">
        <v>7041</v>
      </c>
      <c r="D13" s="30">
        <v>45292.0</v>
      </c>
      <c r="E13" s="30">
        <v>45657.0</v>
      </c>
      <c r="F13" s="29" t="s">
        <v>7072</v>
      </c>
      <c r="G13" s="29" t="s">
        <v>7051</v>
      </c>
      <c r="H13" s="32" t="s">
        <v>7043</v>
      </c>
      <c r="I13" s="30">
        <v>45658.0</v>
      </c>
      <c r="J13" s="30">
        <v>46022.0</v>
      </c>
      <c r="K13" s="29" t="s">
        <v>7056</v>
      </c>
      <c r="L13" s="29" t="s">
        <v>7053</v>
      </c>
      <c r="M13" s="38" t="s">
        <v>7047</v>
      </c>
      <c r="N13" s="30">
        <v>46023.0</v>
      </c>
      <c r="O13" s="30">
        <v>46387.0</v>
      </c>
      <c r="P13" s="29" t="s">
        <v>7053</v>
      </c>
      <c r="Q13" s="29" t="s">
        <v>7053</v>
      </c>
      <c r="R13" s="32" t="s">
        <v>7043</v>
      </c>
      <c r="S13" s="30">
        <v>46388.0</v>
      </c>
      <c r="T13" s="30">
        <v>46752.0</v>
      </c>
      <c r="U13" s="29" t="s">
        <v>7053</v>
      </c>
      <c r="V13" s="29" t="s">
        <v>7053</v>
      </c>
      <c r="W13" s="32" t="s">
        <v>7043</v>
      </c>
      <c r="X13" s="30">
        <v>46753.0</v>
      </c>
      <c r="Y13" s="30">
        <v>47118.0</v>
      </c>
      <c r="Z13" s="29" t="s">
        <v>7053</v>
      </c>
      <c r="AA13" s="29" t="s">
        <v>7053</v>
      </c>
      <c r="AB13" s="32" t="s">
        <v>7043</v>
      </c>
      <c r="AC13" s="30">
        <v>47119.0</v>
      </c>
      <c r="AD13" s="30">
        <v>47483.0</v>
      </c>
      <c r="AE13" s="29" t="s">
        <v>7053</v>
      </c>
      <c r="AF13" s="29" t="s">
        <v>7053</v>
      </c>
      <c r="AG13" s="32" t="s">
        <v>7043</v>
      </c>
      <c r="AH13" s="30">
        <v>47484.0</v>
      </c>
      <c r="AI13" s="30">
        <v>47848.0</v>
      </c>
      <c r="AJ13" s="29" t="s">
        <v>7053</v>
      </c>
      <c r="AK13" s="29" t="s">
        <v>7053</v>
      </c>
      <c r="AL13" s="32" t="s">
        <v>7043</v>
      </c>
    </row>
    <row r="14" ht="14.25" customHeight="1">
      <c r="A14" s="28" t="s">
        <v>1353</v>
      </c>
      <c r="B14" s="29" t="s">
        <v>1354</v>
      </c>
      <c r="C14" s="29" t="s">
        <v>7041</v>
      </c>
      <c r="D14" s="30">
        <v>45292.0</v>
      </c>
      <c r="E14" s="30">
        <v>45657.0</v>
      </c>
      <c r="F14" s="29" t="s">
        <v>7073</v>
      </c>
      <c r="G14" s="29" t="s">
        <v>7051</v>
      </c>
      <c r="H14" s="37" t="s">
        <v>7046</v>
      </c>
      <c r="I14" s="30">
        <v>45658.0</v>
      </c>
      <c r="J14" s="30">
        <v>46022.0</v>
      </c>
      <c r="K14" s="29" t="s">
        <v>7066</v>
      </c>
      <c r="L14" s="29" t="s">
        <v>7053</v>
      </c>
      <c r="M14" s="38" t="s">
        <v>7047</v>
      </c>
      <c r="N14" s="30">
        <v>46023.0</v>
      </c>
      <c r="O14" s="30">
        <v>46387.0</v>
      </c>
      <c r="P14" s="29" t="s">
        <v>7053</v>
      </c>
      <c r="Q14" s="29" t="s">
        <v>7053</v>
      </c>
      <c r="R14" s="32" t="s">
        <v>7043</v>
      </c>
      <c r="S14" s="30">
        <v>46388.0</v>
      </c>
      <c r="T14" s="30">
        <v>46752.0</v>
      </c>
      <c r="U14" s="29" t="s">
        <v>7053</v>
      </c>
      <c r="V14" s="29" t="s">
        <v>7053</v>
      </c>
      <c r="W14" s="32" t="s">
        <v>7043</v>
      </c>
      <c r="X14" s="30">
        <v>46753.0</v>
      </c>
      <c r="Y14" s="30">
        <v>47118.0</v>
      </c>
      <c r="Z14" s="29" t="s">
        <v>7053</v>
      </c>
      <c r="AA14" s="29" t="s">
        <v>7053</v>
      </c>
      <c r="AB14" s="32" t="s">
        <v>7043</v>
      </c>
      <c r="AC14" s="30">
        <v>47119.0</v>
      </c>
      <c r="AD14" s="30">
        <v>47483.0</v>
      </c>
      <c r="AE14" s="29" t="s">
        <v>7053</v>
      </c>
      <c r="AF14" s="29" t="s">
        <v>7053</v>
      </c>
      <c r="AG14" s="32" t="s">
        <v>7043</v>
      </c>
      <c r="AH14" s="30">
        <v>47484.0</v>
      </c>
      <c r="AI14" s="30">
        <v>47848.0</v>
      </c>
      <c r="AJ14" s="29" t="s">
        <v>7053</v>
      </c>
      <c r="AK14" s="29" t="s">
        <v>7053</v>
      </c>
      <c r="AL14" s="32" t="s">
        <v>7043</v>
      </c>
    </row>
    <row r="15" ht="14.25" customHeight="1">
      <c r="A15" s="28" t="s">
        <v>1386</v>
      </c>
      <c r="B15" s="29" t="s">
        <v>1387</v>
      </c>
      <c r="C15" s="29" t="s">
        <v>7041</v>
      </c>
      <c r="D15" s="30">
        <v>45292.0</v>
      </c>
      <c r="E15" s="30">
        <v>45657.0</v>
      </c>
      <c r="F15" s="29" t="s">
        <v>7074</v>
      </c>
      <c r="G15" s="29" t="s">
        <v>7051</v>
      </c>
      <c r="H15" s="37" t="s">
        <v>7046</v>
      </c>
      <c r="I15" s="30">
        <v>45658.0</v>
      </c>
      <c r="J15" s="30">
        <v>46022.0</v>
      </c>
      <c r="K15" s="29" t="s">
        <v>7075</v>
      </c>
      <c r="L15" s="29" t="s">
        <v>7053</v>
      </c>
      <c r="M15" s="38" t="s">
        <v>7047</v>
      </c>
      <c r="N15" s="30">
        <v>46023.0</v>
      </c>
      <c r="O15" s="30">
        <v>46387.0</v>
      </c>
      <c r="P15" s="29" t="s">
        <v>7053</v>
      </c>
      <c r="Q15" s="29" t="s">
        <v>7053</v>
      </c>
      <c r="R15" s="32" t="s">
        <v>7043</v>
      </c>
      <c r="S15" s="30">
        <v>46388.0</v>
      </c>
      <c r="T15" s="30">
        <v>46752.0</v>
      </c>
      <c r="U15" s="29" t="s">
        <v>7053</v>
      </c>
      <c r="V15" s="29" t="s">
        <v>7053</v>
      </c>
      <c r="W15" s="32" t="s">
        <v>7043</v>
      </c>
      <c r="X15" s="30">
        <v>46753.0</v>
      </c>
      <c r="Y15" s="30">
        <v>47118.0</v>
      </c>
      <c r="Z15" s="29" t="s">
        <v>7053</v>
      </c>
      <c r="AA15" s="29" t="s">
        <v>7053</v>
      </c>
      <c r="AB15" s="32" t="s">
        <v>7043</v>
      </c>
      <c r="AC15" s="30">
        <v>47119.0</v>
      </c>
      <c r="AD15" s="30">
        <v>47483.0</v>
      </c>
      <c r="AE15" s="29" t="s">
        <v>7053</v>
      </c>
      <c r="AF15" s="29" t="s">
        <v>7053</v>
      </c>
      <c r="AG15" s="32" t="s">
        <v>7043</v>
      </c>
      <c r="AH15" s="30">
        <v>47484.0</v>
      </c>
      <c r="AI15" s="30">
        <v>47848.0</v>
      </c>
      <c r="AJ15" s="29" t="s">
        <v>7053</v>
      </c>
      <c r="AK15" s="29" t="s">
        <v>7053</v>
      </c>
      <c r="AL15" s="32" t="s">
        <v>7043</v>
      </c>
    </row>
    <row r="16" ht="14.25" customHeight="1">
      <c r="A16" s="28" t="s">
        <v>1414</v>
      </c>
      <c r="B16" s="29" t="s">
        <v>1415</v>
      </c>
      <c r="C16" s="29" t="s">
        <v>7041</v>
      </c>
      <c r="D16" s="30">
        <v>45292.0</v>
      </c>
      <c r="E16" s="30">
        <v>45657.0</v>
      </c>
      <c r="F16" s="29" t="s">
        <v>7055</v>
      </c>
      <c r="G16" s="29" t="s">
        <v>7051</v>
      </c>
      <c r="H16" s="38" t="s">
        <v>7047</v>
      </c>
      <c r="I16" s="30">
        <v>45658.0</v>
      </c>
      <c r="J16" s="30">
        <v>46022.0</v>
      </c>
      <c r="K16" s="29" t="s">
        <v>7076</v>
      </c>
      <c r="L16" s="29" t="s">
        <v>7053</v>
      </c>
      <c r="M16" s="38" t="s">
        <v>7047</v>
      </c>
      <c r="N16" s="30">
        <v>46023.0</v>
      </c>
      <c r="O16" s="30">
        <v>46387.0</v>
      </c>
      <c r="P16" s="29" t="s">
        <v>7053</v>
      </c>
      <c r="Q16" s="29" t="s">
        <v>7053</v>
      </c>
      <c r="R16" s="32" t="s">
        <v>7043</v>
      </c>
      <c r="S16" s="30">
        <v>46388.0</v>
      </c>
      <c r="T16" s="30">
        <v>46752.0</v>
      </c>
      <c r="U16" s="29" t="s">
        <v>7053</v>
      </c>
      <c r="V16" s="29" t="s">
        <v>7053</v>
      </c>
      <c r="W16" s="32" t="s">
        <v>7043</v>
      </c>
      <c r="X16" s="30">
        <v>46753.0</v>
      </c>
      <c r="Y16" s="30">
        <v>47118.0</v>
      </c>
      <c r="Z16" s="29" t="s">
        <v>7053</v>
      </c>
      <c r="AA16" s="29" t="s">
        <v>7053</v>
      </c>
      <c r="AB16" s="32" t="s">
        <v>7043</v>
      </c>
      <c r="AC16" s="30">
        <v>47119.0</v>
      </c>
      <c r="AD16" s="30">
        <v>47483.0</v>
      </c>
      <c r="AE16" s="29" t="s">
        <v>7053</v>
      </c>
      <c r="AF16" s="29" t="s">
        <v>7053</v>
      </c>
      <c r="AG16" s="32" t="s">
        <v>7043</v>
      </c>
      <c r="AH16" s="30">
        <v>47484.0</v>
      </c>
      <c r="AI16" s="30">
        <v>47848.0</v>
      </c>
      <c r="AJ16" s="29" t="s">
        <v>7053</v>
      </c>
      <c r="AK16" s="29" t="s">
        <v>7053</v>
      </c>
      <c r="AL16" s="32" t="s">
        <v>7043</v>
      </c>
    </row>
    <row r="17" ht="14.25" customHeight="1">
      <c r="A17" s="28" t="s">
        <v>1418</v>
      </c>
      <c r="B17" s="29" t="s">
        <v>1419</v>
      </c>
      <c r="C17" s="29" t="s">
        <v>7041</v>
      </c>
      <c r="D17" s="30">
        <v>45292.0</v>
      </c>
      <c r="E17" s="30">
        <v>45657.0</v>
      </c>
      <c r="F17" s="29" t="s">
        <v>7077</v>
      </c>
      <c r="G17" s="29" t="s">
        <v>7051</v>
      </c>
      <c r="H17" s="37" t="s">
        <v>7046</v>
      </c>
      <c r="I17" s="30">
        <v>45658.0</v>
      </c>
      <c r="J17" s="30">
        <v>46022.0</v>
      </c>
      <c r="K17" s="29" t="s">
        <v>7058</v>
      </c>
      <c r="L17" s="29" t="s">
        <v>7053</v>
      </c>
      <c r="M17" s="38" t="s">
        <v>7047</v>
      </c>
      <c r="N17" s="30">
        <v>46023.0</v>
      </c>
      <c r="O17" s="30">
        <v>46387.0</v>
      </c>
      <c r="P17" s="29" t="s">
        <v>7053</v>
      </c>
      <c r="Q17" s="29" t="s">
        <v>7053</v>
      </c>
      <c r="R17" s="32" t="s">
        <v>7043</v>
      </c>
      <c r="S17" s="30">
        <v>46388.0</v>
      </c>
      <c r="T17" s="30">
        <v>46752.0</v>
      </c>
      <c r="U17" s="29" t="s">
        <v>7053</v>
      </c>
      <c r="V17" s="29" t="s">
        <v>7053</v>
      </c>
      <c r="W17" s="32" t="s">
        <v>7043</v>
      </c>
      <c r="X17" s="30">
        <v>46753.0</v>
      </c>
      <c r="Y17" s="30">
        <v>47118.0</v>
      </c>
      <c r="Z17" s="29" t="s">
        <v>7053</v>
      </c>
      <c r="AA17" s="29" t="s">
        <v>7053</v>
      </c>
      <c r="AB17" s="32" t="s">
        <v>7043</v>
      </c>
      <c r="AC17" s="30">
        <v>47119.0</v>
      </c>
      <c r="AD17" s="30">
        <v>47483.0</v>
      </c>
      <c r="AE17" s="29" t="s">
        <v>7053</v>
      </c>
      <c r="AF17" s="29" t="s">
        <v>7053</v>
      </c>
      <c r="AG17" s="32" t="s">
        <v>7043</v>
      </c>
      <c r="AH17" s="30">
        <v>47484.0</v>
      </c>
      <c r="AI17" s="30">
        <v>47848.0</v>
      </c>
      <c r="AJ17" s="29" t="s">
        <v>7053</v>
      </c>
      <c r="AK17" s="29" t="s">
        <v>7053</v>
      </c>
      <c r="AL17" s="32" t="s">
        <v>7043</v>
      </c>
    </row>
    <row r="18" ht="14.25" customHeight="1">
      <c r="A18" s="28" t="s">
        <v>1422</v>
      </c>
      <c r="B18" s="29" t="s">
        <v>1423</v>
      </c>
      <c r="C18" s="29" t="s">
        <v>7041</v>
      </c>
      <c r="D18" s="30">
        <v>45292.0</v>
      </c>
      <c r="E18" s="30">
        <v>45657.0</v>
      </c>
      <c r="F18" s="29" t="s">
        <v>7053</v>
      </c>
      <c r="G18" s="29" t="s">
        <v>7055</v>
      </c>
      <c r="H18" s="32" t="s">
        <v>7043</v>
      </c>
      <c r="I18" s="30">
        <v>45658.0</v>
      </c>
      <c r="J18" s="30">
        <v>46022.0</v>
      </c>
      <c r="K18" s="29" t="s">
        <v>7053</v>
      </c>
      <c r="L18" s="29" t="s">
        <v>7053</v>
      </c>
      <c r="M18" s="32" t="s">
        <v>7043</v>
      </c>
      <c r="N18" s="30">
        <v>46023.0</v>
      </c>
      <c r="O18" s="30">
        <v>46387.0</v>
      </c>
      <c r="P18" s="29" t="s">
        <v>7053</v>
      </c>
      <c r="Q18" s="29" t="s">
        <v>7053</v>
      </c>
      <c r="R18" s="32" t="s">
        <v>7043</v>
      </c>
      <c r="S18" s="30">
        <v>46388.0</v>
      </c>
      <c r="T18" s="30">
        <v>46752.0</v>
      </c>
      <c r="U18" s="29" t="s">
        <v>7053</v>
      </c>
      <c r="V18" s="29" t="s">
        <v>7053</v>
      </c>
      <c r="W18" s="32" t="s">
        <v>7043</v>
      </c>
      <c r="X18" s="30">
        <v>46753.0</v>
      </c>
      <c r="Y18" s="30">
        <v>47118.0</v>
      </c>
      <c r="Z18" s="29" t="s">
        <v>7053</v>
      </c>
      <c r="AA18" s="29" t="s">
        <v>7053</v>
      </c>
      <c r="AB18" s="32" t="s">
        <v>7043</v>
      </c>
      <c r="AC18" s="30">
        <v>47119.0</v>
      </c>
      <c r="AD18" s="30">
        <v>47483.0</v>
      </c>
      <c r="AE18" s="29" t="s">
        <v>7053</v>
      </c>
      <c r="AF18" s="29" t="s">
        <v>7053</v>
      </c>
      <c r="AG18" s="32" t="s">
        <v>7043</v>
      </c>
      <c r="AH18" s="30">
        <v>47484.0</v>
      </c>
      <c r="AI18" s="30">
        <v>47848.0</v>
      </c>
      <c r="AJ18" s="29" t="s">
        <v>7053</v>
      </c>
      <c r="AK18" s="29" t="s">
        <v>7053</v>
      </c>
      <c r="AL18" s="32" t="s">
        <v>7043</v>
      </c>
    </row>
    <row r="19" ht="14.25" customHeight="1">
      <c r="A19" s="28" t="s">
        <v>1425</v>
      </c>
      <c r="B19" s="29" t="s">
        <v>1426</v>
      </c>
      <c r="C19" s="29" t="s">
        <v>7041</v>
      </c>
      <c r="D19" s="30">
        <v>45292.0</v>
      </c>
      <c r="E19" s="30">
        <v>45657.0</v>
      </c>
      <c r="F19" s="29" t="s">
        <v>7078</v>
      </c>
      <c r="G19" s="29" t="s">
        <v>7055</v>
      </c>
      <c r="H19" s="37" t="s">
        <v>7046</v>
      </c>
      <c r="I19" s="30">
        <v>45658.0</v>
      </c>
      <c r="J19" s="30">
        <v>46022.0</v>
      </c>
      <c r="K19" s="29" t="s">
        <v>7079</v>
      </c>
      <c r="L19" s="29" t="s">
        <v>7053</v>
      </c>
      <c r="M19" s="38" t="s">
        <v>7047</v>
      </c>
      <c r="N19" s="30">
        <v>46023.0</v>
      </c>
      <c r="O19" s="30">
        <v>46387.0</v>
      </c>
      <c r="P19" s="29" t="s">
        <v>7053</v>
      </c>
      <c r="Q19" s="29" t="s">
        <v>7053</v>
      </c>
      <c r="R19" s="32" t="s">
        <v>7043</v>
      </c>
      <c r="S19" s="30">
        <v>46388.0</v>
      </c>
      <c r="T19" s="30">
        <v>46752.0</v>
      </c>
      <c r="U19" s="29" t="s">
        <v>7053</v>
      </c>
      <c r="V19" s="29" t="s">
        <v>7053</v>
      </c>
      <c r="W19" s="32" t="s">
        <v>7043</v>
      </c>
      <c r="X19" s="30">
        <v>46753.0</v>
      </c>
      <c r="Y19" s="30">
        <v>47118.0</v>
      </c>
      <c r="Z19" s="29" t="s">
        <v>7053</v>
      </c>
      <c r="AA19" s="29" t="s">
        <v>7053</v>
      </c>
      <c r="AB19" s="32" t="s">
        <v>7043</v>
      </c>
      <c r="AC19" s="30">
        <v>47119.0</v>
      </c>
      <c r="AD19" s="30">
        <v>47483.0</v>
      </c>
      <c r="AE19" s="29" t="s">
        <v>7053</v>
      </c>
      <c r="AF19" s="29" t="s">
        <v>7053</v>
      </c>
      <c r="AG19" s="32" t="s">
        <v>7043</v>
      </c>
      <c r="AH19" s="30">
        <v>47484.0</v>
      </c>
      <c r="AI19" s="30">
        <v>47848.0</v>
      </c>
      <c r="AJ19" s="29" t="s">
        <v>7053</v>
      </c>
      <c r="AK19" s="29" t="s">
        <v>7053</v>
      </c>
      <c r="AL19" s="32" t="s">
        <v>7043</v>
      </c>
    </row>
    <row r="20" ht="14.25" customHeight="1">
      <c r="A20" s="28" t="s">
        <v>1428</v>
      </c>
      <c r="B20" s="29" t="s">
        <v>1429</v>
      </c>
      <c r="C20" s="29" t="s">
        <v>7041</v>
      </c>
      <c r="D20" s="30">
        <v>45292.0</v>
      </c>
      <c r="E20" s="30">
        <v>45657.0</v>
      </c>
      <c r="F20" s="29" t="s">
        <v>7080</v>
      </c>
      <c r="G20" s="29" t="s">
        <v>7051</v>
      </c>
      <c r="H20" s="32" t="s">
        <v>7043</v>
      </c>
      <c r="I20" s="30">
        <v>45658.0</v>
      </c>
      <c r="J20" s="30">
        <v>46022.0</v>
      </c>
      <c r="K20" s="29" t="s">
        <v>7080</v>
      </c>
      <c r="L20" s="29" t="s">
        <v>7053</v>
      </c>
      <c r="M20" s="38" t="s">
        <v>7047</v>
      </c>
      <c r="N20" s="30">
        <v>46023.0</v>
      </c>
      <c r="O20" s="30">
        <v>46387.0</v>
      </c>
      <c r="P20" s="29" t="s">
        <v>7053</v>
      </c>
      <c r="Q20" s="29" t="s">
        <v>7053</v>
      </c>
      <c r="R20" s="32" t="s">
        <v>7043</v>
      </c>
      <c r="S20" s="30">
        <v>46388.0</v>
      </c>
      <c r="T20" s="30">
        <v>46752.0</v>
      </c>
      <c r="U20" s="29" t="s">
        <v>7053</v>
      </c>
      <c r="V20" s="29" t="s">
        <v>7053</v>
      </c>
      <c r="W20" s="32" t="s">
        <v>7043</v>
      </c>
      <c r="X20" s="30">
        <v>46753.0</v>
      </c>
      <c r="Y20" s="30">
        <v>47118.0</v>
      </c>
      <c r="Z20" s="29" t="s">
        <v>7053</v>
      </c>
      <c r="AA20" s="29" t="s">
        <v>7053</v>
      </c>
      <c r="AB20" s="32" t="s">
        <v>7043</v>
      </c>
      <c r="AC20" s="30">
        <v>47119.0</v>
      </c>
      <c r="AD20" s="30">
        <v>47483.0</v>
      </c>
      <c r="AE20" s="29" t="s">
        <v>7053</v>
      </c>
      <c r="AF20" s="29" t="s">
        <v>7053</v>
      </c>
      <c r="AG20" s="32" t="s">
        <v>7043</v>
      </c>
      <c r="AH20" s="30">
        <v>47484.0</v>
      </c>
      <c r="AI20" s="30">
        <v>47848.0</v>
      </c>
      <c r="AJ20" s="29" t="s">
        <v>7053</v>
      </c>
      <c r="AK20" s="29" t="s">
        <v>7053</v>
      </c>
      <c r="AL20" s="32" t="s">
        <v>7043</v>
      </c>
    </row>
    <row r="21" ht="14.25" customHeight="1">
      <c r="A21" s="28" t="s">
        <v>1437</v>
      </c>
      <c r="B21" s="29" t="s">
        <v>1438</v>
      </c>
      <c r="C21" s="29" t="s">
        <v>7041</v>
      </c>
      <c r="D21" s="30">
        <v>45292.0</v>
      </c>
      <c r="E21" s="30">
        <v>45657.0</v>
      </c>
      <c r="F21" s="29" t="s">
        <v>7057</v>
      </c>
      <c r="G21" s="29" t="s">
        <v>7051</v>
      </c>
      <c r="H21" s="37" t="s">
        <v>7046</v>
      </c>
      <c r="I21" s="30">
        <v>45658.0</v>
      </c>
      <c r="J21" s="30">
        <v>46022.0</v>
      </c>
      <c r="K21" s="29" t="s">
        <v>7063</v>
      </c>
      <c r="L21" s="29" t="s">
        <v>7053</v>
      </c>
      <c r="M21" s="38" t="s">
        <v>7047</v>
      </c>
      <c r="N21" s="30">
        <v>46023.0</v>
      </c>
      <c r="O21" s="30">
        <v>46387.0</v>
      </c>
      <c r="P21" s="29" t="s">
        <v>7053</v>
      </c>
      <c r="Q21" s="29" t="s">
        <v>7053</v>
      </c>
      <c r="R21" s="32" t="s">
        <v>7043</v>
      </c>
      <c r="S21" s="30">
        <v>46388.0</v>
      </c>
      <c r="T21" s="30">
        <v>46752.0</v>
      </c>
      <c r="U21" s="29" t="s">
        <v>7053</v>
      </c>
      <c r="V21" s="29" t="s">
        <v>7053</v>
      </c>
      <c r="W21" s="32" t="s">
        <v>7043</v>
      </c>
      <c r="X21" s="30">
        <v>46753.0</v>
      </c>
      <c r="Y21" s="30">
        <v>47118.0</v>
      </c>
      <c r="Z21" s="29" t="s">
        <v>7053</v>
      </c>
      <c r="AA21" s="29" t="s">
        <v>7053</v>
      </c>
      <c r="AB21" s="32" t="s">
        <v>7043</v>
      </c>
      <c r="AC21" s="30">
        <v>47119.0</v>
      </c>
      <c r="AD21" s="30">
        <v>47483.0</v>
      </c>
      <c r="AE21" s="29" t="s">
        <v>7053</v>
      </c>
      <c r="AF21" s="29" t="s">
        <v>7053</v>
      </c>
      <c r="AG21" s="32" t="s">
        <v>7043</v>
      </c>
      <c r="AH21" s="30">
        <v>47484.0</v>
      </c>
      <c r="AI21" s="30">
        <v>47848.0</v>
      </c>
      <c r="AJ21" s="29" t="s">
        <v>7053</v>
      </c>
      <c r="AK21" s="29" t="s">
        <v>7053</v>
      </c>
      <c r="AL21" s="32" t="s">
        <v>7043</v>
      </c>
    </row>
    <row r="22" ht="14.25" customHeight="1">
      <c r="A22" s="28" t="s">
        <v>1447</v>
      </c>
      <c r="B22" s="29" t="s">
        <v>1448</v>
      </c>
      <c r="C22" s="29" t="s">
        <v>7041</v>
      </c>
      <c r="D22" s="30">
        <v>45292.0</v>
      </c>
      <c r="E22" s="30">
        <v>45657.0</v>
      </c>
      <c r="F22" s="29" t="s">
        <v>7073</v>
      </c>
      <c r="G22" s="29" t="s">
        <v>7051</v>
      </c>
      <c r="H22" s="37" t="s">
        <v>7046</v>
      </c>
      <c r="I22" s="30">
        <v>45658.0</v>
      </c>
      <c r="J22" s="30">
        <v>46022.0</v>
      </c>
      <c r="K22" s="29" t="s">
        <v>7061</v>
      </c>
      <c r="L22" s="29" t="s">
        <v>7053</v>
      </c>
      <c r="M22" s="38" t="s">
        <v>7047</v>
      </c>
      <c r="N22" s="30">
        <v>46023.0</v>
      </c>
      <c r="O22" s="30">
        <v>46387.0</v>
      </c>
      <c r="P22" s="29" t="s">
        <v>7053</v>
      </c>
      <c r="Q22" s="29" t="s">
        <v>7053</v>
      </c>
      <c r="R22" s="32" t="s">
        <v>7043</v>
      </c>
      <c r="S22" s="30">
        <v>46388.0</v>
      </c>
      <c r="T22" s="30">
        <v>46752.0</v>
      </c>
      <c r="U22" s="29" t="s">
        <v>7053</v>
      </c>
      <c r="V22" s="29" t="s">
        <v>7053</v>
      </c>
      <c r="W22" s="32" t="s">
        <v>7043</v>
      </c>
      <c r="X22" s="30">
        <v>46753.0</v>
      </c>
      <c r="Y22" s="30">
        <v>47118.0</v>
      </c>
      <c r="Z22" s="29" t="s">
        <v>7053</v>
      </c>
      <c r="AA22" s="29" t="s">
        <v>7053</v>
      </c>
      <c r="AB22" s="32" t="s">
        <v>7043</v>
      </c>
      <c r="AC22" s="30">
        <v>47119.0</v>
      </c>
      <c r="AD22" s="30">
        <v>47483.0</v>
      </c>
      <c r="AE22" s="29" t="s">
        <v>7053</v>
      </c>
      <c r="AF22" s="29" t="s">
        <v>7053</v>
      </c>
      <c r="AG22" s="32" t="s">
        <v>7043</v>
      </c>
      <c r="AH22" s="30">
        <v>47484.0</v>
      </c>
      <c r="AI22" s="30">
        <v>47848.0</v>
      </c>
      <c r="AJ22" s="29" t="s">
        <v>7053</v>
      </c>
      <c r="AK22" s="29" t="s">
        <v>7053</v>
      </c>
      <c r="AL22" s="32" t="s">
        <v>7043</v>
      </c>
    </row>
    <row r="23" ht="14.25" customHeight="1">
      <c r="A23" s="28" t="s">
        <v>1451</v>
      </c>
      <c r="B23" s="29" t="s">
        <v>1452</v>
      </c>
      <c r="C23" s="29" t="s">
        <v>7041</v>
      </c>
      <c r="D23" s="30">
        <v>45292.0</v>
      </c>
      <c r="E23" s="30">
        <v>45657.0</v>
      </c>
      <c r="F23" s="29" t="s">
        <v>7080</v>
      </c>
      <c r="G23" s="29" t="s">
        <v>7081</v>
      </c>
      <c r="H23" s="32" t="s">
        <v>7043</v>
      </c>
      <c r="I23" s="30">
        <v>45658.0</v>
      </c>
      <c r="J23" s="30">
        <v>46022.0</v>
      </c>
      <c r="K23" s="29" t="s">
        <v>7053</v>
      </c>
      <c r="L23" s="29" t="s">
        <v>7053</v>
      </c>
      <c r="M23" s="32" t="s">
        <v>7043</v>
      </c>
      <c r="N23" s="30">
        <v>46023.0</v>
      </c>
      <c r="O23" s="30">
        <v>46387.0</v>
      </c>
      <c r="P23" s="29" t="s">
        <v>7053</v>
      </c>
      <c r="Q23" s="29" t="s">
        <v>7053</v>
      </c>
      <c r="R23" s="32" t="s">
        <v>7043</v>
      </c>
      <c r="S23" s="30">
        <v>46388.0</v>
      </c>
      <c r="T23" s="30">
        <v>46752.0</v>
      </c>
      <c r="U23" s="29" t="s">
        <v>7053</v>
      </c>
      <c r="V23" s="29" t="s">
        <v>7053</v>
      </c>
      <c r="W23" s="32" t="s">
        <v>7043</v>
      </c>
      <c r="X23" s="30">
        <v>46753.0</v>
      </c>
      <c r="Y23" s="30">
        <v>47118.0</v>
      </c>
      <c r="Z23" s="29" t="s">
        <v>7053</v>
      </c>
      <c r="AA23" s="29" t="s">
        <v>7053</v>
      </c>
      <c r="AB23" s="32" t="s">
        <v>7043</v>
      </c>
      <c r="AC23" s="30">
        <v>47119.0</v>
      </c>
      <c r="AD23" s="30">
        <v>47483.0</v>
      </c>
      <c r="AE23" s="29" t="s">
        <v>7053</v>
      </c>
      <c r="AF23" s="29" t="s">
        <v>7053</v>
      </c>
      <c r="AG23" s="32" t="s">
        <v>7043</v>
      </c>
      <c r="AH23" s="30">
        <v>47484.0</v>
      </c>
      <c r="AI23" s="30">
        <v>47848.0</v>
      </c>
      <c r="AJ23" s="29" t="s">
        <v>7053</v>
      </c>
      <c r="AK23" s="29" t="s">
        <v>7053</v>
      </c>
      <c r="AL23" s="32" t="s">
        <v>7043</v>
      </c>
    </row>
    <row r="24" ht="14.25" customHeight="1">
      <c r="A24" s="28" t="s">
        <v>1457</v>
      </c>
      <c r="B24" s="29" t="s">
        <v>1458</v>
      </c>
      <c r="C24" s="29" t="s">
        <v>7041</v>
      </c>
      <c r="D24" s="30">
        <v>45292.0</v>
      </c>
      <c r="E24" s="30">
        <v>45657.0</v>
      </c>
      <c r="F24" s="29" t="s">
        <v>7082</v>
      </c>
      <c r="G24" s="29" t="s">
        <v>7051</v>
      </c>
      <c r="H24" s="38" t="s">
        <v>7047</v>
      </c>
      <c r="I24" s="30">
        <v>45658.0</v>
      </c>
      <c r="J24" s="30">
        <v>46022.0</v>
      </c>
      <c r="K24" s="29" t="s">
        <v>7083</v>
      </c>
      <c r="L24" s="29" t="s">
        <v>7053</v>
      </c>
      <c r="M24" s="38" t="s">
        <v>7047</v>
      </c>
      <c r="N24" s="30">
        <v>46023.0</v>
      </c>
      <c r="O24" s="30">
        <v>46387.0</v>
      </c>
      <c r="P24" s="29" t="s">
        <v>7053</v>
      </c>
      <c r="Q24" s="29" t="s">
        <v>7053</v>
      </c>
      <c r="R24" s="32" t="s">
        <v>7043</v>
      </c>
      <c r="S24" s="30">
        <v>46388.0</v>
      </c>
      <c r="T24" s="30">
        <v>46752.0</v>
      </c>
      <c r="U24" s="29" t="s">
        <v>7053</v>
      </c>
      <c r="V24" s="29" t="s">
        <v>7053</v>
      </c>
      <c r="W24" s="32" t="s">
        <v>7043</v>
      </c>
      <c r="X24" s="30">
        <v>46753.0</v>
      </c>
      <c r="Y24" s="30">
        <v>47118.0</v>
      </c>
      <c r="Z24" s="29" t="s">
        <v>7053</v>
      </c>
      <c r="AA24" s="29" t="s">
        <v>7053</v>
      </c>
      <c r="AB24" s="32" t="s">
        <v>7043</v>
      </c>
      <c r="AC24" s="30">
        <v>47119.0</v>
      </c>
      <c r="AD24" s="30">
        <v>47483.0</v>
      </c>
      <c r="AE24" s="29" t="s">
        <v>7053</v>
      </c>
      <c r="AF24" s="29" t="s">
        <v>7053</v>
      </c>
      <c r="AG24" s="32" t="s">
        <v>7043</v>
      </c>
      <c r="AH24" s="30">
        <v>47484.0</v>
      </c>
      <c r="AI24" s="30">
        <v>47848.0</v>
      </c>
      <c r="AJ24" s="29" t="s">
        <v>7053</v>
      </c>
      <c r="AK24" s="29" t="s">
        <v>7053</v>
      </c>
      <c r="AL24" s="32" t="s">
        <v>7043</v>
      </c>
    </row>
    <row r="25" ht="14.25" customHeight="1">
      <c r="A25" s="28" t="s">
        <v>1480</v>
      </c>
      <c r="B25" s="29" t="s">
        <v>1481</v>
      </c>
      <c r="C25" s="29" t="s">
        <v>7041</v>
      </c>
      <c r="D25" s="30">
        <v>45292.0</v>
      </c>
      <c r="E25" s="30">
        <v>45657.0</v>
      </c>
      <c r="F25" s="29" t="s">
        <v>7084</v>
      </c>
      <c r="G25" s="29" t="s">
        <v>7051</v>
      </c>
      <c r="H25" s="37" t="s">
        <v>7046</v>
      </c>
      <c r="I25" s="30">
        <v>45658.0</v>
      </c>
      <c r="J25" s="30">
        <v>46022.0</v>
      </c>
      <c r="K25" s="29" t="s">
        <v>7085</v>
      </c>
      <c r="L25" s="29" t="s">
        <v>7062</v>
      </c>
      <c r="M25" s="38" t="s">
        <v>7047</v>
      </c>
      <c r="N25" s="30">
        <v>46023.0</v>
      </c>
      <c r="O25" s="30">
        <v>46387.0</v>
      </c>
      <c r="P25" s="29" t="s">
        <v>7053</v>
      </c>
      <c r="Q25" s="29" t="s">
        <v>7053</v>
      </c>
      <c r="R25" s="32" t="s">
        <v>7043</v>
      </c>
      <c r="S25" s="30">
        <v>46388.0</v>
      </c>
      <c r="T25" s="30">
        <v>46752.0</v>
      </c>
      <c r="U25" s="29" t="s">
        <v>7053</v>
      </c>
      <c r="V25" s="29" t="s">
        <v>7053</v>
      </c>
      <c r="W25" s="32" t="s">
        <v>7043</v>
      </c>
      <c r="X25" s="30">
        <v>46753.0</v>
      </c>
      <c r="Y25" s="30">
        <v>47118.0</v>
      </c>
      <c r="Z25" s="29" t="s">
        <v>7053</v>
      </c>
      <c r="AA25" s="29" t="s">
        <v>7053</v>
      </c>
      <c r="AB25" s="32" t="s">
        <v>7043</v>
      </c>
      <c r="AC25" s="30">
        <v>47119.0</v>
      </c>
      <c r="AD25" s="30">
        <v>47483.0</v>
      </c>
      <c r="AE25" s="29" t="s">
        <v>7053</v>
      </c>
      <c r="AF25" s="29" t="s">
        <v>7053</v>
      </c>
      <c r="AG25" s="32" t="s">
        <v>7043</v>
      </c>
      <c r="AH25" s="30">
        <v>47484.0</v>
      </c>
      <c r="AI25" s="30">
        <v>47848.0</v>
      </c>
      <c r="AJ25" s="29" t="s">
        <v>7053</v>
      </c>
      <c r="AK25" s="29" t="s">
        <v>7053</v>
      </c>
      <c r="AL25" s="32" t="s">
        <v>7043</v>
      </c>
    </row>
    <row r="26" ht="14.25" customHeight="1">
      <c r="A26" s="28" t="s">
        <v>1503</v>
      </c>
      <c r="B26" s="29" t="s">
        <v>1504</v>
      </c>
      <c r="C26" s="29" t="s">
        <v>7041</v>
      </c>
      <c r="D26" s="30">
        <v>45292.0</v>
      </c>
      <c r="E26" s="30">
        <v>45657.0</v>
      </c>
      <c r="F26" s="29" t="s">
        <v>7086</v>
      </c>
      <c r="G26" s="29" t="s">
        <v>7055</v>
      </c>
      <c r="H26" s="32" t="s">
        <v>7043</v>
      </c>
      <c r="I26" s="30">
        <v>45658.0</v>
      </c>
      <c r="J26" s="30">
        <v>46022.0</v>
      </c>
      <c r="K26" s="29" t="s">
        <v>7086</v>
      </c>
      <c r="L26" s="29" t="s">
        <v>7053</v>
      </c>
      <c r="M26" s="38" t="s">
        <v>7047</v>
      </c>
      <c r="N26" s="30">
        <v>46023.0</v>
      </c>
      <c r="O26" s="30">
        <v>46387.0</v>
      </c>
      <c r="P26" s="29" t="s">
        <v>7053</v>
      </c>
      <c r="Q26" s="29" t="s">
        <v>7053</v>
      </c>
      <c r="R26" s="32" t="s">
        <v>7043</v>
      </c>
      <c r="S26" s="30">
        <v>46388.0</v>
      </c>
      <c r="T26" s="30">
        <v>46752.0</v>
      </c>
      <c r="U26" s="29" t="s">
        <v>7053</v>
      </c>
      <c r="V26" s="29" t="s">
        <v>7053</v>
      </c>
      <c r="W26" s="32" t="s">
        <v>7043</v>
      </c>
      <c r="X26" s="30">
        <v>46753.0</v>
      </c>
      <c r="Y26" s="30">
        <v>47118.0</v>
      </c>
      <c r="Z26" s="29" t="s">
        <v>7053</v>
      </c>
      <c r="AA26" s="29" t="s">
        <v>7053</v>
      </c>
      <c r="AB26" s="32" t="s">
        <v>7043</v>
      </c>
      <c r="AC26" s="30">
        <v>47119.0</v>
      </c>
      <c r="AD26" s="30">
        <v>47483.0</v>
      </c>
      <c r="AE26" s="29" t="s">
        <v>7053</v>
      </c>
      <c r="AF26" s="29" t="s">
        <v>7053</v>
      </c>
      <c r="AG26" s="32" t="s">
        <v>7043</v>
      </c>
      <c r="AH26" s="30">
        <v>47484.0</v>
      </c>
      <c r="AI26" s="30">
        <v>47848.0</v>
      </c>
      <c r="AJ26" s="29" t="s">
        <v>7053</v>
      </c>
      <c r="AK26" s="29" t="s">
        <v>7053</v>
      </c>
      <c r="AL26" s="32" t="s">
        <v>7043</v>
      </c>
    </row>
    <row r="27" ht="14.25" customHeight="1">
      <c r="A27" s="28" t="s">
        <v>1516</v>
      </c>
      <c r="B27" s="29" t="s">
        <v>1517</v>
      </c>
      <c r="C27" s="29" t="s">
        <v>7041</v>
      </c>
      <c r="D27" s="30">
        <v>45292.0</v>
      </c>
      <c r="E27" s="30">
        <v>45657.0</v>
      </c>
      <c r="F27" s="29" t="s">
        <v>7070</v>
      </c>
      <c r="G27" s="29" t="s">
        <v>7051</v>
      </c>
      <c r="H27" s="32" t="s">
        <v>7043</v>
      </c>
      <c r="I27" s="30">
        <v>45658.0</v>
      </c>
      <c r="J27" s="30">
        <v>46022.0</v>
      </c>
      <c r="K27" s="29" t="s">
        <v>7071</v>
      </c>
      <c r="L27" s="29" t="s">
        <v>7053</v>
      </c>
      <c r="M27" s="38" t="s">
        <v>7047</v>
      </c>
      <c r="N27" s="30">
        <v>46023.0</v>
      </c>
      <c r="O27" s="30">
        <v>46387.0</v>
      </c>
      <c r="P27" s="29" t="s">
        <v>7053</v>
      </c>
      <c r="Q27" s="29" t="s">
        <v>7053</v>
      </c>
      <c r="R27" s="32" t="s">
        <v>7043</v>
      </c>
      <c r="S27" s="30">
        <v>46388.0</v>
      </c>
      <c r="T27" s="30">
        <v>46752.0</v>
      </c>
      <c r="U27" s="29" t="s">
        <v>7053</v>
      </c>
      <c r="V27" s="29" t="s">
        <v>7053</v>
      </c>
      <c r="W27" s="32" t="s">
        <v>7043</v>
      </c>
      <c r="X27" s="30">
        <v>46753.0</v>
      </c>
      <c r="Y27" s="30">
        <v>47118.0</v>
      </c>
      <c r="Z27" s="29" t="s">
        <v>7053</v>
      </c>
      <c r="AA27" s="29" t="s">
        <v>7053</v>
      </c>
      <c r="AB27" s="32" t="s">
        <v>7043</v>
      </c>
      <c r="AC27" s="30">
        <v>47119.0</v>
      </c>
      <c r="AD27" s="30">
        <v>47483.0</v>
      </c>
      <c r="AE27" s="29" t="s">
        <v>7053</v>
      </c>
      <c r="AF27" s="29" t="s">
        <v>7053</v>
      </c>
      <c r="AG27" s="32" t="s">
        <v>7043</v>
      </c>
      <c r="AH27" s="30">
        <v>47484.0</v>
      </c>
      <c r="AI27" s="30">
        <v>47848.0</v>
      </c>
      <c r="AJ27" s="29" t="s">
        <v>7053</v>
      </c>
      <c r="AK27" s="29" t="s">
        <v>7053</v>
      </c>
      <c r="AL27" s="32" t="s">
        <v>7043</v>
      </c>
    </row>
    <row r="28" ht="14.25" customHeight="1">
      <c r="A28" s="28" t="s">
        <v>1522</v>
      </c>
      <c r="B28" s="29" t="s">
        <v>1523</v>
      </c>
      <c r="C28" s="29" t="s">
        <v>7041</v>
      </c>
      <c r="D28" s="30">
        <v>45292.0</v>
      </c>
      <c r="E28" s="30">
        <v>45657.0</v>
      </c>
      <c r="F28" s="29" t="s">
        <v>7055</v>
      </c>
      <c r="G28" s="29" t="s">
        <v>7051</v>
      </c>
      <c r="H28" s="38" t="s">
        <v>7047</v>
      </c>
      <c r="I28" s="30">
        <v>45658.0</v>
      </c>
      <c r="J28" s="30">
        <v>46022.0</v>
      </c>
      <c r="K28" s="29" t="s">
        <v>7087</v>
      </c>
      <c r="L28" s="29" t="s">
        <v>7053</v>
      </c>
      <c r="M28" s="38" t="s">
        <v>7047</v>
      </c>
      <c r="N28" s="30">
        <v>46023.0</v>
      </c>
      <c r="O28" s="30">
        <v>46387.0</v>
      </c>
      <c r="P28" s="29" t="s">
        <v>7053</v>
      </c>
      <c r="Q28" s="29" t="s">
        <v>7053</v>
      </c>
      <c r="R28" s="32" t="s">
        <v>7043</v>
      </c>
      <c r="S28" s="30">
        <v>46388.0</v>
      </c>
      <c r="T28" s="30">
        <v>46752.0</v>
      </c>
      <c r="U28" s="29" t="s">
        <v>7053</v>
      </c>
      <c r="V28" s="29" t="s">
        <v>7053</v>
      </c>
      <c r="W28" s="32" t="s">
        <v>7043</v>
      </c>
      <c r="X28" s="30">
        <v>46753.0</v>
      </c>
      <c r="Y28" s="30">
        <v>47118.0</v>
      </c>
      <c r="Z28" s="29" t="s">
        <v>7053</v>
      </c>
      <c r="AA28" s="29" t="s">
        <v>7053</v>
      </c>
      <c r="AB28" s="32" t="s">
        <v>7043</v>
      </c>
      <c r="AC28" s="30">
        <v>47119.0</v>
      </c>
      <c r="AD28" s="30">
        <v>47483.0</v>
      </c>
      <c r="AE28" s="29" t="s">
        <v>7053</v>
      </c>
      <c r="AF28" s="29" t="s">
        <v>7053</v>
      </c>
      <c r="AG28" s="32" t="s">
        <v>7043</v>
      </c>
      <c r="AH28" s="30">
        <v>47484.0</v>
      </c>
      <c r="AI28" s="30">
        <v>47848.0</v>
      </c>
      <c r="AJ28" s="29" t="s">
        <v>7053</v>
      </c>
      <c r="AK28" s="29" t="s">
        <v>7053</v>
      </c>
      <c r="AL28" s="32" t="s">
        <v>7043</v>
      </c>
    </row>
    <row r="29" ht="14.25" customHeight="1">
      <c r="A29" s="28" t="s">
        <v>1641</v>
      </c>
      <c r="B29" s="29" t="s">
        <v>1642</v>
      </c>
      <c r="C29" s="29" t="s">
        <v>7041</v>
      </c>
      <c r="D29" s="30">
        <v>45292.0</v>
      </c>
      <c r="E29" s="30">
        <v>45657.0</v>
      </c>
      <c r="F29" s="29" t="s">
        <v>7088</v>
      </c>
      <c r="G29" s="29" t="s">
        <v>7051</v>
      </c>
      <c r="H29" s="37" t="s">
        <v>7046</v>
      </c>
      <c r="I29" s="30">
        <v>45658.0</v>
      </c>
      <c r="J29" s="30">
        <v>46022.0</v>
      </c>
      <c r="K29" s="29" t="s">
        <v>7075</v>
      </c>
      <c r="L29" s="29" t="s">
        <v>7053</v>
      </c>
      <c r="M29" s="38" t="s">
        <v>7047</v>
      </c>
      <c r="N29" s="30">
        <v>46023.0</v>
      </c>
      <c r="O29" s="30">
        <v>46387.0</v>
      </c>
      <c r="P29" s="29" t="s">
        <v>7053</v>
      </c>
      <c r="Q29" s="29" t="s">
        <v>7053</v>
      </c>
      <c r="R29" s="32" t="s">
        <v>7043</v>
      </c>
      <c r="S29" s="30">
        <v>46388.0</v>
      </c>
      <c r="T29" s="30">
        <v>46752.0</v>
      </c>
      <c r="U29" s="29" t="s">
        <v>7053</v>
      </c>
      <c r="V29" s="29" t="s">
        <v>7053</v>
      </c>
      <c r="W29" s="32" t="s">
        <v>7043</v>
      </c>
      <c r="X29" s="30">
        <v>46753.0</v>
      </c>
      <c r="Y29" s="30">
        <v>47118.0</v>
      </c>
      <c r="Z29" s="29" t="s">
        <v>7053</v>
      </c>
      <c r="AA29" s="29" t="s">
        <v>7053</v>
      </c>
      <c r="AB29" s="32" t="s">
        <v>7043</v>
      </c>
      <c r="AC29" s="30">
        <v>47119.0</v>
      </c>
      <c r="AD29" s="30">
        <v>47483.0</v>
      </c>
      <c r="AE29" s="29" t="s">
        <v>7053</v>
      </c>
      <c r="AF29" s="29" t="s">
        <v>7053</v>
      </c>
      <c r="AG29" s="32" t="s">
        <v>7043</v>
      </c>
      <c r="AH29" s="30">
        <v>47484.0</v>
      </c>
      <c r="AI29" s="30">
        <v>47848.0</v>
      </c>
      <c r="AJ29" s="29" t="s">
        <v>7053</v>
      </c>
      <c r="AK29" s="29" t="s">
        <v>7053</v>
      </c>
      <c r="AL29" s="32" t="s">
        <v>7043</v>
      </c>
    </row>
    <row r="30" ht="14.25" customHeight="1">
      <c r="A30" s="28" t="s">
        <v>1644</v>
      </c>
      <c r="B30" s="29" t="s">
        <v>1645</v>
      </c>
      <c r="C30" s="29" t="s">
        <v>7041</v>
      </c>
      <c r="D30" s="30">
        <v>45292.0</v>
      </c>
      <c r="E30" s="30">
        <v>45657.0</v>
      </c>
      <c r="F30" s="29" t="s">
        <v>7089</v>
      </c>
      <c r="G30" s="29" t="s">
        <v>7051</v>
      </c>
      <c r="H30" s="32" t="s">
        <v>7043</v>
      </c>
      <c r="I30" s="30">
        <v>45658.0</v>
      </c>
      <c r="J30" s="30">
        <v>46022.0</v>
      </c>
      <c r="K30" s="29" t="s">
        <v>7086</v>
      </c>
      <c r="L30" s="29" t="s">
        <v>7053</v>
      </c>
      <c r="M30" s="38" t="s">
        <v>7047</v>
      </c>
      <c r="N30" s="30">
        <v>46023.0</v>
      </c>
      <c r="O30" s="30">
        <v>46387.0</v>
      </c>
      <c r="P30" s="29" t="s">
        <v>7053</v>
      </c>
      <c r="Q30" s="29" t="s">
        <v>7053</v>
      </c>
      <c r="R30" s="32" t="s">
        <v>7043</v>
      </c>
      <c r="S30" s="30">
        <v>46388.0</v>
      </c>
      <c r="T30" s="30">
        <v>46752.0</v>
      </c>
      <c r="U30" s="29" t="s">
        <v>7053</v>
      </c>
      <c r="V30" s="29" t="s">
        <v>7053</v>
      </c>
      <c r="W30" s="32" t="s">
        <v>7043</v>
      </c>
      <c r="X30" s="30">
        <v>46753.0</v>
      </c>
      <c r="Y30" s="30">
        <v>47118.0</v>
      </c>
      <c r="Z30" s="29" t="s">
        <v>7053</v>
      </c>
      <c r="AA30" s="29" t="s">
        <v>7053</v>
      </c>
      <c r="AB30" s="32" t="s">
        <v>7043</v>
      </c>
      <c r="AC30" s="30">
        <v>47119.0</v>
      </c>
      <c r="AD30" s="30">
        <v>47483.0</v>
      </c>
      <c r="AE30" s="29" t="s">
        <v>7053</v>
      </c>
      <c r="AF30" s="29" t="s">
        <v>7053</v>
      </c>
      <c r="AG30" s="32" t="s">
        <v>7043</v>
      </c>
      <c r="AH30" s="30">
        <v>47484.0</v>
      </c>
      <c r="AI30" s="30">
        <v>47848.0</v>
      </c>
      <c r="AJ30" s="29" t="s">
        <v>7053</v>
      </c>
      <c r="AK30" s="29" t="s">
        <v>7053</v>
      </c>
      <c r="AL30" s="32" t="s">
        <v>7043</v>
      </c>
    </row>
    <row r="31" ht="14.25" customHeight="1">
      <c r="A31" s="28" t="s">
        <v>1667</v>
      </c>
      <c r="B31" s="29" t="s">
        <v>1668</v>
      </c>
      <c r="C31" s="29" t="s">
        <v>7041</v>
      </c>
      <c r="D31" s="30">
        <v>45292.0</v>
      </c>
      <c r="E31" s="30">
        <v>45657.0</v>
      </c>
      <c r="F31" s="29" t="s">
        <v>7090</v>
      </c>
      <c r="G31" s="29" t="s">
        <v>7051</v>
      </c>
      <c r="H31" s="38" t="s">
        <v>7047</v>
      </c>
      <c r="I31" s="30">
        <v>45658.0</v>
      </c>
      <c r="J31" s="30">
        <v>46022.0</v>
      </c>
      <c r="K31" s="29" t="s">
        <v>7091</v>
      </c>
      <c r="L31" s="29" t="s">
        <v>7053</v>
      </c>
      <c r="M31" s="38" t="s">
        <v>7047</v>
      </c>
      <c r="N31" s="30">
        <v>46023.0</v>
      </c>
      <c r="O31" s="30">
        <v>46387.0</v>
      </c>
      <c r="P31" s="29" t="s">
        <v>7053</v>
      </c>
      <c r="Q31" s="29" t="s">
        <v>7053</v>
      </c>
      <c r="R31" s="32" t="s">
        <v>7043</v>
      </c>
      <c r="S31" s="30">
        <v>46388.0</v>
      </c>
      <c r="T31" s="30">
        <v>46752.0</v>
      </c>
      <c r="U31" s="29" t="s">
        <v>7053</v>
      </c>
      <c r="V31" s="29" t="s">
        <v>7053</v>
      </c>
      <c r="W31" s="32" t="s">
        <v>7043</v>
      </c>
      <c r="X31" s="30">
        <v>46753.0</v>
      </c>
      <c r="Y31" s="30">
        <v>47118.0</v>
      </c>
      <c r="Z31" s="29" t="s">
        <v>7053</v>
      </c>
      <c r="AA31" s="29" t="s">
        <v>7053</v>
      </c>
      <c r="AB31" s="32" t="s">
        <v>7043</v>
      </c>
      <c r="AC31" s="30">
        <v>47119.0</v>
      </c>
      <c r="AD31" s="30">
        <v>47483.0</v>
      </c>
      <c r="AE31" s="29" t="s">
        <v>7053</v>
      </c>
      <c r="AF31" s="29" t="s">
        <v>7053</v>
      </c>
      <c r="AG31" s="32" t="s">
        <v>7043</v>
      </c>
      <c r="AH31" s="30">
        <v>47484.0</v>
      </c>
      <c r="AI31" s="30">
        <v>47848.0</v>
      </c>
      <c r="AJ31" s="29" t="s">
        <v>7053</v>
      </c>
      <c r="AK31" s="29" t="s">
        <v>7053</v>
      </c>
      <c r="AL31" s="32" t="s">
        <v>7043</v>
      </c>
    </row>
    <row r="32" ht="14.25" customHeight="1">
      <c r="A32" s="28" t="s">
        <v>1674</v>
      </c>
      <c r="B32" s="29" t="s">
        <v>1675</v>
      </c>
      <c r="C32" s="29" t="s">
        <v>7041</v>
      </c>
      <c r="D32" s="30">
        <v>45292.0</v>
      </c>
      <c r="E32" s="30">
        <v>45657.0</v>
      </c>
      <c r="F32" s="29" t="s">
        <v>7092</v>
      </c>
      <c r="G32" s="29" t="s">
        <v>7051</v>
      </c>
      <c r="H32" s="37" t="s">
        <v>7046</v>
      </c>
      <c r="I32" s="30">
        <v>45658.0</v>
      </c>
      <c r="J32" s="30">
        <v>46022.0</v>
      </c>
      <c r="K32" s="29" t="s">
        <v>7093</v>
      </c>
      <c r="L32" s="29" t="s">
        <v>7053</v>
      </c>
      <c r="M32" s="38" t="s">
        <v>7047</v>
      </c>
      <c r="N32" s="30">
        <v>46023.0</v>
      </c>
      <c r="O32" s="30">
        <v>46387.0</v>
      </c>
      <c r="P32" s="29" t="s">
        <v>7053</v>
      </c>
      <c r="Q32" s="29" t="s">
        <v>7053</v>
      </c>
      <c r="R32" s="32" t="s">
        <v>7043</v>
      </c>
      <c r="S32" s="30">
        <v>46388.0</v>
      </c>
      <c r="T32" s="30">
        <v>46752.0</v>
      </c>
      <c r="U32" s="29" t="s">
        <v>7053</v>
      </c>
      <c r="V32" s="29" t="s">
        <v>7053</v>
      </c>
      <c r="W32" s="32" t="s">
        <v>7043</v>
      </c>
      <c r="X32" s="30">
        <v>46753.0</v>
      </c>
      <c r="Y32" s="30">
        <v>47118.0</v>
      </c>
      <c r="Z32" s="29" t="s">
        <v>7053</v>
      </c>
      <c r="AA32" s="29" t="s">
        <v>7053</v>
      </c>
      <c r="AB32" s="32" t="s">
        <v>7043</v>
      </c>
      <c r="AC32" s="30">
        <v>47119.0</v>
      </c>
      <c r="AD32" s="30">
        <v>47483.0</v>
      </c>
      <c r="AE32" s="29" t="s">
        <v>7053</v>
      </c>
      <c r="AF32" s="29" t="s">
        <v>7053</v>
      </c>
      <c r="AG32" s="32" t="s">
        <v>7043</v>
      </c>
      <c r="AH32" s="30">
        <v>47484.0</v>
      </c>
      <c r="AI32" s="30">
        <v>47848.0</v>
      </c>
      <c r="AJ32" s="29" t="s">
        <v>7053</v>
      </c>
      <c r="AK32" s="29" t="s">
        <v>7053</v>
      </c>
      <c r="AL32" s="32" t="s">
        <v>7043</v>
      </c>
    </row>
    <row r="33" ht="14.25" customHeight="1">
      <c r="A33" s="28" t="s">
        <v>1678</v>
      </c>
      <c r="B33" s="29" t="s">
        <v>1679</v>
      </c>
      <c r="C33" s="29" t="s">
        <v>7041</v>
      </c>
      <c r="D33" s="30">
        <v>45292.0</v>
      </c>
      <c r="E33" s="30">
        <v>45657.0</v>
      </c>
      <c r="F33" s="29" t="s">
        <v>7094</v>
      </c>
      <c r="G33" s="29" t="s">
        <v>7051</v>
      </c>
      <c r="H33" s="32" t="s">
        <v>7043</v>
      </c>
      <c r="I33" s="30">
        <v>45658.0</v>
      </c>
      <c r="J33" s="30">
        <v>46022.0</v>
      </c>
      <c r="K33" s="29" t="s">
        <v>7095</v>
      </c>
      <c r="L33" s="29" t="s">
        <v>7053</v>
      </c>
      <c r="M33" s="38" t="s">
        <v>7047</v>
      </c>
      <c r="N33" s="30">
        <v>46023.0</v>
      </c>
      <c r="O33" s="30">
        <v>46387.0</v>
      </c>
      <c r="P33" s="29" t="s">
        <v>7053</v>
      </c>
      <c r="Q33" s="29" t="s">
        <v>7053</v>
      </c>
      <c r="R33" s="32" t="s">
        <v>7043</v>
      </c>
      <c r="S33" s="30">
        <v>46388.0</v>
      </c>
      <c r="T33" s="30">
        <v>46752.0</v>
      </c>
      <c r="U33" s="29" t="s">
        <v>7053</v>
      </c>
      <c r="V33" s="29" t="s">
        <v>7053</v>
      </c>
      <c r="W33" s="32" t="s">
        <v>7043</v>
      </c>
      <c r="X33" s="30">
        <v>46753.0</v>
      </c>
      <c r="Y33" s="30">
        <v>47118.0</v>
      </c>
      <c r="Z33" s="29" t="s">
        <v>7053</v>
      </c>
      <c r="AA33" s="29" t="s">
        <v>7053</v>
      </c>
      <c r="AB33" s="32" t="s">
        <v>7043</v>
      </c>
      <c r="AC33" s="30">
        <v>47119.0</v>
      </c>
      <c r="AD33" s="30">
        <v>47483.0</v>
      </c>
      <c r="AE33" s="29" t="s">
        <v>7053</v>
      </c>
      <c r="AF33" s="29" t="s">
        <v>7053</v>
      </c>
      <c r="AG33" s="32" t="s">
        <v>7043</v>
      </c>
      <c r="AH33" s="30">
        <v>47484.0</v>
      </c>
      <c r="AI33" s="30">
        <v>47848.0</v>
      </c>
      <c r="AJ33" s="29" t="s">
        <v>7053</v>
      </c>
      <c r="AK33" s="29" t="s">
        <v>7053</v>
      </c>
      <c r="AL33" s="32" t="s">
        <v>7043</v>
      </c>
    </row>
    <row r="34" ht="14.25" customHeight="1">
      <c r="A34" s="28" t="s">
        <v>1689</v>
      </c>
      <c r="B34" s="29" t="s">
        <v>1690</v>
      </c>
      <c r="C34" s="29" t="s">
        <v>7041</v>
      </c>
      <c r="D34" s="30">
        <v>45292.0</v>
      </c>
      <c r="E34" s="30">
        <v>45657.0</v>
      </c>
      <c r="F34" s="29" t="s">
        <v>7079</v>
      </c>
      <c r="G34" s="29" t="s">
        <v>7051</v>
      </c>
      <c r="H34" s="32" t="s">
        <v>7043</v>
      </c>
      <c r="I34" s="30">
        <v>45658.0</v>
      </c>
      <c r="J34" s="30">
        <v>46022.0</v>
      </c>
      <c r="K34" s="29" t="s">
        <v>7096</v>
      </c>
      <c r="L34" s="29" t="s">
        <v>7053</v>
      </c>
      <c r="M34" s="38" t="s">
        <v>7047</v>
      </c>
      <c r="N34" s="30">
        <v>46023.0</v>
      </c>
      <c r="O34" s="30">
        <v>46387.0</v>
      </c>
      <c r="P34" s="29" t="s">
        <v>7053</v>
      </c>
      <c r="Q34" s="29" t="s">
        <v>7053</v>
      </c>
      <c r="R34" s="32" t="s">
        <v>7043</v>
      </c>
      <c r="S34" s="30">
        <v>46388.0</v>
      </c>
      <c r="T34" s="30">
        <v>46752.0</v>
      </c>
      <c r="U34" s="29" t="s">
        <v>7053</v>
      </c>
      <c r="V34" s="29" t="s">
        <v>7053</v>
      </c>
      <c r="W34" s="32" t="s">
        <v>7043</v>
      </c>
      <c r="X34" s="30">
        <v>46753.0</v>
      </c>
      <c r="Y34" s="30">
        <v>47118.0</v>
      </c>
      <c r="Z34" s="29" t="s">
        <v>7053</v>
      </c>
      <c r="AA34" s="29" t="s">
        <v>7053</v>
      </c>
      <c r="AB34" s="32" t="s">
        <v>7043</v>
      </c>
      <c r="AC34" s="30">
        <v>47119.0</v>
      </c>
      <c r="AD34" s="30">
        <v>47483.0</v>
      </c>
      <c r="AE34" s="29" t="s">
        <v>7053</v>
      </c>
      <c r="AF34" s="29" t="s">
        <v>7053</v>
      </c>
      <c r="AG34" s="32" t="s">
        <v>7043</v>
      </c>
      <c r="AH34" s="30">
        <v>47484.0</v>
      </c>
      <c r="AI34" s="30">
        <v>47848.0</v>
      </c>
      <c r="AJ34" s="29" t="s">
        <v>7053</v>
      </c>
      <c r="AK34" s="29" t="s">
        <v>7053</v>
      </c>
      <c r="AL34" s="32" t="s">
        <v>7043</v>
      </c>
    </row>
    <row r="35" ht="14.25" customHeight="1">
      <c r="A35" s="28" t="s">
        <v>1695</v>
      </c>
      <c r="B35" s="29" t="s">
        <v>1696</v>
      </c>
      <c r="C35" s="29" t="s">
        <v>7041</v>
      </c>
      <c r="D35" s="30">
        <v>45292.0</v>
      </c>
      <c r="E35" s="30">
        <v>45657.0</v>
      </c>
      <c r="F35" s="29" t="s">
        <v>7097</v>
      </c>
      <c r="G35" s="29" t="s">
        <v>7051</v>
      </c>
      <c r="H35" s="32" t="s">
        <v>7043</v>
      </c>
      <c r="I35" s="30">
        <v>45658.0</v>
      </c>
      <c r="J35" s="30">
        <v>46022.0</v>
      </c>
      <c r="K35" s="29" t="s">
        <v>7097</v>
      </c>
      <c r="L35" s="29" t="s">
        <v>7080</v>
      </c>
      <c r="M35" s="38" t="s">
        <v>7047</v>
      </c>
      <c r="N35" s="30">
        <v>46023.0</v>
      </c>
      <c r="O35" s="30">
        <v>46387.0</v>
      </c>
      <c r="P35" s="29" t="s">
        <v>7053</v>
      </c>
      <c r="Q35" s="29" t="s">
        <v>7053</v>
      </c>
      <c r="R35" s="32" t="s">
        <v>7043</v>
      </c>
      <c r="S35" s="30">
        <v>46388.0</v>
      </c>
      <c r="T35" s="30">
        <v>46752.0</v>
      </c>
      <c r="U35" s="29" t="s">
        <v>7053</v>
      </c>
      <c r="V35" s="29" t="s">
        <v>7053</v>
      </c>
      <c r="W35" s="32" t="s">
        <v>7043</v>
      </c>
      <c r="X35" s="30">
        <v>46753.0</v>
      </c>
      <c r="Y35" s="30">
        <v>47118.0</v>
      </c>
      <c r="Z35" s="29" t="s">
        <v>7053</v>
      </c>
      <c r="AA35" s="29" t="s">
        <v>7053</v>
      </c>
      <c r="AB35" s="32" t="s">
        <v>7043</v>
      </c>
      <c r="AC35" s="30">
        <v>47119.0</v>
      </c>
      <c r="AD35" s="30">
        <v>47483.0</v>
      </c>
      <c r="AE35" s="29" t="s">
        <v>7053</v>
      </c>
      <c r="AF35" s="29" t="s">
        <v>7053</v>
      </c>
      <c r="AG35" s="32" t="s">
        <v>7043</v>
      </c>
      <c r="AH35" s="30">
        <v>47484.0</v>
      </c>
      <c r="AI35" s="30">
        <v>47848.0</v>
      </c>
      <c r="AJ35" s="29" t="s">
        <v>7053</v>
      </c>
      <c r="AK35" s="29" t="s">
        <v>7053</v>
      </c>
      <c r="AL35" s="32" t="s">
        <v>7043</v>
      </c>
    </row>
    <row r="36" ht="14.25" customHeight="1">
      <c r="A36" s="28" t="s">
        <v>1699</v>
      </c>
      <c r="B36" s="29" t="s">
        <v>1700</v>
      </c>
      <c r="C36" s="29" t="s">
        <v>7041</v>
      </c>
      <c r="D36" s="30">
        <v>45292.0</v>
      </c>
      <c r="E36" s="30">
        <v>45657.0</v>
      </c>
      <c r="F36" s="29" t="s">
        <v>7068</v>
      </c>
      <c r="G36" s="29" t="s">
        <v>7051</v>
      </c>
      <c r="H36" s="32" t="s">
        <v>7043</v>
      </c>
      <c r="I36" s="30">
        <v>45658.0</v>
      </c>
      <c r="J36" s="30">
        <v>46022.0</v>
      </c>
      <c r="K36" s="29" t="s">
        <v>7069</v>
      </c>
      <c r="L36" s="29" t="s">
        <v>7053</v>
      </c>
      <c r="M36" s="38" t="s">
        <v>7047</v>
      </c>
      <c r="N36" s="30">
        <v>46023.0</v>
      </c>
      <c r="O36" s="30">
        <v>46387.0</v>
      </c>
      <c r="P36" s="29" t="s">
        <v>7053</v>
      </c>
      <c r="Q36" s="29" t="s">
        <v>7053</v>
      </c>
      <c r="R36" s="32" t="s">
        <v>7043</v>
      </c>
      <c r="S36" s="30">
        <v>46388.0</v>
      </c>
      <c r="T36" s="30">
        <v>46752.0</v>
      </c>
      <c r="U36" s="29" t="s">
        <v>7053</v>
      </c>
      <c r="V36" s="29" t="s">
        <v>7053</v>
      </c>
      <c r="W36" s="32" t="s">
        <v>7043</v>
      </c>
      <c r="X36" s="30">
        <v>46753.0</v>
      </c>
      <c r="Y36" s="30">
        <v>47118.0</v>
      </c>
      <c r="Z36" s="29" t="s">
        <v>7053</v>
      </c>
      <c r="AA36" s="29" t="s">
        <v>7053</v>
      </c>
      <c r="AB36" s="32" t="s">
        <v>7043</v>
      </c>
      <c r="AC36" s="30">
        <v>47119.0</v>
      </c>
      <c r="AD36" s="30">
        <v>47483.0</v>
      </c>
      <c r="AE36" s="29" t="s">
        <v>7053</v>
      </c>
      <c r="AF36" s="29" t="s">
        <v>7053</v>
      </c>
      <c r="AG36" s="32" t="s">
        <v>7043</v>
      </c>
      <c r="AH36" s="30">
        <v>47484.0</v>
      </c>
      <c r="AI36" s="30">
        <v>47848.0</v>
      </c>
      <c r="AJ36" s="29" t="s">
        <v>7053</v>
      </c>
      <c r="AK36" s="29" t="s">
        <v>7053</v>
      </c>
      <c r="AL36" s="32" t="s">
        <v>7043</v>
      </c>
    </row>
    <row r="37" ht="14.25" customHeight="1">
      <c r="A37" s="28" t="s">
        <v>1702</v>
      </c>
      <c r="B37" s="29" t="s">
        <v>1703</v>
      </c>
      <c r="C37" s="29" t="s">
        <v>7041</v>
      </c>
      <c r="D37" s="30">
        <v>45292.0</v>
      </c>
      <c r="E37" s="30">
        <v>45657.0</v>
      </c>
      <c r="F37" s="29" t="s">
        <v>7098</v>
      </c>
      <c r="G37" s="29" t="s">
        <v>7051</v>
      </c>
      <c r="H37" s="38" t="s">
        <v>7047</v>
      </c>
      <c r="I37" s="30">
        <v>45658.0</v>
      </c>
      <c r="J37" s="30">
        <v>46022.0</v>
      </c>
      <c r="K37" s="29" t="s">
        <v>7099</v>
      </c>
      <c r="L37" s="29" t="s">
        <v>7053</v>
      </c>
      <c r="M37" s="38" t="s">
        <v>7047</v>
      </c>
      <c r="N37" s="30">
        <v>46023.0</v>
      </c>
      <c r="O37" s="30">
        <v>46387.0</v>
      </c>
      <c r="P37" s="29" t="s">
        <v>7053</v>
      </c>
      <c r="Q37" s="29" t="s">
        <v>7053</v>
      </c>
      <c r="R37" s="32" t="s">
        <v>7043</v>
      </c>
      <c r="S37" s="30">
        <v>46388.0</v>
      </c>
      <c r="T37" s="30">
        <v>46752.0</v>
      </c>
      <c r="U37" s="29" t="s">
        <v>7053</v>
      </c>
      <c r="V37" s="29" t="s">
        <v>7053</v>
      </c>
      <c r="W37" s="32" t="s">
        <v>7043</v>
      </c>
      <c r="X37" s="30">
        <v>46753.0</v>
      </c>
      <c r="Y37" s="30">
        <v>47118.0</v>
      </c>
      <c r="Z37" s="29" t="s">
        <v>7053</v>
      </c>
      <c r="AA37" s="29" t="s">
        <v>7053</v>
      </c>
      <c r="AB37" s="32" t="s">
        <v>7043</v>
      </c>
      <c r="AC37" s="30">
        <v>47119.0</v>
      </c>
      <c r="AD37" s="30">
        <v>47483.0</v>
      </c>
      <c r="AE37" s="29" t="s">
        <v>7053</v>
      </c>
      <c r="AF37" s="29" t="s">
        <v>7053</v>
      </c>
      <c r="AG37" s="32" t="s">
        <v>7043</v>
      </c>
      <c r="AH37" s="30">
        <v>47484.0</v>
      </c>
      <c r="AI37" s="30">
        <v>47848.0</v>
      </c>
      <c r="AJ37" s="29" t="s">
        <v>7053</v>
      </c>
      <c r="AK37" s="29" t="s">
        <v>7053</v>
      </c>
      <c r="AL37" s="32" t="s">
        <v>7043</v>
      </c>
    </row>
    <row r="38" ht="14.25" customHeight="1">
      <c r="A38" s="28" t="s">
        <v>1706</v>
      </c>
      <c r="B38" s="29" t="s">
        <v>1707</v>
      </c>
      <c r="C38" s="29" t="s">
        <v>7041</v>
      </c>
      <c r="D38" s="30">
        <v>45292.0</v>
      </c>
      <c r="E38" s="30">
        <v>45657.0</v>
      </c>
      <c r="F38" s="29" t="s">
        <v>7084</v>
      </c>
      <c r="G38" s="29" t="s">
        <v>7051</v>
      </c>
      <c r="H38" s="37" t="s">
        <v>7046</v>
      </c>
      <c r="I38" s="30">
        <v>45658.0</v>
      </c>
      <c r="J38" s="30">
        <v>46022.0</v>
      </c>
      <c r="K38" s="29" t="s">
        <v>7092</v>
      </c>
      <c r="L38" s="29" t="s">
        <v>7053</v>
      </c>
      <c r="M38" s="38" t="s">
        <v>7047</v>
      </c>
      <c r="N38" s="30">
        <v>46023.0</v>
      </c>
      <c r="O38" s="30">
        <v>46387.0</v>
      </c>
      <c r="P38" s="29" t="s">
        <v>7053</v>
      </c>
      <c r="Q38" s="29" t="s">
        <v>7053</v>
      </c>
      <c r="R38" s="32" t="s">
        <v>7043</v>
      </c>
      <c r="S38" s="30">
        <v>46388.0</v>
      </c>
      <c r="T38" s="30">
        <v>46752.0</v>
      </c>
      <c r="U38" s="29" t="s">
        <v>7053</v>
      </c>
      <c r="V38" s="29" t="s">
        <v>7053</v>
      </c>
      <c r="W38" s="32" t="s">
        <v>7043</v>
      </c>
      <c r="X38" s="30">
        <v>46753.0</v>
      </c>
      <c r="Y38" s="30">
        <v>47118.0</v>
      </c>
      <c r="Z38" s="29" t="s">
        <v>7053</v>
      </c>
      <c r="AA38" s="29" t="s">
        <v>7053</v>
      </c>
      <c r="AB38" s="32" t="s">
        <v>7043</v>
      </c>
      <c r="AC38" s="30">
        <v>47119.0</v>
      </c>
      <c r="AD38" s="30">
        <v>47483.0</v>
      </c>
      <c r="AE38" s="29" t="s">
        <v>7053</v>
      </c>
      <c r="AF38" s="29" t="s">
        <v>7053</v>
      </c>
      <c r="AG38" s="32" t="s">
        <v>7043</v>
      </c>
      <c r="AH38" s="30">
        <v>47484.0</v>
      </c>
      <c r="AI38" s="30">
        <v>47848.0</v>
      </c>
      <c r="AJ38" s="29" t="s">
        <v>7053</v>
      </c>
      <c r="AK38" s="29" t="s">
        <v>7053</v>
      </c>
      <c r="AL38" s="32" t="s">
        <v>7043</v>
      </c>
    </row>
    <row r="39" ht="14.25" customHeight="1">
      <c r="A39" s="28" t="s">
        <v>1722</v>
      </c>
      <c r="B39" s="29" t="s">
        <v>1723</v>
      </c>
      <c r="C39" s="29" t="s">
        <v>7041</v>
      </c>
      <c r="D39" s="30">
        <v>45292.0</v>
      </c>
      <c r="E39" s="30">
        <v>45657.0</v>
      </c>
      <c r="F39" s="29" t="s">
        <v>7062</v>
      </c>
      <c r="G39" s="29" t="s">
        <v>7051</v>
      </c>
      <c r="H39" s="32" t="s">
        <v>7043</v>
      </c>
      <c r="I39" s="30">
        <v>45658.0</v>
      </c>
      <c r="J39" s="30">
        <v>46022.0</v>
      </c>
      <c r="K39" s="29" t="s">
        <v>7071</v>
      </c>
      <c r="L39" s="29" t="s">
        <v>7053</v>
      </c>
      <c r="M39" s="38" t="s">
        <v>7047</v>
      </c>
      <c r="N39" s="30">
        <v>46023.0</v>
      </c>
      <c r="O39" s="30">
        <v>46387.0</v>
      </c>
      <c r="P39" s="29" t="s">
        <v>7053</v>
      </c>
      <c r="Q39" s="29" t="s">
        <v>7053</v>
      </c>
      <c r="R39" s="32" t="s">
        <v>7043</v>
      </c>
      <c r="S39" s="30">
        <v>46388.0</v>
      </c>
      <c r="T39" s="30">
        <v>46752.0</v>
      </c>
      <c r="U39" s="29" t="s">
        <v>7053</v>
      </c>
      <c r="V39" s="29" t="s">
        <v>7053</v>
      </c>
      <c r="W39" s="32" t="s">
        <v>7043</v>
      </c>
      <c r="X39" s="30">
        <v>46753.0</v>
      </c>
      <c r="Y39" s="30">
        <v>47118.0</v>
      </c>
      <c r="Z39" s="29" t="s">
        <v>7053</v>
      </c>
      <c r="AA39" s="29" t="s">
        <v>7053</v>
      </c>
      <c r="AB39" s="32" t="s">
        <v>7043</v>
      </c>
      <c r="AC39" s="30">
        <v>47119.0</v>
      </c>
      <c r="AD39" s="30">
        <v>47483.0</v>
      </c>
      <c r="AE39" s="29" t="s">
        <v>7053</v>
      </c>
      <c r="AF39" s="29" t="s">
        <v>7053</v>
      </c>
      <c r="AG39" s="32" t="s">
        <v>7043</v>
      </c>
      <c r="AH39" s="30">
        <v>47484.0</v>
      </c>
      <c r="AI39" s="30">
        <v>47848.0</v>
      </c>
      <c r="AJ39" s="29" t="s">
        <v>7053</v>
      </c>
      <c r="AK39" s="29" t="s">
        <v>7053</v>
      </c>
      <c r="AL39" s="32" t="s">
        <v>7043</v>
      </c>
    </row>
    <row r="40" ht="14.25" customHeight="1">
      <c r="A40" s="28" t="s">
        <v>1735</v>
      </c>
      <c r="B40" s="29" t="s">
        <v>1736</v>
      </c>
      <c r="C40" s="29" t="s">
        <v>7041</v>
      </c>
      <c r="D40" s="30">
        <v>45292.0</v>
      </c>
      <c r="E40" s="30">
        <v>45657.0</v>
      </c>
      <c r="F40" s="29" t="s">
        <v>7079</v>
      </c>
      <c r="G40" s="29" t="s">
        <v>7051</v>
      </c>
      <c r="H40" s="32" t="s">
        <v>7043</v>
      </c>
      <c r="I40" s="30">
        <v>45658.0</v>
      </c>
      <c r="J40" s="30">
        <v>46022.0</v>
      </c>
      <c r="K40" s="29" t="s">
        <v>7097</v>
      </c>
      <c r="L40" s="29" t="s">
        <v>7053</v>
      </c>
      <c r="M40" s="38" t="s">
        <v>7047</v>
      </c>
      <c r="N40" s="30">
        <v>46023.0</v>
      </c>
      <c r="O40" s="30">
        <v>46387.0</v>
      </c>
      <c r="P40" s="29" t="s">
        <v>7053</v>
      </c>
      <c r="Q40" s="29" t="s">
        <v>7053</v>
      </c>
      <c r="R40" s="32" t="s">
        <v>7043</v>
      </c>
      <c r="S40" s="30">
        <v>46388.0</v>
      </c>
      <c r="T40" s="30">
        <v>46752.0</v>
      </c>
      <c r="U40" s="29" t="s">
        <v>7053</v>
      </c>
      <c r="V40" s="29" t="s">
        <v>7053</v>
      </c>
      <c r="W40" s="32" t="s">
        <v>7043</v>
      </c>
      <c r="X40" s="30">
        <v>46753.0</v>
      </c>
      <c r="Y40" s="30">
        <v>47118.0</v>
      </c>
      <c r="Z40" s="29" t="s">
        <v>7053</v>
      </c>
      <c r="AA40" s="29" t="s">
        <v>7053</v>
      </c>
      <c r="AB40" s="32" t="s">
        <v>7043</v>
      </c>
      <c r="AC40" s="30">
        <v>47119.0</v>
      </c>
      <c r="AD40" s="30">
        <v>47483.0</v>
      </c>
      <c r="AE40" s="29" t="s">
        <v>7053</v>
      </c>
      <c r="AF40" s="29" t="s">
        <v>7053</v>
      </c>
      <c r="AG40" s="32" t="s">
        <v>7043</v>
      </c>
      <c r="AH40" s="30">
        <v>47484.0</v>
      </c>
      <c r="AI40" s="30">
        <v>47848.0</v>
      </c>
      <c r="AJ40" s="29" t="s">
        <v>7053</v>
      </c>
      <c r="AK40" s="29" t="s">
        <v>7053</v>
      </c>
      <c r="AL40" s="32" t="s">
        <v>7043</v>
      </c>
    </row>
    <row r="41" ht="14.25" customHeight="1">
      <c r="A41" s="28" t="s">
        <v>1747</v>
      </c>
      <c r="B41" s="29" t="s">
        <v>1748</v>
      </c>
      <c r="C41" s="29" t="s">
        <v>7041</v>
      </c>
      <c r="D41" s="30">
        <v>45292.0</v>
      </c>
      <c r="E41" s="30">
        <v>45657.0</v>
      </c>
      <c r="F41" s="29" t="s">
        <v>7066</v>
      </c>
      <c r="G41" s="29" t="s">
        <v>7051</v>
      </c>
      <c r="H41" s="37" t="s">
        <v>7046</v>
      </c>
      <c r="I41" s="30">
        <v>45658.0</v>
      </c>
      <c r="J41" s="30">
        <v>46022.0</v>
      </c>
      <c r="K41" s="29" t="s">
        <v>7065</v>
      </c>
      <c r="L41" s="29" t="s">
        <v>7053</v>
      </c>
      <c r="M41" s="38" t="s">
        <v>7047</v>
      </c>
      <c r="N41" s="30">
        <v>46023.0</v>
      </c>
      <c r="O41" s="30">
        <v>46387.0</v>
      </c>
      <c r="P41" s="29" t="s">
        <v>7053</v>
      </c>
      <c r="Q41" s="29" t="s">
        <v>7053</v>
      </c>
      <c r="R41" s="32" t="s">
        <v>7043</v>
      </c>
      <c r="S41" s="30">
        <v>46388.0</v>
      </c>
      <c r="T41" s="30">
        <v>46752.0</v>
      </c>
      <c r="U41" s="29" t="s">
        <v>7053</v>
      </c>
      <c r="V41" s="29" t="s">
        <v>7053</v>
      </c>
      <c r="W41" s="32" t="s">
        <v>7043</v>
      </c>
      <c r="X41" s="30">
        <v>46753.0</v>
      </c>
      <c r="Y41" s="30">
        <v>47118.0</v>
      </c>
      <c r="Z41" s="29" t="s">
        <v>7053</v>
      </c>
      <c r="AA41" s="29" t="s">
        <v>7053</v>
      </c>
      <c r="AB41" s="32" t="s">
        <v>7043</v>
      </c>
      <c r="AC41" s="30">
        <v>47119.0</v>
      </c>
      <c r="AD41" s="30">
        <v>47483.0</v>
      </c>
      <c r="AE41" s="29" t="s">
        <v>7053</v>
      </c>
      <c r="AF41" s="29" t="s">
        <v>7053</v>
      </c>
      <c r="AG41" s="32" t="s">
        <v>7043</v>
      </c>
      <c r="AH41" s="30">
        <v>47484.0</v>
      </c>
      <c r="AI41" s="30">
        <v>47848.0</v>
      </c>
      <c r="AJ41" s="29" t="s">
        <v>7053</v>
      </c>
      <c r="AK41" s="29" t="s">
        <v>7053</v>
      </c>
      <c r="AL41" s="32" t="s">
        <v>7043</v>
      </c>
    </row>
    <row r="42" ht="14.25" customHeight="1">
      <c r="A42" s="28" t="s">
        <v>1751</v>
      </c>
      <c r="B42" s="29" t="s">
        <v>1752</v>
      </c>
      <c r="C42" s="29" t="s">
        <v>7041</v>
      </c>
      <c r="D42" s="30">
        <v>45292.0</v>
      </c>
      <c r="E42" s="30">
        <v>45657.0</v>
      </c>
      <c r="F42" s="29" t="s">
        <v>7100</v>
      </c>
      <c r="G42" s="29" t="s">
        <v>7051</v>
      </c>
      <c r="H42" s="32" t="s">
        <v>7043</v>
      </c>
      <c r="I42" s="30">
        <v>45658.0</v>
      </c>
      <c r="J42" s="30">
        <v>46022.0</v>
      </c>
      <c r="K42" s="29" t="s">
        <v>7068</v>
      </c>
      <c r="L42" s="29" t="s">
        <v>7053</v>
      </c>
      <c r="M42" s="38" t="s">
        <v>7047</v>
      </c>
      <c r="N42" s="30">
        <v>46023.0</v>
      </c>
      <c r="O42" s="30">
        <v>46387.0</v>
      </c>
      <c r="P42" s="29" t="s">
        <v>7053</v>
      </c>
      <c r="Q42" s="29" t="s">
        <v>7053</v>
      </c>
      <c r="R42" s="32" t="s">
        <v>7043</v>
      </c>
      <c r="S42" s="30">
        <v>46388.0</v>
      </c>
      <c r="T42" s="30">
        <v>46752.0</v>
      </c>
      <c r="U42" s="29" t="s">
        <v>7053</v>
      </c>
      <c r="V42" s="29" t="s">
        <v>7053</v>
      </c>
      <c r="W42" s="32" t="s">
        <v>7043</v>
      </c>
      <c r="X42" s="30">
        <v>46753.0</v>
      </c>
      <c r="Y42" s="30">
        <v>47118.0</v>
      </c>
      <c r="Z42" s="29" t="s">
        <v>7053</v>
      </c>
      <c r="AA42" s="29" t="s">
        <v>7053</v>
      </c>
      <c r="AB42" s="32" t="s">
        <v>7043</v>
      </c>
      <c r="AC42" s="30">
        <v>47119.0</v>
      </c>
      <c r="AD42" s="30">
        <v>47483.0</v>
      </c>
      <c r="AE42" s="29" t="s">
        <v>7053</v>
      </c>
      <c r="AF42" s="29" t="s">
        <v>7053</v>
      </c>
      <c r="AG42" s="32" t="s">
        <v>7043</v>
      </c>
      <c r="AH42" s="30">
        <v>47484.0</v>
      </c>
      <c r="AI42" s="30">
        <v>47848.0</v>
      </c>
      <c r="AJ42" s="29" t="s">
        <v>7053</v>
      </c>
      <c r="AK42" s="29" t="s">
        <v>7053</v>
      </c>
      <c r="AL42" s="32" t="s">
        <v>7043</v>
      </c>
    </row>
    <row r="43" ht="14.25" customHeight="1">
      <c r="A43" s="28" t="s">
        <v>1760</v>
      </c>
      <c r="B43" s="29" t="s">
        <v>1761</v>
      </c>
      <c r="C43" s="29" t="s">
        <v>7041</v>
      </c>
      <c r="D43" s="30">
        <v>45292.0</v>
      </c>
      <c r="E43" s="30">
        <v>45657.0</v>
      </c>
      <c r="F43" s="29" t="s">
        <v>7066</v>
      </c>
      <c r="G43" s="29" t="s">
        <v>7051</v>
      </c>
      <c r="H43" s="37" t="s">
        <v>7046</v>
      </c>
      <c r="I43" s="30">
        <v>45658.0</v>
      </c>
      <c r="J43" s="30">
        <v>46022.0</v>
      </c>
      <c r="K43" s="29" t="s">
        <v>7072</v>
      </c>
      <c r="L43" s="29" t="s">
        <v>7053</v>
      </c>
      <c r="M43" s="38" t="s">
        <v>7047</v>
      </c>
      <c r="N43" s="30">
        <v>46023.0</v>
      </c>
      <c r="O43" s="30">
        <v>46387.0</v>
      </c>
      <c r="P43" s="29" t="s">
        <v>7053</v>
      </c>
      <c r="Q43" s="29" t="s">
        <v>7053</v>
      </c>
      <c r="R43" s="32" t="s">
        <v>7043</v>
      </c>
      <c r="S43" s="30">
        <v>46388.0</v>
      </c>
      <c r="T43" s="30">
        <v>46752.0</v>
      </c>
      <c r="U43" s="29" t="s">
        <v>7053</v>
      </c>
      <c r="V43" s="29" t="s">
        <v>7053</v>
      </c>
      <c r="W43" s="32" t="s">
        <v>7043</v>
      </c>
      <c r="X43" s="30">
        <v>46753.0</v>
      </c>
      <c r="Y43" s="30">
        <v>47118.0</v>
      </c>
      <c r="Z43" s="29" t="s">
        <v>7053</v>
      </c>
      <c r="AA43" s="29" t="s">
        <v>7053</v>
      </c>
      <c r="AB43" s="32" t="s">
        <v>7043</v>
      </c>
      <c r="AC43" s="30">
        <v>47119.0</v>
      </c>
      <c r="AD43" s="30">
        <v>47483.0</v>
      </c>
      <c r="AE43" s="29" t="s">
        <v>7053</v>
      </c>
      <c r="AF43" s="29" t="s">
        <v>7053</v>
      </c>
      <c r="AG43" s="32" t="s">
        <v>7043</v>
      </c>
      <c r="AH43" s="30">
        <v>47484.0</v>
      </c>
      <c r="AI43" s="30">
        <v>47848.0</v>
      </c>
      <c r="AJ43" s="29" t="s">
        <v>7053</v>
      </c>
      <c r="AK43" s="29" t="s">
        <v>7053</v>
      </c>
      <c r="AL43" s="32" t="s">
        <v>7043</v>
      </c>
    </row>
    <row r="44" ht="14.25" customHeight="1">
      <c r="A44" s="28" t="s">
        <v>1764</v>
      </c>
      <c r="B44" s="29" t="s">
        <v>1765</v>
      </c>
      <c r="C44" s="29" t="s">
        <v>7041</v>
      </c>
      <c r="D44" s="30">
        <v>45292.0</v>
      </c>
      <c r="E44" s="30">
        <v>45657.0</v>
      </c>
      <c r="F44" s="29" t="s">
        <v>7058</v>
      </c>
      <c r="G44" s="29" t="s">
        <v>7051</v>
      </c>
      <c r="H44" s="37" t="s">
        <v>7046</v>
      </c>
      <c r="I44" s="30">
        <v>45658.0</v>
      </c>
      <c r="J44" s="30">
        <v>46022.0</v>
      </c>
      <c r="K44" s="29" t="s">
        <v>7075</v>
      </c>
      <c r="L44" s="29" t="s">
        <v>7053</v>
      </c>
      <c r="M44" s="38" t="s">
        <v>7047</v>
      </c>
      <c r="N44" s="30">
        <v>46023.0</v>
      </c>
      <c r="O44" s="30">
        <v>46387.0</v>
      </c>
      <c r="P44" s="29" t="s">
        <v>7053</v>
      </c>
      <c r="Q44" s="29" t="s">
        <v>7053</v>
      </c>
      <c r="R44" s="32" t="s">
        <v>7043</v>
      </c>
      <c r="S44" s="30">
        <v>46388.0</v>
      </c>
      <c r="T44" s="30">
        <v>46752.0</v>
      </c>
      <c r="U44" s="29" t="s">
        <v>7053</v>
      </c>
      <c r="V44" s="29" t="s">
        <v>7053</v>
      </c>
      <c r="W44" s="32" t="s">
        <v>7043</v>
      </c>
      <c r="X44" s="30">
        <v>46753.0</v>
      </c>
      <c r="Y44" s="30">
        <v>47118.0</v>
      </c>
      <c r="Z44" s="29" t="s">
        <v>7053</v>
      </c>
      <c r="AA44" s="29" t="s">
        <v>7053</v>
      </c>
      <c r="AB44" s="32" t="s">
        <v>7043</v>
      </c>
      <c r="AC44" s="30">
        <v>47119.0</v>
      </c>
      <c r="AD44" s="30">
        <v>47483.0</v>
      </c>
      <c r="AE44" s="29" t="s">
        <v>7053</v>
      </c>
      <c r="AF44" s="29" t="s">
        <v>7053</v>
      </c>
      <c r="AG44" s="32" t="s">
        <v>7043</v>
      </c>
      <c r="AH44" s="30">
        <v>47484.0</v>
      </c>
      <c r="AI44" s="30">
        <v>47848.0</v>
      </c>
      <c r="AJ44" s="29" t="s">
        <v>7053</v>
      </c>
      <c r="AK44" s="29" t="s">
        <v>7053</v>
      </c>
      <c r="AL44" s="32" t="s">
        <v>7043</v>
      </c>
    </row>
    <row r="45" ht="14.25" customHeight="1">
      <c r="A45" s="28" t="s">
        <v>1792</v>
      </c>
      <c r="B45" s="29" t="s">
        <v>1793</v>
      </c>
      <c r="C45" s="29" t="s">
        <v>7041</v>
      </c>
      <c r="D45" s="30">
        <v>45292.0</v>
      </c>
      <c r="E45" s="30">
        <v>45657.0</v>
      </c>
      <c r="F45" s="29" t="s">
        <v>7064</v>
      </c>
      <c r="G45" s="29" t="s">
        <v>7051</v>
      </c>
      <c r="H45" s="32" t="s">
        <v>7043</v>
      </c>
      <c r="I45" s="30">
        <v>45658.0</v>
      </c>
      <c r="J45" s="30">
        <v>46022.0</v>
      </c>
      <c r="K45" s="29" t="s">
        <v>7101</v>
      </c>
      <c r="L45" s="29" t="s">
        <v>7053</v>
      </c>
      <c r="M45" s="38" t="s">
        <v>7047</v>
      </c>
      <c r="N45" s="30">
        <v>46023.0</v>
      </c>
      <c r="O45" s="30">
        <v>46387.0</v>
      </c>
      <c r="P45" s="29" t="s">
        <v>7053</v>
      </c>
      <c r="Q45" s="29" t="s">
        <v>7053</v>
      </c>
      <c r="R45" s="32" t="s">
        <v>7043</v>
      </c>
      <c r="S45" s="30">
        <v>46388.0</v>
      </c>
      <c r="T45" s="30">
        <v>46752.0</v>
      </c>
      <c r="U45" s="29" t="s">
        <v>7053</v>
      </c>
      <c r="V45" s="29" t="s">
        <v>7053</v>
      </c>
      <c r="W45" s="32" t="s">
        <v>7043</v>
      </c>
      <c r="X45" s="30">
        <v>46753.0</v>
      </c>
      <c r="Y45" s="30">
        <v>47118.0</v>
      </c>
      <c r="Z45" s="29" t="s">
        <v>7053</v>
      </c>
      <c r="AA45" s="29" t="s">
        <v>7053</v>
      </c>
      <c r="AB45" s="32" t="s">
        <v>7043</v>
      </c>
      <c r="AC45" s="30">
        <v>47119.0</v>
      </c>
      <c r="AD45" s="30">
        <v>47483.0</v>
      </c>
      <c r="AE45" s="29" t="s">
        <v>7053</v>
      </c>
      <c r="AF45" s="29" t="s">
        <v>7053</v>
      </c>
      <c r="AG45" s="32" t="s">
        <v>7043</v>
      </c>
      <c r="AH45" s="30">
        <v>47484.0</v>
      </c>
      <c r="AI45" s="30">
        <v>47848.0</v>
      </c>
      <c r="AJ45" s="29" t="s">
        <v>7053</v>
      </c>
      <c r="AK45" s="29" t="s">
        <v>7053</v>
      </c>
      <c r="AL45" s="32" t="s">
        <v>7043</v>
      </c>
    </row>
    <row r="46" ht="14.25" customHeight="1">
      <c r="A46" s="28" t="s">
        <v>1833</v>
      </c>
      <c r="B46" s="29" t="s">
        <v>1834</v>
      </c>
      <c r="C46" s="29" t="s">
        <v>7041</v>
      </c>
      <c r="D46" s="30">
        <v>45292.0</v>
      </c>
      <c r="E46" s="30">
        <v>45657.0</v>
      </c>
      <c r="F46" s="29" t="s">
        <v>7065</v>
      </c>
      <c r="G46" s="29" t="s">
        <v>7102</v>
      </c>
      <c r="H46" s="37" t="s">
        <v>7046</v>
      </c>
      <c r="I46" s="30">
        <v>45658.0</v>
      </c>
      <c r="J46" s="30">
        <v>46022.0</v>
      </c>
      <c r="K46" s="29" t="s">
        <v>7103</v>
      </c>
      <c r="L46" s="29" t="s">
        <v>7053</v>
      </c>
      <c r="M46" s="38" t="s">
        <v>7047</v>
      </c>
      <c r="N46" s="30">
        <v>46023.0</v>
      </c>
      <c r="O46" s="30">
        <v>46387.0</v>
      </c>
      <c r="P46" s="29" t="s">
        <v>7053</v>
      </c>
      <c r="Q46" s="29" t="s">
        <v>7053</v>
      </c>
      <c r="R46" s="32" t="s">
        <v>7043</v>
      </c>
      <c r="S46" s="30">
        <v>46388.0</v>
      </c>
      <c r="T46" s="30">
        <v>46752.0</v>
      </c>
      <c r="U46" s="29" t="s">
        <v>7053</v>
      </c>
      <c r="V46" s="29" t="s">
        <v>7053</v>
      </c>
      <c r="W46" s="32" t="s">
        <v>7043</v>
      </c>
      <c r="X46" s="30">
        <v>46753.0</v>
      </c>
      <c r="Y46" s="30">
        <v>47118.0</v>
      </c>
      <c r="Z46" s="29" t="s">
        <v>7053</v>
      </c>
      <c r="AA46" s="29" t="s">
        <v>7053</v>
      </c>
      <c r="AB46" s="32" t="s">
        <v>7043</v>
      </c>
      <c r="AC46" s="30">
        <v>47119.0</v>
      </c>
      <c r="AD46" s="30">
        <v>47483.0</v>
      </c>
      <c r="AE46" s="29" t="s">
        <v>7053</v>
      </c>
      <c r="AF46" s="29" t="s">
        <v>7053</v>
      </c>
      <c r="AG46" s="32" t="s">
        <v>7043</v>
      </c>
      <c r="AH46" s="30">
        <v>47484.0</v>
      </c>
      <c r="AI46" s="30">
        <v>47848.0</v>
      </c>
      <c r="AJ46" s="29" t="s">
        <v>7053</v>
      </c>
      <c r="AK46" s="29" t="s">
        <v>7053</v>
      </c>
      <c r="AL46" s="32" t="s">
        <v>7043</v>
      </c>
    </row>
    <row r="47" ht="14.25" customHeight="1">
      <c r="A47" s="28" t="s">
        <v>1840</v>
      </c>
      <c r="B47" s="34" t="s">
        <v>1841</v>
      </c>
      <c r="C47" s="29" t="s">
        <v>7041</v>
      </c>
      <c r="D47" s="30">
        <v>45292.0</v>
      </c>
      <c r="E47" s="30">
        <v>45657.0</v>
      </c>
      <c r="F47" s="29" t="s">
        <v>7050</v>
      </c>
      <c r="G47" s="29" t="s">
        <v>7051</v>
      </c>
      <c r="H47" s="32" t="s">
        <v>7043</v>
      </c>
      <c r="I47" s="30">
        <v>45658.0</v>
      </c>
      <c r="J47" s="30">
        <v>46022.0</v>
      </c>
      <c r="K47" s="29" t="s">
        <v>7104</v>
      </c>
      <c r="L47" s="29" t="s">
        <v>7053</v>
      </c>
      <c r="M47" s="38" t="s">
        <v>7047</v>
      </c>
      <c r="N47" s="30">
        <v>46023.0</v>
      </c>
      <c r="O47" s="30">
        <v>46387.0</v>
      </c>
      <c r="P47" s="29" t="s">
        <v>7053</v>
      </c>
      <c r="Q47" s="29" t="s">
        <v>7053</v>
      </c>
      <c r="R47" s="32" t="s">
        <v>7043</v>
      </c>
      <c r="S47" s="30">
        <v>46388.0</v>
      </c>
      <c r="T47" s="30">
        <v>46752.0</v>
      </c>
      <c r="U47" s="29" t="s">
        <v>7053</v>
      </c>
      <c r="V47" s="29" t="s">
        <v>7053</v>
      </c>
      <c r="W47" s="32" t="s">
        <v>7043</v>
      </c>
      <c r="X47" s="30">
        <v>46753.0</v>
      </c>
      <c r="Y47" s="30">
        <v>47118.0</v>
      </c>
      <c r="Z47" s="29" t="s">
        <v>7053</v>
      </c>
      <c r="AA47" s="29" t="s">
        <v>7053</v>
      </c>
      <c r="AB47" s="32" t="s">
        <v>7043</v>
      </c>
      <c r="AC47" s="30">
        <v>47119.0</v>
      </c>
      <c r="AD47" s="30">
        <v>47483.0</v>
      </c>
      <c r="AE47" s="29" t="s">
        <v>7053</v>
      </c>
      <c r="AF47" s="29" t="s">
        <v>7053</v>
      </c>
      <c r="AG47" s="32" t="s">
        <v>7043</v>
      </c>
      <c r="AH47" s="30">
        <v>47484.0</v>
      </c>
      <c r="AI47" s="30">
        <v>47848.0</v>
      </c>
      <c r="AJ47" s="29" t="s">
        <v>7053</v>
      </c>
      <c r="AK47" s="29" t="s">
        <v>7053</v>
      </c>
      <c r="AL47" s="32" t="s">
        <v>7043</v>
      </c>
    </row>
    <row r="48" ht="14.25" customHeight="1">
      <c r="A48" s="28" t="s">
        <v>1873</v>
      </c>
      <c r="B48" s="29" t="s">
        <v>1874</v>
      </c>
      <c r="C48" s="29" t="s">
        <v>7044</v>
      </c>
      <c r="D48" s="30">
        <v>45292.0</v>
      </c>
      <c r="E48" s="30">
        <v>45657.0</v>
      </c>
      <c r="F48" s="29" t="s">
        <v>7105</v>
      </c>
      <c r="G48" s="29" t="s">
        <v>7099</v>
      </c>
      <c r="H48" s="38" t="s">
        <v>7047</v>
      </c>
      <c r="I48" s="30">
        <v>45658.0</v>
      </c>
      <c r="J48" s="30">
        <v>46022.0</v>
      </c>
      <c r="K48" s="29" t="s">
        <v>7106</v>
      </c>
      <c r="L48" s="29" t="s">
        <v>7080</v>
      </c>
      <c r="M48" s="38" t="s">
        <v>7047</v>
      </c>
      <c r="N48" s="30">
        <v>46023.0</v>
      </c>
      <c r="O48" s="30">
        <v>46387.0</v>
      </c>
      <c r="P48" s="29" t="s">
        <v>7053</v>
      </c>
      <c r="Q48" s="29" t="s">
        <v>7080</v>
      </c>
      <c r="R48" s="32" t="s">
        <v>7043</v>
      </c>
      <c r="S48" s="30">
        <v>46388.0</v>
      </c>
      <c r="T48" s="30">
        <v>46752.0</v>
      </c>
      <c r="U48" s="29" t="s">
        <v>7053</v>
      </c>
      <c r="V48" s="29" t="s">
        <v>7080</v>
      </c>
      <c r="W48" s="32" t="s">
        <v>7043</v>
      </c>
      <c r="X48" s="30">
        <v>46753.0</v>
      </c>
      <c r="Y48" s="30">
        <v>47118.0</v>
      </c>
      <c r="Z48" s="29" t="s">
        <v>7053</v>
      </c>
      <c r="AA48" s="29" t="s">
        <v>7080</v>
      </c>
      <c r="AB48" s="32" t="s">
        <v>7043</v>
      </c>
      <c r="AC48" s="30">
        <v>47119.0</v>
      </c>
      <c r="AD48" s="30">
        <v>47483.0</v>
      </c>
      <c r="AE48" s="29" t="s">
        <v>7053</v>
      </c>
      <c r="AF48" s="29" t="s">
        <v>7080</v>
      </c>
      <c r="AG48" s="32" t="s">
        <v>7043</v>
      </c>
      <c r="AH48" s="30">
        <v>47484.0</v>
      </c>
      <c r="AI48" s="30">
        <v>47848.0</v>
      </c>
      <c r="AJ48" s="29" t="s">
        <v>7053</v>
      </c>
      <c r="AK48" s="29" t="s">
        <v>7080</v>
      </c>
      <c r="AL48" s="32" t="s">
        <v>7043</v>
      </c>
    </row>
    <row r="49" ht="14.25" customHeight="1">
      <c r="A49" s="28" t="s">
        <v>153</v>
      </c>
      <c r="B49" s="29" t="s">
        <v>154</v>
      </c>
      <c r="C49" s="29" t="s">
        <v>7041</v>
      </c>
      <c r="D49" s="30">
        <v>45292.0</v>
      </c>
      <c r="E49" s="30">
        <v>45657.0</v>
      </c>
      <c r="F49" s="29" t="s">
        <v>7096</v>
      </c>
      <c r="G49" s="29" t="s">
        <v>7051</v>
      </c>
      <c r="H49" s="32" t="s">
        <v>7043</v>
      </c>
      <c r="I49" s="30">
        <v>45658.0</v>
      </c>
      <c r="J49" s="30">
        <v>46022.0</v>
      </c>
      <c r="K49" s="29" t="s">
        <v>7096</v>
      </c>
      <c r="L49" s="29" t="s">
        <v>7053</v>
      </c>
      <c r="M49" s="38" t="s">
        <v>7047</v>
      </c>
      <c r="N49" s="30">
        <v>46023.0</v>
      </c>
      <c r="O49" s="30">
        <v>46387.0</v>
      </c>
      <c r="P49" s="29" t="s">
        <v>7053</v>
      </c>
      <c r="Q49" s="29" t="s">
        <v>7053</v>
      </c>
      <c r="R49" s="32" t="s">
        <v>7043</v>
      </c>
      <c r="S49" s="30">
        <v>46388.0</v>
      </c>
      <c r="T49" s="30">
        <v>46752.0</v>
      </c>
      <c r="U49" s="29" t="s">
        <v>7053</v>
      </c>
      <c r="V49" s="29" t="s">
        <v>7053</v>
      </c>
      <c r="W49" s="32" t="s">
        <v>7043</v>
      </c>
      <c r="X49" s="30">
        <v>46753.0</v>
      </c>
      <c r="Y49" s="30">
        <v>47118.0</v>
      </c>
      <c r="Z49" s="29" t="s">
        <v>7053</v>
      </c>
      <c r="AA49" s="29" t="s">
        <v>7053</v>
      </c>
      <c r="AB49" s="32" t="s">
        <v>7043</v>
      </c>
      <c r="AC49" s="30">
        <v>47119.0</v>
      </c>
      <c r="AD49" s="30">
        <v>47483.0</v>
      </c>
      <c r="AE49" s="29" t="s">
        <v>7053</v>
      </c>
      <c r="AF49" s="29" t="s">
        <v>7053</v>
      </c>
      <c r="AG49" s="32" t="s">
        <v>7043</v>
      </c>
      <c r="AH49" s="30">
        <v>47484.0</v>
      </c>
      <c r="AI49" s="30">
        <v>47848.0</v>
      </c>
      <c r="AJ49" s="29" t="s">
        <v>7053</v>
      </c>
      <c r="AK49" s="29" t="s">
        <v>7053</v>
      </c>
      <c r="AL49" s="32" t="s">
        <v>7043</v>
      </c>
    </row>
    <row r="50" ht="14.25" customHeight="1">
      <c r="A50" s="28" t="s">
        <v>184</v>
      </c>
      <c r="B50" s="29" t="s">
        <v>185</v>
      </c>
      <c r="C50" s="29" t="s">
        <v>7041</v>
      </c>
      <c r="D50" s="30">
        <v>45292.0</v>
      </c>
      <c r="E50" s="30">
        <v>45657.0</v>
      </c>
      <c r="F50" s="29" t="s">
        <v>7107</v>
      </c>
      <c r="G50" s="29" t="s">
        <v>7051</v>
      </c>
      <c r="H50" s="38" t="s">
        <v>7047</v>
      </c>
      <c r="I50" s="30">
        <v>45658.0</v>
      </c>
      <c r="J50" s="30">
        <v>46022.0</v>
      </c>
      <c r="K50" s="29" t="s">
        <v>7108</v>
      </c>
      <c r="L50" s="29" t="s">
        <v>7053</v>
      </c>
      <c r="M50" s="38" t="s">
        <v>7047</v>
      </c>
      <c r="N50" s="30">
        <v>46023.0</v>
      </c>
      <c r="O50" s="30">
        <v>46387.0</v>
      </c>
      <c r="P50" s="29" t="s">
        <v>7053</v>
      </c>
      <c r="Q50" s="29" t="s">
        <v>7053</v>
      </c>
      <c r="R50" s="32" t="s">
        <v>7043</v>
      </c>
      <c r="S50" s="30">
        <v>46388.0</v>
      </c>
      <c r="T50" s="30">
        <v>46752.0</v>
      </c>
      <c r="U50" s="29" t="s">
        <v>7053</v>
      </c>
      <c r="V50" s="29" t="s">
        <v>7053</v>
      </c>
      <c r="W50" s="32" t="s">
        <v>7043</v>
      </c>
      <c r="X50" s="30">
        <v>46753.0</v>
      </c>
      <c r="Y50" s="30">
        <v>47118.0</v>
      </c>
      <c r="Z50" s="29" t="s">
        <v>7053</v>
      </c>
      <c r="AA50" s="29" t="s">
        <v>7053</v>
      </c>
      <c r="AB50" s="32" t="s">
        <v>7043</v>
      </c>
      <c r="AC50" s="30">
        <v>47119.0</v>
      </c>
      <c r="AD50" s="30">
        <v>47483.0</v>
      </c>
      <c r="AE50" s="29" t="s">
        <v>7053</v>
      </c>
      <c r="AF50" s="29" t="s">
        <v>7053</v>
      </c>
      <c r="AG50" s="32" t="s">
        <v>7043</v>
      </c>
      <c r="AH50" s="30">
        <v>47484.0</v>
      </c>
      <c r="AI50" s="30">
        <v>47848.0</v>
      </c>
      <c r="AJ50" s="29" t="s">
        <v>7053</v>
      </c>
      <c r="AK50" s="29" t="s">
        <v>7053</v>
      </c>
      <c r="AL50" s="32" t="s">
        <v>7043</v>
      </c>
    </row>
    <row r="51" ht="14.25" customHeight="1">
      <c r="A51" s="28" t="s">
        <v>215</v>
      </c>
      <c r="B51" s="29" t="s">
        <v>216</v>
      </c>
      <c r="C51" s="29" t="s">
        <v>7041</v>
      </c>
      <c r="D51" s="30">
        <v>45292.0</v>
      </c>
      <c r="E51" s="30">
        <v>45657.0</v>
      </c>
      <c r="F51" s="29" t="s">
        <v>7062</v>
      </c>
      <c r="G51" s="29" t="s">
        <v>7051</v>
      </c>
      <c r="H51" s="32" t="s">
        <v>7043</v>
      </c>
      <c r="I51" s="30">
        <v>45658.0</v>
      </c>
      <c r="J51" s="30">
        <v>46022.0</v>
      </c>
      <c r="K51" s="29" t="s">
        <v>7095</v>
      </c>
      <c r="L51" s="29" t="s">
        <v>7053</v>
      </c>
      <c r="M51" s="38" t="s">
        <v>7047</v>
      </c>
      <c r="N51" s="30">
        <v>46023.0</v>
      </c>
      <c r="O51" s="30">
        <v>46387.0</v>
      </c>
      <c r="P51" s="29" t="s">
        <v>7053</v>
      </c>
      <c r="Q51" s="29" t="s">
        <v>7053</v>
      </c>
      <c r="R51" s="32" t="s">
        <v>7043</v>
      </c>
      <c r="S51" s="30">
        <v>46388.0</v>
      </c>
      <c r="T51" s="30">
        <v>46752.0</v>
      </c>
      <c r="U51" s="29" t="s">
        <v>7053</v>
      </c>
      <c r="V51" s="29" t="s">
        <v>7053</v>
      </c>
      <c r="W51" s="32" t="s">
        <v>7043</v>
      </c>
      <c r="X51" s="30">
        <v>46753.0</v>
      </c>
      <c r="Y51" s="30">
        <v>47118.0</v>
      </c>
      <c r="Z51" s="29" t="s">
        <v>7053</v>
      </c>
      <c r="AA51" s="29" t="s">
        <v>7053</v>
      </c>
      <c r="AB51" s="32" t="s">
        <v>7043</v>
      </c>
      <c r="AC51" s="30">
        <v>47119.0</v>
      </c>
      <c r="AD51" s="30">
        <v>47483.0</v>
      </c>
      <c r="AE51" s="29" t="s">
        <v>7053</v>
      </c>
      <c r="AF51" s="29" t="s">
        <v>7053</v>
      </c>
      <c r="AG51" s="32" t="s">
        <v>7043</v>
      </c>
      <c r="AH51" s="30">
        <v>47484.0</v>
      </c>
      <c r="AI51" s="30">
        <v>47848.0</v>
      </c>
      <c r="AJ51" s="29" t="s">
        <v>7053</v>
      </c>
      <c r="AK51" s="29" t="s">
        <v>7053</v>
      </c>
      <c r="AL51" s="32" t="s">
        <v>7043</v>
      </c>
    </row>
    <row r="52" ht="14.25" customHeight="1">
      <c r="A52" s="28" t="s">
        <v>262</v>
      </c>
      <c r="B52" s="29" t="s">
        <v>263</v>
      </c>
      <c r="C52" s="29" t="s">
        <v>7041</v>
      </c>
      <c r="D52" s="30">
        <v>45292.0</v>
      </c>
      <c r="E52" s="30">
        <v>45657.0</v>
      </c>
      <c r="F52" s="29" t="s">
        <v>7109</v>
      </c>
      <c r="G52" s="29" t="s">
        <v>7076</v>
      </c>
      <c r="H52" s="38" t="s">
        <v>7047</v>
      </c>
      <c r="I52" s="30">
        <v>45658.0</v>
      </c>
      <c r="J52" s="30">
        <v>46022.0</v>
      </c>
      <c r="K52" s="29" t="s">
        <v>7110</v>
      </c>
      <c r="L52" s="29" t="s">
        <v>7053</v>
      </c>
      <c r="M52" s="38" t="s">
        <v>7047</v>
      </c>
      <c r="N52" s="30">
        <v>46023.0</v>
      </c>
      <c r="O52" s="30">
        <v>46387.0</v>
      </c>
      <c r="P52" s="29" t="s">
        <v>7053</v>
      </c>
      <c r="Q52" s="29" t="s">
        <v>7053</v>
      </c>
      <c r="R52" s="32" t="s">
        <v>7043</v>
      </c>
      <c r="S52" s="30">
        <v>46388.0</v>
      </c>
      <c r="T52" s="30">
        <v>46752.0</v>
      </c>
      <c r="U52" s="29" t="s">
        <v>7053</v>
      </c>
      <c r="V52" s="29" t="s">
        <v>7053</v>
      </c>
      <c r="W52" s="32" t="s">
        <v>7043</v>
      </c>
      <c r="X52" s="30">
        <v>46753.0</v>
      </c>
      <c r="Y52" s="30">
        <v>47118.0</v>
      </c>
      <c r="Z52" s="29" t="s">
        <v>7053</v>
      </c>
      <c r="AA52" s="29" t="s">
        <v>7053</v>
      </c>
      <c r="AB52" s="32" t="s">
        <v>7043</v>
      </c>
      <c r="AC52" s="30">
        <v>47119.0</v>
      </c>
      <c r="AD52" s="30">
        <v>47483.0</v>
      </c>
      <c r="AE52" s="29" t="s">
        <v>7053</v>
      </c>
      <c r="AF52" s="29" t="s">
        <v>7053</v>
      </c>
      <c r="AG52" s="32" t="s">
        <v>7043</v>
      </c>
      <c r="AH52" s="30">
        <v>47484.0</v>
      </c>
      <c r="AI52" s="30">
        <v>47848.0</v>
      </c>
      <c r="AJ52" s="29" t="s">
        <v>7053</v>
      </c>
      <c r="AK52" s="29" t="s">
        <v>7053</v>
      </c>
      <c r="AL52" s="32" t="s">
        <v>7043</v>
      </c>
    </row>
    <row r="53" ht="14.25" customHeight="1">
      <c r="A53" s="28" t="s">
        <v>283</v>
      </c>
      <c r="B53" s="29" t="s">
        <v>284</v>
      </c>
      <c r="C53" s="29" t="s">
        <v>7041</v>
      </c>
      <c r="D53" s="30">
        <v>45292.0</v>
      </c>
      <c r="E53" s="30">
        <v>45657.0</v>
      </c>
      <c r="F53" s="29" t="s">
        <v>7053</v>
      </c>
      <c r="G53" s="29" t="s">
        <v>7055</v>
      </c>
      <c r="H53" s="32" t="s">
        <v>7043</v>
      </c>
      <c r="I53" s="30">
        <v>45658.0</v>
      </c>
      <c r="J53" s="30">
        <v>46022.0</v>
      </c>
      <c r="K53" s="29" t="s">
        <v>7053</v>
      </c>
      <c r="L53" s="29" t="s">
        <v>7053</v>
      </c>
      <c r="M53" s="32" t="s">
        <v>7043</v>
      </c>
      <c r="N53" s="30">
        <v>46023.0</v>
      </c>
      <c r="O53" s="30">
        <v>46387.0</v>
      </c>
      <c r="P53" s="29" t="s">
        <v>7053</v>
      </c>
      <c r="Q53" s="29" t="s">
        <v>7053</v>
      </c>
      <c r="R53" s="32" t="s">
        <v>7043</v>
      </c>
      <c r="S53" s="30">
        <v>46388.0</v>
      </c>
      <c r="T53" s="30">
        <v>46752.0</v>
      </c>
      <c r="U53" s="29" t="s">
        <v>7053</v>
      </c>
      <c r="V53" s="29" t="s">
        <v>7053</v>
      </c>
      <c r="W53" s="32" t="s">
        <v>7043</v>
      </c>
      <c r="X53" s="30">
        <v>46753.0</v>
      </c>
      <c r="Y53" s="30">
        <v>47118.0</v>
      </c>
      <c r="Z53" s="29" t="s">
        <v>7053</v>
      </c>
      <c r="AA53" s="29" t="s">
        <v>7053</v>
      </c>
      <c r="AB53" s="32" t="s">
        <v>7043</v>
      </c>
      <c r="AC53" s="30">
        <v>47119.0</v>
      </c>
      <c r="AD53" s="30">
        <v>47483.0</v>
      </c>
      <c r="AE53" s="29" t="s">
        <v>7053</v>
      </c>
      <c r="AF53" s="29" t="s">
        <v>7053</v>
      </c>
      <c r="AG53" s="32" t="s">
        <v>7043</v>
      </c>
      <c r="AH53" s="30">
        <v>47484.0</v>
      </c>
      <c r="AI53" s="30">
        <v>47848.0</v>
      </c>
      <c r="AJ53" s="29" t="s">
        <v>7053</v>
      </c>
      <c r="AK53" s="29" t="s">
        <v>7053</v>
      </c>
      <c r="AL53" s="32" t="s">
        <v>7043</v>
      </c>
    </row>
    <row r="54" ht="14.25" customHeight="1">
      <c r="A54" s="28" t="s">
        <v>311</v>
      </c>
      <c r="B54" s="29" t="s">
        <v>312</v>
      </c>
      <c r="C54" s="29" t="s">
        <v>7041</v>
      </c>
      <c r="D54" s="30">
        <v>45292.0</v>
      </c>
      <c r="E54" s="30">
        <v>45657.0</v>
      </c>
      <c r="F54" s="29" t="s">
        <v>7111</v>
      </c>
      <c r="G54" s="29" t="s">
        <v>7112</v>
      </c>
      <c r="H54" s="32" t="s">
        <v>7043</v>
      </c>
      <c r="I54" s="30">
        <v>45658.0</v>
      </c>
      <c r="J54" s="30">
        <v>46022.0</v>
      </c>
      <c r="K54" s="29" t="s">
        <v>7054</v>
      </c>
      <c r="L54" s="29" t="s">
        <v>7053</v>
      </c>
      <c r="M54" s="38" t="s">
        <v>7047</v>
      </c>
      <c r="N54" s="30">
        <v>46023.0</v>
      </c>
      <c r="O54" s="30">
        <v>46387.0</v>
      </c>
      <c r="P54" s="29" t="s">
        <v>7053</v>
      </c>
      <c r="Q54" s="29" t="s">
        <v>7053</v>
      </c>
      <c r="R54" s="32" t="s">
        <v>7043</v>
      </c>
      <c r="S54" s="30">
        <v>46388.0</v>
      </c>
      <c r="T54" s="30">
        <v>46752.0</v>
      </c>
      <c r="U54" s="29" t="s">
        <v>7053</v>
      </c>
      <c r="V54" s="29" t="s">
        <v>7053</v>
      </c>
      <c r="W54" s="32" t="s">
        <v>7043</v>
      </c>
      <c r="X54" s="30">
        <v>46753.0</v>
      </c>
      <c r="Y54" s="30">
        <v>47118.0</v>
      </c>
      <c r="Z54" s="29" t="s">
        <v>7053</v>
      </c>
      <c r="AA54" s="29" t="s">
        <v>7053</v>
      </c>
      <c r="AB54" s="32" t="s">
        <v>7043</v>
      </c>
      <c r="AC54" s="30">
        <v>47119.0</v>
      </c>
      <c r="AD54" s="30">
        <v>47483.0</v>
      </c>
      <c r="AE54" s="29" t="s">
        <v>7053</v>
      </c>
      <c r="AF54" s="29" t="s">
        <v>7053</v>
      </c>
      <c r="AG54" s="32" t="s">
        <v>7043</v>
      </c>
      <c r="AH54" s="30">
        <v>47484.0</v>
      </c>
      <c r="AI54" s="30">
        <v>47848.0</v>
      </c>
      <c r="AJ54" s="29" t="s">
        <v>7053</v>
      </c>
      <c r="AK54" s="29" t="s">
        <v>7053</v>
      </c>
      <c r="AL54" s="32" t="s">
        <v>7043</v>
      </c>
    </row>
    <row r="55" ht="14.25" customHeight="1">
      <c r="A55" s="28" t="s">
        <v>321</v>
      </c>
      <c r="B55" s="29" t="s">
        <v>322</v>
      </c>
      <c r="C55" s="29" t="s">
        <v>7041</v>
      </c>
      <c r="D55" s="30">
        <v>45292.0</v>
      </c>
      <c r="E55" s="30">
        <v>45657.0</v>
      </c>
      <c r="F55" s="29" t="s">
        <v>7100</v>
      </c>
      <c r="G55" s="29" t="s">
        <v>7051</v>
      </c>
      <c r="H55" s="32" t="s">
        <v>7043</v>
      </c>
      <c r="I55" s="30">
        <v>45658.0</v>
      </c>
      <c r="J55" s="30">
        <v>46022.0</v>
      </c>
      <c r="K55" s="29" t="s">
        <v>7095</v>
      </c>
      <c r="L55" s="29" t="s">
        <v>7053</v>
      </c>
      <c r="M55" s="38" t="s">
        <v>7047</v>
      </c>
      <c r="N55" s="30">
        <v>46023.0</v>
      </c>
      <c r="O55" s="30">
        <v>46387.0</v>
      </c>
      <c r="P55" s="29" t="s">
        <v>7053</v>
      </c>
      <c r="Q55" s="29" t="s">
        <v>7053</v>
      </c>
      <c r="R55" s="32" t="s">
        <v>7043</v>
      </c>
      <c r="S55" s="30">
        <v>46388.0</v>
      </c>
      <c r="T55" s="30">
        <v>46752.0</v>
      </c>
      <c r="U55" s="29" t="s">
        <v>7053</v>
      </c>
      <c r="V55" s="29" t="s">
        <v>7053</v>
      </c>
      <c r="W55" s="32" t="s">
        <v>7043</v>
      </c>
      <c r="X55" s="30">
        <v>46753.0</v>
      </c>
      <c r="Y55" s="30">
        <v>47118.0</v>
      </c>
      <c r="Z55" s="29" t="s">
        <v>7053</v>
      </c>
      <c r="AA55" s="29" t="s">
        <v>7053</v>
      </c>
      <c r="AB55" s="32" t="s">
        <v>7043</v>
      </c>
      <c r="AC55" s="30">
        <v>47119.0</v>
      </c>
      <c r="AD55" s="30">
        <v>47483.0</v>
      </c>
      <c r="AE55" s="29" t="s">
        <v>7053</v>
      </c>
      <c r="AF55" s="29" t="s">
        <v>7053</v>
      </c>
      <c r="AG55" s="32" t="s">
        <v>7043</v>
      </c>
      <c r="AH55" s="30">
        <v>47484.0</v>
      </c>
      <c r="AI55" s="30">
        <v>47848.0</v>
      </c>
      <c r="AJ55" s="29" t="s">
        <v>7053</v>
      </c>
      <c r="AK55" s="29" t="s">
        <v>7053</v>
      </c>
      <c r="AL55" s="32" t="s">
        <v>7043</v>
      </c>
    </row>
    <row r="56" ht="14.25" customHeight="1">
      <c r="A56" s="28" t="s">
        <v>324</v>
      </c>
      <c r="B56" s="29" t="s">
        <v>325</v>
      </c>
      <c r="C56" s="29" t="s">
        <v>7041</v>
      </c>
      <c r="D56" s="30">
        <v>45292.0</v>
      </c>
      <c r="E56" s="30">
        <v>45657.0</v>
      </c>
      <c r="F56" s="29" t="s">
        <v>7113</v>
      </c>
      <c r="G56" s="29" t="s">
        <v>7051</v>
      </c>
      <c r="H56" s="37" t="s">
        <v>7046</v>
      </c>
      <c r="I56" s="30">
        <v>45658.0</v>
      </c>
      <c r="J56" s="30">
        <v>46022.0</v>
      </c>
      <c r="K56" s="29" t="s">
        <v>7114</v>
      </c>
      <c r="L56" s="29" t="s">
        <v>7053</v>
      </c>
      <c r="M56" s="38" t="s">
        <v>7047</v>
      </c>
      <c r="N56" s="30">
        <v>46023.0</v>
      </c>
      <c r="O56" s="30">
        <v>46387.0</v>
      </c>
      <c r="P56" s="29" t="s">
        <v>7053</v>
      </c>
      <c r="Q56" s="29" t="s">
        <v>7053</v>
      </c>
      <c r="R56" s="32" t="s">
        <v>7043</v>
      </c>
      <c r="S56" s="30">
        <v>46388.0</v>
      </c>
      <c r="T56" s="30">
        <v>46752.0</v>
      </c>
      <c r="U56" s="29" t="s">
        <v>7053</v>
      </c>
      <c r="V56" s="29" t="s">
        <v>7053</v>
      </c>
      <c r="W56" s="32" t="s">
        <v>7043</v>
      </c>
      <c r="X56" s="30">
        <v>46753.0</v>
      </c>
      <c r="Y56" s="30">
        <v>47118.0</v>
      </c>
      <c r="Z56" s="29" t="s">
        <v>7053</v>
      </c>
      <c r="AA56" s="29" t="s">
        <v>7053</v>
      </c>
      <c r="AB56" s="32" t="s">
        <v>7043</v>
      </c>
      <c r="AC56" s="30">
        <v>47119.0</v>
      </c>
      <c r="AD56" s="30">
        <v>47483.0</v>
      </c>
      <c r="AE56" s="29" t="s">
        <v>7053</v>
      </c>
      <c r="AF56" s="29" t="s">
        <v>7053</v>
      </c>
      <c r="AG56" s="32" t="s">
        <v>7043</v>
      </c>
      <c r="AH56" s="30">
        <v>47484.0</v>
      </c>
      <c r="AI56" s="30">
        <v>47848.0</v>
      </c>
      <c r="AJ56" s="29" t="s">
        <v>7053</v>
      </c>
      <c r="AK56" s="29" t="s">
        <v>7053</v>
      </c>
      <c r="AL56" s="32" t="s">
        <v>7043</v>
      </c>
    </row>
    <row r="57" ht="14.25" customHeight="1">
      <c r="A57" s="28" t="s">
        <v>331</v>
      </c>
      <c r="B57" s="29" t="s">
        <v>332</v>
      </c>
      <c r="C57" s="29" t="s">
        <v>7041</v>
      </c>
      <c r="D57" s="30">
        <v>45292.0</v>
      </c>
      <c r="E57" s="30">
        <v>45657.0</v>
      </c>
      <c r="F57" s="29" t="s">
        <v>7115</v>
      </c>
      <c r="G57" s="29" t="s">
        <v>7067</v>
      </c>
      <c r="H57" s="38" t="s">
        <v>7047</v>
      </c>
      <c r="I57" s="30">
        <v>45658.0</v>
      </c>
      <c r="J57" s="30">
        <v>46022.0</v>
      </c>
      <c r="K57" s="29" t="s">
        <v>7116</v>
      </c>
      <c r="L57" s="29" t="s">
        <v>7053</v>
      </c>
      <c r="M57" s="38" t="s">
        <v>7047</v>
      </c>
      <c r="N57" s="30">
        <v>46023.0</v>
      </c>
      <c r="O57" s="30">
        <v>46387.0</v>
      </c>
      <c r="P57" s="29" t="s">
        <v>7053</v>
      </c>
      <c r="Q57" s="29" t="s">
        <v>7053</v>
      </c>
      <c r="R57" s="32" t="s">
        <v>7043</v>
      </c>
      <c r="S57" s="30">
        <v>46388.0</v>
      </c>
      <c r="T57" s="30">
        <v>46752.0</v>
      </c>
      <c r="U57" s="29" t="s">
        <v>7053</v>
      </c>
      <c r="V57" s="29" t="s">
        <v>7053</v>
      </c>
      <c r="W57" s="32" t="s">
        <v>7043</v>
      </c>
      <c r="X57" s="30">
        <v>46753.0</v>
      </c>
      <c r="Y57" s="30">
        <v>47118.0</v>
      </c>
      <c r="Z57" s="29" t="s">
        <v>7053</v>
      </c>
      <c r="AA57" s="29" t="s">
        <v>7053</v>
      </c>
      <c r="AB57" s="32" t="s">
        <v>7043</v>
      </c>
      <c r="AC57" s="30">
        <v>47119.0</v>
      </c>
      <c r="AD57" s="30">
        <v>47483.0</v>
      </c>
      <c r="AE57" s="29" t="s">
        <v>7053</v>
      </c>
      <c r="AF57" s="29" t="s">
        <v>7053</v>
      </c>
      <c r="AG57" s="32" t="s">
        <v>7043</v>
      </c>
      <c r="AH57" s="30">
        <v>47484.0</v>
      </c>
      <c r="AI57" s="30">
        <v>47848.0</v>
      </c>
      <c r="AJ57" s="29" t="s">
        <v>7053</v>
      </c>
      <c r="AK57" s="29" t="s">
        <v>7053</v>
      </c>
      <c r="AL57" s="32" t="s">
        <v>7043</v>
      </c>
    </row>
    <row r="58" ht="14.25" customHeight="1">
      <c r="A58" s="28" t="s">
        <v>335</v>
      </c>
      <c r="B58" s="29" t="s">
        <v>336</v>
      </c>
      <c r="C58" s="29" t="s">
        <v>7041</v>
      </c>
      <c r="D58" s="30">
        <v>45292.0</v>
      </c>
      <c r="E58" s="30">
        <v>45657.0</v>
      </c>
      <c r="F58" s="29" t="s">
        <v>7074</v>
      </c>
      <c r="G58" s="29" t="s">
        <v>7051</v>
      </c>
      <c r="H58" s="37" t="s">
        <v>7046</v>
      </c>
      <c r="I58" s="30">
        <v>45658.0</v>
      </c>
      <c r="J58" s="30">
        <v>46022.0</v>
      </c>
      <c r="K58" s="29" t="s">
        <v>7117</v>
      </c>
      <c r="L58" s="29" t="s">
        <v>7053</v>
      </c>
      <c r="M58" s="38" t="s">
        <v>7047</v>
      </c>
      <c r="N58" s="30">
        <v>46023.0</v>
      </c>
      <c r="O58" s="30">
        <v>46387.0</v>
      </c>
      <c r="P58" s="29" t="s">
        <v>7053</v>
      </c>
      <c r="Q58" s="29" t="s">
        <v>7053</v>
      </c>
      <c r="R58" s="32" t="s">
        <v>7043</v>
      </c>
      <c r="S58" s="30">
        <v>46388.0</v>
      </c>
      <c r="T58" s="30">
        <v>46752.0</v>
      </c>
      <c r="U58" s="29" t="s">
        <v>7053</v>
      </c>
      <c r="V58" s="29" t="s">
        <v>7053</v>
      </c>
      <c r="W58" s="32" t="s">
        <v>7043</v>
      </c>
      <c r="X58" s="30">
        <v>46753.0</v>
      </c>
      <c r="Y58" s="30">
        <v>47118.0</v>
      </c>
      <c r="Z58" s="29" t="s">
        <v>7053</v>
      </c>
      <c r="AA58" s="29" t="s">
        <v>7053</v>
      </c>
      <c r="AB58" s="32" t="s">
        <v>7043</v>
      </c>
      <c r="AC58" s="30">
        <v>47119.0</v>
      </c>
      <c r="AD58" s="30">
        <v>47483.0</v>
      </c>
      <c r="AE58" s="29" t="s">
        <v>7053</v>
      </c>
      <c r="AF58" s="29" t="s">
        <v>7053</v>
      </c>
      <c r="AG58" s="32" t="s">
        <v>7043</v>
      </c>
      <c r="AH58" s="30">
        <v>47484.0</v>
      </c>
      <c r="AI58" s="30">
        <v>47848.0</v>
      </c>
      <c r="AJ58" s="29" t="s">
        <v>7053</v>
      </c>
      <c r="AK58" s="29" t="s">
        <v>7053</v>
      </c>
      <c r="AL58" s="32" t="s">
        <v>7043</v>
      </c>
    </row>
    <row r="59" ht="14.25" customHeight="1">
      <c r="A59" s="28" t="s">
        <v>367</v>
      </c>
      <c r="B59" s="29" t="s">
        <v>368</v>
      </c>
      <c r="C59" s="29" t="s">
        <v>7041</v>
      </c>
      <c r="D59" s="30">
        <v>45292.0</v>
      </c>
      <c r="E59" s="30">
        <v>45657.0</v>
      </c>
      <c r="F59" s="29" t="s">
        <v>7052</v>
      </c>
      <c r="G59" s="29" t="s">
        <v>7051</v>
      </c>
      <c r="H59" s="32" t="s">
        <v>7043</v>
      </c>
      <c r="I59" s="30">
        <v>45658.0</v>
      </c>
      <c r="J59" s="30">
        <v>46022.0</v>
      </c>
      <c r="K59" s="29" t="s">
        <v>7056</v>
      </c>
      <c r="L59" s="29" t="s">
        <v>7053</v>
      </c>
      <c r="M59" s="38" t="s">
        <v>7047</v>
      </c>
      <c r="N59" s="30">
        <v>46023.0</v>
      </c>
      <c r="O59" s="30">
        <v>46387.0</v>
      </c>
      <c r="P59" s="29" t="s">
        <v>7053</v>
      </c>
      <c r="Q59" s="29" t="s">
        <v>7053</v>
      </c>
      <c r="R59" s="32" t="s">
        <v>7043</v>
      </c>
      <c r="S59" s="30">
        <v>46388.0</v>
      </c>
      <c r="T59" s="30">
        <v>46752.0</v>
      </c>
      <c r="U59" s="29" t="s">
        <v>7053</v>
      </c>
      <c r="V59" s="29" t="s">
        <v>7053</v>
      </c>
      <c r="W59" s="32" t="s">
        <v>7043</v>
      </c>
      <c r="X59" s="30">
        <v>46753.0</v>
      </c>
      <c r="Y59" s="30">
        <v>47118.0</v>
      </c>
      <c r="Z59" s="29" t="s">
        <v>7053</v>
      </c>
      <c r="AA59" s="29" t="s">
        <v>7053</v>
      </c>
      <c r="AB59" s="32" t="s">
        <v>7043</v>
      </c>
      <c r="AC59" s="30">
        <v>47119.0</v>
      </c>
      <c r="AD59" s="30">
        <v>47483.0</v>
      </c>
      <c r="AE59" s="29" t="s">
        <v>7053</v>
      </c>
      <c r="AF59" s="29" t="s">
        <v>7053</v>
      </c>
      <c r="AG59" s="32" t="s">
        <v>7043</v>
      </c>
      <c r="AH59" s="30">
        <v>47484.0</v>
      </c>
      <c r="AI59" s="30">
        <v>47848.0</v>
      </c>
      <c r="AJ59" s="29" t="s">
        <v>7053</v>
      </c>
      <c r="AK59" s="29" t="s">
        <v>7053</v>
      </c>
      <c r="AL59" s="32" t="s">
        <v>7043</v>
      </c>
    </row>
    <row r="60" ht="14.25" customHeight="1">
      <c r="A60" s="28" t="s">
        <v>444</v>
      </c>
      <c r="B60" s="29" t="s">
        <v>445</v>
      </c>
      <c r="C60" s="29" t="s">
        <v>7041</v>
      </c>
      <c r="D60" s="30">
        <v>45292.0</v>
      </c>
      <c r="E60" s="30">
        <v>45657.0</v>
      </c>
      <c r="F60" s="29" t="s">
        <v>7054</v>
      </c>
      <c r="G60" s="29" t="s">
        <v>7051</v>
      </c>
      <c r="H60" s="32" t="s">
        <v>7043</v>
      </c>
      <c r="I60" s="30">
        <v>45658.0</v>
      </c>
      <c r="J60" s="30">
        <v>46022.0</v>
      </c>
      <c r="K60" s="29" t="s">
        <v>7050</v>
      </c>
      <c r="L60" s="29" t="s">
        <v>7053</v>
      </c>
      <c r="M60" s="38" t="s">
        <v>7047</v>
      </c>
      <c r="N60" s="30">
        <v>46023.0</v>
      </c>
      <c r="O60" s="30">
        <v>46387.0</v>
      </c>
      <c r="P60" s="29" t="s">
        <v>7053</v>
      </c>
      <c r="Q60" s="29" t="s">
        <v>7053</v>
      </c>
      <c r="R60" s="32" t="s">
        <v>7043</v>
      </c>
      <c r="S60" s="30">
        <v>46388.0</v>
      </c>
      <c r="T60" s="30">
        <v>46752.0</v>
      </c>
      <c r="U60" s="29" t="s">
        <v>7053</v>
      </c>
      <c r="V60" s="29" t="s">
        <v>7053</v>
      </c>
      <c r="W60" s="32" t="s">
        <v>7043</v>
      </c>
      <c r="X60" s="30">
        <v>46753.0</v>
      </c>
      <c r="Y60" s="30">
        <v>47118.0</v>
      </c>
      <c r="Z60" s="29" t="s">
        <v>7053</v>
      </c>
      <c r="AA60" s="29" t="s">
        <v>7053</v>
      </c>
      <c r="AB60" s="32" t="s">
        <v>7043</v>
      </c>
      <c r="AC60" s="30">
        <v>47119.0</v>
      </c>
      <c r="AD60" s="30">
        <v>47483.0</v>
      </c>
      <c r="AE60" s="29" t="s">
        <v>7053</v>
      </c>
      <c r="AF60" s="29" t="s">
        <v>7053</v>
      </c>
      <c r="AG60" s="32" t="s">
        <v>7043</v>
      </c>
      <c r="AH60" s="30">
        <v>47484.0</v>
      </c>
      <c r="AI60" s="30">
        <v>47848.0</v>
      </c>
      <c r="AJ60" s="29" t="s">
        <v>7053</v>
      </c>
      <c r="AK60" s="29" t="s">
        <v>7053</v>
      </c>
      <c r="AL60" s="32" t="s">
        <v>7043</v>
      </c>
    </row>
    <row r="61" ht="14.25" customHeight="1">
      <c r="A61" s="28" t="s">
        <v>484</v>
      </c>
      <c r="B61" s="29" t="s">
        <v>485</v>
      </c>
      <c r="C61" s="29" t="s">
        <v>7041</v>
      </c>
      <c r="D61" s="30">
        <v>45292.0</v>
      </c>
      <c r="E61" s="30">
        <v>45657.0</v>
      </c>
      <c r="F61" s="29" t="s">
        <v>7096</v>
      </c>
      <c r="G61" s="29" t="s">
        <v>7051</v>
      </c>
      <c r="H61" s="32" t="s">
        <v>7043</v>
      </c>
      <c r="I61" s="30">
        <v>45658.0</v>
      </c>
      <c r="J61" s="30">
        <v>46022.0</v>
      </c>
      <c r="K61" s="29" t="s">
        <v>7097</v>
      </c>
      <c r="L61" s="29" t="s">
        <v>7053</v>
      </c>
      <c r="M61" s="38" t="s">
        <v>7047</v>
      </c>
      <c r="N61" s="30">
        <v>46023.0</v>
      </c>
      <c r="O61" s="30">
        <v>46387.0</v>
      </c>
      <c r="P61" s="29" t="s">
        <v>7053</v>
      </c>
      <c r="Q61" s="29" t="s">
        <v>7053</v>
      </c>
      <c r="R61" s="32" t="s">
        <v>7043</v>
      </c>
      <c r="S61" s="30">
        <v>46388.0</v>
      </c>
      <c r="T61" s="30">
        <v>46752.0</v>
      </c>
      <c r="U61" s="29" t="s">
        <v>7053</v>
      </c>
      <c r="V61" s="29" t="s">
        <v>7053</v>
      </c>
      <c r="W61" s="32" t="s">
        <v>7043</v>
      </c>
      <c r="X61" s="30">
        <v>46753.0</v>
      </c>
      <c r="Y61" s="30">
        <v>47118.0</v>
      </c>
      <c r="Z61" s="29" t="s">
        <v>7053</v>
      </c>
      <c r="AA61" s="29" t="s">
        <v>7053</v>
      </c>
      <c r="AB61" s="32" t="s">
        <v>7043</v>
      </c>
      <c r="AC61" s="30">
        <v>47119.0</v>
      </c>
      <c r="AD61" s="30">
        <v>47483.0</v>
      </c>
      <c r="AE61" s="29" t="s">
        <v>7053</v>
      </c>
      <c r="AF61" s="29" t="s">
        <v>7053</v>
      </c>
      <c r="AG61" s="32" t="s">
        <v>7043</v>
      </c>
      <c r="AH61" s="30">
        <v>47484.0</v>
      </c>
      <c r="AI61" s="30">
        <v>47848.0</v>
      </c>
      <c r="AJ61" s="29" t="s">
        <v>7053</v>
      </c>
      <c r="AK61" s="29" t="s">
        <v>7053</v>
      </c>
      <c r="AL61" s="32" t="s">
        <v>7043</v>
      </c>
    </row>
    <row r="62" ht="14.25" customHeight="1">
      <c r="A62" s="28" t="s">
        <v>494</v>
      </c>
      <c r="B62" s="29" t="s">
        <v>495</v>
      </c>
      <c r="C62" s="29" t="s">
        <v>7041</v>
      </c>
      <c r="D62" s="30">
        <v>45292.0</v>
      </c>
      <c r="E62" s="30">
        <v>45657.0</v>
      </c>
      <c r="F62" s="29" t="s">
        <v>7050</v>
      </c>
      <c r="G62" s="29" t="s">
        <v>7051</v>
      </c>
      <c r="H62" s="32" t="s">
        <v>7043</v>
      </c>
      <c r="I62" s="30">
        <v>45658.0</v>
      </c>
      <c r="J62" s="30">
        <v>46022.0</v>
      </c>
      <c r="K62" s="29" t="s">
        <v>7096</v>
      </c>
      <c r="L62" s="29" t="s">
        <v>7053</v>
      </c>
      <c r="M62" s="38" t="s">
        <v>7047</v>
      </c>
      <c r="N62" s="30">
        <v>46023.0</v>
      </c>
      <c r="O62" s="30">
        <v>46387.0</v>
      </c>
      <c r="P62" s="29" t="s">
        <v>7053</v>
      </c>
      <c r="Q62" s="29" t="s">
        <v>7053</v>
      </c>
      <c r="R62" s="32" t="s">
        <v>7043</v>
      </c>
      <c r="S62" s="30">
        <v>46388.0</v>
      </c>
      <c r="T62" s="30">
        <v>46752.0</v>
      </c>
      <c r="U62" s="29" t="s">
        <v>7053</v>
      </c>
      <c r="V62" s="29" t="s">
        <v>7053</v>
      </c>
      <c r="W62" s="32" t="s">
        <v>7043</v>
      </c>
      <c r="X62" s="30">
        <v>46753.0</v>
      </c>
      <c r="Y62" s="30">
        <v>47118.0</v>
      </c>
      <c r="Z62" s="29" t="s">
        <v>7053</v>
      </c>
      <c r="AA62" s="29" t="s">
        <v>7053</v>
      </c>
      <c r="AB62" s="32" t="s">
        <v>7043</v>
      </c>
      <c r="AC62" s="30">
        <v>47119.0</v>
      </c>
      <c r="AD62" s="30">
        <v>47483.0</v>
      </c>
      <c r="AE62" s="29" t="s">
        <v>7053</v>
      </c>
      <c r="AF62" s="29" t="s">
        <v>7053</v>
      </c>
      <c r="AG62" s="32" t="s">
        <v>7043</v>
      </c>
      <c r="AH62" s="30">
        <v>47484.0</v>
      </c>
      <c r="AI62" s="30">
        <v>47848.0</v>
      </c>
      <c r="AJ62" s="29" t="s">
        <v>7053</v>
      </c>
      <c r="AK62" s="29" t="s">
        <v>7053</v>
      </c>
      <c r="AL62" s="32" t="s">
        <v>7043</v>
      </c>
    </row>
    <row r="63" ht="14.25" customHeight="1">
      <c r="A63" s="28" t="s">
        <v>499</v>
      </c>
      <c r="B63" s="29" t="s">
        <v>500</v>
      </c>
      <c r="C63" s="29" t="s">
        <v>7041</v>
      </c>
      <c r="D63" s="30">
        <v>45292.0</v>
      </c>
      <c r="E63" s="30">
        <v>45657.0</v>
      </c>
      <c r="F63" s="29" t="s">
        <v>7094</v>
      </c>
      <c r="G63" s="29" t="s">
        <v>7051</v>
      </c>
      <c r="H63" s="32" t="s">
        <v>7043</v>
      </c>
      <c r="I63" s="30">
        <v>45658.0</v>
      </c>
      <c r="J63" s="30">
        <v>46022.0</v>
      </c>
      <c r="K63" s="29" t="s">
        <v>7068</v>
      </c>
      <c r="L63" s="29" t="s">
        <v>7053</v>
      </c>
      <c r="M63" s="38" t="s">
        <v>7047</v>
      </c>
      <c r="N63" s="30">
        <v>46023.0</v>
      </c>
      <c r="O63" s="30">
        <v>46387.0</v>
      </c>
      <c r="P63" s="29" t="s">
        <v>7053</v>
      </c>
      <c r="Q63" s="29" t="s">
        <v>7053</v>
      </c>
      <c r="R63" s="32" t="s">
        <v>7043</v>
      </c>
      <c r="S63" s="30">
        <v>46388.0</v>
      </c>
      <c r="T63" s="30">
        <v>46752.0</v>
      </c>
      <c r="U63" s="29" t="s">
        <v>7053</v>
      </c>
      <c r="V63" s="29" t="s">
        <v>7053</v>
      </c>
      <c r="W63" s="32" t="s">
        <v>7043</v>
      </c>
      <c r="X63" s="30">
        <v>46753.0</v>
      </c>
      <c r="Y63" s="30">
        <v>47118.0</v>
      </c>
      <c r="Z63" s="29" t="s">
        <v>7053</v>
      </c>
      <c r="AA63" s="29" t="s">
        <v>7053</v>
      </c>
      <c r="AB63" s="32" t="s">
        <v>7043</v>
      </c>
      <c r="AC63" s="30">
        <v>47119.0</v>
      </c>
      <c r="AD63" s="30">
        <v>47483.0</v>
      </c>
      <c r="AE63" s="29" t="s">
        <v>7053</v>
      </c>
      <c r="AF63" s="29" t="s">
        <v>7053</v>
      </c>
      <c r="AG63" s="32" t="s">
        <v>7043</v>
      </c>
      <c r="AH63" s="30">
        <v>47484.0</v>
      </c>
      <c r="AI63" s="30">
        <v>47848.0</v>
      </c>
      <c r="AJ63" s="29" t="s">
        <v>7053</v>
      </c>
      <c r="AK63" s="29" t="s">
        <v>7053</v>
      </c>
      <c r="AL63" s="32" t="s">
        <v>7043</v>
      </c>
    </row>
    <row r="64" ht="14.25" customHeight="1">
      <c r="A64" s="28" t="s">
        <v>504</v>
      </c>
      <c r="B64" s="29" t="s">
        <v>505</v>
      </c>
      <c r="C64" s="29" t="s">
        <v>7041</v>
      </c>
      <c r="D64" s="30">
        <v>45292.0</v>
      </c>
      <c r="E64" s="30">
        <v>45657.0</v>
      </c>
      <c r="F64" s="29" t="s">
        <v>7118</v>
      </c>
      <c r="G64" s="29" t="s">
        <v>7051</v>
      </c>
      <c r="H64" s="37" t="s">
        <v>7046</v>
      </c>
      <c r="I64" s="30">
        <v>45658.0</v>
      </c>
      <c r="J64" s="30">
        <v>46022.0</v>
      </c>
      <c r="K64" s="29" t="s">
        <v>7063</v>
      </c>
      <c r="L64" s="29" t="s">
        <v>7053</v>
      </c>
      <c r="M64" s="38" t="s">
        <v>7047</v>
      </c>
      <c r="N64" s="30">
        <v>46023.0</v>
      </c>
      <c r="O64" s="30">
        <v>46387.0</v>
      </c>
      <c r="P64" s="29" t="s">
        <v>7053</v>
      </c>
      <c r="Q64" s="29" t="s">
        <v>7053</v>
      </c>
      <c r="R64" s="32" t="s">
        <v>7043</v>
      </c>
      <c r="S64" s="30">
        <v>46388.0</v>
      </c>
      <c r="T64" s="30">
        <v>46752.0</v>
      </c>
      <c r="U64" s="29" t="s">
        <v>7053</v>
      </c>
      <c r="V64" s="29" t="s">
        <v>7053</v>
      </c>
      <c r="W64" s="32" t="s">
        <v>7043</v>
      </c>
      <c r="X64" s="30">
        <v>46753.0</v>
      </c>
      <c r="Y64" s="30">
        <v>47118.0</v>
      </c>
      <c r="Z64" s="29" t="s">
        <v>7053</v>
      </c>
      <c r="AA64" s="29" t="s">
        <v>7053</v>
      </c>
      <c r="AB64" s="32" t="s">
        <v>7043</v>
      </c>
      <c r="AC64" s="30">
        <v>47119.0</v>
      </c>
      <c r="AD64" s="30">
        <v>47483.0</v>
      </c>
      <c r="AE64" s="29" t="s">
        <v>7053</v>
      </c>
      <c r="AF64" s="29" t="s">
        <v>7053</v>
      </c>
      <c r="AG64" s="32" t="s">
        <v>7043</v>
      </c>
      <c r="AH64" s="30">
        <v>47484.0</v>
      </c>
      <c r="AI64" s="30">
        <v>47848.0</v>
      </c>
      <c r="AJ64" s="29" t="s">
        <v>7053</v>
      </c>
      <c r="AK64" s="29" t="s">
        <v>7053</v>
      </c>
      <c r="AL64" s="32" t="s">
        <v>7043</v>
      </c>
    </row>
    <row r="65" ht="14.25" customHeight="1">
      <c r="A65" s="28" t="s">
        <v>507</v>
      </c>
      <c r="B65" s="29" t="s">
        <v>508</v>
      </c>
      <c r="C65" s="29" t="s">
        <v>7041</v>
      </c>
      <c r="D65" s="30">
        <v>45292.0</v>
      </c>
      <c r="E65" s="30">
        <v>45657.0</v>
      </c>
      <c r="F65" s="29" t="s">
        <v>7118</v>
      </c>
      <c r="G65" s="29" t="s">
        <v>7051</v>
      </c>
      <c r="H65" s="37" t="s">
        <v>7046</v>
      </c>
      <c r="I65" s="30">
        <v>45658.0</v>
      </c>
      <c r="J65" s="30">
        <v>46022.0</v>
      </c>
      <c r="K65" s="29" t="s">
        <v>7084</v>
      </c>
      <c r="L65" s="29" t="s">
        <v>7053</v>
      </c>
      <c r="M65" s="38" t="s">
        <v>7047</v>
      </c>
      <c r="N65" s="30">
        <v>46023.0</v>
      </c>
      <c r="O65" s="30">
        <v>46387.0</v>
      </c>
      <c r="P65" s="29" t="s">
        <v>7053</v>
      </c>
      <c r="Q65" s="29" t="s">
        <v>7053</v>
      </c>
      <c r="R65" s="32" t="s">
        <v>7043</v>
      </c>
      <c r="S65" s="30">
        <v>46388.0</v>
      </c>
      <c r="T65" s="30">
        <v>46752.0</v>
      </c>
      <c r="U65" s="29" t="s">
        <v>7053</v>
      </c>
      <c r="V65" s="29" t="s">
        <v>7053</v>
      </c>
      <c r="W65" s="32" t="s">
        <v>7043</v>
      </c>
      <c r="X65" s="30">
        <v>46753.0</v>
      </c>
      <c r="Y65" s="30">
        <v>47118.0</v>
      </c>
      <c r="Z65" s="29" t="s">
        <v>7053</v>
      </c>
      <c r="AA65" s="29" t="s">
        <v>7053</v>
      </c>
      <c r="AB65" s="32" t="s">
        <v>7043</v>
      </c>
      <c r="AC65" s="30">
        <v>47119.0</v>
      </c>
      <c r="AD65" s="30">
        <v>47483.0</v>
      </c>
      <c r="AE65" s="29" t="s">
        <v>7053</v>
      </c>
      <c r="AF65" s="29" t="s">
        <v>7053</v>
      </c>
      <c r="AG65" s="32" t="s">
        <v>7043</v>
      </c>
      <c r="AH65" s="30">
        <v>47484.0</v>
      </c>
      <c r="AI65" s="30">
        <v>47848.0</v>
      </c>
      <c r="AJ65" s="29" t="s">
        <v>7053</v>
      </c>
      <c r="AK65" s="29" t="s">
        <v>7053</v>
      </c>
      <c r="AL65" s="32" t="s">
        <v>7043</v>
      </c>
    </row>
    <row r="66" ht="14.25" customHeight="1">
      <c r="A66" s="28" t="s">
        <v>515</v>
      </c>
      <c r="B66" s="29" t="s">
        <v>516</v>
      </c>
      <c r="C66" s="29" t="s">
        <v>7041</v>
      </c>
      <c r="D66" s="30">
        <v>45292.0</v>
      </c>
      <c r="E66" s="30">
        <v>45657.0</v>
      </c>
      <c r="F66" s="29" t="s">
        <v>7058</v>
      </c>
      <c r="G66" s="29" t="s">
        <v>7051</v>
      </c>
      <c r="H66" s="37" t="s">
        <v>7046</v>
      </c>
      <c r="I66" s="30">
        <v>45658.0</v>
      </c>
      <c r="J66" s="30">
        <v>46022.0</v>
      </c>
      <c r="K66" s="29" t="s">
        <v>7074</v>
      </c>
      <c r="L66" s="29" t="s">
        <v>7053</v>
      </c>
      <c r="M66" s="38" t="s">
        <v>7047</v>
      </c>
      <c r="N66" s="30">
        <v>46023.0</v>
      </c>
      <c r="O66" s="30">
        <v>46387.0</v>
      </c>
      <c r="P66" s="29" t="s">
        <v>7053</v>
      </c>
      <c r="Q66" s="29" t="s">
        <v>7053</v>
      </c>
      <c r="R66" s="32" t="s">
        <v>7043</v>
      </c>
      <c r="S66" s="30">
        <v>46388.0</v>
      </c>
      <c r="T66" s="30">
        <v>46752.0</v>
      </c>
      <c r="U66" s="29" t="s">
        <v>7053</v>
      </c>
      <c r="V66" s="29" t="s">
        <v>7053</v>
      </c>
      <c r="W66" s="32" t="s">
        <v>7043</v>
      </c>
      <c r="X66" s="30">
        <v>46753.0</v>
      </c>
      <c r="Y66" s="30">
        <v>47118.0</v>
      </c>
      <c r="Z66" s="29" t="s">
        <v>7053</v>
      </c>
      <c r="AA66" s="29" t="s">
        <v>7053</v>
      </c>
      <c r="AB66" s="32" t="s">
        <v>7043</v>
      </c>
      <c r="AC66" s="30">
        <v>47119.0</v>
      </c>
      <c r="AD66" s="30">
        <v>47483.0</v>
      </c>
      <c r="AE66" s="29" t="s">
        <v>7053</v>
      </c>
      <c r="AF66" s="29" t="s">
        <v>7053</v>
      </c>
      <c r="AG66" s="32" t="s">
        <v>7043</v>
      </c>
      <c r="AH66" s="30">
        <v>47484.0</v>
      </c>
      <c r="AI66" s="30">
        <v>47848.0</v>
      </c>
      <c r="AJ66" s="29" t="s">
        <v>7053</v>
      </c>
      <c r="AK66" s="29" t="s">
        <v>7053</v>
      </c>
      <c r="AL66" s="32" t="s">
        <v>7043</v>
      </c>
    </row>
    <row r="67" ht="14.25" customHeight="1">
      <c r="A67" s="28" t="s">
        <v>595</v>
      </c>
      <c r="B67" s="29" t="s">
        <v>596</v>
      </c>
      <c r="C67" s="29" t="s">
        <v>7041</v>
      </c>
      <c r="D67" s="30">
        <v>45292.0</v>
      </c>
      <c r="E67" s="30">
        <v>45657.0</v>
      </c>
      <c r="F67" s="29" t="s">
        <v>7051</v>
      </c>
      <c r="G67" s="29" t="s">
        <v>7051</v>
      </c>
      <c r="H67" s="38" t="s">
        <v>7047</v>
      </c>
      <c r="I67" s="30">
        <v>45658.0</v>
      </c>
      <c r="J67" s="30">
        <v>46022.0</v>
      </c>
      <c r="K67" s="29" t="s">
        <v>7066</v>
      </c>
      <c r="L67" s="29" t="s">
        <v>7053</v>
      </c>
      <c r="M67" s="38" t="s">
        <v>7047</v>
      </c>
      <c r="N67" s="30">
        <v>46023.0</v>
      </c>
      <c r="O67" s="30">
        <v>46387.0</v>
      </c>
      <c r="P67" s="29" t="s">
        <v>7053</v>
      </c>
      <c r="Q67" s="29" t="s">
        <v>7053</v>
      </c>
      <c r="R67" s="32" t="s">
        <v>7043</v>
      </c>
      <c r="S67" s="30">
        <v>46388.0</v>
      </c>
      <c r="T67" s="30">
        <v>46752.0</v>
      </c>
      <c r="U67" s="29" t="s">
        <v>7053</v>
      </c>
      <c r="V67" s="29" t="s">
        <v>7053</v>
      </c>
      <c r="W67" s="32" t="s">
        <v>7043</v>
      </c>
      <c r="X67" s="30">
        <v>46753.0</v>
      </c>
      <c r="Y67" s="30">
        <v>47118.0</v>
      </c>
      <c r="Z67" s="29" t="s">
        <v>7053</v>
      </c>
      <c r="AA67" s="29" t="s">
        <v>7053</v>
      </c>
      <c r="AB67" s="32" t="s">
        <v>7043</v>
      </c>
      <c r="AC67" s="30">
        <v>47119.0</v>
      </c>
      <c r="AD67" s="30">
        <v>47483.0</v>
      </c>
      <c r="AE67" s="29" t="s">
        <v>7053</v>
      </c>
      <c r="AF67" s="29" t="s">
        <v>7053</v>
      </c>
      <c r="AG67" s="32" t="s">
        <v>7043</v>
      </c>
      <c r="AH67" s="30">
        <v>47484.0</v>
      </c>
      <c r="AI67" s="30">
        <v>47848.0</v>
      </c>
      <c r="AJ67" s="29" t="s">
        <v>7053</v>
      </c>
      <c r="AK67" s="29" t="s">
        <v>7053</v>
      </c>
      <c r="AL67" s="32" t="s">
        <v>7043</v>
      </c>
    </row>
    <row r="68" ht="14.25" customHeight="1">
      <c r="A68" s="28" t="s">
        <v>608</v>
      </c>
      <c r="B68" s="29" t="s">
        <v>609</v>
      </c>
      <c r="C68" s="29" t="s">
        <v>7041</v>
      </c>
      <c r="D68" s="30">
        <v>45292.0</v>
      </c>
      <c r="E68" s="30">
        <v>45657.0</v>
      </c>
      <c r="F68" s="29" t="s">
        <v>7119</v>
      </c>
      <c r="G68" s="29" t="s">
        <v>7051</v>
      </c>
      <c r="H68" s="32" t="s">
        <v>7043</v>
      </c>
      <c r="I68" s="30">
        <v>45658.0</v>
      </c>
      <c r="J68" s="30">
        <v>46022.0</v>
      </c>
      <c r="K68" s="29" t="s">
        <v>7077</v>
      </c>
      <c r="L68" s="29" t="s">
        <v>7053</v>
      </c>
      <c r="M68" s="38" t="s">
        <v>7047</v>
      </c>
      <c r="N68" s="30">
        <v>46023.0</v>
      </c>
      <c r="O68" s="30">
        <v>46387.0</v>
      </c>
      <c r="P68" s="29" t="s">
        <v>7053</v>
      </c>
      <c r="Q68" s="29" t="s">
        <v>7053</v>
      </c>
      <c r="R68" s="32" t="s">
        <v>7043</v>
      </c>
      <c r="S68" s="30">
        <v>46388.0</v>
      </c>
      <c r="T68" s="30">
        <v>46752.0</v>
      </c>
      <c r="U68" s="29" t="s">
        <v>7053</v>
      </c>
      <c r="V68" s="29" t="s">
        <v>7053</v>
      </c>
      <c r="W68" s="32" t="s">
        <v>7043</v>
      </c>
      <c r="X68" s="30">
        <v>46753.0</v>
      </c>
      <c r="Y68" s="30">
        <v>47118.0</v>
      </c>
      <c r="Z68" s="29" t="s">
        <v>7053</v>
      </c>
      <c r="AA68" s="29" t="s">
        <v>7053</v>
      </c>
      <c r="AB68" s="32" t="s">
        <v>7043</v>
      </c>
      <c r="AC68" s="30">
        <v>47119.0</v>
      </c>
      <c r="AD68" s="30">
        <v>47483.0</v>
      </c>
      <c r="AE68" s="29" t="s">
        <v>7053</v>
      </c>
      <c r="AF68" s="29" t="s">
        <v>7053</v>
      </c>
      <c r="AG68" s="32" t="s">
        <v>7043</v>
      </c>
      <c r="AH68" s="30">
        <v>47484.0</v>
      </c>
      <c r="AI68" s="30">
        <v>47848.0</v>
      </c>
      <c r="AJ68" s="29" t="s">
        <v>7053</v>
      </c>
      <c r="AK68" s="29" t="s">
        <v>7053</v>
      </c>
      <c r="AL68" s="32" t="s">
        <v>7043</v>
      </c>
    </row>
    <row r="69" ht="14.25" customHeight="1">
      <c r="A69" s="28" t="s">
        <v>622</v>
      </c>
      <c r="B69" s="29" t="s">
        <v>623</v>
      </c>
      <c r="C69" s="29" t="s">
        <v>7041</v>
      </c>
      <c r="D69" s="30">
        <v>45292.0</v>
      </c>
      <c r="E69" s="30">
        <v>45657.0</v>
      </c>
      <c r="F69" s="29" t="s">
        <v>7078</v>
      </c>
      <c r="G69" s="29" t="s">
        <v>7051</v>
      </c>
      <c r="H69" s="37" t="s">
        <v>7046</v>
      </c>
      <c r="I69" s="30">
        <v>45658.0</v>
      </c>
      <c r="J69" s="30">
        <v>46022.0</v>
      </c>
      <c r="K69" s="29" t="s">
        <v>7088</v>
      </c>
      <c r="L69" s="29" t="s">
        <v>7053</v>
      </c>
      <c r="M69" s="38" t="s">
        <v>7047</v>
      </c>
      <c r="N69" s="30">
        <v>46023.0</v>
      </c>
      <c r="O69" s="30">
        <v>46387.0</v>
      </c>
      <c r="P69" s="29" t="s">
        <v>7053</v>
      </c>
      <c r="Q69" s="29" t="s">
        <v>7053</v>
      </c>
      <c r="R69" s="32" t="s">
        <v>7043</v>
      </c>
      <c r="S69" s="30">
        <v>46388.0</v>
      </c>
      <c r="T69" s="30">
        <v>46752.0</v>
      </c>
      <c r="U69" s="29" t="s">
        <v>7053</v>
      </c>
      <c r="V69" s="29" t="s">
        <v>7053</v>
      </c>
      <c r="W69" s="32" t="s">
        <v>7043</v>
      </c>
      <c r="X69" s="30">
        <v>46753.0</v>
      </c>
      <c r="Y69" s="30">
        <v>47118.0</v>
      </c>
      <c r="Z69" s="29" t="s">
        <v>7053</v>
      </c>
      <c r="AA69" s="29" t="s">
        <v>7053</v>
      </c>
      <c r="AB69" s="32" t="s">
        <v>7043</v>
      </c>
      <c r="AC69" s="30">
        <v>47119.0</v>
      </c>
      <c r="AD69" s="30">
        <v>47483.0</v>
      </c>
      <c r="AE69" s="29" t="s">
        <v>7053</v>
      </c>
      <c r="AF69" s="29" t="s">
        <v>7053</v>
      </c>
      <c r="AG69" s="32" t="s">
        <v>7043</v>
      </c>
      <c r="AH69" s="30">
        <v>47484.0</v>
      </c>
      <c r="AI69" s="30">
        <v>47848.0</v>
      </c>
      <c r="AJ69" s="29" t="s">
        <v>7053</v>
      </c>
      <c r="AK69" s="29" t="s">
        <v>7053</v>
      </c>
      <c r="AL69" s="32" t="s">
        <v>7043</v>
      </c>
    </row>
    <row r="70" ht="14.25" customHeight="1">
      <c r="A70" s="28" t="s">
        <v>626</v>
      </c>
      <c r="B70" s="29" t="s">
        <v>627</v>
      </c>
      <c r="C70" s="29" t="s">
        <v>7041</v>
      </c>
      <c r="D70" s="30">
        <v>45292.0</v>
      </c>
      <c r="E70" s="30">
        <v>45657.0</v>
      </c>
      <c r="F70" s="29" t="s">
        <v>7088</v>
      </c>
      <c r="G70" s="29" t="s">
        <v>7051</v>
      </c>
      <c r="H70" s="37" t="s">
        <v>7046</v>
      </c>
      <c r="I70" s="30">
        <v>45658.0</v>
      </c>
      <c r="J70" s="30">
        <v>46022.0</v>
      </c>
      <c r="K70" s="29" t="s">
        <v>7065</v>
      </c>
      <c r="L70" s="29" t="s">
        <v>7053</v>
      </c>
      <c r="M70" s="38" t="s">
        <v>7047</v>
      </c>
      <c r="N70" s="30">
        <v>46023.0</v>
      </c>
      <c r="O70" s="30">
        <v>46387.0</v>
      </c>
      <c r="P70" s="29" t="s">
        <v>7053</v>
      </c>
      <c r="Q70" s="29" t="s">
        <v>7053</v>
      </c>
      <c r="R70" s="32" t="s">
        <v>7043</v>
      </c>
      <c r="S70" s="30">
        <v>46388.0</v>
      </c>
      <c r="T70" s="30">
        <v>46752.0</v>
      </c>
      <c r="U70" s="29" t="s">
        <v>7053</v>
      </c>
      <c r="V70" s="29" t="s">
        <v>7053</v>
      </c>
      <c r="W70" s="32" t="s">
        <v>7043</v>
      </c>
      <c r="X70" s="30">
        <v>46753.0</v>
      </c>
      <c r="Y70" s="30">
        <v>47118.0</v>
      </c>
      <c r="Z70" s="29" t="s">
        <v>7053</v>
      </c>
      <c r="AA70" s="29" t="s">
        <v>7053</v>
      </c>
      <c r="AB70" s="32" t="s">
        <v>7043</v>
      </c>
      <c r="AC70" s="30">
        <v>47119.0</v>
      </c>
      <c r="AD70" s="30">
        <v>47483.0</v>
      </c>
      <c r="AE70" s="29" t="s">
        <v>7053</v>
      </c>
      <c r="AF70" s="29" t="s">
        <v>7053</v>
      </c>
      <c r="AG70" s="32" t="s">
        <v>7043</v>
      </c>
      <c r="AH70" s="30">
        <v>47484.0</v>
      </c>
      <c r="AI70" s="30">
        <v>47848.0</v>
      </c>
      <c r="AJ70" s="29" t="s">
        <v>7053</v>
      </c>
      <c r="AK70" s="29" t="s">
        <v>7053</v>
      </c>
      <c r="AL70" s="32" t="s">
        <v>7043</v>
      </c>
    </row>
    <row r="71" ht="14.25" customHeight="1">
      <c r="A71" s="28" t="s">
        <v>631</v>
      </c>
      <c r="B71" s="29" t="s">
        <v>632</v>
      </c>
      <c r="C71" s="29" t="s">
        <v>7041</v>
      </c>
      <c r="D71" s="30">
        <v>45292.0</v>
      </c>
      <c r="E71" s="30">
        <v>45657.0</v>
      </c>
      <c r="F71" s="29" t="s">
        <v>7071</v>
      </c>
      <c r="G71" s="29" t="s">
        <v>7055</v>
      </c>
      <c r="H71" s="32" t="s">
        <v>7043</v>
      </c>
      <c r="I71" s="30">
        <v>45658.0</v>
      </c>
      <c r="J71" s="30">
        <v>46022.0</v>
      </c>
      <c r="K71" s="29" t="s">
        <v>7071</v>
      </c>
      <c r="L71" s="29" t="s">
        <v>7053</v>
      </c>
      <c r="M71" s="38" t="s">
        <v>7047</v>
      </c>
      <c r="N71" s="30">
        <v>46023.0</v>
      </c>
      <c r="O71" s="30">
        <v>46387.0</v>
      </c>
      <c r="P71" s="29" t="s">
        <v>7053</v>
      </c>
      <c r="Q71" s="29" t="s">
        <v>7053</v>
      </c>
      <c r="R71" s="32" t="s">
        <v>7043</v>
      </c>
      <c r="S71" s="30">
        <v>46388.0</v>
      </c>
      <c r="T71" s="30">
        <v>46752.0</v>
      </c>
      <c r="U71" s="29" t="s">
        <v>7053</v>
      </c>
      <c r="V71" s="29" t="s">
        <v>7053</v>
      </c>
      <c r="W71" s="32" t="s">
        <v>7043</v>
      </c>
      <c r="X71" s="30">
        <v>46753.0</v>
      </c>
      <c r="Y71" s="30">
        <v>47118.0</v>
      </c>
      <c r="Z71" s="29" t="s">
        <v>7053</v>
      </c>
      <c r="AA71" s="29" t="s">
        <v>7053</v>
      </c>
      <c r="AB71" s="32" t="s">
        <v>7043</v>
      </c>
      <c r="AC71" s="30">
        <v>47119.0</v>
      </c>
      <c r="AD71" s="30">
        <v>47483.0</v>
      </c>
      <c r="AE71" s="29" t="s">
        <v>7053</v>
      </c>
      <c r="AF71" s="29" t="s">
        <v>7053</v>
      </c>
      <c r="AG71" s="32" t="s">
        <v>7043</v>
      </c>
      <c r="AH71" s="30">
        <v>47484.0</v>
      </c>
      <c r="AI71" s="30">
        <v>47848.0</v>
      </c>
      <c r="AJ71" s="29" t="s">
        <v>7053</v>
      </c>
      <c r="AK71" s="29" t="s">
        <v>7053</v>
      </c>
      <c r="AL71" s="32" t="s">
        <v>7043</v>
      </c>
    </row>
    <row r="72" ht="14.25" customHeight="1">
      <c r="A72" s="28" t="s">
        <v>635</v>
      </c>
      <c r="B72" s="29" t="s">
        <v>636</v>
      </c>
      <c r="C72" s="29" t="s">
        <v>7041</v>
      </c>
      <c r="D72" s="30">
        <v>45292.0</v>
      </c>
      <c r="E72" s="30">
        <v>45657.0</v>
      </c>
      <c r="F72" s="29" t="s">
        <v>7120</v>
      </c>
      <c r="G72" s="29" t="s">
        <v>7063</v>
      </c>
      <c r="H72" s="38" t="s">
        <v>7047</v>
      </c>
      <c r="I72" s="30">
        <v>45658.0</v>
      </c>
      <c r="J72" s="30">
        <v>46022.0</v>
      </c>
      <c r="K72" s="29" t="s">
        <v>7054</v>
      </c>
      <c r="L72" s="29" t="s">
        <v>7053</v>
      </c>
      <c r="M72" s="38" t="s">
        <v>7047</v>
      </c>
      <c r="N72" s="30">
        <v>46023.0</v>
      </c>
      <c r="O72" s="30">
        <v>46387.0</v>
      </c>
      <c r="P72" s="29" t="s">
        <v>7053</v>
      </c>
      <c r="Q72" s="29" t="s">
        <v>7053</v>
      </c>
      <c r="R72" s="32" t="s">
        <v>7043</v>
      </c>
      <c r="S72" s="30">
        <v>46388.0</v>
      </c>
      <c r="T72" s="30">
        <v>46752.0</v>
      </c>
      <c r="U72" s="29" t="s">
        <v>7053</v>
      </c>
      <c r="V72" s="29" t="s">
        <v>7053</v>
      </c>
      <c r="W72" s="32" t="s">
        <v>7043</v>
      </c>
      <c r="X72" s="30">
        <v>46753.0</v>
      </c>
      <c r="Y72" s="30">
        <v>47118.0</v>
      </c>
      <c r="Z72" s="29" t="s">
        <v>7053</v>
      </c>
      <c r="AA72" s="29" t="s">
        <v>7053</v>
      </c>
      <c r="AB72" s="32" t="s">
        <v>7043</v>
      </c>
      <c r="AC72" s="30">
        <v>47119.0</v>
      </c>
      <c r="AD72" s="30">
        <v>47483.0</v>
      </c>
      <c r="AE72" s="29" t="s">
        <v>7053</v>
      </c>
      <c r="AF72" s="29" t="s">
        <v>7053</v>
      </c>
      <c r="AG72" s="32" t="s">
        <v>7043</v>
      </c>
      <c r="AH72" s="30">
        <v>47484.0</v>
      </c>
      <c r="AI72" s="30">
        <v>47848.0</v>
      </c>
      <c r="AJ72" s="29" t="s">
        <v>7053</v>
      </c>
      <c r="AK72" s="29" t="s">
        <v>7053</v>
      </c>
      <c r="AL72" s="32" t="s">
        <v>7043</v>
      </c>
    </row>
    <row r="73" ht="14.25" customHeight="1">
      <c r="A73" s="28" t="s">
        <v>641</v>
      </c>
      <c r="B73" s="29" t="s">
        <v>642</v>
      </c>
      <c r="C73" s="29" t="s">
        <v>7041</v>
      </c>
      <c r="D73" s="30">
        <v>45292.0</v>
      </c>
      <c r="E73" s="30">
        <v>45657.0</v>
      </c>
      <c r="F73" s="29" t="s">
        <v>7072</v>
      </c>
      <c r="G73" s="29" t="s">
        <v>7051</v>
      </c>
      <c r="H73" s="32" t="s">
        <v>7043</v>
      </c>
      <c r="I73" s="30">
        <v>45658.0</v>
      </c>
      <c r="J73" s="30">
        <v>46022.0</v>
      </c>
      <c r="K73" s="29" t="s">
        <v>7062</v>
      </c>
      <c r="L73" s="29" t="s">
        <v>7053</v>
      </c>
      <c r="M73" s="38" t="s">
        <v>7047</v>
      </c>
      <c r="N73" s="30">
        <v>46023.0</v>
      </c>
      <c r="O73" s="30">
        <v>46387.0</v>
      </c>
      <c r="P73" s="29" t="s">
        <v>7053</v>
      </c>
      <c r="Q73" s="29" t="s">
        <v>7053</v>
      </c>
      <c r="R73" s="32" t="s">
        <v>7043</v>
      </c>
      <c r="S73" s="30">
        <v>46388.0</v>
      </c>
      <c r="T73" s="30">
        <v>46752.0</v>
      </c>
      <c r="U73" s="29" t="s">
        <v>7053</v>
      </c>
      <c r="V73" s="29" t="s">
        <v>7053</v>
      </c>
      <c r="W73" s="32" t="s">
        <v>7043</v>
      </c>
      <c r="X73" s="30">
        <v>46753.0</v>
      </c>
      <c r="Y73" s="30">
        <v>47118.0</v>
      </c>
      <c r="Z73" s="29" t="s">
        <v>7053</v>
      </c>
      <c r="AA73" s="29" t="s">
        <v>7053</v>
      </c>
      <c r="AB73" s="32" t="s">
        <v>7043</v>
      </c>
      <c r="AC73" s="30">
        <v>47119.0</v>
      </c>
      <c r="AD73" s="30">
        <v>47483.0</v>
      </c>
      <c r="AE73" s="29" t="s">
        <v>7053</v>
      </c>
      <c r="AF73" s="29" t="s">
        <v>7053</v>
      </c>
      <c r="AG73" s="32" t="s">
        <v>7043</v>
      </c>
      <c r="AH73" s="30">
        <v>47484.0</v>
      </c>
      <c r="AI73" s="30">
        <v>47848.0</v>
      </c>
      <c r="AJ73" s="29" t="s">
        <v>7053</v>
      </c>
      <c r="AK73" s="29" t="s">
        <v>7053</v>
      </c>
      <c r="AL73" s="32" t="s">
        <v>7043</v>
      </c>
    </row>
    <row r="74" ht="14.25" customHeight="1">
      <c r="A74" s="28" t="s">
        <v>649</v>
      </c>
      <c r="B74" s="29" t="s">
        <v>650</v>
      </c>
      <c r="C74" s="29" t="s">
        <v>7041</v>
      </c>
      <c r="D74" s="30">
        <v>45292.0</v>
      </c>
      <c r="E74" s="30">
        <v>45657.0</v>
      </c>
      <c r="F74" s="29" t="s">
        <v>7057</v>
      </c>
      <c r="G74" s="29" t="s">
        <v>7051</v>
      </c>
      <c r="H74" s="37" t="s">
        <v>7046</v>
      </c>
      <c r="I74" s="30">
        <v>45658.0</v>
      </c>
      <c r="J74" s="30">
        <v>46022.0</v>
      </c>
      <c r="K74" s="29" t="s">
        <v>7063</v>
      </c>
      <c r="L74" s="29" t="s">
        <v>7053</v>
      </c>
      <c r="M74" s="38" t="s">
        <v>7047</v>
      </c>
      <c r="N74" s="30">
        <v>46023.0</v>
      </c>
      <c r="O74" s="30">
        <v>46387.0</v>
      </c>
      <c r="P74" s="29" t="s">
        <v>7053</v>
      </c>
      <c r="Q74" s="29" t="s">
        <v>7053</v>
      </c>
      <c r="R74" s="32" t="s">
        <v>7043</v>
      </c>
      <c r="S74" s="30">
        <v>46388.0</v>
      </c>
      <c r="T74" s="30">
        <v>46752.0</v>
      </c>
      <c r="U74" s="29" t="s">
        <v>7053</v>
      </c>
      <c r="V74" s="29" t="s">
        <v>7053</v>
      </c>
      <c r="W74" s="32" t="s">
        <v>7043</v>
      </c>
      <c r="X74" s="30">
        <v>46753.0</v>
      </c>
      <c r="Y74" s="30">
        <v>47118.0</v>
      </c>
      <c r="Z74" s="29" t="s">
        <v>7053</v>
      </c>
      <c r="AA74" s="29" t="s">
        <v>7053</v>
      </c>
      <c r="AB74" s="32" t="s">
        <v>7043</v>
      </c>
      <c r="AC74" s="30">
        <v>47119.0</v>
      </c>
      <c r="AD74" s="30">
        <v>47483.0</v>
      </c>
      <c r="AE74" s="29" t="s">
        <v>7053</v>
      </c>
      <c r="AF74" s="29" t="s">
        <v>7053</v>
      </c>
      <c r="AG74" s="32" t="s">
        <v>7043</v>
      </c>
      <c r="AH74" s="30">
        <v>47484.0</v>
      </c>
      <c r="AI74" s="30">
        <v>47848.0</v>
      </c>
      <c r="AJ74" s="29" t="s">
        <v>7053</v>
      </c>
      <c r="AK74" s="29" t="s">
        <v>7053</v>
      </c>
      <c r="AL74" s="32" t="s">
        <v>7043</v>
      </c>
    </row>
    <row r="75" ht="14.25" customHeight="1">
      <c r="A75" s="28" t="s">
        <v>654</v>
      </c>
      <c r="B75" s="29" t="s">
        <v>655</v>
      </c>
      <c r="C75" s="29" t="s">
        <v>7041</v>
      </c>
      <c r="D75" s="30">
        <v>45292.0</v>
      </c>
      <c r="E75" s="30">
        <v>45657.0</v>
      </c>
      <c r="F75" s="29" t="s">
        <v>7087</v>
      </c>
      <c r="G75" s="29" t="s">
        <v>7084</v>
      </c>
      <c r="H75" s="38" t="s">
        <v>7047</v>
      </c>
      <c r="I75" s="30">
        <v>45658.0</v>
      </c>
      <c r="J75" s="30">
        <v>46022.0</v>
      </c>
      <c r="K75" s="29" t="s">
        <v>7063</v>
      </c>
      <c r="L75" s="29" t="s">
        <v>7053</v>
      </c>
      <c r="M75" s="38" t="s">
        <v>7047</v>
      </c>
      <c r="N75" s="30">
        <v>46023.0</v>
      </c>
      <c r="O75" s="30">
        <v>46387.0</v>
      </c>
      <c r="P75" s="29" t="s">
        <v>7053</v>
      </c>
      <c r="Q75" s="29" t="s">
        <v>7053</v>
      </c>
      <c r="R75" s="32" t="s">
        <v>7043</v>
      </c>
      <c r="S75" s="30">
        <v>46388.0</v>
      </c>
      <c r="T75" s="30">
        <v>46752.0</v>
      </c>
      <c r="U75" s="29" t="s">
        <v>7053</v>
      </c>
      <c r="V75" s="29" t="s">
        <v>7053</v>
      </c>
      <c r="W75" s="32" t="s">
        <v>7043</v>
      </c>
      <c r="X75" s="30">
        <v>46753.0</v>
      </c>
      <c r="Y75" s="30">
        <v>47118.0</v>
      </c>
      <c r="Z75" s="29" t="s">
        <v>7053</v>
      </c>
      <c r="AA75" s="29" t="s">
        <v>7053</v>
      </c>
      <c r="AB75" s="32" t="s">
        <v>7043</v>
      </c>
      <c r="AC75" s="30">
        <v>47119.0</v>
      </c>
      <c r="AD75" s="30">
        <v>47483.0</v>
      </c>
      <c r="AE75" s="29" t="s">
        <v>7053</v>
      </c>
      <c r="AF75" s="29" t="s">
        <v>7053</v>
      </c>
      <c r="AG75" s="32" t="s">
        <v>7043</v>
      </c>
      <c r="AH75" s="30">
        <v>47484.0</v>
      </c>
      <c r="AI75" s="30">
        <v>47848.0</v>
      </c>
      <c r="AJ75" s="29" t="s">
        <v>7053</v>
      </c>
      <c r="AK75" s="29" t="s">
        <v>7053</v>
      </c>
      <c r="AL75" s="32" t="s">
        <v>7043</v>
      </c>
    </row>
    <row r="76" ht="14.25" customHeight="1">
      <c r="A76" s="28" t="s">
        <v>702</v>
      </c>
      <c r="B76" s="29" t="s">
        <v>703</v>
      </c>
      <c r="C76" s="29" t="s">
        <v>7041</v>
      </c>
      <c r="D76" s="30">
        <v>45292.0</v>
      </c>
      <c r="E76" s="30">
        <v>45657.0</v>
      </c>
      <c r="F76" s="29" t="s">
        <v>7085</v>
      </c>
      <c r="G76" s="29" t="s">
        <v>7121</v>
      </c>
      <c r="H76" s="37" t="s">
        <v>7046</v>
      </c>
      <c r="I76" s="30">
        <v>45658.0</v>
      </c>
      <c r="J76" s="30">
        <v>46022.0</v>
      </c>
      <c r="K76" s="29" t="s">
        <v>7078</v>
      </c>
      <c r="L76" s="29" t="s">
        <v>7053</v>
      </c>
      <c r="M76" s="38" t="s">
        <v>7047</v>
      </c>
      <c r="N76" s="30">
        <v>46023.0</v>
      </c>
      <c r="O76" s="30">
        <v>46387.0</v>
      </c>
      <c r="P76" s="29" t="s">
        <v>7053</v>
      </c>
      <c r="Q76" s="29" t="s">
        <v>7053</v>
      </c>
      <c r="R76" s="32" t="s">
        <v>7043</v>
      </c>
      <c r="S76" s="30">
        <v>46388.0</v>
      </c>
      <c r="T76" s="30">
        <v>46752.0</v>
      </c>
      <c r="U76" s="29" t="s">
        <v>7053</v>
      </c>
      <c r="V76" s="29" t="s">
        <v>7053</v>
      </c>
      <c r="W76" s="32" t="s">
        <v>7043</v>
      </c>
      <c r="X76" s="30">
        <v>46753.0</v>
      </c>
      <c r="Y76" s="30">
        <v>47118.0</v>
      </c>
      <c r="Z76" s="29" t="s">
        <v>7053</v>
      </c>
      <c r="AA76" s="29" t="s">
        <v>7053</v>
      </c>
      <c r="AB76" s="32" t="s">
        <v>7043</v>
      </c>
      <c r="AC76" s="30">
        <v>47119.0</v>
      </c>
      <c r="AD76" s="30">
        <v>47483.0</v>
      </c>
      <c r="AE76" s="29" t="s">
        <v>7053</v>
      </c>
      <c r="AF76" s="29" t="s">
        <v>7053</v>
      </c>
      <c r="AG76" s="32" t="s">
        <v>7043</v>
      </c>
      <c r="AH76" s="30">
        <v>47484.0</v>
      </c>
      <c r="AI76" s="30">
        <v>47848.0</v>
      </c>
      <c r="AJ76" s="29" t="s">
        <v>7053</v>
      </c>
      <c r="AK76" s="29" t="s">
        <v>7053</v>
      </c>
      <c r="AL76" s="32" t="s">
        <v>7043</v>
      </c>
    </row>
    <row r="77" ht="14.25" customHeight="1">
      <c r="A77" s="28" t="s">
        <v>718</v>
      </c>
      <c r="B77" s="29" t="s">
        <v>719</v>
      </c>
      <c r="C77" s="29" t="s">
        <v>7041</v>
      </c>
      <c r="D77" s="30">
        <v>45292.0</v>
      </c>
      <c r="E77" s="30">
        <v>45657.0</v>
      </c>
      <c r="F77" s="29" t="s">
        <v>7050</v>
      </c>
      <c r="G77" s="29" t="s">
        <v>7112</v>
      </c>
      <c r="H77" s="32" t="s">
        <v>7043</v>
      </c>
      <c r="I77" s="30">
        <v>45658.0</v>
      </c>
      <c r="J77" s="30">
        <v>46022.0</v>
      </c>
      <c r="K77" s="29" t="s">
        <v>7068</v>
      </c>
      <c r="L77" s="29" t="s">
        <v>7053</v>
      </c>
      <c r="M77" s="38" t="s">
        <v>7047</v>
      </c>
      <c r="N77" s="30">
        <v>46023.0</v>
      </c>
      <c r="O77" s="30">
        <v>46387.0</v>
      </c>
      <c r="P77" s="29" t="s">
        <v>7053</v>
      </c>
      <c r="Q77" s="29" t="s">
        <v>7053</v>
      </c>
      <c r="R77" s="32" t="s">
        <v>7043</v>
      </c>
      <c r="S77" s="30">
        <v>46388.0</v>
      </c>
      <c r="T77" s="30">
        <v>46752.0</v>
      </c>
      <c r="U77" s="29" t="s">
        <v>7053</v>
      </c>
      <c r="V77" s="29" t="s">
        <v>7053</v>
      </c>
      <c r="W77" s="32" t="s">
        <v>7043</v>
      </c>
      <c r="X77" s="30">
        <v>46753.0</v>
      </c>
      <c r="Y77" s="30">
        <v>47118.0</v>
      </c>
      <c r="Z77" s="29" t="s">
        <v>7053</v>
      </c>
      <c r="AA77" s="29" t="s">
        <v>7053</v>
      </c>
      <c r="AB77" s="32" t="s">
        <v>7043</v>
      </c>
      <c r="AC77" s="30">
        <v>47119.0</v>
      </c>
      <c r="AD77" s="30">
        <v>47483.0</v>
      </c>
      <c r="AE77" s="29" t="s">
        <v>7053</v>
      </c>
      <c r="AF77" s="29" t="s">
        <v>7053</v>
      </c>
      <c r="AG77" s="32" t="s">
        <v>7043</v>
      </c>
      <c r="AH77" s="30">
        <v>47484.0</v>
      </c>
      <c r="AI77" s="30">
        <v>47848.0</v>
      </c>
      <c r="AJ77" s="29" t="s">
        <v>7053</v>
      </c>
      <c r="AK77" s="29" t="s">
        <v>7053</v>
      </c>
      <c r="AL77" s="32" t="s">
        <v>7043</v>
      </c>
    </row>
    <row r="78" ht="14.25" customHeight="1">
      <c r="A78" s="28" t="s">
        <v>733</v>
      </c>
      <c r="B78" s="29" t="s">
        <v>734</v>
      </c>
      <c r="C78" s="29" t="s">
        <v>7041</v>
      </c>
      <c r="D78" s="30">
        <v>45292.0</v>
      </c>
      <c r="E78" s="30">
        <v>45657.0</v>
      </c>
      <c r="F78" s="29" t="s">
        <v>7069</v>
      </c>
      <c r="G78" s="29" t="s">
        <v>7051</v>
      </c>
      <c r="H78" s="37" t="s">
        <v>7046</v>
      </c>
      <c r="I78" s="30">
        <v>45658.0</v>
      </c>
      <c r="J78" s="30">
        <v>46022.0</v>
      </c>
      <c r="K78" s="29" t="s">
        <v>7063</v>
      </c>
      <c r="L78" s="29" t="s">
        <v>7053</v>
      </c>
      <c r="M78" s="38" t="s">
        <v>7047</v>
      </c>
      <c r="N78" s="30">
        <v>46023.0</v>
      </c>
      <c r="O78" s="30">
        <v>46387.0</v>
      </c>
      <c r="P78" s="29" t="s">
        <v>7053</v>
      </c>
      <c r="Q78" s="29" t="s">
        <v>7053</v>
      </c>
      <c r="R78" s="32" t="s">
        <v>7043</v>
      </c>
      <c r="S78" s="30">
        <v>46388.0</v>
      </c>
      <c r="T78" s="30">
        <v>46752.0</v>
      </c>
      <c r="U78" s="29" t="s">
        <v>7053</v>
      </c>
      <c r="V78" s="29" t="s">
        <v>7053</v>
      </c>
      <c r="W78" s="32" t="s">
        <v>7043</v>
      </c>
      <c r="X78" s="30">
        <v>46753.0</v>
      </c>
      <c r="Y78" s="30">
        <v>47118.0</v>
      </c>
      <c r="Z78" s="29" t="s">
        <v>7053</v>
      </c>
      <c r="AA78" s="29" t="s">
        <v>7053</v>
      </c>
      <c r="AB78" s="32" t="s">
        <v>7043</v>
      </c>
      <c r="AC78" s="30">
        <v>47119.0</v>
      </c>
      <c r="AD78" s="30">
        <v>47483.0</v>
      </c>
      <c r="AE78" s="29" t="s">
        <v>7053</v>
      </c>
      <c r="AF78" s="29" t="s">
        <v>7053</v>
      </c>
      <c r="AG78" s="32" t="s">
        <v>7043</v>
      </c>
      <c r="AH78" s="30">
        <v>47484.0</v>
      </c>
      <c r="AI78" s="30">
        <v>47848.0</v>
      </c>
      <c r="AJ78" s="29" t="s">
        <v>7053</v>
      </c>
      <c r="AK78" s="29" t="s">
        <v>7053</v>
      </c>
      <c r="AL78" s="32" t="s">
        <v>7043</v>
      </c>
    </row>
    <row r="79" ht="14.25" customHeight="1">
      <c r="A79" s="28" t="s">
        <v>737</v>
      </c>
      <c r="B79" s="29" t="s">
        <v>738</v>
      </c>
      <c r="C79" s="29" t="s">
        <v>7041</v>
      </c>
      <c r="D79" s="30">
        <v>45292.0</v>
      </c>
      <c r="E79" s="30">
        <v>45657.0</v>
      </c>
      <c r="F79" s="29" t="s">
        <v>7050</v>
      </c>
      <c r="G79" s="29" t="s">
        <v>7051</v>
      </c>
      <c r="H79" s="32" t="s">
        <v>7043</v>
      </c>
      <c r="I79" s="30">
        <v>45658.0</v>
      </c>
      <c r="J79" s="30">
        <v>46022.0</v>
      </c>
      <c r="K79" s="29" t="s">
        <v>7101</v>
      </c>
      <c r="L79" s="29" t="s">
        <v>7111</v>
      </c>
      <c r="M79" s="38" t="s">
        <v>7047</v>
      </c>
      <c r="N79" s="30">
        <v>46023.0</v>
      </c>
      <c r="O79" s="30">
        <v>46387.0</v>
      </c>
      <c r="P79" s="29" t="s">
        <v>7053</v>
      </c>
      <c r="Q79" s="29" t="s">
        <v>7053</v>
      </c>
      <c r="R79" s="32" t="s">
        <v>7043</v>
      </c>
      <c r="S79" s="30">
        <v>46388.0</v>
      </c>
      <c r="T79" s="30">
        <v>46752.0</v>
      </c>
      <c r="U79" s="29" t="s">
        <v>7053</v>
      </c>
      <c r="V79" s="29" t="s">
        <v>7053</v>
      </c>
      <c r="W79" s="32" t="s">
        <v>7043</v>
      </c>
      <c r="X79" s="30">
        <v>46753.0</v>
      </c>
      <c r="Y79" s="30">
        <v>47118.0</v>
      </c>
      <c r="Z79" s="29" t="s">
        <v>7053</v>
      </c>
      <c r="AA79" s="29" t="s">
        <v>7053</v>
      </c>
      <c r="AB79" s="32" t="s">
        <v>7043</v>
      </c>
      <c r="AC79" s="30">
        <v>47119.0</v>
      </c>
      <c r="AD79" s="30">
        <v>47483.0</v>
      </c>
      <c r="AE79" s="29" t="s">
        <v>7053</v>
      </c>
      <c r="AF79" s="29" t="s">
        <v>7053</v>
      </c>
      <c r="AG79" s="32" t="s">
        <v>7043</v>
      </c>
      <c r="AH79" s="30">
        <v>47484.0</v>
      </c>
      <c r="AI79" s="30">
        <v>47848.0</v>
      </c>
      <c r="AJ79" s="29" t="s">
        <v>7053</v>
      </c>
      <c r="AK79" s="29" t="s">
        <v>7053</v>
      </c>
      <c r="AL79" s="32" t="s">
        <v>7043</v>
      </c>
    </row>
    <row r="80" ht="14.25" customHeight="1">
      <c r="A80" s="28" t="s">
        <v>759</v>
      </c>
      <c r="B80" s="29" t="s">
        <v>760</v>
      </c>
      <c r="C80" s="29" t="s">
        <v>7041</v>
      </c>
      <c r="D80" s="30">
        <v>45292.0</v>
      </c>
      <c r="E80" s="30">
        <v>45657.0</v>
      </c>
      <c r="F80" s="29" t="s">
        <v>7084</v>
      </c>
      <c r="G80" s="29" t="s">
        <v>7051</v>
      </c>
      <c r="H80" s="37" t="s">
        <v>7046</v>
      </c>
      <c r="I80" s="30">
        <v>45658.0</v>
      </c>
      <c r="J80" s="30">
        <v>46022.0</v>
      </c>
      <c r="K80" s="29" t="s">
        <v>7118</v>
      </c>
      <c r="L80" s="29" t="s">
        <v>7053</v>
      </c>
      <c r="M80" s="38" t="s">
        <v>7047</v>
      </c>
      <c r="N80" s="30">
        <v>46023.0</v>
      </c>
      <c r="O80" s="30">
        <v>46387.0</v>
      </c>
      <c r="P80" s="29" t="s">
        <v>7053</v>
      </c>
      <c r="Q80" s="29" t="s">
        <v>7053</v>
      </c>
      <c r="R80" s="32" t="s">
        <v>7043</v>
      </c>
      <c r="S80" s="30">
        <v>46388.0</v>
      </c>
      <c r="T80" s="30">
        <v>46752.0</v>
      </c>
      <c r="U80" s="29" t="s">
        <v>7053</v>
      </c>
      <c r="V80" s="29" t="s">
        <v>7053</v>
      </c>
      <c r="W80" s="32" t="s">
        <v>7043</v>
      </c>
      <c r="X80" s="30">
        <v>46753.0</v>
      </c>
      <c r="Y80" s="30">
        <v>47118.0</v>
      </c>
      <c r="Z80" s="29" t="s">
        <v>7053</v>
      </c>
      <c r="AA80" s="29" t="s">
        <v>7053</v>
      </c>
      <c r="AB80" s="32" t="s">
        <v>7043</v>
      </c>
      <c r="AC80" s="30">
        <v>47119.0</v>
      </c>
      <c r="AD80" s="30">
        <v>47483.0</v>
      </c>
      <c r="AE80" s="29" t="s">
        <v>7053</v>
      </c>
      <c r="AF80" s="29" t="s">
        <v>7053</v>
      </c>
      <c r="AG80" s="32" t="s">
        <v>7043</v>
      </c>
      <c r="AH80" s="30">
        <v>47484.0</v>
      </c>
      <c r="AI80" s="30">
        <v>47848.0</v>
      </c>
      <c r="AJ80" s="29" t="s">
        <v>7053</v>
      </c>
      <c r="AK80" s="29" t="s">
        <v>7053</v>
      </c>
      <c r="AL80" s="32" t="s">
        <v>7043</v>
      </c>
    </row>
    <row r="81" ht="14.25" customHeight="1">
      <c r="A81" s="28" t="s">
        <v>788</v>
      </c>
      <c r="B81" s="29" t="s">
        <v>789</v>
      </c>
      <c r="C81" s="29" t="s">
        <v>7041</v>
      </c>
      <c r="D81" s="30">
        <v>45292.0</v>
      </c>
      <c r="E81" s="30">
        <v>45657.0</v>
      </c>
      <c r="F81" s="29" t="s">
        <v>7079</v>
      </c>
      <c r="G81" s="29" t="s">
        <v>7051</v>
      </c>
      <c r="H81" s="32" t="s">
        <v>7043</v>
      </c>
      <c r="I81" s="30">
        <v>45658.0</v>
      </c>
      <c r="J81" s="30">
        <v>46022.0</v>
      </c>
      <c r="K81" s="29" t="s">
        <v>7097</v>
      </c>
      <c r="L81" s="29" t="s">
        <v>7053</v>
      </c>
      <c r="M81" s="38" t="s">
        <v>7047</v>
      </c>
      <c r="N81" s="30">
        <v>46023.0</v>
      </c>
      <c r="O81" s="30">
        <v>46387.0</v>
      </c>
      <c r="P81" s="29" t="s">
        <v>7053</v>
      </c>
      <c r="Q81" s="29" t="s">
        <v>7053</v>
      </c>
      <c r="R81" s="32" t="s">
        <v>7043</v>
      </c>
      <c r="S81" s="30">
        <v>46388.0</v>
      </c>
      <c r="T81" s="30">
        <v>46752.0</v>
      </c>
      <c r="U81" s="29" t="s">
        <v>7053</v>
      </c>
      <c r="V81" s="29" t="s">
        <v>7053</v>
      </c>
      <c r="W81" s="32" t="s">
        <v>7043</v>
      </c>
      <c r="X81" s="30">
        <v>46753.0</v>
      </c>
      <c r="Y81" s="30">
        <v>47118.0</v>
      </c>
      <c r="Z81" s="29" t="s">
        <v>7053</v>
      </c>
      <c r="AA81" s="29" t="s">
        <v>7053</v>
      </c>
      <c r="AB81" s="32" t="s">
        <v>7043</v>
      </c>
      <c r="AC81" s="30">
        <v>47119.0</v>
      </c>
      <c r="AD81" s="30">
        <v>47483.0</v>
      </c>
      <c r="AE81" s="29" t="s">
        <v>7053</v>
      </c>
      <c r="AF81" s="29" t="s">
        <v>7053</v>
      </c>
      <c r="AG81" s="32" t="s">
        <v>7043</v>
      </c>
      <c r="AH81" s="30">
        <v>47484.0</v>
      </c>
      <c r="AI81" s="30">
        <v>47848.0</v>
      </c>
      <c r="AJ81" s="29" t="s">
        <v>7053</v>
      </c>
      <c r="AK81" s="29" t="s">
        <v>7053</v>
      </c>
      <c r="AL81" s="32" t="s">
        <v>7043</v>
      </c>
    </row>
    <row r="82" ht="14.25" customHeight="1">
      <c r="A82" s="28" t="s">
        <v>791</v>
      </c>
      <c r="B82" s="29" t="s">
        <v>792</v>
      </c>
      <c r="C82" s="29" t="s">
        <v>7041</v>
      </c>
      <c r="D82" s="30">
        <v>45292.0</v>
      </c>
      <c r="E82" s="30">
        <v>45657.0</v>
      </c>
      <c r="F82" s="29" t="s">
        <v>7050</v>
      </c>
      <c r="G82" s="29" t="s">
        <v>7051</v>
      </c>
      <c r="H82" s="32" t="s">
        <v>7043</v>
      </c>
      <c r="I82" s="30">
        <v>45658.0</v>
      </c>
      <c r="J82" s="30">
        <v>46022.0</v>
      </c>
      <c r="K82" s="29" t="s">
        <v>7054</v>
      </c>
      <c r="L82" s="29" t="s">
        <v>7053</v>
      </c>
      <c r="M82" s="38" t="s">
        <v>7047</v>
      </c>
      <c r="N82" s="30">
        <v>46023.0</v>
      </c>
      <c r="O82" s="30">
        <v>46387.0</v>
      </c>
      <c r="P82" s="29" t="s">
        <v>7053</v>
      </c>
      <c r="Q82" s="29" t="s">
        <v>7053</v>
      </c>
      <c r="R82" s="32" t="s">
        <v>7043</v>
      </c>
      <c r="S82" s="30">
        <v>46388.0</v>
      </c>
      <c r="T82" s="30">
        <v>46752.0</v>
      </c>
      <c r="U82" s="29" t="s">
        <v>7053</v>
      </c>
      <c r="V82" s="29" t="s">
        <v>7053</v>
      </c>
      <c r="W82" s="32" t="s">
        <v>7043</v>
      </c>
      <c r="X82" s="30">
        <v>46753.0</v>
      </c>
      <c r="Y82" s="30">
        <v>47118.0</v>
      </c>
      <c r="Z82" s="29" t="s">
        <v>7053</v>
      </c>
      <c r="AA82" s="29" t="s">
        <v>7053</v>
      </c>
      <c r="AB82" s="32" t="s">
        <v>7043</v>
      </c>
      <c r="AC82" s="30">
        <v>47119.0</v>
      </c>
      <c r="AD82" s="30">
        <v>47483.0</v>
      </c>
      <c r="AE82" s="29" t="s">
        <v>7053</v>
      </c>
      <c r="AF82" s="29" t="s">
        <v>7053</v>
      </c>
      <c r="AG82" s="32" t="s">
        <v>7043</v>
      </c>
      <c r="AH82" s="30">
        <v>47484.0</v>
      </c>
      <c r="AI82" s="30">
        <v>47848.0</v>
      </c>
      <c r="AJ82" s="29" t="s">
        <v>7053</v>
      </c>
      <c r="AK82" s="29" t="s">
        <v>7053</v>
      </c>
      <c r="AL82" s="32" t="s">
        <v>7043</v>
      </c>
    </row>
    <row r="83" ht="14.25" customHeight="1">
      <c r="A83" s="28" t="s">
        <v>811</v>
      </c>
      <c r="B83" s="29" t="s">
        <v>812</v>
      </c>
      <c r="C83" s="29" t="s">
        <v>7041</v>
      </c>
      <c r="D83" s="30">
        <v>45292.0</v>
      </c>
      <c r="E83" s="30">
        <v>45657.0</v>
      </c>
      <c r="F83" s="29" t="s">
        <v>7073</v>
      </c>
      <c r="G83" s="29" t="s">
        <v>7051</v>
      </c>
      <c r="H83" s="37" t="s">
        <v>7046</v>
      </c>
      <c r="I83" s="30">
        <v>45658.0</v>
      </c>
      <c r="J83" s="30">
        <v>46022.0</v>
      </c>
      <c r="K83" s="29" t="s">
        <v>7066</v>
      </c>
      <c r="L83" s="29" t="s">
        <v>7053</v>
      </c>
      <c r="M83" s="38" t="s">
        <v>7047</v>
      </c>
      <c r="N83" s="30">
        <v>46023.0</v>
      </c>
      <c r="O83" s="30">
        <v>46387.0</v>
      </c>
      <c r="P83" s="29" t="s">
        <v>7053</v>
      </c>
      <c r="Q83" s="29" t="s">
        <v>7053</v>
      </c>
      <c r="R83" s="32" t="s">
        <v>7043</v>
      </c>
      <c r="S83" s="30">
        <v>46388.0</v>
      </c>
      <c r="T83" s="30">
        <v>46752.0</v>
      </c>
      <c r="U83" s="29" t="s">
        <v>7053</v>
      </c>
      <c r="V83" s="29" t="s">
        <v>7053</v>
      </c>
      <c r="W83" s="32" t="s">
        <v>7043</v>
      </c>
      <c r="X83" s="30">
        <v>46753.0</v>
      </c>
      <c r="Y83" s="30">
        <v>47118.0</v>
      </c>
      <c r="Z83" s="29" t="s">
        <v>7053</v>
      </c>
      <c r="AA83" s="29" t="s">
        <v>7053</v>
      </c>
      <c r="AB83" s="32" t="s">
        <v>7043</v>
      </c>
      <c r="AC83" s="30">
        <v>47119.0</v>
      </c>
      <c r="AD83" s="30">
        <v>47483.0</v>
      </c>
      <c r="AE83" s="29" t="s">
        <v>7053</v>
      </c>
      <c r="AF83" s="29" t="s">
        <v>7053</v>
      </c>
      <c r="AG83" s="32" t="s">
        <v>7043</v>
      </c>
      <c r="AH83" s="30">
        <v>47484.0</v>
      </c>
      <c r="AI83" s="30">
        <v>47848.0</v>
      </c>
      <c r="AJ83" s="29" t="s">
        <v>7053</v>
      </c>
      <c r="AK83" s="29" t="s">
        <v>7053</v>
      </c>
      <c r="AL83" s="32" t="s">
        <v>7043</v>
      </c>
    </row>
    <row r="84" ht="14.25" customHeight="1">
      <c r="A84" s="28" t="s">
        <v>827</v>
      </c>
      <c r="B84" s="29" t="s">
        <v>828</v>
      </c>
      <c r="C84" s="29" t="s">
        <v>7041</v>
      </c>
      <c r="D84" s="30">
        <v>45292.0</v>
      </c>
      <c r="E84" s="30">
        <v>45657.0</v>
      </c>
      <c r="F84" s="29" t="s">
        <v>7070</v>
      </c>
      <c r="G84" s="29" t="s">
        <v>7051</v>
      </c>
      <c r="H84" s="32" t="s">
        <v>7043</v>
      </c>
      <c r="I84" s="30">
        <v>45658.0</v>
      </c>
      <c r="J84" s="30">
        <v>46022.0</v>
      </c>
      <c r="K84" s="29" t="s">
        <v>7101</v>
      </c>
      <c r="L84" s="29" t="s">
        <v>7053</v>
      </c>
      <c r="M84" s="38" t="s">
        <v>7047</v>
      </c>
      <c r="N84" s="30">
        <v>46023.0</v>
      </c>
      <c r="O84" s="30">
        <v>46387.0</v>
      </c>
      <c r="P84" s="29" t="s">
        <v>7053</v>
      </c>
      <c r="Q84" s="29" t="s">
        <v>7053</v>
      </c>
      <c r="R84" s="32" t="s">
        <v>7043</v>
      </c>
      <c r="S84" s="30">
        <v>46388.0</v>
      </c>
      <c r="T84" s="30">
        <v>46752.0</v>
      </c>
      <c r="U84" s="29" t="s">
        <v>7053</v>
      </c>
      <c r="V84" s="29" t="s">
        <v>7053</v>
      </c>
      <c r="W84" s="32" t="s">
        <v>7043</v>
      </c>
      <c r="X84" s="30">
        <v>46753.0</v>
      </c>
      <c r="Y84" s="30">
        <v>47118.0</v>
      </c>
      <c r="Z84" s="29" t="s">
        <v>7053</v>
      </c>
      <c r="AA84" s="29" t="s">
        <v>7053</v>
      </c>
      <c r="AB84" s="32" t="s">
        <v>7043</v>
      </c>
      <c r="AC84" s="30">
        <v>47119.0</v>
      </c>
      <c r="AD84" s="30">
        <v>47483.0</v>
      </c>
      <c r="AE84" s="29" t="s">
        <v>7053</v>
      </c>
      <c r="AF84" s="29" t="s">
        <v>7053</v>
      </c>
      <c r="AG84" s="32" t="s">
        <v>7043</v>
      </c>
      <c r="AH84" s="30">
        <v>47484.0</v>
      </c>
      <c r="AI84" s="30">
        <v>47848.0</v>
      </c>
      <c r="AJ84" s="29" t="s">
        <v>7053</v>
      </c>
      <c r="AK84" s="29" t="s">
        <v>7053</v>
      </c>
      <c r="AL84" s="32" t="s">
        <v>7043</v>
      </c>
    </row>
    <row r="85" ht="14.25" customHeight="1">
      <c r="A85" s="28" t="s">
        <v>844</v>
      </c>
      <c r="B85" s="29" t="s">
        <v>845</v>
      </c>
      <c r="C85" s="29" t="s">
        <v>7041</v>
      </c>
      <c r="D85" s="30">
        <v>45292.0</v>
      </c>
      <c r="E85" s="30">
        <v>45657.0</v>
      </c>
      <c r="F85" s="29" t="s">
        <v>7100</v>
      </c>
      <c r="G85" s="29" t="s">
        <v>7051</v>
      </c>
      <c r="H85" s="32" t="s">
        <v>7043</v>
      </c>
      <c r="I85" s="30">
        <v>45658.0</v>
      </c>
      <c r="J85" s="30">
        <v>46022.0</v>
      </c>
      <c r="K85" s="29" t="s">
        <v>7079</v>
      </c>
      <c r="L85" s="29" t="s">
        <v>7053</v>
      </c>
      <c r="M85" s="38" t="s">
        <v>7047</v>
      </c>
      <c r="N85" s="30">
        <v>46023.0</v>
      </c>
      <c r="O85" s="30">
        <v>46387.0</v>
      </c>
      <c r="P85" s="29" t="s">
        <v>7053</v>
      </c>
      <c r="Q85" s="29" t="s">
        <v>7053</v>
      </c>
      <c r="R85" s="32" t="s">
        <v>7043</v>
      </c>
      <c r="S85" s="30">
        <v>46388.0</v>
      </c>
      <c r="T85" s="30">
        <v>46752.0</v>
      </c>
      <c r="U85" s="29" t="s">
        <v>7053</v>
      </c>
      <c r="V85" s="29" t="s">
        <v>7053</v>
      </c>
      <c r="W85" s="32" t="s">
        <v>7043</v>
      </c>
      <c r="X85" s="30">
        <v>46753.0</v>
      </c>
      <c r="Y85" s="30">
        <v>47118.0</v>
      </c>
      <c r="Z85" s="29" t="s">
        <v>7053</v>
      </c>
      <c r="AA85" s="29" t="s">
        <v>7053</v>
      </c>
      <c r="AB85" s="32" t="s">
        <v>7043</v>
      </c>
      <c r="AC85" s="30">
        <v>47119.0</v>
      </c>
      <c r="AD85" s="30">
        <v>47483.0</v>
      </c>
      <c r="AE85" s="29" t="s">
        <v>7053</v>
      </c>
      <c r="AF85" s="29" t="s">
        <v>7053</v>
      </c>
      <c r="AG85" s="32" t="s">
        <v>7043</v>
      </c>
      <c r="AH85" s="30">
        <v>47484.0</v>
      </c>
      <c r="AI85" s="30">
        <v>47848.0</v>
      </c>
      <c r="AJ85" s="29" t="s">
        <v>7053</v>
      </c>
      <c r="AK85" s="29" t="s">
        <v>7053</v>
      </c>
      <c r="AL85" s="32" t="s">
        <v>7043</v>
      </c>
    </row>
    <row r="86" ht="14.25" customHeight="1">
      <c r="A86" s="28" t="s">
        <v>857</v>
      </c>
      <c r="B86" s="29" t="s">
        <v>858</v>
      </c>
      <c r="C86" s="29" t="s">
        <v>7041</v>
      </c>
      <c r="D86" s="30">
        <v>45292.0</v>
      </c>
      <c r="E86" s="30">
        <v>45657.0</v>
      </c>
      <c r="F86" s="29" t="s">
        <v>7122</v>
      </c>
      <c r="G86" s="29" t="s">
        <v>7051</v>
      </c>
      <c r="H86" s="37" t="s">
        <v>7046</v>
      </c>
      <c r="I86" s="30">
        <v>45658.0</v>
      </c>
      <c r="J86" s="30">
        <v>46022.0</v>
      </c>
      <c r="K86" s="29" t="s">
        <v>7055</v>
      </c>
      <c r="L86" s="29" t="s">
        <v>7053</v>
      </c>
      <c r="M86" s="38" t="s">
        <v>7047</v>
      </c>
      <c r="N86" s="30">
        <v>46023.0</v>
      </c>
      <c r="O86" s="30">
        <v>46387.0</v>
      </c>
      <c r="P86" s="29" t="s">
        <v>7053</v>
      </c>
      <c r="Q86" s="29" t="s">
        <v>7053</v>
      </c>
      <c r="R86" s="32" t="s">
        <v>7043</v>
      </c>
      <c r="S86" s="30">
        <v>46388.0</v>
      </c>
      <c r="T86" s="30">
        <v>46752.0</v>
      </c>
      <c r="U86" s="29" t="s">
        <v>7053</v>
      </c>
      <c r="V86" s="29" t="s">
        <v>7053</v>
      </c>
      <c r="W86" s="32" t="s">
        <v>7043</v>
      </c>
      <c r="X86" s="30">
        <v>46753.0</v>
      </c>
      <c r="Y86" s="30">
        <v>47118.0</v>
      </c>
      <c r="Z86" s="29" t="s">
        <v>7053</v>
      </c>
      <c r="AA86" s="29" t="s">
        <v>7053</v>
      </c>
      <c r="AB86" s="32" t="s">
        <v>7043</v>
      </c>
      <c r="AC86" s="30">
        <v>47119.0</v>
      </c>
      <c r="AD86" s="30">
        <v>47483.0</v>
      </c>
      <c r="AE86" s="29" t="s">
        <v>7053</v>
      </c>
      <c r="AF86" s="29" t="s">
        <v>7053</v>
      </c>
      <c r="AG86" s="32" t="s">
        <v>7043</v>
      </c>
      <c r="AH86" s="30">
        <v>47484.0</v>
      </c>
      <c r="AI86" s="30">
        <v>47848.0</v>
      </c>
      <c r="AJ86" s="29" t="s">
        <v>7053</v>
      </c>
      <c r="AK86" s="29" t="s">
        <v>7053</v>
      </c>
      <c r="AL86" s="32" t="s">
        <v>7043</v>
      </c>
    </row>
    <row r="87" ht="14.25" customHeight="1">
      <c r="A87" s="28" t="s">
        <v>904</v>
      </c>
      <c r="B87" s="29" t="s">
        <v>905</v>
      </c>
      <c r="C87" s="29" t="s">
        <v>7041</v>
      </c>
      <c r="D87" s="30">
        <v>45292.0</v>
      </c>
      <c r="E87" s="30">
        <v>45657.0</v>
      </c>
      <c r="F87" s="29" t="s">
        <v>7050</v>
      </c>
      <c r="G87" s="29" t="s">
        <v>7055</v>
      </c>
      <c r="H87" s="32" t="s">
        <v>7043</v>
      </c>
      <c r="I87" s="30">
        <v>45658.0</v>
      </c>
      <c r="J87" s="30">
        <v>46022.0</v>
      </c>
      <c r="K87" s="29" t="s">
        <v>7062</v>
      </c>
      <c r="L87" s="29" t="s">
        <v>7053</v>
      </c>
      <c r="M87" s="38" t="s">
        <v>7047</v>
      </c>
      <c r="N87" s="30">
        <v>46023.0</v>
      </c>
      <c r="O87" s="30">
        <v>46387.0</v>
      </c>
      <c r="P87" s="29" t="s">
        <v>7053</v>
      </c>
      <c r="Q87" s="29" t="s">
        <v>7053</v>
      </c>
      <c r="R87" s="32" t="s">
        <v>7043</v>
      </c>
      <c r="S87" s="30">
        <v>46388.0</v>
      </c>
      <c r="T87" s="30">
        <v>46752.0</v>
      </c>
      <c r="U87" s="29" t="s">
        <v>7053</v>
      </c>
      <c r="V87" s="29" t="s">
        <v>7053</v>
      </c>
      <c r="W87" s="32" t="s">
        <v>7043</v>
      </c>
      <c r="X87" s="30">
        <v>46753.0</v>
      </c>
      <c r="Y87" s="30">
        <v>47118.0</v>
      </c>
      <c r="Z87" s="29" t="s">
        <v>7053</v>
      </c>
      <c r="AA87" s="29" t="s">
        <v>7053</v>
      </c>
      <c r="AB87" s="32" t="s">
        <v>7043</v>
      </c>
      <c r="AC87" s="30">
        <v>47119.0</v>
      </c>
      <c r="AD87" s="30">
        <v>47483.0</v>
      </c>
      <c r="AE87" s="29" t="s">
        <v>7053</v>
      </c>
      <c r="AF87" s="29" t="s">
        <v>7053</v>
      </c>
      <c r="AG87" s="32" t="s">
        <v>7043</v>
      </c>
      <c r="AH87" s="30">
        <v>47484.0</v>
      </c>
      <c r="AI87" s="30">
        <v>47848.0</v>
      </c>
      <c r="AJ87" s="29" t="s">
        <v>7053</v>
      </c>
      <c r="AK87" s="29" t="s">
        <v>7053</v>
      </c>
      <c r="AL87" s="32" t="s">
        <v>7043</v>
      </c>
    </row>
    <row r="88" ht="14.25" customHeight="1">
      <c r="A88" s="28" t="s">
        <v>936</v>
      </c>
      <c r="B88" s="29" t="s">
        <v>937</v>
      </c>
      <c r="C88" s="29" t="s">
        <v>7041</v>
      </c>
      <c r="D88" s="30">
        <v>45292.0</v>
      </c>
      <c r="E88" s="30">
        <v>45657.0</v>
      </c>
      <c r="F88" s="29" t="s">
        <v>7075</v>
      </c>
      <c r="G88" s="29" t="s">
        <v>7051</v>
      </c>
      <c r="H88" s="32" t="s">
        <v>7043</v>
      </c>
      <c r="I88" s="30">
        <v>45658.0</v>
      </c>
      <c r="J88" s="30">
        <v>46022.0</v>
      </c>
      <c r="K88" s="29" t="s">
        <v>7054</v>
      </c>
      <c r="L88" s="29" t="s">
        <v>7053</v>
      </c>
      <c r="M88" s="38" t="s">
        <v>7047</v>
      </c>
      <c r="N88" s="30">
        <v>46023.0</v>
      </c>
      <c r="O88" s="30">
        <v>46387.0</v>
      </c>
      <c r="P88" s="29" t="s">
        <v>7053</v>
      </c>
      <c r="Q88" s="29" t="s">
        <v>7053</v>
      </c>
      <c r="R88" s="32" t="s">
        <v>7043</v>
      </c>
      <c r="S88" s="30">
        <v>46388.0</v>
      </c>
      <c r="T88" s="30">
        <v>46752.0</v>
      </c>
      <c r="U88" s="29" t="s">
        <v>7053</v>
      </c>
      <c r="V88" s="29" t="s">
        <v>7053</v>
      </c>
      <c r="W88" s="32" t="s">
        <v>7043</v>
      </c>
      <c r="X88" s="30">
        <v>46753.0</v>
      </c>
      <c r="Y88" s="30">
        <v>47118.0</v>
      </c>
      <c r="Z88" s="29" t="s">
        <v>7053</v>
      </c>
      <c r="AA88" s="29" t="s">
        <v>7053</v>
      </c>
      <c r="AB88" s="32" t="s">
        <v>7043</v>
      </c>
      <c r="AC88" s="30">
        <v>47119.0</v>
      </c>
      <c r="AD88" s="30">
        <v>47483.0</v>
      </c>
      <c r="AE88" s="29" t="s">
        <v>7053</v>
      </c>
      <c r="AF88" s="29" t="s">
        <v>7053</v>
      </c>
      <c r="AG88" s="32" t="s">
        <v>7043</v>
      </c>
      <c r="AH88" s="30">
        <v>47484.0</v>
      </c>
      <c r="AI88" s="30">
        <v>47848.0</v>
      </c>
      <c r="AJ88" s="29" t="s">
        <v>7053</v>
      </c>
      <c r="AK88" s="29" t="s">
        <v>7053</v>
      </c>
      <c r="AL88" s="32" t="s">
        <v>7043</v>
      </c>
    </row>
    <row r="89" ht="14.25" customHeight="1">
      <c r="A89" s="28" t="s">
        <v>948</v>
      </c>
      <c r="B89" s="29" t="s">
        <v>949</v>
      </c>
      <c r="C89" s="29" t="s">
        <v>7041</v>
      </c>
      <c r="D89" s="30">
        <v>45292.0</v>
      </c>
      <c r="E89" s="30">
        <v>45657.0</v>
      </c>
      <c r="F89" s="29" t="s">
        <v>7060</v>
      </c>
      <c r="G89" s="29" t="s">
        <v>7051</v>
      </c>
      <c r="H89" s="38" t="s">
        <v>7047</v>
      </c>
      <c r="I89" s="30">
        <v>45658.0</v>
      </c>
      <c r="J89" s="30">
        <v>46022.0</v>
      </c>
      <c r="K89" s="29" t="s">
        <v>7123</v>
      </c>
      <c r="L89" s="29" t="s">
        <v>7053</v>
      </c>
      <c r="M89" s="38" t="s">
        <v>7047</v>
      </c>
      <c r="N89" s="30">
        <v>46023.0</v>
      </c>
      <c r="O89" s="30">
        <v>46387.0</v>
      </c>
      <c r="P89" s="29" t="s">
        <v>7053</v>
      </c>
      <c r="Q89" s="29" t="s">
        <v>7053</v>
      </c>
      <c r="R89" s="32" t="s">
        <v>7043</v>
      </c>
      <c r="S89" s="30">
        <v>46388.0</v>
      </c>
      <c r="T89" s="30">
        <v>46752.0</v>
      </c>
      <c r="U89" s="29" t="s">
        <v>7053</v>
      </c>
      <c r="V89" s="29" t="s">
        <v>7053</v>
      </c>
      <c r="W89" s="32" t="s">
        <v>7043</v>
      </c>
      <c r="X89" s="30">
        <v>46753.0</v>
      </c>
      <c r="Y89" s="30">
        <v>47118.0</v>
      </c>
      <c r="Z89" s="29" t="s">
        <v>7053</v>
      </c>
      <c r="AA89" s="29" t="s">
        <v>7053</v>
      </c>
      <c r="AB89" s="32" t="s">
        <v>7043</v>
      </c>
      <c r="AC89" s="30">
        <v>47119.0</v>
      </c>
      <c r="AD89" s="30">
        <v>47483.0</v>
      </c>
      <c r="AE89" s="29" t="s">
        <v>7053</v>
      </c>
      <c r="AF89" s="29" t="s">
        <v>7053</v>
      </c>
      <c r="AG89" s="32" t="s">
        <v>7043</v>
      </c>
      <c r="AH89" s="30">
        <v>47484.0</v>
      </c>
      <c r="AI89" s="30">
        <v>47848.0</v>
      </c>
      <c r="AJ89" s="29" t="s">
        <v>7053</v>
      </c>
      <c r="AK89" s="29" t="s">
        <v>7053</v>
      </c>
      <c r="AL89" s="32" t="s">
        <v>7043</v>
      </c>
    </row>
    <row r="90" ht="14.25" customHeight="1">
      <c r="A90" s="28" t="s">
        <v>988</v>
      </c>
      <c r="B90" s="29" t="s">
        <v>989</v>
      </c>
      <c r="C90" s="29" t="s">
        <v>7041</v>
      </c>
      <c r="D90" s="30">
        <v>45292.0</v>
      </c>
      <c r="E90" s="30">
        <v>45657.0</v>
      </c>
      <c r="F90" s="29" t="s">
        <v>7104</v>
      </c>
      <c r="G90" s="29" t="s">
        <v>7051</v>
      </c>
      <c r="H90" s="32" t="s">
        <v>7043</v>
      </c>
      <c r="I90" s="30">
        <v>45658.0</v>
      </c>
      <c r="J90" s="30">
        <v>46022.0</v>
      </c>
      <c r="K90" s="29" t="s">
        <v>7101</v>
      </c>
      <c r="L90" s="29" t="s">
        <v>7053</v>
      </c>
      <c r="M90" s="38" t="s">
        <v>7047</v>
      </c>
      <c r="N90" s="30">
        <v>46023.0</v>
      </c>
      <c r="O90" s="30">
        <v>46387.0</v>
      </c>
      <c r="P90" s="29" t="s">
        <v>7053</v>
      </c>
      <c r="Q90" s="29" t="s">
        <v>7053</v>
      </c>
      <c r="R90" s="32" t="s">
        <v>7043</v>
      </c>
      <c r="S90" s="30">
        <v>46388.0</v>
      </c>
      <c r="T90" s="30">
        <v>46752.0</v>
      </c>
      <c r="U90" s="29" t="s">
        <v>7053</v>
      </c>
      <c r="V90" s="29" t="s">
        <v>7053</v>
      </c>
      <c r="W90" s="32" t="s">
        <v>7043</v>
      </c>
      <c r="X90" s="30">
        <v>46753.0</v>
      </c>
      <c r="Y90" s="30">
        <v>47118.0</v>
      </c>
      <c r="Z90" s="29" t="s">
        <v>7053</v>
      </c>
      <c r="AA90" s="29" t="s">
        <v>7053</v>
      </c>
      <c r="AB90" s="32" t="s">
        <v>7043</v>
      </c>
      <c r="AC90" s="30">
        <v>47119.0</v>
      </c>
      <c r="AD90" s="30">
        <v>47483.0</v>
      </c>
      <c r="AE90" s="29" t="s">
        <v>7053</v>
      </c>
      <c r="AF90" s="29" t="s">
        <v>7053</v>
      </c>
      <c r="AG90" s="32" t="s">
        <v>7043</v>
      </c>
      <c r="AH90" s="30">
        <v>47484.0</v>
      </c>
      <c r="AI90" s="30">
        <v>47848.0</v>
      </c>
      <c r="AJ90" s="29" t="s">
        <v>7053</v>
      </c>
      <c r="AK90" s="29" t="s">
        <v>7053</v>
      </c>
      <c r="AL90" s="32" t="s">
        <v>7043</v>
      </c>
    </row>
    <row r="91" ht="14.25" customHeight="1">
      <c r="A91" s="28" t="s">
        <v>1899</v>
      </c>
      <c r="B91" s="29" t="s">
        <v>1900</v>
      </c>
      <c r="C91" s="29" t="s">
        <v>7041</v>
      </c>
      <c r="D91" s="30">
        <v>45292.0</v>
      </c>
      <c r="E91" s="30">
        <v>45657.0</v>
      </c>
      <c r="F91" s="29" t="s">
        <v>7100</v>
      </c>
      <c r="G91" s="29" t="s">
        <v>7051</v>
      </c>
      <c r="H91" s="32" t="s">
        <v>7043</v>
      </c>
      <c r="I91" s="30">
        <v>45658.0</v>
      </c>
      <c r="J91" s="30">
        <v>46022.0</v>
      </c>
      <c r="K91" s="29" t="s">
        <v>7062</v>
      </c>
      <c r="L91" s="29" t="s">
        <v>7053</v>
      </c>
      <c r="M91" s="38" t="s">
        <v>7047</v>
      </c>
      <c r="N91" s="30">
        <v>46023.0</v>
      </c>
      <c r="O91" s="30">
        <v>46387.0</v>
      </c>
      <c r="P91" s="29" t="s">
        <v>7053</v>
      </c>
      <c r="Q91" s="29" t="s">
        <v>7053</v>
      </c>
      <c r="R91" s="32" t="s">
        <v>7043</v>
      </c>
      <c r="S91" s="30">
        <v>46388.0</v>
      </c>
      <c r="T91" s="30">
        <v>46752.0</v>
      </c>
      <c r="U91" s="29" t="s">
        <v>7053</v>
      </c>
      <c r="V91" s="29" t="s">
        <v>7053</v>
      </c>
      <c r="W91" s="32" t="s">
        <v>7043</v>
      </c>
      <c r="X91" s="30">
        <v>46753.0</v>
      </c>
      <c r="Y91" s="30">
        <v>47118.0</v>
      </c>
      <c r="Z91" s="29" t="s">
        <v>7053</v>
      </c>
      <c r="AA91" s="29" t="s">
        <v>7053</v>
      </c>
      <c r="AB91" s="32" t="s">
        <v>7043</v>
      </c>
      <c r="AC91" s="30">
        <v>47119.0</v>
      </c>
      <c r="AD91" s="30">
        <v>47483.0</v>
      </c>
      <c r="AE91" s="29" t="s">
        <v>7053</v>
      </c>
      <c r="AF91" s="29" t="s">
        <v>7053</v>
      </c>
      <c r="AG91" s="32" t="s">
        <v>7043</v>
      </c>
      <c r="AH91" s="30">
        <v>47484.0</v>
      </c>
      <c r="AI91" s="30">
        <v>47848.0</v>
      </c>
      <c r="AJ91" s="29" t="s">
        <v>7053</v>
      </c>
      <c r="AK91" s="29" t="s">
        <v>7053</v>
      </c>
      <c r="AL91" s="32" t="s">
        <v>7043</v>
      </c>
    </row>
    <row r="92" ht="14.25" customHeight="1">
      <c r="A92" s="28" t="s">
        <v>1922</v>
      </c>
      <c r="B92" s="29" t="s">
        <v>1923</v>
      </c>
      <c r="C92" s="29" t="s">
        <v>7041</v>
      </c>
      <c r="D92" s="30">
        <v>45292.0</v>
      </c>
      <c r="E92" s="30">
        <v>45657.0</v>
      </c>
      <c r="F92" s="29" t="s">
        <v>7095</v>
      </c>
      <c r="G92" s="29" t="s">
        <v>7051</v>
      </c>
      <c r="H92" s="32" t="s">
        <v>7043</v>
      </c>
      <c r="I92" s="30">
        <v>45658.0</v>
      </c>
      <c r="J92" s="30">
        <v>46022.0</v>
      </c>
      <c r="K92" s="29" t="s">
        <v>7079</v>
      </c>
      <c r="L92" s="29" t="s">
        <v>7053</v>
      </c>
      <c r="M92" s="38" t="s">
        <v>7047</v>
      </c>
      <c r="N92" s="30">
        <v>46023.0</v>
      </c>
      <c r="O92" s="30">
        <v>46387.0</v>
      </c>
      <c r="P92" s="29" t="s">
        <v>7053</v>
      </c>
      <c r="Q92" s="29" t="s">
        <v>7053</v>
      </c>
      <c r="R92" s="32" t="s">
        <v>7043</v>
      </c>
      <c r="S92" s="30">
        <v>46388.0</v>
      </c>
      <c r="T92" s="30">
        <v>46752.0</v>
      </c>
      <c r="U92" s="29" t="s">
        <v>7053</v>
      </c>
      <c r="V92" s="29" t="s">
        <v>7053</v>
      </c>
      <c r="W92" s="32" t="s">
        <v>7043</v>
      </c>
      <c r="X92" s="30">
        <v>46753.0</v>
      </c>
      <c r="Y92" s="30">
        <v>47118.0</v>
      </c>
      <c r="Z92" s="29" t="s">
        <v>7053</v>
      </c>
      <c r="AA92" s="29" t="s">
        <v>7053</v>
      </c>
      <c r="AB92" s="32" t="s">
        <v>7043</v>
      </c>
      <c r="AC92" s="30">
        <v>47119.0</v>
      </c>
      <c r="AD92" s="30">
        <v>47483.0</v>
      </c>
      <c r="AE92" s="29" t="s">
        <v>7053</v>
      </c>
      <c r="AF92" s="29" t="s">
        <v>7053</v>
      </c>
      <c r="AG92" s="32" t="s">
        <v>7043</v>
      </c>
      <c r="AH92" s="30">
        <v>47484.0</v>
      </c>
      <c r="AI92" s="30">
        <v>47848.0</v>
      </c>
      <c r="AJ92" s="29" t="s">
        <v>7053</v>
      </c>
      <c r="AK92" s="29" t="s">
        <v>7053</v>
      </c>
      <c r="AL92" s="32" t="s">
        <v>7043</v>
      </c>
    </row>
    <row r="93" ht="14.25" customHeight="1">
      <c r="A93" s="28" t="s">
        <v>1933</v>
      </c>
      <c r="B93" s="29" t="s">
        <v>1934</v>
      </c>
      <c r="C93" s="29" t="s">
        <v>7041</v>
      </c>
      <c r="D93" s="30">
        <v>45292.0</v>
      </c>
      <c r="E93" s="30">
        <v>45657.0</v>
      </c>
      <c r="F93" s="29" t="s">
        <v>7063</v>
      </c>
      <c r="G93" s="29" t="s">
        <v>7051</v>
      </c>
      <c r="H93" s="37" t="s">
        <v>7046</v>
      </c>
      <c r="I93" s="30">
        <v>45658.0</v>
      </c>
      <c r="J93" s="30">
        <v>46022.0</v>
      </c>
      <c r="K93" s="29" t="s">
        <v>7117</v>
      </c>
      <c r="L93" s="29" t="s">
        <v>7053</v>
      </c>
      <c r="M93" s="38" t="s">
        <v>7047</v>
      </c>
      <c r="N93" s="30">
        <v>46023.0</v>
      </c>
      <c r="O93" s="30">
        <v>46387.0</v>
      </c>
      <c r="P93" s="29" t="s">
        <v>7053</v>
      </c>
      <c r="Q93" s="29" t="s">
        <v>7053</v>
      </c>
      <c r="R93" s="32" t="s">
        <v>7043</v>
      </c>
      <c r="S93" s="30">
        <v>46388.0</v>
      </c>
      <c r="T93" s="30">
        <v>46752.0</v>
      </c>
      <c r="U93" s="29" t="s">
        <v>7053</v>
      </c>
      <c r="V93" s="29" t="s">
        <v>7053</v>
      </c>
      <c r="W93" s="32" t="s">
        <v>7043</v>
      </c>
      <c r="X93" s="30">
        <v>46753.0</v>
      </c>
      <c r="Y93" s="30">
        <v>47118.0</v>
      </c>
      <c r="Z93" s="29" t="s">
        <v>7053</v>
      </c>
      <c r="AA93" s="29" t="s">
        <v>7053</v>
      </c>
      <c r="AB93" s="32" t="s">
        <v>7043</v>
      </c>
      <c r="AC93" s="30">
        <v>47119.0</v>
      </c>
      <c r="AD93" s="30">
        <v>47483.0</v>
      </c>
      <c r="AE93" s="29" t="s">
        <v>7053</v>
      </c>
      <c r="AF93" s="29" t="s">
        <v>7053</v>
      </c>
      <c r="AG93" s="32" t="s">
        <v>7043</v>
      </c>
      <c r="AH93" s="30">
        <v>47484.0</v>
      </c>
      <c r="AI93" s="30">
        <v>47848.0</v>
      </c>
      <c r="AJ93" s="29" t="s">
        <v>7053</v>
      </c>
      <c r="AK93" s="29" t="s">
        <v>7053</v>
      </c>
      <c r="AL93" s="32" t="s">
        <v>7043</v>
      </c>
    </row>
    <row r="94" ht="14.25" customHeight="1">
      <c r="A94" s="28" t="s">
        <v>1956</v>
      </c>
      <c r="B94" s="29" t="s">
        <v>1957</v>
      </c>
      <c r="C94" s="29" t="s">
        <v>7041</v>
      </c>
      <c r="D94" s="30">
        <v>45292.0</v>
      </c>
      <c r="E94" s="30">
        <v>45657.0</v>
      </c>
      <c r="F94" s="29" t="s">
        <v>7104</v>
      </c>
      <c r="G94" s="29" t="s">
        <v>7124</v>
      </c>
      <c r="H94" s="32" t="s">
        <v>7043</v>
      </c>
      <c r="I94" s="30">
        <v>45658.0</v>
      </c>
      <c r="J94" s="30">
        <v>46022.0</v>
      </c>
      <c r="K94" s="29" t="s">
        <v>7101</v>
      </c>
      <c r="L94" s="29" t="s">
        <v>7053</v>
      </c>
      <c r="M94" s="38" t="s">
        <v>7047</v>
      </c>
      <c r="N94" s="30">
        <v>46023.0</v>
      </c>
      <c r="O94" s="30">
        <v>46387.0</v>
      </c>
      <c r="P94" s="29" t="s">
        <v>7053</v>
      </c>
      <c r="Q94" s="29" t="s">
        <v>7053</v>
      </c>
      <c r="R94" s="32" t="s">
        <v>7043</v>
      </c>
      <c r="S94" s="30">
        <v>46388.0</v>
      </c>
      <c r="T94" s="30">
        <v>46752.0</v>
      </c>
      <c r="U94" s="29" t="s">
        <v>7053</v>
      </c>
      <c r="V94" s="29" t="s">
        <v>7053</v>
      </c>
      <c r="W94" s="32" t="s">
        <v>7043</v>
      </c>
      <c r="X94" s="30">
        <v>46753.0</v>
      </c>
      <c r="Y94" s="30">
        <v>47118.0</v>
      </c>
      <c r="Z94" s="29" t="s">
        <v>7053</v>
      </c>
      <c r="AA94" s="29" t="s">
        <v>7053</v>
      </c>
      <c r="AB94" s="32" t="s">
        <v>7043</v>
      </c>
      <c r="AC94" s="30">
        <v>47119.0</v>
      </c>
      <c r="AD94" s="30">
        <v>47483.0</v>
      </c>
      <c r="AE94" s="29" t="s">
        <v>7053</v>
      </c>
      <c r="AF94" s="29" t="s">
        <v>7053</v>
      </c>
      <c r="AG94" s="32" t="s">
        <v>7043</v>
      </c>
      <c r="AH94" s="30">
        <v>47484.0</v>
      </c>
      <c r="AI94" s="30">
        <v>47848.0</v>
      </c>
      <c r="AJ94" s="29" t="s">
        <v>7053</v>
      </c>
      <c r="AK94" s="29" t="s">
        <v>7053</v>
      </c>
      <c r="AL94" s="32" t="s">
        <v>7043</v>
      </c>
    </row>
    <row r="95" ht="14.25" customHeight="1">
      <c r="A95" s="28" t="s">
        <v>1997</v>
      </c>
      <c r="B95" s="29" t="s">
        <v>1998</v>
      </c>
      <c r="C95" s="29" t="s">
        <v>7041</v>
      </c>
      <c r="D95" s="30">
        <v>45292.0</v>
      </c>
      <c r="E95" s="30">
        <v>45657.0</v>
      </c>
      <c r="F95" s="29" t="s">
        <v>7053</v>
      </c>
      <c r="G95" s="29" t="s">
        <v>7055</v>
      </c>
      <c r="H95" s="32" t="s">
        <v>7043</v>
      </c>
      <c r="I95" s="30">
        <v>45658.0</v>
      </c>
      <c r="J95" s="30">
        <v>46022.0</v>
      </c>
      <c r="K95" s="29" t="s">
        <v>7080</v>
      </c>
      <c r="L95" s="29" t="s">
        <v>7053</v>
      </c>
      <c r="M95" s="38" t="s">
        <v>7047</v>
      </c>
      <c r="N95" s="30">
        <v>46023.0</v>
      </c>
      <c r="O95" s="30">
        <v>46387.0</v>
      </c>
      <c r="P95" s="29" t="s">
        <v>7053</v>
      </c>
      <c r="Q95" s="29" t="s">
        <v>7053</v>
      </c>
      <c r="R95" s="32" t="s">
        <v>7043</v>
      </c>
      <c r="S95" s="30">
        <v>46388.0</v>
      </c>
      <c r="T95" s="30">
        <v>46752.0</v>
      </c>
      <c r="U95" s="29" t="s">
        <v>7053</v>
      </c>
      <c r="V95" s="29" t="s">
        <v>7053</v>
      </c>
      <c r="W95" s="32" t="s">
        <v>7043</v>
      </c>
      <c r="X95" s="30">
        <v>46753.0</v>
      </c>
      <c r="Y95" s="30">
        <v>47118.0</v>
      </c>
      <c r="Z95" s="29" t="s">
        <v>7053</v>
      </c>
      <c r="AA95" s="29" t="s">
        <v>7053</v>
      </c>
      <c r="AB95" s="32" t="s">
        <v>7043</v>
      </c>
      <c r="AC95" s="30">
        <v>47119.0</v>
      </c>
      <c r="AD95" s="30">
        <v>47483.0</v>
      </c>
      <c r="AE95" s="29" t="s">
        <v>7053</v>
      </c>
      <c r="AF95" s="29" t="s">
        <v>7053</v>
      </c>
      <c r="AG95" s="32" t="s">
        <v>7043</v>
      </c>
      <c r="AH95" s="30">
        <v>47484.0</v>
      </c>
      <c r="AI95" s="30">
        <v>47848.0</v>
      </c>
      <c r="AJ95" s="29" t="s">
        <v>7053</v>
      </c>
      <c r="AK95" s="29" t="s">
        <v>7053</v>
      </c>
      <c r="AL95" s="32" t="s">
        <v>7043</v>
      </c>
    </row>
    <row r="96" ht="14.25" customHeight="1">
      <c r="A96" s="28" t="s">
        <v>2000</v>
      </c>
      <c r="B96" s="29" t="s">
        <v>2001</v>
      </c>
      <c r="C96" s="29" t="s">
        <v>7041</v>
      </c>
      <c r="D96" s="30">
        <v>45292.0</v>
      </c>
      <c r="E96" s="30">
        <v>45657.0</v>
      </c>
      <c r="F96" s="29" t="s">
        <v>7072</v>
      </c>
      <c r="G96" s="29" t="s">
        <v>7125</v>
      </c>
      <c r="H96" s="32" t="s">
        <v>7043</v>
      </c>
      <c r="I96" s="30">
        <v>45658.0</v>
      </c>
      <c r="J96" s="30">
        <v>46022.0</v>
      </c>
      <c r="K96" s="29" t="s">
        <v>7062</v>
      </c>
      <c r="L96" s="29" t="s">
        <v>7053</v>
      </c>
      <c r="M96" s="38" t="s">
        <v>7047</v>
      </c>
      <c r="N96" s="30">
        <v>46023.0</v>
      </c>
      <c r="O96" s="30">
        <v>46387.0</v>
      </c>
      <c r="P96" s="29" t="s">
        <v>7053</v>
      </c>
      <c r="Q96" s="29" t="s">
        <v>7053</v>
      </c>
      <c r="R96" s="32" t="s">
        <v>7043</v>
      </c>
      <c r="S96" s="30">
        <v>46388.0</v>
      </c>
      <c r="T96" s="30">
        <v>46752.0</v>
      </c>
      <c r="U96" s="29" t="s">
        <v>7053</v>
      </c>
      <c r="V96" s="29" t="s">
        <v>7053</v>
      </c>
      <c r="W96" s="32" t="s">
        <v>7043</v>
      </c>
      <c r="X96" s="30">
        <v>46753.0</v>
      </c>
      <c r="Y96" s="30">
        <v>47118.0</v>
      </c>
      <c r="Z96" s="29" t="s">
        <v>7053</v>
      </c>
      <c r="AA96" s="29" t="s">
        <v>7053</v>
      </c>
      <c r="AB96" s="32" t="s">
        <v>7043</v>
      </c>
      <c r="AC96" s="30">
        <v>47119.0</v>
      </c>
      <c r="AD96" s="30">
        <v>47483.0</v>
      </c>
      <c r="AE96" s="29" t="s">
        <v>7053</v>
      </c>
      <c r="AF96" s="29" t="s">
        <v>7053</v>
      </c>
      <c r="AG96" s="32" t="s">
        <v>7043</v>
      </c>
      <c r="AH96" s="30">
        <v>47484.0</v>
      </c>
      <c r="AI96" s="30">
        <v>47848.0</v>
      </c>
      <c r="AJ96" s="29" t="s">
        <v>7053</v>
      </c>
      <c r="AK96" s="29" t="s">
        <v>7053</v>
      </c>
      <c r="AL96" s="32" t="s">
        <v>7043</v>
      </c>
    </row>
    <row r="97" ht="14.25" customHeight="1">
      <c r="A97" s="28" t="s">
        <v>2007</v>
      </c>
      <c r="B97" s="29" t="s">
        <v>2004</v>
      </c>
      <c r="C97" s="29" t="s">
        <v>7041</v>
      </c>
      <c r="D97" s="30">
        <v>45292.0</v>
      </c>
      <c r="E97" s="30">
        <v>45657.0</v>
      </c>
      <c r="F97" s="29" t="s">
        <v>7077</v>
      </c>
      <c r="G97" s="29" t="s">
        <v>7051</v>
      </c>
      <c r="H97" s="37" t="s">
        <v>7046</v>
      </c>
      <c r="I97" s="30">
        <v>45658.0</v>
      </c>
      <c r="J97" s="30">
        <v>46022.0</v>
      </c>
      <c r="K97" s="29" t="s">
        <v>7073</v>
      </c>
      <c r="L97" s="29" t="s">
        <v>7053</v>
      </c>
      <c r="M97" s="38" t="s">
        <v>7047</v>
      </c>
      <c r="N97" s="30">
        <v>46023.0</v>
      </c>
      <c r="O97" s="30">
        <v>46387.0</v>
      </c>
      <c r="P97" s="29" t="s">
        <v>7053</v>
      </c>
      <c r="Q97" s="29" t="s">
        <v>7053</v>
      </c>
      <c r="R97" s="32" t="s">
        <v>7043</v>
      </c>
      <c r="S97" s="30">
        <v>46388.0</v>
      </c>
      <c r="T97" s="30">
        <v>46752.0</v>
      </c>
      <c r="U97" s="29" t="s">
        <v>7053</v>
      </c>
      <c r="V97" s="29" t="s">
        <v>7053</v>
      </c>
      <c r="W97" s="32" t="s">
        <v>7043</v>
      </c>
      <c r="X97" s="30">
        <v>46753.0</v>
      </c>
      <c r="Y97" s="30">
        <v>47118.0</v>
      </c>
      <c r="Z97" s="29" t="s">
        <v>7053</v>
      </c>
      <c r="AA97" s="29" t="s">
        <v>7053</v>
      </c>
      <c r="AB97" s="32" t="s">
        <v>7043</v>
      </c>
      <c r="AC97" s="30">
        <v>47119.0</v>
      </c>
      <c r="AD97" s="30">
        <v>47483.0</v>
      </c>
      <c r="AE97" s="29" t="s">
        <v>7053</v>
      </c>
      <c r="AF97" s="29" t="s">
        <v>7053</v>
      </c>
      <c r="AG97" s="32" t="s">
        <v>7043</v>
      </c>
      <c r="AH97" s="30">
        <v>47484.0</v>
      </c>
      <c r="AI97" s="30">
        <v>47848.0</v>
      </c>
      <c r="AJ97" s="29" t="s">
        <v>7053</v>
      </c>
      <c r="AK97" s="29" t="s">
        <v>7053</v>
      </c>
      <c r="AL97" s="32" t="s">
        <v>7043</v>
      </c>
    </row>
    <row r="98" ht="14.25" customHeight="1">
      <c r="A98" s="28" t="s">
        <v>2041</v>
      </c>
      <c r="B98" s="29" t="s">
        <v>2042</v>
      </c>
      <c r="C98" s="29" t="s">
        <v>7041</v>
      </c>
      <c r="D98" s="30">
        <v>45292.0</v>
      </c>
      <c r="E98" s="30">
        <v>45657.0</v>
      </c>
      <c r="F98" s="29" t="s">
        <v>7068</v>
      </c>
      <c r="G98" s="29" t="s">
        <v>7057</v>
      </c>
      <c r="H98" s="32" t="s">
        <v>7043</v>
      </c>
      <c r="I98" s="30">
        <v>45658.0</v>
      </c>
      <c r="J98" s="30">
        <v>46022.0</v>
      </c>
      <c r="K98" s="29" t="s">
        <v>7089</v>
      </c>
      <c r="L98" s="29" t="s">
        <v>7053</v>
      </c>
      <c r="M98" s="38" t="s">
        <v>7047</v>
      </c>
      <c r="N98" s="30">
        <v>46023.0</v>
      </c>
      <c r="O98" s="30">
        <v>46387.0</v>
      </c>
      <c r="P98" s="29" t="s">
        <v>7053</v>
      </c>
      <c r="Q98" s="29" t="s">
        <v>7053</v>
      </c>
      <c r="R98" s="32" t="s">
        <v>7043</v>
      </c>
      <c r="S98" s="30">
        <v>46388.0</v>
      </c>
      <c r="T98" s="30">
        <v>46752.0</v>
      </c>
      <c r="U98" s="29" t="s">
        <v>7053</v>
      </c>
      <c r="V98" s="29" t="s">
        <v>7053</v>
      </c>
      <c r="W98" s="32" t="s">
        <v>7043</v>
      </c>
      <c r="X98" s="30">
        <v>46753.0</v>
      </c>
      <c r="Y98" s="30">
        <v>47118.0</v>
      </c>
      <c r="Z98" s="29" t="s">
        <v>7053</v>
      </c>
      <c r="AA98" s="29" t="s">
        <v>7053</v>
      </c>
      <c r="AB98" s="32" t="s">
        <v>7043</v>
      </c>
      <c r="AC98" s="30">
        <v>47119.0</v>
      </c>
      <c r="AD98" s="30">
        <v>47483.0</v>
      </c>
      <c r="AE98" s="29" t="s">
        <v>7053</v>
      </c>
      <c r="AF98" s="29" t="s">
        <v>7053</v>
      </c>
      <c r="AG98" s="32" t="s">
        <v>7043</v>
      </c>
      <c r="AH98" s="30">
        <v>47484.0</v>
      </c>
      <c r="AI98" s="30">
        <v>47848.0</v>
      </c>
      <c r="AJ98" s="29" t="s">
        <v>7053</v>
      </c>
      <c r="AK98" s="29" t="s">
        <v>7053</v>
      </c>
      <c r="AL98" s="32" t="s">
        <v>7043</v>
      </c>
    </row>
    <row r="99" ht="14.25" customHeight="1">
      <c r="A99" s="28" t="s">
        <v>2056</v>
      </c>
      <c r="B99" s="29" t="s">
        <v>2057</v>
      </c>
      <c r="C99" s="29" t="s">
        <v>7041</v>
      </c>
      <c r="D99" s="30">
        <v>45292.0</v>
      </c>
      <c r="E99" s="30">
        <v>45657.0</v>
      </c>
      <c r="F99" s="29" t="s">
        <v>7056</v>
      </c>
      <c r="G99" s="29" t="s">
        <v>7051</v>
      </c>
      <c r="H99" s="32" t="s">
        <v>7043</v>
      </c>
      <c r="I99" s="30">
        <v>45658.0</v>
      </c>
      <c r="J99" s="30">
        <v>46022.0</v>
      </c>
      <c r="K99" s="29" t="s">
        <v>7056</v>
      </c>
      <c r="L99" s="29" t="s">
        <v>7053</v>
      </c>
      <c r="M99" s="38" t="s">
        <v>7047</v>
      </c>
      <c r="N99" s="30">
        <v>46023.0</v>
      </c>
      <c r="O99" s="30">
        <v>46387.0</v>
      </c>
      <c r="P99" s="29" t="s">
        <v>7053</v>
      </c>
      <c r="Q99" s="29" t="s">
        <v>7053</v>
      </c>
      <c r="R99" s="32" t="s">
        <v>7043</v>
      </c>
      <c r="S99" s="30">
        <v>46388.0</v>
      </c>
      <c r="T99" s="30">
        <v>46752.0</v>
      </c>
      <c r="U99" s="29" t="s">
        <v>7053</v>
      </c>
      <c r="V99" s="29" t="s">
        <v>7053</v>
      </c>
      <c r="W99" s="32" t="s">
        <v>7043</v>
      </c>
      <c r="X99" s="30">
        <v>46753.0</v>
      </c>
      <c r="Y99" s="30">
        <v>47118.0</v>
      </c>
      <c r="Z99" s="29" t="s">
        <v>7053</v>
      </c>
      <c r="AA99" s="29" t="s">
        <v>7053</v>
      </c>
      <c r="AB99" s="32" t="s">
        <v>7043</v>
      </c>
      <c r="AC99" s="30">
        <v>47119.0</v>
      </c>
      <c r="AD99" s="30">
        <v>47483.0</v>
      </c>
      <c r="AE99" s="29" t="s">
        <v>7053</v>
      </c>
      <c r="AF99" s="29" t="s">
        <v>7053</v>
      </c>
      <c r="AG99" s="32" t="s">
        <v>7043</v>
      </c>
      <c r="AH99" s="30">
        <v>47484.0</v>
      </c>
      <c r="AI99" s="30">
        <v>47848.0</v>
      </c>
      <c r="AJ99" s="29" t="s">
        <v>7053</v>
      </c>
      <c r="AK99" s="29" t="s">
        <v>7053</v>
      </c>
      <c r="AL99" s="32" t="s">
        <v>7043</v>
      </c>
    </row>
    <row r="100" ht="14.25" customHeight="1">
      <c r="A100" s="28" t="s">
        <v>2077</v>
      </c>
      <c r="B100" s="29" t="s">
        <v>2078</v>
      </c>
      <c r="C100" s="29" t="s">
        <v>7041</v>
      </c>
      <c r="D100" s="30">
        <v>45292.0</v>
      </c>
      <c r="E100" s="30">
        <v>45657.0</v>
      </c>
      <c r="F100" s="29" t="s">
        <v>7053</v>
      </c>
      <c r="G100" s="29" t="s">
        <v>7055</v>
      </c>
      <c r="H100" s="32" t="s">
        <v>7043</v>
      </c>
      <c r="I100" s="30">
        <v>45658.0</v>
      </c>
      <c r="J100" s="30">
        <v>46022.0</v>
      </c>
      <c r="K100" s="29" t="s">
        <v>7079</v>
      </c>
      <c r="L100" s="29" t="s">
        <v>7053</v>
      </c>
      <c r="M100" s="38" t="s">
        <v>7047</v>
      </c>
      <c r="N100" s="30">
        <v>46023.0</v>
      </c>
      <c r="O100" s="30">
        <v>46387.0</v>
      </c>
      <c r="P100" s="29" t="s">
        <v>7053</v>
      </c>
      <c r="Q100" s="29" t="s">
        <v>7053</v>
      </c>
      <c r="R100" s="32" t="s">
        <v>7043</v>
      </c>
      <c r="S100" s="30">
        <v>46388.0</v>
      </c>
      <c r="T100" s="30">
        <v>46752.0</v>
      </c>
      <c r="U100" s="29" t="s">
        <v>7053</v>
      </c>
      <c r="V100" s="29" t="s">
        <v>7053</v>
      </c>
      <c r="W100" s="32" t="s">
        <v>7043</v>
      </c>
      <c r="X100" s="30">
        <v>46753.0</v>
      </c>
      <c r="Y100" s="30">
        <v>47118.0</v>
      </c>
      <c r="Z100" s="29" t="s">
        <v>7053</v>
      </c>
      <c r="AA100" s="29" t="s">
        <v>7053</v>
      </c>
      <c r="AB100" s="32" t="s">
        <v>7043</v>
      </c>
      <c r="AC100" s="30">
        <v>47119.0</v>
      </c>
      <c r="AD100" s="30">
        <v>47483.0</v>
      </c>
      <c r="AE100" s="29" t="s">
        <v>7053</v>
      </c>
      <c r="AF100" s="29" t="s">
        <v>7053</v>
      </c>
      <c r="AG100" s="32" t="s">
        <v>7043</v>
      </c>
      <c r="AH100" s="30">
        <v>47484.0</v>
      </c>
      <c r="AI100" s="30">
        <v>47848.0</v>
      </c>
      <c r="AJ100" s="29" t="s">
        <v>7053</v>
      </c>
      <c r="AK100" s="29" t="s">
        <v>7053</v>
      </c>
      <c r="AL100" s="32" t="s">
        <v>7043</v>
      </c>
    </row>
    <row r="101" ht="14.25" customHeight="1">
      <c r="A101" s="28" t="s">
        <v>2089</v>
      </c>
      <c r="B101" s="29" t="s">
        <v>2090</v>
      </c>
      <c r="C101" s="29" t="s">
        <v>7041</v>
      </c>
      <c r="D101" s="30">
        <v>45292.0</v>
      </c>
      <c r="E101" s="30">
        <v>45657.0</v>
      </c>
      <c r="F101" s="29" t="s">
        <v>7068</v>
      </c>
      <c r="G101" s="29" t="s">
        <v>7051</v>
      </c>
      <c r="H101" s="32" t="s">
        <v>7043</v>
      </c>
      <c r="I101" s="30">
        <v>45658.0</v>
      </c>
      <c r="J101" s="30">
        <v>46022.0</v>
      </c>
      <c r="K101" s="29" t="s">
        <v>7050</v>
      </c>
      <c r="L101" s="29" t="s">
        <v>7053</v>
      </c>
      <c r="M101" s="38" t="s">
        <v>7047</v>
      </c>
      <c r="N101" s="30">
        <v>46023.0</v>
      </c>
      <c r="O101" s="30">
        <v>46387.0</v>
      </c>
      <c r="P101" s="29" t="s">
        <v>7053</v>
      </c>
      <c r="Q101" s="29" t="s">
        <v>7053</v>
      </c>
      <c r="R101" s="32" t="s">
        <v>7043</v>
      </c>
      <c r="S101" s="30">
        <v>46388.0</v>
      </c>
      <c r="T101" s="30">
        <v>46752.0</v>
      </c>
      <c r="U101" s="29" t="s">
        <v>7053</v>
      </c>
      <c r="V101" s="29" t="s">
        <v>7053</v>
      </c>
      <c r="W101" s="32" t="s">
        <v>7043</v>
      </c>
      <c r="X101" s="30">
        <v>46753.0</v>
      </c>
      <c r="Y101" s="30">
        <v>47118.0</v>
      </c>
      <c r="Z101" s="29" t="s">
        <v>7053</v>
      </c>
      <c r="AA101" s="29" t="s">
        <v>7053</v>
      </c>
      <c r="AB101" s="32" t="s">
        <v>7043</v>
      </c>
      <c r="AC101" s="30">
        <v>47119.0</v>
      </c>
      <c r="AD101" s="30">
        <v>47483.0</v>
      </c>
      <c r="AE101" s="29" t="s">
        <v>7053</v>
      </c>
      <c r="AF101" s="29" t="s">
        <v>7053</v>
      </c>
      <c r="AG101" s="32" t="s">
        <v>7043</v>
      </c>
      <c r="AH101" s="30">
        <v>47484.0</v>
      </c>
      <c r="AI101" s="30">
        <v>47848.0</v>
      </c>
      <c r="AJ101" s="29" t="s">
        <v>7053</v>
      </c>
      <c r="AK101" s="29" t="s">
        <v>7053</v>
      </c>
      <c r="AL101" s="32" t="s">
        <v>7043</v>
      </c>
    </row>
    <row r="102" ht="14.25" customHeight="1">
      <c r="A102" s="28" t="s">
        <v>2137</v>
      </c>
      <c r="B102" s="29" t="s">
        <v>2138</v>
      </c>
      <c r="C102" s="29" t="s">
        <v>7041</v>
      </c>
      <c r="D102" s="30">
        <v>45292.0</v>
      </c>
      <c r="E102" s="30">
        <v>45657.0</v>
      </c>
      <c r="F102" s="29" t="s">
        <v>7092</v>
      </c>
      <c r="G102" s="29" t="s">
        <v>7051</v>
      </c>
      <c r="H102" s="37" t="s">
        <v>7046</v>
      </c>
      <c r="I102" s="30">
        <v>45658.0</v>
      </c>
      <c r="J102" s="30">
        <v>46022.0</v>
      </c>
      <c r="K102" s="29" t="s">
        <v>7118</v>
      </c>
      <c r="L102" s="29" t="s">
        <v>7053</v>
      </c>
      <c r="M102" s="38" t="s">
        <v>7047</v>
      </c>
      <c r="N102" s="30">
        <v>46023.0</v>
      </c>
      <c r="O102" s="30">
        <v>46387.0</v>
      </c>
      <c r="P102" s="29" t="s">
        <v>7053</v>
      </c>
      <c r="Q102" s="29" t="s">
        <v>7053</v>
      </c>
      <c r="R102" s="32" t="s">
        <v>7043</v>
      </c>
      <c r="S102" s="30">
        <v>46388.0</v>
      </c>
      <c r="T102" s="30">
        <v>46752.0</v>
      </c>
      <c r="U102" s="29" t="s">
        <v>7053</v>
      </c>
      <c r="V102" s="29" t="s">
        <v>7053</v>
      </c>
      <c r="W102" s="32" t="s">
        <v>7043</v>
      </c>
      <c r="X102" s="30">
        <v>46753.0</v>
      </c>
      <c r="Y102" s="30">
        <v>47118.0</v>
      </c>
      <c r="Z102" s="29" t="s">
        <v>7053</v>
      </c>
      <c r="AA102" s="29" t="s">
        <v>7053</v>
      </c>
      <c r="AB102" s="32" t="s">
        <v>7043</v>
      </c>
      <c r="AC102" s="30">
        <v>47119.0</v>
      </c>
      <c r="AD102" s="30">
        <v>47483.0</v>
      </c>
      <c r="AE102" s="29" t="s">
        <v>7053</v>
      </c>
      <c r="AF102" s="29" t="s">
        <v>7053</v>
      </c>
      <c r="AG102" s="32" t="s">
        <v>7043</v>
      </c>
      <c r="AH102" s="30">
        <v>47484.0</v>
      </c>
      <c r="AI102" s="30">
        <v>47848.0</v>
      </c>
      <c r="AJ102" s="29" t="s">
        <v>7053</v>
      </c>
      <c r="AK102" s="29" t="s">
        <v>7053</v>
      </c>
      <c r="AL102" s="32" t="s">
        <v>7043</v>
      </c>
    </row>
    <row r="103" ht="14.25" customHeight="1">
      <c r="A103" s="28" t="s">
        <v>2155</v>
      </c>
      <c r="B103" s="29" t="s">
        <v>2156</v>
      </c>
      <c r="C103" s="29" t="s">
        <v>7041</v>
      </c>
      <c r="D103" s="30">
        <v>45292.0</v>
      </c>
      <c r="E103" s="30">
        <v>45657.0</v>
      </c>
      <c r="F103" s="29" t="s">
        <v>7061</v>
      </c>
      <c r="G103" s="29" t="s">
        <v>7051</v>
      </c>
      <c r="H103" s="37" t="s">
        <v>7046</v>
      </c>
      <c r="I103" s="30">
        <v>45658.0</v>
      </c>
      <c r="J103" s="30">
        <v>46022.0</v>
      </c>
      <c r="K103" s="29" t="s">
        <v>7126</v>
      </c>
      <c r="L103" s="29" t="s">
        <v>7053</v>
      </c>
      <c r="M103" s="38" t="s">
        <v>7047</v>
      </c>
      <c r="N103" s="30">
        <v>46023.0</v>
      </c>
      <c r="O103" s="30">
        <v>46387.0</v>
      </c>
      <c r="P103" s="29" t="s">
        <v>7053</v>
      </c>
      <c r="Q103" s="29" t="s">
        <v>7053</v>
      </c>
      <c r="R103" s="32" t="s">
        <v>7043</v>
      </c>
      <c r="S103" s="30">
        <v>46388.0</v>
      </c>
      <c r="T103" s="30">
        <v>46752.0</v>
      </c>
      <c r="U103" s="29" t="s">
        <v>7053</v>
      </c>
      <c r="V103" s="29" t="s">
        <v>7053</v>
      </c>
      <c r="W103" s="32" t="s">
        <v>7043</v>
      </c>
      <c r="X103" s="30">
        <v>46753.0</v>
      </c>
      <c r="Y103" s="30">
        <v>47118.0</v>
      </c>
      <c r="Z103" s="29" t="s">
        <v>7053</v>
      </c>
      <c r="AA103" s="29" t="s">
        <v>7053</v>
      </c>
      <c r="AB103" s="32" t="s">
        <v>7043</v>
      </c>
      <c r="AC103" s="30">
        <v>47119.0</v>
      </c>
      <c r="AD103" s="30">
        <v>47483.0</v>
      </c>
      <c r="AE103" s="29" t="s">
        <v>7053</v>
      </c>
      <c r="AF103" s="29" t="s">
        <v>7053</v>
      </c>
      <c r="AG103" s="32" t="s">
        <v>7043</v>
      </c>
      <c r="AH103" s="30">
        <v>47484.0</v>
      </c>
      <c r="AI103" s="30">
        <v>47848.0</v>
      </c>
      <c r="AJ103" s="29" t="s">
        <v>7053</v>
      </c>
      <c r="AK103" s="29" t="s">
        <v>7053</v>
      </c>
      <c r="AL103" s="32" t="s">
        <v>7043</v>
      </c>
    </row>
    <row r="104" ht="14.25" customHeight="1">
      <c r="A104" s="28" t="s">
        <v>2173</v>
      </c>
      <c r="B104" s="29" t="s">
        <v>2174</v>
      </c>
      <c r="C104" s="29" t="s">
        <v>7041</v>
      </c>
      <c r="D104" s="30">
        <v>45292.0</v>
      </c>
      <c r="E104" s="30">
        <v>45657.0</v>
      </c>
      <c r="F104" s="29" t="s">
        <v>7056</v>
      </c>
      <c r="G104" s="29" t="s">
        <v>7051</v>
      </c>
      <c r="H104" s="32" t="s">
        <v>7043</v>
      </c>
      <c r="I104" s="30">
        <v>45658.0</v>
      </c>
      <c r="J104" s="30">
        <v>46022.0</v>
      </c>
      <c r="K104" s="29" t="s">
        <v>7054</v>
      </c>
      <c r="L104" s="29" t="s">
        <v>7053</v>
      </c>
      <c r="M104" s="38" t="s">
        <v>7047</v>
      </c>
      <c r="N104" s="30">
        <v>46023.0</v>
      </c>
      <c r="O104" s="30">
        <v>46387.0</v>
      </c>
      <c r="P104" s="29" t="s">
        <v>7053</v>
      </c>
      <c r="Q104" s="29" t="s">
        <v>7053</v>
      </c>
      <c r="R104" s="32" t="s">
        <v>7043</v>
      </c>
      <c r="S104" s="30">
        <v>46388.0</v>
      </c>
      <c r="T104" s="30">
        <v>46752.0</v>
      </c>
      <c r="U104" s="29" t="s">
        <v>7053</v>
      </c>
      <c r="V104" s="29" t="s">
        <v>7053</v>
      </c>
      <c r="W104" s="32" t="s">
        <v>7043</v>
      </c>
      <c r="X104" s="30">
        <v>46753.0</v>
      </c>
      <c r="Y104" s="30">
        <v>47118.0</v>
      </c>
      <c r="Z104" s="29" t="s">
        <v>7053</v>
      </c>
      <c r="AA104" s="29" t="s">
        <v>7053</v>
      </c>
      <c r="AB104" s="32" t="s">
        <v>7043</v>
      </c>
      <c r="AC104" s="30">
        <v>47119.0</v>
      </c>
      <c r="AD104" s="30">
        <v>47483.0</v>
      </c>
      <c r="AE104" s="29" t="s">
        <v>7053</v>
      </c>
      <c r="AF104" s="29" t="s">
        <v>7053</v>
      </c>
      <c r="AG104" s="32" t="s">
        <v>7043</v>
      </c>
      <c r="AH104" s="30">
        <v>47484.0</v>
      </c>
      <c r="AI104" s="30">
        <v>47848.0</v>
      </c>
      <c r="AJ104" s="29" t="s">
        <v>7053</v>
      </c>
      <c r="AK104" s="29" t="s">
        <v>7053</v>
      </c>
      <c r="AL104" s="32" t="s">
        <v>7043</v>
      </c>
    </row>
    <row r="105" ht="14.25" customHeight="1">
      <c r="A105" s="28" t="s">
        <v>2176</v>
      </c>
      <c r="B105" s="29" t="s">
        <v>2177</v>
      </c>
      <c r="C105" s="29" t="s">
        <v>7041</v>
      </c>
      <c r="D105" s="30">
        <v>45292.0</v>
      </c>
      <c r="E105" s="30">
        <v>45657.0</v>
      </c>
      <c r="F105" s="29" t="s">
        <v>7089</v>
      </c>
      <c r="G105" s="29" t="s">
        <v>7051</v>
      </c>
      <c r="H105" s="32" t="s">
        <v>7043</v>
      </c>
      <c r="I105" s="30">
        <v>45658.0</v>
      </c>
      <c r="J105" s="30">
        <v>46022.0</v>
      </c>
      <c r="K105" s="29" t="s">
        <v>7053</v>
      </c>
      <c r="L105" s="29" t="s">
        <v>7053</v>
      </c>
      <c r="M105" s="32" t="s">
        <v>7043</v>
      </c>
      <c r="N105" s="30">
        <v>46023.0</v>
      </c>
      <c r="O105" s="30">
        <v>46387.0</v>
      </c>
      <c r="P105" s="29" t="s">
        <v>7053</v>
      </c>
      <c r="Q105" s="29" t="s">
        <v>7053</v>
      </c>
      <c r="R105" s="32" t="s">
        <v>7043</v>
      </c>
      <c r="S105" s="30">
        <v>46388.0</v>
      </c>
      <c r="T105" s="30">
        <v>46752.0</v>
      </c>
      <c r="U105" s="29" t="s">
        <v>7053</v>
      </c>
      <c r="V105" s="29" t="s">
        <v>7053</v>
      </c>
      <c r="W105" s="32" t="s">
        <v>7043</v>
      </c>
      <c r="X105" s="30">
        <v>46753.0</v>
      </c>
      <c r="Y105" s="30">
        <v>47118.0</v>
      </c>
      <c r="Z105" s="29" t="s">
        <v>7053</v>
      </c>
      <c r="AA105" s="29" t="s">
        <v>7053</v>
      </c>
      <c r="AB105" s="32" t="s">
        <v>7043</v>
      </c>
      <c r="AC105" s="30">
        <v>47119.0</v>
      </c>
      <c r="AD105" s="30">
        <v>47483.0</v>
      </c>
      <c r="AE105" s="29" t="s">
        <v>7053</v>
      </c>
      <c r="AF105" s="29" t="s">
        <v>7053</v>
      </c>
      <c r="AG105" s="32" t="s">
        <v>7043</v>
      </c>
      <c r="AH105" s="30">
        <v>47484.0</v>
      </c>
      <c r="AI105" s="30">
        <v>47848.0</v>
      </c>
      <c r="AJ105" s="29" t="s">
        <v>7053</v>
      </c>
      <c r="AK105" s="29" t="s">
        <v>7053</v>
      </c>
      <c r="AL105" s="32" t="s">
        <v>7043</v>
      </c>
    </row>
    <row r="106" ht="14.25" customHeight="1">
      <c r="A106" s="28" t="s">
        <v>2226</v>
      </c>
      <c r="B106" s="29" t="s">
        <v>2227</v>
      </c>
      <c r="C106" s="29" t="s">
        <v>7041</v>
      </c>
      <c r="D106" s="30">
        <v>45292.0</v>
      </c>
      <c r="E106" s="30">
        <v>45657.0</v>
      </c>
      <c r="F106" s="29" t="s">
        <v>7095</v>
      </c>
      <c r="G106" s="29" t="s">
        <v>7051</v>
      </c>
      <c r="H106" s="32" t="s">
        <v>7043</v>
      </c>
      <c r="I106" s="30">
        <v>45658.0</v>
      </c>
      <c r="J106" s="30">
        <v>46022.0</v>
      </c>
      <c r="K106" s="29" t="s">
        <v>7086</v>
      </c>
      <c r="L106" s="29" t="s">
        <v>7053</v>
      </c>
      <c r="M106" s="38" t="s">
        <v>7047</v>
      </c>
      <c r="N106" s="30">
        <v>46023.0</v>
      </c>
      <c r="O106" s="30">
        <v>46387.0</v>
      </c>
      <c r="P106" s="29" t="s">
        <v>7053</v>
      </c>
      <c r="Q106" s="29" t="s">
        <v>7053</v>
      </c>
      <c r="R106" s="32" t="s">
        <v>7043</v>
      </c>
      <c r="S106" s="30">
        <v>46388.0</v>
      </c>
      <c r="T106" s="30">
        <v>46752.0</v>
      </c>
      <c r="U106" s="29" t="s">
        <v>7053</v>
      </c>
      <c r="V106" s="29" t="s">
        <v>7053</v>
      </c>
      <c r="W106" s="32" t="s">
        <v>7043</v>
      </c>
      <c r="X106" s="30">
        <v>46753.0</v>
      </c>
      <c r="Y106" s="30">
        <v>47118.0</v>
      </c>
      <c r="Z106" s="29" t="s">
        <v>7053</v>
      </c>
      <c r="AA106" s="29" t="s">
        <v>7053</v>
      </c>
      <c r="AB106" s="32" t="s">
        <v>7043</v>
      </c>
      <c r="AC106" s="30">
        <v>47119.0</v>
      </c>
      <c r="AD106" s="30">
        <v>47483.0</v>
      </c>
      <c r="AE106" s="29" t="s">
        <v>7053</v>
      </c>
      <c r="AF106" s="29" t="s">
        <v>7053</v>
      </c>
      <c r="AG106" s="32" t="s">
        <v>7043</v>
      </c>
      <c r="AH106" s="30">
        <v>47484.0</v>
      </c>
      <c r="AI106" s="30">
        <v>47848.0</v>
      </c>
      <c r="AJ106" s="29" t="s">
        <v>7053</v>
      </c>
      <c r="AK106" s="29" t="s">
        <v>7053</v>
      </c>
      <c r="AL106" s="32" t="s">
        <v>7043</v>
      </c>
    </row>
    <row r="107" ht="14.25" customHeight="1">
      <c r="A107" s="28" t="s">
        <v>2234</v>
      </c>
      <c r="B107" s="29" t="s">
        <v>2235</v>
      </c>
      <c r="C107" s="29" t="s">
        <v>7041</v>
      </c>
      <c r="D107" s="30">
        <v>45292.0</v>
      </c>
      <c r="E107" s="30">
        <v>45657.0</v>
      </c>
      <c r="F107" s="29" t="s">
        <v>7127</v>
      </c>
      <c r="G107" s="29" t="s">
        <v>7051</v>
      </c>
      <c r="H107" s="38" t="s">
        <v>7047</v>
      </c>
      <c r="I107" s="30">
        <v>45658.0</v>
      </c>
      <c r="J107" s="30">
        <v>46022.0</v>
      </c>
      <c r="K107" s="29" t="s">
        <v>7098</v>
      </c>
      <c r="L107" s="29" t="s">
        <v>7053</v>
      </c>
      <c r="M107" s="38" t="s">
        <v>7047</v>
      </c>
      <c r="N107" s="30">
        <v>46023.0</v>
      </c>
      <c r="O107" s="30">
        <v>46387.0</v>
      </c>
      <c r="P107" s="29" t="s">
        <v>7053</v>
      </c>
      <c r="Q107" s="29" t="s">
        <v>7053</v>
      </c>
      <c r="R107" s="32" t="s">
        <v>7043</v>
      </c>
      <c r="S107" s="30">
        <v>46388.0</v>
      </c>
      <c r="T107" s="30">
        <v>46752.0</v>
      </c>
      <c r="U107" s="29" t="s">
        <v>7053</v>
      </c>
      <c r="V107" s="29" t="s">
        <v>7053</v>
      </c>
      <c r="W107" s="32" t="s">
        <v>7043</v>
      </c>
      <c r="X107" s="30">
        <v>46753.0</v>
      </c>
      <c r="Y107" s="30">
        <v>47118.0</v>
      </c>
      <c r="Z107" s="29" t="s">
        <v>7053</v>
      </c>
      <c r="AA107" s="29" t="s">
        <v>7053</v>
      </c>
      <c r="AB107" s="32" t="s">
        <v>7043</v>
      </c>
      <c r="AC107" s="30">
        <v>47119.0</v>
      </c>
      <c r="AD107" s="30">
        <v>47483.0</v>
      </c>
      <c r="AE107" s="29" t="s">
        <v>7053</v>
      </c>
      <c r="AF107" s="29" t="s">
        <v>7053</v>
      </c>
      <c r="AG107" s="32" t="s">
        <v>7043</v>
      </c>
      <c r="AH107" s="30">
        <v>47484.0</v>
      </c>
      <c r="AI107" s="30">
        <v>47848.0</v>
      </c>
      <c r="AJ107" s="29" t="s">
        <v>7053</v>
      </c>
      <c r="AK107" s="29" t="s">
        <v>7053</v>
      </c>
      <c r="AL107" s="32" t="s">
        <v>7043</v>
      </c>
    </row>
    <row r="108" ht="14.25" customHeight="1">
      <c r="A108" s="28" t="s">
        <v>2243</v>
      </c>
      <c r="B108" s="29" t="s">
        <v>2244</v>
      </c>
      <c r="C108" s="29" t="s">
        <v>7041</v>
      </c>
      <c r="D108" s="30">
        <v>45292.0</v>
      </c>
      <c r="E108" s="30">
        <v>45657.0</v>
      </c>
      <c r="F108" s="29" t="s">
        <v>7088</v>
      </c>
      <c r="G108" s="29" t="s">
        <v>7051</v>
      </c>
      <c r="H108" s="37" t="s">
        <v>7046</v>
      </c>
      <c r="I108" s="30">
        <v>45658.0</v>
      </c>
      <c r="J108" s="30">
        <v>46022.0</v>
      </c>
      <c r="K108" s="29" t="s">
        <v>7050</v>
      </c>
      <c r="L108" s="29" t="s">
        <v>7053</v>
      </c>
      <c r="M108" s="38" t="s">
        <v>7047</v>
      </c>
      <c r="N108" s="30">
        <v>46023.0</v>
      </c>
      <c r="O108" s="30">
        <v>46387.0</v>
      </c>
      <c r="P108" s="29" t="s">
        <v>7053</v>
      </c>
      <c r="Q108" s="29" t="s">
        <v>7053</v>
      </c>
      <c r="R108" s="32" t="s">
        <v>7043</v>
      </c>
      <c r="S108" s="30">
        <v>46388.0</v>
      </c>
      <c r="T108" s="30">
        <v>46752.0</v>
      </c>
      <c r="U108" s="29" t="s">
        <v>7053</v>
      </c>
      <c r="V108" s="29" t="s">
        <v>7053</v>
      </c>
      <c r="W108" s="32" t="s">
        <v>7043</v>
      </c>
      <c r="X108" s="30">
        <v>46753.0</v>
      </c>
      <c r="Y108" s="30">
        <v>47118.0</v>
      </c>
      <c r="Z108" s="29" t="s">
        <v>7053</v>
      </c>
      <c r="AA108" s="29" t="s">
        <v>7053</v>
      </c>
      <c r="AB108" s="32" t="s">
        <v>7043</v>
      </c>
      <c r="AC108" s="30">
        <v>47119.0</v>
      </c>
      <c r="AD108" s="30">
        <v>47483.0</v>
      </c>
      <c r="AE108" s="29" t="s">
        <v>7053</v>
      </c>
      <c r="AF108" s="29" t="s">
        <v>7053</v>
      </c>
      <c r="AG108" s="32" t="s">
        <v>7043</v>
      </c>
      <c r="AH108" s="30">
        <v>47484.0</v>
      </c>
      <c r="AI108" s="30">
        <v>47848.0</v>
      </c>
      <c r="AJ108" s="29" t="s">
        <v>7053</v>
      </c>
      <c r="AK108" s="29" t="s">
        <v>7053</v>
      </c>
      <c r="AL108" s="32" t="s">
        <v>7043</v>
      </c>
    </row>
    <row r="109" ht="14.25" customHeight="1">
      <c r="A109" s="28" t="s">
        <v>2256</v>
      </c>
      <c r="B109" s="29" t="s">
        <v>2257</v>
      </c>
      <c r="C109" s="29" t="s">
        <v>7041</v>
      </c>
      <c r="D109" s="30">
        <v>45292.0</v>
      </c>
      <c r="E109" s="30">
        <v>45657.0</v>
      </c>
      <c r="F109" s="29" t="s">
        <v>7065</v>
      </c>
      <c r="G109" s="29" t="s">
        <v>7051</v>
      </c>
      <c r="H109" s="37" t="s">
        <v>7046</v>
      </c>
      <c r="I109" s="30">
        <v>45658.0</v>
      </c>
      <c r="J109" s="30">
        <v>46022.0</v>
      </c>
      <c r="K109" s="29" t="s">
        <v>7088</v>
      </c>
      <c r="L109" s="29" t="s">
        <v>7053</v>
      </c>
      <c r="M109" s="38" t="s">
        <v>7047</v>
      </c>
      <c r="N109" s="30">
        <v>46023.0</v>
      </c>
      <c r="O109" s="30">
        <v>46387.0</v>
      </c>
      <c r="P109" s="29" t="s">
        <v>7053</v>
      </c>
      <c r="Q109" s="29" t="s">
        <v>7053</v>
      </c>
      <c r="R109" s="32" t="s">
        <v>7043</v>
      </c>
      <c r="S109" s="30">
        <v>46388.0</v>
      </c>
      <c r="T109" s="30">
        <v>46752.0</v>
      </c>
      <c r="U109" s="29" t="s">
        <v>7053</v>
      </c>
      <c r="V109" s="29" t="s">
        <v>7053</v>
      </c>
      <c r="W109" s="32" t="s">
        <v>7043</v>
      </c>
      <c r="X109" s="30">
        <v>46753.0</v>
      </c>
      <c r="Y109" s="30">
        <v>47118.0</v>
      </c>
      <c r="Z109" s="29" t="s">
        <v>7053</v>
      </c>
      <c r="AA109" s="29" t="s">
        <v>7053</v>
      </c>
      <c r="AB109" s="32" t="s">
        <v>7043</v>
      </c>
      <c r="AC109" s="30">
        <v>47119.0</v>
      </c>
      <c r="AD109" s="30">
        <v>47483.0</v>
      </c>
      <c r="AE109" s="29" t="s">
        <v>7053</v>
      </c>
      <c r="AF109" s="29" t="s">
        <v>7053</v>
      </c>
      <c r="AG109" s="32" t="s">
        <v>7043</v>
      </c>
      <c r="AH109" s="30">
        <v>47484.0</v>
      </c>
      <c r="AI109" s="30">
        <v>47848.0</v>
      </c>
      <c r="AJ109" s="29" t="s">
        <v>7053</v>
      </c>
      <c r="AK109" s="29" t="s">
        <v>7053</v>
      </c>
      <c r="AL109" s="32" t="s">
        <v>7043</v>
      </c>
    </row>
    <row r="110" ht="14.25" customHeight="1">
      <c r="A110" s="28" t="s">
        <v>2259</v>
      </c>
      <c r="B110" s="29" t="s">
        <v>2260</v>
      </c>
      <c r="C110" s="29" t="s">
        <v>7041</v>
      </c>
      <c r="D110" s="30">
        <v>45292.0</v>
      </c>
      <c r="E110" s="30">
        <v>45657.0</v>
      </c>
      <c r="F110" s="29" t="s">
        <v>7056</v>
      </c>
      <c r="G110" s="29" t="s">
        <v>7051</v>
      </c>
      <c r="H110" s="32" t="s">
        <v>7043</v>
      </c>
      <c r="I110" s="30">
        <v>45658.0</v>
      </c>
      <c r="J110" s="30">
        <v>46022.0</v>
      </c>
      <c r="K110" s="29" t="s">
        <v>7054</v>
      </c>
      <c r="L110" s="29" t="s">
        <v>7053</v>
      </c>
      <c r="M110" s="38" t="s">
        <v>7047</v>
      </c>
      <c r="N110" s="30">
        <v>46023.0</v>
      </c>
      <c r="O110" s="30">
        <v>46387.0</v>
      </c>
      <c r="P110" s="29" t="s">
        <v>7053</v>
      </c>
      <c r="Q110" s="29" t="s">
        <v>7053</v>
      </c>
      <c r="R110" s="32" t="s">
        <v>7043</v>
      </c>
      <c r="S110" s="30">
        <v>46388.0</v>
      </c>
      <c r="T110" s="30">
        <v>46752.0</v>
      </c>
      <c r="U110" s="29" t="s">
        <v>7053</v>
      </c>
      <c r="V110" s="29" t="s">
        <v>7053</v>
      </c>
      <c r="W110" s="32" t="s">
        <v>7043</v>
      </c>
      <c r="X110" s="30">
        <v>46753.0</v>
      </c>
      <c r="Y110" s="30">
        <v>47118.0</v>
      </c>
      <c r="Z110" s="29" t="s">
        <v>7053</v>
      </c>
      <c r="AA110" s="29" t="s">
        <v>7053</v>
      </c>
      <c r="AB110" s="32" t="s">
        <v>7043</v>
      </c>
      <c r="AC110" s="30">
        <v>47119.0</v>
      </c>
      <c r="AD110" s="30">
        <v>47483.0</v>
      </c>
      <c r="AE110" s="29" t="s">
        <v>7053</v>
      </c>
      <c r="AF110" s="29" t="s">
        <v>7053</v>
      </c>
      <c r="AG110" s="32" t="s">
        <v>7043</v>
      </c>
      <c r="AH110" s="30">
        <v>47484.0</v>
      </c>
      <c r="AI110" s="30">
        <v>47848.0</v>
      </c>
      <c r="AJ110" s="29" t="s">
        <v>7053</v>
      </c>
      <c r="AK110" s="29" t="s">
        <v>7053</v>
      </c>
      <c r="AL110" s="32" t="s">
        <v>7043</v>
      </c>
    </row>
    <row r="111" ht="14.25" customHeight="1">
      <c r="A111" s="28" t="s">
        <v>2265</v>
      </c>
      <c r="B111" s="29" t="s">
        <v>2266</v>
      </c>
      <c r="C111" s="29" t="s">
        <v>7041</v>
      </c>
      <c r="D111" s="30">
        <v>45292.0</v>
      </c>
      <c r="E111" s="30">
        <v>45657.0</v>
      </c>
      <c r="F111" s="29" t="s">
        <v>7052</v>
      </c>
      <c r="G111" s="29" t="s">
        <v>7051</v>
      </c>
      <c r="H111" s="32" t="s">
        <v>7043</v>
      </c>
      <c r="I111" s="30">
        <v>45658.0</v>
      </c>
      <c r="J111" s="30">
        <v>46022.0</v>
      </c>
      <c r="K111" s="29" t="s">
        <v>7101</v>
      </c>
      <c r="L111" s="29" t="s">
        <v>7053</v>
      </c>
      <c r="M111" s="38" t="s">
        <v>7047</v>
      </c>
      <c r="N111" s="30">
        <v>46023.0</v>
      </c>
      <c r="O111" s="30">
        <v>46387.0</v>
      </c>
      <c r="P111" s="29" t="s">
        <v>7053</v>
      </c>
      <c r="Q111" s="29" t="s">
        <v>7053</v>
      </c>
      <c r="R111" s="32" t="s">
        <v>7043</v>
      </c>
      <c r="S111" s="30">
        <v>46388.0</v>
      </c>
      <c r="T111" s="30">
        <v>46752.0</v>
      </c>
      <c r="U111" s="29" t="s">
        <v>7053</v>
      </c>
      <c r="V111" s="29" t="s">
        <v>7053</v>
      </c>
      <c r="W111" s="32" t="s">
        <v>7043</v>
      </c>
      <c r="X111" s="30">
        <v>46753.0</v>
      </c>
      <c r="Y111" s="30">
        <v>47118.0</v>
      </c>
      <c r="Z111" s="29" t="s">
        <v>7053</v>
      </c>
      <c r="AA111" s="29" t="s">
        <v>7053</v>
      </c>
      <c r="AB111" s="32" t="s">
        <v>7043</v>
      </c>
      <c r="AC111" s="30">
        <v>47119.0</v>
      </c>
      <c r="AD111" s="30">
        <v>47483.0</v>
      </c>
      <c r="AE111" s="29" t="s">
        <v>7053</v>
      </c>
      <c r="AF111" s="29" t="s">
        <v>7053</v>
      </c>
      <c r="AG111" s="32" t="s">
        <v>7043</v>
      </c>
      <c r="AH111" s="30">
        <v>47484.0</v>
      </c>
      <c r="AI111" s="30">
        <v>47848.0</v>
      </c>
      <c r="AJ111" s="29" t="s">
        <v>7053</v>
      </c>
      <c r="AK111" s="29" t="s">
        <v>7053</v>
      </c>
      <c r="AL111" s="32" t="s">
        <v>7043</v>
      </c>
    </row>
    <row r="112" ht="14.25" customHeight="1">
      <c r="A112" s="28" t="s">
        <v>2276</v>
      </c>
      <c r="B112" s="29" t="s">
        <v>2277</v>
      </c>
      <c r="C112" s="29" t="s">
        <v>7041</v>
      </c>
      <c r="D112" s="30">
        <v>45292.0</v>
      </c>
      <c r="E112" s="30">
        <v>45657.0</v>
      </c>
      <c r="F112" s="29" t="s">
        <v>7080</v>
      </c>
      <c r="G112" s="29" t="s">
        <v>7051</v>
      </c>
      <c r="H112" s="32" t="s">
        <v>7043</v>
      </c>
      <c r="I112" s="30">
        <v>45658.0</v>
      </c>
      <c r="J112" s="30">
        <v>46022.0</v>
      </c>
      <c r="K112" s="29" t="s">
        <v>7071</v>
      </c>
      <c r="L112" s="29" t="s">
        <v>7053</v>
      </c>
      <c r="M112" s="38" t="s">
        <v>7047</v>
      </c>
      <c r="N112" s="30">
        <v>46023.0</v>
      </c>
      <c r="O112" s="30">
        <v>46387.0</v>
      </c>
      <c r="P112" s="29" t="s">
        <v>7053</v>
      </c>
      <c r="Q112" s="29" t="s">
        <v>7053</v>
      </c>
      <c r="R112" s="32" t="s">
        <v>7043</v>
      </c>
      <c r="S112" s="30">
        <v>46388.0</v>
      </c>
      <c r="T112" s="30">
        <v>46752.0</v>
      </c>
      <c r="U112" s="29" t="s">
        <v>7053</v>
      </c>
      <c r="V112" s="29" t="s">
        <v>7053</v>
      </c>
      <c r="W112" s="32" t="s">
        <v>7043</v>
      </c>
      <c r="X112" s="30">
        <v>46753.0</v>
      </c>
      <c r="Y112" s="30">
        <v>47118.0</v>
      </c>
      <c r="Z112" s="29" t="s">
        <v>7053</v>
      </c>
      <c r="AA112" s="29" t="s">
        <v>7053</v>
      </c>
      <c r="AB112" s="32" t="s">
        <v>7043</v>
      </c>
      <c r="AC112" s="30">
        <v>47119.0</v>
      </c>
      <c r="AD112" s="30">
        <v>47483.0</v>
      </c>
      <c r="AE112" s="29" t="s">
        <v>7053</v>
      </c>
      <c r="AF112" s="29" t="s">
        <v>7053</v>
      </c>
      <c r="AG112" s="32" t="s">
        <v>7043</v>
      </c>
      <c r="AH112" s="30">
        <v>47484.0</v>
      </c>
      <c r="AI112" s="30">
        <v>47848.0</v>
      </c>
      <c r="AJ112" s="29" t="s">
        <v>7053</v>
      </c>
      <c r="AK112" s="29" t="s">
        <v>7053</v>
      </c>
      <c r="AL112" s="32" t="s">
        <v>7043</v>
      </c>
    </row>
    <row r="113" ht="14.25" customHeight="1">
      <c r="A113" s="28" t="s">
        <v>2283</v>
      </c>
      <c r="B113" s="29" t="s">
        <v>2284</v>
      </c>
      <c r="C113" s="29" t="s">
        <v>7041</v>
      </c>
      <c r="D113" s="30">
        <v>45292.0</v>
      </c>
      <c r="E113" s="30">
        <v>45657.0</v>
      </c>
      <c r="F113" s="29" t="s">
        <v>7095</v>
      </c>
      <c r="G113" s="29" t="s">
        <v>7051</v>
      </c>
      <c r="H113" s="32" t="s">
        <v>7043</v>
      </c>
      <c r="I113" s="30">
        <v>45658.0</v>
      </c>
      <c r="J113" s="30">
        <v>46022.0</v>
      </c>
      <c r="K113" s="29" t="s">
        <v>7089</v>
      </c>
      <c r="L113" s="29" t="s">
        <v>7053</v>
      </c>
      <c r="M113" s="38" t="s">
        <v>7047</v>
      </c>
      <c r="N113" s="30">
        <v>46023.0</v>
      </c>
      <c r="O113" s="30">
        <v>46387.0</v>
      </c>
      <c r="P113" s="29" t="s">
        <v>7053</v>
      </c>
      <c r="Q113" s="29" t="s">
        <v>7053</v>
      </c>
      <c r="R113" s="32" t="s">
        <v>7043</v>
      </c>
      <c r="S113" s="30">
        <v>46388.0</v>
      </c>
      <c r="T113" s="30">
        <v>46752.0</v>
      </c>
      <c r="U113" s="29" t="s">
        <v>7053</v>
      </c>
      <c r="V113" s="29" t="s">
        <v>7053</v>
      </c>
      <c r="W113" s="32" t="s">
        <v>7043</v>
      </c>
      <c r="X113" s="30">
        <v>46753.0</v>
      </c>
      <c r="Y113" s="30">
        <v>47118.0</v>
      </c>
      <c r="Z113" s="29" t="s">
        <v>7053</v>
      </c>
      <c r="AA113" s="29" t="s">
        <v>7053</v>
      </c>
      <c r="AB113" s="32" t="s">
        <v>7043</v>
      </c>
      <c r="AC113" s="30">
        <v>47119.0</v>
      </c>
      <c r="AD113" s="30">
        <v>47483.0</v>
      </c>
      <c r="AE113" s="29" t="s">
        <v>7053</v>
      </c>
      <c r="AF113" s="29" t="s">
        <v>7053</v>
      </c>
      <c r="AG113" s="32" t="s">
        <v>7043</v>
      </c>
      <c r="AH113" s="30">
        <v>47484.0</v>
      </c>
      <c r="AI113" s="30">
        <v>47848.0</v>
      </c>
      <c r="AJ113" s="29" t="s">
        <v>7053</v>
      </c>
      <c r="AK113" s="29" t="s">
        <v>7053</v>
      </c>
      <c r="AL113" s="32" t="s">
        <v>7043</v>
      </c>
    </row>
    <row r="114" ht="14.25" customHeight="1">
      <c r="A114" s="28" t="s">
        <v>2301</v>
      </c>
      <c r="B114" s="29" t="s">
        <v>2302</v>
      </c>
      <c r="C114" s="29" t="s">
        <v>7041</v>
      </c>
      <c r="D114" s="30">
        <v>45292.0</v>
      </c>
      <c r="E114" s="30">
        <v>45657.0</v>
      </c>
      <c r="F114" s="29" t="s">
        <v>7075</v>
      </c>
      <c r="G114" s="29" t="s">
        <v>7051</v>
      </c>
      <c r="H114" s="32" t="s">
        <v>7043</v>
      </c>
      <c r="I114" s="30">
        <v>45658.0</v>
      </c>
      <c r="J114" s="30">
        <v>46022.0</v>
      </c>
      <c r="K114" s="29" t="s">
        <v>7072</v>
      </c>
      <c r="L114" s="29" t="s">
        <v>7053</v>
      </c>
      <c r="M114" s="38" t="s">
        <v>7047</v>
      </c>
      <c r="N114" s="30">
        <v>46023.0</v>
      </c>
      <c r="O114" s="30">
        <v>46387.0</v>
      </c>
      <c r="P114" s="29" t="s">
        <v>7053</v>
      </c>
      <c r="Q114" s="29" t="s">
        <v>7053</v>
      </c>
      <c r="R114" s="32" t="s">
        <v>7043</v>
      </c>
      <c r="S114" s="30">
        <v>46388.0</v>
      </c>
      <c r="T114" s="30">
        <v>46752.0</v>
      </c>
      <c r="U114" s="29" t="s">
        <v>7053</v>
      </c>
      <c r="V114" s="29" t="s">
        <v>7053</v>
      </c>
      <c r="W114" s="32" t="s">
        <v>7043</v>
      </c>
      <c r="X114" s="30">
        <v>46753.0</v>
      </c>
      <c r="Y114" s="30">
        <v>47118.0</v>
      </c>
      <c r="Z114" s="29" t="s">
        <v>7053</v>
      </c>
      <c r="AA114" s="29" t="s">
        <v>7053</v>
      </c>
      <c r="AB114" s="32" t="s">
        <v>7043</v>
      </c>
      <c r="AC114" s="30">
        <v>47119.0</v>
      </c>
      <c r="AD114" s="30">
        <v>47483.0</v>
      </c>
      <c r="AE114" s="29" t="s">
        <v>7053</v>
      </c>
      <c r="AF114" s="29" t="s">
        <v>7053</v>
      </c>
      <c r="AG114" s="32" t="s">
        <v>7043</v>
      </c>
      <c r="AH114" s="30">
        <v>47484.0</v>
      </c>
      <c r="AI114" s="30">
        <v>47848.0</v>
      </c>
      <c r="AJ114" s="29" t="s">
        <v>7053</v>
      </c>
      <c r="AK114" s="29" t="s">
        <v>7053</v>
      </c>
      <c r="AL114" s="32" t="s">
        <v>7043</v>
      </c>
    </row>
    <row r="115" ht="14.25" customHeight="1">
      <c r="A115" s="28" t="s">
        <v>2304</v>
      </c>
      <c r="B115" s="29" t="s">
        <v>2305</v>
      </c>
      <c r="C115" s="29" t="s">
        <v>7041</v>
      </c>
      <c r="D115" s="30">
        <v>45292.0</v>
      </c>
      <c r="E115" s="30">
        <v>45657.0</v>
      </c>
      <c r="F115" s="29" t="s">
        <v>7102</v>
      </c>
      <c r="G115" s="29" t="s">
        <v>7051</v>
      </c>
      <c r="H115" s="38" t="s">
        <v>7047</v>
      </c>
      <c r="I115" s="30">
        <v>45658.0</v>
      </c>
      <c r="J115" s="30">
        <v>46022.0</v>
      </c>
      <c r="K115" s="29" t="s">
        <v>7081</v>
      </c>
      <c r="L115" s="29" t="s">
        <v>7053</v>
      </c>
      <c r="M115" s="38" t="s">
        <v>7047</v>
      </c>
      <c r="N115" s="30">
        <v>46023.0</v>
      </c>
      <c r="O115" s="30">
        <v>46387.0</v>
      </c>
      <c r="P115" s="29" t="s">
        <v>7053</v>
      </c>
      <c r="Q115" s="29" t="s">
        <v>7053</v>
      </c>
      <c r="R115" s="32" t="s">
        <v>7043</v>
      </c>
      <c r="S115" s="30">
        <v>46388.0</v>
      </c>
      <c r="T115" s="30">
        <v>46752.0</v>
      </c>
      <c r="U115" s="29" t="s">
        <v>7053</v>
      </c>
      <c r="V115" s="29" t="s">
        <v>7053</v>
      </c>
      <c r="W115" s="32" t="s">
        <v>7043</v>
      </c>
      <c r="X115" s="30">
        <v>46753.0</v>
      </c>
      <c r="Y115" s="30">
        <v>47118.0</v>
      </c>
      <c r="Z115" s="29" t="s">
        <v>7053</v>
      </c>
      <c r="AA115" s="29" t="s">
        <v>7053</v>
      </c>
      <c r="AB115" s="32" t="s">
        <v>7043</v>
      </c>
      <c r="AC115" s="30">
        <v>47119.0</v>
      </c>
      <c r="AD115" s="30">
        <v>47483.0</v>
      </c>
      <c r="AE115" s="29" t="s">
        <v>7053</v>
      </c>
      <c r="AF115" s="29" t="s">
        <v>7053</v>
      </c>
      <c r="AG115" s="32" t="s">
        <v>7043</v>
      </c>
      <c r="AH115" s="30">
        <v>47484.0</v>
      </c>
      <c r="AI115" s="30">
        <v>47848.0</v>
      </c>
      <c r="AJ115" s="29" t="s">
        <v>7053</v>
      </c>
      <c r="AK115" s="29" t="s">
        <v>7053</v>
      </c>
      <c r="AL115" s="32" t="s">
        <v>7043</v>
      </c>
    </row>
    <row r="116" ht="14.25" customHeight="1">
      <c r="A116" s="28" t="s">
        <v>2317</v>
      </c>
      <c r="B116" s="29" t="s">
        <v>2318</v>
      </c>
      <c r="C116" s="29" t="s">
        <v>7041</v>
      </c>
      <c r="D116" s="30">
        <v>45292.0</v>
      </c>
      <c r="E116" s="30">
        <v>45657.0</v>
      </c>
      <c r="F116" s="29" t="s">
        <v>7126</v>
      </c>
      <c r="G116" s="29" t="s">
        <v>7051</v>
      </c>
      <c r="H116" s="37" t="s">
        <v>7046</v>
      </c>
      <c r="I116" s="30">
        <v>45658.0</v>
      </c>
      <c r="J116" s="30">
        <v>46022.0</v>
      </c>
      <c r="K116" s="29" t="s">
        <v>7078</v>
      </c>
      <c r="L116" s="29" t="s">
        <v>7053</v>
      </c>
      <c r="M116" s="38" t="s">
        <v>7047</v>
      </c>
      <c r="N116" s="30">
        <v>46023.0</v>
      </c>
      <c r="O116" s="30">
        <v>46387.0</v>
      </c>
      <c r="P116" s="29" t="s">
        <v>7053</v>
      </c>
      <c r="Q116" s="29" t="s">
        <v>7053</v>
      </c>
      <c r="R116" s="32" t="s">
        <v>7043</v>
      </c>
      <c r="S116" s="30">
        <v>46388.0</v>
      </c>
      <c r="T116" s="30">
        <v>46752.0</v>
      </c>
      <c r="U116" s="29" t="s">
        <v>7053</v>
      </c>
      <c r="V116" s="29" t="s">
        <v>7053</v>
      </c>
      <c r="W116" s="32" t="s">
        <v>7043</v>
      </c>
      <c r="X116" s="30">
        <v>46753.0</v>
      </c>
      <c r="Y116" s="30">
        <v>47118.0</v>
      </c>
      <c r="Z116" s="29" t="s">
        <v>7053</v>
      </c>
      <c r="AA116" s="29" t="s">
        <v>7053</v>
      </c>
      <c r="AB116" s="32" t="s">
        <v>7043</v>
      </c>
      <c r="AC116" s="30">
        <v>47119.0</v>
      </c>
      <c r="AD116" s="30">
        <v>47483.0</v>
      </c>
      <c r="AE116" s="29" t="s">
        <v>7053</v>
      </c>
      <c r="AF116" s="29" t="s">
        <v>7053</v>
      </c>
      <c r="AG116" s="32" t="s">
        <v>7043</v>
      </c>
      <c r="AH116" s="30">
        <v>47484.0</v>
      </c>
      <c r="AI116" s="30">
        <v>47848.0</v>
      </c>
      <c r="AJ116" s="29" t="s">
        <v>7053</v>
      </c>
      <c r="AK116" s="29" t="s">
        <v>7053</v>
      </c>
      <c r="AL116" s="32" t="s">
        <v>7043</v>
      </c>
    </row>
    <row r="117" ht="14.25" customHeight="1">
      <c r="A117" s="28" t="s">
        <v>2328</v>
      </c>
      <c r="B117" s="29" t="s">
        <v>2329</v>
      </c>
      <c r="C117" s="29" t="s">
        <v>7041</v>
      </c>
      <c r="D117" s="30">
        <v>45292.0</v>
      </c>
      <c r="E117" s="30">
        <v>45657.0</v>
      </c>
      <c r="F117" s="29" t="s">
        <v>7080</v>
      </c>
      <c r="G117" s="29" t="s">
        <v>7126</v>
      </c>
      <c r="H117" s="32" t="s">
        <v>7043</v>
      </c>
      <c r="I117" s="30">
        <v>45658.0</v>
      </c>
      <c r="J117" s="30">
        <v>46022.0</v>
      </c>
      <c r="K117" s="29" t="s">
        <v>7053</v>
      </c>
      <c r="L117" s="29" t="s">
        <v>7053</v>
      </c>
      <c r="M117" s="32" t="s">
        <v>7043</v>
      </c>
      <c r="N117" s="30">
        <v>46023.0</v>
      </c>
      <c r="O117" s="30">
        <v>46387.0</v>
      </c>
      <c r="P117" s="29" t="s">
        <v>7053</v>
      </c>
      <c r="Q117" s="29" t="s">
        <v>7053</v>
      </c>
      <c r="R117" s="32" t="s">
        <v>7043</v>
      </c>
      <c r="S117" s="30">
        <v>46388.0</v>
      </c>
      <c r="T117" s="30">
        <v>46752.0</v>
      </c>
      <c r="U117" s="29" t="s">
        <v>7053</v>
      </c>
      <c r="V117" s="29" t="s">
        <v>7053</v>
      </c>
      <c r="W117" s="32" t="s">
        <v>7043</v>
      </c>
      <c r="X117" s="30">
        <v>46753.0</v>
      </c>
      <c r="Y117" s="30">
        <v>47118.0</v>
      </c>
      <c r="Z117" s="29" t="s">
        <v>7053</v>
      </c>
      <c r="AA117" s="29" t="s">
        <v>7053</v>
      </c>
      <c r="AB117" s="32" t="s">
        <v>7043</v>
      </c>
      <c r="AC117" s="30">
        <v>47119.0</v>
      </c>
      <c r="AD117" s="30">
        <v>47483.0</v>
      </c>
      <c r="AE117" s="29" t="s">
        <v>7053</v>
      </c>
      <c r="AF117" s="29" t="s">
        <v>7053</v>
      </c>
      <c r="AG117" s="32" t="s">
        <v>7043</v>
      </c>
      <c r="AH117" s="30">
        <v>47484.0</v>
      </c>
      <c r="AI117" s="30">
        <v>47848.0</v>
      </c>
      <c r="AJ117" s="29" t="s">
        <v>7053</v>
      </c>
      <c r="AK117" s="29" t="s">
        <v>7053</v>
      </c>
      <c r="AL117" s="32" t="s">
        <v>7043</v>
      </c>
    </row>
    <row r="118" ht="14.25" customHeight="1">
      <c r="A118" s="28" t="s">
        <v>2341</v>
      </c>
      <c r="B118" s="29" t="s">
        <v>2342</v>
      </c>
      <c r="C118" s="29" t="s">
        <v>7041</v>
      </c>
      <c r="D118" s="30">
        <v>45292.0</v>
      </c>
      <c r="E118" s="30">
        <v>45657.0</v>
      </c>
      <c r="F118" s="29" t="s">
        <v>7124</v>
      </c>
      <c r="G118" s="29" t="s">
        <v>7051</v>
      </c>
      <c r="H118" s="38" t="s">
        <v>7047</v>
      </c>
      <c r="I118" s="30">
        <v>45658.0</v>
      </c>
      <c r="J118" s="30">
        <v>46022.0</v>
      </c>
      <c r="K118" s="29" t="s">
        <v>7128</v>
      </c>
      <c r="L118" s="29" t="s">
        <v>7053</v>
      </c>
      <c r="M118" s="38" t="s">
        <v>7047</v>
      </c>
      <c r="N118" s="30">
        <v>46023.0</v>
      </c>
      <c r="O118" s="30">
        <v>46387.0</v>
      </c>
      <c r="P118" s="29" t="s">
        <v>7053</v>
      </c>
      <c r="Q118" s="29" t="s">
        <v>7053</v>
      </c>
      <c r="R118" s="32" t="s">
        <v>7043</v>
      </c>
      <c r="S118" s="30">
        <v>46388.0</v>
      </c>
      <c r="T118" s="30">
        <v>46752.0</v>
      </c>
      <c r="U118" s="29" t="s">
        <v>7053</v>
      </c>
      <c r="V118" s="29" t="s">
        <v>7053</v>
      </c>
      <c r="W118" s="32" t="s">
        <v>7043</v>
      </c>
      <c r="X118" s="30">
        <v>46753.0</v>
      </c>
      <c r="Y118" s="30">
        <v>47118.0</v>
      </c>
      <c r="Z118" s="29" t="s">
        <v>7053</v>
      </c>
      <c r="AA118" s="29" t="s">
        <v>7053</v>
      </c>
      <c r="AB118" s="32" t="s">
        <v>7043</v>
      </c>
      <c r="AC118" s="30">
        <v>47119.0</v>
      </c>
      <c r="AD118" s="30">
        <v>47483.0</v>
      </c>
      <c r="AE118" s="29" t="s">
        <v>7053</v>
      </c>
      <c r="AF118" s="29" t="s">
        <v>7053</v>
      </c>
      <c r="AG118" s="32" t="s">
        <v>7043</v>
      </c>
      <c r="AH118" s="30">
        <v>47484.0</v>
      </c>
      <c r="AI118" s="30">
        <v>47848.0</v>
      </c>
      <c r="AJ118" s="29" t="s">
        <v>7053</v>
      </c>
      <c r="AK118" s="29" t="s">
        <v>7053</v>
      </c>
      <c r="AL118" s="32" t="s">
        <v>7043</v>
      </c>
    </row>
    <row r="119" ht="14.25" customHeight="1">
      <c r="A119" s="28" t="s">
        <v>2348</v>
      </c>
      <c r="B119" s="29" t="s">
        <v>2349</v>
      </c>
      <c r="C119" s="29" t="s">
        <v>7041</v>
      </c>
      <c r="D119" s="30">
        <v>45292.0</v>
      </c>
      <c r="E119" s="30">
        <v>45657.0</v>
      </c>
      <c r="F119" s="29" t="s">
        <v>7086</v>
      </c>
      <c r="G119" s="29" t="s">
        <v>7122</v>
      </c>
      <c r="H119" s="32" t="s">
        <v>7043</v>
      </c>
      <c r="I119" s="30">
        <v>45658.0</v>
      </c>
      <c r="J119" s="30">
        <v>46022.0</v>
      </c>
      <c r="K119" s="29" t="s">
        <v>7096</v>
      </c>
      <c r="L119" s="29" t="s">
        <v>7053</v>
      </c>
      <c r="M119" s="38" t="s">
        <v>7047</v>
      </c>
      <c r="N119" s="30">
        <v>46023.0</v>
      </c>
      <c r="O119" s="30">
        <v>46387.0</v>
      </c>
      <c r="P119" s="29" t="s">
        <v>7053</v>
      </c>
      <c r="Q119" s="29" t="s">
        <v>7053</v>
      </c>
      <c r="R119" s="32" t="s">
        <v>7043</v>
      </c>
      <c r="S119" s="30">
        <v>46388.0</v>
      </c>
      <c r="T119" s="30">
        <v>46752.0</v>
      </c>
      <c r="U119" s="29" t="s">
        <v>7053</v>
      </c>
      <c r="V119" s="29" t="s">
        <v>7053</v>
      </c>
      <c r="W119" s="32" t="s">
        <v>7043</v>
      </c>
      <c r="X119" s="30">
        <v>46753.0</v>
      </c>
      <c r="Y119" s="30">
        <v>47118.0</v>
      </c>
      <c r="Z119" s="29" t="s">
        <v>7053</v>
      </c>
      <c r="AA119" s="29" t="s">
        <v>7053</v>
      </c>
      <c r="AB119" s="32" t="s">
        <v>7043</v>
      </c>
      <c r="AC119" s="30">
        <v>47119.0</v>
      </c>
      <c r="AD119" s="30">
        <v>47483.0</v>
      </c>
      <c r="AE119" s="29" t="s">
        <v>7053</v>
      </c>
      <c r="AF119" s="29" t="s">
        <v>7053</v>
      </c>
      <c r="AG119" s="32" t="s">
        <v>7043</v>
      </c>
      <c r="AH119" s="30">
        <v>47484.0</v>
      </c>
      <c r="AI119" s="30">
        <v>47848.0</v>
      </c>
      <c r="AJ119" s="29" t="s">
        <v>7053</v>
      </c>
      <c r="AK119" s="29" t="s">
        <v>7053</v>
      </c>
      <c r="AL119" s="32" t="s">
        <v>7043</v>
      </c>
    </row>
    <row r="120" ht="14.25" customHeight="1">
      <c r="A120" s="28" t="s">
        <v>2352</v>
      </c>
      <c r="B120" s="29" t="s">
        <v>2353</v>
      </c>
      <c r="C120" s="29" t="s">
        <v>7041</v>
      </c>
      <c r="D120" s="30">
        <v>45292.0</v>
      </c>
      <c r="E120" s="30">
        <v>45657.0</v>
      </c>
      <c r="F120" s="29" t="s">
        <v>7119</v>
      </c>
      <c r="G120" s="29" t="s">
        <v>7051</v>
      </c>
      <c r="H120" s="32" t="s">
        <v>7043</v>
      </c>
      <c r="I120" s="30">
        <v>45658.0</v>
      </c>
      <c r="J120" s="30">
        <v>46022.0</v>
      </c>
      <c r="K120" s="29" t="s">
        <v>7075</v>
      </c>
      <c r="L120" s="29" t="s">
        <v>7053</v>
      </c>
      <c r="M120" s="38" t="s">
        <v>7047</v>
      </c>
      <c r="N120" s="30">
        <v>46023.0</v>
      </c>
      <c r="O120" s="30">
        <v>46387.0</v>
      </c>
      <c r="P120" s="29" t="s">
        <v>7053</v>
      </c>
      <c r="Q120" s="29" t="s">
        <v>7053</v>
      </c>
      <c r="R120" s="32" t="s">
        <v>7043</v>
      </c>
      <c r="S120" s="30">
        <v>46388.0</v>
      </c>
      <c r="T120" s="30">
        <v>46752.0</v>
      </c>
      <c r="U120" s="29" t="s">
        <v>7053</v>
      </c>
      <c r="V120" s="29" t="s">
        <v>7053</v>
      </c>
      <c r="W120" s="32" t="s">
        <v>7043</v>
      </c>
      <c r="X120" s="30">
        <v>46753.0</v>
      </c>
      <c r="Y120" s="30">
        <v>47118.0</v>
      </c>
      <c r="Z120" s="29" t="s">
        <v>7053</v>
      </c>
      <c r="AA120" s="29" t="s">
        <v>7053</v>
      </c>
      <c r="AB120" s="32" t="s">
        <v>7043</v>
      </c>
      <c r="AC120" s="30">
        <v>47119.0</v>
      </c>
      <c r="AD120" s="30">
        <v>47483.0</v>
      </c>
      <c r="AE120" s="29" t="s">
        <v>7053</v>
      </c>
      <c r="AF120" s="29" t="s">
        <v>7053</v>
      </c>
      <c r="AG120" s="32" t="s">
        <v>7043</v>
      </c>
      <c r="AH120" s="30">
        <v>47484.0</v>
      </c>
      <c r="AI120" s="30">
        <v>47848.0</v>
      </c>
      <c r="AJ120" s="29" t="s">
        <v>7053</v>
      </c>
      <c r="AK120" s="29" t="s">
        <v>7053</v>
      </c>
      <c r="AL120" s="32" t="s">
        <v>7043</v>
      </c>
    </row>
    <row r="121" ht="14.25" customHeight="1">
      <c r="A121" s="28" t="s">
        <v>2380</v>
      </c>
      <c r="B121" s="29" t="s">
        <v>2381</v>
      </c>
      <c r="C121" s="29" t="s">
        <v>7041</v>
      </c>
      <c r="D121" s="30">
        <v>45292.0</v>
      </c>
      <c r="E121" s="30">
        <v>45657.0</v>
      </c>
      <c r="F121" s="29" t="s">
        <v>7097</v>
      </c>
      <c r="G121" s="29" t="s">
        <v>7051</v>
      </c>
      <c r="H121" s="32" t="s">
        <v>7043</v>
      </c>
      <c r="I121" s="30">
        <v>45658.0</v>
      </c>
      <c r="J121" s="30">
        <v>46022.0</v>
      </c>
      <c r="K121" s="29" t="s">
        <v>7097</v>
      </c>
      <c r="L121" s="29" t="s">
        <v>7053</v>
      </c>
      <c r="M121" s="38" t="s">
        <v>7047</v>
      </c>
      <c r="N121" s="30">
        <v>46023.0</v>
      </c>
      <c r="O121" s="30">
        <v>46387.0</v>
      </c>
      <c r="P121" s="29" t="s">
        <v>7053</v>
      </c>
      <c r="Q121" s="29" t="s">
        <v>7053</v>
      </c>
      <c r="R121" s="32" t="s">
        <v>7043</v>
      </c>
      <c r="S121" s="30">
        <v>46388.0</v>
      </c>
      <c r="T121" s="30">
        <v>46752.0</v>
      </c>
      <c r="U121" s="29" t="s">
        <v>7053</v>
      </c>
      <c r="V121" s="29" t="s">
        <v>7053</v>
      </c>
      <c r="W121" s="32" t="s">
        <v>7043</v>
      </c>
      <c r="X121" s="30">
        <v>46753.0</v>
      </c>
      <c r="Y121" s="30">
        <v>47118.0</v>
      </c>
      <c r="Z121" s="29" t="s">
        <v>7053</v>
      </c>
      <c r="AA121" s="29" t="s">
        <v>7053</v>
      </c>
      <c r="AB121" s="32" t="s">
        <v>7043</v>
      </c>
      <c r="AC121" s="30">
        <v>47119.0</v>
      </c>
      <c r="AD121" s="30">
        <v>47483.0</v>
      </c>
      <c r="AE121" s="29" t="s">
        <v>7053</v>
      </c>
      <c r="AF121" s="29" t="s">
        <v>7053</v>
      </c>
      <c r="AG121" s="32" t="s">
        <v>7043</v>
      </c>
      <c r="AH121" s="30">
        <v>47484.0</v>
      </c>
      <c r="AI121" s="30">
        <v>47848.0</v>
      </c>
      <c r="AJ121" s="29" t="s">
        <v>7053</v>
      </c>
      <c r="AK121" s="29" t="s">
        <v>7053</v>
      </c>
      <c r="AL121" s="32" t="s">
        <v>7043</v>
      </c>
    </row>
    <row r="122" ht="14.25" customHeight="1">
      <c r="A122" s="28" t="s">
        <v>2508</v>
      </c>
      <c r="B122" s="29" t="s">
        <v>2509</v>
      </c>
      <c r="C122" s="29" t="s">
        <v>7041</v>
      </c>
      <c r="D122" s="30">
        <v>45292.0</v>
      </c>
      <c r="E122" s="30">
        <v>45657.0</v>
      </c>
      <c r="F122" s="29" t="s">
        <v>7080</v>
      </c>
      <c r="G122" s="29" t="s">
        <v>7051</v>
      </c>
      <c r="H122" s="32" t="s">
        <v>7043</v>
      </c>
      <c r="I122" s="30">
        <v>45658.0</v>
      </c>
      <c r="J122" s="30">
        <v>46022.0</v>
      </c>
      <c r="K122" s="29" t="s">
        <v>7080</v>
      </c>
      <c r="L122" s="29" t="s">
        <v>7053</v>
      </c>
      <c r="M122" s="38" t="s">
        <v>7047</v>
      </c>
      <c r="N122" s="30">
        <v>46023.0</v>
      </c>
      <c r="O122" s="30">
        <v>46387.0</v>
      </c>
      <c r="P122" s="29" t="s">
        <v>7053</v>
      </c>
      <c r="Q122" s="29" t="s">
        <v>7053</v>
      </c>
      <c r="R122" s="32" t="s">
        <v>7043</v>
      </c>
      <c r="S122" s="30">
        <v>46388.0</v>
      </c>
      <c r="T122" s="30">
        <v>46752.0</v>
      </c>
      <c r="U122" s="29" t="s">
        <v>7053</v>
      </c>
      <c r="V122" s="29" t="s">
        <v>7053</v>
      </c>
      <c r="W122" s="32" t="s">
        <v>7043</v>
      </c>
      <c r="X122" s="30">
        <v>46753.0</v>
      </c>
      <c r="Y122" s="30">
        <v>47118.0</v>
      </c>
      <c r="Z122" s="29" t="s">
        <v>7053</v>
      </c>
      <c r="AA122" s="29" t="s">
        <v>7053</v>
      </c>
      <c r="AB122" s="32" t="s">
        <v>7043</v>
      </c>
      <c r="AC122" s="30">
        <v>47119.0</v>
      </c>
      <c r="AD122" s="30">
        <v>47483.0</v>
      </c>
      <c r="AE122" s="29" t="s">
        <v>7053</v>
      </c>
      <c r="AF122" s="29" t="s">
        <v>7053</v>
      </c>
      <c r="AG122" s="32" t="s">
        <v>7043</v>
      </c>
      <c r="AH122" s="30">
        <v>47484.0</v>
      </c>
      <c r="AI122" s="30">
        <v>47848.0</v>
      </c>
      <c r="AJ122" s="29" t="s">
        <v>7053</v>
      </c>
      <c r="AK122" s="29" t="s">
        <v>7053</v>
      </c>
      <c r="AL122" s="32" t="s">
        <v>7043</v>
      </c>
    </row>
    <row r="123" ht="14.25" customHeight="1">
      <c r="A123" s="28" t="s">
        <v>2523</v>
      </c>
      <c r="B123" s="29" t="s">
        <v>2524</v>
      </c>
      <c r="C123" s="29" t="s">
        <v>7041</v>
      </c>
      <c r="D123" s="30">
        <v>45292.0</v>
      </c>
      <c r="E123" s="30">
        <v>45657.0</v>
      </c>
      <c r="F123" s="29" t="s">
        <v>7064</v>
      </c>
      <c r="G123" s="29" t="s">
        <v>7055</v>
      </c>
      <c r="H123" s="32" t="s">
        <v>7043</v>
      </c>
      <c r="I123" s="30">
        <v>45658.0</v>
      </c>
      <c r="J123" s="30">
        <v>46022.0</v>
      </c>
      <c r="K123" s="29" t="s">
        <v>7064</v>
      </c>
      <c r="L123" s="29" t="s">
        <v>7053</v>
      </c>
      <c r="M123" s="38" t="s">
        <v>7047</v>
      </c>
      <c r="N123" s="30">
        <v>46023.0</v>
      </c>
      <c r="O123" s="30">
        <v>46387.0</v>
      </c>
      <c r="P123" s="29" t="s">
        <v>7053</v>
      </c>
      <c r="Q123" s="29" t="s">
        <v>7053</v>
      </c>
      <c r="R123" s="32" t="s">
        <v>7043</v>
      </c>
      <c r="S123" s="30">
        <v>46388.0</v>
      </c>
      <c r="T123" s="30">
        <v>46752.0</v>
      </c>
      <c r="U123" s="29" t="s">
        <v>7053</v>
      </c>
      <c r="V123" s="29" t="s">
        <v>7053</v>
      </c>
      <c r="W123" s="32" t="s">
        <v>7043</v>
      </c>
      <c r="X123" s="30">
        <v>46753.0</v>
      </c>
      <c r="Y123" s="30">
        <v>47118.0</v>
      </c>
      <c r="Z123" s="29" t="s">
        <v>7053</v>
      </c>
      <c r="AA123" s="29" t="s">
        <v>7053</v>
      </c>
      <c r="AB123" s="32" t="s">
        <v>7043</v>
      </c>
      <c r="AC123" s="30">
        <v>47119.0</v>
      </c>
      <c r="AD123" s="30">
        <v>47483.0</v>
      </c>
      <c r="AE123" s="29" t="s">
        <v>7053</v>
      </c>
      <c r="AF123" s="29" t="s">
        <v>7053</v>
      </c>
      <c r="AG123" s="32" t="s">
        <v>7043</v>
      </c>
      <c r="AH123" s="30">
        <v>47484.0</v>
      </c>
      <c r="AI123" s="30">
        <v>47848.0</v>
      </c>
      <c r="AJ123" s="29" t="s">
        <v>7053</v>
      </c>
      <c r="AK123" s="29" t="s">
        <v>7053</v>
      </c>
      <c r="AL123" s="32" t="s">
        <v>7043</v>
      </c>
    </row>
    <row r="124" ht="14.25" customHeight="1">
      <c r="A124" s="28" t="s">
        <v>6790</v>
      </c>
      <c r="B124" s="29" t="s">
        <v>6791</v>
      </c>
      <c r="C124" s="29" t="s">
        <v>7041</v>
      </c>
      <c r="D124" s="30">
        <v>45292.0</v>
      </c>
      <c r="E124" s="30">
        <v>45657.0</v>
      </c>
      <c r="F124" s="29" t="s">
        <v>7052</v>
      </c>
      <c r="G124" s="29" t="s">
        <v>7051</v>
      </c>
      <c r="H124" s="32" t="s">
        <v>7043</v>
      </c>
      <c r="I124" s="30">
        <v>45658.0</v>
      </c>
      <c r="J124" s="30">
        <v>46022.0</v>
      </c>
      <c r="K124" s="29" t="s">
        <v>7094</v>
      </c>
      <c r="L124" s="29" t="s">
        <v>7053</v>
      </c>
      <c r="M124" s="38" t="s">
        <v>7047</v>
      </c>
      <c r="N124" s="30">
        <v>46023.0</v>
      </c>
      <c r="O124" s="30">
        <v>46387.0</v>
      </c>
      <c r="P124" s="29" t="s">
        <v>7053</v>
      </c>
      <c r="Q124" s="29" t="s">
        <v>7053</v>
      </c>
      <c r="R124" s="32" t="s">
        <v>7043</v>
      </c>
      <c r="S124" s="30">
        <v>46388.0</v>
      </c>
      <c r="T124" s="30">
        <v>46752.0</v>
      </c>
      <c r="U124" s="29" t="s">
        <v>7053</v>
      </c>
      <c r="V124" s="29" t="s">
        <v>7053</v>
      </c>
      <c r="W124" s="32" t="s">
        <v>7043</v>
      </c>
      <c r="X124" s="30">
        <v>46753.0</v>
      </c>
      <c r="Y124" s="30">
        <v>47118.0</v>
      </c>
      <c r="Z124" s="29" t="s">
        <v>7053</v>
      </c>
      <c r="AA124" s="29" t="s">
        <v>7053</v>
      </c>
      <c r="AB124" s="32" t="s">
        <v>7043</v>
      </c>
      <c r="AC124" s="30">
        <v>47119.0</v>
      </c>
      <c r="AD124" s="30">
        <v>47483.0</v>
      </c>
      <c r="AE124" s="29" t="s">
        <v>7053</v>
      </c>
      <c r="AF124" s="29" t="s">
        <v>7053</v>
      </c>
      <c r="AG124" s="32" t="s">
        <v>7043</v>
      </c>
      <c r="AH124" s="30">
        <v>47484.0</v>
      </c>
      <c r="AI124" s="30">
        <v>47848.0</v>
      </c>
      <c r="AJ124" s="29" t="s">
        <v>7053</v>
      </c>
      <c r="AK124" s="29" t="s">
        <v>7053</v>
      </c>
      <c r="AL124" s="32" t="s">
        <v>7043</v>
      </c>
    </row>
    <row r="125" ht="14.25" customHeight="1">
      <c r="A125" s="28" t="s">
        <v>2526</v>
      </c>
      <c r="B125" s="29" t="s">
        <v>2527</v>
      </c>
      <c r="C125" s="29" t="s">
        <v>7041</v>
      </c>
      <c r="D125" s="30">
        <v>45292.0</v>
      </c>
      <c r="E125" s="30">
        <v>45657.0</v>
      </c>
      <c r="F125" s="29" t="s">
        <v>7094</v>
      </c>
      <c r="G125" s="29" t="s">
        <v>7051</v>
      </c>
      <c r="H125" s="32" t="s">
        <v>7043</v>
      </c>
      <c r="I125" s="30">
        <v>45658.0</v>
      </c>
      <c r="J125" s="30">
        <v>46022.0</v>
      </c>
      <c r="K125" s="29" t="s">
        <v>7117</v>
      </c>
      <c r="L125" s="29" t="s">
        <v>7053</v>
      </c>
      <c r="M125" s="38" t="s">
        <v>7047</v>
      </c>
      <c r="N125" s="30">
        <v>46023.0</v>
      </c>
      <c r="O125" s="30">
        <v>46387.0</v>
      </c>
      <c r="P125" s="29" t="s">
        <v>7053</v>
      </c>
      <c r="Q125" s="29" t="s">
        <v>7053</v>
      </c>
      <c r="R125" s="32" t="s">
        <v>7043</v>
      </c>
      <c r="S125" s="30">
        <v>46388.0</v>
      </c>
      <c r="T125" s="30">
        <v>46752.0</v>
      </c>
      <c r="U125" s="29" t="s">
        <v>7053</v>
      </c>
      <c r="V125" s="29" t="s">
        <v>7053</v>
      </c>
      <c r="W125" s="32" t="s">
        <v>7043</v>
      </c>
      <c r="X125" s="30">
        <v>46753.0</v>
      </c>
      <c r="Y125" s="30">
        <v>47118.0</v>
      </c>
      <c r="Z125" s="29" t="s">
        <v>7053</v>
      </c>
      <c r="AA125" s="29" t="s">
        <v>7053</v>
      </c>
      <c r="AB125" s="32" t="s">
        <v>7043</v>
      </c>
      <c r="AC125" s="30">
        <v>47119.0</v>
      </c>
      <c r="AD125" s="30">
        <v>47483.0</v>
      </c>
      <c r="AE125" s="29" t="s">
        <v>7053</v>
      </c>
      <c r="AF125" s="29" t="s">
        <v>7053</v>
      </c>
      <c r="AG125" s="32" t="s">
        <v>7043</v>
      </c>
      <c r="AH125" s="30">
        <v>47484.0</v>
      </c>
      <c r="AI125" s="30">
        <v>47848.0</v>
      </c>
      <c r="AJ125" s="29" t="s">
        <v>7053</v>
      </c>
      <c r="AK125" s="29" t="s">
        <v>7053</v>
      </c>
      <c r="AL125" s="32" t="s">
        <v>7043</v>
      </c>
    </row>
    <row r="126" ht="14.25" customHeight="1">
      <c r="A126" s="28" t="s">
        <v>2541</v>
      </c>
      <c r="B126" s="29" t="s">
        <v>2542</v>
      </c>
      <c r="C126" s="29" t="s">
        <v>7041</v>
      </c>
      <c r="D126" s="30">
        <v>45292.0</v>
      </c>
      <c r="E126" s="30">
        <v>45657.0</v>
      </c>
      <c r="F126" s="29" t="s">
        <v>7050</v>
      </c>
      <c r="G126" s="29" t="s">
        <v>7051</v>
      </c>
      <c r="H126" s="32" t="s">
        <v>7043</v>
      </c>
      <c r="I126" s="30">
        <v>45658.0</v>
      </c>
      <c r="J126" s="30">
        <v>46022.0</v>
      </c>
      <c r="K126" s="29" t="s">
        <v>7104</v>
      </c>
      <c r="L126" s="29" t="s">
        <v>7053</v>
      </c>
      <c r="M126" s="38" t="s">
        <v>7047</v>
      </c>
      <c r="N126" s="30">
        <v>46023.0</v>
      </c>
      <c r="O126" s="30">
        <v>46387.0</v>
      </c>
      <c r="P126" s="29" t="s">
        <v>7053</v>
      </c>
      <c r="Q126" s="29" t="s">
        <v>7053</v>
      </c>
      <c r="R126" s="32" t="s">
        <v>7043</v>
      </c>
      <c r="S126" s="30">
        <v>46388.0</v>
      </c>
      <c r="T126" s="30">
        <v>46752.0</v>
      </c>
      <c r="U126" s="29" t="s">
        <v>7053</v>
      </c>
      <c r="V126" s="29" t="s">
        <v>7053</v>
      </c>
      <c r="W126" s="32" t="s">
        <v>7043</v>
      </c>
      <c r="X126" s="30">
        <v>46753.0</v>
      </c>
      <c r="Y126" s="30">
        <v>47118.0</v>
      </c>
      <c r="Z126" s="29" t="s">
        <v>7053</v>
      </c>
      <c r="AA126" s="29" t="s">
        <v>7053</v>
      </c>
      <c r="AB126" s="32" t="s">
        <v>7043</v>
      </c>
      <c r="AC126" s="30">
        <v>47119.0</v>
      </c>
      <c r="AD126" s="30">
        <v>47483.0</v>
      </c>
      <c r="AE126" s="29" t="s">
        <v>7053</v>
      </c>
      <c r="AF126" s="29" t="s">
        <v>7053</v>
      </c>
      <c r="AG126" s="32" t="s">
        <v>7043</v>
      </c>
      <c r="AH126" s="30">
        <v>47484.0</v>
      </c>
      <c r="AI126" s="30">
        <v>47848.0</v>
      </c>
      <c r="AJ126" s="29" t="s">
        <v>7053</v>
      </c>
      <c r="AK126" s="29" t="s">
        <v>7053</v>
      </c>
      <c r="AL126" s="32" t="s">
        <v>7043</v>
      </c>
    </row>
    <row r="127" ht="14.25" customHeight="1">
      <c r="A127" s="28" t="s">
        <v>2553</v>
      </c>
      <c r="B127" s="29" t="s">
        <v>2554</v>
      </c>
      <c r="C127" s="29" t="s">
        <v>7041</v>
      </c>
      <c r="D127" s="30">
        <v>45292.0</v>
      </c>
      <c r="E127" s="30">
        <v>45657.0</v>
      </c>
      <c r="F127" s="29" t="s">
        <v>7085</v>
      </c>
      <c r="G127" s="29" t="s">
        <v>7051</v>
      </c>
      <c r="H127" s="37" t="s">
        <v>7046</v>
      </c>
      <c r="I127" s="30">
        <v>45658.0</v>
      </c>
      <c r="J127" s="30">
        <v>46022.0</v>
      </c>
      <c r="K127" s="29" t="s">
        <v>7099</v>
      </c>
      <c r="L127" s="29" t="s">
        <v>7053</v>
      </c>
      <c r="M127" s="38" t="s">
        <v>7047</v>
      </c>
      <c r="N127" s="30">
        <v>46023.0</v>
      </c>
      <c r="O127" s="30">
        <v>46387.0</v>
      </c>
      <c r="P127" s="29" t="s">
        <v>7053</v>
      </c>
      <c r="Q127" s="29" t="s">
        <v>7053</v>
      </c>
      <c r="R127" s="32" t="s">
        <v>7043</v>
      </c>
      <c r="S127" s="30">
        <v>46388.0</v>
      </c>
      <c r="T127" s="30">
        <v>46752.0</v>
      </c>
      <c r="U127" s="29" t="s">
        <v>7053</v>
      </c>
      <c r="V127" s="29" t="s">
        <v>7053</v>
      </c>
      <c r="W127" s="32" t="s">
        <v>7043</v>
      </c>
      <c r="X127" s="30">
        <v>46753.0</v>
      </c>
      <c r="Y127" s="30">
        <v>47118.0</v>
      </c>
      <c r="Z127" s="29" t="s">
        <v>7053</v>
      </c>
      <c r="AA127" s="29" t="s">
        <v>7053</v>
      </c>
      <c r="AB127" s="32" t="s">
        <v>7043</v>
      </c>
      <c r="AC127" s="30">
        <v>47119.0</v>
      </c>
      <c r="AD127" s="30">
        <v>47483.0</v>
      </c>
      <c r="AE127" s="29" t="s">
        <v>7053</v>
      </c>
      <c r="AF127" s="29" t="s">
        <v>7053</v>
      </c>
      <c r="AG127" s="32" t="s">
        <v>7043</v>
      </c>
      <c r="AH127" s="30">
        <v>47484.0</v>
      </c>
      <c r="AI127" s="30">
        <v>47848.0</v>
      </c>
      <c r="AJ127" s="29" t="s">
        <v>7053</v>
      </c>
      <c r="AK127" s="29" t="s">
        <v>7053</v>
      </c>
      <c r="AL127" s="32" t="s">
        <v>7043</v>
      </c>
    </row>
    <row r="128" ht="14.25" customHeight="1">
      <c r="A128" s="28" t="s">
        <v>165</v>
      </c>
      <c r="B128" s="29" t="s">
        <v>166</v>
      </c>
      <c r="C128" s="29" t="s">
        <v>7041</v>
      </c>
      <c r="D128" s="30">
        <v>45292.0</v>
      </c>
      <c r="E128" s="30">
        <v>45657.0</v>
      </c>
      <c r="F128" s="29" t="s">
        <v>7062</v>
      </c>
      <c r="G128" s="29" t="s">
        <v>7051</v>
      </c>
      <c r="H128" s="32" t="s">
        <v>7043</v>
      </c>
      <c r="I128" s="30">
        <v>45658.0</v>
      </c>
      <c r="J128" s="30">
        <v>46022.0</v>
      </c>
      <c r="K128" s="29" t="s">
        <v>7072</v>
      </c>
      <c r="L128" s="29" t="s">
        <v>7053</v>
      </c>
      <c r="M128" s="38" t="s">
        <v>7047</v>
      </c>
      <c r="N128" s="30">
        <v>46023.0</v>
      </c>
      <c r="O128" s="30">
        <v>46387.0</v>
      </c>
      <c r="P128" s="29" t="s">
        <v>7053</v>
      </c>
      <c r="Q128" s="29" t="s">
        <v>7053</v>
      </c>
      <c r="R128" s="32" t="s">
        <v>7043</v>
      </c>
      <c r="S128" s="30">
        <v>46388.0</v>
      </c>
      <c r="T128" s="30">
        <v>46752.0</v>
      </c>
      <c r="U128" s="29" t="s">
        <v>7053</v>
      </c>
      <c r="V128" s="29" t="s">
        <v>7053</v>
      </c>
      <c r="W128" s="32" t="s">
        <v>7043</v>
      </c>
      <c r="X128" s="30">
        <v>46753.0</v>
      </c>
      <c r="Y128" s="30">
        <v>47118.0</v>
      </c>
      <c r="Z128" s="29" t="s">
        <v>7053</v>
      </c>
      <c r="AA128" s="29" t="s">
        <v>7053</v>
      </c>
      <c r="AB128" s="32" t="s">
        <v>7043</v>
      </c>
      <c r="AC128" s="30">
        <v>47119.0</v>
      </c>
      <c r="AD128" s="30">
        <v>47483.0</v>
      </c>
      <c r="AE128" s="29" t="s">
        <v>7053</v>
      </c>
      <c r="AF128" s="29" t="s">
        <v>7053</v>
      </c>
      <c r="AG128" s="32" t="s">
        <v>7043</v>
      </c>
      <c r="AH128" s="30">
        <v>47484.0</v>
      </c>
      <c r="AI128" s="30">
        <v>47848.0</v>
      </c>
      <c r="AJ128" s="29" t="s">
        <v>7053</v>
      </c>
      <c r="AK128" s="29" t="s">
        <v>7053</v>
      </c>
      <c r="AL128" s="32" t="s">
        <v>7043</v>
      </c>
    </row>
    <row r="129" ht="14.25" customHeight="1">
      <c r="A129" s="28" t="s">
        <v>2563</v>
      </c>
      <c r="B129" s="29" t="s">
        <v>2564</v>
      </c>
      <c r="C129" s="29" t="s">
        <v>7041</v>
      </c>
      <c r="D129" s="30">
        <v>45292.0</v>
      </c>
      <c r="E129" s="30">
        <v>45657.0</v>
      </c>
      <c r="F129" s="29" t="s">
        <v>7053</v>
      </c>
      <c r="G129" s="29" t="s">
        <v>7055</v>
      </c>
      <c r="H129" s="32" t="s">
        <v>7043</v>
      </c>
      <c r="I129" s="30">
        <v>45658.0</v>
      </c>
      <c r="J129" s="30">
        <v>46022.0</v>
      </c>
      <c r="K129" s="29" t="s">
        <v>7053</v>
      </c>
      <c r="L129" s="29" t="s">
        <v>7053</v>
      </c>
      <c r="M129" s="32" t="s">
        <v>7043</v>
      </c>
      <c r="N129" s="30">
        <v>46023.0</v>
      </c>
      <c r="O129" s="30">
        <v>46387.0</v>
      </c>
      <c r="P129" s="29" t="s">
        <v>7053</v>
      </c>
      <c r="Q129" s="29" t="s">
        <v>7053</v>
      </c>
      <c r="R129" s="32" t="s">
        <v>7043</v>
      </c>
      <c r="S129" s="30">
        <v>46388.0</v>
      </c>
      <c r="T129" s="30">
        <v>46752.0</v>
      </c>
      <c r="U129" s="29" t="s">
        <v>7053</v>
      </c>
      <c r="V129" s="29" t="s">
        <v>7053</v>
      </c>
      <c r="W129" s="32" t="s">
        <v>7043</v>
      </c>
      <c r="X129" s="30">
        <v>46753.0</v>
      </c>
      <c r="Y129" s="30">
        <v>47118.0</v>
      </c>
      <c r="Z129" s="29" t="s">
        <v>7053</v>
      </c>
      <c r="AA129" s="29" t="s">
        <v>7053</v>
      </c>
      <c r="AB129" s="32" t="s">
        <v>7043</v>
      </c>
      <c r="AC129" s="30">
        <v>47119.0</v>
      </c>
      <c r="AD129" s="30">
        <v>47483.0</v>
      </c>
      <c r="AE129" s="29" t="s">
        <v>7053</v>
      </c>
      <c r="AF129" s="29" t="s">
        <v>7053</v>
      </c>
      <c r="AG129" s="32" t="s">
        <v>7043</v>
      </c>
      <c r="AH129" s="30">
        <v>47484.0</v>
      </c>
      <c r="AI129" s="30">
        <v>47848.0</v>
      </c>
      <c r="AJ129" s="29" t="s">
        <v>7053</v>
      </c>
      <c r="AK129" s="29" t="s">
        <v>7053</v>
      </c>
      <c r="AL129" s="32" t="s">
        <v>7043</v>
      </c>
    </row>
    <row r="130" ht="14.25" customHeight="1">
      <c r="A130" s="28" t="s">
        <v>2574</v>
      </c>
      <c r="B130" s="29" t="s">
        <v>2575</v>
      </c>
      <c r="C130" s="29" t="s">
        <v>7041</v>
      </c>
      <c r="D130" s="30">
        <v>45292.0</v>
      </c>
      <c r="E130" s="30">
        <v>45657.0</v>
      </c>
      <c r="F130" s="29" t="s">
        <v>7078</v>
      </c>
      <c r="G130" s="29" t="s">
        <v>7051</v>
      </c>
      <c r="H130" s="37" t="s">
        <v>7046</v>
      </c>
      <c r="I130" s="30">
        <v>45658.0</v>
      </c>
      <c r="J130" s="30">
        <v>46022.0</v>
      </c>
      <c r="K130" s="29" t="s">
        <v>7084</v>
      </c>
      <c r="L130" s="29" t="s">
        <v>7053</v>
      </c>
      <c r="M130" s="38" t="s">
        <v>7047</v>
      </c>
      <c r="N130" s="30">
        <v>46023.0</v>
      </c>
      <c r="O130" s="30">
        <v>46387.0</v>
      </c>
      <c r="P130" s="29" t="s">
        <v>7053</v>
      </c>
      <c r="Q130" s="29" t="s">
        <v>7053</v>
      </c>
      <c r="R130" s="32" t="s">
        <v>7043</v>
      </c>
      <c r="S130" s="30">
        <v>46388.0</v>
      </c>
      <c r="T130" s="30">
        <v>46752.0</v>
      </c>
      <c r="U130" s="29" t="s">
        <v>7053</v>
      </c>
      <c r="V130" s="29" t="s">
        <v>7053</v>
      </c>
      <c r="W130" s="32" t="s">
        <v>7043</v>
      </c>
      <c r="X130" s="30">
        <v>46753.0</v>
      </c>
      <c r="Y130" s="30">
        <v>47118.0</v>
      </c>
      <c r="Z130" s="29" t="s">
        <v>7053</v>
      </c>
      <c r="AA130" s="29" t="s">
        <v>7053</v>
      </c>
      <c r="AB130" s="32" t="s">
        <v>7043</v>
      </c>
      <c r="AC130" s="30">
        <v>47119.0</v>
      </c>
      <c r="AD130" s="30">
        <v>47483.0</v>
      </c>
      <c r="AE130" s="29" t="s">
        <v>7053</v>
      </c>
      <c r="AF130" s="29" t="s">
        <v>7053</v>
      </c>
      <c r="AG130" s="32" t="s">
        <v>7043</v>
      </c>
      <c r="AH130" s="30">
        <v>47484.0</v>
      </c>
      <c r="AI130" s="30">
        <v>47848.0</v>
      </c>
      <c r="AJ130" s="29" t="s">
        <v>7053</v>
      </c>
      <c r="AK130" s="29" t="s">
        <v>7053</v>
      </c>
      <c r="AL130" s="32" t="s">
        <v>7043</v>
      </c>
    </row>
    <row r="131" ht="14.25" customHeight="1">
      <c r="A131" s="28" t="s">
        <v>2589</v>
      </c>
      <c r="B131" s="29" t="s">
        <v>2590</v>
      </c>
      <c r="C131" s="29" t="s">
        <v>7041</v>
      </c>
      <c r="D131" s="30">
        <v>45292.0</v>
      </c>
      <c r="E131" s="30">
        <v>45657.0</v>
      </c>
      <c r="F131" s="29" t="s">
        <v>7101</v>
      </c>
      <c r="G131" s="29" t="s">
        <v>7051</v>
      </c>
      <c r="H131" s="32" t="s">
        <v>7043</v>
      </c>
      <c r="I131" s="30">
        <v>45658.0</v>
      </c>
      <c r="J131" s="30">
        <v>46022.0</v>
      </c>
      <c r="K131" s="29" t="s">
        <v>7089</v>
      </c>
      <c r="L131" s="29" t="s">
        <v>7053</v>
      </c>
      <c r="M131" s="38" t="s">
        <v>7047</v>
      </c>
      <c r="N131" s="30">
        <v>46023.0</v>
      </c>
      <c r="O131" s="30">
        <v>46387.0</v>
      </c>
      <c r="P131" s="29" t="s">
        <v>7053</v>
      </c>
      <c r="Q131" s="29" t="s">
        <v>7053</v>
      </c>
      <c r="R131" s="32" t="s">
        <v>7043</v>
      </c>
      <c r="S131" s="30">
        <v>46388.0</v>
      </c>
      <c r="T131" s="30">
        <v>46752.0</v>
      </c>
      <c r="U131" s="29" t="s">
        <v>7053</v>
      </c>
      <c r="V131" s="29" t="s">
        <v>7053</v>
      </c>
      <c r="W131" s="32" t="s">
        <v>7043</v>
      </c>
      <c r="X131" s="30">
        <v>46753.0</v>
      </c>
      <c r="Y131" s="30">
        <v>47118.0</v>
      </c>
      <c r="Z131" s="29" t="s">
        <v>7053</v>
      </c>
      <c r="AA131" s="29" t="s">
        <v>7053</v>
      </c>
      <c r="AB131" s="32" t="s">
        <v>7043</v>
      </c>
      <c r="AC131" s="30">
        <v>47119.0</v>
      </c>
      <c r="AD131" s="30">
        <v>47483.0</v>
      </c>
      <c r="AE131" s="29" t="s">
        <v>7053</v>
      </c>
      <c r="AF131" s="29" t="s">
        <v>7053</v>
      </c>
      <c r="AG131" s="32" t="s">
        <v>7043</v>
      </c>
      <c r="AH131" s="30">
        <v>47484.0</v>
      </c>
      <c r="AI131" s="30">
        <v>47848.0</v>
      </c>
      <c r="AJ131" s="29" t="s">
        <v>7053</v>
      </c>
      <c r="AK131" s="29" t="s">
        <v>7053</v>
      </c>
      <c r="AL131" s="32" t="s">
        <v>7043</v>
      </c>
    </row>
    <row r="132" ht="14.25" customHeight="1">
      <c r="A132" s="28" t="s">
        <v>2592</v>
      </c>
      <c r="B132" s="29" t="s">
        <v>2593</v>
      </c>
      <c r="C132" s="29" t="s">
        <v>7041</v>
      </c>
      <c r="D132" s="30">
        <v>45292.0</v>
      </c>
      <c r="E132" s="30">
        <v>45657.0</v>
      </c>
      <c r="F132" s="29" t="s">
        <v>7120</v>
      </c>
      <c r="G132" s="29" t="s">
        <v>7051</v>
      </c>
      <c r="H132" s="37" t="s">
        <v>7046</v>
      </c>
      <c r="I132" s="30">
        <v>45658.0</v>
      </c>
      <c r="J132" s="30">
        <v>46022.0</v>
      </c>
      <c r="K132" s="29" t="s">
        <v>7066</v>
      </c>
      <c r="L132" s="29" t="s">
        <v>7053</v>
      </c>
      <c r="M132" s="38" t="s">
        <v>7047</v>
      </c>
      <c r="N132" s="30">
        <v>46023.0</v>
      </c>
      <c r="O132" s="30">
        <v>46387.0</v>
      </c>
      <c r="P132" s="29" t="s">
        <v>7053</v>
      </c>
      <c r="Q132" s="29" t="s">
        <v>7053</v>
      </c>
      <c r="R132" s="32" t="s">
        <v>7043</v>
      </c>
      <c r="S132" s="30">
        <v>46388.0</v>
      </c>
      <c r="T132" s="30">
        <v>46752.0</v>
      </c>
      <c r="U132" s="29" t="s">
        <v>7053</v>
      </c>
      <c r="V132" s="29" t="s">
        <v>7053</v>
      </c>
      <c r="W132" s="32" t="s">
        <v>7043</v>
      </c>
      <c r="X132" s="30">
        <v>46753.0</v>
      </c>
      <c r="Y132" s="30">
        <v>47118.0</v>
      </c>
      <c r="Z132" s="29" t="s">
        <v>7053</v>
      </c>
      <c r="AA132" s="29" t="s">
        <v>7053</v>
      </c>
      <c r="AB132" s="32" t="s">
        <v>7043</v>
      </c>
      <c r="AC132" s="30">
        <v>47119.0</v>
      </c>
      <c r="AD132" s="30">
        <v>47483.0</v>
      </c>
      <c r="AE132" s="29" t="s">
        <v>7053</v>
      </c>
      <c r="AF132" s="29" t="s">
        <v>7053</v>
      </c>
      <c r="AG132" s="32" t="s">
        <v>7043</v>
      </c>
      <c r="AH132" s="30">
        <v>47484.0</v>
      </c>
      <c r="AI132" s="30">
        <v>47848.0</v>
      </c>
      <c r="AJ132" s="29" t="s">
        <v>7053</v>
      </c>
      <c r="AK132" s="29" t="s">
        <v>7053</v>
      </c>
      <c r="AL132" s="32" t="s">
        <v>7043</v>
      </c>
    </row>
    <row r="133" ht="14.25" customHeight="1">
      <c r="A133" s="28" t="s">
        <v>2595</v>
      </c>
      <c r="B133" s="29" t="s">
        <v>2596</v>
      </c>
      <c r="C133" s="29" t="s">
        <v>7041</v>
      </c>
      <c r="D133" s="30">
        <v>45292.0</v>
      </c>
      <c r="E133" s="30">
        <v>45657.0</v>
      </c>
      <c r="F133" s="29" t="s">
        <v>7117</v>
      </c>
      <c r="G133" s="29" t="s">
        <v>7051</v>
      </c>
      <c r="H133" s="32" t="s">
        <v>7043</v>
      </c>
      <c r="I133" s="30">
        <v>45658.0</v>
      </c>
      <c r="J133" s="30">
        <v>46022.0</v>
      </c>
      <c r="K133" s="29" t="s">
        <v>7069</v>
      </c>
      <c r="L133" s="29" t="s">
        <v>7053</v>
      </c>
      <c r="M133" s="38" t="s">
        <v>7047</v>
      </c>
      <c r="N133" s="30">
        <v>46023.0</v>
      </c>
      <c r="O133" s="30">
        <v>46387.0</v>
      </c>
      <c r="P133" s="29" t="s">
        <v>7053</v>
      </c>
      <c r="Q133" s="29" t="s">
        <v>7053</v>
      </c>
      <c r="R133" s="32" t="s">
        <v>7043</v>
      </c>
      <c r="S133" s="30">
        <v>46388.0</v>
      </c>
      <c r="T133" s="30">
        <v>46752.0</v>
      </c>
      <c r="U133" s="29" t="s">
        <v>7053</v>
      </c>
      <c r="V133" s="29" t="s">
        <v>7053</v>
      </c>
      <c r="W133" s="32" t="s">
        <v>7043</v>
      </c>
      <c r="X133" s="30">
        <v>46753.0</v>
      </c>
      <c r="Y133" s="30">
        <v>47118.0</v>
      </c>
      <c r="Z133" s="29" t="s">
        <v>7053</v>
      </c>
      <c r="AA133" s="29" t="s">
        <v>7053</v>
      </c>
      <c r="AB133" s="32" t="s">
        <v>7043</v>
      </c>
      <c r="AC133" s="30">
        <v>47119.0</v>
      </c>
      <c r="AD133" s="30">
        <v>47483.0</v>
      </c>
      <c r="AE133" s="29" t="s">
        <v>7053</v>
      </c>
      <c r="AF133" s="29" t="s">
        <v>7053</v>
      </c>
      <c r="AG133" s="32" t="s">
        <v>7043</v>
      </c>
      <c r="AH133" s="30">
        <v>47484.0</v>
      </c>
      <c r="AI133" s="30">
        <v>47848.0</v>
      </c>
      <c r="AJ133" s="29" t="s">
        <v>7053</v>
      </c>
      <c r="AK133" s="29" t="s">
        <v>7053</v>
      </c>
      <c r="AL133" s="32" t="s">
        <v>7043</v>
      </c>
    </row>
    <row r="134" ht="14.25" customHeight="1">
      <c r="A134" s="28" t="s">
        <v>2608</v>
      </c>
      <c r="B134" s="29" t="s">
        <v>2609</v>
      </c>
      <c r="C134" s="29" t="s">
        <v>7041</v>
      </c>
      <c r="D134" s="30">
        <v>45292.0</v>
      </c>
      <c r="E134" s="30">
        <v>45657.0</v>
      </c>
      <c r="F134" s="29" t="s">
        <v>7129</v>
      </c>
      <c r="G134" s="29" t="s">
        <v>7051</v>
      </c>
      <c r="H134" s="38" t="s">
        <v>7047</v>
      </c>
      <c r="I134" s="30">
        <v>45658.0</v>
      </c>
      <c r="J134" s="30">
        <v>46022.0</v>
      </c>
      <c r="K134" s="29" t="s">
        <v>7130</v>
      </c>
      <c r="L134" s="29" t="s">
        <v>7053</v>
      </c>
      <c r="M134" s="38" t="s">
        <v>7047</v>
      </c>
      <c r="N134" s="30">
        <v>46023.0</v>
      </c>
      <c r="O134" s="30">
        <v>46387.0</v>
      </c>
      <c r="P134" s="29" t="s">
        <v>7053</v>
      </c>
      <c r="Q134" s="29" t="s">
        <v>7053</v>
      </c>
      <c r="R134" s="32" t="s">
        <v>7043</v>
      </c>
      <c r="S134" s="30">
        <v>46388.0</v>
      </c>
      <c r="T134" s="30">
        <v>46752.0</v>
      </c>
      <c r="U134" s="29" t="s">
        <v>7053</v>
      </c>
      <c r="V134" s="29" t="s">
        <v>7053</v>
      </c>
      <c r="W134" s="32" t="s">
        <v>7043</v>
      </c>
      <c r="X134" s="30">
        <v>46753.0</v>
      </c>
      <c r="Y134" s="30">
        <v>47118.0</v>
      </c>
      <c r="Z134" s="29" t="s">
        <v>7053</v>
      </c>
      <c r="AA134" s="29" t="s">
        <v>7053</v>
      </c>
      <c r="AB134" s="32" t="s">
        <v>7043</v>
      </c>
      <c r="AC134" s="30">
        <v>47119.0</v>
      </c>
      <c r="AD134" s="30">
        <v>47483.0</v>
      </c>
      <c r="AE134" s="29" t="s">
        <v>7053</v>
      </c>
      <c r="AF134" s="29" t="s">
        <v>7053</v>
      </c>
      <c r="AG134" s="32" t="s">
        <v>7043</v>
      </c>
      <c r="AH134" s="30">
        <v>47484.0</v>
      </c>
      <c r="AI134" s="30">
        <v>47848.0</v>
      </c>
      <c r="AJ134" s="29" t="s">
        <v>7053</v>
      </c>
      <c r="AK134" s="29" t="s">
        <v>7053</v>
      </c>
      <c r="AL134" s="32" t="s">
        <v>7043</v>
      </c>
    </row>
    <row r="135" ht="14.25" customHeight="1">
      <c r="A135" s="28" t="s">
        <v>2620</v>
      </c>
      <c r="B135" s="29" t="s">
        <v>2621</v>
      </c>
      <c r="C135" s="29" t="s">
        <v>7041</v>
      </c>
      <c r="D135" s="30">
        <v>45292.0</v>
      </c>
      <c r="E135" s="30">
        <v>45657.0</v>
      </c>
      <c r="F135" s="29" t="s">
        <v>7131</v>
      </c>
      <c r="G135" s="29" t="s">
        <v>7051</v>
      </c>
      <c r="H135" s="32" t="s">
        <v>7043</v>
      </c>
      <c r="I135" s="30">
        <v>45658.0</v>
      </c>
      <c r="J135" s="30">
        <v>46022.0</v>
      </c>
      <c r="K135" s="29" t="s">
        <v>7052</v>
      </c>
      <c r="L135" s="29" t="s">
        <v>7053</v>
      </c>
      <c r="M135" s="38" t="s">
        <v>7047</v>
      </c>
      <c r="N135" s="30">
        <v>46023.0</v>
      </c>
      <c r="O135" s="30">
        <v>46387.0</v>
      </c>
      <c r="P135" s="29" t="s">
        <v>7053</v>
      </c>
      <c r="Q135" s="29" t="s">
        <v>7053</v>
      </c>
      <c r="R135" s="32" t="s">
        <v>7043</v>
      </c>
      <c r="S135" s="30">
        <v>46388.0</v>
      </c>
      <c r="T135" s="30">
        <v>46752.0</v>
      </c>
      <c r="U135" s="29" t="s">
        <v>7053</v>
      </c>
      <c r="V135" s="29" t="s">
        <v>7053</v>
      </c>
      <c r="W135" s="32" t="s">
        <v>7043</v>
      </c>
      <c r="X135" s="30">
        <v>46753.0</v>
      </c>
      <c r="Y135" s="30">
        <v>47118.0</v>
      </c>
      <c r="Z135" s="29" t="s">
        <v>7053</v>
      </c>
      <c r="AA135" s="29" t="s">
        <v>7053</v>
      </c>
      <c r="AB135" s="32" t="s">
        <v>7043</v>
      </c>
      <c r="AC135" s="30">
        <v>47119.0</v>
      </c>
      <c r="AD135" s="30">
        <v>47483.0</v>
      </c>
      <c r="AE135" s="29" t="s">
        <v>7053</v>
      </c>
      <c r="AF135" s="29" t="s">
        <v>7053</v>
      </c>
      <c r="AG135" s="32" t="s">
        <v>7043</v>
      </c>
      <c r="AH135" s="30">
        <v>47484.0</v>
      </c>
      <c r="AI135" s="30">
        <v>47848.0</v>
      </c>
      <c r="AJ135" s="29" t="s">
        <v>7053</v>
      </c>
      <c r="AK135" s="29" t="s">
        <v>7053</v>
      </c>
      <c r="AL135" s="32" t="s">
        <v>7043</v>
      </c>
    </row>
    <row r="136" ht="14.25" customHeight="1">
      <c r="A136" s="28" t="s">
        <v>2623</v>
      </c>
      <c r="B136" s="29" t="s">
        <v>2624</v>
      </c>
      <c r="C136" s="29" t="s">
        <v>7041</v>
      </c>
      <c r="D136" s="30">
        <v>45292.0</v>
      </c>
      <c r="E136" s="30">
        <v>45657.0</v>
      </c>
      <c r="F136" s="29" t="s">
        <v>7132</v>
      </c>
      <c r="G136" s="29" t="s">
        <v>7051</v>
      </c>
      <c r="H136" s="38" t="s">
        <v>7047</v>
      </c>
      <c r="I136" s="30">
        <v>45658.0</v>
      </c>
      <c r="J136" s="30">
        <v>46022.0</v>
      </c>
      <c r="K136" s="29" t="s">
        <v>7133</v>
      </c>
      <c r="L136" s="29" t="s">
        <v>7053</v>
      </c>
      <c r="M136" s="38" t="s">
        <v>7047</v>
      </c>
      <c r="N136" s="30">
        <v>46023.0</v>
      </c>
      <c r="O136" s="30">
        <v>46387.0</v>
      </c>
      <c r="P136" s="29" t="s">
        <v>7053</v>
      </c>
      <c r="Q136" s="29" t="s">
        <v>7053</v>
      </c>
      <c r="R136" s="32" t="s">
        <v>7043</v>
      </c>
      <c r="S136" s="30">
        <v>46388.0</v>
      </c>
      <c r="T136" s="30">
        <v>46752.0</v>
      </c>
      <c r="U136" s="29" t="s">
        <v>7053</v>
      </c>
      <c r="V136" s="29" t="s">
        <v>7053</v>
      </c>
      <c r="W136" s="32" t="s">
        <v>7043</v>
      </c>
      <c r="X136" s="30">
        <v>46753.0</v>
      </c>
      <c r="Y136" s="30">
        <v>47118.0</v>
      </c>
      <c r="Z136" s="29" t="s">
        <v>7053</v>
      </c>
      <c r="AA136" s="29" t="s">
        <v>7053</v>
      </c>
      <c r="AB136" s="32" t="s">
        <v>7043</v>
      </c>
      <c r="AC136" s="30">
        <v>47119.0</v>
      </c>
      <c r="AD136" s="30">
        <v>47483.0</v>
      </c>
      <c r="AE136" s="29" t="s">
        <v>7053</v>
      </c>
      <c r="AF136" s="29" t="s">
        <v>7053</v>
      </c>
      <c r="AG136" s="32" t="s">
        <v>7043</v>
      </c>
      <c r="AH136" s="30">
        <v>47484.0</v>
      </c>
      <c r="AI136" s="30">
        <v>47848.0</v>
      </c>
      <c r="AJ136" s="29" t="s">
        <v>7053</v>
      </c>
      <c r="AK136" s="29" t="s">
        <v>7053</v>
      </c>
      <c r="AL136" s="32" t="s">
        <v>7043</v>
      </c>
    </row>
    <row r="137" ht="14.25" customHeight="1">
      <c r="A137" s="28" t="s">
        <v>2633</v>
      </c>
      <c r="B137" s="29" t="s">
        <v>2634</v>
      </c>
      <c r="C137" s="29" t="s">
        <v>7041</v>
      </c>
      <c r="D137" s="30">
        <v>45292.0</v>
      </c>
      <c r="E137" s="30">
        <v>45657.0</v>
      </c>
      <c r="F137" s="29" t="s">
        <v>7095</v>
      </c>
      <c r="G137" s="29" t="s">
        <v>7051</v>
      </c>
      <c r="H137" s="32" t="s">
        <v>7043</v>
      </c>
      <c r="I137" s="30">
        <v>45658.0</v>
      </c>
      <c r="J137" s="30">
        <v>46022.0</v>
      </c>
      <c r="K137" s="29" t="s">
        <v>7089</v>
      </c>
      <c r="L137" s="29" t="s">
        <v>7053</v>
      </c>
      <c r="M137" s="38" t="s">
        <v>7047</v>
      </c>
      <c r="N137" s="30">
        <v>46023.0</v>
      </c>
      <c r="O137" s="30">
        <v>46387.0</v>
      </c>
      <c r="P137" s="29" t="s">
        <v>7053</v>
      </c>
      <c r="Q137" s="29" t="s">
        <v>7053</v>
      </c>
      <c r="R137" s="32" t="s">
        <v>7043</v>
      </c>
      <c r="S137" s="30">
        <v>46388.0</v>
      </c>
      <c r="T137" s="30">
        <v>46752.0</v>
      </c>
      <c r="U137" s="29" t="s">
        <v>7053</v>
      </c>
      <c r="V137" s="29" t="s">
        <v>7053</v>
      </c>
      <c r="W137" s="32" t="s">
        <v>7043</v>
      </c>
      <c r="X137" s="30">
        <v>46753.0</v>
      </c>
      <c r="Y137" s="30">
        <v>47118.0</v>
      </c>
      <c r="Z137" s="29" t="s">
        <v>7053</v>
      </c>
      <c r="AA137" s="29" t="s">
        <v>7053</v>
      </c>
      <c r="AB137" s="32" t="s">
        <v>7043</v>
      </c>
      <c r="AC137" s="30">
        <v>47119.0</v>
      </c>
      <c r="AD137" s="30">
        <v>47483.0</v>
      </c>
      <c r="AE137" s="29" t="s">
        <v>7053</v>
      </c>
      <c r="AF137" s="29" t="s">
        <v>7053</v>
      </c>
      <c r="AG137" s="32" t="s">
        <v>7043</v>
      </c>
      <c r="AH137" s="30">
        <v>47484.0</v>
      </c>
      <c r="AI137" s="30">
        <v>47848.0</v>
      </c>
      <c r="AJ137" s="29" t="s">
        <v>7053</v>
      </c>
      <c r="AK137" s="29" t="s">
        <v>7053</v>
      </c>
      <c r="AL137" s="32" t="s">
        <v>7043</v>
      </c>
    </row>
    <row r="138" ht="14.25" customHeight="1">
      <c r="A138" s="28" t="s">
        <v>2647</v>
      </c>
      <c r="B138" s="29" t="s">
        <v>2648</v>
      </c>
      <c r="C138" s="29" t="s">
        <v>7041</v>
      </c>
      <c r="D138" s="30">
        <v>45292.0</v>
      </c>
      <c r="E138" s="30">
        <v>45657.0</v>
      </c>
      <c r="F138" s="29" t="s">
        <v>7134</v>
      </c>
      <c r="G138" s="29" t="s">
        <v>7051</v>
      </c>
      <c r="H138" s="38" t="s">
        <v>7047</v>
      </c>
      <c r="I138" s="30">
        <v>45658.0</v>
      </c>
      <c r="J138" s="30">
        <v>46022.0</v>
      </c>
      <c r="K138" s="29" t="s">
        <v>7135</v>
      </c>
      <c r="L138" s="29" t="s">
        <v>7070</v>
      </c>
      <c r="M138" s="38" t="s">
        <v>7047</v>
      </c>
      <c r="N138" s="30">
        <v>46023.0</v>
      </c>
      <c r="O138" s="30">
        <v>46387.0</v>
      </c>
      <c r="P138" s="29" t="s">
        <v>7053</v>
      </c>
      <c r="Q138" s="29" t="s">
        <v>7053</v>
      </c>
      <c r="R138" s="32" t="s">
        <v>7043</v>
      </c>
      <c r="S138" s="30">
        <v>46388.0</v>
      </c>
      <c r="T138" s="30">
        <v>46752.0</v>
      </c>
      <c r="U138" s="29" t="s">
        <v>7053</v>
      </c>
      <c r="V138" s="29" t="s">
        <v>7053</v>
      </c>
      <c r="W138" s="32" t="s">
        <v>7043</v>
      </c>
      <c r="X138" s="30">
        <v>46753.0</v>
      </c>
      <c r="Y138" s="30">
        <v>47118.0</v>
      </c>
      <c r="Z138" s="29" t="s">
        <v>7053</v>
      </c>
      <c r="AA138" s="29" t="s">
        <v>7053</v>
      </c>
      <c r="AB138" s="32" t="s">
        <v>7043</v>
      </c>
      <c r="AC138" s="30">
        <v>47119.0</v>
      </c>
      <c r="AD138" s="30">
        <v>47483.0</v>
      </c>
      <c r="AE138" s="29" t="s">
        <v>7053</v>
      </c>
      <c r="AF138" s="29" t="s">
        <v>7053</v>
      </c>
      <c r="AG138" s="32" t="s">
        <v>7043</v>
      </c>
      <c r="AH138" s="30">
        <v>47484.0</v>
      </c>
      <c r="AI138" s="30">
        <v>47848.0</v>
      </c>
      <c r="AJ138" s="29" t="s">
        <v>7053</v>
      </c>
      <c r="AK138" s="29" t="s">
        <v>7053</v>
      </c>
      <c r="AL138" s="32" t="s">
        <v>7043</v>
      </c>
    </row>
    <row r="139" ht="14.25" customHeight="1">
      <c r="A139" s="28" t="s">
        <v>2662</v>
      </c>
      <c r="B139" s="29" t="s">
        <v>2663</v>
      </c>
      <c r="C139" s="29" t="s">
        <v>7041</v>
      </c>
      <c r="D139" s="30">
        <v>45292.0</v>
      </c>
      <c r="E139" s="30">
        <v>45657.0</v>
      </c>
      <c r="F139" s="29" t="s">
        <v>7101</v>
      </c>
      <c r="G139" s="29" t="s">
        <v>7051</v>
      </c>
      <c r="H139" s="32" t="s">
        <v>7043</v>
      </c>
      <c r="I139" s="30">
        <v>45658.0</v>
      </c>
      <c r="J139" s="30">
        <v>46022.0</v>
      </c>
      <c r="K139" s="29" t="s">
        <v>7096</v>
      </c>
      <c r="L139" s="29" t="s">
        <v>7053</v>
      </c>
      <c r="M139" s="38" t="s">
        <v>7047</v>
      </c>
      <c r="N139" s="30">
        <v>46023.0</v>
      </c>
      <c r="O139" s="30">
        <v>46387.0</v>
      </c>
      <c r="P139" s="29" t="s">
        <v>7053</v>
      </c>
      <c r="Q139" s="29" t="s">
        <v>7053</v>
      </c>
      <c r="R139" s="32" t="s">
        <v>7043</v>
      </c>
      <c r="S139" s="30">
        <v>46388.0</v>
      </c>
      <c r="T139" s="30">
        <v>46752.0</v>
      </c>
      <c r="U139" s="29" t="s">
        <v>7053</v>
      </c>
      <c r="V139" s="29" t="s">
        <v>7053</v>
      </c>
      <c r="W139" s="32" t="s">
        <v>7043</v>
      </c>
      <c r="X139" s="30">
        <v>46753.0</v>
      </c>
      <c r="Y139" s="30">
        <v>47118.0</v>
      </c>
      <c r="Z139" s="29" t="s">
        <v>7053</v>
      </c>
      <c r="AA139" s="29" t="s">
        <v>7053</v>
      </c>
      <c r="AB139" s="32" t="s">
        <v>7043</v>
      </c>
      <c r="AC139" s="30">
        <v>47119.0</v>
      </c>
      <c r="AD139" s="30">
        <v>47483.0</v>
      </c>
      <c r="AE139" s="29" t="s">
        <v>7053</v>
      </c>
      <c r="AF139" s="29" t="s">
        <v>7053</v>
      </c>
      <c r="AG139" s="32" t="s">
        <v>7043</v>
      </c>
      <c r="AH139" s="30">
        <v>47484.0</v>
      </c>
      <c r="AI139" s="30">
        <v>47848.0</v>
      </c>
      <c r="AJ139" s="29" t="s">
        <v>7053</v>
      </c>
      <c r="AK139" s="29" t="s">
        <v>7053</v>
      </c>
      <c r="AL139" s="32" t="s">
        <v>7043</v>
      </c>
    </row>
    <row r="140" ht="14.25" customHeight="1">
      <c r="A140" s="28" t="s">
        <v>2678</v>
      </c>
      <c r="B140" s="29" t="s">
        <v>2679</v>
      </c>
      <c r="C140" s="29" t="s">
        <v>7041</v>
      </c>
      <c r="D140" s="30">
        <v>45292.0</v>
      </c>
      <c r="E140" s="30">
        <v>45657.0</v>
      </c>
      <c r="F140" s="29" t="s">
        <v>7050</v>
      </c>
      <c r="G140" s="29" t="s">
        <v>7051</v>
      </c>
      <c r="H140" s="32" t="s">
        <v>7043</v>
      </c>
      <c r="I140" s="30">
        <v>45658.0</v>
      </c>
      <c r="J140" s="30">
        <v>46022.0</v>
      </c>
      <c r="K140" s="29" t="s">
        <v>7053</v>
      </c>
      <c r="L140" s="29" t="s">
        <v>7053</v>
      </c>
      <c r="M140" s="32" t="s">
        <v>7043</v>
      </c>
      <c r="N140" s="30">
        <v>46023.0</v>
      </c>
      <c r="O140" s="30">
        <v>46387.0</v>
      </c>
      <c r="P140" s="29" t="s">
        <v>7053</v>
      </c>
      <c r="Q140" s="29" t="s">
        <v>7053</v>
      </c>
      <c r="R140" s="32" t="s">
        <v>7043</v>
      </c>
      <c r="S140" s="30">
        <v>46388.0</v>
      </c>
      <c r="T140" s="30">
        <v>46752.0</v>
      </c>
      <c r="U140" s="29" t="s">
        <v>7053</v>
      </c>
      <c r="V140" s="29" t="s">
        <v>7053</v>
      </c>
      <c r="W140" s="32" t="s">
        <v>7043</v>
      </c>
      <c r="X140" s="30">
        <v>46753.0</v>
      </c>
      <c r="Y140" s="30">
        <v>47118.0</v>
      </c>
      <c r="Z140" s="29" t="s">
        <v>7053</v>
      </c>
      <c r="AA140" s="29" t="s">
        <v>7053</v>
      </c>
      <c r="AB140" s="32" t="s">
        <v>7043</v>
      </c>
      <c r="AC140" s="30">
        <v>47119.0</v>
      </c>
      <c r="AD140" s="30">
        <v>47483.0</v>
      </c>
      <c r="AE140" s="29" t="s">
        <v>7053</v>
      </c>
      <c r="AF140" s="29" t="s">
        <v>7053</v>
      </c>
      <c r="AG140" s="32" t="s">
        <v>7043</v>
      </c>
      <c r="AH140" s="30">
        <v>47484.0</v>
      </c>
      <c r="AI140" s="30">
        <v>47848.0</v>
      </c>
      <c r="AJ140" s="29" t="s">
        <v>7053</v>
      </c>
      <c r="AK140" s="29" t="s">
        <v>7053</v>
      </c>
      <c r="AL140" s="32" t="s">
        <v>7043</v>
      </c>
    </row>
    <row r="141" ht="14.25" customHeight="1">
      <c r="A141" s="28" t="s">
        <v>2696</v>
      </c>
      <c r="B141" s="29" t="s">
        <v>2697</v>
      </c>
      <c r="C141" s="29" t="s">
        <v>7041</v>
      </c>
      <c r="D141" s="30">
        <v>45292.0</v>
      </c>
      <c r="E141" s="30">
        <v>45657.0</v>
      </c>
      <c r="F141" s="29" t="s">
        <v>7052</v>
      </c>
      <c r="G141" s="29" t="s">
        <v>7051</v>
      </c>
      <c r="H141" s="32" t="s">
        <v>7043</v>
      </c>
      <c r="I141" s="30">
        <v>45658.0</v>
      </c>
      <c r="J141" s="30">
        <v>46022.0</v>
      </c>
      <c r="K141" s="29" t="s">
        <v>7104</v>
      </c>
      <c r="L141" s="29" t="s">
        <v>7053</v>
      </c>
      <c r="M141" s="38" t="s">
        <v>7047</v>
      </c>
      <c r="N141" s="30">
        <v>46023.0</v>
      </c>
      <c r="O141" s="30">
        <v>46387.0</v>
      </c>
      <c r="P141" s="29" t="s">
        <v>7053</v>
      </c>
      <c r="Q141" s="29" t="s">
        <v>7053</v>
      </c>
      <c r="R141" s="32" t="s">
        <v>7043</v>
      </c>
      <c r="S141" s="30">
        <v>46388.0</v>
      </c>
      <c r="T141" s="30">
        <v>46752.0</v>
      </c>
      <c r="U141" s="29" t="s">
        <v>7053</v>
      </c>
      <c r="V141" s="29" t="s">
        <v>7053</v>
      </c>
      <c r="W141" s="32" t="s">
        <v>7043</v>
      </c>
      <c r="X141" s="30">
        <v>46753.0</v>
      </c>
      <c r="Y141" s="30">
        <v>47118.0</v>
      </c>
      <c r="Z141" s="29" t="s">
        <v>7053</v>
      </c>
      <c r="AA141" s="29" t="s">
        <v>7053</v>
      </c>
      <c r="AB141" s="32" t="s">
        <v>7043</v>
      </c>
      <c r="AC141" s="30">
        <v>47119.0</v>
      </c>
      <c r="AD141" s="30">
        <v>47483.0</v>
      </c>
      <c r="AE141" s="29" t="s">
        <v>7053</v>
      </c>
      <c r="AF141" s="29" t="s">
        <v>7053</v>
      </c>
      <c r="AG141" s="32" t="s">
        <v>7043</v>
      </c>
      <c r="AH141" s="30">
        <v>47484.0</v>
      </c>
      <c r="AI141" s="30">
        <v>47848.0</v>
      </c>
      <c r="AJ141" s="29" t="s">
        <v>7053</v>
      </c>
      <c r="AK141" s="29" t="s">
        <v>7053</v>
      </c>
      <c r="AL141" s="32" t="s">
        <v>7043</v>
      </c>
    </row>
    <row r="142" ht="14.25" customHeight="1">
      <c r="A142" s="28" t="s">
        <v>2709</v>
      </c>
      <c r="B142" s="29" t="s">
        <v>2710</v>
      </c>
      <c r="C142" s="29" t="s">
        <v>7041</v>
      </c>
      <c r="D142" s="30">
        <v>45292.0</v>
      </c>
      <c r="E142" s="30">
        <v>45657.0</v>
      </c>
      <c r="F142" s="29" t="s">
        <v>7078</v>
      </c>
      <c r="G142" s="29" t="s">
        <v>7051</v>
      </c>
      <c r="H142" s="37" t="s">
        <v>7046</v>
      </c>
      <c r="I142" s="30">
        <v>45658.0</v>
      </c>
      <c r="J142" s="30">
        <v>46022.0</v>
      </c>
      <c r="K142" s="29" t="s">
        <v>7136</v>
      </c>
      <c r="L142" s="29" t="s">
        <v>7053</v>
      </c>
      <c r="M142" s="38" t="s">
        <v>7047</v>
      </c>
      <c r="N142" s="30">
        <v>46023.0</v>
      </c>
      <c r="O142" s="30">
        <v>46387.0</v>
      </c>
      <c r="P142" s="29" t="s">
        <v>7053</v>
      </c>
      <c r="Q142" s="29" t="s">
        <v>7053</v>
      </c>
      <c r="R142" s="32" t="s">
        <v>7043</v>
      </c>
      <c r="S142" s="30">
        <v>46388.0</v>
      </c>
      <c r="T142" s="30">
        <v>46752.0</v>
      </c>
      <c r="U142" s="29" t="s">
        <v>7053</v>
      </c>
      <c r="V142" s="29" t="s">
        <v>7053</v>
      </c>
      <c r="W142" s="32" t="s">
        <v>7043</v>
      </c>
      <c r="X142" s="30">
        <v>46753.0</v>
      </c>
      <c r="Y142" s="30">
        <v>47118.0</v>
      </c>
      <c r="Z142" s="29" t="s">
        <v>7053</v>
      </c>
      <c r="AA142" s="29" t="s">
        <v>7053</v>
      </c>
      <c r="AB142" s="32" t="s">
        <v>7043</v>
      </c>
      <c r="AC142" s="30">
        <v>47119.0</v>
      </c>
      <c r="AD142" s="30">
        <v>47483.0</v>
      </c>
      <c r="AE142" s="29" t="s">
        <v>7053</v>
      </c>
      <c r="AF142" s="29" t="s">
        <v>7053</v>
      </c>
      <c r="AG142" s="32" t="s">
        <v>7043</v>
      </c>
      <c r="AH142" s="30">
        <v>47484.0</v>
      </c>
      <c r="AI142" s="30">
        <v>47848.0</v>
      </c>
      <c r="AJ142" s="29" t="s">
        <v>7053</v>
      </c>
      <c r="AK142" s="29" t="s">
        <v>7053</v>
      </c>
      <c r="AL142" s="32" t="s">
        <v>7043</v>
      </c>
    </row>
    <row r="143" ht="14.25" customHeight="1">
      <c r="A143" s="28" t="s">
        <v>2741</v>
      </c>
      <c r="B143" s="29" t="s">
        <v>2742</v>
      </c>
      <c r="C143" s="29" t="s">
        <v>7041</v>
      </c>
      <c r="D143" s="30">
        <v>45292.0</v>
      </c>
      <c r="E143" s="30">
        <v>45657.0</v>
      </c>
      <c r="F143" s="29" t="s">
        <v>7137</v>
      </c>
      <c r="G143" s="29" t="s">
        <v>7076</v>
      </c>
      <c r="H143" s="38" t="s">
        <v>7047</v>
      </c>
      <c r="I143" s="30">
        <v>45658.0</v>
      </c>
      <c r="J143" s="30">
        <v>46022.0</v>
      </c>
      <c r="K143" s="29" t="s">
        <v>7138</v>
      </c>
      <c r="L143" s="29" t="s">
        <v>7053</v>
      </c>
      <c r="M143" s="38" t="s">
        <v>7047</v>
      </c>
      <c r="N143" s="30">
        <v>46023.0</v>
      </c>
      <c r="O143" s="30">
        <v>46387.0</v>
      </c>
      <c r="P143" s="29" t="s">
        <v>7053</v>
      </c>
      <c r="Q143" s="29" t="s">
        <v>7053</v>
      </c>
      <c r="R143" s="32" t="s">
        <v>7043</v>
      </c>
      <c r="S143" s="30">
        <v>46388.0</v>
      </c>
      <c r="T143" s="30">
        <v>46752.0</v>
      </c>
      <c r="U143" s="29" t="s">
        <v>7053</v>
      </c>
      <c r="V143" s="29" t="s">
        <v>7053</v>
      </c>
      <c r="W143" s="32" t="s">
        <v>7043</v>
      </c>
      <c r="X143" s="30">
        <v>46753.0</v>
      </c>
      <c r="Y143" s="30">
        <v>47118.0</v>
      </c>
      <c r="Z143" s="29" t="s">
        <v>7053</v>
      </c>
      <c r="AA143" s="29" t="s">
        <v>7053</v>
      </c>
      <c r="AB143" s="32" t="s">
        <v>7043</v>
      </c>
      <c r="AC143" s="30">
        <v>47119.0</v>
      </c>
      <c r="AD143" s="30">
        <v>47483.0</v>
      </c>
      <c r="AE143" s="29" t="s">
        <v>7053</v>
      </c>
      <c r="AF143" s="29" t="s">
        <v>7053</v>
      </c>
      <c r="AG143" s="32" t="s">
        <v>7043</v>
      </c>
      <c r="AH143" s="30">
        <v>47484.0</v>
      </c>
      <c r="AI143" s="30">
        <v>47848.0</v>
      </c>
      <c r="AJ143" s="29" t="s">
        <v>7053</v>
      </c>
      <c r="AK143" s="29" t="s">
        <v>7053</v>
      </c>
      <c r="AL143" s="32" t="s">
        <v>7043</v>
      </c>
    </row>
    <row r="144" ht="14.25" customHeight="1">
      <c r="A144" s="28" t="s">
        <v>2781</v>
      </c>
      <c r="B144" s="29" t="s">
        <v>2782</v>
      </c>
      <c r="C144" s="29" t="s">
        <v>7041</v>
      </c>
      <c r="D144" s="30">
        <v>45292.0</v>
      </c>
      <c r="E144" s="30">
        <v>45657.0</v>
      </c>
      <c r="F144" s="29" t="s">
        <v>7072</v>
      </c>
      <c r="G144" s="29" t="s">
        <v>7051</v>
      </c>
      <c r="H144" s="32" t="s">
        <v>7043</v>
      </c>
      <c r="I144" s="30">
        <v>45658.0</v>
      </c>
      <c r="J144" s="30">
        <v>46022.0</v>
      </c>
      <c r="K144" s="29" t="s">
        <v>7074</v>
      </c>
      <c r="L144" s="29" t="s">
        <v>7094</v>
      </c>
      <c r="M144" s="38" t="s">
        <v>7047</v>
      </c>
      <c r="N144" s="30">
        <v>46023.0</v>
      </c>
      <c r="O144" s="30">
        <v>46387.0</v>
      </c>
      <c r="P144" s="29" t="s">
        <v>7053</v>
      </c>
      <c r="Q144" s="29" t="s">
        <v>7053</v>
      </c>
      <c r="R144" s="32" t="s">
        <v>7043</v>
      </c>
      <c r="S144" s="30">
        <v>46388.0</v>
      </c>
      <c r="T144" s="30">
        <v>46752.0</v>
      </c>
      <c r="U144" s="29" t="s">
        <v>7053</v>
      </c>
      <c r="V144" s="29" t="s">
        <v>7053</v>
      </c>
      <c r="W144" s="32" t="s">
        <v>7043</v>
      </c>
      <c r="X144" s="30">
        <v>46753.0</v>
      </c>
      <c r="Y144" s="30">
        <v>47118.0</v>
      </c>
      <c r="Z144" s="29" t="s">
        <v>7053</v>
      </c>
      <c r="AA144" s="29" t="s">
        <v>7053</v>
      </c>
      <c r="AB144" s="32" t="s">
        <v>7043</v>
      </c>
      <c r="AC144" s="30">
        <v>47119.0</v>
      </c>
      <c r="AD144" s="30">
        <v>47483.0</v>
      </c>
      <c r="AE144" s="29" t="s">
        <v>7053</v>
      </c>
      <c r="AF144" s="29" t="s">
        <v>7053</v>
      </c>
      <c r="AG144" s="32" t="s">
        <v>7043</v>
      </c>
      <c r="AH144" s="30">
        <v>47484.0</v>
      </c>
      <c r="AI144" s="30">
        <v>47848.0</v>
      </c>
      <c r="AJ144" s="29" t="s">
        <v>7053</v>
      </c>
      <c r="AK144" s="29" t="s">
        <v>7053</v>
      </c>
      <c r="AL144" s="32" t="s">
        <v>7043</v>
      </c>
    </row>
    <row r="145" ht="14.25" customHeight="1">
      <c r="A145" s="28" t="s">
        <v>2811</v>
      </c>
      <c r="B145" s="29" t="s">
        <v>2812</v>
      </c>
      <c r="C145" s="29" t="s">
        <v>7041</v>
      </c>
      <c r="D145" s="30">
        <v>45292.0</v>
      </c>
      <c r="E145" s="30">
        <v>45657.0</v>
      </c>
      <c r="F145" s="29" t="s">
        <v>7072</v>
      </c>
      <c r="G145" s="29" t="s">
        <v>7051</v>
      </c>
      <c r="H145" s="32" t="s">
        <v>7043</v>
      </c>
      <c r="I145" s="30">
        <v>45658.0</v>
      </c>
      <c r="J145" s="30">
        <v>46022.0</v>
      </c>
      <c r="K145" s="29" t="s">
        <v>7050</v>
      </c>
      <c r="L145" s="29" t="s">
        <v>7053</v>
      </c>
      <c r="M145" s="38" t="s">
        <v>7047</v>
      </c>
      <c r="N145" s="30">
        <v>46023.0</v>
      </c>
      <c r="O145" s="30">
        <v>46387.0</v>
      </c>
      <c r="P145" s="29" t="s">
        <v>7053</v>
      </c>
      <c r="Q145" s="29" t="s">
        <v>7053</v>
      </c>
      <c r="R145" s="32" t="s">
        <v>7043</v>
      </c>
      <c r="S145" s="30">
        <v>46388.0</v>
      </c>
      <c r="T145" s="30">
        <v>46752.0</v>
      </c>
      <c r="U145" s="29" t="s">
        <v>7053</v>
      </c>
      <c r="V145" s="29" t="s">
        <v>7053</v>
      </c>
      <c r="W145" s="32" t="s">
        <v>7043</v>
      </c>
      <c r="X145" s="30">
        <v>46753.0</v>
      </c>
      <c r="Y145" s="30">
        <v>47118.0</v>
      </c>
      <c r="Z145" s="29" t="s">
        <v>7053</v>
      </c>
      <c r="AA145" s="29" t="s">
        <v>7053</v>
      </c>
      <c r="AB145" s="32" t="s">
        <v>7043</v>
      </c>
      <c r="AC145" s="30">
        <v>47119.0</v>
      </c>
      <c r="AD145" s="30">
        <v>47483.0</v>
      </c>
      <c r="AE145" s="29" t="s">
        <v>7053</v>
      </c>
      <c r="AF145" s="29" t="s">
        <v>7053</v>
      </c>
      <c r="AG145" s="32" t="s">
        <v>7043</v>
      </c>
      <c r="AH145" s="30">
        <v>47484.0</v>
      </c>
      <c r="AI145" s="30">
        <v>47848.0</v>
      </c>
      <c r="AJ145" s="29" t="s">
        <v>7053</v>
      </c>
      <c r="AK145" s="29" t="s">
        <v>7053</v>
      </c>
      <c r="AL145" s="32" t="s">
        <v>7043</v>
      </c>
    </row>
    <row r="146" ht="14.25" customHeight="1">
      <c r="A146" s="28" t="s">
        <v>2869</v>
      </c>
      <c r="B146" s="29" t="s">
        <v>2870</v>
      </c>
      <c r="C146" s="29" t="s">
        <v>7041</v>
      </c>
      <c r="D146" s="30">
        <v>45292.0</v>
      </c>
      <c r="E146" s="30">
        <v>45657.0</v>
      </c>
      <c r="F146" s="29" t="s">
        <v>7050</v>
      </c>
      <c r="G146" s="29" t="s">
        <v>7051</v>
      </c>
      <c r="H146" s="32" t="s">
        <v>7043</v>
      </c>
      <c r="I146" s="30">
        <v>45658.0</v>
      </c>
      <c r="J146" s="30">
        <v>46022.0</v>
      </c>
      <c r="K146" s="29" t="s">
        <v>7052</v>
      </c>
      <c r="L146" s="29" t="s">
        <v>7053</v>
      </c>
      <c r="M146" s="38" t="s">
        <v>7047</v>
      </c>
      <c r="N146" s="30">
        <v>46023.0</v>
      </c>
      <c r="O146" s="30">
        <v>46387.0</v>
      </c>
      <c r="P146" s="29" t="s">
        <v>7053</v>
      </c>
      <c r="Q146" s="29" t="s">
        <v>7053</v>
      </c>
      <c r="R146" s="32" t="s">
        <v>7043</v>
      </c>
      <c r="S146" s="30">
        <v>46388.0</v>
      </c>
      <c r="T146" s="30">
        <v>46752.0</v>
      </c>
      <c r="U146" s="29" t="s">
        <v>7053</v>
      </c>
      <c r="V146" s="29" t="s">
        <v>7053</v>
      </c>
      <c r="W146" s="32" t="s">
        <v>7043</v>
      </c>
      <c r="X146" s="30">
        <v>46753.0</v>
      </c>
      <c r="Y146" s="30">
        <v>47118.0</v>
      </c>
      <c r="Z146" s="29" t="s">
        <v>7053</v>
      </c>
      <c r="AA146" s="29" t="s">
        <v>7053</v>
      </c>
      <c r="AB146" s="32" t="s">
        <v>7043</v>
      </c>
      <c r="AC146" s="30">
        <v>47119.0</v>
      </c>
      <c r="AD146" s="30">
        <v>47483.0</v>
      </c>
      <c r="AE146" s="29" t="s">
        <v>7053</v>
      </c>
      <c r="AF146" s="29" t="s">
        <v>7053</v>
      </c>
      <c r="AG146" s="32" t="s">
        <v>7043</v>
      </c>
      <c r="AH146" s="30">
        <v>47484.0</v>
      </c>
      <c r="AI146" s="30">
        <v>47848.0</v>
      </c>
      <c r="AJ146" s="29" t="s">
        <v>7053</v>
      </c>
      <c r="AK146" s="29" t="s">
        <v>7053</v>
      </c>
      <c r="AL146" s="32" t="s">
        <v>7043</v>
      </c>
    </row>
    <row r="147" ht="14.25" customHeight="1">
      <c r="A147" s="28" t="s">
        <v>2928</v>
      </c>
      <c r="B147" s="29" t="s">
        <v>2929</v>
      </c>
      <c r="C147" s="29" t="s">
        <v>7041</v>
      </c>
      <c r="D147" s="30">
        <v>45292.0</v>
      </c>
      <c r="E147" s="30">
        <v>45657.0</v>
      </c>
      <c r="F147" s="29" t="s">
        <v>7139</v>
      </c>
      <c r="G147" s="29" t="s">
        <v>7051</v>
      </c>
      <c r="H147" s="38" t="s">
        <v>7047</v>
      </c>
      <c r="I147" s="30">
        <v>45658.0</v>
      </c>
      <c r="J147" s="30">
        <v>46022.0</v>
      </c>
      <c r="K147" s="29" t="s">
        <v>7140</v>
      </c>
      <c r="L147" s="29" t="s">
        <v>7053</v>
      </c>
      <c r="M147" s="38" t="s">
        <v>7047</v>
      </c>
      <c r="N147" s="30">
        <v>46023.0</v>
      </c>
      <c r="O147" s="30">
        <v>46387.0</v>
      </c>
      <c r="P147" s="29" t="s">
        <v>7053</v>
      </c>
      <c r="Q147" s="29" t="s">
        <v>7053</v>
      </c>
      <c r="R147" s="32" t="s">
        <v>7043</v>
      </c>
      <c r="S147" s="30">
        <v>46388.0</v>
      </c>
      <c r="T147" s="30">
        <v>46752.0</v>
      </c>
      <c r="U147" s="29" t="s">
        <v>7053</v>
      </c>
      <c r="V147" s="29" t="s">
        <v>7053</v>
      </c>
      <c r="W147" s="32" t="s">
        <v>7043</v>
      </c>
      <c r="X147" s="30">
        <v>46753.0</v>
      </c>
      <c r="Y147" s="30">
        <v>47118.0</v>
      </c>
      <c r="Z147" s="29" t="s">
        <v>7053</v>
      </c>
      <c r="AA147" s="29" t="s">
        <v>7053</v>
      </c>
      <c r="AB147" s="32" t="s">
        <v>7043</v>
      </c>
      <c r="AC147" s="30">
        <v>47119.0</v>
      </c>
      <c r="AD147" s="30">
        <v>47483.0</v>
      </c>
      <c r="AE147" s="29" t="s">
        <v>7053</v>
      </c>
      <c r="AF147" s="29" t="s">
        <v>7053</v>
      </c>
      <c r="AG147" s="32" t="s">
        <v>7043</v>
      </c>
      <c r="AH147" s="30">
        <v>47484.0</v>
      </c>
      <c r="AI147" s="30">
        <v>47848.0</v>
      </c>
      <c r="AJ147" s="29" t="s">
        <v>7053</v>
      </c>
      <c r="AK147" s="29" t="s">
        <v>7053</v>
      </c>
      <c r="AL147" s="32" t="s">
        <v>7043</v>
      </c>
    </row>
    <row r="148" ht="14.25" customHeight="1">
      <c r="A148" s="28" t="s">
        <v>2948</v>
      </c>
      <c r="B148" s="29" t="s">
        <v>2949</v>
      </c>
      <c r="C148" s="29" t="s">
        <v>7041</v>
      </c>
      <c r="D148" s="30">
        <v>45292.0</v>
      </c>
      <c r="E148" s="30">
        <v>45657.0</v>
      </c>
      <c r="F148" s="29" t="s">
        <v>7057</v>
      </c>
      <c r="G148" s="29" t="s">
        <v>7051</v>
      </c>
      <c r="H148" s="37" t="s">
        <v>7046</v>
      </c>
      <c r="I148" s="30">
        <v>45658.0</v>
      </c>
      <c r="J148" s="30">
        <v>46022.0</v>
      </c>
      <c r="K148" s="29" t="s">
        <v>7050</v>
      </c>
      <c r="L148" s="29" t="s">
        <v>7053</v>
      </c>
      <c r="M148" s="38" t="s">
        <v>7047</v>
      </c>
      <c r="N148" s="30">
        <v>46023.0</v>
      </c>
      <c r="O148" s="30">
        <v>46387.0</v>
      </c>
      <c r="P148" s="29" t="s">
        <v>7053</v>
      </c>
      <c r="Q148" s="29" t="s">
        <v>7053</v>
      </c>
      <c r="R148" s="32" t="s">
        <v>7043</v>
      </c>
      <c r="S148" s="30">
        <v>46388.0</v>
      </c>
      <c r="T148" s="30">
        <v>46752.0</v>
      </c>
      <c r="U148" s="29" t="s">
        <v>7053</v>
      </c>
      <c r="V148" s="29" t="s">
        <v>7053</v>
      </c>
      <c r="W148" s="32" t="s">
        <v>7043</v>
      </c>
      <c r="X148" s="30">
        <v>46753.0</v>
      </c>
      <c r="Y148" s="30">
        <v>47118.0</v>
      </c>
      <c r="Z148" s="29" t="s">
        <v>7053</v>
      </c>
      <c r="AA148" s="29" t="s">
        <v>7053</v>
      </c>
      <c r="AB148" s="32" t="s">
        <v>7043</v>
      </c>
      <c r="AC148" s="30">
        <v>47119.0</v>
      </c>
      <c r="AD148" s="30">
        <v>47483.0</v>
      </c>
      <c r="AE148" s="29" t="s">
        <v>7053</v>
      </c>
      <c r="AF148" s="29" t="s">
        <v>7053</v>
      </c>
      <c r="AG148" s="32" t="s">
        <v>7043</v>
      </c>
      <c r="AH148" s="30">
        <v>47484.0</v>
      </c>
      <c r="AI148" s="30">
        <v>47848.0</v>
      </c>
      <c r="AJ148" s="29" t="s">
        <v>7053</v>
      </c>
      <c r="AK148" s="29" t="s">
        <v>7053</v>
      </c>
      <c r="AL148" s="32" t="s">
        <v>7043</v>
      </c>
    </row>
    <row r="149" ht="14.25" customHeight="1">
      <c r="A149" s="28" t="s">
        <v>2957</v>
      </c>
      <c r="B149" s="29" t="s">
        <v>2958</v>
      </c>
      <c r="C149" s="29" t="s">
        <v>7041</v>
      </c>
      <c r="D149" s="30">
        <v>45292.0</v>
      </c>
      <c r="E149" s="30">
        <v>45657.0</v>
      </c>
      <c r="F149" s="29" t="s">
        <v>7141</v>
      </c>
      <c r="G149" s="29" t="s">
        <v>7051</v>
      </c>
      <c r="H149" s="37" t="s">
        <v>7046</v>
      </c>
      <c r="I149" s="30">
        <v>45658.0</v>
      </c>
      <c r="J149" s="30">
        <v>46022.0</v>
      </c>
      <c r="K149" s="29" t="s">
        <v>7126</v>
      </c>
      <c r="L149" s="29" t="s">
        <v>7053</v>
      </c>
      <c r="M149" s="38" t="s">
        <v>7047</v>
      </c>
      <c r="N149" s="30">
        <v>46023.0</v>
      </c>
      <c r="O149" s="30">
        <v>46387.0</v>
      </c>
      <c r="P149" s="29" t="s">
        <v>7053</v>
      </c>
      <c r="Q149" s="29" t="s">
        <v>7053</v>
      </c>
      <c r="R149" s="32" t="s">
        <v>7043</v>
      </c>
      <c r="S149" s="30">
        <v>46388.0</v>
      </c>
      <c r="T149" s="30">
        <v>46752.0</v>
      </c>
      <c r="U149" s="29" t="s">
        <v>7053</v>
      </c>
      <c r="V149" s="29" t="s">
        <v>7053</v>
      </c>
      <c r="W149" s="32" t="s">
        <v>7043</v>
      </c>
      <c r="X149" s="30">
        <v>46753.0</v>
      </c>
      <c r="Y149" s="30">
        <v>47118.0</v>
      </c>
      <c r="Z149" s="29" t="s">
        <v>7053</v>
      </c>
      <c r="AA149" s="29" t="s">
        <v>7053</v>
      </c>
      <c r="AB149" s="32" t="s">
        <v>7043</v>
      </c>
      <c r="AC149" s="30">
        <v>47119.0</v>
      </c>
      <c r="AD149" s="30">
        <v>47483.0</v>
      </c>
      <c r="AE149" s="29" t="s">
        <v>7053</v>
      </c>
      <c r="AF149" s="29" t="s">
        <v>7053</v>
      </c>
      <c r="AG149" s="32" t="s">
        <v>7043</v>
      </c>
      <c r="AH149" s="30">
        <v>47484.0</v>
      </c>
      <c r="AI149" s="30">
        <v>47848.0</v>
      </c>
      <c r="AJ149" s="29" t="s">
        <v>7053</v>
      </c>
      <c r="AK149" s="29" t="s">
        <v>7053</v>
      </c>
      <c r="AL149" s="32" t="s">
        <v>7043</v>
      </c>
    </row>
    <row r="150" ht="14.25" customHeight="1">
      <c r="A150" s="28" t="s">
        <v>6860</v>
      </c>
      <c r="B150" s="29" t="s">
        <v>6861</v>
      </c>
      <c r="C150" s="29" t="s">
        <v>7041</v>
      </c>
      <c r="D150" s="30">
        <v>45292.0</v>
      </c>
      <c r="E150" s="30">
        <v>45657.0</v>
      </c>
      <c r="F150" s="29" t="s">
        <v>7070</v>
      </c>
      <c r="G150" s="29" t="s">
        <v>7112</v>
      </c>
      <c r="H150" s="32" t="s">
        <v>7043</v>
      </c>
      <c r="I150" s="30">
        <v>45658.0</v>
      </c>
      <c r="J150" s="30">
        <v>46022.0</v>
      </c>
      <c r="K150" s="29" t="s">
        <v>7070</v>
      </c>
      <c r="L150" s="29" t="s">
        <v>7053</v>
      </c>
      <c r="M150" s="38" t="s">
        <v>7047</v>
      </c>
      <c r="N150" s="30">
        <v>46023.0</v>
      </c>
      <c r="O150" s="30">
        <v>46387.0</v>
      </c>
      <c r="P150" s="29" t="s">
        <v>7053</v>
      </c>
      <c r="Q150" s="29" t="s">
        <v>7053</v>
      </c>
      <c r="R150" s="32" t="s">
        <v>7043</v>
      </c>
      <c r="S150" s="30">
        <v>46388.0</v>
      </c>
      <c r="T150" s="30">
        <v>46752.0</v>
      </c>
      <c r="U150" s="29" t="s">
        <v>7053</v>
      </c>
      <c r="V150" s="29" t="s">
        <v>7053</v>
      </c>
      <c r="W150" s="32" t="s">
        <v>7043</v>
      </c>
      <c r="X150" s="30">
        <v>46753.0</v>
      </c>
      <c r="Y150" s="30">
        <v>47118.0</v>
      </c>
      <c r="Z150" s="29" t="s">
        <v>7053</v>
      </c>
      <c r="AA150" s="29" t="s">
        <v>7053</v>
      </c>
      <c r="AB150" s="32" t="s">
        <v>7043</v>
      </c>
      <c r="AC150" s="30">
        <v>47119.0</v>
      </c>
      <c r="AD150" s="30">
        <v>47483.0</v>
      </c>
      <c r="AE150" s="29" t="s">
        <v>7053</v>
      </c>
      <c r="AF150" s="29" t="s">
        <v>7053</v>
      </c>
      <c r="AG150" s="32" t="s">
        <v>7043</v>
      </c>
      <c r="AH150" s="30">
        <v>47484.0</v>
      </c>
      <c r="AI150" s="30">
        <v>47848.0</v>
      </c>
      <c r="AJ150" s="29" t="s">
        <v>7053</v>
      </c>
      <c r="AK150" s="29" t="s">
        <v>7053</v>
      </c>
      <c r="AL150" s="32" t="s">
        <v>7043</v>
      </c>
    </row>
    <row r="151" ht="14.25" customHeight="1">
      <c r="A151" s="28" t="s">
        <v>2982</v>
      </c>
      <c r="B151" s="29" t="s">
        <v>2983</v>
      </c>
      <c r="C151" s="29" t="s">
        <v>7041</v>
      </c>
      <c r="D151" s="30">
        <v>45292.0</v>
      </c>
      <c r="E151" s="30">
        <v>45657.0</v>
      </c>
      <c r="F151" s="29" t="s">
        <v>7104</v>
      </c>
      <c r="G151" s="29" t="s">
        <v>7051</v>
      </c>
      <c r="H151" s="32" t="s">
        <v>7043</v>
      </c>
      <c r="I151" s="30">
        <v>45658.0</v>
      </c>
      <c r="J151" s="30">
        <v>46022.0</v>
      </c>
      <c r="K151" s="29" t="s">
        <v>7101</v>
      </c>
      <c r="L151" s="29" t="s">
        <v>7053</v>
      </c>
      <c r="M151" s="38" t="s">
        <v>7047</v>
      </c>
      <c r="N151" s="30">
        <v>46023.0</v>
      </c>
      <c r="O151" s="30">
        <v>46387.0</v>
      </c>
      <c r="P151" s="29" t="s">
        <v>7053</v>
      </c>
      <c r="Q151" s="29" t="s">
        <v>7053</v>
      </c>
      <c r="R151" s="32" t="s">
        <v>7043</v>
      </c>
      <c r="S151" s="30">
        <v>46388.0</v>
      </c>
      <c r="T151" s="30">
        <v>46752.0</v>
      </c>
      <c r="U151" s="29" t="s">
        <v>7053</v>
      </c>
      <c r="V151" s="29" t="s">
        <v>7053</v>
      </c>
      <c r="W151" s="32" t="s">
        <v>7043</v>
      </c>
      <c r="X151" s="30">
        <v>46753.0</v>
      </c>
      <c r="Y151" s="30">
        <v>47118.0</v>
      </c>
      <c r="Z151" s="29" t="s">
        <v>7053</v>
      </c>
      <c r="AA151" s="29" t="s">
        <v>7053</v>
      </c>
      <c r="AB151" s="32" t="s">
        <v>7043</v>
      </c>
      <c r="AC151" s="30">
        <v>47119.0</v>
      </c>
      <c r="AD151" s="30">
        <v>47483.0</v>
      </c>
      <c r="AE151" s="29" t="s">
        <v>7053</v>
      </c>
      <c r="AF151" s="29" t="s">
        <v>7053</v>
      </c>
      <c r="AG151" s="32" t="s">
        <v>7043</v>
      </c>
      <c r="AH151" s="30">
        <v>47484.0</v>
      </c>
      <c r="AI151" s="30">
        <v>47848.0</v>
      </c>
      <c r="AJ151" s="29" t="s">
        <v>7053</v>
      </c>
      <c r="AK151" s="29" t="s">
        <v>7053</v>
      </c>
      <c r="AL151" s="32" t="s">
        <v>7043</v>
      </c>
    </row>
    <row r="152" ht="14.25" customHeight="1">
      <c r="A152" s="28" t="s">
        <v>3088</v>
      </c>
      <c r="B152" s="29" t="s">
        <v>3089</v>
      </c>
      <c r="C152" s="29" t="s">
        <v>7041</v>
      </c>
      <c r="D152" s="30">
        <v>45292.0</v>
      </c>
      <c r="E152" s="30">
        <v>45657.0</v>
      </c>
      <c r="F152" s="29" t="s">
        <v>7064</v>
      </c>
      <c r="G152" s="29" t="s">
        <v>7051</v>
      </c>
      <c r="H152" s="32" t="s">
        <v>7043</v>
      </c>
      <c r="I152" s="30">
        <v>45658.0</v>
      </c>
      <c r="J152" s="30">
        <v>46022.0</v>
      </c>
      <c r="K152" s="29" t="s">
        <v>7100</v>
      </c>
      <c r="L152" s="29" t="s">
        <v>7053</v>
      </c>
      <c r="M152" s="38" t="s">
        <v>7047</v>
      </c>
      <c r="N152" s="30">
        <v>46023.0</v>
      </c>
      <c r="O152" s="30">
        <v>46387.0</v>
      </c>
      <c r="P152" s="29" t="s">
        <v>7053</v>
      </c>
      <c r="Q152" s="29" t="s">
        <v>7053</v>
      </c>
      <c r="R152" s="32" t="s">
        <v>7043</v>
      </c>
      <c r="S152" s="30">
        <v>46388.0</v>
      </c>
      <c r="T152" s="30">
        <v>46752.0</v>
      </c>
      <c r="U152" s="29" t="s">
        <v>7053</v>
      </c>
      <c r="V152" s="29" t="s">
        <v>7053</v>
      </c>
      <c r="W152" s="32" t="s">
        <v>7043</v>
      </c>
      <c r="X152" s="30">
        <v>46753.0</v>
      </c>
      <c r="Y152" s="30">
        <v>47118.0</v>
      </c>
      <c r="Z152" s="29" t="s">
        <v>7053</v>
      </c>
      <c r="AA152" s="29" t="s">
        <v>7053</v>
      </c>
      <c r="AB152" s="32" t="s">
        <v>7043</v>
      </c>
      <c r="AC152" s="30">
        <v>47119.0</v>
      </c>
      <c r="AD152" s="30">
        <v>47483.0</v>
      </c>
      <c r="AE152" s="29" t="s">
        <v>7053</v>
      </c>
      <c r="AF152" s="29" t="s">
        <v>7053</v>
      </c>
      <c r="AG152" s="32" t="s">
        <v>7043</v>
      </c>
      <c r="AH152" s="30">
        <v>47484.0</v>
      </c>
      <c r="AI152" s="30">
        <v>47848.0</v>
      </c>
      <c r="AJ152" s="29" t="s">
        <v>7053</v>
      </c>
      <c r="AK152" s="29" t="s">
        <v>7053</v>
      </c>
      <c r="AL152" s="32" t="s">
        <v>7043</v>
      </c>
    </row>
    <row r="153" ht="14.25" customHeight="1">
      <c r="A153" s="28" t="s">
        <v>3097</v>
      </c>
      <c r="B153" s="29" t="s">
        <v>3098</v>
      </c>
      <c r="C153" s="29" t="s">
        <v>7041</v>
      </c>
      <c r="D153" s="30">
        <v>45292.0</v>
      </c>
      <c r="E153" s="30">
        <v>45657.0</v>
      </c>
      <c r="F153" s="29" t="s">
        <v>7096</v>
      </c>
      <c r="G153" s="29" t="s">
        <v>7051</v>
      </c>
      <c r="H153" s="32" t="s">
        <v>7043</v>
      </c>
      <c r="I153" s="30">
        <v>45658.0</v>
      </c>
      <c r="J153" s="30">
        <v>46022.0</v>
      </c>
      <c r="K153" s="29" t="s">
        <v>7097</v>
      </c>
      <c r="L153" s="29" t="s">
        <v>7053</v>
      </c>
      <c r="M153" s="38" t="s">
        <v>7047</v>
      </c>
      <c r="N153" s="30">
        <v>46023.0</v>
      </c>
      <c r="O153" s="30">
        <v>46387.0</v>
      </c>
      <c r="P153" s="29" t="s">
        <v>7053</v>
      </c>
      <c r="Q153" s="29" t="s">
        <v>7053</v>
      </c>
      <c r="R153" s="32" t="s">
        <v>7043</v>
      </c>
      <c r="S153" s="30">
        <v>46388.0</v>
      </c>
      <c r="T153" s="30">
        <v>46752.0</v>
      </c>
      <c r="U153" s="29" t="s">
        <v>7053</v>
      </c>
      <c r="V153" s="29" t="s">
        <v>7053</v>
      </c>
      <c r="W153" s="32" t="s">
        <v>7043</v>
      </c>
      <c r="X153" s="30">
        <v>46753.0</v>
      </c>
      <c r="Y153" s="30">
        <v>47118.0</v>
      </c>
      <c r="Z153" s="29" t="s">
        <v>7053</v>
      </c>
      <c r="AA153" s="29" t="s">
        <v>7053</v>
      </c>
      <c r="AB153" s="32" t="s">
        <v>7043</v>
      </c>
      <c r="AC153" s="30">
        <v>47119.0</v>
      </c>
      <c r="AD153" s="30">
        <v>47483.0</v>
      </c>
      <c r="AE153" s="29" t="s">
        <v>7053</v>
      </c>
      <c r="AF153" s="29" t="s">
        <v>7053</v>
      </c>
      <c r="AG153" s="32" t="s">
        <v>7043</v>
      </c>
      <c r="AH153" s="30">
        <v>47484.0</v>
      </c>
      <c r="AI153" s="30">
        <v>47848.0</v>
      </c>
      <c r="AJ153" s="29" t="s">
        <v>7053</v>
      </c>
      <c r="AK153" s="29" t="s">
        <v>7053</v>
      </c>
      <c r="AL153" s="32" t="s">
        <v>7043</v>
      </c>
    </row>
    <row r="154" ht="14.25" customHeight="1">
      <c r="A154" s="28" t="s">
        <v>3104</v>
      </c>
      <c r="B154" s="29" t="s">
        <v>3105</v>
      </c>
      <c r="C154" s="29" t="s">
        <v>7041</v>
      </c>
      <c r="D154" s="30">
        <v>45292.0</v>
      </c>
      <c r="E154" s="30">
        <v>45657.0</v>
      </c>
      <c r="F154" s="29" t="s">
        <v>7097</v>
      </c>
      <c r="G154" s="29" t="s">
        <v>7051</v>
      </c>
      <c r="H154" s="32" t="s">
        <v>7043</v>
      </c>
      <c r="I154" s="30">
        <v>45658.0</v>
      </c>
      <c r="J154" s="30">
        <v>46022.0</v>
      </c>
      <c r="K154" s="29" t="s">
        <v>7053</v>
      </c>
      <c r="L154" s="29" t="s">
        <v>7053</v>
      </c>
      <c r="M154" s="32" t="s">
        <v>7043</v>
      </c>
      <c r="N154" s="30">
        <v>46023.0</v>
      </c>
      <c r="O154" s="30">
        <v>46387.0</v>
      </c>
      <c r="P154" s="29" t="s">
        <v>7053</v>
      </c>
      <c r="Q154" s="29" t="s">
        <v>7053</v>
      </c>
      <c r="R154" s="32" t="s">
        <v>7043</v>
      </c>
      <c r="S154" s="30">
        <v>46388.0</v>
      </c>
      <c r="T154" s="30">
        <v>46752.0</v>
      </c>
      <c r="U154" s="29" t="s">
        <v>7053</v>
      </c>
      <c r="V154" s="29" t="s">
        <v>7053</v>
      </c>
      <c r="W154" s="32" t="s">
        <v>7043</v>
      </c>
      <c r="X154" s="30">
        <v>46753.0</v>
      </c>
      <c r="Y154" s="30">
        <v>47118.0</v>
      </c>
      <c r="Z154" s="29" t="s">
        <v>7053</v>
      </c>
      <c r="AA154" s="29" t="s">
        <v>7053</v>
      </c>
      <c r="AB154" s="32" t="s">
        <v>7043</v>
      </c>
      <c r="AC154" s="30">
        <v>47119.0</v>
      </c>
      <c r="AD154" s="30">
        <v>47483.0</v>
      </c>
      <c r="AE154" s="29" t="s">
        <v>7053</v>
      </c>
      <c r="AF154" s="29" t="s">
        <v>7053</v>
      </c>
      <c r="AG154" s="32" t="s">
        <v>7043</v>
      </c>
      <c r="AH154" s="30">
        <v>47484.0</v>
      </c>
      <c r="AI154" s="30">
        <v>47848.0</v>
      </c>
      <c r="AJ154" s="29" t="s">
        <v>7053</v>
      </c>
      <c r="AK154" s="29" t="s">
        <v>7053</v>
      </c>
      <c r="AL154" s="32" t="s">
        <v>7043</v>
      </c>
    </row>
    <row r="155" ht="14.25" customHeight="1">
      <c r="A155" s="28" t="s">
        <v>3120</v>
      </c>
      <c r="B155" s="29" t="s">
        <v>3121</v>
      </c>
      <c r="C155" s="29" t="s">
        <v>7041</v>
      </c>
      <c r="D155" s="30">
        <v>45292.0</v>
      </c>
      <c r="E155" s="30">
        <v>45657.0</v>
      </c>
      <c r="F155" s="29" t="s">
        <v>7104</v>
      </c>
      <c r="G155" s="29" t="s">
        <v>7122</v>
      </c>
      <c r="H155" s="32" t="s">
        <v>7043</v>
      </c>
      <c r="I155" s="30">
        <v>45658.0</v>
      </c>
      <c r="J155" s="30">
        <v>46022.0</v>
      </c>
      <c r="K155" s="29" t="s">
        <v>7064</v>
      </c>
      <c r="L155" s="29" t="s">
        <v>7053</v>
      </c>
      <c r="M155" s="38" t="s">
        <v>7047</v>
      </c>
      <c r="N155" s="30">
        <v>46023.0</v>
      </c>
      <c r="O155" s="30">
        <v>46387.0</v>
      </c>
      <c r="P155" s="29" t="s">
        <v>7053</v>
      </c>
      <c r="Q155" s="29" t="s">
        <v>7053</v>
      </c>
      <c r="R155" s="32" t="s">
        <v>7043</v>
      </c>
      <c r="S155" s="30">
        <v>46388.0</v>
      </c>
      <c r="T155" s="30">
        <v>46752.0</v>
      </c>
      <c r="U155" s="29" t="s">
        <v>7053</v>
      </c>
      <c r="V155" s="29" t="s">
        <v>7053</v>
      </c>
      <c r="W155" s="32" t="s">
        <v>7043</v>
      </c>
      <c r="X155" s="30">
        <v>46753.0</v>
      </c>
      <c r="Y155" s="30">
        <v>47118.0</v>
      </c>
      <c r="Z155" s="29" t="s">
        <v>7053</v>
      </c>
      <c r="AA155" s="29" t="s">
        <v>7053</v>
      </c>
      <c r="AB155" s="32" t="s">
        <v>7043</v>
      </c>
      <c r="AC155" s="30">
        <v>47119.0</v>
      </c>
      <c r="AD155" s="30">
        <v>47483.0</v>
      </c>
      <c r="AE155" s="29" t="s">
        <v>7053</v>
      </c>
      <c r="AF155" s="29" t="s">
        <v>7053</v>
      </c>
      <c r="AG155" s="32" t="s">
        <v>7043</v>
      </c>
      <c r="AH155" s="30">
        <v>47484.0</v>
      </c>
      <c r="AI155" s="30">
        <v>47848.0</v>
      </c>
      <c r="AJ155" s="29" t="s">
        <v>7053</v>
      </c>
      <c r="AK155" s="29" t="s">
        <v>7053</v>
      </c>
      <c r="AL155" s="32" t="s">
        <v>7043</v>
      </c>
    </row>
    <row r="156" ht="14.25" customHeight="1">
      <c r="A156" s="28" t="s">
        <v>3123</v>
      </c>
      <c r="B156" s="29" t="s">
        <v>3124</v>
      </c>
      <c r="C156" s="29" t="s">
        <v>7041</v>
      </c>
      <c r="D156" s="30">
        <v>45292.0</v>
      </c>
      <c r="E156" s="30">
        <v>45657.0</v>
      </c>
      <c r="F156" s="29" t="s">
        <v>7078</v>
      </c>
      <c r="G156" s="29" t="s">
        <v>7067</v>
      </c>
      <c r="H156" s="37" t="s">
        <v>7046</v>
      </c>
      <c r="I156" s="30">
        <v>45658.0</v>
      </c>
      <c r="J156" s="30">
        <v>46022.0</v>
      </c>
      <c r="K156" s="29" t="s">
        <v>7126</v>
      </c>
      <c r="L156" s="29" t="s">
        <v>7053</v>
      </c>
      <c r="M156" s="38" t="s">
        <v>7047</v>
      </c>
      <c r="N156" s="30">
        <v>46023.0</v>
      </c>
      <c r="O156" s="30">
        <v>46387.0</v>
      </c>
      <c r="P156" s="29" t="s">
        <v>7053</v>
      </c>
      <c r="Q156" s="29" t="s">
        <v>7053</v>
      </c>
      <c r="R156" s="32" t="s">
        <v>7043</v>
      </c>
      <c r="S156" s="30">
        <v>46388.0</v>
      </c>
      <c r="T156" s="30">
        <v>46752.0</v>
      </c>
      <c r="U156" s="29" t="s">
        <v>7053</v>
      </c>
      <c r="V156" s="29" t="s">
        <v>7053</v>
      </c>
      <c r="W156" s="32" t="s">
        <v>7043</v>
      </c>
      <c r="X156" s="30">
        <v>46753.0</v>
      </c>
      <c r="Y156" s="30">
        <v>47118.0</v>
      </c>
      <c r="Z156" s="29" t="s">
        <v>7053</v>
      </c>
      <c r="AA156" s="29" t="s">
        <v>7053</v>
      </c>
      <c r="AB156" s="32" t="s">
        <v>7043</v>
      </c>
      <c r="AC156" s="30">
        <v>47119.0</v>
      </c>
      <c r="AD156" s="30">
        <v>47483.0</v>
      </c>
      <c r="AE156" s="29" t="s">
        <v>7053</v>
      </c>
      <c r="AF156" s="29" t="s">
        <v>7053</v>
      </c>
      <c r="AG156" s="32" t="s">
        <v>7043</v>
      </c>
      <c r="AH156" s="30">
        <v>47484.0</v>
      </c>
      <c r="AI156" s="30">
        <v>47848.0</v>
      </c>
      <c r="AJ156" s="29" t="s">
        <v>7053</v>
      </c>
      <c r="AK156" s="29" t="s">
        <v>7053</v>
      </c>
      <c r="AL156" s="32" t="s">
        <v>7043</v>
      </c>
    </row>
    <row r="157" ht="14.25" customHeight="1">
      <c r="A157" s="28" t="s">
        <v>3155</v>
      </c>
      <c r="B157" s="29" t="s">
        <v>3156</v>
      </c>
      <c r="C157" s="29" t="s">
        <v>7041</v>
      </c>
      <c r="D157" s="30">
        <v>45292.0</v>
      </c>
      <c r="E157" s="30">
        <v>45657.0</v>
      </c>
      <c r="F157" s="29" t="s">
        <v>7112</v>
      </c>
      <c r="G157" s="29" t="s">
        <v>7051</v>
      </c>
      <c r="H157" s="38" t="s">
        <v>7047</v>
      </c>
      <c r="I157" s="30">
        <v>45658.0</v>
      </c>
      <c r="J157" s="30">
        <v>46022.0</v>
      </c>
      <c r="K157" s="29" t="s">
        <v>7112</v>
      </c>
      <c r="L157" s="29" t="s">
        <v>7128</v>
      </c>
      <c r="M157" s="38" t="s">
        <v>7047</v>
      </c>
      <c r="N157" s="30">
        <v>46023.0</v>
      </c>
      <c r="O157" s="30">
        <v>46387.0</v>
      </c>
      <c r="P157" s="29" t="s">
        <v>7053</v>
      </c>
      <c r="Q157" s="29" t="s">
        <v>7053</v>
      </c>
      <c r="R157" s="32" t="s">
        <v>7043</v>
      </c>
      <c r="S157" s="30">
        <v>46388.0</v>
      </c>
      <c r="T157" s="30">
        <v>46752.0</v>
      </c>
      <c r="U157" s="29" t="s">
        <v>7053</v>
      </c>
      <c r="V157" s="29" t="s">
        <v>7053</v>
      </c>
      <c r="W157" s="32" t="s">
        <v>7043</v>
      </c>
      <c r="X157" s="30">
        <v>46753.0</v>
      </c>
      <c r="Y157" s="30">
        <v>47118.0</v>
      </c>
      <c r="Z157" s="29" t="s">
        <v>7053</v>
      </c>
      <c r="AA157" s="29" t="s">
        <v>7053</v>
      </c>
      <c r="AB157" s="32" t="s">
        <v>7043</v>
      </c>
      <c r="AC157" s="30">
        <v>47119.0</v>
      </c>
      <c r="AD157" s="30">
        <v>47483.0</v>
      </c>
      <c r="AE157" s="29" t="s">
        <v>7053</v>
      </c>
      <c r="AF157" s="29" t="s">
        <v>7053</v>
      </c>
      <c r="AG157" s="32" t="s">
        <v>7043</v>
      </c>
      <c r="AH157" s="30">
        <v>47484.0</v>
      </c>
      <c r="AI157" s="30">
        <v>47848.0</v>
      </c>
      <c r="AJ157" s="29" t="s">
        <v>7053</v>
      </c>
      <c r="AK157" s="29" t="s">
        <v>7053</v>
      </c>
      <c r="AL157" s="32" t="s">
        <v>7043</v>
      </c>
    </row>
    <row r="158" ht="14.25" customHeight="1">
      <c r="A158" s="28" t="s">
        <v>3173</v>
      </c>
      <c r="B158" s="29" t="s">
        <v>3174</v>
      </c>
      <c r="C158" s="29" t="s">
        <v>7041</v>
      </c>
      <c r="D158" s="30">
        <v>45292.0</v>
      </c>
      <c r="E158" s="30">
        <v>45657.0</v>
      </c>
      <c r="F158" s="29" t="s">
        <v>7129</v>
      </c>
      <c r="G158" s="29" t="s">
        <v>7142</v>
      </c>
      <c r="H158" s="32" t="s">
        <v>7043</v>
      </c>
      <c r="I158" s="30">
        <v>45658.0</v>
      </c>
      <c r="J158" s="30">
        <v>46022.0</v>
      </c>
      <c r="K158" s="29" t="s">
        <v>7143</v>
      </c>
      <c r="L158" s="29" t="s">
        <v>7144</v>
      </c>
      <c r="M158" s="32" t="s">
        <v>7043</v>
      </c>
      <c r="N158" s="30">
        <v>46023.0</v>
      </c>
      <c r="O158" s="30">
        <v>46387.0</v>
      </c>
      <c r="P158" s="29" t="s">
        <v>7053</v>
      </c>
      <c r="Q158" s="29" t="s">
        <v>7053</v>
      </c>
      <c r="R158" s="32" t="s">
        <v>7043</v>
      </c>
      <c r="S158" s="30">
        <v>46388.0</v>
      </c>
      <c r="T158" s="30">
        <v>46752.0</v>
      </c>
      <c r="U158" s="29" t="s">
        <v>7053</v>
      </c>
      <c r="V158" s="29" t="s">
        <v>7053</v>
      </c>
      <c r="W158" s="32" t="s">
        <v>7043</v>
      </c>
      <c r="X158" s="30">
        <v>46753.0</v>
      </c>
      <c r="Y158" s="30">
        <v>47118.0</v>
      </c>
      <c r="Z158" s="29" t="s">
        <v>7053</v>
      </c>
      <c r="AA158" s="29" t="s">
        <v>7053</v>
      </c>
      <c r="AB158" s="32" t="s">
        <v>7043</v>
      </c>
      <c r="AC158" s="30">
        <v>47119.0</v>
      </c>
      <c r="AD158" s="30">
        <v>47483.0</v>
      </c>
      <c r="AE158" s="29" t="s">
        <v>7053</v>
      </c>
      <c r="AF158" s="29" t="s">
        <v>7053</v>
      </c>
      <c r="AG158" s="32" t="s">
        <v>7043</v>
      </c>
      <c r="AH158" s="30">
        <v>47484.0</v>
      </c>
      <c r="AI158" s="30">
        <v>47848.0</v>
      </c>
      <c r="AJ158" s="29" t="s">
        <v>7053</v>
      </c>
      <c r="AK158" s="29" t="s">
        <v>7053</v>
      </c>
      <c r="AL158" s="32" t="s">
        <v>7043</v>
      </c>
    </row>
    <row r="159" ht="14.25" customHeight="1">
      <c r="A159" s="28" t="s">
        <v>3183</v>
      </c>
      <c r="B159" s="29" t="s">
        <v>3184</v>
      </c>
      <c r="C159" s="29" t="s">
        <v>7041</v>
      </c>
      <c r="D159" s="30">
        <v>45292.0</v>
      </c>
      <c r="E159" s="30">
        <v>45657.0</v>
      </c>
      <c r="F159" s="29" t="s">
        <v>7080</v>
      </c>
      <c r="G159" s="29" t="s">
        <v>7051</v>
      </c>
      <c r="H159" s="32" t="s">
        <v>7043</v>
      </c>
      <c r="I159" s="30">
        <v>45658.0</v>
      </c>
      <c r="J159" s="30">
        <v>46022.0</v>
      </c>
      <c r="K159" s="29" t="s">
        <v>7080</v>
      </c>
      <c r="L159" s="29" t="s">
        <v>7053</v>
      </c>
      <c r="M159" s="38" t="s">
        <v>7047</v>
      </c>
      <c r="N159" s="30">
        <v>46023.0</v>
      </c>
      <c r="O159" s="30">
        <v>46387.0</v>
      </c>
      <c r="P159" s="29" t="s">
        <v>7053</v>
      </c>
      <c r="Q159" s="29" t="s">
        <v>7053</v>
      </c>
      <c r="R159" s="32" t="s">
        <v>7043</v>
      </c>
      <c r="S159" s="30">
        <v>46388.0</v>
      </c>
      <c r="T159" s="30">
        <v>46752.0</v>
      </c>
      <c r="U159" s="29" t="s">
        <v>7053</v>
      </c>
      <c r="V159" s="29" t="s">
        <v>7053</v>
      </c>
      <c r="W159" s="32" t="s">
        <v>7043</v>
      </c>
      <c r="X159" s="30">
        <v>46753.0</v>
      </c>
      <c r="Y159" s="30">
        <v>47118.0</v>
      </c>
      <c r="Z159" s="29" t="s">
        <v>7053</v>
      </c>
      <c r="AA159" s="29" t="s">
        <v>7053</v>
      </c>
      <c r="AB159" s="32" t="s">
        <v>7043</v>
      </c>
      <c r="AC159" s="30">
        <v>47119.0</v>
      </c>
      <c r="AD159" s="30">
        <v>47483.0</v>
      </c>
      <c r="AE159" s="29" t="s">
        <v>7053</v>
      </c>
      <c r="AF159" s="29" t="s">
        <v>7053</v>
      </c>
      <c r="AG159" s="32" t="s">
        <v>7043</v>
      </c>
      <c r="AH159" s="30">
        <v>47484.0</v>
      </c>
      <c r="AI159" s="30">
        <v>47848.0</v>
      </c>
      <c r="AJ159" s="29" t="s">
        <v>7053</v>
      </c>
      <c r="AK159" s="29" t="s">
        <v>7053</v>
      </c>
      <c r="AL159" s="32" t="s">
        <v>7043</v>
      </c>
    </row>
    <row r="160" ht="14.25" customHeight="1">
      <c r="A160" s="28" t="s">
        <v>2604</v>
      </c>
      <c r="B160" s="29" t="s">
        <v>2605</v>
      </c>
      <c r="C160" s="29" t="s">
        <v>7041</v>
      </c>
      <c r="D160" s="30">
        <v>45292.0</v>
      </c>
      <c r="E160" s="30">
        <v>45657.0</v>
      </c>
      <c r="F160" s="29" t="s">
        <v>7086</v>
      </c>
      <c r="G160" s="29" t="s">
        <v>7092</v>
      </c>
      <c r="H160" s="32" t="s">
        <v>7043</v>
      </c>
      <c r="I160" s="30">
        <v>45658.0</v>
      </c>
      <c r="J160" s="30">
        <v>46022.0</v>
      </c>
      <c r="K160" s="29" t="s">
        <v>7086</v>
      </c>
      <c r="L160" s="29" t="s">
        <v>7053</v>
      </c>
      <c r="M160" s="38" t="s">
        <v>7047</v>
      </c>
      <c r="N160" s="30">
        <v>46023.0</v>
      </c>
      <c r="O160" s="30">
        <v>46387.0</v>
      </c>
      <c r="P160" s="29" t="s">
        <v>7053</v>
      </c>
      <c r="Q160" s="29" t="s">
        <v>7053</v>
      </c>
      <c r="R160" s="32" t="s">
        <v>7043</v>
      </c>
      <c r="S160" s="30">
        <v>46388.0</v>
      </c>
      <c r="T160" s="30">
        <v>46752.0</v>
      </c>
      <c r="U160" s="29" t="s">
        <v>7053</v>
      </c>
      <c r="V160" s="29" t="s">
        <v>7053</v>
      </c>
      <c r="W160" s="32" t="s">
        <v>7043</v>
      </c>
      <c r="X160" s="30">
        <v>46753.0</v>
      </c>
      <c r="Y160" s="30">
        <v>47118.0</v>
      </c>
      <c r="Z160" s="29" t="s">
        <v>7053</v>
      </c>
      <c r="AA160" s="29" t="s">
        <v>7053</v>
      </c>
      <c r="AB160" s="32" t="s">
        <v>7043</v>
      </c>
      <c r="AC160" s="30">
        <v>47119.0</v>
      </c>
      <c r="AD160" s="30">
        <v>47483.0</v>
      </c>
      <c r="AE160" s="29" t="s">
        <v>7053</v>
      </c>
      <c r="AF160" s="29" t="s">
        <v>7053</v>
      </c>
      <c r="AG160" s="32" t="s">
        <v>7043</v>
      </c>
      <c r="AH160" s="30">
        <v>47484.0</v>
      </c>
      <c r="AI160" s="30">
        <v>47848.0</v>
      </c>
      <c r="AJ160" s="29" t="s">
        <v>7053</v>
      </c>
      <c r="AK160" s="29" t="s">
        <v>7053</v>
      </c>
      <c r="AL160" s="32" t="s">
        <v>7043</v>
      </c>
    </row>
    <row r="161" ht="14.25" customHeight="1">
      <c r="A161" s="28" t="s">
        <v>3189</v>
      </c>
      <c r="B161" s="29" t="s">
        <v>3190</v>
      </c>
      <c r="C161" s="29" t="s">
        <v>7041</v>
      </c>
      <c r="D161" s="30">
        <v>45292.0</v>
      </c>
      <c r="E161" s="30">
        <v>45657.0</v>
      </c>
      <c r="F161" s="29" t="s">
        <v>7120</v>
      </c>
      <c r="G161" s="29" t="s">
        <v>7051</v>
      </c>
      <c r="H161" s="37" t="s">
        <v>7046</v>
      </c>
      <c r="I161" s="30">
        <v>45658.0</v>
      </c>
      <c r="J161" s="30">
        <v>46022.0</v>
      </c>
      <c r="K161" s="29" t="s">
        <v>7117</v>
      </c>
      <c r="L161" s="29" t="s">
        <v>7053</v>
      </c>
      <c r="M161" s="38" t="s">
        <v>7047</v>
      </c>
      <c r="N161" s="30">
        <v>46023.0</v>
      </c>
      <c r="O161" s="30">
        <v>46387.0</v>
      </c>
      <c r="P161" s="29" t="s">
        <v>7053</v>
      </c>
      <c r="Q161" s="29" t="s">
        <v>7053</v>
      </c>
      <c r="R161" s="32" t="s">
        <v>7043</v>
      </c>
      <c r="S161" s="30">
        <v>46388.0</v>
      </c>
      <c r="T161" s="30">
        <v>46752.0</v>
      </c>
      <c r="U161" s="29" t="s">
        <v>7053</v>
      </c>
      <c r="V161" s="29" t="s">
        <v>7053</v>
      </c>
      <c r="W161" s="32" t="s">
        <v>7043</v>
      </c>
      <c r="X161" s="30">
        <v>46753.0</v>
      </c>
      <c r="Y161" s="30">
        <v>47118.0</v>
      </c>
      <c r="Z161" s="29" t="s">
        <v>7053</v>
      </c>
      <c r="AA161" s="29" t="s">
        <v>7053</v>
      </c>
      <c r="AB161" s="32" t="s">
        <v>7043</v>
      </c>
      <c r="AC161" s="30">
        <v>47119.0</v>
      </c>
      <c r="AD161" s="30">
        <v>47483.0</v>
      </c>
      <c r="AE161" s="29" t="s">
        <v>7053</v>
      </c>
      <c r="AF161" s="29" t="s">
        <v>7053</v>
      </c>
      <c r="AG161" s="32" t="s">
        <v>7043</v>
      </c>
      <c r="AH161" s="30">
        <v>47484.0</v>
      </c>
      <c r="AI161" s="30">
        <v>47848.0</v>
      </c>
      <c r="AJ161" s="29" t="s">
        <v>7053</v>
      </c>
      <c r="AK161" s="29" t="s">
        <v>7053</v>
      </c>
      <c r="AL161" s="32" t="s">
        <v>7043</v>
      </c>
    </row>
    <row r="162" ht="14.25" customHeight="1">
      <c r="A162" s="28" t="s">
        <v>3203</v>
      </c>
      <c r="B162" s="29" t="s">
        <v>3204</v>
      </c>
      <c r="C162" s="29" t="s">
        <v>7041</v>
      </c>
      <c r="D162" s="30">
        <v>45292.0</v>
      </c>
      <c r="E162" s="30">
        <v>45657.0</v>
      </c>
      <c r="F162" s="29" t="s">
        <v>7111</v>
      </c>
      <c r="G162" s="29" t="s">
        <v>7051</v>
      </c>
      <c r="H162" s="32" t="s">
        <v>7043</v>
      </c>
      <c r="I162" s="30">
        <v>45658.0</v>
      </c>
      <c r="J162" s="30">
        <v>46022.0</v>
      </c>
      <c r="K162" s="29" t="s">
        <v>7075</v>
      </c>
      <c r="L162" s="29" t="s">
        <v>7053</v>
      </c>
      <c r="M162" s="38" t="s">
        <v>7047</v>
      </c>
      <c r="N162" s="30">
        <v>46023.0</v>
      </c>
      <c r="O162" s="30">
        <v>46387.0</v>
      </c>
      <c r="P162" s="29" t="s">
        <v>7053</v>
      </c>
      <c r="Q162" s="29" t="s">
        <v>7053</v>
      </c>
      <c r="R162" s="32" t="s">
        <v>7043</v>
      </c>
      <c r="S162" s="30">
        <v>46388.0</v>
      </c>
      <c r="T162" s="30">
        <v>46752.0</v>
      </c>
      <c r="U162" s="29" t="s">
        <v>7053</v>
      </c>
      <c r="V162" s="29" t="s">
        <v>7053</v>
      </c>
      <c r="W162" s="32" t="s">
        <v>7043</v>
      </c>
      <c r="X162" s="30">
        <v>46753.0</v>
      </c>
      <c r="Y162" s="30">
        <v>47118.0</v>
      </c>
      <c r="Z162" s="29" t="s">
        <v>7053</v>
      </c>
      <c r="AA162" s="29" t="s">
        <v>7053</v>
      </c>
      <c r="AB162" s="32" t="s">
        <v>7043</v>
      </c>
      <c r="AC162" s="30">
        <v>47119.0</v>
      </c>
      <c r="AD162" s="30">
        <v>47483.0</v>
      </c>
      <c r="AE162" s="29" t="s">
        <v>7053</v>
      </c>
      <c r="AF162" s="29" t="s">
        <v>7053</v>
      </c>
      <c r="AG162" s="32" t="s">
        <v>7043</v>
      </c>
      <c r="AH162" s="30">
        <v>47484.0</v>
      </c>
      <c r="AI162" s="30">
        <v>47848.0</v>
      </c>
      <c r="AJ162" s="29" t="s">
        <v>7053</v>
      </c>
      <c r="AK162" s="29" t="s">
        <v>7053</v>
      </c>
      <c r="AL162" s="32" t="s">
        <v>7043</v>
      </c>
    </row>
    <row r="163" ht="14.25" customHeight="1">
      <c r="A163" s="28" t="s">
        <v>3206</v>
      </c>
      <c r="B163" s="29" t="s">
        <v>3207</v>
      </c>
      <c r="C163" s="29" t="s">
        <v>7041</v>
      </c>
      <c r="D163" s="30">
        <v>45292.0</v>
      </c>
      <c r="E163" s="30">
        <v>45657.0</v>
      </c>
      <c r="F163" s="29" t="s">
        <v>7131</v>
      </c>
      <c r="G163" s="29" t="s">
        <v>7051</v>
      </c>
      <c r="H163" s="32" t="s">
        <v>7043</v>
      </c>
      <c r="I163" s="30">
        <v>45658.0</v>
      </c>
      <c r="J163" s="30">
        <v>46022.0</v>
      </c>
      <c r="K163" s="29" t="s">
        <v>7088</v>
      </c>
      <c r="L163" s="29" t="s">
        <v>7053</v>
      </c>
      <c r="M163" s="38" t="s">
        <v>7047</v>
      </c>
      <c r="N163" s="30">
        <v>46023.0</v>
      </c>
      <c r="O163" s="30">
        <v>46387.0</v>
      </c>
      <c r="P163" s="29" t="s">
        <v>7053</v>
      </c>
      <c r="Q163" s="29" t="s">
        <v>7053</v>
      </c>
      <c r="R163" s="32" t="s">
        <v>7043</v>
      </c>
      <c r="S163" s="30">
        <v>46388.0</v>
      </c>
      <c r="T163" s="30">
        <v>46752.0</v>
      </c>
      <c r="U163" s="29" t="s">
        <v>7053</v>
      </c>
      <c r="V163" s="29" t="s">
        <v>7053</v>
      </c>
      <c r="W163" s="32" t="s">
        <v>7043</v>
      </c>
      <c r="X163" s="30">
        <v>46753.0</v>
      </c>
      <c r="Y163" s="30">
        <v>47118.0</v>
      </c>
      <c r="Z163" s="29" t="s">
        <v>7053</v>
      </c>
      <c r="AA163" s="29" t="s">
        <v>7053</v>
      </c>
      <c r="AB163" s="32" t="s">
        <v>7043</v>
      </c>
      <c r="AC163" s="30">
        <v>47119.0</v>
      </c>
      <c r="AD163" s="30">
        <v>47483.0</v>
      </c>
      <c r="AE163" s="29" t="s">
        <v>7053</v>
      </c>
      <c r="AF163" s="29" t="s">
        <v>7053</v>
      </c>
      <c r="AG163" s="32" t="s">
        <v>7043</v>
      </c>
      <c r="AH163" s="30">
        <v>47484.0</v>
      </c>
      <c r="AI163" s="30">
        <v>47848.0</v>
      </c>
      <c r="AJ163" s="29" t="s">
        <v>7053</v>
      </c>
      <c r="AK163" s="29" t="s">
        <v>7053</v>
      </c>
      <c r="AL163" s="32" t="s">
        <v>7043</v>
      </c>
    </row>
    <row r="164" ht="14.25" customHeight="1">
      <c r="A164" s="28" t="s">
        <v>3234</v>
      </c>
      <c r="B164" s="29" t="s">
        <v>3235</v>
      </c>
      <c r="C164" s="29" t="s">
        <v>7041</v>
      </c>
      <c r="D164" s="30">
        <v>45292.0</v>
      </c>
      <c r="E164" s="30">
        <v>45657.0</v>
      </c>
      <c r="F164" s="29" t="s">
        <v>7051</v>
      </c>
      <c r="G164" s="29" t="s">
        <v>7112</v>
      </c>
      <c r="H164" s="37" t="s">
        <v>7046</v>
      </c>
      <c r="I164" s="30">
        <v>45658.0</v>
      </c>
      <c r="J164" s="30">
        <v>46022.0</v>
      </c>
      <c r="K164" s="29" t="s">
        <v>7067</v>
      </c>
      <c r="L164" s="29" t="s">
        <v>7053</v>
      </c>
      <c r="M164" s="38" t="s">
        <v>7047</v>
      </c>
      <c r="N164" s="30">
        <v>46023.0</v>
      </c>
      <c r="O164" s="30">
        <v>46387.0</v>
      </c>
      <c r="P164" s="29" t="s">
        <v>7053</v>
      </c>
      <c r="Q164" s="29" t="s">
        <v>7053</v>
      </c>
      <c r="R164" s="32" t="s">
        <v>7043</v>
      </c>
      <c r="S164" s="30">
        <v>46388.0</v>
      </c>
      <c r="T164" s="30">
        <v>46752.0</v>
      </c>
      <c r="U164" s="29" t="s">
        <v>7053</v>
      </c>
      <c r="V164" s="29" t="s">
        <v>7053</v>
      </c>
      <c r="W164" s="32" t="s">
        <v>7043</v>
      </c>
      <c r="X164" s="30">
        <v>46753.0</v>
      </c>
      <c r="Y164" s="30">
        <v>47118.0</v>
      </c>
      <c r="Z164" s="29" t="s">
        <v>7053</v>
      </c>
      <c r="AA164" s="29" t="s">
        <v>7053</v>
      </c>
      <c r="AB164" s="32" t="s">
        <v>7043</v>
      </c>
      <c r="AC164" s="30">
        <v>47119.0</v>
      </c>
      <c r="AD164" s="30">
        <v>47483.0</v>
      </c>
      <c r="AE164" s="29" t="s">
        <v>7053</v>
      </c>
      <c r="AF164" s="29" t="s">
        <v>7053</v>
      </c>
      <c r="AG164" s="32" t="s">
        <v>7043</v>
      </c>
      <c r="AH164" s="30">
        <v>47484.0</v>
      </c>
      <c r="AI164" s="30">
        <v>47848.0</v>
      </c>
      <c r="AJ164" s="29" t="s">
        <v>7053</v>
      </c>
      <c r="AK164" s="29" t="s">
        <v>7053</v>
      </c>
      <c r="AL164" s="32" t="s">
        <v>7043</v>
      </c>
    </row>
    <row r="165" ht="14.25" customHeight="1">
      <c r="A165" s="28" t="s">
        <v>3246</v>
      </c>
      <c r="B165" s="29" t="s">
        <v>3247</v>
      </c>
      <c r="C165" s="29" t="s">
        <v>7041</v>
      </c>
      <c r="D165" s="30">
        <v>45292.0</v>
      </c>
      <c r="E165" s="30">
        <v>45657.0</v>
      </c>
      <c r="F165" s="29" t="s">
        <v>7053</v>
      </c>
      <c r="G165" s="29" t="s">
        <v>7055</v>
      </c>
      <c r="H165" s="32" t="s">
        <v>7043</v>
      </c>
      <c r="I165" s="30">
        <v>45658.0</v>
      </c>
      <c r="J165" s="30">
        <v>46022.0</v>
      </c>
      <c r="K165" s="29" t="s">
        <v>7071</v>
      </c>
      <c r="L165" s="29" t="s">
        <v>7053</v>
      </c>
      <c r="M165" s="32" t="s">
        <v>7047</v>
      </c>
      <c r="N165" s="30">
        <v>46023.0</v>
      </c>
      <c r="O165" s="30">
        <v>46387.0</v>
      </c>
      <c r="P165" s="29" t="s">
        <v>7053</v>
      </c>
      <c r="Q165" s="29" t="s">
        <v>7053</v>
      </c>
      <c r="R165" s="32" t="s">
        <v>7043</v>
      </c>
      <c r="S165" s="30">
        <v>46388.0</v>
      </c>
      <c r="T165" s="30">
        <v>46752.0</v>
      </c>
      <c r="U165" s="29" t="s">
        <v>7053</v>
      </c>
      <c r="V165" s="29" t="s">
        <v>7053</v>
      </c>
      <c r="W165" s="32" t="s">
        <v>7043</v>
      </c>
      <c r="X165" s="30">
        <v>46753.0</v>
      </c>
      <c r="Y165" s="30">
        <v>47118.0</v>
      </c>
      <c r="Z165" s="29" t="s">
        <v>7053</v>
      </c>
      <c r="AA165" s="29" t="s">
        <v>7053</v>
      </c>
      <c r="AB165" s="32" t="s">
        <v>7043</v>
      </c>
      <c r="AC165" s="30">
        <v>47119.0</v>
      </c>
      <c r="AD165" s="30">
        <v>47483.0</v>
      </c>
      <c r="AE165" s="29" t="s">
        <v>7053</v>
      </c>
      <c r="AF165" s="29" t="s">
        <v>7053</v>
      </c>
      <c r="AG165" s="32" t="s">
        <v>7043</v>
      </c>
      <c r="AH165" s="30">
        <v>47484.0</v>
      </c>
      <c r="AI165" s="30">
        <v>47848.0</v>
      </c>
      <c r="AJ165" s="29" t="s">
        <v>7053</v>
      </c>
      <c r="AK165" s="29" t="s">
        <v>7053</v>
      </c>
      <c r="AL165" s="32" t="s">
        <v>7043</v>
      </c>
    </row>
    <row r="166" ht="14.25" customHeight="1">
      <c r="A166" s="28" t="s">
        <v>3264</v>
      </c>
      <c r="B166" s="29" t="s">
        <v>3265</v>
      </c>
      <c r="C166" s="29" t="s">
        <v>7041</v>
      </c>
      <c r="D166" s="30">
        <v>45292.0</v>
      </c>
      <c r="E166" s="30">
        <v>45657.0</v>
      </c>
      <c r="F166" s="29" t="s">
        <v>7119</v>
      </c>
      <c r="G166" s="29" t="s">
        <v>7051</v>
      </c>
      <c r="H166" s="32" t="s">
        <v>7043</v>
      </c>
      <c r="I166" s="30">
        <v>45658.0</v>
      </c>
      <c r="J166" s="30">
        <v>46022.0</v>
      </c>
      <c r="K166" s="29" t="s">
        <v>7084</v>
      </c>
      <c r="L166" s="29" t="s">
        <v>7053</v>
      </c>
      <c r="M166" s="38" t="s">
        <v>7047</v>
      </c>
      <c r="N166" s="30">
        <v>46023.0</v>
      </c>
      <c r="O166" s="30">
        <v>46387.0</v>
      </c>
      <c r="P166" s="29" t="s">
        <v>7053</v>
      </c>
      <c r="Q166" s="29" t="s">
        <v>7053</v>
      </c>
      <c r="R166" s="32" t="s">
        <v>7043</v>
      </c>
      <c r="S166" s="30">
        <v>46388.0</v>
      </c>
      <c r="T166" s="30">
        <v>46752.0</v>
      </c>
      <c r="U166" s="29" t="s">
        <v>7053</v>
      </c>
      <c r="V166" s="29" t="s">
        <v>7053</v>
      </c>
      <c r="W166" s="32" t="s">
        <v>7043</v>
      </c>
      <c r="X166" s="30">
        <v>46753.0</v>
      </c>
      <c r="Y166" s="30">
        <v>47118.0</v>
      </c>
      <c r="Z166" s="29" t="s">
        <v>7053</v>
      </c>
      <c r="AA166" s="29" t="s">
        <v>7053</v>
      </c>
      <c r="AB166" s="32" t="s">
        <v>7043</v>
      </c>
      <c r="AC166" s="30">
        <v>47119.0</v>
      </c>
      <c r="AD166" s="30">
        <v>47483.0</v>
      </c>
      <c r="AE166" s="29" t="s">
        <v>7053</v>
      </c>
      <c r="AF166" s="29" t="s">
        <v>7053</v>
      </c>
      <c r="AG166" s="32" t="s">
        <v>7043</v>
      </c>
      <c r="AH166" s="30">
        <v>47484.0</v>
      </c>
      <c r="AI166" s="30">
        <v>47848.0</v>
      </c>
      <c r="AJ166" s="29" t="s">
        <v>7053</v>
      </c>
      <c r="AK166" s="29" t="s">
        <v>7053</v>
      </c>
      <c r="AL166" s="32" t="s">
        <v>7043</v>
      </c>
    </row>
    <row r="167" ht="14.25" customHeight="1">
      <c r="A167" s="28" t="s">
        <v>3272</v>
      </c>
      <c r="B167" s="29" t="s">
        <v>3273</v>
      </c>
      <c r="C167" s="29" t="s">
        <v>7041</v>
      </c>
      <c r="D167" s="30">
        <v>45292.0</v>
      </c>
      <c r="E167" s="30">
        <v>45657.0</v>
      </c>
      <c r="F167" s="29" t="s">
        <v>7050</v>
      </c>
      <c r="G167" s="29" t="s">
        <v>7055</v>
      </c>
      <c r="H167" s="32" t="s">
        <v>7043</v>
      </c>
      <c r="I167" s="30">
        <v>45658.0</v>
      </c>
      <c r="J167" s="30">
        <v>46022.0</v>
      </c>
      <c r="K167" s="29" t="s">
        <v>7101</v>
      </c>
      <c r="L167" s="29" t="s">
        <v>7053</v>
      </c>
      <c r="M167" s="38" t="s">
        <v>7047</v>
      </c>
      <c r="N167" s="30">
        <v>46023.0</v>
      </c>
      <c r="O167" s="30">
        <v>46387.0</v>
      </c>
      <c r="P167" s="29" t="s">
        <v>7053</v>
      </c>
      <c r="Q167" s="29" t="s">
        <v>7053</v>
      </c>
      <c r="R167" s="32" t="s">
        <v>7043</v>
      </c>
      <c r="S167" s="30">
        <v>46388.0</v>
      </c>
      <c r="T167" s="30">
        <v>46752.0</v>
      </c>
      <c r="U167" s="29" t="s">
        <v>7053</v>
      </c>
      <c r="V167" s="29" t="s">
        <v>7053</v>
      </c>
      <c r="W167" s="32" t="s">
        <v>7043</v>
      </c>
      <c r="X167" s="30">
        <v>46753.0</v>
      </c>
      <c r="Y167" s="30">
        <v>47118.0</v>
      </c>
      <c r="Z167" s="29" t="s">
        <v>7053</v>
      </c>
      <c r="AA167" s="29" t="s">
        <v>7053</v>
      </c>
      <c r="AB167" s="32" t="s">
        <v>7043</v>
      </c>
      <c r="AC167" s="30">
        <v>47119.0</v>
      </c>
      <c r="AD167" s="30">
        <v>47483.0</v>
      </c>
      <c r="AE167" s="29" t="s">
        <v>7053</v>
      </c>
      <c r="AF167" s="29" t="s">
        <v>7053</v>
      </c>
      <c r="AG167" s="32" t="s">
        <v>7043</v>
      </c>
      <c r="AH167" s="30">
        <v>47484.0</v>
      </c>
      <c r="AI167" s="30">
        <v>47848.0</v>
      </c>
      <c r="AJ167" s="29" t="s">
        <v>7053</v>
      </c>
      <c r="AK167" s="29" t="s">
        <v>7053</v>
      </c>
      <c r="AL167" s="32" t="s">
        <v>7043</v>
      </c>
    </row>
    <row r="168" ht="14.25" customHeight="1">
      <c r="A168" s="28" t="s">
        <v>3291</v>
      </c>
      <c r="B168" s="29" t="s">
        <v>3292</v>
      </c>
      <c r="C168" s="29" t="s">
        <v>7041</v>
      </c>
      <c r="D168" s="30">
        <v>45292.0</v>
      </c>
      <c r="E168" s="30">
        <v>45657.0</v>
      </c>
      <c r="F168" s="29" t="s">
        <v>7084</v>
      </c>
      <c r="G168" s="29" t="s">
        <v>7051</v>
      </c>
      <c r="H168" s="37" t="s">
        <v>7046</v>
      </c>
      <c r="I168" s="30">
        <v>45658.0</v>
      </c>
      <c r="J168" s="30">
        <v>46022.0</v>
      </c>
      <c r="K168" s="29" t="s">
        <v>7120</v>
      </c>
      <c r="L168" s="29" t="s">
        <v>7053</v>
      </c>
      <c r="M168" s="38" t="s">
        <v>7047</v>
      </c>
      <c r="N168" s="30">
        <v>46023.0</v>
      </c>
      <c r="O168" s="30">
        <v>46387.0</v>
      </c>
      <c r="P168" s="29" t="s">
        <v>7053</v>
      </c>
      <c r="Q168" s="29" t="s">
        <v>7053</v>
      </c>
      <c r="R168" s="32" t="s">
        <v>7043</v>
      </c>
      <c r="S168" s="30">
        <v>46388.0</v>
      </c>
      <c r="T168" s="30">
        <v>46752.0</v>
      </c>
      <c r="U168" s="29" t="s">
        <v>7053</v>
      </c>
      <c r="V168" s="29" t="s">
        <v>7053</v>
      </c>
      <c r="W168" s="32" t="s">
        <v>7043</v>
      </c>
      <c r="X168" s="30">
        <v>46753.0</v>
      </c>
      <c r="Y168" s="30">
        <v>47118.0</v>
      </c>
      <c r="Z168" s="29" t="s">
        <v>7053</v>
      </c>
      <c r="AA168" s="29" t="s">
        <v>7053</v>
      </c>
      <c r="AB168" s="32" t="s">
        <v>7043</v>
      </c>
      <c r="AC168" s="30">
        <v>47119.0</v>
      </c>
      <c r="AD168" s="30">
        <v>47483.0</v>
      </c>
      <c r="AE168" s="29" t="s">
        <v>7053</v>
      </c>
      <c r="AF168" s="29" t="s">
        <v>7053</v>
      </c>
      <c r="AG168" s="32" t="s">
        <v>7043</v>
      </c>
      <c r="AH168" s="30">
        <v>47484.0</v>
      </c>
      <c r="AI168" s="30">
        <v>47848.0</v>
      </c>
      <c r="AJ168" s="29" t="s">
        <v>7053</v>
      </c>
      <c r="AK168" s="29" t="s">
        <v>7053</v>
      </c>
      <c r="AL168" s="32" t="s">
        <v>7043</v>
      </c>
    </row>
    <row r="169" ht="14.25" customHeight="1">
      <c r="A169" s="28" t="s">
        <v>3320</v>
      </c>
      <c r="B169" s="29" t="s">
        <v>3321</v>
      </c>
      <c r="C169" s="29" t="s">
        <v>7041</v>
      </c>
      <c r="D169" s="30">
        <v>45292.0</v>
      </c>
      <c r="E169" s="30">
        <v>45657.0</v>
      </c>
      <c r="F169" s="29" t="s">
        <v>7077</v>
      </c>
      <c r="G169" s="29" t="s">
        <v>7051</v>
      </c>
      <c r="H169" s="37" t="s">
        <v>7046</v>
      </c>
      <c r="I169" s="30">
        <v>45658.0</v>
      </c>
      <c r="J169" s="30">
        <v>46022.0</v>
      </c>
      <c r="K169" s="29" t="s">
        <v>7069</v>
      </c>
      <c r="L169" s="29" t="s">
        <v>7053</v>
      </c>
      <c r="M169" s="38" t="s">
        <v>7047</v>
      </c>
      <c r="N169" s="30">
        <v>46023.0</v>
      </c>
      <c r="O169" s="30">
        <v>46387.0</v>
      </c>
      <c r="P169" s="29" t="s">
        <v>7053</v>
      </c>
      <c r="Q169" s="29" t="s">
        <v>7053</v>
      </c>
      <c r="R169" s="32" t="s">
        <v>7043</v>
      </c>
      <c r="S169" s="30">
        <v>46388.0</v>
      </c>
      <c r="T169" s="30">
        <v>46752.0</v>
      </c>
      <c r="U169" s="29" t="s">
        <v>7053</v>
      </c>
      <c r="V169" s="29" t="s">
        <v>7053</v>
      </c>
      <c r="W169" s="32" t="s">
        <v>7043</v>
      </c>
      <c r="X169" s="30">
        <v>46753.0</v>
      </c>
      <c r="Y169" s="30">
        <v>47118.0</v>
      </c>
      <c r="Z169" s="29" t="s">
        <v>7053</v>
      </c>
      <c r="AA169" s="29" t="s">
        <v>7053</v>
      </c>
      <c r="AB169" s="32" t="s">
        <v>7043</v>
      </c>
      <c r="AC169" s="30">
        <v>47119.0</v>
      </c>
      <c r="AD169" s="30">
        <v>47483.0</v>
      </c>
      <c r="AE169" s="29" t="s">
        <v>7053</v>
      </c>
      <c r="AF169" s="29" t="s">
        <v>7053</v>
      </c>
      <c r="AG169" s="32" t="s">
        <v>7043</v>
      </c>
      <c r="AH169" s="30">
        <v>47484.0</v>
      </c>
      <c r="AI169" s="30">
        <v>47848.0</v>
      </c>
      <c r="AJ169" s="29" t="s">
        <v>7053</v>
      </c>
      <c r="AK169" s="29" t="s">
        <v>7053</v>
      </c>
      <c r="AL169" s="32" t="s">
        <v>7043</v>
      </c>
    </row>
    <row r="170" ht="14.25" customHeight="1">
      <c r="A170" s="28" t="s">
        <v>3326</v>
      </c>
      <c r="B170" s="29" t="s">
        <v>3327</v>
      </c>
      <c r="C170" s="29" t="s">
        <v>7041</v>
      </c>
      <c r="D170" s="30">
        <v>45292.0</v>
      </c>
      <c r="E170" s="30">
        <v>45657.0</v>
      </c>
      <c r="F170" s="29" t="s">
        <v>7095</v>
      </c>
      <c r="G170" s="29" t="s">
        <v>7051</v>
      </c>
      <c r="H170" s="32" t="s">
        <v>7043</v>
      </c>
      <c r="I170" s="30">
        <v>45658.0</v>
      </c>
      <c r="J170" s="30">
        <v>46022.0</v>
      </c>
      <c r="K170" s="29" t="s">
        <v>7096</v>
      </c>
      <c r="L170" s="29" t="s">
        <v>7053</v>
      </c>
      <c r="M170" s="38" t="s">
        <v>7047</v>
      </c>
      <c r="N170" s="30">
        <v>46023.0</v>
      </c>
      <c r="O170" s="30">
        <v>46387.0</v>
      </c>
      <c r="P170" s="29" t="s">
        <v>7053</v>
      </c>
      <c r="Q170" s="29" t="s">
        <v>7053</v>
      </c>
      <c r="R170" s="32" t="s">
        <v>7043</v>
      </c>
      <c r="S170" s="30">
        <v>46388.0</v>
      </c>
      <c r="T170" s="30">
        <v>46752.0</v>
      </c>
      <c r="U170" s="29" t="s">
        <v>7053</v>
      </c>
      <c r="V170" s="29" t="s">
        <v>7053</v>
      </c>
      <c r="W170" s="32" t="s">
        <v>7043</v>
      </c>
      <c r="X170" s="30">
        <v>46753.0</v>
      </c>
      <c r="Y170" s="30">
        <v>47118.0</v>
      </c>
      <c r="Z170" s="29" t="s">
        <v>7053</v>
      </c>
      <c r="AA170" s="29" t="s">
        <v>7053</v>
      </c>
      <c r="AB170" s="32" t="s">
        <v>7043</v>
      </c>
      <c r="AC170" s="30">
        <v>47119.0</v>
      </c>
      <c r="AD170" s="30">
        <v>47483.0</v>
      </c>
      <c r="AE170" s="29" t="s">
        <v>7053</v>
      </c>
      <c r="AF170" s="29" t="s">
        <v>7053</v>
      </c>
      <c r="AG170" s="32" t="s">
        <v>7043</v>
      </c>
      <c r="AH170" s="30">
        <v>47484.0</v>
      </c>
      <c r="AI170" s="30">
        <v>47848.0</v>
      </c>
      <c r="AJ170" s="29" t="s">
        <v>7053</v>
      </c>
      <c r="AK170" s="29" t="s">
        <v>7053</v>
      </c>
      <c r="AL170" s="32" t="s">
        <v>7043</v>
      </c>
    </row>
    <row r="171" ht="14.25" customHeight="1">
      <c r="A171" s="28" t="s">
        <v>3381</v>
      </c>
      <c r="B171" s="29" t="s">
        <v>3382</v>
      </c>
      <c r="C171" s="29" t="s">
        <v>7041</v>
      </c>
      <c r="D171" s="30">
        <v>45292.0</v>
      </c>
      <c r="E171" s="30">
        <v>45657.0</v>
      </c>
      <c r="F171" s="29" t="s">
        <v>7094</v>
      </c>
      <c r="G171" s="29" t="s">
        <v>7051</v>
      </c>
      <c r="H171" s="32" t="s">
        <v>7043</v>
      </c>
      <c r="I171" s="30">
        <v>45658.0</v>
      </c>
      <c r="J171" s="30">
        <v>46022.0</v>
      </c>
      <c r="K171" s="29" t="s">
        <v>7054</v>
      </c>
      <c r="L171" s="29" t="s">
        <v>7053</v>
      </c>
      <c r="M171" s="38" t="s">
        <v>7047</v>
      </c>
      <c r="N171" s="30">
        <v>46023.0</v>
      </c>
      <c r="O171" s="30">
        <v>46387.0</v>
      </c>
      <c r="P171" s="29" t="s">
        <v>7053</v>
      </c>
      <c r="Q171" s="29" t="s">
        <v>7053</v>
      </c>
      <c r="R171" s="32" t="s">
        <v>7043</v>
      </c>
      <c r="S171" s="30">
        <v>46388.0</v>
      </c>
      <c r="T171" s="30">
        <v>46752.0</v>
      </c>
      <c r="U171" s="29" t="s">
        <v>7053</v>
      </c>
      <c r="V171" s="29" t="s">
        <v>7053</v>
      </c>
      <c r="W171" s="32" t="s">
        <v>7043</v>
      </c>
      <c r="X171" s="30">
        <v>46753.0</v>
      </c>
      <c r="Y171" s="30">
        <v>47118.0</v>
      </c>
      <c r="Z171" s="29" t="s">
        <v>7053</v>
      </c>
      <c r="AA171" s="29" t="s">
        <v>7053</v>
      </c>
      <c r="AB171" s="32" t="s">
        <v>7043</v>
      </c>
      <c r="AC171" s="30">
        <v>47119.0</v>
      </c>
      <c r="AD171" s="30">
        <v>47483.0</v>
      </c>
      <c r="AE171" s="29" t="s">
        <v>7053</v>
      </c>
      <c r="AF171" s="29" t="s">
        <v>7053</v>
      </c>
      <c r="AG171" s="32" t="s">
        <v>7043</v>
      </c>
      <c r="AH171" s="30">
        <v>47484.0</v>
      </c>
      <c r="AI171" s="30">
        <v>47848.0</v>
      </c>
      <c r="AJ171" s="29" t="s">
        <v>7053</v>
      </c>
      <c r="AK171" s="29" t="s">
        <v>7053</v>
      </c>
      <c r="AL171" s="32" t="s">
        <v>7043</v>
      </c>
    </row>
    <row r="172" ht="14.25" customHeight="1">
      <c r="A172" s="28" t="s">
        <v>3396</v>
      </c>
      <c r="B172" s="29" t="s">
        <v>3397</v>
      </c>
      <c r="C172" s="29" t="s">
        <v>7041</v>
      </c>
      <c r="D172" s="30">
        <v>45292.0</v>
      </c>
      <c r="E172" s="30">
        <v>45657.0</v>
      </c>
      <c r="F172" s="29" t="s">
        <v>7062</v>
      </c>
      <c r="G172" s="29" t="s">
        <v>7051</v>
      </c>
      <c r="H172" s="32" t="s">
        <v>7043</v>
      </c>
      <c r="I172" s="30">
        <v>45658.0</v>
      </c>
      <c r="J172" s="30">
        <v>46022.0</v>
      </c>
      <c r="K172" s="29" t="s">
        <v>7100</v>
      </c>
      <c r="L172" s="29" t="s">
        <v>7053</v>
      </c>
      <c r="M172" s="38" t="s">
        <v>7047</v>
      </c>
      <c r="N172" s="30">
        <v>46023.0</v>
      </c>
      <c r="O172" s="30">
        <v>46387.0</v>
      </c>
      <c r="P172" s="29" t="s">
        <v>7053</v>
      </c>
      <c r="Q172" s="29" t="s">
        <v>7053</v>
      </c>
      <c r="R172" s="32" t="s">
        <v>7043</v>
      </c>
      <c r="S172" s="30">
        <v>46388.0</v>
      </c>
      <c r="T172" s="30">
        <v>46752.0</v>
      </c>
      <c r="U172" s="29" t="s">
        <v>7053</v>
      </c>
      <c r="V172" s="29" t="s">
        <v>7053</v>
      </c>
      <c r="W172" s="32" t="s">
        <v>7043</v>
      </c>
      <c r="X172" s="30">
        <v>46753.0</v>
      </c>
      <c r="Y172" s="30">
        <v>47118.0</v>
      </c>
      <c r="Z172" s="29" t="s">
        <v>7053</v>
      </c>
      <c r="AA172" s="29" t="s">
        <v>7053</v>
      </c>
      <c r="AB172" s="32" t="s">
        <v>7043</v>
      </c>
      <c r="AC172" s="30">
        <v>47119.0</v>
      </c>
      <c r="AD172" s="30">
        <v>47483.0</v>
      </c>
      <c r="AE172" s="29" t="s">
        <v>7053</v>
      </c>
      <c r="AF172" s="29" t="s">
        <v>7053</v>
      </c>
      <c r="AG172" s="32" t="s">
        <v>7043</v>
      </c>
      <c r="AH172" s="30">
        <v>47484.0</v>
      </c>
      <c r="AI172" s="30">
        <v>47848.0</v>
      </c>
      <c r="AJ172" s="29" t="s">
        <v>7053</v>
      </c>
      <c r="AK172" s="29" t="s">
        <v>7053</v>
      </c>
      <c r="AL172" s="32" t="s">
        <v>7043</v>
      </c>
    </row>
    <row r="173" ht="14.25" customHeight="1">
      <c r="A173" s="28" t="s">
        <v>3403</v>
      </c>
      <c r="B173" s="29" t="s">
        <v>3404</v>
      </c>
      <c r="C173" s="29" t="s">
        <v>7041</v>
      </c>
      <c r="D173" s="30">
        <v>45292.0</v>
      </c>
      <c r="E173" s="30">
        <v>45657.0</v>
      </c>
      <c r="F173" s="29" t="s">
        <v>7053</v>
      </c>
      <c r="G173" s="29" t="s">
        <v>7055</v>
      </c>
      <c r="H173" s="32" t="s">
        <v>7043</v>
      </c>
      <c r="I173" s="30">
        <v>45658.0</v>
      </c>
      <c r="J173" s="30">
        <v>46022.0</v>
      </c>
      <c r="K173" s="29" t="s">
        <v>7053</v>
      </c>
      <c r="L173" s="29" t="s">
        <v>7053</v>
      </c>
      <c r="M173" s="32" t="s">
        <v>7043</v>
      </c>
      <c r="N173" s="30">
        <v>46023.0</v>
      </c>
      <c r="O173" s="30">
        <v>46387.0</v>
      </c>
      <c r="P173" s="29" t="s">
        <v>7053</v>
      </c>
      <c r="Q173" s="29" t="s">
        <v>7053</v>
      </c>
      <c r="R173" s="32" t="s">
        <v>7043</v>
      </c>
      <c r="S173" s="30">
        <v>46388.0</v>
      </c>
      <c r="T173" s="30">
        <v>46752.0</v>
      </c>
      <c r="U173" s="29" t="s">
        <v>7053</v>
      </c>
      <c r="V173" s="29" t="s">
        <v>7053</v>
      </c>
      <c r="W173" s="32" t="s">
        <v>7043</v>
      </c>
      <c r="X173" s="30">
        <v>46753.0</v>
      </c>
      <c r="Y173" s="30">
        <v>47118.0</v>
      </c>
      <c r="Z173" s="29" t="s">
        <v>7053</v>
      </c>
      <c r="AA173" s="29" t="s">
        <v>7053</v>
      </c>
      <c r="AB173" s="32" t="s">
        <v>7043</v>
      </c>
      <c r="AC173" s="30">
        <v>47119.0</v>
      </c>
      <c r="AD173" s="30">
        <v>47483.0</v>
      </c>
      <c r="AE173" s="29" t="s">
        <v>7053</v>
      </c>
      <c r="AF173" s="29" t="s">
        <v>7053</v>
      </c>
      <c r="AG173" s="32" t="s">
        <v>7043</v>
      </c>
      <c r="AH173" s="30">
        <v>47484.0</v>
      </c>
      <c r="AI173" s="30">
        <v>47848.0</v>
      </c>
      <c r="AJ173" s="29" t="s">
        <v>7053</v>
      </c>
      <c r="AK173" s="29" t="s">
        <v>7053</v>
      </c>
      <c r="AL173" s="32" t="s">
        <v>7043</v>
      </c>
    </row>
    <row r="174" ht="14.25" customHeight="1">
      <c r="A174" s="28" t="s">
        <v>3406</v>
      </c>
      <c r="B174" s="29" t="s">
        <v>3407</v>
      </c>
      <c r="C174" s="29" t="s">
        <v>7041</v>
      </c>
      <c r="D174" s="30">
        <v>45292.0</v>
      </c>
      <c r="E174" s="30">
        <v>45657.0</v>
      </c>
      <c r="F174" s="29" t="s">
        <v>7084</v>
      </c>
      <c r="G174" s="29" t="s">
        <v>7051</v>
      </c>
      <c r="H174" s="37" t="s">
        <v>7046</v>
      </c>
      <c r="I174" s="30">
        <v>45658.0</v>
      </c>
      <c r="J174" s="30">
        <v>46022.0</v>
      </c>
      <c r="K174" s="29" t="s">
        <v>7122</v>
      </c>
      <c r="L174" s="29" t="s">
        <v>7053</v>
      </c>
      <c r="M174" s="38" t="s">
        <v>7047</v>
      </c>
      <c r="N174" s="30">
        <v>46023.0</v>
      </c>
      <c r="O174" s="30">
        <v>46387.0</v>
      </c>
      <c r="P174" s="29" t="s">
        <v>7053</v>
      </c>
      <c r="Q174" s="29" t="s">
        <v>7053</v>
      </c>
      <c r="R174" s="32" t="s">
        <v>7043</v>
      </c>
      <c r="S174" s="30">
        <v>46388.0</v>
      </c>
      <c r="T174" s="30">
        <v>46752.0</v>
      </c>
      <c r="U174" s="29" t="s">
        <v>7053</v>
      </c>
      <c r="V174" s="29" t="s">
        <v>7053</v>
      </c>
      <c r="W174" s="32" t="s">
        <v>7043</v>
      </c>
      <c r="X174" s="30">
        <v>46753.0</v>
      </c>
      <c r="Y174" s="30">
        <v>47118.0</v>
      </c>
      <c r="Z174" s="29" t="s">
        <v>7053</v>
      </c>
      <c r="AA174" s="29" t="s">
        <v>7053</v>
      </c>
      <c r="AB174" s="32" t="s">
        <v>7043</v>
      </c>
      <c r="AC174" s="30">
        <v>47119.0</v>
      </c>
      <c r="AD174" s="30">
        <v>47483.0</v>
      </c>
      <c r="AE174" s="29" t="s">
        <v>7053</v>
      </c>
      <c r="AF174" s="29" t="s">
        <v>7053</v>
      </c>
      <c r="AG174" s="32" t="s">
        <v>7043</v>
      </c>
      <c r="AH174" s="30">
        <v>47484.0</v>
      </c>
      <c r="AI174" s="30">
        <v>47848.0</v>
      </c>
      <c r="AJ174" s="29" t="s">
        <v>7053</v>
      </c>
      <c r="AK174" s="29" t="s">
        <v>7053</v>
      </c>
      <c r="AL174" s="32" t="s">
        <v>7043</v>
      </c>
    </row>
    <row r="175" ht="14.25" customHeight="1">
      <c r="A175" s="28" t="s">
        <v>3469</v>
      </c>
      <c r="B175" s="29" t="s">
        <v>3470</v>
      </c>
      <c r="C175" s="29" t="s">
        <v>7041</v>
      </c>
      <c r="D175" s="30">
        <v>45292.0</v>
      </c>
      <c r="E175" s="30">
        <v>45657.0</v>
      </c>
      <c r="F175" s="29" t="s">
        <v>7050</v>
      </c>
      <c r="G175" s="29" t="s">
        <v>7051</v>
      </c>
      <c r="H175" s="32" t="s">
        <v>7043</v>
      </c>
      <c r="I175" s="30">
        <v>45658.0</v>
      </c>
      <c r="J175" s="30">
        <v>46022.0</v>
      </c>
      <c r="K175" s="29" t="s">
        <v>7104</v>
      </c>
      <c r="L175" s="29" t="s">
        <v>7053</v>
      </c>
      <c r="M175" s="38" t="s">
        <v>7047</v>
      </c>
      <c r="N175" s="30">
        <v>46023.0</v>
      </c>
      <c r="O175" s="30">
        <v>46387.0</v>
      </c>
      <c r="P175" s="29" t="s">
        <v>7053</v>
      </c>
      <c r="Q175" s="29" t="s">
        <v>7053</v>
      </c>
      <c r="R175" s="32" t="s">
        <v>7043</v>
      </c>
      <c r="S175" s="30">
        <v>46388.0</v>
      </c>
      <c r="T175" s="30">
        <v>46752.0</v>
      </c>
      <c r="U175" s="29" t="s">
        <v>7053</v>
      </c>
      <c r="V175" s="29" t="s">
        <v>7053</v>
      </c>
      <c r="W175" s="32" t="s">
        <v>7043</v>
      </c>
      <c r="X175" s="30">
        <v>46753.0</v>
      </c>
      <c r="Y175" s="30">
        <v>47118.0</v>
      </c>
      <c r="Z175" s="29" t="s">
        <v>7053</v>
      </c>
      <c r="AA175" s="29" t="s">
        <v>7053</v>
      </c>
      <c r="AB175" s="32" t="s">
        <v>7043</v>
      </c>
      <c r="AC175" s="30">
        <v>47119.0</v>
      </c>
      <c r="AD175" s="30">
        <v>47483.0</v>
      </c>
      <c r="AE175" s="29" t="s">
        <v>7053</v>
      </c>
      <c r="AF175" s="29" t="s">
        <v>7053</v>
      </c>
      <c r="AG175" s="32" t="s">
        <v>7043</v>
      </c>
      <c r="AH175" s="30">
        <v>47484.0</v>
      </c>
      <c r="AI175" s="30">
        <v>47848.0</v>
      </c>
      <c r="AJ175" s="29" t="s">
        <v>7053</v>
      </c>
      <c r="AK175" s="29" t="s">
        <v>7053</v>
      </c>
      <c r="AL175" s="32" t="s">
        <v>7043</v>
      </c>
    </row>
    <row r="176" ht="14.25" customHeight="1">
      <c r="A176" s="28" t="s">
        <v>3475</v>
      </c>
      <c r="B176" s="29" t="s">
        <v>3476</v>
      </c>
      <c r="C176" s="29" t="s">
        <v>7041</v>
      </c>
      <c r="D176" s="30">
        <v>45292.0</v>
      </c>
      <c r="E176" s="30">
        <v>45657.0</v>
      </c>
      <c r="F176" s="29" t="s">
        <v>7094</v>
      </c>
      <c r="G176" s="29" t="s">
        <v>7051</v>
      </c>
      <c r="H176" s="32" t="s">
        <v>7043</v>
      </c>
      <c r="I176" s="30">
        <v>45658.0</v>
      </c>
      <c r="J176" s="30">
        <v>46022.0</v>
      </c>
      <c r="K176" s="29" t="s">
        <v>7054</v>
      </c>
      <c r="L176" s="29" t="s">
        <v>7053</v>
      </c>
      <c r="M176" s="38" t="s">
        <v>7047</v>
      </c>
      <c r="N176" s="30">
        <v>46023.0</v>
      </c>
      <c r="O176" s="30">
        <v>46387.0</v>
      </c>
      <c r="P176" s="29" t="s">
        <v>7053</v>
      </c>
      <c r="Q176" s="29" t="s">
        <v>7053</v>
      </c>
      <c r="R176" s="32" t="s">
        <v>7043</v>
      </c>
      <c r="S176" s="30">
        <v>46388.0</v>
      </c>
      <c r="T176" s="30">
        <v>46752.0</v>
      </c>
      <c r="U176" s="29" t="s">
        <v>7053</v>
      </c>
      <c r="V176" s="29" t="s">
        <v>7053</v>
      </c>
      <c r="W176" s="32" t="s">
        <v>7043</v>
      </c>
      <c r="X176" s="30">
        <v>46753.0</v>
      </c>
      <c r="Y176" s="30">
        <v>47118.0</v>
      </c>
      <c r="Z176" s="29" t="s">
        <v>7053</v>
      </c>
      <c r="AA176" s="29" t="s">
        <v>7053</v>
      </c>
      <c r="AB176" s="32" t="s">
        <v>7043</v>
      </c>
      <c r="AC176" s="30">
        <v>47119.0</v>
      </c>
      <c r="AD176" s="30">
        <v>47483.0</v>
      </c>
      <c r="AE176" s="29" t="s">
        <v>7053</v>
      </c>
      <c r="AF176" s="29" t="s">
        <v>7053</v>
      </c>
      <c r="AG176" s="32" t="s">
        <v>7043</v>
      </c>
      <c r="AH176" s="30">
        <v>47484.0</v>
      </c>
      <c r="AI176" s="30">
        <v>47848.0</v>
      </c>
      <c r="AJ176" s="29" t="s">
        <v>7053</v>
      </c>
      <c r="AK176" s="29" t="s">
        <v>7053</v>
      </c>
      <c r="AL176" s="32" t="s">
        <v>7043</v>
      </c>
    </row>
    <row r="177" ht="14.25" customHeight="1">
      <c r="A177" s="28" t="s">
        <v>3497</v>
      </c>
      <c r="B177" s="29" t="s">
        <v>3498</v>
      </c>
      <c r="C177" s="29" t="s">
        <v>7041</v>
      </c>
      <c r="D177" s="30">
        <v>45292.0</v>
      </c>
      <c r="E177" s="30">
        <v>45657.0</v>
      </c>
      <c r="F177" s="29" t="s">
        <v>7053</v>
      </c>
      <c r="G177" s="29" t="s">
        <v>7055</v>
      </c>
      <c r="H177" s="32" t="s">
        <v>7043</v>
      </c>
      <c r="I177" s="30">
        <v>45658.0</v>
      </c>
      <c r="J177" s="30">
        <v>46022.0</v>
      </c>
      <c r="K177" s="29" t="s">
        <v>7053</v>
      </c>
      <c r="L177" s="29" t="s">
        <v>7053</v>
      </c>
      <c r="M177" s="32" t="s">
        <v>7043</v>
      </c>
      <c r="N177" s="30">
        <v>46023.0</v>
      </c>
      <c r="O177" s="30">
        <v>46387.0</v>
      </c>
      <c r="P177" s="29" t="s">
        <v>7053</v>
      </c>
      <c r="Q177" s="29" t="s">
        <v>7053</v>
      </c>
      <c r="R177" s="32" t="s">
        <v>7043</v>
      </c>
      <c r="S177" s="30">
        <v>46388.0</v>
      </c>
      <c r="T177" s="30">
        <v>46752.0</v>
      </c>
      <c r="U177" s="29" t="s">
        <v>7053</v>
      </c>
      <c r="V177" s="29" t="s">
        <v>7053</v>
      </c>
      <c r="W177" s="32" t="s">
        <v>7043</v>
      </c>
      <c r="X177" s="30">
        <v>46753.0</v>
      </c>
      <c r="Y177" s="30">
        <v>47118.0</v>
      </c>
      <c r="Z177" s="29" t="s">
        <v>7053</v>
      </c>
      <c r="AA177" s="29" t="s">
        <v>7053</v>
      </c>
      <c r="AB177" s="32" t="s">
        <v>7043</v>
      </c>
      <c r="AC177" s="30">
        <v>47119.0</v>
      </c>
      <c r="AD177" s="30">
        <v>47483.0</v>
      </c>
      <c r="AE177" s="29" t="s">
        <v>7053</v>
      </c>
      <c r="AF177" s="29" t="s">
        <v>7053</v>
      </c>
      <c r="AG177" s="32" t="s">
        <v>7043</v>
      </c>
      <c r="AH177" s="30">
        <v>47484.0</v>
      </c>
      <c r="AI177" s="30">
        <v>47848.0</v>
      </c>
      <c r="AJ177" s="29" t="s">
        <v>7053</v>
      </c>
      <c r="AK177" s="29" t="s">
        <v>7053</v>
      </c>
      <c r="AL177" s="32" t="s">
        <v>7043</v>
      </c>
    </row>
    <row r="178" ht="14.25" customHeight="1">
      <c r="A178" s="28" t="s">
        <v>3543</v>
      </c>
      <c r="B178" s="29" t="s">
        <v>3544</v>
      </c>
      <c r="C178" s="29" t="s">
        <v>7041</v>
      </c>
      <c r="D178" s="30">
        <v>45292.0</v>
      </c>
      <c r="E178" s="30">
        <v>45657.0</v>
      </c>
      <c r="F178" s="29" t="s">
        <v>7117</v>
      </c>
      <c r="G178" s="29" t="s">
        <v>7051</v>
      </c>
      <c r="H178" s="32" t="s">
        <v>7043</v>
      </c>
      <c r="I178" s="30">
        <v>45658.0</v>
      </c>
      <c r="J178" s="30">
        <v>46022.0</v>
      </c>
      <c r="K178" s="29" t="s">
        <v>7054</v>
      </c>
      <c r="L178" s="29" t="s">
        <v>7053</v>
      </c>
      <c r="M178" s="38" t="s">
        <v>7047</v>
      </c>
      <c r="N178" s="30">
        <v>46023.0</v>
      </c>
      <c r="O178" s="30">
        <v>46387.0</v>
      </c>
      <c r="P178" s="29" t="s">
        <v>7053</v>
      </c>
      <c r="Q178" s="29" t="s">
        <v>7053</v>
      </c>
      <c r="R178" s="32" t="s">
        <v>7043</v>
      </c>
      <c r="S178" s="30">
        <v>46388.0</v>
      </c>
      <c r="T178" s="30">
        <v>46752.0</v>
      </c>
      <c r="U178" s="29" t="s">
        <v>7053</v>
      </c>
      <c r="V178" s="29" t="s">
        <v>7053</v>
      </c>
      <c r="W178" s="32" t="s">
        <v>7043</v>
      </c>
      <c r="X178" s="30">
        <v>46753.0</v>
      </c>
      <c r="Y178" s="30">
        <v>47118.0</v>
      </c>
      <c r="Z178" s="29" t="s">
        <v>7053</v>
      </c>
      <c r="AA178" s="29" t="s">
        <v>7053</v>
      </c>
      <c r="AB178" s="32" t="s">
        <v>7043</v>
      </c>
      <c r="AC178" s="30">
        <v>47119.0</v>
      </c>
      <c r="AD178" s="30">
        <v>47483.0</v>
      </c>
      <c r="AE178" s="29" t="s">
        <v>7053</v>
      </c>
      <c r="AF178" s="29" t="s">
        <v>7053</v>
      </c>
      <c r="AG178" s="32" t="s">
        <v>7043</v>
      </c>
      <c r="AH178" s="30">
        <v>47484.0</v>
      </c>
      <c r="AI178" s="30">
        <v>47848.0</v>
      </c>
      <c r="AJ178" s="29" t="s">
        <v>7053</v>
      </c>
      <c r="AK178" s="29" t="s">
        <v>7053</v>
      </c>
      <c r="AL178" s="32" t="s">
        <v>7043</v>
      </c>
    </row>
    <row r="179" ht="14.25" customHeight="1">
      <c r="A179" s="28" t="s">
        <v>3555</v>
      </c>
      <c r="B179" s="29" t="s">
        <v>3556</v>
      </c>
      <c r="C179" s="29" t="s">
        <v>7041</v>
      </c>
      <c r="D179" s="30">
        <v>45292.0</v>
      </c>
      <c r="E179" s="30">
        <v>45657.0</v>
      </c>
      <c r="F179" s="29" t="s">
        <v>7068</v>
      </c>
      <c r="G179" s="29" t="s">
        <v>7051</v>
      </c>
      <c r="H179" s="32" t="s">
        <v>7043</v>
      </c>
      <c r="I179" s="30">
        <v>45658.0</v>
      </c>
      <c r="J179" s="30">
        <v>46022.0</v>
      </c>
      <c r="K179" s="29" t="s">
        <v>7100</v>
      </c>
      <c r="L179" s="29" t="s">
        <v>7053</v>
      </c>
      <c r="M179" s="38" t="s">
        <v>7047</v>
      </c>
      <c r="N179" s="30">
        <v>46023.0</v>
      </c>
      <c r="O179" s="30">
        <v>46387.0</v>
      </c>
      <c r="P179" s="29" t="s">
        <v>7053</v>
      </c>
      <c r="Q179" s="29" t="s">
        <v>7053</v>
      </c>
      <c r="R179" s="32" t="s">
        <v>7043</v>
      </c>
      <c r="S179" s="30">
        <v>46388.0</v>
      </c>
      <c r="T179" s="30">
        <v>46752.0</v>
      </c>
      <c r="U179" s="29" t="s">
        <v>7053</v>
      </c>
      <c r="V179" s="29" t="s">
        <v>7053</v>
      </c>
      <c r="W179" s="32" t="s">
        <v>7043</v>
      </c>
      <c r="X179" s="30">
        <v>46753.0</v>
      </c>
      <c r="Y179" s="30">
        <v>47118.0</v>
      </c>
      <c r="Z179" s="29" t="s">
        <v>7053</v>
      </c>
      <c r="AA179" s="29" t="s">
        <v>7053</v>
      </c>
      <c r="AB179" s="32" t="s">
        <v>7043</v>
      </c>
      <c r="AC179" s="30">
        <v>47119.0</v>
      </c>
      <c r="AD179" s="30">
        <v>47483.0</v>
      </c>
      <c r="AE179" s="29" t="s">
        <v>7053</v>
      </c>
      <c r="AF179" s="29" t="s">
        <v>7053</v>
      </c>
      <c r="AG179" s="32" t="s">
        <v>7043</v>
      </c>
      <c r="AH179" s="30">
        <v>47484.0</v>
      </c>
      <c r="AI179" s="30">
        <v>47848.0</v>
      </c>
      <c r="AJ179" s="29" t="s">
        <v>7053</v>
      </c>
      <c r="AK179" s="29" t="s">
        <v>7053</v>
      </c>
      <c r="AL179" s="32" t="s">
        <v>7043</v>
      </c>
    </row>
    <row r="180" ht="14.25" customHeight="1">
      <c r="A180" s="28" t="s">
        <v>3564</v>
      </c>
      <c r="B180" s="29" t="s">
        <v>3565</v>
      </c>
      <c r="C180" s="29" t="s">
        <v>7041</v>
      </c>
      <c r="D180" s="30">
        <v>45292.0</v>
      </c>
      <c r="E180" s="30">
        <v>45657.0</v>
      </c>
      <c r="F180" s="29" t="s">
        <v>7131</v>
      </c>
      <c r="G180" s="29" t="s">
        <v>7051</v>
      </c>
      <c r="H180" s="32" t="s">
        <v>7043</v>
      </c>
      <c r="I180" s="30">
        <v>45658.0</v>
      </c>
      <c r="J180" s="30">
        <v>46022.0</v>
      </c>
      <c r="K180" s="29" t="s">
        <v>7056</v>
      </c>
      <c r="L180" s="29" t="s">
        <v>7053</v>
      </c>
      <c r="M180" s="38" t="s">
        <v>7047</v>
      </c>
      <c r="N180" s="30">
        <v>46023.0</v>
      </c>
      <c r="O180" s="30">
        <v>46387.0</v>
      </c>
      <c r="P180" s="29" t="s">
        <v>7053</v>
      </c>
      <c r="Q180" s="29" t="s">
        <v>7053</v>
      </c>
      <c r="R180" s="32" t="s">
        <v>7043</v>
      </c>
      <c r="S180" s="30">
        <v>46388.0</v>
      </c>
      <c r="T180" s="30">
        <v>46752.0</v>
      </c>
      <c r="U180" s="29" t="s">
        <v>7053</v>
      </c>
      <c r="V180" s="29" t="s">
        <v>7053</v>
      </c>
      <c r="W180" s="32" t="s">
        <v>7043</v>
      </c>
      <c r="X180" s="30">
        <v>46753.0</v>
      </c>
      <c r="Y180" s="30">
        <v>47118.0</v>
      </c>
      <c r="Z180" s="29" t="s">
        <v>7053</v>
      </c>
      <c r="AA180" s="29" t="s">
        <v>7053</v>
      </c>
      <c r="AB180" s="32" t="s">
        <v>7043</v>
      </c>
      <c r="AC180" s="30">
        <v>47119.0</v>
      </c>
      <c r="AD180" s="30">
        <v>47483.0</v>
      </c>
      <c r="AE180" s="29" t="s">
        <v>7053</v>
      </c>
      <c r="AF180" s="29" t="s">
        <v>7053</v>
      </c>
      <c r="AG180" s="32" t="s">
        <v>7043</v>
      </c>
      <c r="AH180" s="30">
        <v>47484.0</v>
      </c>
      <c r="AI180" s="30">
        <v>47848.0</v>
      </c>
      <c r="AJ180" s="29" t="s">
        <v>7053</v>
      </c>
      <c r="AK180" s="29" t="s">
        <v>7053</v>
      </c>
      <c r="AL180" s="32" t="s">
        <v>7043</v>
      </c>
    </row>
    <row r="181" ht="14.25" customHeight="1">
      <c r="A181" s="28" t="s">
        <v>3572</v>
      </c>
      <c r="B181" s="29" t="s">
        <v>3573</v>
      </c>
      <c r="C181" s="29" t="s">
        <v>7041</v>
      </c>
      <c r="D181" s="30">
        <v>45292.0</v>
      </c>
      <c r="E181" s="30">
        <v>45657.0</v>
      </c>
      <c r="F181" s="29" t="s">
        <v>7065</v>
      </c>
      <c r="G181" s="29" t="s">
        <v>7051</v>
      </c>
      <c r="H181" s="37" t="s">
        <v>7046</v>
      </c>
      <c r="I181" s="30">
        <v>45658.0</v>
      </c>
      <c r="J181" s="30">
        <v>46022.0</v>
      </c>
      <c r="K181" s="29" t="s">
        <v>7119</v>
      </c>
      <c r="L181" s="29" t="s">
        <v>7053</v>
      </c>
      <c r="M181" s="38" t="s">
        <v>7047</v>
      </c>
      <c r="N181" s="30">
        <v>46023.0</v>
      </c>
      <c r="O181" s="30">
        <v>46387.0</v>
      </c>
      <c r="P181" s="29" t="s">
        <v>7053</v>
      </c>
      <c r="Q181" s="29" t="s">
        <v>7053</v>
      </c>
      <c r="R181" s="32" t="s">
        <v>7043</v>
      </c>
      <c r="S181" s="30">
        <v>46388.0</v>
      </c>
      <c r="T181" s="30">
        <v>46752.0</v>
      </c>
      <c r="U181" s="29" t="s">
        <v>7053</v>
      </c>
      <c r="V181" s="29" t="s">
        <v>7053</v>
      </c>
      <c r="W181" s="32" t="s">
        <v>7043</v>
      </c>
      <c r="X181" s="30">
        <v>46753.0</v>
      </c>
      <c r="Y181" s="30">
        <v>47118.0</v>
      </c>
      <c r="Z181" s="29" t="s">
        <v>7053</v>
      </c>
      <c r="AA181" s="29" t="s">
        <v>7053</v>
      </c>
      <c r="AB181" s="32" t="s">
        <v>7043</v>
      </c>
      <c r="AC181" s="30">
        <v>47119.0</v>
      </c>
      <c r="AD181" s="30">
        <v>47483.0</v>
      </c>
      <c r="AE181" s="29" t="s">
        <v>7053</v>
      </c>
      <c r="AF181" s="29" t="s">
        <v>7053</v>
      </c>
      <c r="AG181" s="32" t="s">
        <v>7043</v>
      </c>
      <c r="AH181" s="30">
        <v>47484.0</v>
      </c>
      <c r="AI181" s="30">
        <v>47848.0</v>
      </c>
      <c r="AJ181" s="29" t="s">
        <v>7053</v>
      </c>
      <c r="AK181" s="29" t="s">
        <v>7053</v>
      </c>
      <c r="AL181" s="32" t="s">
        <v>7043</v>
      </c>
    </row>
    <row r="182" ht="14.25" customHeight="1">
      <c r="A182" s="28" t="s">
        <v>3603</v>
      </c>
      <c r="B182" s="29" t="s">
        <v>3604</v>
      </c>
      <c r="C182" s="29" t="s">
        <v>7041</v>
      </c>
      <c r="D182" s="30">
        <v>45292.0</v>
      </c>
      <c r="E182" s="30">
        <v>45657.0</v>
      </c>
      <c r="F182" s="29" t="s">
        <v>7075</v>
      </c>
      <c r="G182" s="29" t="s">
        <v>7051</v>
      </c>
      <c r="H182" s="32" t="s">
        <v>7043</v>
      </c>
      <c r="I182" s="30">
        <v>45658.0</v>
      </c>
      <c r="J182" s="30">
        <v>46022.0</v>
      </c>
      <c r="K182" s="29" t="s">
        <v>7100</v>
      </c>
      <c r="L182" s="29" t="s">
        <v>7053</v>
      </c>
      <c r="M182" s="38" t="s">
        <v>7047</v>
      </c>
      <c r="N182" s="30">
        <v>46023.0</v>
      </c>
      <c r="O182" s="30">
        <v>46387.0</v>
      </c>
      <c r="P182" s="29" t="s">
        <v>7053</v>
      </c>
      <c r="Q182" s="29" t="s">
        <v>7053</v>
      </c>
      <c r="R182" s="32" t="s">
        <v>7043</v>
      </c>
      <c r="S182" s="30">
        <v>46388.0</v>
      </c>
      <c r="T182" s="30">
        <v>46752.0</v>
      </c>
      <c r="U182" s="29" t="s">
        <v>7053</v>
      </c>
      <c r="V182" s="29" t="s">
        <v>7053</v>
      </c>
      <c r="W182" s="32" t="s">
        <v>7043</v>
      </c>
      <c r="X182" s="30">
        <v>46753.0</v>
      </c>
      <c r="Y182" s="30">
        <v>47118.0</v>
      </c>
      <c r="Z182" s="29" t="s">
        <v>7053</v>
      </c>
      <c r="AA182" s="29" t="s">
        <v>7053</v>
      </c>
      <c r="AB182" s="32" t="s">
        <v>7043</v>
      </c>
      <c r="AC182" s="30">
        <v>47119.0</v>
      </c>
      <c r="AD182" s="30">
        <v>47483.0</v>
      </c>
      <c r="AE182" s="29" t="s">
        <v>7053</v>
      </c>
      <c r="AF182" s="29" t="s">
        <v>7053</v>
      </c>
      <c r="AG182" s="32" t="s">
        <v>7043</v>
      </c>
      <c r="AH182" s="30">
        <v>47484.0</v>
      </c>
      <c r="AI182" s="30">
        <v>47848.0</v>
      </c>
      <c r="AJ182" s="29" t="s">
        <v>7053</v>
      </c>
      <c r="AK182" s="29" t="s">
        <v>7053</v>
      </c>
      <c r="AL182" s="32" t="s">
        <v>7043</v>
      </c>
    </row>
    <row r="183" ht="14.25" customHeight="1">
      <c r="A183" s="28" t="s">
        <v>4390</v>
      </c>
      <c r="B183" s="29" t="s">
        <v>4391</v>
      </c>
      <c r="C183" s="29" t="s">
        <v>7041</v>
      </c>
      <c r="D183" s="30">
        <v>45292.0</v>
      </c>
      <c r="E183" s="30">
        <v>45657.0</v>
      </c>
      <c r="F183" s="29" t="s">
        <v>7095</v>
      </c>
      <c r="G183" s="29" t="s">
        <v>7051</v>
      </c>
      <c r="H183" s="32" t="s">
        <v>7043</v>
      </c>
      <c r="I183" s="30">
        <v>45658.0</v>
      </c>
      <c r="J183" s="30">
        <v>46022.0</v>
      </c>
      <c r="K183" s="29" t="s">
        <v>7101</v>
      </c>
      <c r="L183" s="29" t="s">
        <v>7053</v>
      </c>
      <c r="M183" s="38" t="s">
        <v>7047</v>
      </c>
      <c r="N183" s="30">
        <v>46023.0</v>
      </c>
      <c r="O183" s="30">
        <v>46387.0</v>
      </c>
      <c r="P183" s="29" t="s">
        <v>7053</v>
      </c>
      <c r="Q183" s="29" t="s">
        <v>7053</v>
      </c>
      <c r="R183" s="32" t="s">
        <v>7043</v>
      </c>
      <c r="S183" s="30">
        <v>46388.0</v>
      </c>
      <c r="T183" s="30">
        <v>46752.0</v>
      </c>
      <c r="U183" s="29" t="s">
        <v>7053</v>
      </c>
      <c r="V183" s="29" t="s">
        <v>7053</v>
      </c>
      <c r="W183" s="32" t="s">
        <v>7043</v>
      </c>
      <c r="X183" s="30">
        <v>46753.0</v>
      </c>
      <c r="Y183" s="30">
        <v>47118.0</v>
      </c>
      <c r="Z183" s="29" t="s">
        <v>7053</v>
      </c>
      <c r="AA183" s="29" t="s">
        <v>7053</v>
      </c>
      <c r="AB183" s="32" t="s">
        <v>7043</v>
      </c>
      <c r="AC183" s="30">
        <v>47119.0</v>
      </c>
      <c r="AD183" s="30">
        <v>47483.0</v>
      </c>
      <c r="AE183" s="29" t="s">
        <v>7053</v>
      </c>
      <c r="AF183" s="29" t="s">
        <v>7053</v>
      </c>
      <c r="AG183" s="32" t="s">
        <v>7043</v>
      </c>
      <c r="AH183" s="30">
        <v>47484.0</v>
      </c>
      <c r="AI183" s="30">
        <v>47848.0</v>
      </c>
      <c r="AJ183" s="29" t="s">
        <v>7053</v>
      </c>
      <c r="AK183" s="29" t="s">
        <v>7053</v>
      </c>
      <c r="AL183" s="32" t="s">
        <v>7043</v>
      </c>
    </row>
    <row r="184" ht="14.25" customHeight="1">
      <c r="A184" s="28" t="s">
        <v>4397</v>
      </c>
      <c r="B184" s="29" t="s">
        <v>4398</v>
      </c>
      <c r="C184" s="29" t="s">
        <v>7041</v>
      </c>
      <c r="D184" s="30">
        <v>45292.0</v>
      </c>
      <c r="E184" s="30">
        <v>45657.0</v>
      </c>
      <c r="F184" s="29" t="s">
        <v>7128</v>
      </c>
      <c r="G184" s="29" t="s">
        <v>7051</v>
      </c>
      <c r="H184" s="38" t="s">
        <v>7047</v>
      </c>
      <c r="I184" s="30">
        <v>45658.0</v>
      </c>
      <c r="J184" s="30">
        <v>46022.0</v>
      </c>
      <c r="K184" s="29" t="s">
        <v>7055</v>
      </c>
      <c r="L184" s="29" t="s">
        <v>7053</v>
      </c>
      <c r="M184" s="38" t="s">
        <v>7047</v>
      </c>
      <c r="N184" s="30">
        <v>46023.0</v>
      </c>
      <c r="O184" s="30">
        <v>46387.0</v>
      </c>
      <c r="P184" s="29" t="s">
        <v>7053</v>
      </c>
      <c r="Q184" s="29" t="s">
        <v>7053</v>
      </c>
      <c r="R184" s="32" t="s">
        <v>7043</v>
      </c>
      <c r="S184" s="30">
        <v>46388.0</v>
      </c>
      <c r="T184" s="30">
        <v>46752.0</v>
      </c>
      <c r="U184" s="29" t="s">
        <v>7053</v>
      </c>
      <c r="V184" s="29" t="s">
        <v>7053</v>
      </c>
      <c r="W184" s="32" t="s">
        <v>7043</v>
      </c>
      <c r="X184" s="30">
        <v>46753.0</v>
      </c>
      <c r="Y184" s="30">
        <v>47118.0</v>
      </c>
      <c r="Z184" s="29" t="s">
        <v>7053</v>
      </c>
      <c r="AA184" s="29" t="s">
        <v>7053</v>
      </c>
      <c r="AB184" s="32" t="s">
        <v>7043</v>
      </c>
      <c r="AC184" s="30">
        <v>47119.0</v>
      </c>
      <c r="AD184" s="30">
        <v>47483.0</v>
      </c>
      <c r="AE184" s="29" t="s">
        <v>7053</v>
      </c>
      <c r="AF184" s="29" t="s">
        <v>7053</v>
      </c>
      <c r="AG184" s="32" t="s">
        <v>7043</v>
      </c>
      <c r="AH184" s="30">
        <v>47484.0</v>
      </c>
      <c r="AI184" s="30">
        <v>47848.0</v>
      </c>
      <c r="AJ184" s="29" t="s">
        <v>7053</v>
      </c>
      <c r="AK184" s="29" t="s">
        <v>7053</v>
      </c>
      <c r="AL184" s="32" t="s">
        <v>7043</v>
      </c>
    </row>
    <row r="185" ht="14.25" customHeight="1">
      <c r="A185" s="28" t="s">
        <v>4404</v>
      </c>
      <c r="B185" s="29" t="s">
        <v>4405</v>
      </c>
      <c r="C185" s="29" t="s">
        <v>7041</v>
      </c>
      <c r="D185" s="30">
        <v>45292.0</v>
      </c>
      <c r="E185" s="30">
        <v>45657.0</v>
      </c>
      <c r="F185" s="29" t="s">
        <v>7087</v>
      </c>
      <c r="G185" s="29" t="s">
        <v>7051</v>
      </c>
      <c r="H185" s="37" t="s">
        <v>7046</v>
      </c>
      <c r="I185" s="30">
        <v>45658.0</v>
      </c>
      <c r="J185" s="30">
        <v>46022.0</v>
      </c>
      <c r="K185" s="29" t="s">
        <v>7063</v>
      </c>
      <c r="L185" s="29" t="s">
        <v>7053</v>
      </c>
      <c r="M185" s="38" t="s">
        <v>7047</v>
      </c>
      <c r="N185" s="30">
        <v>46023.0</v>
      </c>
      <c r="O185" s="30">
        <v>46387.0</v>
      </c>
      <c r="P185" s="29" t="s">
        <v>7053</v>
      </c>
      <c r="Q185" s="29" t="s">
        <v>7053</v>
      </c>
      <c r="R185" s="32" t="s">
        <v>7043</v>
      </c>
      <c r="S185" s="30">
        <v>46388.0</v>
      </c>
      <c r="T185" s="30">
        <v>46752.0</v>
      </c>
      <c r="U185" s="29" t="s">
        <v>7053</v>
      </c>
      <c r="V185" s="29" t="s">
        <v>7053</v>
      </c>
      <c r="W185" s="32" t="s">
        <v>7043</v>
      </c>
      <c r="X185" s="30">
        <v>46753.0</v>
      </c>
      <c r="Y185" s="30">
        <v>47118.0</v>
      </c>
      <c r="Z185" s="29" t="s">
        <v>7053</v>
      </c>
      <c r="AA185" s="29" t="s">
        <v>7053</v>
      </c>
      <c r="AB185" s="32" t="s">
        <v>7043</v>
      </c>
      <c r="AC185" s="30">
        <v>47119.0</v>
      </c>
      <c r="AD185" s="30">
        <v>47483.0</v>
      </c>
      <c r="AE185" s="29" t="s">
        <v>7053</v>
      </c>
      <c r="AF185" s="29" t="s">
        <v>7053</v>
      </c>
      <c r="AG185" s="32" t="s">
        <v>7043</v>
      </c>
      <c r="AH185" s="30">
        <v>47484.0</v>
      </c>
      <c r="AI185" s="30">
        <v>47848.0</v>
      </c>
      <c r="AJ185" s="29" t="s">
        <v>7053</v>
      </c>
      <c r="AK185" s="29" t="s">
        <v>7053</v>
      </c>
      <c r="AL185" s="32" t="s">
        <v>7043</v>
      </c>
    </row>
    <row r="186" ht="14.25" customHeight="1">
      <c r="A186" s="28" t="s">
        <v>4416</v>
      </c>
      <c r="B186" s="29" t="s">
        <v>4417</v>
      </c>
      <c r="C186" s="29" t="s">
        <v>7041</v>
      </c>
      <c r="D186" s="30">
        <v>45292.0</v>
      </c>
      <c r="E186" s="30">
        <v>45657.0</v>
      </c>
      <c r="F186" s="29" t="s">
        <v>7128</v>
      </c>
      <c r="G186" s="29" t="s">
        <v>7081</v>
      </c>
      <c r="H186" s="37" t="s">
        <v>7046</v>
      </c>
      <c r="I186" s="30">
        <v>45658.0</v>
      </c>
      <c r="J186" s="30">
        <v>46022.0</v>
      </c>
      <c r="K186" s="29" t="s">
        <v>7124</v>
      </c>
      <c r="L186" s="29" t="s">
        <v>7053</v>
      </c>
      <c r="M186" s="38" t="s">
        <v>7047</v>
      </c>
      <c r="N186" s="30">
        <v>46023.0</v>
      </c>
      <c r="O186" s="30">
        <v>46387.0</v>
      </c>
      <c r="P186" s="29" t="s">
        <v>7053</v>
      </c>
      <c r="Q186" s="29" t="s">
        <v>7053</v>
      </c>
      <c r="R186" s="32" t="s">
        <v>7043</v>
      </c>
      <c r="S186" s="30">
        <v>46388.0</v>
      </c>
      <c r="T186" s="30">
        <v>46752.0</v>
      </c>
      <c r="U186" s="29" t="s">
        <v>7053</v>
      </c>
      <c r="V186" s="29" t="s">
        <v>7053</v>
      </c>
      <c r="W186" s="32" t="s">
        <v>7043</v>
      </c>
      <c r="X186" s="30">
        <v>46753.0</v>
      </c>
      <c r="Y186" s="30">
        <v>47118.0</v>
      </c>
      <c r="Z186" s="29" t="s">
        <v>7053</v>
      </c>
      <c r="AA186" s="29" t="s">
        <v>7053</v>
      </c>
      <c r="AB186" s="32" t="s">
        <v>7043</v>
      </c>
      <c r="AC186" s="30">
        <v>47119.0</v>
      </c>
      <c r="AD186" s="30">
        <v>47483.0</v>
      </c>
      <c r="AE186" s="29" t="s">
        <v>7053</v>
      </c>
      <c r="AF186" s="29" t="s">
        <v>7053</v>
      </c>
      <c r="AG186" s="32" t="s">
        <v>7043</v>
      </c>
      <c r="AH186" s="30">
        <v>47484.0</v>
      </c>
      <c r="AI186" s="30">
        <v>47848.0</v>
      </c>
      <c r="AJ186" s="29" t="s">
        <v>7053</v>
      </c>
      <c r="AK186" s="29" t="s">
        <v>7053</v>
      </c>
      <c r="AL186" s="32" t="s">
        <v>7043</v>
      </c>
    </row>
    <row r="187" ht="14.25" customHeight="1">
      <c r="A187" s="28" t="s">
        <v>4423</v>
      </c>
      <c r="B187" s="29" t="s">
        <v>4424</v>
      </c>
      <c r="C187" s="29" t="s">
        <v>7041</v>
      </c>
      <c r="D187" s="30">
        <v>45292.0</v>
      </c>
      <c r="E187" s="30">
        <v>45657.0</v>
      </c>
      <c r="F187" s="29" t="s">
        <v>7050</v>
      </c>
      <c r="G187" s="29" t="s">
        <v>7051</v>
      </c>
      <c r="H187" s="32" t="s">
        <v>7043</v>
      </c>
      <c r="I187" s="30">
        <v>45658.0</v>
      </c>
      <c r="J187" s="30">
        <v>46022.0</v>
      </c>
      <c r="K187" s="29" t="s">
        <v>7062</v>
      </c>
      <c r="L187" s="29" t="s">
        <v>7064</v>
      </c>
      <c r="M187" s="38" t="s">
        <v>7047</v>
      </c>
      <c r="N187" s="30">
        <v>46023.0</v>
      </c>
      <c r="O187" s="30">
        <v>46387.0</v>
      </c>
      <c r="P187" s="29" t="s">
        <v>7053</v>
      </c>
      <c r="Q187" s="29" t="s">
        <v>7053</v>
      </c>
      <c r="R187" s="32" t="s">
        <v>7043</v>
      </c>
      <c r="S187" s="30">
        <v>46388.0</v>
      </c>
      <c r="T187" s="30">
        <v>46752.0</v>
      </c>
      <c r="U187" s="29" t="s">
        <v>7053</v>
      </c>
      <c r="V187" s="29" t="s">
        <v>7053</v>
      </c>
      <c r="W187" s="32" t="s">
        <v>7043</v>
      </c>
      <c r="X187" s="30">
        <v>46753.0</v>
      </c>
      <c r="Y187" s="30">
        <v>47118.0</v>
      </c>
      <c r="Z187" s="29" t="s">
        <v>7053</v>
      </c>
      <c r="AA187" s="29" t="s">
        <v>7053</v>
      </c>
      <c r="AB187" s="32" t="s">
        <v>7043</v>
      </c>
      <c r="AC187" s="30">
        <v>47119.0</v>
      </c>
      <c r="AD187" s="30">
        <v>47483.0</v>
      </c>
      <c r="AE187" s="29" t="s">
        <v>7053</v>
      </c>
      <c r="AF187" s="29" t="s">
        <v>7053</v>
      </c>
      <c r="AG187" s="32" t="s">
        <v>7043</v>
      </c>
      <c r="AH187" s="30">
        <v>47484.0</v>
      </c>
      <c r="AI187" s="30">
        <v>47848.0</v>
      </c>
      <c r="AJ187" s="29" t="s">
        <v>7053</v>
      </c>
      <c r="AK187" s="29" t="s">
        <v>7053</v>
      </c>
      <c r="AL187" s="32" t="s">
        <v>7043</v>
      </c>
    </row>
    <row r="188" ht="14.25" customHeight="1">
      <c r="A188" s="28" t="s">
        <v>4426</v>
      </c>
      <c r="B188" s="29" t="s">
        <v>4427</v>
      </c>
      <c r="C188" s="29" t="s">
        <v>7041</v>
      </c>
      <c r="D188" s="30">
        <v>45292.0</v>
      </c>
      <c r="E188" s="30">
        <v>45657.0</v>
      </c>
      <c r="F188" s="29" t="s">
        <v>7072</v>
      </c>
      <c r="G188" s="29" t="s">
        <v>7051</v>
      </c>
      <c r="H188" s="32" t="s">
        <v>7043</v>
      </c>
      <c r="I188" s="30">
        <v>45658.0</v>
      </c>
      <c r="J188" s="30">
        <v>46022.0</v>
      </c>
      <c r="K188" s="29" t="s">
        <v>7056</v>
      </c>
      <c r="L188" s="29" t="s">
        <v>7053</v>
      </c>
      <c r="M188" s="38" t="s">
        <v>7047</v>
      </c>
      <c r="N188" s="30">
        <v>46023.0</v>
      </c>
      <c r="O188" s="30">
        <v>46387.0</v>
      </c>
      <c r="P188" s="29" t="s">
        <v>7053</v>
      </c>
      <c r="Q188" s="29" t="s">
        <v>7053</v>
      </c>
      <c r="R188" s="32" t="s">
        <v>7043</v>
      </c>
      <c r="S188" s="30">
        <v>46388.0</v>
      </c>
      <c r="T188" s="30">
        <v>46752.0</v>
      </c>
      <c r="U188" s="29" t="s">
        <v>7053</v>
      </c>
      <c r="V188" s="29" t="s">
        <v>7053</v>
      </c>
      <c r="W188" s="32" t="s">
        <v>7043</v>
      </c>
      <c r="X188" s="30">
        <v>46753.0</v>
      </c>
      <c r="Y188" s="30">
        <v>47118.0</v>
      </c>
      <c r="Z188" s="29" t="s">
        <v>7053</v>
      </c>
      <c r="AA188" s="29" t="s">
        <v>7053</v>
      </c>
      <c r="AB188" s="32" t="s">
        <v>7043</v>
      </c>
      <c r="AC188" s="30">
        <v>47119.0</v>
      </c>
      <c r="AD188" s="30">
        <v>47483.0</v>
      </c>
      <c r="AE188" s="29" t="s">
        <v>7053</v>
      </c>
      <c r="AF188" s="29" t="s">
        <v>7053</v>
      </c>
      <c r="AG188" s="32" t="s">
        <v>7043</v>
      </c>
      <c r="AH188" s="30">
        <v>47484.0</v>
      </c>
      <c r="AI188" s="30">
        <v>47848.0</v>
      </c>
      <c r="AJ188" s="29" t="s">
        <v>7053</v>
      </c>
      <c r="AK188" s="29" t="s">
        <v>7053</v>
      </c>
      <c r="AL188" s="32" t="s">
        <v>7043</v>
      </c>
    </row>
    <row r="189" ht="14.25" customHeight="1">
      <c r="A189" s="28" t="s">
        <v>4435</v>
      </c>
      <c r="B189" s="29" t="s">
        <v>4436</v>
      </c>
      <c r="C189" s="29" t="s">
        <v>7041</v>
      </c>
      <c r="D189" s="30">
        <v>45292.0</v>
      </c>
      <c r="E189" s="30">
        <v>45657.0</v>
      </c>
      <c r="F189" s="29" t="s">
        <v>7099</v>
      </c>
      <c r="G189" s="29" t="s">
        <v>7051</v>
      </c>
      <c r="H189" s="38" t="s">
        <v>7047</v>
      </c>
      <c r="I189" s="30">
        <v>45658.0</v>
      </c>
      <c r="J189" s="30">
        <v>46022.0</v>
      </c>
      <c r="K189" s="29" t="s">
        <v>7061</v>
      </c>
      <c r="L189" s="29" t="s">
        <v>7053</v>
      </c>
      <c r="M189" s="38" t="s">
        <v>7047</v>
      </c>
      <c r="N189" s="30">
        <v>46023.0</v>
      </c>
      <c r="O189" s="30">
        <v>46387.0</v>
      </c>
      <c r="P189" s="29" t="s">
        <v>7053</v>
      </c>
      <c r="Q189" s="29" t="s">
        <v>7053</v>
      </c>
      <c r="R189" s="32" t="s">
        <v>7043</v>
      </c>
      <c r="S189" s="30">
        <v>46388.0</v>
      </c>
      <c r="T189" s="30">
        <v>46752.0</v>
      </c>
      <c r="U189" s="29" t="s">
        <v>7053</v>
      </c>
      <c r="V189" s="29" t="s">
        <v>7053</v>
      </c>
      <c r="W189" s="32" t="s">
        <v>7043</v>
      </c>
      <c r="X189" s="30">
        <v>46753.0</v>
      </c>
      <c r="Y189" s="30">
        <v>47118.0</v>
      </c>
      <c r="Z189" s="29" t="s">
        <v>7053</v>
      </c>
      <c r="AA189" s="29" t="s">
        <v>7053</v>
      </c>
      <c r="AB189" s="32" t="s">
        <v>7043</v>
      </c>
      <c r="AC189" s="30">
        <v>47119.0</v>
      </c>
      <c r="AD189" s="30">
        <v>47483.0</v>
      </c>
      <c r="AE189" s="29" t="s">
        <v>7053</v>
      </c>
      <c r="AF189" s="29" t="s">
        <v>7053</v>
      </c>
      <c r="AG189" s="32" t="s">
        <v>7043</v>
      </c>
      <c r="AH189" s="30">
        <v>47484.0</v>
      </c>
      <c r="AI189" s="30">
        <v>47848.0</v>
      </c>
      <c r="AJ189" s="29" t="s">
        <v>7053</v>
      </c>
      <c r="AK189" s="29" t="s">
        <v>7053</v>
      </c>
      <c r="AL189" s="32" t="s">
        <v>7043</v>
      </c>
    </row>
    <row r="190" ht="14.25" customHeight="1">
      <c r="A190" s="28" t="s">
        <v>4445</v>
      </c>
      <c r="B190" s="29" t="s">
        <v>4446</v>
      </c>
      <c r="C190" s="29" t="s">
        <v>7041</v>
      </c>
      <c r="D190" s="30">
        <v>45292.0</v>
      </c>
      <c r="E190" s="30">
        <v>45657.0</v>
      </c>
      <c r="F190" s="29" t="s">
        <v>7086</v>
      </c>
      <c r="G190" s="29" t="s">
        <v>7051</v>
      </c>
      <c r="H190" s="32" t="s">
        <v>7043</v>
      </c>
      <c r="I190" s="30">
        <v>45658.0</v>
      </c>
      <c r="J190" s="30">
        <v>46022.0</v>
      </c>
      <c r="K190" s="29" t="s">
        <v>7053</v>
      </c>
      <c r="L190" s="29" t="s">
        <v>7053</v>
      </c>
      <c r="M190" s="32" t="s">
        <v>7043</v>
      </c>
      <c r="N190" s="30">
        <v>46023.0</v>
      </c>
      <c r="O190" s="30">
        <v>46387.0</v>
      </c>
      <c r="P190" s="29" t="s">
        <v>7053</v>
      </c>
      <c r="Q190" s="29" t="s">
        <v>7053</v>
      </c>
      <c r="R190" s="32" t="s">
        <v>7043</v>
      </c>
      <c r="S190" s="30">
        <v>46388.0</v>
      </c>
      <c r="T190" s="30">
        <v>46752.0</v>
      </c>
      <c r="U190" s="29" t="s">
        <v>7053</v>
      </c>
      <c r="V190" s="29" t="s">
        <v>7053</v>
      </c>
      <c r="W190" s="32" t="s">
        <v>7043</v>
      </c>
      <c r="X190" s="30">
        <v>46753.0</v>
      </c>
      <c r="Y190" s="30">
        <v>47118.0</v>
      </c>
      <c r="Z190" s="29" t="s">
        <v>7053</v>
      </c>
      <c r="AA190" s="29" t="s">
        <v>7053</v>
      </c>
      <c r="AB190" s="32" t="s">
        <v>7043</v>
      </c>
      <c r="AC190" s="30">
        <v>47119.0</v>
      </c>
      <c r="AD190" s="30">
        <v>47483.0</v>
      </c>
      <c r="AE190" s="29" t="s">
        <v>7053</v>
      </c>
      <c r="AF190" s="29" t="s">
        <v>7053</v>
      </c>
      <c r="AG190" s="32" t="s">
        <v>7043</v>
      </c>
      <c r="AH190" s="30">
        <v>47484.0</v>
      </c>
      <c r="AI190" s="30">
        <v>47848.0</v>
      </c>
      <c r="AJ190" s="29" t="s">
        <v>7053</v>
      </c>
      <c r="AK190" s="29" t="s">
        <v>7053</v>
      </c>
      <c r="AL190" s="32" t="s">
        <v>7043</v>
      </c>
    </row>
    <row r="191" ht="14.25" customHeight="1">
      <c r="A191" s="28" t="s">
        <v>4448</v>
      </c>
      <c r="B191" s="29" t="s">
        <v>4449</v>
      </c>
      <c r="C191" s="29" t="s">
        <v>7041</v>
      </c>
      <c r="D191" s="30">
        <v>45292.0</v>
      </c>
      <c r="E191" s="30">
        <v>45657.0</v>
      </c>
      <c r="F191" s="29" t="s">
        <v>7068</v>
      </c>
      <c r="G191" s="29" t="s">
        <v>7125</v>
      </c>
      <c r="H191" s="32" t="s">
        <v>7043</v>
      </c>
      <c r="I191" s="30">
        <v>45658.0</v>
      </c>
      <c r="J191" s="30">
        <v>46022.0</v>
      </c>
      <c r="K191" s="29" t="s">
        <v>7054</v>
      </c>
      <c r="L191" s="29" t="s">
        <v>7053</v>
      </c>
      <c r="M191" s="38" t="s">
        <v>7047</v>
      </c>
      <c r="N191" s="30">
        <v>46023.0</v>
      </c>
      <c r="O191" s="30">
        <v>46387.0</v>
      </c>
      <c r="P191" s="29" t="s">
        <v>7053</v>
      </c>
      <c r="Q191" s="29" t="s">
        <v>7053</v>
      </c>
      <c r="R191" s="32" t="s">
        <v>7043</v>
      </c>
      <c r="S191" s="30">
        <v>46388.0</v>
      </c>
      <c r="T191" s="30">
        <v>46752.0</v>
      </c>
      <c r="U191" s="29" t="s">
        <v>7053</v>
      </c>
      <c r="V191" s="29" t="s">
        <v>7053</v>
      </c>
      <c r="W191" s="32" t="s">
        <v>7043</v>
      </c>
      <c r="X191" s="30">
        <v>46753.0</v>
      </c>
      <c r="Y191" s="30">
        <v>47118.0</v>
      </c>
      <c r="Z191" s="29" t="s">
        <v>7053</v>
      </c>
      <c r="AA191" s="29" t="s">
        <v>7053</v>
      </c>
      <c r="AB191" s="32" t="s">
        <v>7043</v>
      </c>
      <c r="AC191" s="30">
        <v>47119.0</v>
      </c>
      <c r="AD191" s="30">
        <v>47483.0</v>
      </c>
      <c r="AE191" s="29" t="s">
        <v>7053</v>
      </c>
      <c r="AF191" s="29" t="s">
        <v>7053</v>
      </c>
      <c r="AG191" s="32" t="s">
        <v>7043</v>
      </c>
      <c r="AH191" s="30">
        <v>47484.0</v>
      </c>
      <c r="AI191" s="30">
        <v>47848.0</v>
      </c>
      <c r="AJ191" s="29" t="s">
        <v>7053</v>
      </c>
      <c r="AK191" s="29" t="s">
        <v>7053</v>
      </c>
      <c r="AL191" s="32" t="s">
        <v>7043</v>
      </c>
    </row>
    <row r="192" ht="14.25" customHeight="1">
      <c r="A192" s="28" t="s">
        <v>4470</v>
      </c>
      <c r="B192" s="29" t="s">
        <v>4471</v>
      </c>
      <c r="C192" s="29" t="s">
        <v>7041</v>
      </c>
      <c r="D192" s="30">
        <v>45292.0</v>
      </c>
      <c r="E192" s="30">
        <v>45657.0</v>
      </c>
      <c r="F192" s="29" t="s">
        <v>7095</v>
      </c>
      <c r="G192" s="29" t="s">
        <v>7051</v>
      </c>
      <c r="H192" s="32" t="s">
        <v>7043</v>
      </c>
      <c r="I192" s="30">
        <v>45658.0</v>
      </c>
      <c r="J192" s="30">
        <v>46022.0</v>
      </c>
      <c r="K192" s="29" t="s">
        <v>7086</v>
      </c>
      <c r="L192" s="29" t="s">
        <v>7053</v>
      </c>
      <c r="M192" s="38" t="s">
        <v>7047</v>
      </c>
      <c r="N192" s="30">
        <v>46023.0</v>
      </c>
      <c r="O192" s="30">
        <v>46387.0</v>
      </c>
      <c r="P192" s="29" t="s">
        <v>7053</v>
      </c>
      <c r="Q192" s="29" t="s">
        <v>7053</v>
      </c>
      <c r="R192" s="32" t="s">
        <v>7043</v>
      </c>
      <c r="S192" s="30">
        <v>46388.0</v>
      </c>
      <c r="T192" s="30">
        <v>46752.0</v>
      </c>
      <c r="U192" s="29" t="s">
        <v>7053</v>
      </c>
      <c r="V192" s="29" t="s">
        <v>7053</v>
      </c>
      <c r="W192" s="32" t="s">
        <v>7043</v>
      </c>
      <c r="X192" s="30">
        <v>46753.0</v>
      </c>
      <c r="Y192" s="30">
        <v>47118.0</v>
      </c>
      <c r="Z192" s="29" t="s">
        <v>7053</v>
      </c>
      <c r="AA192" s="29" t="s">
        <v>7053</v>
      </c>
      <c r="AB192" s="32" t="s">
        <v>7043</v>
      </c>
      <c r="AC192" s="30">
        <v>47119.0</v>
      </c>
      <c r="AD192" s="30">
        <v>47483.0</v>
      </c>
      <c r="AE192" s="29" t="s">
        <v>7053</v>
      </c>
      <c r="AF192" s="29" t="s">
        <v>7053</v>
      </c>
      <c r="AG192" s="32" t="s">
        <v>7043</v>
      </c>
      <c r="AH192" s="30">
        <v>47484.0</v>
      </c>
      <c r="AI192" s="30">
        <v>47848.0</v>
      </c>
      <c r="AJ192" s="29" t="s">
        <v>7053</v>
      </c>
      <c r="AK192" s="29" t="s">
        <v>7053</v>
      </c>
      <c r="AL192" s="32" t="s">
        <v>7043</v>
      </c>
    </row>
    <row r="193" ht="14.25" customHeight="1">
      <c r="A193" s="28" t="s">
        <v>4474</v>
      </c>
      <c r="B193" s="29" t="s">
        <v>4475</v>
      </c>
      <c r="C193" s="29" t="s">
        <v>7041</v>
      </c>
      <c r="D193" s="30">
        <v>45292.0</v>
      </c>
      <c r="E193" s="30">
        <v>45657.0</v>
      </c>
      <c r="F193" s="29" t="s">
        <v>7068</v>
      </c>
      <c r="G193" s="29" t="s">
        <v>7051</v>
      </c>
      <c r="H193" s="32" t="s">
        <v>7043</v>
      </c>
      <c r="I193" s="30">
        <v>45658.0</v>
      </c>
      <c r="J193" s="30">
        <v>46022.0</v>
      </c>
      <c r="K193" s="29" t="s">
        <v>7072</v>
      </c>
      <c r="L193" s="29" t="s">
        <v>7053</v>
      </c>
      <c r="M193" s="38" t="s">
        <v>7047</v>
      </c>
      <c r="N193" s="30">
        <v>46023.0</v>
      </c>
      <c r="O193" s="30">
        <v>46387.0</v>
      </c>
      <c r="P193" s="29" t="s">
        <v>7053</v>
      </c>
      <c r="Q193" s="29" t="s">
        <v>7053</v>
      </c>
      <c r="R193" s="32" t="s">
        <v>7043</v>
      </c>
      <c r="S193" s="30">
        <v>46388.0</v>
      </c>
      <c r="T193" s="30">
        <v>46752.0</v>
      </c>
      <c r="U193" s="29" t="s">
        <v>7053</v>
      </c>
      <c r="V193" s="29" t="s">
        <v>7053</v>
      </c>
      <c r="W193" s="32" t="s">
        <v>7043</v>
      </c>
      <c r="X193" s="30">
        <v>46753.0</v>
      </c>
      <c r="Y193" s="30">
        <v>47118.0</v>
      </c>
      <c r="Z193" s="29" t="s">
        <v>7053</v>
      </c>
      <c r="AA193" s="29" t="s">
        <v>7053</v>
      </c>
      <c r="AB193" s="32" t="s">
        <v>7043</v>
      </c>
      <c r="AC193" s="30">
        <v>47119.0</v>
      </c>
      <c r="AD193" s="30">
        <v>47483.0</v>
      </c>
      <c r="AE193" s="29" t="s">
        <v>7053</v>
      </c>
      <c r="AF193" s="29" t="s">
        <v>7053</v>
      </c>
      <c r="AG193" s="32" t="s">
        <v>7043</v>
      </c>
      <c r="AH193" s="30">
        <v>47484.0</v>
      </c>
      <c r="AI193" s="30">
        <v>47848.0</v>
      </c>
      <c r="AJ193" s="29" t="s">
        <v>7053</v>
      </c>
      <c r="AK193" s="29" t="s">
        <v>7053</v>
      </c>
      <c r="AL193" s="32" t="s">
        <v>7043</v>
      </c>
    </row>
    <row r="194" ht="14.25" customHeight="1">
      <c r="A194" s="28" t="s">
        <v>4501</v>
      </c>
      <c r="B194" s="29" t="s">
        <v>4502</v>
      </c>
      <c r="C194" s="29" t="s">
        <v>7041</v>
      </c>
      <c r="D194" s="30">
        <v>45292.0</v>
      </c>
      <c r="E194" s="30">
        <v>45657.0</v>
      </c>
      <c r="F194" s="29" t="s">
        <v>7062</v>
      </c>
      <c r="G194" s="29" t="s">
        <v>7051</v>
      </c>
      <c r="H194" s="32" t="s">
        <v>7043</v>
      </c>
      <c r="I194" s="30">
        <v>45658.0</v>
      </c>
      <c r="J194" s="30">
        <v>46022.0</v>
      </c>
      <c r="K194" s="29" t="s">
        <v>7101</v>
      </c>
      <c r="L194" s="29" t="s">
        <v>7053</v>
      </c>
      <c r="M194" s="38" t="s">
        <v>7047</v>
      </c>
      <c r="N194" s="30">
        <v>46023.0</v>
      </c>
      <c r="O194" s="30">
        <v>46387.0</v>
      </c>
      <c r="P194" s="29" t="s">
        <v>7053</v>
      </c>
      <c r="Q194" s="29" t="s">
        <v>7053</v>
      </c>
      <c r="R194" s="32" t="s">
        <v>7043</v>
      </c>
      <c r="S194" s="30">
        <v>46388.0</v>
      </c>
      <c r="T194" s="30">
        <v>46752.0</v>
      </c>
      <c r="U194" s="29" t="s">
        <v>7053</v>
      </c>
      <c r="V194" s="29" t="s">
        <v>7053</v>
      </c>
      <c r="W194" s="32" t="s">
        <v>7043</v>
      </c>
      <c r="X194" s="30">
        <v>46753.0</v>
      </c>
      <c r="Y194" s="30">
        <v>47118.0</v>
      </c>
      <c r="Z194" s="29" t="s">
        <v>7053</v>
      </c>
      <c r="AA194" s="29" t="s">
        <v>7053</v>
      </c>
      <c r="AB194" s="32" t="s">
        <v>7043</v>
      </c>
      <c r="AC194" s="30">
        <v>47119.0</v>
      </c>
      <c r="AD194" s="30">
        <v>47483.0</v>
      </c>
      <c r="AE194" s="29" t="s">
        <v>7053</v>
      </c>
      <c r="AF194" s="29" t="s">
        <v>7053</v>
      </c>
      <c r="AG194" s="32" t="s">
        <v>7043</v>
      </c>
      <c r="AH194" s="30">
        <v>47484.0</v>
      </c>
      <c r="AI194" s="30">
        <v>47848.0</v>
      </c>
      <c r="AJ194" s="29" t="s">
        <v>7053</v>
      </c>
      <c r="AK194" s="29" t="s">
        <v>7053</v>
      </c>
      <c r="AL194" s="32" t="s">
        <v>7043</v>
      </c>
    </row>
    <row r="195" ht="14.25" customHeight="1">
      <c r="A195" s="28" t="s">
        <v>4505</v>
      </c>
      <c r="B195" s="29" t="s">
        <v>4506</v>
      </c>
      <c r="C195" s="29" t="s">
        <v>7041</v>
      </c>
      <c r="D195" s="30">
        <v>45292.0</v>
      </c>
      <c r="E195" s="30">
        <v>45657.0</v>
      </c>
      <c r="F195" s="29" t="s">
        <v>7085</v>
      </c>
      <c r="G195" s="29" t="s">
        <v>7102</v>
      </c>
      <c r="H195" s="37" t="s">
        <v>7046</v>
      </c>
      <c r="I195" s="30">
        <v>45658.0</v>
      </c>
      <c r="J195" s="30">
        <v>46022.0</v>
      </c>
      <c r="K195" s="29" t="s">
        <v>7073</v>
      </c>
      <c r="L195" s="29" t="s">
        <v>7053</v>
      </c>
      <c r="M195" s="38" t="s">
        <v>7047</v>
      </c>
      <c r="N195" s="30">
        <v>46023.0</v>
      </c>
      <c r="O195" s="30">
        <v>46387.0</v>
      </c>
      <c r="P195" s="29" t="s">
        <v>7053</v>
      </c>
      <c r="Q195" s="29" t="s">
        <v>7053</v>
      </c>
      <c r="R195" s="32" t="s">
        <v>7043</v>
      </c>
      <c r="S195" s="30">
        <v>46388.0</v>
      </c>
      <c r="T195" s="30">
        <v>46752.0</v>
      </c>
      <c r="U195" s="29" t="s">
        <v>7053</v>
      </c>
      <c r="V195" s="29" t="s">
        <v>7053</v>
      </c>
      <c r="W195" s="32" t="s">
        <v>7043</v>
      </c>
      <c r="X195" s="30">
        <v>46753.0</v>
      </c>
      <c r="Y195" s="30">
        <v>47118.0</v>
      </c>
      <c r="Z195" s="29" t="s">
        <v>7053</v>
      </c>
      <c r="AA195" s="29" t="s">
        <v>7053</v>
      </c>
      <c r="AB195" s="32" t="s">
        <v>7043</v>
      </c>
      <c r="AC195" s="30">
        <v>47119.0</v>
      </c>
      <c r="AD195" s="30">
        <v>47483.0</v>
      </c>
      <c r="AE195" s="29" t="s">
        <v>7053</v>
      </c>
      <c r="AF195" s="29" t="s">
        <v>7053</v>
      </c>
      <c r="AG195" s="32" t="s">
        <v>7043</v>
      </c>
      <c r="AH195" s="30">
        <v>47484.0</v>
      </c>
      <c r="AI195" s="30">
        <v>47848.0</v>
      </c>
      <c r="AJ195" s="29" t="s">
        <v>7053</v>
      </c>
      <c r="AK195" s="29" t="s">
        <v>7053</v>
      </c>
      <c r="AL195" s="32" t="s">
        <v>7043</v>
      </c>
    </row>
    <row r="196" ht="14.25" customHeight="1">
      <c r="A196" s="28" t="s">
        <v>4705</v>
      </c>
      <c r="B196" s="29" t="s">
        <v>4706</v>
      </c>
      <c r="C196" s="29" t="s">
        <v>7041</v>
      </c>
      <c r="D196" s="30">
        <v>45292.0</v>
      </c>
      <c r="E196" s="30">
        <v>45657.0</v>
      </c>
      <c r="F196" s="29" t="s">
        <v>7104</v>
      </c>
      <c r="G196" s="29" t="s">
        <v>7051</v>
      </c>
      <c r="H196" s="32" t="s">
        <v>7043</v>
      </c>
      <c r="I196" s="30">
        <v>45658.0</v>
      </c>
      <c r="J196" s="30">
        <v>46022.0</v>
      </c>
      <c r="K196" s="29" t="s">
        <v>7079</v>
      </c>
      <c r="L196" s="29" t="s">
        <v>7053</v>
      </c>
      <c r="M196" s="38" t="s">
        <v>7047</v>
      </c>
      <c r="N196" s="30">
        <v>46023.0</v>
      </c>
      <c r="O196" s="30">
        <v>46387.0</v>
      </c>
      <c r="P196" s="29" t="s">
        <v>7053</v>
      </c>
      <c r="Q196" s="29" t="s">
        <v>7053</v>
      </c>
      <c r="R196" s="32" t="s">
        <v>7043</v>
      </c>
      <c r="S196" s="30">
        <v>46388.0</v>
      </c>
      <c r="T196" s="30">
        <v>46752.0</v>
      </c>
      <c r="U196" s="29" t="s">
        <v>7053</v>
      </c>
      <c r="V196" s="29" t="s">
        <v>7053</v>
      </c>
      <c r="W196" s="32" t="s">
        <v>7043</v>
      </c>
      <c r="X196" s="30">
        <v>46753.0</v>
      </c>
      <c r="Y196" s="30">
        <v>47118.0</v>
      </c>
      <c r="Z196" s="29" t="s">
        <v>7053</v>
      </c>
      <c r="AA196" s="29" t="s">
        <v>7053</v>
      </c>
      <c r="AB196" s="32" t="s">
        <v>7043</v>
      </c>
      <c r="AC196" s="30">
        <v>47119.0</v>
      </c>
      <c r="AD196" s="30">
        <v>47483.0</v>
      </c>
      <c r="AE196" s="29" t="s">
        <v>7053</v>
      </c>
      <c r="AF196" s="29" t="s">
        <v>7053</v>
      </c>
      <c r="AG196" s="32" t="s">
        <v>7043</v>
      </c>
      <c r="AH196" s="30">
        <v>47484.0</v>
      </c>
      <c r="AI196" s="30">
        <v>47848.0</v>
      </c>
      <c r="AJ196" s="29" t="s">
        <v>7053</v>
      </c>
      <c r="AK196" s="29" t="s">
        <v>7053</v>
      </c>
      <c r="AL196" s="32" t="s">
        <v>7043</v>
      </c>
    </row>
    <row r="197" ht="14.25" customHeight="1">
      <c r="A197" s="28" t="s">
        <v>4779</v>
      </c>
      <c r="B197" s="29" t="s">
        <v>4780</v>
      </c>
      <c r="C197" s="29" t="s">
        <v>7041</v>
      </c>
      <c r="D197" s="30">
        <v>45292.0</v>
      </c>
      <c r="E197" s="30">
        <v>45657.0</v>
      </c>
      <c r="F197" s="29" t="s">
        <v>7097</v>
      </c>
      <c r="G197" s="29" t="s">
        <v>7051</v>
      </c>
      <c r="H197" s="32" t="s">
        <v>7043</v>
      </c>
      <c r="I197" s="30">
        <v>45658.0</v>
      </c>
      <c r="J197" s="30">
        <v>46022.0</v>
      </c>
      <c r="K197" s="29" t="s">
        <v>7097</v>
      </c>
      <c r="L197" s="29" t="s">
        <v>7053</v>
      </c>
      <c r="M197" s="32" t="s">
        <v>7047</v>
      </c>
      <c r="N197" s="30">
        <v>46023.0</v>
      </c>
      <c r="O197" s="30">
        <v>46387.0</v>
      </c>
      <c r="P197" s="29" t="s">
        <v>7053</v>
      </c>
      <c r="Q197" s="29" t="s">
        <v>7053</v>
      </c>
      <c r="R197" s="32" t="s">
        <v>7043</v>
      </c>
      <c r="S197" s="30">
        <v>46388.0</v>
      </c>
      <c r="T197" s="30">
        <v>46752.0</v>
      </c>
      <c r="U197" s="29" t="s">
        <v>7053</v>
      </c>
      <c r="V197" s="29" t="s">
        <v>7053</v>
      </c>
      <c r="W197" s="32" t="s">
        <v>7043</v>
      </c>
      <c r="X197" s="30">
        <v>46753.0</v>
      </c>
      <c r="Y197" s="30">
        <v>47118.0</v>
      </c>
      <c r="Z197" s="29" t="s">
        <v>7053</v>
      </c>
      <c r="AA197" s="29" t="s">
        <v>7053</v>
      </c>
      <c r="AB197" s="32" t="s">
        <v>7043</v>
      </c>
      <c r="AC197" s="30">
        <v>47119.0</v>
      </c>
      <c r="AD197" s="30">
        <v>47483.0</v>
      </c>
      <c r="AE197" s="29" t="s">
        <v>7053</v>
      </c>
      <c r="AF197" s="29" t="s">
        <v>7053</v>
      </c>
      <c r="AG197" s="32" t="s">
        <v>7043</v>
      </c>
      <c r="AH197" s="30">
        <v>47484.0</v>
      </c>
      <c r="AI197" s="30">
        <v>47848.0</v>
      </c>
      <c r="AJ197" s="29" t="s">
        <v>7053</v>
      </c>
      <c r="AK197" s="29" t="s">
        <v>7053</v>
      </c>
      <c r="AL197" s="32" t="s">
        <v>7043</v>
      </c>
    </row>
    <row r="198" ht="14.25" customHeight="1">
      <c r="A198" s="28" t="s">
        <v>255</v>
      </c>
      <c r="B198" s="29" t="s">
        <v>256</v>
      </c>
      <c r="C198" s="29" t="s">
        <v>7041</v>
      </c>
      <c r="D198" s="30">
        <v>45292.0</v>
      </c>
      <c r="E198" s="30">
        <v>45657.0</v>
      </c>
      <c r="F198" s="29" t="s">
        <v>7145</v>
      </c>
      <c r="G198" s="29" t="s">
        <v>7135</v>
      </c>
      <c r="H198" s="37" t="s">
        <v>7046</v>
      </c>
      <c r="I198" s="30">
        <v>45658.0</v>
      </c>
      <c r="J198" s="30">
        <v>46022.0</v>
      </c>
      <c r="K198" s="29" t="s">
        <v>7055</v>
      </c>
      <c r="L198" s="29" t="s">
        <v>7053</v>
      </c>
      <c r="M198" s="38" t="s">
        <v>7047</v>
      </c>
      <c r="N198" s="30">
        <v>46023.0</v>
      </c>
      <c r="O198" s="30">
        <v>46387.0</v>
      </c>
      <c r="P198" s="29" t="s">
        <v>7053</v>
      </c>
      <c r="Q198" s="29" t="s">
        <v>7053</v>
      </c>
      <c r="R198" s="32" t="s">
        <v>7043</v>
      </c>
      <c r="S198" s="30">
        <v>46388.0</v>
      </c>
      <c r="T198" s="30">
        <v>46752.0</v>
      </c>
      <c r="U198" s="29" t="s">
        <v>7053</v>
      </c>
      <c r="V198" s="29" t="s">
        <v>7053</v>
      </c>
      <c r="W198" s="32" t="s">
        <v>7043</v>
      </c>
      <c r="X198" s="30">
        <v>46753.0</v>
      </c>
      <c r="Y198" s="30">
        <v>47118.0</v>
      </c>
      <c r="Z198" s="29" t="s">
        <v>7053</v>
      </c>
      <c r="AA198" s="29" t="s">
        <v>7053</v>
      </c>
      <c r="AB198" s="32" t="s">
        <v>7043</v>
      </c>
      <c r="AC198" s="30">
        <v>47119.0</v>
      </c>
      <c r="AD198" s="30">
        <v>47483.0</v>
      </c>
      <c r="AE198" s="29" t="s">
        <v>7053</v>
      </c>
      <c r="AF198" s="29" t="s">
        <v>7053</v>
      </c>
      <c r="AG198" s="32" t="s">
        <v>7043</v>
      </c>
      <c r="AH198" s="30">
        <v>47484.0</v>
      </c>
      <c r="AI198" s="30">
        <v>47848.0</v>
      </c>
      <c r="AJ198" s="29" t="s">
        <v>7053</v>
      </c>
      <c r="AK198" s="29" t="s">
        <v>7053</v>
      </c>
      <c r="AL198" s="32" t="s">
        <v>7043</v>
      </c>
    </row>
    <row r="199" ht="14.25" customHeight="1">
      <c r="A199" s="28" t="s">
        <v>4788</v>
      </c>
      <c r="B199" s="29" t="s">
        <v>4789</v>
      </c>
      <c r="C199" s="29" t="s">
        <v>7041</v>
      </c>
      <c r="D199" s="30">
        <v>45292.0</v>
      </c>
      <c r="E199" s="30">
        <v>45657.0</v>
      </c>
      <c r="F199" s="29" t="s">
        <v>7068</v>
      </c>
      <c r="G199" s="29" t="s">
        <v>7051</v>
      </c>
      <c r="H199" s="32" t="s">
        <v>7043</v>
      </c>
      <c r="I199" s="30">
        <v>45658.0</v>
      </c>
      <c r="J199" s="30">
        <v>46022.0</v>
      </c>
      <c r="K199" s="29" t="s">
        <v>7095</v>
      </c>
      <c r="L199" s="29" t="s">
        <v>7053</v>
      </c>
      <c r="M199" s="38" t="s">
        <v>7047</v>
      </c>
      <c r="N199" s="30">
        <v>46023.0</v>
      </c>
      <c r="O199" s="30">
        <v>46387.0</v>
      </c>
      <c r="P199" s="29" t="s">
        <v>7053</v>
      </c>
      <c r="Q199" s="29" t="s">
        <v>7053</v>
      </c>
      <c r="R199" s="32" t="s">
        <v>7043</v>
      </c>
      <c r="S199" s="30">
        <v>46388.0</v>
      </c>
      <c r="T199" s="30">
        <v>46752.0</v>
      </c>
      <c r="U199" s="29" t="s">
        <v>7053</v>
      </c>
      <c r="V199" s="29" t="s">
        <v>7053</v>
      </c>
      <c r="W199" s="32" t="s">
        <v>7043</v>
      </c>
      <c r="X199" s="30">
        <v>46753.0</v>
      </c>
      <c r="Y199" s="30">
        <v>47118.0</v>
      </c>
      <c r="Z199" s="29" t="s">
        <v>7053</v>
      </c>
      <c r="AA199" s="29" t="s">
        <v>7053</v>
      </c>
      <c r="AB199" s="32" t="s">
        <v>7043</v>
      </c>
      <c r="AC199" s="30">
        <v>47119.0</v>
      </c>
      <c r="AD199" s="30">
        <v>47483.0</v>
      </c>
      <c r="AE199" s="29" t="s">
        <v>7053</v>
      </c>
      <c r="AF199" s="29" t="s">
        <v>7053</v>
      </c>
      <c r="AG199" s="32" t="s">
        <v>7043</v>
      </c>
      <c r="AH199" s="30">
        <v>47484.0</v>
      </c>
      <c r="AI199" s="30">
        <v>47848.0</v>
      </c>
      <c r="AJ199" s="29" t="s">
        <v>7053</v>
      </c>
      <c r="AK199" s="29" t="s">
        <v>7053</v>
      </c>
      <c r="AL199" s="32" t="s">
        <v>7043</v>
      </c>
    </row>
    <row r="200" ht="14.25" customHeight="1">
      <c r="A200" s="28" t="s">
        <v>4794</v>
      </c>
      <c r="B200" s="29" t="s">
        <v>4795</v>
      </c>
      <c r="C200" s="29" t="s">
        <v>7041</v>
      </c>
      <c r="D200" s="30">
        <v>45292.0</v>
      </c>
      <c r="E200" s="30">
        <v>45657.0</v>
      </c>
      <c r="F200" s="29" t="s">
        <v>7146</v>
      </c>
      <c r="G200" s="29" t="s">
        <v>7147</v>
      </c>
      <c r="H200" s="38" t="s">
        <v>7047</v>
      </c>
      <c r="I200" s="30">
        <v>45658.0</v>
      </c>
      <c r="J200" s="30">
        <v>46022.0</v>
      </c>
      <c r="K200" s="29" t="s">
        <v>7148</v>
      </c>
      <c r="L200" s="29" t="s">
        <v>7053</v>
      </c>
      <c r="M200" s="38" t="s">
        <v>7047</v>
      </c>
      <c r="N200" s="30">
        <v>46023.0</v>
      </c>
      <c r="O200" s="30">
        <v>46387.0</v>
      </c>
      <c r="P200" s="29" t="s">
        <v>7053</v>
      </c>
      <c r="Q200" s="29" t="s">
        <v>7053</v>
      </c>
      <c r="R200" s="32" t="s">
        <v>7043</v>
      </c>
      <c r="S200" s="30">
        <v>46388.0</v>
      </c>
      <c r="T200" s="30">
        <v>46752.0</v>
      </c>
      <c r="U200" s="29" t="s">
        <v>7053</v>
      </c>
      <c r="V200" s="29" t="s">
        <v>7053</v>
      </c>
      <c r="W200" s="32" t="s">
        <v>7043</v>
      </c>
      <c r="X200" s="30">
        <v>46753.0</v>
      </c>
      <c r="Y200" s="30">
        <v>47118.0</v>
      </c>
      <c r="Z200" s="29" t="s">
        <v>7053</v>
      </c>
      <c r="AA200" s="29" t="s">
        <v>7053</v>
      </c>
      <c r="AB200" s="32" t="s">
        <v>7043</v>
      </c>
      <c r="AC200" s="30">
        <v>47119.0</v>
      </c>
      <c r="AD200" s="30">
        <v>47483.0</v>
      </c>
      <c r="AE200" s="29" t="s">
        <v>7053</v>
      </c>
      <c r="AF200" s="29" t="s">
        <v>7053</v>
      </c>
      <c r="AG200" s="32" t="s">
        <v>7043</v>
      </c>
      <c r="AH200" s="30">
        <v>47484.0</v>
      </c>
      <c r="AI200" s="30">
        <v>47848.0</v>
      </c>
      <c r="AJ200" s="29" t="s">
        <v>7053</v>
      </c>
      <c r="AK200" s="29" t="s">
        <v>7053</v>
      </c>
      <c r="AL200" s="32" t="s">
        <v>7043</v>
      </c>
    </row>
    <row r="201" ht="14.25" customHeight="1">
      <c r="A201" s="28" t="s">
        <v>4798</v>
      </c>
      <c r="B201" s="29" t="s">
        <v>4799</v>
      </c>
      <c r="C201" s="29" t="s">
        <v>7041</v>
      </c>
      <c r="D201" s="30">
        <v>45292.0</v>
      </c>
      <c r="E201" s="30">
        <v>45657.0</v>
      </c>
      <c r="F201" s="29" t="s">
        <v>7111</v>
      </c>
      <c r="G201" s="29" t="s">
        <v>7051</v>
      </c>
      <c r="H201" s="32" t="s">
        <v>7043</v>
      </c>
      <c r="I201" s="30">
        <v>45658.0</v>
      </c>
      <c r="J201" s="30">
        <v>46022.0</v>
      </c>
      <c r="K201" s="29" t="s">
        <v>7120</v>
      </c>
      <c r="L201" s="29" t="s">
        <v>7053</v>
      </c>
      <c r="M201" s="38" t="s">
        <v>7047</v>
      </c>
      <c r="N201" s="30">
        <v>46023.0</v>
      </c>
      <c r="O201" s="30">
        <v>46387.0</v>
      </c>
      <c r="P201" s="29" t="s">
        <v>7053</v>
      </c>
      <c r="Q201" s="29" t="s">
        <v>7053</v>
      </c>
      <c r="R201" s="32" t="s">
        <v>7043</v>
      </c>
      <c r="S201" s="30">
        <v>46388.0</v>
      </c>
      <c r="T201" s="30">
        <v>46752.0</v>
      </c>
      <c r="U201" s="29" t="s">
        <v>7053</v>
      </c>
      <c r="V201" s="29" t="s">
        <v>7053</v>
      </c>
      <c r="W201" s="32" t="s">
        <v>7043</v>
      </c>
      <c r="X201" s="30">
        <v>46753.0</v>
      </c>
      <c r="Y201" s="30">
        <v>47118.0</v>
      </c>
      <c r="Z201" s="29" t="s">
        <v>7053</v>
      </c>
      <c r="AA201" s="29" t="s">
        <v>7053</v>
      </c>
      <c r="AB201" s="32" t="s">
        <v>7043</v>
      </c>
      <c r="AC201" s="30">
        <v>47119.0</v>
      </c>
      <c r="AD201" s="30">
        <v>47483.0</v>
      </c>
      <c r="AE201" s="29" t="s">
        <v>7053</v>
      </c>
      <c r="AF201" s="29" t="s">
        <v>7053</v>
      </c>
      <c r="AG201" s="32" t="s">
        <v>7043</v>
      </c>
      <c r="AH201" s="30">
        <v>47484.0</v>
      </c>
      <c r="AI201" s="30">
        <v>47848.0</v>
      </c>
      <c r="AJ201" s="29" t="s">
        <v>7053</v>
      </c>
      <c r="AK201" s="29" t="s">
        <v>7053</v>
      </c>
      <c r="AL201" s="32" t="s">
        <v>7043</v>
      </c>
    </row>
    <row r="202" ht="14.25" customHeight="1">
      <c r="A202" s="28" t="s">
        <v>4806</v>
      </c>
      <c r="B202" s="29" t="s">
        <v>4807</v>
      </c>
      <c r="C202" s="29" t="s">
        <v>7041</v>
      </c>
      <c r="D202" s="30">
        <v>45292.0</v>
      </c>
      <c r="E202" s="30">
        <v>45657.0</v>
      </c>
      <c r="F202" s="29" t="s">
        <v>7053</v>
      </c>
      <c r="G202" s="29" t="s">
        <v>7051</v>
      </c>
      <c r="H202" s="32" t="s">
        <v>7043</v>
      </c>
      <c r="I202" s="30">
        <v>45658.0</v>
      </c>
      <c r="J202" s="30">
        <v>46022.0</v>
      </c>
      <c r="K202" s="29" t="s">
        <v>7053</v>
      </c>
      <c r="L202" s="29" t="s">
        <v>7053</v>
      </c>
      <c r="M202" s="32" t="s">
        <v>7043</v>
      </c>
      <c r="N202" s="30">
        <v>46023.0</v>
      </c>
      <c r="O202" s="30">
        <v>46387.0</v>
      </c>
      <c r="P202" s="29" t="s">
        <v>7053</v>
      </c>
      <c r="Q202" s="29" t="s">
        <v>7053</v>
      </c>
      <c r="R202" s="32" t="s">
        <v>7043</v>
      </c>
      <c r="S202" s="30">
        <v>46388.0</v>
      </c>
      <c r="T202" s="30">
        <v>46752.0</v>
      </c>
      <c r="U202" s="29" t="s">
        <v>7053</v>
      </c>
      <c r="V202" s="29" t="s">
        <v>7053</v>
      </c>
      <c r="W202" s="32" t="s">
        <v>7043</v>
      </c>
      <c r="X202" s="30">
        <v>46753.0</v>
      </c>
      <c r="Y202" s="30">
        <v>47118.0</v>
      </c>
      <c r="Z202" s="29" t="s">
        <v>7053</v>
      </c>
      <c r="AA202" s="29" t="s">
        <v>7053</v>
      </c>
      <c r="AB202" s="32" t="s">
        <v>7043</v>
      </c>
      <c r="AC202" s="30">
        <v>47119.0</v>
      </c>
      <c r="AD202" s="30">
        <v>47483.0</v>
      </c>
      <c r="AE202" s="29" t="s">
        <v>7053</v>
      </c>
      <c r="AF202" s="29" t="s">
        <v>7053</v>
      </c>
      <c r="AG202" s="32" t="s">
        <v>7043</v>
      </c>
      <c r="AH202" s="30">
        <v>47484.0</v>
      </c>
      <c r="AI202" s="30">
        <v>47848.0</v>
      </c>
      <c r="AJ202" s="29" t="s">
        <v>7053</v>
      </c>
      <c r="AK202" s="29" t="s">
        <v>7053</v>
      </c>
      <c r="AL202" s="32" t="s">
        <v>7043</v>
      </c>
    </row>
    <row r="203" ht="14.25" customHeight="1">
      <c r="A203" s="28" t="s">
        <v>4841</v>
      </c>
      <c r="B203" s="29" t="s">
        <v>4842</v>
      </c>
      <c r="C203" s="29" t="s">
        <v>7041</v>
      </c>
      <c r="D203" s="30">
        <v>45292.0</v>
      </c>
      <c r="E203" s="30">
        <v>45657.0</v>
      </c>
      <c r="F203" s="29" t="s">
        <v>7120</v>
      </c>
      <c r="G203" s="29" t="s">
        <v>7051</v>
      </c>
      <c r="H203" s="37" t="s">
        <v>7046</v>
      </c>
      <c r="I203" s="30">
        <v>45658.0</v>
      </c>
      <c r="J203" s="30">
        <v>46022.0</v>
      </c>
      <c r="K203" s="29" t="s">
        <v>7065</v>
      </c>
      <c r="L203" s="29" t="s">
        <v>7053</v>
      </c>
      <c r="M203" s="38" t="s">
        <v>7047</v>
      </c>
      <c r="N203" s="30">
        <v>46023.0</v>
      </c>
      <c r="O203" s="30">
        <v>46387.0</v>
      </c>
      <c r="P203" s="29" t="s">
        <v>7053</v>
      </c>
      <c r="Q203" s="29" t="s">
        <v>7053</v>
      </c>
      <c r="R203" s="32" t="s">
        <v>7043</v>
      </c>
      <c r="S203" s="30">
        <v>46388.0</v>
      </c>
      <c r="T203" s="30">
        <v>46752.0</v>
      </c>
      <c r="U203" s="29" t="s">
        <v>7053</v>
      </c>
      <c r="V203" s="29" t="s">
        <v>7053</v>
      </c>
      <c r="W203" s="32" t="s">
        <v>7043</v>
      </c>
      <c r="X203" s="30">
        <v>46753.0</v>
      </c>
      <c r="Y203" s="30">
        <v>47118.0</v>
      </c>
      <c r="Z203" s="29" t="s">
        <v>7053</v>
      </c>
      <c r="AA203" s="29" t="s">
        <v>7053</v>
      </c>
      <c r="AB203" s="32" t="s">
        <v>7043</v>
      </c>
      <c r="AC203" s="30">
        <v>47119.0</v>
      </c>
      <c r="AD203" s="30">
        <v>47483.0</v>
      </c>
      <c r="AE203" s="29" t="s">
        <v>7053</v>
      </c>
      <c r="AF203" s="29" t="s">
        <v>7053</v>
      </c>
      <c r="AG203" s="32" t="s">
        <v>7043</v>
      </c>
      <c r="AH203" s="30">
        <v>47484.0</v>
      </c>
      <c r="AI203" s="30">
        <v>47848.0</v>
      </c>
      <c r="AJ203" s="29" t="s">
        <v>7053</v>
      </c>
      <c r="AK203" s="29" t="s">
        <v>7053</v>
      </c>
      <c r="AL203" s="32" t="s">
        <v>7043</v>
      </c>
    </row>
    <row r="204" ht="14.25" customHeight="1">
      <c r="A204" s="28" t="s">
        <v>4845</v>
      </c>
      <c r="B204" s="29" t="s">
        <v>4846</v>
      </c>
      <c r="C204" s="29" t="s">
        <v>7041</v>
      </c>
      <c r="D204" s="30">
        <v>45292.0</v>
      </c>
      <c r="E204" s="30">
        <v>45657.0</v>
      </c>
      <c r="F204" s="29" t="s">
        <v>7112</v>
      </c>
      <c r="G204" s="29" t="s">
        <v>7099</v>
      </c>
      <c r="H204" s="38" t="s">
        <v>7047</v>
      </c>
      <c r="I204" s="30">
        <v>45658.0</v>
      </c>
      <c r="J204" s="30">
        <v>46022.0</v>
      </c>
      <c r="K204" s="29" t="s">
        <v>7099</v>
      </c>
      <c r="L204" s="29" t="s">
        <v>7053</v>
      </c>
      <c r="M204" s="38" t="s">
        <v>7047</v>
      </c>
      <c r="N204" s="30">
        <v>46023.0</v>
      </c>
      <c r="O204" s="30">
        <v>46387.0</v>
      </c>
      <c r="P204" s="29" t="s">
        <v>7053</v>
      </c>
      <c r="Q204" s="29" t="s">
        <v>7053</v>
      </c>
      <c r="R204" s="32" t="s">
        <v>7043</v>
      </c>
      <c r="S204" s="30">
        <v>46388.0</v>
      </c>
      <c r="T204" s="30">
        <v>46752.0</v>
      </c>
      <c r="U204" s="29" t="s">
        <v>7053</v>
      </c>
      <c r="V204" s="29" t="s">
        <v>7053</v>
      </c>
      <c r="W204" s="32" t="s">
        <v>7043</v>
      </c>
      <c r="X204" s="30">
        <v>46753.0</v>
      </c>
      <c r="Y204" s="30">
        <v>47118.0</v>
      </c>
      <c r="Z204" s="29" t="s">
        <v>7053</v>
      </c>
      <c r="AA204" s="29" t="s">
        <v>7053</v>
      </c>
      <c r="AB204" s="32" t="s">
        <v>7043</v>
      </c>
      <c r="AC204" s="30">
        <v>47119.0</v>
      </c>
      <c r="AD204" s="30">
        <v>47483.0</v>
      </c>
      <c r="AE204" s="29" t="s">
        <v>7053</v>
      </c>
      <c r="AF204" s="29" t="s">
        <v>7053</v>
      </c>
      <c r="AG204" s="32" t="s">
        <v>7043</v>
      </c>
      <c r="AH204" s="30">
        <v>47484.0</v>
      </c>
      <c r="AI204" s="30">
        <v>47848.0</v>
      </c>
      <c r="AJ204" s="29" t="s">
        <v>7053</v>
      </c>
      <c r="AK204" s="29" t="s">
        <v>7053</v>
      </c>
      <c r="AL204" s="32" t="s">
        <v>7043</v>
      </c>
    </row>
    <row r="205" ht="14.25" customHeight="1">
      <c r="A205" s="28" t="s">
        <v>4849</v>
      </c>
      <c r="B205" s="29" t="s">
        <v>4850</v>
      </c>
      <c r="C205" s="29" t="s">
        <v>7041</v>
      </c>
      <c r="D205" s="30">
        <v>45292.0</v>
      </c>
      <c r="E205" s="30">
        <v>45657.0</v>
      </c>
      <c r="F205" s="29" t="s">
        <v>7054</v>
      </c>
      <c r="G205" s="29" t="s">
        <v>7112</v>
      </c>
      <c r="H205" s="32" t="s">
        <v>7043</v>
      </c>
      <c r="I205" s="30">
        <v>45658.0</v>
      </c>
      <c r="J205" s="30">
        <v>46022.0</v>
      </c>
      <c r="K205" s="29" t="s">
        <v>7052</v>
      </c>
      <c r="L205" s="29" t="s">
        <v>7053</v>
      </c>
      <c r="M205" s="38" t="s">
        <v>7047</v>
      </c>
      <c r="N205" s="30">
        <v>46023.0</v>
      </c>
      <c r="O205" s="30">
        <v>46387.0</v>
      </c>
      <c r="P205" s="29" t="s">
        <v>7053</v>
      </c>
      <c r="Q205" s="29" t="s">
        <v>7053</v>
      </c>
      <c r="R205" s="32" t="s">
        <v>7043</v>
      </c>
      <c r="S205" s="30">
        <v>46388.0</v>
      </c>
      <c r="T205" s="30">
        <v>46752.0</v>
      </c>
      <c r="U205" s="29" t="s">
        <v>7053</v>
      </c>
      <c r="V205" s="29" t="s">
        <v>7053</v>
      </c>
      <c r="W205" s="32" t="s">
        <v>7043</v>
      </c>
      <c r="X205" s="30">
        <v>46753.0</v>
      </c>
      <c r="Y205" s="30">
        <v>47118.0</v>
      </c>
      <c r="Z205" s="29" t="s">
        <v>7053</v>
      </c>
      <c r="AA205" s="29" t="s">
        <v>7053</v>
      </c>
      <c r="AB205" s="32" t="s">
        <v>7043</v>
      </c>
      <c r="AC205" s="30">
        <v>47119.0</v>
      </c>
      <c r="AD205" s="30">
        <v>47483.0</v>
      </c>
      <c r="AE205" s="29" t="s">
        <v>7053</v>
      </c>
      <c r="AF205" s="29" t="s">
        <v>7053</v>
      </c>
      <c r="AG205" s="32" t="s">
        <v>7043</v>
      </c>
      <c r="AH205" s="30">
        <v>47484.0</v>
      </c>
      <c r="AI205" s="30">
        <v>47848.0</v>
      </c>
      <c r="AJ205" s="29" t="s">
        <v>7053</v>
      </c>
      <c r="AK205" s="29" t="s">
        <v>7053</v>
      </c>
      <c r="AL205" s="32" t="s">
        <v>7043</v>
      </c>
    </row>
    <row r="206" ht="14.25" customHeight="1">
      <c r="A206" s="28" t="s">
        <v>4868</v>
      </c>
      <c r="B206" s="29" t="s">
        <v>4869</v>
      </c>
      <c r="C206" s="29" t="s">
        <v>7041</v>
      </c>
      <c r="D206" s="30">
        <v>45292.0</v>
      </c>
      <c r="E206" s="30">
        <v>45657.0</v>
      </c>
      <c r="F206" s="29" t="s">
        <v>7055</v>
      </c>
      <c r="G206" s="29" t="s">
        <v>7051</v>
      </c>
      <c r="H206" s="38" t="s">
        <v>7047</v>
      </c>
      <c r="I206" s="30">
        <v>45658.0</v>
      </c>
      <c r="J206" s="30">
        <v>46022.0</v>
      </c>
      <c r="K206" s="29" t="s">
        <v>7125</v>
      </c>
      <c r="L206" s="29" t="s">
        <v>7053</v>
      </c>
      <c r="M206" s="38" t="s">
        <v>7047</v>
      </c>
      <c r="N206" s="30">
        <v>46023.0</v>
      </c>
      <c r="O206" s="30">
        <v>46387.0</v>
      </c>
      <c r="P206" s="29" t="s">
        <v>7053</v>
      </c>
      <c r="Q206" s="29" t="s">
        <v>7053</v>
      </c>
      <c r="R206" s="32" t="s">
        <v>7043</v>
      </c>
      <c r="S206" s="30">
        <v>46388.0</v>
      </c>
      <c r="T206" s="30">
        <v>46752.0</v>
      </c>
      <c r="U206" s="29" t="s">
        <v>7053</v>
      </c>
      <c r="V206" s="29" t="s">
        <v>7053</v>
      </c>
      <c r="W206" s="32" t="s">
        <v>7043</v>
      </c>
      <c r="X206" s="30">
        <v>46753.0</v>
      </c>
      <c r="Y206" s="30">
        <v>47118.0</v>
      </c>
      <c r="Z206" s="29" t="s">
        <v>7053</v>
      </c>
      <c r="AA206" s="29" t="s">
        <v>7053</v>
      </c>
      <c r="AB206" s="32" t="s">
        <v>7043</v>
      </c>
      <c r="AC206" s="30">
        <v>47119.0</v>
      </c>
      <c r="AD206" s="30">
        <v>47483.0</v>
      </c>
      <c r="AE206" s="29" t="s">
        <v>7053</v>
      </c>
      <c r="AF206" s="29" t="s">
        <v>7053</v>
      </c>
      <c r="AG206" s="32" t="s">
        <v>7043</v>
      </c>
      <c r="AH206" s="30">
        <v>47484.0</v>
      </c>
      <c r="AI206" s="30">
        <v>47848.0</v>
      </c>
      <c r="AJ206" s="29" t="s">
        <v>7053</v>
      </c>
      <c r="AK206" s="29" t="s">
        <v>7053</v>
      </c>
      <c r="AL206" s="32" t="s">
        <v>7043</v>
      </c>
    </row>
    <row r="207" ht="14.25" customHeight="1">
      <c r="A207" s="28" t="s">
        <v>4875</v>
      </c>
      <c r="B207" s="29" t="s">
        <v>4876</v>
      </c>
      <c r="C207" s="29" t="s">
        <v>7041</v>
      </c>
      <c r="D207" s="30">
        <v>45292.0</v>
      </c>
      <c r="E207" s="30">
        <v>45657.0</v>
      </c>
      <c r="F207" s="29" t="s">
        <v>7149</v>
      </c>
      <c r="G207" s="29" t="s">
        <v>7150</v>
      </c>
      <c r="H207" s="38" t="s">
        <v>7047</v>
      </c>
      <c r="I207" s="30">
        <v>45658.0</v>
      </c>
      <c r="J207" s="30">
        <v>46022.0</v>
      </c>
      <c r="K207" s="29" t="s">
        <v>7151</v>
      </c>
      <c r="L207" s="29" t="s">
        <v>7053</v>
      </c>
      <c r="M207" s="38" t="s">
        <v>7047</v>
      </c>
      <c r="N207" s="30">
        <v>46023.0</v>
      </c>
      <c r="O207" s="30">
        <v>46387.0</v>
      </c>
      <c r="P207" s="29" t="s">
        <v>7053</v>
      </c>
      <c r="Q207" s="29" t="s">
        <v>7053</v>
      </c>
      <c r="R207" s="32" t="s">
        <v>7043</v>
      </c>
      <c r="S207" s="30">
        <v>46388.0</v>
      </c>
      <c r="T207" s="30">
        <v>46752.0</v>
      </c>
      <c r="U207" s="29" t="s">
        <v>7053</v>
      </c>
      <c r="V207" s="29" t="s">
        <v>7053</v>
      </c>
      <c r="W207" s="32" t="s">
        <v>7043</v>
      </c>
      <c r="X207" s="30">
        <v>46753.0</v>
      </c>
      <c r="Y207" s="30">
        <v>47118.0</v>
      </c>
      <c r="Z207" s="29" t="s">
        <v>7053</v>
      </c>
      <c r="AA207" s="29" t="s">
        <v>7053</v>
      </c>
      <c r="AB207" s="32" t="s">
        <v>7043</v>
      </c>
      <c r="AC207" s="30">
        <v>47119.0</v>
      </c>
      <c r="AD207" s="30">
        <v>47483.0</v>
      </c>
      <c r="AE207" s="29" t="s">
        <v>7053</v>
      </c>
      <c r="AF207" s="29" t="s">
        <v>7053</v>
      </c>
      <c r="AG207" s="32" t="s">
        <v>7043</v>
      </c>
      <c r="AH207" s="30">
        <v>47484.0</v>
      </c>
      <c r="AI207" s="30">
        <v>47848.0</v>
      </c>
      <c r="AJ207" s="29" t="s">
        <v>7053</v>
      </c>
      <c r="AK207" s="29" t="s">
        <v>7053</v>
      </c>
      <c r="AL207" s="32" t="s">
        <v>7043</v>
      </c>
    </row>
    <row r="208" ht="14.25" customHeight="1">
      <c r="A208" s="28" t="s">
        <v>4916</v>
      </c>
      <c r="B208" s="29" t="s">
        <v>4917</v>
      </c>
      <c r="C208" s="29" t="s">
        <v>7041</v>
      </c>
      <c r="D208" s="30">
        <v>45292.0</v>
      </c>
      <c r="E208" s="30">
        <v>45657.0</v>
      </c>
      <c r="F208" s="29" t="s">
        <v>7051</v>
      </c>
      <c r="G208" s="29" t="s">
        <v>7051</v>
      </c>
      <c r="H208" s="38" t="s">
        <v>7047</v>
      </c>
      <c r="I208" s="30">
        <v>45658.0</v>
      </c>
      <c r="J208" s="30">
        <v>46022.0</v>
      </c>
      <c r="K208" s="29" t="s">
        <v>7087</v>
      </c>
      <c r="L208" s="29" t="s">
        <v>7053</v>
      </c>
      <c r="M208" s="38" t="s">
        <v>7047</v>
      </c>
      <c r="N208" s="30">
        <v>46023.0</v>
      </c>
      <c r="O208" s="30">
        <v>46387.0</v>
      </c>
      <c r="P208" s="29" t="s">
        <v>7053</v>
      </c>
      <c r="Q208" s="29" t="s">
        <v>7053</v>
      </c>
      <c r="R208" s="32" t="s">
        <v>7043</v>
      </c>
      <c r="S208" s="30">
        <v>46388.0</v>
      </c>
      <c r="T208" s="30">
        <v>46752.0</v>
      </c>
      <c r="U208" s="29" t="s">
        <v>7053</v>
      </c>
      <c r="V208" s="29" t="s">
        <v>7053</v>
      </c>
      <c r="W208" s="32" t="s">
        <v>7043</v>
      </c>
      <c r="X208" s="30">
        <v>46753.0</v>
      </c>
      <c r="Y208" s="30">
        <v>47118.0</v>
      </c>
      <c r="Z208" s="29" t="s">
        <v>7053</v>
      </c>
      <c r="AA208" s="29" t="s">
        <v>7053</v>
      </c>
      <c r="AB208" s="32" t="s">
        <v>7043</v>
      </c>
      <c r="AC208" s="30">
        <v>47119.0</v>
      </c>
      <c r="AD208" s="30">
        <v>47483.0</v>
      </c>
      <c r="AE208" s="29" t="s">
        <v>7053</v>
      </c>
      <c r="AF208" s="29" t="s">
        <v>7053</v>
      </c>
      <c r="AG208" s="32" t="s">
        <v>7043</v>
      </c>
      <c r="AH208" s="30">
        <v>47484.0</v>
      </c>
      <c r="AI208" s="30">
        <v>47848.0</v>
      </c>
      <c r="AJ208" s="29" t="s">
        <v>7053</v>
      </c>
      <c r="AK208" s="29" t="s">
        <v>7053</v>
      </c>
      <c r="AL208" s="32" t="s">
        <v>7043</v>
      </c>
    </row>
    <row r="209" ht="14.25" customHeight="1">
      <c r="A209" s="28" t="s">
        <v>4919</v>
      </c>
      <c r="B209" s="29" t="s">
        <v>4920</v>
      </c>
      <c r="C209" s="29" t="s">
        <v>7041</v>
      </c>
      <c r="D209" s="30">
        <v>45292.0</v>
      </c>
      <c r="E209" s="30">
        <v>45657.0</v>
      </c>
      <c r="F209" s="29" t="s">
        <v>7100</v>
      </c>
      <c r="G209" s="29" t="s">
        <v>7051</v>
      </c>
      <c r="H209" s="32" t="s">
        <v>7043</v>
      </c>
      <c r="I209" s="30">
        <v>45658.0</v>
      </c>
      <c r="J209" s="30">
        <v>46022.0</v>
      </c>
      <c r="K209" s="29" t="s">
        <v>7080</v>
      </c>
      <c r="L209" s="29" t="s">
        <v>7053</v>
      </c>
      <c r="M209" s="38" t="s">
        <v>7047</v>
      </c>
      <c r="N209" s="30">
        <v>46023.0</v>
      </c>
      <c r="O209" s="30">
        <v>46387.0</v>
      </c>
      <c r="P209" s="29" t="s">
        <v>7053</v>
      </c>
      <c r="Q209" s="29" t="s">
        <v>7053</v>
      </c>
      <c r="R209" s="32" t="s">
        <v>7043</v>
      </c>
      <c r="S209" s="30">
        <v>46388.0</v>
      </c>
      <c r="T209" s="30">
        <v>46752.0</v>
      </c>
      <c r="U209" s="29" t="s">
        <v>7053</v>
      </c>
      <c r="V209" s="29" t="s">
        <v>7053</v>
      </c>
      <c r="W209" s="32" t="s">
        <v>7043</v>
      </c>
      <c r="X209" s="30">
        <v>46753.0</v>
      </c>
      <c r="Y209" s="30">
        <v>47118.0</v>
      </c>
      <c r="Z209" s="29" t="s">
        <v>7053</v>
      </c>
      <c r="AA209" s="29" t="s">
        <v>7053</v>
      </c>
      <c r="AB209" s="32" t="s">
        <v>7043</v>
      </c>
      <c r="AC209" s="30">
        <v>47119.0</v>
      </c>
      <c r="AD209" s="30">
        <v>47483.0</v>
      </c>
      <c r="AE209" s="29" t="s">
        <v>7053</v>
      </c>
      <c r="AF209" s="29" t="s">
        <v>7053</v>
      </c>
      <c r="AG209" s="32" t="s">
        <v>7043</v>
      </c>
      <c r="AH209" s="30">
        <v>47484.0</v>
      </c>
      <c r="AI209" s="30">
        <v>47848.0</v>
      </c>
      <c r="AJ209" s="29" t="s">
        <v>7053</v>
      </c>
      <c r="AK209" s="29" t="s">
        <v>7053</v>
      </c>
      <c r="AL209" s="32" t="s">
        <v>7043</v>
      </c>
    </row>
    <row r="210" ht="14.25" customHeight="1">
      <c r="A210" s="28" t="s">
        <v>4925</v>
      </c>
      <c r="B210" s="29" t="s">
        <v>4926</v>
      </c>
      <c r="C210" s="29" t="s">
        <v>7041</v>
      </c>
      <c r="D210" s="30">
        <v>45292.0</v>
      </c>
      <c r="E210" s="30">
        <v>45657.0</v>
      </c>
      <c r="F210" s="29" t="s">
        <v>7124</v>
      </c>
      <c r="G210" s="29" t="s">
        <v>7051</v>
      </c>
      <c r="H210" s="38" t="s">
        <v>7047</v>
      </c>
      <c r="I210" s="30">
        <v>45658.0</v>
      </c>
      <c r="J210" s="30">
        <v>46022.0</v>
      </c>
      <c r="K210" s="29" t="s">
        <v>7087</v>
      </c>
      <c r="L210" s="29" t="s">
        <v>7053</v>
      </c>
      <c r="M210" s="38" t="s">
        <v>7047</v>
      </c>
      <c r="N210" s="30">
        <v>46023.0</v>
      </c>
      <c r="O210" s="30">
        <v>46387.0</v>
      </c>
      <c r="P210" s="29" t="s">
        <v>7053</v>
      </c>
      <c r="Q210" s="29" t="s">
        <v>7053</v>
      </c>
      <c r="R210" s="32" t="s">
        <v>7043</v>
      </c>
      <c r="S210" s="30">
        <v>46388.0</v>
      </c>
      <c r="T210" s="30">
        <v>46752.0</v>
      </c>
      <c r="U210" s="29" t="s">
        <v>7053</v>
      </c>
      <c r="V210" s="29" t="s">
        <v>7053</v>
      </c>
      <c r="W210" s="32" t="s">
        <v>7043</v>
      </c>
      <c r="X210" s="30">
        <v>46753.0</v>
      </c>
      <c r="Y210" s="30">
        <v>47118.0</v>
      </c>
      <c r="Z210" s="29" t="s">
        <v>7053</v>
      </c>
      <c r="AA210" s="29" t="s">
        <v>7053</v>
      </c>
      <c r="AB210" s="32" t="s">
        <v>7043</v>
      </c>
      <c r="AC210" s="30">
        <v>47119.0</v>
      </c>
      <c r="AD210" s="30">
        <v>47483.0</v>
      </c>
      <c r="AE210" s="29" t="s">
        <v>7053</v>
      </c>
      <c r="AF210" s="29" t="s">
        <v>7053</v>
      </c>
      <c r="AG210" s="32" t="s">
        <v>7043</v>
      </c>
      <c r="AH210" s="30">
        <v>47484.0</v>
      </c>
      <c r="AI210" s="30">
        <v>47848.0</v>
      </c>
      <c r="AJ210" s="29" t="s">
        <v>7053</v>
      </c>
      <c r="AK210" s="29" t="s">
        <v>7053</v>
      </c>
      <c r="AL210" s="32" t="s">
        <v>7043</v>
      </c>
    </row>
    <row r="211" ht="14.25" customHeight="1">
      <c r="A211" s="28" t="s">
        <v>4940</v>
      </c>
      <c r="B211" s="29" t="s">
        <v>4941</v>
      </c>
      <c r="C211" s="29" t="s">
        <v>7041</v>
      </c>
      <c r="D211" s="30">
        <v>45292.0</v>
      </c>
      <c r="E211" s="30">
        <v>45657.0</v>
      </c>
      <c r="F211" s="29" t="s">
        <v>7095</v>
      </c>
      <c r="G211" s="29" t="s">
        <v>7051</v>
      </c>
      <c r="H211" s="32" t="s">
        <v>7043</v>
      </c>
      <c r="I211" s="30">
        <v>45658.0</v>
      </c>
      <c r="J211" s="30">
        <v>46022.0</v>
      </c>
      <c r="K211" s="29" t="s">
        <v>7097</v>
      </c>
      <c r="L211" s="29" t="s">
        <v>7053</v>
      </c>
      <c r="M211" s="38" t="s">
        <v>7047</v>
      </c>
      <c r="N211" s="30">
        <v>46023.0</v>
      </c>
      <c r="O211" s="30">
        <v>46387.0</v>
      </c>
      <c r="P211" s="29" t="s">
        <v>7053</v>
      </c>
      <c r="Q211" s="29" t="s">
        <v>7053</v>
      </c>
      <c r="R211" s="32" t="s">
        <v>7043</v>
      </c>
      <c r="S211" s="30">
        <v>46388.0</v>
      </c>
      <c r="T211" s="30">
        <v>46752.0</v>
      </c>
      <c r="U211" s="29" t="s">
        <v>7053</v>
      </c>
      <c r="V211" s="29" t="s">
        <v>7053</v>
      </c>
      <c r="W211" s="32" t="s">
        <v>7043</v>
      </c>
      <c r="X211" s="30">
        <v>46753.0</v>
      </c>
      <c r="Y211" s="30">
        <v>47118.0</v>
      </c>
      <c r="Z211" s="29" t="s">
        <v>7053</v>
      </c>
      <c r="AA211" s="29" t="s">
        <v>7053</v>
      </c>
      <c r="AB211" s="32" t="s">
        <v>7043</v>
      </c>
      <c r="AC211" s="30">
        <v>47119.0</v>
      </c>
      <c r="AD211" s="30">
        <v>47483.0</v>
      </c>
      <c r="AE211" s="29" t="s">
        <v>7053</v>
      </c>
      <c r="AF211" s="29" t="s">
        <v>7053</v>
      </c>
      <c r="AG211" s="32" t="s">
        <v>7043</v>
      </c>
      <c r="AH211" s="30">
        <v>47484.0</v>
      </c>
      <c r="AI211" s="30">
        <v>47848.0</v>
      </c>
      <c r="AJ211" s="29" t="s">
        <v>7053</v>
      </c>
      <c r="AK211" s="29" t="s">
        <v>7053</v>
      </c>
      <c r="AL211" s="32" t="s">
        <v>7043</v>
      </c>
    </row>
    <row r="212" ht="14.25" customHeight="1">
      <c r="A212" s="28" t="s">
        <v>4943</v>
      </c>
      <c r="B212" s="29" t="s">
        <v>4944</v>
      </c>
      <c r="C212" s="29" t="s">
        <v>7041</v>
      </c>
      <c r="D212" s="30">
        <v>45292.0</v>
      </c>
      <c r="E212" s="30">
        <v>45657.0</v>
      </c>
      <c r="F212" s="29" t="s">
        <v>7095</v>
      </c>
      <c r="G212" s="29" t="s">
        <v>7122</v>
      </c>
      <c r="H212" s="32" t="s">
        <v>7043</v>
      </c>
      <c r="I212" s="30">
        <v>45658.0</v>
      </c>
      <c r="J212" s="30">
        <v>46022.0</v>
      </c>
      <c r="K212" s="29" t="s">
        <v>7096</v>
      </c>
      <c r="L212" s="29" t="s">
        <v>7053</v>
      </c>
      <c r="M212" s="38" t="s">
        <v>7047</v>
      </c>
      <c r="N212" s="30">
        <v>46023.0</v>
      </c>
      <c r="O212" s="30">
        <v>46387.0</v>
      </c>
      <c r="P212" s="29" t="s">
        <v>7053</v>
      </c>
      <c r="Q212" s="29" t="s">
        <v>7053</v>
      </c>
      <c r="R212" s="32" t="s">
        <v>7043</v>
      </c>
      <c r="S212" s="30">
        <v>46388.0</v>
      </c>
      <c r="T212" s="30">
        <v>46752.0</v>
      </c>
      <c r="U212" s="29" t="s">
        <v>7053</v>
      </c>
      <c r="V212" s="29" t="s">
        <v>7053</v>
      </c>
      <c r="W212" s="32" t="s">
        <v>7043</v>
      </c>
      <c r="X212" s="30">
        <v>46753.0</v>
      </c>
      <c r="Y212" s="30">
        <v>47118.0</v>
      </c>
      <c r="Z212" s="29" t="s">
        <v>7053</v>
      </c>
      <c r="AA212" s="29" t="s">
        <v>7053</v>
      </c>
      <c r="AB212" s="32" t="s">
        <v>7043</v>
      </c>
      <c r="AC212" s="30">
        <v>47119.0</v>
      </c>
      <c r="AD212" s="30">
        <v>47483.0</v>
      </c>
      <c r="AE212" s="29" t="s">
        <v>7053</v>
      </c>
      <c r="AF212" s="29" t="s">
        <v>7053</v>
      </c>
      <c r="AG212" s="32" t="s">
        <v>7043</v>
      </c>
      <c r="AH212" s="30">
        <v>47484.0</v>
      </c>
      <c r="AI212" s="30">
        <v>47848.0</v>
      </c>
      <c r="AJ212" s="29" t="s">
        <v>7053</v>
      </c>
      <c r="AK212" s="29" t="s">
        <v>7053</v>
      </c>
      <c r="AL212" s="32" t="s">
        <v>7043</v>
      </c>
    </row>
    <row r="213" ht="14.25" customHeight="1">
      <c r="A213" s="28" t="s">
        <v>4955</v>
      </c>
      <c r="B213" s="29" t="s">
        <v>4956</v>
      </c>
      <c r="C213" s="29" t="s">
        <v>7041</v>
      </c>
      <c r="D213" s="30">
        <v>45292.0</v>
      </c>
      <c r="E213" s="30">
        <v>45657.0</v>
      </c>
      <c r="F213" s="29" t="s">
        <v>7050</v>
      </c>
      <c r="G213" s="29" t="s">
        <v>7051</v>
      </c>
      <c r="H213" s="32" t="s">
        <v>7043</v>
      </c>
      <c r="I213" s="30">
        <v>45658.0</v>
      </c>
      <c r="J213" s="30">
        <v>46022.0</v>
      </c>
      <c r="K213" s="29" t="s">
        <v>7119</v>
      </c>
      <c r="L213" s="29" t="s">
        <v>7053</v>
      </c>
      <c r="M213" s="38" t="s">
        <v>7047</v>
      </c>
      <c r="N213" s="30">
        <v>46023.0</v>
      </c>
      <c r="O213" s="30">
        <v>46387.0</v>
      </c>
      <c r="P213" s="29" t="s">
        <v>7053</v>
      </c>
      <c r="Q213" s="29" t="s">
        <v>7053</v>
      </c>
      <c r="R213" s="32" t="s">
        <v>7043</v>
      </c>
      <c r="S213" s="30">
        <v>46388.0</v>
      </c>
      <c r="T213" s="30">
        <v>46752.0</v>
      </c>
      <c r="U213" s="29" t="s">
        <v>7053</v>
      </c>
      <c r="V213" s="29" t="s">
        <v>7053</v>
      </c>
      <c r="W213" s="32" t="s">
        <v>7043</v>
      </c>
      <c r="X213" s="30">
        <v>46753.0</v>
      </c>
      <c r="Y213" s="30">
        <v>47118.0</v>
      </c>
      <c r="Z213" s="29" t="s">
        <v>7053</v>
      </c>
      <c r="AA213" s="29" t="s">
        <v>7053</v>
      </c>
      <c r="AB213" s="32" t="s">
        <v>7043</v>
      </c>
      <c r="AC213" s="30">
        <v>47119.0</v>
      </c>
      <c r="AD213" s="30">
        <v>47483.0</v>
      </c>
      <c r="AE213" s="29" t="s">
        <v>7053</v>
      </c>
      <c r="AF213" s="29" t="s">
        <v>7053</v>
      </c>
      <c r="AG213" s="32" t="s">
        <v>7043</v>
      </c>
      <c r="AH213" s="30">
        <v>47484.0</v>
      </c>
      <c r="AI213" s="30">
        <v>47848.0</v>
      </c>
      <c r="AJ213" s="29" t="s">
        <v>7053</v>
      </c>
      <c r="AK213" s="29" t="s">
        <v>7053</v>
      </c>
      <c r="AL213" s="32" t="s">
        <v>7043</v>
      </c>
    </row>
    <row r="214" ht="14.25" customHeight="1">
      <c r="A214" s="28" t="s">
        <v>4949</v>
      </c>
      <c r="B214" s="29" t="s">
        <v>4950</v>
      </c>
      <c r="C214" s="29" t="s">
        <v>7041</v>
      </c>
      <c r="D214" s="30">
        <v>45292.0</v>
      </c>
      <c r="E214" s="30">
        <v>45657.0</v>
      </c>
      <c r="F214" s="29" t="s">
        <v>7104</v>
      </c>
      <c r="G214" s="29" t="s">
        <v>7051</v>
      </c>
      <c r="H214" s="32" t="s">
        <v>7043</v>
      </c>
      <c r="I214" s="30">
        <v>45658.0</v>
      </c>
      <c r="J214" s="30">
        <v>46022.0</v>
      </c>
      <c r="K214" s="29" t="s">
        <v>7097</v>
      </c>
      <c r="L214" s="29" t="s">
        <v>7053</v>
      </c>
      <c r="M214" s="38" t="s">
        <v>7047</v>
      </c>
      <c r="N214" s="30">
        <v>46023.0</v>
      </c>
      <c r="O214" s="30">
        <v>46387.0</v>
      </c>
      <c r="P214" s="29" t="s">
        <v>7053</v>
      </c>
      <c r="Q214" s="29" t="s">
        <v>7053</v>
      </c>
      <c r="R214" s="32" t="s">
        <v>7043</v>
      </c>
      <c r="S214" s="30">
        <v>46388.0</v>
      </c>
      <c r="T214" s="30">
        <v>46752.0</v>
      </c>
      <c r="U214" s="29" t="s">
        <v>7053</v>
      </c>
      <c r="V214" s="29" t="s">
        <v>7053</v>
      </c>
      <c r="W214" s="32" t="s">
        <v>7043</v>
      </c>
      <c r="X214" s="30">
        <v>46753.0</v>
      </c>
      <c r="Y214" s="30">
        <v>47118.0</v>
      </c>
      <c r="Z214" s="29" t="s">
        <v>7053</v>
      </c>
      <c r="AA214" s="29" t="s">
        <v>7053</v>
      </c>
      <c r="AB214" s="32" t="s">
        <v>7043</v>
      </c>
      <c r="AC214" s="30">
        <v>47119.0</v>
      </c>
      <c r="AD214" s="30">
        <v>47483.0</v>
      </c>
      <c r="AE214" s="29" t="s">
        <v>7053</v>
      </c>
      <c r="AF214" s="29" t="s">
        <v>7053</v>
      </c>
      <c r="AG214" s="32" t="s">
        <v>7043</v>
      </c>
      <c r="AH214" s="30">
        <v>47484.0</v>
      </c>
      <c r="AI214" s="30">
        <v>47848.0</v>
      </c>
      <c r="AJ214" s="29" t="s">
        <v>7053</v>
      </c>
      <c r="AK214" s="29" t="s">
        <v>7053</v>
      </c>
      <c r="AL214" s="32" t="s">
        <v>7043</v>
      </c>
    </row>
    <row r="215" ht="14.25" customHeight="1">
      <c r="A215" s="28" t="s">
        <v>4961</v>
      </c>
      <c r="B215" s="29" t="s">
        <v>4962</v>
      </c>
      <c r="C215" s="29" t="s">
        <v>7041</v>
      </c>
      <c r="D215" s="30">
        <v>45292.0</v>
      </c>
      <c r="E215" s="30">
        <v>45657.0</v>
      </c>
      <c r="F215" s="29" t="s">
        <v>7053</v>
      </c>
      <c r="G215" s="29" t="s">
        <v>7051</v>
      </c>
      <c r="H215" s="32" t="s">
        <v>7043</v>
      </c>
      <c r="I215" s="30">
        <v>45658.0</v>
      </c>
      <c r="J215" s="30">
        <v>46022.0</v>
      </c>
      <c r="K215" s="29" t="s">
        <v>7053</v>
      </c>
      <c r="L215" s="29" t="s">
        <v>7053</v>
      </c>
      <c r="M215" s="32" t="s">
        <v>7043</v>
      </c>
      <c r="N215" s="30">
        <v>46023.0</v>
      </c>
      <c r="O215" s="30">
        <v>46387.0</v>
      </c>
      <c r="P215" s="29" t="s">
        <v>7053</v>
      </c>
      <c r="Q215" s="29" t="s">
        <v>7053</v>
      </c>
      <c r="R215" s="32" t="s">
        <v>7043</v>
      </c>
      <c r="S215" s="30">
        <v>46388.0</v>
      </c>
      <c r="T215" s="30">
        <v>46752.0</v>
      </c>
      <c r="U215" s="29" t="s">
        <v>7053</v>
      </c>
      <c r="V215" s="29" t="s">
        <v>7053</v>
      </c>
      <c r="W215" s="32" t="s">
        <v>7043</v>
      </c>
      <c r="X215" s="30">
        <v>46753.0</v>
      </c>
      <c r="Y215" s="30">
        <v>47118.0</v>
      </c>
      <c r="Z215" s="29" t="s">
        <v>7053</v>
      </c>
      <c r="AA215" s="29" t="s">
        <v>7053</v>
      </c>
      <c r="AB215" s="32" t="s">
        <v>7043</v>
      </c>
      <c r="AC215" s="30">
        <v>47119.0</v>
      </c>
      <c r="AD215" s="30">
        <v>47483.0</v>
      </c>
      <c r="AE215" s="29" t="s">
        <v>7053</v>
      </c>
      <c r="AF215" s="29" t="s">
        <v>7053</v>
      </c>
      <c r="AG215" s="32" t="s">
        <v>7043</v>
      </c>
      <c r="AH215" s="30">
        <v>47484.0</v>
      </c>
      <c r="AI215" s="30">
        <v>47848.0</v>
      </c>
      <c r="AJ215" s="29" t="s">
        <v>7053</v>
      </c>
      <c r="AK215" s="29" t="s">
        <v>7053</v>
      </c>
      <c r="AL215" s="32" t="s">
        <v>7043</v>
      </c>
    </row>
    <row r="216" ht="14.25" customHeight="1">
      <c r="A216" s="28" t="s">
        <v>4981</v>
      </c>
      <c r="B216" s="29" t="s">
        <v>4982</v>
      </c>
      <c r="C216" s="29" t="s">
        <v>7041</v>
      </c>
      <c r="D216" s="30">
        <v>45292.0</v>
      </c>
      <c r="E216" s="30">
        <v>45657.0</v>
      </c>
      <c r="F216" s="29" t="s">
        <v>7111</v>
      </c>
      <c r="G216" s="29" t="s">
        <v>7051</v>
      </c>
      <c r="H216" s="32" t="s">
        <v>7043</v>
      </c>
      <c r="I216" s="30">
        <v>45658.0</v>
      </c>
      <c r="J216" s="30">
        <v>46022.0</v>
      </c>
      <c r="K216" s="29" t="s">
        <v>7072</v>
      </c>
      <c r="L216" s="29" t="s">
        <v>7053</v>
      </c>
      <c r="M216" s="38" t="s">
        <v>7047</v>
      </c>
      <c r="N216" s="30">
        <v>46023.0</v>
      </c>
      <c r="O216" s="30">
        <v>46387.0</v>
      </c>
      <c r="P216" s="29" t="s">
        <v>7053</v>
      </c>
      <c r="Q216" s="29" t="s">
        <v>7053</v>
      </c>
      <c r="R216" s="32" t="s">
        <v>7043</v>
      </c>
      <c r="S216" s="30">
        <v>46388.0</v>
      </c>
      <c r="T216" s="30">
        <v>46752.0</v>
      </c>
      <c r="U216" s="29" t="s">
        <v>7053</v>
      </c>
      <c r="V216" s="29" t="s">
        <v>7053</v>
      </c>
      <c r="W216" s="32" t="s">
        <v>7043</v>
      </c>
      <c r="X216" s="30">
        <v>46753.0</v>
      </c>
      <c r="Y216" s="30">
        <v>47118.0</v>
      </c>
      <c r="Z216" s="29" t="s">
        <v>7053</v>
      </c>
      <c r="AA216" s="29" t="s">
        <v>7053</v>
      </c>
      <c r="AB216" s="32" t="s">
        <v>7043</v>
      </c>
      <c r="AC216" s="30">
        <v>47119.0</v>
      </c>
      <c r="AD216" s="30">
        <v>47483.0</v>
      </c>
      <c r="AE216" s="29" t="s">
        <v>7053</v>
      </c>
      <c r="AF216" s="29" t="s">
        <v>7053</v>
      </c>
      <c r="AG216" s="32" t="s">
        <v>7043</v>
      </c>
      <c r="AH216" s="30">
        <v>47484.0</v>
      </c>
      <c r="AI216" s="30">
        <v>47848.0</v>
      </c>
      <c r="AJ216" s="29" t="s">
        <v>7053</v>
      </c>
      <c r="AK216" s="29" t="s">
        <v>7053</v>
      </c>
      <c r="AL216" s="32" t="s">
        <v>7043</v>
      </c>
    </row>
    <row r="217" ht="14.25" customHeight="1">
      <c r="A217" s="28" t="s">
        <v>4988</v>
      </c>
      <c r="B217" s="29" t="s">
        <v>4989</v>
      </c>
      <c r="C217" s="29" t="s">
        <v>7041</v>
      </c>
      <c r="D217" s="30">
        <v>45292.0</v>
      </c>
      <c r="E217" s="30">
        <v>45657.0</v>
      </c>
      <c r="F217" s="29" t="s">
        <v>7078</v>
      </c>
      <c r="G217" s="29" t="s">
        <v>7051</v>
      </c>
      <c r="H217" s="37" t="s">
        <v>7046</v>
      </c>
      <c r="I217" s="30">
        <v>45658.0</v>
      </c>
      <c r="J217" s="30">
        <v>46022.0</v>
      </c>
      <c r="K217" s="29" t="s">
        <v>7119</v>
      </c>
      <c r="L217" s="29" t="s">
        <v>7053</v>
      </c>
      <c r="M217" s="38" t="s">
        <v>7047</v>
      </c>
      <c r="N217" s="30">
        <v>46023.0</v>
      </c>
      <c r="O217" s="30">
        <v>46387.0</v>
      </c>
      <c r="P217" s="29" t="s">
        <v>7053</v>
      </c>
      <c r="Q217" s="29" t="s">
        <v>7053</v>
      </c>
      <c r="R217" s="32" t="s">
        <v>7043</v>
      </c>
      <c r="S217" s="30">
        <v>46388.0</v>
      </c>
      <c r="T217" s="30">
        <v>46752.0</v>
      </c>
      <c r="U217" s="29" t="s">
        <v>7053</v>
      </c>
      <c r="V217" s="29" t="s">
        <v>7053</v>
      </c>
      <c r="W217" s="32" t="s">
        <v>7043</v>
      </c>
      <c r="X217" s="30">
        <v>46753.0</v>
      </c>
      <c r="Y217" s="30">
        <v>47118.0</v>
      </c>
      <c r="Z217" s="29" t="s">
        <v>7053</v>
      </c>
      <c r="AA217" s="29" t="s">
        <v>7053</v>
      </c>
      <c r="AB217" s="32" t="s">
        <v>7043</v>
      </c>
      <c r="AC217" s="30">
        <v>47119.0</v>
      </c>
      <c r="AD217" s="30">
        <v>47483.0</v>
      </c>
      <c r="AE217" s="29" t="s">
        <v>7053</v>
      </c>
      <c r="AF217" s="29" t="s">
        <v>7053</v>
      </c>
      <c r="AG217" s="32" t="s">
        <v>7043</v>
      </c>
      <c r="AH217" s="30">
        <v>47484.0</v>
      </c>
      <c r="AI217" s="30">
        <v>47848.0</v>
      </c>
      <c r="AJ217" s="29" t="s">
        <v>7053</v>
      </c>
      <c r="AK217" s="29" t="s">
        <v>7053</v>
      </c>
      <c r="AL217" s="32" t="s">
        <v>7043</v>
      </c>
    </row>
    <row r="218" ht="14.25" customHeight="1">
      <c r="A218" s="28" t="s">
        <v>5004</v>
      </c>
      <c r="B218" s="29" t="s">
        <v>5005</v>
      </c>
      <c r="C218" s="29" t="s">
        <v>7041</v>
      </c>
      <c r="D218" s="30">
        <v>45292.0</v>
      </c>
      <c r="E218" s="30">
        <v>45657.0</v>
      </c>
      <c r="F218" s="29" t="s">
        <v>7066</v>
      </c>
      <c r="G218" s="29" t="s">
        <v>7051</v>
      </c>
      <c r="H218" s="37" t="s">
        <v>7046</v>
      </c>
      <c r="I218" s="30">
        <v>45658.0</v>
      </c>
      <c r="J218" s="30">
        <v>46022.0</v>
      </c>
      <c r="K218" s="29" t="s">
        <v>7065</v>
      </c>
      <c r="L218" s="29" t="s">
        <v>7053</v>
      </c>
      <c r="M218" s="38" t="s">
        <v>7047</v>
      </c>
      <c r="N218" s="30">
        <v>46023.0</v>
      </c>
      <c r="O218" s="30">
        <v>46387.0</v>
      </c>
      <c r="P218" s="29" t="s">
        <v>7053</v>
      </c>
      <c r="Q218" s="29" t="s">
        <v>7053</v>
      </c>
      <c r="R218" s="32" t="s">
        <v>7043</v>
      </c>
      <c r="S218" s="30">
        <v>46388.0</v>
      </c>
      <c r="T218" s="30">
        <v>46752.0</v>
      </c>
      <c r="U218" s="29" t="s">
        <v>7053</v>
      </c>
      <c r="V218" s="29" t="s">
        <v>7053</v>
      </c>
      <c r="W218" s="32" t="s">
        <v>7043</v>
      </c>
      <c r="X218" s="30">
        <v>46753.0</v>
      </c>
      <c r="Y218" s="30">
        <v>47118.0</v>
      </c>
      <c r="Z218" s="29" t="s">
        <v>7053</v>
      </c>
      <c r="AA218" s="29" t="s">
        <v>7053</v>
      </c>
      <c r="AB218" s="32" t="s">
        <v>7043</v>
      </c>
      <c r="AC218" s="30">
        <v>47119.0</v>
      </c>
      <c r="AD218" s="30">
        <v>47483.0</v>
      </c>
      <c r="AE218" s="29" t="s">
        <v>7053</v>
      </c>
      <c r="AF218" s="29" t="s">
        <v>7053</v>
      </c>
      <c r="AG218" s="32" t="s">
        <v>7043</v>
      </c>
      <c r="AH218" s="30">
        <v>47484.0</v>
      </c>
      <c r="AI218" s="30">
        <v>47848.0</v>
      </c>
      <c r="AJ218" s="29" t="s">
        <v>7053</v>
      </c>
      <c r="AK218" s="29" t="s">
        <v>7053</v>
      </c>
      <c r="AL218" s="32" t="s">
        <v>7043</v>
      </c>
    </row>
    <row r="219" ht="14.25" customHeight="1">
      <c r="A219" s="28" t="s">
        <v>5008</v>
      </c>
      <c r="B219" s="29" t="s">
        <v>5009</v>
      </c>
      <c r="C219" s="29" t="s">
        <v>7041</v>
      </c>
      <c r="D219" s="30">
        <v>45292.0</v>
      </c>
      <c r="E219" s="30">
        <v>45657.0</v>
      </c>
      <c r="F219" s="29" t="s">
        <v>7152</v>
      </c>
      <c r="G219" s="29" t="s">
        <v>7153</v>
      </c>
      <c r="H219" s="38" t="s">
        <v>7047</v>
      </c>
      <c r="I219" s="30">
        <v>45658.0</v>
      </c>
      <c r="J219" s="30">
        <v>46022.0</v>
      </c>
      <c r="K219" s="29" t="s">
        <v>7154</v>
      </c>
      <c r="L219" s="29" t="s">
        <v>7053</v>
      </c>
      <c r="M219" s="38" t="s">
        <v>7047</v>
      </c>
      <c r="N219" s="30">
        <v>46023.0</v>
      </c>
      <c r="O219" s="30">
        <v>46387.0</v>
      </c>
      <c r="P219" s="29" t="s">
        <v>7053</v>
      </c>
      <c r="Q219" s="29" t="s">
        <v>7053</v>
      </c>
      <c r="R219" s="32" t="s">
        <v>7043</v>
      </c>
      <c r="S219" s="30">
        <v>46388.0</v>
      </c>
      <c r="T219" s="30">
        <v>46752.0</v>
      </c>
      <c r="U219" s="29" t="s">
        <v>7053</v>
      </c>
      <c r="V219" s="29" t="s">
        <v>7053</v>
      </c>
      <c r="W219" s="32" t="s">
        <v>7043</v>
      </c>
      <c r="X219" s="30">
        <v>46753.0</v>
      </c>
      <c r="Y219" s="30">
        <v>47118.0</v>
      </c>
      <c r="Z219" s="29" t="s">
        <v>7053</v>
      </c>
      <c r="AA219" s="29" t="s">
        <v>7053</v>
      </c>
      <c r="AB219" s="32" t="s">
        <v>7043</v>
      </c>
      <c r="AC219" s="30">
        <v>47119.0</v>
      </c>
      <c r="AD219" s="30">
        <v>47483.0</v>
      </c>
      <c r="AE219" s="29" t="s">
        <v>7053</v>
      </c>
      <c r="AF219" s="29" t="s">
        <v>7053</v>
      </c>
      <c r="AG219" s="32" t="s">
        <v>7043</v>
      </c>
      <c r="AH219" s="30">
        <v>47484.0</v>
      </c>
      <c r="AI219" s="30">
        <v>47848.0</v>
      </c>
      <c r="AJ219" s="29" t="s">
        <v>7053</v>
      </c>
      <c r="AK219" s="29" t="s">
        <v>7053</v>
      </c>
      <c r="AL219" s="32" t="s">
        <v>7043</v>
      </c>
    </row>
    <row r="220" ht="14.25" customHeight="1">
      <c r="A220" s="28" t="s">
        <v>5024</v>
      </c>
      <c r="B220" s="29" t="s">
        <v>5025</v>
      </c>
      <c r="C220" s="29" t="s">
        <v>7041</v>
      </c>
      <c r="D220" s="30">
        <v>45292.0</v>
      </c>
      <c r="E220" s="30">
        <v>45657.0</v>
      </c>
      <c r="F220" s="29" t="s">
        <v>7155</v>
      </c>
      <c r="G220" s="29" t="s">
        <v>7051</v>
      </c>
      <c r="H220" s="38" t="s">
        <v>7047</v>
      </c>
      <c r="I220" s="30">
        <v>45658.0</v>
      </c>
      <c r="J220" s="30">
        <v>46022.0</v>
      </c>
      <c r="K220" s="29" t="s">
        <v>7139</v>
      </c>
      <c r="L220" s="29" t="s">
        <v>7053</v>
      </c>
      <c r="M220" s="38" t="s">
        <v>7047</v>
      </c>
      <c r="N220" s="30">
        <v>46023.0</v>
      </c>
      <c r="O220" s="30">
        <v>46387.0</v>
      </c>
      <c r="P220" s="29" t="s">
        <v>7053</v>
      </c>
      <c r="Q220" s="29" t="s">
        <v>7053</v>
      </c>
      <c r="R220" s="32" t="s">
        <v>7043</v>
      </c>
      <c r="S220" s="30">
        <v>46388.0</v>
      </c>
      <c r="T220" s="30">
        <v>46752.0</v>
      </c>
      <c r="U220" s="29" t="s">
        <v>7053</v>
      </c>
      <c r="V220" s="29" t="s">
        <v>7053</v>
      </c>
      <c r="W220" s="32" t="s">
        <v>7043</v>
      </c>
      <c r="X220" s="30">
        <v>46753.0</v>
      </c>
      <c r="Y220" s="30">
        <v>47118.0</v>
      </c>
      <c r="Z220" s="29" t="s">
        <v>7053</v>
      </c>
      <c r="AA220" s="29" t="s">
        <v>7053</v>
      </c>
      <c r="AB220" s="32" t="s">
        <v>7043</v>
      </c>
      <c r="AC220" s="30">
        <v>47119.0</v>
      </c>
      <c r="AD220" s="30">
        <v>47483.0</v>
      </c>
      <c r="AE220" s="29" t="s">
        <v>7053</v>
      </c>
      <c r="AF220" s="29" t="s">
        <v>7053</v>
      </c>
      <c r="AG220" s="32" t="s">
        <v>7043</v>
      </c>
      <c r="AH220" s="30">
        <v>47484.0</v>
      </c>
      <c r="AI220" s="30">
        <v>47848.0</v>
      </c>
      <c r="AJ220" s="29" t="s">
        <v>7053</v>
      </c>
      <c r="AK220" s="29" t="s">
        <v>7053</v>
      </c>
      <c r="AL220" s="32" t="s">
        <v>7043</v>
      </c>
    </row>
    <row r="221" ht="14.25" customHeight="1">
      <c r="A221" s="28" t="s">
        <v>5060</v>
      </c>
      <c r="B221" s="29" t="s">
        <v>5061</v>
      </c>
      <c r="C221" s="29" t="s">
        <v>7041</v>
      </c>
      <c r="D221" s="30">
        <v>45292.0</v>
      </c>
      <c r="E221" s="30">
        <v>45657.0</v>
      </c>
      <c r="F221" s="29" t="s">
        <v>7050</v>
      </c>
      <c r="G221" s="29" t="s">
        <v>7051</v>
      </c>
      <c r="H221" s="32" t="s">
        <v>7043</v>
      </c>
      <c r="I221" s="30">
        <v>45658.0</v>
      </c>
      <c r="J221" s="30">
        <v>46022.0</v>
      </c>
      <c r="K221" s="29" t="s">
        <v>7072</v>
      </c>
      <c r="L221" s="29" t="s">
        <v>7053</v>
      </c>
      <c r="M221" s="38" t="s">
        <v>7047</v>
      </c>
      <c r="N221" s="30">
        <v>46023.0</v>
      </c>
      <c r="O221" s="30">
        <v>46387.0</v>
      </c>
      <c r="P221" s="29" t="s">
        <v>7053</v>
      </c>
      <c r="Q221" s="29" t="s">
        <v>7053</v>
      </c>
      <c r="R221" s="32" t="s">
        <v>7043</v>
      </c>
      <c r="S221" s="30">
        <v>46388.0</v>
      </c>
      <c r="T221" s="30">
        <v>46752.0</v>
      </c>
      <c r="U221" s="29" t="s">
        <v>7053</v>
      </c>
      <c r="V221" s="29" t="s">
        <v>7053</v>
      </c>
      <c r="W221" s="32" t="s">
        <v>7043</v>
      </c>
      <c r="X221" s="30">
        <v>46753.0</v>
      </c>
      <c r="Y221" s="30">
        <v>47118.0</v>
      </c>
      <c r="Z221" s="29" t="s">
        <v>7053</v>
      </c>
      <c r="AA221" s="29" t="s">
        <v>7053</v>
      </c>
      <c r="AB221" s="32" t="s">
        <v>7043</v>
      </c>
      <c r="AC221" s="30">
        <v>47119.0</v>
      </c>
      <c r="AD221" s="30">
        <v>47483.0</v>
      </c>
      <c r="AE221" s="29" t="s">
        <v>7053</v>
      </c>
      <c r="AF221" s="29" t="s">
        <v>7053</v>
      </c>
      <c r="AG221" s="32" t="s">
        <v>7043</v>
      </c>
      <c r="AH221" s="30">
        <v>47484.0</v>
      </c>
      <c r="AI221" s="30">
        <v>47848.0</v>
      </c>
      <c r="AJ221" s="29" t="s">
        <v>7053</v>
      </c>
      <c r="AK221" s="29" t="s">
        <v>7053</v>
      </c>
      <c r="AL221" s="32" t="s">
        <v>7043</v>
      </c>
    </row>
    <row r="222" ht="14.25" customHeight="1">
      <c r="A222" s="28" t="s">
        <v>5079</v>
      </c>
      <c r="B222" s="29" t="s">
        <v>5080</v>
      </c>
      <c r="C222" s="29" t="s">
        <v>7041</v>
      </c>
      <c r="D222" s="30">
        <v>45292.0</v>
      </c>
      <c r="E222" s="30">
        <v>45657.0</v>
      </c>
      <c r="F222" s="29" t="s">
        <v>7131</v>
      </c>
      <c r="G222" s="29" t="s">
        <v>7051</v>
      </c>
      <c r="H222" s="32" t="s">
        <v>7043</v>
      </c>
      <c r="I222" s="30">
        <v>45658.0</v>
      </c>
      <c r="J222" s="30">
        <v>46022.0</v>
      </c>
      <c r="K222" s="29" t="s">
        <v>7104</v>
      </c>
      <c r="L222" s="29" t="s">
        <v>7053</v>
      </c>
      <c r="M222" s="38" t="s">
        <v>7047</v>
      </c>
      <c r="N222" s="30">
        <v>46023.0</v>
      </c>
      <c r="O222" s="30">
        <v>46387.0</v>
      </c>
      <c r="P222" s="29" t="s">
        <v>7053</v>
      </c>
      <c r="Q222" s="29" t="s">
        <v>7053</v>
      </c>
      <c r="R222" s="32" t="s">
        <v>7043</v>
      </c>
      <c r="S222" s="30">
        <v>46388.0</v>
      </c>
      <c r="T222" s="30">
        <v>46752.0</v>
      </c>
      <c r="U222" s="29" t="s">
        <v>7053</v>
      </c>
      <c r="V222" s="29" t="s">
        <v>7053</v>
      </c>
      <c r="W222" s="32" t="s">
        <v>7043</v>
      </c>
      <c r="X222" s="30">
        <v>46753.0</v>
      </c>
      <c r="Y222" s="30">
        <v>47118.0</v>
      </c>
      <c r="Z222" s="29" t="s">
        <v>7053</v>
      </c>
      <c r="AA222" s="29" t="s">
        <v>7053</v>
      </c>
      <c r="AB222" s="32" t="s">
        <v>7043</v>
      </c>
      <c r="AC222" s="30">
        <v>47119.0</v>
      </c>
      <c r="AD222" s="30">
        <v>47483.0</v>
      </c>
      <c r="AE222" s="29" t="s">
        <v>7053</v>
      </c>
      <c r="AF222" s="29" t="s">
        <v>7053</v>
      </c>
      <c r="AG222" s="32" t="s">
        <v>7043</v>
      </c>
      <c r="AH222" s="30">
        <v>47484.0</v>
      </c>
      <c r="AI222" s="30">
        <v>47848.0</v>
      </c>
      <c r="AJ222" s="29" t="s">
        <v>7053</v>
      </c>
      <c r="AK222" s="29" t="s">
        <v>7053</v>
      </c>
      <c r="AL222" s="32" t="s">
        <v>7043</v>
      </c>
    </row>
    <row r="223" ht="14.25" customHeight="1">
      <c r="A223" s="28" t="s">
        <v>5129</v>
      </c>
      <c r="B223" s="29" t="s">
        <v>5130</v>
      </c>
      <c r="C223" s="29" t="s">
        <v>7041</v>
      </c>
      <c r="D223" s="30">
        <v>45292.0</v>
      </c>
      <c r="E223" s="30">
        <v>45657.0</v>
      </c>
      <c r="F223" s="29" t="s">
        <v>7058</v>
      </c>
      <c r="G223" s="29" t="s">
        <v>7067</v>
      </c>
      <c r="H223" s="32" t="s">
        <v>7043</v>
      </c>
      <c r="I223" s="30">
        <v>45658.0</v>
      </c>
      <c r="J223" s="30">
        <v>46022.0</v>
      </c>
      <c r="K223" s="29" t="s">
        <v>7101</v>
      </c>
      <c r="L223" s="29" t="s">
        <v>7053</v>
      </c>
      <c r="M223" s="38" t="s">
        <v>7047</v>
      </c>
      <c r="N223" s="30">
        <v>46023.0</v>
      </c>
      <c r="O223" s="30">
        <v>46387.0</v>
      </c>
      <c r="P223" s="29" t="s">
        <v>7053</v>
      </c>
      <c r="Q223" s="29" t="s">
        <v>7053</v>
      </c>
      <c r="R223" s="32" t="s">
        <v>7043</v>
      </c>
      <c r="S223" s="30">
        <v>46388.0</v>
      </c>
      <c r="T223" s="30">
        <v>46752.0</v>
      </c>
      <c r="U223" s="29" t="s">
        <v>7053</v>
      </c>
      <c r="V223" s="29" t="s">
        <v>7053</v>
      </c>
      <c r="W223" s="32" t="s">
        <v>7043</v>
      </c>
      <c r="X223" s="30">
        <v>46753.0</v>
      </c>
      <c r="Y223" s="30">
        <v>47118.0</v>
      </c>
      <c r="Z223" s="29" t="s">
        <v>7053</v>
      </c>
      <c r="AA223" s="29" t="s">
        <v>7053</v>
      </c>
      <c r="AB223" s="32" t="s">
        <v>7043</v>
      </c>
      <c r="AC223" s="30">
        <v>47119.0</v>
      </c>
      <c r="AD223" s="30">
        <v>47483.0</v>
      </c>
      <c r="AE223" s="29" t="s">
        <v>7053</v>
      </c>
      <c r="AF223" s="29" t="s">
        <v>7053</v>
      </c>
      <c r="AG223" s="32" t="s">
        <v>7043</v>
      </c>
      <c r="AH223" s="30">
        <v>47484.0</v>
      </c>
      <c r="AI223" s="30">
        <v>47848.0</v>
      </c>
      <c r="AJ223" s="29" t="s">
        <v>7053</v>
      </c>
      <c r="AK223" s="29" t="s">
        <v>7053</v>
      </c>
      <c r="AL223" s="32" t="s">
        <v>7043</v>
      </c>
    </row>
    <row r="224" ht="14.25" customHeight="1">
      <c r="A224" s="28" t="s">
        <v>5157</v>
      </c>
      <c r="B224" s="29" t="s">
        <v>5158</v>
      </c>
      <c r="C224" s="29" t="s">
        <v>7041</v>
      </c>
      <c r="D224" s="30">
        <v>45292.0</v>
      </c>
      <c r="E224" s="30">
        <v>45657.0</v>
      </c>
      <c r="F224" s="29" t="s">
        <v>7156</v>
      </c>
      <c r="G224" s="29" t="s">
        <v>7051</v>
      </c>
      <c r="H224" s="38" t="s">
        <v>7047</v>
      </c>
      <c r="I224" s="30">
        <v>45658.0</v>
      </c>
      <c r="J224" s="30">
        <v>46022.0</v>
      </c>
      <c r="K224" s="29" t="s">
        <v>7157</v>
      </c>
      <c r="L224" s="29" t="s">
        <v>7053</v>
      </c>
      <c r="M224" s="38" t="s">
        <v>7047</v>
      </c>
      <c r="N224" s="30">
        <v>46023.0</v>
      </c>
      <c r="O224" s="30">
        <v>46387.0</v>
      </c>
      <c r="P224" s="29" t="s">
        <v>7053</v>
      </c>
      <c r="Q224" s="29" t="s">
        <v>7053</v>
      </c>
      <c r="R224" s="32" t="s">
        <v>7043</v>
      </c>
      <c r="S224" s="30">
        <v>46388.0</v>
      </c>
      <c r="T224" s="30">
        <v>46752.0</v>
      </c>
      <c r="U224" s="29" t="s">
        <v>7053</v>
      </c>
      <c r="V224" s="29" t="s">
        <v>7053</v>
      </c>
      <c r="W224" s="32" t="s">
        <v>7043</v>
      </c>
      <c r="X224" s="30">
        <v>46753.0</v>
      </c>
      <c r="Y224" s="30">
        <v>47118.0</v>
      </c>
      <c r="Z224" s="29" t="s">
        <v>7053</v>
      </c>
      <c r="AA224" s="29" t="s">
        <v>7053</v>
      </c>
      <c r="AB224" s="32" t="s">
        <v>7043</v>
      </c>
      <c r="AC224" s="30">
        <v>47119.0</v>
      </c>
      <c r="AD224" s="30">
        <v>47483.0</v>
      </c>
      <c r="AE224" s="29" t="s">
        <v>7053</v>
      </c>
      <c r="AF224" s="29" t="s">
        <v>7053</v>
      </c>
      <c r="AG224" s="32" t="s">
        <v>7043</v>
      </c>
      <c r="AH224" s="30">
        <v>47484.0</v>
      </c>
      <c r="AI224" s="30">
        <v>47848.0</v>
      </c>
      <c r="AJ224" s="29" t="s">
        <v>7053</v>
      </c>
      <c r="AK224" s="29" t="s">
        <v>7053</v>
      </c>
      <c r="AL224" s="32" t="s">
        <v>7043</v>
      </c>
    </row>
    <row r="225" ht="14.25" customHeight="1">
      <c r="A225" s="28" t="s">
        <v>5182</v>
      </c>
      <c r="B225" s="29" t="s">
        <v>5183</v>
      </c>
      <c r="C225" s="29" t="s">
        <v>7041</v>
      </c>
      <c r="D225" s="30">
        <v>45292.0</v>
      </c>
      <c r="E225" s="30">
        <v>45657.0</v>
      </c>
      <c r="F225" s="29" t="s">
        <v>7062</v>
      </c>
      <c r="G225" s="29" t="s">
        <v>7051</v>
      </c>
      <c r="H225" s="32" t="s">
        <v>7043</v>
      </c>
      <c r="I225" s="30">
        <v>45658.0</v>
      </c>
      <c r="J225" s="30">
        <v>46022.0</v>
      </c>
      <c r="K225" s="29" t="s">
        <v>7095</v>
      </c>
      <c r="L225" s="29" t="s">
        <v>7053</v>
      </c>
      <c r="M225" s="38" t="s">
        <v>7047</v>
      </c>
      <c r="N225" s="30">
        <v>46023.0</v>
      </c>
      <c r="O225" s="30">
        <v>46387.0</v>
      </c>
      <c r="P225" s="29" t="s">
        <v>7053</v>
      </c>
      <c r="Q225" s="29" t="s">
        <v>7053</v>
      </c>
      <c r="R225" s="32" t="s">
        <v>7043</v>
      </c>
      <c r="S225" s="30">
        <v>46388.0</v>
      </c>
      <c r="T225" s="30">
        <v>46752.0</v>
      </c>
      <c r="U225" s="29" t="s">
        <v>7053</v>
      </c>
      <c r="V225" s="29" t="s">
        <v>7053</v>
      </c>
      <c r="W225" s="32" t="s">
        <v>7043</v>
      </c>
      <c r="X225" s="30">
        <v>46753.0</v>
      </c>
      <c r="Y225" s="30">
        <v>47118.0</v>
      </c>
      <c r="Z225" s="29" t="s">
        <v>7053</v>
      </c>
      <c r="AA225" s="29" t="s">
        <v>7053</v>
      </c>
      <c r="AB225" s="32" t="s">
        <v>7043</v>
      </c>
      <c r="AC225" s="30">
        <v>47119.0</v>
      </c>
      <c r="AD225" s="30">
        <v>47483.0</v>
      </c>
      <c r="AE225" s="29" t="s">
        <v>7053</v>
      </c>
      <c r="AF225" s="29" t="s">
        <v>7053</v>
      </c>
      <c r="AG225" s="32" t="s">
        <v>7043</v>
      </c>
      <c r="AH225" s="30">
        <v>47484.0</v>
      </c>
      <c r="AI225" s="30">
        <v>47848.0</v>
      </c>
      <c r="AJ225" s="29" t="s">
        <v>7053</v>
      </c>
      <c r="AK225" s="29" t="s">
        <v>7053</v>
      </c>
      <c r="AL225" s="32" t="s">
        <v>7043</v>
      </c>
    </row>
    <row r="226" ht="14.25" customHeight="1">
      <c r="A226" s="28" t="s">
        <v>5205</v>
      </c>
      <c r="B226" s="29" t="s">
        <v>5206</v>
      </c>
      <c r="C226" s="29" t="s">
        <v>7041</v>
      </c>
      <c r="D226" s="30">
        <v>45292.0</v>
      </c>
      <c r="E226" s="30">
        <v>45657.0</v>
      </c>
      <c r="F226" s="29" t="s">
        <v>7094</v>
      </c>
      <c r="G226" s="29" t="s">
        <v>7051</v>
      </c>
      <c r="H226" s="32" t="s">
        <v>7043</v>
      </c>
      <c r="I226" s="30">
        <v>45658.0</v>
      </c>
      <c r="J226" s="30">
        <v>46022.0</v>
      </c>
      <c r="K226" s="29" t="s">
        <v>7119</v>
      </c>
      <c r="L226" s="29" t="s">
        <v>7053</v>
      </c>
      <c r="M226" s="38" t="s">
        <v>7047</v>
      </c>
      <c r="N226" s="30">
        <v>46023.0</v>
      </c>
      <c r="O226" s="30">
        <v>46387.0</v>
      </c>
      <c r="P226" s="29" t="s">
        <v>7053</v>
      </c>
      <c r="Q226" s="29" t="s">
        <v>7053</v>
      </c>
      <c r="R226" s="32" t="s">
        <v>7043</v>
      </c>
      <c r="S226" s="30">
        <v>46388.0</v>
      </c>
      <c r="T226" s="30">
        <v>46752.0</v>
      </c>
      <c r="U226" s="29" t="s">
        <v>7053</v>
      </c>
      <c r="V226" s="29" t="s">
        <v>7053</v>
      </c>
      <c r="W226" s="32" t="s">
        <v>7043</v>
      </c>
      <c r="X226" s="30">
        <v>46753.0</v>
      </c>
      <c r="Y226" s="30">
        <v>47118.0</v>
      </c>
      <c r="Z226" s="29" t="s">
        <v>7053</v>
      </c>
      <c r="AA226" s="29" t="s">
        <v>7053</v>
      </c>
      <c r="AB226" s="32" t="s">
        <v>7043</v>
      </c>
      <c r="AC226" s="30">
        <v>47119.0</v>
      </c>
      <c r="AD226" s="30">
        <v>47483.0</v>
      </c>
      <c r="AE226" s="29" t="s">
        <v>7053</v>
      </c>
      <c r="AF226" s="29" t="s">
        <v>7053</v>
      </c>
      <c r="AG226" s="32" t="s">
        <v>7043</v>
      </c>
      <c r="AH226" s="30">
        <v>47484.0</v>
      </c>
      <c r="AI226" s="30">
        <v>47848.0</v>
      </c>
      <c r="AJ226" s="29" t="s">
        <v>7053</v>
      </c>
      <c r="AK226" s="29" t="s">
        <v>7053</v>
      </c>
      <c r="AL226" s="32" t="s">
        <v>7043</v>
      </c>
    </row>
    <row r="227" ht="14.25" customHeight="1">
      <c r="A227" s="28" t="s">
        <v>5212</v>
      </c>
      <c r="B227" s="29" t="s">
        <v>5213</v>
      </c>
      <c r="C227" s="29" t="s">
        <v>7041</v>
      </c>
      <c r="D227" s="30">
        <v>45292.0</v>
      </c>
      <c r="E227" s="30">
        <v>45657.0</v>
      </c>
      <c r="F227" s="29" t="s">
        <v>7100</v>
      </c>
      <c r="G227" s="29" t="s">
        <v>7051</v>
      </c>
      <c r="H227" s="32" t="s">
        <v>7043</v>
      </c>
      <c r="I227" s="30">
        <v>45658.0</v>
      </c>
      <c r="J227" s="30">
        <v>46022.0</v>
      </c>
      <c r="K227" s="29" t="s">
        <v>7062</v>
      </c>
      <c r="L227" s="29" t="s">
        <v>7053</v>
      </c>
      <c r="M227" s="38" t="s">
        <v>7047</v>
      </c>
      <c r="N227" s="30">
        <v>46023.0</v>
      </c>
      <c r="O227" s="30">
        <v>46387.0</v>
      </c>
      <c r="P227" s="29" t="s">
        <v>7053</v>
      </c>
      <c r="Q227" s="29" t="s">
        <v>7053</v>
      </c>
      <c r="R227" s="32" t="s">
        <v>7043</v>
      </c>
      <c r="S227" s="30">
        <v>46388.0</v>
      </c>
      <c r="T227" s="30">
        <v>46752.0</v>
      </c>
      <c r="U227" s="29" t="s">
        <v>7053</v>
      </c>
      <c r="V227" s="29" t="s">
        <v>7053</v>
      </c>
      <c r="W227" s="32" t="s">
        <v>7043</v>
      </c>
      <c r="X227" s="30">
        <v>46753.0</v>
      </c>
      <c r="Y227" s="30">
        <v>47118.0</v>
      </c>
      <c r="Z227" s="29" t="s">
        <v>7053</v>
      </c>
      <c r="AA227" s="29" t="s">
        <v>7053</v>
      </c>
      <c r="AB227" s="32" t="s">
        <v>7043</v>
      </c>
      <c r="AC227" s="30">
        <v>47119.0</v>
      </c>
      <c r="AD227" s="30">
        <v>47483.0</v>
      </c>
      <c r="AE227" s="29" t="s">
        <v>7053</v>
      </c>
      <c r="AF227" s="29" t="s">
        <v>7053</v>
      </c>
      <c r="AG227" s="32" t="s">
        <v>7043</v>
      </c>
      <c r="AH227" s="30">
        <v>47484.0</v>
      </c>
      <c r="AI227" s="30">
        <v>47848.0</v>
      </c>
      <c r="AJ227" s="29" t="s">
        <v>7053</v>
      </c>
      <c r="AK227" s="29" t="s">
        <v>7053</v>
      </c>
      <c r="AL227" s="32" t="s">
        <v>7043</v>
      </c>
    </row>
    <row r="228" ht="14.25" customHeight="1">
      <c r="A228" s="28" t="s">
        <v>5215</v>
      </c>
      <c r="B228" s="29" t="s">
        <v>5216</v>
      </c>
      <c r="C228" s="29" t="s">
        <v>7041</v>
      </c>
      <c r="D228" s="30">
        <v>45292.0</v>
      </c>
      <c r="E228" s="30">
        <v>45657.0</v>
      </c>
      <c r="F228" s="29" t="s">
        <v>7065</v>
      </c>
      <c r="G228" s="29" t="s">
        <v>7051</v>
      </c>
      <c r="H228" s="37" t="s">
        <v>7046</v>
      </c>
      <c r="I228" s="30">
        <v>45658.0</v>
      </c>
      <c r="J228" s="30">
        <v>46022.0</v>
      </c>
      <c r="K228" s="29" t="s">
        <v>7084</v>
      </c>
      <c r="L228" s="29" t="s">
        <v>7053</v>
      </c>
      <c r="M228" s="38" t="s">
        <v>7047</v>
      </c>
      <c r="N228" s="30">
        <v>46023.0</v>
      </c>
      <c r="O228" s="30">
        <v>46387.0</v>
      </c>
      <c r="P228" s="29" t="s">
        <v>7053</v>
      </c>
      <c r="Q228" s="29" t="s">
        <v>7053</v>
      </c>
      <c r="R228" s="32" t="s">
        <v>7043</v>
      </c>
      <c r="S228" s="30">
        <v>46388.0</v>
      </c>
      <c r="T228" s="30">
        <v>46752.0</v>
      </c>
      <c r="U228" s="29" t="s">
        <v>7053</v>
      </c>
      <c r="V228" s="29" t="s">
        <v>7053</v>
      </c>
      <c r="W228" s="32" t="s">
        <v>7043</v>
      </c>
      <c r="X228" s="30">
        <v>46753.0</v>
      </c>
      <c r="Y228" s="30">
        <v>47118.0</v>
      </c>
      <c r="Z228" s="29" t="s">
        <v>7053</v>
      </c>
      <c r="AA228" s="29" t="s">
        <v>7053</v>
      </c>
      <c r="AB228" s="32" t="s">
        <v>7043</v>
      </c>
      <c r="AC228" s="30">
        <v>47119.0</v>
      </c>
      <c r="AD228" s="30">
        <v>47483.0</v>
      </c>
      <c r="AE228" s="29" t="s">
        <v>7053</v>
      </c>
      <c r="AF228" s="29" t="s">
        <v>7053</v>
      </c>
      <c r="AG228" s="32" t="s">
        <v>7043</v>
      </c>
      <c r="AH228" s="30">
        <v>47484.0</v>
      </c>
      <c r="AI228" s="30">
        <v>47848.0</v>
      </c>
      <c r="AJ228" s="29" t="s">
        <v>7053</v>
      </c>
      <c r="AK228" s="29" t="s">
        <v>7053</v>
      </c>
      <c r="AL228" s="32" t="s">
        <v>7043</v>
      </c>
    </row>
    <row r="229" ht="14.25" customHeight="1">
      <c r="A229" s="28" t="s">
        <v>3606</v>
      </c>
      <c r="B229" s="29" t="s">
        <v>3607</v>
      </c>
      <c r="C229" s="29" t="s">
        <v>7041</v>
      </c>
      <c r="D229" s="30">
        <v>45292.0</v>
      </c>
      <c r="E229" s="30">
        <v>45657.0</v>
      </c>
      <c r="F229" s="29" t="s">
        <v>7089</v>
      </c>
      <c r="G229" s="29" t="s">
        <v>7051</v>
      </c>
      <c r="H229" s="32" t="s">
        <v>7043</v>
      </c>
      <c r="I229" s="30">
        <v>45658.0</v>
      </c>
      <c r="J229" s="30">
        <v>46022.0</v>
      </c>
      <c r="K229" s="29" t="s">
        <v>7080</v>
      </c>
      <c r="L229" s="29" t="s">
        <v>7053</v>
      </c>
      <c r="M229" s="38" t="s">
        <v>7047</v>
      </c>
      <c r="N229" s="30">
        <v>46023.0</v>
      </c>
      <c r="O229" s="30">
        <v>46387.0</v>
      </c>
      <c r="P229" s="29" t="s">
        <v>7053</v>
      </c>
      <c r="Q229" s="29" t="s">
        <v>7053</v>
      </c>
      <c r="R229" s="32" t="s">
        <v>7043</v>
      </c>
      <c r="S229" s="30">
        <v>46388.0</v>
      </c>
      <c r="T229" s="30">
        <v>46752.0</v>
      </c>
      <c r="U229" s="29" t="s">
        <v>7053</v>
      </c>
      <c r="V229" s="29" t="s">
        <v>7053</v>
      </c>
      <c r="W229" s="32" t="s">
        <v>7043</v>
      </c>
      <c r="X229" s="30">
        <v>46753.0</v>
      </c>
      <c r="Y229" s="30">
        <v>47118.0</v>
      </c>
      <c r="Z229" s="29" t="s">
        <v>7053</v>
      </c>
      <c r="AA229" s="29" t="s">
        <v>7053</v>
      </c>
      <c r="AB229" s="32" t="s">
        <v>7043</v>
      </c>
      <c r="AC229" s="30">
        <v>47119.0</v>
      </c>
      <c r="AD229" s="30">
        <v>47483.0</v>
      </c>
      <c r="AE229" s="29" t="s">
        <v>7053</v>
      </c>
      <c r="AF229" s="29" t="s">
        <v>7053</v>
      </c>
      <c r="AG229" s="32" t="s">
        <v>7043</v>
      </c>
      <c r="AH229" s="30">
        <v>47484.0</v>
      </c>
      <c r="AI229" s="30">
        <v>47848.0</v>
      </c>
      <c r="AJ229" s="29" t="s">
        <v>7053</v>
      </c>
      <c r="AK229" s="29" t="s">
        <v>7053</v>
      </c>
      <c r="AL229" s="32" t="s">
        <v>7043</v>
      </c>
    </row>
    <row r="230" ht="14.25" customHeight="1">
      <c r="A230" s="28" t="s">
        <v>3618</v>
      </c>
      <c r="B230" s="29" t="s">
        <v>3619</v>
      </c>
      <c r="C230" s="29" t="s">
        <v>7041</v>
      </c>
      <c r="D230" s="30">
        <v>45292.0</v>
      </c>
      <c r="E230" s="30">
        <v>45657.0</v>
      </c>
      <c r="F230" s="29" t="s">
        <v>7050</v>
      </c>
      <c r="G230" s="29" t="s">
        <v>7051</v>
      </c>
      <c r="H230" s="32" t="s">
        <v>7043</v>
      </c>
      <c r="I230" s="30">
        <v>45658.0</v>
      </c>
      <c r="J230" s="30">
        <v>46022.0</v>
      </c>
      <c r="K230" s="29" t="s">
        <v>7100</v>
      </c>
      <c r="L230" s="29" t="s">
        <v>7053</v>
      </c>
      <c r="M230" s="38" t="s">
        <v>7047</v>
      </c>
      <c r="N230" s="30">
        <v>46023.0</v>
      </c>
      <c r="O230" s="30">
        <v>46387.0</v>
      </c>
      <c r="P230" s="29" t="s">
        <v>7053</v>
      </c>
      <c r="Q230" s="29" t="s">
        <v>7053</v>
      </c>
      <c r="R230" s="32" t="s">
        <v>7043</v>
      </c>
      <c r="S230" s="30">
        <v>46388.0</v>
      </c>
      <c r="T230" s="30">
        <v>46752.0</v>
      </c>
      <c r="U230" s="29" t="s">
        <v>7053</v>
      </c>
      <c r="V230" s="29" t="s">
        <v>7053</v>
      </c>
      <c r="W230" s="32" t="s">
        <v>7043</v>
      </c>
      <c r="X230" s="30">
        <v>46753.0</v>
      </c>
      <c r="Y230" s="30">
        <v>47118.0</v>
      </c>
      <c r="Z230" s="29" t="s">
        <v>7053</v>
      </c>
      <c r="AA230" s="29" t="s">
        <v>7053</v>
      </c>
      <c r="AB230" s="32" t="s">
        <v>7043</v>
      </c>
      <c r="AC230" s="30">
        <v>47119.0</v>
      </c>
      <c r="AD230" s="30">
        <v>47483.0</v>
      </c>
      <c r="AE230" s="29" t="s">
        <v>7053</v>
      </c>
      <c r="AF230" s="29" t="s">
        <v>7053</v>
      </c>
      <c r="AG230" s="32" t="s">
        <v>7043</v>
      </c>
      <c r="AH230" s="30">
        <v>47484.0</v>
      </c>
      <c r="AI230" s="30">
        <v>47848.0</v>
      </c>
      <c r="AJ230" s="29" t="s">
        <v>7053</v>
      </c>
      <c r="AK230" s="29" t="s">
        <v>7053</v>
      </c>
      <c r="AL230" s="32" t="s">
        <v>7043</v>
      </c>
    </row>
    <row r="231" ht="14.25" customHeight="1">
      <c r="A231" s="28" t="s">
        <v>3637</v>
      </c>
      <c r="B231" s="29" t="s">
        <v>3638</v>
      </c>
      <c r="C231" s="29" t="s">
        <v>7041</v>
      </c>
      <c r="D231" s="30">
        <v>45292.0</v>
      </c>
      <c r="E231" s="30">
        <v>45657.0</v>
      </c>
      <c r="F231" s="29" t="s">
        <v>7117</v>
      </c>
      <c r="G231" s="29" t="s">
        <v>7051</v>
      </c>
      <c r="H231" s="32" t="s">
        <v>7043</v>
      </c>
      <c r="I231" s="30">
        <v>45658.0</v>
      </c>
      <c r="J231" s="30">
        <v>46022.0</v>
      </c>
      <c r="K231" s="29" t="s">
        <v>7111</v>
      </c>
      <c r="L231" s="29" t="s">
        <v>7053</v>
      </c>
      <c r="M231" s="38" t="s">
        <v>7047</v>
      </c>
      <c r="N231" s="30">
        <v>46023.0</v>
      </c>
      <c r="O231" s="30">
        <v>46387.0</v>
      </c>
      <c r="P231" s="29" t="s">
        <v>7053</v>
      </c>
      <c r="Q231" s="29" t="s">
        <v>7053</v>
      </c>
      <c r="R231" s="32" t="s">
        <v>7043</v>
      </c>
      <c r="S231" s="30">
        <v>46388.0</v>
      </c>
      <c r="T231" s="30">
        <v>46752.0</v>
      </c>
      <c r="U231" s="29" t="s">
        <v>7053</v>
      </c>
      <c r="V231" s="29" t="s">
        <v>7053</v>
      </c>
      <c r="W231" s="32" t="s">
        <v>7043</v>
      </c>
      <c r="X231" s="30">
        <v>46753.0</v>
      </c>
      <c r="Y231" s="30">
        <v>47118.0</v>
      </c>
      <c r="Z231" s="29" t="s">
        <v>7053</v>
      </c>
      <c r="AA231" s="29" t="s">
        <v>7053</v>
      </c>
      <c r="AB231" s="32" t="s">
        <v>7043</v>
      </c>
      <c r="AC231" s="30">
        <v>47119.0</v>
      </c>
      <c r="AD231" s="30">
        <v>47483.0</v>
      </c>
      <c r="AE231" s="29" t="s">
        <v>7053</v>
      </c>
      <c r="AF231" s="29" t="s">
        <v>7053</v>
      </c>
      <c r="AG231" s="32" t="s">
        <v>7043</v>
      </c>
      <c r="AH231" s="30">
        <v>47484.0</v>
      </c>
      <c r="AI231" s="30">
        <v>47848.0</v>
      </c>
      <c r="AJ231" s="29" t="s">
        <v>7053</v>
      </c>
      <c r="AK231" s="29" t="s">
        <v>7053</v>
      </c>
      <c r="AL231" s="32" t="s">
        <v>7043</v>
      </c>
    </row>
    <row r="232" ht="14.25" customHeight="1">
      <c r="A232" s="28" t="s">
        <v>3658</v>
      </c>
      <c r="B232" s="29" t="s">
        <v>3659</v>
      </c>
      <c r="C232" s="29" t="s">
        <v>7041</v>
      </c>
      <c r="D232" s="30">
        <v>45292.0</v>
      </c>
      <c r="E232" s="30">
        <v>45657.0</v>
      </c>
      <c r="F232" s="29" t="s">
        <v>7158</v>
      </c>
      <c r="G232" s="29" t="s">
        <v>7159</v>
      </c>
      <c r="H232" s="38" t="s">
        <v>7047</v>
      </c>
      <c r="I232" s="30">
        <v>45658.0</v>
      </c>
      <c r="J232" s="30">
        <v>46022.0</v>
      </c>
      <c r="K232" s="29" t="s">
        <v>7160</v>
      </c>
      <c r="L232" s="29" t="s">
        <v>7053</v>
      </c>
      <c r="M232" s="38" t="s">
        <v>7047</v>
      </c>
      <c r="N232" s="30">
        <v>46023.0</v>
      </c>
      <c r="O232" s="30">
        <v>46387.0</v>
      </c>
      <c r="P232" s="29" t="s">
        <v>7053</v>
      </c>
      <c r="Q232" s="29" t="s">
        <v>7053</v>
      </c>
      <c r="R232" s="32" t="s">
        <v>7043</v>
      </c>
      <c r="S232" s="30">
        <v>46388.0</v>
      </c>
      <c r="T232" s="30">
        <v>46752.0</v>
      </c>
      <c r="U232" s="29" t="s">
        <v>7053</v>
      </c>
      <c r="V232" s="29" t="s">
        <v>7053</v>
      </c>
      <c r="W232" s="32" t="s">
        <v>7043</v>
      </c>
      <c r="X232" s="30">
        <v>46753.0</v>
      </c>
      <c r="Y232" s="30">
        <v>47118.0</v>
      </c>
      <c r="Z232" s="29" t="s">
        <v>7053</v>
      </c>
      <c r="AA232" s="29" t="s">
        <v>7053</v>
      </c>
      <c r="AB232" s="32" t="s">
        <v>7043</v>
      </c>
      <c r="AC232" s="30">
        <v>47119.0</v>
      </c>
      <c r="AD232" s="30">
        <v>47483.0</v>
      </c>
      <c r="AE232" s="29" t="s">
        <v>7053</v>
      </c>
      <c r="AF232" s="29" t="s">
        <v>7053</v>
      </c>
      <c r="AG232" s="32" t="s">
        <v>7043</v>
      </c>
      <c r="AH232" s="30">
        <v>47484.0</v>
      </c>
      <c r="AI232" s="30">
        <v>47848.0</v>
      </c>
      <c r="AJ232" s="29" t="s">
        <v>7053</v>
      </c>
      <c r="AK232" s="29" t="s">
        <v>7053</v>
      </c>
      <c r="AL232" s="32" t="s">
        <v>7043</v>
      </c>
    </row>
    <row r="233" ht="14.25" customHeight="1">
      <c r="A233" s="28" t="s">
        <v>3672</v>
      </c>
      <c r="B233" s="29" t="s">
        <v>3673</v>
      </c>
      <c r="C233" s="29" t="s">
        <v>7041</v>
      </c>
      <c r="D233" s="30">
        <v>45292.0</v>
      </c>
      <c r="E233" s="30">
        <v>45657.0</v>
      </c>
      <c r="F233" s="29" t="s">
        <v>7096</v>
      </c>
      <c r="G233" s="29" t="s">
        <v>7051</v>
      </c>
      <c r="H233" s="32" t="s">
        <v>7043</v>
      </c>
      <c r="I233" s="30">
        <v>45658.0</v>
      </c>
      <c r="J233" s="30">
        <v>46022.0</v>
      </c>
      <c r="K233" s="29" t="s">
        <v>7089</v>
      </c>
      <c r="L233" s="29" t="s">
        <v>7053</v>
      </c>
      <c r="M233" s="38" t="s">
        <v>7047</v>
      </c>
      <c r="N233" s="30">
        <v>46023.0</v>
      </c>
      <c r="O233" s="30">
        <v>46387.0</v>
      </c>
      <c r="P233" s="29" t="s">
        <v>7053</v>
      </c>
      <c r="Q233" s="29" t="s">
        <v>7053</v>
      </c>
      <c r="R233" s="32" t="s">
        <v>7043</v>
      </c>
      <c r="S233" s="30">
        <v>46388.0</v>
      </c>
      <c r="T233" s="30">
        <v>46752.0</v>
      </c>
      <c r="U233" s="29" t="s">
        <v>7053</v>
      </c>
      <c r="V233" s="29" t="s">
        <v>7053</v>
      </c>
      <c r="W233" s="32" t="s">
        <v>7043</v>
      </c>
      <c r="X233" s="30">
        <v>46753.0</v>
      </c>
      <c r="Y233" s="30">
        <v>47118.0</v>
      </c>
      <c r="Z233" s="29" t="s">
        <v>7053</v>
      </c>
      <c r="AA233" s="29" t="s">
        <v>7053</v>
      </c>
      <c r="AB233" s="32" t="s">
        <v>7043</v>
      </c>
      <c r="AC233" s="30">
        <v>47119.0</v>
      </c>
      <c r="AD233" s="30">
        <v>47483.0</v>
      </c>
      <c r="AE233" s="29" t="s">
        <v>7053</v>
      </c>
      <c r="AF233" s="29" t="s">
        <v>7053</v>
      </c>
      <c r="AG233" s="32" t="s">
        <v>7043</v>
      </c>
      <c r="AH233" s="30">
        <v>47484.0</v>
      </c>
      <c r="AI233" s="30">
        <v>47848.0</v>
      </c>
      <c r="AJ233" s="29" t="s">
        <v>7053</v>
      </c>
      <c r="AK233" s="29" t="s">
        <v>7053</v>
      </c>
      <c r="AL233" s="32" t="s">
        <v>7043</v>
      </c>
    </row>
    <row r="234" ht="14.25" customHeight="1">
      <c r="A234" s="28" t="s">
        <v>3684</v>
      </c>
      <c r="B234" s="29" t="s">
        <v>3685</v>
      </c>
      <c r="C234" s="29" t="s">
        <v>7041</v>
      </c>
      <c r="D234" s="30">
        <v>45292.0</v>
      </c>
      <c r="E234" s="30">
        <v>45657.0</v>
      </c>
      <c r="F234" s="29" t="s">
        <v>7119</v>
      </c>
      <c r="G234" s="29" t="s">
        <v>7067</v>
      </c>
      <c r="H234" s="32" t="s">
        <v>7043</v>
      </c>
      <c r="I234" s="30">
        <v>45658.0</v>
      </c>
      <c r="J234" s="30">
        <v>46022.0</v>
      </c>
      <c r="K234" s="29" t="s">
        <v>7075</v>
      </c>
      <c r="L234" s="29" t="s">
        <v>7053</v>
      </c>
      <c r="M234" s="38" t="s">
        <v>7047</v>
      </c>
      <c r="N234" s="30">
        <v>46023.0</v>
      </c>
      <c r="O234" s="30">
        <v>46387.0</v>
      </c>
      <c r="P234" s="29" t="s">
        <v>7053</v>
      </c>
      <c r="Q234" s="29" t="s">
        <v>7053</v>
      </c>
      <c r="R234" s="32" t="s">
        <v>7043</v>
      </c>
      <c r="S234" s="30">
        <v>46388.0</v>
      </c>
      <c r="T234" s="30">
        <v>46752.0</v>
      </c>
      <c r="U234" s="29" t="s">
        <v>7053</v>
      </c>
      <c r="V234" s="29" t="s">
        <v>7053</v>
      </c>
      <c r="W234" s="32" t="s">
        <v>7043</v>
      </c>
      <c r="X234" s="30">
        <v>46753.0</v>
      </c>
      <c r="Y234" s="30">
        <v>47118.0</v>
      </c>
      <c r="Z234" s="29" t="s">
        <v>7053</v>
      </c>
      <c r="AA234" s="29" t="s">
        <v>7053</v>
      </c>
      <c r="AB234" s="32" t="s">
        <v>7043</v>
      </c>
      <c r="AC234" s="30">
        <v>47119.0</v>
      </c>
      <c r="AD234" s="30">
        <v>47483.0</v>
      </c>
      <c r="AE234" s="29" t="s">
        <v>7053</v>
      </c>
      <c r="AF234" s="29" t="s">
        <v>7053</v>
      </c>
      <c r="AG234" s="32" t="s">
        <v>7043</v>
      </c>
      <c r="AH234" s="30">
        <v>47484.0</v>
      </c>
      <c r="AI234" s="30">
        <v>47848.0</v>
      </c>
      <c r="AJ234" s="29" t="s">
        <v>7053</v>
      </c>
      <c r="AK234" s="29" t="s">
        <v>7053</v>
      </c>
      <c r="AL234" s="32" t="s">
        <v>7043</v>
      </c>
    </row>
    <row r="235" ht="14.25" customHeight="1">
      <c r="A235" s="28" t="s">
        <v>3703</v>
      </c>
      <c r="B235" s="29" t="s">
        <v>3704</v>
      </c>
      <c r="C235" s="29" t="s">
        <v>7041</v>
      </c>
      <c r="D235" s="30">
        <v>45292.0</v>
      </c>
      <c r="E235" s="30">
        <v>45657.0</v>
      </c>
      <c r="F235" s="29" t="s">
        <v>7095</v>
      </c>
      <c r="G235" s="29" t="s">
        <v>7099</v>
      </c>
      <c r="H235" s="32" t="s">
        <v>7043</v>
      </c>
      <c r="I235" s="30">
        <v>45658.0</v>
      </c>
      <c r="J235" s="30">
        <v>46022.0</v>
      </c>
      <c r="K235" s="29" t="s">
        <v>7097</v>
      </c>
      <c r="L235" s="29" t="s">
        <v>7053</v>
      </c>
      <c r="M235" s="38" t="s">
        <v>7047</v>
      </c>
      <c r="N235" s="30">
        <v>46023.0</v>
      </c>
      <c r="O235" s="30">
        <v>46387.0</v>
      </c>
      <c r="P235" s="29" t="s">
        <v>7053</v>
      </c>
      <c r="Q235" s="29" t="s">
        <v>7053</v>
      </c>
      <c r="R235" s="32" t="s">
        <v>7043</v>
      </c>
      <c r="S235" s="30">
        <v>46388.0</v>
      </c>
      <c r="T235" s="30">
        <v>46752.0</v>
      </c>
      <c r="U235" s="29" t="s">
        <v>7053</v>
      </c>
      <c r="V235" s="29" t="s">
        <v>7053</v>
      </c>
      <c r="W235" s="32" t="s">
        <v>7043</v>
      </c>
      <c r="X235" s="30">
        <v>46753.0</v>
      </c>
      <c r="Y235" s="30">
        <v>47118.0</v>
      </c>
      <c r="Z235" s="29" t="s">
        <v>7053</v>
      </c>
      <c r="AA235" s="29" t="s">
        <v>7053</v>
      </c>
      <c r="AB235" s="32" t="s">
        <v>7043</v>
      </c>
      <c r="AC235" s="30">
        <v>47119.0</v>
      </c>
      <c r="AD235" s="30">
        <v>47483.0</v>
      </c>
      <c r="AE235" s="29" t="s">
        <v>7053</v>
      </c>
      <c r="AF235" s="29" t="s">
        <v>7053</v>
      </c>
      <c r="AG235" s="32" t="s">
        <v>7043</v>
      </c>
      <c r="AH235" s="30">
        <v>47484.0</v>
      </c>
      <c r="AI235" s="30">
        <v>47848.0</v>
      </c>
      <c r="AJ235" s="29" t="s">
        <v>7053</v>
      </c>
      <c r="AK235" s="29" t="s">
        <v>7053</v>
      </c>
      <c r="AL235" s="32" t="s">
        <v>7043</v>
      </c>
    </row>
    <row r="236" ht="14.25" customHeight="1">
      <c r="A236" s="28" t="s">
        <v>3709</v>
      </c>
      <c r="B236" s="29" t="s">
        <v>3710</v>
      </c>
      <c r="C236" s="29" t="s">
        <v>7041</v>
      </c>
      <c r="D236" s="30">
        <v>45292.0</v>
      </c>
      <c r="E236" s="30">
        <v>45657.0</v>
      </c>
      <c r="F236" s="29" t="s">
        <v>7077</v>
      </c>
      <c r="G236" s="29" t="s">
        <v>7051</v>
      </c>
      <c r="H236" s="37" t="s">
        <v>7046</v>
      </c>
      <c r="I236" s="30">
        <v>45658.0</v>
      </c>
      <c r="J236" s="30">
        <v>46022.0</v>
      </c>
      <c r="K236" s="29" t="s">
        <v>7119</v>
      </c>
      <c r="L236" s="29" t="s">
        <v>7053</v>
      </c>
      <c r="M236" s="38" t="s">
        <v>7047</v>
      </c>
      <c r="N236" s="30">
        <v>46023.0</v>
      </c>
      <c r="O236" s="30">
        <v>46387.0</v>
      </c>
      <c r="P236" s="29" t="s">
        <v>7053</v>
      </c>
      <c r="Q236" s="29" t="s">
        <v>7053</v>
      </c>
      <c r="R236" s="32" t="s">
        <v>7043</v>
      </c>
      <c r="S236" s="30">
        <v>46388.0</v>
      </c>
      <c r="T236" s="30">
        <v>46752.0</v>
      </c>
      <c r="U236" s="29" t="s">
        <v>7053</v>
      </c>
      <c r="V236" s="29" t="s">
        <v>7053</v>
      </c>
      <c r="W236" s="32" t="s">
        <v>7043</v>
      </c>
      <c r="X236" s="30">
        <v>46753.0</v>
      </c>
      <c r="Y236" s="30">
        <v>47118.0</v>
      </c>
      <c r="Z236" s="29" t="s">
        <v>7053</v>
      </c>
      <c r="AA236" s="29" t="s">
        <v>7053</v>
      </c>
      <c r="AB236" s="32" t="s">
        <v>7043</v>
      </c>
      <c r="AC236" s="30">
        <v>47119.0</v>
      </c>
      <c r="AD236" s="30">
        <v>47483.0</v>
      </c>
      <c r="AE236" s="29" t="s">
        <v>7053</v>
      </c>
      <c r="AF236" s="29" t="s">
        <v>7053</v>
      </c>
      <c r="AG236" s="32" t="s">
        <v>7043</v>
      </c>
      <c r="AH236" s="30">
        <v>47484.0</v>
      </c>
      <c r="AI236" s="30">
        <v>47848.0</v>
      </c>
      <c r="AJ236" s="29" t="s">
        <v>7053</v>
      </c>
      <c r="AK236" s="29" t="s">
        <v>7053</v>
      </c>
      <c r="AL236" s="32" t="s">
        <v>7043</v>
      </c>
    </row>
    <row r="237" ht="14.25" customHeight="1">
      <c r="A237" s="28" t="s">
        <v>3721</v>
      </c>
      <c r="B237" s="29" t="s">
        <v>3722</v>
      </c>
      <c r="C237" s="29" t="s">
        <v>7041</v>
      </c>
      <c r="D237" s="30">
        <v>45292.0</v>
      </c>
      <c r="E237" s="30">
        <v>45657.0</v>
      </c>
      <c r="F237" s="29" t="s">
        <v>7061</v>
      </c>
      <c r="G237" s="29" t="s">
        <v>7051</v>
      </c>
      <c r="H237" s="37" t="s">
        <v>7046</v>
      </c>
      <c r="I237" s="30">
        <v>45658.0</v>
      </c>
      <c r="J237" s="30">
        <v>46022.0</v>
      </c>
      <c r="K237" s="29" t="s">
        <v>7092</v>
      </c>
      <c r="L237" s="29" t="s">
        <v>7053</v>
      </c>
      <c r="M237" s="38" t="s">
        <v>7047</v>
      </c>
      <c r="N237" s="30">
        <v>46023.0</v>
      </c>
      <c r="O237" s="30">
        <v>46387.0</v>
      </c>
      <c r="P237" s="29" t="s">
        <v>7053</v>
      </c>
      <c r="Q237" s="29" t="s">
        <v>7053</v>
      </c>
      <c r="R237" s="32" t="s">
        <v>7043</v>
      </c>
      <c r="S237" s="30">
        <v>46388.0</v>
      </c>
      <c r="T237" s="30">
        <v>46752.0</v>
      </c>
      <c r="U237" s="29" t="s">
        <v>7053</v>
      </c>
      <c r="V237" s="29" t="s">
        <v>7053</v>
      </c>
      <c r="W237" s="32" t="s">
        <v>7043</v>
      </c>
      <c r="X237" s="30">
        <v>46753.0</v>
      </c>
      <c r="Y237" s="30">
        <v>47118.0</v>
      </c>
      <c r="Z237" s="29" t="s">
        <v>7053</v>
      </c>
      <c r="AA237" s="29" t="s">
        <v>7053</v>
      </c>
      <c r="AB237" s="32" t="s">
        <v>7043</v>
      </c>
      <c r="AC237" s="30">
        <v>47119.0</v>
      </c>
      <c r="AD237" s="30">
        <v>47483.0</v>
      </c>
      <c r="AE237" s="29" t="s">
        <v>7053</v>
      </c>
      <c r="AF237" s="29" t="s">
        <v>7053</v>
      </c>
      <c r="AG237" s="32" t="s">
        <v>7043</v>
      </c>
      <c r="AH237" s="30">
        <v>47484.0</v>
      </c>
      <c r="AI237" s="30">
        <v>47848.0</v>
      </c>
      <c r="AJ237" s="29" t="s">
        <v>7053</v>
      </c>
      <c r="AK237" s="29" t="s">
        <v>7053</v>
      </c>
      <c r="AL237" s="32" t="s">
        <v>7043</v>
      </c>
    </row>
    <row r="238" ht="14.25" customHeight="1">
      <c r="A238" s="28" t="s">
        <v>3730</v>
      </c>
      <c r="B238" s="29" t="s">
        <v>3731</v>
      </c>
      <c r="C238" s="29" t="s">
        <v>7041</v>
      </c>
      <c r="D238" s="30">
        <v>45292.0</v>
      </c>
      <c r="E238" s="30">
        <v>45657.0</v>
      </c>
      <c r="F238" s="29" t="s">
        <v>7119</v>
      </c>
      <c r="G238" s="29" t="s">
        <v>7051</v>
      </c>
      <c r="H238" s="32" t="s">
        <v>7043</v>
      </c>
      <c r="I238" s="30">
        <v>45658.0</v>
      </c>
      <c r="J238" s="30">
        <v>46022.0</v>
      </c>
      <c r="K238" s="29" t="s">
        <v>7069</v>
      </c>
      <c r="L238" s="29" t="s">
        <v>7053</v>
      </c>
      <c r="M238" s="38" t="s">
        <v>7047</v>
      </c>
      <c r="N238" s="30">
        <v>46023.0</v>
      </c>
      <c r="O238" s="30">
        <v>46387.0</v>
      </c>
      <c r="P238" s="29" t="s">
        <v>7053</v>
      </c>
      <c r="Q238" s="29" t="s">
        <v>7053</v>
      </c>
      <c r="R238" s="32" t="s">
        <v>7043</v>
      </c>
      <c r="S238" s="30">
        <v>46388.0</v>
      </c>
      <c r="T238" s="30">
        <v>46752.0</v>
      </c>
      <c r="U238" s="29" t="s">
        <v>7053</v>
      </c>
      <c r="V238" s="29" t="s">
        <v>7053</v>
      </c>
      <c r="W238" s="32" t="s">
        <v>7043</v>
      </c>
      <c r="X238" s="30">
        <v>46753.0</v>
      </c>
      <c r="Y238" s="30">
        <v>47118.0</v>
      </c>
      <c r="Z238" s="29" t="s">
        <v>7053</v>
      </c>
      <c r="AA238" s="29" t="s">
        <v>7053</v>
      </c>
      <c r="AB238" s="32" t="s">
        <v>7043</v>
      </c>
      <c r="AC238" s="30">
        <v>47119.0</v>
      </c>
      <c r="AD238" s="30">
        <v>47483.0</v>
      </c>
      <c r="AE238" s="29" t="s">
        <v>7053</v>
      </c>
      <c r="AF238" s="29" t="s">
        <v>7053</v>
      </c>
      <c r="AG238" s="32" t="s">
        <v>7043</v>
      </c>
      <c r="AH238" s="30">
        <v>47484.0</v>
      </c>
      <c r="AI238" s="30">
        <v>47848.0</v>
      </c>
      <c r="AJ238" s="29" t="s">
        <v>7053</v>
      </c>
      <c r="AK238" s="29" t="s">
        <v>7053</v>
      </c>
      <c r="AL238" s="32" t="s">
        <v>7043</v>
      </c>
    </row>
    <row r="239" ht="14.25" customHeight="1">
      <c r="A239" s="28" t="s">
        <v>3733</v>
      </c>
      <c r="B239" s="29" t="s">
        <v>3734</v>
      </c>
      <c r="C239" s="29" t="s">
        <v>7041</v>
      </c>
      <c r="D239" s="30">
        <v>45292.0</v>
      </c>
      <c r="E239" s="30">
        <v>45657.0</v>
      </c>
      <c r="F239" s="29" t="s">
        <v>7050</v>
      </c>
      <c r="G239" s="29" t="s">
        <v>7100</v>
      </c>
      <c r="H239" s="38" t="s">
        <v>7047</v>
      </c>
      <c r="I239" s="30">
        <v>45658.0</v>
      </c>
      <c r="J239" s="30">
        <v>46022.0</v>
      </c>
      <c r="K239" s="29" t="s">
        <v>7064</v>
      </c>
      <c r="L239" s="29" t="s">
        <v>7053</v>
      </c>
      <c r="M239" s="38" t="s">
        <v>7047</v>
      </c>
      <c r="N239" s="30">
        <v>46023.0</v>
      </c>
      <c r="O239" s="30">
        <v>46387.0</v>
      </c>
      <c r="P239" s="29" t="s">
        <v>7053</v>
      </c>
      <c r="Q239" s="29" t="s">
        <v>7053</v>
      </c>
      <c r="R239" s="32" t="s">
        <v>7043</v>
      </c>
      <c r="S239" s="30">
        <v>46388.0</v>
      </c>
      <c r="T239" s="30">
        <v>46752.0</v>
      </c>
      <c r="U239" s="29" t="s">
        <v>7053</v>
      </c>
      <c r="V239" s="29" t="s">
        <v>7053</v>
      </c>
      <c r="W239" s="32" t="s">
        <v>7043</v>
      </c>
      <c r="X239" s="30">
        <v>46753.0</v>
      </c>
      <c r="Y239" s="30">
        <v>47118.0</v>
      </c>
      <c r="Z239" s="29" t="s">
        <v>7053</v>
      </c>
      <c r="AA239" s="29" t="s">
        <v>7053</v>
      </c>
      <c r="AB239" s="32" t="s">
        <v>7043</v>
      </c>
      <c r="AC239" s="30">
        <v>47119.0</v>
      </c>
      <c r="AD239" s="30">
        <v>47483.0</v>
      </c>
      <c r="AE239" s="29" t="s">
        <v>7053</v>
      </c>
      <c r="AF239" s="29" t="s">
        <v>7053</v>
      </c>
      <c r="AG239" s="32" t="s">
        <v>7043</v>
      </c>
      <c r="AH239" s="30">
        <v>47484.0</v>
      </c>
      <c r="AI239" s="30">
        <v>47848.0</v>
      </c>
      <c r="AJ239" s="29" t="s">
        <v>7053</v>
      </c>
      <c r="AK239" s="29" t="s">
        <v>7053</v>
      </c>
      <c r="AL239" s="32" t="s">
        <v>7043</v>
      </c>
    </row>
    <row r="240" ht="14.25" customHeight="1">
      <c r="A240" s="28" t="s">
        <v>3746</v>
      </c>
      <c r="B240" s="29" t="s">
        <v>3747</v>
      </c>
      <c r="C240" s="29" t="s">
        <v>7041</v>
      </c>
      <c r="D240" s="30">
        <v>45292.0</v>
      </c>
      <c r="E240" s="30">
        <v>45657.0</v>
      </c>
      <c r="F240" s="29" t="s">
        <v>7054</v>
      </c>
      <c r="G240" s="29" t="s">
        <v>7051</v>
      </c>
      <c r="H240" s="32" t="s">
        <v>7043</v>
      </c>
      <c r="I240" s="30">
        <v>45658.0</v>
      </c>
      <c r="J240" s="30">
        <v>46022.0</v>
      </c>
      <c r="K240" s="29" t="s">
        <v>7062</v>
      </c>
      <c r="L240" s="29" t="s">
        <v>7053</v>
      </c>
      <c r="M240" s="38" t="s">
        <v>7047</v>
      </c>
      <c r="N240" s="30">
        <v>46023.0</v>
      </c>
      <c r="O240" s="30">
        <v>46387.0</v>
      </c>
      <c r="P240" s="29" t="s">
        <v>7053</v>
      </c>
      <c r="Q240" s="29" t="s">
        <v>7053</v>
      </c>
      <c r="R240" s="32" t="s">
        <v>7043</v>
      </c>
      <c r="S240" s="30">
        <v>46388.0</v>
      </c>
      <c r="T240" s="30">
        <v>46752.0</v>
      </c>
      <c r="U240" s="29" t="s">
        <v>7053</v>
      </c>
      <c r="V240" s="29" t="s">
        <v>7053</v>
      </c>
      <c r="W240" s="32" t="s">
        <v>7043</v>
      </c>
      <c r="X240" s="30">
        <v>46753.0</v>
      </c>
      <c r="Y240" s="30">
        <v>47118.0</v>
      </c>
      <c r="Z240" s="29" t="s">
        <v>7053</v>
      </c>
      <c r="AA240" s="29" t="s">
        <v>7053</v>
      </c>
      <c r="AB240" s="32" t="s">
        <v>7043</v>
      </c>
      <c r="AC240" s="30">
        <v>47119.0</v>
      </c>
      <c r="AD240" s="30">
        <v>47483.0</v>
      </c>
      <c r="AE240" s="29" t="s">
        <v>7053</v>
      </c>
      <c r="AF240" s="29" t="s">
        <v>7053</v>
      </c>
      <c r="AG240" s="32" t="s">
        <v>7043</v>
      </c>
      <c r="AH240" s="30">
        <v>47484.0</v>
      </c>
      <c r="AI240" s="30">
        <v>47848.0</v>
      </c>
      <c r="AJ240" s="29" t="s">
        <v>7053</v>
      </c>
      <c r="AK240" s="29" t="s">
        <v>7053</v>
      </c>
      <c r="AL240" s="32" t="s">
        <v>7043</v>
      </c>
    </row>
    <row r="241" ht="14.25" customHeight="1">
      <c r="A241" s="28" t="s">
        <v>3762</v>
      </c>
      <c r="B241" s="29" t="s">
        <v>3763</v>
      </c>
      <c r="C241" s="29" t="s">
        <v>7041</v>
      </c>
      <c r="D241" s="30">
        <v>45292.0</v>
      </c>
      <c r="E241" s="30">
        <v>45657.0</v>
      </c>
      <c r="F241" s="29" t="s">
        <v>7118</v>
      </c>
      <c r="G241" s="29" t="s">
        <v>7051</v>
      </c>
      <c r="H241" s="37" t="s">
        <v>7046</v>
      </c>
      <c r="I241" s="30">
        <v>45658.0</v>
      </c>
      <c r="J241" s="30">
        <v>46022.0</v>
      </c>
      <c r="K241" s="29" t="s">
        <v>7126</v>
      </c>
      <c r="L241" s="29" t="s">
        <v>7053</v>
      </c>
      <c r="M241" s="38" t="s">
        <v>7047</v>
      </c>
      <c r="N241" s="30">
        <v>46023.0</v>
      </c>
      <c r="O241" s="30">
        <v>46387.0</v>
      </c>
      <c r="P241" s="29" t="s">
        <v>7053</v>
      </c>
      <c r="Q241" s="29" t="s">
        <v>7053</v>
      </c>
      <c r="R241" s="32" t="s">
        <v>7043</v>
      </c>
      <c r="S241" s="30">
        <v>46388.0</v>
      </c>
      <c r="T241" s="30">
        <v>46752.0</v>
      </c>
      <c r="U241" s="29" t="s">
        <v>7053</v>
      </c>
      <c r="V241" s="29" t="s">
        <v>7053</v>
      </c>
      <c r="W241" s="32" t="s">
        <v>7043</v>
      </c>
      <c r="X241" s="30">
        <v>46753.0</v>
      </c>
      <c r="Y241" s="30">
        <v>47118.0</v>
      </c>
      <c r="Z241" s="29" t="s">
        <v>7053</v>
      </c>
      <c r="AA241" s="29" t="s">
        <v>7053</v>
      </c>
      <c r="AB241" s="32" t="s">
        <v>7043</v>
      </c>
      <c r="AC241" s="30">
        <v>47119.0</v>
      </c>
      <c r="AD241" s="30">
        <v>47483.0</v>
      </c>
      <c r="AE241" s="29" t="s">
        <v>7053</v>
      </c>
      <c r="AF241" s="29" t="s">
        <v>7053</v>
      </c>
      <c r="AG241" s="32" t="s">
        <v>7043</v>
      </c>
      <c r="AH241" s="30">
        <v>47484.0</v>
      </c>
      <c r="AI241" s="30">
        <v>47848.0</v>
      </c>
      <c r="AJ241" s="29" t="s">
        <v>7053</v>
      </c>
      <c r="AK241" s="29" t="s">
        <v>7053</v>
      </c>
      <c r="AL241" s="32" t="s">
        <v>7043</v>
      </c>
    </row>
    <row r="242" ht="14.25" customHeight="1">
      <c r="A242" s="28" t="s">
        <v>3765</v>
      </c>
      <c r="B242" s="29" t="s">
        <v>3766</v>
      </c>
      <c r="C242" s="29" t="s">
        <v>7041</v>
      </c>
      <c r="D242" s="30">
        <v>45292.0</v>
      </c>
      <c r="E242" s="30">
        <v>45657.0</v>
      </c>
      <c r="F242" s="29" t="s">
        <v>7062</v>
      </c>
      <c r="G242" s="29" t="s">
        <v>7051</v>
      </c>
      <c r="H242" s="32" t="s">
        <v>7043</v>
      </c>
      <c r="I242" s="30">
        <v>45658.0</v>
      </c>
      <c r="J242" s="30">
        <v>46022.0</v>
      </c>
      <c r="K242" s="29" t="s">
        <v>7062</v>
      </c>
      <c r="L242" s="29" t="s">
        <v>7053</v>
      </c>
      <c r="M242" s="38" t="s">
        <v>7047</v>
      </c>
      <c r="N242" s="30">
        <v>46023.0</v>
      </c>
      <c r="O242" s="30">
        <v>46387.0</v>
      </c>
      <c r="P242" s="29" t="s">
        <v>7053</v>
      </c>
      <c r="Q242" s="29" t="s">
        <v>7053</v>
      </c>
      <c r="R242" s="32" t="s">
        <v>7043</v>
      </c>
      <c r="S242" s="30">
        <v>46388.0</v>
      </c>
      <c r="T242" s="30">
        <v>46752.0</v>
      </c>
      <c r="U242" s="29" t="s">
        <v>7053</v>
      </c>
      <c r="V242" s="29" t="s">
        <v>7053</v>
      </c>
      <c r="W242" s="32" t="s">
        <v>7043</v>
      </c>
      <c r="X242" s="30">
        <v>46753.0</v>
      </c>
      <c r="Y242" s="30">
        <v>47118.0</v>
      </c>
      <c r="Z242" s="29" t="s">
        <v>7053</v>
      </c>
      <c r="AA242" s="29" t="s">
        <v>7053</v>
      </c>
      <c r="AB242" s="32" t="s">
        <v>7043</v>
      </c>
      <c r="AC242" s="30">
        <v>47119.0</v>
      </c>
      <c r="AD242" s="30">
        <v>47483.0</v>
      </c>
      <c r="AE242" s="29" t="s">
        <v>7053</v>
      </c>
      <c r="AF242" s="29" t="s">
        <v>7053</v>
      </c>
      <c r="AG242" s="32" t="s">
        <v>7043</v>
      </c>
      <c r="AH242" s="30">
        <v>47484.0</v>
      </c>
      <c r="AI242" s="30">
        <v>47848.0</v>
      </c>
      <c r="AJ242" s="29" t="s">
        <v>7053</v>
      </c>
      <c r="AK242" s="29" t="s">
        <v>7053</v>
      </c>
      <c r="AL242" s="32" t="s">
        <v>7043</v>
      </c>
    </row>
    <row r="243" ht="14.25" customHeight="1">
      <c r="A243" s="28" t="s">
        <v>3768</v>
      </c>
      <c r="B243" s="29" t="s">
        <v>3769</v>
      </c>
      <c r="C243" s="29" t="s">
        <v>7041</v>
      </c>
      <c r="D243" s="30">
        <v>45292.0</v>
      </c>
      <c r="E243" s="30">
        <v>45657.0</v>
      </c>
      <c r="F243" s="29" t="s">
        <v>7131</v>
      </c>
      <c r="G243" s="29" t="s">
        <v>7125</v>
      </c>
      <c r="H243" s="32" t="s">
        <v>7043</v>
      </c>
      <c r="I243" s="30">
        <v>45658.0</v>
      </c>
      <c r="J243" s="30">
        <v>46022.0</v>
      </c>
      <c r="K243" s="29" t="s">
        <v>7117</v>
      </c>
      <c r="L243" s="29" t="s">
        <v>7053</v>
      </c>
      <c r="M243" s="38" t="s">
        <v>7047</v>
      </c>
      <c r="N243" s="30">
        <v>46023.0</v>
      </c>
      <c r="O243" s="30">
        <v>46387.0</v>
      </c>
      <c r="P243" s="29" t="s">
        <v>7053</v>
      </c>
      <c r="Q243" s="29" t="s">
        <v>7053</v>
      </c>
      <c r="R243" s="32" t="s">
        <v>7043</v>
      </c>
      <c r="S243" s="30">
        <v>46388.0</v>
      </c>
      <c r="T243" s="30">
        <v>46752.0</v>
      </c>
      <c r="U243" s="29" t="s">
        <v>7053</v>
      </c>
      <c r="V243" s="29" t="s">
        <v>7053</v>
      </c>
      <c r="W243" s="32" t="s">
        <v>7043</v>
      </c>
      <c r="X243" s="30">
        <v>46753.0</v>
      </c>
      <c r="Y243" s="30">
        <v>47118.0</v>
      </c>
      <c r="Z243" s="29" t="s">
        <v>7053</v>
      </c>
      <c r="AA243" s="29" t="s">
        <v>7053</v>
      </c>
      <c r="AB243" s="32" t="s">
        <v>7043</v>
      </c>
      <c r="AC243" s="30">
        <v>47119.0</v>
      </c>
      <c r="AD243" s="30">
        <v>47483.0</v>
      </c>
      <c r="AE243" s="29" t="s">
        <v>7053</v>
      </c>
      <c r="AF243" s="29" t="s">
        <v>7053</v>
      </c>
      <c r="AG243" s="32" t="s">
        <v>7043</v>
      </c>
      <c r="AH243" s="30">
        <v>47484.0</v>
      </c>
      <c r="AI243" s="30">
        <v>47848.0</v>
      </c>
      <c r="AJ243" s="29" t="s">
        <v>7053</v>
      </c>
      <c r="AK243" s="29" t="s">
        <v>7053</v>
      </c>
      <c r="AL243" s="32" t="s">
        <v>7043</v>
      </c>
    </row>
    <row r="244" ht="14.25" customHeight="1">
      <c r="A244" s="28" t="s">
        <v>3771</v>
      </c>
      <c r="B244" s="29" t="s">
        <v>3772</v>
      </c>
      <c r="C244" s="29" t="s">
        <v>7041</v>
      </c>
      <c r="D244" s="30">
        <v>45292.0</v>
      </c>
      <c r="E244" s="30">
        <v>45657.0</v>
      </c>
      <c r="F244" s="29" t="s">
        <v>7161</v>
      </c>
      <c r="G244" s="29" t="s">
        <v>7051</v>
      </c>
      <c r="H244" s="38" t="s">
        <v>7047</v>
      </c>
      <c r="I244" s="30">
        <v>45658.0</v>
      </c>
      <c r="J244" s="30">
        <v>46022.0</v>
      </c>
      <c r="K244" s="29" t="s">
        <v>7162</v>
      </c>
      <c r="L244" s="29" t="s">
        <v>7053</v>
      </c>
      <c r="M244" s="38" t="s">
        <v>7047</v>
      </c>
      <c r="N244" s="30">
        <v>46023.0</v>
      </c>
      <c r="O244" s="30">
        <v>46387.0</v>
      </c>
      <c r="P244" s="29" t="s">
        <v>7053</v>
      </c>
      <c r="Q244" s="29" t="s">
        <v>7053</v>
      </c>
      <c r="R244" s="32" t="s">
        <v>7043</v>
      </c>
      <c r="S244" s="30">
        <v>46388.0</v>
      </c>
      <c r="T244" s="30">
        <v>46752.0</v>
      </c>
      <c r="U244" s="29" t="s">
        <v>7053</v>
      </c>
      <c r="V244" s="29" t="s">
        <v>7053</v>
      </c>
      <c r="W244" s="32" t="s">
        <v>7043</v>
      </c>
      <c r="X244" s="30">
        <v>46753.0</v>
      </c>
      <c r="Y244" s="30">
        <v>47118.0</v>
      </c>
      <c r="Z244" s="29" t="s">
        <v>7053</v>
      </c>
      <c r="AA244" s="29" t="s">
        <v>7053</v>
      </c>
      <c r="AB244" s="32" t="s">
        <v>7043</v>
      </c>
      <c r="AC244" s="30">
        <v>47119.0</v>
      </c>
      <c r="AD244" s="30">
        <v>47483.0</v>
      </c>
      <c r="AE244" s="29" t="s">
        <v>7053</v>
      </c>
      <c r="AF244" s="29" t="s">
        <v>7053</v>
      </c>
      <c r="AG244" s="32" t="s">
        <v>7043</v>
      </c>
      <c r="AH244" s="30">
        <v>47484.0</v>
      </c>
      <c r="AI244" s="30">
        <v>47848.0</v>
      </c>
      <c r="AJ244" s="29" t="s">
        <v>7053</v>
      </c>
      <c r="AK244" s="29" t="s">
        <v>7053</v>
      </c>
      <c r="AL244" s="32" t="s">
        <v>7043</v>
      </c>
    </row>
    <row r="245" ht="14.25" customHeight="1">
      <c r="A245" s="28" t="s">
        <v>3816</v>
      </c>
      <c r="B245" s="29" t="s">
        <v>3817</v>
      </c>
      <c r="C245" s="29" t="s">
        <v>7041</v>
      </c>
      <c r="D245" s="30">
        <v>45292.0</v>
      </c>
      <c r="E245" s="30">
        <v>45657.0</v>
      </c>
      <c r="F245" s="29" t="s">
        <v>7071</v>
      </c>
      <c r="G245" s="29" t="s">
        <v>7051</v>
      </c>
      <c r="H245" s="32" t="s">
        <v>7043</v>
      </c>
      <c r="I245" s="30">
        <v>45658.0</v>
      </c>
      <c r="J245" s="30">
        <v>46022.0</v>
      </c>
      <c r="K245" s="29" t="s">
        <v>7079</v>
      </c>
      <c r="L245" s="29" t="s">
        <v>7053</v>
      </c>
      <c r="M245" s="38" t="s">
        <v>7047</v>
      </c>
      <c r="N245" s="30">
        <v>46023.0</v>
      </c>
      <c r="O245" s="30">
        <v>46387.0</v>
      </c>
      <c r="P245" s="29" t="s">
        <v>7053</v>
      </c>
      <c r="Q245" s="29" t="s">
        <v>7053</v>
      </c>
      <c r="R245" s="32" t="s">
        <v>7043</v>
      </c>
      <c r="S245" s="30">
        <v>46388.0</v>
      </c>
      <c r="T245" s="30">
        <v>46752.0</v>
      </c>
      <c r="U245" s="29" t="s">
        <v>7053</v>
      </c>
      <c r="V245" s="29" t="s">
        <v>7053</v>
      </c>
      <c r="W245" s="32" t="s">
        <v>7043</v>
      </c>
      <c r="X245" s="30">
        <v>46753.0</v>
      </c>
      <c r="Y245" s="30">
        <v>47118.0</v>
      </c>
      <c r="Z245" s="29" t="s">
        <v>7053</v>
      </c>
      <c r="AA245" s="29" t="s">
        <v>7053</v>
      </c>
      <c r="AB245" s="32" t="s">
        <v>7043</v>
      </c>
      <c r="AC245" s="30">
        <v>47119.0</v>
      </c>
      <c r="AD245" s="30">
        <v>47483.0</v>
      </c>
      <c r="AE245" s="29" t="s">
        <v>7053</v>
      </c>
      <c r="AF245" s="29" t="s">
        <v>7053</v>
      </c>
      <c r="AG245" s="32" t="s">
        <v>7043</v>
      </c>
      <c r="AH245" s="30">
        <v>47484.0</v>
      </c>
      <c r="AI245" s="30">
        <v>47848.0</v>
      </c>
      <c r="AJ245" s="29" t="s">
        <v>7053</v>
      </c>
      <c r="AK245" s="29" t="s">
        <v>7053</v>
      </c>
      <c r="AL245" s="32" t="s">
        <v>7043</v>
      </c>
    </row>
    <row r="246" ht="14.25" customHeight="1">
      <c r="A246" s="28" t="s">
        <v>3893</v>
      </c>
      <c r="B246" s="29" t="s">
        <v>3894</v>
      </c>
      <c r="C246" s="29" t="s">
        <v>7041</v>
      </c>
      <c r="D246" s="30">
        <v>45292.0</v>
      </c>
      <c r="E246" s="30">
        <v>45657.0</v>
      </c>
      <c r="F246" s="29" t="s">
        <v>7119</v>
      </c>
      <c r="G246" s="29" t="s">
        <v>7051</v>
      </c>
      <c r="H246" s="32" t="s">
        <v>7043</v>
      </c>
      <c r="I246" s="30">
        <v>45658.0</v>
      </c>
      <c r="J246" s="30">
        <v>46022.0</v>
      </c>
      <c r="K246" s="29" t="s">
        <v>7131</v>
      </c>
      <c r="L246" s="29" t="s">
        <v>7053</v>
      </c>
      <c r="M246" s="38" t="s">
        <v>7047</v>
      </c>
      <c r="N246" s="30">
        <v>46023.0</v>
      </c>
      <c r="O246" s="30">
        <v>46387.0</v>
      </c>
      <c r="P246" s="29" t="s">
        <v>7053</v>
      </c>
      <c r="Q246" s="29" t="s">
        <v>7053</v>
      </c>
      <c r="R246" s="32" t="s">
        <v>7043</v>
      </c>
      <c r="S246" s="30">
        <v>46388.0</v>
      </c>
      <c r="T246" s="30">
        <v>46752.0</v>
      </c>
      <c r="U246" s="29" t="s">
        <v>7053</v>
      </c>
      <c r="V246" s="29" t="s">
        <v>7053</v>
      </c>
      <c r="W246" s="32" t="s">
        <v>7043</v>
      </c>
      <c r="X246" s="30">
        <v>46753.0</v>
      </c>
      <c r="Y246" s="30">
        <v>47118.0</v>
      </c>
      <c r="Z246" s="29" t="s">
        <v>7053</v>
      </c>
      <c r="AA246" s="29" t="s">
        <v>7053</v>
      </c>
      <c r="AB246" s="32" t="s">
        <v>7043</v>
      </c>
      <c r="AC246" s="30">
        <v>47119.0</v>
      </c>
      <c r="AD246" s="30">
        <v>47483.0</v>
      </c>
      <c r="AE246" s="29" t="s">
        <v>7053</v>
      </c>
      <c r="AF246" s="29" t="s">
        <v>7053</v>
      </c>
      <c r="AG246" s="32" t="s">
        <v>7043</v>
      </c>
      <c r="AH246" s="30">
        <v>47484.0</v>
      </c>
      <c r="AI246" s="30">
        <v>47848.0</v>
      </c>
      <c r="AJ246" s="29" t="s">
        <v>7053</v>
      </c>
      <c r="AK246" s="29" t="s">
        <v>7053</v>
      </c>
      <c r="AL246" s="32" t="s">
        <v>7043</v>
      </c>
    </row>
    <row r="247" ht="14.25" customHeight="1">
      <c r="A247" s="28" t="s">
        <v>3916</v>
      </c>
      <c r="B247" s="29" t="s">
        <v>3917</v>
      </c>
      <c r="C247" s="29" t="s">
        <v>7041</v>
      </c>
      <c r="D247" s="30">
        <v>45292.0</v>
      </c>
      <c r="E247" s="30">
        <v>45657.0</v>
      </c>
      <c r="F247" s="29" t="s">
        <v>7147</v>
      </c>
      <c r="G247" s="29" t="s">
        <v>7163</v>
      </c>
      <c r="H247" s="37" t="s">
        <v>7046</v>
      </c>
      <c r="I247" s="30">
        <v>45658.0</v>
      </c>
      <c r="J247" s="30">
        <v>46022.0</v>
      </c>
      <c r="K247" s="29" t="s">
        <v>7125</v>
      </c>
      <c r="L247" s="29" t="s">
        <v>7053</v>
      </c>
      <c r="M247" s="38" t="s">
        <v>7047</v>
      </c>
      <c r="N247" s="30">
        <v>46023.0</v>
      </c>
      <c r="O247" s="30">
        <v>46387.0</v>
      </c>
      <c r="P247" s="29" t="s">
        <v>7053</v>
      </c>
      <c r="Q247" s="29" t="s">
        <v>7053</v>
      </c>
      <c r="R247" s="32" t="s">
        <v>7043</v>
      </c>
      <c r="S247" s="30">
        <v>46388.0</v>
      </c>
      <c r="T247" s="30">
        <v>46752.0</v>
      </c>
      <c r="U247" s="29" t="s">
        <v>7053</v>
      </c>
      <c r="V247" s="29" t="s">
        <v>7053</v>
      </c>
      <c r="W247" s="32" t="s">
        <v>7043</v>
      </c>
      <c r="X247" s="30">
        <v>46753.0</v>
      </c>
      <c r="Y247" s="30">
        <v>47118.0</v>
      </c>
      <c r="Z247" s="29" t="s">
        <v>7053</v>
      </c>
      <c r="AA247" s="29" t="s">
        <v>7053</v>
      </c>
      <c r="AB247" s="32" t="s">
        <v>7043</v>
      </c>
      <c r="AC247" s="30">
        <v>47119.0</v>
      </c>
      <c r="AD247" s="30">
        <v>47483.0</v>
      </c>
      <c r="AE247" s="29" t="s">
        <v>7053</v>
      </c>
      <c r="AF247" s="29" t="s">
        <v>7053</v>
      </c>
      <c r="AG247" s="32" t="s">
        <v>7043</v>
      </c>
      <c r="AH247" s="30">
        <v>47484.0</v>
      </c>
      <c r="AI247" s="30">
        <v>47848.0</v>
      </c>
      <c r="AJ247" s="29" t="s">
        <v>7053</v>
      </c>
      <c r="AK247" s="29" t="s">
        <v>7053</v>
      </c>
      <c r="AL247" s="32" t="s">
        <v>7043</v>
      </c>
    </row>
    <row r="248" ht="14.25" customHeight="1">
      <c r="A248" s="28" t="s">
        <v>3920</v>
      </c>
      <c r="B248" s="29" t="s">
        <v>3921</v>
      </c>
      <c r="C248" s="29" t="s">
        <v>7041</v>
      </c>
      <c r="D248" s="30">
        <v>45292.0</v>
      </c>
      <c r="E248" s="30">
        <v>45657.0</v>
      </c>
      <c r="F248" s="29" t="s">
        <v>7120</v>
      </c>
      <c r="G248" s="29" t="s">
        <v>7099</v>
      </c>
      <c r="H248" s="37" t="s">
        <v>7046</v>
      </c>
      <c r="I248" s="30">
        <v>45658.0</v>
      </c>
      <c r="J248" s="30">
        <v>46022.0</v>
      </c>
      <c r="K248" s="29" t="s">
        <v>7111</v>
      </c>
      <c r="L248" s="29" t="s">
        <v>7080</v>
      </c>
      <c r="M248" s="38" t="s">
        <v>7047</v>
      </c>
      <c r="N248" s="30">
        <v>46023.0</v>
      </c>
      <c r="O248" s="30">
        <v>46387.0</v>
      </c>
      <c r="P248" s="29" t="s">
        <v>7053</v>
      </c>
      <c r="Q248" s="29" t="s">
        <v>7080</v>
      </c>
      <c r="R248" s="32" t="s">
        <v>7043</v>
      </c>
      <c r="S248" s="30">
        <v>46388.0</v>
      </c>
      <c r="T248" s="30">
        <v>46752.0</v>
      </c>
      <c r="U248" s="29" t="s">
        <v>7053</v>
      </c>
      <c r="V248" s="29" t="s">
        <v>7080</v>
      </c>
      <c r="W248" s="32" t="s">
        <v>7043</v>
      </c>
      <c r="X248" s="30">
        <v>46753.0</v>
      </c>
      <c r="Y248" s="30">
        <v>47118.0</v>
      </c>
      <c r="Z248" s="29" t="s">
        <v>7053</v>
      </c>
      <c r="AA248" s="29" t="s">
        <v>7080</v>
      </c>
      <c r="AB248" s="32" t="s">
        <v>7043</v>
      </c>
      <c r="AC248" s="30">
        <v>47119.0</v>
      </c>
      <c r="AD248" s="30">
        <v>47483.0</v>
      </c>
      <c r="AE248" s="29" t="s">
        <v>7053</v>
      </c>
      <c r="AF248" s="29" t="s">
        <v>7080</v>
      </c>
      <c r="AG248" s="32" t="s">
        <v>7043</v>
      </c>
      <c r="AH248" s="30">
        <v>47484.0</v>
      </c>
      <c r="AI248" s="30">
        <v>47848.0</v>
      </c>
      <c r="AJ248" s="29" t="s">
        <v>7053</v>
      </c>
      <c r="AK248" s="29" t="s">
        <v>7080</v>
      </c>
      <c r="AL248" s="32" t="s">
        <v>7043</v>
      </c>
    </row>
    <row r="249" ht="14.25" customHeight="1">
      <c r="A249" s="28" t="s">
        <v>3931</v>
      </c>
      <c r="B249" s="29" t="s">
        <v>3932</v>
      </c>
      <c r="C249" s="29" t="s">
        <v>7041</v>
      </c>
      <c r="D249" s="30">
        <v>45292.0</v>
      </c>
      <c r="E249" s="30">
        <v>45657.0</v>
      </c>
      <c r="F249" s="29" t="s">
        <v>7050</v>
      </c>
      <c r="G249" s="29" t="s">
        <v>7099</v>
      </c>
      <c r="H249" s="32" t="s">
        <v>7043</v>
      </c>
      <c r="I249" s="30">
        <v>45658.0</v>
      </c>
      <c r="J249" s="30">
        <v>46022.0</v>
      </c>
      <c r="K249" s="29" t="s">
        <v>7100</v>
      </c>
      <c r="L249" s="29" t="s">
        <v>7053</v>
      </c>
      <c r="M249" s="38" t="s">
        <v>7047</v>
      </c>
      <c r="N249" s="30">
        <v>46023.0</v>
      </c>
      <c r="O249" s="30">
        <v>46387.0</v>
      </c>
      <c r="P249" s="29" t="s">
        <v>7053</v>
      </c>
      <c r="Q249" s="29" t="s">
        <v>7053</v>
      </c>
      <c r="R249" s="32" t="s">
        <v>7043</v>
      </c>
      <c r="S249" s="30">
        <v>46388.0</v>
      </c>
      <c r="T249" s="30">
        <v>46752.0</v>
      </c>
      <c r="U249" s="29" t="s">
        <v>7053</v>
      </c>
      <c r="V249" s="29" t="s">
        <v>7053</v>
      </c>
      <c r="W249" s="32" t="s">
        <v>7043</v>
      </c>
      <c r="X249" s="30">
        <v>46753.0</v>
      </c>
      <c r="Y249" s="30">
        <v>47118.0</v>
      </c>
      <c r="Z249" s="29" t="s">
        <v>7053</v>
      </c>
      <c r="AA249" s="29" t="s">
        <v>7053</v>
      </c>
      <c r="AB249" s="32" t="s">
        <v>7043</v>
      </c>
      <c r="AC249" s="30">
        <v>47119.0</v>
      </c>
      <c r="AD249" s="30">
        <v>47483.0</v>
      </c>
      <c r="AE249" s="29" t="s">
        <v>7053</v>
      </c>
      <c r="AF249" s="29" t="s">
        <v>7053</v>
      </c>
      <c r="AG249" s="32" t="s">
        <v>7043</v>
      </c>
      <c r="AH249" s="30">
        <v>47484.0</v>
      </c>
      <c r="AI249" s="30">
        <v>47848.0</v>
      </c>
      <c r="AJ249" s="29" t="s">
        <v>7053</v>
      </c>
      <c r="AK249" s="29" t="s">
        <v>7053</v>
      </c>
      <c r="AL249" s="32" t="s">
        <v>7043</v>
      </c>
    </row>
    <row r="250" ht="14.25" customHeight="1">
      <c r="A250" s="28" t="s">
        <v>4045</v>
      </c>
      <c r="B250" s="29" t="s">
        <v>4046</v>
      </c>
      <c r="C250" s="29" t="s">
        <v>7041</v>
      </c>
      <c r="D250" s="30">
        <v>45292.0</v>
      </c>
      <c r="E250" s="30">
        <v>45657.0</v>
      </c>
      <c r="F250" s="29" t="s">
        <v>7060</v>
      </c>
      <c r="G250" s="29" t="s">
        <v>7051</v>
      </c>
      <c r="H250" s="38" t="s">
        <v>7047</v>
      </c>
      <c r="I250" s="30">
        <v>45658.0</v>
      </c>
      <c r="J250" s="30">
        <v>46022.0</v>
      </c>
      <c r="K250" s="29" t="s">
        <v>7103</v>
      </c>
      <c r="L250" s="29" t="s">
        <v>7053</v>
      </c>
      <c r="M250" s="38" t="s">
        <v>7047</v>
      </c>
      <c r="N250" s="30">
        <v>46023.0</v>
      </c>
      <c r="O250" s="30">
        <v>46387.0</v>
      </c>
      <c r="P250" s="29" t="s">
        <v>7053</v>
      </c>
      <c r="Q250" s="29" t="s">
        <v>7053</v>
      </c>
      <c r="R250" s="32" t="s">
        <v>7043</v>
      </c>
      <c r="S250" s="30">
        <v>46388.0</v>
      </c>
      <c r="T250" s="30">
        <v>46752.0</v>
      </c>
      <c r="U250" s="29" t="s">
        <v>7053</v>
      </c>
      <c r="V250" s="29" t="s">
        <v>7053</v>
      </c>
      <c r="W250" s="32" t="s">
        <v>7043</v>
      </c>
      <c r="X250" s="30">
        <v>46753.0</v>
      </c>
      <c r="Y250" s="30">
        <v>47118.0</v>
      </c>
      <c r="Z250" s="29" t="s">
        <v>7053</v>
      </c>
      <c r="AA250" s="29" t="s">
        <v>7053</v>
      </c>
      <c r="AB250" s="32" t="s">
        <v>7043</v>
      </c>
      <c r="AC250" s="30">
        <v>47119.0</v>
      </c>
      <c r="AD250" s="30">
        <v>47483.0</v>
      </c>
      <c r="AE250" s="29" t="s">
        <v>7053</v>
      </c>
      <c r="AF250" s="29" t="s">
        <v>7053</v>
      </c>
      <c r="AG250" s="32" t="s">
        <v>7043</v>
      </c>
      <c r="AH250" s="30">
        <v>47484.0</v>
      </c>
      <c r="AI250" s="30">
        <v>47848.0</v>
      </c>
      <c r="AJ250" s="29" t="s">
        <v>7053</v>
      </c>
      <c r="AK250" s="29" t="s">
        <v>7053</v>
      </c>
      <c r="AL250" s="32" t="s">
        <v>7043</v>
      </c>
    </row>
    <row r="251" ht="14.25" customHeight="1">
      <c r="A251" s="28" t="s">
        <v>3979</v>
      </c>
      <c r="B251" s="29" t="s">
        <v>3980</v>
      </c>
      <c r="C251" s="29" t="s">
        <v>7041</v>
      </c>
      <c r="D251" s="30">
        <v>45292.0</v>
      </c>
      <c r="E251" s="30">
        <v>45657.0</v>
      </c>
      <c r="F251" s="29" t="s">
        <v>7089</v>
      </c>
      <c r="G251" s="29" t="s">
        <v>7051</v>
      </c>
      <c r="H251" s="32" t="s">
        <v>7043</v>
      </c>
      <c r="I251" s="30">
        <v>45658.0</v>
      </c>
      <c r="J251" s="30">
        <v>46022.0</v>
      </c>
      <c r="K251" s="29" t="s">
        <v>7070</v>
      </c>
      <c r="L251" s="29" t="s">
        <v>7053</v>
      </c>
      <c r="M251" s="38" t="s">
        <v>7047</v>
      </c>
      <c r="N251" s="30">
        <v>46023.0</v>
      </c>
      <c r="O251" s="30">
        <v>46387.0</v>
      </c>
      <c r="P251" s="29" t="s">
        <v>7053</v>
      </c>
      <c r="Q251" s="29" t="s">
        <v>7053</v>
      </c>
      <c r="R251" s="32" t="s">
        <v>7043</v>
      </c>
      <c r="S251" s="30">
        <v>46388.0</v>
      </c>
      <c r="T251" s="30">
        <v>46752.0</v>
      </c>
      <c r="U251" s="29" t="s">
        <v>7053</v>
      </c>
      <c r="V251" s="29" t="s">
        <v>7053</v>
      </c>
      <c r="W251" s="32" t="s">
        <v>7043</v>
      </c>
      <c r="X251" s="30">
        <v>46753.0</v>
      </c>
      <c r="Y251" s="30">
        <v>47118.0</v>
      </c>
      <c r="Z251" s="29" t="s">
        <v>7053</v>
      </c>
      <c r="AA251" s="29" t="s">
        <v>7053</v>
      </c>
      <c r="AB251" s="32" t="s">
        <v>7043</v>
      </c>
      <c r="AC251" s="30">
        <v>47119.0</v>
      </c>
      <c r="AD251" s="30">
        <v>47483.0</v>
      </c>
      <c r="AE251" s="29" t="s">
        <v>7053</v>
      </c>
      <c r="AF251" s="29" t="s">
        <v>7053</v>
      </c>
      <c r="AG251" s="32" t="s">
        <v>7043</v>
      </c>
      <c r="AH251" s="30">
        <v>47484.0</v>
      </c>
      <c r="AI251" s="30">
        <v>47848.0</v>
      </c>
      <c r="AJ251" s="29" t="s">
        <v>7053</v>
      </c>
      <c r="AK251" s="29" t="s">
        <v>7053</v>
      </c>
      <c r="AL251" s="32" t="s">
        <v>7043</v>
      </c>
    </row>
    <row r="252" ht="14.25" customHeight="1">
      <c r="A252" s="28" t="s">
        <v>4002</v>
      </c>
      <c r="B252" s="29" t="s">
        <v>4003</v>
      </c>
      <c r="C252" s="29" t="s">
        <v>7041</v>
      </c>
      <c r="D252" s="30">
        <v>45292.0</v>
      </c>
      <c r="E252" s="30">
        <v>45657.0</v>
      </c>
      <c r="F252" s="29" t="s">
        <v>7085</v>
      </c>
      <c r="G252" s="29" t="s">
        <v>7143</v>
      </c>
      <c r="H252" s="37" t="s">
        <v>7046</v>
      </c>
      <c r="I252" s="30">
        <v>45658.0</v>
      </c>
      <c r="J252" s="30">
        <v>46022.0</v>
      </c>
      <c r="K252" s="29" t="s">
        <v>7164</v>
      </c>
      <c r="L252" s="29" t="s">
        <v>7053</v>
      </c>
      <c r="M252" s="38" t="s">
        <v>7047</v>
      </c>
      <c r="N252" s="30">
        <v>46023.0</v>
      </c>
      <c r="O252" s="30">
        <v>46387.0</v>
      </c>
      <c r="P252" s="29" t="s">
        <v>7053</v>
      </c>
      <c r="Q252" s="29" t="s">
        <v>7053</v>
      </c>
      <c r="R252" s="32" t="s">
        <v>7043</v>
      </c>
      <c r="S252" s="30">
        <v>46388.0</v>
      </c>
      <c r="T252" s="30">
        <v>46752.0</v>
      </c>
      <c r="U252" s="29" t="s">
        <v>7053</v>
      </c>
      <c r="V252" s="29" t="s">
        <v>7053</v>
      </c>
      <c r="W252" s="32" t="s">
        <v>7043</v>
      </c>
      <c r="X252" s="30">
        <v>46753.0</v>
      </c>
      <c r="Y252" s="30">
        <v>47118.0</v>
      </c>
      <c r="Z252" s="29" t="s">
        <v>7053</v>
      </c>
      <c r="AA252" s="29" t="s">
        <v>7053</v>
      </c>
      <c r="AB252" s="32" t="s">
        <v>7043</v>
      </c>
      <c r="AC252" s="30">
        <v>47119.0</v>
      </c>
      <c r="AD252" s="30">
        <v>47483.0</v>
      </c>
      <c r="AE252" s="29" t="s">
        <v>7053</v>
      </c>
      <c r="AF252" s="29" t="s">
        <v>7053</v>
      </c>
      <c r="AG252" s="32" t="s">
        <v>7043</v>
      </c>
      <c r="AH252" s="30">
        <v>47484.0</v>
      </c>
      <c r="AI252" s="30">
        <v>47848.0</v>
      </c>
      <c r="AJ252" s="29" t="s">
        <v>7053</v>
      </c>
      <c r="AK252" s="29" t="s">
        <v>7053</v>
      </c>
      <c r="AL252" s="32" t="s">
        <v>7043</v>
      </c>
    </row>
    <row r="253" ht="14.25" customHeight="1">
      <c r="A253" s="28" t="s">
        <v>4011</v>
      </c>
      <c r="B253" s="29" t="s">
        <v>4012</v>
      </c>
      <c r="C253" s="29" t="s">
        <v>7041</v>
      </c>
      <c r="D253" s="30">
        <v>45292.0</v>
      </c>
      <c r="E253" s="30">
        <v>45657.0</v>
      </c>
      <c r="F253" s="29" t="s">
        <v>7117</v>
      </c>
      <c r="G253" s="29" t="s">
        <v>7051</v>
      </c>
      <c r="H253" s="32" t="s">
        <v>7043</v>
      </c>
      <c r="I253" s="30">
        <v>45658.0</v>
      </c>
      <c r="J253" s="30">
        <v>46022.0</v>
      </c>
      <c r="K253" s="29" t="s">
        <v>7117</v>
      </c>
      <c r="L253" s="29" t="s">
        <v>7072</v>
      </c>
      <c r="M253" s="38" t="s">
        <v>7047</v>
      </c>
      <c r="N253" s="30">
        <v>46023.0</v>
      </c>
      <c r="O253" s="30">
        <v>46387.0</v>
      </c>
      <c r="P253" s="29" t="s">
        <v>7053</v>
      </c>
      <c r="Q253" s="29" t="s">
        <v>7053</v>
      </c>
      <c r="R253" s="32" t="s">
        <v>7043</v>
      </c>
      <c r="S253" s="30">
        <v>46388.0</v>
      </c>
      <c r="T253" s="30">
        <v>46752.0</v>
      </c>
      <c r="U253" s="29" t="s">
        <v>7053</v>
      </c>
      <c r="V253" s="29" t="s">
        <v>7053</v>
      </c>
      <c r="W253" s="32" t="s">
        <v>7043</v>
      </c>
      <c r="X253" s="30">
        <v>46753.0</v>
      </c>
      <c r="Y253" s="30">
        <v>47118.0</v>
      </c>
      <c r="Z253" s="29" t="s">
        <v>7053</v>
      </c>
      <c r="AA253" s="29" t="s">
        <v>7053</v>
      </c>
      <c r="AB253" s="32" t="s">
        <v>7043</v>
      </c>
      <c r="AC253" s="30">
        <v>47119.0</v>
      </c>
      <c r="AD253" s="30">
        <v>47483.0</v>
      </c>
      <c r="AE253" s="29" t="s">
        <v>7053</v>
      </c>
      <c r="AF253" s="29" t="s">
        <v>7053</v>
      </c>
      <c r="AG253" s="32" t="s">
        <v>7043</v>
      </c>
      <c r="AH253" s="30">
        <v>47484.0</v>
      </c>
      <c r="AI253" s="30">
        <v>47848.0</v>
      </c>
      <c r="AJ253" s="29" t="s">
        <v>7053</v>
      </c>
      <c r="AK253" s="29" t="s">
        <v>7053</v>
      </c>
      <c r="AL253" s="32" t="s">
        <v>7043</v>
      </c>
    </row>
    <row r="254" ht="14.25" customHeight="1">
      <c r="A254" s="28" t="s">
        <v>4015</v>
      </c>
      <c r="B254" s="29" t="s">
        <v>4016</v>
      </c>
      <c r="C254" s="29" t="s">
        <v>7041</v>
      </c>
      <c r="D254" s="30">
        <v>45292.0</v>
      </c>
      <c r="E254" s="30">
        <v>45657.0</v>
      </c>
      <c r="F254" s="29" t="s">
        <v>7079</v>
      </c>
      <c r="G254" s="29" t="s">
        <v>7051</v>
      </c>
      <c r="H254" s="32" t="s">
        <v>7043</v>
      </c>
      <c r="I254" s="30">
        <v>45658.0</v>
      </c>
      <c r="J254" s="30">
        <v>46022.0</v>
      </c>
      <c r="K254" s="29" t="s">
        <v>7053</v>
      </c>
      <c r="L254" s="29" t="s">
        <v>7053</v>
      </c>
      <c r="M254" s="32" t="s">
        <v>7043</v>
      </c>
      <c r="N254" s="30">
        <v>46023.0</v>
      </c>
      <c r="O254" s="30">
        <v>46387.0</v>
      </c>
      <c r="P254" s="29" t="s">
        <v>7053</v>
      </c>
      <c r="Q254" s="29" t="s">
        <v>7053</v>
      </c>
      <c r="R254" s="32" t="s">
        <v>7043</v>
      </c>
      <c r="S254" s="30">
        <v>46388.0</v>
      </c>
      <c r="T254" s="30">
        <v>46752.0</v>
      </c>
      <c r="U254" s="29" t="s">
        <v>7053</v>
      </c>
      <c r="V254" s="29" t="s">
        <v>7053</v>
      </c>
      <c r="W254" s="32" t="s">
        <v>7043</v>
      </c>
      <c r="X254" s="30">
        <v>46753.0</v>
      </c>
      <c r="Y254" s="30">
        <v>47118.0</v>
      </c>
      <c r="Z254" s="29" t="s">
        <v>7053</v>
      </c>
      <c r="AA254" s="29" t="s">
        <v>7053</v>
      </c>
      <c r="AB254" s="32" t="s">
        <v>7043</v>
      </c>
      <c r="AC254" s="30">
        <v>47119.0</v>
      </c>
      <c r="AD254" s="30">
        <v>47483.0</v>
      </c>
      <c r="AE254" s="29" t="s">
        <v>7053</v>
      </c>
      <c r="AF254" s="29" t="s">
        <v>7053</v>
      </c>
      <c r="AG254" s="32" t="s">
        <v>7043</v>
      </c>
      <c r="AH254" s="30">
        <v>47484.0</v>
      </c>
      <c r="AI254" s="30">
        <v>47848.0</v>
      </c>
      <c r="AJ254" s="29" t="s">
        <v>7053</v>
      </c>
      <c r="AK254" s="29" t="s">
        <v>7053</v>
      </c>
      <c r="AL254" s="32" t="s">
        <v>7043</v>
      </c>
    </row>
    <row r="255" ht="14.25" customHeight="1">
      <c r="A255" s="28" t="s">
        <v>4019</v>
      </c>
      <c r="B255" s="29" t="s">
        <v>4020</v>
      </c>
      <c r="C255" s="29" t="s">
        <v>7041</v>
      </c>
      <c r="D255" s="30">
        <v>45292.0</v>
      </c>
      <c r="E255" s="30">
        <v>45657.0</v>
      </c>
      <c r="F255" s="29" t="s">
        <v>7064</v>
      </c>
      <c r="G255" s="29" t="s">
        <v>7051</v>
      </c>
      <c r="H255" s="32" t="s">
        <v>7043</v>
      </c>
      <c r="I255" s="30">
        <v>45658.0</v>
      </c>
      <c r="J255" s="30">
        <v>46022.0</v>
      </c>
      <c r="K255" s="29" t="s">
        <v>7064</v>
      </c>
      <c r="L255" s="29" t="s">
        <v>7053</v>
      </c>
      <c r="M255" s="38" t="s">
        <v>7047</v>
      </c>
      <c r="N255" s="30">
        <v>46023.0</v>
      </c>
      <c r="O255" s="30">
        <v>46387.0</v>
      </c>
      <c r="P255" s="29" t="s">
        <v>7053</v>
      </c>
      <c r="Q255" s="29" t="s">
        <v>7053</v>
      </c>
      <c r="R255" s="32" t="s">
        <v>7043</v>
      </c>
      <c r="S255" s="30">
        <v>46388.0</v>
      </c>
      <c r="T255" s="30">
        <v>46752.0</v>
      </c>
      <c r="U255" s="29" t="s">
        <v>7053</v>
      </c>
      <c r="V255" s="29" t="s">
        <v>7053</v>
      </c>
      <c r="W255" s="32" t="s">
        <v>7043</v>
      </c>
      <c r="X255" s="30">
        <v>46753.0</v>
      </c>
      <c r="Y255" s="30">
        <v>47118.0</v>
      </c>
      <c r="Z255" s="29" t="s">
        <v>7053</v>
      </c>
      <c r="AA255" s="29" t="s">
        <v>7053</v>
      </c>
      <c r="AB255" s="32" t="s">
        <v>7043</v>
      </c>
      <c r="AC255" s="30">
        <v>47119.0</v>
      </c>
      <c r="AD255" s="30">
        <v>47483.0</v>
      </c>
      <c r="AE255" s="29" t="s">
        <v>7053</v>
      </c>
      <c r="AF255" s="29" t="s">
        <v>7053</v>
      </c>
      <c r="AG255" s="32" t="s">
        <v>7043</v>
      </c>
      <c r="AH255" s="30">
        <v>47484.0</v>
      </c>
      <c r="AI255" s="30">
        <v>47848.0</v>
      </c>
      <c r="AJ255" s="29" t="s">
        <v>7053</v>
      </c>
      <c r="AK255" s="29" t="s">
        <v>7053</v>
      </c>
      <c r="AL255" s="32" t="s">
        <v>7043</v>
      </c>
    </row>
    <row r="256" ht="14.25" customHeight="1">
      <c r="A256" s="28" t="s">
        <v>4041</v>
      </c>
      <c r="B256" s="29" t="s">
        <v>4042</v>
      </c>
      <c r="C256" s="29" t="s">
        <v>7041</v>
      </c>
      <c r="D256" s="30">
        <v>45292.0</v>
      </c>
      <c r="E256" s="30">
        <v>45657.0</v>
      </c>
      <c r="F256" s="29" t="s">
        <v>7064</v>
      </c>
      <c r="G256" s="29" t="s">
        <v>7051</v>
      </c>
      <c r="H256" s="32" t="s">
        <v>7043</v>
      </c>
      <c r="I256" s="30">
        <v>45658.0</v>
      </c>
      <c r="J256" s="30">
        <v>46022.0</v>
      </c>
      <c r="K256" s="29" t="s">
        <v>7089</v>
      </c>
      <c r="L256" s="29" t="s">
        <v>7053</v>
      </c>
      <c r="M256" s="38" t="s">
        <v>7047</v>
      </c>
      <c r="N256" s="30">
        <v>46023.0</v>
      </c>
      <c r="O256" s="30">
        <v>46387.0</v>
      </c>
      <c r="P256" s="29" t="s">
        <v>7053</v>
      </c>
      <c r="Q256" s="29" t="s">
        <v>7053</v>
      </c>
      <c r="R256" s="32" t="s">
        <v>7043</v>
      </c>
      <c r="S256" s="30">
        <v>46388.0</v>
      </c>
      <c r="T256" s="30">
        <v>46752.0</v>
      </c>
      <c r="U256" s="29" t="s">
        <v>7053</v>
      </c>
      <c r="V256" s="29" t="s">
        <v>7053</v>
      </c>
      <c r="W256" s="32" t="s">
        <v>7043</v>
      </c>
      <c r="X256" s="30">
        <v>46753.0</v>
      </c>
      <c r="Y256" s="30">
        <v>47118.0</v>
      </c>
      <c r="Z256" s="29" t="s">
        <v>7053</v>
      </c>
      <c r="AA256" s="29" t="s">
        <v>7053</v>
      </c>
      <c r="AB256" s="32" t="s">
        <v>7043</v>
      </c>
      <c r="AC256" s="30">
        <v>47119.0</v>
      </c>
      <c r="AD256" s="30">
        <v>47483.0</v>
      </c>
      <c r="AE256" s="29" t="s">
        <v>7053</v>
      </c>
      <c r="AF256" s="29" t="s">
        <v>7053</v>
      </c>
      <c r="AG256" s="32" t="s">
        <v>7043</v>
      </c>
      <c r="AH256" s="30">
        <v>47484.0</v>
      </c>
      <c r="AI256" s="30">
        <v>47848.0</v>
      </c>
      <c r="AJ256" s="29" t="s">
        <v>7053</v>
      </c>
      <c r="AK256" s="29" t="s">
        <v>7053</v>
      </c>
      <c r="AL256" s="32" t="s">
        <v>7043</v>
      </c>
    </row>
    <row r="257" ht="14.25" customHeight="1">
      <c r="A257" s="28" t="s">
        <v>3907</v>
      </c>
      <c r="B257" s="29" t="s">
        <v>3908</v>
      </c>
      <c r="C257" s="29" t="s">
        <v>7041</v>
      </c>
      <c r="D257" s="30">
        <v>45292.0</v>
      </c>
      <c r="E257" s="30">
        <v>45657.0</v>
      </c>
      <c r="F257" s="29" t="s">
        <v>7104</v>
      </c>
      <c r="G257" s="29" t="s">
        <v>7051</v>
      </c>
      <c r="H257" s="32" t="s">
        <v>7043</v>
      </c>
      <c r="I257" s="30">
        <v>45658.0</v>
      </c>
      <c r="J257" s="30">
        <v>46022.0</v>
      </c>
      <c r="K257" s="29" t="s">
        <v>7071</v>
      </c>
      <c r="L257" s="29" t="s">
        <v>7053</v>
      </c>
      <c r="M257" s="38" t="s">
        <v>7047</v>
      </c>
      <c r="N257" s="30">
        <v>46023.0</v>
      </c>
      <c r="O257" s="30">
        <v>46387.0</v>
      </c>
      <c r="P257" s="29" t="s">
        <v>7053</v>
      </c>
      <c r="Q257" s="29" t="s">
        <v>7053</v>
      </c>
      <c r="R257" s="32" t="s">
        <v>7043</v>
      </c>
      <c r="S257" s="30">
        <v>46388.0</v>
      </c>
      <c r="T257" s="30">
        <v>46752.0</v>
      </c>
      <c r="U257" s="29" t="s">
        <v>7053</v>
      </c>
      <c r="V257" s="29" t="s">
        <v>7053</v>
      </c>
      <c r="W257" s="32" t="s">
        <v>7043</v>
      </c>
      <c r="X257" s="30">
        <v>46753.0</v>
      </c>
      <c r="Y257" s="30">
        <v>47118.0</v>
      </c>
      <c r="Z257" s="29" t="s">
        <v>7053</v>
      </c>
      <c r="AA257" s="29" t="s">
        <v>7053</v>
      </c>
      <c r="AB257" s="32" t="s">
        <v>7043</v>
      </c>
      <c r="AC257" s="30">
        <v>47119.0</v>
      </c>
      <c r="AD257" s="30">
        <v>47483.0</v>
      </c>
      <c r="AE257" s="29" t="s">
        <v>7053</v>
      </c>
      <c r="AF257" s="29" t="s">
        <v>7053</v>
      </c>
      <c r="AG257" s="32" t="s">
        <v>7043</v>
      </c>
      <c r="AH257" s="30">
        <v>47484.0</v>
      </c>
      <c r="AI257" s="30">
        <v>47848.0</v>
      </c>
      <c r="AJ257" s="29" t="s">
        <v>7053</v>
      </c>
      <c r="AK257" s="29" t="s">
        <v>7053</v>
      </c>
      <c r="AL257" s="32" t="s">
        <v>7043</v>
      </c>
    </row>
    <row r="258" ht="14.25" customHeight="1">
      <c r="A258" s="28" t="s">
        <v>4078</v>
      </c>
      <c r="B258" s="29" t="s">
        <v>4079</v>
      </c>
      <c r="C258" s="29" t="s">
        <v>7041</v>
      </c>
      <c r="D258" s="30">
        <v>45292.0</v>
      </c>
      <c r="E258" s="30">
        <v>45657.0</v>
      </c>
      <c r="F258" s="29" t="s">
        <v>7053</v>
      </c>
      <c r="G258" s="29" t="s">
        <v>7055</v>
      </c>
      <c r="H258" s="32" t="s">
        <v>7043</v>
      </c>
      <c r="I258" s="30">
        <v>45658.0</v>
      </c>
      <c r="J258" s="30">
        <v>46022.0</v>
      </c>
      <c r="K258" s="29" t="s">
        <v>7080</v>
      </c>
      <c r="L258" s="29" t="s">
        <v>7053</v>
      </c>
      <c r="M258" s="32" t="s">
        <v>7047</v>
      </c>
      <c r="N258" s="30">
        <v>46023.0</v>
      </c>
      <c r="O258" s="30">
        <v>46387.0</v>
      </c>
      <c r="P258" s="29" t="s">
        <v>7053</v>
      </c>
      <c r="Q258" s="29" t="s">
        <v>7053</v>
      </c>
      <c r="R258" s="32" t="s">
        <v>7043</v>
      </c>
      <c r="S258" s="30">
        <v>46388.0</v>
      </c>
      <c r="T258" s="30">
        <v>46752.0</v>
      </c>
      <c r="U258" s="29" t="s">
        <v>7053</v>
      </c>
      <c r="V258" s="29" t="s">
        <v>7053</v>
      </c>
      <c r="W258" s="32" t="s">
        <v>7043</v>
      </c>
      <c r="X258" s="30">
        <v>46753.0</v>
      </c>
      <c r="Y258" s="30">
        <v>47118.0</v>
      </c>
      <c r="Z258" s="29" t="s">
        <v>7053</v>
      </c>
      <c r="AA258" s="29" t="s">
        <v>7053</v>
      </c>
      <c r="AB258" s="32" t="s">
        <v>7043</v>
      </c>
      <c r="AC258" s="30">
        <v>47119.0</v>
      </c>
      <c r="AD258" s="30">
        <v>47483.0</v>
      </c>
      <c r="AE258" s="29" t="s">
        <v>7053</v>
      </c>
      <c r="AF258" s="29" t="s">
        <v>7053</v>
      </c>
      <c r="AG258" s="32" t="s">
        <v>7043</v>
      </c>
      <c r="AH258" s="30">
        <v>47484.0</v>
      </c>
      <c r="AI258" s="30">
        <v>47848.0</v>
      </c>
      <c r="AJ258" s="29" t="s">
        <v>7053</v>
      </c>
      <c r="AK258" s="29" t="s">
        <v>7053</v>
      </c>
      <c r="AL258" s="32" t="s">
        <v>7043</v>
      </c>
    </row>
    <row r="259" ht="14.25" customHeight="1">
      <c r="A259" s="28" t="s">
        <v>4085</v>
      </c>
      <c r="B259" s="29" t="s">
        <v>4086</v>
      </c>
      <c r="C259" s="29" t="s">
        <v>7041</v>
      </c>
      <c r="D259" s="30">
        <v>45292.0</v>
      </c>
      <c r="E259" s="30">
        <v>45657.0</v>
      </c>
      <c r="F259" s="29" t="s">
        <v>7095</v>
      </c>
      <c r="G259" s="29" t="s">
        <v>7051</v>
      </c>
      <c r="H259" s="32" t="s">
        <v>7043</v>
      </c>
      <c r="I259" s="30">
        <v>45658.0</v>
      </c>
      <c r="J259" s="30">
        <v>46022.0</v>
      </c>
      <c r="K259" s="29" t="s">
        <v>7053</v>
      </c>
      <c r="L259" s="29" t="s">
        <v>7053</v>
      </c>
      <c r="M259" s="32" t="s">
        <v>7043</v>
      </c>
      <c r="N259" s="30">
        <v>46023.0</v>
      </c>
      <c r="O259" s="30">
        <v>46387.0</v>
      </c>
      <c r="P259" s="29" t="s">
        <v>7053</v>
      </c>
      <c r="Q259" s="29" t="s">
        <v>7053</v>
      </c>
      <c r="R259" s="32" t="s">
        <v>7043</v>
      </c>
      <c r="S259" s="30">
        <v>46388.0</v>
      </c>
      <c r="T259" s="30">
        <v>46752.0</v>
      </c>
      <c r="U259" s="29" t="s">
        <v>7053</v>
      </c>
      <c r="V259" s="29" t="s">
        <v>7053</v>
      </c>
      <c r="W259" s="32" t="s">
        <v>7043</v>
      </c>
      <c r="X259" s="30">
        <v>46753.0</v>
      </c>
      <c r="Y259" s="30">
        <v>47118.0</v>
      </c>
      <c r="Z259" s="29" t="s">
        <v>7053</v>
      </c>
      <c r="AA259" s="29" t="s">
        <v>7053</v>
      </c>
      <c r="AB259" s="32" t="s">
        <v>7043</v>
      </c>
      <c r="AC259" s="30">
        <v>47119.0</v>
      </c>
      <c r="AD259" s="30">
        <v>47483.0</v>
      </c>
      <c r="AE259" s="29" t="s">
        <v>7053</v>
      </c>
      <c r="AF259" s="29" t="s">
        <v>7053</v>
      </c>
      <c r="AG259" s="32" t="s">
        <v>7043</v>
      </c>
      <c r="AH259" s="30">
        <v>47484.0</v>
      </c>
      <c r="AI259" s="30">
        <v>47848.0</v>
      </c>
      <c r="AJ259" s="29" t="s">
        <v>7053</v>
      </c>
      <c r="AK259" s="29" t="s">
        <v>7053</v>
      </c>
      <c r="AL259" s="32" t="s">
        <v>7043</v>
      </c>
    </row>
    <row r="260" ht="14.25" customHeight="1">
      <c r="A260" s="28" t="s">
        <v>4089</v>
      </c>
      <c r="B260" s="29" t="s">
        <v>4090</v>
      </c>
      <c r="C260" s="29" t="s">
        <v>7041</v>
      </c>
      <c r="D260" s="30">
        <v>45292.0</v>
      </c>
      <c r="E260" s="30">
        <v>45657.0</v>
      </c>
      <c r="F260" s="29" t="s">
        <v>7059</v>
      </c>
      <c r="G260" s="29" t="s">
        <v>7051</v>
      </c>
      <c r="H260" s="38" t="s">
        <v>7047</v>
      </c>
      <c r="I260" s="30">
        <v>45658.0</v>
      </c>
      <c r="J260" s="30">
        <v>46022.0</v>
      </c>
      <c r="K260" s="29" t="s">
        <v>7114</v>
      </c>
      <c r="L260" s="29" t="s">
        <v>7053</v>
      </c>
      <c r="M260" s="38" t="s">
        <v>7047</v>
      </c>
      <c r="N260" s="30">
        <v>46023.0</v>
      </c>
      <c r="O260" s="30">
        <v>46387.0</v>
      </c>
      <c r="P260" s="29" t="s">
        <v>7053</v>
      </c>
      <c r="Q260" s="29" t="s">
        <v>7053</v>
      </c>
      <c r="R260" s="32" t="s">
        <v>7043</v>
      </c>
      <c r="S260" s="30">
        <v>46388.0</v>
      </c>
      <c r="T260" s="30">
        <v>46752.0</v>
      </c>
      <c r="U260" s="29" t="s">
        <v>7053</v>
      </c>
      <c r="V260" s="29" t="s">
        <v>7053</v>
      </c>
      <c r="W260" s="32" t="s">
        <v>7043</v>
      </c>
      <c r="X260" s="30">
        <v>46753.0</v>
      </c>
      <c r="Y260" s="30">
        <v>47118.0</v>
      </c>
      <c r="Z260" s="29" t="s">
        <v>7053</v>
      </c>
      <c r="AA260" s="29" t="s">
        <v>7053</v>
      </c>
      <c r="AB260" s="32" t="s">
        <v>7043</v>
      </c>
      <c r="AC260" s="30">
        <v>47119.0</v>
      </c>
      <c r="AD260" s="30">
        <v>47483.0</v>
      </c>
      <c r="AE260" s="29" t="s">
        <v>7053</v>
      </c>
      <c r="AF260" s="29" t="s">
        <v>7053</v>
      </c>
      <c r="AG260" s="32" t="s">
        <v>7043</v>
      </c>
      <c r="AH260" s="30">
        <v>47484.0</v>
      </c>
      <c r="AI260" s="30">
        <v>47848.0</v>
      </c>
      <c r="AJ260" s="29" t="s">
        <v>7053</v>
      </c>
      <c r="AK260" s="29" t="s">
        <v>7053</v>
      </c>
      <c r="AL260" s="32" t="s">
        <v>7043</v>
      </c>
    </row>
    <row r="261" ht="14.25" customHeight="1">
      <c r="A261" s="28" t="s">
        <v>4092</v>
      </c>
      <c r="B261" s="29" t="s">
        <v>4093</v>
      </c>
      <c r="C261" s="29" t="s">
        <v>7041</v>
      </c>
      <c r="D261" s="30">
        <v>45292.0</v>
      </c>
      <c r="E261" s="30">
        <v>45657.0</v>
      </c>
      <c r="F261" s="29" t="s">
        <v>7089</v>
      </c>
      <c r="G261" s="29" t="s">
        <v>7055</v>
      </c>
      <c r="H261" s="32" t="s">
        <v>7043</v>
      </c>
      <c r="I261" s="30">
        <v>45658.0</v>
      </c>
      <c r="J261" s="30">
        <v>46022.0</v>
      </c>
      <c r="K261" s="29" t="s">
        <v>7097</v>
      </c>
      <c r="L261" s="29" t="s">
        <v>7053</v>
      </c>
      <c r="M261" s="38" t="s">
        <v>7047</v>
      </c>
      <c r="N261" s="30">
        <v>46023.0</v>
      </c>
      <c r="O261" s="30">
        <v>46387.0</v>
      </c>
      <c r="P261" s="29" t="s">
        <v>7053</v>
      </c>
      <c r="Q261" s="29" t="s">
        <v>7053</v>
      </c>
      <c r="R261" s="32" t="s">
        <v>7043</v>
      </c>
      <c r="S261" s="30">
        <v>46388.0</v>
      </c>
      <c r="T261" s="30">
        <v>46752.0</v>
      </c>
      <c r="U261" s="29" t="s">
        <v>7053</v>
      </c>
      <c r="V261" s="29" t="s">
        <v>7053</v>
      </c>
      <c r="W261" s="32" t="s">
        <v>7043</v>
      </c>
      <c r="X261" s="30">
        <v>46753.0</v>
      </c>
      <c r="Y261" s="30">
        <v>47118.0</v>
      </c>
      <c r="Z261" s="29" t="s">
        <v>7053</v>
      </c>
      <c r="AA261" s="29" t="s">
        <v>7053</v>
      </c>
      <c r="AB261" s="32" t="s">
        <v>7043</v>
      </c>
      <c r="AC261" s="30">
        <v>47119.0</v>
      </c>
      <c r="AD261" s="30">
        <v>47483.0</v>
      </c>
      <c r="AE261" s="29" t="s">
        <v>7053</v>
      </c>
      <c r="AF261" s="29" t="s">
        <v>7053</v>
      </c>
      <c r="AG261" s="32" t="s">
        <v>7043</v>
      </c>
      <c r="AH261" s="30">
        <v>47484.0</v>
      </c>
      <c r="AI261" s="30">
        <v>47848.0</v>
      </c>
      <c r="AJ261" s="29" t="s">
        <v>7053</v>
      </c>
      <c r="AK261" s="29" t="s">
        <v>7053</v>
      </c>
      <c r="AL261" s="32" t="s">
        <v>7043</v>
      </c>
    </row>
    <row r="262" ht="14.25" customHeight="1">
      <c r="A262" s="28" t="s">
        <v>4107</v>
      </c>
      <c r="B262" s="29" t="s">
        <v>4108</v>
      </c>
      <c r="C262" s="29" t="s">
        <v>7041</v>
      </c>
      <c r="D262" s="30">
        <v>45292.0</v>
      </c>
      <c r="E262" s="30">
        <v>45657.0</v>
      </c>
      <c r="F262" s="29" t="s">
        <v>7089</v>
      </c>
      <c r="G262" s="29" t="s">
        <v>7051</v>
      </c>
      <c r="H262" s="32" t="s">
        <v>7043</v>
      </c>
      <c r="I262" s="30">
        <v>45658.0</v>
      </c>
      <c r="J262" s="30">
        <v>46022.0</v>
      </c>
      <c r="K262" s="29" t="s">
        <v>7086</v>
      </c>
      <c r="L262" s="29" t="s">
        <v>7053</v>
      </c>
      <c r="M262" s="38" t="s">
        <v>7047</v>
      </c>
      <c r="N262" s="30">
        <v>46023.0</v>
      </c>
      <c r="O262" s="30">
        <v>46387.0</v>
      </c>
      <c r="P262" s="29" t="s">
        <v>7053</v>
      </c>
      <c r="Q262" s="29" t="s">
        <v>7053</v>
      </c>
      <c r="R262" s="32" t="s">
        <v>7043</v>
      </c>
      <c r="S262" s="30">
        <v>46388.0</v>
      </c>
      <c r="T262" s="30">
        <v>46752.0</v>
      </c>
      <c r="U262" s="29" t="s">
        <v>7053</v>
      </c>
      <c r="V262" s="29" t="s">
        <v>7053</v>
      </c>
      <c r="W262" s="32" t="s">
        <v>7043</v>
      </c>
      <c r="X262" s="30">
        <v>46753.0</v>
      </c>
      <c r="Y262" s="30">
        <v>47118.0</v>
      </c>
      <c r="Z262" s="29" t="s">
        <v>7053</v>
      </c>
      <c r="AA262" s="29" t="s">
        <v>7053</v>
      </c>
      <c r="AB262" s="32" t="s">
        <v>7043</v>
      </c>
      <c r="AC262" s="30">
        <v>47119.0</v>
      </c>
      <c r="AD262" s="30">
        <v>47483.0</v>
      </c>
      <c r="AE262" s="29" t="s">
        <v>7053</v>
      </c>
      <c r="AF262" s="29" t="s">
        <v>7053</v>
      </c>
      <c r="AG262" s="32" t="s">
        <v>7043</v>
      </c>
      <c r="AH262" s="30">
        <v>47484.0</v>
      </c>
      <c r="AI262" s="30">
        <v>47848.0</v>
      </c>
      <c r="AJ262" s="29" t="s">
        <v>7053</v>
      </c>
      <c r="AK262" s="29" t="s">
        <v>7053</v>
      </c>
      <c r="AL262" s="32" t="s">
        <v>7043</v>
      </c>
    </row>
    <row r="263" ht="14.25" customHeight="1">
      <c r="A263" s="28" t="s">
        <v>4125</v>
      </c>
      <c r="B263" s="29" t="s">
        <v>4126</v>
      </c>
      <c r="C263" s="29" t="s">
        <v>7041</v>
      </c>
      <c r="D263" s="30">
        <v>45292.0</v>
      </c>
      <c r="E263" s="30">
        <v>45657.0</v>
      </c>
      <c r="F263" s="29" t="s">
        <v>7055</v>
      </c>
      <c r="G263" s="29" t="s">
        <v>7067</v>
      </c>
      <c r="H263" s="37" t="s">
        <v>7046</v>
      </c>
      <c r="I263" s="30">
        <v>45658.0</v>
      </c>
      <c r="J263" s="30">
        <v>46022.0</v>
      </c>
      <c r="K263" s="29" t="s">
        <v>7143</v>
      </c>
      <c r="L263" s="29" t="s">
        <v>7053</v>
      </c>
      <c r="M263" s="38" t="s">
        <v>7047</v>
      </c>
      <c r="N263" s="30">
        <v>46023.0</v>
      </c>
      <c r="O263" s="30">
        <v>46387.0</v>
      </c>
      <c r="P263" s="29" t="s">
        <v>7053</v>
      </c>
      <c r="Q263" s="29" t="s">
        <v>7053</v>
      </c>
      <c r="R263" s="32" t="s">
        <v>7043</v>
      </c>
      <c r="S263" s="30">
        <v>46388.0</v>
      </c>
      <c r="T263" s="30">
        <v>46752.0</v>
      </c>
      <c r="U263" s="29" t="s">
        <v>7053</v>
      </c>
      <c r="V263" s="29" t="s">
        <v>7053</v>
      </c>
      <c r="W263" s="32" t="s">
        <v>7043</v>
      </c>
      <c r="X263" s="30">
        <v>46753.0</v>
      </c>
      <c r="Y263" s="30">
        <v>47118.0</v>
      </c>
      <c r="Z263" s="29" t="s">
        <v>7053</v>
      </c>
      <c r="AA263" s="29" t="s">
        <v>7053</v>
      </c>
      <c r="AB263" s="32" t="s">
        <v>7043</v>
      </c>
      <c r="AC263" s="30">
        <v>47119.0</v>
      </c>
      <c r="AD263" s="30">
        <v>47483.0</v>
      </c>
      <c r="AE263" s="29" t="s">
        <v>7053</v>
      </c>
      <c r="AF263" s="29" t="s">
        <v>7053</v>
      </c>
      <c r="AG263" s="32" t="s">
        <v>7043</v>
      </c>
      <c r="AH263" s="30">
        <v>47484.0</v>
      </c>
      <c r="AI263" s="30">
        <v>47848.0</v>
      </c>
      <c r="AJ263" s="29" t="s">
        <v>7053</v>
      </c>
      <c r="AK263" s="29" t="s">
        <v>7053</v>
      </c>
      <c r="AL263" s="32" t="s">
        <v>7043</v>
      </c>
    </row>
    <row r="264" ht="14.25" customHeight="1">
      <c r="A264" s="28" t="s">
        <v>4178</v>
      </c>
      <c r="B264" s="29" t="s">
        <v>4179</v>
      </c>
      <c r="C264" s="29" t="s">
        <v>7041</v>
      </c>
      <c r="D264" s="30">
        <v>45292.0</v>
      </c>
      <c r="E264" s="30">
        <v>45657.0</v>
      </c>
      <c r="F264" s="29" t="s">
        <v>7100</v>
      </c>
      <c r="G264" s="29" t="s">
        <v>7051</v>
      </c>
      <c r="H264" s="32" t="s">
        <v>7043</v>
      </c>
      <c r="I264" s="30">
        <v>45658.0</v>
      </c>
      <c r="J264" s="30">
        <v>46022.0</v>
      </c>
      <c r="K264" s="29" t="s">
        <v>7101</v>
      </c>
      <c r="L264" s="29" t="s">
        <v>7053</v>
      </c>
      <c r="M264" s="38" t="s">
        <v>7047</v>
      </c>
      <c r="N264" s="30">
        <v>46023.0</v>
      </c>
      <c r="O264" s="30">
        <v>46387.0</v>
      </c>
      <c r="P264" s="29" t="s">
        <v>7053</v>
      </c>
      <c r="Q264" s="29" t="s">
        <v>7053</v>
      </c>
      <c r="R264" s="32" t="s">
        <v>7043</v>
      </c>
      <c r="S264" s="30">
        <v>46388.0</v>
      </c>
      <c r="T264" s="30">
        <v>46752.0</v>
      </c>
      <c r="U264" s="29" t="s">
        <v>7053</v>
      </c>
      <c r="V264" s="29" t="s">
        <v>7053</v>
      </c>
      <c r="W264" s="32" t="s">
        <v>7043</v>
      </c>
      <c r="X264" s="30">
        <v>46753.0</v>
      </c>
      <c r="Y264" s="30">
        <v>47118.0</v>
      </c>
      <c r="Z264" s="29" t="s">
        <v>7053</v>
      </c>
      <c r="AA264" s="29" t="s">
        <v>7053</v>
      </c>
      <c r="AB264" s="32" t="s">
        <v>7043</v>
      </c>
      <c r="AC264" s="30">
        <v>47119.0</v>
      </c>
      <c r="AD264" s="30">
        <v>47483.0</v>
      </c>
      <c r="AE264" s="29" t="s">
        <v>7053</v>
      </c>
      <c r="AF264" s="29" t="s">
        <v>7053</v>
      </c>
      <c r="AG264" s="32" t="s">
        <v>7043</v>
      </c>
      <c r="AH264" s="30">
        <v>47484.0</v>
      </c>
      <c r="AI264" s="30">
        <v>47848.0</v>
      </c>
      <c r="AJ264" s="29" t="s">
        <v>7053</v>
      </c>
      <c r="AK264" s="29" t="s">
        <v>7053</v>
      </c>
      <c r="AL264" s="32" t="s">
        <v>7043</v>
      </c>
    </row>
    <row r="265" ht="14.25" customHeight="1">
      <c r="A265" s="28" t="s">
        <v>4181</v>
      </c>
      <c r="B265" s="29" t="s">
        <v>4182</v>
      </c>
      <c r="C265" s="29" t="s">
        <v>7041</v>
      </c>
      <c r="D265" s="30">
        <v>45292.0</v>
      </c>
      <c r="E265" s="30">
        <v>45657.0</v>
      </c>
      <c r="F265" s="29" t="s">
        <v>7053</v>
      </c>
      <c r="G265" s="29" t="s">
        <v>7051</v>
      </c>
      <c r="H265" s="32" t="s">
        <v>7043</v>
      </c>
      <c r="I265" s="30">
        <v>45658.0</v>
      </c>
      <c r="J265" s="30">
        <v>46022.0</v>
      </c>
      <c r="K265" s="29" t="s">
        <v>7053</v>
      </c>
      <c r="L265" s="29" t="s">
        <v>7053</v>
      </c>
      <c r="M265" s="32" t="s">
        <v>7043</v>
      </c>
      <c r="N265" s="30">
        <v>46023.0</v>
      </c>
      <c r="O265" s="30">
        <v>46387.0</v>
      </c>
      <c r="P265" s="29" t="s">
        <v>7053</v>
      </c>
      <c r="Q265" s="29" t="s">
        <v>7053</v>
      </c>
      <c r="R265" s="32" t="s">
        <v>7043</v>
      </c>
      <c r="S265" s="30">
        <v>46388.0</v>
      </c>
      <c r="T265" s="30">
        <v>46752.0</v>
      </c>
      <c r="U265" s="29" t="s">
        <v>7053</v>
      </c>
      <c r="V265" s="29" t="s">
        <v>7053</v>
      </c>
      <c r="W265" s="32" t="s">
        <v>7043</v>
      </c>
      <c r="X265" s="30">
        <v>46753.0</v>
      </c>
      <c r="Y265" s="30">
        <v>47118.0</v>
      </c>
      <c r="Z265" s="29" t="s">
        <v>7053</v>
      </c>
      <c r="AA265" s="29" t="s">
        <v>7053</v>
      </c>
      <c r="AB265" s="32" t="s">
        <v>7043</v>
      </c>
      <c r="AC265" s="30">
        <v>47119.0</v>
      </c>
      <c r="AD265" s="30">
        <v>47483.0</v>
      </c>
      <c r="AE265" s="29" t="s">
        <v>7053</v>
      </c>
      <c r="AF265" s="29" t="s">
        <v>7053</v>
      </c>
      <c r="AG265" s="32" t="s">
        <v>7043</v>
      </c>
      <c r="AH265" s="30">
        <v>47484.0</v>
      </c>
      <c r="AI265" s="30">
        <v>47848.0</v>
      </c>
      <c r="AJ265" s="29" t="s">
        <v>7053</v>
      </c>
      <c r="AK265" s="29" t="s">
        <v>7053</v>
      </c>
      <c r="AL265" s="32" t="s">
        <v>7043</v>
      </c>
    </row>
    <row r="266" ht="14.25" customHeight="1">
      <c r="A266" s="28" t="s">
        <v>4184</v>
      </c>
      <c r="B266" s="29" t="s">
        <v>4185</v>
      </c>
      <c r="C266" s="29" t="s">
        <v>7041</v>
      </c>
      <c r="D266" s="30">
        <v>45292.0</v>
      </c>
      <c r="E266" s="30">
        <v>45657.0</v>
      </c>
      <c r="F266" s="29" t="s">
        <v>7099</v>
      </c>
      <c r="G266" s="29" t="s">
        <v>7051</v>
      </c>
      <c r="H266" s="38" t="s">
        <v>7047</v>
      </c>
      <c r="I266" s="30">
        <v>45658.0</v>
      </c>
      <c r="J266" s="30">
        <v>46022.0</v>
      </c>
      <c r="K266" s="29" t="s">
        <v>7087</v>
      </c>
      <c r="L266" s="29" t="s">
        <v>7053</v>
      </c>
      <c r="M266" s="38" t="s">
        <v>7047</v>
      </c>
      <c r="N266" s="30">
        <v>46023.0</v>
      </c>
      <c r="O266" s="30">
        <v>46387.0</v>
      </c>
      <c r="P266" s="29" t="s">
        <v>7053</v>
      </c>
      <c r="Q266" s="29" t="s">
        <v>7053</v>
      </c>
      <c r="R266" s="32" t="s">
        <v>7043</v>
      </c>
      <c r="S266" s="30">
        <v>46388.0</v>
      </c>
      <c r="T266" s="30">
        <v>46752.0</v>
      </c>
      <c r="U266" s="29" t="s">
        <v>7053</v>
      </c>
      <c r="V266" s="29" t="s">
        <v>7053</v>
      </c>
      <c r="W266" s="32" t="s">
        <v>7043</v>
      </c>
      <c r="X266" s="30">
        <v>46753.0</v>
      </c>
      <c r="Y266" s="30">
        <v>47118.0</v>
      </c>
      <c r="Z266" s="29" t="s">
        <v>7053</v>
      </c>
      <c r="AA266" s="29" t="s">
        <v>7053</v>
      </c>
      <c r="AB266" s="32" t="s">
        <v>7043</v>
      </c>
      <c r="AC266" s="30">
        <v>47119.0</v>
      </c>
      <c r="AD266" s="30">
        <v>47483.0</v>
      </c>
      <c r="AE266" s="29" t="s">
        <v>7053</v>
      </c>
      <c r="AF266" s="29" t="s">
        <v>7053</v>
      </c>
      <c r="AG266" s="32" t="s">
        <v>7043</v>
      </c>
      <c r="AH266" s="30">
        <v>47484.0</v>
      </c>
      <c r="AI266" s="30">
        <v>47848.0</v>
      </c>
      <c r="AJ266" s="29" t="s">
        <v>7053</v>
      </c>
      <c r="AK266" s="29" t="s">
        <v>7053</v>
      </c>
      <c r="AL266" s="32" t="s">
        <v>7043</v>
      </c>
    </row>
    <row r="267" ht="14.25" customHeight="1">
      <c r="A267" s="28" t="s">
        <v>4201</v>
      </c>
      <c r="B267" s="29" t="s">
        <v>4202</v>
      </c>
      <c r="C267" s="29" t="s">
        <v>7041</v>
      </c>
      <c r="D267" s="30">
        <v>45292.0</v>
      </c>
      <c r="E267" s="30">
        <v>45657.0</v>
      </c>
      <c r="F267" s="29" t="s">
        <v>7058</v>
      </c>
      <c r="G267" s="29" t="s">
        <v>7051</v>
      </c>
      <c r="H267" s="37" t="s">
        <v>7046</v>
      </c>
      <c r="I267" s="30">
        <v>45658.0</v>
      </c>
      <c r="J267" s="30">
        <v>46022.0</v>
      </c>
      <c r="K267" s="29" t="s">
        <v>7058</v>
      </c>
      <c r="L267" s="29" t="s">
        <v>7053</v>
      </c>
      <c r="M267" s="38" t="s">
        <v>7047</v>
      </c>
      <c r="N267" s="30">
        <v>46023.0</v>
      </c>
      <c r="O267" s="30">
        <v>46387.0</v>
      </c>
      <c r="P267" s="29" t="s">
        <v>7053</v>
      </c>
      <c r="Q267" s="29" t="s">
        <v>7053</v>
      </c>
      <c r="R267" s="32" t="s">
        <v>7043</v>
      </c>
      <c r="S267" s="30">
        <v>46388.0</v>
      </c>
      <c r="T267" s="30">
        <v>46752.0</v>
      </c>
      <c r="U267" s="29" t="s">
        <v>7053</v>
      </c>
      <c r="V267" s="29" t="s">
        <v>7053</v>
      </c>
      <c r="W267" s="32" t="s">
        <v>7043</v>
      </c>
      <c r="X267" s="30">
        <v>46753.0</v>
      </c>
      <c r="Y267" s="30">
        <v>47118.0</v>
      </c>
      <c r="Z267" s="29" t="s">
        <v>7053</v>
      </c>
      <c r="AA267" s="29" t="s">
        <v>7053</v>
      </c>
      <c r="AB267" s="32" t="s">
        <v>7043</v>
      </c>
      <c r="AC267" s="30">
        <v>47119.0</v>
      </c>
      <c r="AD267" s="30">
        <v>47483.0</v>
      </c>
      <c r="AE267" s="29" t="s">
        <v>7053</v>
      </c>
      <c r="AF267" s="29" t="s">
        <v>7053</v>
      </c>
      <c r="AG267" s="32" t="s">
        <v>7043</v>
      </c>
      <c r="AH267" s="30">
        <v>47484.0</v>
      </c>
      <c r="AI267" s="30">
        <v>47848.0</v>
      </c>
      <c r="AJ267" s="29" t="s">
        <v>7053</v>
      </c>
      <c r="AK267" s="29" t="s">
        <v>7053</v>
      </c>
      <c r="AL267" s="32" t="s">
        <v>7043</v>
      </c>
    </row>
    <row r="268" ht="14.25" customHeight="1">
      <c r="A268" s="28" t="s">
        <v>4213</v>
      </c>
      <c r="B268" s="29" t="s">
        <v>4214</v>
      </c>
      <c r="C268" s="29" t="s">
        <v>7041</v>
      </c>
      <c r="D268" s="30">
        <v>45292.0</v>
      </c>
      <c r="E268" s="30">
        <v>45657.0</v>
      </c>
      <c r="F268" s="29" t="s">
        <v>7143</v>
      </c>
      <c r="G268" s="29" t="s">
        <v>7051</v>
      </c>
      <c r="H268" s="38" t="s">
        <v>7047</v>
      </c>
      <c r="I268" s="30">
        <v>45658.0</v>
      </c>
      <c r="J268" s="30">
        <v>46022.0</v>
      </c>
      <c r="K268" s="29" t="s">
        <v>7087</v>
      </c>
      <c r="L268" s="29" t="s">
        <v>7053</v>
      </c>
      <c r="M268" s="38" t="s">
        <v>7047</v>
      </c>
      <c r="N268" s="30">
        <v>46023.0</v>
      </c>
      <c r="O268" s="30">
        <v>46387.0</v>
      </c>
      <c r="P268" s="29" t="s">
        <v>7053</v>
      </c>
      <c r="Q268" s="29" t="s">
        <v>7053</v>
      </c>
      <c r="R268" s="32" t="s">
        <v>7043</v>
      </c>
      <c r="S268" s="30">
        <v>46388.0</v>
      </c>
      <c r="T268" s="30">
        <v>46752.0</v>
      </c>
      <c r="U268" s="29" t="s">
        <v>7053</v>
      </c>
      <c r="V268" s="29" t="s">
        <v>7053</v>
      </c>
      <c r="W268" s="32" t="s">
        <v>7043</v>
      </c>
      <c r="X268" s="30">
        <v>46753.0</v>
      </c>
      <c r="Y268" s="30">
        <v>47118.0</v>
      </c>
      <c r="Z268" s="29" t="s">
        <v>7053</v>
      </c>
      <c r="AA268" s="29" t="s">
        <v>7053</v>
      </c>
      <c r="AB268" s="32" t="s">
        <v>7043</v>
      </c>
      <c r="AC268" s="30">
        <v>47119.0</v>
      </c>
      <c r="AD268" s="30">
        <v>47483.0</v>
      </c>
      <c r="AE268" s="29" t="s">
        <v>7053</v>
      </c>
      <c r="AF268" s="29" t="s">
        <v>7053</v>
      </c>
      <c r="AG268" s="32" t="s">
        <v>7043</v>
      </c>
      <c r="AH268" s="30">
        <v>47484.0</v>
      </c>
      <c r="AI268" s="30">
        <v>47848.0</v>
      </c>
      <c r="AJ268" s="29" t="s">
        <v>7053</v>
      </c>
      <c r="AK268" s="29" t="s">
        <v>7053</v>
      </c>
      <c r="AL268" s="32" t="s">
        <v>7043</v>
      </c>
    </row>
    <row r="269" ht="14.25" customHeight="1">
      <c r="A269" s="28" t="s">
        <v>4259</v>
      </c>
      <c r="B269" s="29" t="s">
        <v>4260</v>
      </c>
      <c r="C269" s="29" t="s">
        <v>7041</v>
      </c>
      <c r="D269" s="30">
        <v>45292.0</v>
      </c>
      <c r="E269" s="30">
        <v>45657.0</v>
      </c>
      <c r="F269" s="29" t="s">
        <v>7053</v>
      </c>
      <c r="G269" s="29" t="s">
        <v>7055</v>
      </c>
      <c r="H269" s="32" t="s">
        <v>7043</v>
      </c>
      <c r="I269" s="30">
        <v>45658.0</v>
      </c>
      <c r="J269" s="30">
        <v>46022.0</v>
      </c>
      <c r="K269" s="29" t="s">
        <v>7053</v>
      </c>
      <c r="L269" s="29" t="s">
        <v>7053</v>
      </c>
      <c r="M269" s="32" t="s">
        <v>7043</v>
      </c>
      <c r="N269" s="30">
        <v>46023.0</v>
      </c>
      <c r="O269" s="30">
        <v>46387.0</v>
      </c>
      <c r="P269" s="29" t="s">
        <v>7053</v>
      </c>
      <c r="Q269" s="29" t="s">
        <v>7053</v>
      </c>
      <c r="R269" s="32" t="s">
        <v>7043</v>
      </c>
      <c r="S269" s="30">
        <v>46388.0</v>
      </c>
      <c r="T269" s="30">
        <v>46752.0</v>
      </c>
      <c r="U269" s="29" t="s">
        <v>7053</v>
      </c>
      <c r="V269" s="29" t="s">
        <v>7053</v>
      </c>
      <c r="W269" s="32" t="s">
        <v>7043</v>
      </c>
      <c r="X269" s="30">
        <v>46753.0</v>
      </c>
      <c r="Y269" s="30">
        <v>47118.0</v>
      </c>
      <c r="Z269" s="29" t="s">
        <v>7053</v>
      </c>
      <c r="AA269" s="29" t="s">
        <v>7053</v>
      </c>
      <c r="AB269" s="32" t="s">
        <v>7043</v>
      </c>
      <c r="AC269" s="30">
        <v>47119.0</v>
      </c>
      <c r="AD269" s="30">
        <v>47483.0</v>
      </c>
      <c r="AE269" s="29" t="s">
        <v>7053</v>
      </c>
      <c r="AF269" s="29" t="s">
        <v>7053</v>
      </c>
      <c r="AG269" s="32" t="s">
        <v>7043</v>
      </c>
      <c r="AH269" s="30">
        <v>47484.0</v>
      </c>
      <c r="AI269" s="30">
        <v>47848.0</v>
      </c>
      <c r="AJ269" s="29" t="s">
        <v>7053</v>
      </c>
      <c r="AK269" s="29" t="s">
        <v>7053</v>
      </c>
      <c r="AL269" s="32" t="s">
        <v>7043</v>
      </c>
    </row>
    <row r="270" ht="14.25" customHeight="1">
      <c r="A270" s="28" t="s">
        <v>4283</v>
      </c>
      <c r="B270" s="29" t="s">
        <v>4284</v>
      </c>
      <c r="C270" s="29" t="s">
        <v>7041</v>
      </c>
      <c r="D270" s="30">
        <v>45292.0</v>
      </c>
      <c r="E270" s="30">
        <v>45657.0</v>
      </c>
      <c r="F270" s="29" t="s">
        <v>7068</v>
      </c>
      <c r="G270" s="29" t="s">
        <v>7051</v>
      </c>
      <c r="H270" s="32" t="s">
        <v>7043</v>
      </c>
      <c r="I270" s="30">
        <v>45658.0</v>
      </c>
      <c r="J270" s="30">
        <v>46022.0</v>
      </c>
      <c r="K270" s="29" t="s">
        <v>7062</v>
      </c>
      <c r="L270" s="29" t="s">
        <v>7053</v>
      </c>
      <c r="M270" s="38" t="s">
        <v>7047</v>
      </c>
      <c r="N270" s="30">
        <v>46023.0</v>
      </c>
      <c r="O270" s="30">
        <v>46387.0</v>
      </c>
      <c r="P270" s="29" t="s">
        <v>7053</v>
      </c>
      <c r="Q270" s="29" t="s">
        <v>7053</v>
      </c>
      <c r="R270" s="32" t="s">
        <v>7043</v>
      </c>
      <c r="S270" s="30">
        <v>46388.0</v>
      </c>
      <c r="T270" s="30">
        <v>46752.0</v>
      </c>
      <c r="U270" s="29" t="s">
        <v>7053</v>
      </c>
      <c r="V270" s="29" t="s">
        <v>7053</v>
      </c>
      <c r="W270" s="32" t="s">
        <v>7043</v>
      </c>
      <c r="X270" s="30">
        <v>46753.0</v>
      </c>
      <c r="Y270" s="30">
        <v>47118.0</v>
      </c>
      <c r="Z270" s="29" t="s">
        <v>7053</v>
      </c>
      <c r="AA270" s="29" t="s">
        <v>7053</v>
      </c>
      <c r="AB270" s="32" t="s">
        <v>7043</v>
      </c>
      <c r="AC270" s="30">
        <v>47119.0</v>
      </c>
      <c r="AD270" s="30">
        <v>47483.0</v>
      </c>
      <c r="AE270" s="29" t="s">
        <v>7053</v>
      </c>
      <c r="AF270" s="29" t="s">
        <v>7053</v>
      </c>
      <c r="AG270" s="32" t="s">
        <v>7043</v>
      </c>
      <c r="AH270" s="30">
        <v>47484.0</v>
      </c>
      <c r="AI270" s="30">
        <v>47848.0</v>
      </c>
      <c r="AJ270" s="29" t="s">
        <v>7053</v>
      </c>
      <c r="AK270" s="29" t="s">
        <v>7053</v>
      </c>
      <c r="AL270" s="32" t="s">
        <v>7043</v>
      </c>
    </row>
    <row r="271" ht="14.25" customHeight="1">
      <c r="A271" s="28" t="s">
        <v>4326</v>
      </c>
      <c r="B271" s="29" t="s">
        <v>4327</v>
      </c>
      <c r="C271" s="29" t="s">
        <v>7041</v>
      </c>
      <c r="D271" s="30">
        <v>45292.0</v>
      </c>
      <c r="E271" s="30">
        <v>45657.0</v>
      </c>
      <c r="F271" s="29" t="s">
        <v>7117</v>
      </c>
      <c r="G271" s="29" t="s">
        <v>7051</v>
      </c>
      <c r="H271" s="32" t="s">
        <v>7043</v>
      </c>
      <c r="I271" s="30">
        <v>45658.0</v>
      </c>
      <c r="J271" s="30">
        <v>46022.0</v>
      </c>
      <c r="K271" s="29" t="s">
        <v>7068</v>
      </c>
      <c r="L271" s="29" t="s">
        <v>7053</v>
      </c>
      <c r="M271" s="38" t="s">
        <v>7047</v>
      </c>
      <c r="N271" s="30">
        <v>46023.0</v>
      </c>
      <c r="O271" s="30">
        <v>46387.0</v>
      </c>
      <c r="P271" s="29" t="s">
        <v>7053</v>
      </c>
      <c r="Q271" s="29" t="s">
        <v>7053</v>
      </c>
      <c r="R271" s="32" t="s">
        <v>7043</v>
      </c>
      <c r="S271" s="30">
        <v>46388.0</v>
      </c>
      <c r="T271" s="30">
        <v>46752.0</v>
      </c>
      <c r="U271" s="29" t="s">
        <v>7053</v>
      </c>
      <c r="V271" s="29" t="s">
        <v>7053</v>
      </c>
      <c r="W271" s="32" t="s">
        <v>7043</v>
      </c>
      <c r="X271" s="30">
        <v>46753.0</v>
      </c>
      <c r="Y271" s="30">
        <v>47118.0</v>
      </c>
      <c r="Z271" s="29" t="s">
        <v>7053</v>
      </c>
      <c r="AA271" s="29" t="s">
        <v>7053</v>
      </c>
      <c r="AB271" s="32" t="s">
        <v>7043</v>
      </c>
      <c r="AC271" s="30">
        <v>47119.0</v>
      </c>
      <c r="AD271" s="30">
        <v>47483.0</v>
      </c>
      <c r="AE271" s="29" t="s">
        <v>7053</v>
      </c>
      <c r="AF271" s="29" t="s">
        <v>7053</v>
      </c>
      <c r="AG271" s="32" t="s">
        <v>7043</v>
      </c>
      <c r="AH271" s="30">
        <v>47484.0</v>
      </c>
      <c r="AI271" s="30">
        <v>47848.0</v>
      </c>
      <c r="AJ271" s="29" t="s">
        <v>7053</v>
      </c>
      <c r="AK271" s="29" t="s">
        <v>7053</v>
      </c>
      <c r="AL271" s="32" t="s">
        <v>7043</v>
      </c>
    </row>
    <row r="272" ht="14.25" customHeight="1">
      <c r="A272" s="28" t="s">
        <v>4380</v>
      </c>
      <c r="B272" s="29" t="s">
        <v>4381</v>
      </c>
      <c r="C272" s="29" t="s">
        <v>7041</v>
      </c>
      <c r="D272" s="30">
        <v>45292.0</v>
      </c>
      <c r="E272" s="30">
        <v>45657.0</v>
      </c>
      <c r="F272" s="29" t="s">
        <v>7101</v>
      </c>
      <c r="G272" s="29" t="s">
        <v>7051</v>
      </c>
      <c r="H272" s="32" t="s">
        <v>7043</v>
      </c>
      <c r="I272" s="30">
        <v>45658.0</v>
      </c>
      <c r="J272" s="30">
        <v>46022.0</v>
      </c>
      <c r="K272" s="29" t="s">
        <v>7095</v>
      </c>
      <c r="L272" s="29" t="s">
        <v>7053</v>
      </c>
      <c r="M272" s="38" t="s">
        <v>7047</v>
      </c>
      <c r="N272" s="30">
        <v>46023.0</v>
      </c>
      <c r="O272" s="30">
        <v>46387.0</v>
      </c>
      <c r="P272" s="29" t="s">
        <v>7053</v>
      </c>
      <c r="Q272" s="29" t="s">
        <v>7053</v>
      </c>
      <c r="R272" s="32" t="s">
        <v>7043</v>
      </c>
      <c r="S272" s="30">
        <v>46388.0</v>
      </c>
      <c r="T272" s="30">
        <v>46752.0</v>
      </c>
      <c r="U272" s="29" t="s">
        <v>7053</v>
      </c>
      <c r="V272" s="29" t="s">
        <v>7053</v>
      </c>
      <c r="W272" s="32" t="s">
        <v>7043</v>
      </c>
      <c r="X272" s="30">
        <v>46753.0</v>
      </c>
      <c r="Y272" s="30">
        <v>47118.0</v>
      </c>
      <c r="Z272" s="29" t="s">
        <v>7053</v>
      </c>
      <c r="AA272" s="29" t="s">
        <v>7053</v>
      </c>
      <c r="AB272" s="32" t="s">
        <v>7043</v>
      </c>
      <c r="AC272" s="30">
        <v>47119.0</v>
      </c>
      <c r="AD272" s="30">
        <v>47483.0</v>
      </c>
      <c r="AE272" s="29" t="s">
        <v>7053</v>
      </c>
      <c r="AF272" s="29" t="s">
        <v>7053</v>
      </c>
      <c r="AG272" s="32" t="s">
        <v>7043</v>
      </c>
      <c r="AH272" s="30">
        <v>47484.0</v>
      </c>
      <c r="AI272" s="30">
        <v>47848.0</v>
      </c>
      <c r="AJ272" s="29" t="s">
        <v>7053</v>
      </c>
      <c r="AK272" s="29" t="s">
        <v>7053</v>
      </c>
      <c r="AL272" s="32" t="s">
        <v>7043</v>
      </c>
    </row>
    <row r="273" ht="14.25" customHeight="1">
      <c r="A273" s="28" t="s">
        <v>5234</v>
      </c>
      <c r="B273" s="29" t="s">
        <v>5235</v>
      </c>
      <c r="C273" s="29" t="s">
        <v>7041</v>
      </c>
      <c r="D273" s="30">
        <v>45292.0</v>
      </c>
      <c r="E273" s="30">
        <v>45657.0</v>
      </c>
      <c r="F273" s="29" t="s">
        <v>7136</v>
      </c>
      <c r="G273" s="29" t="s">
        <v>7051</v>
      </c>
      <c r="H273" s="37" t="s">
        <v>7046</v>
      </c>
      <c r="I273" s="30">
        <v>45658.0</v>
      </c>
      <c r="J273" s="30">
        <v>46022.0</v>
      </c>
      <c r="K273" s="29" t="s">
        <v>7065</v>
      </c>
      <c r="L273" s="29" t="s">
        <v>7053</v>
      </c>
      <c r="M273" s="38" t="s">
        <v>7047</v>
      </c>
      <c r="N273" s="30">
        <v>46023.0</v>
      </c>
      <c r="O273" s="30">
        <v>46387.0</v>
      </c>
      <c r="P273" s="29" t="s">
        <v>7053</v>
      </c>
      <c r="Q273" s="29" t="s">
        <v>7053</v>
      </c>
      <c r="R273" s="32" t="s">
        <v>7043</v>
      </c>
      <c r="S273" s="30">
        <v>46388.0</v>
      </c>
      <c r="T273" s="30">
        <v>46752.0</v>
      </c>
      <c r="U273" s="29" t="s">
        <v>7053</v>
      </c>
      <c r="V273" s="29" t="s">
        <v>7053</v>
      </c>
      <c r="W273" s="32" t="s">
        <v>7043</v>
      </c>
      <c r="X273" s="30">
        <v>46753.0</v>
      </c>
      <c r="Y273" s="30">
        <v>47118.0</v>
      </c>
      <c r="Z273" s="29" t="s">
        <v>7053</v>
      </c>
      <c r="AA273" s="29" t="s">
        <v>7053</v>
      </c>
      <c r="AB273" s="32" t="s">
        <v>7043</v>
      </c>
      <c r="AC273" s="30">
        <v>47119.0</v>
      </c>
      <c r="AD273" s="30">
        <v>47483.0</v>
      </c>
      <c r="AE273" s="29" t="s">
        <v>7053</v>
      </c>
      <c r="AF273" s="29" t="s">
        <v>7053</v>
      </c>
      <c r="AG273" s="32" t="s">
        <v>7043</v>
      </c>
      <c r="AH273" s="30">
        <v>47484.0</v>
      </c>
      <c r="AI273" s="30">
        <v>47848.0</v>
      </c>
      <c r="AJ273" s="29" t="s">
        <v>7053</v>
      </c>
      <c r="AK273" s="29" t="s">
        <v>7053</v>
      </c>
      <c r="AL273" s="32" t="s">
        <v>7043</v>
      </c>
    </row>
    <row r="274" ht="14.25" customHeight="1">
      <c r="A274" s="28" t="s">
        <v>5249</v>
      </c>
      <c r="B274" s="29" t="s">
        <v>5250</v>
      </c>
      <c r="C274" s="29" t="s">
        <v>7041</v>
      </c>
      <c r="D274" s="30">
        <v>45292.0</v>
      </c>
      <c r="E274" s="30">
        <v>45657.0</v>
      </c>
      <c r="F274" s="29" t="s">
        <v>7104</v>
      </c>
      <c r="G274" s="29" t="s">
        <v>7164</v>
      </c>
      <c r="H274" s="32" t="s">
        <v>7043</v>
      </c>
      <c r="I274" s="30">
        <v>45658.0</v>
      </c>
      <c r="J274" s="30">
        <v>46022.0</v>
      </c>
      <c r="K274" s="29" t="s">
        <v>7096</v>
      </c>
      <c r="L274" s="29" t="s">
        <v>7053</v>
      </c>
      <c r="M274" s="38" t="s">
        <v>7047</v>
      </c>
      <c r="N274" s="30">
        <v>46023.0</v>
      </c>
      <c r="O274" s="30">
        <v>46387.0</v>
      </c>
      <c r="P274" s="29" t="s">
        <v>7053</v>
      </c>
      <c r="Q274" s="29" t="s">
        <v>7053</v>
      </c>
      <c r="R274" s="32" t="s">
        <v>7043</v>
      </c>
      <c r="S274" s="30">
        <v>46388.0</v>
      </c>
      <c r="T274" s="30">
        <v>46752.0</v>
      </c>
      <c r="U274" s="29" t="s">
        <v>7053</v>
      </c>
      <c r="V274" s="29" t="s">
        <v>7053</v>
      </c>
      <c r="W274" s="32" t="s">
        <v>7043</v>
      </c>
      <c r="X274" s="30">
        <v>46753.0</v>
      </c>
      <c r="Y274" s="30">
        <v>47118.0</v>
      </c>
      <c r="Z274" s="29" t="s">
        <v>7053</v>
      </c>
      <c r="AA274" s="29" t="s">
        <v>7053</v>
      </c>
      <c r="AB274" s="32" t="s">
        <v>7043</v>
      </c>
      <c r="AC274" s="30">
        <v>47119.0</v>
      </c>
      <c r="AD274" s="30">
        <v>47483.0</v>
      </c>
      <c r="AE274" s="29" t="s">
        <v>7053</v>
      </c>
      <c r="AF274" s="29" t="s">
        <v>7053</v>
      </c>
      <c r="AG274" s="32" t="s">
        <v>7043</v>
      </c>
      <c r="AH274" s="30">
        <v>47484.0</v>
      </c>
      <c r="AI274" s="30">
        <v>47848.0</v>
      </c>
      <c r="AJ274" s="29" t="s">
        <v>7053</v>
      </c>
      <c r="AK274" s="29" t="s">
        <v>7053</v>
      </c>
      <c r="AL274" s="32" t="s">
        <v>7043</v>
      </c>
    </row>
    <row r="275" ht="14.25" customHeight="1">
      <c r="A275" s="28" t="s">
        <v>5269</v>
      </c>
      <c r="B275" s="29" t="s">
        <v>5270</v>
      </c>
      <c r="C275" s="29" t="s">
        <v>7041</v>
      </c>
      <c r="D275" s="30">
        <v>45292.0</v>
      </c>
      <c r="E275" s="30">
        <v>45657.0</v>
      </c>
      <c r="F275" s="29" t="s">
        <v>7100</v>
      </c>
      <c r="G275" s="29" t="s">
        <v>7051</v>
      </c>
      <c r="H275" s="32" t="s">
        <v>7043</v>
      </c>
      <c r="I275" s="30">
        <v>45658.0</v>
      </c>
      <c r="J275" s="30">
        <v>46022.0</v>
      </c>
      <c r="K275" s="29" t="s">
        <v>7101</v>
      </c>
      <c r="L275" s="29" t="s">
        <v>7053</v>
      </c>
      <c r="M275" s="38" t="s">
        <v>7047</v>
      </c>
      <c r="N275" s="30">
        <v>46023.0</v>
      </c>
      <c r="O275" s="30">
        <v>46387.0</v>
      </c>
      <c r="P275" s="29" t="s">
        <v>7053</v>
      </c>
      <c r="Q275" s="29" t="s">
        <v>7053</v>
      </c>
      <c r="R275" s="32" t="s">
        <v>7043</v>
      </c>
      <c r="S275" s="30">
        <v>46388.0</v>
      </c>
      <c r="T275" s="30">
        <v>46752.0</v>
      </c>
      <c r="U275" s="29" t="s">
        <v>7053</v>
      </c>
      <c r="V275" s="29" t="s">
        <v>7053</v>
      </c>
      <c r="W275" s="32" t="s">
        <v>7043</v>
      </c>
      <c r="X275" s="30">
        <v>46753.0</v>
      </c>
      <c r="Y275" s="30">
        <v>47118.0</v>
      </c>
      <c r="Z275" s="29" t="s">
        <v>7053</v>
      </c>
      <c r="AA275" s="29" t="s">
        <v>7053</v>
      </c>
      <c r="AB275" s="32" t="s">
        <v>7043</v>
      </c>
      <c r="AC275" s="30">
        <v>47119.0</v>
      </c>
      <c r="AD275" s="30">
        <v>47483.0</v>
      </c>
      <c r="AE275" s="29" t="s">
        <v>7053</v>
      </c>
      <c r="AF275" s="29" t="s">
        <v>7053</v>
      </c>
      <c r="AG275" s="32" t="s">
        <v>7043</v>
      </c>
      <c r="AH275" s="30">
        <v>47484.0</v>
      </c>
      <c r="AI275" s="30">
        <v>47848.0</v>
      </c>
      <c r="AJ275" s="29" t="s">
        <v>7053</v>
      </c>
      <c r="AK275" s="29" t="s">
        <v>7053</v>
      </c>
      <c r="AL275" s="32" t="s">
        <v>7043</v>
      </c>
    </row>
    <row r="276" ht="14.25" customHeight="1">
      <c r="A276" s="28" t="s">
        <v>5272</v>
      </c>
      <c r="B276" s="29" t="s">
        <v>5273</v>
      </c>
      <c r="C276" s="29" t="s">
        <v>7041</v>
      </c>
      <c r="D276" s="30">
        <v>45292.0</v>
      </c>
      <c r="E276" s="30">
        <v>45657.0</v>
      </c>
      <c r="F276" s="29" t="s">
        <v>7113</v>
      </c>
      <c r="G276" s="29" t="s">
        <v>7051</v>
      </c>
      <c r="H276" s="37" t="s">
        <v>7046</v>
      </c>
      <c r="I276" s="30">
        <v>45658.0</v>
      </c>
      <c r="J276" s="30">
        <v>46022.0</v>
      </c>
      <c r="K276" s="29" t="s">
        <v>7088</v>
      </c>
      <c r="L276" s="29" t="s">
        <v>7053</v>
      </c>
      <c r="M276" s="38" t="s">
        <v>7047</v>
      </c>
      <c r="N276" s="30">
        <v>46023.0</v>
      </c>
      <c r="O276" s="30">
        <v>46387.0</v>
      </c>
      <c r="P276" s="29" t="s">
        <v>7053</v>
      </c>
      <c r="Q276" s="29" t="s">
        <v>7053</v>
      </c>
      <c r="R276" s="32" t="s">
        <v>7043</v>
      </c>
      <c r="S276" s="30">
        <v>46388.0</v>
      </c>
      <c r="T276" s="30">
        <v>46752.0</v>
      </c>
      <c r="U276" s="29" t="s">
        <v>7053</v>
      </c>
      <c r="V276" s="29" t="s">
        <v>7053</v>
      </c>
      <c r="W276" s="32" t="s">
        <v>7043</v>
      </c>
      <c r="X276" s="30">
        <v>46753.0</v>
      </c>
      <c r="Y276" s="30">
        <v>47118.0</v>
      </c>
      <c r="Z276" s="29" t="s">
        <v>7053</v>
      </c>
      <c r="AA276" s="29" t="s">
        <v>7053</v>
      </c>
      <c r="AB276" s="32" t="s">
        <v>7043</v>
      </c>
      <c r="AC276" s="30">
        <v>47119.0</v>
      </c>
      <c r="AD276" s="30">
        <v>47483.0</v>
      </c>
      <c r="AE276" s="29" t="s">
        <v>7053</v>
      </c>
      <c r="AF276" s="29" t="s">
        <v>7053</v>
      </c>
      <c r="AG276" s="32" t="s">
        <v>7043</v>
      </c>
      <c r="AH276" s="30">
        <v>47484.0</v>
      </c>
      <c r="AI276" s="30">
        <v>47848.0</v>
      </c>
      <c r="AJ276" s="29" t="s">
        <v>7053</v>
      </c>
      <c r="AK276" s="29" t="s">
        <v>7053</v>
      </c>
      <c r="AL276" s="32" t="s">
        <v>7043</v>
      </c>
    </row>
    <row r="277" ht="14.25" customHeight="1">
      <c r="A277" s="28" t="s">
        <v>5309</v>
      </c>
      <c r="B277" s="29" t="s">
        <v>5310</v>
      </c>
      <c r="C277" s="29" t="s">
        <v>7041</v>
      </c>
      <c r="D277" s="30">
        <v>45292.0</v>
      </c>
      <c r="E277" s="30">
        <v>45657.0</v>
      </c>
      <c r="F277" s="29" t="s">
        <v>7069</v>
      </c>
      <c r="G277" s="29" t="s">
        <v>7164</v>
      </c>
      <c r="H277" s="32" t="s">
        <v>7043</v>
      </c>
      <c r="I277" s="30">
        <v>45658.0</v>
      </c>
      <c r="J277" s="30">
        <v>46022.0</v>
      </c>
      <c r="K277" s="29" t="s">
        <v>7072</v>
      </c>
      <c r="L277" s="29" t="s">
        <v>7053</v>
      </c>
      <c r="M277" s="38" t="s">
        <v>7047</v>
      </c>
      <c r="N277" s="30">
        <v>46023.0</v>
      </c>
      <c r="O277" s="30">
        <v>46387.0</v>
      </c>
      <c r="P277" s="29" t="s">
        <v>7053</v>
      </c>
      <c r="Q277" s="29" t="s">
        <v>7053</v>
      </c>
      <c r="R277" s="32" t="s">
        <v>7043</v>
      </c>
      <c r="S277" s="30">
        <v>46388.0</v>
      </c>
      <c r="T277" s="30">
        <v>46752.0</v>
      </c>
      <c r="U277" s="29" t="s">
        <v>7053</v>
      </c>
      <c r="V277" s="29" t="s">
        <v>7053</v>
      </c>
      <c r="W277" s="32" t="s">
        <v>7043</v>
      </c>
      <c r="X277" s="30">
        <v>46753.0</v>
      </c>
      <c r="Y277" s="30">
        <v>47118.0</v>
      </c>
      <c r="Z277" s="29" t="s">
        <v>7053</v>
      </c>
      <c r="AA277" s="29" t="s">
        <v>7053</v>
      </c>
      <c r="AB277" s="32" t="s">
        <v>7043</v>
      </c>
      <c r="AC277" s="30">
        <v>47119.0</v>
      </c>
      <c r="AD277" s="30">
        <v>47483.0</v>
      </c>
      <c r="AE277" s="29" t="s">
        <v>7053</v>
      </c>
      <c r="AF277" s="29" t="s">
        <v>7053</v>
      </c>
      <c r="AG277" s="32" t="s">
        <v>7043</v>
      </c>
      <c r="AH277" s="30">
        <v>47484.0</v>
      </c>
      <c r="AI277" s="30">
        <v>47848.0</v>
      </c>
      <c r="AJ277" s="29" t="s">
        <v>7053</v>
      </c>
      <c r="AK277" s="29" t="s">
        <v>7053</v>
      </c>
      <c r="AL277" s="32" t="s">
        <v>7043</v>
      </c>
    </row>
    <row r="278" ht="14.25" customHeight="1">
      <c r="A278" s="28" t="s">
        <v>5317</v>
      </c>
      <c r="B278" s="29" t="s">
        <v>5318</v>
      </c>
      <c r="C278" s="29" t="s">
        <v>7041</v>
      </c>
      <c r="D278" s="30">
        <v>45292.0</v>
      </c>
      <c r="E278" s="30">
        <v>45657.0</v>
      </c>
      <c r="F278" s="29" t="s">
        <v>7088</v>
      </c>
      <c r="G278" s="29" t="s">
        <v>7051</v>
      </c>
      <c r="H278" s="37" t="s">
        <v>7046</v>
      </c>
      <c r="I278" s="30">
        <v>45658.0</v>
      </c>
      <c r="J278" s="30">
        <v>46022.0</v>
      </c>
      <c r="K278" s="29" t="s">
        <v>7119</v>
      </c>
      <c r="L278" s="29" t="s">
        <v>7053</v>
      </c>
      <c r="M278" s="38" t="s">
        <v>7047</v>
      </c>
      <c r="N278" s="30">
        <v>46023.0</v>
      </c>
      <c r="O278" s="30">
        <v>46387.0</v>
      </c>
      <c r="P278" s="29" t="s">
        <v>7053</v>
      </c>
      <c r="Q278" s="29" t="s">
        <v>7053</v>
      </c>
      <c r="R278" s="32" t="s">
        <v>7043</v>
      </c>
      <c r="S278" s="30">
        <v>46388.0</v>
      </c>
      <c r="T278" s="30">
        <v>46752.0</v>
      </c>
      <c r="U278" s="29" t="s">
        <v>7053</v>
      </c>
      <c r="V278" s="29" t="s">
        <v>7053</v>
      </c>
      <c r="W278" s="32" t="s">
        <v>7043</v>
      </c>
      <c r="X278" s="30">
        <v>46753.0</v>
      </c>
      <c r="Y278" s="30">
        <v>47118.0</v>
      </c>
      <c r="Z278" s="29" t="s">
        <v>7053</v>
      </c>
      <c r="AA278" s="29" t="s">
        <v>7053</v>
      </c>
      <c r="AB278" s="32" t="s">
        <v>7043</v>
      </c>
      <c r="AC278" s="30">
        <v>47119.0</v>
      </c>
      <c r="AD278" s="30">
        <v>47483.0</v>
      </c>
      <c r="AE278" s="29" t="s">
        <v>7053</v>
      </c>
      <c r="AF278" s="29" t="s">
        <v>7053</v>
      </c>
      <c r="AG278" s="32" t="s">
        <v>7043</v>
      </c>
      <c r="AH278" s="30">
        <v>47484.0</v>
      </c>
      <c r="AI278" s="30">
        <v>47848.0</v>
      </c>
      <c r="AJ278" s="29" t="s">
        <v>7053</v>
      </c>
      <c r="AK278" s="29" t="s">
        <v>7053</v>
      </c>
      <c r="AL278" s="32" t="s">
        <v>7043</v>
      </c>
    </row>
    <row r="279" ht="14.25" customHeight="1">
      <c r="A279" s="28" t="s">
        <v>5320</v>
      </c>
      <c r="B279" s="29" t="s">
        <v>5321</v>
      </c>
      <c r="C279" s="29" t="s">
        <v>7041</v>
      </c>
      <c r="D279" s="30">
        <v>45292.0</v>
      </c>
      <c r="E279" s="30">
        <v>45657.0</v>
      </c>
      <c r="F279" s="29" t="s">
        <v>7100</v>
      </c>
      <c r="G279" s="29" t="s">
        <v>7051</v>
      </c>
      <c r="H279" s="32" t="s">
        <v>7043</v>
      </c>
      <c r="I279" s="30">
        <v>45658.0</v>
      </c>
      <c r="J279" s="30">
        <v>46022.0</v>
      </c>
      <c r="K279" s="29" t="s">
        <v>7080</v>
      </c>
      <c r="L279" s="29" t="s">
        <v>7053</v>
      </c>
      <c r="M279" s="38" t="s">
        <v>7047</v>
      </c>
      <c r="N279" s="30">
        <v>46023.0</v>
      </c>
      <c r="O279" s="30">
        <v>46387.0</v>
      </c>
      <c r="P279" s="29" t="s">
        <v>7053</v>
      </c>
      <c r="Q279" s="29" t="s">
        <v>7053</v>
      </c>
      <c r="R279" s="32" t="s">
        <v>7043</v>
      </c>
      <c r="S279" s="30">
        <v>46388.0</v>
      </c>
      <c r="T279" s="30">
        <v>46752.0</v>
      </c>
      <c r="U279" s="29" t="s">
        <v>7053</v>
      </c>
      <c r="V279" s="29" t="s">
        <v>7053</v>
      </c>
      <c r="W279" s="32" t="s">
        <v>7043</v>
      </c>
      <c r="X279" s="30">
        <v>46753.0</v>
      </c>
      <c r="Y279" s="30">
        <v>47118.0</v>
      </c>
      <c r="Z279" s="29" t="s">
        <v>7053</v>
      </c>
      <c r="AA279" s="29" t="s">
        <v>7053</v>
      </c>
      <c r="AB279" s="32" t="s">
        <v>7043</v>
      </c>
      <c r="AC279" s="30">
        <v>47119.0</v>
      </c>
      <c r="AD279" s="30">
        <v>47483.0</v>
      </c>
      <c r="AE279" s="29" t="s">
        <v>7053</v>
      </c>
      <c r="AF279" s="29" t="s">
        <v>7053</v>
      </c>
      <c r="AG279" s="32" t="s">
        <v>7043</v>
      </c>
      <c r="AH279" s="30">
        <v>47484.0</v>
      </c>
      <c r="AI279" s="30">
        <v>47848.0</v>
      </c>
      <c r="AJ279" s="29" t="s">
        <v>7053</v>
      </c>
      <c r="AK279" s="29" t="s">
        <v>7053</v>
      </c>
      <c r="AL279" s="32" t="s">
        <v>7043</v>
      </c>
    </row>
    <row r="280" ht="14.25" customHeight="1">
      <c r="A280" s="28" t="s">
        <v>5348</v>
      </c>
      <c r="B280" s="29" t="s">
        <v>5349</v>
      </c>
      <c r="C280" s="29" t="s">
        <v>7041</v>
      </c>
      <c r="D280" s="30">
        <v>45292.0</v>
      </c>
      <c r="E280" s="30">
        <v>45657.0</v>
      </c>
      <c r="F280" s="29" t="s">
        <v>7068</v>
      </c>
      <c r="G280" s="29" t="s">
        <v>7051</v>
      </c>
      <c r="H280" s="32" t="s">
        <v>7043</v>
      </c>
      <c r="I280" s="30">
        <v>45658.0</v>
      </c>
      <c r="J280" s="30">
        <v>46022.0</v>
      </c>
      <c r="K280" s="29" t="s">
        <v>7064</v>
      </c>
      <c r="L280" s="29" t="s">
        <v>7053</v>
      </c>
      <c r="M280" s="38" t="s">
        <v>7047</v>
      </c>
      <c r="N280" s="30">
        <v>46023.0</v>
      </c>
      <c r="O280" s="30">
        <v>46387.0</v>
      </c>
      <c r="P280" s="29" t="s">
        <v>7053</v>
      </c>
      <c r="Q280" s="29" t="s">
        <v>7053</v>
      </c>
      <c r="R280" s="32" t="s">
        <v>7043</v>
      </c>
      <c r="S280" s="30">
        <v>46388.0</v>
      </c>
      <c r="T280" s="30">
        <v>46752.0</v>
      </c>
      <c r="U280" s="29" t="s">
        <v>7053</v>
      </c>
      <c r="V280" s="29" t="s">
        <v>7053</v>
      </c>
      <c r="W280" s="32" t="s">
        <v>7043</v>
      </c>
      <c r="X280" s="30">
        <v>46753.0</v>
      </c>
      <c r="Y280" s="30">
        <v>47118.0</v>
      </c>
      <c r="Z280" s="29" t="s">
        <v>7053</v>
      </c>
      <c r="AA280" s="29" t="s">
        <v>7053</v>
      </c>
      <c r="AB280" s="32" t="s">
        <v>7043</v>
      </c>
      <c r="AC280" s="30">
        <v>47119.0</v>
      </c>
      <c r="AD280" s="30">
        <v>47483.0</v>
      </c>
      <c r="AE280" s="29" t="s">
        <v>7053</v>
      </c>
      <c r="AF280" s="29" t="s">
        <v>7053</v>
      </c>
      <c r="AG280" s="32" t="s">
        <v>7043</v>
      </c>
      <c r="AH280" s="30">
        <v>47484.0</v>
      </c>
      <c r="AI280" s="30">
        <v>47848.0</v>
      </c>
      <c r="AJ280" s="29" t="s">
        <v>7053</v>
      </c>
      <c r="AK280" s="29" t="s">
        <v>7053</v>
      </c>
      <c r="AL280" s="32" t="s">
        <v>7043</v>
      </c>
    </row>
    <row r="281" ht="14.25" customHeight="1">
      <c r="A281" s="28" t="s">
        <v>5357</v>
      </c>
      <c r="B281" s="29" t="s">
        <v>5358</v>
      </c>
      <c r="C281" s="29" t="s">
        <v>7041</v>
      </c>
      <c r="D281" s="30">
        <v>45292.0</v>
      </c>
      <c r="E281" s="30">
        <v>45657.0</v>
      </c>
      <c r="F281" s="29" t="s">
        <v>7062</v>
      </c>
      <c r="G281" s="29" t="s">
        <v>7051</v>
      </c>
      <c r="H281" s="32" t="s">
        <v>7043</v>
      </c>
      <c r="I281" s="30">
        <v>45658.0</v>
      </c>
      <c r="J281" s="30">
        <v>46022.0</v>
      </c>
      <c r="K281" s="29" t="s">
        <v>7080</v>
      </c>
      <c r="L281" s="29" t="s">
        <v>7053</v>
      </c>
      <c r="M281" s="38" t="s">
        <v>7047</v>
      </c>
      <c r="N281" s="30">
        <v>46023.0</v>
      </c>
      <c r="O281" s="30">
        <v>46387.0</v>
      </c>
      <c r="P281" s="29" t="s">
        <v>7053</v>
      </c>
      <c r="Q281" s="29" t="s">
        <v>7053</v>
      </c>
      <c r="R281" s="32" t="s">
        <v>7043</v>
      </c>
      <c r="S281" s="30">
        <v>46388.0</v>
      </c>
      <c r="T281" s="30">
        <v>46752.0</v>
      </c>
      <c r="U281" s="29" t="s">
        <v>7053</v>
      </c>
      <c r="V281" s="29" t="s">
        <v>7053</v>
      </c>
      <c r="W281" s="32" t="s">
        <v>7043</v>
      </c>
      <c r="X281" s="30">
        <v>46753.0</v>
      </c>
      <c r="Y281" s="30">
        <v>47118.0</v>
      </c>
      <c r="Z281" s="29" t="s">
        <v>7053</v>
      </c>
      <c r="AA281" s="29" t="s">
        <v>7053</v>
      </c>
      <c r="AB281" s="32" t="s">
        <v>7043</v>
      </c>
      <c r="AC281" s="30">
        <v>47119.0</v>
      </c>
      <c r="AD281" s="30">
        <v>47483.0</v>
      </c>
      <c r="AE281" s="29" t="s">
        <v>7053</v>
      </c>
      <c r="AF281" s="29" t="s">
        <v>7053</v>
      </c>
      <c r="AG281" s="32" t="s">
        <v>7043</v>
      </c>
      <c r="AH281" s="30">
        <v>47484.0</v>
      </c>
      <c r="AI281" s="30">
        <v>47848.0</v>
      </c>
      <c r="AJ281" s="29" t="s">
        <v>7053</v>
      </c>
      <c r="AK281" s="29" t="s">
        <v>7053</v>
      </c>
      <c r="AL281" s="32" t="s">
        <v>7043</v>
      </c>
    </row>
    <row r="282" ht="14.25" customHeight="1">
      <c r="A282" s="28" t="s">
        <v>5360</v>
      </c>
      <c r="B282" s="29" t="s">
        <v>5361</v>
      </c>
      <c r="C282" s="29" t="s">
        <v>7041</v>
      </c>
      <c r="D282" s="30">
        <v>45292.0</v>
      </c>
      <c r="E282" s="30">
        <v>45657.0</v>
      </c>
      <c r="F282" s="29" t="s">
        <v>7053</v>
      </c>
      <c r="G282" s="29" t="s">
        <v>7055</v>
      </c>
      <c r="H282" s="32" t="s">
        <v>7043</v>
      </c>
      <c r="I282" s="30">
        <v>45658.0</v>
      </c>
      <c r="J282" s="30">
        <v>46022.0</v>
      </c>
      <c r="K282" s="29" t="s">
        <v>7053</v>
      </c>
      <c r="L282" s="29" t="s">
        <v>7053</v>
      </c>
      <c r="M282" s="32" t="s">
        <v>7043</v>
      </c>
      <c r="N282" s="30">
        <v>46023.0</v>
      </c>
      <c r="O282" s="30">
        <v>46387.0</v>
      </c>
      <c r="P282" s="29" t="s">
        <v>7053</v>
      </c>
      <c r="Q282" s="29" t="s">
        <v>7053</v>
      </c>
      <c r="R282" s="32" t="s">
        <v>7043</v>
      </c>
      <c r="S282" s="30">
        <v>46388.0</v>
      </c>
      <c r="T282" s="30">
        <v>46752.0</v>
      </c>
      <c r="U282" s="29" t="s">
        <v>7053</v>
      </c>
      <c r="V282" s="29" t="s">
        <v>7053</v>
      </c>
      <c r="W282" s="32" t="s">
        <v>7043</v>
      </c>
      <c r="X282" s="30">
        <v>46753.0</v>
      </c>
      <c r="Y282" s="30">
        <v>47118.0</v>
      </c>
      <c r="Z282" s="29" t="s">
        <v>7053</v>
      </c>
      <c r="AA282" s="29" t="s">
        <v>7053</v>
      </c>
      <c r="AB282" s="32" t="s">
        <v>7043</v>
      </c>
      <c r="AC282" s="30">
        <v>47119.0</v>
      </c>
      <c r="AD282" s="30">
        <v>47483.0</v>
      </c>
      <c r="AE282" s="29" t="s">
        <v>7053</v>
      </c>
      <c r="AF282" s="29" t="s">
        <v>7053</v>
      </c>
      <c r="AG282" s="32" t="s">
        <v>7043</v>
      </c>
      <c r="AH282" s="30">
        <v>47484.0</v>
      </c>
      <c r="AI282" s="30">
        <v>47848.0</v>
      </c>
      <c r="AJ282" s="29" t="s">
        <v>7053</v>
      </c>
      <c r="AK282" s="29" t="s">
        <v>7053</v>
      </c>
      <c r="AL282" s="32" t="s">
        <v>7043</v>
      </c>
    </row>
    <row r="283" ht="14.25" customHeight="1">
      <c r="A283" s="28" t="s">
        <v>5367</v>
      </c>
      <c r="B283" s="29" t="s">
        <v>5368</v>
      </c>
      <c r="C283" s="29" t="s">
        <v>7041</v>
      </c>
      <c r="D283" s="30">
        <v>45292.0</v>
      </c>
      <c r="E283" s="30">
        <v>45657.0</v>
      </c>
      <c r="F283" s="29" t="s">
        <v>7073</v>
      </c>
      <c r="G283" s="29" t="s">
        <v>7051</v>
      </c>
      <c r="H283" s="37" t="s">
        <v>7046</v>
      </c>
      <c r="I283" s="30">
        <v>45658.0</v>
      </c>
      <c r="J283" s="30">
        <v>46022.0</v>
      </c>
      <c r="K283" s="29" t="s">
        <v>7066</v>
      </c>
      <c r="L283" s="29" t="s">
        <v>7053</v>
      </c>
      <c r="M283" s="38" t="s">
        <v>7047</v>
      </c>
      <c r="N283" s="30">
        <v>46023.0</v>
      </c>
      <c r="O283" s="30">
        <v>46387.0</v>
      </c>
      <c r="P283" s="29" t="s">
        <v>7053</v>
      </c>
      <c r="Q283" s="29" t="s">
        <v>7053</v>
      </c>
      <c r="R283" s="32" t="s">
        <v>7043</v>
      </c>
      <c r="S283" s="30">
        <v>46388.0</v>
      </c>
      <c r="T283" s="30">
        <v>46752.0</v>
      </c>
      <c r="U283" s="29" t="s">
        <v>7053</v>
      </c>
      <c r="V283" s="29" t="s">
        <v>7053</v>
      </c>
      <c r="W283" s="32" t="s">
        <v>7043</v>
      </c>
      <c r="X283" s="30">
        <v>46753.0</v>
      </c>
      <c r="Y283" s="30">
        <v>47118.0</v>
      </c>
      <c r="Z283" s="29" t="s">
        <v>7053</v>
      </c>
      <c r="AA283" s="29" t="s">
        <v>7053</v>
      </c>
      <c r="AB283" s="32" t="s">
        <v>7043</v>
      </c>
      <c r="AC283" s="30">
        <v>47119.0</v>
      </c>
      <c r="AD283" s="30">
        <v>47483.0</v>
      </c>
      <c r="AE283" s="29" t="s">
        <v>7053</v>
      </c>
      <c r="AF283" s="29" t="s">
        <v>7053</v>
      </c>
      <c r="AG283" s="32" t="s">
        <v>7043</v>
      </c>
      <c r="AH283" s="30">
        <v>47484.0</v>
      </c>
      <c r="AI283" s="30">
        <v>47848.0</v>
      </c>
      <c r="AJ283" s="29" t="s">
        <v>7053</v>
      </c>
      <c r="AK283" s="29" t="s">
        <v>7053</v>
      </c>
      <c r="AL283" s="32" t="s">
        <v>7043</v>
      </c>
    </row>
    <row r="284" ht="14.25" customHeight="1">
      <c r="A284" s="28" t="s">
        <v>5379</v>
      </c>
      <c r="B284" s="29" t="s">
        <v>5380</v>
      </c>
      <c r="C284" s="29" t="s">
        <v>7041</v>
      </c>
      <c r="D284" s="30">
        <v>45292.0</v>
      </c>
      <c r="E284" s="30">
        <v>45657.0</v>
      </c>
      <c r="F284" s="29" t="s">
        <v>7164</v>
      </c>
      <c r="G284" s="29" t="s">
        <v>7051</v>
      </c>
      <c r="H284" s="38" t="s">
        <v>7047</v>
      </c>
      <c r="I284" s="30">
        <v>45658.0</v>
      </c>
      <c r="J284" s="30">
        <v>46022.0</v>
      </c>
      <c r="K284" s="29" t="s">
        <v>7128</v>
      </c>
      <c r="L284" s="29" t="s">
        <v>7053</v>
      </c>
      <c r="M284" s="38" t="s">
        <v>7047</v>
      </c>
      <c r="N284" s="30">
        <v>46023.0</v>
      </c>
      <c r="O284" s="30">
        <v>46387.0</v>
      </c>
      <c r="P284" s="29" t="s">
        <v>7053</v>
      </c>
      <c r="Q284" s="29" t="s">
        <v>7053</v>
      </c>
      <c r="R284" s="32" t="s">
        <v>7043</v>
      </c>
      <c r="S284" s="30">
        <v>46388.0</v>
      </c>
      <c r="T284" s="30">
        <v>46752.0</v>
      </c>
      <c r="U284" s="29" t="s">
        <v>7053</v>
      </c>
      <c r="V284" s="29" t="s">
        <v>7053</v>
      </c>
      <c r="W284" s="32" t="s">
        <v>7043</v>
      </c>
      <c r="X284" s="30">
        <v>46753.0</v>
      </c>
      <c r="Y284" s="30">
        <v>47118.0</v>
      </c>
      <c r="Z284" s="29" t="s">
        <v>7053</v>
      </c>
      <c r="AA284" s="29" t="s">
        <v>7053</v>
      </c>
      <c r="AB284" s="32" t="s">
        <v>7043</v>
      </c>
      <c r="AC284" s="30">
        <v>47119.0</v>
      </c>
      <c r="AD284" s="30">
        <v>47483.0</v>
      </c>
      <c r="AE284" s="29" t="s">
        <v>7053</v>
      </c>
      <c r="AF284" s="29" t="s">
        <v>7053</v>
      </c>
      <c r="AG284" s="32" t="s">
        <v>7043</v>
      </c>
      <c r="AH284" s="30">
        <v>47484.0</v>
      </c>
      <c r="AI284" s="30">
        <v>47848.0</v>
      </c>
      <c r="AJ284" s="29" t="s">
        <v>7053</v>
      </c>
      <c r="AK284" s="29" t="s">
        <v>7053</v>
      </c>
      <c r="AL284" s="32" t="s">
        <v>7043</v>
      </c>
    </row>
    <row r="285" ht="14.25" customHeight="1">
      <c r="A285" s="28" t="s">
        <v>5399</v>
      </c>
      <c r="B285" s="29" t="s">
        <v>5400</v>
      </c>
      <c r="C285" s="29" t="s">
        <v>7041</v>
      </c>
      <c r="D285" s="30">
        <v>45292.0</v>
      </c>
      <c r="E285" s="30">
        <v>45657.0</v>
      </c>
      <c r="F285" s="29" t="s">
        <v>7061</v>
      </c>
      <c r="G285" s="29" t="s">
        <v>7141</v>
      </c>
      <c r="H285" s="38" t="s">
        <v>7047</v>
      </c>
      <c r="I285" s="30">
        <v>45658.0</v>
      </c>
      <c r="J285" s="30">
        <v>46022.0</v>
      </c>
      <c r="K285" s="29" t="s">
        <v>7058</v>
      </c>
      <c r="L285" s="29" t="s">
        <v>7053</v>
      </c>
      <c r="M285" s="38" t="s">
        <v>7047</v>
      </c>
      <c r="N285" s="30">
        <v>46023.0</v>
      </c>
      <c r="O285" s="30">
        <v>46387.0</v>
      </c>
      <c r="P285" s="29" t="s">
        <v>7053</v>
      </c>
      <c r="Q285" s="29" t="s">
        <v>7053</v>
      </c>
      <c r="R285" s="32" t="s">
        <v>7043</v>
      </c>
      <c r="S285" s="30">
        <v>46388.0</v>
      </c>
      <c r="T285" s="30">
        <v>46752.0</v>
      </c>
      <c r="U285" s="29" t="s">
        <v>7053</v>
      </c>
      <c r="V285" s="29" t="s">
        <v>7053</v>
      </c>
      <c r="W285" s="32" t="s">
        <v>7043</v>
      </c>
      <c r="X285" s="30">
        <v>46753.0</v>
      </c>
      <c r="Y285" s="30">
        <v>47118.0</v>
      </c>
      <c r="Z285" s="29" t="s">
        <v>7053</v>
      </c>
      <c r="AA285" s="29" t="s">
        <v>7053</v>
      </c>
      <c r="AB285" s="32" t="s">
        <v>7043</v>
      </c>
      <c r="AC285" s="30">
        <v>47119.0</v>
      </c>
      <c r="AD285" s="30">
        <v>47483.0</v>
      </c>
      <c r="AE285" s="29" t="s">
        <v>7053</v>
      </c>
      <c r="AF285" s="29" t="s">
        <v>7053</v>
      </c>
      <c r="AG285" s="32" t="s">
        <v>7043</v>
      </c>
      <c r="AH285" s="30">
        <v>47484.0</v>
      </c>
      <c r="AI285" s="30">
        <v>47848.0</v>
      </c>
      <c r="AJ285" s="29" t="s">
        <v>7053</v>
      </c>
      <c r="AK285" s="29" t="s">
        <v>7053</v>
      </c>
      <c r="AL285" s="32" t="s">
        <v>7043</v>
      </c>
    </row>
    <row r="286" ht="14.25" customHeight="1">
      <c r="A286" s="28" t="s">
        <v>5402</v>
      </c>
      <c r="B286" s="29" t="s">
        <v>5403</v>
      </c>
      <c r="C286" s="29" t="s">
        <v>7041</v>
      </c>
      <c r="D286" s="30">
        <v>45292.0</v>
      </c>
      <c r="E286" s="30">
        <v>45657.0</v>
      </c>
      <c r="F286" s="29" t="s">
        <v>7053</v>
      </c>
      <c r="G286" s="29" t="s">
        <v>7055</v>
      </c>
      <c r="H286" s="32" t="s">
        <v>7043</v>
      </c>
      <c r="I286" s="30">
        <v>45658.0</v>
      </c>
      <c r="J286" s="30">
        <v>46022.0</v>
      </c>
      <c r="K286" s="29" t="s">
        <v>7053</v>
      </c>
      <c r="L286" s="29" t="s">
        <v>7053</v>
      </c>
      <c r="M286" s="32" t="s">
        <v>7043</v>
      </c>
      <c r="N286" s="30">
        <v>46023.0</v>
      </c>
      <c r="O286" s="30">
        <v>46387.0</v>
      </c>
      <c r="P286" s="29" t="s">
        <v>7053</v>
      </c>
      <c r="Q286" s="29" t="s">
        <v>7053</v>
      </c>
      <c r="R286" s="32" t="s">
        <v>7043</v>
      </c>
      <c r="S286" s="30">
        <v>46388.0</v>
      </c>
      <c r="T286" s="30">
        <v>46752.0</v>
      </c>
      <c r="U286" s="29" t="s">
        <v>7053</v>
      </c>
      <c r="V286" s="29" t="s">
        <v>7053</v>
      </c>
      <c r="W286" s="32" t="s">
        <v>7043</v>
      </c>
      <c r="X286" s="30">
        <v>46753.0</v>
      </c>
      <c r="Y286" s="30">
        <v>47118.0</v>
      </c>
      <c r="Z286" s="29" t="s">
        <v>7053</v>
      </c>
      <c r="AA286" s="29" t="s">
        <v>7053</v>
      </c>
      <c r="AB286" s="32" t="s">
        <v>7043</v>
      </c>
      <c r="AC286" s="30">
        <v>47119.0</v>
      </c>
      <c r="AD286" s="30">
        <v>47483.0</v>
      </c>
      <c r="AE286" s="29" t="s">
        <v>7053</v>
      </c>
      <c r="AF286" s="29" t="s">
        <v>7053</v>
      </c>
      <c r="AG286" s="32" t="s">
        <v>7043</v>
      </c>
      <c r="AH286" s="30">
        <v>47484.0</v>
      </c>
      <c r="AI286" s="30">
        <v>47848.0</v>
      </c>
      <c r="AJ286" s="29" t="s">
        <v>7053</v>
      </c>
      <c r="AK286" s="29" t="s">
        <v>7053</v>
      </c>
      <c r="AL286" s="32" t="s">
        <v>7043</v>
      </c>
    </row>
    <row r="287" ht="14.25" customHeight="1">
      <c r="A287" s="28" t="s">
        <v>5425</v>
      </c>
      <c r="B287" s="29" t="s">
        <v>5426</v>
      </c>
      <c r="C287" s="29" t="s">
        <v>7041</v>
      </c>
      <c r="D287" s="30">
        <v>45292.0</v>
      </c>
      <c r="E287" s="30">
        <v>45657.0</v>
      </c>
      <c r="F287" s="29" t="s">
        <v>7145</v>
      </c>
      <c r="G287" s="29" t="s">
        <v>7051</v>
      </c>
      <c r="H287" s="38" t="s">
        <v>7047</v>
      </c>
      <c r="I287" s="30">
        <v>45658.0</v>
      </c>
      <c r="J287" s="30">
        <v>46022.0</v>
      </c>
      <c r="K287" s="29" t="s">
        <v>7136</v>
      </c>
      <c r="L287" s="29" t="s">
        <v>7053</v>
      </c>
      <c r="M287" s="38" t="s">
        <v>7047</v>
      </c>
      <c r="N287" s="30">
        <v>46023.0</v>
      </c>
      <c r="O287" s="30">
        <v>46387.0</v>
      </c>
      <c r="P287" s="29" t="s">
        <v>7053</v>
      </c>
      <c r="Q287" s="29" t="s">
        <v>7053</v>
      </c>
      <c r="R287" s="32" t="s">
        <v>7043</v>
      </c>
      <c r="S287" s="30">
        <v>46388.0</v>
      </c>
      <c r="T287" s="30">
        <v>46752.0</v>
      </c>
      <c r="U287" s="29" t="s">
        <v>7053</v>
      </c>
      <c r="V287" s="29" t="s">
        <v>7053</v>
      </c>
      <c r="W287" s="32" t="s">
        <v>7043</v>
      </c>
      <c r="X287" s="30">
        <v>46753.0</v>
      </c>
      <c r="Y287" s="30">
        <v>47118.0</v>
      </c>
      <c r="Z287" s="29" t="s">
        <v>7053</v>
      </c>
      <c r="AA287" s="29" t="s">
        <v>7053</v>
      </c>
      <c r="AB287" s="32" t="s">
        <v>7043</v>
      </c>
      <c r="AC287" s="30">
        <v>47119.0</v>
      </c>
      <c r="AD287" s="30">
        <v>47483.0</v>
      </c>
      <c r="AE287" s="29" t="s">
        <v>7053</v>
      </c>
      <c r="AF287" s="29" t="s">
        <v>7053</v>
      </c>
      <c r="AG287" s="32" t="s">
        <v>7043</v>
      </c>
      <c r="AH287" s="30">
        <v>47484.0</v>
      </c>
      <c r="AI287" s="30">
        <v>47848.0</v>
      </c>
      <c r="AJ287" s="29" t="s">
        <v>7053</v>
      </c>
      <c r="AK287" s="29" t="s">
        <v>7053</v>
      </c>
      <c r="AL287" s="32" t="s">
        <v>7043</v>
      </c>
    </row>
    <row r="288" ht="14.25" customHeight="1">
      <c r="A288" s="28" t="s">
        <v>5434</v>
      </c>
      <c r="B288" s="29" t="s">
        <v>5435</v>
      </c>
      <c r="C288" s="29" t="s">
        <v>7041</v>
      </c>
      <c r="D288" s="30">
        <v>45292.0</v>
      </c>
      <c r="E288" s="30">
        <v>45657.0</v>
      </c>
      <c r="F288" s="29" t="s">
        <v>7101</v>
      </c>
      <c r="G288" s="29" t="s">
        <v>7051</v>
      </c>
      <c r="H288" s="32" t="s">
        <v>7043</v>
      </c>
      <c r="I288" s="30">
        <v>45658.0</v>
      </c>
      <c r="J288" s="30">
        <v>46022.0</v>
      </c>
      <c r="K288" s="29" t="s">
        <v>7097</v>
      </c>
      <c r="L288" s="29" t="s">
        <v>7053</v>
      </c>
      <c r="M288" s="38" t="s">
        <v>7047</v>
      </c>
      <c r="N288" s="30">
        <v>46023.0</v>
      </c>
      <c r="O288" s="30">
        <v>46387.0</v>
      </c>
      <c r="P288" s="29" t="s">
        <v>7053</v>
      </c>
      <c r="Q288" s="29" t="s">
        <v>7053</v>
      </c>
      <c r="R288" s="32" t="s">
        <v>7043</v>
      </c>
      <c r="S288" s="30">
        <v>46388.0</v>
      </c>
      <c r="T288" s="30">
        <v>46752.0</v>
      </c>
      <c r="U288" s="29" t="s">
        <v>7053</v>
      </c>
      <c r="V288" s="29" t="s">
        <v>7053</v>
      </c>
      <c r="W288" s="32" t="s">
        <v>7043</v>
      </c>
      <c r="X288" s="30">
        <v>46753.0</v>
      </c>
      <c r="Y288" s="30">
        <v>47118.0</v>
      </c>
      <c r="Z288" s="29" t="s">
        <v>7053</v>
      </c>
      <c r="AA288" s="29" t="s">
        <v>7053</v>
      </c>
      <c r="AB288" s="32" t="s">
        <v>7043</v>
      </c>
      <c r="AC288" s="30">
        <v>47119.0</v>
      </c>
      <c r="AD288" s="30">
        <v>47483.0</v>
      </c>
      <c r="AE288" s="29" t="s">
        <v>7053</v>
      </c>
      <c r="AF288" s="29" t="s">
        <v>7053</v>
      </c>
      <c r="AG288" s="32" t="s">
        <v>7043</v>
      </c>
      <c r="AH288" s="30">
        <v>47484.0</v>
      </c>
      <c r="AI288" s="30">
        <v>47848.0</v>
      </c>
      <c r="AJ288" s="29" t="s">
        <v>7053</v>
      </c>
      <c r="AK288" s="29" t="s">
        <v>7053</v>
      </c>
      <c r="AL288" s="32" t="s">
        <v>7043</v>
      </c>
    </row>
    <row r="289" ht="14.25" customHeight="1">
      <c r="A289" s="28" t="s">
        <v>5446</v>
      </c>
      <c r="B289" s="29" t="s">
        <v>5447</v>
      </c>
      <c r="C289" s="29" t="s">
        <v>7041</v>
      </c>
      <c r="D289" s="30">
        <v>45292.0</v>
      </c>
      <c r="E289" s="30">
        <v>45657.0</v>
      </c>
      <c r="F289" s="29" t="s">
        <v>7086</v>
      </c>
      <c r="G289" s="29" t="s">
        <v>7051</v>
      </c>
      <c r="H289" s="32" t="s">
        <v>7043</v>
      </c>
      <c r="I289" s="30">
        <v>45658.0</v>
      </c>
      <c r="J289" s="30">
        <v>46022.0</v>
      </c>
      <c r="K289" s="29" t="s">
        <v>7080</v>
      </c>
      <c r="L289" s="29" t="s">
        <v>7053</v>
      </c>
      <c r="M289" s="38" t="s">
        <v>7047</v>
      </c>
      <c r="N289" s="30">
        <v>46023.0</v>
      </c>
      <c r="O289" s="30">
        <v>46387.0</v>
      </c>
      <c r="P289" s="29" t="s">
        <v>7053</v>
      </c>
      <c r="Q289" s="29" t="s">
        <v>7053</v>
      </c>
      <c r="R289" s="32" t="s">
        <v>7043</v>
      </c>
      <c r="S289" s="30">
        <v>46388.0</v>
      </c>
      <c r="T289" s="30">
        <v>46752.0</v>
      </c>
      <c r="U289" s="29" t="s">
        <v>7053</v>
      </c>
      <c r="V289" s="29" t="s">
        <v>7053</v>
      </c>
      <c r="W289" s="32" t="s">
        <v>7043</v>
      </c>
      <c r="X289" s="30">
        <v>46753.0</v>
      </c>
      <c r="Y289" s="30">
        <v>47118.0</v>
      </c>
      <c r="Z289" s="29" t="s">
        <v>7053</v>
      </c>
      <c r="AA289" s="29" t="s">
        <v>7053</v>
      </c>
      <c r="AB289" s="32" t="s">
        <v>7043</v>
      </c>
      <c r="AC289" s="30">
        <v>47119.0</v>
      </c>
      <c r="AD289" s="30">
        <v>47483.0</v>
      </c>
      <c r="AE289" s="29" t="s">
        <v>7053</v>
      </c>
      <c r="AF289" s="29" t="s">
        <v>7053</v>
      </c>
      <c r="AG289" s="32" t="s">
        <v>7043</v>
      </c>
      <c r="AH289" s="30">
        <v>47484.0</v>
      </c>
      <c r="AI289" s="30">
        <v>47848.0</v>
      </c>
      <c r="AJ289" s="29" t="s">
        <v>7053</v>
      </c>
      <c r="AK289" s="29" t="s">
        <v>7053</v>
      </c>
      <c r="AL289" s="32" t="s">
        <v>7043</v>
      </c>
    </row>
    <row r="290" ht="14.25" customHeight="1">
      <c r="A290" s="28" t="s">
        <v>5450</v>
      </c>
      <c r="B290" s="29" t="s">
        <v>5451</v>
      </c>
      <c r="C290" s="29" t="s">
        <v>7041</v>
      </c>
      <c r="D290" s="30">
        <v>45292.0</v>
      </c>
      <c r="E290" s="30">
        <v>45657.0</v>
      </c>
      <c r="F290" s="29" t="s">
        <v>7056</v>
      </c>
      <c r="G290" s="29" t="s">
        <v>7164</v>
      </c>
      <c r="H290" s="32" t="s">
        <v>7043</v>
      </c>
      <c r="I290" s="30">
        <v>45658.0</v>
      </c>
      <c r="J290" s="30">
        <v>46022.0</v>
      </c>
      <c r="K290" s="29" t="s">
        <v>7052</v>
      </c>
      <c r="L290" s="29" t="s">
        <v>7053</v>
      </c>
      <c r="M290" s="38" t="s">
        <v>7047</v>
      </c>
      <c r="N290" s="30">
        <v>46023.0</v>
      </c>
      <c r="O290" s="30">
        <v>46387.0</v>
      </c>
      <c r="P290" s="29" t="s">
        <v>7053</v>
      </c>
      <c r="Q290" s="29" t="s">
        <v>7053</v>
      </c>
      <c r="R290" s="32" t="s">
        <v>7043</v>
      </c>
      <c r="S290" s="30">
        <v>46388.0</v>
      </c>
      <c r="T290" s="30">
        <v>46752.0</v>
      </c>
      <c r="U290" s="29" t="s">
        <v>7053</v>
      </c>
      <c r="V290" s="29" t="s">
        <v>7053</v>
      </c>
      <c r="W290" s="32" t="s">
        <v>7043</v>
      </c>
      <c r="X290" s="30">
        <v>46753.0</v>
      </c>
      <c r="Y290" s="30">
        <v>47118.0</v>
      </c>
      <c r="Z290" s="29" t="s">
        <v>7053</v>
      </c>
      <c r="AA290" s="29" t="s">
        <v>7053</v>
      </c>
      <c r="AB290" s="32" t="s">
        <v>7043</v>
      </c>
      <c r="AC290" s="30">
        <v>47119.0</v>
      </c>
      <c r="AD290" s="30">
        <v>47483.0</v>
      </c>
      <c r="AE290" s="29" t="s">
        <v>7053</v>
      </c>
      <c r="AF290" s="29" t="s">
        <v>7053</v>
      </c>
      <c r="AG290" s="32" t="s">
        <v>7043</v>
      </c>
      <c r="AH290" s="30">
        <v>47484.0</v>
      </c>
      <c r="AI290" s="30">
        <v>47848.0</v>
      </c>
      <c r="AJ290" s="29" t="s">
        <v>7053</v>
      </c>
      <c r="AK290" s="29" t="s">
        <v>7053</v>
      </c>
      <c r="AL290" s="32" t="s">
        <v>7043</v>
      </c>
    </row>
    <row r="291" ht="14.25" customHeight="1">
      <c r="A291" s="28" t="s">
        <v>5454</v>
      </c>
      <c r="B291" s="29" t="s">
        <v>5455</v>
      </c>
      <c r="C291" s="29" t="s">
        <v>7041</v>
      </c>
      <c r="D291" s="30">
        <v>45292.0</v>
      </c>
      <c r="E291" s="30">
        <v>45657.0</v>
      </c>
      <c r="F291" s="29" t="s">
        <v>7101</v>
      </c>
      <c r="G291" s="29" t="s">
        <v>7055</v>
      </c>
      <c r="H291" s="32" t="s">
        <v>7043</v>
      </c>
      <c r="I291" s="30">
        <v>45658.0</v>
      </c>
      <c r="J291" s="30">
        <v>46022.0</v>
      </c>
      <c r="K291" s="29" t="s">
        <v>7095</v>
      </c>
      <c r="L291" s="29" t="s">
        <v>7053</v>
      </c>
      <c r="M291" s="38" t="s">
        <v>7047</v>
      </c>
      <c r="N291" s="30">
        <v>46023.0</v>
      </c>
      <c r="O291" s="30">
        <v>46387.0</v>
      </c>
      <c r="P291" s="29" t="s">
        <v>7053</v>
      </c>
      <c r="Q291" s="29" t="s">
        <v>7053</v>
      </c>
      <c r="R291" s="32" t="s">
        <v>7043</v>
      </c>
      <c r="S291" s="30">
        <v>46388.0</v>
      </c>
      <c r="T291" s="30">
        <v>46752.0</v>
      </c>
      <c r="U291" s="29" t="s">
        <v>7053</v>
      </c>
      <c r="V291" s="29" t="s">
        <v>7053</v>
      </c>
      <c r="W291" s="32" t="s">
        <v>7043</v>
      </c>
      <c r="X291" s="30">
        <v>46753.0</v>
      </c>
      <c r="Y291" s="30">
        <v>47118.0</v>
      </c>
      <c r="Z291" s="29" t="s">
        <v>7053</v>
      </c>
      <c r="AA291" s="29" t="s">
        <v>7053</v>
      </c>
      <c r="AB291" s="32" t="s">
        <v>7043</v>
      </c>
      <c r="AC291" s="30">
        <v>47119.0</v>
      </c>
      <c r="AD291" s="30">
        <v>47483.0</v>
      </c>
      <c r="AE291" s="29" t="s">
        <v>7053</v>
      </c>
      <c r="AF291" s="29" t="s">
        <v>7053</v>
      </c>
      <c r="AG291" s="32" t="s">
        <v>7043</v>
      </c>
      <c r="AH291" s="30">
        <v>47484.0</v>
      </c>
      <c r="AI291" s="30">
        <v>47848.0</v>
      </c>
      <c r="AJ291" s="29" t="s">
        <v>7053</v>
      </c>
      <c r="AK291" s="29" t="s">
        <v>7053</v>
      </c>
      <c r="AL291" s="32" t="s">
        <v>7043</v>
      </c>
    </row>
    <row r="292" ht="14.25" customHeight="1">
      <c r="A292" s="28" t="s">
        <v>5498</v>
      </c>
      <c r="B292" s="29" t="s">
        <v>5499</v>
      </c>
      <c r="C292" s="29" t="s">
        <v>7041</v>
      </c>
      <c r="D292" s="30">
        <v>45292.0</v>
      </c>
      <c r="E292" s="30">
        <v>45657.0</v>
      </c>
      <c r="F292" s="29" t="s">
        <v>7064</v>
      </c>
      <c r="G292" s="29" t="s">
        <v>7051</v>
      </c>
      <c r="H292" s="32" t="s">
        <v>7043</v>
      </c>
      <c r="I292" s="30">
        <v>45658.0</v>
      </c>
      <c r="J292" s="30">
        <v>46022.0</v>
      </c>
      <c r="K292" s="29" t="s">
        <v>7075</v>
      </c>
      <c r="L292" s="29" t="s">
        <v>7053</v>
      </c>
      <c r="M292" s="38" t="s">
        <v>7047</v>
      </c>
      <c r="N292" s="30">
        <v>46023.0</v>
      </c>
      <c r="O292" s="30">
        <v>46387.0</v>
      </c>
      <c r="P292" s="29" t="s">
        <v>7053</v>
      </c>
      <c r="Q292" s="29" t="s">
        <v>7053</v>
      </c>
      <c r="R292" s="32" t="s">
        <v>7043</v>
      </c>
      <c r="S292" s="30">
        <v>46388.0</v>
      </c>
      <c r="T292" s="30">
        <v>46752.0</v>
      </c>
      <c r="U292" s="29" t="s">
        <v>7053</v>
      </c>
      <c r="V292" s="29" t="s">
        <v>7053</v>
      </c>
      <c r="W292" s="32" t="s">
        <v>7043</v>
      </c>
      <c r="X292" s="30">
        <v>46753.0</v>
      </c>
      <c r="Y292" s="30">
        <v>47118.0</v>
      </c>
      <c r="Z292" s="29" t="s">
        <v>7053</v>
      </c>
      <c r="AA292" s="29" t="s">
        <v>7053</v>
      </c>
      <c r="AB292" s="32" t="s">
        <v>7043</v>
      </c>
      <c r="AC292" s="30">
        <v>47119.0</v>
      </c>
      <c r="AD292" s="30">
        <v>47483.0</v>
      </c>
      <c r="AE292" s="29" t="s">
        <v>7053</v>
      </c>
      <c r="AF292" s="29" t="s">
        <v>7053</v>
      </c>
      <c r="AG292" s="32" t="s">
        <v>7043</v>
      </c>
      <c r="AH292" s="30">
        <v>47484.0</v>
      </c>
      <c r="AI292" s="30">
        <v>47848.0</v>
      </c>
      <c r="AJ292" s="29" t="s">
        <v>7053</v>
      </c>
      <c r="AK292" s="29" t="s">
        <v>7053</v>
      </c>
      <c r="AL292" s="32" t="s">
        <v>7043</v>
      </c>
    </row>
    <row r="293" ht="14.25" customHeight="1">
      <c r="A293" s="28" t="s">
        <v>5504</v>
      </c>
      <c r="B293" s="29" t="s">
        <v>5505</v>
      </c>
      <c r="C293" s="29" t="s">
        <v>7041</v>
      </c>
      <c r="D293" s="30">
        <v>45292.0</v>
      </c>
      <c r="E293" s="30">
        <v>45657.0</v>
      </c>
      <c r="F293" s="29" t="s">
        <v>7082</v>
      </c>
      <c r="G293" s="29" t="s">
        <v>7051</v>
      </c>
      <c r="H293" s="38" t="s">
        <v>7047</v>
      </c>
      <c r="I293" s="30">
        <v>45658.0</v>
      </c>
      <c r="J293" s="30">
        <v>46022.0</v>
      </c>
      <c r="K293" s="29" t="s">
        <v>7161</v>
      </c>
      <c r="L293" s="29" t="s">
        <v>7053</v>
      </c>
      <c r="M293" s="38" t="s">
        <v>7047</v>
      </c>
      <c r="N293" s="30">
        <v>46023.0</v>
      </c>
      <c r="O293" s="30">
        <v>46387.0</v>
      </c>
      <c r="P293" s="29" t="s">
        <v>7053</v>
      </c>
      <c r="Q293" s="29" t="s">
        <v>7053</v>
      </c>
      <c r="R293" s="32" t="s">
        <v>7043</v>
      </c>
      <c r="S293" s="30">
        <v>46388.0</v>
      </c>
      <c r="T293" s="30">
        <v>46752.0</v>
      </c>
      <c r="U293" s="29" t="s">
        <v>7053</v>
      </c>
      <c r="V293" s="29" t="s">
        <v>7053</v>
      </c>
      <c r="W293" s="32" t="s">
        <v>7043</v>
      </c>
      <c r="X293" s="30">
        <v>46753.0</v>
      </c>
      <c r="Y293" s="30">
        <v>47118.0</v>
      </c>
      <c r="Z293" s="29" t="s">
        <v>7053</v>
      </c>
      <c r="AA293" s="29" t="s">
        <v>7053</v>
      </c>
      <c r="AB293" s="32" t="s">
        <v>7043</v>
      </c>
      <c r="AC293" s="30">
        <v>47119.0</v>
      </c>
      <c r="AD293" s="30">
        <v>47483.0</v>
      </c>
      <c r="AE293" s="29" t="s">
        <v>7053</v>
      </c>
      <c r="AF293" s="29" t="s">
        <v>7053</v>
      </c>
      <c r="AG293" s="32" t="s">
        <v>7043</v>
      </c>
      <c r="AH293" s="30">
        <v>47484.0</v>
      </c>
      <c r="AI293" s="30">
        <v>47848.0</v>
      </c>
      <c r="AJ293" s="29" t="s">
        <v>7053</v>
      </c>
      <c r="AK293" s="29" t="s">
        <v>7053</v>
      </c>
      <c r="AL293" s="32" t="s">
        <v>7043</v>
      </c>
    </row>
    <row r="294" ht="14.25" customHeight="1">
      <c r="A294" s="28" t="s">
        <v>5507</v>
      </c>
      <c r="B294" s="29" t="s">
        <v>5508</v>
      </c>
      <c r="C294" s="29" t="s">
        <v>7041</v>
      </c>
      <c r="D294" s="30">
        <v>45292.0</v>
      </c>
      <c r="E294" s="30">
        <v>45657.0</v>
      </c>
      <c r="F294" s="29" t="s">
        <v>7119</v>
      </c>
      <c r="G294" s="29" t="s">
        <v>7051</v>
      </c>
      <c r="H294" s="32" t="s">
        <v>7043</v>
      </c>
      <c r="I294" s="30">
        <v>45658.0</v>
      </c>
      <c r="J294" s="30">
        <v>46022.0</v>
      </c>
      <c r="K294" s="29" t="s">
        <v>7074</v>
      </c>
      <c r="L294" s="29" t="s">
        <v>7053</v>
      </c>
      <c r="M294" s="38" t="s">
        <v>7047</v>
      </c>
      <c r="N294" s="30">
        <v>46023.0</v>
      </c>
      <c r="O294" s="30">
        <v>46387.0</v>
      </c>
      <c r="P294" s="29" t="s">
        <v>7053</v>
      </c>
      <c r="Q294" s="29" t="s">
        <v>7053</v>
      </c>
      <c r="R294" s="32" t="s">
        <v>7043</v>
      </c>
      <c r="S294" s="30">
        <v>46388.0</v>
      </c>
      <c r="T294" s="30">
        <v>46752.0</v>
      </c>
      <c r="U294" s="29" t="s">
        <v>7053</v>
      </c>
      <c r="V294" s="29" t="s">
        <v>7053</v>
      </c>
      <c r="W294" s="32" t="s">
        <v>7043</v>
      </c>
      <c r="X294" s="30">
        <v>46753.0</v>
      </c>
      <c r="Y294" s="30">
        <v>47118.0</v>
      </c>
      <c r="Z294" s="29" t="s">
        <v>7053</v>
      </c>
      <c r="AA294" s="29" t="s">
        <v>7053</v>
      </c>
      <c r="AB294" s="32" t="s">
        <v>7043</v>
      </c>
      <c r="AC294" s="30">
        <v>47119.0</v>
      </c>
      <c r="AD294" s="30">
        <v>47483.0</v>
      </c>
      <c r="AE294" s="29" t="s">
        <v>7053</v>
      </c>
      <c r="AF294" s="29" t="s">
        <v>7053</v>
      </c>
      <c r="AG294" s="32" t="s">
        <v>7043</v>
      </c>
      <c r="AH294" s="30">
        <v>47484.0</v>
      </c>
      <c r="AI294" s="30">
        <v>47848.0</v>
      </c>
      <c r="AJ294" s="29" t="s">
        <v>7053</v>
      </c>
      <c r="AK294" s="29" t="s">
        <v>7053</v>
      </c>
      <c r="AL294" s="32" t="s">
        <v>7043</v>
      </c>
    </row>
    <row r="295" ht="14.25" customHeight="1">
      <c r="A295" s="28" t="s">
        <v>5513</v>
      </c>
      <c r="B295" s="29" t="s">
        <v>5514</v>
      </c>
      <c r="C295" s="29" t="s">
        <v>7041</v>
      </c>
      <c r="D295" s="30">
        <v>45292.0</v>
      </c>
      <c r="E295" s="30">
        <v>45657.0</v>
      </c>
      <c r="F295" s="29" t="s">
        <v>7054</v>
      </c>
      <c r="G295" s="29" t="s">
        <v>7051</v>
      </c>
      <c r="H295" s="32" t="s">
        <v>7043</v>
      </c>
      <c r="I295" s="30">
        <v>45658.0</v>
      </c>
      <c r="J295" s="30">
        <v>46022.0</v>
      </c>
      <c r="K295" s="29" t="s">
        <v>7072</v>
      </c>
      <c r="L295" s="29" t="s">
        <v>7053</v>
      </c>
      <c r="M295" s="38" t="s">
        <v>7047</v>
      </c>
      <c r="N295" s="30">
        <v>46023.0</v>
      </c>
      <c r="O295" s="30">
        <v>46387.0</v>
      </c>
      <c r="P295" s="29" t="s">
        <v>7053</v>
      </c>
      <c r="Q295" s="29" t="s">
        <v>7053</v>
      </c>
      <c r="R295" s="32" t="s">
        <v>7043</v>
      </c>
      <c r="S295" s="30">
        <v>46388.0</v>
      </c>
      <c r="T295" s="30">
        <v>46752.0</v>
      </c>
      <c r="U295" s="29" t="s">
        <v>7053</v>
      </c>
      <c r="V295" s="29" t="s">
        <v>7053</v>
      </c>
      <c r="W295" s="32" t="s">
        <v>7043</v>
      </c>
      <c r="X295" s="30">
        <v>46753.0</v>
      </c>
      <c r="Y295" s="30">
        <v>47118.0</v>
      </c>
      <c r="Z295" s="29" t="s">
        <v>7053</v>
      </c>
      <c r="AA295" s="29" t="s">
        <v>7053</v>
      </c>
      <c r="AB295" s="32" t="s">
        <v>7043</v>
      </c>
      <c r="AC295" s="30">
        <v>47119.0</v>
      </c>
      <c r="AD295" s="30">
        <v>47483.0</v>
      </c>
      <c r="AE295" s="29" t="s">
        <v>7053</v>
      </c>
      <c r="AF295" s="29" t="s">
        <v>7053</v>
      </c>
      <c r="AG295" s="32" t="s">
        <v>7043</v>
      </c>
      <c r="AH295" s="30">
        <v>47484.0</v>
      </c>
      <c r="AI295" s="30">
        <v>47848.0</v>
      </c>
      <c r="AJ295" s="29" t="s">
        <v>7053</v>
      </c>
      <c r="AK295" s="29" t="s">
        <v>7053</v>
      </c>
      <c r="AL295" s="32" t="s">
        <v>7043</v>
      </c>
    </row>
    <row r="296" ht="14.25" customHeight="1">
      <c r="A296" s="28" t="s">
        <v>5531</v>
      </c>
      <c r="B296" s="29" t="s">
        <v>5532</v>
      </c>
      <c r="C296" s="29" t="s">
        <v>7041</v>
      </c>
      <c r="D296" s="30">
        <v>45292.0</v>
      </c>
      <c r="E296" s="30">
        <v>45657.0</v>
      </c>
      <c r="F296" s="29" t="s">
        <v>7101</v>
      </c>
      <c r="G296" s="29" t="s">
        <v>7051</v>
      </c>
      <c r="H296" s="32" t="s">
        <v>7043</v>
      </c>
      <c r="I296" s="30">
        <v>45658.0</v>
      </c>
      <c r="J296" s="30">
        <v>46022.0</v>
      </c>
      <c r="K296" s="29" t="s">
        <v>7101</v>
      </c>
      <c r="L296" s="29" t="s">
        <v>7053</v>
      </c>
      <c r="M296" s="38" t="s">
        <v>7047</v>
      </c>
      <c r="N296" s="30">
        <v>46023.0</v>
      </c>
      <c r="O296" s="30">
        <v>46387.0</v>
      </c>
      <c r="P296" s="29" t="s">
        <v>7053</v>
      </c>
      <c r="Q296" s="29" t="s">
        <v>7053</v>
      </c>
      <c r="R296" s="32" t="s">
        <v>7043</v>
      </c>
      <c r="S296" s="30">
        <v>46388.0</v>
      </c>
      <c r="T296" s="30">
        <v>46752.0</v>
      </c>
      <c r="U296" s="29" t="s">
        <v>7053</v>
      </c>
      <c r="V296" s="29" t="s">
        <v>7053</v>
      </c>
      <c r="W296" s="32" t="s">
        <v>7043</v>
      </c>
      <c r="X296" s="30">
        <v>46753.0</v>
      </c>
      <c r="Y296" s="30">
        <v>47118.0</v>
      </c>
      <c r="Z296" s="29" t="s">
        <v>7053</v>
      </c>
      <c r="AA296" s="29" t="s">
        <v>7053</v>
      </c>
      <c r="AB296" s="32" t="s">
        <v>7043</v>
      </c>
      <c r="AC296" s="30">
        <v>47119.0</v>
      </c>
      <c r="AD296" s="30">
        <v>47483.0</v>
      </c>
      <c r="AE296" s="29" t="s">
        <v>7053</v>
      </c>
      <c r="AF296" s="29" t="s">
        <v>7053</v>
      </c>
      <c r="AG296" s="32" t="s">
        <v>7043</v>
      </c>
      <c r="AH296" s="30">
        <v>47484.0</v>
      </c>
      <c r="AI296" s="30">
        <v>47848.0</v>
      </c>
      <c r="AJ296" s="29" t="s">
        <v>7053</v>
      </c>
      <c r="AK296" s="29" t="s">
        <v>7053</v>
      </c>
      <c r="AL296" s="32" t="s">
        <v>7043</v>
      </c>
    </row>
    <row r="297" ht="14.25" customHeight="1">
      <c r="A297" s="28" t="s">
        <v>5556</v>
      </c>
      <c r="B297" s="29" t="s">
        <v>5557</v>
      </c>
      <c r="C297" s="29" t="s">
        <v>7041</v>
      </c>
      <c r="D297" s="30">
        <v>45292.0</v>
      </c>
      <c r="E297" s="30">
        <v>45657.0</v>
      </c>
      <c r="F297" s="29" t="s">
        <v>7062</v>
      </c>
      <c r="G297" s="29" t="s">
        <v>7051</v>
      </c>
      <c r="H297" s="32" t="s">
        <v>7043</v>
      </c>
      <c r="I297" s="30">
        <v>45658.0</v>
      </c>
      <c r="J297" s="30">
        <v>46022.0</v>
      </c>
      <c r="K297" s="29" t="s">
        <v>7089</v>
      </c>
      <c r="L297" s="29" t="s">
        <v>7053</v>
      </c>
      <c r="M297" s="38" t="s">
        <v>7047</v>
      </c>
      <c r="N297" s="30">
        <v>46023.0</v>
      </c>
      <c r="O297" s="30">
        <v>46387.0</v>
      </c>
      <c r="P297" s="29" t="s">
        <v>7053</v>
      </c>
      <c r="Q297" s="29" t="s">
        <v>7053</v>
      </c>
      <c r="R297" s="32" t="s">
        <v>7043</v>
      </c>
      <c r="S297" s="30">
        <v>46388.0</v>
      </c>
      <c r="T297" s="30">
        <v>46752.0</v>
      </c>
      <c r="U297" s="29" t="s">
        <v>7053</v>
      </c>
      <c r="V297" s="29" t="s">
        <v>7053</v>
      </c>
      <c r="W297" s="32" t="s">
        <v>7043</v>
      </c>
      <c r="X297" s="30">
        <v>46753.0</v>
      </c>
      <c r="Y297" s="30">
        <v>47118.0</v>
      </c>
      <c r="Z297" s="29" t="s">
        <v>7053</v>
      </c>
      <c r="AA297" s="29" t="s">
        <v>7053</v>
      </c>
      <c r="AB297" s="32" t="s">
        <v>7043</v>
      </c>
      <c r="AC297" s="30">
        <v>47119.0</v>
      </c>
      <c r="AD297" s="30">
        <v>47483.0</v>
      </c>
      <c r="AE297" s="29" t="s">
        <v>7053</v>
      </c>
      <c r="AF297" s="29" t="s">
        <v>7053</v>
      </c>
      <c r="AG297" s="32" t="s">
        <v>7043</v>
      </c>
      <c r="AH297" s="30">
        <v>47484.0</v>
      </c>
      <c r="AI297" s="30">
        <v>47848.0</v>
      </c>
      <c r="AJ297" s="29" t="s">
        <v>7053</v>
      </c>
      <c r="AK297" s="29" t="s">
        <v>7053</v>
      </c>
      <c r="AL297" s="32" t="s">
        <v>7043</v>
      </c>
    </row>
    <row r="298" ht="14.25" customHeight="1">
      <c r="A298" s="28" t="s">
        <v>5569</v>
      </c>
      <c r="B298" s="29" t="s">
        <v>5570</v>
      </c>
      <c r="C298" s="29" t="s">
        <v>7041</v>
      </c>
      <c r="D298" s="30">
        <v>45292.0</v>
      </c>
      <c r="E298" s="30">
        <v>45657.0</v>
      </c>
      <c r="F298" s="29" t="s">
        <v>7095</v>
      </c>
      <c r="G298" s="29" t="s">
        <v>7051</v>
      </c>
      <c r="H298" s="32" t="s">
        <v>7043</v>
      </c>
      <c r="I298" s="30">
        <v>45658.0</v>
      </c>
      <c r="J298" s="30">
        <v>46022.0</v>
      </c>
      <c r="K298" s="29" t="s">
        <v>7079</v>
      </c>
      <c r="L298" s="29" t="s">
        <v>7053</v>
      </c>
      <c r="M298" s="38" t="s">
        <v>7047</v>
      </c>
      <c r="N298" s="30">
        <v>46023.0</v>
      </c>
      <c r="O298" s="30">
        <v>46387.0</v>
      </c>
      <c r="P298" s="29" t="s">
        <v>7053</v>
      </c>
      <c r="Q298" s="29" t="s">
        <v>7053</v>
      </c>
      <c r="R298" s="32" t="s">
        <v>7043</v>
      </c>
      <c r="S298" s="30">
        <v>46388.0</v>
      </c>
      <c r="T298" s="30">
        <v>46752.0</v>
      </c>
      <c r="U298" s="29" t="s">
        <v>7053</v>
      </c>
      <c r="V298" s="29" t="s">
        <v>7053</v>
      </c>
      <c r="W298" s="32" t="s">
        <v>7043</v>
      </c>
      <c r="X298" s="30">
        <v>46753.0</v>
      </c>
      <c r="Y298" s="30">
        <v>47118.0</v>
      </c>
      <c r="Z298" s="29" t="s">
        <v>7053</v>
      </c>
      <c r="AA298" s="29" t="s">
        <v>7053</v>
      </c>
      <c r="AB298" s="32" t="s">
        <v>7043</v>
      </c>
      <c r="AC298" s="30">
        <v>47119.0</v>
      </c>
      <c r="AD298" s="30">
        <v>47483.0</v>
      </c>
      <c r="AE298" s="29" t="s">
        <v>7053</v>
      </c>
      <c r="AF298" s="29" t="s">
        <v>7053</v>
      </c>
      <c r="AG298" s="32" t="s">
        <v>7043</v>
      </c>
      <c r="AH298" s="30">
        <v>47484.0</v>
      </c>
      <c r="AI298" s="30">
        <v>47848.0</v>
      </c>
      <c r="AJ298" s="29" t="s">
        <v>7053</v>
      </c>
      <c r="AK298" s="29" t="s">
        <v>7053</v>
      </c>
      <c r="AL298" s="32" t="s">
        <v>7043</v>
      </c>
    </row>
    <row r="299" ht="14.25" customHeight="1">
      <c r="A299" s="28" t="s">
        <v>5579</v>
      </c>
      <c r="B299" s="29" t="s">
        <v>5580</v>
      </c>
      <c r="C299" s="29" t="s">
        <v>7041</v>
      </c>
      <c r="D299" s="30">
        <v>45292.0</v>
      </c>
      <c r="E299" s="30">
        <v>45657.0</v>
      </c>
      <c r="F299" s="29" t="s">
        <v>7165</v>
      </c>
      <c r="G299" s="29" t="s">
        <v>7125</v>
      </c>
      <c r="H299" s="38" t="s">
        <v>7047</v>
      </c>
      <c r="I299" s="30">
        <v>45658.0</v>
      </c>
      <c r="J299" s="30">
        <v>46022.0</v>
      </c>
      <c r="K299" s="29" t="s">
        <v>7166</v>
      </c>
      <c r="L299" s="29" t="s">
        <v>7053</v>
      </c>
      <c r="M299" s="38" t="s">
        <v>7047</v>
      </c>
      <c r="N299" s="30">
        <v>46023.0</v>
      </c>
      <c r="O299" s="30">
        <v>46387.0</v>
      </c>
      <c r="P299" s="29" t="s">
        <v>7053</v>
      </c>
      <c r="Q299" s="29" t="s">
        <v>7053</v>
      </c>
      <c r="R299" s="32" t="s">
        <v>7043</v>
      </c>
      <c r="S299" s="30">
        <v>46388.0</v>
      </c>
      <c r="T299" s="30">
        <v>46752.0</v>
      </c>
      <c r="U299" s="29" t="s">
        <v>7053</v>
      </c>
      <c r="V299" s="29" t="s">
        <v>7053</v>
      </c>
      <c r="W299" s="32" t="s">
        <v>7043</v>
      </c>
      <c r="X299" s="30">
        <v>46753.0</v>
      </c>
      <c r="Y299" s="30">
        <v>47118.0</v>
      </c>
      <c r="Z299" s="29" t="s">
        <v>7053</v>
      </c>
      <c r="AA299" s="29" t="s">
        <v>7053</v>
      </c>
      <c r="AB299" s="32" t="s">
        <v>7043</v>
      </c>
      <c r="AC299" s="30">
        <v>47119.0</v>
      </c>
      <c r="AD299" s="30">
        <v>47483.0</v>
      </c>
      <c r="AE299" s="29" t="s">
        <v>7053</v>
      </c>
      <c r="AF299" s="29" t="s">
        <v>7053</v>
      </c>
      <c r="AG299" s="32" t="s">
        <v>7043</v>
      </c>
      <c r="AH299" s="30">
        <v>47484.0</v>
      </c>
      <c r="AI299" s="30">
        <v>47848.0</v>
      </c>
      <c r="AJ299" s="29" t="s">
        <v>7053</v>
      </c>
      <c r="AK299" s="29" t="s">
        <v>7053</v>
      </c>
      <c r="AL299" s="32" t="s">
        <v>7043</v>
      </c>
    </row>
    <row r="300" ht="14.25" customHeight="1">
      <c r="A300" s="28" t="s">
        <v>5616</v>
      </c>
      <c r="B300" s="29" t="s">
        <v>5617</v>
      </c>
      <c r="C300" s="29" t="s">
        <v>7041</v>
      </c>
      <c r="D300" s="30">
        <v>45292.0</v>
      </c>
      <c r="E300" s="30">
        <v>45657.0</v>
      </c>
      <c r="F300" s="29" t="s">
        <v>7117</v>
      </c>
      <c r="G300" s="29" t="s">
        <v>7051</v>
      </c>
      <c r="H300" s="32" t="s">
        <v>7043</v>
      </c>
      <c r="I300" s="30">
        <v>45658.0</v>
      </c>
      <c r="J300" s="30">
        <v>46022.0</v>
      </c>
      <c r="K300" s="29" t="s">
        <v>7062</v>
      </c>
      <c r="L300" s="29" t="s">
        <v>7053</v>
      </c>
      <c r="M300" s="38" t="s">
        <v>7047</v>
      </c>
      <c r="N300" s="30">
        <v>46023.0</v>
      </c>
      <c r="O300" s="30">
        <v>46387.0</v>
      </c>
      <c r="P300" s="29" t="s">
        <v>7053</v>
      </c>
      <c r="Q300" s="29" t="s">
        <v>7053</v>
      </c>
      <c r="R300" s="32" t="s">
        <v>7043</v>
      </c>
      <c r="S300" s="30">
        <v>46388.0</v>
      </c>
      <c r="T300" s="30">
        <v>46752.0</v>
      </c>
      <c r="U300" s="29" t="s">
        <v>7053</v>
      </c>
      <c r="V300" s="29" t="s">
        <v>7053</v>
      </c>
      <c r="W300" s="32" t="s">
        <v>7043</v>
      </c>
      <c r="X300" s="30">
        <v>46753.0</v>
      </c>
      <c r="Y300" s="30">
        <v>47118.0</v>
      </c>
      <c r="Z300" s="29" t="s">
        <v>7053</v>
      </c>
      <c r="AA300" s="29" t="s">
        <v>7053</v>
      </c>
      <c r="AB300" s="32" t="s">
        <v>7043</v>
      </c>
      <c r="AC300" s="30">
        <v>47119.0</v>
      </c>
      <c r="AD300" s="30">
        <v>47483.0</v>
      </c>
      <c r="AE300" s="29" t="s">
        <v>7053</v>
      </c>
      <c r="AF300" s="29" t="s">
        <v>7053</v>
      </c>
      <c r="AG300" s="32" t="s">
        <v>7043</v>
      </c>
      <c r="AH300" s="30">
        <v>47484.0</v>
      </c>
      <c r="AI300" s="30">
        <v>47848.0</v>
      </c>
      <c r="AJ300" s="29" t="s">
        <v>7053</v>
      </c>
      <c r="AK300" s="29" t="s">
        <v>7053</v>
      </c>
      <c r="AL300" s="32" t="s">
        <v>7043</v>
      </c>
    </row>
    <row r="301" ht="14.25" customHeight="1">
      <c r="A301" s="28" t="s">
        <v>5619</v>
      </c>
      <c r="B301" s="29" t="s">
        <v>5620</v>
      </c>
      <c r="C301" s="29" t="s">
        <v>7041</v>
      </c>
      <c r="D301" s="30">
        <v>45292.0</v>
      </c>
      <c r="E301" s="30">
        <v>45657.0</v>
      </c>
      <c r="F301" s="29" t="s">
        <v>7126</v>
      </c>
      <c r="G301" s="29" t="s">
        <v>7051</v>
      </c>
      <c r="H301" s="37" t="s">
        <v>7046</v>
      </c>
      <c r="I301" s="30">
        <v>45658.0</v>
      </c>
      <c r="J301" s="30">
        <v>46022.0</v>
      </c>
      <c r="K301" s="29" t="s">
        <v>7073</v>
      </c>
      <c r="L301" s="29" t="s">
        <v>7053</v>
      </c>
      <c r="M301" s="38" t="s">
        <v>7047</v>
      </c>
      <c r="N301" s="30">
        <v>46023.0</v>
      </c>
      <c r="O301" s="30">
        <v>46387.0</v>
      </c>
      <c r="P301" s="29" t="s">
        <v>7053</v>
      </c>
      <c r="Q301" s="29" t="s">
        <v>7053</v>
      </c>
      <c r="R301" s="32" t="s">
        <v>7043</v>
      </c>
      <c r="S301" s="30">
        <v>46388.0</v>
      </c>
      <c r="T301" s="30">
        <v>46752.0</v>
      </c>
      <c r="U301" s="29" t="s">
        <v>7053</v>
      </c>
      <c r="V301" s="29" t="s">
        <v>7053</v>
      </c>
      <c r="W301" s="32" t="s">
        <v>7043</v>
      </c>
      <c r="X301" s="30">
        <v>46753.0</v>
      </c>
      <c r="Y301" s="30">
        <v>47118.0</v>
      </c>
      <c r="Z301" s="29" t="s">
        <v>7053</v>
      </c>
      <c r="AA301" s="29" t="s">
        <v>7053</v>
      </c>
      <c r="AB301" s="32" t="s">
        <v>7043</v>
      </c>
      <c r="AC301" s="30">
        <v>47119.0</v>
      </c>
      <c r="AD301" s="30">
        <v>47483.0</v>
      </c>
      <c r="AE301" s="29" t="s">
        <v>7053</v>
      </c>
      <c r="AF301" s="29" t="s">
        <v>7053</v>
      </c>
      <c r="AG301" s="32" t="s">
        <v>7043</v>
      </c>
      <c r="AH301" s="30">
        <v>47484.0</v>
      </c>
      <c r="AI301" s="30">
        <v>47848.0</v>
      </c>
      <c r="AJ301" s="29" t="s">
        <v>7053</v>
      </c>
      <c r="AK301" s="29" t="s">
        <v>7053</v>
      </c>
      <c r="AL301" s="32" t="s">
        <v>7043</v>
      </c>
    </row>
    <row r="302" ht="14.25" customHeight="1">
      <c r="A302" s="28" t="s">
        <v>5650</v>
      </c>
      <c r="B302" s="29" t="s">
        <v>5651</v>
      </c>
      <c r="C302" s="29" t="s">
        <v>7041</v>
      </c>
      <c r="D302" s="30">
        <v>45292.0</v>
      </c>
      <c r="E302" s="30">
        <v>45657.0</v>
      </c>
      <c r="F302" s="29" t="s">
        <v>7111</v>
      </c>
      <c r="G302" s="29" t="s">
        <v>7164</v>
      </c>
      <c r="H302" s="32" t="s">
        <v>7043</v>
      </c>
      <c r="I302" s="30">
        <v>45658.0</v>
      </c>
      <c r="J302" s="30">
        <v>46022.0</v>
      </c>
      <c r="K302" s="29" t="s">
        <v>7101</v>
      </c>
      <c r="L302" s="29" t="s">
        <v>7053</v>
      </c>
      <c r="M302" s="38" t="s">
        <v>7047</v>
      </c>
      <c r="N302" s="30">
        <v>46023.0</v>
      </c>
      <c r="O302" s="30">
        <v>46387.0</v>
      </c>
      <c r="P302" s="29" t="s">
        <v>7053</v>
      </c>
      <c r="Q302" s="29" t="s">
        <v>7053</v>
      </c>
      <c r="R302" s="32" t="s">
        <v>7043</v>
      </c>
      <c r="S302" s="30">
        <v>46388.0</v>
      </c>
      <c r="T302" s="30">
        <v>46752.0</v>
      </c>
      <c r="U302" s="29" t="s">
        <v>7053</v>
      </c>
      <c r="V302" s="29" t="s">
        <v>7053</v>
      </c>
      <c r="W302" s="32" t="s">
        <v>7043</v>
      </c>
      <c r="X302" s="30">
        <v>46753.0</v>
      </c>
      <c r="Y302" s="30">
        <v>47118.0</v>
      </c>
      <c r="Z302" s="29" t="s">
        <v>7053</v>
      </c>
      <c r="AA302" s="29" t="s">
        <v>7053</v>
      </c>
      <c r="AB302" s="32" t="s">
        <v>7043</v>
      </c>
      <c r="AC302" s="30">
        <v>47119.0</v>
      </c>
      <c r="AD302" s="30">
        <v>47483.0</v>
      </c>
      <c r="AE302" s="29" t="s">
        <v>7053</v>
      </c>
      <c r="AF302" s="29" t="s">
        <v>7053</v>
      </c>
      <c r="AG302" s="32" t="s">
        <v>7043</v>
      </c>
      <c r="AH302" s="30">
        <v>47484.0</v>
      </c>
      <c r="AI302" s="30">
        <v>47848.0</v>
      </c>
      <c r="AJ302" s="29" t="s">
        <v>7053</v>
      </c>
      <c r="AK302" s="29" t="s">
        <v>7053</v>
      </c>
      <c r="AL302" s="32" t="s">
        <v>7043</v>
      </c>
    </row>
    <row r="303" ht="14.25" customHeight="1">
      <c r="A303" s="28" t="s">
        <v>5672</v>
      </c>
      <c r="B303" s="29" t="s">
        <v>5673</v>
      </c>
      <c r="C303" s="29" t="s">
        <v>7041</v>
      </c>
      <c r="D303" s="30">
        <v>45292.0</v>
      </c>
      <c r="E303" s="30">
        <v>45657.0</v>
      </c>
      <c r="F303" s="29" t="s">
        <v>7053</v>
      </c>
      <c r="G303" s="29" t="s">
        <v>7055</v>
      </c>
      <c r="H303" s="32" t="s">
        <v>7043</v>
      </c>
      <c r="I303" s="30">
        <v>45658.0</v>
      </c>
      <c r="J303" s="30">
        <v>46022.0</v>
      </c>
      <c r="K303" s="29" t="s">
        <v>7053</v>
      </c>
      <c r="L303" s="29" t="s">
        <v>7053</v>
      </c>
      <c r="M303" s="32" t="s">
        <v>7043</v>
      </c>
      <c r="N303" s="30">
        <v>46023.0</v>
      </c>
      <c r="O303" s="30">
        <v>46387.0</v>
      </c>
      <c r="P303" s="29" t="s">
        <v>7053</v>
      </c>
      <c r="Q303" s="29" t="s">
        <v>7053</v>
      </c>
      <c r="R303" s="32" t="s">
        <v>7043</v>
      </c>
      <c r="S303" s="30">
        <v>46388.0</v>
      </c>
      <c r="T303" s="30">
        <v>46752.0</v>
      </c>
      <c r="U303" s="29" t="s">
        <v>7053</v>
      </c>
      <c r="V303" s="29" t="s">
        <v>7053</v>
      </c>
      <c r="W303" s="32" t="s">
        <v>7043</v>
      </c>
      <c r="X303" s="30">
        <v>46753.0</v>
      </c>
      <c r="Y303" s="30">
        <v>47118.0</v>
      </c>
      <c r="Z303" s="29" t="s">
        <v>7053</v>
      </c>
      <c r="AA303" s="29" t="s">
        <v>7053</v>
      </c>
      <c r="AB303" s="32" t="s">
        <v>7043</v>
      </c>
      <c r="AC303" s="30">
        <v>47119.0</v>
      </c>
      <c r="AD303" s="30">
        <v>47483.0</v>
      </c>
      <c r="AE303" s="29" t="s">
        <v>7053</v>
      </c>
      <c r="AF303" s="29" t="s">
        <v>7053</v>
      </c>
      <c r="AG303" s="32" t="s">
        <v>7043</v>
      </c>
      <c r="AH303" s="30">
        <v>47484.0</v>
      </c>
      <c r="AI303" s="30">
        <v>47848.0</v>
      </c>
      <c r="AJ303" s="29" t="s">
        <v>7053</v>
      </c>
      <c r="AK303" s="29" t="s">
        <v>7053</v>
      </c>
      <c r="AL303" s="32" t="s">
        <v>7043</v>
      </c>
    </row>
    <row r="304" ht="14.25" customHeight="1">
      <c r="A304" s="28" t="s">
        <v>1884</v>
      </c>
      <c r="B304" s="29" t="s">
        <v>1885</v>
      </c>
      <c r="C304" s="29" t="s">
        <v>7041</v>
      </c>
      <c r="D304" s="30">
        <v>45292.0</v>
      </c>
      <c r="E304" s="30">
        <v>45657.0</v>
      </c>
      <c r="F304" s="29" t="s">
        <v>7104</v>
      </c>
      <c r="G304" s="29" t="s">
        <v>7051</v>
      </c>
      <c r="H304" s="32" t="s">
        <v>7043</v>
      </c>
      <c r="I304" s="30">
        <v>45658.0</v>
      </c>
      <c r="J304" s="30">
        <v>46022.0</v>
      </c>
      <c r="K304" s="29" t="s">
        <v>7088</v>
      </c>
      <c r="L304" s="29" t="s">
        <v>7053</v>
      </c>
      <c r="M304" s="38" t="s">
        <v>7047</v>
      </c>
      <c r="N304" s="30">
        <v>46023.0</v>
      </c>
      <c r="O304" s="30">
        <v>46387.0</v>
      </c>
      <c r="P304" s="29" t="s">
        <v>7053</v>
      </c>
      <c r="Q304" s="29" t="s">
        <v>7053</v>
      </c>
      <c r="R304" s="32" t="s">
        <v>7043</v>
      </c>
      <c r="S304" s="30">
        <v>46388.0</v>
      </c>
      <c r="T304" s="30">
        <v>46752.0</v>
      </c>
      <c r="U304" s="29" t="s">
        <v>7053</v>
      </c>
      <c r="V304" s="29" t="s">
        <v>7053</v>
      </c>
      <c r="W304" s="32" t="s">
        <v>7043</v>
      </c>
      <c r="X304" s="30">
        <v>46753.0</v>
      </c>
      <c r="Y304" s="30">
        <v>47118.0</v>
      </c>
      <c r="Z304" s="29" t="s">
        <v>7053</v>
      </c>
      <c r="AA304" s="29" t="s">
        <v>7053</v>
      </c>
      <c r="AB304" s="32" t="s">
        <v>7043</v>
      </c>
      <c r="AC304" s="30">
        <v>47119.0</v>
      </c>
      <c r="AD304" s="30">
        <v>47483.0</v>
      </c>
      <c r="AE304" s="29" t="s">
        <v>7053</v>
      </c>
      <c r="AF304" s="29" t="s">
        <v>7053</v>
      </c>
      <c r="AG304" s="32" t="s">
        <v>7043</v>
      </c>
      <c r="AH304" s="30">
        <v>47484.0</v>
      </c>
      <c r="AI304" s="30">
        <v>47848.0</v>
      </c>
      <c r="AJ304" s="29" t="s">
        <v>7053</v>
      </c>
      <c r="AK304" s="29" t="s">
        <v>7053</v>
      </c>
      <c r="AL304" s="32" t="s">
        <v>7043</v>
      </c>
    </row>
    <row r="305" ht="14.25" customHeight="1">
      <c r="A305" s="28" t="s">
        <v>5717</v>
      </c>
      <c r="B305" s="29" t="s">
        <v>5718</v>
      </c>
      <c r="C305" s="29" t="s">
        <v>7041</v>
      </c>
      <c r="D305" s="30">
        <v>45292.0</v>
      </c>
      <c r="E305" s="30">
        <v>45657.0</v>
      </c>
      <c r="F305" s="29" t="s">
        <v>7111</v>
      </c>
      <c r="G305" s="29" t="s">
        <v>7051</v>
      </c>
      <c r="H305" s="32" t="s">
        <v>7043</v>
      </c>
      <c r="I305" s="30">
        <v>45658.0</v>
      </c>
      <c r="J305" s="30">
        <v>46022.0</v>
      </c>
      <c r="K305" s="29" t="s">
        <v>7095</v>
      </c>
      <c r="L305" s="29" t="s">
        <v>7053</v>
      </c>
      <c r="M305" s="38" t="s">
        <v>7047</v>
      </c>
      <c r="N305" s="30">
        <v>46023.0</v>
      </c>
      <c r="O305" s="30">
        <v>46387.0</v>
      </c>
      <c r="P305" s="29" t="s">
        <v>7053</v>
      </c>
      <c r="Q305" s="29" t="s">
        <v>7053</v>
      </c>
      <c r="R305" s="32" t="s">
        <v>7043</v>
      </c>
      <c r="S305" s="30">
        <v>46388.0</v>
      </c>
      <c r="T305" s="30">
        <v>46752.0</v>
      </c>
      <c r="U305" s="29" t="s">
        <v>7053</v>
      </c>
      <c r="V305" s="29" t="s">
        <v>7053</v>
      </c>
      <c r="W305" s="32" t="s">
        <v>7043</v>
      </c>
      <c r="X305" s="30">
        <v>46753.0</v>
      </c>
      <c r="Y305" s="30">
        <v>47118.0</v>
      </c>
      <c r="Z305" s="29" t="s">
        <v>7053</v>
      </c>
      <c r="AA305" s="29" t="s">
        <v>7053</v>
      </c>
      <c r="AB305" s="32" t="s">
        <v>7043</v>
      </c>
      <c r="AC305" s="30">
        <v>47119.0</v>
      </c>
      <c r="AD305" s="30">
        <v>47483.0</v>
      </c>
      <c r="AE305" s="29" t="s">
        <v>7053</v>
      </c>
      <c r="AF305" s="29" t="s">
        <v>7053</v>
      </c>
      <c r="AG305" s="32" t="s">
        <v>7043</v>
      </c>
      <c r="AH305" s="30">
        <v>47484.0</v>
      </c>
      <c r="AI305" s="30">
        <v>47848.0</v>
      </c>
      <c r="AJ305" s="29" t="s">
        <v>7053</v>
      </c>
      <c r="AK305" s="29" t="s">
        <v>7053</v>
      </c>
      <c r="AL305" s="32" t="s">
        <v>7043</v>
      </c>
    </row>
    <row r="306" ht="14.25" customHeight="1">
      <c r="A306" s="28" t="s">
        <v>5726</v>
      </c>
      <c r="B306" s="29" t="s">
        <v>5727</v>
      </c>
      <c r="C306" s="29" t="s">
        <v>7041</v>
      </c>
      <c r="D306" s="30">
        <v>45292.0</v>
      </c>
      <c r="E306" s="30">
        <v>45657.0</v>
      </c>
      <c r="F306" s="29" t="s">
        <v>7053</v>
      </c>
      <c r="G306" s="29" t="s">
        <v>7055</v>
      </c>
      <c r="H306" s="32" t="s">
        <v>7043</v>
      </c>
      <c r="I306" s="30">
        <v>45658.0</v>
      </c>
      <c r="J306" s="30">
        <v>46022.0</v>
      </c>
      <c r="K306" s="29" t="s">
        <v>7053</v>
      </c>
      <c r="L306" s="29" t="s">
        <v>7053</v>
      </c>
      <c r="M306" s="32" t="s">
        <v>7043</v>
      </c>
      <c r="N306" s="30">
        <v>46023.0</v>
      </c>
      <c r="O306" s="30">
        <v>46387.0</v>
      </c>
      <c r="P306" s="29" t="s">
        <v>7053</v>
      </c>
      <c r="Q306" s="29" t="s">
        <v>7053</v>
      </c>
      <c r="R306" s="32" t="s">
        <v>7043</v>
      </c>
      <c r="S306" s="30">
        <v>46388.0</v>
      </c>
      <c r="T306" s="30">
        <v>46752.0</v>
      </c>
      <c r="U306" s="29" t="s">
        <v>7053</v>
      </c>
      <c r="V306" s="29" t="s">
        <v>7053</v>
      </c>
      <c r="W306" s="32" t="s">
        <v>7043</v>
      </c>
      <c r="X306" s="30">
        <v>46753.0</v>
      </c>
      <c r="Y306" s="30">
        <v>47118.0</v>
      </c>
      <c r="Z306" s="29" t="s">
        <v>7053</v>
      </c>
      <c r="AA306" s="29" t="s">
        <v>7053</v>
      </c>
      <c r="AB306" s="32" t="s">
        <v>7043</v>
      </c>
      <c r="AC306" s="30">
        <v>47119.0</v>
      </c>
      <c r="AD306" s="30">
        <v>47483.0</v>
      </c>
      <c r="AE306" s="29" t="s">
        <v>7053</v>
      </c>
      <c r="AF306" s="29" t="s">
        <v>7053</v>
      </c>
      <c r="AG306" s="32" t="s">
        <v>7043</v>
      </c>
      <c r="AH306" s="30">
        <v>47484.0</v>
      </c>
      <c r="AI306" s="30">
        <v>47848.0</v>
      </c>
      <c r="AJ306" s="29" t="s">
        <v>7053</v>
      </c>
      <c r="AK306" s="29" t="s">
        <v>7053</v>
      </c>
      <c r="AL306" s="32" t="s">
        <v>7043</v>
      </c>
    </row>
    <row r="307" ht="14.25" customHeight="1">
      <c r="A307" s="28" t="s">
        <v>5729</v>
      </c>
      <c r="B307" s="29" t="s">
        <v>5730</v>
      </c>
      <c r="C307" s="29" t="s">
        <v>7041</v>
      </c>
      <c r="D307" s="30">
        <v>45292.0</v>
      </c>
      <c r="E307" s="30">
        <v>45657.0</v>
      </c>
      <c r="F307" s="29" t="s">
        <v>7052</v>
      </c>
      <c r="G307" s="29" t="s">
        <v>7051</v>
      </c>
      <c r="H307" s="32" t="s">
        <v>7043</v>
      </c>
      <c r="I307" s="30">
        <v>45658.0</v>
      </c>
      <c r="J307" s="30">
        <v>46022.0</v>
      </c>
      <c r="K307" s="29" t="s">
        <v>7072</v>
      </c>
      <c r="L307" s="29" t="s">
        <v>7053</v>
      </c>
      <c r="M307" s="38" t="s">
        <v>7047</v>
      </c>
      <c r="N307" s="30">
        <v>46023.0</v>
      </c>
      <c r="O307" s="30">
        <v>46387.0</v>
      </c>
      <c r="P307" s="29" t="s">
        <v>7053</v>
      </c>
      <c r="Q307" s="29" t="s">
        <v>7053</v>
      </c>
      <c r="R307" s="32" t="s">
        <v>7043</v>
      </c>
      <c r="S307" s="30">
        <v>46388.0</v>
      </c>
      <c r="T307" s="30">
        <v>46752.0</v>
      </c>
      <c r="U307" s="29" t="s">
        <v>7053</v>
      </c>
      <c r="V307" s="29" t="s">
        <v>7053</v>
      </c>
      <c r="W307" s="32" t="s">
        <v>7043</v>
      </c>
      <c r="X307" s="30">
        <v>46753.0</v>
      </c>
      <c r="Y307" s="30">
        <v>47118.0</v>
      </c>
      <c r="Z307" s="29" t="s">
        <v>7053</v>
      </c>
      <c r="AA307" s="29" t="s">
        <v>7053</v>
      </c>
      <c r="AB307" s="32" t="s">
        <v>7043</v>
      </c>
      <c r="AC307" s="30">
        <v>47119.0</v>
      </c>
      <c r="AD307" s="30">
        <v>47483.0</v>
      </c>
      <c r="AE307" s="29" t="s">
        <v>7053</v>
      </c>
      <c r="AF307" s="29" t="s">
        <v>7053</v>
      </c>
      <c r="AG307" s="32" t="s">
        <v>7043</v>
      </c>
      <c r="AH307" s="30">
        <v>47484.0</v>
      </c>
      <c r="AI307" s="30">
        <v>47848.0</v>
      </c>
      <c r="AJ307" s="29" t="s">
        <v>7053</v>
      </c>
      <c r="AK307" s="29" t="s">
        <v>7053</v>
      </c>
      <c r="AL307" s="32" t="s">
        <v>7043</v>
      </c>
    </row>
    <row r="308" ht="14.25" customHeight="1">
      <c r="A308" s="28" t="s">
        <v>5747</v>
      </c>
      <c r="B308" s="29" t="s">
        <v>5748</v>
      </c>
      <c r="C308" s="29" t="s">
        <v>7041</v>
      </c>
      <c r="D308" s="30">
        <v>45292.0</v>
      </c>
      <c r="E308" s="30">
        <v>45657.0</v>
      </c>
      <c r="F308" s="29" t="s">
        <v>7053</v>
      </c>
      <c r="G308" s="29" t="s">
        <v>7055</v>
      </c>
      <c r="H308" s="32" t="s">
        <v>7043</v>
      </c>
      <c r="I308" s="30">
        <v>45658.0</v>
      </c>
      <c r="J308" s="30">
        <v>46022.0</v>
      </c>
      <c r="K308" s="29" t="s">
        <v>7070</v>
      </c>
      <c r="L308" s="29" t="s">
        <v>7053</v>
      </c>
      <c r="M308" s="38" t="s">
        <v>7047</v>
      </c>
      <c r="N308" s="30">
        <v>46023.0</v>
      </c>
      <c r="O308" s="30">
        <v>46387.0</v>
      </c>
      <c r="P308" s="29" t="s">
        <v>7053</v>
      </c>
      <c r="Q308" s="29" t="s">
        <v>7053</v>
      </c>
      <c r="R308" s="32" t="s">
        <v>7043</v>
      </c>
      <c r="S308" s="30">
        <v>46388.0</v>
      </c>
      <c r="T308" s="30">
        <v>46752.0</v>
      </c>
      <c r="U308" s="29" t="s">
        <v>7053</v>
      </c>
      <c r="V308" s="29" t="s">
        <v>7053</v>
      </c>
      <c r="W308" s="32" t="s">
        <v>7043</v>
      </c>
      <c r="X308" s="30">
        <v>46753.0</v>
      </c>
      <c r="Y308" s="30">
        <v>47118.0</v>
      </c>
      <c r="Z308" s="29" t="s">
        <v>7053</v>
      </c>
      <c r="AA308" s="29" t="s">
        <v>7053</v>
      </c>
      <c r="AB308" s="32" t="s">
        <v>7043</v>
      </c>
      <c r="AC308" s="30">
        <v>47119.0</v>
      </c>
      <c r="AD308" s="30">
        <v>47483.0</v>
      </c>
      <c r="AE308" s="29" t="s">
        <v>7053</v>
      </c>
      <c r="AF308" s="29" t="s">
        <v>7053</v>
      </c>
      <c r="AG308" s="32" t="s">
        <v>7043</v>
      </c>
      <c r="AH308" s="30">
        <v>47484.0</v>
      </c>
      <c r="AI308" s="30">
        <v>47848.0</v>
      </c>
      <c r="AJ308" s="29" t="s">
        <v>7053</v>
      </c>
      <c r="AK308" s="29" t="s">
        <v>7053</v>
      </c>
      <c r="AL308" s="32" t="s">
        <v>7043</v>
      </c>
    </row>
    <row r="309" ht="14.25" customHeight="1">
      <c r="A309" s="28" t="s">
        <v>5757</v>
      </c>
      <c r="B309" s="29" t="s">
        <v>5758</v>
      </c>
      <c r="C309" s="29" t="s">
        <v>7041</v>
      </c>
      <c r="D309" s="30">
        <v>45292.0</v>
      </c>
      <c r="E309" s="30">
        <v>45657.0</v>
      </c>
      <c r="F309" s="29" t="s">
        <v>7112</v>
      </c>
      <c r="G309" s="29" t="s">
        <v>7051</v>
      </c>
      <c r="H309" s="38" t="s">
        <v>7047</v>
      </c>
      <c r="I309" s="30">
        <v>45658.0</v>
      </c>
      <c r="J309" s="30">
        <v>46022.0</v>
      </c>
      <c r="K309" s="29" t="s">
        <v>7112</v>
      </c>
      <c r="L309" s="29" t="s">
        <v>7053</v>
      </c>
      <c r="M309" s="38" t="s">
        <v>7047</v>
      </c>
      <c r="N309" s="30">
        <v>46023.0</v>
      </c>
      <c r="O309" s="30">
        <v>46387.0</v>
      </c>
      <c r="P309" s="29" t="s">
        <v>7053</v>
      </c>
      <c r="Q309" s="29" t="s">
        <v>7053</v>
      </c>
      <c r="R309" s="32" t="s">
        <v>7043</v>
      </c>
      <c r="S309" s="30">
        <v>46388.0</v>
      </c>
      <c r="T309" s="30">
        <v>46752.0</v>
      </c>
      <c r="U309" s="29" t="s">
        <v>7053</v>
      </c>
      <c r="V309" s="29" t="s">
        <v>7053</v>
      </c>
      <c r="W309" s="32" t="s">
        <v>7043</v>
      </c>
      <c r="X309" s="30">
        <v>46753.0</v>
      </c>
      <c r="Y309" s="30">
        <v>47118.0</v>
      </c>
      <c r="Z309" s="29" t="s">
        <v>7053</v>
      </c>
      <c r="AA309" s="29" t="s">
        <v>7053</v>
      </c>
      <c r="AB309" s="32" t="s">
        <v>7043</v>
      </c>
      <c r="AC309" s="30">
        <v>47119.0</v>
      </c>
      <c r="AD309" s="30">
        <v>47483.0</v>
      </c>
      <c r="AE309" s="29" t="s">
        <v>7053</v>
      </c>
      <c r="AF309" s="29" t="s">
        <v>7053</v>
      </c>
      <c r="AG309" s="32" t="s">
        <v>7043</v>
      </c>
      <c r="AH309" s="30">
        <v>47484.0</v>
      </c>
      <c r="AI309" s="30">
        <v>47848.0</v>
      </c>
      <c r="AJ309" s="29" t="s">
        <v>7053</v>
      </c>
      <c r="AK309" s="29" t="s">
        <v>7053</v>
      </c>
      <c r="AL309" s="32" t="s">
        <v>7043</v>
      </c>
    </row>
    <row r="310" ht="14.25" customHeight="1">
      <c r="A310" s="28" t="s">
        <v>5767</v>
      </c>
      <c r="B310" s="29" t="s">
        <v>5768</v>
      </c>
      <c r="C310" s="29" t="s">
        <v>7041</v>
      </c>
      <c r="D310" s="30">
        <v>45292.0</v>
      </c>
      <c r="E310" s="30">
        <v>45657.0</v>
      </c>
      <c r="F310" s="29" t="s">
        <v>7120</v>
      </c>
      <c r="G310" s="29" t="s">
        <v>7076</v>
      </c>
      <c r="H310" s="37" t="s">
        <v>7046</v>
      </c>
      <c r="I310" s="30">
        <v>45658.0</v>
      </c>
      <c r="J310" s="30">
        <v>46022.0</v>
      </c>
      <c r="K310" s="29" t="s">
        <v>7120</v>
      </c>
      <c r="L310" s="29" t="s">
        <v>7053</v>
      </c>
      <c r="M310" s="38" t="s">
        <v>7047</v>
      </c>
      <c r="N310" s="30">
        <v>46023.0</v>
      </c>
      <c r="O310" s="30">
        <v>46387.0</v>
      </c>
      <c r="P310" s="29" t="s">
        <v>7053</v>
      </c>
      <c r="Q310" s="29" t="s">
        <v>7053</v>
      </c>
      <c r="R310" s="32" t="s">
        <v>7043</v>
      </c>
      <c r="S310" s="30">
        <v>46388.0</v>
      </c>
      <c r="T310" s="30">
        <v>46752.0</v>
      </c>
      <c r="U310" s="29" t="s">
        <v>7053</v>
      </c>
      <c r="V310" s="29" t="s">
        <v>7053</v>
      </c>
      <c r="W310" s="32" t="s">
        <v>7043</v>
      </c>
      <c r="X310" s="30">
        <v>46753.0</v>
      </c>
      <c r="Y310" s="30">
        <v>47118.0</v>
      </c>
      <c r="Z310" s="29" t="s">
        <v>7053</v>
      </c>
      <c r="AA310" s="29" t="s">
        <v>7053</v>
      </c>
      <c r="AB310" s="32" t="s">
        <v>7043</v>
      </c>
      <c r="AC310" s="30">
        <v>47119.0</v>
      </c>
      <c r="AD310" s="30">
        <v>47483.0</v>
      </c>
      <c r="AE310" s="29" t="s">
        <v>7053</v>
      </c>
      <c r="AF310" s="29" t="s">
        <v>7053</v>
      </c>
      <c r="AG310" s="32" t="s">
        <v>7043</v>
      </c>
      <c r="AH310" s="30">
        <v>47484.0</v>
      </c>
      <c r="AI310" s="30">
        <v>47848.0</v>
      </c>
      <c r="AJ310" s="29" t="s">
        <v>7053</v>
      </c>
      <c r="AK310" s="29" t="s">
        <v>7053</v>
      </c>
      <c r="AL310" s="32" t="s">
        <v>7043</v>
      </c>
    </row>
    <row r="311" ht="14.25" customHeight="1">
      <c r="A311" s="28" t="s">
        <v>5783</v>
      </c>
      <c r="B311" s="29" t="s">
        <v>5784</v>
      </c>
      <c r="C311" s="29" t="s">
        <v>7041</v>
      </c>
      <c r="D311" s="30">
        <v>45292.0</v>
      </c>
      <c r="E311" s="30">
        <v>45657.0</v>
      </c>
      <c r="F311" s="29" t="s">
        <v>7072</v>
      </c>
      <c r="G311" s="29" t="s">
        <v>7051</v>
      </c>
      <c r="H311" s="32" t="s">
        <v>7043</v>
      </c>
      <c r="I311" s="30">
        <v>45658.0</v>
      </c>
      <c r="J311" s="30">
        <v>46022.0</v>
      </c>
      <c r="K311" s="29" t="s">
        <v>7104</v>
      </c>
      <c r="L311" s="29" t="s">
        <v>7053</v>
      </c>
      <c r="M311" s="38" t="s">
        <v>7047</v>
      </c>
      <c r="N311" s="30">
        <v>46023.0</v>
      </c>
      <c r="O311" s="30">
        <v>46387.0</v>
      </c>
      <c r="P311" s="29" t="s">
        <v>7053</v>
      </c>
      <c r="Q311" s="29" t="s">
        <v>7053</v>
      </c>
      <c r="R311" s="32" t="s">
        <v>7043</v>
      </c>
      <c r="S311" s="30">
        <v>46388.0</v>
      </c>
      <c r="T311" s="30">
        <v>46752.0</v>
      </c>
      <c r="U311" s="29" t="s">
        <v>7053</v>
      </c>
      <c r="V311" s="29" t="s">
        <v>7053</v>
      </c>
      <c r="W311" s="32" t="s">
        <v>7043</v>
      </c>
      <c r="X311" s="30">
        <v>46753.0</v>
      </c>
      <c r="Y311" s="30">
        <v>47118.0</v>
      </c>
      <c r="Z311" s="29" t="s">
        <v>7053</v>
      </c>
      <c r="AA311" s="29" t="s">
        <v>7053</v>
      </c>
      <c r="AB311" s="32" t="s">
        <v>7043</v>
      </c>
      <c r="AC311" s="30">
        <v>47119.0</v>
      </c>
      <c r="AD311" s="30">
        <v>47483.0</v>
      </c>
      <c r="AE311" s="29" t="s">
        <v>7053</v>
      </c>
      <c r="AF311" s="29" t="s">
        <v>7053</v>
      </c>
      <c r="AG311" s="32" t="s">
        <v>7043</v>
      </c>
      <c r="AH311" s="30">
        <v>47484.0</v>
      </c>
      <c r="AI311" s="30">
        <v>47848.0</v>
      </c>
      <c r="AJ311" s="29" t="s">
        <v>7053</v>
      </c>
      <c r="AK311" s="29" t="s">
        <v>7053</v>
      </c>
      <c r="AL311" s="32" t="s">
        <v>7043</v>
      </c>
    </row>
    <row r="312" ht="14.25" customHeight="1">
      <c r="A312" s="28" t="s">
        <v>5802</v>
      </c>
      <c r="B312" s="29" t="s">
        <v>5803</v>
      </c>
      <c r="C312" s="29" t="s">
        <v>7041</v>
      </c>
      <c r="D312" s="30">
        <v>45292.0</v>
      </c>
      <c r="E312" s="30">
        <v>45657.0</v>
      </c>
      <c r="F312" s="29" t="s">
        <v>7100</v>
      </c>
      <c r="G312" s="29" t="s">
        <v>7051</v>
      </c>
      <c r="H312" s="32" t="s">
        <v>7043</v>
      </c>
      <c r="I312" s="30">
        <v>45658.0</v>
      </c>
      <c r="J312" s="30">
        <v>46022.0</v>
      </c>
      <c r="K312" s="29" t="s">
        <v>7101</v>
      </c>
      <c r="L312" s="29" t="s">
        <v>7053</v>
      </c>
      <c r="M312" s="38" t="s">
        <v>7047</v>
      </c>
      <c r="N312" s="30">
        <v>46023.0</v>
      </c>
      <c r="O312" s="30">
        <v>46387.0</v>
      </c>
      <c r="P312" s="29" t="s">
        <v>7053</v>
      </c>
      <c r="Q312" s="29" t="s">
        <v>7053</v>
      </c>
      <c r="R312" s="32" t="s">
        <v>7043</v>
      </c>
      <c r="S312" s="30">
        <v>46388.0</v>
      </c>
      <c r="T312" s="30">
        <v>46752.0</v>
      </c>
      <c r="U312" s="29" t="s">
        <v>7053</v>
      </c>
      <c r="V312" s="29" t="s">
        <v>7053</v>
      </c>
      <c r="W312" s="32" t="s">
        <v>7043</v>
      </c>
      <c r="X312" s="30">
        <v>46753.0</v>
      </c>
      <c r="Y312" s="30">
        <v>47118.0</v>
      </c>
      <c r="Z312" s="29" t="s">
        <v>7053</v>
      </c>
      <c r="AA312" s="29" t="s">
        <v>7053</v>
      </c>
      <c r="AB312" s="32" t="s">
        <v>7043</v>
      </c>
      <c r="AC312" s="30">
        <v>47119.0</v>
      </c>
      <c r="AD312" s="30">
        <v>47483.0</v>
      </c>
      <c r="AE312" s="29" t="s">
        <v>7053</v>
      </c>
      <c r="AF312" s="29" t="s">
        <v>7053</v>
      </c>
      <c r="AG312" s="32" t="s">
        <v>7043</v>
      </c>
      <c r="AH312" s="30">
        <v>47484.0</v>
      </c>
      <c r="AI312" s="30">
        <v>47848.0</v>
      </c>
      <c r="AJ312" s="29" t="s">
        <v>7053</v>
      </c>
      <c r="AK312" s="29" t="s">
        <v>7053</v>
      </c>
      <c r="AL312" s="32" t="s">
        <v>7043</v>
      </c>
    </row>
    <row r="313" ht="14.25" customHeight="1">
      <c r="A313" s="28" t="s">
        <v>5813</v>
      </c>
      <c r="B313" s="29" t="s">
        <v>5814</v>
      </c>
      <c r="C313" s="29" t="s">
        <v>7041</v>
      </c>
      <c r="D313" s="30">
        <v>45292.0</v>
      </c>
      <c r="E313" s="30">
        <v>45657.0</v>
      </c>
      <c r="F313" s="29" t="s">
        <v>7081</v>
      </c>
      <c r="G313" s="29" t="s">
        <v>7051</v>
      </c>
      <c r="H313" s="38" t="s">
        <v>7047</v>
      </c>
      <c r="I313" s="30">
        <v>45658.0</v>
      </c>
      <c r="J313" s="30">
        <v>46022.0</v>
      </c>
      <c r="K313" s="29" t="s">
        <v>7099</v>
      </c>
      <c r="L313" s="29" t="s">
        <v>7053</v>
      </c>
      <c r="M313" s="38" t="s">
        <v>7047</v>
      </c>
      <c r="N313" s="30">
        <v>46023.0</v>
      </c>
      <c r="O313" s="30">
        <v>46387.0</v>
      </c>
      <c r="P313" s="29" t="s">
        <v>7053</v>
      </c>
      <c r="Q313" s="29" t="s">
        <v>7053</v>
      </c>
      <c r="R313" s="32" t="s">
        <v>7043</v>
      </c>
      <c r="S313" s="30">
        <v>46388.0</v>
      </c>
      <c r="T313" s="30">
        <v>46752.0</v>
      </c>
      <c r="U313" s="29" t="s">
        <v>7053</v>
      </c>
      <c r="V313" s="29" t="s">
        <v>7053</v>
      </c>
      <c r="W313" s="32" t="s">
        <v>7043</v>
      </c>
      <c r="X313" s="30">
        <v>46753.0</v>
      </c>
      <c r="Y313" s="30">
        <v>47118.0</v>
      </c>
      <c r="Z313" s="29" t="s">
        <v>7053</v>
      </c>
      <c r="AA313" s="29" t="s">
        <v>7053</v>
      </c>
      <c r="AB313" s="32" t="s">
        <v>7043</v>
      </c>
      <c r="AC313" s="30">
        <v>47119.0</v>
      </c>
      <c r="AD313" s="30">
        <v>47483.0</v>
      </c>
      <c r="AE313" s="29" t="s">
        <v>7053</v>
      </c>
      <c r="AF313" s="29" t="s">
        <v>7053</v>
      </c>
      <c r="AG313" s="32" t="s">
        <v>7043</v>
      </c>
      <c r="AH313" s="30">
        <v>47484.0</v>
      </c>
      <c r="AI313" s="30">
        <v>47848.0</v>
      </c>
      <c r="AJ313" s="29" t="s">
        <v>7053</v>
      </c>
      <c r="AK313" s="29" t="s">
        <v>7053</v>
      </c>
      <c r="AL313" s="32" t="s">
        <v>7043</v>
      </c>
    </row>
    <row r="314" ht="14.25" customHeight="1">
      <c r="A314" s="28" t="s">
        <v>5838</v>
      </c>
      <c r="B314" s="29" t="s">
        <v>5839</v>
      </c>
      <c r="C314" s="29" t="s">
        <v>7041</v>
      </c>
      <c r="D314" s="30">
        <v>45292.0</v>
      </c>
      <c r="E314" s="30">
        <v>45657.0</v>
      </c>
      <c r="F314" s="29" t="s">
        <v>7136</v>
      </c>
      <c r="G314" s="29" t="s">
        <v>7055</v>
      </c>
      <c r="H314" s="37" t="s">
        <v>7046</v>
      </c>
      <c r="I314" s="30">
        <v>45658.0</v>
      </c>
      <c r="J314" s="30">
        <v>46022.0</v>
      </c>
      <c r="K314" s="29" t="s">
        <v>7122</v>
      </c>
      <c r="L314" s="29" t="s">
        <v>7053</v>
      </c>
      <c r="M314" s="38" t="s">
        <v>7047</v>
      </c>
      <c r="N314" s="30">
        <v>46023.0</v>
      </c>
      <c r="O314" s="30">
        <v>46387.0</v>
      </c>
      <c r="P314" s="29" t="s">
        <v>7053</v>
      </c>
      <c r="Q314" s="29" t="s">
        <v>7053</v>
      </c>
      <c r="R314" s="32" t="s">
        <v>7043</v>
      </c>
      <c r="S314" s="30">
        <v>46388.0</v>
      </c>
      <c r="T314" s="30">
        <v>46752.0</v>
      </c>
      <c r="U314" s="29" t="s">
        <v>7053</v>
      </c>
      <c r="V314" s="29" t="s">
        <v>7053</v>
      </c>
      <c r="W314" s="32" t="s">
        <v>7043</v>
      </c>
      <c r="X314" s="30">
        <v>46753.0</v>
      </c>
      <c r="Y314" s="30">
        <v>47118.0</v>
      </c>
      <c r="Z314" s="29" t="s">
        <v>7053</v>
      </c>
      <c r="AA314" s="29" t="s">
        <v>7053</v>
      </c>
      <c r="AB314" s="32" t="s">
        <v>7043</v>
      </c>
      <c r="AC314" s="30">
        <v>47119.0</v>
      </c>
      <c r="AD314" s="30">
        <v>47483.0</v>
      </c>
      <c r="AE314" s="29" t="s">
        <v>7053</v>
      </c>
      <c r="AF314" s="29" t="s">
        <v>7053</v>
      </c>
      <c r="AG314" s="32" t="s">
        <v>7043</v>
      </c>
      <c r="AH314" s="30">
        <v>47484.0</v>
      </c>
      <c r="AI314" s="30">
        <v>47848.0</v>
      </c>
      <c r="AJ314" s="29" t="s">
        <v>7053</v>
      </c>
      <c r="AK314" s="29" t="s">
        <v>7053</v>
      </c>
      <c r="AL314" s="32" t="s">
        <v>7043</v>
      </c>
    </row>
    <row r="315" ht="14.25" customHeight="1">
      <c r="A315" s="28" t="s">
        <v>5850</v>
      </c>
      <c r="B315" s="29" t="s">
        <v>5851</v>
      </c>
      <c r="C315" s="29" t="s">
        <v>7041</v>
      </c>
      <c r="D315" s="30">
        <v>45292.0</v>
      </c>
      <c r="E315" s="30">
        <v>45657.0</v>
      </c>
      <c r="F315" s="29" t="s">
        <v>7118</v>
      </c>
      <c r="G315" s="29" t="s">
        <v>7051</v>
      </c>
      <c r="H315" s="37" t="s">
        <v>7046</v>
      </c>
      <c r="I315" s="30">
        <v>45658.0</v>
      </c>
      <c r="J315" s="30">
        <v>46022.0</v>
      </c>
      <c r="K315" s="29" t="s">
        <v>7119</v>
      </c>
      <c r="L315" s="29" t="s">
        <v>7053</v>
      </c>
      <c r="M315" s="38" t="s">
        <v>7047</v>
      </c>
      <c r="N315" s="30">
        <v>46023.0</v>
      </c>
      <c r="O315" s="30">
        <v>46387.0</v>
      </c>
      <c r="P315" s="29" t="s">
        <v>7053</v>
      </c>
      <c r="Q315" s="29" t="s">
        <v>7053</v>
      </c>
      <c r="R315" s="32" t="s">
        <v>7043</v>
      </c>
      <c r="S315" s="30">
        <v>46388.0</v>
      </c>
      <c r="T315" s="30">
        <v>46752.0</v>
      </c>
      <c r="U315" s="29" t="s">
        <v>7053</v>
      </c>
      <c r="V315" s="29" t="s">
        <v>7053</v>
      </c>
      <c r="W315" s="32" t="s">
        <v>7043</v>
      </c>
      <c r="X315" s="30">
        <v>46753.0</v>
      </c>
      <c r="Y315" s="30">
        <v>47118.0</v>
      </c>
      <c r="Z315" s="29" t="s">
        <v>7053</v>
      </c>
      <c r="AA315" s="29" t="s">
        <v>7053</v>
      </c>
      <c r="AB315" s="32" t="s">
        <v>7043</v>
      </c>
      <c r="AC315" s="30">
        <v>47119.0</v>
      </c>
      <c r="AD315" s="30">
        <v>47483.0</v>
      </c>
      <c r="AE315" s="29" t="s">
        <v>7053</v>
      </c>
      <c r="AF315" s="29" t="s">
        <v>7053</v>
      </c>
      <c r="AG315" s="32" t="s">
        <v>7043</v>
      </c>
      <c r="AH315" s="30">
        <v>47484.0</v>
      </c>
      <c r="AI315" s="30">
        <v>47848.0</v>
      </c>
      <c r="AJ315" s="29" t="s">
        <v>7053</v>
      </c>
      <c r="AK315" s="29" t="s">
        <v>7053</v>
      </c>
      <c r="AL315" s="32" t="s">
        <v>7043</v>
      </c>
    </row>
    <row r="316" ht="14.25" customHeight="1">
      <c r="A316" s="28" t="s">
        <v>5880</v>
      </c>
      <c r="B316" s="29" t="s">
        <v>5881</v>
      </c>
      <c r="C316" s="29" t="s">
        <v>7041</v>
      </c>
      <c r="D316" s="30">
        <v>45292.0</v>
      </c>
      <c r="E316" s="30">
        <v>45657.0</v>
      </c>
      <c r="F316" s="29" t="s">
        <v>7088</v>
      </c>
      <c r="G316" s="29" t="s">
        <v>7051</v>
      </c>
      <c r="H316" s="37" t="s">
        <v>7046</v>
      </c>
      <c r="I316" s="30">
        <v>45658.0</v>
      </c>
      <c r="J316" s="30">
        <v>46022.0</v>
      </c>
      <c r="K316" s="29" t="s">
        <v>7074</v>
      </c>
      <c r="L316" s="29" t="s">
        <v>7053</v>
      </c>
      <c r="M316" s="38" t="s">
        <v>7047</v>
      </c>
      <c r="N316" s="30">
        <v>46023.0</v>
      </c>
      <c r="O316" s="30">
        <v>46387.0</v>
      </c>
      <c r="P316" s="29" t="s">
        <v>7053</v>
      </c>
      <c r="Q316" s="29" t="s">
        <v>7053</v>
      </c>
      <c r="R316" s="32" t="s">
        <v>7043</v>
      </c>
      <c r="S316" s="30">
        <v>46388.0</v>
      </c>
      <c r="T316" s="30">
        <v>46752.0</v>
      </c>
      <c r="U316" s="29" t="s">
        <v>7053</v>
      </c>
      <c r="V316" s="29" t="s">
        <v>7053</v>
      </c>
      <c r="W316" s="32" t="s">
        <v>7043</v>
      </c>
      <c r="X316" s="30">
        <v>46753.0</v>
      </c>
      <c r="Y316" s="30">
        <v>47118.0</v>
      </c>
      <c r="Z316" s="29" t="s">
        <v>7053</v>
      </c>
      <c r="AA316" s="29" t="s">
        <v>7053</v>
      </c>
      <c r="AB316" s="32" t="s">
        <v>7043</v>
      </c>
      <c r="AC316" s="30">
        <v>47119.0</v>
      </c>
      <c r="AD316" s="30">
        <v>47483.0</v>
      </c>
      <c r="AE316" s="29" t="s">
        <v>7053</v>
      </c>
      <c r="AF316" s="29" t="s">
        <v>7053</v>
      </c>
      <c r="AG316" s="32" t="s">
        <v>7043</v>
      </c>
      <c r="AH316" s="30">
        <v>47484.0</v>
      </c>
      <c r="AI316" s="30">
        <v>47848.0</v>
      </c>
      <c r="AJ316" s="29" t="s">
        <v>7053</v>
      </c>
      <c r="AK316" s="29" t="s">
        <v>7053</v>
      </c>
      <c r="AL316" s="32" t="s">
        <v>7043</v>
      </c>
    </row>
    <row r="317" ht="14.25" customHeight="1">
      <c r="A317" s="28" t="s">
        <v>5906</v>
      </c>
      <c r="B317" s="29" t="s">
        <v>5907</v>
      </c>
      <c r="C317" s="29" t="s">
        <v>7041</v>
      </c>
      <c r="D317" s="30">
        <v>45292.0</v>
      </c>
      <c r="E317" s="30">
        <v>45657.0</v>
      </c>
      <c r="F317" s="29" t="s">
        <v>7117</v>
      </c>
      <c r="G317" s="29" t="s">
        <v>7051</v>
      </c>
      <c r="H317" s="32" t="s">
        <v>7043</v>
      </c>
      <c r="I317" s="30">
        <v>45658.0</v>
      </c>
      <c r="J317" s="30">
        <v>46022.0</v>
      </c>
      <c r="K317" s="29" t="s">
        <v>7056</v>
      </c>
      <c r="L317" s="29" t="s">
        <v>7053</v>
      </c>
      <c r="M317" s="38" t="s">
        <v>7047</v>
      </c>
      <c r="N317" s="30">
        <v>46023.0</v>
      </c>
      <c r="O317" s="30">
        <v>46387.0</v>
      </c>
      <c r="P317" s="29" t="s">
        <v>7053</v>
      </c>
      <c r="Q317" s="29" t="s">
        <v>7053</v>
      </c>
      <c r="R317" s="32" t="s">
        <v>7043</v>
      </c>
      <c r="S317" s="30">
        <v>46388.0</v>
      </c>
      <c r="T317" s="30">
        <v>46752.0</v>
      </c>
      <c r="U317" s="29" t="s">
        <v>7053</v>
      </c>
      <c r="V317" s="29" t="s">
        <v>7053</v>
      </c>
      <c r="W317" s="32" t="s">
        <v>7043</v>
      </c>
      <c r="X317" s="30">
        <v>46753.0</v>
      </c>
      <c r="Y317" s="30">
        <v>47118.0</v>
      </c>
      <c r="Z317" s="29" t="s">
        <v>7053</v>
      </c>
      <c r="AA317" s="29" t="s">
        <v>7053</v>
      </c>
      <c r="AB317" s="32" t="s">
        <v>7043</v>
      </c>
      <c r="AC317" s="30">
        <v>47119.0</v>
      </c>
      <c r="AD317" s="30">
        <v>47483.0</v>
      </c>
      <c r="AE317" s="29" t="s">
        <v>7053</v>
      </c>
      <c r="AF317" s="29" t="s">
        <v>7053</v>
      </c>
      <c r="AG317" s="32" t="s">
        <v>7043</v>
      </c>
      <c r="AH317" s="30">
        <v>47484.0</v>
      </c>
      <c r="AI317" s="30">
        <v>47848.0</v>
      </c>
      <c r="AJ317" s="29" t="s">
        <v>7053</v>
      </c>
      <c r="AK317" s="29" t="s">
        <v>7053</v>
      </c>
      <c r="AL317" s="32" t="s">
        <v>7043</v>
      </c>
    </row>
    <row r="318" ht="14.25" customHeight="1">
      <c r="A318" s="28" t="s">
        <v>5947</v>
      </c>
      <c r="B318" s="29" t="s">
        <v>5948</v>
      </c>
      <c r="C318" s="29" t="s">
        <v>7041</v>
      </c>
      <c r="D318" s="30">
        <v>45292.0</v>
      </c>
      <c r="E318" s="30">
        <v>45657.0</v>
      </c>
      <c r="F318" s="29" t="s">
        <v>7064</v>
      </c>
      <c r="G318" s="29" t="s">
        <v>7051</v>
      </c>
      <c r="H318" s="32" t="s">
        <v>7043</v>
      </c>
      <c r="I318" s="30">
        <v>45658.0</v>
      </c>
      <c r="J318" s="30">
        <v>46022.0</v>
      </c>
      <c r="K318" s="29" t="s">
        <v>7096</v>
      </c>
      <c r="L318" s="29" t="s">
        <v>7053</v>
      </c>
      <c r="M318" s="38" t="s">
        <v>7047</v>
      </c>
      <c r="N318" s="30">
        <v>46023.0</v>
      </c>
      <c r="O318" s="30">
        <v>46387.0</v>
      </c>
      <c r="P318" s="29" t="s">
        <v>7053</v>
      </c>
      <c r="Q318" s="29" t="s">
        <v>7053</v>
      </c>
      <c r="R318" s="32" t="s">
        <v>7043</v>
      </c>
      <c r="S318" s="30">
        <v>46388.0</v>
      </c>
      <c r="T318" s="30">
        <v>46752.0</v>
      </c>
      <c r="U318" s="29" t="s">
        <v>7053</v>
      </c>
      <c r="V318" s="29" t="s">
        <v>7053</v>
      </c>
      <c r="W318" s="32" t="s">
        <v>7043</v>
      </c>
      <c r="X318" s="30">
        <v>46753.0</v>
      </c>
      <c r="Y318" s="30">
        <v>47118.0</v>
      </c>
      <c r="Z318" s="29" t="s">
        <v>7053</v>
      </c>
      <c r="AA318" s="29" t="s">
        <v>7053</v>
      </c>
      <c r="AB318" s="32" t="s">
        <v>7043</v>
      </c>
      <c r="AC318" s="30">
        <v>47119.0</v>
      </c>
      <c r="AD318" s="30">
        <v>47483.0</v>
      </c>
      <c r="AE318" s="29" t="s">
        <v>7053</v>
      </c>
      <c r="AF318" s="29" t="s">
        <v>7053</v>
      </c>
      <c r="AG318" s="32" t="s">
        <v>7043</v>
      </c>
      <c r="AH318" s="30">
        <v>47484.0</v>
      </c>
      <c r="AI318" s="30">
        <v>47848.0</v>
      </c>
      <c r="AJ318" s="29" t="s">
        <v>7053</v>
      </c>
      <c r="AK318" s="29" t="s">
        <v>7053</v>
      </c>
      <c r="AL318" s="32" t="s">
        <v>7043</v>
      </c>
    </row>
    <row r="319" ht="14.25" customHeight="1">
      <c r="A319" s="28" t="s">
        <v>5960</v>
      </c>
      <c r="B319" s="29" t="s">
        <v>5961</v>
      </c>
      <c r="C319" s="29" t="s">
        <v>7041</v>
      </c>
      <c r="D319" s="30">
        <v>45292.0</v>
      </c>
      <c r="E319" s="30">
        <v>45657.0</v>
      </c>
      <c r="F319" s="29" t="s">
        <v>7118</v>
      </c>
      <c r="G319" s="29" t="s">
        <v>7112</v>
      </c>
      <c r="H319" s="37" t="s">
        <v>7046</v>
      </c>
      <c r="I319" s="30">
        <v>45658.0</v>
      </c>
      <c r="J319" s="30">
        <v>46022.0</v>
      </c>
      <c r="K319" s="29" t="s">
        <v>7088</v>
      </c>
      <c r="L319" s="29" t="s">
        <v>7053</v>
      </c>
      <c r="M319" s="38" t="s">
        <v>7047</v>
      </c>
      <c r="N319" s="30">
        <v>46023.0</v>
      </c>
      <c r="O319" s="30">
        <v>46387.0</v>
      </c>
      <c r="P319" s="29" t="s">
        <v>7053</v>
      </c>
      <c r="Q319" s="29" t="s">
        <v>7053</v>
      </c>
      <c r="R319" s="32" t="s">
        <v>7043</v>
      </c>
      <c r="S319" s="30">
        <v>46388.0</v>
      </c>
      <c r="T319" s="30">
        <v>46752.0</v>
      </c>
      <c r="U319" s="29" t="s">
        <v>7053</v>
      </c>
      <c r="V319" s="29" t="s">
        <v>7053</v>
      </c>
      <c r="W319" s="32" t="s">
        <v>7043</v>
      </c>
      <c r="X319" s="30">
        <v>46753.0</v>
      </c>
      <c r="Y319" s="30">
        <v>47118.0</v>
      </c>
      <c r="Z319" s="29" t="s">
        <v>7053</v>
      </c>
      <c r="AA319" s="29" t="s">
        <v>7053</v>
      </c>
      <c r="AB319" s="32" t="s">
        <v>7043</v>
      </c>
      <c r="AC319" s="30">
        <v>47119.0</v>
      </c>
      <c r="AD319" s="30">
        <v>47483.0</v>
      </c>
      <c r="AE319" s="29" t="s">
        <v>7053</v>
      </c>
      <c r="AF319" s="29" t="s">
        <v>7053</v>
      </c>
      <c r="AG319" s="32" t="s">
        <v>7043</v>
      </c>
      <c r="AH319" s="30">
        <v>47484.0</v>
      </c>
      <c r="AI319" s="30">
        <v>47848.0</v>
      </c>
      <c r="AJ319" s="29" t="s">
        <v>7053</v>
      </c>
      <c r="AK319" s="29" t="s">
        <v>7053</v>
      </c>
      <c r="AL319" s="32" t="s">
        <v>7043</v>
      </c>
    </row>
    <row r="320" ht="14.25" customHeight="1">
      <c r="A320" s="28" t="s">
        <v>5966</v>
      </c>
      <c r="B320" s="29" t="s">
        <v>5967</v>
      </c>
      <c r="C320" s="29" t="s">
        <v>7041</v>
      </c>
      <c r="D320" s="30">
        <v>45292.0</v>
      </c>
      <c r="E320" s="30">
        <v>45657.0</v>
      </c>
      <c r="F320" s="29" t="s">
        <v>7080</v>
      </c>
      <c r="G320" s="29" t="s">
        <v>7051</v>
      </c>
      <c r="H320" s="32" t="s">
        <v>7043</v>
      </c>
      <c r="I320" s="30">
        <v>45658.0</v>
      </c>
      <c r="J320" s="30">
        <v>46022.0</v>
      </c>
      <c r="K320" s="29" t="s">
        <v>7053</v>
      </c>
      <c r="L320" s="29" t="s">
        <v>7053</v>
      </c>
      <c r="M320" s="32" t="s">
        <v>7043</v>
      </c>
      <c r="N320" s="30">
        <v>46023.0</v>
      </c>
      <c r="O320" s="30">
        <v>46387.0</v>
      </c>
      <c r="P320" s="29" t="s">
        <v>7053</v>
      </c>
      <c r="Q320" s="29" t="s">
        <v>7053</v>
      </c>
      <c r="R320" s="32" t="s">
        <v>7043</v>
      </c>
      <c r="S320" s="30">
        <v>46388.0</v>
      </c>
      <c r="T320" s="30">
        <v>46752.0</v>
      </c>
      <c r="U320" s="29" t="s">
        <v>7053</v>
      </c>
      <c r="V320" s="29" t="s">
        <v>7053</v>
      </c>
      <c r="W320" s="32" t="s">
        <v>7043</v>
      </c>
      <c r="X320" s="30">
        <v>46753.0</v>
      </c>
      <c r="Y320" s="30">
        <v>47118.0</v>
      </c>
      <c r="Z320" s="29" t="s">
        <v>7053</v>
      </c>
      <c r="AA320" s="29" t="s">
        <v>7053</v>
      </c>
      <c r="AB320" s="32" t="s">
        <v>7043</v>
      </c>
      <c r="AC320" s="30">
        <v>47119.0</v>
      </c>
      <c r="AD320" s="30">
        <v>47483.0</v>
      </c>
      <c r="AE320" s="29" t="s">
        <v>7053</v>
      </c>
      <c r="AF320" s="29" t="s">
        <v>7053</v>
      </c>
      <c r="AG320" s="32" t="s">
        <v>7043</v>
      </c>
      <c r="AH320" s="30">
        <v>47484.0</v>
      </c>
      <c r="AI320" s="30">
        <v>47848.0</v>
      </c>
      <c r="AJ320" s="29" t="s">
        <v>7053</v>
      </c>
      <c r="AK320" s="29" t="s">
        <v>7053</v>
      </c>
      <c r="AL320" s="32" t="s">
        <v>7043</v>
      </c>
    </row>
    <row r="321" ht="14.25" customHeight="1">
      <c r="A321" s="28" t="s">
        <v>5988</v>
      </c>
      <c r="B321" s="29" t="s">
        <v>5989</v>
      </c>
      <c r="C321" s="29" t="s">
        <v>7041</v>
      </c>
      <c r="D321" s="30">
        <v>45292.0</v>
      </c>
      <c r="E321" s="30">
        <v>45657.0</v>
      </c>
      <c r="F321" s="29" t="s">
        <v>7058</v>
      </c>
      <c r="G321" s="29" t="s">
        <v>7051</v>
      </c>
      <c r="H321" s="37" t="s">
        <v>7046</v>
      </c>
      <c r="I321" s="30">
        <v>45658.0</v>
      </c>
      <c r="J321" s="30">
        <v>46022.0</v>
      </c>
      <c r="K321" s="29" t="s">
        <v>7072</v>
      </c>
      <c r="L321" s="29" t="s">
        <v>7053</v>
      </c>
      <c r="M321" s="38" t="s">
        <v>7047</v>
      </c>
      <c r="N321" s="30">
        <v>46023.0</v>
      </c>
      <c r="O321" s="30">
        <v>46387.0</v>
      </c>
      <c r="P321" s="29" t="s">
        <v>7053</v>
      </c>
      <c r="Q321" s="29" t="s">
        <v>7053</v>
      </c>
      <c r="R321" s="32" t="s">
        <v>7043</v>
      </c>
      <c r="S321" s="30">
        <v>46388.0</v>
      </c>
      <c r="T321" s="30">
        <v>46752.0</v>
      </c>
      <c r="U321" s="29" t="s">
        <v>7053</v>
      </c>
      <c r="V321" s="29" t="s">
        <v>7053</v>
      </c>
      <c r="W321" s="32" t="s">
        <v>7043</v>
      </c>
      <c r="X321" s="30">
        <v>46753.0</v>
      </c>
      <c r="Y321" s="30">
        <v>47118.0</v>
      </c>
      <c r="Z321" s="29" t="s">
        <v>7053</v>
      </c>
      <c r="AA321" s="29" t="s">
        <v>7053</v>
      </c>
      <c r="AB321" s="32" t="s">
        <v>7043</v>
      </c>
      <c r="AC321" s="30">
        <v>47119.0</v>
      </c>
      <c r="AD321" s="30">
        <v>47483.0</v>
      </c>
      <c r="AE321" s="29" t="s">
        <v>7053</v>
      </c>
      <c r="AF321" s="29" t="s">
        <v>7053</v>
      </c>
      <c r="AG321" s="32" t="s">
        <v>7043</v>
      </c>
      <c r="AH321" s="30">
        <v>47484.0</v>
      </c>
      <c r="AI321" s="30">
        <v>47848.0</v>
      </c>
      <c r="AJ321" s="29" t="s">
        <v>7053</v>
      </c>
      <c r="AK321" s="29" t="s">
        <v>7053</v>
      </c>
      <c r="AL321" s="32" t="s">
        <v>7043</v>
      </c>
    </row>
    <row r="322" ht="14.25" customHeight="1">
      <c r="A322" s="28" t="s">
        <v>5995</v>
      </c>
      <c r="B322" s="29" t="s">
        <v>5996</v>
      </c>
      <c r="C322" s="29" t="s">
        <v>7041</v>
      </c>
      <c r="D322" s="30">
        <v>45292.0</v>
      </c>
      <c r="E322" s="30">
        <v>45657.0</v>
      </c>
      <c r="F322" s="29" t="s">
        <v>7058</v>
      </c>
      <c r="G322" s="29" t="s">
        <v>7128</v>
      </c>
      <c r="H322" s="32" t="s">
        <v>7043</v>
      </c>
      <c r="I322" s="30">
        <v>45658.0</v>
      </c>
      <c r="J322" s="30">
        <v>46022.0</v>
      </c>
      <c r="K322" s="29" t="s">
        <v>7058</v>
      </c>
      <c r="L322" s="29" t="s">
        <v>7053</v>
      </c>
      <c r="M322" s="38" t="s">
        <v>7047</v>
      </c>
      <c r="N322" s="30">
        <v>46023.0</v>
      </c>
      <c r="O322" s="30">
        <v>46387.0</v>
      </c>
      <c r="P322" s="29" t="s">
        <v>7053</v>
      </c>
      <c r="Q322" s="29" t="s">
        <v>7053</v>
      </c>
      <c r="R322" s="32" t="s">
        <v>7043</v>
      </c>
      <c r="S322" s="30">
        <v>46388.0</v>
      </c>
      <c r="T322" s="30">
        <v>46752.0</v>
      </c>
      <c r="U322" s="29" t="s">
        <v>7053</v>
      </c>
      <c r="V322" s="29" t="s">
        <v>7053</v>
      </c>
      <c r="W322" s="32" t="s">
        <v>7043</v>
      </c>
      <c r="X322" s="30">
        <v>46753.0</v>
      </c>
      <c r="Y322" s="30">
        <v>47118.0</v>
      </c>
      <c r="Z322" s="29" t="s">
        <v>7053</v>
      </c>
      <c r="AA322" s="29" t="s">
        <v>7053</v>
      </c>
      <c r="AB322" s="32" t="s">
        <v>7043</v>
      </c>
      <c r="AC322" s="30">
        <v>47119.0</v>
      </c>
      <c r="AD322" s="30">
        <v>47483.0</v>
      </c>
      <c r="AE322" s="29" t="s">
        <v>7053</v>
      </c>
      <c r="AF322" s="29" t="s">
        <v>7053</v>
      </c>
      <c r="AG322" s="32" t="s">
        <v>7043</v>
      </c>
      <c r="AH322" s="30">
        <v>47484.0</v>
      </c>
      <c r="AI322" s="30">
        <v>47848.0</v>
      </c>
      <c r="AJ322" s="29" t="s">
        <v>7053</v>
      </c>
      <c r="AK322" s="29" t="s">
        <v>7053</v>
      </c>
      <c r="AL322" s="32" t="s">
        <v>7043</v>
      </c>
    </row>
    <row r="323" ht="14.25" customHeight="1">
      <c r="A323" s="28" t="s">
        <v>6002</v>
      </c>
      <c r="B323" s="29" t="s">
        <v>6003</v>
      </c>
      <c r="C323" s="29" t="s">
        <v>7041</v>
      </c>
      <c r="D323" s="30">
        <v>45292.0</v>
      </c>
      <c r="E323" s="30">
        <v>45657.0</v>
      </c>
      <c r="F323" s="29" t="s">
        <v>7131</v>
      </c>
      <c r="G323" s="29" t="s">
        <v>7051</v>
      </c>
      <c r="H323" s="32" t="s">
        <v>7043</v>
      </c>
      <c r="I323" s="30">
        <v>45658.0</v>
      </c>
      <c r="J323" s="30">
        <v>46022.0</v>
      </c>
      <c r="K323" s="29" t="s">
        <v>7094</v>
      </c>
      <c r="L323" s="29" t="s">
        <v>7053</v>
      </c>
      <c r="M323" s="38" t="s">
        <v>7047</v>
      </c>
      <c r="N323" s="30">
        <v>46023.0</v>
      </c>
      <c r="O323" s="30">
        <v>46387.0</v>
      </c>
      <c r="P323" s="29" t="s">
        <v>7053</v>
      </c>
      <c r="Q323" s="29" t="s">
        <v>7053</v>
      </c>
      <c r="R323" s="32" t="s">
        <v>7043</v>
      </c>
      <c r="S323" s="30">
        <v>46388.0</v>
      </c>
      <c r="T323" s="30">
        <v>46752.0</v>
      </c>
      <c r="U323" s="29" t="s">
        <v>7053</v>
      </c>
      <c r="V323" s="29" t="s">
        <v>7053</v>
      </c>
      <c r="W323" s="32" t="s">
        <v>7043</v>
      </c>
      <c r="X323" s="30">
        <v>46753.0</v>
      </c>
      <c r="Y323" s="30">
        <v>47118.0</v>
      </c>
      <c r="Z323" s="29" t="s">
        <v>7053</v>
      </c>
      <c r="AA323" s="29" t="s">
        <v>7053</v>
      </c>
      <c r="AB323" s="32" t="s">
        <v>7043</v>
      </c>
      <c r="AC323" s="30">
        <v>47119.0</v>
      </c>
      <c r="AD323" s="30">
        <v>47483.0</v>
      </c>
      <c r="AE323" s="29" t="s">
        <v>7053</v>
      </c>
      <c r="AF323" s="29" t="s">
        <v>7053</v>
      </c>
      <c r="AG323" s="32" t="s">
        <v>7043</v>
      </c>
      <c r="AH323" s="30">
        <v>47484.0</v>
      </c>
      <c r="AI323" s="30">
        <v>47848.0</v>
      </c>
      <c r="AJ323" s="29" t="s">
        <v>7053</v>
      </c>
      <c r="AK323" s="29" t="s">
        <v>7053</v>
      </c>
      <c r="AL323" s="32" t="s">
        <v>7043</v>
      </c>
    </row>
    <row r="324" ht="14.25" customHeight="1">
      <c r="A324" s="28" t="s">
        <v>6006</v>
      </c>
      <c r="B324" s="29" t="s">
        <v>6007</v>
      </c>
      <c r="C324" s="29" t="s">
        <v>7041</v>
      </c>
      <c r="D324" s="30">
        <v>45292.0</v>
      </c>
      <c r="E324" s="30">
        <v>45657.0</v>
      </c>
      <c r="F324" s="29" t="s">
        <v>7072</v>
      </c>
      <c r="G324" s="29" t="s">
        <v>7051</v>
      </c>
      <c r="H324" s="32" t="s">
        <v>7043</v>
      </c>
      <c r="I324" s="30">
        <v>45658.0</v>
      </c>
      <c r="J324" s="30">
        <v>46022.0</v>
      </c>
      <c r="K324" s="29" t="s">
        <v>7050</v>
      </c>
      <c r="L324" s="29" t="s">
        <v>7053</v>
      </c>
      <c r="M324" s="38" t="s">
        <v>7047</v>
      </c>
      <c r="N324" s="30">
        <v>46023.0</v>
      </c>
      <c r="O324" s="30">
        <v>46387.0</v>
      </c>
      <c r="P324" s="29" t="s">
        <v>7053</v>
      </c>
      <c r="Q324" s="29" t="s">
        <v>7053</v>
      </c>
      <c r="R324" s="32" t="s">
        <v>7043</v>
      </c>
      <c r="S324" s="30">
        <v>46388.0</v>
      </c>
      <c r="T324" s="30">
        <v>46752.0</v>
      </c>
      <c r="U324" s="29" t="s">
        <v>7053</v>
      </c>
      <c r="V324" s="29" t="s">
        <v>7053</v>
      </c>
      <c r="W324" s="32" t="s">
        <v>7043</v>
      </c>
      <c r="X324" s="30">
        <v>46753.0</v>
      </c>
      <c r="Y324" s="30">
        <v>47118.0</v>
      </c>
      <c r="Z324" s="29" t="s">
        <v>7053</v>
      </c>
      <c r="AA324" s="29" t="s">
        <v>7053</v>
      </c>
      <c r="AB324" s="32" t="s">
        <v>7043</v>
      </c>
      <c r="AC324" s="30">
        <v>47119.0</v>
      </c>
      <c r="AD324" s="30">
        <v>47483.0</v>
      </c>
      <c r="AE324" s="29" t="s">
        <v>7053</v>
      </c>
      <c r="AF324" s="29" t="s">
        <v>7053</v>
      </c>
      <c r="AG324" s="32" t="s">
        <v>7043</v>
      </c>
      <c r="AH324" s="30">
        <v>47484.0</v>
      </c>
      <c r="AI324" s="30">
        <v>47848.0</v>
      </c>
      <c r="AJ324" s="29" t="s">
        <v>7053</v>
      </c>
      <c r="AK324" s="29" t="s">
        <v>7053</v>
      </c>
      <c r="AL324" s="32" t="s">
        <v>7043</v>
      </c>
    </row>
    <row r="325" ht="14.25" customHeight="1">
      <c r="A325" s="28" t="s">
        <v>6030</v>
      </c>
      <c r="B325" s="29" t="s">
        <v>6031</v>
      </c>
      <c r="C325" s="29" t="s">
        <v>7041</v>
      </c>
      <c r="D325" s="30">
        <v>45292.0</v>
      </c>
      <c r="E325" s="30">
        <v>45657.0</v>
      </c>
      <c r="F325" s="29" t="s">
        <v>7167</v>
      </c>
      <c r="G325" s="29" t="s">
        <v>7076</v>
      </c>
      <c r="H325" s="38" t="s">
        <v>7047</v>
      </c>
      <c r="I325" s="30">
        <v>45658.0</v>
      </c>
      <c r="J325" s="30">
        <v>46022.0</v>
      </c>
      <c r="K325" s="29" t="s">
        <v>7155</v>
      </c>
      <c r="L325" s="29" t="s">
        <v>7053</v>
      </c>
      <c r="M325" s="38" t="s">
        <v>7047</v>
      </c>
      <c r="N325" s="30">
        <v>46023.0</v>
      </c>
      <c r="O325" s="30">
        <v>46387.0</v>
      </c>
      <c r="P325" s="29" t="s">
        <v>7053</v>
      </c>
      <c r="Q325" s="29" t="s">
        <v>7053</v>
      </c>
      <c r="R325" s="32" t="s">
        <v>7043</v>
      </c>
      <c r="S325" s="30">
        <v>46388.0</v>
      </c>
      <c r="T325" s="30">
        <v>46752.0</v>
      </c>
      <c r="U325" s="29" t="s">
        <v>7053</v>
      </c>
      <c r="V325" s="29" t="s">
        <v>7053</v>
      </c>
      <c r="W325" s="32" t="s">
        <v>7043</v>
      </c>
      <c r="X325" s="30">
        <v>46753.0</v>
      </c>
      <c r="Y325" s="30">
        <v>47118.0</v>
      </c>
      <c r="Z325" s="29" t="s">
        <v>7053</v>
      </c>
      <c r="AA325" s="29" t="s">
        <v>7053</v>
      </c>
      <c r="AB325" s="32" t="s">
        <v>7043</v>
      </c>
      <c r="AC325" s="30">
        <v>47119.0</v>
      </c>
      <c r="AD325" s="30">
        <v>47483.0</v>
      </c>
      <c r="AE325" s="29" t="s">
        <v>7053</v>
      </c>
      <c r="AF325" s="29" t="s">
        <v>7053</v>
      </c>
      <c r="AG325" s="32" t="s">
        <v>7043</v>
      </c>
      <c r="AH325" s="30">
        <v>47484.0</v>
      </c>
      <c r="AI325" s="30">
        <v>47848.0</v>
      </c>
      <c r="AJ325" s="29" t="s">
        <v>7053</v>
      </c>
      <c r="AK325" s="29" t="s">
        <v>7053</v>
      </c>
      <c r="AL325" s="32" t="s">
        <v>7043</v>
      </c>
    </row>
    <row r="326" ht="14.25" customHeight="1">
      <c r="A326" s="28" t="s">
        <v>6018</v>
      </c>
      <c r="B326" s="29" t="s">
        <v>6019</v>
      </c>
      <c r="C326" s="29" t="s">
        <v>7041</v>
      </c>
      <c r="D326" s="30">
        <v>45292.0</v>
      </c>
      <c r="E326" s="30">
        <v>45657.0</v>
      </c>
      <c r="F326" s="29" t="s">
        <v>7125</v>
      </c>
      <c r="G326" s="29" t="s">
        <v>7051</v>
      </c>
      <c r="H326" s="38" t="s">
        <v>7047</v>
      </c>
      <c r="I326" s="30">
        <v>45658.0</v>
      </c>
      <c r="J326" s="30">
        <v>46022.0</v>
      </c>
      <c r="K326" s="29" t="s">
        <v>7076</v>
      </c>
      <c r="L326" s="29" t="s">
        <v>7053</v>
      </c>
      <c r="M326" s="38" t="s">
        <v>7047</v>
      </c>
      <c r="N326" s="30">
        <v>46023.0</v>
      </c>
      <c r="O326" s="30">
        <v>46387.0</v>
      </c>
      <c r="P326" s="29" t="s">
        <v>7053</v>
      </c>
      <c r="Q326" s="29" t="s">
        <v>7053</v>
      </c>
      <c r="R326" s="32" t="s">
        <v>7043</v>
      </c>
      <c r="S326" s="30">
        <v>46388.0</v>
      </c>
      <c r="T326" s="30">
        <v>46752.0</v>
      </c>
      <c r="U326" s="29" t="s">
        <v>7053</v>
      </c>
      <c r="V326" s="29" t="s">
        <v>7053</v>
      </c>
      <c r="W326" s="32" t="s">
        <v>7043</v>
      </c>
      <c r="X326" s="30">
        <v>46753.0</v>
      </c>
      <c r="Y326" s="30">
        <v>47118.0</v>
      </c>
      <c r="Z326" s="29" t="s">
        <v>7053</v>
      </c>
      <c r="AA326" s="29" t="s">
        <v>7053</v>
      </c>
      <c r="AB326" s="32" t="s">
        <v>7043</v>
      </c>
      <c r="AC326" s="30">
        <v>47119.0</v>
      </c>
      <c r="AD326" s="30">
        <v>47483.0</v>
      </c>
      <c r="AE326" s="29" t="s">
        <v>7053</v>
      </c>
      <c r="AF326" s="29" t="s">
        <v>7053</v>
      </c>
      <c r="AG326" s="32" t="s">
        <v>7043</v>
      </c>
      <c r="AH326" s="30">
        <v>47484.0</v>
      </c>
      <c r="AI326" s="30">
        <v>47848.0</v>
      </c>
      <c r="AJ326" s="29" t="s">
        <v>7053</v>
      </c>
      <c r="AK326" s="29" t="s">
        <v>7053</v>
      </c>
      <c r="AL326" s="32" t="s">
        <v>7043</v>
      </c>
    </row>
    <row r="327" ht="14.25" customHeight="1">
      <c r="A327" s="28" t="s">
        <v>6065</v>
      </c>
      <c r="B327" s="29" t="s">
        <v>6066</v>
      </c>
      <c r="C327" s="29" t="s">
        <v>7041</v>
      </c>
      <c r="D327" s="30">
        <v>45292.0</v>
      </c>
      <c r="E327" s="30">
        <v>45657.0</v>
      </c>
      <c r="F327" s="29" t="s">
        <v>7118</v>
      </c>
      <c r="G327" s="29" t="s">
        <v>7055</v>
      </c>
      <c r="H327" s="37" t="s">
        <v>7046</v>
      </c>
      <c r="I327" s="30">
        <v>45658.0</v>
      </c>
      <c r="J327" s="30">
        <v>46022.0</v>
      </c>
      <c r="K327" s="29" t="s">
        <v>7120</v>
      </c>
      <c r="L327" s="29" t="s">
        <v>7053</v>
      </c>
      <c r="M327" s="38" t="s">
        <v>7047</v>
      </c>
      <c r="N327" s="30">
        <v>46023.0</v>
      </c>
      <c r="O327" s="30">
        <v>46387.0</v>
      </c>
      <c r="P327" s="29" t="s">
        <v>7053</v>
      </c>
      <c r="Q327" s="29" t="s">
        <v>7053</v>
      </c>
      <c r="R327" s="32" t="s">
        <v>7043</v>
      </c>
      <c r="S327" s="30">
        <v>46388.0</v>
      </c>
      <c r="T327" s="30">
        <v>46752.0</v>
      </c>
      <c r="U327" s="29" t="s">
        <v>7053</v>
      </c>
      <c r="V327" s="29" t="s">
        <v>7053</v>
      </c>
      <c r="W327" s="32" t="s">
        <v>7043</v>
      </c>
      <c r="X327" s="30">
        <v>46753.0</v>
      </c>
      <c r="Y327" s="30">
        <v>47118.0</v>
      </c>
      <c r="Z327" s="29" t="s">
        <v>7053</v>
      </c>
      <c r="AA327" s="29" t="s">
        <v>7053</v>
      </c>
      <c r="AB327" s="32" t="s">
        <v>7043</v>
      </c>
      <c r="AC327" s="30">
        <v>47119.0</v>
      </c>
      <c r="AD327" s="30">
        <v>47483.0</v>
      </c>
      <c r="AE327" s="29" t="s">
        <v>7053</v>
      </c>
      <c r="AF327" s="29" t="s">
        <v>7053</v>
      </c>
      <c r="AG327" s="32" t="s">
        <v>7043</v>
      </c>
      <c r="AH327" s="30">
        <v>47484.0</v>
      </c>
      <c r="AI327" s="30">
        <v>47848.0</v>
      </c>
      <c r="AJ327" s="29" t="s">
        <v>7053</v>
      </c>
      <c r="AK327" s="29" t="s">
        <v>7053</v>
      </c>
      <c r="AL327" s="32" t="s">
        <v>7043</v>
      </c>
    </row>
    <row r="328" ht="14.25" customHeight="1">
      <c r="A328" s="28" t="s">
        <v>6068</v>
      </c>
      <c r="B328" s="29" t="s">
        <v>6069</v>
      </c>
      <c r="C328" s="29" t="s">
        <v>7041</v>
      </c>
      <c r="D328" s="30">
        <v>45292.0</v>
      </c>
      <c r="E328" s="30">
        <v>45657.0</v>
      </c>
      <c r="F328" s="29" t="s">
        <v>7117</v>
      </c>
      <c r="G328" s="29" t="s">
        <v>7051</v>
      </c>
      <c r="H328" s="32" t="s">
        <v>7043</v>
      </c>
      <c r="I328" s="30">
        <v>45658.0</v>
      </c>
      <c r="J328" s="30">
        <v>46022.0</v>
      </c>
      <c r="K328" s="29" t="s">
        <v>7111</v>
      </c>
      <c r="L328" s="29" t="s">
        <v>7053</v>
      </c>
      <c r="M328" s="38" t="s">
        <v>7047</v>
      </c>
      <c r="N328" s="30">
        <v>46023.0</v>
      </c>
      <c r="O328" s="30">
        <v>46387.0</v>
      </c>
      <c r="P328" s="29" t="s">
        <v>7053</v>
      </c>
      <c r="Q328" s="29" t="s">
        <v>7053</v>
      </c>
      <c r="R328" s="32" t="s">
        <v>7043</v>
      </c>
      <c r="S328" s="30">
        <v>46388.0</v>
      </c>
      <c r="T328" s="30">
        <v>46752.0</v>
      </c>
      <c r="U328" s="29" t="s">
        <v>7053</v>
      </c>
      <c r="V328" s="29" t="s">
        <v>7053</v>
      </c>
      <c r="W328" s="32" t="s">
        <v>7043</v>
      </c>
      <c r="X328" s="30">
        <v>46753.0</v>
      </c>
      <c r="Y328" s="30">
        <v>47118.0</v>
      </c>
      <c r="Z328" s="29" t="s">
        <v>7053</v>
      </c>
      <c r="AA328" s="29" t="s">
        <v>7053</v>
      </c>
      <c r="AB328" s="32" t="s">
        <v>7043</v>
      </c>
      <c r="AC328" s="30">
        <v>47119.0</v>
      </c>
      <c r="AD328" s="30">
        <v>47483.0</v>
      </c>
      <c r="AE328" s="29" t="s">
        <v>7053</v>
      </c>
      <c r="AF328" s="29" t="s">
        <v>7053</v>
      </c>
      <c r="AG328" s="32" t="s">
        <v>7043</v>
      </c>
      <c r="AH328" s="30">
        <v>47484.0</v>
      </c>
      <c r="AI328" s="30">
        <v>47848.0</v>
      </c>
      <c r="AJ328" s="29" t="s">
        <v>7053</v>
      </c>
      <c r="AK328" s="29" t="s">
        <v>7053</v>
      </c>
      <c r="AL328" s="32" t="s">
        <v>7043</v>
      </c>
    </row>
    <row r="329" ht="14.25" customHeight="1">
      <c r="A329" s="28" t="s">
        <v>6089</v>
      </c>
      <c r="B329" s="29" t="s">
        <v>6090</v>
      </c>
      <c r="C329" s="29" t="s">
        <v>7041</v>
      </c>
      <c r="D329" s="30">
        <v>45292.0</v>
      </c>
      <c r="E329" s="30">
        <v>45657.0</v>
      </c>
      <c r="F329" s="29" t="s">
        <v>7052</v>
      </c>
      <c r="G329" s="29" t="s">
        <v>7051</v>
      </c>
      <c r="H329" s="32" t="s">
        <v>7043</v>
      </c>
      <c r="I329" s="30">
        <v>45658.0</v>
      </c>
      <c r="J329" s="30">
        <v>46022.0</v>
      </c>
      <c r="K329" s="29" t="s">
        <v>7096</v>
      </c>
      <c r="L329" s="29" t="s">
        <v>7053</v>
      </c>
      <c r="M329" s="38" t="s">
        <v>7047</v>
      </c>
      <c r="N329" s="30">
        <v>46023.0</v>
      </c>
      <c r="O329" s="30">
        <v>46387.0</v>
      </c>
      <c r="P329" s="29" t="s">
        <v>7053</v>
      </c>
      <c r="Q329" s="29" t="s">
        <v>7053</v>
      </c>
      <c r="R329" s="32" t="s">
        <v>7043</v>
      </c>
      <c r="S329" s="30">
        <v>46388.0</v>
      </c>
      <c r="T329" s="30">
        <v>46752.0</v>
      </c>
      <c r="U329" s="29" t="s">
        <v>7053</v>
      </c>
      <c r="V329" s="29" t="s">
        <v>7053</v>
      </c>
      <c r="W329" s="32" t="s">
        <v>7043</v>
      </c>
      <c r="X329" s="30">
        <v>46753.0</v>
      </c>
      <c r="Y329" s="30">
        <v>47118.0</v>
      </c>
      <c r="Z329" s="29" t="s">
        <v>7053</v>
      </c>
      <c r="AA329" s="29" t="s">
        <v>7053</v>
      </c>
      <c r="AB329" s="32" t="s">
        <v>7043</v>
      </c>
      <c r="AC329" s="30">
        <v>47119.0</v>
      </c>
      <c r="AD329" s="30">
        <v>47483.0</v>
      </c>
      <c r="AE329" s="29" t="s">
        <v>7053</v>
      </c>
      <c r="AF329" s="29" t="s">
        <v>7053</v>
      </c>
      <c r="AG329" s="32" t="s">
        <v>7043</v>
      </c>
      <c r="AH329" s="30">
        <v>47484.0</v>
      </c>
      <c r="AI329" s="30">
        <v>47848.0</v>
      </c>
      <c r="AJ329" s="29" t="s">
        <v>7053</v>
      </c>
      <c r="AK329" s="29" t="s">
        <v>7053</v>
      </c>
      <c r="AL329" s="32" t="s">
        <v>7043</v>
      </c>
    </row>
    <row r="330" ht="14.25" customHeight="1">
      <c r="A330" s="28" t="s">
        <v>6125</v>
      </c>
      <c r="B330" s="29" t="s">
        <v>6126</v>
      </c>
      <c r="C330" s="29" t="s">
        <v>7041</v>
      </c>
      <c r="D330" s="30">
        <v>45292.0</v>
      </c>
      <c r="E330" s="30">
        <v>45657.0</v>
      </c>
      <c r="F330" s="29" t="s">
        <v>7064</v>
      </c>
      <c r="G330" s="29" t="s">
        <v>7051</v>
      </c>
      <c r="H330" s="32" t="s">
        <v>7043</v>
      </c>
      <c r="I330" s="30">
        <v>45658.0</v>
      </c>
      <c r="J330" s="30">
        <v>46022.0</v>
      </c>
      <c r="K330" s="29" t="s">
        <v>7101</v>
      </c>
      <c r="L330" s="29" t="s">
        <v>7053</v>
      </c>
      <c r="M330" s="38" t="s">
        <v>7047</v>
      </c>
      <c r="N330" s="30">
        <v>46023.0</v>
      </c>
      <c r="O330" s="30">
        <v>46387.0</v>
      </c>
      <c r="P330" s="29" t="s">
        <v>7053</v>
      </c>
      <c r="Q330" s="29" t="s">
        <v>7053</v>
      </c>
      <c r="R330" s="32" t="s">
        <v>7043</v>
      </c>
      <c r="S330" s="30">
        <v>46388.0</v>
      </c>
      <c r="T330" s="30">
        <v>46752.0</v>
      </c>
      <c r="U330" s="29" t="s">
        <v>7053</v>
      </c>
      <c r="V330" s="29" t="s">
        <v>7053</v>
      </c>
      <c r="W330" s="32" t="s">
        <v>7043</v>
      </c>
      <c r="X330" s="30">
        <v>46753.0</v>
      </c>
      <c r="Y330" s="30">
        <v>47118.0</v>
      </c>
      <c r="Z330" s="29" t="s">
        <v>7053</v>
      </c>
      <c r="AA330" s="29" t="s">
        <v>7053</v>
      </c>
      <c r="AB330" s="32" t="s">
        <v>7043</v>
      </c>
      <c r="AC330" s="30">
        <v>47119.0</v>
      </c>
      <c r="AD330" s="30">
        <v>47483.0</v>
      </c>
      <c r="AE330" s="29" t="s">
        <v>7053</v>
      </c>
      <c r="AF330" s="29" t="s">
        <v>7053</v>
      </c>
      <c r="AG330" s="32" t="s">
        <v>7043</v>
      </c>
      <c r="AH330" s="30">
        <v>47484.0</v>
      </c>
      <c r="AI330" s="30">
        <v>47848.0</v>
      </c>
      <c r="AJ330" s="29" t="s">
        <v>7053</v>
      </c>
      <c r="AK330" s="29" t="s">
        <v>7053</v>
      </c>
      <c r="AL330" s="32" t="s">
        <v>7043</v>
      </c>
    </row>
    <row r="331" ht="14.25" customHeight="1">
      <c r="A331" s="28" t="s">
        <v>3904</v>
      </c>
      <c r="B331" s="29" t="s">
        <v>3905</v>
      </c>
      <c r="C331" s="29" t="s">
        <v>7041</v>
      </c>
      <c r="D331" s="30">
        <v>45292.0</v>
      </c>
      <c r="E331" s="30">
        <v>45657.0</v>
      </c>
      <c r="F331" s="29" t="s">
        <v>7094</v>
      </c>
      <c r="G331" s="29" t="s">
        <v>7051</v>
      </c>
      <c r="H331" s="32" t="s">
        <v>7043</v>
      </c>
      <c r="I331" s="30">
        <v>45658.0</v>
      </c>
      <c r="J331" s="30">
        <v>46022.0</v>
      </c>
      <c r="K331" s="29" t="s">
        <v>7092</v>
      </c>
      <c r="L331" s="29" t="s">
        <v>7053</v>
      </c>
      <c r="M331" s="38" t="s">
        <v>7047</v>
      </c>
      <c r="N331" s="30">
        <v>46023.0</v>
      </c>
      <c r="O331" s="30">
        <v>46387.0</v>
      </c>
      <c r="P331" s="29" t="s">
        <v>7053</v>
      </c>
      <c r="Q331" s="29" t="s">
        <v>7053</v>
      </c>
      <c r="R331" s="32" t="s">
        <v>7043</v>
      </c>
      <c r="S331" s="30">
        <v>46388.0</v>
      </c>
      <c r="T331" s="30">
        <v>46752.0</v>
      </c>
      <c r="U331" s="29" t="s">
        <v>7053</v>
      </c>
      <c r="V331" s="29" t="s">
        <v>7053</v>
      </c>
      <c r="W331" s="32" t="s">
        <v>7043</v>
      </c>
      <c r="X331" s="30">
        <v>46753.0</v>
      </c>
      <c r="Y331" s="30">
        <v>47118.0</v>
      </c>
      <c r="Z331" s="29" t="s">
        <v>7053</v>
      </c>
      <c r="AA331" s="29" t="s">
        <v>7053</v>
      </c>
      <c r="AB331" s="32" t="s">
        <v>7043</v>
      </c>
      <c r="AC331" s="30">
        <v>47119.0</v>
      </c>
      <c r="AD331" s="30">
        <v>47483.0</v>
      </c>
      <c r="AE331" s="29" t="s">
        <v>7053</v>
      </c>
      <c r="AF331" s="29" t="s">
        <v>7053</v>
      </c>
      <c r="AG331" s="32" t="s">
        <v>7043</v>
      </c>
      <c r="AH331" s="30">
        <v>47484.0</v>
      </c>
      <c r="AI331" s="30">
        <v>47848.0</v>
      </c>
      <c r="AJ331" s="29" t="s">
        <v>7053</v>
      </c>
      <c r="AK331" s="29" t="s">
        <v>7053</v>
      </c>
      <c r="AL331" s="32" t="s">
        <v>7043</v>
      </c>
    </row>
    <row r="332" ht="14.25" customHeight="1">
      <c r="A332" s="28" t="s">
        <v>6141</v>
      </c>
      <c r="B332" s="29" t="s">
        <v>6142</v>
      </c>
      <c r="C332" s="29" t="s">
        <v>7041</v>
      </c>
      <c r="D332" s="30">
        <v>45292.0</v>
      </c>
      <c r="E332" s="30">
        <v>45657.0</v>
      </c>
      <c r="F332" s="29" t="s">
        <v>7065</v>
      </c>
      <c r="G332" s="29" t="s">
        <v>7051</v>
      </c>
      <c r="H332" s="37" t="s">
        <v>7046</v>
      </c>
      <c r="I332" s="30">
        <v>45658.0</v>
      </c>
      <c r="J332" s="30">
        <v>46022.0</v>
      </c>
      <c r="K332" s="29" t="s">
        <v>7131</v>
      </c>
      <c r="L332" s="29" t="s">
        <v>7053</v>
      </c>
      <c r="M332" s="38" t="s">
        <v>7047</v>
      </c>
      <c r="N332" s="30">
        <v>46023.0</v>
      </c>
      <c r="O332" s="30">
        <v>46387.0</v>
      </c>
      <c r="P332" s="29" t="s">
        <v>7053</v>
      </c>
      <c r="Q332" s="29" t="s">
        <v>7053</v>
      </c>
      <c r="R332" s="32" t="s">
        <v>7043</v>
      </c>
      <c r="S332" s="30">
        <v>46388.0</v>
      </c>
      <c r="T332" s="30">
        <v>46752.0</v>
      </c>
      <c r="U332" s="29" t="s">
        <v>7053</v>
      </c>
      <c r="V332" s="29" t="s">
        <v>7053</v>
      </c>
      <c r="W332" s="32" t="s">
        <v>7043</v>
      </c>
      <c r="X332" s="30">
        <v>46753.0</v>
      </c>
      <c r="Y332" s="30">
        <v>47118.0</v>
      </c>
      <c r="Z332" s="29" t="s">
        <v>7053</v>
      </c>
      <c r="AA332" s="29" t="s">
        <v>7053</v>
      </c>
      <c r="AB332" s="32" t="s">
        <v>7043</v>
      </c>
      <c r="AC332" s="30">
        <v>47119.0</v>
      </c>
      <c r="AD332" s="30">
        <v>47483.0</v>
      </c>
      <c r="AE332" s="29" t="s">
        <v>7053</v>
      </c>
      <c r="AF332" s="29" t="s">
        <v>7053</v>
      </c>
      <c r="AG332" s="32" t="s">
        <v>7043</v>
      </c>
      <c r="AH332" s="30">
        <v>47484.0</v>
      </c>
      <c r="AI332" s="30">
        <v>47848.0</v>
      </c>
      <c r="AJ332" s="29" t="s">
        <v>7053</v>
      </c>
      <c r="AK332" s="29" t="s">
        <v>7053</v>
      </c>
      <c r="AL332" s="32" t="s">
        <v>7043</v>
      </c>
    </row>
    <row r="333" ht="14.25" customHeight="1">
      <c r="A333" s="28" t="s">
        <v>6150</v>
      </c>
      <c r="B333" s="29" t="s">
        <v>6151</v>
      </c>
      <c r="C333" s="29" t="s">
        <v>7041</v>
      </c>
      <c r="D333" s="30">
        <v>45292.0</v>
      </c>
      <c r="E333" s="30">
        <v>45657.0</v>
      </c>
      <c r="F333" s="29" t="s">
        <v>7093</v>
      </c>
      <c r="G333" s="29" t="s">
        <v>7051</v>
      </c>
      <c r="H333" s="37" t="s">
        <v>7046</v>
      </c>
      <c r="I333" s="30">
        <v>45658.0</v>
      </c>
      <c r="J333" s="30">
        <v>46022.0</v>
      </c>
      <c r="K333" s="29" t="s">
        <v>7061</v>
      </c>
      <c r="L333" s="29" t="s">
        <v>7053</v>
      </c>
      <c r="M333" s="38" t="s">
        <v>7047</v>
      </c>
      <c r="N333" s="30">
        <v>46023.0</v>
      </c>
      <c r="O333" s="30">
        <v>46387.0</v>
      </c>
      <c r="P333" s="29" t="s">
        <v>7053</v>
      </c>
      <c r="Q333" s="29" t="s">
        <v>7053</v>
      </c>
      <c r="R333" s="32" t="s">
        <v>7043</v>
      </c>
      <c r="S333" s="30">
        <v>46388.0</v>
      </c>
      <c r="T333" s="30">
        <v>46752.0</v>
      </c>
      <c r="U333" s="29" t="s">
        <v>7053</v>
      </c>
      <c r="V333" s="29" t="s">
        <v>7053</v>
      </c>
      <c r="W333" s="32" t="s">
        <v>7043</v>
      </c>
      <c r="X333" s="30">
        <v>46753.0</v>
      </c>
      <c r="Y333" s="30">
        <v>47118.0</v>
      </c>
      <c r="Z333" s="29" t="s">
        <v>7053</v>
      </c>
      <c r="AA333" s="29" t="s">
        <v>7053</v>
      </c>
      <c r="AB333" s="32" t="s">
        <v>7043</v>
      </c>
      <c r="AC333" s="30">
        <v>47119.0</v>
      </c>
      <c r="AD333" s="30">
        <v>47483.0</v>
      </c>
      <c r="AE333" s="29" t="s">
        <v>7053</v>
      </c>
      <c r="AF333" s="29" t="s">
        <v>7053</v>
      </c>
      <c r="AG333" s="32" t="s">
        <v>7043</v>
      </c>
      <c r="AH333" s="30">
        <v>47484.0</v>
      </c>
      <c r="AI333" s="30">
        <v>47848.0</v>
      </c>
      <c r="AJ333" s="29" t="s">
        <v>7053</v>
      </c>
      <c r="AK333" s="29" t="s">
        <v>7053</v>
      </c>
      <c r="AL333" s="32" t="s">
        <v>7043</v>
      </c>
    </row>
    <row r="334" ht="14.25" customHeight="1">
      <c r="A334" s="28" t="s">
        <v>6162</v>
      </c>
      <c r="B334" s="29" t="s">
        <v>6163</v>
      </c>
      <c r="C334" s="29" t="s">
        <v>7041</v>
      </c>
      <c r="D334" s="30">
        <v>45292.0</v>
      </c>
      <c r="E334" s="30">
        <v>45657.0</v>
      </c>
      <c r="F334" s="29" t="s">
        <v>7051</v>
      </c>
      <c r="G334" s="29" t="s">
        <v>7051</v>
      </c>
      <c r="H334" s="38" t="s">
        <v>7047</v>
      </c>
      <c r="I334" s="30">
        <v>45658.0</v>
      </c>
      <c r="J334" s="30">
        <v>46022.0</v>
      </c>
      <c r="K334" s="29" t="s">
        <v>7160</v>
      </c>
      <c r="L334" s="29" t="s">
        <v>7053</v>
      </c>
      <c r="M334" s="38" t="s">
        <v>7047</v>
      </c>
      <c r="N334" s="30">
        <v>46023.0</v>
      </c>
      <c r="O334" s="30">
        <v>46387.0</v>
      </c>
      <c r="P334" s="29" t="s">
        <v>7053</v>
      </c>
      <c r="Q334" s="29" t="s">
        <v>7053</v>
      </c>
      <c r="R334" s="32" t="s">
        <v>7043</v>
      </c>
      <c r="S334" s="30">
        <v>46388.0</v>
      </c>
      <c r="T334" s="30">
        <v>46752.0</v>
      </c>
      <c r="U334" s="29" t="s">
        <v>7053</v>
      </c>
      <c r="V334" s="29" t="s">
        <v>7053</v>
      </c>
      <c r="W334" s="32" t="s">
        <v>7043</v>
      </c>
      <c r="X334" s="30">
        <v>46753.0</v>
      </c>
      <c r="Y334" s="30">
        <v>47118.0</v>
      </c>
      <c r="Z334" s="29" t="s">
        <v>7053</v>
      </c>
      <c r="AA334" s="29" t="s">
        <v>7053</v>
      </c>
      <c r="AB334" s="32" t="s">
        <v>7043</v>
      </c>
      <c r="AC334" s="30">
        <v>47119.0</v>
      </c>
      <c r="AD334" s="30">
        <v>47483.0</v>
      </c>
      <c r="AE334" s="29" t="s">
        <v>7053</v>
      </c>
      <c r="AF334" s="29" t="s">
        <v>7053</v>
      </c>
      <c r="AG334" s="32" t="s">
        <v>7043</v>
      </c>
      <c r="AH334" s="30">
        <v>47484.0</v>
      </c>
      <c r="AI334" s="30">
        <v>47848.0</v>
      </c>
      <c r="AJ334" s="29" t="s">
        <v>7053</v>
      </c>
      <c r="AK334" s="29" t="s">
        <v>7053</v>
      </c>
      <c r="AL334" s="32" t="s">
        <v>7043</v>
      </c>
    </row>
    <row r="335" ht="14.25" customHeight="1">
      <c r="A335" s="28" t="s">
        <v>6184</v>
      </c>
      <c r="B335" s="29" t="s">
        <v>6185</v>
      </c>
      <c r="C335" s="29" t="s">
        <v>7041</v>
      </c>
      <c r="D335" s="30">
        <v>45292.0</v>
      </c>
      <c r="E335" s="30">
        <v>45657.0</v>
      </c>
      <c r="F335" s="29" t="s">
        <v>7072</v>
      </c>
      <c r="G335" s="29" t="s">
        <v>7051</v>
      </c>
      <c r="H335" s="32" t="s">
        <v>7043</v>
      </c>
      <c r="I335" s="30">
        <v>45658.0</v>
      </c>
      <c r="J335" s="30">
        <v>46022.0</v>
      </c>
      <c r="K335" s="29" t="s">
        <v>7100</v>
      </c>
      <c r="L335" s="29" t="s">
        <v>7053</v>
      </c>
      <c r="M335" s="38" t="s">
        <v>7047</v>
      </c>
      <c r="N335" s="30">
        <v>46023.0</v>
      </c>
      <c r="O335" s="30">
        <v>46387.0</v>
      </c>
      <c r="P335" s="29" t="s">
        <v>7053</v>
      </c>
      <c r="Q335" s="29" t="s">
        <v>7053</v>
      </c>
      <c r="R335" s="32" t="s">
        <v>7043</v>
      </c>
      <c r="S335" s="30">
        <v>46388.0</v>
      </c>
      <c r="T335" s="30">
        <v>46752.0</v>
      </c>
      <c r="U335" s="29" t="s">
        <v>7053</v>
      </c>
      <c r="V335" s="29" t="s">
        <v>7053</v>
      </c>
      <c r="W335" s="32" t="s">
        <v>7043</v>
      </c>
      <c r="X335" s="30">
        <v>46753.0</v>
      </c>
      <c r="Y335" s="30">
        <v>47118.0</v>
      </c>
      <c r="Z335" s="29" t="s">
        <v>7053</v>
      </c>
      <c r="AA335" s="29" t="s">
        <v>7053</v>
      </c>
      <c r="AB335" s="32" t="s">
        <v>7043</v>
      </c>
      <c r="AC335" s="30">
        <v>47119.0</v>
      </c>
      <c r="AD335" s="30">
        <v>47483.0</v>
      </c>
      <c r="AE335" s="29" t="s">
        <v>7053</v>
      </c>
      <c r="AF335" s="29" t="s">
        <v>7053</v>
      </c>
      <c r="AG335" s="32" t="s">
        <v>7043</v>
      </c>
      <c r="AH335" s="30">
        <v>47484.0</v>
      </c>
      <c r="AI335" s="30">
        <v>47848.0</v>
      </c>
      <c r="AJ335" s="29" t="s">
        <v>7053</v>
      </c>
      <c r="AK335" s="29" t="s">
        <v>7053</v>
      </c>
      <c r="AL335" s="32" t="s">
        <v>7043</v>
      </c>
    </row>
    <row r="336" ht="14.25" customHeight="1">
      <c r="A336" s="28" t="s">
        <v>6402</v>
      </c>
      <c r="B336" s="29" t="s">
        <v>6403</v>
      </c>
      <c r="C336" s="29" t="s">
        <v>7041</v>
      </c>
      <c r="D336" s="30">
        <v>45292.0</v>
      </c>
      <c r="E336" s="30">
        <v>45657.0</v>
      </c>
      <c r="F336" s="29" t="s">
        <v>7052</v>
      </c>
      <c r="G336" s="29" t="s">
        <v>7051</v>
      </c>
      <c r="H336" s="32" t="s">
        <v>7043</v>
      </c>
      <c r="I336" s="30">
        <v>45658.0</v>
      </c>
      <c r="J336" s="30">
        <v>46022.0</v>
      </c>
      <c r="K336" s="29" t="s">
        <v>7117</v>
      </c>
      <c r="L336" s="29" t="s">
        <v>7053</v>
      </c>
      <c r="M336" s="38" t="s">
        <v>7047</v>
      </c>
      <c r="N336" s="30">
        <v>46023.0</v>
      </c>
      <c r="O336" s="30">
        <v>46387.0</v>
      </c>
      <c r="P336" s="29" t="s">
        <v>7053</v>
      </c>
      <c r="Q336" s="29" t="s">
        <v>7053</v>
      </c>
      <c r="R336" s="32" t="s">
        <v>7043</v>
      </c>
      <c r="S336" s="30">
        <v>46388.0</v>
      </c>
      <c r="T336" s="30">
        <v>46752.0</v>
      </c>
      <c r="U336" s="29" t="s">
        <v>7053</v>
      </c>
      <c r="V336" s="29" t="s">
        <v>7053</v>
      </c>
      <c r="W336" s="32" t="s">
        <v>7043</v>
      </c>
      <c r="X336" s="30">
        <v>46753.0</v>
      </c>
      <c r="Y336" s="30">
        <v>47118.0</v>
      </c>
      <c r="Z336" s="29" t="s">
        <v>7053</v>
      </c>
      <c r="AA336" s="29" t="s">
        <v>7053</v>
      </c>
      <c r="AB336" s="32" t="s">
        <v>7043</v>
      </c>
      <c r="AC336" s="30">
        <v>47119.0</v>
      </c>
      <c r="AD336" s="30">
        <v>47483.0</v>
      </c>
      <c r="AE336" s="29" t="s">
        <v>7053</v>
      </c>
      <c r="AF336" s="29" t="s">
        <v>7053</v>
      </c>
      <c r="AG336" s="32" t="s">
        <v>7043</v>
      </c>
      <c r="AH336" s="30">
        <v>47484.0</v>
      </c>
      <c r="AI336" s="30">
        <v>47848.0</v>
      </c>
      <c r="AJ336" s="29" t="s">
        <v>7053</v>
      </c>
      <c r="AK336" s="29" t="s">
        <v>7053</v>
      </c>
      <c r="AL336" s="32" t="s">
        <v>7043</v>
      </c>
    </row>
    <row r="337" ht="14.25" customHeight="1">
      <c r="A337" s="28" t="s">
        <v>6217</v>
      </c>
      <c r="B337" s="29" t="s">
        <v>6218</v>
      </c>
      <c r="C337" s="29" t="s">
        <v>7041</v>
      </c>
      <c r="D337" s="30">
        <v>45292.0</v>
      </c>
      <c r="E337" s="30">
        <v>45657.0</v>
      </c>
      <c r="F337" s="29" t="s">
        <v>7069</v>
      </c>
      <c r="G337" s="29" t="s">
        <v>7051</v>
      </c>
      <c r="H337" s="37" t="s">
        <v>7046</v>
      </c>
      <c r="I337" s="30">
        <v>45658.0</v>
      </c>
      <c r="J337" s="30">
        <v>46022.0</v>
      </c>
      <c r="K337" s="29" t="s">
        <v>7069</v>
      </c>
      <c r="L337" s="29" t="s">
        <v>7053</v>
      </c>
      <c r="M337" s="38" t="s">
        <v>7047</v>
      </c>
      <c r="N337" s="30">
        <v>46023.0</v>
      </c>
      <c r="O337" s="30">
        <v>46387.0</v>
      </c>
      <c r="P337" s="29" t="s">
        <v>7053</v>
      </c>
      <c r="Q337" s="29" t="s">
        <v>7053</v>
      </c>
      <c r="R337" s="32" t="s">
        <v>7043</v>
      </c>
      <c r="S337" s="30">
        <v>46388.0</v>
      </c>
      <c r="T337" s="30">
        <v>46752.0</v>
      </c>
      <c r="U337" s="29" t="s">
        <v>7053</v>
      </c>
      <c r="V337" s="29" t="s">
        <v>7053</v>
      </c>
      <c r="W337" s="32" t="s">
        <v>7043</v>
      </c>
      <c r="X337" s="30">
        <v>46753.0</v>
      </c>
      <c r="Y337" s="30">
        <v>47118.0</v>
      </c>
      <c r="Z337" s="29" t="s">
        <v>7053</v>
      </c>
      <c r="AA337" s="29" t="s">
        <v>7053</v>
      </c>
      <c r="AB337" s="32" t="s">
        <v>7043</v>
      </c>
      <c r="AC337" s="30">
        <v>47119.0</v>
      </c>
      <c r="AD337" s="30">
        <v>47483.0</v>
      </c>
      <c r="AE337" s="29" t="s">
        <v>7053</v>
      </c>
      <c r="AF337" s="29" t="s">
        <v>7053</v>
      </c>
      <c r="AG337" s="32" t="s">
        <v>7043</v>
      </c>
      <c r="AH337" s="30">
        <v>47484.0</v>
      </c>
      <c r="AI337" s="30">
        <v>47848.0</v>
      </c>
      <c r="AJ337" s="29" t="s">
        <v>7053</v>
      </c>
      <c r="AK337" s="29" t="s">
        <v>7053</v>
      </c>
      <c r="AL337" s="32" t="s">
        <v>7043</v>
      </c>
    </row>
    <row r="338" ht="14.25" customHeight="1">
      <c r="A338" s="28" t="s">
        <v>6232</v>
      </c>
      <c r="B338" s="29" t="s">
        <v>6233</v>
      </c>
      <c r="C338" s="29" t="s">
        <v>7041</v>
      </c>
      <c r="D338" s="30">
        <v>45292.0</v>
      </c>
      <c r="E338" s="30">
        <v>45657.0</v>
      </c>
      <c r="F338" s="29" t="s">
        <v>7079</v>
      </c>
      <c r="G338" s="29" t="s">
        <v>7051</v>
      </c>
      <c r="H338" s="32" t="s">
        <v>7043</v>
      </c>
      <c r="I338" s="30">
        <v>45658.0</v>
      </c>
      <c r="J338" s="30">
        <v>46022.0</v>
      </c>
      <c r="K338" s="29" t="s">
        <v>7089</v>
      </c>
      <c r="L338" s="29" t="s">
        <v>7053</v>
      </c>
      <c r="M338" s="38" t="s">
        <v>7047</v>
      </c>
      <c r="N338" s="30">
        <v>46023.0</v>
      </c>
      <c r="O338" s="30">
        <v>46387.0</v>
      </c>
      <c r="P338" s="29" t="s">
        <v>7053</v>
      </c>
      <c r="Q338" s="29" t="s">
        <v>7053</v>
      </c>
      <c r="R338" s="32" t="s">
        <v>7043</v>
      </c>
      <c r="S338" s="30">
        <v>46388.0</v>
      </c>
      <c r="T338" s="30">
        <v>46752.0</v>
      </c>
      <c r="U338" s="29" t="s">
        <v>7053</v>
      </c>
      <c r="V338" s="29" t="s">
        <v>7053</v>
      </c>
      <c r="W338" s="32" t="s">
        <v>7043</v>
      </c>
      <c r="X338" s="30">
        <v>46753.0</v>
      </c>
      <c r="Y338" s="30">
        <v>47118.0</v>
      </c>
      <c r="Z338" s="29" t="s">
        <v>7053</v>
      </c>
      <c r="AA338" s="29" t="s">
        <v>7053</v>
      </c>
      <c r="AB338" s="32" t="s">
        <v>7043</v>
      </c>
      <c r="AC338" s="30">
        <v>47119.0</v>
      </c>
      <c r="AD338" s="30">
        <v>47483.0</v>
      </c>
      <c r="AE338" s="29" t="s">
        <v>7053</v>
      </c>
      <c r="AF338" s="29" t="s">
        <v>7053</v>
      </c>
      <c r="AG338" s="32" t="s">
        <v>7043</v>
      </c>
      <c r="AH338" s="30">
        <v>47484.0</v>
      </c>
      <c r="AI338" s="30">
        <v>47848.0</v>
      </c>
      <c r="AJ338" s="29" t="s">
        <v>7053</v>
      </c>
      <c r="AK338" s="29" t="s">
        <v>7053</v>
      </c>
      <c r="AL338" s="32" t="s">
        <v>7043</v>
      </c>
    </row>
    <row r="339" ht="14.25" customHeight="1">
      <c r="A339" s="28" t="s">
        <v>6242</v>
      </c>
      <c r="B339" s="29" t="s">
        <v>6243</v>
      </c>
      <c r="C339" s="29" t="s">
        <v>7041</v>
      </c>
      <c r="D339" s="30">
        <v>45292.0</v>
      </c>
      <c r="E339" s="30">
        <v>45657.0</v>
      </c>
      <c r="F339" s="29" t="s">
        <v>7097</v>
      </c>
      <c r="G339" s="29" t="s">
        <v>7055</v>
      </c>
      <c r="H339" s="32" t="s">
        <v>7043</v>
      </c>
      <c r="I339" s="30">
        <v>45658.0</v>
      </c>
      <c r="J339" s="30">
        <v>46022.0</v>
      </c>
      <c r="K339" s="29" t="s">
        <v>7070</v>
      </c>
      <c r="L339" s="29" t="s">
        <v>7053</v>
      </c>
      <c r="M339" s="38" t="s">
        <v>7047</v>
      </c>
      <c r="N339" s="30">
        <v>46023.0</v>
      </c>
      <c r="O339" s="30">
        <v>46387.0</v>
      </c>
      <c r="P339" s="29" t="s">
        <v>7053</v>
      </c>
      <c r="Q339" s="29" t="s">
        <v>7053</v>
      </c>
      <c r="R339" s="32" t="s">
        <v>7043</v>
      </c>
      <c r="S339" s="30">
        <v>46388.0</v>
      </c>
      <c r="T339" s="30">
        <v>46752.0</v>
      </c>
      <c r="U339" s="29" t="s">
        <v>7053</v>
      </c>
      <c r="V339" s="29" t="s">
        <v>7053</v>
      </c>
      <c r="W339" s="32" t="s">
        <v>7043</v>
      </c>
      <c r="X339" s="30">
        <v>46753.0</v>
      </c>
      <c r="Y339" s="30">
        <v>47118.0</v>
      </c>
      <c r="Z339" s="29" t="s">
        <v>7053</v>
      </c>
      <c r="AA339" s="29" t="s">
        <v>7053</v>
      </c>
      <c r="AB339" s="32" t="s">
        <v>7043</v>
      </c>
      <c r="AC339" s="30">
        <v>47119.0</v>
      </c>
      <c r="AD339" s="30">
        <v>47483.0</v>
      </c>
      <c r="AE339" s="29" t="s">
        <v>7053</v>
      </c>
      <c r="AF339" s="29" t="s">
        <v>7053</v>
      </c>
      <c r="AG339" s="32" t="s">
        <v>7043</v>
      </c>
      <c r="AH339" s="30">
        <v>47484.0</v>
      </c>
      <c r="AI339" s="30">
        <v>47848.0</v>
      </c>
      <c r="AJ339" s="29" t="s">
        <v>7053</v>
      </c>
      <c r="AK339" s="29" t="s">
        <v>7053</v>
      </c>
      <c r="AL339" s="32" t="s">
        <v>7043</v>
      </c>
    </row>
    <row r="340" ht="14.25" customHeight="1">
      <c r="A340" s="28" t="s">
        <v>6251</v>
      </c>
      <c r="B340" s="29" t="s">
        <v>6252</v>
      </c>
      <c r="C340" s="29" t="s">
        <v>7041</v>
      </c>
      <c r="D340" s="30">
        <v>45292.0</v>
      </c>
      <c r="E340" s="30">
        <v>45657.0</v>
      </c>
      <c r="F340" s="29" t="s">
        <v>7072</v>
      </c>
      <c r="G340" s="29" t="s">
        <v>7122</v>
      </c>
      <c r="H340" s="32" t="s">
        <v>7043</v>
      </c>
      <c r="I340" s="30">
        <v>45658.0</v>
      </c>
      <c r="J340" s="30">
        <v>46022.0</v>
      </c>
      <c r="K340" s="29" t="s">
        <v>7117</v>
      </c>
      <c r="L340" s="29" t="s">
        <v>7053</v>
      </c>
      <c r="M340" s="38" t="s">
        <v>7047</v>
      </c>
      <c r="N340" s="30">
        <v>46023.0</v>
      </c>
      <c r="O340" s="30">
        <v>46387.0</v>
      </c>
      <c r="P340" s="29" t="s">
        <v>7053</v>
      </c>
      <c r="Q340" s="29" t="s">
        <v>7053</v>
      </c>
      <c r="R340" s="32" t="s">
        <v>7043</v>
      </c>
      <c r="S340" s="30">
        <v>46388.0</v>
      </c>
      <c r="T340" s="30">
        <v>46752.0</v>
      </c>
      <c r="U340" s="29" t="s">
        <v>7053</v>
      </c>
      <c r="V340" s="29" t="s">
        <v>7053</v>
      </c>
      <c r="W340" s="32" t="s">
        <v>7043</v>
      </c>
      <c r="X340" s="30">
        <v>46753.0</v>
      </c>
      <c r="Y340" s="30">
        <v>47118.0</v>
      </c>
      <c r="Z340" s="29" t="s">
        <v>7053</v>
      </c>
      <c r="AA340" s="29" t="s">
        <v>7053</v>
      </c>
      <c r="AB340" s="32" t="s">
        <v>7043</v>
      </c>
      <c r="AC340" s="30">
        <v>47119.0</v>
      </c>
      <c r="AD340" s="30">
        <v>47483.0</v>
      </c>
      <c r="AE340" s="29" t="s">
        <v>7053</v>
      </c>
      <c r="AF340" s="29" t="s">
        <v>7053</v>
      </c>
      <c r="AG340" s="32" t="s">
        <v>7043</v>
      </c>
      <c r="AH340" s="30">
        <v>47484.0</v>
      </c>
      <c r="AI340" s="30">
        <v>47848.0</v>
      </c>
      <c r="AJ340" s="29" t="s">
        <v>7053</v>
      </c>
      <c r="AK340" s="29" t="s">
        <v>7053</v>
      </c>
      <c r="AL340" s="32" t="s">
        <v>7043</v>
      </c>
    </row>
    <row r="341" ht="14.25" customHeight="1">
      <c r="A341" s="28" t="s">
        <v>6254</v>
      </c>
      <c r="B341" s="29" t="s">
        <v>6255</v>
      </c>
      <c r="C341" s="29" t="s">
        <v>7041</v>
      </c>
      <c r="D341" s="30">
        <v>45292.0</v>
      </c>
      <c r="E341" s="30">
        <v>45657.0</v>
      </c>
      <c r="F341" s="29" t="s">
        <v>7097</v>
      </c>
      <c r="G341" s="29" t="s">
        <v>7051</v>
      </c>
      <c r="H341" s="32" t="s">
        <v>7043</v>
      </c>
      <c r="I341" s="30">
        <v>45658.0</v>
      </c>
      <c r="J341" s="30">
        <v>46022.0</v>
      </c>
      <c r="K341" s="29" t="s">
        <v>7097</v>
      </c>
      <c r="L341" s="29" t="s">
        <v>7053</v>
      </c>
      <c r="M341" s="38" t="s">
        <v>7047</v>
      </c>
      <c r="N341" s="30">
        <v>46023.0</v>
      </c>
      <c r="O341" s="30">
        <v>46387.0</v>
      </c>
      <c r="P341" s="29" t="s">
        <v>7053</v>
      </c>
      <c r="Q341" s="29" t="s">
        <v>7053</v>
      </c>
      <c r="R341" s="32" t="s">
        <v>7043</v>
      </c>
      <c r="S341" s="30">
        <v>46388.0</v>
      </c>
      <c r="T341" s="30">
        <v>46752.0</v>
      </c>
      <c r="U341" s="29" t="s">
        <v>7053</v>
      </c>
      <c r="V341" s="29" t="s">
        <v>7053</v>
      </c>
      <c r="W341" s="32" t="s">
        <v>7043</v>
      </c>
      <c r="X341" s="30">
        <v>46753.0</v>
      </c>
      <c r="Y341" s="30">
        <v>47118.0</v>
      </c>
      <c r="Z341" s="29" t="s">
        <v>7053</v>
      </c>
      <c r="AA341" s="29" t="s">
        <v>7053</v>
      </c>
      <c r="AB341" s="32" t="s">
        <v>7043</v>
      </c>
      <c r="AC341" s="30">
        <v>47119.0</v>
      </c>
      <c r="AD341" s="30">
        <v>47483.0</v>
      </c>
      <c r="AE341" s="29" t="s">
        <v>7053</v>
      </c>
      <c r="AF341" s="29" t="s">
        <v>7053</v>
      </c>
      <c r="AG341" s="32" t="s">
        <v>7043</v>
      </c>
      <c r="AH341" s="30">
        <v>47484.0</v>
      </c>
      <c r="AI341" s="30">
        <v>47848.0</v>
      </c>
      <c r="AJ341" s="29" t="s">
        <v>7053</v>
      </c>
      <c r="AK341" s="29" t="s">
        <v>7053</v>
      </c>
      <c r="AL341" s="32" t="s">
        <v>7043</v>
      </c>
    </row>
    <row r="342" ht="14.25" customHeight="1">
      <c r="A342" s="28" t="s">
        <v>6257</v>
      </c>
      <c r="B342" s="29" t="s">
        <v>6258</v>
      </c>
      <c r="C342" s="29" t="s">
        <v>7041</v>
      </c>
      <c r="D342" s="30">
        <v>45292.0</v>
      </c>
      <c r="E342" s="30">
        <v>45657.0</v>
      </c>
      <c r="F342" s="29" t="s">
        <v>7120</v>
      </c>
      <c r="G342" s="29" t="s">
        <v>7051</v>
      </c>
      <c r="H342" s="37" t="s">
        <v>7046</v>
      </c>
      <c r="I342" s="30">
        <v>45658.0</v>
      </c>
      <c r="J342" s="30">
        <v>46022.0</v>
      </c>
      <c r="K342" s="29" t="s">
        <v>7063</v>
      </c>
      <c r="L342" s="29" t="s">
        <v>7053</v>
      </c>
      <c r="M342" s="38" t="s">
        <v>7047</v>
      </c>
      <c r="N342" s="30">
        <v>46023.0</v>
      </c>
      <c r="O342" s="30">
        <v>46387.0</v>
      </c>
      <c r="P342" s="29" t="s">
        <v>7053</v>
      </c>
      <c r="Q342" s="29" t="s">
        <v>7053</v>
      </c>
      <c r="R342" s="32" t="s">
        <v>7043</v>
      </c>
      <c r="S342" s="30">
        <v>46388.0</v>
      </c>
      <c r="T342" s="30">
        <v>46752.0</v>
      </c>
      <c r="U342" s="29" t="s">
        <v>7053</v>
      </c>
      <c r="V342" s="29" t="s">
        <v>7053</v>
      </c>
      <c r="W342" s="32" t="s">
        <v>7043</v>
      </c>
      <c r="X342" s="30">
        <v>46753.0</v>
      </c>
      <c r="Y342" s="30">
        <v>47118.0</v>
      </c>
      <c r="Z342" s="29" t="s">
        <v>7053</v>
      </c>
      <c r="AA342" s="29" t="s">
        <v>7053</v>
      </c>
      <c r="AB342" s="32" t="s">
        <v>7043</v>
      </c>
      <c r="AC342" s="30">
        <v>47119.0</v>
      </c>
      <c r="AD342" s="30">
        <v>47483.0</v>
      </c>
      <c r="AE342" s="29" t="s">
        <v>7053</v>
      </c>
      <c r="AF342" s="29" t="s">
        <v>7053</v>
      </c>
      <c r="AG342" s="32" t="s">
        <v>7043</v>
      </c>
      <c r="AH342" s="30">
        <v>47484.0</v>
      </c>
      <c r="AI342" s="30">
        <v>47848.0</v>
      </c>
      <c r="AJ342" s="29" t="s">
        <v>7053</v>
      </c>
      <c r="AK342" s="29" t="s">
        <v>7053</v>
      </c>
      <c r="AL342" s="32" t="s">
        <v>7043</v>
      </c>
    </row>
    <row r="343" ht="14.25" customHeight="1">
      <c r="A343" s="28" t="s">
        <v>6269</v>
      </c>
      <c r="B343" s="29" t="s">
        <v>6270</v>
      </c>
      <c r="C343" s="29" t="s">
        <v>7041</v>
      </c>
      <c r="D343" s="30">
        <v>45292.0</v>
      </c>
      <c r="E343" s="30">
        <v>45657.0</v>
      </c>
      <c r="F343" s="29" t="s">
        <v>7088</v>
      </c>
      <c r="G343" s="29" t="s">
        <v>7102</v>
      </c>
      <c r="H343" s="32" t="s">
        <v>7043</v>
      </c>
      <c r="I343" s="30">
        <v>45658.0</v>
      </c>
      <c r="J343" s="30">
        <v>46022.0</v>
      </c>
      <c r="K343" s="29" t="s">
        <v>7053</v>
      </c>
      <c r="L343" s="29" t="s">
        <v>7053</v>
      </c>
      <c r="M343" s="32" t="s">
        <v>7043</v>
      </c>
      <c r="N343" s="30">
        <v>46023.0</v>
      </c>
      <c r="O343" s="30">
        <v>46387.0</v>
      </c>
      <c r="P343" s="29" t="s">
        <v>7053</v>
      </c>
      <c r="Q343" s="29" t="s">
        <v>7053</v>
      </c>
      <c r="R343" s="32" t="s">
        <v>7043</v>
      </c>
      <c r="S343" s="30">
        <v>46388.0</v>
      </c>
      <c r="T343" s="30">
        <v>46752.0</v>
      </c>
      <c r="U343" s="29" t="s">
        <v>7053</v>
      </c>
      <c r="V343" s="29" t="s">
        <v>7053</v>
      </c>
      <c r="W343" s="32" t="s">
        <v>7043</v>
      </c>
      <c r="X343" s="30">
        <v>46753.0</v>
      </c>
      <c r="Y343" s="30">
        <v>47118.0</v>
      </c>
      <c r="Z343" s="29" t="s">
        <v>7053</v>
      </c>
      <c r="AA343" s="29" t="s">
        <v>7053</v>
      </c>
      <c r="AB343" s="32" t="s">
        <v>7043</v>
      </c>
      <c r="AC343" s="30">
        <v>47119.0</v>
      </c>
      <c r="AD343" s="30">
        <v>47483.0</v>
      </c>
      <c r="AE343" s="29" t="s">
        <v>7053</v>
      </c>
      <c r="AF343" s="29" t="s">
        <v>7053</v>
      </c>
      <c r="AG343" s="32" t="s">
        <v>7043</v>
      </c>
      <c r="AH343" s="30">
        <v>47484.0</v>
      </c>
      <c r="AI343" s="30">
        <v>47848.0</v>
      </c>
      <c r="AJ343" s="29" t="s">
        <v>7053</v>
      </c>
      <c r="AK343" s="29" t="s">
        <v>7053</v>
      </c>
      <c r="AL343" s="32" t="s">
        <v>7043</v>
      </c>
    </row>
    <row r="344" ht="14.25" customHeight="1">
      <c r="A344" s="28" t="s">
        <v>6288</v>
      </c>
      <c r="B344" s="29" t="s">
        <v>6289</v>
      </c>
      <c r="C344" s="29" t="s">
        <v>7041</v>
      </c>
      <c r="D344" s="30">
        <v>45292.0</v>
      </c>
      <c r="E344" s="30">
        <v>45657.0</v>
      </c>
      <c r="F344" s="29" t="s">
        <v>7101</v>
      </c>
      <c r="G344" s="29" t="s">
        <v>7055</v>
      </c>
      <c r="H344" s="32" t="s">
        <v>7043</v>
      </c>
      <c r="I344" s="30">
        <v>45658.0</v>
      </c>
      <c r="J344" s="30">
        <v>46022.0</v>
      </c>
      <c r="K344" s="29" t="s">
        <v>7096</v>
      </c>
      <c r="L344" s="29" t="s">
        <v>7053</v>
      </c>
      <c r="M344" s="38" t="s">
        <v>7047</v>
      </c>
      <c r="N344" s="30">
        <v>46023.0</v>
      </c>
      <c r="O344" s="30">
        <v>46387.0</v>
      </c>
      <c r="P344" s="29" t="s">
        <v>7053</v>
      </c>
      <c r="Q344" s="29" t="s">
        <v>7053</v>
      </c>
      <c r="R344" s="32" t="s">
        <v>7043</v>
      </c>
      <c r="S344" s="30">
        <v>46388.0</v>
      </c>
      <c r="T344" s="30">
        <v>46752.0</v>
      </c>
      <c r="U344" s="29" t="s">
        <v>7053</v>
      </c>
      <c r="V344" s="29" t="s">
        <v>7053</v>
      </c>
      <c r="W344" s="32" t="s">
        <v>7043</v>
      </c>
      <c r="X344" s="30">
        <v>46753.0</v>
      </c>
      <c r="Y344" s="30">
        <v>47118.0</v>
      </c>
      <c r="Z344" s="29" t="s">
        <v>7053</v>
      </c>
      <c r="AA344" s="29" t="s">
        <v>7053</v>
      </c>
      <c r="AB344" s="32" t="s">
        <v>7043</v>
      </c>
      <c r="AC344" s="30">
        <v>47119.0</v>
      </c>
      <c r="AD344" s="30">
        <v>47483.0</v>
      </c>
      <c r="AE344" s="29" t="s">
        <v>7053</v>
      </c>
      <c r="AF344" s="29" t="s">
        <v>7053</v>
      </c>
      <c r="AG344" s="32" t="s">
        <v>7043</v>
      </c>
      <c r="AH344" s="30">
        <v>47484.0</v>
      </c>
      <c r="AI344" s="30">
        <v>47848.0</v>
      </c>
      <c r="AJ344" s="29" t="s">
        <v>7053</v>
      </c>
      <c r="AK344" s="29" t="s">
        <v>7053</v>
      </c>
      <c r="AL344" s="32" t="s">
        <v>7043</v>
      </c>
    </row>
    <row r="345" ht="14.25" customHeight="1">
      <c r="A345" s="28" t="s">
        <v>6300</v>
      </c>
      <c r="B345" s="29" t="s">
        <v>6301</v>
      </c>
      <c r="C345" s="29" t="s">
        <v>7041</v>
      </c>
      <c r="D345" s="30">
        <v>45292.0</v>
      </c>
      <c r="E345" s="30">
        <v>45657.0</v>
      </c>
      <c r="F345" s="29" t="s">
        <v>7067</v>
      </c>
      <c r="G345" s="29" t="s">
        <v>7051</v>
      </c>
      <c r="H345" s="38" t="s">
        <v>7047</v>
      </c>
      <c r="I345" s="30">
        <v>45658.0</v>
      </c>
      <c r="J345" s="30">
        <v>46022.0</v>
      </c>
      <c r="K345" s="29" t="s">
        <v>7051</v>
      </c>
      <c r="L345" s="29" t="s">
        <v>7053</v>
      </c>
      <c r="M345" s="38" t="s">
        <v>7047</v>
      </c>
      <c r="N345" s="30">
        <v>46023.0</v>
      </c>
      <c r="O345" s="30">
        <v>46387.0</v>
      </c>
      <c r="P345" s="29" t="s">
        <v>7053</v>
      </c>
      <c r="Q345" s="29" t="s">
        <v>7053</v>
      </c>
      <c r="R345" s="32" t="s">
        <v>7043</v>
      </c>
      <c r="S345" s="30">
        <v>46388.0</v>
      </c>
      <c r="T345" s="30">
        <v>46752.0</v>
      </c>
      <c r="U345" s="29" t="s">
        <v>7053</v>
      </c>
      <c r="V345" s="29" t="s">
        <v>7053</v>
      </c>
      <c r="W345" s="32" t="s">
        <v>7043</v>
      </c>
      <c r="X345" s="30">
        <v>46753.0</v>
      </c>
      <c r="Y345" s="30">
        <v>47118.0</v>
      </c>
      <c r="Z345" s="29" t="s">
        <v>7053</v>
      </c>
      <c r="AA345" s="29" t="s">
        <v>7053</v>
      </c>
      <c r="AB345" s="32" t="s">
        <v>7043</v>
      </c>
      <c r="AC345" s="30">
        <v>47119.0</v>
      </c>
      <c r="AD345" s="30">
        <v>47483.0</v>
      </c>
      <c r="AE345" s="29" t="s">
        <v>7053</v>
      </c>
      <c r="AF345" s="29" t="s">
        <v>7053</v>
      </c>
      <c r="AG345" s="32" t="s">
        <v>7043</v>
      </c>
      <c r="AH345" s="30">
        <v>47484.0</v>
      </c>
      <c r="AI345" s="30">
        <v>47848.0</v>
      </c>
      <c r="AJ345" s="29" t="s">
        <v>7053</v>
      </c>
      <c r="AK345" s="29" t="s">
        <v>7053</v>
      </c>
      <c r="AL345" s="32" t="s">
        <v>7043</v>
      </c>
    </row>
    <row r="346" ht="14.25" customHeight="1">
      <c r="A346" s="28" t="s">
        <v>6303</v>
      </c>
      <c r="B346" s="29" t="s">
        <v>6304</v>
      </c>
      <c r="C346" s="29" t="s">
        <v>7041</v>
      </c>
      <c r="D346" s="30">
        <v>45292.0</v>
      </c>
      <c r="E346" s="30">
        <v>45657.0</v>
      </c>
      <c r="F346" s="29" t="s">
        <v>7074</v>
      </c>
      <c r="G346" s="29" t="s">
        <v>7051</v>
      </c>
      <c r="H346" s="37" t="s">
        <v>7046</v>
      </c>
      <c r="I346" s="30">
        <v>45658.0</v>
      </c>
      <c r="J346" s="30">
        <v>46022.0</v>
      </c>
      <c r="K346" s="29" t="s">
        <v>7120</v>
      </c>
      <c r="L346" s="29" t="s">
        <v>7053</v>
      </c>
      <c r="M346" s="38" t="s">
        <v>7047</v>
      </c>
      <c r="N346" s="30">
        <v>46023.0</v>
      </c>
      <c r="O346" s="30">
        <v>46387.0</v>
      </c>
      <c r="P346" s="29" t="s">
        <v>7053</v>
      </c>
      <c r="Q346" s="29" t="s">
        <v>7053</v>
      </c>
      <c r="R346" s="32" t="s">
        <v>7043</v>
      </c>
      <c r="S346" s="30">
        <v>46388.0</v>
      </c>
      <c r="T346" s="30">
        <v>46752.0</v>
      </c>
      <c r="U346" s="29" t="s">
        <v>7053</v>
      </c>
      <c r="V346" s="29" t="s">
        <v>7053</v>
      </c>
      <c r="W346" s="32" t="s">
        <v>7043</v>
      </c>
      <c r="X346" s="30">
        <v>46753.0</v>
      </c>
      <c r="Y346" s="30">
        <v>47118.0</v>
      </c>
      <c r="Z346" s="29" t="s">
        <v>7053</v>
      </c>
      <c r="AA346" s="29" t="s">
        <v>7053</v>
      </c>
      <c r="AB346" s="32" t="s">
        <v>7043</v>
      </c>
      <c r="AC346" s="30">
        <v>47119.0</v>
      </c>
      <c r="AD346" s="30">
        <v>47483.0</v>
      </c>
      <c r="AE346" s="29" t="s">
        <v>7053</v>
      </c>
      <c r="AF346" s="29" t="s">
        <v>7053</v>
      </c>
      <c r="AG346" s="32" t="s">
        <v>7043</v>
      </c>
      <c r="AH346" s="30">
        <v>47484.0</v>
      </c>
      <c r="AI346" s="30">
        <v>47848.0</v>
      </c>
      <c r="AJ346" s="29" t="s">
        <v>7053</v>
      </c>
      <c r="AK346" s="29" t="s">
        <v>7053</v>
      </c>
      <c r="AL346" s="32" t="s">
        <v>7043</v>
      </c>
    </row>
    <row r="347" ht="14.25" customHeight="1">
      <c r="A347" s="28" t="s">
        <v>6315</v>
      </c>
      <c r="B347" s="29" t="s">
        <v>6316</v>
      </c>
      <c r="C347" s="29" t="s">
        <v>7041</v>
      </c>
      <c r="D347" s="30">
        <v>45292.0</v>
      </c>
      <c r="E347" s="30">
        <v>45657.0</v>
      </c>
      <c r="F347" s="29" t="s">
        <v>7078</v>
      </c>
      <c r="G347" s="29" t="s">
        <v>7051</v>
      </c>
      <c r="H347" s="37" t="s">
        <v>7046</v>
      </c>
      <c r="I347" s="30">
        <v>45658.0</v>
      </c>
      <c r="J347" s="30">
        <v>46022.0</v>
      </c>
      <c r="K347" s="29" t="s">
        <v>7120</v>
      </c>
      <c r="L347" s="29" t="s">
        <v>7053</v>
      </c>
      <c r="M347" s="38" t="s">
        <v>7047</v>
      </c>
      <c r="N347" s="30">
        <v>46023.0</v>
      </c>
      <c r="O347" s="30">
        <v>46387.0</v>
      </c>
      <c r="P347" s="29" t="s">
        <v>7053</v>
      </c>
      <c r="Q347" s="29" t="s">
        <v>7053</v>
      </c>
      <c r="R347" s="32" t="s">
        <v>7043</v>
      </c>
      <c r="S347" s="30">
        <v>46388.0</v>
      </c>
      <c r="T347" s="30">
        <v>46752.0</v>
      </c>
      <c r="U347" s="29" t="s">
        <v>7053</v>
      </c>
      <c r="V347" s="29" t="s">
        <v>7053</v>
      </c>
      <c r="W347" s="32" t="s">
        <v>7043</v>
      </c>
      <c r="X347" s="30">
        <v>46753.0</v>
      </c>
      <c r="Y347" s="30">
        <v>47118.0</v>
      </c>
      <c r="Z347" s="29" t="s">
        <v>7053</v>
      </c>
      <c r="AA347" s="29" t="s">
        <v>7053</v>
      </c>
      <c r="AB347" s="32" t="s">
        <v>7043</v>
      </c>
      <c r="AC347" s="30">
        <v>47119.0</v>
      </c>
      <c r="AD347" s="30">
        <v>47483.0</v>
      </c>
      <c r="AE347" s="29" t="s">
        <v>7053</v>
      </c>
      <c r="AF347" s="29" t="s">
        <v>7053</v>
      </c>
      <c r="AG347" s="32" t="s">
        <v>7043</v>
      </c>
      <c r="AH347" s="30">
        <v>47484.0</v>
      </c>
      <c r="AI347" s="30">
        <v>47848.0</v>
      </c>
      <c r="AJ347" s="29" t="s">
        <v>7053</v>
      </c>
      <c r="AK347" s="29" t="s">
        <v>7053</v>
      </c>
      <c r="AL347" s="32" t="s">
        <v>7043</v>
      </c>
    </row>
    <row r="348" ht="14.25" customHeight="1">
      <c r="A348" s="28" t="s">
        <v>2654</v>
      </c>
      <c r="B348" s="29" t="s">
        <v>2655</v>
      </c>
      <c r="C348" s="29" t="s">
        <v>7041</v>
      </c>
      <c r="D348" s="30">
        <v>45292.0</v>
      </c>
      <c r="E348" s="30">
        <v>45657.0</v>
      </c>
      <c r="F348" s="29" t="s">
        <v>7073</v>
      </c>
      <c r="G348" s="29" t="s">
        <v>7130</v>
      </c>
      <c r="H348" s="37" t="s">
        <v>7046</v>
      </c>
      <c r="I348" s="30">
        <v>45658.0</v>
      </c>
      <c r="J348" s="30">
        <v>46022.0</v>
      </c>
      <c r="K348" s="29" t="s">
        <v>7067</v>
      </c>
      <c r="L348" s="29" t="s">
        <v>7053</v>
      </c>
      <c r="M348" s="38" t="s">
        <v>7047</v>
      </c>
      <c r="N348" s="30">
        <v>46023.0</v>
      </c>
      <c r="O348" s="30">
        <v>46387.0</v>
      </c>
      <c r="P348" s="29" t="s">
        <v>7053</v>
      </c>
      <c r="Q348" s="29" t="s">
        <v>7053</v>
      </c>
      <c r="R348" s="32" t="s">
        <v>7043</v>
      </c>
      <c r="S348" s="30">
        <v>46388.0</v>
      </c>
      <c r="T348" s="30">
        <v>46752.0</v>
      </c>
      <c r="U348" s="29" t="s">
        <v>7053</v>
      </c>
      <c r="V348" s="29" t="s">
        <v>7053</v>
      </c>
      <c r="W348" s="32" t="s">
        <v>7043</v>
      </c>
      <c r="X348" s="30">
        <v>46753.0</v>
      </c>
      <c r="Y348" s="30">
        <v>47118.0</v>
      </c>
      <c r="Z348" s="29" t="s">
        <v>7053</v>
      </c>
      <c r="AA348" s="29" t="s">
        <v>7053</v>
      </c>
      <c r="AB348" s="32" t="s">
        <v>7043</v>
      </c>
      <c r="AC348" s="30">
        <v>47119.0</v>
      </c>
      <c r="AD348" s="30">
        <v>47483.0</v>
      </c>
      <c r="AE348" s="29" t="s">
        <v>7053</v>
      </c>
      <c r="AF348" s="29" t="s">
        <v>7053</v>
      </c>
      <c r="AG348" s="32" t="s">
        <v>7043</v>
      </c>
      <c r="AH348" s="30">
        <v>47484.0</v>
      </c>
      <c r="AI348" s="30">
        <v>47848.0</v>
      </c>
      <c r="AJ348" s="29" t="s">
        <v>7053</v>
      </c>
      <c r="AK348" s="29" t="s">
        <v>7053</v>
      </c>
      <c r="AL348" s="32" t="s">
        <v>7043</v>
      </c>
    </row>
    <row r="349" ht="14.25" customHeight="1">
      <c r="A349" s="28" t="s">
        <v>6324</v>
      </c>
      <c r="B349" s="29" t="s">
        <v>6325</v>
      </c>
      <c r="C349" s="29" t="s">
        <v>7041</v>
      </c>
      <c r="D349" s="30">
        <v>45292.0</v>
      </c>
      <c r="E349" s="30">
        <v>45657.0</v>
      </c>
      <c r="F349" s="29" t="s">
        <v>7064</v>
      </c>
      <c r="G349" s="29" t="s">
        <v>7051</v>
      </c>
      <c r="H349" s="32" t="s">
        <v>7043</v>
      </c>
      <c r="I349" s="30">
        <v>45658.0</v>
      </c>
      <c r="J349" s="30">
        <v>46022.0</v>
      </c>
      <c r="K349" s="29" t="s">
        <v>7070</v>
      </c>
      <c r="L349" s="29" t="s">
        <v>7053</v>
      </c>
      <c r="M349" s="38" t="s">
        <v>7047</v>
      </c>
      <c r="N349" s="30">
        <v>46023.0</v>
      </c>
      <c r="O349" s="30">
        <v>46387.0</v>
      </c>
      <c r="P349" s="29" t="s">
        <v>7053</v>
      </c>
      <c r="Q349" s="29" t="s">
        <v>7053</v>
      </c>
      <c r="R349" s="32" t="s">
        <v>7043</v>
      </c>
      <c r="S349" s="30">
        <v>46388.0</v>
      </c>
      <c r="T349" s="30">
        <v>46752.0</v>
      </c>
      <c r="U349" s="29" t="s">
        <v>7053</v>
      </c>
      <c r="V349" s="29" t="s">
        <v>7053</v>
      </c>
      <c r="W349" s="32" t="s">
        <v>7043</v>
      </c>
      <c r="X349" s="30">
        <v>46753.0</v>
      </c>
      <c r="Y349" s="30">
        <v>47118.0</v>
      </c>
      <c r="Z349" s="29" t="s">
        <v>7053</v>
      </c>
      <c r="AA349" s="29" t="s">
        <v>7053</v>
      </c>
      <c r="AB349" s="32" t="s">
        <v>7043</v>
      </c>
      <c r="AC349" s="30">
        <v>47119.0</v>
      </c>
      <c r="AD349" s="30">
        <v>47483.0</v>
      </c>
      <c r="AE349" s="29" t="s">
        <v>7053</v>
      </c>
      <c r="AF349" s="29" t="s">
        <v>7053</v>
      </c>
      <c r="AG349" s="32" t="s">
        <v>7043</v>
      </c>
      <c r="AH349" s="30">
        <v>47484.0</v>
      </c>
      <c r="AI349" s="30">
        <v>47848.0</v>
      </c>
      <c r="AJ349" s="29" t="s">
        <v>7053</v>
      </c>
      <c r="AK349" s="29" t="s">
        <v>7053</v>
      </c>
      <c r="AL349" s="32" t="s">
        <v>7043</v>
      </c>
    </row>
    <row r="350" ht="14.25" customHeight="1">
      <c r="A350" s="28" t="s">
        <v>6352</v>
      </c>
      <c r="B350" s="29" t="s">
        <v>6353</v>
      </c>
      <c r="C350" s="29" t="s">
        <v>7041</v>
      </c>
      <c r="D350" s="30">
        <v>45292.0</v>
      </c>
      <c r="E350" s="30">
        <v>45657.0</v>
      </c>
      <c r="F350" s="29" t="s">
        <v>7053</v>
      </c>
      <c r="G350" s="29" t="s">
        <v>7055</v>
      </c>
      <c r="H350" s="32" t="s">
        <v>7043</v>
      </c>
      <c r="I350" s="30">
        <v>45658.0</v>
      </c>
      <c r="J350" s="30">
        <v>46022.0</v>
      </c>
      <c r="K350" s="29" t="s">
        <v>7053</v>
      </c>
      <c r="L350" s="29" t="s">
        <v>7053</v>
      </c>
      <c r="M350" s="32" t="s">
        <v>7043</v>
      </c>
      <c r="N350" s="30">
        <v>46023.0</v>
      </c>
      <c r="O350" s="30">
        <v>46387.0</v>
      </c>
      <c r="P350" s="29" t="s">
        <v>7053</v>
      </c>
      <c r="Q350" s="29" t="s">
        <v>7053</v>
      </c>
      <c r="R350" s="32" t="s">
        <v>7043</v>
      </c>
      <c r="S350" s="30">
        <v>46388.0</v>
      </c>
      <c r="T350" s="30">
        <v>46752.0</v>
      </c>
      <c r="U350" s="29" t="s">
        <v>7053</v>
      </c>
      <c r="V350" s="29" t="s">
        <v>7053</v>
      </c>
      <c r="W350" s="32" t="s">
        <v>7043</v>
      </c>
      <c r="X350" s="30">
        <v>46753.0</v>
      </c>
      <c r="Y350" s="30">
        <v>47118.0</v>
      </c>
      <c r="Z350" s="29" t="s">
        <v>7053</v>
      </c>
      <c r="AA350" s="29" t="s">
        <v>7053</v>
      </c>
      <c r="AB350" s="32" t="s">
        <v>7043</v>
      </c>
      <c r="AC350" s="30">
        <v>47119.0</v>
      </c>
      <c r="AD350" s="30">
        <v>47483.0</v>
      </c>
      <c r="AE350" s="29" t="s">
        <v>7053</v>
      </c>
      <c r="AF350" s="29" t="s">
        <v>7053</v>
      </c>
      <c r="AG350" s="32" t="s">
        <v>7043</v>
      </c>
      <c r="AH350" s="30">
        <v>47484.0</v>
      </c>
      <c r="AI350" s="30">
        <v>47848.0</v>
      </c>
      <c r="AJ350" s="29" t="s">
        <v>7053</v>
      </c>
      <c r="AK350" s="29" t="s">
        <v>7053</v>
      </c>
      <c r="AL350" s="32" t="s">
        <v>7043</v>
      </c>
    </row>
    <row r="351" ht="14.25" customHeight="1">
      <c r="A351" s="28" t="s">
        <v>6355</v>
      </c>
      <c r="B351" s="29" t="s">
        <v>6356</v>
      </c>
      <c r="C351" s="29" t="s">
        <v>7041</v>
      </c>
      <c r="D351" s="30">
        <v>45292.0</v>
      </c>
      <c r="E351" s="30">
        <v>45657.0</v>
      </c>
      <c r="F351" s="29" t="s">
        <v>7079</v>
      </c>
      <c r="G351" s="29" t="s">
        <v>7051</v>
      </c>
      <c r="H351" s="32" t="s">
        <v>7043</v>
      </c>
      <c r="I351" s="30">
        <v>45658.0</v>
      </c>
      <c r="J351" s="30">
        <v>46022.0</v>
      </c>
      <c r="K351" s="29" t="s">
        <v>7131</v>
      </c>
      <c r="L351" s="29" t="s">
        <v>7053</v>
      </c>
      <c r="M351" s="38" t="s">
        <v>7047</v>
      </c>
      <c r="N351" s="30">
        <v>46023.0</v>
      </c>
      <c r="O351" s="30">
        <v>46387.0</v>
      </c>
      <c r="P351" s="29" t="s">
        <v>7053</v>
      </c>
      <c r="Q351" s="29" t="s">
        <v>7053</v>
      </c>
      <c r="R351" s="32" t="s">
        <v>7043</v>
      </c>
      <c r="S351" s="30">
        <v>46388.0</v>
      </c>
      <c r="T351" s="30">
        <v>46752.0</v>
      </c>
      <c r="U351" s="29" t="s">
        <v>7053</v>
      </c>
      <c r="V351" s="29" t="s">
        <v>7053</v>
      </c>
      <c r="W351" s="32" t="s">
        <v>7043</v>
      </c>
      <c r="X351" s="30">
        <v>46753.0</v>
      </c>
      <c r="Y351" s="30">
        <v>47118.0</v>
      </c>
      <c r="Z351" s="29" t="s">
        <v>7053</v>
      </c>
      <c r="AA351" s="29" t="s">
        <v>7053</v>
      </c>
      <c r="AB351" s="32" t="s">
        <v>7043</v>
      </c>
      <c r="AC351" s="30">
        <v>47119.0</v>
      </c>
      <c r="AD351" s="30">
        <v>47483.0</v>
      </c>
      <c r="AE351" s="29" t="s">
        <v>7053</v>
      </c>
      <c r="AF351" s="29" t="s">
        <v>7053</v>
      </c>
      <c r="AG351" s="32" t="s">
        <v>7043</v>
      </c>
      <c r="AH351" s="30">
        <v>47484.0</v>
      </c>
      <c r="AI351" s="30">
        <v>47848.0</v>
      </c>
      <c r="AJ351" s="29" t="s">
        <v>7053</v>
      </c>
      <c r="AK351" s="29" t="s">
        <v>7053</v>
      </c>
      <c r="AL351" s="32" t="s">
        <v>7043</v>
      </c>
    </row>
    <row r="352" ht="14.25" customHeight="1">
      <c r="A352" s="28" t="s">
        <v>6370</v>
      </c>
      <c r="B352" s="29" t="s">
        <v>6371</v>
      </c>
      <c r="C352" s="29" t="s">
        <v>7041</v>
      </c>
      <c r="D352" s="30">
        <v>45292.0</v>
      </c>
      <c r="E352" s="30">
        <v>45657.0</v>
      </c>
      <c r="F352" s="29" t="s">
        <v>7056</v>
      </c>
      <c r="G352" s="29" t="s">
        <v>7051</v>
      </c>
      <c r="H352" s="32" t="s">
        <v>7043</v>
      </c>
      <c r="I352" s="30">
        <v>45658.0</v>
      </c>
      <c r="J352" s="30">
        <v>46022.0</v>
      </c>
      <c r="K352" s="29" t="s">
        <v>7072</v>
      </c>
      <c r="L352" s="29" t="s">
        <v>7053</v>
      </c>
      <c r="M352" s="38" t="s">
        <v>7047</v>
      </c>
      <c r="N352" s="30">
        <v>46023.0</v>
      </c>
      <c r="O352" s="30">
        <v>46387.0</v>
      </c>
      <c r="P352" s="29" t="s">
        <v>7053</v>
      </c>
      <c r="Q352" s="29" t="s">
        <v>7053</v>
      </c>
      <c r="R352" s="32" t="s">
        <v>7043</v>
      </c>
      <c r="S352" s="30">
        <v>46388.0</v>
      </c>
      <c r="T352" s="30">
        <v>46752.0</v>
      </c>
      <c r="U352" s="29" t="s">
        <v>7053</v>
      </c>
      <c r="V352" s="29" t="s">
        <v>7053</v>
      </c>
      <c r="W352" s="32" t="s">
        <v>7043</v>
      </c>
      <c r="X352" s="30">
        <v>46753.0</v>
      </c>
      <c r="Y352" s="30">
        <v>47118.0</v>
      </c>
      <c r="Z352" s="29" t="s">
        <v>7053</v>
      </c>
      <c r="AA352" s="29" t="s">
        <v>7053</v>
      </c>
      <c r="AB352" s="32" t="s">
        <v>7043</v>
      </c>
      <c r="AC352" s="30">
        <v>47119.0</v>
      </c>
      <c r="AD352" s="30">
        <v>47483.0</v>
      </c>
      <c r="AE352" s="29" t="s">
        <v>7053</v>
      </c>
      <c r="AF352" s="29" t="s">
        <v>7053</v>
      </c>
      <c r="AG352" s="32" t="s">
        <v>7043</v>
      </c>
      <c r="AH352" s="30">
        <v>47484.0</v>
      </c>
      <c r="AI352" s="30">
        <v>47848.0</v>
      </c>
      <c r="AJ352" s="29" t="s">
        <v>7053</v>
      </c>
      <c r="AK352" s="29" t="s">
        <v>7053</v>
      </c>
      <c r="AL352" s="32" t="s">
        <v>7043</v>
      </c>
    </row>
    <row r="353" ht="14.25" customHeight="1">
      <c r="A353" s="28" t="s">
        <v>6381</v>
      </c>
      <c r="B353" s="29" t="s">
        <v>6382</v>
      </c>
      <c r="C353" s="29" t="s">
        <v>7041</v>
      </c>
      <c r="D353" s="30">
        <v>45292.0</v>
      </c>
      <c r="E353" s="30">
        <v>45657.0</v>
      </c>
      <c r="F353" s="29" t="s">
        <v>7068</v>
      </c>
      <c r="G353" s="29" t="s">
        <v>7051</v>
      </c>
      <c r="H353" s="32" t="s">
        <v>7043</v>
      </c>
      <c r="I353" s="30">
        <v>45658.0</v>
      </c>
      <c r="J353" s="30">
        <v>46022.0</v>
      </c>
      <c r="K353" s="29" t="s">
        <v>7104</v>
      </c>
      <c r="L353" s="29" t="s">
        <v>7053</v>
      </c>
      <c r="M353" s="38" t="s">
        <v>7047</v>
      </c>
      <c r="N353" s="30">
        <v>46023.0</v>
      </c>
      <c r="O353" s="30">
        <v>46387.0</v>
      </c>
      <c r="P353" s="29" t="s">
        <v>7053</v>
      </c>
      <c r="Q353" s="29" t="s">
        <v>7053</v>
      </c>
      <c r="R353" s="32" t="s">
        <v>7043</v>
      </c>
      <c r="S353" s="30">
        <v>46388.0</v>
      </c>
      <c r="T353" s="30">
        <v>46752.0</v>
      </c>
      <c r="U353" s="29" t="s">
        <v>7053</v>
      </c>
      <c r="V353" s="29" t="s">
        <v>7053</v>
      </c>
      <c r="W353" s="32" t="s">
        <v>7043</v>
      </c>
      <c r="X353" s="30">
        <v>46753.0</v>
      </c>
      <c r="Y353" s="30">
        <v>47118.0</v>
      </c>
      <c r="Z353" s="29" t="s">
        <v>7053</v>
      </c>
      <c r="AA353" s="29" t="s">
        <v>7053</v>
      </c>
      <c r="AB353" s="32" t="s">
        <v>7043</v>
      </c>
      <c r="AC353" s="30">
        <v>47119.0</v>
      </c>
      <c r="AD353" s="30">
        <v>47483.0</v>
      </c>
      <c r="AE353" s="29" t="s">
        <v>7053</v>
      </c>
      <c r="AF353" s="29" t="s">
        <v>7053</v>
      </c>
      <c r="AG353" s="32" t="s">
        <v>7043</v>
      </c>
      <c r="AH353" s="30">
        <v>47484.0</v>
      </c>
      <c r="AI353" s="30">
        <v>47848.0</v>
      </c>
      <c r="AJ353" s="29" t="s">
        <v>7053</v>
      </c>
      <c r="AK353" s="29" t="s">
        <v>7053</v>
      </c>
      <c r="AL353" s="32" t="s">
        <v>7043</v>
      </c>
    </row>
    <row r="354" ht="14.25" customHeight="1">
      <c r="A354" s="28" t="s">
        <v>6396</v>
      </c>
      <c r="B354" s="29" t="s">
        <v>6397</v>
      </c>
      <c r="C354" s="29" t="s">
        <v>7041</v>
      </c>
      <c r="D354" s="30">
        <v>45292.0</v>
      </c>
      <c r="E354" s="30">
        <v>45657.0</v>
      </c>
      <c r="F354" s="29" t="s">
        <v>7094</v>
      </c>
      <c r="G354" s="29" t="s">
        <v>7051</v>
      </c>
      <c r="H354" s="32" t="s">
        <v>7043</v>
      </c>
      <c r="I354" s="30">
        <v>45658.0</v>
      </c>
      <c r="J354" s="30">
        <v>46022.0</v>
      </c>
      <c r="K354" s="29" t="s">
        <v>7131</v>
      </c>
      <c r="L354" s="29" t="s">
        <v>7053</v>
      </c>
      <c r="M354" s="38" t="s">
        <v>7047</v>
      </c>
      <c r="N354" s="30">
        <v>46023.0</v>
      </c>
      <c r="O354" s="30">
        <v>46387.0</v>
      </c>
      <c r="P354" s="29" t="s">
        <v>7053</v>
      </c>
      <c r="Q354" s="29" t="s">
        <v>7053</v>
      </c>
      <c r="R354" s="32" t="s">
        <v>7043</v>
      </c>
      <c r="S354" s="30">
        <v>46388.0</v>
      </c>
      <c r="T354" s="30">
        <v>46752.0</v>
      </c>
      <c r="U354" s="29" t="s">
        <v>7053</v>
      </c>
      <c r="V354" s="29" t="s">
        <v>7053</v>
      </c>
      <c r="W354" s="32" t="s">
        <v>7043</v>
      </c>
      <c r="X354" s="30">
        <v>46753.0</v>
      </c>
      <c r="Y354" s="30">
        <v>47118.0</v>
      </c>
      <c r="Z354" s="29" t="s">
        <v>7053</v>
      </c>
      <c r="AA354" s="29" t="s">
        <v>7053</v>
      </c>
      <c r="AB354" s="32" t="s">
        <v>7043</v>
      </c>
      <c r="AC354" s="30">
        <v>47119.0</v>
      </c>
      <c r="AD354" s="30">
        <v>47483.0</v>
      </c>
      <c r="AE354" s="29" t="s">
        <v>7053</v>
      </c>
      <c r="AF354" s="29" t="s">
        <v>7053</v>
      </c>
      <c r="AG354" s="32" t="s">
        <v>7043</v>
      </c>
      <c r="AH354" s="30">
        <v>47484.0</v>
      </c>
      <c r="AI354" s="30">
        <v>47848.0</v>
      </c>
      <c r="AJ354" s="29" t="s">
        <v>7053</v>
      </c>
      <c r="AK354" s="29" t="s">
        <v>7053</v>
      </c>
      <c r="AL354" s="32" t="s">
        <v>7043</v>
      </c>
    </row>
    <row r="355" ht="14.25" customHeight="1">
      <c r="A355" s="28" t="s">
        <v>6408</v>
      </c>
      <c r="B355" s="29" t="s">
        <v>6409</v>
      </c>
      <c r="C355" s="29" t="s">
        <v>7041</v>
      </c>
      <c r="D355" s="30">
        <v>45292.0</v>
      </c>
      <c r="E355" s="30">
        <v>45657.0</v>
      </c>
      <c r="F355" s="29" t="s">
        <v>7118</v>
      </c>
      <c r="G355" s="29" t="s">
        <v>7051</v>
      </c>
      <c r="H355" s="37" t="s">
        <v>7046</v>
      </c>
      <c r="I355" s="30">
        <v>45658.0</v>
      </c>
      <c r="J355" s="30">
        <v>46022.0</v>
      </c>
      <c r="K355" s="29" t="s">
        <v>7077</v>
      </c>
      <c r="L355" s="29" t="s">
        <v>7053</v>
      </c>
      <c r="M355" s="38" t="s">
        <v>7047</v>
      </c>
      <c r="N355" s="30">
        <v>46023.0</v>
      </c>
      <c r="O355" s="30">
        <v>46387.0</v>
      </c>
      <c r="P355" s="29" t="s">
        <v>7053</v>
      </c>
      <c r="Q355" s="29" t="s">
        <v>7053</v>
      </c>
      <c r="R355" s="32" t="s">
        <v>7043</v>
      </c>
      <c r="S355" s="30">
        <v>46388.0</v>
      </c>
      <c r="T355" s="30">
        <v>46752.0</v>
      </c>
      <c r="U355" s="29" t="s">
        <v>7053</v>
      </c>
      <c r="V355" s="29" t="s">
        <v>7053</v>
      </c>
      <c r="W355" s="32" t="s">
        <v>7043</v>
      </c>
      <c r="X355" s="30">
        <v>46753.0</v>
      </c>
      <c r="Y355" s="30">
        <v>47118.0</v>
      </c>
      <c r="Z355" s="29" t="s">
        <v>7053</v>
      </c>
      <c r="AA355" s="29" t="s">
        <v>7053</v>
      </c>
      <c r="AB355" s="32" t="s">
        <v>7043</v>
      </c>
      <c r="AC355" s="30">
        <v>47119.0</v>
      </c>
      <c r="AD355" s="30">
        <v>47483.0</v>
      </c>
      <c r="AE355" s="29" t="s">
        <v>7053</v>
      </c>
      <c r="AF355" s="29" t="s">
        <v>7053</v>
      </c>
      <c r="AG355" s="32" t="s">
        <v>7043</v>
      </c>
      <c r="AH355" s="30">
        <v>47484.0</v>
      </c>
      <c r="AI355" s="30">
        <v>47848.0</v>
      </c>
      <c r="AJ355" s="29" t="s">
        <v>7053</v>
      </c>
      <c r="AK355" s="29" t="s">
        <v>7053</v>
      </c>
      <c r="AL355" s="32" t="s">
        <v>7043</v>
      </c>
    </row>
    <row r="356" ht="14.25" customHeight="1">
      <c r="A356" s="28" t="s">
        <v>6420</v>
      </c>
      <c r="B356" s="29" t="s">
        <v>6421</v>
      </c>
      <c r="C356" s="29" t="s">
        <v>7041</v>
      </c>
      <c r="D356" s="30">
        <v>45292.0</v>
      </c>
      <c r="E356" s="30">
        <v>45657.0</v>
      </c>
      <c r="F356" s="29" t="s">
        <v>7101</v>
      </c>
      <c r="G356" s="29" t="s">
        <v>7051</v>
      </c>
      <c r="H356" s="32" t="s">
        <v>7043</v>
      </c>
      <c r="I356" s="30">
        <v>45658.0</v>
      </c>
      <c r="J356" s="30">
        <v>46022.0</v>
      </c>
      <c r="K356" s="29" t="s">
        <v>7096</v>
      </c>
      <c r="L356" s="29" t="s">
        <v>7053</v>
      </c>
      <c r="M356" s="38" t="s">
        <v>7047</v>
      </c>
      <c r="N356" s="30">
        <v>46023.0</v>
      </c>
      <c r="O356" s="30">
        <v>46387.0</v>
      </c>
      <c r="P356" s="29" t="s">
        <v>7053</v>
      </c>
      <c r="Q356" s="29" t="s">
        <v>7053</v>
      </c>
      <c r="R356" s="32" t="s">
        <v>7043</v>
      </c>
      <c r="S356" s="30">
        <v>46388.0</v>
      </c>
      <c r="T356" s="30">
        <v>46752.0</v>
      </c>
      <c r="U356" s="29" t="s">
        <v>7053</v>
      </c>
      <c r="V356" s="29" t="s">
        <v>7053</v>
      </c>
      <c r="W356" s="32" t="s">
        <v>7043</v>
      </c>
      <c r="X356" s="30">
        <v>46753.0</v>
      </c>
      <c r="Y356" s="30">
        <v>47118.0</v>
      </c>
      <c r="Z356" s="29" t="s">
        <v>7053</v>
      </c>
      <c r="AA356" s="29" t="s">
        <v>7053</v>
      </c>
      <c r="AB356" s="32" t="s">
        <v>7043</v>
      </c>
      <c r="AC356" s="30">
        <v>47119.0</v>
      </c>
      <c r="AD356" s="30">
        <v>47483.0</v>
      </c>
      <c r="AE356" s="29" t="s">
        <v>7053</v>
      </c>
      <c r="AF356" s="29" t="s">
        <v>7053</v>
      </c>
      <c r="AG356" s="32" t="s">
        <v>7043</v>
      </c>
      <c r="AH356" s="30">
        <v>47484.0</v>
      </c>
      <c r="AI356" s="30">
        <v>47848.0</v>
      </c>
      <c r="AJ356" s="29" t="s">
        <v>7053</v>
      </c>
      <c r="AK356" s="29" t="s">
        <v>7053</v>
      </c>
      <c r="AL356" s="32" t="s">
        <v>7043</v>
      </c>
    </row>
    <row r="357" ht="14.25" customHeight="1">
      <c r="A357" s="28" t="s">
        <v>6425</v>
      </c>
      <c r="B357" s="29" t="s">
        <v>6426</v>
      </c>
      <c r="C357" s="29" t="s">
        <v>7041</v>
      </c>
      <c r="D357" s="30">
        <v>45292.0</v>
      </c>
      <c r="E357" s="30">
        <v>45657.0</v>
      </c>
      <c r="F357" s="29" t="s">
        <v>7089</v>
      </c>
      <c r="G357" s="29" t="s">
        <v>7051</v>
      </c>
      <c r="H357" s="32" t="s">
        <v>7043</v>
      </c>
      <c r="I357" s="30">
        <v>45658.0</v>
      </c>
      <c r="J357" s="30">
        <v>46022.0</v>
      </c>
      <c r="K357" s="29" t="s">
        <v>7086</v>
      </c>
      <c r="L357" s="29" t="s">
        <v>7053</v>
      </c>
      <c r="M357" s="38" t="s">
        <v>7047</v>
      </c>
      <c r="N357" s="30">
        <v>46023.0</v>
      </c>
      <c r="O357" s="30">
        <v>46387.0</v>
      </c>
      <c r="P357" s="29" t="s">
        <v>7053</v>
      </c>
      <c r="Q357" s="29" t="s">
        <v>7053</v>
      </c>
      <c r="R357" s="32" t="s">
        <v>7043</v>
      </c>
      <c r="S357" s="30">
        <v>46388.0</v>
      </c>
      <c r="T357" s="30">
        <v>46752.0</v>
      </c>
      <c r="U357" s="29" t="s">
        <v>7053</v>
      </c>
      <c r="V357" s="29" t="s">
        <v>7053</v>
      </c>
      <c r="W357" s="32" t="s">
        <v>7043</v>
      </c>
      <c r="X357" s="30">
        <v>46753.0</v>
      </c>
      <c r="Y357" s="30">
        <v>47118.0</v>
      </c>
      <c r="Z357" s="29" t="s">
        <v>7053</v>
      </c>
      <c r="AA357" s="29" t="s">
        <v>7053</v>
      </c>
      <c r="AB357" s="32" t="s">
        <v>7043</v>
      </c>
      <c r="AC357" s="30">
        <v>47119.0</v>
      </c>
      <c r="AD357" s="30">
        <v>47483.0</v>
      </c>
      <c r="AE357" s="29" t="s">
        <v>7053</v>
      </c>
      <c r="AF357" s="29" t="s">
        <v>7053</v>
      </c>
      <c r="AG357" s="32" t="s">
        <v>7043</v>
      </c>
      <c r="AH357" s="30">
        <v>47484.0</v>
      </c>
      <c r="AI357" s="30">
        <v>47848.0</v>
      </c>
      <c r="AJ357" s="29" t="s">
        <v>7053</v>
      </c>
      <c r="AK357" s="29" t="s">
        <v>7053</v>
      </c>
      <c r="AL357" s="32" t="s">
        <v>7043</v>
      </c>
    </row>
    <row r="358" ht="14.25" customHeight="1">
      <c r="A358" s="28" t="s">
        <v>6428</v>
      </c>
      <c r="B358" s="29" t="s">
        <v>6429</v>
      </c>
      <c r="C358" s="29" t="s">
        <v>7041</v>
      </c>
      <c r="D358" s="30">
        <v>45292.0</v>
      </c>
      <c r="E358" s="30">
        <v>45657.0</v>
      </c>
      <c r="F358" s="29" t="s">
        <v>7053</v>
      </c>
      <c r="G358" s="29" t="s">
        <v>7055</v>
      </c>
      <c r="H358" s="32" t="s">
        <v>7043</v>
      </c>
      <c r="I358" s="30">
        <v>45658.0</v>
      </c>
      <c r="J358" s="30">
        <v>46022.0</v>
      </c>
      <c r="K358" s="29" t="s">
        <v>7053</v>
      </c>
      <c r="L358" s="29" t="s">
        <v>7053</v>
      </c>
      <c r="M358" s="32" t="s">
        <v>7043</v>
      </c>
      <c r="N358" s="30">
        <v>46023.0</v>
      </c>
      <c r="O358" s="30">
        <v>46387.0</v>
      </c>
      <c r="P358" s="29" t="s">
        <v>7053</v>
      </c>
      <c r="Q358" s="29" t="s">
        <v>7053</v>
      </c>
      <c r="R358" s="32" t="s">
        <v>7043</v>
      </c>
      <c r="S358" s="30">
        <v>46388.0</v>
      </c>
      <c r="T358" s="30">
        <v>46752.0</v>
      </c>
      <c r="U358" s="29" t="s">
        <v>7053</v>
      </c>
      <c r="V358" s="29" t="s">
        <v>7053</v>
      </c>
      <c r="W358" s="32" t="s">
        <v>7043</v>
      </c>
      <c r="X358" s="30">
        <v>46753.0</v>
      </c>
      <c r="Y358" s="30">
        <v>47118.0</v>
      </c>
      <c r="Z358" s="29" t="s">
        <v>7053</v>
      </c>
      <c r="AA358" s="29" t="s">
        <v>7053</v>
      </c>
      <c r="AB358" s="32" t="s">
        <v>7043</v>
      </c>
      <c r="AC358" s="30">
        <v>47119.0</v>
      </c>
      <c r="AD358" s="30">
        <v>47483.0</v>
      </c>
      <c r="AE358" s="29" t="s">
        <v>7053</v>
      </c>
      <c r="AF358" s="29" t="s">
        <v>7053</v>
      </c>
      <c r="AG358" s="32" t="s">
        <v>7043</v>
      </c>
      <c r="AH358" s="30">
        <v>47484.0</v>
      </c>
      <c r="AI358" s="30">
        <v>47848.0</v>
      </c>
      <c r="AJ358" s="29" t="s">
        <v>7053</v>
      </c>
      <c r="AK358" s="29" t="s">
        <v>7053</v>
      </c>
      <c r="AL358" s="32" t="s">
        <v>7043</v>
      </c>
    </row>
    <row r="359" ht="14.25" customHeight="1">
      <c r="A359" s="28" t="s">
        <v>6432</v>
      </c>
      <c r="B359" s="29" t="s">
        <v>6433</v>
      </c>
      <c r="C359" s="29" t="s">
        <v>7041</v>
      </c>
      <c r="D359" s="30">
        <v>45292.0</v>
      </c>
      <c r="E359" s="30">
        <v>45657.0</v>
      </c>
      <c r="F359" s="29" t="s">
        <v>7168</v>
      </c>
      <c r="G359" s="29" t="s">
        <v>7051</v>
      </c>
      <c r="H359" s="38" t="s">
        <v>7047</v>
      </c>
      <c r="I359" s="30">
        <v>45658.0</v>
      </c>
      <c r="J359" s="30">
        <v>46022.0</v>
      </c>
      <c r="K359" s="29" t="s">
        <v>7169</v>
      </c>
      <c r="L359" s="29" t="s">
        <v>7053</v>
      </c>
      <c r="M359" s="38" t="s">
        <v>7047</v>
      </c>
      <c r="N359" s="30">
        <v>46023.0</v>
      </c>
      <c r="O359" s="30">
        <v>46387.0</v>
      </c>
      <c r="P359" s="29" t="s">
        <v>7053</v>
      </c>
      <c r="Q359" s="29" t="s">
        <v>7053</v>
      </c>
      <c r="R359" s="32" t="s">
        <v>7043</v>
      </c>
      <c r="S359" s="30">
        <v>46388.0</v>
      </c>
      <c r="T359" s="30">
        <v>46752.0</v>
      </c>
      <c r="U359" s="29" t="s">
        <v>7053</v>
      </c>
      <c r="V359" s="29" t="s">
        <v>7053</v>
      </c>
      <c r="W359" s="32" t="s">
        <v>7043</v>
      </c>
      <c r="X359" s="30">
        <v>46753.0</v>
      </c>
      <c r="Y359" s="30">
        <v>47118.0</v>
      </c>
      <c r="Z359" s="29" t="s">
        <v>7053</v>
      </c>
      <c r="AA359" s="29" t="s">
        <v>7053</v>
      </c>
      <c r="AB359" s="32" t="s">
        <v>7043</v>
      </c>
      <c r="AC359" s="30">
        <v>47119.0</v>
      </c>
      <c r="AD359" s="30">
        <v>47483.0</v>
      </c>
      <c r="AE359" s="29" t="s">
        <v>7053</v>
      </c>
      <c r="AF359" s="29" t="s">
        <v>7053</v>
      </c>
      <c r="AG359" s="32" t="s">
        <v>7043</v>
      </c>
      <c r="AH359" s="30">
        <v>47484.0</v>
      </c>
      <c r="AI359" s="30">
        <v>47848.0</v>
      </c>
      <c r="AJ359" s="29" t="s">
        <v>7053</v>
      </c>
      <c r="AK359" s="29" t="s">
        <v>7053</v>
      </c>
      <c r="AL359" s="32" t="s">
        <v>7043</v>
      </c>
    </row>
    <row r="360" ht="14.25" customHeight="1">
      <c r="A360" s="28" t="s">
        <v>6454</v>
      </c>
      <c r="B360" s="29" t="s">
        <v>6455</v>
      </c>
      <c r="C360" s="29" t="s">
        <v>7041</v>
      </c>
      <c r="D360" s="30">
        <v>45292.0</v>
      </c>
      <c r="E360" s="30">
        <v>45657.0</v>
      </c>
      <c r="F360" s="29" t="s">
        <v>7111</v>
      </c>
      <c r="G360" s="29" t="s">
        <v>7051</v>
      </c>
      <c r="H360" s="32" t="s">
        <v>7043</v>
      </c>
      <c r="I360" s="30">
        <v>45658.0</v>
      </c>
      <c r="J360" s="30">
        <v>46022.0</v>
      </c>
      <c r="K360" s="29" t="s">
        <v>7052</v>
      </c>
      <c r="L360" s="29" t="s">
        <v>7053</v>
      </c>
      <c r="M360" s="38" t="s">
        <v>7047</v>
      </c>
      <c r="N360" s="30">
        <v>46023.0</v>
      </c>
      <c r="O360" s="30">
        <v>46387.0</v>
      </c>
      <c r="P360" s="29" t="s">
        <v>7053</v>
      </c>
      <c r="Q360" s="29" t="s">
        <v>7053</v>
      </c>
      <c r="R360" s="32" t="s">
        <v>7043</v>
      </c>
      <c r="S360" s="30">
        <v>46388.0</v>
      </c>
      <c r="T360" s="30">
        <v>46752.0</v>
      </c>
      <c r="U360" s="29" t="s">
        <v>7053</v>
      </c>
      <c r="V360" s="29" t="s">
        <v>7053</v>
      </c>
      <c r="W360" s="32" t="s">
        <v>7043</v>
      </c>
      <c r="X360" s="30">
        <v>46753.0</v>
      </c>
      <c r="Y360" s="30">
        <v>47118.0</v>
      </c>
      <c r="Z360" s="29" t="s">
        <v>7053</v>
      </c>
      <c r="AA360" s="29" t="s">
        <v>7053</v>
      </c>
      <c r="AB360" s="32" t="s">
        <v>7043</v>
      </c>
      <c r="AC360" s="30">
        <v>47119.0</v>
      </c>
      <c r="AD360" s="30">
        <v>47483.0</v>
      </c>
      <c r="AE360" s="29" t="s">
        <v>7053</v>
      </c>
      <c r="AF360" s="29" t="s">
        <v>7053</v>
      </c>
      <c r="AG360" s="32" t="s">
        <v>7043</v>
      </c>
      <c r="AH360" s="30">
        <v>47484.0</v>
      </c>
      <c r="AI360" s="30">
        <v>47848.0</v>
      </c>
      <c r="AJ360" s="29" t="s">
        <v>7053</v>
      </c>
      <c r="AK360" s="29" t="s">
        <v>7053</v>
      </c>
      <c r="AL360" s="32" t="s">
        <v>7043</v>
      </c>
    </row>
    <row r="361" ht="14.25" customHeight="1">
      <c r="A361" s="28" t="s">
        <v>6461</v>
      </c>
      <c r="B361" s="29" t="s">
        <v>6462</v>
      </c>
      <c r="C361" s="29" t="s">
        <v>7041</v>
      </c>
      <c r="D361" s="30">
        <v>45292.0</v>
      </c>
      <c r="E361" s="30">
        <v>45657.0</v>
      </c>
      <c r="F361" s="29" t="s">
        <v>7135</v>
      </c>
      <c r="G361" s="29" t="s">
        <v>7051</v>
      </c>
      <c r="H361" s="38" t="s">
        <v>7047</v>
      </c>
      <c r="I361" s="30">
        <v>45658.0</v>
      </c>
      <c r="J361" s="30">
        <v>46022.0</v>
      </c>
      <c r="K361" s="29" t="s">
        <v>7159</v>
      </c>
      <c r="L361" s="29" t="s">
        <v>7053</v>
      </c>
      <c r="M361" s="38" t="s">
        <v>7047</v>
      </c>
      <c r="N361" s="30">
        <v>46023.0</v>
      </c>
      <c r="O361" s="30">
        <v>46387.0</v>
      </c>
      <c r="P361" s="29" t="s">
        <v>7053</v>
      </c>
      <c r="Q361" s="29" t="s">
        <v>7053</v>
      </c>
      <c r="R361" s="32" t="s">
        <v>7043</v>
      </c>
      <c r="S361" s="30">
        <v>46388.0</v>
      </c>
      <c r="T361" s="30">
        <v>46752.0</v>
      </c>
      <c r="U361" s="29" t="s">
        <v>7053</v>
      </c>
      <c r="V361" s="29" t="s">
        <v>7053</v>
      </c>
      <c r="W361" s="32" t="s">
        <v>7043</v>
      </c>
      <c r="X361" s="30">
        <v>46753.0</v>
      </c>
      <c r="Y361" s="30">
        <v>47118.0</v>
      </c>
      <c r="Z361" s="29" t="s">
        <v>7053</v>
      </c>
      <c r="AA361" s="29" t="s">
        <v>7053</v>
      </c>
      <c r="AB361" s="32" t="s">
        <v>7043</v>
      </c>
      <c r="AC361" s="30">
        <v>47119.0</v>
      </c>
      <c r="AD361" s="30">
        <v>47483.0</v>
      </c>
      <c r="AE361" s="29" t="s">
        <v>7053</v>
      </c>
      <c r="AF361" s="29" t="s">
        <v>7053</v>
      </c>
      <c r="AG361" s="32" t="s">
        <v>7043</v>
      </c>
      <c r="AH361" s="30">
        <v>47484.0</v>
      </c>
      <c r="AI361" s="30">
        <v>47848.0</v>
      </c>
      <c r="AJ361" s="29" t="s">
        <v>7053</v>
      </c>
      <c r="AK361" s="29" t="s">
        <v>7053</v>
      </c>
      <c r="AL361" s="32" t="s">
        <v>7043</v>
      </c>
    </row>
    <row r="362" ht="14.25" customHeight="1">
      <c r="A362" s="28" t="s">
        <v>6464</v>
      </c>
      <c r="B362" s="29" t="s">
        <v>6465</v>
      </c>
      <c r="C362" s="29" t="s">
        <v>7041</v>
      </c>
      <c r="D362" s="30">
        <v>45292.0</v>
      </c>
      <c r="E362" s="30">
        <v>45657.0</v>
      </c>
      <c r="F362" s="29" t="s">
        <v>7140</v>
      </c>
      <c r="G362" s="29" t="s">
        <v>7051</v>
      </c>
      <c r="H362" s="38" t="s">
        <v>7047</v>
      </c>
      <c r="I362" s="30">
        <v>45658.0</v>
      </c>
      <c r="J362" s="30">
        <v>46022.0</v>
      </c>
      <c r="K362" s="29" t="s">
        <v>7137</v>
      </c>
      <c r="L362" s="29" t="s">
        <v>7053</v>
      </c>
      <c r="M362" s="38" t="s">
        <v>7047</v>
      </c>
      <c r="N362" s="30">
        <v>46023.0</v>
      </c>
      <c r="O362" s="30">
        <v>46387.0</v>
      </c>
      <c r="P362" s="29" t="s">
        <v>7053</v>
      </c>
      <c r="Q362" s="29" t="s">
        <v>7053</v>
      </c>
      <c r="R362" s="32" t="s">
        <v>7043</v>
      </c>
      <c r="S362" s="30">
        <v>46388.0</v>
      </c>
      <c r="T362" s="30">
        <v>46752.0</v>
      </c>
      <c r="U362" s="29" t="s">
        <v>7053</v>
      </c>
      <c r="V362" s="29" t="s">
        <v>7053</v>
      </c>
      <c r="W362" s="32" t="s">
        <v>7043</v>
      </c>
      <c r="X362" s="30">
        <v>46753.0</v>
      </c>
      <c r="Y362" s="30">
        <v>47118.0</v>
      </c>
      <c r="Z362" s="29" t="s">
        <v>7053</v>
      </c>
      <c r="AA362" s="29" t="s">
        <v>7053</v>
      </c>
      <c r="AB362" s="32" t="s">
        <v>7043</v>
      </c>
      <c r="AC362" s="30">
        <v>47119.0</v>
      </c>
      <c r="AD362" s="30">
        <v>47483.0</v>
      </c>
      <c r="AE362" s="29" t="s">
        <v>7053</v>
      </c>
      <c r="AF362" s="29" t="s">
        <v>7053</v>
      </c>
      <c r="AG362" s="32" t="s">
        <v>7043</v>
      </c>
      <c r="AH362" s="30">
        <v>47484.0</v>
      </c>
      <c r="AI362" s="30">
        <v>47848.0</v>
      </c>
      <c r="AJ362" s="29" t="s">
        <v>7053</v>
      </c>
      <c r="AK362" s="29" t="s">
        <v>7053</v>
      </c>
      <c r="AL362" s="32" t="s">
        <v>7043</v>
      </c>
    </row>
    <row r="363" ht="14.25" customHeight="1">
      <c r="A363" s="28" t="s">
        <v>6467</v>
      </c>
      <c r="B363" s="29" t="s">
        <v>6468</v>
      </c>
      <c r="C363" s="29" t="s">
        <v>7041</v>
      </c>
      <c r="D363" s="30">
        <v>45292.0</v>
      </c>
      <c r="E363" s="30">
        <v>45657.0</v>
      </c>
      <c r="F363" s="29" t="s">
        <v>7054</v>
      </c>
      <c r="G363" s="29" t="s">
        <v>7051</v>
      </c>
      <c r="H363" s="32" t="s">
        <v>7043</v>
      </c>
      <c r="I363" s="30">
        <v>45658.0</v>
      </c>
      <c r="J363" s="30">
        <v>46022.0</v>
      </c>
      <c r="K363" s="29" t="s">
        <v>7101</v>
      </c>
      <c r="L363" s="29" t="s">
        <v>7053</v>
      </c>
      <c r="M363" s="38" t="s">
        <v>7047</v>
      </c>
      <c r="N363" s="30">
        <v>46023.0</v>
      </c>
      <c r="O363" s="30">
        <v>46387.0</v>
      </c>
      <c r="P363" s="29" t="s">
        <v>7053</v>
      </c>
      <c r="Q363" s="29" t="s">
        <v>7053</v>
      </c>
      <c r="R363" s="32" t="s">
        <v>7043</v>
      </c>
      <c r="S363" s="30">
        <v>46388.0</v>
      </c>
      <c r="T363" s="30">
        <v>46752.0</v>
      </c>
      <c r="U363" s="29" t="s">
        <v>7053</v>
      </c>
      <c r="V363" s="29" t="s">
        <v>7053</v>
      </c>
      <c r="W363" s="32" t="s">
        <v>7043</v>
      </c>
      <c r="X363" s="30">
        <v>46753.0</v>
      </c>
      <c r="Y363" s="30">
        <v>47118.0</v>
      </c>
      <c r="Z363" s="29" t="s">
        <v>7053</v>
      </c>
      <c r="AA363" s="29" t="s">
        <v>7053</v>
      </c>
      <c r="AB363" s="32" t="s">
        <v>7043</v>
      </c>
      <c r="AC363" s="30">
        <v>47119.0</v>
      </c>
      <c r="AD363" s="30">
        <v>47483.0</v>
      </c>
      <c r="AE363" s="29" t="s">
        <v>7053</v>
      </c>
      <c r="AF363" s="29" t="s">
        <v>7053</v>
      </c>
      <c r="AG363" s="32" t="s">
        <v>7043</v>
      </c>
      <c r="AH363" s="30">
        <v>47484.0</v>
      </c>
      <c r="AI363" s="30">
        <v>47848.0</v>
      </c>
      <c r="AJ363" s="29" t="s">
        <v>7053</v>
      </c>
      <c r="AK363" s="29" t="s">
        <v>7053</v>
      </c>
      <c r="AL363" s="32" t="s">
        <v>7043</v>
      </c>
    </row>
    <row r="364" ht="14.25" customHeight="1">
      <c r="A364" s="28" t="s">
        <v>6479</v>
      </c>
      <c r="B364" s="29" t="s">
        <v>6480</v>
      </c>
      <c r="C364" s="29" t="s">
        <v>7041</v>
      </c>
      <c r="D364" s="30">
        <v>45292.0</v>
      </c>
      <c r="E364" s="30">
        <v>45657.0</v>
      </c>
      <c r="F364" s="29" t="s">
        <v>7056</v>
      </c>
      <c r="G364" s="29" t="s">
        <v>7051</v>
      </c>
      <c r="H364" s="32" t="s">
        <v>7043</v>
      </c>
      <c r="I364" s="30">
        <v>45658.0</v>
      </c>
      <c r="J364" s="30">
        <v>46022.0</v>
      </c>
      <c r="K364" s="29" t="s">
        <v>7136</v>
      </c>
      <c r="L364" s="29" t="s">
        <v>7053</v>
      </c>
      <c r="M364" s="38" t="s">
        <v>7047</v>
      </c>
      <c r="N364" s="30">
        <v>46023.0</v>
      </c>
      <c r="O364" s="30">
        <v>46387.0</v>
      </c>
      <c r="P364" s="29" t="s">
        <v>7053</v>
      </c>
      <c r="Q364" s="29" t="s">
        <v>7053</v>
      </c>
      <c r="R364" s="32" t="s">
        <v>7043</v>
      </c>
      <c r="S364" s="30">
        <v>46388.0</v>
      </c>
      <c r="T364" s="30">
        <v>46752.0</v>
      </c>
      <c r="U364" s="29" t="s">
        <v>7053</v>
      </c>
      <c r="V364" s="29" t="s">
        <v>7053</v>
      </c>
      <c r="W364" s="32" t="s">
        <v>7043</v>
      </c>
      <c r="X364" s="30">
        <v>46753.0</v>
      </c>
      <c r="Y364" s="30">
        <v>47118.0</v>
      </c>
      <c r="Z364" s="29" t="s">
        <v>7053</v>
      </c>
      <c r="AA364" s="29" t="s">
        <v>7053</v>
      </c>
      <c r="AB364" s="32" t="s">
        <v>7043</v>
      </c>
      <c r="AC364" s="30">
        <v>47119.0</v>
      </c>
      <c r="AD364" s="30">
        <v>47483.0</v>
      </c>
      <c r="AE364" s="29" t="s">
        <v>7053</v>
      </c>
      <c r="AF364" s="29" t="s">
        <v>7053</v>
      </c>
      <c r="AG364" s="32" t="s">
        <v>7043</v>
      </c>
      <c r="AH364" s="30">
        <v>47484.0</v>
      </c>
      <c r="AI364" s="30">
        <v>47848.0</v>
      </c>
      <c r="AJ364" s="29" t="s">
        <v>7053</v>
      </c>
      <c r="AK364" s="29" t="s">
        <v>7053</v>
      </c>
      <c r="AL364" s="32" t="s">
        <v>7043</v>
      </c>
    </row>
    <row r="365" ht="14.25" customHeight="1">
      <c r="A365" s="28" t="s">
        <v>6482</v>
      </c>
      <c r="B365" s="29" t="s">
        <v>6483</v>
      </c>
      <c r="C365" s="29" t="s">
        <v>7041</v>
      </c>
      <c r="D365" s="30">
        <v>45292.0</v>
      </c>
      <c r="E365" s="30">
        <v>45657.0</v>
      </c>
      <c r="F365" s="29" t="s">
        <v>7102</v>
      </c>
      <c r="G365" s="29" t="s">
        <v>7125</v>
      </c>
      <c r="H365" s="38" t="s">
        <v>7047</v>
      </c>
      <c r="I365" s="30">
        <v>45658.0</v>
      </c>
      <c r="J365" s="30">
        <v>46022.0</v>
      </c>
      <c r="K365" s="29" t="s">
        <v>7170</v>
      </c>
      <c r="L365" s="29" t="s">
        <v>7053</v>
      </c>
      <c r="M365" s="38" t="s">
        <v>7047</v>
      </c>
      <c r="N365" s="30">
        <v>46023.0</v>
      </c>
      <c r="O365" s="30">
        <v>46387.0</v>
      </c>
      <c r="P365" s="29" t="s">
        <v>7053</v>
      </c>
      <c r="Q365" s="29" t="s">
        <v>7053</v>
      </c>
      <c r="R365" s="32" t="s">
        <v>7043</v>
      </c>
      <c r="S365" s="30">
        <v>46388.0</v>
      </c>
      <c r="T365" s="30">
        <v>46752.0</v>
      </c>
      <c r="U365" s="29" t="s">
        <v>7053</v>
      </c>
      <c r="V365" s="29" t="s">
        <v>7053</v>
      </c>
      <c r="W365" s="32" t="s">
        <v>7043</v>
      </c>
      <c r="X365" s="30">
        <v>46753.0</v>
      </c>
      <c r="Y365" s="30">
        <v>47118.0</v>
      </c>
      <c r="Z365" s="29" t="s">
        <v>7053</v>
      </c>
      <c r="AA365" s="29" t="s">
        <v>7053</v>
      </c>
      <c r="AB365" s="32" t="s">
        <v>7043</v>
      </c>
      <c r="AC365" s="30">
        <v>47119.0</v>
      </c>
      <c r="AD365" s="30">
        <v>47483.0</v>
      </c>
      <c r="AE365" s="29" t="s">
        <v>7053</v>
      </c>
      <c r="AF365" s="29" t="s">
        <v>7053</v>
      </c>
      <c r="AG365" s="32" t="s">
        <v>7043</v>
      </c>
      <c r="AH365" s="30">
        <v>47484.0</v>
      </c>
      <c r="AI365" s="30">
        <v>47848.0</v>
      </c>
      <c r="AJ365" s="29" t="s">
        <v>7053</v>
      </c>
      <c r="AK365" s="29" t="s">
        <v>7053</v>
      </c>
      <c r="AL365" s="32" t="s">
        <v>7043</v>
      </c>
    </row>
    <row r="366" ht="14.25" customHeight="1">
      <c r="A366" s="28" t="s">
        <v>6486</v>
      </c>
      <c r="B366" s="29" t="s">
        <v>6487</v>
      </c>
      <c r="C366" s="29" t="s">
        <v>7041</v>
      </c>
      <c r="D366" s="30">
        <v>45292.0</v>
      </c>
      <c r="E366" s="30">
        <v>45657.0</v>
      </c>
      <c r="F366" s="29" t="s">
        <v>7117</v>
      </c>
      <c r="G366" s="29" t="s">
        <v>7051</v>
      </c>
      <c r="H366" s="32" t="s">
        <v>7043</v>
      </c>
      <c r="I366" s="30">
        <v>45658.0</v>
      </c>
      <c r="J366" s="30">
        <v>46022.0</v>
      </c>
      <c r="K366" s="29" t="s">
        <v>7050</v>
      </c>
      <c r="L366" s="29" t="s">
        <v>7053</v>
      </c>
      <c r="M366" s="38" t="s">
        <v>7047</v>
      </c>
      <c r="N366" s="30">
        <v>46023.0</v>
      </c>
      <c r="O366" s="30">
        <v>46387.0</v>
      </c>
      <c r="P366" s="29" t="s">
        <v>7053</v>
      </c>
      <c r="Q366" s="29" t="s">
        <v>7053</v>
      </c>
      <c r="R366" s="32" t="s">
        <v>7043</v>
      </c>
      <c r="S366" s="30">
        <v>46388.0</v>
      </c>
      <c r="T366" s="30">
        <v>46752.0</v>
      </c>
      <c r="U366" s="29" t="s">
        <v>7053</v>
      </c>
      <c r="V366" s="29" t="s">
        <v>7053</v>
      </c>
      <c r="W366" s="32" t="s">
        <v>7043</v>
      </c>
      <c r="X366" s="30">
        <v>46753.0</v>
      </c>
      <c r="Y366" s="30">
        <v>47118.0</v>
      </c>
      <c r="Z366" s="29" t="s">
        <v>7053</v>
      </c>
      <c r="AA366" s="29" t="s">
        <v>7053</v>
      </c>
      <c r="AB366" s="32" t="s">
        <v>7043</v>
      </c>
      <c r="AC366" s="30">
        <v>47119.0</v>
      </c>
      <c r="AD366" s="30">
        <v>47483.0</v>
      </c>
      <c r="AE366" s="29" t="s">
        <v>7053</v>
      </c>
      <c r="AF366" s="29" t="s">
        <v>7053</v>
      </c>
      <c r="AG366" s="32" t="s">
        <v>7043</v>
      </c>
      <c r="AH366" s="30">
        <v>47484.0</v>
      </c>
      <c r="AI366" s="30">
        <v>47848.0</v>
      </c>
      <c r="AJ366" s="29" t="s">
        <v>7053</v>
      </c>
      <c r="AK366" s="29" t="s">
        <v>7053</v>
      </c>
      <c r="AL366" s="32" t="s">
        <v>7043</v>
      </c>
    </row>
    <row r="367" ht="14.25" customHeight="1">
      <c r="A367" s="28" t="s">
        <v>6489</v>
      </c>
      <c r="B367" s="29" t="s">
        <v>6490</v>
      </c>
      <c r="C367" s="29" t="s">
        <v>7041</v>
      </c>
      <c r="D367" s="30">
        <v>45292.0</v>
      </c>
      <c r="E367" s="30">
        <v>45657.0</v>
      </c>
      <c r="F367" s="29" t="s">
        <v>7076</v>
      </c>
      <c r="G367" s="29" t="s">
        <v>7051</v>
      </c>
      <c r="H367" s="38" t="s">
        <v>7047</v>
      </c>
      <c r="I367" s="30">
        <v>45658.0</v>
      </c>
      <c r="J367" s="30">
        <v>46022.0</v>
      </c>
      <c r="K367" s="29" t="s">
        <v>7051</v>
      </c>
      <c r="L367" s="29" t="s">
        <v>7053</v>
      </c>
      <c r="M367" s="38" t="s">
        <v>7047</v>
      </c>
      <c r="N367" s="30">
        <v>46023.0</v>
      </c>
      <c r="O367" s="30">
        <v>46387.0</v>
      </c>
      <c r="P367" s="29" t="s">
        <v>7053</v>
      </c>
      <c r="Q367" s="29" t="s">
        <v>7053</v>
      </c>
      <c r="R367" s="32" t="s">
        <v>7043</v>
      </c>
      <c r="S367" s="30">
        <v>46388.0</v>
      </c>
      <c r="T367" s="30">
        <v>46752.0</v>
      </c>
      <c r="U367" s="29" t="s">
        <v>7053</v>
      </c>
      <c r="V367" s="29" t="s">
        <v>7053</v>
      </c>
      <c r="W367" s="32" t="s">
        <v>7043</v>
      </c>
      <c r="X367" s="30">
        <v>46753.0</v>
      </c>
      <c r="Y367" s="30">
        <v>47118.0</v>
      </c>
      <c r="Z367" s="29" t="s">
        <v>7053</v>
      </c>
      <c r="AA367" s="29" t="s">
        <v>7053</v>
      </c>
      <c r="AB367" s="32" t="s">
        <v>7043</v>
      </c>
      <c r="AC367" s="30">
        <v>47119.0</v>
      </c>
      <c r="AD367" s="30">
        <v>47483.0</v>
      </c>
      <c r="AE367" s="29" t="s">
        <v>7053</v>
      </c>
      <c r="AF367" s="29" t="s">
        <v>7053</v>
      </c>
      <c r="AG367" s="32" t="s">
        <v>7043</v>
      </c>
      <c r="AH367" s="30">
        <v>47484.0</v>
      </c>
      <c r="AI367" s="30">
        <v>47848.0</v>
      </c>
      <c r="AJ367" s="29" t="s">
        <v>7053</v>
      </c>
      <c r="AK367" s="29" t="s">
        <v>7053</v>
      </c>
      <c r="AL367" s="32" t="s">
        <v>7043</v>
      </c>
    </row>
    <row r="368" ht="14.25" customHeight="1">
      <c r="A368" s="28" t="s">
        <v>6492</v>
      </c>
      <c r="B368" s="29" t="s">
        <v>6493</v>
      </c>
      <c r="C368" s="29" t="s">
        <v>7041</v>
      </c>
      <c r="D368" s="30">
        <v>45292.0</v>
      </c>
      <c r="E368" s="30">
        <v>45657.0</v>
      </c>
      <c r="F368" s="29" t="s">
        <v>7145</v>
      </c>
      <c r="G368" s="29" t="s">
        <v>7051</v>
      </c>
      <c r="H368" s="38" t="s">
        <v>7047</v>
      </c>
      <c r="I368" s="30">
        <v>45658.0</v>
      </c>
      <c r="J368" s="30">
        <v>46022.0</v>
      </c>
      <c r="K368" s="29" t="s">
        <v>7092</v>
      </c>
      <c r="L368" s="29" t="s">
        <v>7053</v>
      </c>
      <c r="M368" s="38" t="s">
        <v>7047</v>
      </c>
      <c r="N368" s="30">
        <v>46023.0</v>
      </c>
      <c r="O368" s="30">
        <v>46387.0</v>
      </c>
      <c r="P368" s="29" t="s">
        <v>7053</v>
      </c>
      <c r="Q368" s="29" t="s">
        <v>7053</v>
      </c>
      <c r="R368" s="32" t="s">
        <v>7043</v>
      </c>
      <c r="S368" s="30">
        <v>46388.0</v>
      </c>
      <c r="T368" s="30">
        <v>46752.0</v>
      </c>
      <c r="U368" s="29" t="s">
        <v>7053</v>
      </c>
      <c r="V368" s="29" t="s">
        <v>7053</v>
      </c>
      <c r="W368" s="32" t="s">
        <v>7043</v>
      </c>
      <c r="X368" s="30">
        <v>46753.0</v>
      </c>
      <c r="Y368" s="30">
        <v>47118.0</v>
      </c>
      <c r="Z368" s="29" t="s">
        <v>7053</v>
      </c>
      <c r="AA368" s="29" t="s">
        <v>7053</v>
      </c>
      <c r="AB368" s="32" t="s">
        <v>7043</v>
      </c>
      <c r="AC368" s="30">
        <v>47119.0</v>
      </c>
      <c r="AD368" s="30">
        <v>47483.0</v>
      </c>
      <c r="AE368" s="29" t="s">
        <v>7053</v>
      </c>
      <c r="AF368" s="29" t="s">
        <v>7053</v>
      </c>
      <c r="AG368" s="32" t="s">
        <v>7043</v>
      </c>
      <c r="AH368" s="30">
        <v>47484.0</v>
      </c>
      <c r="AI368" s="30">
        <v>47848.0</v>
      </c>
      <c r="AJ368" s="29" t="s">
        <v>7053</v>
      </c>
      <c r="AK368" s="29" t="s">
        <v>7053</v>
      </c>
      <c r="AL368" s="32" t="s">
        <v>7043</v>
      </c>
    </row>
    <row r="369" ht="14.25" customHeight="1">
      <c r="A369" s="28" t="s">
        <v>6495</v>
      </c>
      <c r="B369" s="29" t="s">
        <v>6496</v>
      </c>
      <c r="C369" s="29" t="s">
        <v>7041</v>
      </c>
      <c r="D369" s="30">
        <v>45292.0</v>
      </c>
      <c r="E369" s="30">
        <v>45657.0</v>
      </c>
      <c r="F369" s="29" t="s">
        <v>7069</v>
      </c>
      <c r="G369" s="29" t="s">
        <v>7051</v>
      </c>
      <c r="H369" s="37" t="s">
        <v>7046</v>
      </c>
      <c r="I369" s="30">
        <v>45658.0</v>
      </c>
      <c r="J369" s="30">
        <v>46022.0</v>
      </c>
      <c r="K369" s="29" t="s">
        <v>7126</v>
      </c>
      <c r="L369" s="29" t="s">
        <v>7053</v>
      </c>
      <c r="M369" s="38" t="s">
        <v>7047</v>
      </c>
      <c r="N369" s="30">
        <v>46023.0</v>
      </c>
      <c r="O369" s="30">
        <v>46387.0</v>
      </c>
      <c r="P369" s="29" t="s">
        <v>7053</v>
      </c>
      <c r="Q369" s="29" t="s">
        <v>7053</v>
      </c>
      <c r="R369" s="32" t="s">
        <v>7043</v>
      </c>
      <c r="S369" s="30">
        <v>46388.0</v>
      </c>
      <c r="T369" s="30">
        <v>46752.0</v>
      </c>
      <c r="U369" s="29" t="s">
        <v>7053</v>
      </c>
      <c r="V369" s="29" t="s">
        <v>7053</v>
      </c>
      <c r="W369" s="32" t="s">
        <v>7043</v>
      </c>
      <c r="X369" s="30">
        <v>46753.0</v>
      </c>
      <c r="Y369" s="30">
        <v>47118.0</v>
      </c>
      <c r="Z369" s="29" t="s">
        <v>7053</v>
      </c>
      <c r="AA369" s="29" t="s">
        <v>7053</v>
      </c>
      <c r="AB369" s="32" t="s">
        <v>7043</v>
      </c>
      <c r="AC369" s="30">
        <v>47119.0</v>
      </c>
      <c r="AD369" s="30">
        <v>47483.0</v>
      </c>
      <c r="AE369" s="29" t="s">
        <v>7053</v>
      </c>
      <c r="AF369" s="29" t="s">
        <v>7053</v>
      </c>
      <c r="AG369" s="32" t="s">
        <v>7043</v>
      </c>
      <c r="AH369" s="30">
        <v>47484.0</v>
      </c>
      <c r="AI369" s="30">
        <v>47848.0</v>
      </c>
      <c r="AJ369" s="29" t="s">
        <v>7053</v>
      </c>
      <c r="AK369" s="29" t="s">
        <v>7053</v>
      </c>
      <c r="AL369" s="32" t="s">
        <v>7043</v>
      </c>
    </row>
    <row r="370" ht="14.25" customHeight="1">
      <c r="A370" s="28" t="s">
        <v>6580</v>
      </c>
      <c r="B370" s="29" t="s">
        <v>6581</v>
      </c>
      <c r="C370" s="29" t="s">
        <v>7041</v>
      </c>
      <c r="D370" s="30">
        <v>45292.0</v>
      </c>
      <c r="E370" s="30">
        <v>45657.0</v>
      </c>
      <c r="F370" s="29" t="s">
        <v>7079</v>
      </c>
      <c r="G370" s="29" t="s">
        <v>7051</v>
      </c>
      <c r="H370" s="32" t="s">
        <v>7043</v>
      </c>
      <c r="I370" s="30">
        <v>45658.0</v>
      </c>
      <c r="J370" s="30">
        <v>46022.0</v>
      </c>
      <c r="K370" s="29" t="s">
        <v>7053</v>
      </c>
      <c r="L370" s="29" t="s">
        <v>7053</v>
      </c>
      <c r="M370" s="32" t="s">
        <v>7043</v>
      </c>
      <c r="N370" s="30">
        <v>46023.0</v>
      </c>
      <c r="O370" s="30">
        <v>46387.0</v>
      </c>
      <c r="P370" s="29" t="s">
        <v>7053</v>
      </c>
      <c r="Q370" s="29" t="s">
        <v>7053</v>
      </c>
      <c r="R370" s="32" t="s">
        <v>7043</v>
      </c>
      <c r="S370" s="30">
        <v>46388.0</v>
      </c>
      <c r="T370" s="30">
        <v>46752.0</v>
      </c>
      <c r="U370" s="29" t="s">
        <v>7053</v>
      </c>
      <c r="V370" s="29" t="s">
        <v>7053</v>
      </c>
      <c r="W370" s="32" t="s">
        <v>7043</v>
      </c>
      <c r="X370" s="30">
        <v>46753.0</v>
      </c>
      <c r="Y370" s="30">
        <v>47118.0</v>
      </c>
      <c r="Z370" s="29" t="s">
        <v>7053</v>
      </c>
      <c r="AA370" s="29" t="s">
        <v>7053</v>
      </c>
      <c r="AB370" s="32" t="s">
        <v>7043</v>
      </c>
      <c r="AC370" s="30">
        <v>47119.0</v>
      </c>
      <c r="AD370" s="30">
        <v>47483.0</v>
      </c>
      <c r="AE370" s="29" t="s">
        <v>7053</v>
      </c>
      <c r="AF370" s="29" t="s">
        <v>7053</v>
      </c>
      <c r="AG370" s="32" t="s">
        <v>7043</v>
      </c>
      <c r="AH370" s="30">
        <v>47484.0</v>
      </c>
      <c r="AI370" s="30">
        <v>47848.0</v>
      </c>
      <c r="AJ370" s="29" t="s">
        <v>7053</v>
      </c>
      <c r="AK370" s="29" t="s">
        <v>7053</v>
      </c>
      <c r="AL370" s="32" t="s">
        <v>7043</v>
      </c>
    </row>
    <row r="371" ht="14.25" customHeight="1">
      <c r="A371" s="28" t="s">
        <v>6586</v>
      </c>
      <c r="B371" s="29" t="s">
        <v>6587</v>
      </c>
      <c r="C371" s="29" t="s">
        <v>7041</v>
      </c>
      <c r="D371" s="30">
        <v>45292.0</v>
      </c>
      <c r="E371" s="30">
        <v>45657.0</v>
      </c>
      <c r="F371" s="29" t="s">
        <v>7061</v>
      </c>
      <c r="G371" s="29" t="s">
        <v>7051</v>
      </c>
      <c r="H371" s="37" t="s">
        <v>7046</v>
      </c>
      <c r="I371" s="30">
        <v>45658.0</v>
      </c>
      <c r="J371" s="30">
        <v>46022.0</v>
      </c>
      <c r="K371" s="29" t="s">
        <v>7141</v>
      </c>
      <c r="L371" s="29" t="s">
        <v>7053</v>
      </c>
      <c r="M371" s="38" t="s">
        <v>7047</v>
      </c>
      <c r="N371" s="30">
        <v>46023.0</v>
      </c>
      <c r="O371" s="30">
        <v>46387.0</v>
      </c>
      <c r="P371" s="29" t="s">
        <v>7053</v>
      </c>
      <c r="Q371" s="29" t="s">
        <v>7053</v>
      </c>
      <c r="R371" s="32" t="s">
        <v>7043</v>
      </c>
      <c r="S371" s="30">
        <v>46388.0</v>
      </c>
      <c r="T371" s="30">
        <v>46752.0</v>
      </c>
      <c r="U371" s="29" t="s">
        <v>7053</v>
      </c>
      <c r="V371" s="29" t="s">
        <v>7053</v>
      </c>
      <c r="W371" s="32" t="s">
        <v>7043</v>
      </c>
      <c r="X371" s="30">
        <v>46753.0</v>
      </c>
      <c r="Y371" s="30">
        <v>47118.0</v>
      </c>
      <c r="Z371" s="29" t="s">
        <v>7053</v>
      </c>
      <c r="AA371" s="29" t="s">
        <v>7053</v>
      </c>
      <c r="AB371" s="32" t="s">
        <v>7043</v>
      </c>
      <c r="AC371" s="30">
        <v>47119.0</v>
      </c>
      <c r="AD371" s="30">
        <v>47483.0</v>
      </c>
      <c r="AE371" s="29" t="s">
        <v>7053</v>
      </c>
      <c r="AF371" s="29" t="s">
        <v>7053</v>
      </c>
      <c r="AG371" s="32" t="s">
        <v>7043</v>
      </c>
      <c r="AH371" s="30">
        <v>47484.0</v>
      </c>
      <c r="AI371" s="30">
        <v>47848.0</v>
      </c>
      <c r="AJ371" s="29" t="s">
        <v>7053</v>
      </c>
      <c r="AK371" s="29" t="s">
        <v>7053</v>
      </c>
      <c r="AL371" s="32" t="s">
        <v>7043</v>
      </c>
    </row>
    <row r="372" ht="14.25" customHeight="1">
      <c r="A372" s="28" t="s">
        <v>6601</v>
      </c>
      <c r="B372" s="29" t="s">
        <v>6602</v>
      </c>
      <c r="C372" s="29" t="s">
        <v>7041</v>
      </c>
      <c r="D372" s="30">
        <v>45292.0</v>
      </c>
      <c r="E372" s="30">
        <v>45657.0</v>
      </c>
      <c r="F372" s="29" t="s">
        <v>7086</v>
      </c>
      <c r="G372" s="29" t="s">
        <v>7051</v>
      </c>
      <c r="H372" s="32" t="s">
        <v>7043</v>
      </c>
      <c r="I372" s="30">
        <v>45658.0</v>
      </c>
      <c r="J372" s="30">
        <v>46022.0</v>
      </c>
      <c r="K372" s="29" t="s">
        <v>7097</v>
      </c>
      <c r="L372" s="29" t="s">
        <v>7053</v>
      </c>
      <c r="M372" s="38" t="s">
        <v>7047</v>
      </c>
      <c r="N372" s="30">
        <v>46023.0</v>
      </c>
      <c r="O372" s="30">
        <v>46387.0</v>
      </c>
      <c r="P372" s="29" t="s">
        <v>7053</v>
      </c>
      <c r="Q372" s="29" t="s">
        <v>7053</v>
      </c>
      <c r="R372" s="32" t="s">
        <v>7043</v>
      </c>
      <c r="S372" s="30">
        <v>46388.0</v>
      </c>
      <c r="T372" s="30">
        <v>46752.0</v>
      </c>
      <c r="U372" s="29" t="s">
        <v>7053</v>
      </c>
      <c r="V372" s="29" t="s">
        <v>7053</v>
      </c>
      <c r="W372" s="32" t="s">
        <v>7043</v>
      </c>
      <c r="X372" s="30">
        <v>46753.0</v>
      </c>
      <c r="Y372" s="30">
        <v>47118.0</v>
      </c>
      <c r="Z372" s="29" t="s">
        <v>7053</v>
      </c>
      <c r="AA372" s="29" t="s">
        <v>7053</v>
      </c>
      <c r="AB372" s="32" t="s">
        <v>7043</v>
      </c>
      <c r="AC372" s="30">
        <v>47119.0</v>
      </c>
      <c r="AD372" s="30">
        <v>47483.0</v>
      </c>
      <c r="AE372" s="29" t="s">
        <v>7053</v>
      </c>
      <c r="AF372" s="29" t="s">
        <v>7053</v>
      </c>
      <c r="AG372" s="32" t="s">
        <v>7043</v>
      </c>
      <c r="AH372" s="30">
        <v>47484.0</v>
      </c>
      <c r="AI372" s="30">
        <v>47848.0</v>
      </c>
      <c r="AJ372" s="29" t="s">
        <v>7053</v>
      </c>
      <c r="AK372" s="29" t="s">
        <v>7053</v>
      </c>
      <c r="AL372" s="32" t="s">
        <v>7043</v>
      </c>
    </row>
    <row r="373" ht="14.25" customHeight="1">
      <c r="A373" s="28" t="s">
        <v>6620</v>
      </c>
      <c r="B373" s="29" t="s">
        <v>6621</v>
      </c>
      <c r="C373" s="29" t="s">
        <v>7041</v>
      </c>
      <c r="D373" s="30">
        <v>45292.0</v>
      </c>
      <c r="E373" s="30">
        <v>45657.0</v>
      </c>
      <c r="F373" s="29" t="s">
        <v>7069</v>
      </c>
      <c r="G373" s="29" t="s">
        <v>7051</v>
      </c>
      <c r="H373" s="37" t="s">
        <v>7046</v>
      </c>
      <c r="I373" s="30">
        <v>45658.0</v>
      </c>
      <c r="J373" s="30">
        <v>46022.0</v>
      </c>
      <c r="K373" s="29" t="s">
        <v>7057</v>
      </c>
      <c r="L373" s="29" t="s">
        <v>7053</v>
      </c>
      <c r="M373" s="38" t="s">
        <v>7047</v>
      </c>
      <c r="N373" s="30">
        <v>46023.0</v>
      </c>
      <c r="O373" s="30">
        <v>46387.0</v>
      </c>
      <c r="P373" s="29" t="s">
        <v>7053</v>
      </c>
      <c r="Q373" s="29" t="s">
        <v>7053</v>
      </c>
      <c r="R373" s="32" t="s">
        <v>7043</v>
      </c>
      <c r="S373" s="30">
        <v>46388.0</v>
      </c>
      <c r="T373" s="30">
        <v>46752.0</v>
      </c>
      <c r="U373" s="29" t="s">
        <v>7053</v>
      </c>
      <c r="V373" s="29" t="s">
        <v>7053</v>
      </c>
      <c r="W373" s="32" t="s">
        <v>7043</v>
      </c>
      <c r="X373" s="30">
        <v>46753.0</v>
      </c>
      <c r="Y373" s="30">
        <v>47118.0</v>
      </c>
      <c r="Z373" s="29" t="s">
        <v>7053</v>
      </c>
      <c r="AA373" s="29" t="s">
        <v>7053</v>
      </c>
      <c r="AB373" s="32" t="s">
        <v>7043</v>
      </c>
      <c r="AC373" s="30">
        <v>47119.0</v>
      </c>
      <c r="AD373" s="30">
        <v>47483.0</v>
      </c>
      <c r="AE373" s="29" t="s">
        <v>7053</v>
      </c>
      <c r="AF373" s="29" t="s">
        <v>7053</v>
      </c>
      <c r="AG373" s="32" t="s">
        <v>7043</v>
      </c>
      <c r="AH373" s="30">
        <v>47484.0</v>
      </c>
      <c r="AI373" s="30">
        <v>47848.0</v>
      </c>
      <c r="AJ373" s="29" t="s">
        <v>7053</v>
      </c>
      <c r="AK373" s="29" t="s">
        <v>7053</v>
      </c>
      <c r="AL373" s="32" t="s">
        <v>7043</v>
      </c>
    </row>
    <row r="374" ht="14.25" customHeight="1">
      <c r="A374" s="28" t="s">
        <v>2894</v>
      </c>
      <c r="B374" s="29" t="s">
        <v>2895</v>
      </c>
      <c r="C374" s="29" t="s">
        <v>7041</v>
      </c>
      <c r="D374" s="30">
        <v>45292.0</v>
      </c>
      <c r="E374" s="30">
        <v>45657.0</v>
      </c>
      <c r="F374" s="29" t="s">
        <v>7133</v>
      </c>
      <c r="G374" s="29" t="s">
        <v>7051</v>
      </c>
      <c r="H374" s="38" t="s">
        <v>7047</v>
      </c>
      <c r="I374" s="30">
        <v>45658.0</v>
      </c>
      <c r="J374" s="30">
        <v>46022.0</v>
      </c>
      <c r="K374" s="29" t="s">
        <v>7083</v>
      </c>
      <c r="L374" s="29" t="s">
        <v>7053</v>
      </c>
      <c r="M374" s="38" t="s">
        <v>7047</v>
      </c>
      <c r="N374" s="30">
        <v>46023.0</v>
      </c>
      <c r="O374" s="30">
        <v>46387.0</v>
      </c>
      <c r="P374" s="29" t="s">
        <v>7053</v>
      </c>
      <c r="Q374" s="29" t="s">
        <v>7053</v>
      </c>
      <c r="R374" s="32" t="s">
        <v>7043</v>
      </c>
      <c r="S374" s="30">
        <v>46388.0</v>
      </c>
      <c r="T374" s="30">
        <v>46752.0</v>
      </c>
      <c r="U374" s="29" t="s">
        <v>7053</v>
      </c>
      <c r="V374" s="29" t="s">
        <v>7053</v>
      </c>
      <c r="W374" s="32" t="s">
        <v>7043</v>
      </c>
      <c r="X374" s="30">
        <v>46753.0</v>
      </c>
      <c r="Y374" s="30">
        <v>47118.0</v>
      </c>
      <c r="Z374" s="29" t="s">
        <v>7053</v>
      </c>
      <c r="AA374" s="29" t="s">
        <v>7053</v>
      </c>
      <c r="AB374" s="32" t="s">
        <v>7043</v>
      </c>
      <c r="AC374" s="30">
        <v>47119.0</v>
      </c>
      <c r="AD374" s="30">
        <v>47483.0</v>
      </c>
      <c r="AE374" s="29" t="s">
        <v>7053</v>
      </c>
      <c r="AF374" s="29" t="s">
        <v>7053</v>
      </c>
      <c r="AG374" s="32" t="s">
        <v>7043</v>
      </c>
      <c r="AH374" s="30">
        <v>47484.0</v>
      </c>
      <c r="AI374" s="30">
        <v>47848.0</v>
      </c>
      <c r="AJ374" s="29" t="s">
        <v>7053</v>
      </c>
      <c r="AK374" s="29" t="s">
        <v>7053</v>
      </c>
      <c r="AL374" s="32" t="s">
        <v>7043</v>
      </c>
    </row>
    <row r="375" ht="14.25" customHeight="1">
      <c r="A375" s="28" t="s">
        <v>6641</v>
      </c>
      <c r="B375" s="29" t="s">
        <v>6642</v>
      </c>
      <c r="C375" s="29" t="s">
        <v>7041</v>
      </c>
      <c r="D375" s="30">
        <v>45292.0</v>
      </c>
      <c r="E375" s="30">
        <v>45657.0</v>
      </c>
      <c r="F375" s="29" t="s">
        <v>7053</v>
      </c>
      <c r="G375" s="29" t="s">
        <v>7055</v>
      </c>
      <c r="H375" s="32" t="s">
        <v>7043</v>
      </c>
      <c r="I375" s="30">
        <v>45658.0</v>
      </c>
      <c r="J375" s="30">
        <v>46022.0</v>
      </c>
      <c r="K375" s="29" t="s">
        <v>7053</v>
      </c>
      <c r="L375" s="29" t="s">
        <v>7053</v>
      </c>
      <c r="M375" s="32" t="s">
        <v>7043</v>
      </c>
      <c r="N375" s="30">
        <v>46023.0</v>
      </c>
      <c r="O375" s="30">
        <v>46387.0</v>
      </c>
      <c r="P375" s="29" t="s">
        <v>7053</v>
      </c>
      <c r="Q375" s="29" t="s">
        <v>7053</v>
      </c>
      <c r="R375" s="32" t="s">
        <v>7043</v>
      </c>
      <c r="S375" s="30">
        <v>46388.0</v>
      </c>
      <c r="T375" s="30">
        <v>46752.0</v>
      </c>
      <c r="U375" s="29" t="s">
        <v>7053</v>
      </c>
      <c r="V375" s="29" t="s">
        <v>7053</v>
      </c>
      <c r="W375" s="32" t="s">
        <v>7043</v>
      </c>
      <c r="X375" s="30">
        <v>46753.0</v>
      </c>
      <c r="Y375" s="30">
        <v>47118.0</v>
      </c>
      <c r="Z375" s="29" t="s">
        <v>7053</v>
      </c>
      <c r="AA375" s="29" t="s">
        <v>7053</v>
      </c>
      <c r="AB375" s="32" t="s">
        <v>7043</v>
      </c>
      <c r="AC375" s="30">
        <v>47119.0</v>
      </c>
      <c r="AD375" s="30">
        <v>47483.0</v>
      </c>
      <c r="AE375" s="29" t="s">
        <v>7053</v>
      </c>
      <c r="AF375" s="29" t="s">
        <v>7053</v>
      </c>
      <c r="AG375" s="32" t="s">
        <v>7043</v>
      </c>
      <c r="AH375" s="30">
        <v>47484.0</v>
      </c>
      <c r="AI375" s="30">
        <v>47848.0</v>
      </c>
      <c r="AJ375" s="29" t="s">
        <v>7053</v>
      </c>
      <c r="AK375" s="29" t="s">
        <v>7053</v>
      </c>
      <c r="AL375" s="32" t="s">
        <v>7043</v>
      </c>
    </row>
    <row r="376" ht="14.25" customHeight="1">
      <c r="A376" s="28" t="s">
        <v>6657</v>
      </c>
      <c r="B376" s="29" t="s">
        <v>6658</v>
      </c>
      <c r="C376" s="29" t="s">
        <v>7041</v>
      </c>
      <c r="D376" s="30">
        <v>45292.0</v>
      </c>
      <c r="E376" s="30">
        <v>45657.0</v>
      </c>
      <c r="F376" s="29" t="s">
        <v>7092</v>
      </c>
      <c r="G376" s="29" t="s">
        <v>7051</v>
      </c>
      <c r="H376" s="37" t="s">
        <v>7046</v>
      </c>
      <c r="I376" s="30">
        <v>45658.0</v>
      </c>
      <c r="J376" s="30">
        <v>46022.0</v>
      </c>
      <c r="K376" s="29" t="s">
        <v>7141</v>
      </c>
      <c r="L376" s="29" t="s">
        <v>7053</v>
      </c>
      <c r="M376" s="38" t="s">
        <v>7047</v>
      </c>
      <c r="N376" s="30">
        <v>46023.0</v>
      </c>
      <c r="O376" s="30">
        <v>46387.0</v>
      </c>
      <c r="P376" s="29" t="s">
        <v>7053</v>
      </c>
      <c r="Q376" s="29" t="s">
        <v>7053</v>
      </c>
      <c r="R376" s="32" t="s">
        <v>7043</v>
      </c>
      <c r="S376" s="30">
        <v>46388.0</v>
      </c>
      <c r="T376" s="30">
        <v>46752.0</v>
      </c>
      <c r="U376" s="29" t="s">
        <v>7053</v>
      </c>
      <c r="V376" s="29" t="s">
        <v>7053</v>
      </c>
      <c r="W376" s="32" t="s">
        <v>7043</v>
      </c>
      <c r="X376" s="30">
        <v>46753.0</v>
      </c>
      <c r="Y376" s="30">
        <v>47118.0</v>
      </c>
      <c r="Z376" s="29" t="s">
        <v>7053</v>
      </c>
      <c r="AA376" s="29" t="s">
        <v>7053</v>
      </c>
      <c r="AB376" s="32" t="s">
        <v>7043</v>
      </c>
      <c r="AC376" s="30">
        <v>47119.0</v>
      </c>
      <c r="AD376" s="30">
        <v>47483.0</v>
      </c>
      <c r="AE376" s="29" t="s">
        <v>7053</v>
      </c>
      <c r="AF376" s="29" t="s">
        <v>7053</v>
      </c>
      <c r="AG376" s="32" t="s">
        <v>7043</v>
      </c>
      <c r="AH376" s="30">
        <v>47484.0</v>
      </c>
      <c r="AI376" s="30">
        <v>47848.0</v>
      </c>
      <c r="AJ376" s="29" t="s">
        <v>7053</v>
      </c>
      <c r="AK376" s="29" t="s">
        <v>7053</v>
      </c>
      <c r="AL376" s="32" t="s">
        <v>7043</v>
      </c>
    </row>
    <row r="377" ht="14.25" customHeight="1">
      <c r="A377" s="28" t="s">
        <v>6669</v>
      </c>
      <c r="B377" s="29" t="s">
        <v>6670</v>
      </c>
      <c r="C377" s="29" t="s">
        <v>7041</v>
      </c>
      <c r="D377" s="30">
        <v>45292.0</v>
      </c>
      <c r="E377" s="30">
        <v>45657.0</v>
      </c>
      <c r="F377" s="29" t="s">
        <v>7106</v>
      </c>
      <c r="G377" s="29" t="s">
        <v>7051</v>
      </c>
      <c r="H377" s="38" t="s">
        <v>7047</v>
      </c>
      <c r="I377" s="30">
        <v>45658.0</v>
      </c>
      <c r="J377" s="30">
        <v>46022.0</v>
      </c>
      <c r="K377" s="29" t="s">
        <v>7166</v>
      </c>
      <c r="L377" s="29" t="s">
        <v>7053</v>
      </c>
      <c r="M377" s="38" t="s">
        <v>7047</v>
      </c>
      <c r="N377" s="30">
        <v>46023.0</v>
      </c>
      <c r="O377" s="30">
        <v>46387.0</v>
      </c>
      <c r="P377" s="29" t="s">
        <v>7053</v>
      </c>
      <c r="Q377" s="29" t="s">
        <v>7053</v>
      </c>
      <c r="R377" s="32" t="s">
        <v>7043</v>
      </c>
      <c r="S377" s="30">
        <v>46388.0</v>
      </c>
      <c r="T377" s="30">
        <v>46752.0</v>
      </c>
      <c r="U377" s="29" t="s">
        <v>7053</v>
      </c>
      <c r="V377" s="29" t="s">
        <v>7053</v>
      </c>
      <c r="W377" s="32" t="s">
        <v>7043</v>
      </c>
      <c r="X377" s="30">
        <v>46753.0</v>
      </c>
      <c r="Y377" s="30">
        <v>47118.0</v>
      </c>
      <c r="Z377" s="29" t="s">
        <v>7053</v>
      </c>
      <c r="AA377" s="29" t="s">
        <v>7053</v>
      </c>
      <c r="AB377" s="32" t="s">
        <v>7043</v>
      </c>
      <c r="AC377" s="30">
        <v>47119.0</v>
      </c>
      <c r="AD377" s="30">
        <v>47483.0</v>
      </c>
      <c r="AE377" s="29" t="s">
        <v>7053</v>
      </c>
      <c r="AF377" s="29" t="s">
        <v>7053</v>
      </c>
      <c r="AG377" s="32" t="s">
        <v>7043</v>
      </c>
      <c r="AH377" s="30">
        <v>47484.0</v>
      </c>
      <c r="AI377" s="30">
        <v>47848.0</v>
      </c>
      <c r="AJ377" s="29" t="s">
        <v>7053</v>
      </c>
      <c r="AK377" s="29" t="s">
        <v>7053</v>
      </c>
      <c r="AL377" s="32" t="s">
        <v>7043</v>
      </c>
    </row>
    <row r="378" ht="14.25" customHeight="1">
      <c r="A378" s="28" t="s">
        <v>6681</v>
      </c>
      <c r="B378" s="29" t="s">
        <v>6682</v>
      </c>
      <c r="C378" s="29" t="s">
        <v>7041</v>
      </c>
      <c r="D378" s="30">
        <v>45292.0</v>
      </c>
      <c r="E378" s="30">
        <v>45657.0</v>
      </c>
      <c r="F378" s="29" t="s">
        <v>7103</v>
      </c>
      <c r="G378" s="29" t="s">
        <v>7051</v>
      </c>
      <c r="H378" s="37" t="s">
        <v>7046</v>
      </c>
      <c r="I378" s="30">
        <v>45658.0</v>
      </c>
      <c r="J378" s="30">
        <v>46022.0</v>
      </c>
      <c r="K378" s="29" t="s">
        <v>7063</v>
      </c>
      <c r="L378" s="29" t="s">
        <v>7053</v>
      </c>
      <c r="M378" s="38" t="s">
        <v>7047</v>
      </c>
      <c r="N378" s="30">
        <v>46023.0</v>
      </c>
      <c r="O378" s="30">
        <v>46387.0</v>
      </c>
      <c r="P378" s="29" t="s">
        <v>7053</v>
      </c>
      <c r="Q378" s="29" t="s">
        <v>7053</v>
      </c>
      <c r="R378" s="32" t="s">
        <v>7043</v>
      </c>
      <c r="S378" s="30">
        <v>46388.0</v>
      </c>
      <c r="T378" s="30">
        <v>46752.0</v>
      </c>
      <c r="U378" s="29" t="s">
        <v>7053</v>
      </c>
      <c r="V378" s="29" t="s">
        <v>7053</v>
      </c>
      <c r="W378" s="32" t="s">
        <v>7043</v>
      </c>
      <c r="X378" s="30">
        <v>46753.0</v>
      </c>
      <c r="Y378" s="30">
        <v>47118.0</v>
      </c>
      <c r="Z378" s="29" t="s">
        <v>7053</v>
      </c>
      <c r="AA378" s="29" t="s">
        <v>7053</v>
      </c>
      <c r="AB378" s="32" t="s">
        <v>7043</v>
      </c>
      <c r="AC378" s="30">
        <v>47119.0</v>
      </c>
      <c r="AD378" s="30">
        <v>47483.0</v>
      </c>
      <c r="AE378" s="29" t="s">
        <v>7053</v>
      </c>
      <c r="AF378" s="29" t="s">
        <v>7053</v>
      </c>
      <c r="AG378" s="32" t="s">
        <v>7043</v>
      </c>
      <c r="AH378" s="30">
        <v>47484.0</v>
      </c>
      <c r="AI378" s="30">
        <v>47848.0</v>
      </c>
      <c r="AJ378" s="29" t="s">
        <v>7053</v>
      </c>
      <c r="AK378" s="29" t="s">
        <v>7053</v>
      </c>
      <c r="AL378" s="32" t="s">
        <v>7043</v>
      </c>
    </row>
    <row r="379" ht="14.25" customHeight="1">
      <c r="A379" s="28" t="s">
        <v>6684</v>
      </c>
      <c r="B379" s="29" t="s">
        <v>6685</v>
      </c>
      <c r="C379" s="29" t="s">
        <v>7041</v>
      </c>
      <c r="D379" s="30">
        <v>45292.0</v>
      </c>
      <c r="E379" s="30">
        <v>45657.0</v>
      </c>
      <c r="F379" s="29" t="s">
        <v>7074</v>
      </c>
      <c r="G379" s="29" t="s">
        <v>7051</v>
      </c>
      <c r="H379" s="37" t="s">
        <v>7046</v>
      </c>
      <c r="I379" s="30">
        <v>45658.0</v>
      </c>
      <c r="J379" s="30">
        <v>46022.0</v>
      </c>
      <c r="K379" s="29" t="s">
        <v>7118</v>
      </c>
      <c r="L379" s="29" t="s">
        <v>7053</v>
      </c>
      <c r="M379" s="38" t="s">
        <v>7047</v>
      </c>
      <c r="N379" s="30">
        <v>46023.0</v>
      </c>
      <c r="O379" s="30">
        <v>46387.0</v>
      </c>
      <c r="P379" s="29" t="s">
        <v>7053</v>
      </c>
      <c r="Q379" s="29" t="s">
        <v>7053</v>
      </c>
      <c r="R379" s="32" t="s">
        <v>7043</v>
      </c>
      <c r="S379" s="30">
        <v>46388.0</v>
      </c>
      <c r="T379" s="30">
        <v>46752.0</v>
      </c>
      <c r="U379" s="29" t="s">
        <v>7053</v>
      </c>
      <c r="V379" s="29" t="s">
        <v>7053</v>
      </c>
      <c r="W379" s="32" t="s">
        <v>7043</v>
      </c>
      <c r="X379" s="30">
        <v>46753.0</v>
      </c>
      <c r="Y379" s="30">
        <v>47118.0</v>
      </c>
      <c r="Z379" s="29" t="s">
        <v>7053</v>
      </c>
      <c r="AA379" s="29" t="s">
        <v>7053</v>
      </c>
      <c r="AB379" s="32" t="s">
        <v>7043</v>
      </c>
      <c r="AC379" s="30">
        <v>47119.0</v>
      </c>
      <c r="AD379" s="30">
        <v>47483.0</v>
      </c>
      <c r="AE379" s="29" t="s">
        <v>7053</v>
      </c>
      <c r="AF379" s="29" t="s">
        <v>7053</v>
      </c>
      <c r="AG379" s="32" t="s">
        <v>7043</v>
      </c>
      <c r="AH379" s="30">
        <v>47484.0</v>
      </c>
      <c r="AI379" s="30">
        <v>47848.0</v>
      </c>
      <c r="AJ379" s="29" t="s">
        <v>7053</v>
      </c>
      <c r="AK379" s="29" t="s">
        <v>7053</v>
      </c>
      <c r="AL379" s="32" t="s">
        <v>7043</v>
      </c>
    </row>
    <row r="380" ht="14.25" customHeight="1">
      <c r="A380" s="28" t="s">
        <v>6697</v>
      </c>
      <c r="B380" s="29" t="s">
        <v>6698</v>
      </c>
      <c r="C380" s="29" t="s">
        <v>7041</v>
      </c>
      <c r="D380" s="30">
        <v>45292.0</v>
      </c>
      <c r="E380" s="30">
        <v>45657.0</v>
      </c>
      <c r="F380" s="29" t="s">
        <v>7086</v>
      </c>
      <c r="G380" s="29" t="s">
        <v>7051</v>
      </c>
      <c r="H380" s="32" t="s">
        <v>7043</v>
      </c>
      <c r="I380" s="30">
        <v>45658.0</v>
      </c>
      <c r="J380" s="30">
        <v>46022.0</v>
      </c>
      <c r="K380" s="29" t="s">
        <v>7097</v>
      </c>
      <c r="L380" s="29" t="s">
        <v>7053</v>
      </c>
      <c r="M380" s="38" t="s">
        <v>7047</v>
      </c>
      <c r="N380" s="30">
        <v>46023.0</v>
      </c>
      <c r="O380" s="30">
        <v>46387.0</v>
      </c>
      <c r="P380" s="29" t="s">
        <v>7053</v>
      </c>
      <c r="Q380" s="29" t="s">
        <v>7053</v>
      </c>
      <c r="R380" s="32" t="s">
        <v>7043</v>
      </c>
      <c r="S380" s="30">
        <v>46388.0</v>
      </c>
      <c r="T380" s="30">
        <v>46752.0</v>
      </c>
      <c r="U380" s="29" t="s">
        <v>7053</v>
      </c>
      <c r="V380" s="29" t="s">
        <v>7053</v>
      </c>
      <c r="W380" s="32" t="s">
        <v>7043</v>
      </c>
      <c r="X380" s="30">
        <v>46753.0</v>
      </c>
      <c r="Y380" s="30">
        <v>47118.0</v>
      </c>
      <c r="Z380" s="29" t="s">
        <v>7053</v>
      </c>
      <c r="AA380" s="29" t="s">
        <v>7053</v>
      </c>
      <c r="AB380" s="32" t="s">
        <v>7043</v>
      </c>
      <c r="AC380" s="30">
        <v>47119.0</v>
      </c>
      <c r="AD380" s="30">
        <v>47483.0</v>
      </c>
      <c r="AE380" s="29" t="s">
        <v>7053</v>
      </c>
      <c r="AF380" s="29" t="s">
        <v>7053</v>
      </c>
      <c r="AG380" s="32" t="s">
        <v>7043</v>
      </c>
      <c r="AH380" s="30">
        <v>47484.0</v>
      </c>
      <c r="AI380" s="30">
        <v>47848.0</v>
      </c>
      <c r="AJ380" s="29" t="s">
        <v>7053</v>
      </c>
      <c r="AK380" s="29" t="s">
        <v>7053</v>
      </c>
      <c r="AL380" s="32" t="s">
        <v>7043</v>
      </c>
    </row>
    <row r="381" ht="14.25" customHeight="1">
      <c r="A381" s="28" t="s">
        <v>6700</v>
      </c>
      <c r="B381" s="29" t="s">
        <v>6701</v>
      </c>
      <c r="C381" s="29" t="s">
        <v>7041</v>
      </c>
      <c r="D381" s="30">
        <v>45292.0</v>
      </c>
      <c r="E381" s="30">
        <v>45657.0</v>
      </c>
      <c r="F381" s="29" t="s">
        <v>7119</v>
      </c>
      <c r="G381" s="29" t="s">
        <v>7051</v>
      </c>
      <c r="H381" s="32" t="s">
        <v>7043</v>
      </c>
      <c r="I381" s="30">
        <v>45658.0</v>
      </c>
      <c r="J381" s="30">
        <v>46022.0</v>
      </c>
      <c r="K381" s="29" t="s">
        <v>7075</v>
      </c>
      <c r="L381" s="29" t="s">
        <v>7053</v>
      </c>
      <c r="M381" s="38" t="s">
        <v>7047</v>
      </c>
      <c r="N381" s="30">
        <v>46023.0</v>
      </c>
      <c r="O381" s="30">
        <v>46387.0</v>
      </c>
      <c r="P381" s="29" t="s">
        <v>7053</v>
      </c>
      <c r="Q381" s="29" t="s">
        <v>7053</v>
      </c>
      <c r="R381" s="32" t="s">
        <v>7043</v>
      </c>
      <c r="S381" s="30">
        <v>46388.0</v>
      </c>
      <c r="T381" s="30">
        <v>46752.0</v>
      </c>
      <c r="U381" s="29" t="s">
        <v>7053</v>
      </c>
      <c r="V381" s="29" t="s">
        <v>7053</v>
      </c>
      <c r="W381" s="32" t="s">
        <v>7043</v>
      </c>
      <c r="X381" s="30">
        <v>46753.0</v>
      </c>
      <c r="Y381" s="30">
        <v>47118.0</v>
      </c>
      <c r="Z381" s="29" t="s">
        <v>7053</v>
      </c>
      <c r="AA381" s="29" t="s">
        <v>7053</v>
      </c>
      <c r="AB381" s="32" t="s">
        <v>7043</v>
      </c>
      <c r="AC381" s="30">
        <v>47119.0</v>
      </c>
      <c r="AD381" s="30">
        <v>47483.0</v>
      </c>
      <c r="AE381" s="29" t="s">
        <v>7053</v>
      </c>
      <c r="AF381" s="29" t="s">
        <v>7053</v>
      </c>
      <c r="AG381" s="32" t="s">
        <v>7043</v>
      </c>
      <c r="AH381" s="30">
        <v>47484.0</v>
      </c>
      <c r="AI381" s="30">
        <v>47848.0</v>
      </c>
      <c r="AJ381" s="29" t="s">
        <v>7053</v>
      </c>
      <c r="AK381" s="29" t="s">
        <v>7053</v>
      </c>
      <c r="AL381" s="32" t="s">
        <v>7043</v>
      </c>
    </row>
    <row r="382" ht="14.25" customHeight="1">
      <c r="A382" s="28" t="s">
        <v>6707</v>
      </c>
      <c r="B382" s="29" t="s">
        <v>6708</v>
      </c>
      <c r="C382" s="29" t="s">
        <v>7041</v>
      </c>
      <c r="D382" s="30">
        <v>45292.0</v>
      </c>
      <c r="E382" s="30">
        <v>45657.0</v>
      </c>
      <c r="F382" s="29" t="s">
        <v>7072</v>
      </c>
      <c r="G382" s="29" t="s">
        <v>7051</v>
      </c>
      <c r="H382" s="32" t="s">
        <v>7043</v>
      </c>
      <c r="I382" s="30">
        <v>45658.0</v>
      </c>
      <c r="J382" s="30">
        <v>46022.0</v>
      </c>
      <c r="K382" s="29" t="s">
        <v>7068</v>
      </c>
      <c r="L382" s="29" t="s">
        <v>7053</v>
      </c>
      <c r="M382" s="38" t="s">
        <v>7047</v>
      </c>
      <c r="N382" s="30">
        <v>46023.0</v>
      </c>
      <c r="O382" s="30">
        <v>46387.0</v>
      </c>
      <c r="P382" s="29" t="s">
        <v>7053</v>
      </c>
      <c r="Q382" s="29" t="s">
        <v>7053</v>
      </c>
      <c r="R382" s="32" t="s">
        <v>7043</v>
      </c>
      <c r="S382" s="30">
        <v>46388.0</v>
      </c>
      <c r="T382" s="30">
        <v>46752.0</v>
      </c>
      <c r="U382" s="29" t="s">
        <v>7053</v>
      </c>
      <c r="V382" s="29" t="s">
        <v>7053</v>
      </c>
      <c r="W382" s="32" t="s">
        <v>7043</v>
      </c>
      <c r="X382" s="30">
        <v>46753.0</v>
      </c>
      <c r="Y382" s="30">
        <v>47118.0</v>
      </c>
      <c r="Z382" s="29" t="s">
        <v>7053</v>
      </c>
      <c r="AA382" s="29" t="s">
        <v>7053</v>
      </c>
      <c r="AB382" s="32" t="s">
        <v>7043</v>
      </c>
      <c r="AC382" s="30">
        <v>47119.0</v>
      </c>
      <c r="AD382" s="30">
        <v>47483.0</v>
      </c>
      <c r="AE382" s="29" t="s">
        <v>7053</v>
      </c>
      <c r="AF382" s="29" t="s">
        <v>7053</v>
      </c>
      <c r="AG382" s="32" t="s">
        <v>7043</v>
      </c>
      <c r="AH382" s="30">
        <v>47484.0</v>
      </c>
      <c r="AI382" s="30">
        <v>47848.0</v>
      </c>
      <c r="AJ382" s="29" t="s">
        <v>7053</v>
      </c>
      <c r="AK382" s="29" t="s">
        <v>7053</v>
      </c>
      <c r="AL382" s="32" t="s">
        <v>7043</v>
      </c>
    </row>
    <row r="383" ht="14.25" customHeight="1">
      <c r="A383" s="28" t="s">
        <v>6731</v>
      </c>
      <c r="B383" s="29" t="s">
        <v>6732</v>
      </c>
      <c r="C383" s="29" t="s">
        <v>7041</v>
      </c>
      <c r="D383" s="30">
        <v>45292.0</v>
      </c>
      <c r="E383" s="30">
        <v>45657.0</v>
      </c>
      <c r="F383" s="29" t="s">
        <v>7171</v>
      </c>
      <c r="G383" s="29" t="s">
        <v>7051</v>
      </c>
      <c r="H383" s="38" t="s">
        <v>7047</v>
      </c>
      <c r="I383" s="30">
        <v>45658.0</v>
      </c>
      <c r="J383" s="30">
        <v>46022.0</v>
      </c>
      <c r="K383" s="29" t="s">
        <v>7172</v>
      </c>
      <c r="L383" s="29" t="s">
        <v>7053</v>
      </c>
      <c r="M383" s="38" t="s">
        <v>7047</v>
      </c>
      <c r="N383" s="30">
        <v>46023.0</v>
      </c>
      <c r="O383" s="30">
        <v>46387.0</v>
      </c>
      <c r="P383" s="29" t="s">
        <v>7053</v>
      </c>
      <c r="Q383" s="29" t="s">
        <v>7053</v>
      </c>
      <c r="R383" s="32" t="s">
        <v>7043</v>
      </c>
      <c r="S383" s="30">
        <v>46388.0</v>
      </c>
      <c r="T383" s="30">
        <v>46752.0</v>
      </c>
      <c r="U383" s="29" t="s">
        <v>7053</v>
      </c>
      <c r="V383" s="29" t="s">
        <v>7053</v>
      </c>
      <c r="W383" s="32" t="s">
        <v>7043</v>
      </c>
      <c r="X383" s="30">
        <v>46753.0</v>
      </c>
      <c r="Y383" s="30">
        <v>47118.0</v>
      </c>
      <c r="Z383" s="29" t="s">
        <v>7053</v>
      </c>
      <c r="AA383" s="29" t="s">
        <v>7053</v>
      </c>
      <c r="AB383" s="32" t="s">
        <v>7043</v>
      </c>
      <c r="AC383" s="30">
        <v>47119.0</v>
      </c>
      <c r="AD383" s="30">
        <v>47483.0</v>
      </c>
      <c r="AE383" s="29" t="s">
        <v>7053</v>
      </c>
      <c r="AF383" s="29" t="s">
        <v>7053</v>
      </c>
      <c r="AG383" s="32" t="s">
        <v>7043</v>
      </c>
      <c r="AH383" s="30">
        <v>47484.0</v>
      </c>
      <c r="AI383" s="30">
        <v>47848.0</v>
      </c>
      <c r="AJ383" s="29" t="s">
        <v>7053</v>
      </c>
      <c r="AK383" s="29" t="s">
        <v>7053</v>
      </c>
      <c r="AL383" s="32" t="s">
        <v>7043</v>
      </c>
    </row>
    <row r="384" ht="14.25" customHeight="1">
      <c r="A384" s="28" t="s">
        <v>6735</v>
      </c>
      <c r="B384" s="29" t="s">
        <v>6736</v>
      </c>
      <c r="C384" s="29" t="s">
        <v>7041</v>
      </c>
      <c r="D384" s="30">
        <v>45292.0</v>
      </c>
      <c r="E384" s="30">
        <v>45657.0</v>
      </c>
      <c r="F384" s="29" t="s">
        <v>7089</v>
      </c>
      <c r="G384" s="29" t="s">
        <v>7051</v>
      </c>
      <c r="H384" s="32" t="s">
        <v>7043</v>
      </c>
      <c r="I384" s="30">
        <v>45658.0</v>
      </c>
      <c r="J384" s="30">
        <v>46022.0</v>
      </c>
      <c r="K384" s="29" t="s">
        <v>7080</v>
      </c>
      <c r="L384" s="29" t="s">
        <v>7053</v>
      </c>
      <c r="M384" s="38" t="s">
        <v>7047</v>
      </c>
      <c r="N384" s="30">
        <v>46023.0</v>
      </c>
      <c r="O384" s="30">
        <v>46387.0</v>
      </c>
      <c r="P384" s="29" t="s">
        <v>7053</v>
      </c>
      <c r="Q384" s="29" t="s">
        <v>7053</v>
      </c>
      <c r="R384" s="32" t="s">
        <v>7043</v>
      </c>
      <c r="S384" s="30">
        <v>46388.0</v>
      </c>
      <c r="T384" s="30">
        <v>46752.0</v>
      </c>
      <c r="U384" s="29" t="s">
        <v>7053</v>
      </c>
      <c r="V384" s="29" t="s">
        <v>7053</v>
      </c>
      <c r="W384" s="32" t="s">
        <v>7043</v>
      </c>
      <c r="X384" s="30">
        <v>46753.0</v>
      </c>
      <c r="Y384" s="30">
        <v>47118.0</v>
      </c>
      <c r="Z384" s="29" t="s">
        <v>7053</v>
      </c>
      <c r="AA384" s="29" t="s">
        <v>7053</v>
      </c>
      <c r="AB384" s="32" t="s">
        <v>7043</v>
      </c>
      <c r="AC384" s="30">
        <v>47119.0</v>
      </c>
      <c r="AD384" s="30">
        <v>47483.0</v>
      </c>
      <c r="AE384" s="29" t="s">
        <v>7053</v>
      </c>
      <c r="AF384" s="29" t="s">
        <v>7053</v>
      </c>
      <c r="AG384" s="32" t="s">
        <v>7043</v>
      </c>
      <c r="AH384" s="30">
        <v>47484.0</v>
      </c>
      <c r="AI384" s="30">
        <v>47848.0</v>
      </c>
      <c r="AJ384" s="29" t="s">
        <v>7053</v>
      </c>
      <c r="AK384" s="29" t="s">
        <v>7053</v>
      </c>
      <c r="AL384" s="32" t="s">
        <v>7043</v>
      </c>
    </row>
    <row r="385" ht="14.25" customHeight="1">
      <c r="A385" s="28" t="s">
        <v>6744</v>
      </c>
      <c r="B385" s="29" t="s">
        <v>6745</v>
      </c>
      <c r="C385" s="29" t="s">
        <v>7041</v>
      </c>
      <c r="D385" s="30">
        <v>45292.0</v>
      </c>
      <c r="E385" s="30">
        <v>45657.0</v>
      </c>
      <c r="F385" s="29" t="s">
        <v>7062</v>
      </c>
      <c r="G385" s="29" t="s">
        <v>7051</v>
      </c>
      <c r="H385" s="32" t="s">
        <v>7043</v>
      </c>
      <c r="I385" s="30">
        <v>45658.0</v>
      </c>
      <c r="J385" s="30">
        <v>46022.0</v>
      </c>
      <c r="K385" s="29" t="s">
        <v>7100</v>
      </c>
      <c r="L385" s="29" t="s">
        <v>7053</v>
      </c>
      <c r="M385" s="38" t="s">
        <v>7047</v>
      </c>
      <c r="N385" s="30">
        <v>46023.0</v>
      </c>
      <c r="O385" s="30">
        <v>46387.0</v>
      </c>
      <c r="P385" s="29" t="s">
        <v>7053</v>
      </c>
      <c r="Q385" s="29" t="s">
        <v>7053</v>
      </c>
      <c r="R385" s="32" t="s">
        <v>7043</v>
      </c>
      <c r="S385" s="30">
        <v>46388.0</v>
      </c>
      <c r="T385" s="30">
        <v>46752.0</v>
      </c>
      <c r="U385" s="29" t="s">
        <v>7053</v>
      </c>
      <c r="V385" s="29" t="s">
        <v>7053</v>
      </c>
      <c r="W385" s="32" t="s">
        <v>7043</v>
      </c>
      <c r="X385" s="30">
        <v>46753.0</v>
      </c>
      <c r="Y385" s="30">
        <v>47118.0</v>
      </c>
      <c r="Z385" s="29" t="s">
        <v>7053</v>
      </c>
      <c r="AA385" s="29" t="s">
        <v>7053</v>
      </c>
      <c r="AB385" s="32" t="s">
        <v>7043</v>
      </c>
      <c r="AC385" s="30">
        <v>47119.0</v>
      </c>
      <c r="AD385" s="30">
        <v>47483.0</v>
      </c>
      <c r="AE385" s="29" t="s">
        <v>7053</v>
      </c>
      <c r="AF385" s="29" t="s">
        <v>7053</v>
      </c>
      <c r="AG385" s="32" t="s">
        <v>7043</v>
      </c>
      <c r="AH385" s="30">
        <v>47484.0</v>
      </c>
      <c r="AI385" s="30">
        <v>47848.0</v>
      </c>
      <c r="AJ385" s="29" t="s">
        <v>7053</v>
      </c>
      <c r="AK385" s="29" t="s">
        <v>7053</v>
      </c>
      <c r="AL385" s="32" t="s">
        <v>7043</v>
      </c>
    </row>
    <row r="386" ht="14.25" customHeight="1">
      <c r="A386" s="28" t="s">
        <v>6765</v>
      </c>
      <c r="B386" s="29" t="s">
        <v>6766</v>
      </c>
      <c r="C386" s="29" t="s">
        <v>7041</v>
      </c>
      <c r="D386" s="30">
        <v>45292.0</v>
      </c>
      <c r="E386" s="30">
        <v>45657.0</v>
      </c>
      <c r="F386" s="29" t="s">
        <v>7053</v>
      </c>
      <c r="G386" s="29" t="s">
        <v>7055</v>
      </c>
      <c r="H386" s="32" t="s">
        <v>7043</v>
      </c>
      <c r="I386" s="30">
        <v>45658.0</v>
      </c>
      <c r="J386" s="30">
        <v>46022.0</v>
      </c>
      <c r="K386" s="29" t="s">
        <v>7053</v>
      </c>
      <c r="L386" s="29" t="s">
        <v>7053</v>
      </c>
      <c r="M386" s="32" t="s">
        <v>7043</v>
      </c>
      <c r="N386" s="30">
        <v>46023.0</v>
      </c>
      <c r="O386" s="30">
        <v>46387.0</v>
      </c>
      <c r="P386" s="29" t="s">
        <v>7053</v>
      </c>
      <c r="Q386" s="29" t="s">
        <v>7053</v>
      </c>
      <c r="R386" s="32" t="s">
        <v>7043</v>
      </c>
      <c r="S386" s="30">
        <v>46388.0</v>
      </c>
      <c r="T386" s="30">
        <v>46752.0</v>
      </c>
      <c r="U386" s="29" t="s">
        <v>7053</v>
      </c>
      <c r="V386" s="29" t="s">
        <v>7053</v>
      </c>
      <c r="W386" s="32" t="s">
        <v>7043</v>
      </c>
      <c r="X386" s="30">
        <v>46753.0</v>
      </c>
      <c r="Y386" s="30">
        <v>47118.0</v>
      </c>
      <c r="Z386" s="29" t="s">
        <v>7053</v>
      </c>
      <c r="AA386" s="29" t="s">
        <v>7053</v>
      </c>
      <c r="AB386" s="32" t="s">
        <v>7043</v>
      </c>
      <c r="AC386" s="30">
        <v>47119.0</v>
      </c>
      <c r="AD386" s="30">
        <v>47483.0</v>
      </c>
      <c r="AE386" s="29" t="s">
        <v>7053</v>
      </c>
      <c r="AF386" s="29" t="s">
        <v>7053</v>
      </c>
      <c r="AG386" s="32" t="s">
        <v>7043</v>
      </c>
      <c r="AH386" s="30">
        <v>47484.0</v>
      </c>
      <c r="AI386" s="30">
        <v>47848.0</v>
      </c>
      <c r="AJ386" s="29" t="s">
        <v>7053</v>
      </c>
      <c r="AK386" s="29" t="s">
        <v>7053</v>
      </c>
      <c r="AL386" s="32" t="s">
        <v>7043</v>
      </c>
    </row>
    <row r="387" ht="14.25" customHeight="1">
      <c r="A387" s="28" t="s">
        <v>6768</v>
      </c>
      <c r="B387" s="29" t="s">
        <v>6769</v>
      </c>
      <c r="C387" s="29" t="s">
        <v>7041</v>
      </c>
      <c r="D387" s="30">
        <v>45292.0</v>
      </c>
      <c r="E387" s="30">
        <v>45657.0</v>
      </c>
      <c r="F387" s="29" t="s">
        <v>7077</v>
      </c>
      <c r="G387" s="29" t="s">
        <v>7051</v>
      </c>
      <c r="H387" s="37" t="s">
        <v>7046</v>
      </c>
      <c r="I387" s="30">
        <v>45658.0</v>
      </c>
      <c r="J387" s="30">
        <v>46022.0</v>
      </c>
      <c r="K387" s="29" t="s">
        <v>7136</v>
      </c>
      <c r="L387" s="29" t="s">
        <v>7053</v>
      </c>
      <c r="M387" s="38" t="s">
        <v>7047</v>
      </c>
      <c r="N387" s="30">
        <v>46023.0</v>
      </c>
      <c r="O387" s="30">
        <v>46387.0</v>
      </c>
      <c r="P387" s="29" t="s">
        <v>7053</v>
      </c>
      <c r="Q387" s="29" t="s">
        <v>7053</v>
      </c>
      <c r="R387" s="32" t="s">
        <v>7043</v>
      </c>
      <c r="S387" s="30">
        <v>46388.0</v>
      </c>
      <c r="T387" s="30">
        <v>46752.0</v>
      </c>
      <c r="U387" s="29" t="s">
        <v>7053</v>
      </c>
      <c r="V387" s="29" t="s">
        <v>7053</v>
      </c>
      <c r="W387" s="32" t="s">
        <v>7043</v>
      </c>
      <c r="X387" s="30">
        <v>46753.0</v>
      </c>
      <c r="Y387" s="30">
        <v>47118.0</v>
      </c>
      <c r="Z387" s="29" t="s">
        <v>7053</v>
      </c>
      <c r="AA387" s="29" t="s">
        <v>7053</v>
      </c>
      <c r="AB387" s="32" t="s">
        <v>7043</v>
      </c>
      <c r="AC387" s="30">
        <v>47119.0</v>
      </c>
      <c r="AD387" s="30">
        <v>47483.0</v>
      </c>
      <c r="AE387" s="29" t="s">
        <v>7053</v>
      </c>
      <c r="AF387" s="29" t="s">
        <v>7053</v>
      </c>
      <c r="AG387" s="32" t="s">
        <v>7043</v>
      </c>
      <c r="AH387" s="30">
        <v>47484.0</v>
      </c>
      <c r="AI387" s="30">
        <v>47848.0</v>
      </c>
      <c r="AJ387" s="29" t="s">
        <v>7053</v>
      </c>
      <c r="AK387" s="29" t="s">
        <v>7053</v>
      </c>
      <c r="AL387" s="32" t="s">
        <v>7043</v>
      </c>
    </row>
    <row r="388" ht="14.25" customHeight="1">
      <c r="A388" s="28" t="s">
        <v>6774</v>
      </c>
      <c r="B388" s="29" t="s">
        <v>6775</v>
      </c>
      <c r="C388" s="29" t="s">
        <v>7041</v>
      </c>
      <c r="D388" s="30">
        <v>45292.0</v>
      </c>
      <c r="E388" s="30">
        <v>45657.0</v>
      </c>
      <c r="F388" s="29" t="s">
        <v>7101</v>
      </c>
      <c r="G388" s="29" t="s">
        <v>7051</v>
      </c>
      <c r="H388" s="32" t="s">
        <v>7043</v>
      </c>
      <c r="I388" s="30">
        <v>45658.0</v>
      </c>
      <c r="J388" s="30">
        <v>46022.0</v>
      </c>
      <c r="K388" s="29" t="s">
        <v>7079</v>
      </c>
      <c r="L388" s="29" t="s">
        <v>7053</v>
      </c>
      <c r="M388" s="38" t="s">
        <v>7047</v>
      </c>
      <c r="N388" s="30">
        <v>46023.0</v>
      </c>
      <c r="O388" s="30">
        <v>46387.0</v>
      </c>
      <c r="P388" s="29" t="s">
        <v>7053</v>
      </c>
      <c r="Q388" s="29" t="s">
        <v>7053</v>
      </c>
      <c r="R388" s="32" t="s">
        <v>7043</v>
      </c>
      <c r="S388" s="30">
        <v>46388.0</v>
      </c>
      <c r="T388" s="30">
        <v>46752.0</v>
      </c>
      <c r="U388" s="29" t="s">
        <v>7053</v>
      </c>
      <c r="V388" s="29" t="s">
        <v>7053</v>
      </c>
      <c r="W388" s="32" t="s">
        <v>7043</v>
      </c>
      <c r="X388" s="30">
        <v>46753.0</v>
      </c>
      <c r="Y388" s="30">
        <v>47118.0</v>
      </c>
      <c r="Z388" s="29" t="s">
        <v>7053</v>
      </c>
      <c r="AA388" s="29" t="s">
        <v>7053</v>
      </c>
      <c r="AB388" s="32" t="s">
        <v>7043</v>
      </c>
      <c r="AC388" s="30">
        <v>47119.0</v>
      </c>
      <c r="AD388" s="30">
        <v>47483.0</v>
      </c>
      <c r="AE388" s="29" t="s">
        <v>7053</v>
      </c>
      <c r="AF388" s="29" t="s">
        <v>7053</v>
      </c>
      <c r="AG388" s="32" t="s">
        <v>7043</v>
      </c>
      <c r="AH388" s="30">
        <v>47484.0</v>
      </c>
      <c r="AI388" s="30">
        <v>47848.0</v>
      </c>
      <c r="AJ388" s="29" t="s">
        <v>7053</v>
      </c>
      <c r="AK388" s="29" t="s">
        <v>7053</v>
      </c>
      <c r="AL388" s="32" t="s">
        <v>7043</v>
      </c>
    </row>
    <row r="389" ht="14.25" customHeight="1">
      <c r="A389" s="28" t="s">
        <v>6823</v>
      </c>
      <c r="B389" s="29" t="s">
        <v>6824</v>
      </c>
      <c r="C389" s="29" t="s">
        <v>7041</v>
      </c>
      <c r="D389" s="30">
        <v>45292.0</v>
      </c>
      <c r="E389" s="30">
        <v>45657.0</v>
      </c>
      <c r="F389" s="29" t="s">
        <v>7080</v>
      </c>
      <c r="G389" s="29" t="s">
        <v>7055</v>
      </c>
      <c r="H389" s="32" t="s">
        <v>7043</v>
      </c>
      <c r="I389" s="30">
        <v>45658.0</v>
      </c>
      <c r="J389" s="30">
        <v>46022.0</v>
      </c>
      <c r="K389" s="29" t="s">
        <v>7053</v>
      </c>
      <c r="L389" s="29" t="s">
        <v>7053</v>
      </c>
      <c r="M389" s="32" t="s">
        <v>7043</v>
      </c>
      <c r="N389" s="30">
        <v>46023.0</v>
      </c>
      <c r="O389" s="30">
        <v>46387.0</v>
      </c>
      <c r="P389" s="29" t="s">
        <v>7053</v>
      </c>
      <c r="Q389" s="29" t="s">
        <v>7053</v>
      </c>
      <c r="R389" s="32" t="s">
        <v>7043</v>
      </c>
      <c r="S389" s="30">
        <v>46388.0</v>
      </c>
      <c r="T389" s="30">
        <v>46752.0</v>
      </c>
      <c r="U389" s="29" t="s">
        <v>7053</v>
      </c>
      <c r="V389" s="29" t="s">
        <v>7053</v>
      </c>
      <c r="W389" s="32" t="s">
        <v>7043</v>
      </c>
      <c r="X389" s="30">
        <v>46753.0</v>
      </c>
      <c r="Y389" s="30">
        <v>47118.0</v>
      </c>
      <c r="Z389" s="29" t="s">
        <v>7053</v>
      </c>
      <c r="AA389" s="29" t="s">
        <v>7053</v>
      </c>
      <c r="AB389" s="32" t="s">
        <v>7043</v>
      </c>
      <c r="AC389" s="30">
        <v>47119.0</v>
      </c>
      <c r="AD389" s="30">
        <v>47483.0</v>
      </c>
      <c r="AE389" s="29" t="s">
        <v>7053</v>
      </c>
      <c r="AF389" s="29" t="s">
        <v>7053</v>
      </c>
      <c r="AG389" s="32" t="s">
        <v>7043</v>
      </c>
      <c r="AH389" s="30">
        <v>47484.0</v>
      </c>
      <c r="AI389" s="30">
        <v>47848.0</v>
      </c>
      <c r="AJ389" s="29" t="s">
        <v>7053</v>
      </c>
      <c r="AK389" s="29" t="s">
        <v>7053</v>
      </c>
      <c r="AL389" s="32" t="s">
        <v>7043</v>
      </c>
    </row>
    <row r="390" ht="14.25" customHeight="1">
      <c r="A390" s="28" t="s">
        <v>6835</v>
      </c>
      <c r="B390" s="29" t="s">
        <v>6836</v>
      </c>
      <c r="C390" s="29" t="s">
        <v>7041</v>
      </c>
      <c r="D390" s="30">
        <v>45292.0</v>
      </c>
      <c r="E390" s="30">
        <v>45657.0</v>
      </c>
      <c r="F390" s="29" t="s">
        <v>7104</v>
      </c>
      <c r="G390" s="29" t="s">
        <v>7051</v>
      </c>
      <c r="H390" s="32" t="s">
        <v>7043</v>
      </c>
      <c r="I390" s="30">
        <v>45658.0</v>
      </c>
      <c r="J390" s="30">
        <v>46022.0</v>
      </c>
      <c r="K390" s="29" t="s">
        <v>7101</v>
      </c>
      <c r="L390" s="29" t="s">
        <v>7053</v>
      </c>
      <c r="M390" s="38" t="s">
        <v>7047</v>
      </c>
      <c r="N390" s="30">
        <v>46023.0</v>
      </c>
      <c r="O390" s="30">
        <v>46387.0</v>
      </c>
      <c r="P390" s="29" t="s">
        <v>7053</v>
      </c>
      <c r="Q390" s="29" t="s">
        <v>7053</v>
      </c>
      <c r="R390" s="32" t="s">
        <v>7043</v>
      </c>
      <c r="S390" s="30">
        <v>46388.0</v>
      </c>
      <c r="T390" s="30">
        <v>46752.0</v>
      </c>
      <c r="U390" s="29" t="s">
        <v>7053</v>
      </c>
      <c r="V390" s="29" t="s">
        <v>7053</v>
      </c>
      <c r="W390" s="32" t="s">
        <v>7043</v>
      </c>
      <c r="X390" s="30">
        <v>46753.0</v>
      </c>
      <c r="Y390" s="30">
        <v>47118.0</v>
      </c>
      <c r="Z390" s="29" t="s">
        <v>7053</v>
      </c>
      <c r="AA390" s="29" t="s">
        <v>7053</v>
      </c>
      <c r="AB390" s="32" t="s">
        <v>7043</v>
      </c>
      <c r="AC390" s="30">
        <v>47119.0</v>
      </c>
      <c r="AD390" s="30">
        <v>47483.0</v>
      </c>
      <c r="AE390" s="29" t="s">
        <v>7053</v>
      </c>
      <c r="AF390" s="29" t="s">
        <v>7053</v>
      </c>
      <c r="AG390" s="32" t="s">
        <v>7043</v>
      </c>
      <c r="AH390" s="30">
        <v>47484.0</v>
      </c>
      <c r="AI390" s="30">
        <v>47848.0</v>
      </c>
      <c r="AJ390" s="29" t="s">
        <v>7053</v>
      </c>
      <c r="AK390" s="29" t="s">
        <v>7053</v>
      </c>
      <c r="AL390" s="32" t="s">
        <v>7043</v>
      </c>
    </row>
    <row r="391" ht="14.25" customHeight="1">
      <c r="A391" s="28" t="s">
        <v>6864</v>
      </c>
      <c r="B391" s="29" t="s">
        <v>6865</v>
      </c>
      <c r="C391" s="29" t="s">
        <v>7041</v>
      </c>
      <c r="D391" s="30">
        <v>45292.0</v>
      </c>
      <c r="E391" s="30">
        <v>45657.0</v>
      </c>
      <c r="F391" s="29" t="s">
        <v>7064</v>
      </c>
      <c r="G391" s="29" t="s">
        <v>7051</v>
      </c>
      <c r="H391" s="32" t="s">
        <v>7043</v>
      </c>
      <c r="I391" s="30">
        <v>45658.0</v>
      </c>
      <c r="J391" s="30">
        <v>46022.0</v>
      </c>
      <c r="K391" s="29" t="s">
        <v>7079</v>
      </c>
      <c r="L391" s="29" t="s">
        <v>7053</v>
      </c>
      <c r="M391" s="38" t="s">
        <v>7047</v>
      </c>
      <c r="N391" s="30">
        <v>46023.0</v>
      </c>
      <c r="O391" s="30">
        <v>46387.0</v>
      </c>
      <c r="P391" s="29" t="s">
        <v>7053</v>
      </c>
      <c r="Q391" s="29" t="s">
        <v>7053</v>
      </c>
      <c r="R391" s="32" t="s">
        <v>7043</v>
      </c>
      <c r="S391" s="30">
        <v>46388.0</v>
      </c>
      <c r="T391" s="30">
        <v>46752.0</v>
      </c>
      <c r="U391" s="29" t="s">
        <v>7053</v>
      </c>
      <c r="V391" s="29" t="s">
        <v>7053</v>
      </c>
      <c r="W391" s="32" t="s">
        <v>7043</v>
      </c>
      <c r="X391" s="30">
        <v>46753.0</v>
      </c>
      <c r="Y391" s="30">
        <v>47118.0</v>
      </c>
      <c r="Z391" s="29" t="s">
        <v>7053</v>
      </c>
      <c r="AA391" s="29" t="s">
        <v>7053</v>
      </c>
      <c r="AB391" s="32" t="s">
        <v>7043</v>
      </c>
      <c r="AC391" s="30">
        <v>47119.0</v>
      </c>
      <c r="AD391" s="30">
        <v>47483.0</v>
      </c>
      <c r="AE391" s="29" t="s">
        <v>7053</v>
      </c>
      <c r="AF391" s="29" t="s">
        <v>7053</v>
      </c>
      <c r="AG391" s="32" t="s">
        <v>7043</v>
      </c>
      <c r="AH391" s="30">
        <v>47484.0</v>
      </c>
      <c r="AI391" s="30">
        <v>47848.0</v>
      </c>
      <c r="AJ391" s="29" t="s">
        <v>7053</v>
      </c>
      <c r="AK391" s="29" t="s">
        <v>7053</v>
      </c>
      <c r="AL391" s="32" t="s">
        <v>7043</v>
      </c>
    </row>
    <row r="392" ht="14.25" customHeight="1">
      <c r="A392" s="28" t="s">
        <v>6873</v>
      </c>
      <c r="B392" s="29" t="s">
        <v>6874</v>
      </c>
      <c r="C392" s="29" t="s">
        <v>7041</v>
      </c>
      <c r="D392" s="30">
        <v>45292.0</v>
      </c>
      <c r="E392" s="30">
        <v>45657.0</v>
      </c>
      <c r="F392" s="29" t="s">
        <v>7089</v>
      </c>
      <c r="G392" s="29" t="s">
        <v>7051</v>
      </c>
      <c r="H392" s="32" t="s">
        <v>7043</v>
      </c>
      <c r="I392" s="30">
        <v>45658.0</v>
      </c>
      <c r="J392" s="30">
        <v>46022.0</v>
      </c>
      <c r="K392" s="29" t="s">
        <v>7070</v>
      </c>
      <c r="L392" s="29" t="s">
        <v>7053</v>
      </c>
      <c r="M392" s="38" t="s">
        <v>7047</v>
      </c>
      <c r="N392" s="30">
        <v>46023.0</v>
      </c>
      <c r="O392" s="30">
        <v>46387.0</v>
      </c>
      <c r="P392" s="29" t="s">
        <v>7053</v>
      </c>
      <c r="Q392" s="29" t="s">
        <v>7053</v>
      </c>
      <c r="R392" s="32" t="s">
        <v>7043</v>
      </c>
      <c r="S392" s="30">
        <v>46388.0</v>
      </c>
      <c r="T392" s="30">
        <v>46752.0</v>
      </c>
      <c r="U392" s="29" t="s">
        <v>7053</v>
      </c>
      <c r="V392" s="29" t="s">
        <v>7053</v>
      </c>
      <c r="W392" s="32" t="s">
        <v>7043</v>
      </c>
      <c r="X392" s="30">
        <v>46753.0</v>
      </c>
      <c r="Y392" s="30">
        <v>47118.0</v>
      </c>
      <c r="Z392" s="29" t="s">
        <v>7053</v>
      </c>
      <c r="AA392" s="29" t="s">
        <v>7053</v>
      </c>
      <c r="AB392" s="32" t="s">
        <v>7043</v>
      </c>
      <c r="AC392" s="30">
        <v>47119.0</v>
      </c>
      <c r="AD392" s="30">
        <v>47483.0</v>
      </c>
      <c r="AE392" s="29" t="s">
        <v>7053</v>
      </c>
      <c r="AF392" s="29" t="s">
        <v>7053</v>
      </c>
      <c r="AG392" s="32" t="s">
        <v>7043</v>
      </c>
      <c r="AH392" s="30">
        <v>47484.0</v>
      </c>
      <c r="AI392" s="30">
        <v>47848.0</v>
      </c>
      <c r="AJ392" s="29" t="s">
        <v>7053</v>
      </c>
      <c r="AK392" s="29" t="s">
        <v>7053</v>
      </c>
      <c r="AL392" s="32" t="s">
        <v>7043</v>
      </c>
    </row>
    <row r="393" ht="14.25" customHeight="1">
      <c r="A393" s="28" t="s">
        <v>6877</v>
      </c>
      <c r="B393" s="29" t="s">
        <v>6878</v>
      </c>
      <c r="C393" s="29" t="s">
        <v>7041</v>
      </c>
      <c r="D393" s="30">
        <v>45292.0</v>
      </c>
      <c r="E393" s="30">
        <v>45657.0</v>
      </c>
      <c r="F393" s="29" t="s">
        <v>7096</v>
      </c>
      <c r="G393" s="29" t="s">
        <v>7051</v>
      </c>
      <c r="H393" s="32" t="s">
        <v>7043</v>
      </c>
      <c r="I393" s="30">
        <v>45658.0</v>
      </c>
      <c r="J393" s="30">
        <v>46022.0</v>
      </c>
      <c r="K393" s="29" t="s">
        <v>7089</v>
      </c>
      <c r="L393" s="29" t="s">
        <v>7053</v>
      </c>
      <c r="M393" s="38" t="s">
        <v>7047</v>
      </c>
      <c r="N393" s="30">
        <v>46023.0</v>
      </c>
      <c r="O393" s="30">
        <v>46387.0</v>
      </c>
      <c r="P393" s="29" t="s">
        <v>7053</v>
      </c>
      <c r="Q393" s="29" t="s">
        <v>7053</v>
      </c>
      <c r="R393" s="32" t="s">
        <v>7043</v>
      </c>
      <c r="S393" s="30">
        <v>46388.0</v>
      </c>
      <c r="T393" s="30">
        <v>46752.0</v>
      </c>
      <c r="U393" s="29" t="s">
        <v>7053</v>
      </c>
      <c r="V393" s="29" t="s">
        <v>7053</v>
      </c>
      <c r="W393" s="32" t="s">
        <v>7043</v>
      </c>
      <c r="X393" s="30">
        <v>46753.0</v>
      </c>
      <c r="Y393" s="30">
        <v>47118.0</v>
      </c>
      <c r="Z393" s="29" t="s">
        <v>7053</v>
      </c>
      <c r="AA393" s="29" t="s">
        <v>7053</v>
      </c>
      <c r="AB393" s="32" t="s">
        <v>7043</v>
      </c>
      <c r="AC393" s="30">
        <v>47119.0</v>
      </c>
      <c r="AD393" s="30">
        <v>47483.0</v>
      </c>
      <c r="AE393" s="29" t="s">
        <v>7053</v>
      </c>
      <c r="AF393" s="29" t="s">
        <v>7053</v>
      </c>
      <c r="AG393" s="32" t="s">
        <v>7043</v>
      </c>
      <c r="AH393" s="30">
        <v>47484.0</v>
      </c>
      <c r="AI393" s="30">
        <v>47848.0</v>
      </c>
      <c r="AJ393" s="29" t="s">
        <v>7053</v>
      </c>
      <c r="AK393" s="29" t="s">
        <v>7053</v>
      </c>
      <c r="AL393" s="32" t="s">
        <v>7043</v>
      </c>
    </row>
    <row r="394" ht="14.25" customHeight="1">
      <c r="A394" s="28" t="s">
        <v>6892</v>
      </c>
      <c r="B394" s="29" t="s">
        <v>6893</v>
      </c>
      <c r="C394" s="29" t="s">
        <v>7041</v>
      </c>
      <c r="D394" s="30">
        <v>45292.0</v>
      </c>
      <c r="E394" s="30">
        <v>45657.0</v>
      </c>
      <c r="F394" s="29" t="s">
        <v>7072</v>
      </c>
      <c r="G394" s="29" t="s">
        <v>7051</v>
      </c>
      <c r="H394" s="32" t="s">
        <v>7043</v>
      </c>
      <c r="I394" s="30">
        <v>45658.0</v>
      </c>
      <c r="J394" s="30">
        <v>46022.0</v>
      </c>
      <c r="K394" s="29" t="s">
        <v>7062</v>
      </c>
      <c r="L394" s="29" t="s">
        <v>7053</v>
      </c>
      <c r="M394" s="38" t="s">
        <v>7047</v>
      </c>
      <c r="N394" s="30">
        <v>46023.0</v>
      </c>
      <c r="O394" s="30">
        <v>46387.0</v>
      </c>
      <c r="P394" s="29" t="s">
        <v>7053</v>
      </c>
      <c r="Q394" s="29" t="s">
        <v>7053</v>
      </c>
      <c r="R394" s="32" t="s">
        <v>7043</v>
      </c>
      <c r="S394" s="30">
        <v>46388.0</v>
      </c>
      <c r="T394" s="30">
        <v>46752.0</v>
      </c>
      <c r="U394" s="29" t="s">
        <v>7053</v>
      </c>
      <c r="V394" s="29" t="s">
        <v>7053</v>
      </c>
      <c r="W394" s="32" t="s">
        <v>7043</v>
      </c>
      <c r="X394" s="30">
        <v>46753.0</v>
      </c>
      <c r="Y394" s="30">
        <v>47118.0</v>
      </c>
      <c r="Z394" s="29" t="s">
        <v>7053</v>
      </c>
      <c r="AA394" s="29" t="s">
        <v>7053</v>
      </c>
      <c r="AB394" s="32" t="s">
        <v>7043</v>
      </c>
      <c r="AC394" s="30">
        <v>47119.0</v>
      </c>
      <c r="AD394" s="30">
        <v>47483.0</v>
      </c>
      <c r="AE394" s="29" t="s">
        <v>7053</v>
      </c>
      <c r="AF394" s="29" t="s">
        <v>7053</v>
      </c>
      <c r="AG394" s="32" t="s">
        <v>7043</v>
      </c>
      <c r="AH394" s="30">
        <v>47484.0</v>
      </c>
      <c r="AI394" s="30">
        <v>47848.0</v>
      </c>
      <c r="AJ394" s="29" t="s">
        <v>7053</v>
      </c>
      <c r="AK394" s="29" t="s">
        <v>7053</v>
      </c>
      <c r="AL394" s="32" t="s">
        <v>7043</v>
      </c>
    </row>
    <row r="395" ht="14.25" customHeight="1">
      <c r="A395" s="28" t="s">
        <v>6895</v>
      </c>
      <c r="B395" s="29" t="s">
        <v>6896</v>
      </c>
      <c r="C395" s="29" t="s">
        <v>7041</v>
      </c>
      <c r="D395" s="30">
        <v>45292.0</v>
      </c>
      <c r="E395" s="30">
        <v>45657.0</v>
      </c>
      <c r="F395" s="29" t="s">
        <v>7074</v>
      </c>
      <c r="G395" s="29" t="s">
        <v>7051</v>
      </c>
      <c r="H395" s="37" t="s">
        <v>7046</v>
      </c>
      <c r="I395" s="30">
        <v>45658.0</v>
      </c>
      <c r="J395" s="30">
        <v>46022.0</v>
      </c>
      <c r="K395" s="29" t="s">
        <v>7062</v>
      </c>
      <c r="L395" s="29" t="s">
        <v>7053</v>
      </c>
      <c r="M395" s="38" t="s">
        <v>7047</v>
      </c>
      <c r="N395" s="30">
        <v>46023.0</v>
      </c>
      <c r="O395" s="30">
        <v>46387.0</v>
      </c>
      <c r="P395" s="29" t="s">
        <v>7053</v>
      </c>
      <c r="Q395" s="29" t="s">
        <v>7053</v>
      </c>
      <c r="R395" s="32" t="s">
        <v>7043</v>
      </c>
      <c r="S395" s="30">
        <v>46388.0</v>
      </c>
      <c r="T395" s="30">
        <v>46752.0</v>
      </c>
      <c r="U395" s="29" t="s">
        <v>7053</v>
      </c>
      <c r="V395" s="29" t="s">
        <v>7053</v>
      </c>
      <c r="W395" s="32" t="s">
        <v>7043</v>
      </c>
      <c r="X395" s="30">
        <v>46753.0</v>
      </c>
      <c r="Y395" s="30">
        <v>47118.0</v>
      </c>
      <c r="Z395" s="29" t="s">
        <v>7053</v>
      </c>
      <c r="AA395" s="29" t="s">
        <v>7053</v>
      </c>
      <c r="AB395" s="32" t="s">
        <v>7043</v>
      </c>
      <c r="AC395" s="30">
        <v>47119.0</v>
      </c>
      <c r="AD395" s="30">
        <v>47483.0</v>
      </c>
      <c r="AE395" s="29" t="s">
        <v>7053</v>
      </c>
      <c r="AF395" s="29" t="s">
        <v>7053</v>
      </c>
      <c r="AG395" s="32" t="s">
        <v>7043</v>
      </c>
      <c r="AH395" s="30">
        <v>47484.0</v>
      </c>
      <c r="AI395" s="30">
        <v>47848.0</v>
      </c>
      <c r="AJ395" s="29" t="s">
        <v>7053</v>
      </c>
      <c r="AK395" s="29" t="s">
        <v>7053</v>
      </c>
      <c r="AL395" s="32" t="s">
        <v>7043</v>
      </c>
    </row>
    <row r="396" ht="14.25" customHeight="1">
      <c r="A396" s="28" t="s">
        <v>6898</v>
      </c>
      <c r="B396" s="29" t="s">
        <v>6899</v>
      </c>
      <c r="C396" s="29" t="s">
        <v>7041</v>
      </c>
      <c r="D396" s="30">
        <v>45292.0</v>
      </c>
      <c r="E396" s="30">
        <v>45657.0</v>
      </c>
      <c r="F396" s="29" t="s">
        <v>7124</v>
      </c>
      <c r="G396" s="29" t="s">
        <v>7051</v>
      </c>
      <c r="H396" s="38" t="s">
        <v>7047</v>
      </c>
      <c r="I396" s="30">
        <v>45658.0</v>
      </c>
      <c r="J396" s="30">
        <v>46022.0</v>
      </c>
      <c r="K396" s="29" t="s">
        <v>7127</v>
      </c>
      <c r="L396" s="29" t="s">
        <v>7053</v>
      </c>
      <c r="M396" s="38" t="s">
        <v>7047</v>
      </c>
      <c r="N396" s="30">
        <v>46023.0</v>
      </c>
      <c r="O396" s="30">
        <v>46387.0</v>
      </c>
      <c r="P396" s="29" t="s">
        <v>7053</v>
      </c>
      <c r="Q396" s="29" t="s">
        <v>7053</v>
      </c>
      <c r="R396" s="32" t="s">
        <v>7043</v>
      </c>
      <c r="S396" s="30">
        <v>46388.0</v>
      </c>
      <c r="T396" s="30">
        <v>46752.0</v>
      </c>
      <c r="U396" s="29" t="s">
        <v>7053</v>
      </c>
      <c r="V396" s="29" t="s">
        <v>7053</v>
      </c>
      <c r="W396" s="32" t="s">
        <v>7043</v>
      </c>
      <c r="X396" s="30">
        <v>46753.0</v>
      </c>
      <c r="Y396" s="30">
        <v>47118.0</v>
      </c>
      <c r="Z396" s="29" t="s">
        <v>7053</v>
      </c>
      <c r="AA396" s="29" t="s">
        <v>7053</v>
      </c>
      <c r="AB396" s="32" t="s">
        <v>7043</v>
      </c>
      <c r="AC396" s="30">
        <v>47119.0</v>
      </c>
      <c r="AD396" s="30">
        <v>47483.0</v>
      </c>
      <c r="AE396" s="29" t="s">
        <v>7053</v>
      </c>
      <c r="AF396" s="29" t="s">
        <v>7053</v>
      </c>
      <c r="AG396" s="32" t="s">
        <v>7043</v>
      </c>
      <c r="AH396" s="30">
        <v>47484.0</v>
      </c>
      <c r="AI396" s="30">
        <v>47848.0</v>
      </c>
      <c r="AJ396" s="29" t="s">
        <v>7053</v>
      </c>
      <c r="AK396" s="29" t="s">
        <v>7053</v>
      </c>
      <c r="AL396" s="32" t="s">
        <v>7043</v>
      </c>
    </row>
    <row r="397" ht="14.25" customHeight="1">
      <c r="A397" s="28" t="s">
        <v>6092</v>
      </c>
      <c r="B397" s="29" t="s">
        <v>6093</v>
      </c>
      <c r="C397" s="29" t="s">
        <v>7041</v>
      </c>
      <c r="D397" s="30">
        <v>45292.0</v>
      </c>
      <c r="E397" s="30">
        <v>45657.0</v>
      </c>
      <c r="F397" s="29" t="s">
        <v>7173</v>
      </c>
      <c r="G397" s="29" t="s">
        <v>7076</v>
      </c>
      <c r="H397" s="38" t="s">
        <v>7047</v>
      </c>
      <c r="I397" s="30">
        <v>45658.0</v>
      </c>
      <c r="J397" s="30">
        <v>46022.0</v>
      </c>
      <c r="K397" s="29" t="s">
        <v>7174</v>
      </c>
      <c r="L397" s="29" t="s">
        <v>7053</v>
      </c>
      <c r="M397" s="38" t="s">
        <v>7047</v>
      </c>
      <c r="N397" s="30">
        <v>46023.0</v>
      </c>
      <c r="O397" s="30">
        <v>46387.0</v>
      </c>
      <c r="P397" s="29" t="s">
        <v>7053</v>
      </c>
      <c r="Q397" s="29" t="s">
        <v>7053</v>
      </c>
      <c r="R397" s="32" t="s">
        <v>7043</v>
      </c>
      <c r="S397" s="30">
        <v>46388.0</v>
      </c>
      <c r="T397" s="30">
        <v>46752.0</v>
      </c>
      <c r="U397" s="29" t="s">
        <v>7053</v>
      </c>
      <c r="V397" s="29" t="s">
        <v>7053</v>
      </c>
      <c r="W397" s="32" t="s">
        <v>7043</v>
      </c>
      <c r="X397" s="30">
        <v>46753.0</v>
      </c>
      <c r="Y397" s="30">
        <v>47118.0</v>
      </c>
      <c r="Z397" s="29" t="s">
        <v>7053</v>
      </c>
      <c r="AA397" s="29" t="s">
        <v>7053</v>
      </c>
      <c r="AB397" s="32" t="s">
        <v>7043</v>
      </c>
      <c r="AC397" s="30">
        <v>47119.0</v>
      </c>
      <c r="AD397" s="30">
        <v>47483.0</v>
      </c>
      <c r="AE397" s="29" t="s">
        <v>7053</v>
      </c>
      <c r="AF397" s="29" t="s">
        <v>7053</v>
      </c>
      <c r="AG397" s="32" t="s">
        <v>7043</v>
      </c>
      <c r="AH397" s="30">
        <v>47484.0</v>
      </c>
      <c r="AI397" s="30">
        <v>47848.0</v>
      </c>
      <c r="AJ397" s="29" t="s">
        <v>7053</v>
      </c>
      <c r="AK397" s="29" t="s">
        <v>7053</v>
      </c>
      <c r="AL397" s="32" t="s">
        <v>7043</v>
      </c>
    </row>
    <row r="398" ht="14.25" customHeight="1">
      <c r="A398" s="28" t="s">
        <v>6915</v>
      </c>
      <c r="B398" s="29" t="s">
        <v>6916</v>
      </c>
      <c r="C398" s="29" t="s">
        <v>7041</v>
      </c>
      <c r="D398" s="30">
        <v>45292.0</v>
      </c>
      <c r="E398" s="30">
        <v>45657.0</v>
      </c>
      <c r="F398" s="29" t="s">
        <v>7082</v>
      </c>
      <c r="G398" s="29" t="s">
        <v>7051</v>
      </c>
      <c r="H398" s="38" t="s">
        <v>7047</v>
      </c>
      <c r="I398" s="30">
        <v>45658.0</v>
      </c>
      <c r="J398" s="30">
        <v>46022.0</v>
      </c>
      <c r="K398" s="29" t="s">
        <v>7124</v>
      </c>
      <c r="L398" s="29" t="s">
        <v>7053</v>
      </c>
      <c r="M398" s="38" t="s">
        <v>7047</v>
      </c>
      <c r="N398" s="30">
        <v>46023.0</v>
      </c>
      <c r="O398" s="30">
        <v>46387.0</v>
      </c>
      <c r="P398" s="29" t="s">
        <v>7053</v>
      </c>
      <c r="Q398" s="29" t="s">
        <v>7053</v>
      </c>
      <c r="R398" s="32" t="s">
        <v>7043</v>
      </c>
      <c r="S398" s="30">
        <v>46388.0</v>
      </c>
      <c r="T398" s="30">
        <v>46752.0</v>
      </c>
      <c r="U398" s="29" t="s">
        <v>7053</v>
      </c>
      <c r="V398" s="29" t="s">
        <v>7053</v>
      </c>
      <c r="W398" s="32" t="s">
        <v>7043</v>
      </c>
      <c r="X398" s="30">
        <v>46753.0</v>
      </c>
      <c r="Y398" s="30">
        <v>47118.0</v>
      </c>
      <c r="Z398" s="29" t="s">
        <v>7053</v>
      </c>
      <c r="AA398" s="29" t="s">
        <v>7053</v>
      </c>
      <c r="AB398" s="32" t="s">
        <v>7043</v>
      </c>
      <c r="AC398" s="30">
        <v>47119.0</v>
      </c>
      <c r="AD398" s="30">
        <v>47483.0</v>
      </c>
      <c r="AE398" s="29" t="s">
        <v>7053</v>
      </c>
      <c r="AF398" s="29" t="s">
        <v>7053</v>
      </c>
      <c r="AG398" s="32" t="s">
        <v>7043</v>
      </c>
      <c r="AH398" s="30">
        <v>47484.0</v>
      </c>
      <c r="AI398" s="30">
        <v>47848.0</v>
      </c>
      <c r="AJ398" s="29" t="s">
        <v>7053</v>
      </c>
      <c r="AK398" s="29" t="s">
        <v>7053</v>
      </c>
      <c r="AL398" s="32" t="s">
        <v>7043</v>
      </c>
    </row>
    <row r="399" ht="14.25" customHeight="1">
      <c r="A399" s="28" t="s">
        <v>6937</v>
      </c>
      <c r="B399" s="29" t="s">
        <v>6938</v>
      </c>
      <c r="C399" s="29" t="s">
        <v>7041</v>
      </c>
      <c r="D399" s="30">
        <v>45292.0</v>
      </c>
      <c r="E399" s="30">
        <v>45657.0</v>
      </c>
      <c r="F399" s="29" t="s">
        <v>7087</v>
      </c>
      <c r="G399" s="29" t="s">
        <v>7051</v>
      </c>
      <c r="H399" s="37" t="s">
        <v>7046</v>
      </c>
      <c r="I399" s="30">
        <v>45658.0</v>
      </c>
      <c r="J399" s="30">
        <v>46022.0</v>
      </c>
      <c r="K399" s="29" t="s">
        <v>7073</v>
      </c>
      <c r="L399" s="29" t="s">
        <v>7053</v>
      </c>
      <c r="M399" s="38" t="s">
        <v>7047</v>
      </c>
      <c r="N399" s="30">
        <v>46023.0</v>
      </c>
      <c r="O399" s="30">
        <v>46387.0</v>
      </c>
      <c r="P399" s="29" t="s">
        <v>7053</v>
      </c>
      <c r="Q399" s="29" t="s">
        <v>7053</v>
      </c>
      <c r="R399" s="32" t="s">
        <v>7043</v>
      </c>
      <c r="S399" s="30">
        <v>46388.0</v>
      </c>
      <c r="T399" s="30">
        <v>46752.0</v>
      </c>
      <c r="U399" s="29" t="s">
        <v>7053</v>
      </c>
      <c r="V399" s="29" t="s">
        <v>7053</v>
      </c>
      <c r="W399" s="32" t="s">
        <v>7043</v>
      </c>
      <c r="X399" s="30">
        <v>46753.0</v>
      </c>
      <c r="Y399" s="30">
        <v>47118.0</v>
      </c>
      <c r="Z399" s="29" t="s">
        <v>7053</v>
      </c>
      <c r="AA399" s="29" t="s">
        <v>7053</v>
      </c>
      <c r="AB399" s="32" t="s">
        <v>7043</v>
      </c>
      <c r="AC399" s="30">
        <v>47119.0</v>
      </c>
      <c r="AD399" s="30">
        <v>47483.0</v>
      </c>
      <c r="AE399" s="29" t="s">
        <v>7053</v>
      </c>
      <c r="AF399" s="29" t="s">
        <v>7053</v>
      </c>
      <c r="AG399" s="32" t="s">
        <v>7043</v>
      </c>
      <c r="AH399" s="30">
        <v>47484.0</v>
      </c>
      <c r="AI399" s="30">
        <v>47848.0</v>
      </c>
      <c r="AJ399" s="29" t="s">
        <v>7053</v>
      </c>
      <c r="AK399" s="29" t="s">
        <v>7053</v>
      </c>
      <c r="AL399" s="32" t="s">
        <v>7043</v>
      </c>
    </row>
    <row r="400" ht="14.25" customHeight="1">
      <c r="A400" s="28" t="s">
        <v>6979</v>
      </c>
      <c r="B400" s="29" t="s">
        <v>6980</v>
      </c>
      <c r="C400" s="29" t="s">
        <v>7041</v>
      </c>
      <c r="D400" s="30">
        <v>45292.0</v>
      </c>
      <c r="E400" s="30">
        <v>45657.0</v>
      </c>
      <c r="F400" s="29" t="s">
        <v>7089</v>
      </c>
      <c r="G400" s="29" t="s">
        <v>7051</v>
      </c>
      <c r="H400" s="32" t="s">
        <v>7043</v>
      </c>
      <c r="I400" s="30">
        <v>45658.0</v>
      </c>
      <c r="J400" s="30">
        <v>46022.0</v>
      </c>
      <c r="K400" s="29" t="s">
        <v>7089</v>
      </c>
      <c r="L400" s="29" t="s">
        <v>7053</v>
      </c>
      <c r="M400" s="38" t="s">
        <v>7047</v>
      </c>
      <c r="N400" s="30">
        <v>46023.0</v>
      </c>
      <c r="O400" s="30">
        <v>46387.0</v>
      </c>
      <c r="P400" s="29" t="s">
        <v>7053</v>
      </c>
      <c r="Q400" s="29" t="s">
        <v>7053</v>
      </c>
      <c r="R400" s="32" t="s">
        <v>7043</v>
      </c>
      <c r="S400" s="30">
        <v>46388.0</v>
      </c>
      <c r="T400" s="30">
        <v>46752.0</v>
      </c>
      <c r="U400" s="29" t="s">
        <v>7053</v>
      </c>
      <c r="V400" s="29" t="s">
        <v>7053</v>
      </c>
      <c r="W400" s="32" t="s">
        <v>7043</v>
      </c>
      <c r="X400" s="30">
        <v>46753.0</v>
      </c>
      <c r="Y400" s="30">
        <v>47118.0</v>
      </c>
      <c r="Z400" s="29" t="s">
        <v>7053</v>
      </c>
      <c r="AA400" s="29" t="s">
        <v>7053</v>
      </c>
      <c r="AB400" s="32" t="s">
        <v>7043</v>
      </c>
      <c r="AC400" s="30">
        <v>47119.0</v>
      </c>
      <c r="AD400" s="30">
        <v>47483.0</v>
      </c>
      <c r="AE400" s="29" t="s">
        <v>7053</v>
      </c>
      <c r="AF400" s="29" t="s">
        <v>7053</v>
      </c>
      <c r="AG400" s="32" t="s">
        <v>7043</v>
      </c>
      <c r="AH400" s="30">
        <v>47484.0</v>
      </c>
      <c r="AI400" s="30">
        <v>47848.0</v>
      </c>
      <c r="AJ400" s="29" t="s">
        <v>7053</v>
      </c>
      <c r="AK400" s="29" t="s">
        <v>7053</v>
      </c>
      <c r="AL400" s="32" t="s">
        <v>7043</v>
      </c>
    </row>
    <row r="401" ht="14.25" customHeight="1">
      <c r="A401" s="28" t="s">
        <v>6999</v>
      </c>
      <c r="B401" s="29" t="s">
        <v>7000</v>
      </c>
      <c r="C401" s="29" t="s">
        <v>7041</v>
      </c>
      <c r="D401" s="30">
        <v>45292.0</v>
      </c>
      <c r="E401" s="30">
        <v>45657.0</v>
      </c>
      <c r="F401" s="29" t="s">
        <v>7122</v>
      </c>
      <c r="G401" s="29" t="s">
        <v>7051</v>
      </c>
      <c r="H401" s="37" t="s">
        <v>7046</v>
      </c>
      <c r="I401" s="30">
        <v>45658.0</v>
      </c>
      <c r="J401" s="30">
        <v>46022.0</v>
      </c>
      <c r="K401" s="29" t="s">
        <v>7067</v>
      </c>
      <c r="L401" s="29" t="s">
        <v>7053</v>
      </c>
      <c r="M401" s="38" t="s">
        <v>7047</v>
      </c>
      <c r="N401" s="30">
        <v>46023.0</v>
      </c>
      <c r="O401" s="30">
        <v>46387.0</v>
      </c>
      <c r="P401" s="29" t="s">
        <v>7053</v>
      </c>
      <c r="Q401" s="29" t="s">
        <v>7053</v>
      </c>
      <c r="R401" s="32" t="s">
        <v>7043</v>
      </c>
      <c r="S401" s="30">
        <v>46388.0</v>
      </c>
      <c r="T401" s="30">
        <v>46752.0</v>
      </c>
      <c r="U401" s="29" t="s">
        <v>7053</v>
      </c>
      <c r="V401" s="29" t="s">
        <v>7053</v>
      </c>
      <c r="W401" s="32" t="s">
        <v>7043</v>
      </c>
      <c r="X401" s="30">
        <v>46753.0</v>
      </c>
      <c r="Y401" s="30">
        <v>47118.0</v>
      </c>
      <c r="Z401" s="29" t="s">
        <v>7053</v>
      </c>
      <c r="AA401" s="29" t="s">
        <v>7053</v>
      </c>
      <c r="AB401" s="32" t="s">
        <v>7043</v>
      </c>
      <c r="AC401" s="30">
        <v>47119.0</v>
      </c>
      <c r="AD401" s="30">
        <v>47483.0</v>
      </c>
      <c r="AE401" s="29" t="s">
        <v>7053</v>
      </c>
      <c r="AF401" s="29" t="s">
        <v>7053</v>
      </c>
      <c r="AG401" s="32" t="s">
        <v>7043</v>
      </c>
      <c r="AH401" s="30">
        <v>47484.0</v>
      </c>
      <c r="AI401" s="30">
        <v>47848.0</v>
      </c>
      <c r="AJ401" s="29" t="s">
        <v>7053</v>
      </c>
      <c r="AK401" s="29" t="s">
        <v>7053</v>
      </c>
      <c r="AL401" s="32" t="s">
        <v>7043</v>
      </c>
    </row>
    <row r="402" ht="14.25" customHeight="1">
      <c r="A402" s="28" t="s">
        <v>7019</v>
      </c>
      <c r="B402" s="29" t="s">
        <v>7020</v>
      </c>
      <c r="C402" s="29" t="s">
        <v>7041</v>
      </c>
      <c r="D402" s="30">
        <v>45292.0</v>
      </c>
      <c r="E402" s="30">
        <v>45657.0</v>
      </c>
      <c r="F402" s="29" t="s">
        <v>7053</v>
      </c>
      <c r="G402" s="29" t="s">
        <v>7051</v>
      </c>
      <c r="H402" s="32" t="s">
        <v>7043</v>
      </c>
      <c r="I402" s="30">
        <v>45658.0</v>
      </c>
      <c r="J402" s="30">
        <v>46022.0</v>
      </c>
      <c r="K402" s="29" t="s">
        <v>7080</v>
      </c>
      <c r="L402" s="29" t="s">
        <v>7053</v>
      </c>
      <c r="M402" s="38" t="s">
        <v>7047</v>
      </c>
      <c r="N402" s="30">
        <v>46023.0</v>
      </c>
      <c r="O402" s="30">
        <v>46387.0</v>
      </c>
      <c r="P402" s="29" t="s">
        <v>7053</v>
      </c>
      <c r="Q402" s="29" t="s">
        <v>7053</v>
      </c>
      <c r="R402" s="32" t="s">
        <v>7043</v>
      </c>
      <c r="S402" s="30">
        <v>46388.0</v>
      </c>
      <c r="T402" s="30">
        <v>46752.0</v>
      </c>
      <c r="U402" s="29" t="s">
        <v>7053</v>
      </c>
      <c r="V402" s="29" t="s">
        <v>7053</v>
      </c>
      <c r="W402" s="32" t="s">
        <v>7043</v>
      </c>
      <c r="X402" s="30">
        <v>46753.0</v>
      </c>
      <c r="Y402" s="30">
        <v>47118.0</v>
      </c>
      <c r="Z402" s="29" t="s">
        <v>7053</v>
      </c>
      <c r="AA402" s="29" t="s">
        <v>7053</v>
      </c>
      <c r="AB402" s="32" t="s">
        <v>7043</v>
      </c>
      <c r="AC402" s="30">
        <v>47119.0</v>
      </c>
      <c r="AD402" s="30">
        <v>47483.0</v>
      </c>
      <c r="AE402" s="29" t="s">
        <v>7053</v>
      </c>
      <c r="AF402" s="29" t="s">
        <v>7053</v>
      </c>
      <c r="AG402" s="32" t="s">
        <v>7043</v>
      </c>
      <c r="AH402" s="30">
        <v>47484.0</v>
      </c>
      <c r="AI402" s="30">
        <v>47848.0</v>
      </c>
      <c r="AJ402" s="29" t="s">
        <v>7053</v>
      </c>
      <c r="AK402" s="29" t="s">
        <v>7053</v>
      </c>
      <c r="AL402" s="32" t="s">
        <v>7043</v>
      </c>
    </row>
    <row r="403" ht="14.25" customHeight="1">
      <c r="A403" s="28" t="s">
        <v>7022</v>
      </c>
      <c r="B403" s="29" t="s">
        <v>7023</v>
      </c>
      <c r="C403" s="29" t="s">
        <v>7041</v>
      </c>
      <c r="D403" s="30">
        <v>45292.0</v>
      </c>
      <c r="E403" s="30">
        <v>45657.0</v>
      </c>
      <c r="F403" s="29" t="s">
        <v>7094</v>
      </c>
      <c r="G403" s="29" t="s">
        <v>7051</v>
      </c>
      <c r="H403" s="32" t="s">
        <v>7043</v>
      </c>
      <c r="I403" s="30">
        <v>45658.0</v>
      </c>
      <c r="J403" s="30">
        <v>46022.0</v>
      </c>
      <c r="K403" s="29" t="s">
        <v>7094</v>
      </c>
      <c r="L403" s="29" t="s">
        <v>7053</v>
      </c>
      <c r="M403" s="38" t="s">
        <v>7047</v>
      </c>
      <c r="N403" s="30">
        <v>46023.0</v>
      </c>
      <c r="O403" s="30">
        <v>46387.0</v>
      </c>
      <c r="P403" s="29" t="s">
        <v>7053</v>
      </c>
      <c r="Q403" s="29" t="s">
        <v>7053</v>
      </c>
      <c r="R403" s="32" t="s">
        <v>7043</v>
      </c>
      <c r="S403" s="30">
        <v>46388.0</v>
      </c>
      <c r="T403" s="30">
        <v>46752.0</v>
      </c>
      <c r="U403" s="29" t="s">
        <v>7053</v>
      </c>
      <c r="V403" s="29" t="s">
        <v>7053</v>
      </c>
      <c r="W403" s="32" t="s">
        <v>7043</v>
      </c>
      <c r="X403" s="30">
        <v>46753.0</v>
      </c>
      <c r="Y403" s="30">
        <v>47118.0</v>
      </c>
      <c r="Z403" s="29" t="s">
        <v>7053</v>
      </c>
      <c r="AA403" s="29" t="s">
        <v>7053</v>
      </c>
      <c r="AB403" s="32" t="s">
        <v>7043</v>
      </c>
      <c r="AC403" s="30">
        <v>47119.0</v>
      </c>
      <c r="AD403" s="30">
        <v>47483.0</v>
      </c>
      <c r="AE403" s="29" t="s">
        <v>7053</v>
      </c>
      <c r="AF403" s="29" t="s">
        <v>7053</v>
      </c>
      <c r="AG403" s="32" t="s">
        <v>7043</v>
      </c>
      <c r="AH403" s="30">
        <v>47484.0</v>
      </c>
      <c r="AI403" s="30">
        <v>47848.0</v>
      </c>
      <c r="AJ403" s="29" t="s">
        <v>7053</v>
      </c>
      <c r="AK403" s="29" t="s">
        <v>7053</v>
      </c>
      <c r="AL403" s="32" t="s">
        <v>7043</v>
      </c>
    </row>
    <row r="404" ht="14.25" customHeight="1">
      <c r="A404" s="28" t="s">
        <v>7027</v>
      </c>
      <c r="B404" s="29" t="s">
        <v>7028</v>
      </c>
      <c r="C404" s="29" t="s">
        <v>7041</v>
      </c>
      <c r="D404" s="30">
        <v>45292.0</v>
      </c>
      <c r="E404" s="30">
        <v>45657.0</v>
      </c>
      <c r="F404" s="29" t="s">
        <v>7126</v>
      </c>
      <c r="G404" s="29" t="s">
        <v>7164</v>
      </c>
      <c r="H404" s="37" t="s">
        <v>7046</v>
      </c>
      <c r="I404" s="30">
        <v>45658.0</v>
      </c>
      <c r="J404" s="30">
        <v>46022.0</v>
      </c>
      <c r="K404" s="29" t="s">
        <v>7117</v>
      </c>
      <c r="L404" s="29" t="s">
        <v>7053</v>
      </c>
      <c r="M404" s="38" t="s">
        <v>7047</v>
      </c>
      <c r="N404" s="30">
        <v>46023.0</v>
      </c>
      <c r="O404" s="30">
        <v>46387.0</v>
      </c>
      <c r="P404" s="29" t="s">
        <v>7053</v>
      </c>
      <c r="Q404" s="29" t="s">
        <v>7053</v>
      </c>
      <c r="R404" s="32" t="s">
        <v>7043</v>
      </c>
      <c r="S404" s="30">
        <v>46388.0</v>
      </c>
      <c r="T404" s="30">
        <v>46752.0</v>
      </c>
      <c r="U404" s="29" t="s">
        <v>7053</v>
      </c>
      <c r="V404" s="29" t="s">
        <v>7053</v>
      </c>
      <c r="W404" s="32" t="s">
        <v>7043</v>
      </c>
      <c r="X404" s="30">
        <v>46753.0</v>
      </c>
      <c r="Y404" s="30">
        <v>47118.0</v>
      </c>
      <c r="Z404" s="29" t="s">
        <v>7053</v>
      </c>
      <c r="AA404" s="29" t="s">
        <v>7053</v>
      </c>
      <c r="AB404" s="32" t="s">
        <v>7043</v>
      </c>
      <c r="AC404" s="30">
        <v>47119.0</v>
      </c>
      <c r="AD404" s="30">
        <v>47483.0</v>
      </c>
      <c r="AE404" s="29" t="s">
        <v>7053</v>
      </c>
      <c r="AF404" s="29" t="s">
        <v>7053</v>
      </c>
      <c r="AG404" s="32" t="s">
        <v>7043</v>
      </c>
      <c r="AH404" s="30">
        <v>47484.0</v>
      </c>
      <c r="AI404" s="30">
        <v>47848.0</v>
      </c>
      <c r="AJ404" s="29" t="s">
        <v>7053</v>
      </c>
      <c r="AK404" s="29" t="s">
        <v>7053</v>
      </c>
      <c r="AL404" s="32" t="s">
        <v>7043</v>
      </c>
    </row>
    <row r="405" ht="14.25" customHeight="1">
      <c r="A405" s="28" t="s">
        <v>3877</v>
      </c>
      <c r="B405" s="29" t="s">
        <v>3878</v>
      </c>
      <c r="C405" s="29" t="s">
        <v>7041</v>
      </c>
      <c r="D405" s="30">
        <v>45292.0</v>
      </c>
      <c r="E405" s="30">
        <v>45657.0</v>
      </c>
      <c r="F405" s="29" t="s">
        <v>7055</v>
      </c>
      <c r="G405" s="29" t="s">
        <v>7098</v>
      </c>
      <c r="H405" s="37" t="s">
        <v>7046</v>
      </c>
      <c r="I405" s="30">
        <v>45658.0</v>
      </c>
      <c r="J405" s="30">
        <v>46022.0</v>
      </c>
      <c r="K405" s="29" t="s">
        <v>7122</v>
      </c>
      <c r="L405" s="29" t="s">
        <v>7053</v>
      </c>
      <c r="M405" s="38" t="s">
        <v>7047</v>
      </c>
      <c r="N405" s="30">
        <v>46023.0</v>
      </c>
      <c r="O405" s="30">
        <v>46387.0</v>
      </c>
      <c r="P405" s="29" t="s">
        <v>7053</v>
      </c>
      <c r="Q405" s="29" t="s">
        <v>7053</v>
      </c>
      <c r="R405" s="32" t="s">
        <v>7043</v>
      </c>
      <c r="S405" s="30">
        <v>46388.0</v>
      </c>
      <c r="T405" s="30">
        <v>46752.0</v>
      </c>
      <c r="U405" s="29" t="s">
        <v>7053</v>
      </c>
      <c r="V405" s="29" t="s">
        <v>7053</v>
      </c>
      <c r="W405" s="32" t="s">
        <v>7043</v>
      </c>
      <c r="X405" s="30">
        <v>46753.0</v>
      </c>
      <c r="Y405" s="30">
        <v>47118.0</v>
      </c>
      <c r="Z405" s="29" t="s">
        <v>7053</v>
      </c>
      <c r="AA405" s="29" t="s">
        <v>7053</v>
      </c>
      <c r="AB405" s="32" t="s">
        <v>7043</v>
      </c>
      <c r="AC405" s="30">
        <v>47119.0</v>
      </c>
      <c r="AD405" s="30">
        <v>47483.0</v>
      </c>
      <c r="AE405" s="29" t="s">
        <v>7053</v>
      </c>
      <c r="AF405" s="29" t="s">
        <v>7053</v>
      </c>
      <c r="AG405" s="32" t="s">
        <v>7043</v>
      </c>
      <c r="AH405" s="30">
        <v>47484.0</v>
      </c>
      <c r="AI405" s="30">
        <v>47848.0</v>
      </c>
      <c r="AJ405" s="29" t="s">
        <v>7053</v>
      </c>
      <c r="AK405" s="29" t="s">
        <v>7053</v>
      </c>
      <c r="AL405" s="32" t="s">
        <v>7043</v>
      </c>
    </row>
    <row r="406" ht="14.25" customHeight="1">
      <c r="A406" s="28" t="s">
        <v>3966</v>
      </c>
      <c r="B406" s="29" t="s">
        <v>3967</v>
      </c>
      <c r="C406" s="29" t="s">
        <v>7041</v>
      </c>
      <c r="D406" s="30">
        <v>45292.0</v>
      </c>
      <c r="E406" s="30">
        <v>45657.0</v>
      </c>
      <c r="F406" s="29" t="s">
        <v>7058</v>
      </c>
      <c r="G406" s="29" t="s">
        <v>7093</v>
      </c>
      <c r="H406" s="37" t="s">
        <v>7046</v>
      </c>
      <c r="I406" s="30">
        <v>45658.0</v>
      </c>
      <c r="J406" s="30">
        <v>46022.0</v>
      </c>
      <c r="K406" s="29" t="s">
        <v>7088</v>
      </c>
      <c r="L406" s="29" t="s">
        <v>7078</v>
      </c>
      <c r="M406" s="38" t="s">
        <v>7047</v>
      </c>
      <c r="N406" s="30">
        <v>46023.0</v>
      </c>
      <c r="O406" s="30">
        <v>46387.0</v>
      </c>
      <c r="P406" s="29" t="s">
        <v>7053</v>
      </c>
      <c r="Q406" s="29" t="s">
        <v>7053</v>
      </c>
      <c r="R406" s="32" t="s">
        <v>7043</v>
      </c>
      <c r="S406" s="30">
        <v>46388.0</v>
      </c>
      <c r="T406" s="30">
        <v>46752.0</v>
      </c>
      <c r="U406" s="29" t="s">
        <v>7053</v>
      </c>
      <c r="V406" s="29" t="s">
        <v>7053</v>
      </c>
      <c r="W406" s="32" t="s">
        <v>7043</v>
      </c>
      <c r="X406" s="30">
        <v>46753.0</v>
      </c>
      <c r="Y406" s="30">
        <v>47118.0</v>
      </c>
      <c r="Z406" s="29" t="s">
        <v>7053</v>
      </c>
      <c r="AA406" s="29" t="s">
        <v>7053</v>
      </c>
      <c r="AB406" s="32" t="s">
        <v>7043</v>
      </c>
      <c r="AC406" s="30">
        <v>47119.0</v>
      </c>
      <c r="AD406" s="30">
        <v>47483.0</v>
      </c>
      <c r="AE406" s="29" t="s">
        <v>7053</v>
      </c>
      <c r="AF406" s="29" t="s">
        <v>7053</v>
      </c>
      <c r="AG406" s="32" t="s">
        <v>7043</v>
      </c>
      <c r="AH406" s="30">
        <v>47484.0</v>
      </c>
      <c r="AI406" s="30">
        <v>47848.0</v>
      </c>
      <c r="AJ406" s="29" t="s">
        <v>7053</v>
      </c>
      <c r="AK406" s="29" t="s">
        <v>7053</v>
      </c>
      <c r="AL406" s="32" t="s">
        <v>7043</v>
      </c>
    </row>
    <row r="407" ht="14.25" customHeight="1">
      <c r="A407" s="28" t="s">
        <v>4783</v>
      </c>
      <c r="B407" s="29" t="s">
        <v>4784</v>
      </c>
      <c r="C407" s="29" t="s">
        <v>7041</v>
      </c>
      <c r="D407" s="30">
        <v>45292.0</v>
      </c>
      <c r="E407" s="30">
        <v>45657.0</v>
      </c>
      <c r="F407" s="29" t="s">
        <v>7060</v>
      </c>
      <c r="G407" s="29" t="s">
        <v>7055</v>
      </c>
      <c r="H407" s="38" t="s">
        <v>7047</v>
      </c>
      <c r="I407" s="30">
        <v>45658.0</v>
      </c>
      <c r="J407" s="30">
        <v>46022.0</v>
      </c>
      <c r="K407" s="29" t="s">
        <v>7175</v>
      </c>
      <c r="L407" s="29" t="s">
        <v>7053</v>
      </c>
      <c r="M407" s="38" t="s">
        <v>7047</v>
      </c>
      <c r="N407" s="30">
        <v>46023.0</v>
      </c>
      <c r="O407" s="30">
        <v>46387.0</v>
      </c>
      <c r="P407" s="29" t="s">
        <v>7053</v>
      </c>
      <c r="Q407" s="29" t="s">
        <v>7053</v>
      </c>
      <c r="R407" s="32" t="s">
        <v>7043</v>
      </c>
      <c r="S407" s="30">
        <v>46388.0</v>
      </c>
      <c r="T407" s="30">
        <v>46752.0</v>
      </c>
      <c r="U407" s="29" t="s">
        <v>7053</v>
      </c>
      <c r="V407" s="29" t="s">
        <v>7053</v>
      </c>
      <c r="W407" s="32" t="s">
        <v>7043</v>
      </c>
      <c r="X407" s="30">
        <v>46753.0</v>
      </c>
      <c r="Y407" s="30">
        <v>47118.0</v>
      </c>
      <c r="Z407" s="29" t="s">
        <v>7053</v>
      </c>
      <c r="AA407" s="29" t="s">
        <v>7053</v>
      </c>
      <c r="AB407" s="32" t="s">
        <v>7043</v>
      </c>
      <c r="AC407" s="30">
        <v>47119.0</v>
      </c>
      <c r="AD407" s="30">
        <v>47483.0</v>
      </c>
      <c r="AE407" s="29" t="s">
        <v>7053</v>
      </c>
      <c r="AF407" s="29" t="s">
        <v>7053</v>
      </c>
      <c r="AG407" s="32" t="s">
        <v>7043</v>
      </c>
      <c r="AH407" s="30">
        <v>47484.0</v>
      </c>
      <c r="AI407" s="30">
        <v>47848.0</v>
      </c>
      <c r="AJ407" s="29" t="s">
        <v>7053</v>
      </c>
      <c r="AK407" s="29" t="s">
        <v>7053</v>
      </c>
      <c r="AL407" s="32" t="s">
        <v>7043</v>
      </c>
    </row>
    <row r="408" ht="14.25" customHeight="1">
      <c r="A408" s="28" t="s">
        <v>6399</v>
      </c>
      <c r="B408" s="29" t="s">
        <v>6400</v>
      </c>
      <c r="C408" s="29" t="s">
        <v>7041</v>
      </c>
      <c r="D408" s="30">
        <v>45292.0</v>
      </c>
      <c r="E408" s="30">
        <v>45657.0</v>
      </c>
      <c r="F408" s="29" t="s">
        <v>7117</v>
      </c>
      <c r="G408" s="29" t="s">
        <v>7051</v>
      </c>
      <c r="H408" s="32" t="s">
        <v>7043</v>
      </c>
      <c r="I408" s="30">
        <v>45658.0</v>
      </c>
      <c r="J408" s="30">
        <v>46022.0</v>
      </c>
      <c r="K408" s="29" t="s">
        <v>7095</v>
      </c>
      <c r="L408" s="29" t="s">
        <v>7053</v>
      </c>
      <c r="M408" s="38" t="s">
        <v>7047</v>
      </c>
      <c r="N408" s="30">
        <v>46023.0</v>
      </c>
      <c r="O408" s="30">
        <v>46387.0</v>
      </c>
      <c r="P408" s="29" t="s">
        <v>7053</v>
      </c>
      <c r="Q408" s="29" t="s">
        <v>7053</v>
      </c>
      <c r="R408" s="32" t="s">
        <v>7043</v>
      </c>
      <c r="S408" s="30">
        <v>46388.0</v>
      </c>
      <c r="T408" s="30">
        <v>46752.0</v>
      </c>
      <c r="U408" s="29" t="s">
        <v>7053</v>
      </c>
      <c r="V408" s="29" t="s">
        <v>7053</v>
      </c>
      <c r="W408" s="32" t="s">
        <v>7043</v>
      </c>
      <c r="X408" s="30">
        <v>46753.0</v>
      </c>
      <c r="Y408" s="30">
        <v>47118.0</v>
      </c>
      <c r="Z408" s="29" t="s">
        <v>7053</v>
      </c>
      <c r="AA408" s="29" t="s">
        <v>7053</v>
      </c>
      <c r="AB408" s="32" t="s">
        <v>7043</v>
      </c>
      <c r="AC408" s="30">
        <v>47119.0</v>
      </c>
      <c r="AD408" s="30">
        <v>47483.0</v>
      </c>
      <c r="AE408" s="29" t="s">
        <v>7053</v>
      </c>
      <c r="AF408" s="29" t="s">
        <v>7053</v>
      </c>
      <c r="AG408" s="32" t="s">
        <v>7043</v>
      </c>
      <c r="AH408" s="30">
        <v>47484.0</v>
      </c>
      <c r="AI408" s="30">
        <v>47848.0</v>
      </c>
      <c r="AJ408" s="29" t="s">
        <v>7053</v>
      </c>
      <c r="AK408" s="29" t="s">
        <v>7053</v>
      </c>
      <c r="AL408" s="32" t="s">
        <v>7043</v>
      </c>
    </row>
    <row r="409" ht="14.25" customHeight="1">
      <c r="A409" s="28" t="s">
        <v>4101</v>
      </c>
      <c r="B409" s="29" t="s">
        <v>4102</v>
      </c>
      <c r="C409" s="29" t="s">
        <v>7041</v>
      </c>
      <c r="D409" s="30">
        <v>45292.0</v>
      </c>
      <c r="E409" s="30">
        <v>45657.0</v>
      </c>
      <c r="F409" s="29" t="s">
        <v>7070</v>
      </c>
      <c r="G409" s="29" t="s">
        <v>7051</v>
      </c>
      <c r="H409" s="32" t="s">
        <v>7043</v>
      </c>
      <c r="I409" s="30">
        <v>45658.0</v>
      </c>
      <c r="J409" s="30">
        <v>46022.0</v>
      </c>
      <c r="K409" s="29" t="s">
        <v>7080</v>
      </c>
      <c r="L409" s="29" t="s">
        <v>7053</v>
      </c>
      <c r="M409" s="38" t="s">
        <v>7047</v>
      </c>
      <c r="N409" s="30">
        <v>46023.0</v>
      </c>
      <c r="O409" s="30">
        <v>46387.0</v>
      </c>
      <c r="P409" s="29" t="s">
        <v>7053</v>
      </c>
      <c r="Q409" s="29" t="s">
        <v>7053</v>
      </c>
      <c r="R409" s="32" t="s">
        <v>7043</v>
      </c>
      <c r="S409" s="30">
        <v>46388.0</v>
      </c>
      <c r="T409" s="30">
        <v>46752.0</v>
      </c>
      <c r="U409" s="29" t="s">
        <v>7053</v>
      </c>
      <c r="V409" s="29" t="s">
        <v>7053</v>
      </c>
      <c r="W409" s="32" t="s">
        <v>7043</v>
      </c>
      <c r="X409" s="30">
        <v>46753.0</v>
      </c>
      <c r="Y409" s="30">
        <v>47118.0</v>
      </c>
      <c r="Z409" s="29" t="s">
        <v>7053</v>
      </c>
      <c r="AA409" s="29" t="s">
        <v>7053</v>
      </c>
      <c r="AB409" s="32" t="s">
        <v>7043</v>
      </c>
      <c r="AC409" s="30">
        <v>47119.0</v>
      </c>
      <c r="AD409" s="30">
        <v>47483.0</v>
      </c>
      <c r="AE409" s="29" t="s">
        <v>7053</v>
      </c>
      <c r="AF409" s="29" t="s">
        <v>7053</v>
      </c>
      <c r="AG409" s="32" t="s">
        <v>7043</v>
      </c>
      <c r="AH409" s="30">
        <v>47484.0</v>
      </c>
      <c r="AI409" s="30">
        <v>47848.0</v>
      </c>
      <c r="AJ409" s="29" t="s">
        <v>7053</v>
      </c>
      <c r="AK409" s="29" t="s">
        <v>7053</v>
      </c>
      <c r="AL409" s="32" t="s">
        <v>7043</v>
      </c>
    </row>
    <row r="410" ht="14.25" customHeight="1">
      <c r="A410" s="28" t="s">
        <v>5341</v>
      </c>
      <c r="B410" s="29" t="s">
        <v>5342</v>
      </c>
      <c r="C410" s="29" t="s">
        <v>7041</v>
      </c>
      <c r="D410" s="30">
        <v>45292.0</v>
      </c>
      <c r="E410" s="30">
        <v>45657.0</v>
      </c>
      <c r="F410" s="29" t="s">
        <v>7055</v>
      </c>
      <c r="G410" s="29" t="s">
        <v>7145</v>
      </c>
      <c r="H410" s="37" t="s">
        <v>7046</v>
      </c>
      <c r="I410" s="30">
        <v>45658.0</v>
      </c>
      <c r="J410" s="30">
        <v>46022.0</v>
      </c>
      <c r="K410" s="29" t="s">
        <v>7059</v>
      </c>
      <c r="L410" s="29" t="s">
        <v>7057</v>
      </c>
      <c r="M410" s="38" t="s">
        <v>7047</v>
      </c>
      <c r="N410" s="30">
        <v>46023.0</v>
      </c>
      <c r="O410" s="30">
        <v>46387.0</v>
      </c>
      <c r="P410" s="29" t="s">
        <v>7053</v>
      </c>
      <c r="Q410" s="29" t="s">
        <v>7053</v>
      </c>
      <c r="R410" s="32" t="s">
        <v>7043</v>
      </c>
      <c r="S410" s="30">
        <v>46388.0</v>
      </c>
      <c r="T410" s="30">
        <v>46752.0</v>
      </c>
      <c r="U410" s="29" t="s">
        <v>7053</v>
      </c>
      <c r="V410" s="29" t="s">
        <v>7053</v>
      </c>
      <c r="W410" s="32" t="s">
        <v>7043</v>
      </c>
      <c r="X410" s="30">
        <v>46753.0</v>
      </c>
      <c r="Y410" s="30">
        <v>47118.0</v>
      </c>
      <c r="Z410" s="29" t="s">
        <v>7053</v>
      </c>
      <c r="AA410" s="29" t="s">
        <v>7053</v>
      </c>
      <c r="AB410" s="32" t="s">
        <v>7043</v>
      </c>
      <c r="AC410" s="30">
        <v>47119.0</v>
      </c>
      <c r="AD410" s="30">
        <v>47483.0</v>
      </c>
      <c r="AE410" s="29" t="s">
        <v>7053</v>
      </c>
      <c r="AF410" s="29" t="s">
        <v>7053</v>
      </c>
      <c r="AG410" s="32" t="s">
        <v>7043</v>
      </c>
      <c r="AH410" s="30">
        <v>47484.0</v>
      </c>
      <c r="AI410" s="30">
        <v>47848.0</v>
      </c>
      <c r="AJ410" s="29" t="s">
        <v>7053</v>
      </c>
      <c r="AK410" s="29" t="s">
        <v>7053</v>
      </c>
      <c r="AL410" s="32" t="s">
        <v>7043</v>
      </c>
    </row>
    <row r="411" ht="14.25" customHeight="1">
      <c r="A411" s="28" t="s">
        <v>1279</v>
      </c>
      <c r="B411" s="29" t="s">
        <v>1280</v>
      </c>
      <c r="C411" s="29" t="s">
        <v>7041</v>
      </c>
      <c r="D411" s="30">
        <v>45292.0</v>
      </c>
      <c r="E411" s="30">
        <v>45657.0</v>
      </c>
      <c r="F411" s="29" t="s">
        <v>7056</v>
      </c>
      <c r="G411" s="29" t="s">
        <v>7051</v>
      </c>
      <c r="H411" s="32" t="s">
        <v>7043</v>
      </c>
      <c r="I411" s="30">
        <v>45658.0</v>
      </c>
      <c r="J411" s="30">
        <v>46022.0</v>
      </c>
      <c r="K411" s="29" t="s">
        <v>7064</v>
      </c>
      <c r="L411" s="29" t="s">
        <v>7053</v>
      </c>
      <c r="M411" s="38" t="s">
        <v>7047</v>
      </c>
      <c r="N411" s="30">
        <v>46023.0</v>
      </c>
      <c r="O411" s="30">
        <v>46387.0</v>
      </c>
      <c r="P411" s="29" t="s">
        <v>7053</v>
      </c>
      <c r="Q411" s="29" t="s">
        <v>7053</v>
      </c>
      <c r="R411" s="32" t="s">
        <v>7043</v>
      </c>
      <c r="S411" s="30">
        <v>46388.0</v>
      </c>
      <c r="T411" s="30">
        <v>46752.0</v>
      </c>
      <c r="U411" s="29" t="s">
        <v>7053</v>
      </c>
      <c r="V411" s="29" t="s">
        <v>7053</v>
      </c>
      <c r="W411" s="32" t="s">
        <v>7043</v>
      </c>
      <c r="X411" s="30">
        <v>46753.0</v>
      </c>
      <c r="Y411" s="30">
        <v>47118.0</v>
      </c>
      <c r="Z411" s="29" t="s">
        <v>7053</v>
      </c>
      <c r="AA411" s="29" t="s">
        <v>7053</v>
      </c>
      <c r="AB411" s="32" t="s">
        <v>7043</v>
      </c>
      <c r="AC411" s="30">
        <v>47119.0</v>
      </c>
      <c r="AD411" s="30">
        <v>47483.0</v>
      </c>
      <c r="AE411" s="29" t="s">
        <v>7053</v>
      </c>
      <c r="AF411" s="29" t="s">
        <v>7053</v>
      </c>
      <c r="AG411" s="32" t="s">
        <v>7043</v>
      </c>
      <c r="AH411" s="30">
        <v>47484.0</v>
      </c>
      <c r="AI411" s="30">
        <v>47848.0</v>
      </c>
      <c r="AJ411" s="29" t="s">
        <v>7053</v>
      </c>
      <c r="AK411" s="29" t="s">
        <v>7053</v>
      </c>
      <c r="AL411" s="32" t="s">
        <v>7043</v>
      </c>
    </row>
    <row r="412" ht="14.25" customHeight="1">
      <c r="A412" s="28" t="s">
        <v>5417</v>
      </c>
      <c r="B412" s="29" t="s">
        <v>5418</v>
      </c>
      <c r="C412" s="29" t="s">
        <v>7041</v>
      </c>
      <c r="D412" s="30">
        <v>45292.0</v>
      </c>
      <c r="E412" s="30">
        <v>45657.0</v>
      </c>
      <c r="F412" s="29" t="s">
        <v>7068</v>
      </c>
      <c r="G412" s="29" t="s">
        <v>7145</v>
      </c>
      <c r="H412" s="32" t="s">
        <v>7043</v>
      </c>
      <c r="I412" s="30">
        <v>45658.0</v>
      </c>
      <c r="J412" s="30">
        <v>46022.0</v>
      </c>
      <c r="K412" s="29" t="s">
        <v>7072</v>
      </c>
      <c r="L412" s="29" t="s">
        <v>7053</v>
      </c>
      <c r="M412" s="38" t="s">
        <v>7047</v>
      </c>
      <c r="N412" s="30">
        <v>46023.0</v>
      </c>
      <c r="O412" s="30">
        <v>46387.0</v>
      </c>
      <c r="P412" s="29" t="s">
        <v>7053</v>
      </c>
      <c r="Q412" s="29" t="s">
        <v>7053</v>
      </c>
      <c r="R412" s="32" t="s">
        <v>7043</v>
      </c>
      <c r="S412" s="30">
        <v>46388.0</v>
      </c>
      <c r="T412" s="30">
        <v>46752.0</v>
      </c>
      <c r="U412" s="29" t="s">
        <v>7053</v>
      </c>
      <c r="V412" s="29" t="s">
        <v>7053</v>
      </c>
      <c r="W412" s="32" t="s">
        <v>7043</v>
      </c>
      <c r="X412" s="30">
        <v>46753.0</v>
      </c>
      <c r="Y412" s="30">
        <v>47118.0</v>
      </c>
      <c r="Z412" s="29" t="s">
        <v>7053</v>
      </c>
      <c r="AA412" s="29" t="s">
        <v>7053</v>
      </c>
      <c r="AB412" s="32" t="s">
        <v>7043</v>
      </c>
      <c r="AC412" s="30">
        <v>47119.0</v>
      </c>
      <c r="AD412" s="30">
        <v>47483.0</v>
      </c>
      <c r="AE412" s="29" t="s">
        <v>7053</v>
      </c>
      <c r="AF412" s="29" t="s">
        <v>7053</v>
      </c>
      <c r="AG412" s="32" t="s">
        <v>7043</v>
      </c>
      <c r="AH412" s="30">
        <v>47484.0</v>
      </c>
      <c r="AI412" s="30">
        <v>47848.0</v>
      </c>
      <c r="AJ412" s="29" t="s">
        <v>7053</v>
      </c>
      <c r="AK412" s="29" t="s">
        <v>7053</v>
      </c>
      <c r="AL412" s="32" t="s">
        <v>7043</v>
      </c>
    </row>
    <row r="413" ht="14.25" customHeight="1">
      <c r="A413" s="28" t="s">
        <v>2636</v>
      </c>
      <c r="B413" s="29" t="s">
        <v>2637</v>
      </c>
      <c r="C413" s="29" t="s">
        <v>7041</v>
      </c>
      <c r="D413" s="30">
        <v>45292.0</v>
      </c>
      <c r="E413" s="30">
        <v>45657.0</v>
      </c>
      <c r="F413" s="29" t="s">
        <v>7089</v>
      </c>
      <c r="G413" s="29" t="s">
        <v>7051</v>
      </c>
      <c r="H413" s="32" t="s">
        <v>7043</v>
      </c>
      <c r="I413" s="30">
        <v>45658.0</v>
      </c>
      <c r="J413" s="30">
        <v>46022.0</v>
      </c>
      <c r="K413" s="29" t="s">
        <v>7053</v>
      </c>
      <c r="L413" s="29" t="s">
        <v>7053</v>
      </c>
      <c r="M413" s="32" t="s">
        <v>7043</v>
      </c>
      <c r="N413" s="30">
        <v>46023.0</v>
      </c>
      <c r="O413" s="30">
        <v>46387.0</v>
      </c>
      <c r="P413" s="29" t="s">
        <v>7053</v>
      </c>
      <c r="Q413" s="29" t="s">
        <v>7053</v>
      </c>
      <c r="R413" s="32" t="s">
        <v>7043</v>
      </c>
      <c r="S413" s="30">
        <v>46388.0</v>
      </c>
      <c r="T413" s="30">
        <v>46752.0</v>
      </c>
      <c r="U413" s="29" t="s">
        <v>7053</v>
      </c>
      <c r="V413" s="29" t="s">
        <v>7053</v>
      </c>
      <c r="W413" s="32" t="s">
        <v>7043</v>
      </c>
      <c r="X413" s="30">
        <v>46753.0</v>
      </c>
      <c r="Y413" s="30">
        <v>47118.0</v>
      </c>
      <c r="Z413" s="29" t="s">
        <v>7053</v>
      </c>
      <c r="AA413" s="29" t="s">
        <v>7053</v>
      </c>
      <c r="AB413" s="32" t="s">
        <v>7043</v>
      </c>
      <c r="AC413" s="30">
        <v>47119.0</v>
      </c>
      <c r="AD413" s="30">
        <v>47483.0</v>
      </c>
      <c r="AE413" s="29" t="s">
        <v>7053</v>
      </c>
      <c r="AF413" s="29" t="s">
        <v>7053</v>
      </c>
      <c r="AG413" s="32" t="s">
        <v>7043</v>
      </c>
      <c r="AH413" s="30">
        <v>47484.0</v>
      </c>
      <c r="AI413" s="30">
        <v>47848.0</v>
      </c>
      <c r="AJ413" s="29" t="s">
        <v>7053</v>
      </c>
      <c r="AK413" s="29" t="s">
        <v>7053</v>
      </c>
      <c r="AL413" s="32" t="s">
        <v>7043</v>
      </c>
    </row>
    <row r="414" ht="14.25" customHeight="1">
      <c r="A414" s="28" t="s">
        <v>2423</v>
      </c>
      <c r="B414" s="29" t="s">
        <v>2424</v>
      </c>
      <c r="C414" s="29" t="s">
        <v>7041</v>
      </c>
      <c r="D414" s="30">
        <v>45292.0</v>
      </c>
      <c r="E414" s="30">
        <v>45657.0</v>
      </c>
      <c r="F414" s="29" t="s">
        <v>7063</v>
      </c>
      <c r="G414" s="29" t="s">
        <v>7051</v>
      </c>
      <c r="H414" s="37" t="s">
        <v>7046</v>
      </c>
      <c r="I414" s="30">
        <v>45658.0</v>
      </c>
      <c r="J414" s="30">
        <v>46022.0</v>
      </c>
      <c r="K414" s="29" t="s">
        <v>7118</v>
      </c>
      <c r="L414" s="29" t="s">
        <v>7053</v>
      </c>
      <c r="M414" s="38" t="s">
        <v>7047</v>
      </c>
      <c r="N414" s="30">
        <v>46023.0</v>
      </c>
      <c r="O414" s="30">
        <v>46387.0</v>
      </c>
      <c r="P414" s="29" t="s">
        <v>7053</v>
      </c>
      <c r="Q414" s="29" t="s">
        <v>7053</v>
      </c>
      <c r="R414" s="32" t="s">
        <v>7043</v>
      </c>
      <c r="S414" s="30">
        <v>46388.0</v>
      </c>
      <c r="T414" s="30">
        <v>46752.0</v>
      </c>
      <c r="U414" s="29" t="s">
        <v>7053</v>
      </c>
      <c r="V414" s="29" t="s">
        <v>7053</v>
      </c>
      <c r="W414" s="32" t="s">
        <v>7043</v>
      </c>
      <c r="X414" s="30">
        <v>46753.0</v>
      </c>
      <c r="Y414" s="30">
        <v>47118.0</v>
      </c>
      <c r="Z414" s="29" t="s">
        <v>7053</v>
      </c>
      <c r="AA414" s="29" t="s">
        <v>7053</v>
      </c>
      <c r="AB414" s="32" t="s">
        <v>7043</v>
      </c>
      <c r="AC414" s="30">
        <v>47119.0</v>
      </c>
      <c r="AD414" s="30">
        <v>47483.0</v>
      </c>
      <c r="AE414" s="29" t="s">
        <v>7053</v>
      </c>
      <c r="AF414" s="29" t="s">
        <v>7053</v>
      </c>
      <c r="AG414" s="32" t="s">
        <v>7043</v>
      </c>
      <c r="AH414" s="30">
        <v>47484.0</v>
      </c>
      <c r="AI414" s="30">
        <v>47848.0</v>
      </c>
      <c r="AJ414" s="29" t="s">
        <v>7053</v>
      </c>
      <c r="AK414" s="29" t="s">
        <v>7053</v>
      </c>
      <c r="AL414" s="32" t="s">
        <v>7043</v>
      </c>
    </row>
    <row r="415" ht="14.25" customHeight="1">
      <c r="A415" s="28" t="s">
        <v>1320</v>
      </c>
      <c r="B415" s="29" t="s">
        <v>1321</v>
      </c>
      <c r="C415" s="29" t="s">
        <v>7041</v>
      </c>
      <c r="D415" s="30">
        <v>45292.0</v>
      </c>
      <c r="E415" s="30">
        <v>45657.0</v>
      </c>
      <c r="F415" s="29" t="s">
        <v>7072</v>
      </c>
      <c r="G415" s="29" t="s">
        <v>7051</v>
      </c>
      <c r="H415" s="32" t="s">
        <v>7043</v>
      </c>
      <c r="I415" s="30">
        <v>45658.0</v>
      </c>
      <c r="J415" s="30">
        <v>46022.0</v>
      </c>
      <c r="K415" s="29" t="s">
        <v>7100</v>
      </c>
      <c r="L415" s="29" t="s">
        <v>7053</v>
      </c>
      <c r="M415" s="38" t="s">
        <v>7047</v>
      </c>
      <c r="N415" s="30">
        <v>46023.0</v>
      </c>
      <c r="O415" s="30">
        <v>46387.0</v>
      </c>
      <c r="P415" s="29" t="s">
        <v>7053</v>
      </c>
      <c r="Q415" s="29" t="s">
        <v>7053</v>
      </c>
      <c r="R415" s="32" t="s">
        <v>7043</v>
      </c>
      <c r="S415" s="30">
        <v>46388.0</v>
      </c>
      <c r="T415" s="30">
        <v>46752.0</v>
      </c>
      <c r="U415" s="29" t="s">
        <v>7053</v>
      </c>
      <c r="V415" s="29" t="s">
        <v>7053</v>
      </c>
      <c r="W415" s="32" t="s">
        <v>7043</v>
      </c>
      <c r="X415" s="30">
        <v>46753.0</v>
      </c>
      <c r="Y415" s="30">
        <v>47118.0</v>
      </c>
      <c r="Z415" s="29" t="s">
        <v>7053</v>
      </c>
      <c r="AA415" s="29" t="s">
        <v>7053</v>
      </c>
      <c r="AB415" s="32" t="s">
        <v>7043</v>
      </c>
      <c r="AC415" s="30">
        <v>47119.0</v>
      </c>
      <c r="AD415" s="30">
        <v>47483.0</v>
      </c>
      <c r="AE415" s="29" t="s">
        <v>7053</v>
      </c>
      <c r="AF415" s="29" t="s">
        <v>7053</v>
      </c>
      <c r="AG415" s="32" t="s">
        <v>7043</v>
      </c>
      <c r="AH415" s="30">
        <v>47484.0</v>
      </c>
      <c r="AI415" s="30">
        <v>47848.0</v>
      </c>
      <c r="AJ415" s="29" t="s">
        <v>7053</v>
      </c>
      <c r="AK415" s="29" t="s">
        <v>7053</v>
      </c>
      <c r="AL415" s="32" t="s">
        <v>7043</v>
      </c>
    </row>
    <row r="416" ht="14.25" customHeight="1">
      <c r="A416" s="28" t="s">
        <v>5116</v>
      </c>
      <c r="B416" s="29" t="s">
        <v>5117</v>
      </c>
      <c r="C416" s="29" t="s">
        <v>7041</v>
      </c>
      <c r="D416" s="30">
        <v>45292.0</v>
      </c>
      <c r="E416" s="30">
        <v>45657.0</v>
      </c>
      <c r="F416" s="29" t="s">
        <v>7051</v>
      </c>
      <c r="G416" s="29" t="s">
        <v>7125</v>
      </c>
      <c r="H416" s="37" t="s">
        <v>7046</v>
      </c>
      <c r="I416" s="30">
        <v>45658.0</v>
      </c>
      <c r="J416" s="30">
        <v>46022.0</v>
      </c>
      <c r="K416" s="29" t="s">
        <v>7113</v>
      </c>
      <c r="L416" s="29" t="s">
        <v>7053</v>
      </c>
      <c r="M416" s="38" t="s">
        <v>7047</v>
      </c>
      <c r="N416" s="30">
        <v>46023.0</v>
      </c>
      <c r="O416" s="30">
        <v>46387.0</v>
      </c>
      <c r="P416" s="29" t="s">
        <v>7053</v>
      </c>
      <c r="Q416" s="29" t="s">
        <v>7053</v>
      </c>
      <c r="R416" s="32" t="s">
        <v>7043</v>
      </c>
      <c r="S416" s="30">
        <v>46388.0</v>
      </c>
      <c r="T416" s="30">
        <v>46752.0</v>
      </c>
      <c r="U416" s="29" t="s">
        <v>7053</v>
      </c>
      <c r="V416" s="29" t="s">
        <v>7053</v>
      </c>
      <c r="W416" s="32" t="s">
        <v>7043</v>
      </c>
      <c r="X416" s="30">
        <v>46753.0</v>
      </c>
      <c r="Y416" s="30">
        <v>47118.0</v>
      </c>
      <c r="Z416" s="29" t="s">
        <v>7053</v>
      </c>
      <c r="AA416" s="29" t="s">
        <v>7053</v>
      </c>
      <c r="AB416" s="32" t="s">
        <v>7043</v>
      </c>
      <c r="AC416" s="30">
        <v>47119.0</v>
      </c>
      <c r="AD416" s="30">
        <v>47483.0</v>
      </c>
      <c r="AE416" s="29" t="s">
        <v>7053</v>
      </c>
      <c r="AF416" s="29" t="s">
        <v>7053</v>
      </c>
      <c r="AG416" s="32" t="s">
        <v>7043</v>
      </c>
      <c r="AH416" s="30">
        <v>47484.0</v>
      </c>
      <c r="AI416" s="30">
        <v>47848.0</v>
      </c>
      <c r="AJ416" s="29" t="s">
        <v>7053</v>
      </c>
      <c r="AK416" s="29" t="s">
        <v>7053</v>
      </c>
      <c r="AL416" s="32" t="s">
        <v>7043</v>
      </c>
    </row>
    <row r="417" ht="14.25" customHeight="1">
      <c r="A417" s="28" t="s">
        <v>6199</v>
      </c>
      <c r="B417" s="29" t="s">
        <v>6200</v>
      </c>
      <c r="C417" s="29" t="s">
        <v>7041</v>
      </c>
      <c r="D417" s="30">
        <v>45292.0</v>
      </c>
      <c r="E417" s="30">
        <v>45657.0</v>
      </c>
      <c r="F417" s="29" t="s">
        <v>7072</v>
      </c>
      <c r="G417" s="29" t="s">
        <v>7112</v>
      </c>
      <c r="H417" s="32" t="s">
        <v>7043</v>
      </c>
      <c r="I417" s="30">
        <v>45658.0</v>
      </c>
      <c r="J417" s="30">
        <v>46022.0</v>
      </c>
      <c r="K417" s="29" t="s">
        <v>7052</v>
      </c>
      <c r="L417" s="29" t="s">
        <v>7053</v>
      </c>
      <c r="M417" s="38" t="s">
        <v>7047</v>
      </c>
      <c r="N417" s="30">
        <v>46023.0</v>
      </c>
      <c r="O417" s="30">
        <v>46387.0</v>
      </c>
      <c r="P417" s="29" t="s">
        <v>7053</v>
      </c>
      <c r="Q417" s="29" t="s">
        <v>7053</v>
      </c>
      <c r="R417" s="32" t="s">
        <v>7043</v>
      </c>
      <c r="S417" s="30">
        <v>46388.0</v>
      </c>
      <c r="T417" s="30">
        <v>46752.0</v>
      </c>
      <c r="U417" s="29" t="s">
        <v>7053</v>
      </c>
      <c r="V417" s="29" t="s">
        <v>7053</v>
      </c>
      <c r="W417" s="32" t="s">
        <v>7043</v>
      </c>
      <c r="X417" s="30">
        <v>46753.0</v>
      </c>
      <c r="Y417" s="30">
        <v>47118.0</v>
      </c>
      <c r="Z417" s="29" t="s">
        <v>7053</v>
      </c>
      <c r="AA417" s="29" t="s">
        <v>7053</v>
      </c>
      <c r="AB417" s="32" t="s">
        <v>7043</v>
      </c>
      <c r="AC417" s="30">
        <v>47119.0</v>
      </c>
      <c r="AD417" s="30">
        <v>47483.0</v>
      </c>
      <c r="AE417" s="29" t="s">
        <v>7053</v>
      </c>
      <c r="AF417" s="29" t="s">
        <v>7053</v>
      </c>
      <c r="AG417" s="32" t="s">
        <v>7043</v>
      </c>
      <c r="AH417" s="30">
        <v>47484.0</v>
      </c>
      <c r="AI417" s="30">
        <v>47848.0</v>
      </c>
      <c r="AJ417" s="29" t="s">
        <v>7053</v>
      </c>
      <c r="AK417" s="29" t="s">
        <v>7053</v>
      </c>
      <c r="AL417" s="32" t="s">
        <v>7043</v>
      </c>
    </row>
    <row r="418" ht="14.25" customHeight="1">
      <c r="A418" s="28" t="s">
        <v>2776</v>
      </c>
      <c r="B418" s="29" t="s">
        <v>2777</v>
      </c>
      <c r="C418" s="29" t="s">
        <v>7041</v>
      </c>
      <c r="D418" s="30">
        <v>45292.0</v>
      </c>
      <c r="E418" s="30">
        <v>45657.0</v>
      </c>
      <c r="F418" s="29" t="s">
        <v>7101</v>
      </c>
      <c r="G418" s="29" t="s">
        <v>7051</v>
      </c>
      <c r="H418" s="32" t="s">
        <v>7043</v>
      </c>
      <c r="I418" s="30">
        <v>45658.0</v>
      </c>
      <c r="J418" s="30">
        <v>46022.0</v>
      </c>
      <c r="K418" s="29" t="s">
        <v>7089</v>
      </c>
      <c r="L418" s="29" t="s">
        <v>7053</v>
      </c>
      <c r="M418" s="38" t="s">
        <v>7047</v>
      </c>
      <c r="N418" s="30">
        <v>46023.0</v>
      </c>
      <c r="O418" s="30">
        <v>46387.0</v>
      </c>
      <c r="P418" s="29" t="s">
        <v>7053</v>
      </c>
      <c r="Q418" s="29" t="s">
        <v>7053</v>
      </c>
      <c r="R418" s="32" t="s">
        <v>7043</v>
      </c>
      <c r="S418" s="30">
        <v>46388.0</v>
      </c>
      <c r="T418" s="30">
        <v>46752.0</v>
      </c>
      <c r="U418" s="29" t="s">
        <v>7053</v>
      </c>
      <c r="V418" s="29" t="s">
        <v>7053</v>
      </c>
      <c r="W418" s="32" t="s">
        <v>7043</v>
      </c>
      <c r="X418" s="30">
        <v>46753.0</v>
      </c>
      <c r="Y418" s="30">
        <v>47118.0</v>
      </c>
      <c r="Z418" s="29" t="s">
        <v>7053</v>
      </c>
      <c r="AA418" s="29" t="s">
        <v>7053</v>
      </c>
      <c r="AB418" s="32" t="s">
        <v>7043</v>
      </c>
      <c r="AC418" s="30">
        <v>47119.0</v>
      </c>
      <c r="AD418" s="30">
        <v>47483.0</v>
      </c>
      <c r="AE418" s="29" t="s">
        <v>7053</v>
      </c>
      <c r="AF418" s="29" t="s">
        <v>7053</v>
      </c>
      <c r="AG418" s="32" t="s">
        <v>7043</v>
      </c>
      <c r="AH418" s="30">
        <v>47484.0</v>
      </c>
      <c r="AI418" s="30">
        <v>47848.0</v>
      </c>
      <c r="AJ418" s="29" t="s">
        <v>7053</v>
      </c>
      <c r="AK418" s="29" t="s">
        <v>7053</v>
      </c>
      <c r="AL418" s="32" t="s">
        <v>7043</v>
      </c>
    </row>
    <row r="419" ht="14.25" customHeight="1">
      <c r="A419" s="28" t="s">
        <v>1951</v>
      </c>
      <c r="B419" s="29" t="s">
        <v>1952</v>
      </c>
      <c r="C419" s="29" t="s">
        <v>7041</v>
      </c>
      <c r="D419" s="30">
        <v>45292.0</v>
      </c>
      <c r="E419" s="30">
        <v>45657.0</v>
      </c>
      <c r="F419" s="29" t="s">
        <v>7053</v>
      </c>
      <c r="G419" s="29" t="s">
        <v>7055</v>
      </c>
      <c r="H419" s="32" t="s">
        <v>7043</v>
      </c>
      <c r="I419" s="30">
        <v>45658.0</v>
      </c>
      <c r="J419" s="30">
        <v>46022.0</v>
      </c>
      <c r="K419" s="29" t="s">
        <v>7053</v>
      </c>
      <c r="L419" s="29" t="s">
        <v>7053</v>
      </c>
      <c r="M419" s="32" t="s">
        <v>7043</v>
      </c>
      <c r="N419" s="30">
        <v>46023.0</v>
      </c>
      <c r="O419" s="30">
        <v>46387.0</v>
      </c>
      <c r="P419" s="29" t="s">
        <v>7053</v>
      </c>
      <c r="Q419" s="29" t="s">
        <v>7053</v>
      </c>
      <c r="R419" s="32" t="s">
        <v>7043</v>
      </c>
      <c r="S419" s="30">
        <v>46388.0</v>
      </c>
      <c r="T419" s="30">
        <v>46752.0</v>
      </c>
      <c r="U419" s="29" t="s">
        <v>7053</v>
      </c>
      <c r="V419" s="29" t="s">
        <v>7053</v>
      </c>
      <c r="W419" s="32" t="s">
        <v>7043</v>
      </c>
      <c r="X419" s="30">
        <v>46753.0</v>
      </c>
      <c r="Y419" s="30">
        <v>47118.0</v>
      </c>
      <c r="Z419" s="29" t="s">
        <v>7053</v>
      </c>
      <c r="AA419" s="29" t="s">
        <v>7053</v>
      </c>
      <c r="AB419" s="32" t="s">
        <v>7043</v>
      </c>
      <c r="AC419" s="30">
        <v>47119.0</v>
      </c>
      <c r="AD419" s="30">
        <v>47483.0</v>
      </c>
      <c r="AE419" s="29" t="s">
        <v>7053</v>
      </c>
      <c r="AF419" s="29" t="s">
        <v>7053</v>
      </c>
      <c r="AG419" s="32" t="s">
        <v>7043</v>
      </c>
      <c r="AH419" s="30">
        <v>47484.0</v>
      </c>
      <c r="AI419" s="30">
        <v>47848.0</v>
      </c>
      <c r="AJ419" s="29" t="s">
        <v>7053</v>
      </c>
      <c r="AK419" s="29" t="s">
        <v>7053</v>
      </c>
      <c r="AL419" s="32" t="s">
        <v>7043</v>
      </c>
    </row>
    <row r="420" ht="14.25" customHeight="1">
      <c r="A420" s="28" t="s">
        <v>1979</v>
      </c>
      <c r="B420" s="29" t="s">
        <v>1980</v>
      </c>
      <c r="C420" s="29" t="s">
        <v>7041</v>
      </c>
      <c r="D420" s="30">
        <v>45292.0</v>
      </c>
      <c r="E420" s="30">
        <v>45657.0</v>
      </c>
      <c r="F420" s="29" t="s">
        <v>7104</v>
      </c>
      <c r="G420" s="29" t="s">
        <v>7145</v>
      </c>
      <c r="H420" s="32" t="s">
        <v>7043</v>
      </c>
      <c r="I420" s="30">
        <v>45658.0</v>
      </c>
      <c r="J420" s="30">
        <v>46022.0</v>
      </c>
      <c r="K420" s="29" t="s">
        <v>7068</v>
      </c>
      <c r="L420" s="29" t="s">
        <v>7053</v>
      </c>
      <c r="M420" s="38" t="s">
        <v>7047</v>
      </c>
      <c r="N420" s="30">
        <v>46023.0</v>
      </c>
      <c r="O420" s="30">
        <v>46387.0</v>
      </c>
      <c r="P420" s="29" t="s">
        <v>7053</v>
      </c>
      <c r="Q420" s="29" t="s">
        <v>7053</v>
      </c>
      <c r="R420" s="32" t="s">
        <v>7043</v>
      </c>
      <c r="S420" s="30">
        <v>46388.0</v>
      </c>
      <c r="T420" s="30">
        <v>46752.0</v>
      </c>
      <c r="U420" s="29" t="s">
        <v>7053</v>
      </c>
      <c r="V420" s="29" t="s">
        <v>7053</v>
      </c>
      <c r="W420" s="32" t="s">
        <v>7043</v>
      </c>
      <c r="X420" s="30">
        <v>46753.0</v>
      </c>
      <c r="Y420" s="30">
        <v>47118.0</v>
      </c>
      <c r="Z420" s="29" t="s">
        <v>7053</v>
      </c>
      <c r="AA420" s="29" t="s">
        <v>7053</v>
      </c>
      <c r="AB420" s="32" t="s">
        <v>7043</v>
      </c>
      <c r="AC420" s="30">
        <v>47119.0</v>
      </c>
      <c r="AD420" s="30">
        <v>47483.0</v>
      </c>
      <c r="AE420" s="29" t="s">
        <v>7053</v>
      </c>
      <c r="AF420" s="29" t="s">
        <v>7053</v>
      </c>
      <c r="AG420" s="32" t="s">
        <v>7043</v>
      </c>
      <c r="AH420" s="30">
        <v>47484.0</v>
      </c>
      <c r="AI420" s="30">
        <v>47848.0</v>
      </c>
      <c r="AJ420" s="29" t="s">
        <v>7053</v>
      </c>
      <c r="AK420" s="29" t="s">
        <v>7053</v>
      </c>
      <c r="AL420" s="32" t="s">
        <v>7043</v>
      </c>
    </row>
    <row r="421" ht="14.25" customHeight="1">
      <c r="A421" s="28" t="s">
        <v>2794</v>
      </c>
      <c r="B421" s="29" t="s">
        <v>2795</v>
      </c>
      <c r="C421" s="29" t="s">
        <v>7041</v>
      </c>
      <c r="D421" s="30">
        <v>45292.0</v>
      </c>
      <c r="E421" s="30">
        <v>45657.0</v>
      </c>
      <c r="F421" s="29" t="s">
        <v>7111</v>
      </c>
      <c r="G421" s="29" t="s">
        <v>7134</v>
      </c>
      <c r="H421" s="32" t="s">
        <v>7043</v>
      </c>
      <c r="I421" s="30">
        <v>45658.0</v>
      </c>
      <c r="J421" s="30">
        <v>46022.0</v>
      </c>
      <c r="K421" s="29" t="s">
        <v>7111</v>
      </c>
      <c r="L421" s="29" t="s">
        <v>7053</v>
      </c>
      <c r="M421" s="38" t="s">
        <v>7047</v>
      </c>
      <c r="N421" s="30">
        <v>46023.0</v>
      </c>
      <c r="O421" s="30">
        <v>46387.0</v>
      </c>
      <c r="P421" s="29" t="s">
        <v>7053</v>
      </c>
      <c r="Q421" s="29" t="s">
        <v>7053</v>
      </c>
      <c r="R421" s="32" t="s">
        <v>7043</v>
      </c>
      <c r="S421" s="30">
        <v>46388.0</v>
      </c>
      <c r="T421" s="30">
        <v>46752.0</v>
      </c>
      <c r="U421" s="29" t="s">
        <v>7053</v>
      </c>
      <c r="V421" s="29" t="s">
        <v>7053</v>
      </c>
      <c r="W421" s="32" t="s">
        <v>7043</v>
      </c>
      <c r="X421" s="30">
        <v>46753.0</v>
      </c>
      <c r="Y421" s="30">
        <v>47118.0</v>
      </c>
      <c r="Z421" s="29" t="s">
        <v>7053</v>
      </c>
      <c r="AA421" s="29" t="s">
        <v>7053</v>
      </c>
      <c r="AB421" s="32" t="s">
        <v>7043</v>
      </c>
      <c r="AC421" s="30">
        <v>47119.0</v>
      </c>
      <c r="AD421" s="30">
        <v>47483.0</v>
      </c>
      <c r="AE421" s="29" t="s">
        <v>7053</v>
      </c>
      <c r="AF421" s="29" t="s">
        <v>7053</v>
      </c>
      <c r="AG421" s="32" t="s">
        <v>7043</v>
      </c>
      <c r="AH421" s="30">
        <v>47484.0</v>
      </c>
      <c r="AI421" s="30">
        <v>47848.0</v>
      </c>
      <c r="AJ421" s="29" t="s">
        <v>7053</v>
      </c>
      <c r="AK421" s="29" t="s">
        <v>7053</v>
      </c>
      <c r="AL421" s="32" t="s">
        <v>7043</v>
      </c>
    </row>
    <row r="422" ht="14.25" customHeight="1">
      <c r="A422" s="28" t="s">
        <v>3112</v>
      </c>
      <c r="B422" s="29" t="s">
        <v>3113</v>
      </c>
      <c r="C422" s="29" t="s">
        <v>7041</v>
      </c>
      <c r="D422" s="30">
        <v>45292.0</v>
      </c>
      <c r="E422" s="30">
        <v>45657.0</v>
      </c>
      <c r="F422" s="29" t="s">
        <v>7057</v>
      </c>
      <c r="G422" s="29" t="s">
        <v>7099</v>
      </c>
      <c r="H422" s="37" t="s">
        <v>7046</v>
      </c>
      <c r="I422" s="30">
        <v>45658.0</v>
      </c>
      <c r="J422" s="30">
        <v>46022.0</v>
      </c>
      <c r="K422" s="29" t="s">
        <v>7111</v>
      </c>
      <c r="L422" s="29" t="s">
        <v>7053</v>
      </c>
      <c r="M422" s="38" t="s">
        <v>7047</v>
      </c>
      <c r="N422" s="30">
        <v>46023.0</v>
      </c>
      <c r="O422" s="30">
        <v>46387.0</v>
      </c>
      <c r="P422" s="29" t="s">
        <v>7053</v>
      </c>
      <c r="Q422" s="29" t="s">
        <v>7053</v>
      </c>
      <c r="R422" s="32" t="s">
        <v>7043</v>
      </c>
      <c r="S422" s="30">
        <v>46388.0</v>
      </c>
      <c r="T422" s="30">
        <v>46752.0</v>
      </c>
      <c r="U422" s="29" t="s">
        <v>7053</v>
      </c>
      <c r="V422" s="29" t="s">
        <v>7053</v>
      </c>
      <c r="W422" s="32" t="s">
        <v>7043</v>
      </c>
      <c r="X422" s="30">
        <v>46753.0</v>
      </c>
      <c r="Y422" s="30">
        <v>47118.0</v>
      </c>
      <c r="Z422" s="29" t="s">
        <v>7053</v>
      </c>
      <c r="AA422" s="29" t="s">
        <v>7053</v>
      </c>
      <c r="AB422" s="32" t="s">
        <v>7043</v>
      </c>
      <c r="AC422" s="30">
        <v>47119.0</v>
      </c>
      <c r="AD422" s="30">
        <v>47483.0</v>
      </c>
      <c r="AE422" s="29" t="s">
        <v>7053</v>
      </c>
      <c r="AF422" s="29" t="s">
        <v>7053</v>
      </c>
      <c r="AG422" s="32" t="s">
        <v>7043</v>
      </c>
      <c r="AH422" s="30">
        <v>47484.0</v>
      </c>
      <c r="AI422" s="30">
        <v>47848.0</v>
      </c>
      <c r="AJ422" s="29" t="s">
        <v>7053</v>
      </c>
      <c r="AK422" s="29" t="s">
        <v>7053</v>
      </c>
      <c r="AL422" s="32" t="s">
        <v>7043</v>
      </c>
    </row>
    <row r="423" ht="14.25" customHeight="1">
      <c r="A423" s="28" t="s">
        <v>5695</v>
      </c>
      <c r="B423" s="29" t="s">
        <v>5696</v>
      </c>
      <c r="C423" s="29" t="s">
        <v>7041</v>
      </c>
      <c r="D423" s="30">
        <v>45292.0</v>
      </c>
      <c r="E423" s="30">
        <v>45657.0</v>
      </c>
      <c r="F423" s="29" t="s">
        <v>7086</v>
      </c>
      <c r="G423" s="29" t="s">
        <v>7164</v>
      </c>
      <c r="H423" s="32" t="s">
        <v>7043</v>
      </c>
      <c r="I423" s="30">
        <v>45658.0</v>
      </c>
      <c r="J423" s="30">
        <v>46022.0</v>
      </c>
      <c r="K423" s="29" t="s">
        <v>7086</v>
      </c>
      <c r="L423" s="29" t="s">
        <v>7053</v>
      </c>
      <c r="M423" s="38" t="s">
        <v>7047</v>
      </c>
      <c r="N423" s="30">
        <v>46023.0</v>
      </c>
      <c r="O423" s="30">
        <v>46387.0</v>
      </c>
      <c r="P423" s="29" t="s">
        <v>7053</v>
      </c>
      <c r="Q423" s="29" t="s">
        <v>7053</v>
      </c>
      <c r="R423" s="32" t="s">
        <v>7043</v>
      </c>
      <c r="S423" s="30">
        <v>46388.0</v>
      </c>
      <c r="T423" s="30">
        <v>46752.0</v>
      </c>
      <c r="U423" s="29" t="s">
        <v>7053</v>
      </c>
      <c r="V423" s="29" t="s">
        <v>7053</v>
      </c>
      <c r="W423" s="32" t="s">
        <v>7043</v>
      </c>
      <c r="X423" s="30">
        <v>46753.0</v>
      </c>
      <c r="Y423" s="30">
        <v>47118.0</v>
      </c>
      <c r="Z423" s="29" t="s">
        <v>7053</v>
      </c>
      <c r="AA423" s="29" t="s">
        <v>7053</v>
      </c>
      <c r="AB423" s="32" t="s">
        <v>7043</v>
      </c>
      <c r="AC423" s="30">
        <v>47119.0</v>
      </c>
      <c r="AD423" s="30">
        <v>47483.0</v>
      </c>
      <c r="AE423" s="29" t="s">
        <v>7053</v>
      </c>
      <c r="AF423" s="29" t="s">
        <v>7053</v>
      </c>
      <c r="AG423" s="32" t="s">
        <v>7043</v>
      </c>
      <c r="AH423" s="30">
        <v>47484.0</v>
      </c>
      <c r="AI423" s="30">
        <v>47848.0</v>
      </c>
      <c r="AJ423" s="29" t="s">
        <v>7053</v>
      </c>
      <c r="AK423" s="29" t="s">
        <v>7053</v>
      </c>
      <c r="AL423" s="32" t="s">
        <v>7043</v>
      </c>
    </row>
    <row r="424" ht="14.25" customHeight="1">
      <c r="A424" s="28" t="s">
        <v>6238</v>
      </c>
      <c r="B424" s="29" t="s">
        <v>6239</v>
      </c>
      <c r="C424" s="29" t="s">
        <v>7041</v>
      </c>
      <c r="D424" s="30">
        <v>45292.0</v>
      </c>
      <c r="E424" s="30">
        <v>45657.0</v>
      </c>
      <c r="F424" s="29" t="s">
        <v>7097</v>
      </c>
      <c r="G424" s="29" t="s">
        <v>7128</v>
      </c>
      <c r="H424" s="32" t="s">
        <v>7043</v>
      </c>
      <c r="I424" s="30">
        <v>45658.0</v>
      </c>
      <c r="J424" s="30">
        <v>46022.0</v>
      </c>
      <c r="K424" s="29" t="s">
        <v>7053</v>
      </c>
      <c r="L424" s="29" t="s">
        <v>7053</v>
      </c>
      <c r="M424" s="32" t="s">
        <v>7043</v>
      </c>
      <c r="N424" s="30">
        <v>46023.0</v>
      </c>
      <c r="O424" s="30">
        <v>46387.0</v>
      </c>
      <c r="P424" s="29" t="s">
        <v>7053</v>
      </c>
      <c r="Q424" s="29" t="s">
        <v>7053</v>
      </c>
      <c r="R424" s="32" t="s">
        <v>7043</v>
      </c>
      <c r="S424" s="30">
        <v>46388.0</v>
      </c>
      <c r="T424" s="30">
        <v>46752.0</v>
      </c>
      <c r="U424" s="29" t="s">
        <v>7053</v>
      </c>
      <c r="V424" s="29" t="s">
        <v>7053</v>
      </c>
      <c r="W424" s="32" t="s">
        <v>7043</v>
      </c>
      <c r="X424" s="30">
        <v>46753.0</v>
      </c>
      <c r="Y424" s="30">
        <v>47118.0</v>
      </c>
      <c r="Z424" s="29" t="s">
        <v>7053</v>
      </c>
      <c r="AA424" s="29" t="s">
        <v>7053</v>
      </c>
      <c r="AB424" s="32" t="s">
        <v>7043</v>
      </c>
      <c r="AC424" s="30">
        <v>47119.0</v>
      </c>
      <c r="AD424" s="30">
        <v>47483.0</v>
      </c>
      <c r="AE424" s="29" t="s">
        <v>7053</v>
      </c>
      <c r="AF424" s="29" t="s">
        <v>7053</v>
      </c>
      <c r="AG424" s="32" t="s">
        <v>7043</v>
      </c>
      <c r="AH424" s="30">
        <v>47484.0</v>
      </c>
      <c r="AI424" s="30">
        <v>47848.0</v>
      </c>
      <c r="AJ424" s="29" t="s">
        <v>7053</v>
      </c>
      <c r="AK424" s="29" t="s">
        <v>7053</v>
      </c>
      <c r="AL424" s="32" t="s">
        <v>7043</v>
      </c>
    </row>
    <row r="425" ht="14.25" customHeight="1">
      <c r="A425" s="28" t="s">
        <v>6943</v>
      </c>
      <c r="B425" s="29" t="s">
        <v>6944</v>
      </c>
      <c r="C425" s="29" t="s">
        <v>7041</v>
      </c>
      <c r="D425" s="30">
        <v>45292.0</v>
      </c>
      <c r="E425" s="30">
        <v>45657.0</v>
      </c>
      <c r="F425" s="29" t="s">
        <v>7104</v>
      </c>
      <c r="G425" s="29" t="s">
        <v>7051</v>
      </c>
      <c r="H425" s="32" t="s">
        <v>7043</v>
      </c>
      <c r="I425" s="30">
        <v>45658.0</v>
      </c>
      <c r="J425" s="30">
        <v>46022.0</v>
      </c>
      <c r="K425" s="29" t="s">
        <v>7104</v>
      </c>
      <c r="L425" s="29" t="s">
        <v>7053</v>
      </c>
      <c r="M425" s="38" t="s">
        <v>7047</v>
      </c>
      <c r="N425" s="30">
        <v>46023.0</v>
      </c>
      <c r="O425" s="30">
        <v>46387.0</v>
      </c>
      <c r="P425" s="29" t="s">
        <v>7053</v>
      </c>
      <c r="Q425" s="29" t="s">
        <v>7053</v>
      </c>
      <c r="R425" s="32" t="s">
        <v>7043</v>
      </c>
      <c r="S425" s="30">
        <v>46388.0</v>
      </c>
      <c r="T425" s="30">
        <v>46752.0</v>
      </c>
      <c r="U425" s="29" t="s">
        <v>7053</v>
      </c>
      <c r="V425" s="29" t="s">
        <v>7053</v>
      </c>
      <c r="W425" s="32" t="s">
        <v>7043</v>
      </c>
      <c r="X425" s="30">
        <v>46753.0</v>
      </c>
      <c r="Y425" s="30">
        <v>47118.0</v>
      </c>
      <c r="Z425" s="29" t="s">
        <v>7053</v>
      </c>
      <c r="AA425" s="29" t="s">
        <v>7053</v>
      </c>
      <c r="AB425" s="32" t="s">
        <v>7043</v>
      </c>
      <c r="AC425" s="30">
        <v>47119.0</v>
      </c>
      <c r="AD425" s="30">
        <v>47483.0</v>
      </c>
      <c r="AE425" s="29" t="s">
        <v>7053</v>
      </c>
      <c r="AF425" s="29" t="s">
        <v>7053</v>
      </c>
      <c r="AG425" s="32" t="s">
        <v>7043</v>
      </c>
      <c r="AH425" s="30">
        <v>47484.0</v>
      </c>
      <c r="AI425" s="30">
        <v>47848.0</v>
      </c>
      <c r="AJ425" s="29" t="s">
        <v>7053</v>
      </c>
      <c r="AK425" s="29" t="s">
        <v>7053</v>
      </c>
      <c r="AL425" s="32" t="s">
        <v>7043</v>
      </c>
    </row>
    <row r="426" ht="14.25" customHeight="1">
      <c r="A426" s="28" t="s">
        <v>6035</v>
      </c>
      <c r="B426" s="29" t="s">
        <v>6036</v>
      </c>
      <c r="C426" s="29" t="s">
        <v>7041</v>
      </c>
      <c r="D426" s="30">
        <v>45292.0</v>
      </c>
      <c r="E426" s="30">
        <v>45657.0</v>
      </c>
      <c r="F426" s="29" t="s">
        <v>7143</v>
      </c>
      <c r="G426" s="29" t="s">
        <v>7112</v>
      </c>
      <c r="H426" s="38" t="s">
        <v>7047</v>
      </c>
      <c r="I426" s="30">
        <v>45658.0</v>
      </c>
      <c r="J426" s="30">
        <v>46022.0</v>
      </c>
      <c r="K426" s="29" t="s">
        <v>7128</v>
      </c>
      <c r="L426" s="29" t="s">
        <v>7053</v>
      </c>
      <c r="M426" s="38" t="s">
        <v>7047</v>
      </c>
      <c r="N426" s="30">
        <v>46023.0</v>
      </c>
      <c r="O426" s="30">
        <v>46387.0</v>
      </c>
      <c r="P426" s="29" t="s">
        <v>7053</v>
      </c>
      <c r="Q426" s="29" t="s">
        <v>7053</v>
      </c>
      <c r="R426" s="32" t="s">
        <v>7043</v>
      </c>
      <c r="S426" s="30">
        <v>46388.0</v>
      </c>
      <c r="T426" s="30">
        <v>46752.0</v>
      </c>
      <c r="U426" s="29" t="s">
        <v>7053</v>
      </c>
      <c r="V426" s="29" t="s">
        <v>7053</v>
      </c>
      <c r="W426" s="32" t="s">
        <v>7043</v>
      </c>
      <c r="X426" s="30">
        <v>46753.0</v>
      </c>
      <c r="Y426" s="30">
        <v>47118.0</v>
      </c>
      <c r="Z426" s="29" t="s">
        <v>7053</v>
      </c>
      <c r="AA426" s="29" t="s">
        <v>7053</v>
      </c>
      <c r="AB426" s="32" t="s">
        <v>7043</v>
      </c>
      <c r="AC426" s="30">
        <v>47119.0</v>
      </c>
      <c r="AD426" s="30">
        <v>47483.0</v>
      </c>
      <c r="AE426" s="29" t="s">
        <v>7053</v>
      </c>
      <c r="AF426" s="29" t="s">
        <v>7053</v>
      </c>
      <c r="AG426" s="32" t="s">
        <v>7043</v>
      </c>
      <c r="AH426" s="30">
        <v>47484.0</v>
      </c>
      <c r="AI426" s="30">
        <v>47848.0</v>
      </c>
      <c r="AJ426" s="29" t="s">
        <v>7053</v>
      </c>
      <c r="AK426" s="29" t="s">
        <v>7053</v>
      </c>
      <c r="AL426" s="32" t="s">
        <v>7043</v>
      </c>
    </row>
    <row r="427" ht="14.25" customHeight="1">
      <c r="A427" s="28" t="s">
        <v>1109</v>
      </c>
      <c r="B427" s="29" t="s">
        <v>1110</v>
      </c>
      <c r="C427" s="29" t="s">
        <v>7041</v>
      </c>
      <c r="D427" s="30">
        <v>45292.0</v>
      </c>
      <c r="E427" s="30">
        <v>45657.0</v>
      </c>
      <c r="F427" s="29" t="s">
        <v>7084</v>
      </c>
      <c r="G427" s="29" t="s">
        <v>7051</v>
      </c>
      <c r="H427" s="37" t="s">
        <v>7046</v>
      </c>
      <c r="I427" s="30">
        <v>45658.0</v>
      </c>
      <c r="J427" s="30">
        <v>46022.0</v>
      </c>
      <c r="K427" s="29" t="s">
        <v>7066</v>
      </c>
      <c r="L427" s="29" t="s">
        <v>7111</v>
      </c>
      <c r="M427" s="38" t="s">
        <v>7047</v>
      </c>
      <c r="N427" s="30">
        <v>46023.0</v>
      </c>
      <c r="O427" s="30">
        <v>46387.0</v>
      </c>
      <c r="P427" s="29" t="s">
        <v>7053</v>
      </c>
      <c r="Q427" s="29" t="s">
        <v>7053</v>
      </c>
      <c r="R427" s="32" t="s">
        <v>7043</v>
      </c>
      <c r="S427" s="30">
        <v>46388.0</v>
      </c>
      <c r="T427" s="30">
        <v>46752.0</v>
      </c>
      <c r="U427" s="29" t="s">
        <v>7053</v>
      </c>
      <c r="V427" s="29" t="s">
        <v>7053</v>
      </c>
      <c r="W427" s="32" t="s">
        <v>7043</v>
      </c>
      <c r="X427" s="30">
        <v>46753.0</v>
      </c>
      <c r="Y427" s="30">
        <v>47118.0</v>
      </c>
      <c r="Z427" s="29" t="s">
        <v>7053</v>
      </c>
      <c r="AA427" s="29" t="s">
        <v>7053</v>
      </c>
      <c r="AB427" s="32" t="s">
        <v>7043</v>
      </c>
      <c r="AC427" s="30">
        <v>47119.0</v>
      </c>
      <c r="AD427" s="30">
        <v>47483.0</v>
      </c>
      <c r="AE427" s="29" t="s">
        <v>7053</v>
      </c>
      <c r="AF427" s="29" t="s">
        <v>7053</v>
      </c>
      <c r="AG427" s="32" t="s">
        <v>7043</v>
      </c>
      <c r="AH427" s="30">
        <v>47484.0</v>
      </c>
      <c r="AI427" s="30">
        <v>47848.0</v>
      </c>
      <c r="AJ427" s="29" t="s">
        <v>7053</v>
      </c>
      <c r="AK427" s="29" t="s">
        <v>7053</v>
      </c>
      <c r="AL427" s="32" t="s">
        <v>7043</v>
      </c>
    </row>
    <row r="428" ht="14.25" customHeight="1">
      <c r="A428" s="28" t="s">
        <v>4197</v>
      </c>
      <c r="B428" s="29" t="s">
        <v>4198</v>
      </c>
      <c r="C428" s="29" t="s">
        <v>7041</v>
      </c>
      <c r="D428" s="30">
        <v>45292.0</v>
      </c>
      <c r="E428" s="30">
        <v>45657.0</v>
      </c>
      <c r="F428" s="29" t="s">
        <v>7064</v>
      </c>
      <c r="G428" s="29" t="s">
        <v>7087</v>
      </c>
      <c r="H428" s="32" t="s">
        <v>7043</v>
      </c>
      <c r="I428" s="30">
        <v>45658.0</v>
      </c>
      <c r="J428" s="30">
        <v>46022.0</v>
      </c>
      <c r="K428" s="29" t="s">
        <v>7068</v>
      </c>
      <c r="L428" s="29" t="s">
        <v>7052</v>
      </c>
      <c r="M428" s="38" t="s">
        <v>7047</v>
      </c>
      <c r="N428" s="30">
        <v>46023.0</v>
      </c>
      <c r="O428" s="30">
        <v>46387.0</v>
      </c>
      <c r="P428" s="29" t="s">
        <v>7053</v>
      </c>
      <c r="Q428" s="29" t="s">
        <v>7053</v>
      </c>
      <c r="R428" s="32" t="s">
        <v>7043</v>
      </c>
      <c r="S428" s="30">
        <v>46388.0</v>
      </c>
      <c r="T428" s="30">
        <v>46752.0</v>
      </c>
      <c r="U428" s="29" t="s">
        <v>7053</v>
      </c>
      <c r="V428" s="29" t="s">
        <v>7053</v>
      </c>
      <c r="W428" s="32" t="s">
        <v>7043</v>
      </c>
      <c r="X428" s="30">
        <v>46753.0</v>
      </c>
      <c r="Y428" s="30">
        <v>47118.0</v>
      </c>
      <c r="Z428" s="29" t="s">
        <v>7053</v>
      </c>
      <c r="AA428" s="29" t="s">
        <v>7053</v>
      </c>
      <c r="AB428" s="32" t="s">
        <v>7043</v>
      </c>
      <c r="AC428" s="30">
        <v>47119.0</v>
      </c>
      <c r="AD428" s="30">
        <v>47483.0</v>
      </c>
      <c r="AE428" s="29" t="s">
        <v>7053</v>
      </c>
      <c r="AF428" s="29" t="s">
        <v>7053</v>
      </c>
      <c r="AG428" s="32" t="s">
        <v>7043</v>
      </c>
      <c r="AH428" s="30">
        <v>47484.0</v>
      </c>
      <c r="AI428" s="30">
        <v>47848.0</v>
      </c>
      <c r="AJ428" s="29" t="s">
        <v>7053</v>
      </c>
      <c r="AK428" s="29" t="s">
        <v>7053</v>
      </c>
      <c r="AL428" s="32" t="s">
        <v>7043</v>
      </c>
    </row>
    <row r="429" ht="14.25" customHeight="1">
      <c r="A429" s="28" t="s">
        <v>2492</v>
      </c>
      <c r="B429" s="29" t="s">
        <v>2493</v>
      </c>
      <c r="C429" s="29" t="s">
        <v>7041</v>
      </c>
      <c r="D429" s="30">
        <v>45292.0</v>
      </c>
      <c r="E429" s="30">
        <v>45657.0</v>
      </c>
      <c r="F429" s="29" t="s">
        <v>7077</v>
      </c>
      <c r="G429" s="29" t="s">
        <v>7072</v>
      </c>
      <c r="H429" s="38" t="s">
        <v>7047</v>
      </c>
      <c r="I429" s="30">
        <v>45658.0</v>
      </c>
      <c r="J429" s="30">
        <v>46022.0</v>
      </c>
      <c r="K429" s="29" t="s">
        <v>7063</v>
      </c>
      <c r="L429" s="29" t="s">
        <v>7100</v>
      </c>
      <c r="M429" s="38" t="s">
        <v>7047</v>
      </c>
      <c r="N429" s="30">
        <v>46023.0</v>
      </c>
      <c r="O429" s="30">
        <v>46387.0</v>
      </c>
      <c r="P429" s="29" t="s">
        <v>7053</v>
      </c>
      <c r="Q429" s="29" t="s">
        <v>7053</v>
      </c>
      <c r="R429" s="32" t="s">
        <v>7043</v>
      </c>
      <c r="S429" s="30">
        <v>46388.0</v>
      </c>
      <c r="T429" s="30">
        <v>46752.0</v>
      </c>
      <c r="U429" s="29" t="s">
        <v>7053</v>
      </c>
      <c r="V429" s="29" t="s">
        <v>7053</v>
      </c>
      <c r="W429" s="32" t="s">
        <v>7043</v>
      </c>
      <c r="X429" s="30">
        <v>46753.0</v>
      </c>
      <c r="Y429" s="30">
        <v>47118.0</v>
      </c>
      <c r="Z429" s="29" t="s">
        <v>7053</v>
      </c>
      <c r="AA429" s="29" t="s">
        <v>7053</v>
      </c>
      <c r="AB429" s="32" t="s">
        <v>7043</v>
      </c>
      <c r="AC429" s="30">
        <v>47119.0</v>
      </c>
      <c r="AD429" s="30">
        <v>47483.0</v>
      </c>
      <c r="AE429" s="29" t="s">
        <v>7053</v>
      </c>
      <c r="AF429" s="29" t="s">
        <v>7053</v>
      </c>
      <c r="AG429" s="32" t="s">
        <v>7043</v>
      </c>
      <c r="AH429" s="30">
        <v>47484.0</v>
      </c>
      <c r="AI429" s="30">
        <v>47848.0</v>
      </c>
      <c r="AJ429" s="29" t="s">
        <v>7053</v>
      </c>
      <c r="AK429" s="29" t="s">
        <v>7053</v>
      </c>
      <c r="AL429" s="32" t="s">
        <v>7043</v>
      </c>
    </row>
    <row r="430" ht="14.25" customHeight="1">
      <c r="A430" s="28" t="s">
        <v>2975</v>
      </c>
      <c r="B430" s="29" t="s">
        <v>2976</v>
      </c>
      <c r="C430" s="29" t="s">
        <v>7041</v>
      </c>
      <c r="D430" s="30">
        <v>45292.0</v>
      </c>
      <c r="E430" s="30">
        <v>45657.0</v>
      </c>
      <c r="F430" s="29" t="s">
        <v>7101</v>
      </c>
      <c r="G430" s="29" t="s">
        <v>7126</v>
      </c>
      <c r="H430" s="32" t="s">
        <v>7043</v>
      </c>
      <c r="I430" s="30">
        <v>45658.0</v>
      </c>
      <c r="J430" s="30">
        <v>46022.0</v>
      </c>
      <c r="K430" s="29" t="s">
        <v>7101</v>
      </c>
      <c r="L430" s="29" t="s">
        <v>7053</v>
      </c>
      <c r="M430" s="38" t="s">
        <v>7047</v>
      </c>
      <c r="N430" s="30">
        <v>46023.0</v>
      </c>
      <c r="O430" s="30">
        <v>46387.0</v>
      </c>
      <c r="P430" s="29" t="s">
        <v>7053</v>
      </c>
      <c r="Q430" s="29" t="s">
        <v>7053</v>
      </c>
      <c r="R430" s="32" t="s">
        <v>7043</v>
      </c>
      <c r="S430" s="30">
        <v>46388.0</v>
      </c>
      <c r="T430" s="30">
        <v>46752.0</v>
      </c>
      <c r="U430" s="29" t="s">
        <v>7053</v>
      </c>
      <c r="V430" s="29" t="s">
        <v>7053</v>
      </c>
      <c r="W430" s="32" t="s">
        <v>7043</v>
      </c>
      <c r="X430" s="30">
        <v>46753.0</v>
      </c>
      <c r="Y430" s="30">
        <v>47118.0</v>
      </c>
      <c r="Z430" s="29" t="s">
        <v>7053</v>
      </c>
      <c r="AA430" s="29" t="s">
        <v>7053</v>
      </c>
      <c r="AB430" s="32" t="s">
        <v>7043</v>
      </c>
      <c r="AC430" s="30">
        <v>47119.0</v>
      </c>
      <c r="AD430" s="30">
        <v>47483.0</v>
      </c>
      <c r="AE430" s="29" t="s">
        <v>7053</v>
      </c>
      <c r="AF430" s="29" t="s">
        <v>7053</v>
      </c>
      <c r="AG430" s="32" t="s">
        <v>7043</v>
      </c>
      <c r="AH430" s="30">
        <v>47484.0</v>
      </c>
      <c r="AI430" s="30">
        <v>47848.0</v>
      </c>
      <c r="AJ430" s="29" t="s">
        <v>7053</v>
      </c>
      <c r="AK430" s="29" t="s">
        <v>7053</v>
      </c>
      <c r="AL430" s="32" t="s">
        <v>7043</v>
      </c>
    </row>
    <row r="431" ht="14.25" customHeight="1">
      <c r="A431" s="28" t="s">
        <v>5991</v>
      </c>
      <c r="B431" s="29" t="s">
        <v>5992</v>
      </c>
      <c r="C431" s="29" t="s">
        <v>7041</v>
      </c>
      <c r="D431" s="30">
        <v>45292.0</v>
      </c>
      <c r="E431" s="30">
        <v>45657.0</v>
      </c>
      <c r="F431" s="29" t="s">
        <v>7054</v>
      </c>
      <c r="G431" s="29" t="s">
        <v>7053</v>
      </c>
      <c r="H431" s="38" t="s">
        <v>7047</v>
      </c>
      <c r="I431" s="30">
        <v>45658.0</v>
      </c>
      <c r="J431" s="30">
        <v>46022.0</v>
      </c>
      <c r="K431" s="29" t="s">
        <v>7054</v>
      </c>
      <c r="L431" s="29" t="s">
        <v>7053</v>
      </c>
      <c r="M431" s="38" t="s">
        <v>7047</v>
      </c>
      <c r="N431" s="30">
        <v>46023.0</v>
      </c>
      <c r="O431" s="30">
        <v>46387.0</v>
      </c>
      <c r="P431" s="29" t="s">
        <v>7053</v>
      </c>
      <c r="Q431" s="29" t="s">
        <v>7053</v>
      </c>
      <c r="R431" s="32" t="s">
        <v>7043</v>
      </c>
      <c r="S431" s="30">
        <v>46388.0</v>
      </c>
      <c r="T431" s="30">
        <v>46752.0</v>
      </c>
      <c r="U431" s="29" t="s">
        <v>7053</v>
      </c>
      <c r="V431" s="29" t="s">
        <v>7053</v>
      </c>
      <c r="W431" s="32" t="s">
        <v>7043</v>
      </c>
      <c r="X431" s="30">
        <v>46753.0</v>
      </c>
      <c r="Y431" s="30">
        <v>47118.0</v>
      </c>
      <c r="Z431" s="29" t="s">
        <v>7053</v>
      </c>
      <c r="AA431" s="29" t="s">
        <v>7053</v>
      </c>
      <c r="AB431" s="32" t="s">
        <v>7043</v>
      </c>
      <c r="AC431" s="30">
        <v>47119.0</v>
      </c>
      <c r="AD431" s="30">
        <v>47483.0</v>
      </c>
      <c r="AE431" s="29" t="s">
        <v>7053</v>
      </c>
      <c r="AF431" s="29" t="s">
        <v>7053</v>
      </c>
      <c r="AG431" s="32" t="s">
        <v>7043</v>
      </c>
      <c r="AH431" s="30">
        <v>47484.0</v>
      </c>
      <c r="AI431" s="30">
        <v>47848.0</v>
      </c>
      <c r="AJ431" s="29" t="s">
        <v>7053</v>
      </c>
      <c r="AK431" s="29" t="s">
        <v>7053</v>
      </c>
      <c r="AL431" s="32" t="s">
        <v>7043</v>
      </c>
    </row>
    <row r="432" ht="14.25" customHeight="1">
      <c r="A432" s="28" t="s">
        <v>6435</v>
      </c>
      <c r="B432" s="29" t="s">
        <v>6436</v>
      </c>
      <c r="C432" s="29" t="s">
        <v>7041</v>
      </c>
      <c r="D432" s="30">
        <v>45292.0</v>
      </c>
      <c r="E432" s="30">
        <v>45657.0</v>
      </c>
      <c r="F432" s="29" t="s">
        <v>7072</v>
      </c>
      <c r="G432" s="29" t="s">
        <v>7053</v>
      </c>
      <c r="H432" s="38" t="s">
        <v>7047</v>
      </c>
      <c r="I432" s="30">
        <v>45658.0</v>
      </c>
      <c r="J432" s="30">
        <v>46022.0</v>
      </c>
      <c r="K432" s="29" t="s">
        <v>7072</v>
      </c>
      <c r="L432" s="29" t="s">
        <v>7095</v>
      </c>
      <c r="M432" s="38" t="s">
        <v>7047</v>
      </c>
      <c r="N432" s="30">
        <v>46023.0</v>
      </c>
      <c r="O432" s="30">
        <v>46387.0</v>
      </c>
      <c r="P432" s="29" t="s">
        <v>7053</v>
      </c>
      <c r="Q432" s="29" t="s">
        <v>7053</v>
      </c>
      <c r="R432" s="32" t="s">
        <v>7043</v>
      </c>
      <c r="S432" s="30">
        <v>46388.0</v>
      </c>
      <c r="T432" s="30">
        <v>46752.0</v>
      </c>
      <c r="U432" s="29" t="s">
        <v>7053</v>
      </c>
      <c r="V432" s="29" t="s">
        <v>7053</v>
      </c>
      <c r="W432" s="32" t="s">
        <v>7043</v>
      </c>
      <c r="X432" s="30">
        <v>46753.0</v>
      </c>
      <c r="Y432" s="30">
        <v>47118.0</v>
      </c>
      <c r="Z432" s="29" t="s">
        <v>7053</v>
      </c>
      <c r="AA432" s="29" t="s">
        <v>7053</v>
      </c>
      <c r="AB432" s="32" t="s">
        <v>7043</v>
      </c>
      <c r="AC432" s="30">
        <v>47119.0</v>
      </c>
      <c r="AD432" s="30">
        <v>47483.0</v>
      </c>
      <c r="AE432" s="29" t="s">
        <v>7053</v>
      </c>
      <c r="AF432" s="29" t="s">
        <v>7053</v>
      </c>
      <c r="AG432" s="32" t="s">
        <v>7043</v>
      </c>
      <c r="AH432" s="30">
        <v>47484.0</v>
      </c>
      <c r="AI432" s="30">
        <v>47848.0</v>
      </c>
      <c r="AJ432" s="29" t="s">
        <v>7053</v>
      </c>
      <c r="AK432" s="29" t="s">
        <v>7053</v>
      </c>
      <c r="AL432" s="32" t="s">
        <v>7043</v>
      </c>
    </row>
    <row r="433" ht="14.25" customHeight="1">
      <c r="A433" s="28" t="s">
        <v>3546</v>
      </c>
      <c r="B433" s="29" t="s">
        <v>3547</v>
      </c>
      <c r="C433" s="29" t="s">
        <v>7041</v>
      </c>
      <c r="D433" s="30">
        <v>45292.0</v>
      </c>
      <c r="E433" s="30">
        <v>45657.0</v>
      </c>
      <c r="F433" s="29" t="s">
        <v>7086</v>
      </c>
      <c r="G433" s="29" t="s">
        <v>7053</v>
      </c>
      <c r="H433" s="38" t="s">
        <v>7047</v>
      </c>
      <c r="I433" s="30">
        <v>45658.0</v>
      </c>
      <c r="J433" s="30">
        <v>46022.0</v>
      </c>
      <c r="K433" s="29" t="s">
        <v>7071</v>
      </c>
      <c r="L433" s="29" t="s">
        <v>7053</v>
      </c>
      <c r="M433" s="38" t="s">
        <v>7047</v>
      </c>
      <c r="N433" s="30">
        <v>46023.0</v>
      </c>
      <c r="O433" s="30">
        <v>46387.0</v>
      </c>
      <c r="P433" s="29" t="s">
        <v>7053</v>
      </c>
      <c r="Q433" s="29" t="s">
        <v>7053</v>
      </c>
      <c r="R433" s="32" t="s">
        <v>7043</v>
      </c>
      <c r="S433" s="30">
        <v>46388.0</v>
      </c>
      <c r="T433" s="30">
        <v>46752.0</v>
      </c>
      <c r="U433" s="29" t="s">
        <v>7053</v>
      </c>
      <c r="V433" s="29" t="s">
        <v>7053</v>
      </c>
      <c r="W433" s="32" t="s">
        <v>7043</v>
      </c>
      <c r="X433" s="30">
        <v>46753.0</v>
      </c>
      <c r="Y433" s="30">
        <v>47118.0</v>
      </c>
      <c r="Z433" s="29" t="s">
        <v>7053</v>
      </c>
      <c r="AA433" s="29" t="s">
        <v>7053</v>
      </c>
      <c r="AB433" s="32" t="s">
        <v>7043</v>
      </c>
      <c r="AC433" s="30">
        <v>47119.0</v>
      </c>
      <c r="AD433" s="30">
        <v>47483.0</v>
      </c>
      <c r="AE433" s="29" t="s">
        <v>7053</v>
      </c>
      <c r="AF433" s="29" t="s">
        <v>7053</v>
      </c>
      <c r="AG433" s="32" t="s">
        <v>7043</v>
      </c>
      <c r="AH433" s="30">
        <v>47484.0</v>
      </c>
      <c r="AI433" s="30">
        <v>47848.0</v>
      </c>
      <c r="AJ433" s="29" t="s">
        <v>7053</v>
      </c>
      <c r="AK433" s="29" t="s">
        <v>7053</v>
      </c>
      <c r="AL433" s="32" t="s">
        <v>7043</v>
      </c>
    </row>
    <row r="434" ht="14.25" customHeight="1">
      <c r="A434" s="28" t="s">
        <v>4894</v>
      </c>
      <c r="B434" s="29" t="s">
        <v>4895</v>
      </c>
      <c r="C434" s="29" t="s">
        <v>7041</v>
      </c>
      <c r="D434" s="30">
        <v>45292.0</v>
      </c>
      <c r="E434" s="30">
        <v>45657.0</v>
      </c>
      <c r="F434" s="29" t="s">
        <v>7064</v>
      </c>
      <c r="G434" s="29" t="s">
        <v>7064</v>
      </c>
      <c r="H434" s="38" t="s">
        <v>7047</v>
      </c>
      <c r="I434" s="30">
        <v>45658.0</v>
      </c>
      <c r="J434" s="30">
        <v>46022.0</v>
      </c>
      <c r="K434" s="29" t="s">
        <v>7064</v>
      </c>
      <c r="L434" s="29" t="s">
        <v>7101</v>
      </c>
      <c r="M434" s="38" t="s">
        <v>7047</v>
      </c>
      <c r="N434" s="30">
        <v>46023.0</v>
      </c>
      <c r="O434" s="30">
        <v>46387.0</v>
      </c>
      <c r="P434" s="29" t="s">
        <v>7053</v>
      </c>
      <c r="Q434" s="29" t="s">
        <v>7053</v>
      </c>
      <c r="R434" s="32" t="s">
        <v>7043</v>
      </c>
      <c r="S434" s="30">
        <v>46388.0</v>
      </c>
      <c r="T434" s="30">
        <v>46752.0</v>
      </c>
      <c r="U434" s="29" t="s">
        <v>7053</v>
      </c>
      <c r="V434" s="29" t="s">
        <v>7053</v>
      </c>
      <c r="W434" s="32" t="s">
        <v>7043</v>
      </c>
      <c r="X434" s="30">
        <v>46753.0</v>
      </c>
      <c r="Y434" s="30">
        <v>47118.0</v>
      </c>
      <c r="Z434" s="29" t="s">
        <v>7053</v>
      </c>
      <c r="AA434" s="29" t="s">
        <v>7053</v>
      </c>
      <c r="AB434" s="32" t="s">
        <v>7043</v>
      </c>
      <c r="AC434" s="30">
        <v>47119.0</v>
      </c>
      <c r="AD434" s="30">
        <v>47483.0</v>
      </c>
      <c r="AE434" s="29" t="s">
        <v>7053</v>
      </c>
      <c r="AF434" s="29" t="s">
        <v>7053</v>
      </c>
      <c r="AG434" s="32" t="s">
        <v>7043</v>
      </c>
      <c r="AH434" s="30">
        <v>47484.0</v>
      </c>
      <c r="AI434" s="30">
        <v>47848.0</v>
      </c>
      <c r="AJ434" s="29" t="s">
        <v>7053</v>
      </c>
      <c r="AK434" s="29" t="s">
        <v>7053</v>
      </c>
      <c r="AL434" s="32" t="s">
        <v>7043</v>
      </c>
    </row>
    <row r="435" ht="14.25" customHeight="1">
      <c r="A435" s="28" t="s">
        <v>3336</v>
      </c>
      <c r="B435" s="29" t="s">
        <v>3337</v>
      </c>
      <c r="C435" s="29" t="s">
        <v>7041</v>
      </c>
      <c r="D435" s="30">
        <v>45292.0</v>
      </c>
      <c r="E435" s="30">
        <v>45657.0</v>
      </c>
      <c r="F435" s="29" t="s">
        <v>7053</v>
      </c>
      <c r="G435" s="29" t="s">
        <v>7053</v>
      </c>
      <c r="H435" s="32" t="s">
        <v>7043</v>
      </c>
      <c r="I435" s="30">
        <v>45658.0</v>
      </c>
      <c r="J435" s="30">
        <v>46022.0</v>
      </c>
      <c r="K435" s="29" t="s">
        <v>7053</v>
      </c>
      <c r="L435" s="29" t="s">
        <v>7053</v>
      </c>
      <c r="M435" s="32" t="s">
        <v>7043</v>
      </c>
      <c r="N435" s="30">
        <v>46023.0</v>
      </c>
      <c r="O435" s="30">
        <v>46387.0</v>
      </c>
      <c r="P435" s="29" t="s">
        <v>7053</v>
      </c>
      <c r="Q435" s="29" t="s">
        <v>7053</v>
      </c>
      <c r="R435" s="32" t="s">
        <v>7043</v>
      </c>
      <c r="S435" s="30">
        <v>46388.0</v>
      </c>
      <c r="T435" s="30">
        <v>46752.0</v>
      </c>
      <c r="U435" s="29" t="s">
        <v>7053</v>
      </c>
      <c r="V435" s="29" t="s">
        <v>7053</v>
      </c>
      <c r="W435" s="32" t="s">
        <v>7043</v>
      </c>
      <c r="X435" s="30">
        <v>46753.0</v>
      </c>
      <c r="Y435" s="30">
        <v>47118.0</v>
      </c>
      <c r="Z435" s="29" t="s">
        <v>7053</v>
      </c>
      <c r="AA435" s="29" t="s">
        <v>7053</v>
      </c>
      <c r="AB435" s="32" t="s">
        <v>7043</v>
      </c>
      <c r="AC435" s="30">
        <v>47119.0</v>
      </c>
      <c r="AD435" s="30">
        <v>47483.0</v>
      </c>
      <c r="AE435" s="29" t="s">
        <v>7053</v>
      </c>
      <c r="AF435" s="29" t="s">
        <v>7053</v>
      </c>
      <c r="AG435" s="32" t="s">
        <v>7043</v>
      </c>
      <c r="AH435" s="30">
        <v>47484.0</v>
      </c>
      <c r="AI435" s="30">
        <v>47848.0</v>
      </c>
      <c r="AJ435" s="29" t="s">
        <v>7053</v>
      </c>
      <c r="AK435" s="29" t="s">
        <v>7053</v>
      </c>
      <c r="AL435" s="32" t="s">
        <v>7043</v>
      </c>
    </row>
    <row r="436" ht="14.25" customHeight="1">
      <c r="A436" s="28" t="s">
        <v>1595</v>
      </c>
      <c r="B436" s="29" t="s">
        <v>1596</v>
      </c>
      <c r="C436" s="29" t="s">
        <v>7041</v>
      </c>
      <c r="D436" s="30">
        <v>45292.0</v>
      </c>
      <c r="E436" s="30">
        <v>45657.0</v>
      </c>
      <c r="F436" s="29" t="s">
        <v>7095</v>
      </c>
      <c r="G436" s="29" t="s">
        <v>7053</v>
      </c>
      <c r="H436" s="38" t="s">
        <v>7047</v>
      </c>
      <c r="I436" s="30">
        <v>45658.0</v>
      </c>
      <c r="J436" s="30">
        <v>46022.0</v>
      </c>
      <c r="K436" s="29" t="s">
        <v>7095</v>
      </c>
      <c r="L436" s="29" t="s">
        <v>7053</v>
      </c>
      <c r="M436" s="38" t="s">
        <v>7047</v>
      </c>
      <c r="N436" s="30">
        <v>46023.0</v>
      </c>
      <c r="O436" s="30">
        <v>46387.0</v>
      </c>
      <c r="P436" s="29" t="s">
        <v>7053</v>
      </c>
      <c r="Q436" s="29" t="s">
        <v>7053</v>
      </c>
      <c r="R436" s="32" t="s">
        <v>7043</v>
      </c>
      <c r="S436" s="30">
        <v>46388.0</v>
      </c>
      <c r="T436" s="30">
        <v>46752.0</v>
      </c>
      <c r="U436" s="29" t="s">
        <v>7053</v>
      </c>
      <c r="V436" s="29" t="s">
        <v>7053</v>
      </c>
      <c r="W436" s="32" t="s">
        <v>7043</v>
      </c>
      <c r="X436" s="30">
        <v>46753.0</v>
      </c>
      <c r="Y436" s="30">
        <v>47118.0</v>
      </c>
      <c r="Z436" s="29" t="s">
        <v>7053</v>
      </c>
      <c r="AA436" s="29" t="s">
        <v>7053</v>
      </c>
      <c r="AB436" s="32" t="s">
        <v>7043</v>
      </c>
      <c r="AC436" s="30">
        <v>47119.0</v>
      </c>
      <c r="AD436" s="30">
        <v>47483.0</v>
      </c>
      <c r="AE436" s="29" t="s">
        <v>7053</v>
      </c>
      <c r="AF436" s="29" t="s">
        <v>7053</v>
      </c>
      <c r="AG436" s="32" t="s">
        <v>7043</v>
      </c>
      <c r="AH436" s="30">
        <v>47484.0</v>
      </c>
      <c r="AI436" s="30">
        <v>47848.0</v>
      </c>
      <c r="AJ436" s="29" t="s">
        <v>7053</v>
      </c>
      <c r="AK436" s="29" t="s">
        <v>7053</v>
      </c>
      <c r="AL436" s="32" t="s">
        <v>7043</v>
      </c>
    </row>
    <row r="437" ht="14.25" customHeight="1">
      <c r="A437" s="28" t="s">
        <v>1602</v>
      </c>
      <c r="B437" s="29" t="s">
        <v>1603</v>
      </c>
      <c r="C437" s="29" t="s">
        <v>7041</v>
      </c>
      <c r="D437" s="30">
        <v>45292.0</v>
      </c>
      <c r="E437" s="30">
        <v>45657.0</v>
      </c>
      <c r="F437" s="29" t="s">
        <v>7120</v>
      </c>
      <c r="G437" s="29" t="s">
        <v>7053</v>
      </c>
      <c r="H437" s="38" t="s">
        <v>7047</v>
      </c>
      <c r="I437" s="30">
        <v>45658.0</v>
      </c>
      <c r="J437" s="30">
        <v>46022.0</v>
      </c>
      <c r="K437" s="29" t="s">
        <v>7063</v>
      </c>
      <c r="L437" s="29" t="s">
        <v>7053</v>
      </c>
      <c r="M437" s="38" t="s">
        <v>7047</v>
      </c>
      <c r="N437" s="30">
        <v>46023.0</v>
      </c>
      <c r="O437" s="30">
        <v>46387.0</v>
      </c>
      <c r="P437" s="29" t="s">
        <v>7053</v>
      </c>
      <c r="Q437" s="29" t="s">
        <v>7053</v>
      </c>
      <c r="R437" s="32" t="s">
        <v>7043</v>
      </c>
      <c r="S437" s="30">
        <v>46388.0</v>
      </c>
      <c r="T437" s="30">
        <v>46752.0</v>
      </c>
      <c r="U437" s="29" t="s">
        <v>7053</v>
      </c>
      <c r="V437" s="29" t="s">
        <v>7053</v>
      </c>
      <c r="W437" s="32" t="s">
        <v>7043</v>
      </c>
      <c r="X437" s="30">
        <v>46753.0</v>
      </c>
      <c r="Y437" s="30">
        <v>47118.0</v>
      </c>
      <c r="Z437" s="29" t="s">
        <v>7053</v>
      </c>
      <c r="AA437" s="29" t="s">
        <v>7053</v>
      </c>
      <c r="AB437" s="32" t="s">
        <v>7043</v>
      </c>
      <c r="AC437" s="30">
        <v>47119.0</v>
      </c>
      <c r="AD437" s="30">
        <v>47483.0</v>
      </c>
      <c r="AE437" s="29" t="s">
        <v>7053</v>
      </c>
      <c r="AF437" s="29" t="s">
        <v>7053</v>
      </c>
      <c r="AG437" s="32" t="s">
        <v>7043</v>
      </c>
      <c r="AH437" s="30">
        <v>47484.0</v>
      </c>
      <c r="AI437" s="30">
        <v>47848.0</v>
      </c>
      <c r="AJ437" s="29" t="s">
        <v>7053</v>
      </c>
      <c r="AK437" s="29" t="s">
        <v>7053</v>
      </c>
      <c r="AL437" s="32" t="s">
        <v>7043</v>
      </c>
    </row>
    <row r="438" ht="14.25" customHeight="1">
      <c r="A438" s="28" t="s">
        <v>1987</v>
      </c>
      <c r="B438" s="29" t="s">
        <v>1988</v>
      </c>
      <c r="C438" s="29" t="s">
        <v>7041</v>
      </c>
      <c r="D438" s="30">
        <v>45292.0</v>
      </c>
      <c r="E438" s="30">
        <v>45657.0</v>
      </c>
      <c r="F438" s="29" t="s">
        <v>7068</v>
      </c>
      <c r="G438" s="29" t="s">
        <v>7053</v>
      </c>
      <c r="H438" s="38" t="s">
        <v>7047</v>
      </c>
      <c r="I438" s="30">
        <v>45658.0</v>
      </c>
      <c r="J438" s="30">
        <v>46022.0</v>
      </c>
      <c r="K438" s="29" t="s">
        <v>7056</v>
      </c>
      <c r="L438" s="29" t="s">
        <v>7053</v>
      </c>
      <c r="M438" s="38" t="s">
        <v>7047</v>
      </c>
      <c r="N438" s="30">
        <v>46023.0</v>
      </c>
      <c r="O438" s="30">
        <v>46387.0</v>
      </c>
      <c r="P438" s="29" t="s">
        <v>7053</v>
      </c>
      <c r="Q438" s="29" t="s">
        <v>7053</v>
      </c>
      <c r="R438" s="32" t="s">
        <v>7043</v>
      </c>
      <c r="S438" s="30">
        <v>46388.0</v>
      </c>
      <c r="T438" s="30">
        <v>46752.0</v>
      </c>
      <c r="U438" s="29" t="s">
        <v>7053</v>
      </c>
      <c r="V438" s="29" t="s">
        <v>7053</v>
      </c>
      <c r="W438" s="32" t="s">
        <v>7043</v>
      </c>
      <c r="X438" s="30">
        <v>46753.0</v>
      </c>
      <c r="Y438" s="30">
        <v>47118.0</v>
      </c>
      <c r="Z438" s="29" t="s">
        <v>7053</v>
      </c>
      <c r="AA438" s="29" t="s">
        <v>7053</v>
      </c>
      <c r="AB438" s="32" t="s">
        <v>7043</v>
      </c>
      <c r="AC438" s="30">
        <v>47119.0</v>
      </c>
      <c r="AD438" s="30">
        <v>47483.0</v>
      </c>
      <c r="AE438" s="29" t="s">
        <v>7053</v>
      </c>
      <c r="AF438" s="29" t="s">
        <v>7053</v>
      </c>
      <c r="AG438" s="32" t="s">
        <v>7043</v>
      </c>
      <c r="AH438" s="30">
        <v>47484.0</v>
      </c>
      <c r="AI438" s="30">
        <v>47848.0</v>
      </c>
      <c r="AJ438" s="29" t="s">
        <v>7053</v>
      </c>
      <c r="AK438" s="29" t="s">
        <v>7053</v>
      </c>
      <c r="AL438" s="32" t="s">
        <v>7043</v>
      </c>
    </row>
    <row r="439" ht="14.25" customHeight="1">
      <c r="A439" s="28" t="s">
        <v>5057</v>
      </c>
      <c r="B439" s="29" t="s">
        <v>5058</v>
      </c>
      <c r="C439" s="29" t="s">
        <v>7041</v>
      </c>
      <c r="D439" s="30">
        <v>45292.0</v>
      </c>
      <c r="E439" s="30">
        <v>45657.0</v>
      </c>
      <c r="F439" s="29" t="s">
        <v>7064</v>
      </c>
      <c r="G439" s="29" t="s">
        <v>7053</v>
      </c>
      <c r="H439" s="38" t="s">
        <v>7047</v>
      </c>
      <c r="I439" s="30">
        <v>45658.0</v>
      </c>
      <c r="J439" s="30">
        <v>46022.0</v>
      </c>
      <c r="K439" s="29" t="s">
        <v>7101</v>
      </c>
      <c r="L439" s="29" t="s">
        <v>7053</v>
      </c>
      <c r="M439" s="38" t="s">
        <v>7047</v>
      </c>
      <c r="N439" s="30">
        <v>46023.0</v>
      </c>
      <c r="O439" s="30">
        <v>46387.0</v>
      </c>
      <c r="P439" s="29" t="s">
        <v>7053</v>
      </c>
      <c r="Q439" s="29" t="s">
        <v>7053</v>
      </c>
      <c r="R439" s="32" t="s">
        <v>7043</v>
      </c>
      <c r="S439" s="30">
        <v>46388.0</v>
      </c>
      <c r="T439" s="30">
        <v>46752.0</v>
      </c>
      <c r="U439" s="29" t="s">
        <v>7053</v>
      </c>
      <c r="V439" s="29" t="s">
        <v>7053</v>
      </c>
      <c r="W439" s="32" t="s">
        <v>7043</v>
      </c>
      <c r="X439" s="30">
        <v>46753.0</v>
      </c>
      <c r="Y439" s="30">
        <v>47118.0</v>
      </c>
      <c r="Z439" s="29" t="s">
        <v>7053</v>
      </c>
      <c r="AA439" s="29" t="s">
        <v>7053</v>
      </c>
      <c r="AB439" s="32" t="s">
        <v>7043</v>
      </c>
      <c r="AC439" s="30">
        <v>47119.0</v>
      </c>
      <c r="AD439" s="30">
        <v>47483.0</v>
      </c>
      <c r="AE439" s="29" t="s">
        <v>7053</v>
      </c>
      <c r="AF439" s="29" t="s">
        <v>7053</v>
      </c>
      <c r="AG439" s="32" t="s">
        <v>7043</v>
      </c>
      <c r="AH439" s="30">
        <v>47484.0</v>
      </c>
      <c r="AI439" s="30">
        <v>47848.0</v>
      </c>
      <c r="AJ439" s="29" t="s">
        <v>7053</v>
      </c>
      <c r="AK439" s="29" t="s">
        <v>7053</v>
      </c>
      <c r="AL439" s="32" t="s">
        <v>7043</v>
      </c>
    </row>
    <row r="440" ht="14.25" customHeight="1">
      <c r="A440" s="28" t="s">
        <v>2474</v>
      </c>
      <c r="B440" s="29" t="s">
        <v>2475</v>
      </c>
      <c r="C440" s="29" t="s">
        <v>7041</v>
      </c>
      <c r="D440" s="30">
        <v>45292.0</v>
      </c>
      <c r="E440" s="30">
        <v>45657.0</v>
      </c>
      <c r="F440" s="29" t="s">
        <v>7053</v>
      </c>
      <c r="G440" s="29" t="s">
        <v>7053</v>
      </c>
      <c r="H440" s="32" t="s">
        <v>7043</v>
      </c>
      <c r="I440" s="30">
        <v>45658.0</v>
      </c>
      <c r="J440" s="30">
        <v>46022.0</v>
      </c>
      <c r="K440" s="29" t="s">
        <v>7053</v>
      </c>
      <c r="L440" s="29" t="s">
        <v>7053</v>
      </c>
      <c r="M440" s="32" t="s">
        <v>7043</v>
      </c>
      <c r="N440" s="30">
        <v>46023.0</v>
      </c>
      <c r="O440" s="30">
        <v>46387.0</v>
      </c>
      <c r="P440" s="29" t="s">
        <v>7053</v>
      </c>
      <c r="Q440" s="29" t="s">
        <v>7053</v>
      </c>
      <c r="R440" s="32" t="s">
        <v>7043</v>
      </c>
      <c r="S440" s="30">
        <v>46388.0</v>
      </c>
      <c r="T440" s="30">
        <v>46752.0</v>
      </c>
      <c r="U440" s="29" t="s">
        <v>7053</v>
      </c>
      <c r="V440" s="29" t="s">
        <v>7053</v>
      </c>
      <c r="W440" s="32" t="s">
        <v>7043</v>
      </c>
      <c r="X440" s="30">
        <v>46753.0</v>
      </c>
      <c r="Y440" s="30">
        <v>47118.0</v>
      </c>
      <c r="Z440" s="29" t="s">
        <v>7053</v>
      </c>
      <c r="AA440" s="29" t="s">
        <v>7053</v>
      </c>
      <c r="AB440" s="32" t="s">
        <v>7043</v>
      </c>
      <c r="AC440" s="30">
        <v>47119.0</v>
      </c>
      <c r="AD440" s="30">
        <v>47483.0</v>
      </c>
      <c r="AE440" s="29" t="s">
        <v>7053</v>
      </c>
      <c r="AF440" s="29" t="s">
        <v>7053</v>
      </c>
      <c r="AG440" s="32" t="s">
        <v>7043</v>
      </c>
      <c r="AH440" s="30">
        <v>47484.0</v>
      </c>
      <c r="AI440" s="30">
        <v>47848.0</v>
      </c>
      <c r="AJ440" s="29" t="s">
        <v>7053</v>
      </c>
      <c r="AK440" s="29" t="s">
        <v>7053</v>
      </c>
      <c r="AL440" s="32" t="s">
        <v>7043</v>
      </c>
    </row>
    <row r="441" ht="14.25" customHeight="1">
      <c r="A441" s="28" t="s">
        <v>4140</v>
      </c>
      <c r="B441" s="29" t="s">
        <v>4141</v>
      </c>
      <c r="C441" s="29" t="s">
        <v>7041</v>
      </c>
      <c r="D441" s="30">
        <v>45292.0</v>
      </c>
      <c r="E441" s="30">
        <v>45657.0</v>
      </c>
      <c r="F441" s="29" t="s">
        <v>7064</v>
      </c>
      <c r="G441" s="29" t="s">
        <v>7056</v>
      </c>
      <c r="H441" s="37" t="s">
        <v>7046</v>
      </c>
      <c r="I441" s="30">
        <v>45658.0</v>
      </c>
      <c r="J441" s="30">
        <v>46022.0</v>
      </c>
      <c r="K441" s="29" t="s">
        <v>7064</v>
      </c>
      <c r="L441" s="29" t="s">
        <v>7077</v>
      </c>
      <c r="M441" s="38" t="s">
        <v>7047</v>
      </c>
      <c r="N441" s="30">
        <v>46023.0</v>
      </c>
      <c r="O441" s="30">
        <v>46387.0</v>
      </c>
      <c r="P441" s="29" t="s">
        <v>7053</v>
      </c>
      <c r="Q441" s="29" t="s">
        <v>7053</v>
      </c>
      <c r="R441" s="32" t="s">
        <v>7043</v>
      </c>
      <c r="S441" s="30">
        <v>46388.0</v>
      </c>
      <c r="T441" s="30">
        <v>46752.0</v>
      </c>
      <c r="U441" s="29" t="s">
        <v>7053</v>
      </c>
      <c r="V441" s="29" t="s">
        <v>7053</v>
      </c>
      <c r="W441" s="32" t="s">
        <v>7043</v>
      </c>
      <c r="X441" s="30">
        <v>46753.0</v>
      </c>
      <c r="Y441" s="30">
        <v>47118.0</v>
      </c>
      <c r="Z441" s="29" t="s">
        <v>7053</v>
      </c>
      <c r="AA441" s="29" t="s">
        <v>7053</v>
      </c>
      <c r="AB441" s="32" t="s">
        <v>7043</v>
      </c>
      <c r="AC441" s="30">
        <v>47119.0</v>
      </c>
      <c r="AD441" s="30">
        <v>47483.0</v>
      </c>
      <c r="AE441" s="29" t="s">
        <v>7053</v>
      </c>
      <c r="AF441" s="29" t="s">
        <v>7053</v>
      </c>
      <c r="AG441" s="32" t="s">
        <v>7043</v>
      </c>
      <c r="AH441" s="30">
        <v>47484.0</v>
      </c>
      <c r="AI441" s="30">
        <v>47848.0</v>
      </c>
      <c r="AJ441" s="29" t="s">
        <v>7053</v>
      </c>
      <c r="AK441" s="29" t="s">
        <v>7053</v>
      </c>
      <c r="AL441" s="32" t="s">
        <v>7043</v>
      </c>
    </row>
    <row r="442" ht="14.25" customHeight="1">
      <c r="A442" s="28" t="s">
        <v>6716</v>
      </c>
      <c r="B442" s="29" t="s">
        <v>6717</v>
      </c>
      <c r="C442" s="29" t="s">
        <v>7041</v>
      </c>
      <c r="D442" s="30">
        <v>45292.0</v>
      </c>
      <c r="E442" s="30">
        <v>45657.0</v>
      </c>
      <c r="F442" s="29" t="s">
        <v>7056</v>
      </c>
      <c r="G442" s="29" t="s">
        <v>7111</v>
      </c>
      <c r="H442" s="37" t="s">
        <v>7046</v>
      </c>
      <c r="I442" s="30">
        <v>45658.0</v>
      </c>
      <c r="J442" s="30">
        <v>46022.0</v>
      </c>
      <c r="K442" s="29" t="s">
        <v>7117</v>
      </c>
      <c r="L442" s="29" t="s">
        <v>7111</v>
      </c>
      <c r="M442" s="38" t="s">
        <v>7047</v>
      </c>
      <c r="N442" s="30">
        <v>46023.0</v>
      </c>
      <c r="O442" s="30">
        <v>46387.0</v>
      </c>
      <c r="P442" s="29" t="s">
        <v>7053</v>
      </c>
      <c r="Q442" s="29" t="s">
        <v>7053</v>
      </c>
      <c r="R442" s="32" t="s">
        <v>7043</v>
      </c>
      <c r="S442" s="30">
        <v>46388.0</v>
      </c>
      <c r="T442" s="30">
        <v>46752.0</v>
      </c>
      <c r="U442" s="29" t="s">
        <v>7053</v>
      </c>
      <c r="V442" s="29" t="s">
        <v>7053</v>
      </c>
      <c r="W442" s="32" t="s">
        <v>7043</v>
      </c>
      <c r="X442" s="30">
        <v>46753.0</v>
      </c>
      <c r="Y442" s="30">
        <v>47118.0</v>
      </c>
      <c r="Z442" s="29" t="s">
        <v>7053</v>
      </c>
      <c r="AA442" s="29" t="s">
        <v>7053</v>
      </c>
      <c r="AB442" s="32" t="s">
        <v>7043</v>
      </c>
      <c r="AC442" s="30">
        <v>47119.0</v>
      </c>
      <c r="AD442" s="30">
        <v>47483.0</v>
      </c>
      <c r="AE442" s="29" t="s">
        <v>7053</v>
      </c>
      <c r="AF442" s="29" t="s">
        <v>7053</v>
      </c>
      <c r="AG442" s="32" t="s">
        <v>7043</v>
      </c>
      <c r="AH442" s="30">
        <v>47484.0</v>
      </c>
      <c r="AI442" s="30">
        <v>47848.0</v>
      </c>
      <c r="AJ442" s="29" t="s">
        <v>7053</v>
      </c>
      <c r="AK442" s="29" t="s">
        <v>7053</v>
      </c>
      <c r="AL442" s="32" t="s">
        <v>7043</v>
      </c>
    </row>
    <row r="443" ht="14.25" customHeight="1">
      <c r="A443" s="28" t="s">
        <v>139</v>
      </c>
      <c r="B443" s="29" t="s">
        <v>140</v>
      </c>
      <c r="C443" s="29" t="s">
        <v>7041</v>
      </c>
      <c r="D443" s="30">
        <v>45292.0</v>
      </c>
      <c r="E443" s="30">
        <v>45657.0</v>
      </c>
      <c r="F443" s="29" t="s">
        <v>7080</v>
      </c>
      <c r="G443" s="29" t="s">
        <v>7053</v>
      </c>
      <c r="H443" s="38" t="s">
        <v>7047</v>
      </c>
      <c r="I443" s="30">
        <v>45658.0</v>
      </c>
      <c r="J443" s="30">
        <v>46022.0</v>
      </c>
      <c r="K443" s="29" t="s">
        <v>7080</v>
      </c>
      <c r="L443" s="29" t="s">
        <v>7053</v>
      </c>
      <c r="M443" s="38" t="s">
        <v>7047</v>
      </c>
      <c r="N443" s="30">
        <v>46023.0</v>
      </c>
      <c r="O443" s="30">
        <v>46387.0</v>
      </c>
      <c r="P443" s="29" t="s">
        <v>7053</v>
      </c>
      <c r="Q443" s="29" t="s">
        <v>7053</v>
      </c>
      <c r="R443" s="32" t="s">
        <v>7043</v>
      </c>
      <c r="S443" s="30">
        <v>46388.0</v>
      </c>
      <c r="T443" s="30">
        <v>46752.0</v>
      </c>
      <c r="U443" s="29" t="s">
        <v>7053</v>
      </c>
      <c r="V443" s="29" t="s">
        <v>7053</v>
      </c>
      <c r="W443" s="32" t="s">
        <v>7043</v>
      </c>
      <c r="X443" s="30">
        <v>46753.0</v>
      </c>
      <c r="Y443" s="30">
        <v>47118.0</v>
      </c>
      <c r="Z443" s="29" t="s">
        <v>7053</v>
      </c>
      <c r="AA443" s="29" t="s">
        <v>7053</v>
      </c>
      <c r="AB443" s="32" t="s">
        <v>7043</v>
      </c>
      <c r="AC443" s="30">
        <v>47119.0</v>
      </c>
      <c r="AD443" s="30">
        <v>47483.0</v>
      </c>
      <c r="AE443" s="29" t="s">
        <v>7053</v>
      </c>
      <c r="AF443" s="29" t="s">
        <v>7053</v>
      </c>
      <c r="AG443" s="32" t="s">
        <v>7043</v>
      </c>
      <c r="AH443" s="30">
        <v>47484.0</v>
      </c>
      <c r="AI443" s="30">
        <v>47848.0</v>
      </c>
      <c r="AJ443" s="29" t="s">
        <v>7053</v>
      </c>
      <c r="AK443" s="29" t="s">
        <v>7053</v>
      </c>
      <c r="AL443" s="32" t="s">
        <v>7043</v>
      </c>
    </row>
    <row r="444" ht="14.25" customHeight="1">
      <c r="A444" s="28" t="s">
        <v>1117</v>
      </c>
      <c r="B444" s="29" t="s">
        <v>1118</v>
      </c>
      <c r="C444" s="29" t="s">
        <v>7041</v>
      </c>
      <c r="D444" s="30">
        <v>45292.0</v>
      </c>
      <c r="E444" s="30">
        <v>45657.0</v>
      </c>
      <c r="F444" s="29" t="s">
        <v>7070</v>
      </c>
      <c r="G444" s="29" t="s">
        <v>7053</v>
      </c>
      <c r="H444" s="38" t="s">
        <v>7047</v>
      </c>
      <c r="I444" s="30">
        <v>45658.0</v>
      </c>
      <c r="J444" s="30">
        <v>46022.0</v>
      </c>
      <c r="K444" s="29" t="s">
        <v>7079</v>
      </c>
      <c r="L444" s="29" t="s">
        <v>7053</v>
      </c>
      <c r="M444" s="38" t="s">
        <v>7047</v>
      </c>
      <c r="N444" s="30">
        <v>46023.0</v>
      </c>
      <c r="O444" s="30">
        <v>46387.0</v>
      </c>
      <c r="P444" s="29" t="s">
        <v>7053</v>
      </c>
      <c r="Q444" s="29" t="s">
        <v>7053</v>
      </c>
      <c r="R444" s="32" t="s">
        <v>7043</v>
      </c>
      <c r="S444" s="30">
        <v>46388.0</v>
      </c>
      <c r="T444" s="30">
        <v>46752.0</v>
      </c>
      <c r="U444" s="29" t="s">
        <v>7053</v>
      </c>
      <c r="V444" s="29" t="s">
        <v>7053</v>
      </c>
      <c r="W444" s="32" t="s">
        <v>7043</v>
      </c>
      <c r="X444" s="30">
        <v>46753.0</v>
      </c>
      <c r="Y444" s="30">
        <v>47118.0</v>
      </c>
      <c r="Z444" s="29" t="s">
        <v>7053</v>
      </c>
      <c r="AA444" s="29" t="s">
        <v>7053</v>
      </c>
      <c r="AB444" s="32" t="s">
        <v>7043</v>
      </c>
      <c r="AC444" s="30">
        <v>47119.0</v>
      </c>
      <c r="AD444" s="30">
        <v>47483.0</v>
      </c>
      <c r="AE444" s="29" t="s">
        <v>7053</v>
      </c>
      <c r="AF444" s="29" t="s">
        <v>7053</v>
      </c>
      <c r="AG444" s="32" t="s">
        <v>7043</v>
      </c>
      <c r="AH444" s="30">
        <v>47484.0</v>
      </c>
      <c r="AI444" s="30">
        <v>47848.0</v>
      </c>
      <c r="AJ444" s="29" t="s">
        <v>7053</v>
      </c>
      <c r="AK444" s="29" t="s">
        <v>7053</v>
      </c>
      <c r="AL444" s="32" t="s">
        <v>7043</v>
      </c>
    </row>
    <row r="445" ht="14.25" customHeight="1">
      <c r="A445" s="28" t="s">
        <v>1850</v>
      </c>
      <c r="B445" s="29" t="s">
        <v>1851</v>
      </c>
      <c r="C445" s="29" t="s">
        <v>7041</v>
      </c>
      <c r="D445" s="30">
        <v>45292.0</v>
      </c>
      <c r="E445" s="30">
        <v>45657.0</v>
      </c>
      <c r="F445" s="29" t="s">
        <v>7071</v>
      </c>
      <c r="G445" s="29" t="s">
        <v>7053</v>
      </c>
      <c r="H445" s="38" t="s">
        <v>7047</v>
      </c>
      <c r="I445" s="30">
        <v>45658.0</v>
      </c>
      <c r="J445" s="30">
        <v>46022.0</v>
      </c>
      <c r="K445" s="29" t="s">
        <v>7053</v>
      </c>
      <c r="L445" s="29" t="s">
        <v>7053</v>
      </c>
      <c r="M445" s="32" t="s">
        <v>7043</v>
      </c>
      <c r="N445" s="30">
        <v>46023.0</v>
      </c>
      <c r="O445" s="30">
        <v>46387.0</v>
      </c>
      <c r="P445" s="29" t="s">
        <v>7053</v>
      </c>
      <c r="Q445" s="29" t="s">
        <v>7053</v>
      </c>
      <c r="R445" s="32" t="s">
        <v>7043</v>
      </c>
      <c r="S445" s="30">
        <v>46388.0</v>
      </c>
      <c r="T445" s="30">
        <v>46752.0</v>
      </c>
      <c r="U445" s="29" t="s">
        <v>7053</v>
      </c>
      <c r="V445" s="29" t="s">
        <v>7053</v>
      </c>
      <c r="W445" s="32" t="s">
        <v>7043</v>
      </c>
      <c r="X445" s="30">
        <v>46753.0</v>
      </c>
      <c r="Y445" s="30">
        <v>47118.0</v>
      </c>
      <c r="Z445" s="29" t="s">
        <v>7053</v>
      </c>
      <c r="AA445" s="29" t="s">
        <v>7053</v>
      </c>
      <c r="AB445" s="32" t="s">
        <v>7043</v>
      </c>
      <c r="AC445" s="30">
        <v>47119.0</v>
      </c>
      <c r="AD445" s="30">
        <v>47483.0</v>
      </c>
      <c r="AE445" s="29" t="s">
        <v>7053</v>
      </c>
      <c r="AF445" s="29" t="s">
        <v>7053</v>
      </c>
      <c r="AG445" s="32" t="s">
        <v>7043</v>
      </c>
      <c r="AH445" s="30">
        <v>47484.0</v>
      </c>
      <c r="AI445" s="30">
        <v>47848.0</v>
      </c>
      <c r="AJ445" s="29" t="s">
        <v>7053</v>
      </c>
      <c r="AK445" s="29" t="s">
        <v>7053</v>
      </c>
      <c r="AL445" s="32" t="s">
        <v>7043</v>
      </c>
    </row>
    <row r="446" ht="14.25" customHeight="1">
      <c r="A446" s="28" t="s">
        <v>5893</v>
      </c>
      <c r="B446" s="29" t="s">
        <v>5894</v>
      </c>
      <c r="C446" s="29" t="s">
        <v>7041</v>
      </c>
      <c r="D446" s="30">
        <v>45292.0</v>
      </c>
      <c r="E446" s="30">
        <v>45657.0</v>
      </c>
      <c r="F446" s="29" t="s">
        <v>7053</v>
      </c>
      <c r="G446" s="29" t="s">
        <v>7053</v>
      </c>
      <c r="H446" s="32" t="s">
        <v>7043</v>
      </c>
      <c r="I446" s="30">
        <v>45658.0</v>
      </c>
      <c r="J446" s="30">
        <v>46022.0</v>
      </c>
      <c r="K446" s="29" t="s">
        <v>7080</v>
      </c>
      <c r="L446" s="29" t="s">
        <v>7053</v>
      </c>
      <c r="M446" s="32" t="s">
        <v>7047</v>
      </c>
      <c r="N446" s="30">
        <v>46023.0</v>
      </c>
      <c r="O446" s="30">
        <v>46387.0</v>
      </c>
      <c r="P446" s="29" t="s">
        <v>7053</v>
      </c>
      <c r="Q446" s="29" t="s">
        <v>7053</v>
      </c>
      <c r="R446" s="32" t="s">
        <v>7043</v>
      </c>
      <c r="S446" s="30">
        <v>46388.0</v>
      </c>
      <c r="T446" s="30">
        <v>46752.0</v>
      </c>
      <c r="U446" s="29" t="s">
        <v>7053</v>
      </c>
      <c r="V446" s="29" t="s">
        <v>7053</v>
      </c>
      <c r="W446" s="32" t="s">
        <v>7043</v>
      </c>
      <c r="X446" s="30">
        <v>46753.0</v>
      </c>
      <c r="Y446" s="30">
        <v>47118.0</v>
      </c>
      <c r="Z446" s="29" t="s">
        <v>7053</v>
      </c>
      <c r="AA446" s="29" t="s">
        <v>7053</v>
      </c>
      <c r="AB446" s="32" t="s">
        <v>7043</v>
      </c>
      <c r="AC446" s="30">
        <v>47119.0</v>
      </c>
      <c r="AD446" s="30">
        <v>47483.0</v>
      </c>
      <c r="AE446" s="29" t="s">
        <v>7053</v>
      </c>
      <c r="AF446" s="29" t="s">
        <v>7053</v>
      </c>
      <c r="AG446" s="32" t="s">
        <v>7043</v>
      </c>
      <c r="AH446" s="30">
        <v>47484.0</v>
      </c>
      <c r="AI446" s="30">
        <v>47848.0</v>
      </c>
      <c r="AJ446" s="29" t="s">
        <v>7053</v>
      </c>
      <c r="AK446" s="29" t="s">
        <v>7053</v>
      </c>
      <c r="AL446" s="32" t="s">
        <v>7043</v>
      </c>
    </row>
    <row r="447" ht="14.25" customHeight="1">
      <c r="A447" s="28" t="s">
        <v>434</v>
      </c>
      <c r="B447" s="29" t="s">
        <v>435</v>
      </c>
      <c r="C447" s="29" t="s">
        <v>7041</v>
      </c>
      <c r="D447" s="30">
        <v>45292.0</v>
      </c>
      <c r="E447" s="30">
        <v>45657.0</v>
      </c>
      <c r="F447" s="29" t="s">
        <v>7141</v>
      </c>
      <c r="G447" s="29" t="s">
        <v>7053</v>
      </c>
      <c r="H447" s="38" t="s">
        <v>7047</v>
      </c>
      <c r="I447" s="30">
        <v>45658.0</v>
      </c>
      <c r="J447" s="30">
        <v>46022.0</v>
      </c>
      <c r="K447" s="29" t="s">
        <v>7057</v>
      </c>
      <c r="L447" s="29" t="s">
        <v>7053</v>
      </c>
      <c r="M447" s="38" t="s">
        <v>7047</v>
      </c>
      <c r="N447" s="30">
        <v>46023.0</v>
      </c>
      <c r="O447" s="30">
        <v>46387.0</v>
      </c>
      <c r="P447" s="29" t="s">
        <v>7053</v>
      </c>
      <c r="Q447" s="29" t="s">
        <v>7053</v>
      </c>
      <c r="R447" s="32" t="s">
        <v>7043</v>
      </c>
      <c r="S447" s="30">
        <v>46388.0</v>
      </c>
      <c r="T447" s="30">
        <v>46752.0</v>
      </c>
      <c r="U447" s="29" t="s">
        <v>7053</v>
      </c>
      <c r="V447" s="29" t="s">
        <v>7053</v>
      </c>
      <c r="W447" s="32" t="s">
        <v>7043</v>
      </c>
      <c r="X447" s="30">
        <v>46753.0</v>
      </c>
      <c r="Y447" s="30">
        <v>47118.0</v>
      </c>
      <c r="Z447" s="29" t="s">
        <v>7053</v>
      </c>
      <c r="AA447" s="29" t="s">
        <v>7053</v>
      </c>
      <c r="AB447" s="32" t="s">
        <v>7043</v>
      </c>
      <c r="AC447" s="30">
        <v>47119.0</v>
      </c>
      <c r="AD447" s="30">
        <v>47483.0</v>
      </c>
      <c r="AE447" s="29" t="s">
        <v>7053</v>
      </c>
      <c r="AF447" s="29" t="s">
        <v>7053</v>
      </c>
      <c r="AG447" s="32" t="s">
        <v>7043</v>
      </c>
      <c r="AH447" s="30">
        <v>47484.0</v>
      </c>
      <c r="AI447" s="30">
        <v>47848.0</v>
      </c>
      <c r="AJ447" s="29" t="s">
        <v>7053</v>
      </c>
      <c r="AK447" s="29" t="s">
        <v>7053</v>
      </c>
      <c r="AL447" s="32" t="s">
        <v>7043</v>
      </c>
    </row>
    <row r="448" ht="14.25" customHeight="1">
      <c r="A448" s="28" t="s">
        <v>3943</v>
      </c>
      <c r="B448" s="34" t="s">
        <v>3944</v>
      </c>
      <c r="C448" s="29" t="s">
        <v>7041</v>
      </c>
      <c r="D448" s="30">
        <v>45292.0</v>
      </c>
      <c r="E448" s="30">
        <v>45657.0</v>
      </c>
      <c r="F448" s="29" t="s">
        <v>7053</v>
      </c>
      <c r="G448" s="29" t="s">
        <v>7053</v>
      </c>
      <c r="H448" s="32" t="s">
        <v>7043</v>
      </c>
      <c r="I448" s="30">
        <v>45658.0</v>
      </c>
      <c r="J448" s="30">
        <v>46022.0</v>
      </c>
      <c r="K448" s="29" t="s">
        <v>7053</v>
      </c>
      <c r="L448" s="29" t="s">
        <v>7071</v>
      </c>
      <c r="M448" s="32" t="s">
        <v>7043</v>
      </c>
      <c r="N448" s="30">
        <v>46023.0</v>
      </c>
      <c r="O448" s="30">
        <v>46387.0</v>
      </c>
      <c r="P448" s="29" t="s">
        <v>7053</v>
      </c>
      <c r="Q448" s="29" t="s">
        <v>7053</v>
      </c>
      <c r="R448" s="32" t="s">
        <v>7043</v>
      </c>
      <c r="S448" s="30">
        <v>46388.0</v>
      </c>
      <c r="T448" s="30">
        <v>46752.0</v>
      </c>
      <c r="U448" s="29" t="s">
        <v>7053</v>
      </c>
      <c r="V448" s="29" t="s">
        <v>7053</v>
      </c>
      <c r="W448" s="32" t="s">
        <v>7043</v>
      </c>
      <c r="X448" s="30">
        <v>46753.0</v>
      </c>
      <c r="Y448" s="30">
        <v>47118.0</v>
      </c>
      <c r="Z448" s="29" t="s">
        <v>7053</v>
      </c>
      <c r="AA448" s="29" t="s">
        <v>7053</v>
      </c>
      <c r="AB448" s="32" t="s">
        <v>7043</v>
      </c>
      <c r="AC448" s="30">
        <v>47119.0</v>
      </c>
      <c r="AD448" s="30">
        <v>47483.0</v>
      </c>
      <c r="AE448" s="29" t="s">
        <v>7053</v>
      </c>
      <c r="AF448" s="29" t="s">
        <v>7053</v>
      </c>
      <c r="AG448" s="32" t="s">
        <v>7043</v>
      </c>
      <c r="AH448" s="30">
        <v>47484.0</v>
      </c>
      <c r="AI448" s="30">
        <v>47848.0</v>
      </c>
      <c r="AJ448" s="29" t="s">
        <v>7053</v>
      </c>
      <c r="AK448" s="29" t="s">
        <v>7053</v>
      </c>
      <c r="AL448" s="32" t="s">
        <v>7043</v>
      </c>
    </row>
    <row r="449" ht="14.25" customHeight="1">
      <c r="A449" s="28" t="s">
        <v>6848</v>
      </c>
      <c r="B449" s="29" t="s">
        <v>6849</v>
      </c>
      <c r="C449" s="29" t="s">
        <v>7041</v>
      </c>
      <c r="D449" s="30">
        <v>45292.0</v>
      </c>
      <c r="E449" s="30">
        <v>45657.0</v>
      </c>
      <c r="F449" s="29" t="s">
        <v>7070</v>
      </c>
      <c r="G449" s="29" t="s">
        <v>7053</v>
      </c>
      <c r="H449" s="38" t="s">
        <v>7047</v>
      </c>
      <c r="I449" s="30">
        <v>45658.0</v>
      </c>
      <c r="J449" s="30">
        <v>46022.0</v>
      </c>
      <c r="K449" s="29" t="s">
        <v>7079</v>
      </c>
      <c r="L449" s="29" t="s">
        <v>7053</v>
      </c>
      <c r="M449" s="38" t="s">
        <v>7047</v>
      </c>
      <c r="N449" s="30">
        <v>46023.0</v>
      </c>
      <c r="O449" s="30">
        <v>46387.0</v>
      </c>
      <c r="P449" s="29" t="s">
        <v>7053</v>
      </c>
      <c r="Q449" s="29" t="s">
        <v>7053</v>
      </c>
      <c r="R449" s="32" t="s">
        <v>7043</v>
      </c>
      <c r="S449" s="30">
        <v>46388.0</v>
      </c>
      <c r="T449" s="30">
        <v>46752.0</v>
      </c>
      <c r="U449" s="29" t="s">
        <v>7053</v>
      </c>
      <c r="V449" s="29" t="s">
        <v>7053</v>
      </c>
      <c r="W449" s="32" t="s">
        <v>7043</v>
      </c>
      <c r="X449" s="30">
        <v>46753.0</v>
      </c>
      <c r="Y449" s="30">
        <v>47118.0</v>
      </c>
      <c r="Z449" s="29" t="s">
        <v>7053</v>
      </c>
      <c r="AA449" s="29" t="s">
        <v>7053</v>
      </c>
      <c r="AB449" s="32" t="s">
        <v>7043</v>
      </c>
      <c r="AC449" s="30">
        <v>47119.0</v>
      </c>
      <c r="AD449" s="30">
        <v>47483.0</v>
      </c>
      <c r="AE449" s="29" t="s">
        <v>7053</v>
      </c>
      <c r="AF449" s="29" t="s">
        <v>7053</v>
      </c>
      <c r="AG449" s="32" t="s">
        <v>7043</v>
      </c>
      <c r="AH449" s="30">
        <v>47484.0</v>
      </c>
      <c r="AI449" s="30">
        <v>47848.0</v>
      </c>
      <c r="AJ449" s="29" t="s">
        <v>7053</v>
      </c>
      <c r="AK449" s="29" t="s">
        <v>7053</v>
      </c>
      <c r="AL449" s="32" t="s">
        <v>7043</v>
      </c>
    </row>
    <row r="450" ht="14.25" customHeight="1">
      <c r="A450" s="28" t="s">
        <v>4393</v>
      </c>
      <c r="B450" s="29" t="s">
        <v>4394</v>
      </c>
      <c r="C450" s="29" t="s">
        <v>7041</v>
      </c>
      <c r="D450" s="30">
        <v>45292.0</v>
      </c>
      <c r="E450" s="30">
        <v>45657.0</v>
      </c>
      <c r="F450" s="29" t="s">
        <v>7096</v>
      </c>
      <c r="G450" s="29" t="s">
        <v>7080</v>
      </c>
      <c r="H450" s="38" t="s">
        <v>7047</v>
      </c>
      <c r="I450" s="30">
        <v>45658.0</v>
      </c>
      <c r="J450" s="30">
        <v>46022.0</v>
      </c>
      <c r="K450" s="29" t="s">
        <v>7089</v>
      </c>
      <c r="L450" s="29" t="s">
        <v>7080</v>
      </c>
      <c r="M450" s="38" t="s">
        <v>7047</v>
      </c>
      <c r="N450" s="30">
        <v>46023.0</v>
      </c>
      <c r="O450" s="30">
        <v>46387.0</v>
      </c>
      <c r="P450" s="29" t="s">
        <v>7053</v>
      </c>
      <c r="Q450" s="29" t="s">
        <v>7080</v>
      </c>
      <c r="R450" s="32" t="s">
        <v>7043</v>
      </c>
      <c r="S450" s="30">
        <v>46388.0</v>
      </c>
      <c r="T450" s="30">
        <v>46752.0</v>
      </c>
      <c r="U450" s="29" t="s">
        <v>7053</v>
      </c>
      <c r="V450" s="29" t="s">
        <v>7080</v>
      </c>
      <c r="W450" s="32" t="s">
        <v>7043</v>
      </c>
      <c r="X450" s="30">
        <v>46753.0</v>
      </c>
      <c r="Y450" s="30">
        <v>47118.0</v>
      </c>
      <c r="Z450" s="29" t="s">
        <v>7053</v>
      </c>
      <c r="AA450" s="29" t="s">
        <v>7080</v>
      </c>
      <c r="AB450" s="32" t="s">
        <v>7043</v>
      </c>
      <c r="AC450" s="30">
        <v>47119.0</v>
      </c>
      <c r="AD450" s="30">
        <v>47483.0</v>
      </c>
      <c r="AE450" s="29" t="s">
        <v>7053</v>
      </c>
      <c r="AF450" s="29" t="s">
        <v>7080</v>
      </c>
      <c r="AG450" s="32" t="s">
        <v>7043</v>
      </c>
      <c r="AH450" s="30">
        <v>47484.0</v>
      </c>
      <c r="AI450" s="30">
        <v>47848.0</v>
      </c>
      <c r="AJ450" s="29" t="s">
        <v>7053</v>
      </c>
      <c r="AK450" s="29" t="s">
        <v>7080</v>
      </c>
      <c r="AL450" s="32" t="s">
        <v>7043</v>
      </c>
    </row>
    <row r="451" ht="14.25" customHeight="1">
      <c r="A451" s="28" t="s">
        <v>767</v>
      </c>
      <c r="B451" s="29" t="s">
        <v>768</v>
      </c>
      <c r="C451" s="29" t="s">
        <v>7041</v>
      </c>
      <c r="D451" s="30">
        <v>45292.0</v>
      </c>
      <c r="E451" s="30">
        <v>45657.0</v>
      </c>
      <c r="F451" s="29" t="s">
        <v>7094</v>
      </c>
      <c r="G451" s="29" t="s">
        <v>7053</v>
      </c>
      <c r="H451" s="38" t="s">
        <v>7047</v>
      </c>
      <c r="I451" s="30">
        <v>45658.0</v>
      </c>
      <c r="J451" s="30">
        <v>46022.0</v>
      </c>
      <c r="K451" s="29" t="s">
        <v>7063</v>
      </c>
      <c r="L451" s="29" t="s">
        <v>7053</v>
      </c>
      <c r="M451" s="38" t="s">
        <v>7047</v>
      </c>
      <c r="N451" s="30">
        <v>46023.0</v>
      </c>
      <c r="O451" s="30">
        <v>46387.0</v>
      </c>
      <c r="P451" s="29" t="s">
        <v>7053</v>
      </c>
      <c r="Q451" s="29" t="s">
        <v>7053</v>
      </c>
      <c r="R451" s="32" t="s">
        <v>7043</v>
      </c>
      <c r="S451" s="30">
        <v>46388.0</v>
      </c>
      <c r="T451" s="30">
        <v>46752.0</v>
      </c>
      <c r="U451" s="29" t="s">
        <v>7053</v>
      </c>
      <c r="V451" s="29" t="s">
        <v>7053</v>
      </c>
      <c r="W451" s="32" t="s">
        <v>7043</v>
      </c>
      <c r="X451" s="30">
        <v>46753.0</v>
      </c>
      <c r="Y451" s="30">
        <v>47118.0</v>
      </c>
      <c r="Z451" s="29" t="s">
        <v>7053</v>
      </c>
      <c r="AA451" s="29" t="s">
        <v>7053</v>
      </c>
      <c r="AB451" s="32" t="s">
        <v>7043</v>
      </c>
      <c r="AC451" s="30">
        <v>47119.0</v>
      </c>
      <c r="AD451" s="30">
        <v>47483.0</v>
      </c>
      <c r="AE451" s="29" t="s">
        <v>7053</v>
      </c>
      <c r="AF451" s="29" t="s">
        <v>7053</v>
      </c>
      <c r="AG451" s="32" t="s">
        <v>7043</v>
      </c>
      <c r="AH451" s="30">
        <v>47484.0</v>
      </c>
      <c r="AI451" s="30">
        <v>47848.0</v>
      </c>
      <c r="AJ451" s="29" t="s">
        <v>7053</v>
      </c>
      <c r="AK451" s="29" t="s">
        <v>7053</v>
      </c>
      <c r="AL451" s="32" t="s">
        <v>7043</v>
      </c>
    </row>
    <row r="452" ht="14.25" customHeight="1">
      <c r="A452" s="28" t="s">
        <v>6172</v>
      </c>
      <c r="B452" s="29" t="s">
        <v>6173</v>
      </c>
      <c r="C452" s="29" t="s">
        <v>7041</v>
      </c>
      <c r="D452" s="30">
        <v>45292.0</v>
      </c>
      <c r="E452" s="30">
        <v>45657.0</v>
      </c>
      <c r="F452" s="29" t="s">
        <v>7053</v>
      </c>
      <c r="G452" s="29" t="s">
        <v>7053</v>
      </c>
      <c r="H452" s="32" t="s">
        <v>7043</v>
      </c>
      <c r="I452" s="30">
        <v>45658.0</v>
      </c>
      <c r="J452" s="30">
        <v>46022.0</v>
      </c>
      <c r="K452" s="29" t="s">
        <v>7053</v>
      </c>
      <c r="L452" s="29" t="s">
        <v>7053</v>
      </c>
      <c r="M452" s="32" t="s">
        <v>7043</v>
      </c>
      <c r="N452" s="30">
        <v>46023.0</v>
      </c>
      <c r="O452" s="30">
        <v>46387.0</v>
      </c>
      <c r="P452" s="29" t="s">
        <v>7053</v>
      </c>
      <c r="Q452" s="29" t="s">
        <v>7053</v>
      </c>
      <c r="R452" s="32" t="s">
        <v>7043</v>
      </c>
      <c r="S452" s="30">
        <v>46388.0</v>
      </c>
      <c r="T452" s="30">
        <v>46752.0</v>
      </c>
      <c r="U452" s="29" t="s">
        <v>7053</v>
      </c>
      <c r="V452" s="29" t="s">
        <v>7053</v>
      </c>
      <c r="W452" s="32" t="s">
        <v>7043</v>
      </c>
      <c r="X452" s="30">
        <v>46753.0</v>
      </c>
      <c r="Y452" s="30">
        <v>47118.0</v>
      </c>
      <c r="Z452" s="29" t="s">
        <v>7053</v>
      </c>
      <c r="AA452" s="29" t="s">
        <v>7053</v>
      </c>
      <c r="AB452" s="32" t="s">
        <v>7043</v>
      </c>
      <c r="AC452" s="30">
        <v>47119.0</v>
      </c>
      <c r="AD452" s="30">
        <v>47483.0</v>
      </c>
      <c r="AE452" s="29" t="s">
        <v>7053</v>
      </c>
      <c r="AF452" s="29" t="s">
        <v>7053</v>
      </c>
      <c r="AG452" s="32" t="s">
        <v>7043</v>
      </c>
      <c r="AH452" s="30">
        <v>47484.0</v>
      </c>
      <c r="AI452" s="30">
        <v>47848.0</v>
      </c>
      <c r="AJ452" s="29" t="s">
        <v>7053</v>
      </c>
      <c r="AK452" s="29" t="s">
        <v>7053</v>
      </c>
      <c r="AL452" s="32" t="s">
        <v>7043</v>
      </c>
    </row>
    <row r="453" ht="14.25" customHeight="1">
      <c r="A453" s="28" t="s">
        <v>308</v>
      </c>
      <c r="B453" s="29" t="s">
        <v>309</v>
      </c>
      <c r="C453" s="29" t="s">
        <v>7041</v>
      </c>
      <c r="D453" s="30">
        <v>45292.0</v>
      </c>
      <c r="E453" s="30">
        <v>45657.0</v>
      </c>
      <c r="F453" s="29" t="s">
        <v>7079</v>
      </c>
      <c r="G453" s="29" t="s">
        <v>7053</v>
      </c>
      <c r="H453" s="38" t="s">
        <v>7047</v>
      </c>
      <c r="I453" s="30">
        <v>45658.0</v>
      </c>
      <c r="J453" s="30">
        <v>46022.0</v>
      </c>
      <c r="K453" s="29" t="s">
        <v>7089</v>
      </c>
      <c r="L453" s="29" t="s">
        <v>7053</v>
      </c>
      <c r="M453" s="38" t="s">
        <v>7047</v>
      </c>
      <c r="N453" s="30">
        <v>46023.0</v>
      </c>
      <c r="O453" s="30">
        <v>46387.0</v>
      </c>
      <c r="P453" s="29" t="s">
        <v>7053</v>
      </c>
      <c r="Q453" s="29" t="s">
        <v>7053</v>
      </c>
      <c r="R453" s="32" t="s">
        <v>7043</v>
      </c>
      <c r="S453" s="30">
        <v>46388.0</v>
      </c>
      <c r="T453" s="30">
        <v>46752.0</v>
      </c>
      <c r="U453" s="29" t="s">
        <v>7053</v>
      </c>
      <c r="V453" s="29" t="s">
        <v>7053</v>
      </c>
      <c r="W453" s="32" t="s">
        <v>7043</v>
      </c>
      <c r="X453" s="30">
        <v>46753.0</v>
      </c>
      <c r="Y453" s="30">
        <v>47118.0</v>
      </c>
      <c r="Z453" s="29" t="s">
        <v>7053</v>
      </c>
      <c r="AA453" s="29" t="s">
        <v>7053</v>
      </c>
      <c r="AB453" s="32" t="s">
        <v>7043</v>
      </c>
      <c r="AC453" s="30">
        <v>47119.0</v>
      </c>
      <c r="AD453" s="30">
        <v>47483.0</v>
      </c>
      <c r="AE453" s="29" t="s">
        <v>7053</v>
      </c>
      <c r="AF453" s="29" t="s">
        <v>7053</v>
      </c>
      <c r="AG453" s="32" t="s">
        <v>7043</v>
      </c>
      <c r="AH453" s="30">
        <v>47484.0</v>
      </c>
      <c r="AI453" s="30">
        <v>47848.0</v>
      </c>
      <c r="AJ453" s="29" t="s">
        <v>7053</v>
      </c>
      <c r="AK453" s="29" t="s">
        <v>7053</v>
      </c>
      <c r="AL453" s="32" t="s">
        <v>7043</v>
      </c>
    </row>
    <row r="454" ht="14.25" customHeight="1">
      <c r="A454" s="28" t="s">
        <v>1811</v>
      </c>
      <c r="B454" s="29" t="s">
        <v>1812</v>
      </c>
      <c r="C454" s="29" t="s">
        <v>7041</v>
      </c>
      <c r="D454" s="30">
        <v>45292.0</v>
      </c>
      <c r="E454" s="30">
        <v>45657.0</v>
      </c>
      <c r="F454" s="29" t="s">
        <v>7111</v>
      </c>
      <c r="G454" s="29" t="s">
        <v>7053</v>
      </c>
      <c r="H454" s="38" t="s">
        <v>7047</v>
      </c>
      <c r="I454" s="30">
        <v>45658.0</v>
      </c>
      <c r="J454" s="30">
        <v>46022.0</v>
      </c>
      <c r="K454" s="29" t="s">
        <v>7111</v>
      </c>
      <c r="L454" s="29" t="s">
        <v>7053</v>
      </c>
      <c r="M454" s="38" t="s">
        <v>7047</v>
      </c>
      <c r="N454" s="30">
        <v>46023.0</v>
      </c>
      <c r="O454" s="30">
        <v>46387.0</v>
      </c>
      <c r="P454" s="29" t="s">
        <v>7053</v>
      </c>
      <c r="Q454" s="29" t="s">
        <v>7053</v>
      </c>
      <c r="R454" s="32" t="s">
        <v>7043</v>
      </c>
      <c r="S454" s="30">
        <v>46388.0</v>
      </c>
      <c r="T454" s="30">
        <v>46752.0</v>
      </c>
      <c r="U454" s="29" t="s">
        <v>7053</v>
      </c>
      <c r="V454" s="29" t="s">
        <v>7053</v>
      </c>
      <c r="W454" s="32" t="s">
        <v>7043</v>
      </c>
      <c r="X454" s="30">
        <v>46753.0</v>
      </c>
      <c r="Y454" s="30">
        <v>47118.0</v>
      </c>
      <c r="Z454" s="29" t="s">
        <v>7053</v>
      </c>
      <c r="AA454" s="29" t="s">
        <v>7053</v>
      </c>
      <c r="AB454" s="32" t="s">
        <v>7043</v>
      </c>
      <c r="AC454" s="30">
        <v>47119.0</v>
      </c>
      <c r="AD454" s="30">
        <v>47483.0</v>
      </c>
      <c r="AE454" s="29" t="s">
        <v>7053</v>
      </c>
      <c r="AF454" s="29" t="s">
        <v>7053</v>
      </c>
      <c r="AG454" s="32" t="s">
        <v>7043</v>
      </c>
      <c r="AH454" s="30">
        <v>47484.0</v>
      </c>
      <c r="AI454" s="30">
        <v>47848.0</v>
      </c>
      <c r="AJ454" s="29" t="s">
        <v>7053</v>
      </c>
      <c r="AK454" s="29" t="s">
        <v>7053</v>
      </c>
      <c r="AL454" s="32" t="s">
        <v>7043</v>
      </c>
    </row>
    <row r="455" ht="14.25" customHeight="1">
      <c r="A455" s="28" t="s">
        <v>3330</v>
      </c>
      <c r="B455" s="29" t="s">
        <v>3331</v>
      </c>
      <c r="C455" s="29" t="s">
        <v>7041</v>
      </c>
      <c r="D455" s="30">
        <v>45292.0</v>
      </c>
      <c r="E455" s="30">
        <v>45657.0</v>
      </c>
      <c r="F455" s="29" t="s">
        <v>7062</v>
      </c>
      <c r="G455" s="29" t="s">
        <v>7053</v>
      </c>
      <c r="H455" s="38" t="s">
        <v>7047</v>
      </c>
      <c r="I455" s="30">
        <v>45658.0</v>
      </c>
      <c r="J455" s="30">
        <v>46022.0</v>
      </c>
      <c r="K455" s="29" t="s">
        <v>7062</v>
      </c>
      <c r="L455" s="29" t="s">
        <v>7053</v>
      </c>
      <c r="M455" s="38" t="s">
        <v>7047</v>
      </c>
      <c r="N455" s="30">
        <v>46023.0</v>
      </c>
      <c r="O455" s="30">
        <v>46387.0</v>
      </c>
      <c r="P455" s="29" t="s">
        <v>7053</v>
      </c>
      <c r="Q455" s="29" t="s">
        <v>7053</v>
      </c>
      <c r="R455" s="32" t="s">
        <v>7043</v>
      </c>
      <c r="S455" s="30">
        <v>46388.0</v>
      </c>
      <c r="T455" s="30">
        <v>46752.0</v>
      </c>
      <c r="U455" s="29" t="s">
        <v>7053</v>
      </c>
      <c r="V455" s="29" t="s">
        <v>7053</v>
      </c>
      <c r="W455" s="32" t="s">
        <v>7043</v>
      </c>
      <c r="X455" s="30">
        <v>46753.0</v>
      </c>
      <c r="Y455" s="30">
        <v>47118.0</v>
      </c>
      <c r="Z455" s="29" t="s">
        <v>7053</v>
      </c>
      <c r="AA455" s="29" t="s">
        <v>7053</v>
      </c>
      <c r="AB455" s="32" t="s">
        <v>7043</v>
      </c>
      <c r="AC455" s="30">
        <v>47119.0</v>
      </c>
      <c r="AD455" s="30">
        <v>47483.0</v>
      </c>
      <c r="AE455" s="29" t="s">
        <v>7053</v>
      </c>
      <c r="AF455" s="29" t="s">
        <v>7053</v>
      </c>
      <c r="AG455" s="32" t="s">
        <v>7043</v>
      </c>
      <c r="AH455" s="30">
        <v>47484.0</v>
      </c>
      <c r="AI455" s="30">
        <v>47848.0</v>
      </c>
      <c r="AJ455" s="29" t="s">
        <v>7053</v>
      </c>
      <c r="AK455" s="29" t="s">
        <v>7053</v>
      </c>
      <c r="AL455" s="32" t="s">
        <v>7043</v>
      </c>
    </row>
    <row r="456" ht="14.25" customHeight="1">
      <c r="A456" s="28" t="s">
        <v>5036</v>
      </c>
      <c r="B456" s="29" t="s">
        <v>5037</v>
      </c>
      <c r="C456" s="29" t="s">
        <v>7041</v>
      </c>
      <c r="D456" s="30">
        <v>45292.0</v>
      </c>
      <c r="E456" s="30">
        <v>45657.0</v>
      </c>
      <c r="F456" s="29" t="s">
        <v>7064</v>
      </c>
      <c r="G456" s="29" t="s">
        <v>7053</v>
      </c>
      <c r="H456" s="38" t="s">
        <v>7047</v>
      </c>
      <c r="I456" s="30">
        <v>45658.0</v>
      </c>
      <c r="J456" s="30">
        <v>46022.0</v>
      </c>
      <c r="K456" s="29" t="s">
        <v>7064</v>
      </c>
      <c r="L456" s="29" t="s">
        <v>7053</v>
      </c>
      <c r="M456" s="38" t="s">
        <v>7047</v>
      </c>
      <c r="N456" s="30">
        <v>46023.0</v>
      </c>
      <c r="O456" s="30">
        <v>46387.0</v>
      </c>
      <c r="P456" s="29" t="s">
        <v>7053</v>
      </c>
      <c r="Q456" s="29" t="s">
        <v>7053</v>
      </c>
      <c r="R456" s="32" t="s">
        <v>7043</v>
      </c>
      <c r="S456" s="30">
        <v>46388.0</v>
      </c>
      <c r="T456" s="30">
        <v>46752.0</v>
      </c>
      <c r="U456" s="29" t="s">
        <v>7053</v>
      </c>
      <c r="V456" s="29" t="s">
        <v>7053</v>
      </c>
      <c r="W456" s="32" t="s">
        <v>7043</v>
      </c>
      <c r="X456" s="30">
        <v>46753.0</v>
      </c>
      <c r="Y456" s="30">
        <v>47118.0</v>
      </c>
      <c r="Z456" s="29" t="s">
        <v>7053</v>
      </c>
      <c r="AA456" s="29" t="s">
        <v>7053</v>
      </c>
      <c r="AB456" s="32" t="s">
        <v>7043</v>
      </c>
      <c r="AC456" s="30">
        <v>47119.0</v>
      </c>
      <c r="AD456" s="30">
        <v>47483.0</v>
      </c>
      <c r="AE456" s="29" t="s">
        <v>7053</v>
      </c>
      <c r="AF456" s="29" t="s">
        <v>7053</v>
      </c>
      <c r="AG456" s="32" t="s">
        <v>7043</v>
      </c>
      <c r="AH456" s="30">
        <v>47484.0</v>
      </c>
      <c r="AI456" s="30">
        <v>47848.0</v>
      </c>
      <c r="AJ456" s="29" t="s">
        <v>7053</v>
      </c>
      <c r="AK456" s="29" t="s">
        <v>7053</v>
      </c>
      <c r="AL456" s="32" t="s">
        <v>7043</v>
      </c>
    </row>
    <row r="457" ht="14.25" customHeight="1">
      <c r="A457" s="28" t="s">
        <v>3366</v>
      </c>
      <c r="B457" s="29" t="s">
        <v>3367</v>
      </c>
      <c r="C457" s="29" t="s">
        <v>7041</v>
      </c>
      <c r="D457" s="30">
        <v>45292.0</v>
      </c>
      <c r="E457" s="30">
        <v>45657.0</v>
      </c>
      <c r="F457" s="29" t="s">
        <v>7053</v>
      </c>
      <c r="G457" s="29" t="s">
        <v>7053</v>
      </c>
      <c r="H457" s="32" t="s">
        <v>7043</v>
      </c>
      <c r="I457" s="30">
        <v>45658.0</v>
      </c>
      <c r="J457" s="30">
        <v>46022.0</v>
      </c>
      <c r="K457" s="29" t="s">
        <v>7053</v>
      </c>
      <c r="L457" s="29" t="s">
        <v>7053</v>
      </c>
      <c r="M457" s="32" t="s">
        <v>7043</v>
      </c>
      <c r="N457" s="30">
        <v>46023.0</v>
      </c>
      <c r="O457" s="30">
        <v>46387.0</v>
      </c>
      <c r="P457" s="29" t="s">
        <v>7053</v>
      </c>
      <c r="Q457" s="29" t="s">
        <v>7053</v>
      </c>
      <c r="R457" s="32" t="s">
        <v>7043</v>
      </c>
      <c r="S457" s="30">
        <v>46388.0</v>
      </c>
      <c r="T457" s="30">
        <v>46752.0</v>
      </c>
      <c r="U457" s="29" t="s">
        <v>7053</v>
      </c>
      <c r="V457" s="29" t="s">
        <v>7053</v>
      </c>
      <c r="W457" s="32" t="s">
        <v>7043</v>
      </c>
      <c r="X457" s="30">
        <v>46753.0</v>
      </c>
      <c r="Y457" s="30">
        <v>47118.0</v>
      </c>
      <c r="Z457" s="29" t="s">
        <v>7053</v>
      </c>
      <c r="AA457" s="29" t="s">
        <v>7053</v>
      </c>
      <c r="AB457" s="32" t="s">
        <v>7043</v>
      </c>
      <c r="AC457" s="30">
        <v>47119.0</v>
      </c>
      <c r="AD457" s="30">
        <v>47483.0</v>
      </c>
      <c r="AE457" s="29" t="s">
        <v>7053</v>
      </c>
      <c r="AF457" s="29" t="s">
        <v>7053</v>
      </c>
      <c r="AG457" s="32" t="s">
        <v>7043</v>
      </c>
      <c r="AH457" s="30">
        <v>47484.0</v>
      </c>
      <c r="AI457" s="30">
        <v>47848.0</v>
      </c>
      <c r="AJ457" s="29" t="s">
        <v>7053</v>
      </c>
      <c r="AK457" s="29" t="s">
        <v>7053</v>
      </c>
      <c r="AL457" s="32" t="s">
        <v>7043</v>
      </c>
    </row>
    <row r="458" ht="14.25" customHeight="1">
      <c r="A458" s="28" t="s">
        <v>3371</v>
      </c>
      <c r="B458" s="29" t="s">
        <v>3372</v>
      </c>
      <c r="C458" s="29" t="s">
        <v>7041</v>
      </c>
      <c r="D458" s="30">
        <v>45292.0</v>
      </c>
      <c r="E458" s="30">
        <v>45657.0</v>
      </c>
      <c r="F458" s="29" t="s">
        <v>7053</v>
      </c>
      <c r="G458" s="29" t="s">
        <v>7053</v>
      </c>
      <c r="H458" s="32" t="s">
        <v>7043</v>
      </c>
      <c r="I458" s="30">
        <v>45658.0</v>
      </c>
      <c r="J458" s="30">
        <v>46022.0</v>
      </c>
      <c r="K458" s="29" t="s">
        <v>7053</v>
      </c>
      <c r="L458" s="29" t="s">
        <v>7053</v>
      </c>
      <c r="M458" s="32" t="s">
        <v>7043</v>
      </c>
      <c r="N458" s="30">
        <v>46023.0</v>
      </c>
      <c r="O458" s="30">
        <v>46387.0</v>
      </c>
      <c r="P458" s="29" t="s">
        <v>7053</v>
      </c>
      <c r="Q458" s="29" t="s">
        <v>7053</v>
      </c>
      <c r="R458" s="32" t="s">
        <v>7043</v>
      </c>
      <c r="S458" s="30">
        <v>46388.0</v>
      </c>
      <c r="T458" s="30">
        <v>46752.0</v>
      </c>
      <c r="U458" s="29" t="s">
        <v>7053</v>
      </c>
      <c r="V458" s="29" t="s">
        <v>7053</v>
      </c>
      <c r="W458" s="32" t="s">
        <v>7043</v>
      </c>
      <c r="X458" s="30">
        <v>46753.0</v>
      </c>
      <c r="Y458" s="30">
        <v>47118.0</v>
      </c>
      <c r="Z458" s="29" t="s">
        <v>7053</v>
      </c>
      <c r="AA458" s="29" t="s">
        <v>7053</v>
      </c>
      <c r="AB458" s="32" t="s">
        <v>7043</v>
      </c>
      <c r="AC458" s="30">
        <v>47119.0</v>
      </c>
      <c r="AD458" s="30">
        <v>47483.0</v>
      </c>
      <c r="AE458" s="29" t="s">
        <v>7053</v>
      </c>
      <c r="AF458" s="29" t="s">
        <v>7053</v>
      </c>
      <c r="AG458" s="32" t="s">
        <v>7043</v>
      </c>
      <c r="AH458" s="30">
        <v>47484.0</v>
      </c>
      <c r="AI458" s="30">
        <v>47848.0</v>
      </c>
      <c r="AJ458" s="29" t="s">
        <v>7053</v>
      </c>
      <c r="AK458" s="29" t="s">
        <v>7053</v>
      </c>
      <c r="AL458" s="32" t="s">
        <v>7043</v>
      </c>
    </row>
    <row r="459" ht="14.25" customHeight="1">
      <c r="A459" s="28" t="s">
        <v>3361</v>
      </c>
      <c r="B459" s="29" t="s">
        <v>3362</v>
      </c>
      <c r="C459" s="29" t="s">
        <v>7041</v>
      </c>
      <c r="D459" s="30">
        <v>45292.0</v>
      </c>
      <c r="E459" s="30">
        <v>45657.0</v>
      </c>
      <c r="F459" s="29" t="s">
        <v>7053</v>
      </c>
      <c r="G459" s="29" t="s">
        <v>7053</v>
      </c>
      <c r="H459" s="32" t="s">
        <v>7043</v>
      </c>
      <c r="I459" s="30">
        <v>45658.0</v>
      </c>
      <c r="J459" s="30">
        <v>46022.0</v>
      </c>
      <c r="K459" s="29" t="s">
        <v>7053</v>
      </c>
      <c r="L459" s="29" t="s">
        <v>7053</v>
      </c>
      <c r="M459" s="32" t="s">
        <v>7043</v>
      </c>
      <c r="N459" s="30">
        <v>46023.0</v>
      </c>
      <c r="O459" s="30">
        <v>46387.0</v>
      </c>
      <c r="P459" s="29" t="s">
        <v>7053</v>
      </c>
      <c r="Q459" s="29" t="s">
        <v>7053</v>
      </c>
      <c r="R459" s="32" t="s">
        <v>7043</v>
      </c>
      <c r="S459" s="30">
        <v>46388.0</v>
      </c>
      <c r="T459" s="30">
        <v>46752.0</v>
      </c>
      <c r="U459" s="29" t="s">
        <v>7053</v>
      </c>
      <c r="V459" s="29" t="s">
        <v>7053</v>
      </c>
      <c r="W459" s="32" t="s">
        <v>7043</v>
      </c>
      <c r="X459" s="30">
        <v>46753.0</v>
      </c>
      <c r="Y459" s="30">
        <v>47118.0</v>
      </c>
      <c r="Z459" s="29" t="s">
        <v>7053</v>
      </c>
      <c r="AA459" s="29" t="s">
        <v>7053</v>
      </c>
      <c r="AB459" s="32" t="s">
        <v>7043</v>
      </c>
      <c r="AC459" s="30">
        <v>47119.0</v>
      </c>
      <c r="AD459" s="30">
        <v>47483.0</v>
      </c>
      <c r="AE459" s="29" t="s">
        <v>7053</v>
      </c>
      <c r="AF459" s="29" t="s">
        <v>7053</v>
      </c>
      <c r="AG459" s="32" t="s">
        <v>7043</v>
      </c>
      <c r="AH459" s="30">
        <v>47484.0</v>
      </c>
      <c r="AI459" s="30">
        <v>47848.0</v>
      </c>
      <c r="AJ459" s="29" t="s">
        <v>7053</v>
      </c>
      <c r="AK459" s="29" t="s">
        <v>7053</v>
      </c>
      <c r="AL459" s="32" t="s">
        <v>7043</v>
      </c>
    </row>
    <row r="460" ht="14.25" customHeight="1">
      <c r="A460" s="28" t="s">
        <v>5925</v>
      </c>
      <c r="B460" s="29" t="s">
        <v>5926</v>
      </c>
      <c r="C460" s="29" t="s">
        <v>7041</v>
      </c>
      <c r="D460" s="30">
        <v>45292.0</v>
      </c>
      <c r="E460" s="30">
        <v>45657.0</v>
      </c>
      <c r="F460" s="29" t="s">
        <v>7053</v>
      </c>
      <c r="G460" s="29" t="s">
        <v>7053</v>
      </c>
      <c r="H460" s="32" t="s">
        <v>7043</v>
      </c>
      <c r="I460" s="30">
        <v>45658.0</v>
      </c>
      <c r="J460" s="30">
        <v>46022.0</v>
      </c>
      <c r="K460" s="29" t="s">
        <v>7053</v>
      </c>
      <c r="L460" s="29" t="s">
        <v>7053</v>
      </c>
      <c r="M460" s="32" t="s">
        <v>7043</v>
      </c>
      <c r="N460" s="30">
        <v>46023.0</v>
      </c>
      <c r="O460" s="30">
        <v>46387.0</v>
      </c>
      <c r="P460" s="29" t="s">
        <v>7053</v>
      </c>
      <c r="Q460" s="29" t="s">
        <v>7053</v>
      </c>
      <c r="R460" s="32" t="s">
        <v>7043</v>
      </c>
      <c r="S460" s="30">
        <v>46388.0</v>
      </c>
      <c r="T460" s="30">
        <v>46752.0</v>
      </c>
      <c r="U460" s="29" t="s">
        <v>7053</v>
      </c>
      <c r="V460" s="29" t="s">
        <v>7053</v>
      </c>
      <c r="W460" s="32" t="s">
        <v>7043</v>
      </c>
      <c r="X460" s="30">
        <v>46753.0</v>
      </c>
      <c r="Y460" s="30">
        <v>47118.0</v>
      </c>
      <c r="Z460" s="29" t="s">
        <v>7053</v>
      </c>
      <c r="AA460" s="29" t="s">
        <v>7053</v>
      </c>
      <c r="AB460" s="32" t="s">
        <v>7043</v>
      </c>
      <c r="AC460" s="30">
        <v>47119.0</v>
      </c>
      <c r="AD460" s="30">
        <v>47483.0</v>
      </c>
      <c r="AE460" s="29" t="s">
        <v>7053</v>
      </c>
      <c r="AF460" s="29" t="s">
        <v>7053</v>
      </c>
      <c r="AG460" s="32" t="s">
        <v>7043</v>
      </c>
      <c r="AH460" s="30">
        <v>47484.0</v>
      </c>
      <c r="AI460" s="30">
        <v>47848.0</v>
      </c>
      <c r="AJ460" s="29" t="s">
        <v>7053</v>
      </c>
      <c r="AK460" s="29" t="s">
        <v>7053</v>
      </c>
      <c r="AL460" s="32" t="s">
        <v>7043</v>
      </c>
    </row>
    <row r="461" ht="14.25" customHeight="1">
      <c r="A461" s="28" t="s">
        <v>4419</v>
      </c>
      <c r="B461" s="29" t="s">
        <v>4420</v>
      </c>
      <c r="C461" s="29" t="s">
        <v>7041</v>
      </c>
      <c r="D461" s="30">
        <v>45292.0</v>
      </c>
      <c r="E461" s="30">
        <v>45657.0</v>
      </c>
      <c r="F461" s="29" t="s">
        <v>7053</v>
      </c>
      <c r="G461" s="29" t="s">
        <v>7053</v>
      </c>
      <c r="H461" s="32" t="s">
        <v>7043</v>
      </c>
      <c r="I461" s="30">
        <v>45658.0</v>
      </c>
      <c r="J461" s="30">
        <v>46022.0</v>
      </c>
      <c r="K461" s="29" t="s">
        <v>7064</v>
      </c>
      <c r="L461" s="29" t="s">
        <v>7053</v>
      </c>
      <c r="M461" s="38" t="s">
        <v>7047</v>
      </c>
      <c r="N461" s="30">
        <v>46023.0</v>
      </c>
      <c r="O461" s="30">
        <v>46387.0</v>
      </c>
      <c r="P461" s="29" t="s">
        <v>7053</v>
      </c>
      <c r="Q461" s="29" t="s">
        <v>7053</v>
      </c>
      <c r="R461" s="32" t="s">
        <v>7043</v>
      </c>
      <c r="S461" s="30">
        <v>46388.0</v>
      </c>
      <c r="T461" s="30">
        <v>46752.0</v>
      </c>
      <c r="U461" s="29" t="s">
        <v>7053</v>
      </c>
      <c r="V461" s="29" t="s">
        <v>7053</v>
      </c>
      <c r="W461" s="32" t="s">
        <v>7043</v>
      </c>
      <c r="X461" s="30">
        <v>46753.0</v>
      </c>
      <c r="Y461" s="30">
        <v>47118.0</v>
      </c>
      <c r="Z461" s="29" t="s">
        <v>7053</v>
      </c>
      <c r="AA461" s="29" t="s">
        <v>7053</v>
      </c>
      <c r="AB461" s="32" t="s">
        <v>7043</v>
      </c>
      <c r="AC461" s="30">
        <v>47119.0</v>
      </c>
      <c r="AD461" s="30">
        <v>47483.0</v>
      </c>
      <c r="AE461" s="29" t="s">
        <v>7053</v>
      </c>
      <c r="AF461" s="29" t="s">
        <v>7053</v>
      </c>
      <c r="AG461" s="32" t="s">
        <v>7043</v>
      </c>
      <c r="AH461" s="30">
        <v>47484.0</v>
      </c>
      <c r="AI461" s="30">
        <v>47848.0</v>
      </c>
      <c r="AJ461" s="29" t="s">
        <v>7053</v>
      </c>
      <c r="AK461" s="29" t="s">
        <v>7053</v>
      </c>
      <c r="AL461" s="32" t="s">
        <v>7043</v>
      </c>
    </row>
    <row r="462" ht="14.25" customHeight="1">
      <c r="A462" s="28" t="s">
        <v>5538</v>
      </c>
      <c r="B462" s="29" t="s">
        <v>5539</v>
      </c>
      <c r="C462" s="29" t="s">
        <v>7041</v>
      </c>
      <c r="D462" s="30">
        <v>45292.0</v>
      </c>
      <c r="E462" s="30">
        <v>45657.0</v>
      </c>
      <c r="F462" s="29" t="s">
        <v>7053</v>
      </c>
      <c r="G462" s="29" t="s">
        <v>7053</v>
      </c>
      <c r="H462" s="32" t="s">
        <v>7043</v>
      </c>
      <c r="I462" s="30">
        <v>45658.0</v>
      </c>
      <c r="J462" s="30">
        <v>46022.0</v>
      </c>
      <c r="K462" s="29" t="s">
        <v>7053</v>
      </c>
      <c r="L462" s="29" t="s">
        <v>7053</v>
      </c>
      <c r="M462" s="32" t="s">
        <v>7043</v>
      </c>
      <c r="N462" s="30">
        <v>46023.0</v>
      </c>
      <c r="O462" s="30">
        <v>46387.0</v>
      </c>
      <c r="P462" s="29" t="s">
        <v>7053</v>
      </c>
      <c r="Q462" s="29" t="s">
        <v>7053</v>
      </c>
      <c r="R462" s="32" t="s">
        <v>7043</v>
      </c>
      <c r="S462" s="30">
        <v>46388.0</v>
      </c>
      <c r="T462" s="30">
        <v>46752.0</v>
      </c>
      <c r="U462" s="29" t="s">
        <v>7053</v>
      </c>
      <c r="V462" s="29" t="s">
        <v>7053</v>
      </c>
      <c r="W462" s="32" t="s">
        <v>7043</v>
      </c>
      <c r="X462" s="30">
        <v>46753.0</v>
      </c>
      <c r="Y462" s="30">
        <v>47118.0</v>
      </c>
      <c r="Z462" s="29" t="s">
        <v>7053</v>
      </c>
      <c r="AA462" s="29" t="s">
        <v>7053</v>
      </c>
      <c r="AB462" s="32" t="s">
        <v>7043</v>
      </c>
      <c r="AC462" s="30">
        <v>47119.0</v>
      </c>
      <c r="AD462" s="30">
        <v>47483.0</v>
      </c>
      <c r="AE462" s="29" t="s">
        <v>7053</v>
      </c>
      <c r="AF462" s="29" t="s">
        <v>7053</v>
      </c>
      <c r="AG462" s="32" t="s">
        <v>7043</v>
      </c>
      <c r="AH462" s="30">
        <v>47484.0</v>
      </c>
      <c r="AI462" s="30">
        <v>47848.0</v>
      </c>
      <c r="AJ462" s="29" t="s">
        <v>7053</v>
      </c>
      <c r="AK462" s="29" t="s">
        <v>7053</v>
      </c>
      <c r="AL462" s="32" t="s">
        <v>7043</v>
      </c>
    </row>
    <row r="463" ht="14.25" customHeight="1">
      <c r="A463" s="28" t="s">
        <v>1732</v>
      </c>
      <c r="B463" s="29" t="s">
        <v>1733</v>
      </c>
      <c r="C463" s="29" t="s">
        <v>7041</v>
      </c>
      <c r="D463" s="30">
        <v>45292.0</v>
      </c>
      <c r="E463" s="30">
        <v>45657.0</v>
      </c>
      <c r="F463" s="29" t="s">
        <v>7053</v>
      </c>
      <c r="G463" s="29" t="s">
        <v>7053</v>
      </c>
      <c r="H463" s="32" t="s">
        <v>7043</v>
      </c>
      <c r="I463" s="30">
        <v>45658.0</v>
      </c>
      <c r="J463" s="30">
        <v>46022.0</v>
      </c>
      <c r="K463" s="29" t="s">
        <v>7053</v>
      </c>
      <c r="L463" s="29" t="s">
        <v>7053</v>
      </c>
      <c r="M463" s="32" t="s">
        <v>7043</v>
      </c>
      <c r="N463" s="30">
        <v>46023.0</v>
      </c>
      <c r="O463" s="30">
        <v>46387.0</v>
      </c>
      <c r="P463" s="29" t="s">
        <v>7053</v>
      </c>
      <c r="Q463" s="29" t="s">
        <v>7053</v>
      </c>
      <c r="R463" s="32" t="s">
        <v>7043</v>
      </c>
      <c r="S463" s="30">
        <v>46388.0</v>
      </c>
      <c r="T463" s="30">
        <v>46752.0</v>
      </c>
      <c r="U463" s="29" t="s">
        <v>7053</v>
      </c>
      <c r="V463" s="29" t="s">
        <v>7053</v>
      </c>
      <c r="W463" s="32" t="s">
        <v>7043</v>
      </c>
      <c r="X463" s="30">
        <v>46753.0</v>
      </c>
      <c r="Y463" s="30">
        <v>47118.0</v>
      </c>
      <c r="Z463" s="29" t="s">
        <v>7053</v>
      </c>
      <c r="AA463" s="29" t="s">
        <v>7053</v>
      </c>
      <c r="AB463" s="32" t="s">
        <v>7043</v>
      </c>
      <c r="AC463" s="30">
        <v>47119.0</v>
      </c>
      <c r="AD463" s="30">
        <v>47483.0</v>
      </c>
      <c r="AE463" s="29" t="s">
        <v>7053</v>
      </c>
      <c r="AF463" s="29" t="s">
        <v>7053</v>
      </c>
      <c r="AG463" s="32" t="s">
        <v>7043</v>
      </c>
      <c r="AH463" s="30">
        <v>47484.0</v>
      </c>
      <c r="AI463" s="30">
        <v>47848.0</v>
      </c>
      <c r="AJ463" s="29" t="s">
        <v>7053</v>
      </c>
      <c r="AK463" s="29" t="s">
        <v>7053</v>
      </c>
      <c r="AL463" s="32" t="s">
        <v>7043</v>
      </c>
    </row>
    <row r="464" ht="14.25" customHeight="1">
      <c r="A464" s="28" t="s">
        <v>854</v>
      </c>
      <c r="B464" s="29" t="s">
        <v>855</v>
      </c>
      <c r="C464" s="29" t="s">
        <v>7041</v>
      </c>
      <c r="D464" s="30">
        <v>45292.0</v>
      </c>
      <c r="E464" s="30">
        <v>45657.0</v>
      </c>
      <c r="F464" s="29" t="s">
        <v>7104</v>
      </c>
      <c r="G464" s="29" t="s">
        <v>7053</v>
      </c>
      <c r="H464" s="38" t="s">
        <v>7047</v>
      </c>
      <c r="I464" s="30">
        <v>45658.0</v>
      </c>
      <c r="J464" s="30">
        <v>46022.0</v>
      </c>
      <c r="K464" s="29" t="s">
        <v>7104</v>
      </c>
      <c r="L464" s="29" t="s">
        <v>7053</v>
      </c>
      <c r="M464" s="38" t="s">
        <v>7047</v>
      </c>
      <c r="N464" s="30">
        <v>46023.0</v>
      </c>
      <c r="O464" s="30">
        <v>46387.0</v>
      </c>
      <c r="P464" s="29" t="s">
        <v>7053</v>
      </c>
      <c r="Q464" s="29" t="s">
        <v>7053</v>
      </c>
      <c r="R464" s="32" t="s">
        <v>7043</v>
      </c>
      <c r="S464" s="30">
        <v>46388.0</v>
      </c>
      <c r="T464" s="30">
        <v>46752.0</v>
      </c>
      <c r="U464" s="29" t="s">
        <v>7053</v>
      </c>
      <c r="V464" s="29" t="s">
        <v>7053</v>
      </c>
      <c r="W464" s="32" t="s">
        <v>7043</v>
      </c>
      <c r="X464" s="30">
        <v>46753.0</v>
      </c>
      <c r="Y464" s="30">
        <v>47118.0</v>
      </c>
      <c r="Z464" s="29" t="s">
        <v>7053</v>
      </c>
      <c r="AA464" s="29" t="s">
        <v>7053</v>
      </c>
      <c r="AB464" s="32" t="s">
        <v>7043</v>
      </c>
      <c r="AC464" s="30">
        <v>47119.0</v>
      </c>
      <c r="AD464" s="30">
        <v>47483.0</v>
      </c>
      <c r="AE464" s="29" t="s">
        <v>7053</v>
      </c>
      <c r="AF464" s="29" t="s">
        <v>7053</v>
      </c>
      <c r="AG464" s="32" t="s">
        <v>7043</v>
      </c>
      <c r="AH464" s="30">
        <v>47484.0</v>
      </c>
      <c r="AI464" s="30">
        <v>47848.0</v>
      </c>
      <c r="AJ464" s="29" t="s">
        <v>7053</v>
      </c>
      <c r="AK464" s="29" t="s">
        <v>7053</v>
      </c>
      <c r="AL464" s="32" t="s">
        <v>7043</v>
      </c>
    </row>
    <row r="465" ht="14.25" customHeight="1">
      <c r="A465" s="28" t="s">
        <v>2833</v>
      </c>
      <c r="B465" s="29" t="s">
        <v>2834</v>
      </c>
      <c r="C465" s="29" t="s">
        <v>7041</v>
      </c>
      <c r="D465" s="30">
        <v>45292.0</v>
      </c>
      <c r="E465" s="30">
        <v>45657.0</v>
      </c>
      <c r="F465" s="29" t="s">
        <v>7097</v>
      </c>
      <c r="G465" s="29" t="s">
        <v>7053</v>
      </c>
      <c r="H465" s="38" t="s">
        <v>7047</v>
      </c>
      <c r="I465" s="30">
        <v>45658.0</v>
      </c>
      <c r="J465" s="30">
        <v>46022.0</v>
      </c>
      <c r="K465" s="29" t="s">
        <v>7086</v>
      </c>
      <c r="L465" s="29" t="s">
        <v>7053</v>
      </c>
      <c r="M465" s="38" t="s">
        <v>7047</v>
      </c>
      <c r="N465" s="30">
        <v>46023.0</v>
      </c>
      <c r="O465" s="30">
        <v>46387.0</v>
      </c>
      <c r="P465" s="29" t="s">
        <v>7053</v>
      </c>
      <c r="Q465" s="29" t="s">
        <v>7053</v>
      </c>
      <c r="R465" s="32" t="s">
        <v>7043</v>
      </c>
      <c r="S465" s="30">
        <v>46388.0</v>
      </c>
      <c r="T465" s="30">
        <v>46752.0</v>
      </c>
      <c r="U465" s="29" t="s">
        <v>7053</v>
      </c>
      <c r="V465" s="29" t="s">
        <v>7053</v>
      </c>
      <c r="W465" s="32" t="s">
        <v>7043</v>
      </c>
      <c r="X465" s="30">
        <v>46753.0</v>
      </c>
      <c r="Y465" s="30">
        <v>47118.0</v>
      </c>
      <c r="Z465" s="29" t="s">
        <v>7053</v>
      </c>
      <c r="AA465" s="29" t="s">
        <v>7053</v>
      </c>
      <c r="AB465" s="32" t="s">
        <v>7043</v>
      </c>
      <c r="AC465" s="30">
        <v>47119.0</v>
      </c>
      <c r="AD465" s="30">
        <v>47483.0</v>
      </c>
      <c r="AE465" s="29" t="s">
        <v>7053</v>
      </c>
      <c r="AF465" s="29" t="s">
        <v>7053</v>
      </c>
      <c r="AG465" s="32" t="s">
        <v>7043</v>
      </c>
      <c r="AH465" s="30">
        <v>47484.0</v>
      </c>
      <c r="AI465" s="30">
        <v>47848.0</v>
      </c>
      <c r="AJ465" s="29" t="s">
        <v>7053</v>
      </c>
      <c r="AK465" s="29" t="s">
        <v>7053</v>
      </c>
      <c r="AL465" s="32" t="s">
        <v>7043</v>
      </c>
    </row>
    <row r="466" ht="14.25" customHeight="1">
      <c r="A466" s="28" t="s">
        <v>5112</v>
      </c>
      <c r="B466" s="29" t="s">
        <v>5113</v>
      </c>
      <c r="C466" s="29" t="s">
        <v>7041</v>
      </c>
      <c r="D466" s="30">
        <v>45292.0</v>
      </c>
      <c r="E466" s="30">
        <v>45657.0</v>
      </c>
      <c r="F466" s="29" t="s">
        <v>7071</v>
      </c>
      <c r="G466" s="29" t="s">
        <v>7095</v>
      </c>
      <c r="H466" s="32" t="s">
        <v>7043</v>
      </c>
      <c r="I466" s="30">
        <v>45658.0</v>
      </c>
      <c r="J466" s="30">
        <v>46022.0</v>
      </c>
      <c r="K466" s="29" t="s">
        <v>7079</v>
      </c>
      <c r="L466" s="29" t="s">
        <v>7064</v>
      </c>
      <c r="M466" s="38" t="s">
        <v>7047</v>
      </c>
      <c r="N466" s="30">
        <v>46023.0</v>
      </c>
      <c r="O466" s="30">
        <v>46387.0</v>
      </c>
      <c r="P466" s="29" t="s">
        <v>7053</v>
      </c>
      <c r="Q466" s="29" t="s">
        <v>7053</v>
      </c>
      <c r="R466" s="32" t="s">
        <v>7043</v>
      </c>
      <c r="S466" s="30">
        <v>46388.0</v>
      </c>
      <c r="T466" s="30">
        <v>46752.0</v>
      </c>
      <c r="U466" s="29" t="s">
        <v>7053</v>
      </c>
      <c r="V466" s="29" t="s">
        <v>7053</v>
      </c>
      <c r="W466" s="32" t="s">
        <v>7043</v>
      </c>
      <c r="X466" s="30">
        <v>46753.0</v>
      </c>
      <c r="Y466" s="30">
        <v>47118.0</v>
      </c>
      <c r="Z466" s="29" t="s">
        <v>7053</v>
      </c>
      <c r="AA466" s="29" t="s">
        <v>7053</v>
      </c>
      <c r="AB466" s="32" t="s">
        <v>7043</v>
      </c>
      <c r="AC466" s="30">
        <v>47119.0</v>
      </c>
      <c r="AD466" s="30">
        <v>47483.0</v>
      </c>
      <c r="AE466" s="29" t="s">
        <v>7053</v>
      </c>
      <c r="AF466" s="29" t="s">
        <v>7053</v>
      </c>
      <c r="AG466" s="32" t="s">
        <v>7043</v>
      </c>
      <c r="AH466" s="30">
        <v>47484.0</v>
      </c>
      <c r="AI466" s="30">
        <v>47848.0</v>
      </c>
      <c r="AJ466" s="29" t="s">
        <v>7053</v>
      </c>
      <c r="AK466" s="29" t="s">
        <v>7053</v>
      </c>
      <c r="AL466" s="32" t="s">
        <v>7043</v>
      </c>
    </row>
    <row r="467" ht="14.25" customHeight="1">
      <c r="A467" s="28" t="s">
        <v>585</v>
      </c>
      <c r="B467" s="29" t="s">
        <v>586</v>
      </c>
      <c r="C467" s="29" t="s">
        <v>7041</v>
      </c>
      <c r="D467" s="30">
        <v>45292.0</v>
      </c>
      <c r="E467" s="30">
        <v>45657.0</v>
      </c>
      <c r="F467" s="29" t="s">
        <v>7101</v>
      </c>
      <c r="G467" s="29" t="s">
        <v>7053</v>
      </c>
      <c r="H467" s="38" t="s">
        <v>7047</v>
      </c>
      <c r="I467" s="30">
        <v>45658.0</v>
      </c>
      <c r="J467" s="30">
        <v>46022.0</v>
      </c>
      <c r="K467" s="29" t="s">
        <v>7101</v>
      </c>
      <c r="L467" s="29" t="s">
        <v>7095</v>
      </c>
      <c r="M467" s="38" t="s">
        <v>7047</v>
      </c>
      <c r="N467" s="30">
        <v>46023.0</v>
      </c>
      <c r="O467" s="30">
        <v>46387.0</v>
      </c>
      <c r="P467" s="29" t="s">
        <v>7053</v>
      </c>
      <c r="Q467" s="29" t="s">
        <v>7053</v>
      </c>
      <c r="R467" s="32" t="s">
        <v>7043</v>
      </c>
      <c r="S467" s="30">
        <v>46388.0</v>
      </c>
      <c r="T467" s="30">
        <v>46752.0</v>
      </c>
      <c r="U467" s="29" t="s">
        <v>7053</v>
      </c>
      <c r="V467" s="29" t="s">
        <v>7053</v>
      </c>
      <c r="W467" s="32" t="s">
        <v>7043</v>
      </c>
      <c r="X467" s="30">
        <v>46753.0</v>
      </c>
      <c r="Y467" s="30">
        <v>47118.0</v>
      </c>
      <c r="Z467" s="29" t="s">
        <v>7053</v>
      </c>
      <c r="AA467" s="29" t="s">
        <v>7053</v>
      </c>
      <c r="AB467" s="32" t="s">
        <v>7043</v>
      </c>
      <c r="AC467" s="30">
        <v>47119.0</v>
      </c>
      <c r="AD467" s="30">
        <v>47483.0</v>
      </c>
      <c r="AE467" s="29" t="s">
        <v>7053</v>
      </c>
      <c r="AF467" s="29" t="s">
        <v>7053</v>
      </c>
      <c r="AG467" s="32" t="s">
        <v>7043</v>
      </c>
      <c r="AH467" s="30">
        <v>47484.0</v>
      </c>
      <c r="AI467" s="30">
        <v>47848.0</v>
      </c>
      <c r="AJ467" s="29" t="s">
        <v>7053</v>
      </c>
      <c r="AK467" s="29" t="s">
        <v>7053</v>
      </c>
      <c r="AL467" s="32" t="s">
        <v>7043</v>
      </c>
    </row>
    <row r="468" ht="14.25" customHeight="1">
      <c r="A468" s="28" t="s">
        <v>1036</v>
      </c>
      <c r="B468" s="29" t="s">
        <v>1037</v>
      </c>
      <c r="C468" s="29" t="s">
        <v>7041</v>
      </c>
      <c r="D468" s="30">
        <v>45292.0</v>
      </c>
      <c r="E468" s="30">
        <v>45657.0</v>
      </c>
      <c r="F468" s="29" t="s">
        <v>7080</v>
      </c>
      <c r="G468" s="29" t="s">
        <v>7053</v>
      </c>
      <c r="H468" s="38" t="s">
        <v>7047</v>
      </c>
      <c r="I468" s="30">
        <v>45658.0</v>
      </c>
      <c r="J468" s="30">
        <v>46022.0</v>
      </c>
      <c r="K468" s="29" t="s">
        <v>7080</v>
      </c>
      <c r="L468" s="29" t="s">
        <v>7089</v>
      </c>
      <c r="M468" s="38" t="s">
        <v>7047</v>
      </c>
      <c r="N468" s="30">
        <v>46023.0</v>
      </c>
      <c r="O468" s="30">
        <v>46387.0</v>
      </c>
      <c r="P468" s="29" t="s">
        <v>7053</v>
      </c>
      <c r="Q468" s="29" t="s">
        <v>7053</v>
      </c>
      <c r="R468" s="32" t="s">
        <v>7043</v>
      </c>
      <c r="S468" s="30">
        <v>46388.0</v>
      </c>
      <c r="T468" s="30">
        <v>46752.0</v>
      </c>
      <c r="U468" s="29" t="s">
        <v>7053</v>
      </c>
      <c r="V468" s="29" t="s">
        <v>7053</v>
      </c>
      <c r="W468" s="32" t="s">
        <v>7043</v>
      </c>
      <c r="X468" s="30">
        <v>46753.0</v>
      </c>
      <c r="Y468" s="30">
        <v>47118.0</v>
      </c>
      <c r="Z468" s="29" t="s">
        <v>7053</v>
      </c>
      <c r="AA468" s="29" t="s">
        <v>7053</v>
      </c>
      <c r="AB468" s="32" t="s">
        <v>7043</v>
      </c>
      <c r="AC468" s="30">
        <v>47119.0</v>
      </c>
      <c r="AD468" s="30">
        <v>47483.0</v>
      </c>
      <c r="AE468" s="29" t="s">
        <v>7053</v>
      </c>
      <c r="AF468" s="29" t="s">
        <v>7053</v>
      </c>
      <c r="AG468" s="32" t="s">
        <v>7043</v>
      </c>
      <c r="AH468" s="30">
        <v>47484.0</v>
      </c>
      <c r="AI468" s="30">
        <v>47848.0</v>
      </c>
      <c r="AJ468" s="29" t="s">
        <v>7053</v>
      </c>
      <c r="AK468" s="29" t="s">
        <v>7053</v>
      </c>
      <c r="AL468" s="32" t="s">
        <v>7043</v>
      </c>
    </row>
    <row r="469" ht="14.25" customHeight="1">
      <c r="A469" s="28" t="s">
        <v>1299</v>
      </c>
      <c r="B469" s="29" t="s">
        <v>1300</v>
      </c>
      <c r="C469" s="29" t="s">
        <v>7041</v>
      </c>
      <c r="D469" s="30">
        <v>45292.0</v>
      </c>
      <c r="E469" s="30">
        <v>45657.0</v>
      </c>
      <c r="F469" s="29" t="s">
        <v>7053</v>
      </c>
      <c r="G469" s="29" t="s">
        <v>7053</v>
      </c>
      <c r="H469" s="32" t="s">
        <v>7043</v>
      </c>
      <c r="I469" s="30">
        <v>45658.0</v>
      </c>
      <c r="J469" s="30">
        <v>46022.0</v>
      </c>
      <c r="K469" s="29" t="s">
        <v>7053</v>
      </c>
      <c r="L469" s="29" t="s">
        <v>7053</v>
      </c>
      <c r="M469" s="32" t="s">
        <v>7043</v>
      </c>
      <c r="N469" s="30">
        <v>46023.0</v>
      </c>
      <c r="O469" s="30">
        <v>46387.0</v>
      </c>
      <c r="P469" s="29" t="s">
        <v>7053</v>
      </c>
      <c r="Q469" s="29" t="s">
        <v>7053</v>
      </c>
      <c r="R469" s="32" t="s">
        <v>7043</v>
      </c>
      <c r="S469" s="30">
        <v>46388.0</v>
      </c>
      <c r="T469" s="30">
        <v>46752.0</v>
      </c>
      <c r="U469" s="29" t="s">
        <v>7053</v>
      </c>
      <c r="V469" s="29" t="s">
        <v>7053</v>
      </c>
      <c r="W469" s="32" t="s">
        <v>7043</v>
      </c>
      <c r="X469" s="30">
        <v>46753.0</v>
      </c>
      <c r="Y469" s="30">
        <v>47118.0</v>
      </c>
      <c r="Z469" s="29" t="s">
        <v>7053</v>
      </c>
      <c r="AA469" s="29" t="s">
        <v>7053</v>
      </c>
      <c r="AB469" s="32" t="s">
        <v>7043</v>
      </c>
      <c r="AC469" s="30">
        <v>47119.0</v>
      </c>
      <c r="AD469" s="30">
        <v>47483.0</v>
      </c>
      <c r="AE469" s="29" t="s">
        <v>7053</v>
      </c>
      <c r="AF469" s="29" t="s">
        <v>7053</v>
      </c>
      <c r="AG469" s="32" t="s">
        <v>7043</v>
      </c>
      <c r="AH469" s="30">
        <v>47484.0</v>
      </c>
      <c r="AI469" s="30">
        <v>47848.0</v>
      </c>
      <c r="AJ469" s="29" t="s">
        <v>7053</v>
      </c>
      <c r="AK469" s="29" t="s">
        <v>7053</v>
      </c>
      <c r="AL469" s="32" t="s">
        <v>7043</v>
      </c>
    </row>
    <row r="470" ht="14.25" customHeight="1">
      <c r="A470" s="28" t="s">
        <v>316</v>
      </c>
      <c r="B470" s="29" t="s">
        <v>317</v>
      </c>
      <c r="C470" s="29" t="s">
        <v>7041</v>
      </c>
      <c r="D470" s="30">
        <v>45292.0</v>
      </c>
      <c r="E470" s="30">
        <v>45657.0</v>
      </c>
      <c r="F470" s="29" t="s">
        <v>7089</v>
      </c>
      <c r="G470" s="29" t="s">
        <v>7053</v>
      </c>
      <c r="H470" s="38" t="s">
        <v>7047</v>
      </c>
      <c r="I470" s="30">
        <v>45658.0</v>
      </c>
      <c r="J470" s="30">
        <v>46022.0</v>
      </c>
      <c r="K470" s="29" t="s">
        <v>7086</v>
      </c>
      <c r="L470" s="29" t="s">
        <v>7053</v>
      </c>
      <c r="M470" s="38" t="s">
        <v>7047</v>
      </c>
      <c r="N470" s="30">
        <v>46023.0</v>
      </c>
      <c r="O470" s="30">
        <v>46387.0</v>
      </c>
      <c r="P470" s="29" t="s">
        <v>7053</v>
      </c>
      <c r="Q470" s="29" t="s">
        <v>7053</v>
      </c>
      <c r="R470" s="32" t="s">
        <v>7043</v>
      </c>
      <c r="S470" s="30">
        <v>46388.0</v>
      </c>
      <c r="T470" s="30">
        <v>46752.0</v>
      </c>
      <c r="U470" s="29" t="s">
        <v>7053</v>
      </c>
      <c r="V470" s="29" t="s">
        <v>7053</v>
      </c>
      <c r="W470" s="32" t="s">
        <v>7043</v>
      </c>
      <c r="X470" s="30">
        <v>46753.0</v>
      </c>
      <c r="Y470" s="30">
        <v>47118.0</v>
      </c>
      <c r="Z470" s="29" t="s">
        <v>7053</v>
      </c>
      <c r="AA470" s="29" t="s">
        <v>7053</v>
      </c>
      <c r="AB470" s="32" t="s">
        <v>7043</v>
      </c>
      <c r="AC470" s="30">
        <v>47119.0</v>
      </c>
      <c r="AD470" s="30">
        <v>47483.0</v>
      </c>
      <c r="AE470" s="29" t="s">
        <v>7053</v>
      </c>
      <c r="AF470" s="29" t="s">
        <v>7053</v>
      </c>
      <c r="AG470" s="32" t="s">
        <v>7043</v>
      </c>
      <c r="AH470" s="30">
        <v>47484.0</v>
      </c>
      <c r="AI470" s="30">
        <v>47848.0</v>
      </c>
      <c r="AJ470" s="29" t="s">
        <v>7053</v>
      </c>
      <c r="AK470" s="29" t="s">
        <v>7053</v>
      </c>
      <c r="AL470" s="32" t="s">
        <v>7043</v>
      </c>
    </row>
    <row r="471" ht="14.25" customHeight="1">
      <c r="A471" s="28" t="s">
        <v>2719</v>
      </c>
      <c r="B471" s="29" t="s">
        <v>2720</v>
      </c>
      <c r="C471" s="29" t="s">
        <v>7041</v>
      </c>
      <c r="D471" s="30">
        <v>45292.0</v>
      </c>
      <c r="E471" s="30">
        <v>45657.0</v>
      </c>
      <c r="F471" s="29" t="s">
        <v>7117</v>
      </c>
      <c r="G471" s="29" t="s">
        <v>7053</v>
      </c>
      <c r="H471" s="38" t="s">
        <v>7047</v>
      </c>
      <c r="I471" s="30">
        <v>45658.0</v>
      </c>
      <c r="J471" s="30">
        <v>46022.0</v>
      </c>
      <c r="K471" s="29" t="s">
        <v>7117</v>
      </c>
      <c r="L471" s="29" t="s">
        <v>7053</v>
      </c>
      <c r="M471" s="38" t="s">
        <v>7047</v>
      </c>
      <c r="N471" s="30">
        <v>46023.0</v>
      </c>
      <c r="O471" s="30">
        <v>46387.0</v>
      </c>
      <c r="P471" s="29" t="s">
        <v>7053</v>
      </c>
      <c r="Q471" s="29" t="s">
        <v>7053</v>
      </c>
      <c r="R471" s="32" t="s">
        <v>7043</v>
      </c>
      <c r="S471" s="30">
        <v>46388.0</v>
      </c>
      <c r="T471" s="30">
        <v>46752.0</v>
      </c>
      <c r="U471" s="29" t="s">
        <v>7053</v>
      </c>
      <c r="V471" s="29" t="s">
        <v>7053</v>
      </c>
      <c r="W471" s="32" t="s">
        <v>7043</v>
      </c>
      <c r="X471" s="30">
        <v>46753.0</v>
      </c>
      <c r="Y471" s="30">
        <v>47118.0</v>
      </c>
      <c r="Z471" s="29" t="s">
        <v>7053</v>
      </c>
      <c r="AA471" s="29" t="s">
        <v>7053</v>
      </c>
      <c r="AB471" s="32" t="s">
        <v>7043</v>
      </c>
      <c r="AC471" s="30">
        <v>47119.0</v>
      </c>
      <c r="AD471" s="30">
        <v>47483.0</v>
      </c>
      <c r="AE471" s="29" t="s">
        <v>7053</v>
      </c>
      <c r="AF471" s="29" t="s">
        <v>7053</v>
      </c>
      <c r="AG471" s="32" t="s">
        <v>7043</v>
      </c>
      <c r="AH471" s="30">
        <v>47484.0</v>
      </c>
      <c r="AI471" s="30">
        <v>47848.0</v>
      </c>
      <c r="AJ471" s="29" t="s">
        <v>7053</v>
      </c>
      <c r="AK471" s="29" t="s">
        <v>7053</v>
      </c>
      <c r="AL471" s="32" t="s">
        <v>7043</v>
      </c>
    </row>
    <row r="472" ht="14.25" customHeight="1">
      <c r="A472" s="28" t="s">
        <v>2690</v>
      </c>
      <c r="B472" s="29" t="s">
        <v>2691</v>
      </c>
      <c r="C472" s="29" t="s">
        <v>7041</v>
      </c>
      <c r="D472" s="30">
        <v>45292.0</v>
      </c>
      <c r="E472" s="30">
        <v>45657.0</v>
      </c>
      <c r="F472" s="29" t="s">
        <v>7050</v>
      </c>
      <c r="G472" s="29" t="s">
        <v>7053</v>
      </c>
      <c r="H472" s="38" t="s">
        <v>7047</v>
      </c>
      <c r="I472" s="30">
        <v>45658.0</v>
      </c>
      <c r="J472" s="30">
        <v>46022.0</v>
      </c>
      <c r="K472" s="29" t="s">
        <v>7050</v>
      </c>
      <c r="L472" s="29" t="s">
        <v>7053</v>
      </c>
      <c r="M472" s="38" t="s">
        <v>7047</v>
      </c>
      <c r="N472" s="30">
        <v>46023.0</v>
      </c>
      <c r="O472" s="30">
        <v>46387.0</v>
      </c>
      <c r="P472" s="29" t="s">
        <v>7053</v>
      </c>
      <c r="Q472" s="29" t="s">
        <v>7053</v>
      </c>
      <c r="R472" s="32" t="s">
        <v>7043</v>
      </c>
      <c r="S472" s="30">
        <v>46388.0</v>
      </c>
      <c r="T472" s="30">
        <v>46752.0</v>
      </c>
      <c r="U472" s="29" t="s">
        <v>7053</v>
      </c>
      <c r="V472" s="29" t="s">
        <v>7053</v>
      </c>
      <c r="W472" s="32" t="s">
        <v>7043</v>
      </c>
      <c r="X472" s="30">
        <v>46753.0</v>
      </c>
      <c r="Y472" s="30">
        <v>47118.0</v>
      </c>
      <c r="Z472" s="29" t="s">
        <v>7053</v>
      </c>
      <c r="AA472" s="29" t="s">
        <v>7053</v>
      </c>
      <c r="AB472" s="32" t="s">
        <v>7043</v>
      </c>
      <c r="AC472" s="30">
        <v>47119.0</v>
      </c>
      <c r="AD472" s="30">
        <v>47483.0</v>
      </c>
      <c r="AE472" s="29" t="s">
        <v>7053</v>
      </c>
      <c r="AF472" s="29" t="s">
        <v>7053</v>
      </c>
      <c r="AG472" s="32" t="s">
        <v>7043</v>
      </c>
      <c r="AH472" s="30">
        <v>47484.0</v>
      </c>
      <c r="AI472" s="30">
        <v>47848.0</v>
      </c>
      <c r="AJ472" s="29" t="s">
        <v>7053</v>
      </c>
      <c r="AK472" s="29" t="s">
        <v>7053</v>
      </c>
      <c r="AL472" s="32" t="s">
        <v>7043</v>
      </c>
    </row>
    <row r="473" ht="14.25" customHeight="1">
      <c r="A473" s="28" t="s">
        <v>2026</v>
      </c>
      <c r="B473" s="29" t="s">
        <v>2027</v>
      </c>
      <c r="C473" s="29" t="s">
        <v>7041</v>
      </c>
      <c r="D473" s="30">
        <v>45292.0</v>
      </c>
      <c r="E473" s="30">
        <v>45657.0</v>
      </c>
      <c r="F473" s="29" t="s">
        <v>7095</v>
      </c>
      <c r="G473" s="29" t="s">
        <v>7053</v>
      </c>
      <c r="H473" s="38" t="s">
        <v>7047</v>
      </c>
      <c r="I473" s="30">
        <v>45658.0</v>
      </c>
      <c r="J473" s="30">
        <v>46022.0</v>
      </c>
      <c r="K473" s="29" t="s">
        <v>7095</v>
      </c>
      <c r="L473" s="29" t="s">
        <v>7053</v>
      </c>
      <c r="M473" s="38" t="s">
        <v>7047</v>
      </c>
      <c r="N473" s="30">
        <v>46023.0</v>
      </c>
      <c r="O473" s="30">
        <v>46387.0</v>
      </c>
      <c r="P473" s="29" t="s">
        <v>7053</v>
      </c>
      <c r="Q473" s="29" t="s">
        <v>7053</v>
      </c>
      <c r="R473" s="32" t="s">
        <v>7043</v>
      </c>
      <c r="S473" s="30">
        <v>46388.0</v>
      </c>
      <c r="T473" s="30">
        <v>46752.0</v>
      </c>
      <c r="U473" s="29" t="s">
        <v>7053</v>
      </c>
      <c r="V473" s="29" t="s">
        <v>7053</v>
      </c>
      <c r="W473" s="32" t="s">
        <v>7043</v>
      </c>
      <c r="X473" s="30">
        <v>46753.0</v>
      </c>
      <c r="Y473" s="30">
        <v>47118.0</v>
      </c>
      <c r="Z473" s="29" t="s">
        <v>7053</v>
      </c>
      <c r="AA473" s="29" t="s">
        <v>7053</v>
      </c>
      <c r="AB473" s="32" t="s">
        <v>7043</v>
      </c>
      <c r="AC473" s="30">
        <v>47119.0</v>
      </c>
      <c r="AD473" s="30">
        <v>47483.0</v>
      </c>
      <c r="AE473" s="29" t="s">
        <v>7053</v>
      </c>
      <c r="AF473" s="29" t="s">
        <v>7053</v>
      </c>
      <c r="AG473" s="32" t="s">
        <v>7043</v>
      </c>
      <c r="AH473" s="30">
        <v>47484.0</v>
      </c>
      <c r="AI473" s="30">
        <v>47848.0</v>
      </c>
      <c r="AJ473" s="29" t="s">
        <v>7053</v>
      </c>
      <c r="AK473" s="29" t="s">
        <v>7053</v>
      </c>
      <c r="AL473" s="32" t="s">
        <v>7043</v>
      </c>
    </row>
    <row r="474" ht="14.25" customHeight="1">
      <c r="A474" s="28" t="s">
        <v>4358</v>
      </c>
      <c r="B474" s="29" t="s">
        <v>4359</v>
      </c>
      <c r="C474" s="29" t="s">
        <v>7041</v>
      </c>
      <c r="D474" s="30">
        <v>45292.0</v>
      </c>
      <c r="E474" s="30">
        <v>45657.0</v>
      </c>
      <c r="F474" s="29" t="s">
        <v>7053</v>
      </c>
      <c r="G474" s="29" t="s">
        <v>7053</v>
      </c>
      <c r="H474" s="32" t="s">
        <v>7043</v>
      </c>
      <c r="I474" s="30">
        <v>45658.0</v>
      </c>
      <c r="J474" s="30">
        <v>46022.0</v>
      </c>
      <c r="K474" s="29" t="s">
        <v>7053</v>
      </c>
      <c r="L474" s="29" t="s">
        <v>7053</v>
      </c>
      <c r="M474" s="32" t="s">
        <v>7043</v>
      </c>
      <c r="N474" s="30">
        <v>46023.0</v>
      </c>
      <c r="O474" s="30">
        <v>46387.0</v>
      </c>
      <c r="P474" s="29" t="s">
        <v>7053</v>
      </c>
      <c r="Q474" s="29" t="s">
        <v>7053</v>
      </c>
      <c r="R474" s="32" t="s">
        <v>7043</v>
      </c>
      <c r="S474" s="30">
        <v>46388.0</v>
      </c>
      <c r="T474" s="30">
        <v>46752.0</v>
      </c>
      <c r="U474" s="29" t="s">
        <v>7053</v>
      </c>
      <c r="V474" s="29" t="s">
        <v>7053</v>
      </c>
      <c r="W474" s="32" t="s">
        <v>7043</v>
      </c>
      <c r="X474" s="30">
        <v>46753.0</v>
      </c>
      <c r="Y474" s="30">
        <v>47118.0</v>
      </c>
      <c r="Z474" s="29" t="s">
        <v>7053</v>
      </c>
      <c r="AA474" s="29" t="s">
        <v>7053</v>
      </c>
      <c r="AB474" s="32" t="s">
        <v>7043</v>
      </c>
      <c r="AC474" s="30">
        <v>47119.0</v>
      </c>
      <c r="AD474" s="30">
        <v>47483.0</v>
      </c>
      <c r="AE474" s="29" t="s">
        <v>7053</v>
      </c>
      <c r="AF474" s="29" t="s">
        <v>7053</v>
      </c>
      <c r="AG474" s="32" t="s">
        <v>7043</v>
      </c>
      <c r="AH474" s="30">
        <v>47484.0</v>
      </c>
      <c r="AI474" s="30">
        <v>47848.0</v>
      </c>
      <c r="AJ474" s="29" t="s">
        <v>7053</v>
      </c>
      <c r="AK474" s="29" t="s">
        <v>7053</v>
      </c>
      <c r="AL474" s="32" t="s">
        <v>7043</v>
      </c>
    </row>
    <row r="475" ht="14.25" customHeight="1">
      <c r="A475" s="28" t="s">
        <v>3887</v>
      </c>
      <c r="B475" s="29" t="s">
        <v>3888</v>
      </c>
      <c r="C475" s="29" t="s">
        <v>7041</v>
      </c>
      <c r="D475" s="30">
        <v>45292.0</v>
      </c>
      <c r="E475" s="30">
        <v>45657.0</v>
      </c>
      <c r="F475" s="29" t="s">
        <v>7068</v>
      </c>
      <c r="G475" s="29" t="s">
        <v>7053</v>
      </c>
      <c r="H475" s="38" t="s">
        <v>7047</v>
      </c>
      <c r="I475" s="30">
        <v>45658.0</v>
      </c>
      <c r="J475" s="30">
        <v>46022.0</v>
      </c>
      <c r="K475" s="29" t="s">
        <v>7062</v>
      </c>
      <c r="L475" s="29" t="s">
        <v>7053</v>
      </c>
      <c r="M475" s="38" t="s">
        <v>7047</v>
      </c>
      <c r="N475" s="30">
        <v>46023.0</v>
      </c>
      <c r="O475" s="30">
        <v>46387.0</v>
      </c>
      <c r="P475" s="29" t="s">
        <v>7053</v>
      </c>
      <c r="Q475" s="29" t="s">
        <v>7053</v>
      </c>
      <c r="R475" s="32" t="s">
        <v>7043</v>
      </c>
      <c r="S475" s="30">
        <v>46388.0</v>
      </c>
      <c r="T475" s="30">
        <v>46752.0</v>
      </c>
      <c r="U475" s="29" t="s">
        <v>7053</v>
      </c>
      <c r="V475" s="29" t="s">
        <v>7053</v>
      </c>
      <c r="W475" s="32" t="s">
        <v>7043</v>
      </c>
      <c r="X475" s="30">
        <v>46753.0</v>
      </c>
      <c r="Y475" s="30">
        <v>47118.0</v>
      </c>
      <c r="Z475" s="29" t="s">
        <v>7053</v>
      </c>
      <c r="AA475" s="29" t="s">
        <v>7053</v>
      </c>
      <c r="AB475" s="32" t="s">
        <v>7043</v>
      </c>
      <c r="AC475" s="30">
        <v>47119.0</v>
      </c>
      <c r="AD475" s="30">
        <v>47483.0</v>
      </c>
      <c r="AE475" s="29" t="s">
        <v>7053</v>
      </c>
      <c r="AF475" s="29" t="s">
        <v>7053</v>
      </c>
      <c r="AG475" s="32" t="s">
        <v>7043</v>
      </c>
      <c r="AH475" s="30">
        <v>47484.0</v>
      </c>
      <c r="AI475" s="30">
        <v>47848.0</v>
      </c>
      <c r="AJ475" s="29" t="s">
        <v>7053</v>
      </c>
      <c r="AK475" s="29" t="s">
        <v>7053</v>
      </c>
      <c r="AL475" s="32" t="s">
        <v>7043</v>
      </c>
    </row>
    <row r="476" ht="14.25" customHeight="1">
      <c r="A476" s="28" t="s">
        <v>860</v>
      </c>
      <c r="B476" s="29" t="s">
        <v>861</v>
      </c>
      <c r="C476" s="29" t="s">
        <v>7041</v>
      </c>
      <c r="D476" s="30">
        <v>45292.0</v>
      </c>
      <c r="E476" s="30">
        <v>45657.0</v>
      </c>
      <c r="F476" s="29" t="s">
        <v>7070</v>
      </c>
      <c r="G476" s="29" t="s">
        <v>7053</v>
      </c>
      <c r="H476" s="38" t="s">
        <v>7047</v>
      </c>
      <c r="I476" s="30">
        <v>45658.0</v>
      </c>
      <c r="J476" s="30">
        <v>46022.0</v>
      </c>
      <c r="K476" s="29" t="s">
        <v>7070</v>
      </c>
      <c r="L476" s="29" t="s">
        <v>7053</v>
      </c>
      <c r="M476" s="38" t="s">
        <v>7047</v>
      </c>
      <c r="N476" s="30">
        <v>46023.0</v>
      </c>
      <c r="O476" s="30">
        <v>46387.0</v>
      </c>
      <c r="P476" s="29" t="s">
        <v>7053</v>
      </c>
      <c r="Q476" s="29" t="s">
        <v>7053</v>
      </c>
      <c r="R476" s="32" t="s">
        <v>7043</v>
      </c>
      <c r="S476" s="30">
        <v>46388.0</v>
      </c>
      <c r="T476" s="30">
        <v>46752.0</v>
      </c>
      <c r="U476" s="29" t="s">
        <v>7053</v>
      </c>
      <c r="V476" s="29" t="s">
        <v>7053</v>
      </c>
      <c r="W476" s="32" t="s">
        <v>7043</v>
      </c>
      <c r="X476" s="30">
        <v>46753.0</v>
      </c>
      <c r="Y476" s="30">
        <v>47118.0</v>
      </c>
      <c r="Z476" s="29" t="s">
        <v>7053</v>
      </c>
      <c r="AA476" s="29" t="s">
        <v>7053</v>
      </c>
      <c r="AB476" s="32" t="s">
        <v>7043</v>
      </c>
      <c r="AC476" s="30">
        <v>47119.0</v>
      </c>
      <c r="AD476" s="30">
        <v>47483.0</v>
      </c>
      <c r="AE476" s="29" t="s">
        <v>7053</v>
      </c>
      <c r="AF476" s="29" t="s">
        <v>7053</v>
      </c>
      <c r="AG476" s="32" t="s">
        <v>7043</v>
      </c>
      <c r="AH476" s="30">
        <v>47484.0</v>
      </c>
      <c r="AI476" s="30">
        <v>47848.0</v>
      </c>
      <c r="AJ476" s="29" t="s">
        <v>7053</v>
      </c>
      <c r="AK476" s="29" t="s">
        <v>7053</v>
      </c>
      <c r="AL476" s="32" t="s">
        <v>7043</v>
      </c>
    </row>
    <row r="477" ht="14.25" customHeight="1">
      <c r="A477" s="28" t="s">
        <v>1991</v>
      </c>
      <c r="B477" s="29" t="s">
        <v>1992</v>
      </c>
      <c r="C477" s="29" t="s">
        <v>7041</v>
      </c>
      <c r="D477" s="30">
        <v>45292.0</v>
      </c>
      <c r="E477" s="30">
        <v>45657.0</v>
      </c>
      <c r="F477" s="29" t="s">
        <v>7053</v>
      </c>
      <c r="G477" s="29" t="s">
        <v>7053</v>
      </c>
      <c r="H477" s="32" t="s">
        <v>7043</v>
      </c>
      <c r="I477" s="30">
        <v>45658.0</v>
      </c>
      <c r="J477" s="30">
        <v>46022.0</v>
      </c>
      <c r="K477" s="29" t="s">
        <v>7053</v>
      </c>
      <c r="L477" s="29" t="s">
        <v>7053</v>
      </c>
      <c r="M477" s="32" t="s">
        <v>7043</v>
      </c>
      <c r="N477" s="30">
        <v>46023.0</v>
      </c>
      <c r="O477" s="30">
        <v>46387.0</v>
      </c>
      <c r="P477" s="29" t="s">
        <v>7053</v>
      </c>
      <c r="Q477" s="29" t="s">
        <v>7053</v>
      </c>
      <c r="R477" s="32" t="s">
        <v>7043</v>
      </c>
      <c r="S477" s="30">
        <v>46388.0</v>
      </c>
      <c r="T477" s="30">
        <v>46752.0</v>
      </c>
      <c r="U477" s="29" t="s">
        <v>7053</v>
      </c>
      <c r="V477" s="29" t="s">
        <v>7053</v>
      </c>
      <c r="W477" s="32" t="s">
        <v>7043</v>
      </c>
      <c r="X477" s="30">
        <v>46753.0</v>
      </c>
      <c r="Y477" s="30">
        <v>47118.0</v>
      </c>
      <c r="Z477" s="29" t="s">
        <v>7053</v>
      </c>
      <c r="AA477" s="29" t="s">
        <v>7053</v>
      </c>
      <c r="AB477" s="32" t="s">
        <v>7043</v>
      </c>
      <c r="AC477" s="30">
        <v>47119.0</v>
      </c>
      <c r="AD477" s="30">
        <v>47483.0</v>
      </c>
      <c r="AE477" s="29" t="s">
        <v>7053</v>
      </c>
      <c r="AF477" s="29" t="s">
        <v>7053</v>
      </c>
      <c r="AG477" s="32" t="s">
        <v>7043</v>
      </c>
      <c r="AH477" s="30">
        <v>47484.0</v>
      </c>
      <c r="AI477" s="30">
        <v>47848.0</v>
      </c>
      <c r="AJ477" s="29" t="s">
        <v>7053</v>
      </c>
      <c r="AK477" s="29" t="s">
        <v>7053</v>
      </c>
      <c r="AL477" s="32" t="s">
        <v>7043</v>
      </c>
    </row>
    <row r="478" ht="14.25" customHeight="1">
      <c r="A478" s="28" t="s">
        <v>2883</v>
      </c>
      <c r="B478" s="29" t="s">
        <v>2884</v>
      </c>
      <c r="C478" s="29" t="s">
        <v>7041</v>
      </c>
      <c r="D478" s="30">
        <v>45292.0</v>
      </c>
      <c r="E478" s="30">
        <v>45657.0</v>
      </c>
      <c r="F478" s="29" t="s">
        <v>7064</v>
      </c>
      <c r="G478" s="29" t="s">
        <v>7053</v>
      </c>
      <c r="H478" s="38" t="s">
        <v>7047</v>
      </c>
      <c r="I478" s="30">
        <v>45658.0</v>
      </c>
      <c r="J478" s="30">
        <v>46022.0</v>
      </c>
      <c r="K478" s="29" t="s">
        <v>7064</v>
      </c>
      <c r="L478" s="29" t="s">
        <v>7053</v>
      </c>
      <c r="M478" s="38" t="s">
        <v>7047</v>
      </c>
      <c r="N478" s="30">
        <v>46023.0</v>
      </c>
      <c r="O478" s="30">
        <v>46387.0</v>
      </c>
      <c r="P478" s="29" t="s">
        <v>7053</v>
      </c>
      <c r="Q478" s="29" t="s">
        <v>7053</v>
      </c>
      <c r="R478" s="32" t="s">
        <v>7043</v>
      </c>
      <c r="S478" s="30">
        <v>46388.0</v>
      </c>
      <c r="T478" s="30">
        <v>46752.0</v>
      </c>
      <c r="U478" s="29" t="s">
        <v>7053</v>
      </c>
      <c r="V478" s="29" t="s">
        <v>7053</v>
      </c>
      <c r="W478" s="32" t="s">
        <v>7043</v>
      </c>
      <c r="X478" s="30">
        <v>46753.0</v>
      </c>
      <c r="Y478" s="30">
        <v>47118.0</v>
      </c>
      <c r="Z478" s="29" t="s">
        <v>7053</v>
      </c>
      <c r="AA478" s="29" t="s">
        <v>7053</v>
      </c>
      <c r="AB478" s="32" t="s">
        <v>7043</v>
      </c>
      <c r="AC478" s="30">
        <v>47119.0</v>
      </c>
      <c r="AD478" s="30">
        <v>47483.0</v>
      </c>
      <c r="AE478" s="29" t="s">
        <v>7053</v>
      </c>
      <c r="AF478" s="29" t="s">
        <v>7053</v>
      </c>
      <c r="AG478" s="32" t="s">
        <v>7043</v>
      </c>
      <c r="AH478" s="30">
        <v>47484.0</v>
      </c>
      <c r="AI478" s="30">
        <v>47848.0</v>
      </c>
      <c r="AJ478" s="29" t="s">
        <v>7053</v>
      </c>
      <c r="AK478" s="29" t="s">
        <v>7053</v>
      </c>
      <c r="AL478" s="32" t="s">
        <v>7043</v>
      </c>
    </row>
    <row r="479" ht="14.25" customHeight="1">
      <c r="A479" s="28" t="s">
        <v>4082</v>
      </c>
      <c r="B479" s="29" t="s">
        <v>4083</v>
      </c>
      <c r="C479" s="29" t="s">
        <v>7041</v>
      </c>
      <c r="D479" s="30">
        <v>45292.0</v>
      </c>
      <c r="E479" s="30">
        <v>45657.0</v>
      </c>
      <c r="F479" s="29" t="s">
        <v>7075</v>
      </c>
      <c r="G479" s="29" t="s">
        <v>7053</v>
      </c>
      <c r="H479" s="38" t="s">
        <v>7047</v>
      </c>
      <c r="I479" s="30">
        <v>45658.0</v>
      </c>
      <c r="J479" s="30">
        <v>46022.0</v>
      </c>
      <c r="K479" s="29" t="s">
        <v>7072</v>
      </c>
      <c r="L479" s="29" t="s">
        <v>7053</v>
      </c>
      <c r="M479" s="38" t="s">
        <v>7047</v>
      </c>
      <c r="N479" s="30">
        <v>46023.0</v>
      </c>
      <c r="O479" s="30">
        <v>46387.0</v>
      </c>
      <c r="P479" s="29" t="s">
        <v>7053</v>
      </c>
      <c r="Q479" s="29" t="s">
        <v>7053</v>
      </c>
      <c r="R479" s="32" t="s">
        <v>7043</v>
      </c>
      <c r="S479" s="30">
        <v>46388.0</v>
      </c>
      <c r="T479" s="30">
        <v>46752.0</v>
      </c>
      <c r="U479" s="29" t="s">
        <v>7053</v>
      </c>
      <c r="V479" s="29" t="s">
        <v>7053</v>
      </c>
      <c r="W479" s="32" t="s">
        <v>7043</v>
      </c>
      <c r="X479" s="30">
        <v>46753.0</v>
      </c>
      <c r="Y479" s="30">
        <v>47118.0</v>
      </c>
      <c r="Z479" s="29" t="s">
        <v>7053</v>
      </c>
      <c r="AA479" s="29" t="s">
        <v>7053</v>
      </c>
      <c r="AB479" s="32" t="s">
        <v>7043</v>
      </c>
      <c r="AC479" s="30">
        <v>47119.0</v>
      </c>
      <c r="AD479" s="30">
        <v>47483.0</v>
      </c>
      <c r="AE479" s="29" t="s">
        <v>7053</v>
      </c>
      <c r="AF479" s="29" t="s">
        <v>7053</v>
      </c>
      <c r="AG479" s="32" t="s">
        <v>7043</v>
      </c>
      <c r="AH479" s="30">
        <v>47484.0</v>
      </c>
      <c r="AI479" s="30">
        <v>47848.0</v>
      </c>
      <c r="AJ479" s="29" t="s">
        <v>7053</v>
      </c>
      <c r="AK479" s="29" t="s">
        <v>7053</v>
      </c>
      <c r="AL479" s="32" t="s">
        <v>7043</v>
      </c>
    </row>
    <row r="480" ht="14.25" customHeight="1">
      <c r="A480" s="28" t="s">
        <v>6931</v>
      </c>
      <c r="B480" s="29" t="s">
        <v>6932</v>
      </c>
      <c r="C480" s="29" t="s">
        <v>7041</v>
      </c>
      <c r="D480" s="30">
        <v>45292.0</v>
      </c>
      <c r="E480" s="30">
        <v>45657.0</v>
      </c>
      <c r="F480" s="29" t="s">
        <v>7068</v>
      </c>
      <c r="G480" s="29" t="s">
        <v>7053</v>
      </c>
      <c r="H480" s="38" t="s">
        <v>7047</v>
      </c>
      <c r="I480" s="30">
        <v>45658.0</v>
      </c>
      <c r="J480" s="30">
        <v>46022.0</v>
      </c>
      <c r="K480" s="29" t="s">
        <v>7068</v>
      </c>
      <c r="L480" s="29" t="s">
        <v>7053</v>
      </c>
      <c r="M480" s="38" t="s">
        <v>7047</v>
      </c>
      <c r="N480" s="30">
        <v>46023.0</v>
      </c>
      <c r="O480" s="30">
        <v>46387.0</v>
      </c>
      <c r="P480" s="29" t="s">
        <v>7053</v>
      </c>
      <c r="Q480" s="29" t="s">
        <v>7053</v>
      </c>
      <c r="R480" s="32" t="s">
        <v>7043</v>
      </c>
      <c r="S480" s="30">
        <v>46388.0</v>
      </c>
      <c r="T480" s="30">
        <v>46752.0</v>
      </c>
      <c r="U480" s="29" t="s">
        <v>7053</v>
      </c>
      <c r="V480" s="29" t="s">
        <v>7053</v>
      </c>
      <c r="W480" s="32" t="s">
        <v>7043</v>
      </c>
      <c r="X480" s="30">
        <v>46753.0</v>
      </c>
      <c r="Y480" s="30">
        <v>47118.0</v>
      </c>
      <c r="Z480" s="29" t="s">
        <v>7053</v>
      </c>
      <c r="AA480" s="29" t="s">
        <v>7053</v>
      </c>
      <c r="AB480" s="32" t="s">
        <v>7043</v>
      </c>
      <c r="AC480" s="30">
        <v>47119.0</v>
      </c>
      <c r="AD480" s="30">
        <v>47483.0</v>
      </c>
      <c r="AE480" s="29" t="s">
        <v>7053</v>
      </c>
      <c r="AF480" s="29" t="s">
        <v>7053</v>
      </c>
      <c r="AG480" s="32" t="s">
        <v>7043</v>
      </c>
      <c r="AH480" s="30">
        <v>47484.0</v>
      </c>
      <c r="AI480" s="30">
        <v>47848.0</v>
      </c>
      <c r="AJ480" s="29" t="s">
        <v>7053</v>
      </c>
      <c r="AK480" s="29" t="s">
        <v>7053</v>
      </c>
      <c r="AL480" s="32" t="s">
        <v>7043</v>
      </c>
    </row>
    <row r="481" ht="14.25" customHeight="1">
      <c r="A481" s="28" t="s">
        <v>2262</v>
      </c>
      <c r="B481" s="29" t="s">
        <v>2263</v>
      </c>
      <c r="C481" s="29" t="s">
        <v>7041</v>
      </c>
      <c r="D481" s="30">
        <v>45292.0</v>
      </c>
      <c r="E481" s="30">
        <v>45657.0</v>
      </c>
      <c r="F481" s="29" t="s">
        <v>7150</v>
      </c>
      <c r="G481" s="29" t="s">
        <v>7053</v>
      </c>
      <c r="H481" s="38" t="s">
        <v>7047</v>
      </c>
      <c r="I481" s="30">
        <v>45658.0</v>
      </c>
      <c r="J481" s="30">
        <v>46022.0</v>
      </c>
      <c r="K481" s="29" t="s">
        <v>7114</v>
      </c>
      <c r="L481" s="29" t="s">
        <v>7053</v>
      </c>
      <c r="M481" s="38" t="s">
        <v>7047</v>
      </c>
      <c r="N481" s="30">
        <v>46023.0</v>
      </c>
      <c r="O481" s="30">
        <v>46387.0</v>
      </c>
      <c r="P481" s="29" t="s">
        <v>7053</v>
      </c>
      <c r="Q481" s="29" t="s">
        <v>7053</v>
      </c>
      <c r="R481" s="32" t="s">
        <v>7043</v>
      </c>
      <c r="S481" s="30">
        <v>46388.0</v>
      </c>
      <c r="T481" s="30">
        <v>46752.0</v>
      </c>
      <c r="U481" s="29" t="s">
        <v>7053</v>
      </c>
      <c r="V481" s="29" t="s">
        <v>7053</v>
      </c>
      <c r="W481" s="32" t="s">
        <v>7043</v>
      </c>
      <c r="X481" s="30">
        <v>46753.0</v>
      </c>
      <c r="Y481" s="30">
        <v>47118.0</v>
      </c>
      <c r="Z481" s="29" t="s">
        <v>7053</v>
      </c>
      <c r="AA481" s="29" t="s">
        <v>7053</v>
      </c>
      <c r="AB481" s="32" t="s">
        <v>7043</v>
      </c>
      <c r="AC481" s="30">
        <v>47119.0</v>
      </c>
      <c r="AD481" s="30">
        <v>47483.0</v>
      </c>
      <c r="AE481" s="29" t="s">
        <v>7053</v>
      </c>
      <c r="AF481" s="29" t="s">
        <v>7053</v>
      </c>
      <c r="AG481" s="32" t="s">
        <v>7043</v>
      </c>
      <c r="AH481" s="30">
        <v>47484.0</v>
      </c>
      <c r="AI481" s="30">
        <v>47848.0</v>
      </c>
      <c r="AJ481" s="29" t="s">
        <v>7053</v>
      </c>
      <c r="AK481" s="29" t="s">
        <v>7053</v>
      </c>
      <c r="AL481" s="32" t="s">
        <v>7043</v>
      </c>
    </row>
    <row r="482" ht="14.25" customHeight="1">
      <c r="A482" s="28" t="s">
        <v>6214</v>
      </c>
      <c r="B482" s="29" t="s">
        <v>6215</v>
      </c>
      <c r="C482" s="29" t="s">
        <v>7041</v>
      </c>
      <c r="D482" s="30">
        <v>45292.0</v>
      </c>
      <c r="E482" s="30">
        <v>45657.0</v>
      </c>
      <c r="F482" s="29" t="s">
        <v>7056</v>
      </c>
      <c r="G482" s="29" t="s">
        <v>7053</v>
      </c>
      <c r="H482" s="38" t="s">
        <v>7047</v>
      </c>
      <c r="I482" s="30">
        <v>45658.0</v>
      </c>
      <c r="J482" s="30">
        <v>46022.0</v>
      </c>
      <c r="K482" s="29" t="s">
        <v>7104</v>
      </c>
      <c r="L482" s="29" t="s">
        <v>7053</v>
      </c>
      <c r="M482" s="38" t="s">
        <v>7047</v>
      </c>
      <c r="N482" s="30">
        <v>46023.0</v>
      </c>
      <c r="O482" s="30">
        <v>46387.0</v>
      </c>
      <c r="P482" s="29" t="s">
        <v>7053</v>
      </c>
      <c r="Q482" s="29" t="s">
        <v>7053</v>
      </c>
      <c r="R482" s="32" t="s">
        <v>7043</v>
      </c>
      <c r="S482" s="30">
        <v>46388.0</v>
      </c>
      <c r="T482" s="30">
        <v>46752.0</v>
      </c>
      <c r="U482" s="29" t="s">
        <v>7053</v>
      </c>
      <c r="V482" s="29" t="s">
        <v>7053</v>
      </c>
      <c r="W482" s="32" t="s">
        <v>7043</v>
      </c>
      <c r="X482" s="30">
        <v>46753.0</v>
      </c>
      <c r="Y482" s="30">
        <v>47118.0</v>
      </c>
      <c r="Z482" s="29" t="s">
        <v>7053</v>
      </c>
      <c r="AA482" s="29" t="s">
        <v>7053</v>
      </c>
      <c r="AB482" s="32" t="s">
        <v>7043</v>
      </c>
      <c r="AC482" s="30">
        <v>47119.0</v>
      </c>
      <c r="AD482" s="30">
        <v>47483.0</v>
      </c>
      <c r="AE482" s="29" t="s">
        <v>7053</v>
      </c>
      <c r="AF482" s="29" t="s">
        <v>7053</v>
      </c>
      <c r="AG482" s="32" t="s">
        <v>7043</v>
      </c>
      <c r="AH482" s="30">
        <v>47484.0</v>
      </c>
      <c r="AI482" s="30">
        <v>47848.0</v>
      </c>
      <c r="AJ482" s="29" t="s">
        <v>7053</v>
      </c>
      <c r="AK482" s="29" t="s">
        <v>7053</v>
      </c>
      <c r="AL482" s="32" t="s">
        <v>7043</v>
      </c>
    </row>
    <row r="483" ht="14.25" customHeight="1">
      <c r="A483" s="28" t="s">
        <v>1976</v>
      </c>
      <c r="B483" s="29" t="s">
        <v>1977</v>
      </c>
      <c r="C483" s="29" t="s">
        <v>7041</v>
      </c>
      <c r="D483" s="30">
        <v>45292.0</v>
      </c>
      <c r="E483" s="30">
        <v>45657.0</v>
      </c>
      <c r="F483" s="29" t="s">
        <v>7053</v>
      </c>
      <c r="G483" s="29" t="s">
        <v>7053</v>
      </c>
      <c r="H483" s="32" t="s">
        <v>7043</v>
      </c>
      <c r="I483" s="30">
        <v>45658.0</v>
      </c>
      <c r="J483" s="30">
        <v>46022.0</v>
      </c>
      <c r="K483" s="29" t="s">
        <v>7053</v>
      </c>
      <c r="L483" s="29" t="s">
        <v>7053</v>
      </c>
      <c r="M483" s="32" t="s">
        <v>7043</v>
      </c>
      <c r="N483" s="30">
        <v>46023.0</v>
      </c>
      <c r="O483" s="30">
        <v>46387.0</v>
      </c>
      <c r="P483" s="29" t="s">
        <v>7053</v>
      </c>
      <c r="Q483" s="29" t="s">
        <v>7053</v>
      </c>
      <c r="R483" s="32" t="s">
        <v>7043</v>
      </c>
      <c r="S483" s="30">
        <v>46388.0</v>
      </c>
      <c r="T483" s="30">
        <v>46752.0</v>
      </c>
      <c r="U483" s="29" t="s">
        <v>7053</v>
      </c>
      <c r="V483" s="29" t="s">
        <v>7053</v>
      </c>
      <c r="W483" s="32" t="s">
        <v>7043</v>
      </c>
      <c r="X483" s="30">
        <v>46753.0</v>
      </c>
      <c r="Y483" s="30">
        <v>47118.0</v>
      </c>
      <c r="Z483" s="29" t="s">
        <v>7053</v>
      </c>
      <c r="AA483" s="29" t="s">
        <v>7053</v>
      </c>
      <c r="AB483" s="32" t="s">
        <v>7043</v>
      </c>
      <c r="AC483" s="30">
        <v>47119.0</v>
      </c>
      <c r="AD483" s="30">
        <v>47483.0</v>
      </c>
      <c r="AE483" s="29" t="s">
        <v>7053</v>
      </c>
      <c r="AF483" s="29" t="s">
        <v>7053</v>
      </c>
      <c r="AG483" s="32" t="s">
        <v>7043</v>
      </c>
      <c r="AH483" s="30">
        <v>47484.0</v>
      </c>
      <c r="AI483" s="30">
        <v>47848.0</v>
      </c>
      <c r="AJ483" s="29" t="s">
        <v>7053</v>
      </c>
      <c r="AK483" s="29" t="s">
        <v>7053</v>
      </c>
      <c r="AL483" s="32" t="s">
        <v>7043</v>
      </c>
    </row>
    <row r="484" ht="14.25" customHeight="1">
      <c r="A484" s="28" t="s">
        <v>5120</v>
      </c>
      <c r="B484" s="29" t="s">
        <v>5121</v>
      </c>
      <c r="C484" s="29" t="s">
        <v>7041</v>
      </c>
      <c r="D484" s="30">
        <v>45292.0</v>
      </c>
      <c r="E484" s="30">
        <v>45657.0</v>
      </c>
      <c r="F484" s="29" t="s">
        <v>7053</v>
      </c>
      <c r="G484" s="29" t="s">
        <v>7053</v>
      </c>
      <c r="H484" s="32" t="s">
        <v>7043</v>
      </c>
      <c r="I484" s="30">
        <v>45658.0</v>
      </c>
      <c r="J484" s="30">
        <v>46022.0</v>
      </c>
      <c r="K484" s="29" t="s">
        <v>7070</v>
      </c>
      <c r="L484" s="29" t="s">
        <v>7053</v>
      </c>
      <c r="M484" s="38" t="s">
        <v>7047</v>
      </c>
      <c r="N484" s="30">
        <v>46023.0</v>
      </c>
      <c r="O484" s="30">
        <v>46387.0</v>
      </c>
      <c r="P484" s="29" t="s">
        <v>7053</v>
      </c>
      <c r="Q484" s="29" t="s">
        <v>7053</v>
      </c>
      <c r="R484" s="32" t="s">
        <v>7043</v>
      </c>
      <c r="S484" s="30">
        <v>46388.0</v>
      </c>
      <c r="T484" s="30">
        <v>46752.0</v>
      </c>
      <c r="U484" s="29" t="s">
        <v>7053</v>
      </c>
      <c r="V484" s="29" t="s">
        <v>7053</v>
      </c>
      <c r="W484" s="32" t="s">
        <v>7043</v>
      </c>
      <c r="X484" s="30">
        <v>46753.0</v>
      </c>
      <c r="Y484" s="30">
        <v>47118.0</v>
      </c>
      <c r="Z484" s="29" t="s">
        <v>7053</v>
      </c>
      <c r="AA484" s="29" t="s">
        <v>7053</v>
      </c>
      <c r="AB484" s="32" t="s">
        <v>7043</v>
      </c>
      <c r="AC484" s="30">
        <v>47119.0</v>
      </c>
      <c r="AD484" s="30">
        <v>47483.0</v>
      </c>
      <c r="AE484" s="29" t="s">
        <v>7053</v>
      </c>
      <c r="AF484" s="29" t="s">
        <v>7053</v>
      </c>
      <c r="AG484" s="32" t="s">
        <v>7043</v>
      </c>
      <c r="AH484" s="30">
        <v>47484.0</v>
      </c>
      <c r="AI484" s="30">
        <v>47848.0</v>
      </c>
      <c r="AJ484" s="29" t="s">
        <v>7053</v>
      </c>
      <c r="AK484" s="29" t="s">
        <v>7053</v>
      </c>
      <c r="AL484" s="32" t="s">
        <v>7043</v>
      </c>
    </row>
    <row r="485" ht="14.25" customHeight="1">
      <c r="A485" s="28" t="s">
        <v>5976</v>
      </c>
      <c r="B485" s="29" t="s">
        <v>5977</v>
      </c>
      <c r="C485" s="29" t="s">
        <v>7041</v>
      </c>
      <c r="D485" s="30">
        <v>45292.0</v>
      </c>
      <c r="E485" s="30">
        <v>45657.0</v>
      </c>
      <c r="F485" s="29" t="s">
        <v>7111</v>
      </c>
      <c r="G485" s="29" t="s">
        <v>7053</v>
      </c>
      <c r="H485" s="38" t="s">
        <v>7047</v>
      </c>
      <c r="I485" s="30">
        <v>45658.0</v>
      </c>
      <c r="J485" s="30">
        <v>46022.0</v>
      </c>
      <c r="K485" s="29" t="s">
        <v>7050</v>
      </c>
      <c r="L485" s="29" t="s">
        <v>7053</v>
      </c>
      <c r="M485" s="38" t="s">
        <v>7047</v>
      </c>
      <c r="N485" s="30">
        <v>46023.0</v>
      </c>
      <c r="O485" s="30">
        <v>46387.0</v>
      </c>
      <c r="P485" s="29" t="s">
        <v>7053</v>
      </c>
      <c r="Q485" s="29" t="s">
        <v>7053</v>
      </c>
      <c r="R485" s="32" t="s">
        <v>7043</v>
      </c>
      <c r="S485" s="30">
        <v>46388.0</v>
      </c>
      <c r="T485" s="30">
        <v>46752.0</v>
      </c>
      <c r="U485" s="29" t="s">
        <v>7053</v>
      </c>
      <c r="V485" s="29" t="s">
        <v>7053</v>
      </c>
      <c r="W485" s="32" t="s">
        <v>7043</v>
      </c>
      <c r="X485" s="30">
        <v>46753.0</v>
      </c>
      <c r="Y485" s="30">
        <v>47118.0</v>
      </c>
      <c r="Z485" s="29" t="s">
        <v>7053</v>
      </c>
      <c r="AA485" s="29" t="s">
        <v>7053</v>
      </c>
      <c r="AB485" s="32" t="s">
        <v>7043</v>
      </c>
      <c r="AC485" s="30">
        <v>47119.0</v>
      </c>
      <c r="AD485" s="30">
        <v>47483.0</v>
      </c>
      <c r="AE485" s="29" t="s">
        <v>7053</v>
      </c>
      <c r="AF485" s="29" t="s">
        <v>7053</v>
      </c>
      <c r="AG485" s="32" t="s">
        <v>7043</v>
      </c>
      <c r="AH485" s="30">
        <v>47484.0</v>
      </c>
      <c r="AI485" s="30">
        <v>47848.0</v>
      </c>
      <c r="AJ485" s="29" t="s">
        <v>7053</v>
      </c>
      <c r="AK485" s="29" t="s">
        <v>7053</v>
      </c>
      <c r="AL485" s="32" t="s">
        <v>7043</v>
      </c>
    </row>
    <row r="486" ht="14.25" customHeight="1">
      <c r="A486" s="28" t="s">
        <v>5702</v>
      </c>
      <c r="B486" s="29" t="s">
        <v>5703</v>
      </c>
      <c r="C486" s="29" t="s">
        <v>7041</v>
      </c>
      <c r="D486" s="30">
        <v>45292.0</v>
      </c>
      <c r="E486" s="30">
        <v>45657.0</v>
      </c>
      <c r="F486" s="29" t="s">
        <v>7053</v>
      </c>
      <c r="G486" s="29" t="s">
        <v>7053</v>
      </c>
      <c r="H486" s="32" t="s">
        <v>7043</v>
      </c>
      <c r="I486" s="30">
        <v>45658.0</v>
      </c>
      <c r="J486" s="30">
        <v>46022.0</v>
      </c>
      <c r="K486" s="29" t="s">
        <v>7053</v>
      </c>
      <c r="L486" s="29" t="s">
        <v>7053</v>
      </c>
      <c r="M486" s="32" t="s">
        <v>7043</v>
      </c>
      <c r="N486" s="30">
        <v>46023.0</v>
      </c>
      <c r="O486" s="30">
        <v>46387.0</v>
      </c>
      <c r="P486" s="29" t="s">
        <v>7053</v>
      </c>
      <c r="Q486" s="29" t="s">
        <v>7053</v>
      </c>
      <c r="R486" s="32" t="s">
        <v>7043</v>
      </c>
      <c r="S486" s="30">
        <v>46388.0</v>
      </c>
      <c r="T486" s="30">
        <v>46752.0</v>
      </c>
      <c r="U486" s="29" t="s">
        <v>7053</v>
      </c>
      <c r="V486" s="29" t="s">
        <v>7053</v>
      </c>
      <c r="W486" s="32" t="s">
        <v>7043</v>
      </c>
      <c r="X486" s="30">
        <v>46753.0</v>
      </c>
      <c r="Y486" s="30">
        <v>47118.0</v>
      </c>
      <c r="Z486" s="29" t="s">
        <v>7053</v>
      </c>
      <c r="AA486" s="29" t="s">
        <v>7053</v>
      </c>
      <c r="AB486" s="32" t="s">
        <v>7043</v>
      </c>
      <c r="AC486" s="30">
        <v>47119.0</v>
      </c>
      <c r="AD486" s="30">
        <v>47483.0</v>
      </c>
      <c r="AE486" s="29" t="s">
        <v>7053</v>
      </c>
      <c r="AF486" s="29" t="s">
        <v>7053</v>
      </c>
      <c r="AG486" s="32" t="s">
        <v>7043</v>
      </c>
      <c r="AH486" s="30">
        <v>47484.0</v>
      </c>
      <c r="AI486" s="30">
        <v>47848.0</v>
      </c>
      <c r="AJ486" s="29" t="s">
        <v>7053</v>
      </c>
      <c r="AK486" s="29" t="s">
        <v>7053</v>
      </c>
      <c r="AL486" s="32" t="s">
        <v>7043</v>
      </c>
    </row>
    <row r="487" ht="14.25" customHeight="1">
      <c r="A487" s="28" t="s">
        <v>7002</v>
      </c>
      <c r="B487" s="29" t="s">
        <v>7003</v>
      </c>
      <c r="C487" s="29" t="s">
        <v>7041</v>
      </c>
      <c r="D487" s="30">
        <v>45292.0</v>
      </c>
      <c r="E487" s="30">
        <v>45657.0</v>
      </c>
      <c r="F487" s="29" t="s">
        <v>7070</v>
      </c>
      <c r="G487" s="29" t="s">
        <v>7053</v>
      </c>
      <c r="H487" s="38" t="s">
        <v>7047</v>
      </c>
      <c r="I487" s="30">
        <v>45658.0</v>
      </c>
      <c r="J487" s="30">
        <v>46022.0</v>
      </c>
      <c r="K487" s="29" t="s">
        <v>7071</v>
      </c>
      <c r="L487" s="29" t="s">
        <v>7053</v>
      </c>
      <c r="M487" s="38" t="s">
        <v>7047</v>
      </c>
      <c r="N487" s="30">
        <v>46023.0</v>
      </c>
      <c r="O487" s="30">
        <v>46387.0</v>
      </c>
      <c r="P487" s="29" t="s">
        <v>7053</v>
      </c>
      <c r="Q487" s="29" t="s">
        <v>7053</v>
      </c>
      <c r="R487" s="32" t="s">
        <v>7043</v>
      </c>
      <c r="S487" s="30">
        <v>46388.0</v>
      </c>
      <c r="T487" s="30">
        <v>46752.0</v>
      </c>
      <c r="U487" s="29" t="s">
        <v>7053</v>
      </c>
      <c r="V487" s="29" t="s">
        <v>7053</v>
      </c>
      <c r="W487" s="32" t="s">
        <v>7043</v>
      </c>
      <c r="X487" s="30">
        <v>46753.0</v>
      </c>
      <c r="Y487" s="30">
        <v>47118.0</v>
      </c>
      <c r="Z487" s="29" t="s">
        <v>7053</v>
      </c>
      <c r="AA487" s="29" t="s">
        <v>7053</v>
      </c>
      <c r="AB487" s="32" t="s">
        <v>7043</v>
      </c>
      <c r="AC487" s="30">
        <v>47119.0</v>
      </c>
      <c r="AD487" s="30">
        <v>47483.0</v>
      </c>
      <c r="AE487" s="29" t="s">
        <v>7053</v>
      </c>
      <c r="AF487" s="29" t="s">
        <v>7053</v>
      </c>
      <c r="AG487" s="32" t="s">
        <v>7043</v>
      </c>
      <c r="AH487" s="30">
        <v>47484.0</v>
      </c>
      <c r="AI487" s="30">
        <v>47848.0</v>
      </c>
      <c r="AJ487" s="29" t="s">
        <v>7053</v>
      </c>
      <c r="AK487" s="29" t="s">
        <v>7053</v>
      </c>
      <c r="AL487" s="32" t="s">
        <v>7043</v>
      </c>
    </row>
    <row r="488" ht="14.25" customHeight="1">
      <c r="A488" s="28" t="s">
        <v>3176</v>
      </c>
      <c r="B488" s="29" t="s">
        <v>3177</v>
      </c>
      <c r="C488" s="29" t="s">
        <v>7041</v>
      </c>
      <c r="D488" s="30">
        <v>45292.0</v>
      </c>
      <c r="E488" s="30">
        <v>45657.0</v>
      </c>
      <c r="F488" s="29" t="s">
        <v>7101</v>
      </c>
      <c r="G488" s="29" t="s">
        <v>7053</v>
      </c>
      <c r="H488" s="38" t="s">
        <v>7047</v>
      </c>
      <c r="I488" s="30">
        <v>45658.0</v>
      </c>
      <c r="J488" s="30">
        <v>46022.0</v>
      </c>
      <c r="K488" s="29" t="s">
        <v>7097</v>
      </c>
      <c r="L488" s="29" t="s">
        <v>7053</v>
      </c>
      <c r="M488" s="38" t="s">
        <v>7047</v>
      </c>
      <c r="N488" s="30">
        <v>46023.0</v>
      </c>
      <c r="O488" s="30">
        <v>46387.0</v>
      </c>
      <c r="P488" s="29" t="s">
        <v>7053</v>
      </c>
      <c r="Q488" s="29" t="s">
        <v>7053</v>
      </c>
      <c r="R488" s="32" t="s">
        <v>7043</v>
      </c>
      <c r="S488" s="30">
        <v>46388.0</v>
      </c>
      <c r="T488" s="30">
        <v>46752.0</v>
      </c>
      <c r="U488" s="29" t="s">
        <v>7053</v>
      </c>
      <c r="V488" s="29" t="s">
        <v>7053</v>
      </c>
      <c r="W488" s="32" t="s">
        <v>7043</v>
      </c>
      <c r="X488" s="30">
        <v>46753.0</v>
      </c>
      <c r="Y488" s="30">
        <v>47118.0</v>
      </c>
      <c r="Z488" s="29" t="s">
        <v>7053</v>
      </c>
      <c r="AA488" s="29" t="s">
        <v>7053</v>
      </c>
      <c r="AB488" s="32" t="s">
        <v>7043</v>
      </c>
      <c r="AC488" s="30">
        <v>47119.0</v>
      </c>
      <c r="AD488" s="30">
        <v>47483.0</v>
      </c>
      <c r="AE488" s="29" t="s">
        <v>7053</v>
      </c>
      <c r="AF488" s="29" t="s">
        <v>7053</v>
      </c>
      <c r="AG488" s="32" t="s">
        <v>7043</v>
      </c>
      <c r="AH488" s="30">
        <v>47484.0</v>
      </c>
      <c r="AI488" s="30">
        <v>47848.0</v>
      </c>
      <c r="AJ488" s="29" t="s">
        <v>7053</v>
      </c>
      <c r="AK488" s="29" t="s">
        <v>7053</v>
      </c>
      <c r="AL488" s="32" t="s">
        <v>7043</v>
      </c>
    </row>
    <row r="489" ht="14.25" customHeight="1">
      <c r="A489" s="28" t="s">
        <v>3793</v>
      </c>
      <c r="B489" s="29" t="s">
        <v>3794</v>
      </c>
      <c r="C489" s="29" t="s">
        <v>7041</v>
      </c>
      <c r="D489" s="30">
        <v>45292.0</v>
      </c>
      <c r="E489" s="30">
        <v>45657.0</v>
      </c>
      <c r="F489" s="29" t="s">
        <v>7096</v>
      </c>
      <c r="G489" s="29" t="s">
        <v>7053</v>
      </c>
      <c r="H489" s="38" t="s">
        <v>7047</v>
      </c>
      <c r="I489" s="30">
        <v>45658.0</v>
      </c>
      <c r="J489" s="30">
        <v>46022.0</v>
      </c>
      <c r="K489" s="29" t="s">
        <v>7071</v>
      </c>
      <c r="L489" s="29" t="s">
        <v>7053</v>
      </c>
      <c r="M489" s="38" t="s">
        <v>7047</v>
      </c>
      <c r="N489" s="30">
        <v>46023.0</v>
      </c>
      <c r="O489" s="30">
        <v>46387.0</v>
      </c>
      <c r="P489" s="29" t="s">
        <v>7053</v>
      </c>
      <c r="Q489" s="29" t="s">
        <v>7053</v>
      </c>
      <c r="R489" s="32" t="s">
        <v>7043</v>
      </c>
      <c r="S489" s="30">
        <v>46388.0</v>
      </c>
      <c r="T489" s="30">
        <v>46752.0</v>
      </c>
      <c r="U489" s="29" t="s">
        <v>7053</v>
      </c>
      <c r="V489" s="29" t="s">
        <v>7053</v>
      </c>
      <c r="W489" s="32" t="s">
        <v>7043</v>
      </c>
      <c r="X489" s="30">
        <v>46753.0</v>
      </c>
      <c r="Y489" s="30">
        <v>47118.0</v>
      </c>
      <c r="Z489" s="29" t="s">
        <v>7053</v>
      </c>
      <c r="AA489" s="29" t="s">
        <v>7053</v>
      </c>
      <c r="AB489" s="32" t="s">
        <v>7043</v>
      </c>
      <c r="AC489" s="30">
        <v>47119.0</v>
      </c>
      <c r="AD489" s="30">
        <v>47483.0</v>
      </c>
      <c r="AE489" s="29" t="s">
        <v>7053</v>
      </c>
      <c r="AF489" s="29" t="s">
        <v>7053</v>
      </c>
      <c r="AG489" s="32" t="s">
        <v>7043</v>
      </c>
      <c r="AH489" s="30">
        <v>47484.0</v>
      </c>
      <c r="AI489" s="30">
        <v>47848.0</v>
      </c>
      <c r="AJ489" s="29" t="s">
        <v>7053</v>
      </c>
      <c r="AK489" s="29" t="s">
        <v>7053</v>
      </c>
      <c r="AL489" s="32" t="s">
        <v>7043</v>
      </c>
    </row>
    <row r="490" ht="14.25" customHeight="1">
      <c r="A490" s="28" t="s">
        <v>3413</v>
      </c>
      <c r="B490" s="29" t="s">
        <v>3414</v>
      </c>
      <c r="C490" s="29" t="s">
        <v>7041</v>
      </c>
      <c r="D490" s="30">
        <v>45292.0</v>
      </c>
      <c r="E490" s="30">
        <v>45657.0</v>
      </c>
      <c r="F490" s="29" t="s">
        <v>7065</v>
      </c>
      <c r="G490" s="29" t="s">
        <v>7111</v>
      </c>
      <c r="H490" s="38" t="s">
        <v>7047</v>
      </c>
      <c r="I490" s="30">
        <v>45658.0</v>
      </c>
      <c r="J490" s="30">
        <v>46022.0</v>
      </c>
      <c r="K490" s="29" t="s">
        <v>7126</v>
      </c>
      <c r="L490" s="29" t="s">
        <v>7080</v>
      </c>
      <c r="M490" s="38" t="s">
        <v>7047</v>
      </c>
      <c r="N490" s="30">
        <v>46023.0</v>
      </c>
      <c r="O490" s="30">
        <v>46387.0</v>
      </c>
      <c r="P490" s="29" t="s">
        <v>7053</v>
      </c>
      <c r="Q490" s="29" t="s">
        <v>7053</v>
      </c>
      <c r="R490" s="32" t="s">
        <v>7043</v>
      </c>
      <c r="S490" s="30">
        <v>46388.0</v>
      </c>
      <c r="T490" s="30">
        <v>46752.0</v>
      </c>
      <c r="U490" s="29" t="s">
        <v>7053</v>
      </c>
      <c r="V490" s="29" t="s">
        <v>7053</v>
      </c>
      <c r="W490" s="32" t="s">
        <v>7043</v>
      </c>
      <c r="X490" s="30">
        <v>46753.0</v>
      </c>
      <c r="Y490" s="30">
        <v>47118.0</v>
      </c>
      <c r="Z490" s="29" t="s">
        <v>7053</v>
      </c>
      <c r="AA490" s="29" t="s">
        <v>7053</v>
      </c>
      <c r="AB490" s="32" t="s">
        <v>7043</v>
      </c>
      <c r="AC490" s="30">
        <v>47119.0</v>
      </c>
      <c r="AD490" s="30">
        <v>47483.0</v>
      </c>
      <c r="AE490" s="29" t="s">
        <v>7053</v>
      </c>
      <c r="AF490" s="29" t="s">
        <v>7053</v>
      </c>
      <c r="AG490" s="32" t="s">
        <v>7043</v>
      </c>
      <c r="AH490" s="30">
        <v>47484.0</v>
      </c>
      <c r="AI490" s="30">
        <v>47848.0</v>
      </c>
      <c r="AJ490" s="29" t="s">
        <v>7053</v>
      </c>
      <c r="AK490" s="29" t="s">
        <v>7053</v>
      </c>
      <c r="AL490" s="32" t="s">
        <v>7043</v>
      </c>
    </row>
    <row r="491" ht="14.25" customHeight="1">
      <c r="A491" s="28" t="s">
        <v>3268</v>
      </c>
      <c r="B491" s="29" t="s">
        <v>3269</v>
      </c>
      <c r="C491" s="29" t="s">
        <v>7041</v>
      </c>
      <c r="D491" s="30">
        <v>45292.0</v>
      </c>
      <c r="E491" s="30">
        <v>45657.0</v>
      </c>
      <c r="F491" s="29" t="s">
        <v>7086</v>
      </c>
      <c r="G491" s="29" t="s">
        <v>7053</v>
      </c>
      <c r="H491" s="38" t="s">
        <v>7047</v>
      </c>
      <c r="I491" s="30">
        <v>45658.0</v>
      </c>
      <c r="J491" s="30">
        <v>46022.0</v>
      </c>
      <c r="K491" s="29" t="s">
        <v>7086</v>
      </c>
      <c r="L491" s="29" t="s">
        <v>7097</v>
      </c>
      <c r="M491" s="38" t="s">
        <v>7047</v>
      </c>
      <c r="N491" s="30">
        <v>46023.0</v>
      </c>
      <c r="O491" s="30">
        <v>46387.0</v>
      </c>
      <c r="P491" s="29" t="s">
        <v>7053</v>
      </c>
      <c r="Q491" s="29" t="s">
        <v>7053</v>
      </c>
      <c r="R491" s="32" t="s">
        <v>7043</v>
      </c>
      <c r="S491" s="30">
        <v>46388.0</v>
      </c>
      <c r="T491" s="30">
        <v>46752.0</v>
      </c>
      <c r="U491" s="29" t="s">
        <v>7053</v>
      </c>
      <c r="V491" s="29" t="s">
        <v>7053</v>
      </c>
      <c r="W491" s="32" t="s">
        <v>7043</v>
      </c>
      <c r="X491" s="30">
        <v>46753.0</v>
      </c>
      <c r="Y491" s="30">
        <v>47118.0</v>
      </c>
      <c r="Z491" s="29" t="s">
        <v>7053</v>
      </c>
      <c r="AA491" s="29" t="s">
        <v>7053</v>
      </c>
      <c r="AB491" s="32" t="s">
        <v>7043</v>
      </c>
      <c r="AC491" s="30">
        <v>47119.0</v>
      </c>
      <c r="AD491" s="30">
        <v>47483.0</v>
      </c>
      <c r="AE491" s="29" t="s">
        <v>7053</v>
      </c>
      <c r="AF491" s="29" t="s">
        <v>7053</v>
      </c>
      <c r="AG491" s="32" t="s">
        <v>7043</v>
      </c>
      <c r="AH491" s="30">
        <v>47484.0</v>
      </c>
      <c r="AI491" s="30">
        <v>47848.0</v>
      </c>
      <c r="AJ491" s="29" t="s">
        <v>7053</v>
      </c>
      <c r="AK491" s="29" t="s">
        <v>7053</v>
      </c>
      <c r="AL491" s="32" t="s">
        <v>7043</v>
      </c>
    </row>
    <row r="492" ht="14.25" customHeight="1">
      <c r="A492" s="28" t="s">
        <v>5915</v>
      </c>
      <c r="B492" s="29" t="s">
        <v>5916</v>
      </c>
      <c r="C492" s="29" t="s">
        <v>7041</v>
      </c>
      <c r="D492" s="30">
        <v>45292.0</v>
      </c>
      <c r="E492" s="30">
        <v>45657.0</v>
      </c>
      <c r="F492" s="29" t="s">
        <v>7097</v>
      </c>
      <c r="G492" s="29" t="s">
        <v>7053</v>
      </c>
      <c r="H492" s="38" t="s">
        <v>7047</v>
      </c>
      <c r="I492" s="30">
        <v>45658.0</v>
      </c>
      <c r="J492" s="30">
        <v>46022.0</v>
      </c>
      <c r="K492" s="29" t="s">
        <v>7097</v>
      </c>
      <c r="L492" s="29" t="s">
        <v>7089</v>
      </c>
      <c r="M492" s="38" t="s">
        <v>7047</v>
      </c>
      <c r="N492" s="30">
        <v>46023.0</v>
      </c>
      <c r="O492" s="30">
        <v>46387.0</v>
      </c>
      <c r="P492" s="29" t="s">
        <v>7053</v>
      </c>
      <c r="Q492" s="29" t="s">
        <v>7053</v>
      </c>
      <c r="R492" s="32" t="s">
        <v>7043</v>
      </c>
      <c r="S492" s="30">
        <v>46388.0</v>
      </c>
      <c r="T492" s="30">
        <v>46752.0</v>
      </c>
      <c r="U492" s="29" t="s">
        <v>7053</v>
      </c>
      <c r="V492" s="29" t="s">
        <v>7053</v>
      </c>
      <c r="W492" s="32" t="s">
        <v>7043</v>
      </c>
      <c r="X492" s="30">
        <v>46753.0</v>
      </c>
      <c r="Y492" s="30">
        <v>47118.0</v>
      </c>
      <c r="Z492" s="29" t="s">
        <v>7053</v>
      </c>
      <c r="AA492" s="29" t="s">
        <v>7053</v>
      </c>
      <c r="AB492" s="32" t="s">
        <v>7043</v>
      </c>
      <c r="AC492" s="30">
        <v>47119.0</v>
      </c>
      <c r="AD492" s="30">
        <v>47483.0</v>
      </c>
      <c r="AE492" s="29" t="s">
        <v>7053</v>
      </c>
      <c r="AF492" s="29" t="s">
        <v>7053</v>
      </c>
      <c r="AG492" s="32" t="s">
        <v>7043</v>
      </c>
      <c r="AH492" s="30">
        <v>47484.0</v>
      </c>
      <c r="AI492" s="30">
        <v>47848.0</v>
      </c>
      <c r="AJ492" s="29" t="s">
        <v>7053</v>
      </c>
      <c r="AK492" s="29" t="s">
        <v>7053</v>
      </c>
      <c r="AL492" s="32" t="s">
        <v>7043</v>
      </c>
    </row>
    <row r="493" ht="14.25" customHeight="1">
      <c r="A493" s="28" t="s">
        <v>5592</v>
      </c>
      <c r="B493" s="29" t="s">
        <v>5593</v>
      </c>
      <c r="C493" s="29" t="s">
        <v>7041</v>
      </c>
      <c r="D493" s="30">
        <v>45292.0</v>
      </c>
      <c r="E493" s="30">
        <v>45657.0</v>
      </c>
      <c r="F493" s="29" t="s">
        <v>7097</v>
      </c>
      <c r="G493" s="29" t="s">
        <v>7053</v>
      </c>
      <c r="H493" s="38" t="s">
        <v>7047</v>
      </c>
      <c r="I493" s="30">
        <v>45658.0</v>
      </c>
      <c r="J493" s="30">
        <v>46022.0</v>
      </c>
      <c r="K493" s="29" t="s">
        <v>7097</v>
      </c>
      <c r="L493" s="29" t="s">
        <v>7079</v>
      </c>
      <c r="M493" s="38" t="s">
        <v>7047</v>
      </c>
      <c r="N493" s="30">
        <v>46023.0</v>
      </c>
      <c r="O493" s="30">
        <v>46387.0</v>
      </c>
      <c r="P493" s="29" t="s">
        <v>7053</v>
      </c>
      <c r="Q493" s="29" t="s">
        <v>7053</v>
      </c>
      <c r="R493" s="32" t="s">
        <v>7043</v>
      </c>
      <c r="S493" s="30">
        <v>46388.0</v>
      </c>
      <c r="T493" s="30">
        <v>46752.0</v>
      </c>
      <c r="U493" s="29" t="s">
        <v>7053</v>
      </c>
      <c r="V493" s="29" t="s">
        <v>7053</v>
      </c>
      <c r="W493" s="32" t="s">
        <v>7043</v>
      </c>
      <c r="X493" s="30">
        <v>46753.0</v>
      </c>
      <c r="Y493" s="30">
        <v>47118.0</v>
      </c>
      <c r="Z493" s="29" t="s">
        <v>7053</v>
      </c>
      <c r="AA493" s="29" t="s">
        <v>7053</v>
      </c>
      <c r="AB493" s="32" t="s">
        <v>7043</v>
      </c>
      <c r="AC493" s="30">
        <v>47119.0</v>
      </c>
      <c r="AD493" s="30">
        <v>47483.0</v>
      </c>
      <c r="AE493" s="29" t="s">
        <v>7053</v>
      </c>
      <c r="AF493" s="29" t="s">
        <v>7053</v>
      </c>
      <c r="AG493" s="32" t="s">
        <v>7043</v>
      </c>
      <c r="AH493" s="30">
        <v>47484.0</v>
      </c>
      <c r="AI493" s="30">
        <v>47848.0</v>
      </c>
      <c r="AJ493" s="29" t="s">
        <v>7053</v>
      </c>
      <c r="AK493" s="29" t="s">
        <v>7053</v>
      </c>
      <c r="AL493" s="32" t="s">
        <v>7043</v>
      </c>
    </row>
    <row r="494" ht="14.25" customHeight="1">
      <c r="A494" s="28" t="s">
        <v>1473</v>
      </c>
      <c r="B494" s="29" t="s">
        <v>1474</v>
      </c>
      <c r="C494" s="29" t="s">
        <v>7041</v>
      </c>
      <c r="D494" s="30">
        <v>45292.0</v>
      </c>
      <c r="E494" s="30">
        <v>45657.0</v>
      </c>
      <c r="F494" s="29" t="s">
        <v>7089</v>
      </c>
      <c r="G494" s="29" t="s">
        <v>7053</v>
      </c>
      <c r="H494" s="38" t="s">
        <v>7047</v>
      </c>
      <c r="I494" s="30">
        <v>45658.0</v>
      </c>
      <c r="J494" s="30">
        <v>46022.0</v>
      </c>
      <c r="K494" s="29" t="s">
        <v>7053</v>
      </c>
      <c r="L494" s="29" t="s">
        <v>7053</v>
      </c>
      <c r="M494" s="32" t="s">
        <v>7043</v>
      </c>
      <c r="N494" s="30">
        <v>46023.0</v>
      </c>
      <c r="O494" s="30">
        <v>46387.0</v>
      </c>
      <c r="P494" s="29" t="s">
        <v>7053</v>
      </c>
      <c r="Q494" s="29" t="s">
        <v>7053</v>
      </c>
      <c r="R494" s="32" t="s">
        <v>7043</v>
      </c>
      <c r="S494" s="30">
        <v>46388.0</v>
      </c>
      <c r="T494" s="30">
        <v>46752.0</v>
      </c>
      <c r="U494" s="29" t="s">
        <v>7053</v>
      </c>
      <c r="V494" s="29" t="s">
        <v>7053</v>
      </c>
      <c r="W494" s="32" t="s">
        <v>7043</v>
      </c>
      <c r="X494" s="30">
        <v>46753.0</v>
      </c>
      <c r="Y494" s="30">
        <v>47118.0</v>
      </c>
      <c r="Z494" s="29" t="s">
        <v>7053</v>
      </c>
      <c r="AA494" s="29" t="s">
        <v>7053</v>
      </c>
      <c r="AB494" s="32" t="s">
        <v>7043</v>
      </c>
      <c r="AC494" s="30">
        <v>47119.0</v>
      </c>
      <c r="AD494" s="30">
        <v>47483.0</v>
      </c>
      <c r="AE494" s="29" t="s">
        <v>7053</v>
      </c>
      <c r="AF494" s="29" t="s">
        <v>7053</v>
      </c>
      <c r="AG494" s="32" t="s">
        <v>7043</v>
      </c>
      <c r="AH494" s="30">
        <v>47484.0</v>
      </c>
      <c r="AI494" s="30">
        <v>47848.0</v>
      </c>
      <c r="AJ494" s="29" t="s">
        <v>7053</v>
      </c>
      <c r="AK494" s="29" t="s">
        <v>7053</v>
      </c>
      <c r="AL494" s="32" t="s">
        <v>7043</v>
      </c>
    </row>
    <row r="495" ht="14.25" customHeight="1">
      <c r="A495" s="28" t="s">
        <v>5525</v>
      </c>
      <c r="B495" s="29" t="s">
        <v>5526</v>
      </c>
      <c r="C495" s="29" t="s">
        <v>7041</v>
      </c>
      <c r="D495" s="30">
        <v>45292.0</v>
      </c>
      <c r="E495" s="30">
        <v>45657.0</v>
      </c>
      <c r="F495" s="29" t="s">
        <v>7104</v>
      </c>
      <c r="G495" s="29" t="s">
        <v>7070</v>
      </c>
      <c r="H495" s="38" t="s">
        <v>7047</v>
      </c>
      <c r="I495" s="30">
        <v>45658.0</v>
      </c>
      <c r="J495" s="30">
        <v>46022.0</v>
      </c>
      <c r="K495" s="29" t="s">
        <v>7056</v>
      </c>
      <c r="L495" s="29" t="s">
        <v>7053</v>
      </c>
      <c r="M495" s="38" t="s">
        <v>7047</v>
      </c>
      <c r="N495" s="30">
        <v>46023.0</v>
      </c>
      <c r="O495" s="30">
        <v>46387.0</v>
      </c>
      <c r="P495" s="29" t="s">
        <v>7053</v>
      </c>
      <c r="Q495" s="29" t="s">
        <v>7053</v>
      </c>
      <c r="R495" s="32" t="s">
        <v>7043</v>
      </c>
      <c r="S495" s="30">
        <v>46388.0</v>
      </c>
      <c r="T495" s="30">
        <v>46752.0</v>
      </c>
      <c r="U495" s="29" t="s">
        <v>7053</v>
      </c>
      <c r="V495" s="29" t="s">
        <v>7053</v>
      </c>
      <c r="W495" s="32" t="s">
        <v>7043</v>
      </c>
      <c r="X495" s="30">
        <v>46753.0</v>
      </c>
      <c r="Y495" s="30">
        <v>47118.0</v>
      </c>
      <c r="Z495" s="29" t="s">
        <v>7053</v>
      </c>
      <c r="AA495" s="29" t="s">
        <v>7053</v>
      </c>
      <c r="AB495" s="32" t="s">
        <v>7043</v>
      </c>
      <c r="AC495" s="30">
        <v>47119.0</v>
      </c>
      <c r="AD495" s="30">
        <v>47483.0</v>
      </c>
      <c r="AE495" s="29" t="s">
        <v>7053</v>
      </c>
      <c r="AF495" s="29" t="s">
        <v>7053</v>
      </c>
      <c r="AG495" s="32" t="s">
        <v>7043</v>
      </c>
      <c r="AH495" s="30">
        <v>47484.0</v>
      </c>
      <c r="AI495" s="30">
        <v>47848.0</v>
      </c>
      <c r="AJ495" s="29" t="s">
        <v>7053</v>
      </c>
      <c r="AK495" s="29" t="s">
        <v>7053</v>
      </c>
      <c r="AL495" s="32" t="s">
        <v>7043</v>
      </c>
    </row>
    <row r="496" ht="14.25" customHeight="1">
      <c r="A496" s="28" t="s">
        <v>5177</v>
      </c>
      <c r="B496" s="29" t="s">
        <v>5178</v>
      </c>
      <c r="C496" s="29" t="s">
        <v>7041</v>
      </c>
      <c r="D496" s="30">
        <v>45292.0</v>
      </c>
      <c r="E496" s="30">
        <v>45657.0</v>
      </c>
      <c r="F496" s="29" t="s">
        <v>7079</v>
      </c>
      <c r="G496" s="29" t="s">
        <v>7094</v>
      </c>
      <c r="H496" s="32" t="s">
        <v>7043</v>
      </c>
      <c r="I496" s="30">
        <v>45658.0</v>
      </c>
      <c r="J496" s="30">
        <v>46022.0</v>
      </c>
      <c r="K496" s="29" t="s">
        <v>7088</v>
      </c>
      <c r="L496" s="29" t="s">
        <v>7117</v>
      </c>
      <c r="M496" s="38" t="s">
        <v>7047</v>
      </c>
      <c r="N496" s="30">
        <v>46023.0</v>
      </c>
      <c r="O496" s="30">
        <v>46387.0</v>
      </c>
      <c r="P496" s="29" t="s">
        <v>7053</v>
      </c>
      <c r="Q496" s="29" t="s">
        <v>7053</v>
      </c>
      <c r="R496" s="32" t="s">
        <v>7043</v>
      </c>
      <c r="S496" s="30">
        <v>46388.0</v>
      </c>
      <c r="T496" s="30">
        <v>46752.0</v>
      </c>
      <c r="U496" s="29" t="s">
        <v>7053</v>
      </c>
      <c r="V496" s="29" t="s">
        <v>7053</v>
      </c>
      <c r="W496" s="32" t="s">
        <v>7043</v>
      </c>
      <c r="X496" s="30">
        <v>46753.0</v>
      </c>
      <c r="Y496" s="30">
        <v>47118.0</v>
      </c>
      <c r="Z496" s="29" t="s">
        <v>7053</v>
      </c>
      <c r="AA496" s="29" t="s">
        <v>7053</v>
      </c>
      <c r="AB496" s="32" t="s">
        <v>7043</v>
      </c>
      <c r="AC496" s="30">
        <v>47119.0</v>
      </c>
      <c r="AD496" s="30">
        <v>47483.0</v>
      </c>
      <c r="AE496" s="29" t="s">
        <v>7053</v>
      </c>
      <c r="AF496" s="29" t="s">
        <v>7053</v>
      </c>
      <c r="AG496" s="32" t="s">
        <v>7043</v>
      </c>
      <c r="AH496" s="30">
        <v>47484.0</v>
      </c>
      <c r="AI496" s="30">
        <v>47848.0</v>
      </c>
      <c r="AJ496" s="29" t="s">
        <v>7053</v>
      </c>
      <c r="AK496" s="29" t="s">
        <v>7053</v>
      </c>
      <c r="AL496" s="32" t="s">
        <v>7043</v>
      </c>
    </row>
    <row r="497" ht="14.25" customHeight="1">
      <c r="A497" s="28" t="s">
        <v>3392</v>
      </c>
      <c r="B497" s="29" t="s">
        <v>3393</v>
      </c>
      <c r="C497" s="29" t="s">
        <v>7041</v>
      </c>
      <c r="D497" s="30">
        <v>45292.0</v>
      </c>
      <c r="E497" s="30">
        <v>45657.0</v>
      </c>
      <c r="F497" s="29" t="s">
        <v>7086</v>
      </c>
      <c r="G497" s="29" t="s">
        <v>7056</v>
      </c>
      <c r="H497" s="32" t="s">
        <v>7043</v>
      </c>
      <c r="I497" s="30">
        <v>45658.0</v>
      </c>
      <c r="J497" s="30">
        <v>46022.0</v>
      </c>
      <c r="K497" s="29" t="s">
        <v>7052</v>
      </c>
      <c r="L497" s="29" t="s">
        <v>7072</v>
      </c>
      <c r="M497" s="38" t="s">
        <v>7047</v>
      </c>
      <c r="N497" s="30">
        <v>46023.0</v>
      </c>
      <c r="O497" s="30">
        <v>46387.0</v>
      </c>
      <c r="P497" s="29" t="s">
        <v>7053</v>
      </c>
      <c r="Q497" s="29" t="s">
        <v>7053</v>
      </c>
      <c r="R497" s="32" t="s">
        <v>7043</v>
      </c>
      <c r="S497" s="30">
        <v>46388.0</v>
      </c>
      <c r="T497" s="30">
        <v>46752.0</v>
      </c>
      <c r="U497" s="29" t="s">
        <v>7053</v>
      </c>
      <c r="V497" s="29" t="s">
        <v>7053</v>
      </c>
      <c r="W497" s="32" t="s">
        <v>7043</v>
      </c>
      <c r="X497" s="30">
        <v>46753.0</v>
      </c>
      <c r="Y497" s="30">
        <v>47118.0</v>
      </c>
      <c r="Z497" s="29" t="s">
        <v>7053</v>
      </c>
      <c r="AA497" s="29" t="s">
        <v>7053</v>
      </c>
      <c r="AB497" s="32" t="s">
        <v>7043</v>
      </c>
      <c r="AC497" s="30">
        <v>47119.0</v>
      </c>
      <c r="AD497" s="30">
        <v>47483.0</v>
      </c>
      <c r="AE497" s="29" t="s">
        <v>7053</v>
      </c>
      <c r="AF497" s="29" t="s">
        <v>7053</v>
      </c>
      <c r="AG497" s="32" t="s">
        <v>7043</v>
      </c>
      <c r="AH497" s="30">
        <v>47484.0</v>
      </c>
      <c r="AI497" s="30">
        <v>47848.0</v>
      </c>
      <c r="AJ497" s="29" t="s">
        <v>7053</v>
      </c>
      <c r="AK497" s="29" t="s">
        <v>7053</v>
      </c>
      <c r="AL497" s="32" t="s">
        <v>7043</v>
      </c>
    </row>
    <row r="498" ht="14.25" customHeight="1">
      <c r="A498" s="28" t="s">
        <v>5690</v>
      </c>
      <c r="B498" s="29" t="s">
        <v>5691</v>
      </c>
      <c r="C498" s="29" t="s">
        <v>7041</v>
      </c>
      <c r="D498" s="30">
        <v>45292.0</v>
      </c>
      <c r="E498" s="30">
        <v>45657.0</v>
      </c>
      <c r="F498" s="29" t="s">
        <v>7053</v>
      </c>
      <c r="G498" s="29" t="s">
        <v>7053</v>
      </c>
      <c r="H498" s="32" t="s">
        <v>7043</v>
      </c>
      <c r="I498" s="30">
        <v>45658.0</v>
      </c>
      <c r="J498" s="30">
        <v>46022.0</v>
      </c>
      <c r="K498" s="29" t="s">
        <v>7053</v>
      </c>
      <c r="L498" s="29" t="s">
        <v>7053</v>
      </c>
      <c r="M498" s="32" t="s">
        <v>7043</v>
      </c>
      <c r="N498" s="30">
        <v>46023.0</v>
      </c>
      <c r="O498" s="30">
        <v>46387.0</v>
      </c>
      <c r="P498" s="29" t="s">
        <v>7053</v>
      </c>
      <c r="Q498" s="29" t="s">
        <v>7053</v>
      </c>
      <c r="R498" s="32" t="s">
        <v>7043</v>
      </c>
      <c r="S498" s="30">
        <v>46388.0</v>
      </c>
      <c r="T498" s="30">
        <v>46752.0</v>
      </c>
      <c r="U498" s="29" t="s">
        <v>7053</v>
      </c>
      <c r="V498" s="29" t="s">
        <v>7053</v>
      </c>
      <c r="W498" s="32" t="s">
        <v>7043</v>
      </c>
      <c r="X498" s="30">
        <v>46753.0</v>
      </c>
      <c r="Y498" s="30">
        <v>47118.0</v>
      </c>
      <c r="Z498" s="29" t="s">
        <v>7053</v>
      </c>
      <c r="AA498" s="29" t="s">
        <v>7053</v>
      </c>
      <c r="AB498" s="32" t="s">
        <v>7043</v>
      </c>
      <c r="AC498" s="30">
        <v>47119.0</v>
      </c>
      <c r="AD498" s="30">
        <v>47483.0</v>
      </c>
      <c r="AE498" s="29" t="s">
        <v>7053</v>
      </c>
      <c r="AF498" s="29" t="s">
        <v>7053</v>
      </c>
      <c r="AG498" s="32" t="s">
        <v>7043</v>
      </c>
      <c r="AH498" s="30">
        <v>47484.0</v>
      </c>
      <c r="AI498" s="30">
        <v>47848.0</v>
      </c>
      <c r="AJ498" s="29" t="s">
        <v>7053</v>
      </c>
      <c r="AK498" s="29" t="s">
        <v>7053</v>
      </c>
      <c r="AL498" s="32" t="s">
        <v>7043</v>
      </c>
    </row>
    <row r="499" ht="14.25" customHeight="1">
      <c r="A499" s="28" t="s">
        <v>941</v>
      </c>
      <c r="B499" s="29" t="s">
        <v>942</v>
      </c>
      <c r="C499" s="29" t="s">
        <v>7041</v>
      </c>
      <c r="D499" s="30">
        <v>45292.0</v>
      </c>
      <c r="E499" s="30">
        <v>45657.0</v>
      </c>
      <c r="F499" s="29" t="s">
        <v>7070</v>
      </c>
      <c r="G499" s="29" t="s">
        <v>7096</v>
      </c>
      <c r="H499" s="32" t="s">
        <v>7043</v>
      </c>
      <c r="I499" s="30">
        <v>45658.0</v>
      </c>
      <c r="J499" s="30">
        <v>46022.0</v>
      </c>
      <c r="K499" s="29" t="s">
        <v>7070</v>
      </c>
      <c r="L499" s="29" t="s">
        <v>7095</v>
      </c>
      <c r="M499" s="38" t="s">
        <v>7047</v>
      </c>
      <c r="N499" s="30">
        <v>46023.0</v>
      </c>
      <c r="O499" s="30">
        <v>46387.0</v>
      </c>
      <c r="P499" s="29" t="s">
        <v>7053</v>
      </c>
      <c r="Q499" s="29" t="s">
        <v>7053</v>
      </c>
      <c r="R499" s="32" t="s">
        <v>7043</v>
      </c>
      <c r="S499" s="30">
        <v>46388.0</v>
      </c>
      <c r="T499" s="30">
        <v>46752.0</v>
      </c>
      <c r="U499" s="29" t="s">
        <v>7053</v>
      </c>
      <c r="V499" s="29" t="s">
        <v>7053</v>
      </c>
      <c r="W499" s="32" t="s">
        <v>7043</v>
      </c>
      <c r="X499" s="30">
        <v>46753.0</v>
      </c>
      <c r="Y499" s="30">
        <v>47118.0</v>
      </c>
      <c r="Z499" s="29" t="s">
        <v>7053</v>
      </c>
      <c r="AA499" s="29" t="s">
        <v>7053</v>
      </c>
      <c r="AB499" s="32" t="s">
        <v>7043</v>
      </c>
      <c r="AC499" s="30">
        <v>47119.0</v>
      </c>
      <c r="AD499" s="30">
        <v>47483.0</v>
      </c>
      <c r="AE499" s="29" t="s">
        <v>7053</v>
      </c>
      <c r="AF499" s="29" t="s">
        <v>7053</v>
      </c>
      <c r="AG499" s="32" t="s">
        <v>7043</v>
      </c>
      <c r="AH499" s="30">
        <v>47484.0</v>
      </c>
      <c r="AI499" s="30">
        <v>47848.0</v>
      </c>
      <c r="AJ499" s="29" t="s">
        <v>7053</v>
      </c>
      <c r="AK499" s="29" t="s">
        <v>7053</v>
      </c>
      <c r="AL499" s="32" t="s">
        <v>7043</v>
      </c>
    </row>
    <row r="500" ht="14.25" customHeight="1">
      <c r="A500" s="28" t="s">
        <v>6248</v>
      </c>
      <c r="B500" s="29" t="s">
        <v>6249</v>
      </c>
      <c r="C500" s="29" t="s">
        <v>7041</v>
      </c>
      <c r="D500" s="30">
        <v>45292.0</v>
      </c>
      <c r="E500" s="30">
        <v>45657.0</v>
      </c>
      <c r="F500" s="29" t="s">
        <v>7053</v>
      </c>
      <c r="G500" s="29" t="s">
        <v>7070</v>
      </c>
      <c r="H500" s="32" t="s">
        <v>7043</v>
      </c>
      <c r="I500" s="30">
        <v>45658.0</v>
      </c>
      <c r="J500" s="30">
        <v>46022.0</v>
      </c>
      <c r="K500" s="29" t="s">
        <v>7053</v>
      </c>
      <c r="L500" s="29" t="s">
        <v>7070</v>
      </c>
      <c r="M500" s="32" t="s">
        <v>7043</v>
      </c>
      <c r="N500" s="30">
        <v>46023.0</v>
      </c>
      <c r="O500" s="30">
        <v>46387.0</v>
      </c>
      <c r="P500" s="29" t="s">
        <v>7053</v>
      </c>
      <c r="Q500" s="29" t="s">
        <v>7053</v>
      </c>
      <c r="R500" s="32" t="s">
        <v>7043</v>
      </c>
      <c r="S500" s="30">
        <v>46388.0</v>
      </c>
      <c r="T500" s="30">
        <v>46752.0</v>
      </c>
      <c r="U500" s="29" t="s">
        <v>7053</v>
      </c>
      <c r="V500" s="29" t="s">
        <v>7053</v>
      </c>
      <c r="W500" s="32" t="s">
        <v>7043</v>
      </c>
      <c r="X500" s="30">
        <v>46753.0</v>
      </c>
      <c r="Y500" s="30">
        <v>47118.0</v>
      </c>
      <c r="Z500" s="29" t="s">
        <v>7053</v>
      </c>
      <c r="AA500" s="29" t="s">
        <v>7053</v>
      </c>
      <c r="AB500" s="32" t="s">
        <v>7043</v>
      </c>
      <c r="AC500" s="30">
        <v>47119.0</v>
      </c>
      <c r="AD500" s="30">
        <v>47483.0</v>
      </c>
      <c r="AE500" s="29" t="s">
        <v>7053</v>
      </c>
      <c r="AF500" s="29" t="s">
        <v>7053</v>
      </c>
      <c r="AG500" s="32" t="s">
        <v>7043</v>
      </c>
      <c r="AH500" s="30">
        <v>47484.0</v>
      </c>
      <c r="AI500" s="30">
        <v>47848.0</v>
      </c>
      <c r="AJ500" s="29" t="s">
        <v>7053</v>
      </c>
      <c r="AK500" s="29" t="s">
        <v>7053</v>
      </c>
      <c r="AL500" s="32" t="s">
        <v>7043</v>
      </c>
    </row>
    <row r="501" ht="14.25" customHeight="1">
      <c r="A501" s="28" t="s">
        <v>6261</v>
      </c>
      <c r="B501" s="29" t="s">
        <v>6262</v>
      </c>
      <c r="C501" s="29" t="s">
        <v>7041</v>
      </c>
      <c r="D501" s="30">
        <v>45292.0</v>
      </c>
      <c r="E501" s="30">
        <v>45657.0</v>
      </c>
      <c r="F501" s="29" t="s">
        <v>7053</v>
      </c>
      <c r="G501" s="29" t="s">
        <v>7053</v>
      </c>
      <c r="H501" s="32" t="s">
        <v>7043</v>
      </c>
      <c r="I501" s="30">
        <v>45658.0</v>
      </c>
      <c r="J501" s="30">
        <v>46022.0</v>
      </c>
      <c r="K501" s="29" t="s">
        <v>7053</v>
      </c>
      <c r="L501" s="29" t="s">
        <v>7053</v>
      </c>
      <c r="M501" s="32" t="s">
        <v>7043</v>
      </c>
      <c r="N501" s="30">
        <v>46023.0</v>
      </c>
      <c r="O501" s="30">
        <v>46387.0</v>
      </c>
      <c r="P501" s="29" t="s">
        <v>7053</v>
      </c>
      <c r="Q501" s="29" t="s">
        <v>7053</v>
      </c>
      <c r="R501" s="32" t="s">
        <v>7043</v>
      </c>
      <c r="S501" s="30">
        <v>46388.0</v>
      </c>
      <c r="T501" s="30">
        <v>46752.0</v>
      </c>
      <c r="U501" s="29" t="s">
        <v>7053</v>
      </c>
      <c r="V501" s="29" t="s">
        <v>7053</v>
      </c>
      <c r="W501" s="32" t="s">
        <v>7043</v>
      </c>
      <c r="X501" s="30">
        <v>46753.0</v>
      </c>
      <c r="Y501" s="30">
        <v>47118.0</v>
      </c>
      <c r="Z501" s="29" t="s">
        <v>7053</v>
      </c>
      <c r="AA501" s="29" t="s">
        <v>7053</v>
      </c>
      <c r="AB501" s="32" t="s">
        <v>7043</v>
      </c>
      <c r="AC501" s="30">
        <v>47119.0</v>
      </c>
      <c r="AD501" s="30">
        <v>47483.0</v>
      </c>
      <c r="AE501" s="29" t="s">
        <v>7053</v>
      </c>
      <c r="AF501" s="29" t="s">
        <v>7053</v>
      </c>
      <c r="AG501" s="32" t="s">
        <v>7043</v>
      </c>
      <c r="AH501" s="30">
        <v>47484.0</v>
      </c>
      <c r="AI501" s="30">
        <v>47848.0</v>
      </c>
      <c r="AJ501" s="29" t="s">
        <v>7053</v>
      </c>
      <c r="AK501" s="29" t="s">
        <v>7053</v>
      </c>
      <c r="AL501" s="32" t="s">
        <v>7043</v>
      </c>
    </row>
    <row r="502" ht="14.25" customHeight="1">
      <c r="A502" s="28" t="s">
        <v>6264</v>
      </c>
      <c r="B502" s="29" t="s">
        <v>6265</v>
      </c>
      <c r="C502" s="29" t="s">
        <v>7041</v>
      </c>
      <c r="D502" s="30">
        <v>45292.0</v>
      </c>
      <c r="E502" s="30">
        <v>45657.0</v>
      </c>
      <c r="F502" s="29" t="s">
        <v>7053</v>
      </c>
      <c r="G502" s="29" t="s">
        <v>7053</v>
      </c>
      <c r="H502" s="32" t="s">
        <v>7043</v>
      </c>
      <c r="I502" s="30">
        <v>45658.0</v>
      </c>
      <c r="J502" s="30">
        <v>46022.0</v>
      </c>
      <c r="K502" s="29" t="s">
        <v>7053</v>
      </c>
      <c r="L502" s="29" t="s">
        <v>7053</v>
      </c>
      <c r="M502" s="32" t="s">
        <v>7043</v>
      </c>
      <c r="N502" s="30">
        <v>46023.0</v>
      </c>
      <c r="O502" s="30">
        <v>46387.0</v>
      </c>
      <c r="P502" s="29" t="s">
        <v>7053</v>
      </c>
      <c r="Q502" s="29" t="s">
        <v>7053</v>
      </c>
      <c r="R502" s="32" t="s">
        <v>7043</v>
      </c>
      <c r="S502" s="30">
        <v>46388.0</v>
      </c>
      <c r="T502" s="30">
        <v>46752.0</v>
      </c>
      <c r="U502" s="29" t="s">
        <v>7053</v>
      </c>
      <c r="V502" s="29" t="s">
        <v>7053</v>
      </c>
      <c r="W502" s="32" t="s">
        <v>7043</v>
      </c>
      <c r="X502" s="30">
        <v>46753.0</v>
      </c>
      <c r="Y502" s="30">
        <v>47118.0</v>
      </c>
      <c r="Z502" s="29" t="s">
        <v>7053</v>
      </c>
      <c r="AA502" s="29" t="s">
        <v>7053</v>
      </c>
      <c r="AB502" s="32" t="s">
        <v>7043</v>
      </c>
      <c r="AC502" s="30">
        <v>47119.0</v>
      </c>
      <c r="AD502" s="30">
        <v>47483.0</v>
      </c>
      <c r="AE502" s="29" t="s">
        <v>7053</v>
      </c>
      <c r="AF502" s="29" t="s">
        <v>7053</v>
      </c>
      <c r="AG502" s="32" t="s">
        <v>7043</v>
      </c>
      <c r="AH502" s="30">
        <v>47484.0</v>
      </c>
      <c r="AI502" s="30">
        <v>47848.0</v>
      </c>
      <c r="AJ502" s="29" t="s">
        <v>7053</v>
      </c>
      <c r="AK502" s="29" t="s">
        <v>7053</v>
      </c>
      <c r="AL502" s="32" t="s">
        <v>7043</v>
      </c>
    </row>
    <row r="503" ht="14.25" customHeight="1">
      <c r="A503" s="28" t="s">
        <v>6272</v>
      </c>
      <c r="B503" s="29" t="s">
        <v>6273</v>
      </c>
      <c r="C503" s="29" t="s">
        <v>7041</v>
      </c>
      <c r="D503" s="30">
        <v>45292.0</v>
      </c>
      <c r="E503" s="30">
        <v>45657.0</v>
      </c>
      <c r="F503" s="29" t="s">
        <v>7053</v>
      </c>
      <c r="G503" s="29" t="s">
        <v>7053</v>
      </c>
      <c r="H503" s="32" t="s">
        <v>7043</v>
      </c>
      <c r="I503" s="30">
        <v>45658.0</v>
      </c>
      <c r="J503" s="30">
        <v>46022.0</v>
      </c>
      <c r="K503" s="29" t="s">
        <v>7053</v>
      </c>
      <c r="L503" s="29" t="s">
        <v>7053</v>
      </c>
      <c r="M503" s="32" t="s">
        <v>7043</v>
      </c>
      <c r="N503" s="30">
        <v>46023.0</v>
      </c>
      <c r="O503" s="30">
        <v>46387.0</v>
      </c>
      <c r="P503" s="29" t="s">
        <v>7053</v>
      </c>
      <c r="Q503" s="29" t="s">
        <v>7053</v>
      </c>
      <c r="R503" s="32" t="s">
        <v>7043</v>
      </c>
      <c r="S503" s="30">
        <v>46388.0</v>
      </c>
      <c r="T503" s="30">
        <v>46752.0</v>
      </c>
      <c r="U503" s="29" t="s">
        <v>7053</v>
      </c>
      <c r="V503" s="29" t="s">
        <v>7053</v>
      </c>
      <c r="W503" s="32" t="s">
        <v>7043</v>
      </c>
      <c r="X503" s="30">
        <v>46753.0</v>
      </c>
      <c r="Y503" s="30">
        <v>47118.0</v>
      </c>
      <c r="Z503" s="29" t="s">
        <v>7053</v>
      </c>
      <c r="AA503" s="29" t="s">
        <v>7053</v>
      </c>
      <c r="AB503" s="32" t="s">
        <v>7043</v>
      </c>
      <c r="AC503" s="30">
        <v>47119.0</v>
      </c>
      <c r="AD503" s="30">
        <v>47483.0</v>
      </c>
      <c r="AE503" s="29" t="s">
        <v>7053</v>
      </c>
      <c r="AF503" s="29" t="s">
        <v>7053</v>
      </c>
      <c r="AG503" s="32" t="s">
        <v>7043</v>
      </c>
      <c r="AH503" s="30">
        <v>47484.0</v>
      </c>
      <c r="AI503" s="30">
        <v>47848.0</v>
      </c>
      <c r="AJ503" s="29" t="s">
        <v>7053</v>
      </c>
      <c r="AK503" s="29" t="s">
        <v>7053</v>
      </c>
      <c r="AL503" s="32" t="s">
        <v>7043</v>
      </c>
    </row>
    <row r="504" ht="14.25" customHeight="1">
      <c r="A504" s="28" t="s">
        <v>3141</v>
      </c>
      <c r="B504" s="29" t="s">
        <v>3142</v>
      </c>
      <c r="C504" s="29" t="s">
        <v>7041</v>
      </c>
      <c r="D504" s="30">
        <v>45292.0</v>
      </c>
      <c r="E504" s="30">
        <v>45657.0</v>
      </c>
      <c r="F504" s="29" t="s">
        <v>7053</v>
      </c>
      <c r="G504" s="29" t="s">
        <v>7053</v>
      </c>
      <c r="H504" s="32" t="s">
        <v>7043</v>
      </c>
      <c r="I504" s="30">
        <v>45658.0</v>
      </c>
      <c r="J504" s="30">
        <v>46022.0</v>
      </c>
      <c r="K504" s="29" t="s">
        <v>7053</v>
      </c>
      <c r="L504" s="29" t="s">
        <v>7053</v>
      </c>
      <c r="M504" s="32" t="s">
        <v>7043</v>
      </c>
      <c r="N504" s="30">
        <v>46023.0</v>
      </c>
      <c r="O504" s="30">
        <v>46387.0</v>
      </c>
      <c r="P504" s="29" t="s">
        <v>7053</v>
      </c>
      <c r="Q504" s="29" t="s">
        <v>7053</v>
      </c>
      <c r="R504" s="32" t="s">
        <v>7043</v>
      </c>
      <c r="S504" s="30">
        <v>46388.0</v>
      </c>
      <c r="T504" s="30">
        <v>46752.0</v>
      </c>
      <c r="U504" s="29" t="s">
        <v>7053</v>
      </c>
      <c r="V504" s="29" t="s">
        <v>7053</v>
      </c>
      <c r="W504" s="32" t="s">
        <v>7043</v>
      </c>
      <c r="X504" s="30">
        <v>46753.0</v>
      </c>
      <c r="Y504" s="30">
        <v>47118.0</v>
      </c>
      <c r="Z504" s="29" t="s">
        <v>7053</v>
      </c>
      <c r="AA504" s="29" t="s">
        <v>7053</v>
      </c>
      <c r="AB504" s="32" t="s">
        <v>7043</v>
      </c>
      <c r="AC504" s="30">
        <v>47119.0</v>
      </c>
      <c r="AD504" s="30">
        <v>47483.0</v>
      </c>
      <c r="AE504" s="29" t="s">
        <v>7053</v>
      </c>
      <c r="AF504" s="29" t="s">
        <v>7053</v>
      </c>
      <c r="AG504" s="32" t="s">
        <v>7043</v>
      </c>
      <c r="AH504" s="30">
        <v>47484.0</v>
      </c>
      <c r="AI504" s="30">
        <v>47848.0</v>
      </c>
      <c r="AJ504" s="29" t="s">
        <v>7053</v>
      </c>
      <c r="AK504" s="29" t="s">
        <v>7053</v>
      </c>
      <c r="AL504" s="32" t="s">
        <v>7043</v>
      </c>
    </row>
    <row r="505" ht="14.25" customHeight="1">
      <c r="A505" s="28" t="s">
        <v>4904</v>
      </c>
      <c r="B505" s="29" t="s">
        <v>4905</v>
      </c>
      <c r="C505" s="29" t="s">
        <v>7041</v>
      </c>
      <c r="D505" s="30">
        <v>45292.0</v>
      </c>
      <c r="E505" s="30">
        <v>45657.0</v>
      </c>
      <c r="F505" s="29" t="s">
        <v>7071</v>
      </c>
      <c r="G505" s="29" t="s">
        <v>7050</v>
      </c>
      <c r="H505" s="32" t="s">
        <v>7043</v>
      </c>
      <c r="I505" s="30">
        <v>45658.0</v>
      </c>
      <c r="J505" s="30">
        <v>46022.0</v>
      </c>
      <c r="K505" s="29" t="s">
        <v>7071</v>
      </c>
      <c r="L505" s="29" t="s">
        <v>7064</v>
      </c>
      <c r="M505" s="38" t="s">
        <v>7047</v>
      </c>
      <c r="N505" s="30">
        <v>46023.0</v>
      </c>
      <c r="O505" s="30">
        <v>46387.0</v>
      </c>
      <c r="P505" s="29" t="s">
        <v>7053</v>
      </c>
      <c r="Q505" s="29" t="s">
        <v>7053</v>
      </c>
      <c r="R505" s="32" t="s">
        <v>7043</v>
      </c>
      <c r="S505" s="30">
        <v>46388.0</v>
      </c>
      <c r="T505" s="30">
        <v>46752.0</v>
      </c>
      <c r="U505" s="29" t="s">
        <v>7053</v>
      </c>
      <c r="V505" s="29" t="s">
        <v>7053</v>
      </c>
      <c r="W505" s="32" t="s">
        <v>7043</v>
      </c>
      <c r="X505" s="30">
        <v>46753.0</v>
      </c>
      <c r="Y505" s="30">
        <v>47118.0</v>
      </c>
      <c r="Z505" s="29" t="s">
        <v>7053</v>
      </c>
      <c r="AA505" s="29" t="s">
        <v>7053</v>
      </c>
      <c r="AB505" s="32" t="s">
        <v>7043</v>
      </c>
      <c r="AC505" s="30">
        <v>47119.0</v>
      </c>
      <c r="AD505" s="30">
        <v>47483.0</v>
      </c>
      <c r="AE505" s="29" t="s">
        <v>7053</v>
      </c>
      <c r="AF505" s="29" t="s">
        <v>7053</v>
      </c>
      <c r="AG505" s="32" t="s">
        <v>7043</v>
      </c>
      <c r="AH505" s="30">
        <v>47484.0</v>
      </c>
      <c r="AI505" s="30">
        <v>47848.0</v>
      </c>
      <c r="AJ505" s="29" t="s">
        <v>7053</v>
      </c>
      <c r="AK505" s="29" t="s">
        <v>7053</v>
      </c>
      <c r="AL505" s="32" t="s">
        <v>7043</v>
      </c>
    </row>
    <row r="506" ht="14.25" customHeight="1">
      <c r="A506" s="28" t="s">
        <v>2167</v>
      </c>
      <c r="B506" s="29" t="s">
        <v>2168</v>
      </c>
      <c r="C506" s="29" t="s">
        <v>7041</v>
      </c>
      <c r="D506" s="30">
        <v>45292.0</v>
      </c>
      <c r="E506" s="30">
        <v>45657.0</v>
      </c>
      <c r="F506" s="29" t="s">
        <v>7100</v>
      </c>
      <c r="G506" s="29" t="s">
        <v>7095</v>
      </c>
      <c r="H506" s="38" t="s">
        <v>7047</v>
      </c>
      <c r="I506" s="30">
        <v>45658.0</v>
      </c>
      <c r="J506" s="30">
        <v>46022.0</v>
      </c>
      <c r="K506" s="29" t="s">
        <v>7064</v>
      </c>
      <c r="L506" s="29" t="s">
        <v>7086</v>
      </c>
      <c r="M506" s="38" t="s">
        <v>7047</v>
      </c>
      <c r="N506" s="30">
        <v>46023.0</v>
      </c>
      <c r="O506" s="30">
        <v>46387.0</v>
      </c>
      <c r="P506" s="29" t="s">
        <v>7053</v>
      </c>
      <c r="Q506" s="29" t="s">
        <v>7053</v>
      </c>
      <c r="R506" s="32" t="s">
        <v>7043</v>
      </c>
      <c r="S506" s="30">
        <v>46388.0</v>
      </c>
      <c r="T506" s="30">
        <v>46752.0</v>
      </c>
      <c r="U506" s="29" t="s">
        <v>7053</v>
      </c>
      <c r="V506" s="29" t="s">
        <v>7053</v>
      </c>
      <c r="W506" s="32" t="s">
        <v>7043</v>
      </c>
      <c r="X506" s="30">
        <v>46753.0</v>
      </c>
      <c r="Y506" s="30">
        <v>47118.0</v>
      </c>
      <c r="Z506" s="29" t="s">
        <v>7053</v>
      </c>
      <c r="AA506" s="29" t="s">
        <v>7053</v>
      </c>
      <c r="AB506" s="32" t="s">
        <v>7043</v>
      </c>
      <c r="AC506" s="30">
        <v>47119.0</v>
      </c>
      <c r="AD506" s="30">
        <v>47483.0</v>
      </c>
      <c r="AE506" s="29" t="s">
        <v>7053</v>
      </c>
      <c r="AF506" s="29" t="s">
        <v>7053</v>
      </c>
      <c r="AG506" s="32" t="s">
        <v>7043</v>
      </c>
      <c r="AH506" s="30">
        <v>47484.0</v>
      </c>
      <c r="AI506" s="30">
        <v>47848.0</v>
      </c>
      <c r="AJ506" s="29" t="s">
        <v>7053</v>
      </c>
      <c r="AK506" s="29" t="s">
        <v>7053</v>
      </c>
      <c r="AL506" s="32" t="s">
        <v>7043</v>
      </c>
    </row>
    <row r="507" ht="14.25" customHeight="1">
      <c r="A507" s="28" t="s">
        <v>3756</v>
      </c>
      <c r="B507" s="29" t="s">
        <v>3757</v>
      </c>
      <c r="C507" s="29" t="s">
        <v>7041</v>
      </c>
      <c r="D507" s="30">
        <v>45292.0</v>
      </c>
      <c r="E507" s="30">
        <v>45657.0</v>
      </c>
      <c r="F507" s="29" t="s">
        <v>7054</v>
      </c>
      <c r="G507" s="29" t="s">
        <v>7095</v>
      </c>
      <c r="H507" s="38" t="s">
        <v>7047</v>
      </c>
      <c r="I507" s="30">
        <v>45658.0</v>
      </c>
      <c r="J507" s="30">
        <v>46022.0</v>
      </c>
      <c r="K507" s="29" t="s">
        <v>7054</v>
      </c>
      <c r="L507" s="29" t="s">
        <v>7053</v>
      </c>
      <c r="M507" s="38" t="s">
        <v>7047</v>
      </c>
      <c r="N507" s="30">
        <v>46023.0</v>
      </c>
      <c r="O507" s="30">
        <v>46387.0</v>
      </c>
      <c r="P507" s="29" t="s">
        <v>7053</v>
      </c>
      <c r="Q507" s="29" t="s">
        <v>7053</v>
      </c>
      <c r="R507" s="32" t="s">
        <v>7043</v>
      </c>
      <c r="S507" s="30">
        <v>46388.0</v>
      </c>
      <c r="T507" s="30">
        <v>46752.0</v>
      </c>
      <c r="U507" s="29" t="s">
        <v>7053</v>
      </c>
      <c r="V507" s="29" t="s">
        <v>7053</v>
      </c>
      <c r="W507" s="32" t="s">
        <v>7043</v>
      </c>
      <c r="X507" s="30">
        <v>46753.0</v>
      </c>
      <c r="Y507" s="30">
        <v>47118.0</v>
      </c>
      <c r="Z507" s="29" t="s">
        <v>7053</v>
      </c>
      <c r="AA507" s="29" t="s">
        <v>7053</v>
      </c>
      <c r="AB507" s="32" t="s">
        <v>7043</v>
      </c>
      <c r="AC507" s="30">
        <v>47119.0</v>
      </c>
      <c r="AD507" s="30">
        <v>47483.0</v>
      </c>
      <c r="AE507" s="29" t="s">
        <v>7053</v>
      </c>
      <c r="AF507" s="29" t="s">
        <v>7053</v>
      </c>
      <c r="AG507" s="32" t="s">
        <v>7043</v>
      </c>
      <c r="AH507" s="30">
        <v>47484.0</v>
      </c>
      <c r="AI507" s="30">
        <v>47848.0</v>
      </c>
      <c r="AJ507" s="29" t="s">
        <v>7053</v>
      </c>
      <c r="AK507" s="29" t="s">
        <v>7053</v>
      </c>
      <c r="AL507" s="32" t="s">
        <v>7043</v>
      </c>
    </row>
    <row r="508" ht="14.25" customHeight="1">
      <c r="A508" s="28" t="s">
        <v>5335</v>
      </c>
      <c r="B508" s="29" t="s">
        <v>5336</v>
      </c>
      <c r="C508" s="29" t="s">
        <v>7041</v>
      </c>
      <c r="D508" s="30">
        <v>45292.0</v>
      </c>
      <c r="E508" s="30">
        <v>45657.0</v>
      </c>
      <c r="F508" s="29" t="s">
        <v>7066</v>
      </c>
      <c r="G508" s="29" t="s">
        <v>7052</v>
      </c>
      <c r="H508" s="38" t="s">
        <v>7047</v>
      </c>
      <c r="I508" s="30">
        <v>45658.0</v>
      </c>
      <c r="J508" s="30">
        <v>46022.0</v>
      </c>
      <c r="K508" s="29" t="s">
        <v>7066</v>
      </c>
      <c r="L508" s="29" t="s">
        <v>7053</v>
      </c>
      <c r="M508" s="38" t="s">
        <v>7047</v>
      </c>
      <c r="N508" s="30">
        <v>46023.0</v>
      </c>
      <c r="O508" s="30">
        <v>46387.0</v>
      </c>
      <c r="P508" s="29" t="s">
        <v>7053</v>
      </c>
      <c r="Q508" s="29" t="s">
        <v>7053</v>
      </c>
      <c r="R508" s="32" t="s">
        <v>7043</v>
      </c>
      <c r="S508" s="30">
        <v>46388.0</v>
      </c>
      <c r="T508" s="30">
        <v>46752.0</v>
      </c>
      <c r="U508" s="29" t="s">
        <v>7053</v>
      </c>
      <c r="V508" s="29" t="s">
        <v>7053</v>
      </c>
      <c r="W508" s="32" t="s">
        <v>7043</v>
      </c>
      <c r="X508" s="30">
        <v>46753.0</v>
      </c>
      <c r="Y508" s="30">
        <v>47118.0</v>
      </c>
      <c r="Z508" s="29" t="s">
        <v>7053</v>
      </c>
      <c r="AA508" s="29" t="s">
        <v>7053</v>
      </c>
      <c r="AB508" s="32" t="s">
        <v>7043</v>
      </c>
      <c r="AC508" s="30">
        <v>47119.0</v>
      </c>
      <c r="AD508" s="30">
        <v>47483.0</v>
      </c>
      <c r="AE508" s="29" t="s">
        <v>7053</v>
      </c>
      <c r="AF508" s="29" t="s">
        <v>7053</v>
      </c>
      <c r="AG508" s="32" t="s">
        <v>7043</v>
      </c>
      <c r="AH508" s="30">
        <v>47484.0</v>
      </c>
      <c r="AI508" s="30">
        <v>47848.0</v>
      </c>
      <c r="AJ508" s="29" t="s">
        <v>7053</v>
      </c>
      <c r="AK508" s="29" t="s">
        <v>7053</v>
      </c>
      <c r="AL508" s="32" t="s">
        <v>7043</v>
      </c>
    </row>
    <row r="509" ht="14.25" customHeight="1">
      <c r="A509" s="28" t="s">
        <v>4958</v>
      </c>
      <c r="B509" s="29" t="s">
        <v>4959</v>
      </c>
      <c r="C509" s="29" t="s">
        <v>7041</v>
      </c>
      <c r="D509" s="30">
        <v>45292.0</v>
      </c>
      <c r="E509" s="30">
        <v>45657.0</v>
      </c>
      <c r="F509" s="29" t="s">
        <v>7131</v>
      </c>
      <c r="G509" s="29" t="s">
        <v>7100</v>
      </c>
      <c r="H509" s="38" t="s">
        <v>7047</v>
      </c>
      <c r="I509" s="30">
        <v>45658.0</v>
      </c>
      <c r="J509" s="30">
        <v>46022.0</v>
      </c>
      <c r="K509" s="29" t="s">
        <v>7136</v>
      </c>
      <c r="L509" s="29" t="s">
        <v>7100</v>
      </c>
      <c r="M509" s="38" t="s">
        <v>7047</v>
      </c>
      <c r="N509" s="30">
        <v>46023.0</v>
      </c>
      <c r="O509" s="30">
        <v>46387.0</v>
      </c>
      <c r="P509" s="29" t="s">
        <v>7053</v>
      </c>
      <c r="Q509" s="29" t="s">
        <v>7053</v>
      </c>
      <c r="R509" s="32" t="s">
        <v>7043</v>
      </c>
      <c r="S509" s="30">
        <v>46388.0</v>
      </c>
      <c r="T509" s="30">
        <v>46752.0</v>
      </c>
      <c r="U509" s="29" t="s">
        <v>7053</v>
      </c>
      <c r="V509" s="29" t="s">
        <v>7053</v>
      </c>
      <c r="W509" s="32" t="s">
        <v>7043</v>
      </c>
      <c r="X509" s="30">
        <v>46753.0</v>
      </c>
      <c r="Y509" s="30">
        <v>47118.0</v>
      </c>
      <c r="Z509" s="29" t="s">
        <v>7053</v>
      </c>
      <c r="AA509" s="29" t="s">
        <v>7053</v>
      </c>
      <c r="AB509" s="32" t="s">
        <v>7043</v>
      </c>
      <c r="AC509" s="30">
        <v>47119.0</v>
      </c>
      <c r="AD509" s="30">
        <v>47483.0</v>
      </c>
      <c r="AE509" s="29" t="s">
        <v>7053</v>
      </c>
      <c r="AF509" s="29" t="s">
        <v>7053</v>
      </c>
      <c r="AG509" s="32" t="s">
        <v>7043</v>
      </c>
      <c r="AH509" s="30">
        <v>47484.0</v>
      </c>
      <c r="AI509" s="30">
        <v>47848.0</v>
      </c>
      <c r="AJ509" s="29" t="s">
        <v>7053</v>
      </c>
      <c r="AK509" s="29" t="s">
        <v>7053</v>
      </c>
      <c r="AL509" s="32" t="s">
        <v>7043</v>
      </c>
    </row>
    <row r="510" ht="14.25" customHeight="1">
      <c r="A510" s="28" t="s">
        <v>5389</v>
      </c>
      <c r="B510" s="29" t="s">
        <v>5390</v>
      </c>
      <c r="C510" s="29" t="s">
        <v>7041</v>
      </c>
      <c r="D510" s="30">
        <v>45292.0</v>
      </c>
      <c r="E510" s="30">
        <v>45657.0</v>
      </c>
      <c r="F510" s="29" t="s">
        <v>7089</v>
      </c>
      <c r="G510" s="29" t="s">
        <v>7097</v>
      </c>
      <c r="H510" s="38" t="s">
        <v>7047</v>
      </c>
      <c r="I510" s="30">
        <v>45658.0</v>
      </c>
      <c r="J510" s="30">
        <v>46022.0</v>
      </c>
      <c r="K510" s="29" t="s">
        <v>7089</v>
      </c>
      <c r="L510" s="29" t="s">
        <v>7053</v>
      </c>
      <c r="M510" s="38" t="s">
        <v>7047</v>
      </c>
      <c r="N510" s="30">
        <v>46023.0</v>
      </c>
      <c r="O510" s="30">
        <v>46387.0</v>
      </c>
      <c r="P510" s="29" t="s">
        <v>7053</v>
      </c>
      <c r="Q510" s="29" t="s">
        <v>7053</v>
      </c>
      <c r="R510" s="32" t="s">
        <v>7043</v>
      </c>
      <c r="S510" s="30">
        <v>46388.0</v>
      </c>
      <c r="T510" s="30">
        <v>46752.0</v>
      </c>
      <c r="U510" s="29" t="s">
        <v>7053</v>
      </c>
      <c r="V510" s="29" t="s">
        <v>7053</v>
      </c>
      <c r="W510" s="32" t="s">
        <v>7043</v>
      </c>
      <c r="X510" s="30">
        <v>46753.0</v>
      </c>
      <c r="Y510" s="30">
        <v>47118.0</v>
      </c>
      <c r="Z510" s="29" t="s">
        <v>7053</v>
      </c>
      <c r="AA510" s="29" t="s">
        <v>7053</v>
      </c>
      <c r="AB510" s="32" t="s">
        <v>7043</v>
      </c>
      <c r="AC510" s="30">
        <v>47119.0</v>
      </c>
      <c r="AD510" s="30">
        <v>47483.0</v>
      </c>
      <c r="AE510" s="29" t="s">
        <v>7053</v>
      </c>
      <c r="AF510" s="29" t="s">
        <v>7053</v>
      </c>
      <c r="AG510" s="32" t="s">
        <v>7043</v>
      </c>
      <c r="AH510" s="30">
        <v>47484.0</v>
      </c>
      <c r="AI510" s="30">
        <v>47848.0</v>
      </c>
      <c r="AJ510" s="29" t="s">
        <v>7053</v>
      </c>
      <c r="AK510" s="29" t="s">
        <v>7053</v>
      </c>
      <c r="AL510" s="32" t="s">
        <v>7043</v>
      </c>
    </row>
    <row r="511" ht="14.25" customHeight="1">
      <c r="A511" s="28" t="s">
        <v>6109</v>
      </c>
      <c r="B511" s="29" t="s">
        <v>6110</v>
      </c>
      <c r="C511" s="29" t="s">
        <v>7041</v>
      </c>
      <c r="D511" s="30">
        <v>45292.0</v>
      </c>
      <c r="E511" s="30">
        <v>45657.0</v>
      </c>
      <c r="F511" s="29" t="s">
        <v>7053</v>
      </c>
      <c r="G511" s="29" t="s">
        <v>7053</v>
      </c>
      <c r="H511" s="32" t="s">
        <v>7043</v>
      </c>
      <c r="I511" s="30">
        <v>45658.0</v>
      </c>
      <c r="J511" s="30">
        <v>46022.0</v>
      </c>
      <c r="K511" s="29" t="s">
        <v>7053</v>
      </c>
      <c r="L511" s="29" t="s">
        <v>7053</v>
      </c>
      <c r="M511" s="32" t="s">
        <v>7043</v>
      </c>
      <c r="N511" s="30">
        <v>46023.0</v>
      </c>
      <c r="O511" s="30">
        <v>46387.0</v>
      </c>
      <c r="P511" s="29" t="s">
        <v>7053</v>
      </c>
      <c r="Q511" s="29" t="s">
        <v>7053</v>
      </c>
      <c r="R511" s="32" t="s">
        <v>7043</v>
      </c>
      <c r="S511" s="30">
        <v>46388.0</v>
      </c>
      <c r="T511" s="30">
        <v>46752.0</v>
      </c>
      <c r="U511" s="29" t="s">
        <v>7053</v>
      </c>
      <c r="V511" s="29" t="s">
        <v>7053</v>
      </c>
      <c r="W511" s="32" t="s">
        <v>7043</v>
      </c>
      <c r="X511" s="30">
        <v>46753.0</v>
      </c>
      <c r="Y511" s="30">
        <v>47118.0</v>
      </c>
      <c r="Z511" s="29" t="s">
        <v>7053</v>
      </c>
      <c r="AA511" s="29" t="s">
        <v>7053</v>
      </c>
      <c r="AB511" s="32" t="s">
        <v>7043</v>
      </c>
      <c r="AC511" s="30">
        <v>47119.0</v>
      </c>
      <c r="AD511" s="30">
        <v>47483.0</v>
      </c>
      <c r="AE511" s="29" t="s">
        <v>7053</v>
      </c>
      <c r="AF511" s="29" t="s">
        <v>7053</v>
      </c>
      <c r="AG511" s="32" t="s">
        <v>7043</v>
      </c>
      <c r="AH511" s="30">
        <v>47484.0</v>
      </c>
      <c r="AI511" s="30">
        <v>47848.0</v>
      </c>
      <c r="AJ511" s="29" t="s">
        <v>7053</v>
      </c>
      <c r="AK511" s="29" t="s">
        <v>7053</v>
      </c>
      <c r="AL511" s="32" t="s">
        <v>7043</v>
      </c>
    </row>
    <row r="512" ht="14.25" customHeight="1">
      <c r="A512" s="28" t="s">
        <v>1348</v>
      </c>
      <c r="B512" s="29" t="s">
        <v>1349</v>
      </c>
      <c r="C512" s="29" t="s">
        <v>7041</v>
      </c>
      <c r="D512" s="30">
        <v>45292.0</v>
      </c>
      <c r="E512" s="30">
        <v>45657.0</v>
      </c>
      <c r="F512" s="29" t="s">
        <v>7135</v>
      </c>
      <c r="G512" s="29" t="s">
        <v>7051</v>
      </c>
      <c r="H512" s="38" t="s">
        <v>7047</v>
      </c>
      <c r="I512" s="30">
        <v>45658.0</v>
      </c>
      <c r="J512" s="30">
        <v>46022.0</v>
      </c>
      <c r="K512" s="29" t="s">
        <v>7108</v>
      </c>
      <c r="L512" s="29" t="s">
        <v>7053</v>
      </c>
      <c r="M512" s="38" t="s">
        <v>7047</v>
      </c>
      <c r="N512" s="30">
        <v>46023.0</v>
      </c>
      <c r="O512" s="30">
        <v>46387.0</v>
      </c>
      <c r="P512" s="29" t="s">
        <v>7053</v>
      </c>
      <c r="Q512" s="29" t="s">
        <v>7053</v>
      </c>
      <c r="R512" s="32" t="s">
        <v>7043</v>
      </c>
      <c r="S512" s="30">
        <v>46388.0</v>
      </c>
      <c r="T512" s="30">
        <v>46752.0</v>
      </c>
      <c r="U512" s="29" t="s">
        <v>7053</v>
      </c>
      <c r="V512" s="29" t="s">
        <v>7053</v>
      </c>
      <c r="W512" s="32" t="s">
        <v>7043</v>
      </c>
      <c r="X512" s="30">
        <v>46753.0</v>
      </c>
      <c r="Y512" s="30">
        <v>47118.0</v>
      </c>
      <c r="Z512" s="29" t="s">
        <v>7053</v>
      </c>
      <c r="AA512" s="29" t="s">
        <v>7053</v>
      </c>
      <c r="AB512" s="32" t="s">
        <v>7043</v>
      </c>
      <c r="AC512" s="30">
        <v>47119.0</v>
      </c>
      <c r="AD512" s="30">
        <v>47483.0</v>
      </c>
      <c r="AE512" s="29" t="s">
        <v>7053</v>
      </c>
      <c r="AF512" s="29" t="s">
        <v>7053</v>
      </c>
      <c r="AG512" s="32" t="s">
        <v>7043</v>
      </c>
      <c r="AH512" s="30">
        <v>47484.0</v>
      </c>
      <c r="AI512" s="30">
        <v>47848.0</v>
      </c>
      <c r="AJ512" s="29" t="s">
        <v>7053</v>
      </c>
      <c r="AK512" s="29" t="s">
        <v>7053</v>
      </c>
      <c r="AL512" s="32" t="s">
        <v>7043</v>
      </c>
    </row>
    <row r="513" ht="14.25" customHeight="1">
      <c r="A513" s="28" t="s">
        <v>2158</v>
      </c>
      <c r="B513" s="29" t="s">
        <v>2159</v>
      </c>
      <c r="C513" s="29" t="s">
        <v>7041</v>
      </c>
      <c r="D513" s="30">
        <v>45292.0</v>
      </c>
      <c r="E513" s="30">
        <v>45657.0</v>
      </c>
      <c r="F513" s="29" t="s">
        <v>7095</v>
      </c>
      <c r="G513" s="29" t="s">
        <v>7093</v>
      </c>
      <c r="H513" s="32" t="s">
        <v>7043</v>
      </c>
      <c r="I513" s="30">
        <v>45658.0</v>
      </c>
      <c r="J513" s="30">
        <v>46022.0</v>
      </c>
      <c r="K513" s="29" t="s">
        <v>7065</v>
      </c>
      <c r="L513" s="29" t="s">
        <v>7078</v>
      </c>
      <c r="M513" s="38" t="s">
        <v>7047</v>
      </c>
      <c r="N513" s="30">
        <v>46023.0</v>
      </c>
      <c r="O513" s="30">
        <v>46387.0</v>
      </c>
      <c r="P513" s="29" t="s">
        <v>7053</v>
      </c>
      <c r="Q513" s="29" t="s">
        <v>7053</v>
      </c>
      <c r="R513" s="32" t="s">
        <v>7043</v>
      </c>
      <c r="S513" s="30">
        <v>46388.0</v>
      </c>
      <c r="T513" s="30">
        <v>46752.0</v>
      </c>
      <c r="U513" s="29" t="s">
        <v>7053</v>
      </c>
      <c r="V513" s="29" t="s">
        <v>7053</v>
      </c>
      <c r="W513" s="32" t="s">
        <v>7043</v>
      </c>
      <c r="X513" s="30">
        <v>46753.0</v>
      </c>
      <c r="Y513" s="30">
        <v>47118.0</v>
      </c>
      <c r="Z513" s="29" t="s">
        <v>7053</v>
      </c>
      <c r="AA513" s="29" t="s">
        <v>7053</v>
      </c>
      <c r="AB513" s="32" t="s">
        <v>7043</v>
      </c>
      <c r="AC513" s="30">
        <v>47119.0</v>
      </c>
      <c r="AD513" s="30">
        <v>47483.0</v>
      </c>
      <c r="AE513" s="29" t="s">
        <v>7053</v>
      </c>
      <c r="AF513" s="29" t="s">
        <v>7053</v>
      </c>
      <c r="AG513" s="32" t="s">
        <v>7043</v>
      </c>
      <c r="AH513" s="30">
        <v>47484.0</v>
      </c>
      <c r="AI513" s="30">
        <v>47848.0</v>
      </c>
      <c r="AJ513" s="29" t="s">
        <v>7053</v>
      </c>
      <c r="AK513" s="29" t="s">
        <v>7053</v>
      </c>
      <c r="AL513" s="32" t="s">
        <v>7043</v>
      </c>
    </row>
    <row r="514" ht="14.25" customHeight="1">
      <c r="A514" s="28" t="s">
        <v>2390</v>
      </c>
      <c r="B514" s="29" t="s">
        <v>2391</v>
      </c>
      <c r="C514" s="29" t="s">
        <v>7041</v>
      </c>
      <c r="D514" s="30">
        <v>45292.0</v>
      </c>
      <c r="E514" s="30">
        <v>45657.0</v>
      </c>
      <c r="F514" s="29" t="s">
        <v>7064</v>
      </c>
      <c r="G514" s="29" t="s">
        <v>7062</v>
      </c>
      <c r="H514" s="37" t="s">
        <v>7046</v>
      </c>
      <c r="I514" s="30">
        <v>45658.0</v>
      </c>
      <c r="J514" s="30">
        <v>46022.0</v>
      </c>
      <c r="K514" s="29" t="s">
        <v>7104</v>
      </c>
      <c r="L514" s="29" t="s">
        <v>7062</v>
      </c>
      <c r="M514" s="38" t="s">
        <v>7047</v>
      </c>
      <c r="N514" s="30">
        <v>46023.0</v>
      </c>
      <c r="O514" s="30">
        <v>46387.0</v>
      </c>
      <c r="P514" s="29" t="s">
        <v>7053</v>
      </c>
      <c r="Q514" s="29" t="s">
        <v>7053</v>
      </c>
      <c r="R514" s="32" t="s">
        <v>7043</v>
      </c>
      <c r="S514" s="30">
        <v>46388.0</v>
      </c>
      <c r="T514" s="30">
        <v>46752.0</v>
      </c>
      <c r="U514" s="29" t="s">
        <v>7053</v>
      </c>
      <c r="V514" s="29" t="s">
        <v>7053</v>
      </c>
      <c r="W514" s="32" t="s">
        <v>7043</v>
      </c>
      <c r="X514" s="30">
        <v>46753.0</v>
      </c>
      <c r="Y514" s="30">
        <v>47118.0</v>
      </c>
      <c r="Z514" s="29" t="s">
        <v>7053</v>
      </c>
      <c r="AA514" s="29" t="s">
        <v>7053</v>
      </c>
      <c r="AB514" s="32" t="s">
        <v>7043</v>
      </c>
      <c r="AC514" s="30">
        <v>47119.0</v>
      </c>
      <c r="AD514" s="30">
        <v>47483.0</v>
      </c>
      <c r="AE514" s="29" t="s">
        <v>7053</v>
      </c>
      <c r="AF514" s="29" t="s">
        <v>7053</v>
      </c>
      <c r="AG514" s="32" t="s">
        <v>7043</v>
      </c>
      <c r="AH514" s="30">
        <v>47484.0</v>
      </c>
      <c r="AI514" s="30">
        <v>47848.0</v>
      </c>
      <c r="AJ514" s="29" t="s">
        <v>7053</v>
      </c>
      <c r="AK514" s="29" t="s">
        <v>7053</v>
      </c>
      <c r="AL514" s="32" t="s">
        <v>7043</v>
      </c>
    </row>
    <row r="515" ht="14.25" customHeight="1">
      <c r="A515" s="28" t="s">
        <v>604</v>
      </c>
      <c r="B515" s="29" t="s">
        <v>605</v>
      </c>
      <c r="C515" s="29" t="s">
        <v>7041</v>
      </c>
      <c r="D515" s="30">
        <v>45292.0</v>
      </c>
      <c r="E515" s="30">
        <v>45657.0</v>
      </c>
      <c r="F515" s="29" t="s">
        <v>7063</v>
      </c>
      <c r="G515" s="29" t="s">
        <v>7053</v>
      </c>
      <c r="H515" s="38" t="s">
        <v>7047</v>
      </c>
      <c r="I515" s="30">
        <v>45658.0</v>
      </c>
      <c r="J515" s="30">
        <v>46022.0</v>
      </c>
      <c r="K515" s="29" t="s">
        <v>7120</v>
      </c>
      <c r="L515" s="29" t="s">
        <v>7053</v>
      </c>
      <c r="M515" s="38" t="s">
        <v>7047</v>
      </c>
      <c r="N515" s="30">
        <v>46023.0</v>
      </c>
      <c r="O515" s="30">
        <v>46387.0</v>
      </c>
      <c r="P515" s="29" t="s">
        <v>7053</v>
      </c>
      <c r="Q515" s="29" t="s">
        <v>7053</v>
      </c>
      <c r="R515" s="32" t="s">
        <v>7043</v>
      </c>
      <c r="S515" s="30">
        <v>46388.0</v>
      </c>
      <c r="T515" s="30">
        <v>46752.0</v>
      </c>
      <c r="U515" s="29" t="s">
        <v>7053</v>
      </c>
      <c r="V515" s="29" t="s">
        <v>7053</v>
      </c>
      <c r="W515" s="32" t="s">
        <v>7043</v>
      </c>
      <c r="X515" s="30">
        <v>46753.0</v>
      </c>
      <c r="Y515" s="30">
        <v>47118.0</v>
      </c>
      <c r="Z515" s="29" t="s">
        <v>7053</v>
      </c>
      <c r="AA515" s="29" t="s">
        <v>7053</v>
      </c>
      <c r="AB515" s="32" t="s">
        <v>7043</v>
      </c>
      <c r="AC515" s="30">
        <v>47119.0</v>
      </c>
      <c r="AD515" s="30">
        <v>47483.0</v>
      </c>
      <c r="AE515" s="29" t="s">
        <v>7053</v>
      </c>
      <c r="AF515" s="29" t="s">
        <v>7053</v>
      </c>
      <c r="AG515" s="32" t="s">
        <v>7043</v>
      </c>
      <c r="AH515" s="30">
        <v>47484.0</v>
      </c>
      <c r="AI515" s="30">
        <v>47848.0</v>
      </c>
      <c r="AJ515" s="29" t="s">
        <v>7053</v>
      </c>
      <c r="AK515" s="29" t="s">
        <v>7053</v>
      </c>
      <c r="AL515" s="32" t="s">
        <v>7043</v>
      </c>
    </row>
    <row r="516" ht="14.25" customHeight="1">
      <c r="A516" s="28" t="s">
        <v>237</v>
      </c>
      <c r="B516" s="29" t="s">
        <v>238</v>
      </c>
      <c r="C516" s="29" t="s">
        <v>7041</v>
      </c>
      <c r="D516" s="30">
        <v>45292.0</v>
      </c>
      <c r="E516" s="30">
        <v>45657.0</v>
      </c>
      <c r="F516" s="29" t="s">
        <v>7053</v>
      </c>
      <c r="G516" s="29" t="s">
        <v>7053</v>
      </c>
      <c r="H516" s="32" t="s">
        <v>7043</v>
      </c>
      <c r="I516" s="30">
        <v>45658.0</v>
      </c>
      <c r="J516" s="30">
        <v>46022.0</v>
      </c>
      <c r="K516" s="29" t="s">
        <v>7053</v>
      </c>
      <c r="L516" s="29" t="s">
        <v>7053</v>
      </c>
      <c r="M516" s="32" t="s">
        <v>7043</v>
      </c>
      <c r="N516" s="30">
        <v>46023.0</v>
      </c>
      <c r="O516" s="30">
        <v>46387.0</v>
      </c>
      <c r="P516" s="29" t="s">
        <v>7053</v>
      </c>
      <c r="Q516" s="29" t="s">
        <v>7053</v>
      </c>
      <c r="R516" s="32" t="s">
        <v>7043</v>
      </c>
      <c r="S516" s="30">
        <v>46388.0</v>
      </c>
      <c r="T516" s="30">
        <v>46752.0</v>
      </c>
      <c r="U516" s="29" t="s">
        <v>7053</v>
      </c>
      <c r="V516" s="29" t="s">
        <v>7053</v>
      </c>
      <c r="W516" s="32" t="s">
        <v>7043</v>
      </c>
      <c r="X516" s="30">
        <v>46753.0</v>
      </c>
      <c r="Y516" s="30">
        <v>47118.0</v>
      </c>
      <c r="Z516" s="29" t="s">
        <v>7053</v>
      </c>
      <c r="AA516" s="29" t="s">
        <v>7053</v>
      </c>
      <c r="AB516" s="32" t="s">
        <v>7043</v>
      </c>
      <c r="AC516" s="30">
        <v>47119.0</v>
      </c>
      <c r="AD516" s="30">
        <v>47483.0</v>
      </c>
      <c r="AE516" s="29" t="s">
        <v>7053</v>
      </c>
      <c r="AF516" s="29" t="s">
        <v>7053</v>
      </c>
      <c r="AG516" s="32" t="s">
        <v>7043</v>
      </c>
      <c r="AH516" s="30">
        <v>47484.0</v>
      </c>
      <c r="AI516" s="30">
        <v>47848.0</v>
      </c>
      <c r="AJ516" s="29" t="s">
        <v>7053</v>
      </c>
      <c r="AK516" s="29" t="s">
        <v>7053</v>
      </c>
      <c r="AL516" s="32" t="s">
        <v>7043</v>
      </c>
    </row>
    <row r="517" ht="14.25" customHeight="1">
      <c r="A517" s="28" t="s">
        <v>1561</v>
      </c>
      <c r="B517" s="29" t="s">
        <v>1562</v>
      </c>
      <c r="C517" s="29" t="s">
        <v>7041</v>
      </c>
      <c r="D517" s="30">
        <v>45292.0</v>
      </c>
      <c r="E517" s="30">
        <v>45657.0</v>
      </c>
      <c r="F517" s="29" t="s">
        <v>7053</v>
      </c>
      <c r="G517" s="29" t="s">
        <v>7053</v>
      </c>
      <c r="H517" s="32" t="s">
        <v>7043</v>
      </c>
      <c r="I517" s="30">
        <v>45658.0</v>
      </c>
      <c r="J517" s="30">
        <v>46022.0</v>
      </c>
      <c r="K517" s="29" t="s">
        <v>7053</v>
      </c>
      <c r="L517" s="29" t="s">
        <v>7053</v>
      </c>
      <c r="M517" s="32" t="s">
        <v>7043</v>
      </c>
      <c r="N517" s="30">
        <v>46023.0</v>
      </c>
      <c r="O517" s="30">
        <v>46387.0</v>
      </c>
      <c r="P517" s="29" t="s">
        <v>7053</v>
      </c>
      <c r="Q517" s="29" t="s">
        <v>7053</v>
      </c>
      <c r="R517" s="32" t="s">
        <v>7043</v>
      </c>
      <c r="S517" s="30">
        <v>46388.0</v>
      </c>
      <c r="T517" s="30">
        <v>46752.0</v>
      </c>
      <c r="U517" s="29" t="s">
        <v>7053</v>
      </c>
      <c r="V517" s="29" t="s">
        <v>7053</v>
      </c>
      <c r="W517" s="32" t="s">
        <v>7043</v>
      </c>
      <c r="X517" s="30">
        <v>46753.0</v>
      </c>
      <c r="Y517" s="30">
        <v>47118.0</v>
      </c>
      <c r="Z517" s="29" t="s">
        <v>7053</v>
      </c>
      <c r="AA517" s="29" t="s">
        <v>7053</v>
      </c>
      <c r="AB517" s="32" t="s">
        <v>7043</v>
      </c>
      <c r="AC517" s="30">
        <v>47119.0</v>
      </c>
      <c r="AD517" s="30">
        <v>47483.0</v>
      </c>
      <c r="AE517" s="29" t="s">
        <v>7053</v>
      </c>
      <c r="AF517" s="29" t="s">
        <v>7053</v>
      </c>
      <c r="AG517" s="32" t="s">
        <v>7043</v>
      </c>
      <c r="AH517" s="30">
        <v>47484.0</v>
      </c>
      <c r="AI517" s="30">
        <v>47848.0</v>
      </c>
      <c r="AJ517" s="29" t="s">
        <v>7053</v>
      </c>
      <c r="AK517" s="29" t="s">
        <v>7053</v>
      </c>
      <c r="AL517" s="32" t="s">
        <v>7043</v>
      </c>
    </row>
    <row r="518" ht="14.25" customHeight="1">
      <c r="A518" s="28" t="s">
        <v>6415</v>
      </c>
      <c r="B518" s="29" t="s">
        <v>6416</v>
      </c>
      <c r="C518" s="29" t="s">
        <v>7041</v>
      </c>
      <c r="D518" s="30">
        <v>45292.0</v>
      </c>
      <c r="E518" s="30">
        <v>45657.0</v>
      </c>
      <c r="F518" s="29" t="s">
        <v>7080</v>
      </c>
      <c r="G518" s="29" t="s">
        <v>7101</v>
      </c>
      <c r="H518" s="32" t="s">
        <v>7043</v>
      </c>
      <c r="I518" s="30">
        <v>45658.0</v>
      </c>
      <c r="J518" s="30">
        <v>46022.0</v>
      </c>
      <c r="K518" s="29" t="s">
        <v>7080</v>
      </c>
      <c r="L518" s="29" t="s">
        <v>7053</v>
      </c>
      <c r="M518" s="38" t="s">
        <v>7047</v>
      </c>
      <c r="N518" s="30">
        <v>46023.0</v>
      </c>
      <c r="O518" s="30">
        <v>46387.0</v>
      </c>
      <c r="P518" s="29" t="s">
        <v>7053</v>
      </c>
      <c r="Q518" s="29" t="s">
        <v>7053</v>
      </c>
      <c r="R518" s="32" t="s">
        <v>7043</v>
      </c>
      <c r="S518" s="30">
        <v>46388.0</v>
      </c>
      <c r="T518" s="30">
        <v>46752.0</v>
      </c>
      <c r="U518" s="29" t="s">
        <v>7053</v>
      </c>
      <c r="V518" s="29" t="s">
        <v>7053</v>
      </c>
      <c r="W518" s="32" t="s">
        <v>7043</v>
      </c>
      <c r="X518" s="30">
        <v>46753.0</v>
      </c>
      <c r="Y518" s="30">
        <v>47118.0</v>
      </c>
      <c r="Z518" s="29" t="s">
        <v>7053</v>
      </c>
      <c r="AA518" s="29" t="s">
        <v>7053</v>
      </c>
      <c r="AB518" s="32" t="s">
        <v>7043</v>
      </c>
      <c r="AC518" s="30">
        <v>47119.0</v>
      </c>
      <c r="AD518" s="30">
        <v>47483.0</v>
      </c>
      <c r="AE518" s="29" t="s">
        <v>7053</v>
      </c>
      <c r="AF518" s="29" t="s">
        <v>7053</v>
      </c>
      <c r="AG518" s="32" t="s">
        <v>7043</v>
      </c>
      <c r="AH518" s="30">
        <v>47484.0</v>
      </c>
      <c r="AI518" s="30">
        <v>47848.0</v>
      </c>
      <c r="AJ518" s="29" t="s">
        <v>7053</v>
      </c>
      <c r="AK518" s="29" t="s">
        <v>7053</v>
      </c>
      <c r="AL518" s="32" t="s">
        <v>7043</v>
      </c>
    </row>
    <row r="519" ht="14.25" customHeight="1">
      <c r="A519" s="28" t="s">
        <v>6693</v>
      </c>
      <c r="B519" s="29" t="s">
        <v>6694</v>
      </c>
      <c r="C519" s="29" t="s">
        <v>7041</v>
      </c>
      <c r="D519" s="30">
        <v>45292.0</v>
      </c>
      <c r="E519" s="30">
        <v>45657.0</v>
      </c>
      <c r="F519" s="29" t="s">
        <v>7117</v>
      </c>
      <c r="G519" s="29" t="s">
        <v>7063</v>
      </c>
      <c r="H519" s="37" t="s">
        <v>7046</v>
      </c>
      <c r="I519" s="30">
        <v>45658.0</v>
      </c>
      <c r="J519" s="30">
        <v>46022.0</v>
      </c>
      <c r="K519" s="29" t="s">
        <v>7126</v>
      </c>
      <c r="L519" s="29" t="s">
        <v>7052</v>
      </c>
      <c r="M519" s="38" t="s">
        <v>7047</v>
      </c>
      <c r="N519" s="30">
        <v>46023.0</v>
      </c>
      <c r="O519" s="30">
        <v>46387.0</v>
      </c>
      <c r="P519" s="29" t="s">
        <v>7053</v>
      </c>
      <c r="Q519" s="29" t="s">
        <v>7053</v>
      </c>
      <c r="R519" s="32" t="s">
        <v>7043</v>
      </c>
      <c r="S519" s="30">
        <v>46388.0</v>
      </c>
      <c r="T519" s="30">
        <v>46752.0</v>
      </c>
      <c r="U519" s="29" t="s">
        <v>7053</v>
      </c>
      <c r="V519" s="29" t="s">
        <v>7053</v>
      </c>
      <c r="W519" s="32" t="s">
        <v>7043</v>
      </c>
      <c r="X519" s="30">
        <v>46753.0</v>
      </c>
      <c r="Y519" s="30">
        <v>47118.0</v>
      </c>
      <c r="Z519" s="29" t="s">
        <v>7053</v>
      </c>
      <c r="AA519" s="29" t="s">
        <v>7053</v>
      </c>
      <c r="AB519" s="32" t="s">
        <v>7043</v>
      </c>
      <c r="AC519" s="30">
        <v>47119.0</v>
      </c>
      <c r="AD519" s="30">
        <v>47483.0</v>
      </c>
      <c r="AE519" s="29" t="s">
        <v>7053</v>
      </c>
      <c r="AF519" s="29" t="s">
        <v>7053</v>
      </c>
      <c r="AG519" s="32" t="s">
        <v>7043</v>
      </c>
      <c r="AH519" s="30">
        <v>47484.0</v>
      </c>
      <c r="AI519" s="30">
        <v>47848.0</v>
      </c>
      <c r="AJ519" s="29" t="s">
        <v>7053</v>
      </c>
      <c r="AK519" s="29" t="s">
        <v>7053</v>
      </c>
      <c r="AL519" s="32" t="s">
        <v>7043</v>
      </c>
    </row>
    <row r="520" ht="14.25" customHeight="1">
      <c r="A520" s="28" t="s">
        <v>1477</v>
      </c>
      <c r="B520" s="29" t="s">
        <v>1478</v>
      </c>
      <c r="C520" s="29" t="s">
        <v>7041</v>
      </c>
      <c r="D520" s="30">
        <v>45292.0</v>
      </c>
      <c r="E520" s="30">
        <v>45657.0</v>
      </c>
      <c r="F520" s="29" t="s">
        <v>7097</v>
      </c>
      <c r="G520" s="29" t="s">
        <v>7096</v>
      </c>
      <c r="H520" s="32" t="s">
        <v>7043</v>
      </c>
      <c r="I520" s="30">
        <v>45658.0</v>
      </c>
      <c r="J520" s="30">
        <v>46022.0</v>
      </c>
      <c r="K520" s="29" t="s">
        <v>7097</v>
      </c>
      <c r="L520" s="29" t="s">
        <v>7053</v>
      </c>
      <c r="M520" s="38" t="s">
        <v>7047</v>
      </c>
      <c r="N520" s="30">
        <v>46023.0</v>
      </c>
      <c r="O520" s="30">
        <v>46387.0</v>
      </c>
      <c r="P520" s="29" t="s">
        <v>7053</v>
      </c>
      <c r="Q520" s="29" t="s">
        <v>7053</v>
      </c>
      <c r="R520" s="32" t="s">
        <v>7043</v>
      </c>
      <c r="S520" s="30">
        <v>46388.0</v>
      </c>
      <c r="T520" s="30">
        <v>46752.0</v>
      </c>
      <c r="U520" s="29" t="s">
        <v>7053</v>
      </c>
      <c r="V520" s="29" t="s">
        <v>7053</v>
      </c>
      <c r="W520" s="32" t="s">
        <v>7043</v>
      </c>
      <c r="X520" s="30">
        <v>46753.0</v>
      </c>
      <c r="Y520" s="30">
        <v>47118.0</v>
      </c>
      <c r="Z520" s="29" t="s">
        <v>7053</v>
      </c>
      <c r="AA520" s="29" t="s">
        <v>7053</v>
      </c>
      <c r="AB520" s="32" t="s">
        <v>7043</v>
      </c>
      <c r="AC520" s="30">
        <v>47119.0</v>
      </c>
      <c r="AD520" s="30">
        <v>47483.0</v>
      </c>
      <c r="AE520" s="29" t="s">
        <v>7053</v>
      </c>
      <c r="AF520" s="29" t="s">
        <v>7053</v>
      </c>
      <c r="AG520" s="32" t="s">
        <v>7043</v>
      </c>
      <c r="AH520" s="30">
        <v>47484.0</v>
      </c>
      <c r="AI520" s="30">
        <v>47848.0</v>
      </c>
      <c r="AJ520" s="29" t="s">
        <v>7053</v>
      </c>
      <c r="AK520" s="29" t="s">
        <v>7053</v>
      </c>
      <c r="AL520" s="32" t="s">
        <v>7043</v>
      </c>
    </row>
    <row r="521" ht="14.25" customHeight="1">
      <c r="A521" s="28" t="s">
        <v>5259</v>
      </c>
      <c r="B521" s="29" t="s">
        <v>5260</v>
      </c>
      <c r="C521" s="29" t="s">
        <v>7041</v>
      </c>
      <c r="D521" s="30">
        <v>45292.0</v>
      </c>
      <c r="E521" s="30">
        <v>45657.0</v>
      </c>
      <c r="F521" s="29" t="s">
        <v>7070</v>
      </c>
      <c r="G521" s="29" t="s">
        <v>7053</v>
      </c>
      <c r="H521" s="38" t="s">
        <v>7047</v>
      </c>
      <c r="I521" s="30">
        <v>45658.0</v>
      </c>
      <c r="J521" s="30">
        <v>46022.0</v>
      </c>
      <c r="K521" s="29" t="s">
        <v>7070</v>
      </c>
      <c r="L521" s="29" t="s">
        <v>7053</v>
      </c>
      <c r="M521" s="38" t="s">
        <v>7047</v>
      </c>
      <c r="N521" s="30">
        <v>46023.0</v>
      </c>
      <c r="O521" s="30">
        <v>46387.0</v>
      </c>
      <c r="P521" s="29" t="s">
        <v>7053</v>
      </c>
      <c r="Q521" s="29" t="s">
        <v>7053</v>
      </c>
      <c r="R521" s="32" t="s">
        <v>7043</v>
      </c>
      <c r="S521" s="30">
        <v>46388.0</v>
      </c>
      <c r="T521" s="30">
        <v>46752.0</v>
      </c>
      <c r="U521" s="29" t="s">
        <v>7053</v>
      </c>
      <c r="V521" s="29" t="s">
        <v>7053</v>
      </c>
      <c r="W521" s="32" t="s">
        <v>7043</v>
      </c>
      <c r="X521" s="30">
        <v>46753.0</v>
      </c>
      <c r="Y521" s="30">
        <v>47118.0</v>
      </c>
      <c r="Z521" s="29" t="s">
        <v>7053</v>
      </c>
      <c r="AA521" s="29" t="s">
        <v>7053</v>
      </c>
      <c r="AB521" s="32" t="s">
        <v>7043</v>
      </c>
      <c r="AC521" s="30">
        <v>47119.0</v>
      </c>
      <c r="AD521" s="30">
        <v>47483.0</v>
      </c>
      <c r="AE521" s="29" t="s">
        <v>7053</v>
      </c>
      <c r="AF521" s="29" t="s">
        <v>7053</v>
      </c>
      <c r="AG521" s="32" t="s">
        <v>7043</v>
      </c>
      <c r="AH521" s="30">
        <v>47484.0</v>
      </c>
      <c r="AI521" s="30">
        <v>47848.0</v>
      </c>
      <c r="AJ521" s="29" t="s">
        <v>7053</v>
      </c>
      <c r="AK521" s="29" t="s">
        <v>7053</v>
      </c>
      <c r="AL521" s="32" t="s">
        <v>7043</v>
      </c>
    </row>
    <row r="522" ht="14.25" customHeight="1">
      <c r="A522" s="28" t="s">
        <v>2163</v>
      </c>
      <c r="B522" s="29" t="s">
        <v>2164</v>
      </c>
      <c r="C522" s="29" t="s">
        <v>7041</v>
      </c>
      <c r="D522" s="30">
        <v>45292.0</v>
      </c>
      <c r="E522" s="30">
        <v>45657.0</v>
      </c>
      <c r="F522" s="29" t="s">
        <v>7095</v>
      </c>
      <c r="G522" s="29" t="s">
        <v>7050</v>
      </c>
      <c r="H522" s="37" t="s">
        <v>7046</v>
      </c>
      <c r="I522" s="30">
        <v>45658.0</v>
      </c>
      <c r="J522" s="30">
        <v>46022.0</v>
      </c>
      <c r="K522" s="29" t="s">
        <v>7077</v>
      </c>
      <c r="L522" s="29" t="s">
        <v>7052</v>
      </c>
      <c r="M522" s="38" t="s">
        <v>7047</v>
      </c>
      <c r="N522" s="30">
        <v>46023.0</v>
      </c>
      <c r="O522" s="30">
        <v>46387.0</v>
      </c>
      <c r="P522" s="29" t="s">
        <v>7053</v>
      </c>
      <c r="Q522" s="29" t="s">
        <v>7053</v>
      </c>
      <c r="R522" s="32" t="s">
        <v>7043</v>
      </c>
      <c r="S522" s="30">
        <v>46388.0</v>
      </c>
      <c r="T522" s="30">
        <v>46752.0</v>
      </c>
      <c r="U522" s="29" t="s">
        <v>7053</v>
      </c>
      <c r="V522" s="29" t="s">
        <v>7053</v>
      </c>
      <c r="W522" s="32" t="s">
        <v>7043</v>
      </c>
      <c r="X522" s="30">
        <v>46753.0</v>
      </c>
      <c r="Y522" s="30">
        <v>47118.0</v>
      </c>
      <c r="Z522" s="29" t="s">
        <v>7053</v>
      </c>
      <c r="AA522" s="29" t="s">
        <v>7053</v>
      </c>
      <c r="AB522" s="32" t="s">
        <v>7043</v>
      </c>
      <c r="AC522" s="30">
        <v>47119.0</v>
      </c>
      <c r="AD522" s="30">
        <v>47483.0</v>
      </c>
      <c r="AE522" s="29" t="s">
        <v>7053</v>
      </c>
      <c r="AF522" s="29" t="s">
        <v>7053</v>
      </c>
      <c r="AG522" s="32" t="s">
        <v>7043</v>
      </c>
      <c r="AH522" s="30">
        <v>47484.0</v>
      </c>
      <c r="AI522" s="30">
        <v>47848.0</v>
      </c>
      <c r="AJ522" s="29" t="s">
        <v>7053</v>
      </c>
      <c r="AK522" s="29" t="s">
        <v>7053</v>
      </c>
      <c r="AL522" s="32" t="s">
        <v>7043</v>
      </c>
    </row>
    <row r="523" ht="14.25" customHeight="1">
      <c r="A523" s="28" t="s">
        <v>5488</v>
      </c>
      <c r="B523" s="29" t="s">
        <v>5489</v>
      </c>
      <c r="C523" s="29" t="s">
        <v>7041</v>
      </c>
      <c r="D523" s="30">
        <v>45292.0</v>
      </c>
      <c r="E523" s="30">
        <v>45657.0</v>
      </c>
      <c r="F523" s="29" t="s">
        <v>7095</v>
      </c>
      <c r="G523" s="29" t="s">
        <v>7053</v>
      </c>
      <c r="H523" s="38" t="s">
        <v>7047</v>
      </c>
      <c r="I523" s="30">
        <v>45658.0</v>
      </c>
      <c r="J523" s="30">
        <v>46022.0</v>
      </c>
      <c r="K523" s="29" t="s">
        <v>7095</v>
      </c>
      <c r="L523" s="29" t="s">
        <v>7053</v>
      </c>
      <c r="M523" s="38" t="s">
        <v>7047</v>
      </c>
      <c r="N523" s="30">
        <v>46023.0</v>
      </c>
      <c r="O523" s="30">
        <v>46387.0</v>
      </c>
      <c r="P523" s="29" t="s">
        <v>7053</v>
      </c>
      <c r="Q523" s="29" t="s">
        <v>7053</v>
      </c>
      <c r="R523" s="32" t="s">
        <v>7043</v>
      </c>
      <c r="S523" s="30">
        <v>46388.0</v>
      </c>
      <c r="T523" s="30">
        <v>46752.0</v>
      </c>
      <c r="U523" s="29" t="s">
        <v>7053</v>
      </c>
      <c r="V523" s="29" t="s">
        <v>7053</v>
      </c>
      <c r="W523" s="32" t="s">
        <v>7043</v>
      </c>
      <c r="X523" s="30">
        <v>46753.0</v>
      </c>
      <c r="Y523" s="30">
        <v>47118.0</v>
      </c>
      <c r="Z523" s="29" t="s">
        <v>7053</v>
      </c>
      <c r="AA523" s="29" t="s">
        <v>7053</v>
      </c>
      <c r="AB523" s="32" t="s">
        <v>7043</v>
      </c>
      <c r="AC523" s="30">
        <v>47119.0</v>
      </c>
      <c r="AD523" s="30">
        <v>47483.0</v>
      </c>
      <c r="AE523" s="29" t="s">
        <v>7053</v>
      </c>
      <c r="AF523" s="29" t="s">
        <v>7053</v>
      </c>
      <c r="AG523" s="32" t="s">
        <v>7043</v>
      </c>
      <c r="AH523" s="30">
        <v>47484.0</v>
      </c>
      <c r="AI523" s="30">
        <v>47848.0</v>
      </c>
      <c r="AJ523" s="29" t="s">
        <v>7053</v>
      </c>
      <c r="AK523" s="29" t="s">
        <v>7053</v>
      </c>
      <c r="AL523" s="32" t="s">
        <v>7043</v>
      </c>
    </row>
    <row r="524" ht="14.25" customHeight="1">
      <c r="A524" s="28" t="s">
        <v>5041</v>
      </c>
      <c r="B524" s="29" t="s">
        <v>5042</v>
      </c>
      <c r="C524" s="29" t="s">
        <v>7041</v>
      </c>
      <c r="D524" s="30">
        <v>45292.0</v>
      </c>
      <c r="E524" s="30">
        <v>45657.0</v>
      </c>
      <c r="F524" s="29" t="s">
        <v>7053</v>
      </c>
      <c r="G524" s="29" t="s">
        <v>7053</v>
      </c>
      <c r="H524" s="32" t="s">
        <v>7043</v>
      </c>
      <c r="I524" s="30">
        <v>45658.0</v>
      </c>
      <c r="J524" s="30">
        <v>46022.0</v>
      </c>
      <c r="K524" s="29" t="s">
        <v>7089</v>
      </c>
      <c r="L524" s="29" t="s">
        <v>7053</v>
      </c>
      <c r="M524" s="38" t="s">
        <v>7047</v>
      </c>
      <c r="N524" s="30">
        <v>46023.0</v>
      </c>
      <c r="O524" s="30">
        <v>46387.0</v>
      </c>
      <c r="P524" s="29" t="s">
        <v>7053</v>
      </c>
      <c r="Q524" s="29" t="s">
        <v>7053</v>
      </c>
      <c r="R524" s="32" t="s">
        <v>7043</v>
      </c>
      <c r="S524" s="30">
        <v>46388.0</v>
      </c>
      <c r="T524" s="30">
        <v>46752.0</v>
      </c>
      <c r="U524" s="29" t="s">
        <v>7053</v>
      </c>
      <c r="V524" s="29" t="s">
        <v>7053</v>
      </c>
      <c r="W524" s="32" t="s">
        <v>7043</v>
      </c>
      <c r="X524" s="30">
        <v>46753.0</v>
      </c>
      <c r="Y524" s="30">
        <v>47118.0</v>
      </c>
      <c r="Z524" s="29" t="s">
        <v>7053</v>
      </c>
      <c r="AA524" s="29" t="s">
        <v>7053</v>
      </c>
      <c r="AB524" s="32" t="s">
        <v>7043</v>
      </c>
      <c r="AC524" s="30">
        <v>47119.0</v>
      </c>
      <c r="AD524" s="30">
        <v>47483.0</v>
      </c>
      <c r="AE524" s="29" t="s">
        <v>7053</v>
      </c>
      <c r="AF524" s="29" t="s">
        <v>7053</v>
      </c>
      <c r="AG524" s="32" t="s">
        <v>7043</v>
      </c>
      <c r="AH524" s="30">
        <v>47484.0</v>
      </c>
      <c r="AI524" s="30">
        <v>47848.0</v>
      </c>
      <c r="AJ524" s="29" t="s">
        <v>7053</v>
      </c>
      <c r="AK524" s="29" t="s">
        <v>7053</v>
      </c>
      <c r="AL524" s="32" t="s">
        <v>7043</v>
      </c>
    </row>
    <row r="525" ht="14.25" customHeight="1">
      <c r="A525" s="28" t="s">
        <v>3281</v>
      </c>
      <c r="B525" s="29" t="s">
        <v>3282</v>
      </c>
      <c r="C525" s="29" t="s">
        <v>7041</v>
      </c>
      <c r="D525" s="30">
        <v>45292.0</v>
      </c>
      <c r="E525" s="30">
        <v>45657.0</v>
      </c>
      <c r="F525" s="29" t="s">
        <v>7070</v>
      </c>
      <c r="G525" s="29" t="s">
        <v>7053</v>
      </c>
      <c r="H525" s="38" t="s">
        <v>7047</v>
      </c>
      <c r="I525" s="30">
        <v>45658.0</v>
      </c>
      <c r="J525" s="30">
        <v>46022.0</v>
      </c>
      <c r="K525" s="29" t="s">
        <v>7070</v>
      </c>
      <c r="L525" s="29" t="s">
        <v>7053</v>
      </c>
      <c r="M525" s="38" t="s">
        <v>7047</v>
      </c>
      <c r="N525" s="30">
        <v>46023.0</v>
      </c>
      <c r="O525" s="30">
        <v>46387.0</v>
      </c>
      <c r="P525" s="29" t="s">
        <v>7053</v>
      </c>
      <c r="Q525" s="29" t="s">
        <v>7053</v>
      </c>
      <c r="R525" s="32" t="s">
        <v>7043</v>
      </c>
      <c r="S525" s="30">
        <v>46388.0</v>
      </c>
      <c r="T525" s="30">
        <v>46752.0</v>
      </c>
      <c r="U525" s="29" t="s">
        <v>7053</v>
      </c>
      <c r="V525" s="29" t="s">
        <v>7053</v>
      </c>
      <c r="W525" s="32" t="s">
        <v>7043</v>
      </c>
      <c r="X525" s="30">
        <v>46753.0</v>
      </c>
      <c r="Y525" s="30">
        <v>47118.0</v>
      </c>
      <c r="Z525" s="29" t="s">
        <v>7053</v>
      </c>
      <c r="AA525" s="29" t="s">
        <v>7053</v>
      </c>
      <c r="AB525" s="32" t="s">
        <v>7043</v>
      </c>
      <c r="AC525" s="30">
        <v>47119.0</v>
      </c>
      <c r="AD525" s="30">
        <v>47483.0</v>
      </c>
      <c r="AE525" s="29" t="s">
        <v>7053</v>
      </c>
      <c r="AF525" s="29" t="s">
        <v>7053</v>
      </c>
      <c r="AG525" s="32" t="s">
        <v>7043</v>
      </c>
      <c r="AH525" s="30">
        <v>47484.0</v>
      </c>
      <c r="AI525" s="30">
        <v>47848.0</v>
      </c>
      <c r="AJ525" s="29" t="s">
        <v>7053</v>
      </c>
      <c r="AK525" s="29" t="s">
        <v>7053</v>
      </c>
      <c r="AL525" s="32" t="s">
        <v>7043</v>
      </c>
    </row>
    <row r="526" ht="14.25" customHeight="1">
      <c r="A526" s="28" t="s">
        <v>3844</v>
      </c>
      <c r="B526" s="29" t="s">
        <v>3845</v>
      </c>
      <c r="C526" s="29" t="s">
        <v>7041</v>
      </c>
      <c r="D526" s="30">
        <v>45292.0</v>
      </c>
      <c r="E526" s="30">
        <v>45657.0</v>
      </c>
      <c r="F526" s="29" t="s">
        <v>7053</v>
      </c>
      <c r="G526" s="29" t="s">
        <v>7053</v>
      </c>
      <c r="H526" s="32" t="s">
        <v>7043</v>
      </c>
      <c r="I526" s="30">
        <v>45658.0</v>
      </c>
      <c r="J526" s="30">
        <v>46022.0</v>
      </c>
      <c r="K526" s="29" t="s">
        <v>7053</v>
      </c>
      <c r="L526" s="29" t="s">
        <v>7053</v>
      </c>
      <c r="M526" s="32" t="s">
        <v>7043</v>
      </c>
      <c r="N526" s="30">
        <v>46023.0</v>
      </c>
      <c r="O526" s="30">
        <v>46387.0</v>
      </c>
      <c r="P526" s="29" t="s">
        <v>7053</v>
      </c>
      <c r="Q526" s="29" t="s">
        <v>7053</v>
      </c>
      <c r="R526" s="32" t="s">
        <v>7043</v>
      </c>
      <c r="S526" s="30">
        <v>46388.0</v>
      </c>
      <c r="T526" s="30">
        <v>46752.0</v>
      </c>
      <c r="U526" s="29" t="s">
        <v>7053</v>
      </c>
      <c r="V526" s="29" t="s">
        <v>7053</v>
      </c>
      <c r="W526" s="32" t="s">
        <v>7043</v>
      </c>
      <c r="X526" s="30">
        <v>46753.0</v>
      </c>
      <c r="Y526" s="30">
        <v>47118.0</v>
      </c>
      <c r="Z526" s="29" t="s">
        <v>7053</v>
      </c>
      <c r="AA526" s="29" t="s">
        <v>7053</v>
      </c>
      <c r="AB526" s="32" t="s">
        <v>7043</v>
      </c>
      <c r="AC526" s="30">
        <v>47119.0</v>
      </c>
      <c r="AD526" s="30">
        <v>47483.0</v>
      </c>
      <c r="AE526" s="29" t="s">
        <v>7053</v>
      </c>
      <c r="AF526" s="29" t="s">
        <v>7053</v>
      </c>
      <c r="AG526" s="32" t="s">
        <v>7043</v>
      </c>
      <c r="AH526" s="30">
        <v>47484.0</v>
      </c>
      <c r="AI526" s="30">
        <v>47848.0</v>
      </c>
      <c r="AJ526" s="29" t="s">
        <v>7053</v>
      </c>
      <c r="AK526" s="29" t="s">
        <v>7053</v>
      </c>
      <c r="AL526" s="32" t="s">
        <v>7043</v>
      </c>
    </row>
    <row r="527" ht="14.25" customHeight="1">
      <c r="A527" s="28" t="s">
        <v>1843</v>
      </c>
      <c r="B527" s="29" t="s">
        <v>1844</v>
      </c>
      <c r="C527" s="29" t="s">
        <v>7041</v>
      </c>
      <c r="D527" s="30">
        <v>45292.0</v>
      </c>
      <c r="E527" s="30">
        <v>45657.0</v>
      </c>
      <c r="F527" s="29" t="s">
        <v>7053</v>
      </c>
      <c r="G527" s="29" t="s">
        <v>7053</v>
      </c>
      <c r="H527" s="32" t="s">
        <v>7043</v>
      </c>
      <c r="I527" s="30">
        <v>45658.0</v>
      </c>
      <c r="J527" s="30">
        <v>46022.0</v>
      </c>
      <c r="K527" s="29" t="s">
        <v>7053</v>
      </c>
      <c r="L527" s="29" t="s">
        <v>7053</v>
      </c>
      <c r="M527" s="32" t="s">
        <v>7043</v>
      </c>
      <c r="N527" s="30">
        <v>46023.0</v>
      </c>
      <c r="O527" s="30">
        <v>46387.0</v>
      </c>
      <c r="P527" s="29" t="s">
        <v>7053</v>
      </c>
      <c r="Q527" s="29" t="s">
        <v>7053</v>
      </c>
      <c r="R527" s="32" t="s">
        <v>7043</v>
      </c>
      <c r="S527" s="30">
        <v>46388.0</v>
      </c>
      <c r="T527" s="30">
        <v>46752.0</v>
      </c>
      <c r="U527" s="29" t="s">
        <v>7053</v>
      </c>
      <c r="V527" s="29" t="s">
        <v>7053</v>
      </c>
      <c r="W527" s="32" t="s">
        <v>7043</v>
      </c>
      <c r="X527" s="30">
        <v>46753.0</v>
      </c>
      <c r="Y527" s="30">
        <v>47118.0</v>
      </c>
      <c r="Z527" s="29" t="s">
        <v>7053</v>
      </c>
      <c r="AA527" s="29" t="s">
        <v>7053</v>
      </c>
      <c r="AB527" s="32" t="s">
        <v>7043</v>
      </c>
      <c r="AC527" s="30">
        <v>47119.0</v>
      </c>
      <c r="AD527" s="30">
        <v>47483.0</v>
      </c>
      <c r="AE527" s="29" t="s">
        <v>7053</v>
      </c>
      <c r="AF527" s="29" t="s">
        <v>7053</v>
      </c>
      <c r="AG527" s="32" t="s">
        <v>7043</v>
      </c>
      <c r="AH527" s="30">
        <v>47484.0</v>
      </c>
      <c r="AI527" s="30">
        <v>47848.0</v>
      </c>
      <c r="AJ527" s="29" t="s">
        <v>7053</v>
      </c>
      <c r="AK527" s="29" t="s">
        <v>7053</v>
      </c>
      <c r="AL527" s="32" t="s">
        <v>7043</v>
      </c>
    </row>
    <row r="528" ht="14.25" customHeight="1">
      <c r="A528" s="28" t="s">
        <v>3890</v>
      </c>
      <c r="B528" s="29" t="s">
        <v>3891</v>
      </c>
      <c r="C528" s="29" t="s">
        <v>7041</v>
      </c>
      <c r="D528" s="30">
        <v>45292.0</v>
      </c>
      <c r="E528" s="30">
        <v>45657.0</v>
      </c>
      <c r="F528" s="29" t="s">
        <v>7077</v>
      </c>
      <c r="G528" s="29" t="s">
        <v>7053</v>
      </c>
      <c r="H528" s="38" t="s">
        <v>7047</v>
      </c>
      <c r="I528" s="30">
        <v>45658.0</v>
      </c>
      <c r="J528" s="30">
        <v>46022.0</v>
      </c>
      <c r="K528" s="29" t="s">
        <v>7077</v>
      </c>
      <c r="L528" s="29" t="s">
        <v>7053</v>
      </c>
      <c r="M528" s="38" t="s">
        <v>7047</v>
      </c>
      <c r="N528" s="30">
        <v>46023.0</v>
      </c>
      <c r="O528" s="30">
        <v>46387.0</v>
      </c>
      <c r="P528" s="29" t="s">
        <v>7053</v>
      </c>
      <c r="Q528" s="29" t="s">
        <v>7053</v>
      </c>
      <c r="R528" s="32" t="s">
        <v>7043</v>
      </c>
      <c r="S528" s="30">
        <v>46388.0</v>
      </c>
      <c r="T528" s="30">
        <v>46752.0</v>
      </c>
      <c r="U528" s="29" t="s">
        <v>7053</v>
      </c>
      <c r="V528" s="29" t="s">
        <v>7053</v>
      </c>
      <c r="W528" s="32" t="s">
        <v>7043</v>
      </c>
      <c r="X528" s="30">
        <v>46753.0</v>
      </c>
      <c r="Y528" s="30">
        <v>47118.0</v>
      </c>
      <c r="Z528" s="29" t="s">
        <v>7053</v>
      </c>
      <c r="AA528" s="29" t="s">
        <v>7053</v>
      </c>
      <c r="AB528" s="32" t="s">
        <v>7043</v>
      </c>
      <c r="AC528" s="30">
        <v>47119.0</v>
      </c>
      <c r="AD528" s="30">
        <v>47483.0</v>
      </c>
      <c r="AE528" s="29" t="s">
        <v>7053</v>
      </c>
      <c r="AF528" s="29" t="s">
        <v>7053</v>
      </c>
      <c r="AG528" s="32" t="s">
        <v>7043</v>
      </c>
      <c r="AH528" s="30">
        <v>47484.0</v>
      </c>
      <c r="AI528" s="30">
        <v>47848.0</v>
      </c>
      <c r="AJ528" s="29" t="s">
        <v>7053</v>
      </c>
      <c r="AK528" s="29" t="s">
        <v>7053</v>
      </c>
      <c r="AL528" s="32" t="s">
        <v>7043</v>
      </c>
    </row>
    <row r="529" ht="14.25" customHeight="1">
      <c r="A529" s="28" t="s">
        <v>4879</v>
      </c>
      <c r="B529" s="29" t="s">
        <v>4880</v>
      </c>
      <c r="C529" s="29" t="s">
        <v>7041</v>
      </c>
      <c r="D529" s="30">
        <v>45292.0</v>
      </c>
      <c r="E529" s="30">
        <v>45657.0</v>
      </c>
      <c r="F529" s="29" t="s">
        <v>7117</v>
      </c>
      <c r="G529" s="29" t="s">
        <v>7101</v>
      </c>
      <c r="H529" s="38" t="s">
        <v>7047</v>
      </c>
      <c r="I529" s="30">
        <v>45658.0</v>
      </c>
      <c r="J529" s="30">
        <v>46022.0</v>
      </c>
      <c r="K529" s="29" t="s">
        <v>7121</v>
      </c>
      <c r="L529" s="29" t="s">
        <v>7053</v>
      </c>
      <c r="M529" s="38" t="s">
        <v>7047</v>
      </c>
      <c r="N529" s="30">
        <v>46023.0</v>
      </c>
      <c r="O529" s="30">
        <v>46387.0</v>
      </c>
      <c r="P529" s="29" t="s">
        <v>7053</v>
      </c>
      <c r="Q529" s="29" t="s">
        <v>7053</v>
      </c>
      <c r="R529" s="32" t="s">
        <v>7043</v>
      </c>
      <c r="S529" s="30">
        <v>46388.0</v>
      </c>
      <c r="T529" s="30">
        <v>46752.0</v>
      </c>
      <c r="U529" s="29" t="s">
        <v>7053</v>
      </c>
      <c r="V529" s="29" t="s">
        <v>7053</v>
      </c>
      <c r="W529" s="32" t="s">
        <v>7043</v>
      </c>
      <c r="X529" s="30">
        <v>46753.0</v>
      </c>
      <c r="Y529" s="30">
        <v>47118.0</v>
      </c>
      <c r="Z529" s="29" t="s">
        <v>7053</v>
      </c>
      <c r="AA529" s="29" t="s">
        <v>7053</v>
      </c>
      <c r="AB529" s="32" t="s">
        <v>7043</v>
      </c>
      <c r="AC529" s="30">
        <v>47119.0</v>
      </c>
      <c r="AD529" s="30">
        <v>47483.0</v>
      </c>
      <c r="AE529" s="29" t="s">
        <v>7053</v>
      </c>
      <c r="AF529" s="29" t="s">
        <v>7053</v>
      </c>
      <c r="AG529" s="32" t="s">
        <v>7043</v>
      </c>
      <c r="AH529" s="30">
        <v>47484.0</v>
      </c>
      <c r="AI529" s="30">
        <v>47848.0</v>
      </c>
      <c r="AJ529" s="29" t="s">
        <v>7053</v>
      </c>
      <c r="AK529" s="29" t="s">
        <v>7053</v>
      </c>
      <c r="AL529" s="32" t="s">
        <v>7043</v>
      </c>
    </row>
    <row r="530" ht="14.25" customHeight="1">
      <c r="A530" s="28" t="s">
        <v>1864</v>
      </c>
      <c r="B530" s="29" t="s">
        <v>1865</v>
      </c>
      <c r="C530" s="29" t="s">
        <v>7041</v>
      </c>
      <c r="D530" s="30">
        <v>45292.0</v>
      </c>
      <c r="E530" s="30">
        <v>45657.0</v>
      </c>
      <c r="F530" s="29" t="s">
        <v>7089</v>
      </c>
      <c r="G530" s="29" t="s">
        <v>7053</v>
      </c>
      <c r="H530" s="38" t="s">
        <v>7047</v>
      </c>
      <c r="I530" s="30">
        <v>45658.0</v>
      </c>
      <c r="J530" s="30">
        <v>46022.0</v>
      </c>
      <c r="K530" s="29" t="s">
        <v>7097</v>
      </c>
      <c r="L530" s="29" t="s">
        <v>7053</v>
      </c>
      <c r="M530" s="38" t="s">
        <v>7047</v>
      </c>
      <c r="N530" s="30">
        <v>46023.0</v>
      </c>
      <c r="O530" s="30">
        <v>46387.0</v>
      </c>
      <c r="P530" s="29" t="s">
        <v>7053</v>
      </c>
      <c r="Q530" s="29" t="s">
        <v>7053</v>
      </c>
      <c r="R530" s="32" t="s">
        <v>7043</v>
      </c>
      <c r="S530" s="30">
        <v>46388.0</v>
      </c>
      <c r="T530" s="30">
        <v>46752.0</v>
      </c>
      <c r="U530" s="29" t="s">
        <v>7053</v>
      </c>
      <c r="V530" s="29" t="s">
        <v>7053</v>
      </c>
      <c r="W530" s="32" t="s">
        <v>7043</v>
      </c>
      <c r="X530" s="30">
        <v>46753.0</v>
      </c>
      <c r="Y530" s="30">
        <v>47118.0</v>
      </c>
      <c r="Z530" s="29" t="s">
        <v>7053</v>
      </c>
      <c r="AA530" s="29" t="s">
        <v>7053</v>
      </c>
      <c r="AB530" s="32" t="s">
        <v>7043</v>
      </c>
      <c r="AC530" s="30">
        <v>47119.0</v>
      </c>
      <c r="AD530" s="30">
        <v>47483.0</v>
      </c>
      <c r="AE530" s="29" t="s">
        <v>7053</v>
      </c>
      <c r="AF530" s="29" t="s">
        <v>7053</v>
      </c>
      <c r="AG530" s="32" t="s">
        <v>7043</v>
      </c>
      <c r="AH530" s="30">
        <v>47484.0</v>
      </c>
      <c r="AI530" s="30">
        <v>47848.0</v>
      </c>
      <c r="AJ530" s="29" t="s">
        <v>7053</v>
      </c>
      <c r="AK530" s="29" t="s">
        <v>7053</v>
      </c>
      <c r="AL530" s="32" t="s">
        <v>7043</v>
      </c>
    </row>
    <row r="531" ht="14.25" customHeight="1">
      <c r="A531" s="28" t="s">
        <v>5166</v>
      </c>
      <c r="B531" s="29" t="s">
        <v>5167</v>
      </c>
      <c r="C531" s="29" t="s">
        <v>7041</v>
      </c>
      <c r="D531" s="30">
        <v>45292.0</v>
      </c>
      <c r="E531" s="30">
        <v>45657.0</v>
      </c>
      <c r="F531" s="29" t="s">
        <v>7063</v>
      </c>
      <c r="G531" s="29" t="s">
        <v>7097</v>
      </c>
      <c r="H531" s="38" t="s">
        <v>7047</v>
      </c>
      <c r="I531" s="30">
        <v>45658.0</v>
      </c>
      <c r="J531" s="30">
        <v>46022.0</v>
      </c>
      <c r="K531" s="29" t="s">
        <v>7082</v>
      </c>
      <c r="L531" s="29" t="s">
        <v>7058</v>
      </c>
      <c r="M531" s="38" t="s">
        <v>7047</v>
      </c>
      <c r="N531" s="30">
        <v>46023.0</v>
      </c>
      <c r="O531" s="30">
        <v>46387.0</v>
      </c>
      <c r="P531" s="29" t="s">
        <v>7053</v>
      </c>
      <c r="Q531" s="29" t="s">
        <v>7053</v>
      </c>
      <c r="R531" s="32" t="s">
        <v>7043</v>
      </c>
      <c r="S531" s="30">
        <v>46388.0</v>
      </c>
      <c r="T531" s="30">
        <v>46752.0</v>
      </c>
      <c r="U531" s="29" t="s">
        <v>7053</v>
      </c>
      <c r="V531" s="29" t="s">
        <v>7053</v>
      </c>
      <c r="W531" s="32" t="s">
        <v>7043</v>
      </c>
      <c r="X531" s="30">
        <v>46753.0</v>
      </c>
      <c r="Y531" s="30">
        <v>47118.0</v>
      </c>
      <c r="Z531" s="29" t="s">
        <v>7053</v>
      </c>
      <c r="AA531" s="29" t="s">
        <v>7053</v>
      </c>
      <c r="AB531" s="32" t="s">
        <v>7043</v>
      </c>
      <c r="AC531" s="30">
        <v>47119.0</v>
      </c>
      <c r="AD531" s="30">
        <v>47483.0</v>
      </c>
      <c r="AE531" s="29" t="s">
        <v>7053</v>
      </c>
      <c r="AF531" s="29" t="s">
        <v>7053</v>
      </c>
      <c r="AG531" s="32" t="s">
        <v>7043</v>
      </c>
      <c r="AH531" s="30">
        <v>47484.0</v>
      </c>
      <c r="AI531" s="30">
        <v>47848.0</v>
      </c>
      <c r="AJ531" s="29" t="s">
        <v>7053</v>
      </c>
      <c r="AK531" s="29" t="s">
        <v>7053</v>
      </c>
      <c r="AL531" s="32" t="s">
        <v>7043</v>
      </c>
    </row>
    <row r="532" ht="14.25" customHeight="1">
      <c r="A532" s="28" t="s">
        <v>1584</v>
      </c>
      <c r="B532" s="29" t="s">
        <v>1585</v>
      </c>
      <c r="C532" s="29" t="s">
        <v>7041</v>
      </c>
      <c r="D532" s="30">
        <v>45292.0</v>
      </c>
      <c r="E532" s="30">
        <v>45657.0</v>
      </c>
      <c r="F532" s="29" t="s">
        <v>7053</v>
      </c>
      <c r="G532" s="29" t="s">
        <v>7053</v>
      </c>
      <c r="H532" s="32" t="s">
        <v>7043</v>
      </c>
      <c r="I532" s="30">
        <v>45658.0</v>
      </c>
      <c r="J532" s="30">
        <v>46022.0</v>
      </c>
      <c r="K532" s="29" t="s">
        <v>7053</v>
      </c>
      <c r="L532" s="29" t="s">
        <v>7071</v>
      </c>
      <c r="M532" s="32" t="s">
        <v>7043</v>
      </c>
      <c r="N532" s="30">
        <v>46023.0</v>
      </c>
      <c r="O532" s="30">
        <v>46387.0</v>
      </c>
      <c r="P532" s="29" t="s">
        <v>7053</v>
      </c>
      <c r="Q532" s="29" t="s">
        <v>7053</v>
      </c>
      <c r="R532" s="32" t="s">
        <v>7043</v>
      </c>
      <c r="S532" s="30">
        <v>46388.0</v>
      </c>
      <c r="T532" s="30">
        <v>46752.0</v>
      </c>
      <c r="U532" s="29" t="s">
        <v>7053</v>
      </c>
      <c r="V532" s="29" t="s">
        <v>7053</v>
      </c>
      <c r="W532" s="32" t="s">
        <v>7043</v>
      </c>
      <c r="X532" s="30">
        <v>46753.0</v>
      </c>
      <c r="Y532" s="30">
        <v>47118.0</v>
      </c>
      <c r="Z532" s="29" t="s">
        <v>7053</v>
      </c>
      <c r="AA532" s="29" t="s">
        <v>7053</v>
      </c>
      <c r="AB532" s="32" t="s">
        <v>7043</v>
      </c>
      <c r="AC532" s="30">
        <v>47119.0</v>
      </c>
      <c r="AD532" s="30">
        <v>47483.0</v>
      </c>
      <c r="AE532" s="29" t="s">
        <v>7053</v>
      </c>
      <c r="AF532" s="29" t="s">
        <v>7053</v>
      </c>
      <c r="AG532" s="32" t="s">
        <v>7043</v>
      </c>
      <c r="AH532" s="30">
        <v>47484.0</v>
      </c>
      <c r="AI532" s="30">
        <v>47848.0</v>
      </c>
      <c r="AJ532" s="29" t="s">
        <v>7053</v>
      </c>
      <c r="AK532" s="29" t="s">
        <v>7053</v>
      </c>
      <c r="AL532" s="32" t="s">
        <v>7043</v>
      </c>
    </row>
    <row r="533" ht="14.25" customHeight="1">
      <c r="A533" s="28" t="s">
        <v>1571</v>
      </c>
      <c r="B533" s="29" t="s">
        <v>1572</v>
      </c>
      <c r="C533" s="29" t="s">
        <v>7041</v>
      </c>
      <c r="D533" s="30">
        <v>45292.0</v>
      </c>
      <c r="E533" s="30">
        <v>45657.0</v>
      </c>
      <c r="F533" s="29" t="s">
        <v>7053</v>
      </c>
      <c r="G533" s="29" t="s">
        <v>7053</v>
      </c>
      <c r="H533" s="32" t="s">
        <v>7043</v>
      </c>
      <c r="I533" s="30">
        <v>45658.0</v>
      </c>
      <c r="J533" s="30">
        <v>46022.0</v>
      </c>
      <c r="K533" s="29" t="s">
        <v>7053</v>
      </c>
      <c r="L533" s="29" t="s">
        <v>7104</v>
      </c>
      <c r="M533" s="32" t="s">
        <v>7043</v>
      </c>
      <c r="N533" s="30">
        <v>46023.0</v>
      </c>
      <c r="O533" s="30">
        <v>46387.0</v>
      </c>
      <c r="P533" s="29" t="s">
        <v>7053</v>
      </c>
      <c r="Q533" s="29" t="s">
        <v>7053</v>
      </c>
      <c r="R533" s="32" t="s">
        <v>7043</v>
      </c>
      <c r="S533" s="30">
        <v>46388.0</v>
      </c>
      <c r="T533" s="30">
        <v>46752.0</v>
      </c>
      <c r="U533" s="29" t="s">
        <v>7053</v>
      </c>
      <c r="V533" s="29" t="s">
        <v>7053</v>
      </c>
      <c r="W533" s="32" t="s">
        <v>7043</v>
      </c>
      <c r="X533" s="30">
        <v>46753.0</v>
      </c>
      <c r="Y533" s="30">
        <v>47118.0</v>
      </c>
      <c r="Z533" s="29" t="s">
        <v>7053</v>
      </c>
      <c r="AA533" s="29" t="s">
        <v>7053</v>
      </c>
      <c r="AB533" s="32" t="s">
        <v>7043</v>
      </c>
      <c r="AC533" s="30">
        <v>47119.0</v>
      </c>
      <c r="AD533" s="30">
        <v>47483.0</v>
      </c>
      <c r="AE533" s="29" t="s">
        <v>7053</v>
      </c>
      <c r="AF533" s="29" t="s">
        <v>7053</v>
      </c>
      <c r="AG533" s="32" t="s">
        <v>7043</v>
      </c>
      <c r="AH533" s="30">
        <v>47484.0</v>
      </c>
      <c r="AI533" s="30">
        <v>47848.0</v>
      </c>
      <c r="AJ533" s="29" t="s">
        <v>7053</v>
      </c>
      <c r="AK533" s="29" t="s">
        <v>7053</v>
      </c>
      <c r="AL533" s="32" t="s">
        <v>7043</v>
      </c>
    </row>
    <row r="534" ht="14.25" customHeight="1">
      <c r="A534" s="28" t="s">
        <v>1928</v>
      </c>
      <c r="B534" s="29" t="s">
        <v>1929</v>
      </c>
      <c r="C534" s="29" t="s">
        <v>7041</v>
      </c>
      <c r="D534" s="30">
        <v>45292.0</v>
      </c>
      <c r="E534" s="30">
        <v>45657.0</v>
      </c>
      <c r="F534" s="29" t="s">
        <v>7100</v>
      </c>
      <c r="G534" s="29" t="s">
        <v>7053</v>
      </c>
      <c r="H534" s="38" t="s">
        <v>7047</v>
      </c>
      <c r="I534" s="30">
        <v>45658.0</v>
      </c>
      <c r="J534" s="30">
        <v>46022.0</v>
      </c>
      <c r="K534" s="29" t="s">
        <v>7100</v>
      </c>
      <c r="L534" s="29" t="s">
        <v>7058</v>
      </c>
      <c r="M534" s="38" t="s">
        <v>7047</v>
      </c>
      <c r="N534" s="30">
        <v>46023.0</v>
      </c>
      <c r="O534" s="30">
        <v>46387.0</v>
      </c>
      <c r="P534" s="29" t="s">
        <v>7053</v>
      </c>
      <c r="Q534" s="29" t="s">
        <v>7053</v>
      </c>
      <c r="R534" s="32" t="s">
        <v>7043</v>
      </c>
      <c r="S534" s="30">
        <v>46388.0</v>
      </c>
      <c r="T534" s="30">
        <v>46752.0</v>
      </c>
      <c r="U534" s="29" t="s">
        <v>7053</v>
      </c>
      <c r="V534" s="29" t="s">
        <v>7053</v>
      </c>
      <c r="W534" s="32" t="s">
        <v>7043</v>
      </c>
      <c r="X534" s="30">
        <v>46753.0</v>
      </c>
      <c r="Y534" s="30">
        <v>47118.0</v>
      </c>
      <c r="Z534" s="29" t="s">
        <v>7053</v>
      </c>
      <c r="AA534" s="29" t="s">
        <v>7053</v>
      </c>
      <c r="AB534" s="32" t="s">
        <v>7043</v>
      </c>
      <c r="AC534" s="30">
        <v>47119.0</v>
      </c>
      <c r="AD534" s="30">
        <v>47483.0</v>
      </c>
      <c r="AE534" s="29" t="s">
        <v>7053</v>
      </c>
      <c r="AF534" s="29" t="s">
        <v>7053</v>
      </c>
      <c r="AG534" s="32" t="s">
        <v>7043</v>
      </c>
      <c r="AH534" s="30">
        <v>47484.0</v>
      </c>
      <c r="AI534" s="30">
        <v>47848.0</v>
      </c>
      <c r="AJ534" s="29" t="s">
        <v>7053</v>
      </c>
      <c r="AK534" s="29" t="s">
        <v>7053</v>
      </c>
      <c r="AL534" s="32" t="s">
        <v>7043</v>
      </c>
    </row>
    <row r="535" ht="14.25" customHeight="1">
      <c r="A535" s="28" t="s">
        <v>6660</v>
      </c>
      <c r="B535" s="29" t="s">
        <v>6661</v>
      </c>
      <c r="C535" s="29" t="s">
        <v>7041</v>
      </c>
      <c r="D535" s="30">
        <v>45292.0</v>
      </c>
      <c r="E535" s="30">
        <v>45657.0</v>
      </c>
      <c r="F535" s="29" t="s">
        <v>7053</v>
      </c>
      <c r="G535" s="29" t="s">
        <v>7053</v>
      </c>
      <c r="H535" s="32" t="s">
        <v>7043</v>
      </c>
      <c r="I535" s="30">
        <v>45658.0</v>
      </c>
      <c r="J535" s="30">
        <v>46022.0</v>
      </c>
      <c r="K535" s="29" t="s">
        <v>7071</v>
      </c>
      <c r="L535" s="29" t="s">
        <v>7052</v>
      </c>
      <c r="M535" s="32" t="s">
        <v>7043</v>
      </c>
      <c r="N535" s="30">
        <v>46023.0</v>
      </c>
      <c r="O535" s="30">
        <v>46387.0</v>
      </c>
      <c r="P535" s="29" t="s">
        <v>7053</v>
      </c>
      <c r="Q535" s="29" t="s">
        <v>7053</v>
      </c>
      <c r="R535" s="32" t="s">
        <v>7043</v>
      </c>
      <c r="S535" s="30">
        <v>46388.0</v>
      </c>
      <c r="T535" s="30">
        <v>46752.0</v>
      </c>
      <c r="U535" s="29" t="s">
        <v>7053</v>
      </c>
      <c r="V535" s="29" t="s">
        <v>7053</v>
      </c>
      <c r="W535" s="32" t="s">
        <v>7043</v>
      </c>
      <c r="X535" s="30">
        <v>46753.0</v>
      </c>
      <c r="Y535" s="30">
        <v>47118.0</v>
      </c>
      <c r="Z535" s="29" t="s">
        <v>7053</v>
      </c>
      <c r="AA535" s="29" t="s">
        <v>7053</v>
      </c>
      <c r="AB535" s="32" t="s">
        <v>7043</v>
      </c>
      <c r="AC535" s="30">
        <v>47119.0</v>
      </c>
      <c r="AD535" s="30">
        <v>47483.0</v>
      </c>
      <c r="AE535" s="29" t="s">
        <v>7053</v>
      </c>
      <c r="AF535" s="29" t="s">
        <v>7053</v>
      </c>
      <c r="AG535" s="32" t="s">
        <v>7043</v>
      </c>
      <c r="AH535" s="30">
        <v>47484.0</v>
      </c>
      <c r="AI535" s="30">
        <v>47848.0</v>
      </c>
      <c r="AJ535" s="29" t="s">
        <v>7053</v>
      </c>
      <c r="AK535" s="29" t="s">
        <v>7053</v>
      </c>
      <c r="AL535" s="32" t="s">
        <v>7043</v>
      </c>
    </row>
    <row r="536" ht="14.25" customHeight="1">
      <c r="A536" s="28" t="s">
        <v>6391</v>
      </c>
      <c r="B536" s="29" t="s">
        <v>6392</v>
      </c>
      <c r="C536" s="29" t="s">
        <v>7041</v>
      </c>
      <c r="D536" s="30">
        <v>45292.0</v>
      </c>
      <c r="E536" s="30">
        <v>45657.0</v>
      </c>
      <c r="F536" s="29" t="s">
        <v>7112</v>
      </c>
      <c r="G536" s="29" t="s">
        <v>7053</v>
      </c>
      <c r="H536" s="38" t="s">
        <v>7047</v>
      </c>
      <c r="I536" s="30">
        <v>45658.0</v>
      </c>
      <c r="J536" s="30">
        <v>46022.0</v>
      </c>
      <c r="K536" s="29" t="s">
        <v>7122</v>
      </c>
      <c r="L536" s="29" t="s">
        <v>7053</v>
      </c>
      <c r="M536" s="38" t="s">
        <v>7047</v>
      </c>
      <c r="N536" s="30">
        <v>46023.0</v>
      </c>
      <c r="O536" s="30">
        <v>46387.0</v>
      </c>
      <c r="P536" s="29" t="s">
        <v>7053</v>
      </c>
      <c r="Q536" s="29" t="s">
        <v>7053</v>
      </c>
      <c r="R536" s="32" t="s">
        <v>7043</v>
      </c>
      <c r="S536" s="30">
        <v>46388.0</v>
      </c>
      <c r="T536" s="30">
        <v>46752.0</v>
      </c>
      <c r="U536" s="29" t="s">
        <v>7053</v>
      </c>
      <c r="V536" s="29" t="s">
        <v>7053</v>
      </c>
      <c r="W536" s="32" t="s">
        <v>7043</v>
      </c>
      <c r="X536" s="30">
        <v>46753.0</v>
      </c>
      <c r="Y536" s="30">
        <v>47118.0</v>
      </c>
      <c r="Z536" s="29" t="s">
        <v>7053</v>
      </c>
      <c r="AA536" s="29" t="s">
        <v>7053</v>
      </c>
      <c r="AB536" s="32" t="s">
        <v>7043</v>
      </c>
      <c r="AC536" s="30">
        <v>47119.0</v>
      </c>
      <c r="AD536" s="30">
        <v>47483.0</v>
      </c>
      <c r="AE536" s="29" t="s">
        <v>7053</v>
      </c>
      <c r="AF536" s="29" t="s">
        <v>7053</v>
      </c>
      <c r="AG536" s="32" t="s">
        <v>7043</v>
      </c>
      <c r="AH536" s="30">
        <v>47484.0</v>
      </c>
      <c r="AI536" s="30">
        <v>47848.0</v>
      </c>
      <c r="AJ536" s="29" t="s">
        <v>7053</v>
      </c>
      <c r="AK536" s="29" t="s">
        <v>7053</v>
      </c>
      <c r="AL536" s="32" t="s">
        <v>7043</v>
      </c>
    </row>
    <row r="537" ht="14.25" customHeight="1">
      <c r="A537" s="28" t="s">
        <v>463</v>
      </c>
      <c r="B537" s="29" t="s">
        <v>464</v>
      </c>
      <c r="C537" s="29" t="s">
        <v>7041</v>
      </c>
      <c r="D537" s="30">
        <v>45292.0</v>
      </c>
      <c r="E537" s="30">
        <v>45657.0</v>
      </c>
      <c r="F537" s="29" t="s">
        <v>7056</v>
      </c>
      <c r="G537" s="29" t="s">
        <v>7053</v>
      </c>
      <c r="H537" s="38" t="s">
        <v>7047</v>
      </c>
      <c r="I537" s="30">
        <v>45658.0</v>
      </c>
      <c r="J537" s="30">
        <v>46022.0</v>
      </c>
      <c r="K537" s="29" t="s">
        <v>7075</v>
      </c>
      <c r="L537" s="29" t="s">
        <v>7053</v>
      </c>
      <c r="M537" s="38" t="s">
        <v>7047</v>
      </c>
      <c r="N537" s="30">
        <v>46023.0</v>
      </c>
      <c r="O537" s="30">
        <v>46387.0</v>
      </c>
      <c r="P537" s="29" t="s">
        <v>7053</v>
      </c>
      <c r="Q537" s="29" t="s">
        <v>7053</v>
      </c>
      <c r="R537" s="32" t="s">
        <v>7043</v>
      </c>
      <c r="S537" s="30">
        <v>46388.0</v>
      </c>
      <c r="T537" s="30">
        <v>46752.0</v>
      </c>
      <c r="U537" s="29" t="s">
        <v>7053</v>
      </c>
      <c r="V537" s="29" t="s">
        <v>7053</v>
      </c>
      <c r="W537" s="32" t="s">
        <v>7043</v>
      </c>
      <c r="X537" s="30">
        <v>46753.0</v>
      </c>
      <c r="Y537" s="30">
        <v>47118.0</v>
      </c>
      <c r="Z537" s="29" t="s">
        <v>7053</v>
      </c>
      <c r="AA537" s="29" t="s">
        <v>7053</v>
      </c>
      <c r="AB537" s="32" t="s">
        <v>7043</v>
      </c>
      <c r="AC537" s="30">
        <v>47119.0</v>
      </c>
      <c r="AD537" s="30">
        <v>47483.0</v>
      </c>
      <c r="AE537" s="29" t="s">
        <v>7053</v>
      </c>
      <c r="AF537" s="29" t="s">
        <v>7053</v>
      </c>
      <c r="AG537" s="32" t="s">
        <v>7043</v>
      </c>
      <c r="AH537" s="30">
        <v>47484.0</v>
      </c>
      <c r="AI537" s="30">
        <v>47848.0</v>
      </c>
      <c r="AJ537" s="29" t="s">
        <v>7053</v>
      </c>
      <c r="AK537" s="29" t="s">
        <v>7053</v>
      </c>
      <c r="AL537" s="32" t="s">
        <v>7043</v>
      </c>
    </row>
    <row r="538" ht="14.25" customHeight="1">
      <c r="A538" s="28" t="s">
        <v>898</v>
      </c>
      <c r="B538" s="29" t="s">
        <v>899</v>
      </c>
      <c r="C538" s="29" t="s">
        <v>7041</v>
      </c>
      <c r="D538" s="30">
        <v>45292.0</v>
      </c>
      <c r="E538" s="30">
        <v>45657.0</v>
      </c>
      <c r="F538" s="29" t="s">
        <v>7053</v>
      </c>
      <c r="G538" s="29" t="s">
        <v>7053</v>
      </c>
      <c r="H538" s="35" t="s">
        <v>7045</v>
      </c>
      <c r="I538" s="30">
        <v>45658.0</v>
      </c>
      <c r="J538" s="30">
        <v>46022.0</v>
      </c>
      <c r="K538" s="29" t="s">
        <v>7053</v>
      </c>
      <c r="L538" s="29" t="s">
        <v>7053</v>
      </c>
      <c r="M538" s="35" t="s">
        <v>7045</v>
      </c>
      <c r="N538" s="30">
        <v>46023.0</v>
      </c>
      <c r="O538" s="30">
        <v>46387.0</v>
      </c>
      <c r="P538" s="29" t="s">
        <v>7053</v>
      </c>
      <c r="Q538" s="29" t="s">
        <v>7053</v>
      </c>
      <c r="R538" s="35" t="s">
        <v>7045</v>
      </c>
      <c r="S538" s="30">
        <v>46388.0</v>
      </c>
      <c r="T538" s="30">
        <v>46752.0</v>
      </c>
      <c r="U538" s="29" t="s">
        <v>7053</v>
      </c>
      <c r="V538" s="29" t="s">
        <v>7053</v>
      </c>
      <c r="W538" s="35" t="s">
        <v>7045</v>
      </c>
      <c r="X538" s="30">
        <v>46753.0</v>
      </c>
      <c r="Y538" s="30">
        <v>47118.0</v>
      </c>
      <c r="Z538" s="29" t="s">
        <v>7053</v>
      </c>
      <c r="AA538" s="29" t="s">
        <v>7053</v>
      </c>
      <c r="AB538" s="35" t="s">
        <v>7045</v>
      </c>
      <c r="AC538" s="30">
        <v>47119.0</v>
      </c>
      <c r="AD538" s="30">
        <v>47483.0</v>
      </c>
      <c r="AE538" s="29" t="s">
        <v>7053</v>
      </c>
      <c r="AF538" s="29" t="s">
        <v>7053</v>
      </c>
      <c r="AG538" s="35" t="s">
        <v>7045</v>
      </c>
      <c r="AH538" s="30">
        <v>47484.0</v>
      </c>
      <c r="AI538" s="30">
        <v>47848.0</v>
      </c>
      <c r="AJ538" s="29" t="s">
        <v>7053</v>
      </c>
      <c r="AK538" s="29" t="s">
        <v>7053</v>
      </c>
      <c r="AL538" s="35" t="s">
        <v>7045</v>
      </c>
    </row>
    <row r="539" ht="14.25" customHeight="1">
      <c r="A539" s="28" t="s">
        <v>1156</v>
      </c>
      <c r="B539" s="29" t="s">
        <v>1157</v>
      </c>
      <c r="C539" s="29" t="s">
        <v>7041</v>
      </c>
      <c r="D539" s="30">
        <v>45292.0</v>
      </c>
      <c r="E539" s="30">
        <v>45657.0</v>
      </c>
      <c r="F539" s="29" t="s">
        <v>7069</v>
      </c>
      <c r="G539" s="29" t="s">
        <v>7053</v>
      </c>
      <c r="H539" s="38" t="s">
        <v>7047</v>
      </c>
      <c r="I539" s="30">
        <v>45658.0</v>
      </c>
      <c r="J539" s="30">
        <v>46022.0</v>
      </c>
      <c r="K539" s="29" t="s">
        <v>7088</v>
      </c>
      <c r="L539" s="29" t="s">
        <v>7053</v>
      </c>
      <c r="M539" s="38" t="s">
        <v>7047</v>
      </c>
      <c r="N539" s="30">
        <v>46023.0</v>
      </c>
      <c r="O539" s="30">
        <v>46387.0</v>
      </c>
      <c r="P539" s="29" t="s">
        <v>7053</v>
      </c>
      <c r="Q539" s="29" t="s">
        <v>7053</v>
      </c>
      <c r="R539" s="32" t="s">
        <v>7043</v>
      </c>
      <c r="S539" s="30">
        <v>46388.0</v>
      </c>
      <c r="T539" s="30">
        <v>46752.0</v>
      </c>
      <c r="U539" s="29" t="s">
        <v>7053</v>
      </c>
      <c r="V539" s="29" t="s">
        <v>7053</v>
      </c>
      <c r="W539" s="32" t="s">
        <v>7043</v>
      </c>
      <c r="X539" s="30">
        <v>46753.0</v>
      </c>
      <c r="Y539" s="30">
        <v>47118.0</v>
      </c>
      <c r="Z539" s="29" t="s">
        <v>7053</v>
      </c>
      <c r="AA539" s="29" t="s">
        <v>7053</v>
      </c>
      <c r="AB539" s="32" t="s">
        <v>7043</v>
      </c>
      <c r="AC539" s="30">
        <v>47119.0</v>
      </c>
      <c r="AD539" s="30">
        <v>47483.0</v>
      </c>
      <c r="AE539" s="29" t="s">
        <v>7053</v>
      </c>
      <c r="AF539" s="29" t="s">
        <v>7053</v>
      </c>
      <c r="AG539" s="32" t="s">
        <v>7043</v>
      </c>
      <c r="AH539" s="30">
        <v>47484.0</v>
      </c>
      <c r="AI539" s="30">
        <v>47848.0</v>
      </c>
      <c r="AJ539" s="29" t="s">
        <v>7053</v>
      </c>
      <c r="AK539" s="29" t="s">
        <v>7053</v>
      </c>
      <c r="AL539" s="32" t="s">
        <v>7043</v>
      </c>
    </row>
    <row r="540" ht="14.25" customHeight="1">
      <c r="A540" s="28" t="s">
        <v>2853</v>
      </c>
      <c r="B540" s="29" t="s">
        <v>2854</v>
      </c>
      <c r="C540" s="29" t="s">
        <v>7041</v>
      </c>
      <c r="D540" s="30">
        <v>45292.0</v>
      </c>
      <c r="E540" s="30">
        <v>45657.0</v>
      </c>
      <c r="F540" s="29" t="s">
        <v>7101</v>
      </c>
      <c r="G540" s="29" t="s">
        <v>7053</v>
      </c>
      <c r="H540" s="38" t="s">
        <v>7047</v>
      </c>
      <c r="I540" s="30">
        <v>45658.0</v>
      </c>
      <c r="J540" s="30">
        <v>46022.0</v>
      </c>
      <c r="K540" s="29" t="s">
        <v>7101</v>
      </c>
      <c r="L540" s="29" t="s">
        <v>7053</v>
      </c>
      <c r="M540" s="38" t="s">
        <v>7047</v>
      </c>
      <c r="N540" s="30">
        <v>46023.0</v>
      </c>
      <c r="O540" s="30">
        <v>46387.0</v>
      </c>
      <c r="P540" s="29" t="s">
        <v>7053</v>
      </c>
      <c r="Q540" s="29" t="s">
        <v>7053</v>
      </c>
      <c r="R540" s="32" t="s">
        <v>7043</v>
      </c>
      <c r="S540" s="30">
        <v>46388.0</v>
      </c>
      <c r="T540" s="30">
        <v>46752.0</v>
      </c>
      <c r="U540" s="29" t="s">
        <v>7053</v>
      </c>
      <c r="V540" s="29" t="s">
        <v>7053</v>
      </c>
      <c r="W540" s="32" t="s">
        <v>7043</v>
      </c>
      <c r="X540" s="30">
        <v>46753.0</v>
      </c>
      <c r="Y540" s="30">
        <v>47118.0</v>
      </c>
      <c r="Z540" s="29" t="s">
        <v>7053</v>
      </c>
      <c r="AA540" s="29" t="s">
        <v>7053</v>
      </c>
      <c r="AB540" s="32" t="s">
        <v>7043</v>
      </c>
      <c r="AC540" s="30">
        <v>47119.0</v>
      </c>
      <c r="AD540" s="30">
        <v>47483.0</v>
      </c>
      <c r="AE540" s="29" t="s">
        <v>7053</v>
      </c>
      <c r="AF540" s="29" t="s">
        <v>7053</v>
      </c>
      <c r="AG540" s="32" t="s">
        <v>7043</v>
      </c>
      <c r="AH540" s="30">
        <v>47484.0</v>
      </c>
      <c r="AI540" s="30">
        <v>47848.0</v>
      </c>
      <c r="AJ540" s="29" t="s">
        <v>7053</v>
      </c>
      <c r="AK540" s="29" t="s">
        <v>7053</v>
      </c>
      <c r="AL540" s="32" t="s">
        <v>7043</v>
      </c>
    </row>
    <row r="541" ht="14.25" customHeight="1">
      <c r="A541" s="28" t="s">
        <v>2092</v>
      </c>
      <c r="B541" s="29" t="s">
        <v>2093</v>
      </c>
      <c r="C541" s="29" t="s">
        <v>7041</v>
      </c>
      <c r="D541" s="30">
        <v>45292.0</v>
      </c>
      <c r="E541" s="30">
        <v>45657.0</v>
      </c>
      <c r="F541" s="29" t="s">
        <v>7053</v>
      </c>
      <c r="G541" s="29" t="s">
        <v>7053</v>
      </c>
      <c r="H541" s="35" t="s">
        <v>7045</v>
      </c>
      <c r="I541" s="30">
        <v>45658.0</v>
      </c>
      <c r="J541" s="30">
        <v>46022.0</v>
      </c>
      <c r="K541" s="29" t="s">
        <v>7053</v>
      </c>
      <c r="L541" s="29" t="s">
        <v>7053</v>
      </c>
      <c r="M541" s="35" t="s">
        <v>7045</v>
      </c>
      <c r="N541" s="30">
        <v>46023.0</v>
      </c>
      <c r="O541" s="30">
        <v>46387.0</v>
      </c>
      <c r="P541" s="29" t="s">
        <v>7053</v>
      </c>
      <c r="Q541" s="29" t="s">
        <v>7053</v>
      </c>
      <c r="R541" s="35" t="s">
        <v>7045</v>
      </c>
      <c r="S541" s="30">
        <v>46388.0</v>
      </c>
      <c r="T541" s="30">
        <v>46752.0</v>
      </c>
      <c r="U541" s="29" t="s">
        <v>7053</v>
      </c>
      <c r="V541" s="29" t="s">
        <v>7053</v>
      </c>
      <c r="W541" s="35" t="s">
        <v>7045</v>
      </c>
      <c r="X541" s="30">
        <v>46753.0</v>
      </c>
      <c r="Y541" s="30">
        <v>47118.0</v>
      </c>
      <c r="Z541" s="29" t="s">
        <v>7053</v>
      </c>
      <c r="AA541" s="29" t="s">
        <v>7053</v>
      </c>
      <c r="AB541" s="35" t="s">
        <v>7045</v>
      </c>
      <c r="AC541" s="30">
        <v>47119.0</v>
      </c>
      <c r="AD541" s="30">
        <v>47483.0</v>
      </c>
      <c r="AE541" s="29" t="s">
        <v>7053</v>
      </c>
      <c r="AF541" s="29" t="s">
        <v>7053</v>
      </c>
      <c r="AG541" s="35" t="s">
        <v>7045</v>
      </c>
      <c r="AH541" s="30">
        <v>47484.0</v>
      </c>
      <c r="AI541" s="30">
        <v>47848.0</v>
      </c>
      <c r="AJ541" s="29" t="s">
        <v>7053</v>
      </c>
      <c r="AK541" s="29" t="s">
        <v>7053</v>
      </c>
      <c r="AL541" s="35" t="s">
        <v>7045</v>
      </c>
    </row>
    <row r="542" ht="14.25" customHeight="1">
      <c r="A542" s="28" t="s">
        <v>2105</v>
      </c>
      <c r="B542" s="29" t="s">
        <v>2106</v>
      </c>
      <c r="C542" s="29" t="s">
        <v>7041</v>
      </c>
      <c r="D542" s="30">
        <v>45292.0</v>
      </c>
      <c r="E542" s="30">
        <v>45657.0</v>
      </c>
      <c r="F542" s="29" t="s">
        <v>7078</v>
      </c>
      <c r="G542" s="29" t="s">
        <v>7053</v>
      </c>
      <c r="H542" s="38" t="s">
        <v>7047</v>
      </c>
      <c r="I542" s="30">
        <v>45658.0</v>
      </c>
      <c r="J542" s="30">
        <v>46022.0</v>
      </c>
      <c r="K542" s="29" t="s">
        <v>7120</v>
      </c>
      <c r="L542" s="29" t="s">
        <v>7053</v>
      </c>
      <c r="M542" s="38" t="s">
        <v>7047</v>
      </c>
      <c r="N542" s="30">
        <v>46023.0</v>
      </c>
      <c r="O542" s="30">
        <v>46387.0</v>
      </c>
      <c r="P542" s="29" t="s">
        <v>7053</v>
      </c>
      <c r="Q542" s="29" t="s">
        <v>7053</v>
      </c>
      <c r="R542" s="32" t="s">
        <v>7043</v>
      </c>
      <c r="S542" s="30">
        <v>46388.0</v>
      </c>
      <c r="T542" s="30">
        <v>46752.0</v>
      </c>
      <c r="U542" s="29" t="s">
        <v>7053</v>
      </c>
      <c r="V542" s="29" t="s">
        <v>7053</v>
      </c>
      <c r="W542" s="32" t="s">
        <v>7043</v>
      </c>
      <c r="X542" s="30">
        <v>46753.0</v>
      </c>
      <c r="Y542" s="30">
        <v>47118.0</v>
      </c>
      <c r="Z542" s="29" t="s">
        <v>7053</v>
      </c>
      <c r="AA542" s="29" t="s">
        <v>7053</v>
      </c>
      <c r="AB542" s="32" t="s">
        <v>7043</v>
      </c>
      <c r="AC542" s="30">
        <v>47119.0</v>
      </c>
      <c r="AD542" s="30">
        <v>47483.0</v>
      </c>
      <c r="AE542" s="29" t="s">
        <v>7053</v>
      </c>
      <c r="AF542" s="29" t="s">
        <v>7053</v>
      </c>
      <c r="AG542" s="32" t="s">
        <v>7043</v>
      </c>
      <c r="AH542" s="30">
        <v>47484.0</v>
      </c>
      <c r="AI542" s="30">
        <v>47848.0</v>
      </c>
      <c r="AJ542" s="29" t="s">
        <v>7053</v>
      </c>
      <c r="AK542" s="29" t="s">
        <v>7053</v>
      </c>
      <c r="AL542" s="32" t="s">
        <v>7043</v>
      </c>
    </row>
    <row r="543" ht="14.25" customHeight="1">
      <c r="A543" s="28" t="s">
        <v>3443</v>
      </c>
      <c r="B543" s="29" t="s">
        <v>3444</v>
      </c>
      <c r="C543" s="29" t="s">
        <v>7041</v>
      </c>
      <c r="D543" s="30">
        <v>45292.0</v>
      </c>
      <c r="E543" s="30">
        <v>45657.0</v>
      </c>
      <c r="F543" s="29" t="s">
        <v>7101</v>
      </c>
      <c r="G543" s="29" t="s">
        <v>7053</v>
      </c>
      <c r="H543" s="38" t="s">
        <v>7047</v>
      </c>
      <c r="I543" s="30">
        <v>45658.0</v>
      </c>
      <c r="J543" s="30">
        <v>46022.0</v>
      </c>
      <c r="K543" s="29" t="s">
        <v>7104</v>
      </c>
      <c r="L543" s="29" t="s">
        <v>7053</v>
      </c>
      <c r="M543" s="38" t="s">
        <v>7047</v>
      </c>
      <c r="N543" s="30">
        <v>46023.0</v>
      </c>
      <c r="O543" s="30">
        <v>46387.0</v>
      </c>
      <c r="P543" s="29" t="s">
        <v>7053</v>
      </c>
      <c r="Q543" s="29" t="s">
        <v>7053</v>
      </c>
      <c r="R543" s="32" t="s">
        <v>7043</v>
      </c>
      <c r="S543" s="30">
        <v>46388.0</v>
      </c>
      <c r="T543" s="30">
        <v>46752.0</v>
      </c>
      <c r="U543" s="29" t="s">
        <v>7053</v>
      </c>
      <c r="V543" s="29" t="s">
        <v>7053</v>
      </c>
      <c r="W543" s="32" t="s">
        <v>7043</v>
      </c>
      <c r="X543" s="30">
        <v>46753.0</v>
      </c>
      <c r="Y543" s="30">
        <v>47118.0</v>
      </c>
      <c r="Z543" s="29" t="s">
        <v>7053</v>
      </c>
      <c r="AA543" s="29" t="s">
        <v>7053</v>
      </c>
      <c r="AB543" s="32" t="s">
        <v>7043</v>
      </c>
      <c r="AC543" s="30">
        <v>47119.0</v>
      </c>
      <c r="AD543" s="30">
        <v>47483.0</v>
      </c>
      <c r="AE543" s="29" t="s">
        <v>7053</v>
      </c>
      <c r="AF543" s="29" t="s">
        <v>7053</v>
      </c>
      <c r="AG543" s="32" t="s">
        <v>7043</v>
      </c>
      <c r="AH543" s="30">
        <v>47484.0</v>
      </c>
      <c r="AI543" s="30">
        <v>47848.0</v>
      </c>
      <c r="AJ543" s="29" t="s">
        <v>7053</v>
      </c>
      <c r="AK543" s="29" t="s">
        <v>7053</v>
      </c>
      <c r="AL543" s="32" t="s">
        <v>7043</v>
      </c>
    </row>
    <row r="544" ht="14.25" customHeight="1">
      <c r="A544" s="28" t="s">
        <v>3459</v>
      </c>
      <c r="B544" s="29" t="s">
        <v>3460</v>
      </c>
      <c r="C544" s="29" t="s">
        <v>7041</v>
      </c>
      <c r="D544" s="30">
        <v>45292.0</v>
      </c>
      <c r="E544" s="30">
        <v>45657.0</v>
      </c>
      <c r="F544" s="29" t="s">
        <v>7086</v>
      </c>
      <c r="G544" s="29" t="s">
        <v>7053</v>
      </c>
      <c r="H544" s="38" t="s">
        <v>7047</v>
      </c>
      <c r="I544" s="30">
        <v>45658.0</v>
      </c>
      <c r="J544" s="30">
        <v>46022.0</v>
      </c>
      <c r="K544" s="29" t="s">
        <v>7064</v>
      </c>
      <c r="L544" s="29" t="s">
        <v>7053</v>
      </c>
      <c r="M544" s="38" t="s">
        <v>7047</v>
      </c>
      <c r="N544" s="30">
        <v>46023.0</v>
      </c>
      <c r="O544" s="30">
        <v>46387.0</v>
      </c>
      <c r="P544" s="29" t="s">
        <v>7053</v>
      </c>
      <c r="Q544" s="29" t="s">
        <v>7053</v>
      </c>
      <c r="R544" s="32" t="s">
        <v>7043</v>
      </c>
      <c r="S544" s="30">
        <v>46388.0</v>
      </c>
      <c r="T544" s="30">
        <v>46752.0</v>
      </c>
      <c r="U544" s="29" t="s">
        <v>7053</v>
      </c>
      <c r="V544" s="29" t="s">
        <v>7053</v>
      </c>
      <c r="W544" s="32" t="s">
        <v>7043</v>
      </c>
      <c r="X544" s="30">
        <v>46753.0</v>
      </c>
      <c r="Y544" s="30">
        <v>47118.0</v>
      </c>
      <c r="Z544" s="29" t="s">
        <v>7053</v>
      </c>
      <c r="AA544" s="29" t="s">
        <v>7053</v>
      </c>
      <c r="AB544" s="32" t="s">
        <v>7043</v>
      </c>
      <c r="AC544" s="30">
        <v>47119.0</v>
      </c>
      <c r="AD544" s="30">
        <v>47483.0</v>
      </c>
      <c r="AE544" s="29" t="s">
        <v>7053</v>
      </c>
      <c r="AF544" s="29" t="s">
        <v>7053</v>
      </c>
      <c r="AG544" s="32" t="s">
        <v>7043</v>
      </c>
      <c r="AH544" s="30">
        <v>47484.0</v>
      </c>
      <c r="AI544" s="30">
        <v>47848.0</v>
      </c>
      <c r="AJ544" s="29" t="s">
        <v>7053</v>
      </c>
      <c r="AK544" s="29" t="s">
        <v>7053</v>
      </c>
      <c r="AL544" s="32" t="s">
        <v>7043</v>
      </c>
    </row>
    <row r="545" ht="14.25" customHeight="1">
      <c r="A545" s="28" t="s">
        <v>3503</v>
      </c>
      <c r="B545" s="29" t="s">
        <v>3504</v>
      </c>
      <c r="C545" s="29" t="s">
        <v>7041</v>
      </c>
      <c r="D545" s="30">
        <v>45292.0</v>
      </c>
      <c r="E545" s="30">
        <v>45657.0</v>
      </c>
      <c r="F545" s="29" t="s">
        <v>7176</v>
      </c>
      <c r="G545" s="29" t="s">
        <v>7053</v>
      </c>
      <c r="H545" s="38" t="s">
        <v>7047</v>
      </c>
      <c r="I545" s="30">
        <v>45658.0</v>
      </c>
      <c r="J545" s="30">
        <v>46022.0</v>
      </c>
      <c r="K545" s="29" t="s">
        <v>7166</v>
      </c>
      <c r="L545" s="29" t="s">
        <v>7053</v>
      </c>
      <c r="M545" s="38" t="s">
        <v>7047</v>
      </c>
      <c r="N545" s="30">
        <v>46023.0</v>
      </c>
      <c r="O545" s="30">
        <v>46387.0</v>
      </c>
      <c r="P545" s="29" t="s">
        <v>7053</v>
      </c>
      <c r="Q545" s="29" t="s">
        <v>7053</v>
      </c>
      <c r="R545" s="32" t="s">
        <v>7043</v>
      </c>
      <c r="S545" s="30">
        <v>46388.0</v>
      </c>
      <c r="T545" s="30">
        <v>46752.0</v>
      </c>
      <c r="U545" s="29" t="s">
        <v>7053</v>
      </c>
      <c r="V545" s="29" t="s">
        <v>7053</v>
      </c>
      <c r="W545" s="32" t="s">
        <v>7043</v>
      </c>
      <c r="X545" s="30">
        <v>46753.0</v>
      </c>
      <c r="Y545" s="30">
        <v>47118.0</v>
      </c>
      <c r="Z545" s="29" t="s">
        <v>7053</v>
      </c>
      <c r="AA545" s="29" t="s">
        <v>7053</v>
      </c>
      <c r="AB545" s="32" t="s">
        <v>7043</v>
      </c>
      <c r="AC545" s="30">
        <v>47119.0</v>
      </c>
      <c r="AD545" s="30">
        <v>47483.0</v>
      </c>
      <c r="AE545" s="29" t="s">
        <v>7053</v>
      </c>
      <c r="AF545" s="29" t="s">
        <v>7053</v>
      </c>
      <c r="AG545" s="32" t="s">
        <v>7043</v>
      </c>
      <c r="AH545" s="30">
        <v>47484.0</v>
      </c>
      <c r="AI545" s="30">
        <v>47848.0</v>
      </c>
      <c r="AJ545" s="29" t="s">
        <v>7053</v>
      </c>
      <c r="AK545" s="29" t="s">
        <v>7053</v>
      </c>
      <c r="AL545" s="32" t="s">
        <v>7043</v>
      </c>
    </row>
    <row r="546" ht="14.25" customHeight="1">
      <c r="A546" s="28" t="s">
        <v>3881</v>
      </c>
      <c r="B546" s="29" t="s">
        <v>3882</v>
      </c>
      <c r="C546" s="29" t="s">
        <v>7041</v>
      </c>
      <c r="D546" s="30">
        <v>45292.0</v>
      </c>
      <c r="E546" s="30">
        <v>45657.0</v>
      </c>
      <c r="F546" s="29" t="s">
        <v>7095</v>
      </c>
      <c r="G546" s="29" t="s">
        <v>7053</v>
      </c>
      <c r="H546" s="38" t="s">
        <v>7047</v>
      </c>
      <c r="I546" s="30">
        <v>45658.0</v>
      </c>
      <c r="J546" s="30">
        <v>46022.0</v>
      </c>
      <c r="K546" s="29" t="s">
        <v>7096</v>
      </c>
      <c r="L546" s="29" t="s">
        <v>7053</v>
      </c>
      <c r="M546" s="38" t="s">
        <v>7047</v>
      </c>
      <c r="N546" s="30">
        <v>46023.0</v>
      </c>
      <c r="O546" s="30">
        <v>46387.0</v>
      </c>
      <c r="P546" s="29" t="s">
        <v>7053</v>
      </c>
      <c r="Q546" s="29" t="s">
        <v>7053</v>
      </c>
      <c r="R546" s="32" t="s">
        <v>7043</v>
      </c>
      <c r="S546" s="30">
        <v>46388.0</v>
      </c>
      <c r="T546" s="30">
        <v>46752.0</v>
      </c>
      <c r="U546" s="29" t="s">
        <v>7053</v>
      </c>
      <c r="V546" s="29" t="s">
        <v>7053</v>
      </c>
      <c r="W546" s="32" t="s">
        <v>7043</v>
      </c>
      <c r="X546" s="30">
        <v>46753.0</v>
      </c>
      <c r="Y546" s="30">
        <v>47118.0</v>
      </c>
      <c r="Z546" s="29" t="s">
        <v>7053</v>
      </c>
      <c r="AA546" s="29" t="s">
        <v>7053</v>
      </c>
      <c r="AB546" s="32" t="s">
        <v>7043</v>
      </c>
      <c r="AC546" s="30">
        <v>47119.0</v>
      </c>
      <c r="AD546" s="30">
        <v>47483.0</v>
      </c>
      <c r="AE546" s="29" t="s">
        <v>7053</v>
      </c>
      <c r="AF546" s="29" t="s">
        <v>7053</v>
      </c>
      <c r="AG546" s="32" t="s">
        <v>7043</v>
      </c>
      <c r="AH546" s="30">
        <v>47484.0</v>
      </c>
      <c r="AI546" s="30">
        <v>47848.0</v>
      </c>
      <c r="AJ546" s="29" t="s">
        <v>7053</v>
      </c>
      <c r="AK546" s="29" t="s">
        <v>7053</v>
      </c>
      <c r="AL546" s="32" t="s">
        <v>7043</v>
      </c>
    </row>
    <row r="547" ht="14.25" customHeight="1">
      <c r="A547" s="28" t="s">
        <v>4711</v>
      </c>
      <c r="B547" s="29" t="s">
        <v>4712</v>
      </c>
      <c r="C547" s="29" t="s">
        <v>7041</v>
      </c>
      <c r="D547" s="30">
        <v>45292.0</v>
      </c>
      <c r="E547" s="30">
        <v>45657.0</v>
      </c>
      <c r="F547" s="29" t="s">
        <v>7052</v>
      </c>
      <c r="G547" s="29" t="s">
        <v>7053</v>
      </c>
      <c r="H547" s="38" t="s">
        <v>7047</v>
      </c>
      <c r="I547" s="30">
        <v>45658.0</v>
      </c>
      <c r="J547" s="30">
        <v>46022.0</v>
      </c>
      <c r="K547" s="29" t="s">
        <v>7095</v>
      </c>
      <c r="L547" s="29" t="s">
        <v>7053</v>
      </c>
      <c r="M547" s="38" t="s">
        <v>7047</v>
      </c>
      <c r="N547" s="30">
        <v>46023.0</v>
      </c>
      <c r="O547" s="30">
        <v>46387.0</v>
      </c>
      <c r="P547" s="29" t="s">
        <v>7053</v>
      </c>
      <c r="Q547" s="29" t="s">
        <v>7053</v>
      </c>
      <c r="R547" s="32" t="s">
        <v>7043</v>
      </c>
      <c r="S547" s="30">
        <v>46388.0</v>
      </c>
      <c r="T547" s="30">
        <v>46752.0</v>
      </c>
      <c r="U547" s="29" t="s">
        <v>7053</v>
      </c>
      <c r="V547" s="29" t="s">
        <v>7053</v>
      </c>
      <c r="W547" s="32" t="s">
        <v>7043</v>
      </c>
      <c r="X547" s="30">
        <v>46753.0</v>
      </c>
      <c r="Y547" s="30">
        <v>47118.0</v>
      </c>
      <c r="Z547" s="29" t="s">
        <v>7053</v>
      </c>
      <c r="AA547" s="29" t="s">
        <v>7053</v>
      </c>
      <c r="AB547" s="32" t="s">
        <v>7043</v>
      </c>
      <c r="AC547" s="30">
        <v>47119.0</v>
      </c>
      <c r="AD547" s="30">
        <v>47483.0</v>
      </c>
      <c r="AE547" s="29" t="s">
        <v>7053</v>
      </c>
      <c r="AF547" s="29" t="s">
        <v>7053</v>
      </c>
      <c r="AG547" s="32" t="s">
        <v>7043</v>
      </c>
      <c r="AH547" s="30">
        <v>47484.0</v>
      </c>
      <c r="AI547" s="30">
        <v>47848.0</v>
      </c>
      <c r="AJ547" s="29" t="s">
        <v>7053</v>
      </c>
      <c r="AK547" s="29" t="s">
        <v>7053</v>
      </c>
      <c r="AL547" s="32" t="s">
        <v>7043</v>
      </c>
    </row>
    <row r="548" ht="14.25" customHeight="1">
      <c r="A548" s="28" t="s">
        <v>4838</v>
      </c>
      <c r="B548" s="29" t="s">
        <v>4839</v>
      </c>
      <c r="C548" s="29" t="s">
        <v>7041</v>
      </c>
      <c r="D548" s="30">
        <v>45292.0</v>
      </c>
      <c r="E548" s="30">
        <v>45657.0</v>
      </c>
      <c r="F548" s="29" t="s">
        <v>7119</v>
      </c>
      <c r="G548" s="29" t="s">
        <v>7053</v>
      </c>
      <c r="H548" s="38" t="s">
        <v>7047</v>
      </c>
      <c r="I548" s="30">
        <v>45658.0</v>
      </c>
      <c r="J548" s="30">
        <v>46022.0</v>
      </c>
      <c r="K548" s="29" t="s">
        <v>7058</v>
      </c>
      <c r="L548" s="29" t="s">
        <v>7053</v>
      </c>
      <c r="M548" s="38" t="s">
        <v>7047</v>
      </c>
      <c r="N548" s="30">
        <v>46023.0</v>
      </c>
      <c r="O548" s="30">
        <v>46387.0</v>
      </c>
      <c r="P548" s="29" t="s">
        <v>7053</v>
      </c>
      <c r="Q548" s="29" t="s">
        <v>7053</v>
      </c>
      <c r="R548" s="32" t="s">
        <v>7043</v>
      </c>
      <c r="S548" s="30">
        <v>46388.0</v>
      </c>
      <c r="T548" s="30">
        <v>46752.0</v>
      </c>
      <c r="U548" s="29" t="s">
        <v>7053</v>
      </c>
      <c r="V548" s="29" t="s">
        <v>7053</v>
      </c>
      <c r="W548" s="32" t="s">
        <v>7043</v>
      </c>
      <c r="X548" s="30">
        <v>46753.0</v>
      </c>
      <c r="Y548" s="30">
        <v>47118.0</v>
      </c>
      <c r="Z548" s="29" t="s">
        <v>7053</v>
      </c>
      <c r="AA548" s="29" t="s">
        <v>7053</v>
      </c>
      <c r="AB548" s="32" t="s">
        <v>7043</v>
      </c>
      <c r="AC548" s="30">
        <v>47119.0</v>
      </c>
      <c r="AD548" s="30">
        <v>47483.0</v>
      </c>
      <c r="AE548" s="29" t="s">
        <v>7053</v>
      </c>
      <c r="AF548" s="29" t="s">
        <v>7053</v>
      </c>
      <c r="AG548" s="32" t="s">
        <v>7043</v>
      </c>
      <c r="AH548" s="30">
        <v>47484.0</v>
      </c>
      <c r="AI548" s="30">
        <v>47848.0</v>
      </c>
      <c r="AJ548" s="29" t="s">
        <v>7053</v>
      </c>
      <c r="AK548" s="29" t="s">
        <v>7053</v>
      </c>
      <c r="AL548" s="32" t="s">
        <v>7043</v>
      </c>
    </row>
    <row r="549" ht="14.25" customHeight="1">
      <c r="A549" s="28" t="s">
        <v>5281</v>
      </c>
      <c r="B549" s="29" t="s">
        <v>5282</v>
      </c>
      <c r="C549" s="29" t="s">
        <v>7041</v>
      </c>
      <c r="D549" s="30">
        <v>45292.0</v>
      </c>
      <c r="E549" s="30">
        <v>45657.0</v>
      </c>
      <c r="F549" s="29" t="s">
        <v>7097</v>
      </c>
      <c r="G549" s="29" t="s">
        <v>7053</v>
      </c>
      <c r="H549" s="38" t="s">
        <v>7047</v>
      </c>
      <c r="I549" s="30">
        <v>45658.0</v>
      </c>
      <c r="J549" s="30">
        <v>46022.0</v>
      </c>
      <c r="K549" s="29" t="s">
        <v>7097</v>
      </c>
      <c r="L549" s="29" t="s">
        <v>7053</v>
      </c>
      <c r="M549" s="38" t="s">
        <v>7047</v>
      </c>
      <c r="N549" s="30">
        <v>46023.0</v>
      </c>
      <c r="O549" s="30">
        <v>46387.0</v>
      </c>
      <c r="P549" s="29" t="s">
        <v>7053</v>
      </c>
      <c r="Q549" s="29" t="s">
        <v>7053</v>
      </c>
      <c r="R549" s="32" t="s">
        <v>7043</v>
      </c>
      <c r="S549" s="30">
        <v>46388.0</v>
      </c>
      <c r="T549" s="30">
        <v>46752.0</v>
      </c>
      <c r="U549" s="29" t="s">
        <v>7053</v>
      </c>
      <c r="V549" s="29" t="s">
        <v>7053</v>
      </c>
      <c r="W549" s="32" t="s">
        <v>7043</v>
      </c>
      <c r="X549" s="30">
        <v>46753.0</v>
      </c>
      <c r="Y549" s="30">
        <v>47118.0</v>
      </c>
      <c r="Z549" s="29" t="s">
        <v>7053</v>
      </c>
      <c r="AA549" s="29" t="s">
        <v>7053</v>
      </c>
      <c r="AB549" s="32" t="s">
        <v>7043</v>
      </c>
      <c r="AC549" s="30">
        <v>47119.0</v>
      </c>
      <c r="AD549" s="30">
        <v>47483.0</v>
      </c>
      <c r="AE549" s="29" t="s">
        <v>7053</v>
      </c>
      <c r="AF549" s="29" t="s">
        <v>7053</v>
      </c>
      <c r="AG549" s="32" t="s">
        <v>7043</v>
      </c>
      <c r="AH549" s="30">
        <v>47484.0</v>
      </c>
      <c r="AI549" s="30">
        <v>47848.0</v>
      </c>
      <c r="AJ549" s="29" t="s">
        <v>7053</v>
      </c>
      <c r="AK549" s="29" t="s">
        <v>7053</v>
      </c>
      <c r="AL549" s="32" t="s">
        <v>7043</v>
      </c>
    </row>
    <row r="550" ht="14.25" customHeight="1">
      <c r="A550" s="28" t="s">
        <v>5787</v>
      </c>
      <c r="B550" s="29" t="s">
        <v>5788</v>
      </c>
      <c r="C550" s="29" t="s">
        <v>7041</v>
      </c>
      <c r="D550" s="30">
        <v>45292.0</v>
      </c>
      <c r="E550" s="30">
        <v>45657.0</v>
      </c>
      <c r="F550" s="29" t="s">
        <v>7070</v>
      </c>
      <c r="G550" s="29" t="s">
        <v>7053</v>
      </c>
      <c r="H550" s="38" t="s">
        <v>7047</v>
      </c>
      <c r="I550" s="30">
        <v>45658.0</v>
      </c>
      <c r="J550" s="30">
        <v>46022.0</v>
      </c>
      <c r="K550" s="29" t="s">
        <v>7097</v>
      </c>
      <c r="L550" s="29" t="s">
        <v>7053</v>
      </c>
      <c r="M550" s="38" t="s">
        <v>7047</v>
      </c>
      <c r="N550" s="30">
        <v>46023.0</v>
      </c>
      <c r="O550" s="30">
        <v>46387.0</v>
      </c>
      <c r="P550" s="29" t="s">
        <v>7053</v>
      </c>
      <c r="Q550" s="29" t="s">
        <v>7053</v>
      </c>
      <c r="R550" s="32" t="s">
        <v>7043</v>
      </c>
      <c r="S550" s="30">
        <v>46388.0</v>
      </c>
      <c r="T550" s="30">
        <v>46752.0</v>
      </c>
      <c r="U550" s="29" t="s">
        <v>7053</v>
      </c>
      <c r="V550" s="29" t="s">
        <v>7053</v>
      </c>
      <c r="W550" s="32" t="s">
        <v>7043</v>
      </c>
      <c r="X550" s="30">
        <v>46753.0</v>
      </c>
      <c r="Y550" s="30">
        <v>47118.0</v>
      </c>
      <c r="Z550" s="29" t="s">
        <v>7053</v>
      </c>
      <c r="AA550" s="29" t="s">
        <v>7053</v>
      </c>
      <c r="AB550" s="32" t="s">
        <v>7043</v>
      </c>
      <c r="AC550" s="30">
        <v>47119.0</v>
      </c>
      <c r="AD550" s="30">
        <v>47483.0</v>
      </c>
      <c r="AE550" s="29" t="s">
        <v>7053</v>
      </c>
      <c r="AF550" s="29" t="s">
        <v>7053</v>
      </c>
      <c r="AG550" s="32" t="s">
        <v>7043</v>
      </c>
      <c r="AH550" s="30">
        <v>47484.0</v>
      </c>
      <c r="AI550" s="30">
        <v>47848.0</v>
      </c>
      <c r="AJ550" s="29" t="s">
        <v>7053</v>
      </c>
      <c r="AK550" s="29" t="s">
        <v>7053</v>
      </c>
      <c r="AL550" s="32" t="s">
        <v>7043</v>
      </c>
    </row>
    <row r="551" ht="14.25" customHeight="1">
      <c r="A551" s="28" t="s">
        <v>5825</v>
      </c>
      <c r="B551" s="29" t="s">
        <v>5826</v>
      </c>
      <c r="C551" s="29" t="s">
        <v>7041</v>
      </c>
      <c r="D551" s="30">
        <v>45292.0</v>
      </c>
      <c r="E551" s="30">
        <v>45657.0</v>
      </c>
      <c r="F551" s="29" t="s">
        <v>7053</v>
      </c>
      <c r="G551" s="29" t="s">
        <v>7053</v>
      </c>
      <c r="H551" s="35" t="s">
        <v>7045</v>
      </c>
      <c r="I551" s="30">
        <v>45658.0</v>
      </c>
      <c r="J551" s="30">
        <v>46022.0</v>
      </c>
      <c r="K551" s="29" t="s">
        <v>7053</v>
      </c>
      <c r="L551" s="29" t="s">
        <v>7053</v>
      </c>
      <c r="M551" s="35" t="s">
        <v>7045</v>
      </c>
      <c r="N551" s="30">
        <v>46023.0</v>
      </c>
      <c r="O551" s="30">
        <v>46387.0</v>
      </c>
      <c r="P551" s="29" t="s">
        <v>7053</v>
      </c>
      <c r="Q551" s="29" t="s">
        <v>7053</v>
      </c>
      <c r="R551" s="35" t="s">
        <v>7045</v>
      </c>
      <c r="S551" s="30">
        <v>46388.0</v>
      </c>
      <c r="T551" s="30">
        <v>46752.0</v>
      </c>
      <c r="U551" s="29" t="s">
        <v>7053</v>
      </c>
      <c r="V551" s="29" t="s">
        <v>7053</v>
      </c>
      <c r="W551" s="35" t="s">
        <v>7045</v>
      </c>
      <c r="X551" s="30">
        <v>46753.0</v>
      </c>
      <c r="Y551" s="30">
        <v>47118.0</v>
      </c>
      <c r="Z551" s="29" t="s">
        <v>7053</v>
      </c>
      <c r="AA551" s="29" t="s">
        <v>7053</v>
      </c>
      <c r="AB551" s="35" t="s">
        <v>7045</v>
      </c>
      <c r="AC551" s="30">
        <v>47119.0</v>
      </c>
      <c r="AD551" s="30">
        <v>47483.0</v>
      </c>
      <c r="AE551" s="29" t="s">
        <v>7053</v>
      </c>
      <c r="AF551" s="29" t="s">
        <v>7053</v>
      </c>
      <c r="AG551" s="35" t="s">
        <v>7045</v>
      </c>
      <c r="AH551" s="30">
        <v>47484.0</v>
      </c>
      <c r="AI551" s="30">
        <v>47848.0</v>
      </c>
      <c r="AJ551" s="29" t="s">
        <v>7053</v>
      </c>
      <c r="AK551" s="29" t="s">
        <v>7053</v>
      </c>
      <c r="AL551" s="35" t="s">
        <v>7045</v>
      </c>
    </row>
    <row r="552" ht="14.25" customHeight="1">
      <c r="A552" s="28" t="s">
        <v>6026</v>
      </c>
      <c r="B552" s="29" t="s">
        <v>6027</v>
      </c>
      <c r="C552" s="29" t="s">
        <v>7041</v>
      </c>
      <c r="D552" s="30">
        <v>45292.0</v>
      </c>
      <c r="E552" s="30">
        <v>45657.0</v>
      </c>
      <c r="F552" s="29" t="s">
        <v>7068</v>
      </c>
      <c r="G552" s="29" t="s">
        <v>7053</v>
      </c>
      <c r="H552" s="38" t="s">
        <v>7047</v>
      </c>
      <c r="I552" s="30">
        <v>45658.0</v>
      </c>
      <c r="J552" s="30">
        <v>46022.0</v>
      </c>
      <c r="K552" s="29" t="s">
        <v>7062</v>
      </c>
      <c r="L552" s="29" t="s">
        <v>7053</v>
      </c>
      <c r="M552" s="38" t="s">
        <v>7047</v>
      </c>
      <c r="N552" s="30">
        <v>46023.0</v>
      </c>
      <c r="O552" s="30">
        <v>46387.0</v>
      </c>
      <c r="P552" s="29" t="s">
        <v>7053</v>
      </c>
      <c r="Q552" s="29" t="s">
        <v>7053</v>
      </c>
      <c r="R552" s="32" t="s">
        <v>7043</v>
      </c>
      <c r="S552" s="30">
        <v>46388.0</v>
      </c>
      <c r="T552" s="30">
        <v>46752.0</v>
      </c>
      <c r="U552" s="29" t="s">
        <v>7053</v>
      </c>
      <c r="V552" s="29" t="s">
        <v>7053</v>
      </c>
      <c r="W552" s="32" t="s">
        <v>7043</v>
      </c>
      <c r="X552" s="30">
        <v>46753.0</v>
      </c>
      <c r="Y552" s="30">
        <v>47118.0</v>
      </c>
      <c r="Z552" s="29" t="s">
        <v>7053</v>
      </c>
      <c r="AA552" s="29" t="s">
        <v>7053</v>
      </c>
      <c r="AB552" s="32" t="s">
        <v>7043</v>
      </c>
      <c r="AC552" s="30">
        <v>47119.0</v>
      </c>
      <c r="AD552" s="30">
        <v>47483.0</v>
      </c>
      <c r="AE552" s="29" t="s">
        <v>7053</v>
      </c>
      <c r="AF552" s="29" t="s">
        <v>7053</v>
      </c>
      <c r="AG552" s="32" t="s">
        <v>7043</v>
      </c>
      <c r="AH552" s="30">
        <v>47484.0</v>
      </c>
      <c r="AI552" s="30">
        <v>47848.0</v>
      </c>
      <c r="AJ552" s="29" t="s">
        <v>7053</v>
      </c>
      <c r="AK552" s="29" t="s">
        <v>7053</v>
      </c>
      <c r="AL552" s="32" t="s">
        <v>7043</v>
      </c>
    </row>
    <row r="553" ht="14.25" customHeight="1">
      <c r="A553" s="28" t="s">
        <v>6583</v>
      </c>
      <c r="B553" s="29" t="s">
        <v>6584</v>
      </c>
      <c r="C553" s="29" t="s">
        <v>7041</v>
      </c>
      <c r="D553" s="30">
        <v>45292.0</v>
      </c>
      <c r="E553" s="30">
        <v>45657.0</v>
      </c>
      <c r="F553" s="29" t="s">
        <v>7053</v>
      </c>
      <c r="G553" s="29" t="s">
        <v>7053</v>
      </c>
      <c r="H553" s="35" t="s">
        <v>7045</v>
      </c>
      <c r="I553" s="30">
        <v>45658.0</v>
      </c>
      <c r="J553" s="30">
        <v>46022.0</v>
      </c>
      <c r="K553" s="29" t="s">
        <v>7053</v>
      </c>
      <c r="L553" s="29" t="s">
        <v>7053</v>
      </c>
      <c r="M553" s="35" t="s">
        <v>7045</v>
      </c>
      <c r="N553" s="30">
        <v>46023.0</v>
      </c>
      <c r="O553" s="30">
        <v>46387.0</v>
      </c>
      <c r="P553" s="29" t="s">
        <v>7053</v>
      </c>
      <c r="Q553" s="29" t="s">
        <v>7053</v>
      </c>
      <c r="R553" s="35" t="s">
        <v>7045</v>
      </c>
      <c r="S553" s="30">
        <v>46388.0</v>
      </c>
      <c r="T553" s="30">
        <v>46752.0</v>
      </c>
      <c r="U553" s="29" t="s">
        <v>7053</v>
      </c>
      <c r="V553" s="29" t="s">
        <v>7053</v>
      </c>
      <c r="W553" s="35" t="s">
        <v>7045</v>
      </c>
      <c r="X553" s="30">
        <v>46753.0</v>
      </c>
      <c r="Y553" s="30">
        <v>47118.0</v>
      </c>
      <c r="Z553" s="29" t="s">
        <v>7053</v>
      </c>
      <c r="AA553" s="29" t="s">
        <v>7053</v>
      </c>
      <c r="AB553" s="35" t="s">
        <v>7045</v>
      </c>
      <c r="AC553" s="30">
        <v>47119.0</v>
      </c>
      <c r="AD553" s="30">
        <v>47483.0</v>
      </c>
      <c r="AE553" s="29" t="s">
        <v>7053</v>
      </c>
      <c r="AF553" s="29" t="s">
        <v>7053</v>
      </c>
      <c r="AG553" s="35" t="s">
        <v>7045</v>
      </c>
      <c r="AH553" s="30">
        <v>47484.0</v>
      </c>
      <c r="AI553" s="30">
        <v>47848.0</v>
      </c>
      <c r="AJ553" s="29" t="s">
        <v>7053</v>
      </c>
      <c r="AK553" s="29" t="s">
        <v>7053</v>
      </c>
      <c r="AL553" s="35" t="s">
        <v>7045</v>
      </c>
    </row>
    <row r="554" ht="14.25" customHeight="1">
      <c r="A554" s="28" t="s">
        <v>3357</v>
      </c>
      <c r="B554" s="29" t="s">
        <v>3358</v>
      </c>
      <c r="C554" s="29" t="s">
        <v>7041</v>
      </c>
      <c r="D554" s="30">
        <v>45292.0</v>
      </c>
      <c r="E554" s="30">
        <v>45657.0</v>
      </c>
      <c r="F554" s="29" t="s">
        <v>7053</v>
      </c>
      <c r="G554" s="29" t="s">
        <v>7053</v>
      </c>
      <c r="H554" s="32" t="s">
        <v>7043</v>
      </c>
      <c r="I554" s="30">
        <v>45658.0</v>
      </c>
      <c r="J554" s="30">
        <v>46022.0</v>
      </c>
      <c r="K554" s="29" t="s">
        <v>7097</v>
      </c>
      <c r="L554" s="29" t="s">
        <v>7062</v>
      </c>
      <c r="M554" s="38" t="s">
        <v>7047</v>
      </c>
      <c r="N554" s="30">
        <v>46023.0</v>
      </c>
      <c r="O554" s="30">
        <v>46387.0</v>
      </c>
      <c r="P554" s="29" t="s">
        <v>7053</v>
      </c>
      <c r="Q554" s="29" t="s">
        <v>7053</v>
      </c>
      <c r="R554" s="32" t="s">
        <v>7043</v>
      </c>
      <c r="S554" s="30">
        <v>46388.0</v>
      </c>
      <c r="T554" s="30">
        <v>46752.0</v>
      </c>
      <c r="U554" s="29" t="s">
        <v>7053</v>
      </c>
      <c r="V554" s="29" t="s">
        <v>7053</v>
      </c>
      <c r="W554" s="32" t="s">
        <v>7043</v>
      </c>
      <c r="X554" s="30">
        <v>46753.0</v>
      </c>
      <c r="Y554" s="30">
        <v>47118.0</v>
      </c>
      <c r="Z554" s="29" t="s">
        <v>7053</v>
      </c>
      <c r="AA554" s="29" t="s">
        <v>7053</v>
      </c>
      <c r="AB554" s="32" t="s">
        <v>7043</v>
      </c>
      <c r="AC554" s="30">
        <v>47119.0</v>
      </c>
      <c r="AD554" s="30">
        <v>47483.0</v>
      </c>
      <c r="AE554" s="29" t="s">
        <v>7053</v>
      </c>
      <c r="AF554" s="29" t="s">
        <v>7053</v>
      </c>
      <c r="AG554" s="32" t="s">
        <v>7043</v>
      </c>
      <c r="AH554" s="30">
        <v>47484.0</v>
      </c>
      <c r="AI554" s="30">
        <v>47848.0</v>
      </c>
      <c r="AJ554" s="29" t="s">
        <v>7053</v>
      </c>
      <c r="AK554" s="29" t="s">
        <v>7053</v>
      </c>
      <c r="AL554" s="32" t="s">
        <v>7043</v>
      </c>
    </row>
    <row r="555" ht="14.25" customHeight="1">
      <c r="A555" s="28" t="s">
        <v>2471</v>
      </c>
      <c r="B555" s="29" t="s">
        <v>2472</v>
      </c>
      <c r="C555" s="29" t="s">
        <v>7041</v>
      </c>
      <c r="D555" s="30">
        <v>45292.0</v>
      </c>
      <c r="E555" s="30">
        <v>45657.0</v>
      </c>
      <c r="F555" s="29" t="s">
        <v>7053</v>
      </c>
      <c r="G555" s="29" t="s">
        <v>7053</v>
      </c>
      <c r="H555" s="32" t="s">
        <v>7043</v>
      </c>
      <c r="I555" s="30">
        <v>45658.0</v>
      </c>
      <c r="J555" s="30">
        <v>46022.0</v>
      </c>
      <c r="K555" s="29" t="s">
        <v>7089</v>
      </c>
      <c r="L555" s="29" t="s">
        <v>7053</v>
      </c>
      <c r="M555" s="38" t="s">
        <v>7047</v>
      </c>
      <c r="N555" s="30">
        <v>46023.0</v>
      </c>
      <c r="O555" s="30">
        <v>46387.0</v>
      </c>
      <c r="P555" s="29" t="s">
        <v>7053</v>
      </c>
      <c r="Q555" s="29" t="s">
        <v>7053</v>
      </c>
      <c r="R555" s="32" t="s">
        <v>7043</v>
      </c>
      <c r="S555" s="30">
        <v>46388.0</v>
      </c>
      <c r="T555" s="30">
        <v>46752.0</v>
      </c>
      <c r="U555" s="29" t="s">
        <v>7053</v>
      </c>
      <c r="V555" s="29" t="s">
        <v>7053</v>
      </c>
      <c r="W555" s="32" t="s">
        <v>7043</v>
      </c>
      <c r="X555" s="30">
        <v>46753.0</v>
      </c>
      <c r="Y555" s="30">
        <v>47118.0</v>
      </c>
      <c r="Z555" s="29" t="s">
        <v>7053</v>
      </c>
      <c r="AA555" s="29" t="s">
        <v>7053</v>
      </c>
      <c r="AB555" s="32" t="s">
        <v>7043</v>
      </c>
      <c r="AC555" s="30">
        <v>47119.0</v>
      </c>
      <c r="AD555" s="30">
        <v>47483.0</v>
      </c>
      <c r="AE555" s="29" t="s">
        <v>7053</v>
      </c>
      <c r="AF555" s="29" t="s">
        <v>7053</v>
      </c>
      <c r="AG555" s="32" t="s">
        <v>7043</v>
      </c>
      <c r="AH555" s="30">
        <v>47484.0</v>
      </c>
      <c r="AI555" s="30">
        <v>47848.0</v>
      </c>
      <c r="AJ555" s="29" t="s">
        <v>7053</v>
      </c>
      <c r="AK555" s="29" t="s">
        <v>7053</v>
      </c>
      <c r="AL555" s="32" t="s">
        <v>7043</v>
      </c>
    </row>
    <row r="556" ht="14.25" customHeight="1">
      <c r="A556" s="28" t="s">
        <v>1188</v>
      </c>
      <c r="B556" s="29" t="s">
        <v>1189</v>
      </c>
      <c r="C556" s="29" t="s">
        <v>7041</v>
      </c>
      <c r="D556" s="30">
        <v>45292.0</v>
      </c>
      <c r="E556" s="30">
        <v>45657.0</v>
      </c>
      <c r="F556" s="29" t="s">
        <v>7053</v>
      </c>
      <c r="G556" s="29" t="s">
        <v>7053</v>
      </c>
      <c r="H556" s="32" t="s">
        <v>7043</v>
      </c>
      <c r="I556" s="30">
        <v>45658.0</v>
      </c>
      <c r="J556" s="30">
        <v>46022.0</v>
      </c>
      <c r="K556" s="29" t="s">
        <v>7096</v>
      </c>
      <c r="L556" s="29" t="s">
        <v>7053</v>
      </c>
      <c r="M556" s="38" t="s">
        <v>7047</v>
      </c>
      <c r="N556" s="30">
        <v>46023.0</v>
      </c>
      <c r="O556" s="30">
        <v>46387.0</v>
      </c>
      <c r="P556" s="29" t="s">
        <v>7053</v>
      </c>
      <c r="Q556" s="29" t="s">
        <v>7053</v>
      </c>
      <c r="R556" s="32" t="s">
        <v>7043</v>
      </c>
      <c r="S556" s="30">
        <v>46388.0</v>
      </c>
      <c r="T556" s="30">
        <v>46752.0</v>
      </c>
      <c r="U556" s="29" t="s">
        <v>7053</v>
      </c>
      <c r="V556" s="29" t="s">
        <v>7053</v>
      </c>
      <c r="W556" s="32" t="s">
        <v>7043</v>
      </c>
      <c r="X556" s="30">
        <v>46753.0</v>
      </c>
      <c r="Y556" s="30">
        <v>47118.0</v>
      </c>
      <c r="Z556" s="29" t="s">
        <v>7053</v>
      </c>
      <c r="AA556" s="29" t="s">
        <v>7053</v>
      </c>
      <c r="AB556" s="32" t="s">
        <v>7043</v>
      </c>
      <c r="AC556" s="30">
        <v>47119.0</v>
      </c>
      <c r="AD556" s="30">
        <v>47483.0</v>
      </c>
      <c r="AE556" s="29" t="s">
        <v>7053</v>
      </c>
      <c r="AF556" s="29" t="s">
        <v>7053</v>
      </c>
      <c r="AG556" s="32" t="s">
        <v>7043</v>
      </c>
      <c r="AH556" s="30">
        <v>47484.0</v>
      </c>
      <c r="AI556" s="30">
        <v>47848.0</v>
      </c>
      <c r="AJ556" s="29" t="s">
        <v>7053</v>
      </c>
      <c r="AK556" s="29" t="s">
        <v>7053</v>
      </c>
      <c r="AL556" s="32" t="s">
        <v>7043</v>
      </c>
    </row>
    <row r="557" ht="14.25" customHeight="1">
      <c r="A557" s="28" t="s">
        <v>208</v>
      </c>
      <c r="B557" s="29" t="s">
        <v>209</v>
      </c>
      <c r="C557" s="29" t="s">
        <v>7041</v>
      </c>
      <c r="D557" s="30">
        <v>45292.0</v>
      </c>
      <c r="E557" s="30">
        <v>45657.0</v>
      </c>
      <c r="F557" s="29" t="s">
        <v>7053</v>
      </c>
      <c r="G557" s="29" t="s">
        <v>7053</v>
      </c>
      <c r="H557" s="32" t="s">
        <v>7043</v>
      </c>
      <c r="I557" s="30">
        <v>45658.0</v>
      </c>
      <c r="J557" s="30">
        <v>46022.0</v>
      </c>
      <c r="K557" s="29" t="s">
        <v>7056</v>
      </c>
      <c r="L557" s="29" t="s">
        <v>7053</v>
      </c>
      <c r="M557" s="38" t="s">
        <v>7047</v>
      </c>
      <c r="N557" s="30">
        <v>46023.0</v>
      </c>
      <c r="O557" s="30">
        <v>46387.0</v>
      </c>
      <c r="P557" s="29" t="s">
        <v>7053</v>
      </c>
      <c r="Q557" s="29" t="s">
        <v>7053</v>
      </c>
      <c r="R557" s="32" t="s">
        <v>7043</v>
      </c>
      <c r="S557" s="30">
        <v>46388.0</v>
      </c>
      <c r="T557" s="30">
        <v>46752.0</v>
      </c>
      <c r="U557" s="29" t="s">
        <v>7053</v>
      </c>
      <c r="V557" s="29" t="s">
        <v>7053</v>
      </c>
      <c r="W557" s="32" t="s">
        <v>7043</v>
      </c>
      <c r="X557" s="30">
        <v>46753.0</v>
      </c>
      <c r="Y557" s="30">
        <v>47118.0</v>
      </c>
      <c r="Z557" s="29" t="s">
        <v>7053</v>
      </c>
      <c r="AA557" s="29" t="s">
        <v>7053</v>
      </c>
      <c r="AB557" s="32" t="s">
        <v>7043</v>
      </c>
      <c r="AC557" s="30">
        <v>47119.0</v>
      </c>
      <c r="AD557" s="30">
        <v>47483.0</v>
      </c>
      <c r="AE557" s="29" t="s">
        <v>7053</v>
      </c>
      <c r="AF557" s="29" t="s">
        <v>7053</v>
      </c>
      <c r="AG557" s="32" t="s">
        <v>7043</v>
      </c>
      <c r="AH557" s="30">
        <v>47484.0</v>
      </c>
      <c r="AI557" s="30">
        <v>47848.0</v>
      </c>
      <c r="AJ557" s="29" t="s">
        <v>7053</v>
      </c>
      <c r="AK557" s="29" t="s">
        <v>7053</v>
      </c>
      <c r="AL557" s="32" t="s">
        <v>7043</v>
      </c>
    </row>
    <row r="558" ht="14.25" customHeight="1">
      <c r="A558" s="28" t="s">
        <v>4174</v>
      </c>
      <c r="B558" s="29" t="s">
        <v>4175</v>
      </c>
      <c r="C558" s="29" t="s">
        <v>7041</v>
      </c>
      <c r="D558" s="30">
        <v>45292.0</v>
      </c>
      <c r="E558" s="30">
        <v>45657.0</v>
      </c>
      <c r="F558" s="29" t="s">
        <v>7053</v>
      </c>
      <c r="G558" s="29" t="s">
        <v>7053</v>
      </c>
      <c r="H558" s="35" t="s">
        <v>7043</v>
      </c>
      <c r="I558" s="30">
        <v>45658.0</v>
      </c>
      <c r="J558" s="30">
        <v>46022.0</v>
      </c>
      <c r="K558" s="29" t="s">
        <v>7089</v>
      </c>
      <c r="L558" s="29" t="s">
        <v>7100</v>
      </c>
      <c r="M558" s="35" t="s">
        <v>7047</v>
      </c>
      <c r="N558" s="30">
        <v>46023.0</v>
      </c>
      <c r="O558" s="30">
        <v>46387.0</v>
      </c>
      <c r="P558" s="29" t="s">
        <v>7053</v>
      </c>
      <c r="Q558" s="29" t="s">
        <v>7053</v>
      </c>
      <c r="R558" s="35" t="s">
        <v>7043</v>
      </c>
      <c r="S558" s="30">
        <v>46388.0</v>
      </c>
      <c r="T558" s="30">
        <v>46752.0</v>
      </c>
      <c r="U558" s="29" t="s">
        <v>7053</v>
      </c>
      <c r="V558" s="29" t="s">
        <v>7053</v>
      </c>
      <c r="W558" s="35" t="s">
        <v>7043</v>
      </c>
      <c r="X558" s="30">
        <v>46753.0</v>
      </c>
      <c r="Y558" s="30">
        <v>47118.0</v>
      </c>
      <c r="Z558" s="29" t="s">
        <v>7053</v>
      </c>
      <c r="AA558" s="29" t="s">
        <v>7053</v>
      </c>
      <c r="AB558" s="35" t="s">
        <v>7043</v>
      </c>
      <c r="AC558" s="30">
        <v>47119.0</v>
      </c>
      <c r="AD558" s="30">
        <v>47483.0</v>
      </c>
      <c r="AE558" s="29" t="s">
        <v>7053</v>
      </c>
      <c r="AF558" s="29" t="s">
        <v>7053</v>
      </c>
      <c r="AG558" s="35" t="s">
        <v>7043</v>
      </c>
      <c r="AH558" s="30">
        <v>47484.0</v>
      </c>
      <c r="AI558" s="30">
        <v>47848.0</v>
      </c>
      <c r="AJ558" s="29" t="s">
        <v>7053</v>
      </c>
      <c r="AK558" s="29" t="s">
        <v>7053</v>
      </c>
      <c r="AL558" s="35" t="s">
        <v>7043</v>
      </c>
    </row>
    <row r="559" ht="14.25" customHeight="1">
      <c r="A559" s="28" t="s">
        <v>2045</v>
      </c>
      <c r="B559" s="29" t="s">
        <v>2046</v>
      </c>
      <c r="C559" s="29" t="s">
        <v>7041</v>
      </c>
      <c r="D559" s="30">
        <v>45292.0</v>
      </c>
      <c r="E559" s="30">
        <v>45657.0</v>
      </c>
      <c r="F559" s="29" t="s">
        <v>7053</v>
      </c>
      <c r="G559" s="29" t="s">
        <v>7053</v>
      </c>
      <c r="H559" s="35" t="s">
        <v>7045</v>
      </c>
      <c r="I559" s="30">
        <v>45658.0</v>
      </c>
      <c r="J559" s="30">
        <v>46022.0</v>
      </c>
      <c r="K559" s="29" t="s">
        <v>7053</v>
      </c>
      <c r="L559" s="29" t="s">
        <v>7053</v>
      </c>
      <c r="M559" s="35" t="s">
        <v>7045</v>
      </c>
      <c r="N559" s="30">
        <v>46023.0</v>
      </c>
      <c r="O559" s="30">
        <v>46387.0</v>
      </c>
      <c r="P559" s="29" t="s">
        <v>7053</v>
      </c>
      <c r="Q559" s="29" t="s">
        <v>7053</v>
      </c>
      <c r="R559" s="35" t="s">
        <v>7045</v>
      </c>
      <c r="S559" s="30">
        <v>46388.0</v>
      </c>
      <c r="T559" s="30">
        <v>46752.0</v>
      </c>
      <c r="U559" s="29" t="s">
        <v>7053</v>
      </c>
      <c r="V559" s="29" t="s">
        <v>7053</v>
      </c>
      <c r="W559" s="35" t="s">
        <v>7045</v>
      </c>
      <c r="X559" s="30">
        <v>46753.0</v>
      </c>
      <c r="Y559" s="30">
        <v>47118.0</v>
      </c>
      <c r="Z559" s="29" t="s">
        <v>7053</v>
      </c>
      <c r="AA559" s="29" t="s">
        <v>7053</v>
      </c>
      <c r="AB559" s="35" t="s">
        <v>7045</v>
      </c>
      <c r="AC559" s="30">
        <v>47119.0</v>
      </c>
      <c r="AD559" s="30">
        <v>47483.0</v>
      </c>
      <c r="AE559" s="29" t="s">
        <v>7053</v>
      </c>
      <c r="AF559" s="29" t="s">
        <v>7053</v>
      </c>
      <c r="AG559" s="35" t="s">
        <v>7045</v>
      </c>
      <c r="AH559" s="30">
        <v>47484.0</v>
      </c>
      <c r="AI559" s="30">
        <v>47848.0</v>
      </c>
      <c r="AJ559" s="29" t="s">
        <v>7053</v>
      </c>
      <c r="AK559" s="29" t="s">
        <v>7053</v>
      </c>
      <c r="AL559" s="35" t="s">
        <v>7045</v>
      </c>
    </row>
    <row r="560" ht="14.25" customHeight="1">
      <c r="A560" s="28" t="s">
        <v>4934</v>
      </c>
      <c r="B560" s="29" t="s">
        <v>4935</v>
      </c>
      <c r="C560" s="29" t="s">
        <v>7041</v>
      </c>
      <c r="D560" s="30">
        <v>45292.0</v>
      </c>
      <c r="E560" s="30">
        <v>45657.0</v>
      </c>
      <c r="F560" s="29" t="s">
        <v>7053</v>
      </c>
      <c r="G560" s="29" t="s">
        <v>7053</v>
      </c>
      <c r="H560" s="32" t="s">
        <v>7043</v>
      </c>
      <c r="I560" s="30">
        <v>45658.0</v>
      </c>
      <c r="J560" s="30">
        <v>46022.0</v>
      </c>
      <c r="K560" s="29" t="s">
        <v>7143</v>
      </c>
      <c r="L560" s="29" t="s">
        <v>7053</v>
      </c>
      <c r="M560" s="38" t="s">
        <v>7047</v>
      </c>
      <c r="N560" s="30">
        <v>46023.0</v>
      </c>
      <c r="O560" s="30">
        <v>46387.0</v>
      </c>
      <c r="P560" s="29" t="s">
        <v>7053</v>
      </c>
      <c r="Q560" s="29" t="s">
        <v>7053</v>
      </c>
      <c r="R560" s="32" t="s">
        <v>7043</v>
      </c>
      <c r="S560" s="30">
        <v>46388.0</v>
      </c>
      <c r="T560" s="30">
        <v>46752.0</v>
      </c>
      <c r="U560" s="29" t="s">
        <v>7053</v>
      </c>
      <c r="V560" s="29" t="s">
        <v>7053</v>
      </c>
      <c r="W560" s="32" t="s">
        <v>7043</v>
      </c>
      <c r="X560" s="30">
        <v>46753.0</v>
      </c>
      <c r="Y560" s="30">
        <v>47118.0</v>
      </c>
      <c r="Z560" s="29" t="s">
        <v>7053</v>
      </c>
      <c r="AA560" s="29" t="s">
        <v>7053</v>
      </c>
      <c r="AB560" s="32" t="s">
        <v>7043</v>
      </c>
      <c r="AC560" s="30">
        <v>47119.0</v>
      </c>
      <c r="AD560" s="30">
        <v>47483.0</v>
      </c>
      <c r="AE560" s="29" t="s">
        <v>7053</v>
      </c>
      <c r="AF560" s="29" t="s">
        <v>7053</v>
      </c>
      <c r="AG560" s="32" t="s">
        <v>7043</v>
      </c>
      <c r="AH560" s="30">
        <v>47484.0</v>
      </c>
      <c r="AI560" s="30">
        <v>47848.0</v>
      </c>
      <c r="AJ560" s="29" t="s">
        <v>7053</v>
      </c>
      <c r="AK560" s="29" t="s">
        <v>7053</v>
      </c>
      <c r="AL560" s="32" t="s">
        <v>7043</v>
      </c>
    </row>
    <row r="561" ht="14.25" customHeight="1">
      <c r="A561" s="28" t="s">
        <v>6796</v>
      </c>
      <c r="B561" s="29" t="s">
        <v>6797</v>
      </c>
      <c r="C561" s="29" t="s">
        <v>7041</v>
      </c>
      <c r="D561" s="30">
        <v>45292.0</v>
      </c>
      <c r="E561" s="30">
        <v>45657.0</v>
      </c>
      <c r="F561" s="29" t="s">
        <v>7053</v>
      </c>
      <c r="G561" s="29" t="s">
        <v>7053</v>
      </c>
      <c r="H561" s="35" t="s">
        <v>7045</v>
      </c>
      <c r="I561" s="30">
        <v>45658.0</v>
      </c>
      <c r="J561" s="30">
        <v>46022.0</v>
      </c>
      <c r="K561" s="29" t="s">
        <v>7053</v>
      </c>
      <c r="L561" s="29" t="s">
        <v>7053</v>
      </c>
      <c r="M561" s="35" t="s">
        <v>7045</v>
      </c>
      <c r="N561" s="30">
        <v>46023.0</v>
      </c>
      <c r="O561" s="30">
        <v>46387.0</v>
      </c>
      <c r="P561" s="29" t="s">
        <v>7053</v>
      </c>
      <c r="Q561" s="29" t="s">
        <v>7053</v>
      </c>
      <c r="R561" s="35" t="s">
        <v>7045</v>
      </c>
      <c r="S561" s="30">
        <v>46388.0</v>
      </c>
      <c r="T561" s="30">
        <v>46752.0</v>
      </c>
      <c r="U561" s="29" t="s">
        <v>7053</v>
      </c>
      <c r="V561" s="29" t="s">
        <v>7053</v>
      </c>
      <c r="W561" s="35" t="s">
        <v>7045</v>
      </c>
      <c r="X561" s="30">
        <v>46753.0</v>
      </c>
      <c r="Y561" s="30">
        <v>47118.0</v>
      </c>
      <c r="Z561" s="29" t="s">
        <v>7053</v>
      </c>
      <c r="AA561" s="29" t="s">
        <v>7053</v>
      </c>
      <c r="AB561" s="35" t="s">
        <v>7045</v>
      </c>
      <c r="AC561" s="30">
        <v>47119.0</v>
      </c>
      <c r="AD561" s="30">
        <v>47483.0</v>
      </c>
      <c r="AE561" s="29" t="s">
        <v>7053</v>
      </c>
      <c r="AF561" s="29" t="s">
        <v>7053</v>
      </c>
      <c r="AG561" s="35" t="s">
        <v>7045</v>
      </c>
      <c r="AH561" s="30">
        <v>47484.0</v>
      </c>
      <c r="AI561" s="30">
        <v>47848.0</v>
      </c>
      <c r="AJ561" s="29" t="s">
        <v>7053</v>
      </c>
      <c r="AK561" s="29" t="s">
        <v>7053</v>
      </c>
      <c r="AL561" s="35" t="s">
        <v>7045</v>
      </c>
    </row>
    <row r="562" ht="14.25" customHeight="1">
      <c r="A562" s="28" t="s">
        <v>5409</v>
      </c>
      <c r="B562" s="29" t="s">
        <v>5410</v>
      </c>
      <c r="C562" s="29" t="s">
        <v>7041</v>
      </c>
      <c r="D562" s="30">
        <v>45292.0</v>
      </c>
      <c r="E562" s="30">
        <v>45657.0</v>
      </c>
      <c r="F562" s="29" t="s">
        <v>7053</v>
      </c>
      <c r="G562" s="29" t="s">
        <v>7053</v>
      </c>
      <c r="H562" s="32" t="s">
        <v>7043</v>
      </c>
      <c r="I562" s="30">
        <v>45658.0</v>
      </c>
      <c r="J562" s="30">
        <v>46022.0</v>
      </c>
      <c r="K562" s="29" t="s">
        <v>7100</v>
      </c>
      <c r="L562" s="29" t="s">
        <v>7053</v>
      </c>
      <c r="M562" s="38" t="s">
        <v>7047</v>
      </c>
      <c r="N562" s="30">
        <v>46023.0</v>
      </c>
      <c r="O562" s="30">
        <v>46387.0</v>
      </c>
      <c r="P562" s="29" t="s">
        <v>7053</v>
      </c>
      <c r="Q562" s="29" t="s">
        <v>7053</v>
      </c>
      <c r="R562" s="32" t="s">
        <v>7043</v>
      </c>
      <c r="S562" s="30">
        <v>46388.0</v>
      </c>
      <c r="T562" s="30">
        <v>46752.0</v>
      </c>
      <c r="U562" s="29" t="s">
        <v>7053</v>
      </c>
      <c r="V562" s="29" t="s">
        <v>7053</v>
      </c>
      <c r="W562" s="32" t="s">
        <v>7043</v>
      </c>
      <c r="X562" s="30">
        <v>46753.0</v>
      </c>
      <c r="Y562" s="30">
        <v>47118.0</v>
      </c>
      <c r="Z562" s="29" t="s">
        <v>7053</v>
      </c>
      <c r="AA562" s="29" t="s">
        <v>7053</v>
      </c>
      <c r="AB562" s="32" t="s">
        <v>7043</v>
      </c>
      <c r="AC562" s="30">
        <v>47119.0</v>
      </c>
      <c r="AD562" s="30">
        <v>47483.0</v>
      </c>
      <c r="AE562" s="29" t="s">
        <v>7053</v>
      </c>
      <c r="AF562" s="29" t="s">
        <v>7053</v>
      </c>
      <c r="AG562" s="32" t="s">
        <v>7043</v>
      </c>
      <c r="AH562" s="30">
        <v>47484.0</v>
      </c>
      <c r="AI562" s="30">
        <v>47848.0</v>
      </c>
      <c r="AJ562" s="29" t="s">
        <v>7053</v>
      </c>
      <c r="AK562" s="29" t="s">
        <v>7053</v>
      </c>
      <c r="AL562" s="32" t="s">
        <v>7043</v>
      </c>
    </row>
    <row r="563" ht="14.25" customHeight="1">
      <c r="A563" s="28" t="s">
        <v>5854</v>
      </c>
      <c r="B563" s="29" t="s">
        <v>5855</v>
      </c>
      <c r="C563" s="29" t="s">
        <v>7041</v>
      </c>
      <c r="D563" s="30">
        <v>45292.0</v>
      </c>
      <c r="E563" s="30">
        <v>45657.0</v>
      </c>
      <c r="F563" s="29" t="s">
        <v>7053</v>
      </c>
      <c r="G563" s="29" t="s">
        <v>7053</v>
      </c>
      <c r="H563" s="32" t="s">
        <v>7043</v>
      </c>
      <c r="I563" s="30">
        <v>45658.0</v>
      </c>
      <c r="J563" s="30">
        <v>46022.0</v>
      </c>
      <c r="K563" s="29" t="s">
        <v>7062</v>
      </c>
      <c r="L563" s="29" t="s">
        <v>7053</v>
      </c>
      <c r="M563" s="38" t="s">
        <v>7047</v>
      </c>
      <c r="N563" s="30">
        <v>46023.0</v>
      </c>
      <c r="O563" s="30">
        <v>46387.0</v>
      </c>
      <c r="P563" s="29" t="s">
        <v>7053</v>
      </c>
      <c r="Q563" s="29" t="s">
        <v>7053</v>
      </c>
      <c r="R563" s="32" t="s">
        <v>7043</v>
      </c>
      <c r="S563" s="30">
        <v>46388.0</v>
      </c>
      <c r="T563" s="30">
        <v>46752.0</v>
      </c>
      <c r="U563" s="29" t="s">
        <v>7053</v>
      </c>
      <c r="V563" s="29" t="s">
        <v>7053</v>
      </c>
      <c r="W563" s="32" t="s">
        <v>7043</v>
      </c>
      <c r="X563" s="30">
        <v>46753.0</v>
      </c>
      <c r="Y563" s="30">
        <v>47118.0</v>
      </c>
      <c r="Z563" s="29" t="s">
        <v>7053</v>
      </c>
      <c r="AA563" s="29" t="s">
        <v>7053</v>
      </c>
      <c r="AB563" s="32" t="s">
        <v>7043</v>
      </c>
      <c r="AC563" s="30">
        <v>47119.0</v>
      </c>
      <c r="AD563" s="30">
        <v>47483.0</v>
      </c>
      <c r="AE563" s="29" t="s">
        <v>7053</v>
      </c>
      <c r="AF563" s="29" t="s">
        <v>7053</v>
      </c>
      <c r="AG563" s="32" t="s">
        <v>7043</v>
      </c>
      <c r="AH563" s="30">
        <v>47484.0</v>
      </c>
      <c r="AI563" s="30">
        <v>47848.0</v>
      </c>
      <c r="AJ563" s="29" t="s">
        <v>7053</v>
      </c>
      <c r="AK563" s="29" t="s">
        <v>7053</v>
      </c>
      <c r="AL563" s="32" t="s">
        <v>7043</v>
      </c>
    </row>
    <row r="564" ht="14.25" customHeight="1">
      <c r="A564" s="28" t="s">
        <v>4235</v>
      </c>
      <c r="B564" s="29" t="s">
        <v>4236</v>
      </c>
      <c r="C564" s="29" t="s">
        <v>7041</v>
      </c>
      <c r="D564" s="30">
        <v>45292.0</v>
      </c>
      <c r="E564" s="30">
        <v>45657.0</v>
      </c>
      <c r="F564" s="29" t="s">
        <v>7053</v>
      </c>
      <c r="G564" s="29" t="s">
        <v>7053</v>
      </c>
      <c r="H564" s="32" t="s">
        <v>7043</v>
      </c>
      <c r="I564" s="30">
        <v>45658.0</v>
      </c>
      <c r="J564" s="30">
        <v>46022.0</v>
      </c>
      <c r="K564" s="29" t="s">
        <v>7095</v>
      </c>
      <c r="L564" s="29" t="s">
        <v>7053</v>
      </c>
      <c r="M564" s="38" t="s">
        <v>7047</v>
      </c>
      <c r="N564" s="30">
        <v>46023.0</v>
      </c>
      <c r="O564" s="30">
        <v>46387.0</v>
      </c>
      <c r="P564" s="29" t="s">
        <v>7053</v>
      </c>
      <c r="Q564" s="29" t="s">
        <v>7053</v>
      </c>
      <c r="R564" s="32" t="s">
        <v>7043</v>
      </c>
      <c r="S564" s="30">
        <v>46388.0</v>
      </c>
      <c r="T564" s="30">
        <v>46752.0</v>
      </c>
      <c r="U564" s="29" t="s">
        <v>7053</v>
      </c>
      <c r="V564" s="29" t="s">
        <v>7053</v>
      </c>
      <c r="W564" s="32" t="s">
        <v>7043</v>
      </c>
      <c r="X564" s="30">
        <v>46753.0</v>
      </c>
      <c r="Y564" s="30">
        <v>47118.0</v>
      </c>
      <c r="Z564" s="29" t="s">
        <v>7053</v>
      </c>
      <c r="AA564" s="29" t="s">
        <v>7053</v>
      </c>
      <c r="AB564" s="32" t="s">
        <v>7043</v>
      </c>
      <c r="AC564" s="30">
        <v>47119.0</v>
      </c>
      <c r="AD564" s="30">
        <v>47483.0</v>
      </c>
      <c r="AE564" s="29" t="s">
        <v>7053</v>
      </c>
      <c r="AF564" s="29" t="s">
        <v>7053</v>
      </c>
      <c r="AG564" s="32" t="s">
        <v>7043</v>
      </c>
      <c r="AH564" s="30">
        <v>47484.0</v>
      </c>
      <c r="AI564" s="30">
        <v>47848.0</v>
      </c>
      <c r="AJ564" s="29" t="s">
        <v>7053</v>
      </c>
      <c r="AK564" s="29" t="s">
        <v>7053</v>
      </c>
      <c r="AL564" s="32" t="s">
        <v>7043</v>
      </c>
    </row>
    <row r="565" ht="14.25" customHeight="1">
      <c r="A565" s="28" t="s">
        <v>5246</v>
      </c>
      <c r="B565" s="29" t="s">
        <v>5247</v>
      </c>
      <c r="C565" s="29" t="s">
        <v>7041</v>
      </c>
      <c r="D565" s="30">
        <v>45292.0</v>
      </c>
      <c r="E565" s="30">
        <v>45657.0</v>
      </c>
      <c r="F565" s="29" t="s">
        <v>7053</v>
      </c>
      <c r="G565" s="29" t="s">
        <v>7053</v>
      </c>
      <c r="H565" s="35" t="s">
        <v>7045</v>
      </c>
      <c r="I565" s="30">
        <v>45658.0</v>
      </c>
      <c r="J565" s="30">
        <v>46022.0</v>
      </c>
      <c r="K565" s="29" t="s">
        <v>7053</v>
      </c>
      <c r="L565" s="29" t="s">
        <v>7053</v>
      </c>
      <c r="M565" s="35" t="s">
        <v>7045</v>
      </c>
      <c r="N565" s="30">
        <v>46023.0</v>
      </c>
      <c r="O565" s="30">
        <v>46387.0</v>
      </c>
      <c r="P565" s="29" t="s">
        <v>7053</v>
      </c>
      <c r="Q565" s="29" t="s">
        <v>7053</v>
      </c>
      <c r="R565" s="35" t="s">
        <v>7045</v>
      </c>
      <c r="S565" s="30">
        <v>46388.0</v>
      </c>
      <c r="T565" s="30">
        <v>46752.0</v>
      </c>
      <c r="U565" s="29" t="s">
        <v>7053</v>
      </c>
      <c r="V565" s="29" t="s">
        <v>7053</v>
      </c>
      <c r="W565" s="35" t="s">
        <v>7045</v>
      </c>
      <c r="X565" s="30">
        <v>46753.0</v>
      </c>
      <c r="Y565" s="30">
        <v>47118.0</v>
      </c>
      <c r="Z565" s="29" t="s">
        <v>7053</v>
      </c>
      <c r="AA565" s="29" t="s">
        <v>7053</v>
      </c>
      <c r="AB565" s="35" t="s">
        <v>7045</v>
      </c>
      <c r="AC565" s="30">
        <v>47119.0</v>
      </c>
      <c r="AD565" s="30">
        <v>47483.0</v>
      </c>
      <c r="AE565" s="29" t="s">
        <v>7053</v>
      </c>
      <c r="AF565" s="29" t="s">
        <v>7053</v>
      </c>
      <c r="AG565" s="35" t="s">
        <v>7045</v>
      </c>
      <c r="AH565" s="30">
        <v>47484.0</v>
      </c>
      <c r="AI565" s="30">
        <v>47848.0</v>
      </c>
      <c r="AJ565" s="29" t="s">
        <v>7053</v>
      </c>
      <c r="AK565" s="29" t="s">
        <v>7053</v>
      </c>
      <c r="AL565" s="35" t="s">
        <v>7045</v>
      </c>
    </row>
    <row r="566" ht="14.25" customHeight="1">
      <c r="A566" s="28" t="s">
        <v>3832</v>
      </c>
      <c r="B566" s="29" t="s">
        <v>3833</v>
      </c>
      <c r="C566" s="29" t="s">
        <v>7041</v>
      </c>
      <c r="D566" s="30">
        <v>45292.0</v>
      </c>
      <c r="E566" s="30">
        <v>45657.0</v>
      </c>
      <c r="F566" s="29" t="s">
        <v>7053</v>
      </c>
      <c r="G566" s="29" t="s">
        <v>7053</v>
      </c>
      <c r="H566" s="32" t="s">
        <v>7043</v>
      </c>
      <c r="I566" s="30">
        <v>45658.0</v>
      </c>
      <c r="J566" s="30">
        <v>46022.0</v>
      </c>
      <c r="K566" s="29" t="s">
        <v>7097</v>
      </c>
      <c r="L566" s="29" t="s">
        <v>7053</v>
      </c>
      <c r="M566" s="38" t="s">
        <v>7047</v>
      </c>
      <c r="N566" s="30">
        <v>46023.0</v>
      </c>
      <c r="O566" s="30">
        <v>46387.0</v>
      </c>
      <c r="P566" s="29" t="s">
        <v>7053</v>
      </c>
      <c r="Q566" s="29" t="s">
        <v>7053</v>
      </c>
      <c r="R566" s="32" t="s">
        <v>7043</v>
      </c>
      <c r="S566" s="30">
        <v>46388.0</v>
      </c>
      <c r="T566" s="30">
        <v>46752.0</v>
      </c>
      <c r="U566" s="29" t="s">
        <v>7053</v>
      </c>
      <c r="V566" s="29" t="s">
        <v>7053</v>
      </c>
      <c r="W566" s="32" t="s">
        <v>7043</v>
      </c>
      <c r="X566" s="30">
        <v>46753.0</v>
      </c>
      <c r="Y566" s="30">
        <v>47118.0</v>
      </c>
      <c r="Z566" s="29" t="s">
        <v>7053</v>
      </c>
      <c r="AA566" s="29" t="s">
        <v>7053</v>
      </c>
      <c r="AB566" s="32" t="s">
        <v>7043</v>
      </c>
      <c r="AC566" s="30">
        <v>47119.0</v>
      </c>
      <c r="AD566" s="30">
        <v>47483.0</v>
      </c>
      <c r="AE566" s="29" t="s">
        <v>7053</v>
      </c>
      <c r="AF566" s="29" t="s">
        <v>7053</v>
      </c>
      <c r="AG566" s="32" t="s">
        <v>7043</v>
      </c>
      <c r="AH566" s="30">
        <v>47484.0</v>
      </c>
      <c r="AI566" s="30">
        <v>47848.0</v>
      </c>
      <c r="AJ566" s="29" t="s">
        <v>7053</v>
      </c>
      <c r="AK566" s="29" t="s">
        <v>7053</v>
      </c>
      <c r="AL566" s="32" t="s">
        <v>7043</v>
      </c>
    </row>
    <row r="567" ht="14.25" customHeight="1">
      <c r="A567" s="28" t="s">
        <v>1316</v>
      </c>
      <c r="B567" s="29" t="s">
        <v>1317</v>
      </c>
      <c r="C567" s="29" t="s">
        <v>7041</v>
      </c>
      <c r="D567" s="30">
        <v>45292.0</v>
      </c>
      <c r="E567" s="30">
        <v>45657.0</v>
      </c>
      <c r="F567" s="29" t="s">
        <v>7053</v>
      </c>
      <c r="G567" s="29" t="s">
        <v>7053</v>
      </c>
      <c r="H567" s="35" t="s">
        <v>7045</v>
      </c>
      <c r="I567" s="30">
        <v>45658.0</v>
      </c>
      <c r="J567" s="30">
        <v>46022.0</v>
      </c>
      <c r="K567" s="29" t="s">
        <v>7053</v>
      </c>
      <c r="L567" s="29" t="s">
        <v>7053</v>
      </c>
      <c r="M567" s="35" t="s">
        <v>7045</v>
      </c>
      <c r="N567" s="30">
        <v>46023.0</v>
      </c>
      <c r="O567" s="30">
        <v>46387.0</v>
      </c>
      <c r="P567" s="29" t="s">
        <v>7053</v>
      </c>
      <c r="Q567" s="29" t="s">
        <v>7053</v>
      </c>
      <c r="R567" s="35" t="s">
        <v>7045</v>
      </c>
      <c r="S567" s="30">
        <v>46388.0</v>
      </c>
      <c r="T567" s="30">
        <v>46752.0</v>
      </c>
      <c r="U567" s="29" t="s">
        <v>7053</v>
      </c>
      <c r="V567" s="29" t="s">
        <v>7053</v>
      </c>
      <c r="W567" s="35" t="s">
        <v>7045</v>
      </c>
      <c r="X567" s="30">
        <v>46753.0</v>
      </c>
      <c r="Y567" s="30">
        <v>47118.0</v>
      </c>
      <c r="Z567" s="29" t="s">
        <v>7053</v>
      </c>
      <c r="AA567" s="29" t="s">
        <v>7053</v>
      </c>
      <c r="AB567" s="35" t="s">
        <v>7045</v>
      </c>
      <c r="AC567" s="30">
        <v>47119.0</v>
      </c>
      <c r="AD567" s="30">
        <v>47483.0</v>
      </c>
      <c r="AE567" s="29" t="s">
        <v>7053</v>
      </c>
      <c r="AF567" s="29" t="s">
        <v>7053</v>
      </c>
      <c r="AG567" s="35" t="s">
        <v>7045</v>
      </c>
      <c r="AH567" s="30">
        <v>47484.0</v>
      </c>
      <c r="AI567" s="30">
        <v>47848.0</v>
      </c>
      <c r="AJ567" s="29" t="s">
        <v>7053</v>
      </c>
      <c r="AK567" s="29" t="s">
        <v>7053</v>
      </c>
      <c r="AL567" s="35" t="s">
        <v>7045</v>
      </c>
    </row>
    <row r="568" ht="14.25" customHeight="1">
      <c r="A568" s="28" t="s">
        <v>2215</v>
      </c>
      <c r="B568" s="29" t="s">
        <v>2216</v>
      </c>
      <c r="C568" s="29" t="s">
        <v>7041</v>
      </c>
      <c r="D568" s="30">
        <v>45292.0</v>
      </c>
      <c r="E568" s="30">
        <v>45657.0</v>
      </c>
      <c r="F568" s="29" t="s">
        <v>7053</v>
      </c>
      <c r="G568" s="29" t="s">
        <v>7053</v>
      </c>
      <c r="H568" s="32" t="s">
        <v>7043</v>
      </c>
      <c r="I568" s="30">
        <v>45658.0</v>
      </c>
      <c r="J568" s="30">
        <v>46022.0</v>
      </c>
      <c r="K568" s="29" t="s">
        <v>7070</v>
      </c>
      <c r="L568" s="29" t="s">
        <v>7053</v>
      </c>
      <c r="M568" s="38" t="s">
        <v>7047</v>
      </c>
      <c r="N568" s="30">
        <v>46023.0</v>
      </c>
      <c r="O568" s="30">
        <v>46387.0</v>
      </c>
      <c r="P568" s="29" t="s">
        <v>7053</v>
      </c>
      <c r="Q568" s="29" t="s">
        <v>7053</v>
      </c>
      <c r="R568" s="32" t="s">
        <v>7043</v>
      </c>
      <c r="S568" s="30">
        <v>46388.0</v>
      </c>
      <c r="T568" s="30">
        <v>46752.0</v>
      </c>
      <c r="U568" s="29" t="s">
        <v>7053</v>
      </c>
      <c r="V568" s="29" t="s">
        <v>7053</v>
      </c>
      <c r="W568" s="32" t="s">
        <v>7043</v>
      </c>
      <c r="X568" s="30">
        <v>46753.0</v>
      </c>
      <c r="Y568" s="30">
        <v>47118.0</v>
      </c>
      <c r="Z568" s="29" t="s">
        <v>7053</v>
      </c>
      <c r="AA568" s="29" t="s">
        <v>7053</v>
      </c>
      <c r="AB568" s="32" t="s">
        <v>7043</v>
      </c>
      <c r="AC568" s="30">
        <v>47119.0</v>
      </c>
      <c r="AD568" s="30">
        <v>47483.0</v>
      </c>
      <c r="AE568" s="29" t="s">
        <v>7053</v>
      </c>
      <c r="AF568" s="29" t="s">
        <v>7053</v>
      </c>
      <c r="AG568" s="32" t="s">
        <v>7043</v>
      </c>
      <c r="AH568" s="30">
        <v>47484.0</v>
      </c>
      <c r="AI568" s="30">
        <v>47848.0</v>
      </c>
      <c r="AJ568" s="29" t="s">
        <v>7053</v>
      </c>
      <c r="AK568" s="29" t="s">
        <v>7053</v>
      </c>
      <c r="AL568" s="32" t="s">
        <v>7043</v>
      </c>
    </row>
    <row r="569" ht="14.25" customHeight="1">
      <c r="A569" s="28" t="s">
        <v>2891</v>
      </c>
      <c r="B569" s="29" t="s">
        <v>2892</v>
      </c>
      <c r="C569" s="29" t="s">
        <v>7041</v>
      </c>
      <c r="D569" s="30">
        <v>45292.0</v>
      </c>
      <c r="E569" s="30">
        <v>45657.0</v>
      </c>
      <c r="F569" s="29" t="s">
        <v>7053</v>
      </c>
      <c r="G569" s="29" t="s">
        <v>7053</v>
      </c>
      <c r="H569" s="35" t="s">
        <v>7045</v>
      </c>
      <c r="I569" s="30">
        <v>45658.0</v>
      </c>
      <c r="J569" s="30">
        <v>46022.0</v>
      </c>
      <c r="K569" s="29" t="s">
        <v>7053</v>
      </c>
      <c r="L569" s="29" t="s">
        <v>7053</v>
      </c>
      <c r="M569" s="35" t="s">
        <v>7045</v>
      </c>
      <c r="N569" s="30">
        <v>46023.0</v>
      </c>
      <c r="O569" s="30">
        <v>46387.0</v>
      </c>
      <c r="P569" s="29" t="s">
        <v>7053</v>
      </c>
      <c r="Q569" s="29" t="s">
        <v>7053</v>
      </c>
      <c r="R569" s="35" t="s">
        <v>7045</v>
      </c>
      <c r="S569" s="30">
        <v>46388.0</v>
      </c>
      <c r="T569" s="30">
        <v>46752.0</v>
      </c>
      <c r="U569" s="29" t="s">
        <v>7053</v>
      </c>
      <c r="V569" s="29" t="s">
        <v>7053</v>
      </c>
      <c r="W569" s="35" t="s">
        <v>7045</v>
      </c>
      <c r="X569" s="30">
        <v>46753.0</v>
      </c>
      <c r="Y569" s="30">
        <v>47118.0</v>
      </c>
      <c r="Z569" s="29" t="s">
        <v>7053</v>
      </c>
      <c r="AA569" s="29" t="s">
        <v>7053</v>
      </c>
      <c r="AB569" s="35" t="s">
        <v>7045</v>
      </c>
      <c r="AC569" s="30">
        <v>47119.0</v>
      </c>
      <c r="AD569" s="30">
        <v>47483.0</v>
      </c>
      <c r="AE569" s="29" t="s">
        <v>7053</v>
      </c>
      <c r="AF569" s="29" t="s">
        <v>7053</v>
      </c>
      <c r="AG569" s="35" t="s">
        <v>7045</v>
      </c>
      <c r="AH569" s="30">
        <v>47484.0</v>
      </c>
      <c r="AI569" s="30">
        <v>47848.0</v>
      </c>
      <c r="AJ569" s="29" t="s">
        <v>7053</v>
      </c>
      <c r="AK569" s="29" t="s">
        <v>7053</v>
      </c>
      <c r="AL569" s="35" t="s">
        <v>7045</v>
      </c>
    </row>
    <row r="570" ht="14.25" customHeight="1">
      <c r="A570" s="28" t="s">
        <v>3219</v>
      </c>
      <c r="B570" s="29" t="s">
        <v>3220</v>
      </c>
      <c r="C570" s="29" t="s">
        <v>7041</v>
      </c>
      <c r="D570" s="30">
        <v>45292.0</v>
      </c>
      <c r="E570" s="30">
        <v>45657.0</v>
      </c>
      <c r="F570" s="29" t="s">
        <v>7053</v>
      </c>
      <c r="G570" s="29" t="s">
        <v>7053</v>
      </c>
      <c r="H570" s="35" t="s">
        <v>7045</v>
      </c>
      <c r="I570" s="30">
        <v>45658.0</v>
      </c>
      <c r="J570" s="30">
        <v>46022.0</v>
      </c>
      <c r="K570" s="29" t="s">
        <v>7053</v>
      </c>
      <c r="L570" s="29" t="s">
        <v>7053</v>
      </c>
      <c r="M570" s="35" t="s">
        <v>7045</v>
      </c>
      <c r="N570" s="30">
        <v>46023.0</v>
      </c>
      <c r="O570" s="30">
        <v>46387.0</v>
      </c>
      <c r="P570" s="29" t="s">
        <v>7053</v>
      </c>
      <c r="Q570" s="29" t="s">
        <v>7053</v>
      </c>
      <c r="R570" s="35" t="s">
        <v>7045</v>
      </c>
      <c r="S570" s="30">
        <v>46388.0</v>
      </c>
      <c r="T570" s="30">
        <v>46752.0</v>
      </c>
      <c r="U570" s="29" t="s">
        <v>7053</v>
      </c>
      <c r="V570" s="29" t="s">
        <v>7053</v>
      </c>
      <c r="W570" s="35" t="s">
        <v>7045</v>
      </c>
      <c r="X570" s="30">
        <v>46753.0</v>
      </c>
      <c r="Y570" s="30">
        <v>47118.0</v>
      </c>
      <c r="Z570" s="29" t="s">
        <v>7053</v>
      </c>
      <c r="AA570" s="29" t="s">
        <v>7053</v>
      </c>
      <c r="AB570" s="35" t="s">
        <v>7045</v>
      </c>
      <c r="AC570" s="30">
        <v>47119.0</v>
      </c>
      <c r="AD570" s="30">
        <v>47483.0</v>
      </c>
      <c r="AE570" s="29" t="s">
        <v>7053</v>
      </c>
      <c r="AF570" s="29" t="s">
        <v>7053</v>
      </c>
      <c r="AG570" s="35" t="s">
        <v>7045</v>
      </c>
      <c r="AH570" s="30">
        <v>47484.0</v>
      </c>
      <c r="AI570" s="30">
        <v>47848.0</v>
      </c>
      <c r="AJ570" s="29" t="s">
        <v>7053</v>
      </c>
      <c r="AK570" s="29" t="s">
        <v>7053</v>
      </c>
      <c r="AL570" s="35" t="s">
        <v>7045</v>
      </c>
    </row>
    <row r="571" ht="14.25" customHeight="1">
      <c r="A571" s="28" t="s">
        <v>3491</v>
      </c>
      <c r="B571" s="29" t="s">
        <v>3492</v>
      </c>
      <c r="C571" s="29" t="s">
        <v>7041</v>
      </c>
      <c r="D571" s="30">
        <v>45292.0</v>
      </c>
      <c r="E571" s="30">
        <v>45657.0</v>
      </c>
      <c r="F571" s="29" t="s">
        <v>7053</v>
      </c>
      <c r="G571" s="29" t="s">
        <v>7053</v>
      </c>
      <c r="H571" s="35" t="s">
        <v>7045</v>
      </c>
      <c r="I571" s="30">
        <v>45658.0</v>
      </c>
      <c r="J571" s="30">
        <v>46022.0</v>
      </c>
      <c r="K571" s="29" t="s">
        <v>7053</v>
      </c>
      <c r="L571" s="29" t="s">
        <v>7053</v>
      </c>
      <c r="M571" s="35" t="s">
        <v>7045</v>
      </c>
      <c r="N571" s="30">
        <v>46023.0</v>
      </c>
      <c r="O571" s="30">
        <v>46387.0</v>
      </c>
      <c r="P571" s="29" t="s">
        <v>7053</v>
      </c>
      <c r="Q571" s="29" t="s">
        <v>7053</v>
      </c>
      <c r="R571" s="35" t="s">
        <v>7045</v>
      </c>
      <c r="S571" s="30">
        <v>46388.0</v>
      </c>
      <c r="T571" s="30">
        <v>46752.0</v>
      </c>
      <c r="U571" s="29" t="s">
        <v>7053</v>
      </c>
      <c r="V571" s="29" t="s">
        <v>7053</v>
      </c>
      <c r="W571" s="35" t="s">
        <v>7045</v>
      </c>
      <c r="X571" s="30">
        <v>46753.0</v>
      </c>
      <c r="Y571" s="30">
        <v>47118.0</v>
      </c>
      <c r="Z571" s="29" t="s">
        <v>7053</v>
      </c>
      <c r="AA571" s="29" t="s">
        <v>7053</v>
      </c>
      <c r="AB571" s="35" t="s">
        <v>7045</v>
      </c>
      <c r="AC571" s="30">
        <v>47119.0</v>
      </c>
      <c r="AD571" s="30">
        <v>47483.0</v>
      </c>
      <c r="AE571" s="29" t="s">
        <v>7053</v>
      </c>
      <c r="AF571" s="29" t="s">
        <v>7053</v>
      </c>
      <c r="AG571" s="35" t="s">
        <v>7045</v>
      </c>
      <c r="AH571" s="30">
        <v>47484.0</v>
      </c>
      <c r="AI571" s="30">
        <v>47848.0</v>
      </c>
      <c r="AJ571" s="29" t="s">
        <v>7053</v>
      </c>
      <c r="AK571" s="29" t="s">
        <v>7053</v>
      </c>
      <c r="AL571" s="35" t="s">
        <v>7045</v>
      </c>
    </row>
    <row r="572" ht="14.25" customHeight="1">
      <c r="A572" s="28" t="s">
        <v>3649</v>
      </c>
      <c r="B572" s="29" t="s">
        <v>3650</v>
      </c>
      <c r="C572" s="29" t="s">
        <v>7041</v>
      </c>
      <c r="D572" s="30">
        <v>45292.0</v>
      </c>
      <c r="E572" s="30">
        <v>45657.0</v>
      </c>
      <c r="F572" s="29" t="s">
        <v>7053</v>
      </c>
      <c r="G572" s="29" t="s">
        <v>7053</v>
      </c>
      <c r="H572" s="35" t="s">
        <v>7045</v>
      </c>
      <c r="I572" s="30">
        <v>45658.0</v>
      </c>
      <c r="J572" s="30">
        <v>46022.0</v>
      </c>
      <c r="K572" s="29" t="s">
        <v>7053</v>
      </c>
      <c r="L572" s="29" t="s">
        <v>7053</v>
      </c>
      <c r="M572" s="35" t="s">
        <v>7045</v>
      </c>
      <c r="N572" s="30">
        <v>46023.0</v>
      </c>
      <c r="O572" s="30">
        <v>46387.0</v>
      </c>
      <c r="P572" s="29" t="s">
        <v>7053</v>
      </c>
      <c r="Q572" s="29" t="s">
        <v>7053</v>
      </c>
      <c r="R572" s="35" t="s">
        <v>7045</v>
      </c>
      <c r="S572" s="30">
        <v>46388.0</v>
      </c>
      <c r="T572" s="30">
        <v>46752.0</v>
      </c>
      <c r="U572" s="29" t="s">
        <v>7053</v>
      </c>
      <c r="V572" s="29" t="s">
        <v>7053</v>
      </c>
      <c r="W572" s="35" t="s">
        <v>7045</v>
      </c>
      <c r="X572" s="30">
        <v>46753.0</v>
      </c>
      <c r="Y572" s="30">
        <v>47118.0</v>
      </c>
      <c r="Z572" s="29" t="s">
        <v>7053</v>
      </c>
      <c r="AA572" s="29" t="s">
        <v>7053</v>
      </c>
      <c r="AB572" s="35" t="s">
        <v>7045</v>
      </c>
      <c r="AC572" s="30">
        <v>47119.0</v>
      </c>
      <c r="AD572" s="30">
        <v>47483.0</v>
      </c>
      <c r="AE572" s="29" t="s">
        <v>7053</v>
      </c>
      <c r="AF572" s="29" t="s">
        <v>7053</v>
      </c>
      <c r="AG572" s="35" t="s">
        <v>7045</v>
      </c>
      <c r="AH572" s="30">
        <v>47484.0</v>
      </c>
      <c r="AI572" s="30">
        <v>47848.0</v>
      </c>
      <c r="AJ572" s="29" t="s">
        <v>7053</v>
      </c>
      <c r="AK572" s="29" t="s">
        <v>7053</v>
      </c>
      <c r="AL572" s="35" t="s">
        <v>7045</v>
      </c>
    </row>
    <row r="573" ht="14.25" customHeight="1">
      <c r="A573" s="28" t="s">
        <v>6672</v>
      </c>
      <c r="B573" s="29" t="s">
        <v>6673</v>
      </c>
      <c r="C573" s="29" t="s">
        <v>7041</v>
      </c>
      <c r="D573" s="30">
        <v>45292.0</v>
      </c>
      <c r="E573" s="30">
        <v>45657.0</v>
      </c>
      <c r="F573" s="29" t="s">
        <v>7053</v>
      </c>
      <c r="G573" s="29" t="s">
        <v>7053</v>
      </c>
      <c r="H573" s="35" t="s">
        <v>7045</v>
      </c>
      <c r="I573" s="30">
        <v>45658.0</v>
      </c>
      <c r="J573" s="30">
        <v>46022.0</v>
      </c>
      <c r="K573" s="29" t="s">
        <v>7053</v>
      </c>
      <c r="L573" s="29" t="s">
        <v>7053</v>
      </c>
      <c r="M573" s="35" t="s">
        <v>7045</v>
      </c>
      <c r="N573" s="30">
        <v>46023.0</v>
      </c>
      <c r="O573" s="30">
        <v>46387.0</v>
      </c>
      <c r="P573" s="29" t="s">
        <v>7053</v>
      </c>
      <c r="Q573" s="29" t="s">
        <v>7053</v>
      </c>
      <c r="R573" s="35" t="s">
        <v>7045</v>
      </c>
      <c r="S573" s="30">
        <v>46388.0</v>
      </c>
      <c r="T573" s="30">
        <v>46752.0</v>
      </c>
      <c r="U573" s="29" t="s">
        <v>7053</v>
      </c>
      <c r="V573" s="29" t="s">
        <v>7053</v>
      </c>
      <c r="W573" s="35" t="s">
        <v>7045</v>
      </c>
      <c r="X573" s="30">
        <v>46753.0</v>
      </c>
      <c r="Y573" s="30">
        <v>47118.0</v>
      </c>
      <c r="Z573" s="29" t="s">
        <v>7053</v>
      </c>
      <c r="AA573" s="29" t="s">
        <v>7053</v>
      </c>
      <c r="AB573" s="35" t="s">
        <v>7045</v>
      </c>
      <c r="AC573" s="30">
        <v>47119.0</v>
      </c>
      <c r="AD573" s="30">
        <v>47483.0</v>
      </c>
      <c r="AE573" s="29" t="s">
        <v>7053</v>
      </c>
      <c r="AF573" s="29" t="s">
        <v>7053</v>
      </c>
      <c r="AG573" s="35" t="s">
        <v>7045</v>
      </c>
      <c r="AH573" s="30">
        <v>47484.0</v>
      </c>
      <c r="AI573" s="30">
        <v>47848.0</v>
      </c>
      <c r="AJ573" s="29" t="s">
        <v>7053</v>
      </c>
      <c r="AK573" s="29" t="s">
        <v>7053</v>
      </c>
      <c r="AL573" s="35" t="s">
        <v>7045</v>
      </c>
    </row>
    <row r="574" ht="14.25" customHeight="1">
      <c r="A574" s="28" t="s">
        <v>4031</v>
      </c>
      <c r="B574" s="29" t="s">
        <v>4032</v>
      </c>
      <c r="C574" s="29" t="s">
        <v>7041</v>
      </c>
      <c r="D574" s="30">
        <v>45292.0</v>
      </c>
      <c r="E574" s="30">
        <v>45657.0</v>
      </c>
      <c r="F574" s="29" t="s">
        <v>7053</v>
      </c>
      <c r="G574" s="29" t="s">
        <v>7053</v>
      </c>
      <c r="H574" s="35" t="s">
        <v>7045</v>
      </c>
      <c r="I574" s="30">
        <v>45658.0</v>
      </c>
      <c r="J574" s="30">
        <v>46022.0</v>
      </c>
      <c r="K574" s="29" t="s">
        <v>7053</v>
      </c>
      <c r="L574" s="29" t="s">
        <v>7053</v>
      </c>
      <c r="M574" s="35" t="s">
        <v>7045</v>
      </c>
      <c r="N574" s="30">
        <v>46023.0</v>
      </c>
      <c r="O574" s="30">
        <v>46387.0</v>
      </c>
      <c r="P574" s="29" t="s">
        <v>7053</v>
      </c>
      <c r="Q574" s="29" t="s">
        <v>7053</v>
      </c>
      <c r="R574" s="35" t="s">
        <v>7045</v>
      </c>
      <c r="S574" s="30">
        <v>46388.0</v>
      </c>
      <c r="T574" s="30">
        <v>46752.0</v>
      </c>
      <c r="U574" s="29" t="s">
        <v>7053</v>
      </c>
      <c r="V574" s="29" t="s">
        <v>7053</v>
      </c>
      <c r="W574" s="35" t="s">
        <v>7045</v>
      </c>
      <c r="X574" s="30">
        <v>46753.0</v>
      </c>
      <c r="Y574" s="30">
        <v>47118.0</v>
      </c>
      <c r="Z574" s="29" t="s">
        <v>7053</v>
      </c>
      <c r="AA574" s="29" t="s">
        <v>7053</v>
      </c>
      <c r="AB574" s="35" t="s">
        <v>7045</v>
      </c>
      <c r="AC574" s="30">
        <v>47119.0</v>
      </c>
      <c r="AD574" s="30">
        <v>47483.0</v>
      </c>
      <c r="AE574" s="29" t="s">
        <v>7053</v>
      </c>
      <c r="AF574" s="29" t="s">
        <v>7053</v>
      </c>
      <c r="AG574" s="35" t="s">
        <v>7045</v>
      </c>
      <c r="AH574" s="30">
        <v>47484.0</v>
      </c>
      <c r="AI574" s="30">
        <v>47848.0</v>
      </c>
      <c r="AJ574" s="29" t="s">
        <v>7053</v>
      </c>
      <c r="AK574" s="29" t="s">
        <v>7053</v>
      </c>
      <c r="AL574" s="35" t="s">
        <v>7045</v>
      </c>
    </row>
    <row r="575" ht="14.25" customHeight="1">
      <c r="A575" s="28" t="s">
        <v>5887</v>
      </c>
      <c r="B575" s="29" t="s">
        <v>5888</v>
      </c>
      <c r="C575" s="29" t="s">
        <v>7041</v>
      </c>
      <c r="D575" s="30">
        <v>45292.0</v>
      </c>
      <c r="E575" s="30">
        <v>45657.0</v>
      </c>
      <c r="F575" s="29" t="s">
        <v>7053</v>
      </c>
      <c r="G575" s="29" t="s">
        <v>7053</v>
      </c>
      <c r="H575" s="35" t="s">
        <v>7045</v>
      </c>
      <c r="I575" s="30">
        <v>45658.0</v>
      </c>
      <c r="J575" s="30">
        <v>46022.0</v>
      </c>
      <c r="K575" s="29" t="s">
        <v>7053</v>
      </c>
      <c r="L575" s="29" t="s">
        <v>7053</v>
      </c>
      <c r="M575" s="35" t="s">
        <v>7045</v>
      </c>
      <c r="N575" s="30">
        <v>46023.0</v>
      </c>
      <c r="O575" s="30">
        <v>46387.0</v>
      </c>
      <c r="P575" s="29" t="s">
        <v>7053</v>
      </c>
      <c r="Q575" s="29" t="s">
        <v>7053</v>
      </c>
      <c r="R575" s="35" t="s">
        <v>7045</v>
      </c>
      <c r="S575" s="30">
        <v>46388.0</v>
      </c>
      <c r="T575" s="30">
        <v>46752.0</v>
      </c>
      <c r="U575" s="29" t="s">
        <v>7053</v>
      </c>
      <c r="V575" s="29" t="s">
        <v>7053</v>
      </c>
      <c r="W575" s="35" t="s">
        <v>7045</v>
      </c>
      <c r="X575" s="30">
        <v>46753.0</v>
      </c>
      <c r="Y575" s="30">
        <v>47118.0</v>
      </c>
      <c r="Z575" s="29" t="s">
        <v>7053</v>
      </c>
      <c r="AA575" s="29" t="s">
        <v>7053</v>
      </c>
      <c r="AB575" s="35" t="s">
        <v>7045</v>
      </c>
      <c r="AC575" s="30">
        <v>47119.0</v>
      </c>
      <c r="AD575" s="30">
        <v>47483.0</v>
      </c>
      <c r="AE575" s="29" t="s">
        <v>7053</v>
      </c>
      <c r="AF575" s="29" t="s">
        <v>7053</v>
      </c>
      <c r="AG575" s="35" t="s">
        <v>7045</v>
      </c>
      <c r="AH575" s="30">
        <v>47484.0</v>
      </c>
      <c r="AI575" s="30">
        <v>47848.0</v>
      </c>
      <c r="AJ575" s="29" t="s">
        <v>7053</v>
      </c>
      <c r="AK575" s="29" t="s">
        <v>7053</v>
      </c>
      <c r="AL575" s="35" t="s">
        <v>7045</v>
      </c>
    </row>
    <row r="576" ht="14.25" customHeight="1">
      <c r="A576" s="28" t="s">
        <v>6349</v>
      </c>
      <c r="B576" s="29" t="s">
        <v>6350</v>
      </c>
      <c r="C576" s="29" t="s">
        <v>7041</v>
      </c>
      <c r="D576" s="30">
        <v>45292.0</v>
      </c>
      <c r="E576" s="30">
        <v>45657.0</v>
      </c>
      <c r="F576" s="29" t="s">
        <v>7053</v>
      </c>
      <c r="G576" s="29" t="s">
        <v>7053</v>
      </c>
      <c r="H576" s="32" t="s">
        <v>7043</v>
      </c>
      <c r="I576" s="30">
        <v>45658.0</v>
      </c>
      <c r="J576" s="30">
        <v>46022.0</v>
      </c>
      <c r="K576" s="29" t="s">
        <v>7056</v>
      </c>
      <c r="L576" s="29" t="s">
        <v>7053</v>
      </c>
      <c r="M576" s="38" t="s">
        <v>7047</v>
      </c>
      <c r="N576" s="30">
        <v>46023.0</v>
      </c>
      <c r="O576" s="30">
        <v>46387.0</v>
      </c>
      <c r="P576" s="29" t="s">
        <v>7053</v>
      </c>
      <c r="Q576" s="29" t="s">
        <v>7053</v>
      </c>
      <c r="R576" s="32" t="s">
        <v>7043</v>
      </c>
      <c r="S576" s="30">
        <v>46388.0</v>
      </c>
      <c r="T576" s="30">
        <v>46752.0</v>
      </c>
      <c r="U576" s="29" t="s">
        <v>7053</v>
      </c>
      <c r="V576" s="29" t="s">
        <v>7053</v>
      </c>
      <c r="W576" s="32" t="s">
        <v>7043</v>
      </c>
      <c r="X576" s="30">
        <v>46753.0</v>
      </c>
      <c r="Y576" s="30">
        <v>47118.0</v>
      </c>
      <c r="Z576" s="29" t="s">
        <v>7053</v>
      </c>
      <c r="AA576" s="29" t="s">
        <v>7053</v>
      </c>
      <c r="AB576" s="32" t="s">
        <v>7043</v>
      </c>
      <c r="AC576" s="30">
        <v>47119.0</v>
      </c>
      <c r="AD576" s="30">
        <v>47483.0</v>
      </c>
      <c r="AE576" s="29" t="s">
        <v>7053</v>
      </c>
      <c r="AF576" s="29" t="s">
        <v>7053</v>
      </c>
      <c r="AG576" s="32" t="s">
        <v>7043</v>
      </c>
      <c r="AH576" s="30">
        <v>47484.0</v>
      </c>
      <c r="AI576" s="30">
        <v>47848.0</v>
      </c>
      <c r="AJ576" s="29" t="s">
        <v>7053</v>
      </c>
      <c r="AK576" s="29" t="s">
        <v>7053</v>
      </c>
      <c r="AL576" s="32" t="s">
        <v>7043</v>
      </c>
    </row>
    <row r="577" ht="14.25" customHeight="1">
      <c r="A577" s="28" t="s">
        <v>6644</v>
      </c>
      <c r="B577" s="29" t="s">
        <v>6645</v>
      </c>
      <c r="C577" s="29" t="s">
        <v>7041</v>
      </c>
      <c r="D577" s="30">
        <v>45292.0</v>
      </c>
      <c r="E577" s="30">
        <v>45657.0</v>
      </c>
      <c r="F577" s="29" t="s">
        <v>7053</v>
      </c>
      <c r="G577" s="29" t="s">
        <v>7053</v>
      </c>
      <c r="H577" s="35" t="s">
        <v>7045</v>
      </c>
      <c r="I577" s="30">
        <v>45658.0</v>
      </c>
      <c r="J577" s="30">
        <v>46022.0</v>
      </c>
      <c r="K577" s="29" t="s">
        <v>7053</v>
      </c>
      <c r="L577" s="29" t="s">
        <v>7053</v>
      </c>
      <c r="M577" s="35" t="s">
        <v>7045</v>
      </c>
      <c r="N577" s="30">
        <v>46023.0</v>
      </c>
      <c r="O577" s="30">
        <v>46387.0</v>
      </c>
      <c r="P577" s="29" t="s">
        <v>7053</v>
      </c>
      <c r="Q577" s="29" t="s">
        <v>7053</v>
      </c>
      <c r="R577" s="35" t="s">
        <v>7045</v>
      </c>
      <c r="S577" s="30">
        <v>46388.0</v>
      </c>
      <c r="T577" s="30">
        <v>46752.0</v>
      </c>
      <c r="U577" s="29" t="s">
        <v>7053</v>
      </c>
      <c r="V577" s="29" t="s">
        <v>7053</v>
      </c>
      <c r="W577" s="35" t="s">
        <v>7045</v>
      </c>
      <c r="X577" s="30">
        <v>46753.0</v>
      </c>
      <c r="Y577" s="30">
        <v>47118.0</v>
      </c>
      <c r="Z577" s="29" t="s">
        <v>7053</v>
      </c>
      <c r="AA577" s="29" t="s">
        <v>7053</v>
      </c>
      <c r="AB577" s="35" t="s">
        <v>7045</v>
      </c>
      <c r="AC577" s="30">
        <v>47119.0</v>
      </c>
      <c r="AD577" s="30">
        <v>47483.0</v>
      </c>
      <c r="AE577" s="29" t="s">
        <v>7053</v>
      </c>
      <c r="AF577" s="29" t="s">
        <v>7053</v>
      </c>
      <c r="AG577" s="35" t="s">
        <v>7045</v>
      </c>
      <c r="AH577" s="30">
        <v>47484.0</v>
      </c>
      <c r="AI577" s="30">
        <v>47848.0</v>
      </c>
      <c r="AJ577" s="29" t="s">
        <v>7053</v>
      </c>
      <c r="AK577" s="29" t="s">
        <v>7053</v>
      </c>
      <c r="AL577" s="35" t="s">
        <v>7045</v>
      </c>
    </row>
    <row r="578" ht="14.25" customHeight="1">
      <c r="A578" s="28" t="s">
        <v>6651</v>
      </c>
      <c r="B578" s="29" t="s">
        <v>6652</v>
      </c>
      <c r="C578" s="29" t="s">
        <v>7041</v>
      </c>
      <c r="D578" s="30">
        <v>45292.0</v>
      </c>
      <c r="E578" s="30">
        <v>45657.0</v>
      </c>
      <c r="F578" s="29" t="s">
        <v>7053</v>
      </c>
      <c r="G578" s="29" t="s">
        <v>7053</v>
      </c>
      <c r="H578" s="35" t="s">
        <v>7045</v>
      </c>
      <c r="I578" s="30">
        <v>45658.0</v>
      </c>
      <c r="J578" s="30">
        <v>46022.0</v>
      </c>
      <c r="K578" s="29" t="s">
        <v>7053</v>
      </c>
      <c r="L578" s="29" t="s">
        <v>7053</v>
      </c>
      <c r="M578" s="35" t="s">
        <v>7045</v>
      </c>
      <c r="N578" s="30">
        <v>46023.0</v>
      </c>
      <c r="O578" s="30">
        <v>46387.0</v>
      </c>
      <c r="P578" s="29" t="s">
        <v>7053</v>
      </c>
      <c r="Q578" s="29" t="s">
        <v>7053</v>
      </c>
      <c r="R578" s="35" t="s">
        <v>7045</v>
      </c>
      <c r="S578" s="30">
        <v>46388.0</v>
      </c>
      <c r="T578" s="30">
        <v>46752.0</v>
      </c>
      <c r="U578" s="29" t="s">
        <v>7053</v>
      </c>
      <c r="V578" s="29" t="s">
        <v>7053</v>
      </c>
      <c r="W578" s="35" t="s">
        <v>7045</v>
      </c>
      <c r="X578" s="30">
        <v>46753.0</v>
      </c>
      <c r="Y578" s="30">
        <v>47118.0</v>
      </c>
      <c r="Z578" s="29" t="s">
        <v>7053</v>
      </c>
      <c r="AA578" s="29" t="s">
        <v>7053</v>
      </c>
      <c r="AB578" s="35" t="s">
        <v>7045</v>
      </c>
      <c r="AC578" s="30">
        <v>47119.0</v>
      </c>
      <c r="AD578" s="30">
        <v>47483.0</v>
      </c>
      <c r="AE578" s="29" t="s">
        <v>7053</v>
      </c>
      <c r="AF578" s="29" t="s">
        <v>7053</v>
      </c>
      <c r="AG578" s="35" t="s">
        <v>7045</v>
      </c>
      <c r="AH578" s="30">
        <v>47484.0</v>
      </c>
      <c r="AI578" s="30">
        <v>47848.0</v>
      </c>
      <c r="AJ578" s="29" t="s">
        <v>7053</v>
      </c>
      <c r="AK578" s="29" t="s">
        <v>7053</v>
      </c>
      <c r="AL578" s="35" t="s">
        <v>7045</v>
      </c>
    </row>
    <row r="579" ht="14.25" customHeight="1">
      <c r="A579" s="28" t="s">
        <v>6783</v>
      </c>
      <c r="B579" s="29" t="s">
        <v>6784</v>
      </c>
      <c r="C579" s="29" t="s">
        <v>7041</v>
      </c>
      <c r="D579" s="30">
        <v>45292.0</v>
      </c>
      <c r="E579" s="30">
        <v>45657.0</v>
      </c>
      <c r="F579" s="29" t="s">
        <v>7053</v>
      </c>
      <c r="G579" s="29" t="s">
        <v>7053</v>
      </c>
      <c r="H579" s="35" t="s">
        <v>7045</v>
      </c>
      <c r="I579" s="30">
        <v>45658.0</v>
      </c>
      <c r="J579" s="30">
        <v>46022.0</v>
      </c>
      <c r="K579" s="29" t="s">
        <v>7053</v>
      </c>
      <c r="L579" s="29" t="s">
        <v>7053</v>
      </c>
      <c r="M579" s="35" t="s">
        <v>7045</v>
      </c>
      <c r="N579" s="30">
        <v>46023.0</v>
      </c>
      <c r="O579" s="30">
        <v>46387.0</v>
      </c>
      <c r="P579" s="29" t="s">
        <v>7053</v>
      </c>
      <c r="Q579" s="29" t="s">
        <v>7053</v>
      </c>
      <c r="R579" s="35" t="s">
        <v>7045</v>
      </c>
      <c r="S579" s="30">
        <v>46388.0</v>
      </c>
      <c r="T579" s="30">
        <v>46752.0</v>
      </c>
      <c r="U579" s="29" t="s">
        <v>7053</v>
      </c>
      <c r="V579" s="29" t="s">
        <v>7053</v>
      </c>
      <c r="W579" s="35" t="s">
        <v>7045</v>
      </c>
      <c r="X579" s="30">
        <v>46753.0</v>
      </c>
      <c r="Y579" s="30">
        <v>47118.0</v>
      </c>
      <c r="Z579" s="29" t="s">
        <v>7053</v>
      </c>
      <c r="AA579" s="29" t="s">
        <v>7053</v>
      </c>
      <c r="AB579" s="35" t="s">
        <v>7045</v>
      </c>
      <c r="AC579" s="30">
        <v>47119.0</v>
      </c>
      <c r="AD579" s="30">
        <v>47483.0</v>
      </c>
      <c r="AE579" s="29" t="s">
        <v>7053</v>
      </c>
      <c r="AF579" s="29" t="s">
        <v>7053</v>
      </c>
      <c r="AG579" s="35" t="s">
        <v>7045</v>
      </c>
      <c r="AH579" s="30">
        <v>47484.0</v>
      </c>
      <c r="AI579" s="30">
        <v>47848.0</v>
      </c>
      <c r="AJ579" s="29" t="s">
        <v>7053</v>
      </c>
      <c r="AK579" s="29" t="s">
        <v>7053</v>
      </c>
      <c r="AL579" s="35" t="s">
        <v>7045</v>
      </c>
    </row>
    <row r="580" ht="14.25" customHeight="1">
      <c r="A580" s="28" t="s">
        <v>1113</v>
      </c>
      <c r="B580" s="29" t="s">
        <v>1114</v>
      </c>
      <c r="C580" s="29" t="s">
        <v>7041</v>
      </c>
      <c r="D580" s="30">
        <v>45292.0</v>
      </c>
      <c r="E580" s="30">
        <v>45657.0</v>
      </c>
      <c r="F580" s="29" t="s">
        <v>7053</v>
      </c>
      <c r="G580" s="29" t="s">
        <v>7053</v>
      </c>
      <c r="H580" s="32" t="s">
        <v>7043</v>
      </c>
      <c r="I580" s="30">
        <v>45658.0</v>
      </c>
      <c r="J580" s="30">
        <v>46022.0</v>
      </c>
      <c r="K580" s="29" t="s">
        <v>7097</v>
      </c>
      <c r="L580" s="29" t="s">
        <v>7053</v>
      </c>
      <c r="M580" s="38" t="s">
        <v>7047</v>
      </c>
      <c r="N580" s="30">
        <v>46023.0</v>
      </c>
      <c r="O580" s="30">
        <v>46387.0</v>
      </c>
      <c r="P580" s="29" t="s">
        <v>7053</v>
      </c>
      <c r="Q580" s="29" t="s">
        <v>7053</v>
      </c>
      <c r="R580" s="32" t="s">
        <v>7043</v>
      </c>
      <c r="S580" s="30">
        <v>46388.0</v>
      </c>
      <c r="T580" s="30">
        <v>46752.0</v>
      </c>
      <c r="U580" s="29" t="s">
        <v>7053</v>
      </c>
      <c r="V580" s="29" t="s">
        <v>7053</v>
      </c>
      <c r="W580" s="32" t="s">
        <v>7043</v>
      </c>
      <c r="X580" s="30">
        <v>46753.0</v>
      </c>
      <c r="Y580" s="30">
        <v>47118.0</v>
      </c>
      <c r="Z580" s="29" t="s">
        <v>7053</v>
      </c>
      <c r="AA580" s="29" t="s">
        <v>7053</v>
      </c>
      <c r="AB580" s="32" t="s">
        <v>7043</v>
      </c>
      <c r="AC580" s="30">
        <v>47119.0</v>
      </c>
      <c r="AD580" s="30">
        <v>47483.0</v>
      </c>
      <c r="AE580" s="29" t="s">
        <v>7053</v>
      </c>
      <c r="AF580" s="29" t="s">
        <v>7053</v>
      </c>
      <c r="AG580" s="32" t="s">
        <v>7043</v>
      </c>
      <c r="AH580" s="30">
        <v>47484.0</v>
      </c>
      <c r="AI580" s="30">
        <v>47848.0</v>
      </c>
      <c r="AJ580" s="29" t="s">
        <v>7053</v>
      </c>
      <c r="AK580" s="29" t="s">
        <v>7053</v>
      </c>
      <c r="AL580" s="32" t="s">
        <v>7043</v>
      </c>
    </row>
    <row r="581" ht="14.25" customHeight="1">
      <c r="A581" s="28" t="s">
        <v>1308</v>
      </c>
      <c r="B581" s="29" t="s">
        <v>1309</v>
      </c>
      <c r="C581" s="29" t="s">
        <v>7041</v>
      </c>
      <c r="D581" s="30">
        <v>45292.0</v>
      </c>
      <c r="E581" s="30">
        <v>45657.0</v>
      </c>
      <c r="F581" s="29" t="s">
        <v>7053</v>
      </c>
      <c r="G581" s="29" t="s">
        <v>7053</v>
      </c>
      <c r="H581" s="35" t="s">
        <v>7045</v>
      </c>
      <c r="I581" s="30">
        <v>45658.0</v>
      </c>
      <c r="J581" s="30">
        <v>46022.0</v>
      </c>
      <c r="K581" s="29" t="s">
        <v>7053</v>
      </c>
      <c r="L581" s="29" t="s">
        <v>7053</v>
      </c>
      <c r="M581" s="35" t="s">
        <v>7045</v>
      </c>
      <c r="N581" s="30">
        <v>46023.0</v>
      </c>
      <c r="O581" s="30">
        <v>46387.0</v>
      </c>
      <c r="P581" s="29" t="s">
        <v>7053</v>
      </c>
      <c r="Q581" s="29" t="s">
        <v>7053</v>
      </c>
      <c r="R581" s="35" t="s">
        <v>7045</v>
      </c>
      <c r="S581" s="30">
        <v>46388.0</v>
      </c>
      <c r="T581" s="30">
        <v>46752.0</v>
      </c>
      <c r="U581" s="29" t="s">
        <v>7053</v>
      </c>
      <c r="V581" s="29" t="s">
        <v>7053</v>
      </c>
      <c r="W581" s="35" t="s">
        <v>7045</v>
      </c>
      <c r="X581" s="30">
        <v>46753.0</v>
      </c>
      <c r="Y581" s="30">
        <v>47118.0</v>
      </c>
      <c r="Z581" s="29" t="s">
        <v>7053</v>
      </c>
      <c r="AA581" s="29" t="s">
        <v>7053</v>
      </c>
      <c r="AB581" s="35" t="s">
        <v>7045</v>
      </c>
      <c r="AC581" s="30">
        <v>47119.0</v>
      </c>
      <c r="AD581" s="30">
        <v>47483.0</v>
      </c>
      <c r="AE581" s="29" t="s">
        <v>7053</v>
      </c>
      <c r="AF581" s="29" t="s">
        <v>7053</v>
      </c>
      <c r="AG581" s="35" t="s">
        <v>7045</v>
      </c>
      <c r="AH581" s="30">
        <v>47484.0</v>
      </c>
      <c r="AI581" s="30">
        <v>47848.0</v>
      </c>
      <c r="AJ581" s="29" t="s">
        <v>7053</v>
      </c>
      <c r="AK581" s="29" t="s">
        <v>7053</v>
      </c>
      <c r="AL581" s="35" t="s">
        <v>7045</v>
      </c>
    </row>
    <row r="582" ht="14.25" customHeight="1">
      <c r="A582" s="28" t="s">
        <v>222</v>
      </c>
      <c r="B582" s="29" t="s">
        <v>223</v>
      </c>
      <c r="C582" s="29" t="s">
        <v>7041</v>
      </c>
      <c r="D582" s="30">
        <v>45292.0</v>
      </c>
      <c r="E582" s="30">
        <v>45657.0</v>
      </c>
      <c r="F582" s="29" t="s">
        <v>7053</v>
      </c>
      <c r="G582" s="29" t="s">
        <v>7053</v>
      </c>
      <c r="H582" s="35" t="s">
        <v>7045</v>
      </c>
      <c r="I582" s="30">
        <v>45658.0</v>
      </c>
      <c r="J582" s="30">
        <v>46022.0</v>
      </c>
      <c r="K582" s="29" t="s">
        <v>7053</v>
      </c>
      <c r="L582" s="29" t="s">
        <v>7053</v>
      </c>
      <c r="M582" s="35" t="s">
        <v>7045</v>
      </c>
      <c r="N582" s="30">
        <v>46023.0</v>
      </c>
      <c r="O582" s="30">
        <v>46387.0</v>
      </c>
      <c r="P582" s="29" t="s">
        <v>7053</v>
      </c>
      <c r="Q582" s="29" t="s">
        <v>7053</v>
      </c>
      <c r="R582" s="35" t="s">
        <v>7045</v>
      </c>
      <c r="S582" s="30">
        <v>46388.0</v>
      </c>
      <c r="T582" s="30">
        <v>46752.0</v>
      </c>
      <c r="U582" s="29" t="s">
        <v>7053</v>
      </c>
      <c r="V582" s="29" t="s">
        <v>7053</v>
      </c>
      <c r="W582" s="35" t="s">
        <v>7045</v>
      </c>
      <c r="X582" s="30">
        <v>46753.0</v>
      </c>
      <c r="Y582" s="30">
        <v>47118.0</v>
      </c>
      <c r="Z582" s="29" t="s">
        <v>7053</v>
      </c>
      <c r="AA582" s="29" t="s">
        <v>7053</v>
      </c>
      <c r="AB582" s="35" t="s">
        <v>7045</v>
      </c>
      <c r="AC582" s="30">
        <v>47119.0</v>
      </c>
      <c r="AD582" s="30">
        <v>47483.0</v>
      </c>
      <c r="AE582" s="29" t="s">
        <v>7053</v>
      </c>
      <c r="AF582" s="29" t="s">
        <v>7053</v>
      </c>
      <c r="AG582" s="35" t="s">
        <v>7045</v>
      </c>
      <c r="AH582" s="30">
        <v>47484.0</v>
      </c>
      <c r="AI582" s="30">
        <v>47848.0</v>
      </c>
      <c r="AJ582" s="29" t="s">
        <v>7053</v>
      </c>
      <c r="AK582" s="29" t="s">
        <v>7053</v>
      </c>
      <c r="AL582" s="35" t="s">
        <v>7045</v>
      </c>
    </row>
    <row r="583" ht="14.25" customHeight="1">
      <c r="A583" s="28" t="s">
        <v>4156</v>
      </c>
      <c r="B583" s="29" t="s">
        <v>4157</v>
      </c>
      <c r="C583" s="29" t="s">
        <v>7041</v>
      </c>
      <c r="D583" s="30">
        <v>45292.0</v>
      </c>
      <c r="E583" s="30">
        <v>45657.0</v>
      </c>
      <c r="F583" s="29" t="s">
        <v>7053</v>
      </c>
      <c r="G583" s="29" t="s">
        <v>7053</v>
      </c>
      <c r="H583" s="32" t="s">
        <v>7043</v>
      </c>
      <c r="I583" s="30">
        <v>45658.0</v>
      </c>
      <c r="J583" s="30">
        <v>46022.0</v>
      </c>
      <c r="K583" s="29" t="s">
        <v>7079</v>
      </c>
      <c r="L583" s="29" t="s">
        <v>7053</v>
      </c>
      <c r="M583" s="38" t="s">
        <v>7047</v>
      </c>
      <c r="N583" s="30">
        <v>46023.0</v>
      </c>
      <c r="O583" s="30">
        <v>46387.0</v>
      </c>
      <c r="P583" s="29" t="s">
        <v>7053</v>
      </c>
      <c r="Q583" s="29" t="s">
        <v>7053</v>
      </c>
      <c r="R583" s="32" t="s">
        <v>7043</v>
      </c>
      <c r="S583" s="30">
        <v>46388.0</v>
      </c>
      <c r="T583" s="30">
        <v>46752.0</v>
      </c>
      <c r="U583" s="29" t="s">
        <v>7053</v>
      </c>
      <c r="V583" s="29" t="s">
        <v>7053</v>
      </c>
      <c r="W583" s="32" t="s">
        <v>7043</v>
      </c>
      <c r="X583" s="30">
        <v>46753.0</v>
      </c>
      <c r="Y583" s="30">
        <v>47118.0</v>
      </c>
      <c r="Z583" s="29" t="s">
        <v>7053</v>
      </c>
      <c r="AA583" s="29" t="s">
        <v>7053</v>
      </c>
      <c r="AB583" s="32" t="s">
        <v>7043</v>
      </c>
      <c r="AC583" s="30">
        <v>47119.0</v>
      </c>
      <c r="AD583" s="30">
        <v>47483.0</v>
      </c>
      <c r="AE583" s="29" t="s">
        <v>7053</v>
      </c>
      <c r="AF583" s="29" t="s">
        <v>7053</v>
      </c>
      <c r="AG583" s="32" t="s">
        <v>7043</v>
      </c>
      <c r="AH583" s="30">
        <v>47484.0</v>
      </c>
      <c r="AI583" s="30">
        <v>47848.0</v>
      </c>
      <c r="AJ583" s="29" t="s">
        <v>7053</v>
      </c>
      <c r="AK583" s="29" t="s">
        <v>7053</v>
      </c>
      <c r="AL583" s="32" t="s">
        <v>7043</v>
      </c>
    </row>
    <row r="584" ht="14.25" customHeight="1">
      <c r="A584" s="28" t="s">
        <v>6022</v>
      </c>
      <c r="B584" s="29" t="s">
        <v>6023</v>
      </c>
      <c r="C584" s="29" t="s">
        <v>7041</v>
      </c>
      <c r="D584" s="30">
        <v>45292.0</v>
      </c>
      <c r="E584" s="30">
        <v>45657.0</v>
      </c>
      <c r="F584" s="29" t="s">
        <v>7053</v>
      </c>
      <c r="G584" s="29" t="s">
        <v>7053</v>
      </c>
      <c r="H584" s="32" t="s">
        <v>7043</v>
      </c>
      <c r="I584" s="30">
        <v>45658.0</v>
      </c>
      <c r="J584" s="30">
        <v>46022.0</v>
      </c>
      <c r="K584" s="29" t="s">
        <v>7089</v>
      </c>
      <c r="L584" s="29" t="s">
        <v>7053</v>
      </c>
      <c r="M584" s="38" t="s">
        <v>7047</v>
      </c>
      <c r="N584" s="30">
        <v>46023.0</v>
      </c>
      <c r="O584" s="30">
        <v>46387.0</v>
      </c>
      <c r="P584" s="29" t="s">
        <v>7053</v>
      </c>
      <c r="Q584" s="29" t="s">
        <v>7053</v>
      </c>
      <c r="R584" s="32" t="s">
        <v>7043</v>
      </c>
      <c r="S584" s="30">
        <v>46388.0</v>
      </c>
      <c r="T584" s="30">
        <v>46752.0</v>
      </c>
      <c r="U584" s="29" t="s">
        <v>7053</v>
      </c>
      <c r="V584" s="29" t="s">
        <v>7053</v>
      </c>
      <c r="W584" s="32" t="s">
        <v>7043</v>
      </c>
      <c r="X584" s="30">
        <v>46753.0</v>
      </c>
      <c r="Y584" s="30">
        <v>47118.0</v>
      </c>
      <c r="Z584" s="29" t="s">
        <v>7053</v>
      </c>
      <c r="AA584" s="29" t="s">
        <v>7053</v>
      </c>
      <c r="AB584" s="32" t="s">
        <v>7043</v>
      </c>
      <c r="AC584" s="30">
        <v>47119.0</v>
      </c>
      <c r="AD584" s="30">
        <v>47483.0</v>
      </c>
      <c r="AE584" s="29" t="s">
        <v>7053</v>
      </c>
      <c r="AF584" s="29" t="s">
        <v>7053</v>
      </c>
      <c r="AG584" s="32" t="s">
        <v>7043</v>
      </c>
      <c r="AH584" s="30">
        <v>47484.0</v>
      </c>
      <c r="AI584" s="30">
        <v>47848.0</v>
      </c>
      <c r="AJ584" s="29" t="s">
        <v>7053</v>
      </c>
      <c r="AK584" s="29" t="s">
        <v>7053</v>
      </c>
      <c r="AL584" s="32" t="s">
        <v>7043</v>
      </c>
    </row>
    <row r="585" ht="14.25" customHeight="1">
      <c r="A585" s="28" t="s">
        <v>6960</v>
      </c>
      <c r="B585" s="29" t="s">
        <v>6961</v>
      </c>
      <c r="C585" s="29" t="s">
        <v>7041</v>
      </c>
      <c r="D585" s="30">
        <v>45292.0</v>
      </c>
      <c r="E585" s="30">
        <v>45657.0</v>
      </c>
      <c r="F585" s="29" t="s">
        <v>7053</v>
      </c>
      <c r="G585" s="29" t="s">
        <v>7053</v>
      </c>
      <c r="H585" s="32" t="s">
        <v>7043</v>
      </c>
      <c r="I585" s="30">
        <v>45658.0</v>
      </c>
      <c r="J585" s="30">
        <v>46022.0</v>
      </c>
      <c r="K585" s="29" t="s">
        <v>7094</v>
      </c>
      <c r="L585" s="29" t="s">
        <v>7119</v>
      </c>
      <c r="M585" s="38" t="s">
        <v>7047</v>
      </c>
      <c r="N585" s="30">
        <v>46023.0</v>
      </c>
      <c r="O585" s="30">
        <v>46387.0</v>
      </c>
      <c r="P585" s="29" t="s">
        <v>7053</v>
      </c>
      <c r="Q585" s="29" t="s">
        <v>7053</v>
      </c>
      <c r="R585" s="32" t="s">
        <v>7043</v>
      </c>
      <c r="S585" s="30">
        <v>46388.0</v>
      </c>
      <c r="T585" s="30">
        <v>46752.0</v>
      </c>
      <c r="U585" s="29" t="s">
        <v>7053</v>
      </c>
      <c r="V585" s="29" t="s">
        <v>7053</v>
      </c>
      <c r="W585" s="32" t="s">
        <v>7043</v>
      </c>
      <c r="X585" s="30">
        <v>46753.0</v>
      </c>
      <c r="Y585" s="30">
        <v>47118.0</v>
      </c>
      <c r="Z585" s="29" t="s">
        <v>7053</v>
      </c>
      <c r="AA585" s="29" t="s">
        <v>7053</v>
      </c>
      <c r="AB585" s="32" t="s">
        <v>7043</v>
      </c>
      <c r="AC585" s="30">
        <v>47119.0</v>
      </c>
      <c r="AD585" s="30">
        <v>47483.0</v>
      </c>
      <c r="AE585" s="29" t="s">
        <v>7053</v>
      </c>
      <c r="AF585" s="29" t="s">
        <v>7053</v>
      </c>
      <c r="AG585" s="32" t="s">
        <v>7043</v>
      </c>
      <c r="AH585" s="30">
        <v>47484.0</v>
      </c>
      <c r="AI585" s="30">
        <v>47848.0</v>
      </c>
      <c r="AJ585" s="29" t="s">
        <v>7053</v>
      </c>
      <c r="AK585" s="29" t="s">
        <v>7053</v>
      </c>
      <c r="AL585" s="32" t="s">
        <v>7043</v>
      </c>
    </row>
    <row r="586" ht="14.25" customHeight="1">
      <c r="A586" s="28" t="s">
        <v>955</v>
      </c>
      <c r="B586" s="29" t="s">
        <v>956</v>
      </c>
      <c r="C586" s="29" t="s">
        <v>7041</v>
      </c>
      <c r="D586" s="30">
        <v>45292.0</v>
      </c>
      <c r="E586" s="30">
        <v>45657.0</v>
      </c>
      <c r="F586" s="29" t="s">
        <v>7053</v>
      </c>
      <c r="G586" s="29" t="s">
        <v>7053</v>
      </c>
      <c r="H586" s="32" t="s">
        <v>7043</v>
      </c>
      <c r="I586" s="30">
        <v>45658.0</v>
      </c>
      <c r="J586" s="30">
        <v>46022.0</v>
      </c>
      <c r="K586" s="29" t="s">
        <v>7070</v>
      </c>
      <c r="L586" s="29" t="s">
        <v>7096</v>
      </c>
      <c r="M586" s="32" t="s">
        <v>7046</v>
      </c>
      <c r="N586" s="30">
        <v>46023.0</v>
      </c>
      <c r="O586" s="30">
        <v>46387.0</v>
      </c>
      <c r="P586" s="29" t="s">
        <v>7053</v>
      </c>
      <c r="Q586" s="29" t="s">
        <v>7053</v>
      </c>
      <c r="R586" s="32" t="s">
        <v>7043</v>
      </c>
      <c r="S586" s="30">
        <v>46388.0</v>
      </c>
      <c r="T586" s="30">
        <v>46752.0</v>
      </c>
      <c r="U586" s="29" t="s">
        <v>7053</v>
      </c>
      <c r="V586" s="29" t="s">
        <v>7053</v>
      </c>
      <c r="W586" s="32" t="s">
        <v>7043</v>
      </c>
      <c r="X586" s="30">
        <v>46753.0</v>
      </c>
      <c r="Y586" s="30">
        <v>47118.0</v>
      </c>
      <c r="Z586" s="29" t="s">
        <v>7053</v>
      </c>
      <c r="AA586" s="29" t="s">
        <v>7053</v>
      </c>
      <c r="AB586" s="32" t="s">
        <v>7043</v>
      </c>
      <c r="AC586" s="30">
        <v>47119.0</v>
      </c>
      <c r="AD586" s="30">
        <v>47483.0</v>
      </c>
      <c r="AE586" s="29" t="s">
        <v>7053</v>
      </c>
      <c r="AF586" s="29" t="s">
        <v>7053</v>
      </c>
      <c r="AG586" s="32" t="s">
        <v>7043</v>
      </c>
      <c r="AH586" s="30">
        <v>47484.0</v>
      </c>
      <c r="AI586" s="30">
        <v>47848.0</v>
      </c>
      <c r="AJ586" s="29" t="s">
        <v>7053</v>
      </c>
      <c r="AK586" s="29" t="s">
        <v>7053</v>
      </c>
      <c r="AL586" s="32" t="s">
        <v>7043</v>
      </c>
    </row>
    <row r="587" ht="14.25" customHeight="1">
      <c r="A587" s="28" t="s">
        <v>2611</v>
      </c>
      <c r="B587" s="29" t="s">
        <v>2612</v>
      </c>
      <c r="C587" s="29" t="s">
        <v>7044</v>
      </c>
      <c r="D587" s="30">
        <v>45292.0</v>
      </c>
      <c r="E587" s="30">
        <v>45657.0</v>
      </c>
      <c r="F587" s="29" t="s">
        <v>7053</v>
      </c>
      <c r="G587" s="29" t="s">
        <v>7053</v>
      </c>
      <c r="H587" s="35" t="s">
        <v>7045</v>
      </c>
      <c r="I587" s="30">
        <v>45658.0</v>
      </c>
      <c r="J587" s="30">
        <v>46022.0</v>
      </c>
      <c r="K587" s="29" t="s">
        <v>7053</v>
      </c>
      <c r="L587" s="29" t="s">
        <v>7053</v>
      </c>
      <c r="M587" s="35" t="s">
        <v>7045</v>
      </c>
      <c r="N587" s="30">
        <v>46023.0</v>
      </c>
      <c r="O587" s="30">
        <v>46387.0</v>
      </c>
      <c r="P587" s="29" t="s">
        <v>7053</v>
      </c>
      <c r="Q587" s="29" t="s">
        <v>7053</v>
      </c>
      <c r="R587" s="35" t="s">
        <v>7045</v>
      </c>
      <c r="S587" s="30">
        <v>46388.0</v>
      </c>
      <c r="T587" s="30">
        <v>46752.0</v>
      </c>
      <c r="U587" s="29" t="s">
        <v>7053</v>
      </c>
      <c r="V587" s="29" t="s">
        <v>7053</v>
      </c>
      <c r="W587" s="35" t="s">
        <v>7045</v>
      </c>
      <c r="X587" s="30">
        <v>46753.0</v>
      </c>
      <c r="Y587" s="30">
        <v>47118.0</v>
      </c>
      <c r="Z587" s="29" t="s">
        <v>7053</v>
      </c>
      <c r="AA587" s="29" t="s">
        <v>7053</v>
      </c>
      <c r="AB587" s="35" t="s">
        <v>7045</v>
      </c>
      <c r="AC587" s="30">
        <v>47119.0</v>
      </c>
      <c r="AD587" s="30">
        <v>47483.0</v>
      </c>
      <c r="AE587" s="29" t="s">
        <v>7053</v>
      </c>
      <c r="AF587" s="29" t="s">
        <v>7053</v>
      </c>
      <c r="AG587" s="35" t="s">
        <v>7045</v>
      </c>
      <c r="AH587" s="30">
        <v>47484.0</v>
      </c>
      <c r="AI587" s="30">
        <v>47848.0</v>
      </c>
      <c r="AJ587" s="29" t="s">
        <v>7053</v>
      </c>
      <c r="AK587" s="29" t="s">
        <v>7053</v>
      </c>
      <c r="AL587" s="35" t="s">
        <v>7045</v>
      </c>
    </row>
    <row r="588" ht="14.25" customHeight="1">
      <c r="A588" s="28" t="s">
        <v>5469</v>
      </c>
      <c r="B588" s="29" t="s">
        <v>5470</v>
      </c>
      <c r="C588" s="29" t="s">
        <v>7041</v>
      </c>
      <c r="D588" s="30">
        <v>45292.0</v>
      </c>
      <c r="E588" s="30">
        <v>45657.0</v>
      </c>
      <c r="F588" s="29" t="s">
        <v>7053</v>
      </c>
      <c r="G588" s="29" t="s">
        <v>7053</v>
      </c>
      <c r="H588" s="32" t="s">
        <v>7043</v>
      </c>
      <c r="I588" s="30">
        <v>45658.0</v>
      </c>
      <c r="J588" s="30">
        <v>46022.0</v>
      </c>
      <c r="K588" s="29" t="s">
        <v>7062</v>
      </c>
      <c r="L588" s="29" t="s">
        <v>7097</v>
      </c>
      <c r="M588" s="38" t="s">
        <v>7047</v>
      </c>
      <c r="N588" s="30">
        <v>46023.0</v>
      </c>
      <c r="O588" s="30">
        <v>46387.0</v>
      </c>
      <c r="P588" s="29" t="s">
        <v>7053</v>
      </c>
      <c r="Q588" s="29" t="s">
        <v>7053</v>
      </c>
      <c r="R588" s="32" t="s">
        <v>7043</v>
      </c>
      <c r="S588" s="30">
        <v>46388.0</v>
      </c>
      <c r="T588" s="30">
        <v>46752.0</v>
      </c>
      <c r="U588" s="29" t="s">
        <v>7053</v>
      </c>
      <c r="V588" s="29" t="s">
        <v>7053</v>
      </c>
      <c r="W588" s="32" t="s">
        <v>7043</v>
      </c>
      <c r="X588" s="30">
        <v>46753.0</v>
      </c>
      <c r="Y588" s="30">
        <v>47118.0</v>
      </c>
      <c r="Z588" s="29" t="s">
        <v>7053</v>
      </c>
      <c r="AA588" s="29" t="s">
        <v>7053</v>
      </c>
      <c r="AB588" s="32" t="s">
        <v>7043</v>
      </c>
      <c r="AC588" s="30">
        <v>47119.0</v>
      </c>
      <c r="AD588" s="30">
        <v>47483.0</v>
      </c>
      <c r="AE588" s="29" t="s">
        <v>7053</v>
      </c>
      <c r="AF588" s="29" t="s">
        <v>7053</v>
      </c>
      <c r="AG588" s="32" t="s">
        <v>7043</v>
      </c>
      <c r="AH588" s="30">
        <v>47484.0</v>
      </c>
      <c r="AI588" s="30">
        <v>47848.0</v>
      </c>
      <c r="AJ588" s="29" t="s">
        <v>7053</v>
      </c>
      <c r="AK588" s="29" t="s">
        <v>7053</v>
      </c>
      <c r="AL588" s="32" t="s">
        <v>7043</v>
      </c>
    </row>
    <row r="589" ht="14.25" customHeight="1">
      <c r="A589" s="28" t="s">
        <v>5562</v>
      </c>
      <c r="B589" s="29" t="s">
        <v>5563</v>
      </c>
      <c r="C589" s="29" t="s">
        <v>7041</v>
      </c>
      <c r="D589" s="30">
        <v>45292.0</v>
      </c>
      <c r="E589" s="30">
        <v>45657.0</v>
      </c>
      <c r="F589" s="29" t="s">
        <v>7053</v>
      </c>
      <c r="G589" s="29" t="s">
        <v>7053</v>
      </c>
      <c r="H589" s="32" t="s">
        <v>7043</v>
      </c>
      <c r="I589" s="30">
        <v>45658.0</v>
      </c>
      <c r="J589" s="30">
        <v>46022.0</v>
      </c>
      <c r="K589" s="29" t="s">
        <v>7089</v>
      </c>
      <c r="L589" s="29" t="s">
        <v>7053</v>
      </c>
      <c r="M589" s="38" t="s">
        <v>7047</v>
      </c>
      <c r="N589" s="30">
        <v>46023.0</v>
      </c>
      <c r="O589" s="30">
        <v>46387.0</v>
      </c>
      <c r="P589" s="29" t="s">
        <v>7053</v>
      </c>
      <c r="Q589" s="29" t="s">
        <v>7053</v>
      </c>
      <c r="R589" s="32" t="s">
        <v>7043</v>
      </c>
      <c r="S589" s="30">
        <v>46388.0</v>
      </c>
      <c r="T589" s="30">
        <v>46752.0</v>
      </c>
      <c r="U589" s="29" t="s">
        <v>7053</v>
      </c>
      <c r="V589" s="29" t="s">
        <v>7053</v>
      </c>
      <c r="W589" s="32" t="s">
        <v>7043</v>
      </c>
      <c r="X589" s="30">
        <v>46753.0</v>
      </c>
      <c r="Y589" s="30">
        <v>47118.0</v>
      </c>
      <c r="Z589" s="29" t="s">
        <v>7053</v>
      </c>
      <c r="AA589" s="29" t="s">
        <v>7053</v>
      </c>
      <c r="AB589" s="32" t="s">
        <v>7043</v>
      </c>
      <c r="AC589" s="30">
        <v>47119.0</v>
      </c>
      <c r="AD589" s="30">
        <v>47483.0</v>
      </c>
      <c r="AE589" s="29" t="s">
        <v>7053</v>
      </c>
      <c r="AF589" s="29" t="s">
        <v>7053</v>
      </c>
      <c r="AG589" s="32" t="s">
        <v>7043</v>
      </c>
      <c r="AH589" s="30">
        <v>47484.0</v>
      </c>
      <c r="AI589" s="30">
        <v>47848.0</v>
      </c>
      <c r="AJ589" s="29" t="s">
        <v>7053</v>
      </c>
      <c r="AK589" s="29" t="s">
        <v>7053</v>
      </c>
      <c r="AL589" s="32" t="s">
        <v>7043</v>
      </c>
    </row>
    <row r="590" ht="14.25" customHeight="1">
      <c r="A590" s="28" t="s">
        <v>6137</v>
      </c>
      <c r="B590" s="29" t="s">
        <v>6138</v>
      </c>
      <c r="C590" s="29" t="s">
        <v>7041</v>
      </c>
      <c r="D590" s="30">
        <v>45292.0</v>
      </c>
      <c r="E590" s="30">
        <v>45657.0</v>
      </c>
      <c r="F590" s="29" t="s">
        <v>7053</v>
      </c>
      <c r="G590" s="29" t="s">
        <v>7053</v>
      </c>
      <c r="H590" s="35" t="s">
        <v>7043</v>
      </c>
      <c r="I590" s="30">
        <v>45658.0</v>
      </c>
      <c r="J590" s="30">
        <v>46022.0</v>
      </c>
      <c r="K590" s="29" t="s">
        <v>7095</v>
      </c>
      <c r="L590" s="29" t="s">
        <v>7053</v>
      </c>
      <c r="M590" s="35" t="s">
        <v>7047</v>
      </c>
      <c r="N590" s="30">
        <v>46023.0</v>
      </c>
      <c r="O590" s="30">
        <v>46387.0</v>
      </c>
      <c r="P590" s="29" t="s">
        <v>7053</v>
      </c>
      <c r="Q590" s="29" t="s">
        <v>7053</v>
      </c>
      <c r="R590" s="35" t="s">
        <v>7043</v>
      </c>
      <c r="S590" s="30">
        <v>46388.0</v>
      </c>
      <c r="T590" s="30">
        <v>46752.0</v>
      </c>
      <c r="U590" s="29" t="s">
        <v>7053</v>
      </c>
      <c r="V590" s="29" t="s">
        <v>7053</v>
      </c>
      <c r="W590" s="35" t="s">
        <v>7043</v>
      </c>
      <c r="X590" s="30">
        <v>46753.0</v>
      </c>
      <c r="Y590" s="30">
        <v>47118.0</v>
      </c>
      <c r="Z590" s="29" t="s">
        <v>7053</v>
      </c>
      <c r="AA590" s="29" t="s">
        <v>7053</v>
      </c>
      <c r="AB590" s="35" t="s">
        <v>7043</v>
      </c>
      <c r="AC590" s="30">
        <v>47119.0</v>
      </c>
      <c r="AD590" s="30">
        <v>47483.0</v>
      </c>
      <c r="AE590" s="29" t="s">
        <v>7053</v>
      </c>
      <c r="AF590" s="29" t="s">
        <v>7053</v>
      </c>
      <c r="AG590" s="35" t="s">
        <v>7043</v>
      </c>
      <c r="AH590" s="30">
        <v>47484.0</v>
      </c>
      <c r="AI590" s="30">
        <v>47848.0</v>
      </c>
      <c r="AJ590" s="29" t="s">
        <v>7053</v>
      </c>
      <c r="AK590" s="29" t="s">
        <v>7053</v>
      </c>
      <c r="AL590" s="35" t="s">
        <v>7043</v>
      </c>
    </row>
    <row r="591" ht="14.25" customHeight="1">
      <c r="A591" s="28" t="s">
        <v>352</v>
      </c>
      <c r="B591" s="29" t="s">
        <v>353</v>
      </c>
      <c r="C591" s="29" t="s">
        <v>7041</v>
      </c>
      <c r="D591" s="30">
        <v>45292.0</v>
      </c>
      <c r="E591" s="30">
        <v>45657.0</v>
      </c>
      <c r="F591" s="29" t="s">
        <v>7053</v>
      </c>
      <c r="G591" s="29" t="s">
        <v>7053</v>
      </c>
      <c r="H591" s="32" t="s">
        <v>7043</v>
      </c>
      <c r="I591" s="30">
        <v>45658.0</v>
      </c>
      <c r="J591" s="30">
        <v>46022.0</v>
      </c>
      <c r="K591" s="29" t="s">
        <v>7050</v>
      </c>
      <c r="L591" s="29" t="s">
        <v>7053</v>
      </c>
      <c r="M591" s="38" t="s">
        <v>7047</v>
      </c>
      <c r="N591" s="30">
        <v>46023.0</v>
      </c>
      <c r="O591" s="30">
        <v>46387.0</v>
      </c>
      <c r="P591" s="29" t="s">
        <v>7053</v>
      </c>
      <c r="Q591" s="29" t="s">
        <v>7053</v>
      </c>
      <c r="R591" s="32" t="s">
        <v>7043</v>
      </c>
      <c r="S591" s="30">
        <v>46388.0</v>
      </c>
      <c r="T591" s="30">
        <v>46752.0</v>
      </c>
      <c r="U591" s="29" t="s">
        <v>7053</v>
      </c>
      <c r="V591" s="29" t="s">
        <v>7053</v>
      </c>
      <c r="W591" s="32" t="s">
        <v>7043</v>
      </c>
      <c r="X591" s="30">
        <v>46753.0</v>
      </c>
      <c r="Y591" s="30">
        <v>47118.0</v>
      </c>
      <c r="Z591" s="29" t="s">
        <v>7053</v>
      </c>
      <c r="AA591" s="29" t="s">
        <v>7053</v>
      </c>
      <c r="AB591" s="32" t="s">
        <v>7043</v>
      </c>
      <c r="AC591" s="30">
        <v>47119.0</v>
      </c>
      <c r="AD591" s="30">
        <v>47483.0</v>
      </c>
      <c r="AE591" s="29" t="s">
        <v>7053</v>
      </c>
      <c r="AF591" s="29" t="s">
        <v>7053</v>
      </c>
      <c r="AG591" s="32" t="s">
        <v>7043</v>
      </c>
      <c r="AH591" s="30">
        <v>47484.0</v>
      </c>
      <c r="AI591" s="30">
        <v>47848.0</v>
      </c>
      <c r="AJ591" s="29" t="s">
        <v>7053</v>
      </c>
      <c r="AK591" s="29" t="s">
        <v>7053</v>
      </c>
      <c r="AL591" s="32" t="s">
        <v>7043</v>
      </c>
    </row>
    <row r="592" ht="14.25" customHeight="1">
      <c r="A592" s="28" t="s">
        <v>2978</v>
      </c>
      <c r="B592" s="29" t="s">
        <v>2979</v>
      </c>
      <c r="C592" s="29" t="s">
        <v>7041</v>
      </c>
      <c r="D592" s="30">
        <v>45292.0</v>
      </c>
      <c r="E592" s="30">
        <v>45657.0</v>
      </c>
      <c r="F592" s="29" t="s">
        <v>7053</v>
      </c>
      <c r="G592" s="29" t="s">
        <v>7053</v>
      </c>
      <c r="H592" s="32" t="s">
        <v>7043</v>
      </c>
      <c r="I592" s="30">
        <v>45658.0</v>
      </c>
      <c r="J592" s="30">
        <v>46022.0</v>
      </c>
      <c r="K592" s="29" t="s">
        <v>7064</v>
      </c>
      <c r="L592" s="29" t="s">
        <v>7053</v>
      </c>
      <c r="M592" s="38" t="s">
        <v>7047</v>
      </c>
      <c r="N592" s="30">
        <v>46023.0</v>
      </c>
      <c r="O592" s="30">
        <v>46387.0</v>
      </c>
      <c r="P592" s="29" t="s">
        <v>7053</v>
      </c>
      <c r="Q592" s="29" t="s">
        <v>7053</v>
      </c>
      <c r="R592" s="32" t="s">
        <v>7043</v>
      </c>
      <c r="S592" s="30">
        <v>46388.0</v>
      </c>
      <c r="T592" s="30">
        <v>46752.0</v>
      </c>
      <c r="U592" s="29" t="s">
        <v>7053</v>
      </c>
      <c r="V592" s="29" t="s">
        <v>7053</v>
      </c>
      <c r="W592" s="32" t="s">
        <v>7043</v>
      </c>
      <c r="X592" s="30">
        <v>46753.0</v>
      </c>
      <c r="Y592" s="30">
        <v>47118.0</v>
      </c>
      <c r="Z592" s="29" t="s">
        <v>7053</v>
      </c>
      <c r="AA592" s="29" t="s">
        <v>7053</v>
      </c>
      <c r="AB592" s="32" t="s">
        <v>7043</v>
      </c>
      <c r="AC592" s="30">
        <v>47119.0</v>
      </c>
      <c r="AD592" s="30">
        <v>47483.0</v>
      </c>
      <c r="AE592" s="29" t="s">
        <v>7053</v>
      </c>
      <c r="AF592" s="29" t="s">
        <v>7053</v>
      </c>
      <c r="AG592" s="32" t="s">
        <v>7043</v>
      </c>
      <c r="AH592" s="30">
        <v>47484.0</v>
      </c>
      <c r="AI592" s="30">
        <v>47848.0</v>
      </c>
      <c r="AJ592" s="29" t="s">
        <v>7053</v>
      </c>
      <c r="AK592" s="29" t="s">
        <v>7053</v>
      </c>
      <c r="AL592" s="32" t="s">
        <v>7043</v>
      </c>
    </row>
    <row r="593" ht="14.25" customHeight="1">
      <c r="A593" s="28" t="s">
        <v>1605</v>
      </c>
      <c r="B593" s="29" t="s">
        <v>1606</v>
      </c>
      <c r="C593" s="29" t="s">
        <v>7041</v>
      </c>
      <c r="D593" s="30">
        <v>45292.0</v>
      </c>
      <c r="E593" s="30">
        <v>45657.0</v>
      </c>
      <c r="F593" s="29" t="s">
        <v>7053</v>
      </c>
      <c r="G593" s="29" t="s">
        <v>7053</v>
      </c>
      <c r="H593" s="32" t="s">
        <v>7043</v>
      </c>
      <c r="I593" s="30">
        <v>45658.0</v>
      </c>
      <c r="J593" s="30">
        <v>46022.0</v>
      </c>
      <c r="K593" s="29" t="s">
        <v>7071</v>
      </c>
      <c r="L593" s="29" t="s">
        <v>7053</v>
      </c>
      <c r="M593" s="38" t="s">
        <v>7047</v>
      </c>
      <c r="N593" s="30">
        <v>46023.0</v>
      </c>
      <c r="O593" s="30">
        <v>46387.0</v>
      </c>
      <c r="P593" s="29" t="s">
        <v>7053</v>
      </c>
      <c r="Q593" s="29" t="s">
        <v>7053</v>
      </c>
      <c r="R593" s="32" t="s">
        <v>7043</v>
      </c>
      <c r="S593" s="30">
        <v>46388.0</v>
      </c>
      <c r="T593" s="30">
        <v>46752.0</v>
      </c>
      <c r="U593" s="29" t="s">
        <v>7053</v>
      </c>
      <c r="V593" s="29" t="s">
        <v>7053</v>
      </c>
      <c r="W593" s="32" t="s">
        <v>7043</v>
      </c>
      <c r="X593" s="30">
        <v>46753.0</v>
      </c>
      <c r="Y593" s="30">
        <v>47118.0</v>
      </c>
      <c r="Z593" s="29" t="s">
        <v>7053</v>
      </c>
      <c r="AA593" s="29" t="s">
        <v>7053</v>
      </c>
      <c r="AB593" s="32" t="s">
        <v>7043</v>
      </c>
      <c r="AC593" s="30">
        <v>47119.0</v>
      </c>
      <c r="AD593" s="30">
        <v>47483.0</v>
      </c>
      <c r="AE593" s="29" t="s">
        <v>7053</v>
      </c>
      <c r="AF593" s="29" t="s">
        <v>7053</v>
      </c>
      <c r="AG593" s="32" t="s">
        <v>7043</v>
      </c>
      <c r="AH593" s="30">
        <v>47484.0</v>
      </c>
      <c r="AI593" s="30">
        <v>47848.0</v>
      </c>
      <c r="AJ593" s="29" t="s">
        <v>7053</v>
      </c>
      <c r="AK593" s="29" t="s">
        <v>7053</v>
      </c>
      <c r="AL593" s="32" t="s">
        <v>7043</v>
      </c>
    </row>
    <row r="594" ht="14.25" customHeight="1">
      <c r="A594" s="28" t="s">
        <v>5163</v>
      </c>
      <c r="B594" s="29" t="s">
        <v>5164</v>
      </c>
      <c r="C594" s="29" t="s">
        <v>7041</v>
      </c>
      <c r="D594" s="30">
        <v>45292.0</v>
      </c>
      <c r="E594" s="30">
        <v>45657.0</v>
      </c>
      <c r="F594" s="29" t="s">
        <v>7053</v>
      </c>
      <c r="G594" s="29" t="s">
        <v>7053</v>
      </c>
      <c r="H594" s="32" t="s">
        <v>7043</v>
      </c>
      <c r="I594" s="30">
        <v>45658.0</v>
      </c>
      <c r="J594" s="30">
        <v>46022.0</v>
      </c>
      <c r="K594" s="29" t="s">
        <v>7097</v>
      </c>
      <c r="L594" s="29" t="s">
        <v>7053</v>
      </c>
      <c r="M594" s="38" t="s">
        <v>7047</v>
      </c>
      <c r="N594" s="30">
        <v>46023.0</v>
      </c>
      <c r="O594" s="30">
        <v>46387.0</v>
      </c>
      <c r="P594" s="29" t="s">
        <v>7053</v>
      </c>
      <c r="Q594" s="29" t="s">
        <v>7053</v>
      </c>
      <c r="R594" s="32" t="s">
        <v>7043</v>
      </c>
      <c r="S594" s="30">
        <v>46388.0</v>
      </c>
      <c r="T594" s="30">
        <v>46752.0</v>
      </c>
      <c r="U594" s="29" t="s">
        <v>7053</v>
      </c>
      <c r="V594" s="29" t="s">
        <v>7053</v>
      </c>
      <c r="W594" s="32" t="s">
        <v>7043</v>
      </c>
      <c r="X594" s="30">
        <v>46753.0</v>
      </c>
      <c r="Y594" s="30">
        <v>47118.0</v>
      </c>
      <c r="Z594" s="29" t="s">
        <v>7053</v>
      </c>
      <c r="AA594" s="29" t="s">
        <v>7053</v>
      </c>
      <c r="AB594" s="32" t="s">
        <v>7043</v>
      </c>
      <c r="AC594" s="30">
        <v>47119.0</v>
      </c>
      <c r="AD594" s="30">
        <v>47483.0</v>
      </c>
      <c r="AE594" s="29" t="s">
        <v>7053</v>
      </c>
      <c r="AF594" s="29" t="s">
        <v>7053</v>
      </c>
      <c r="AG594" s="32" t="s">
        <v>7043</v>
      </c>
      <c r="AH594" s="30">
        <v>47484.0</v>
      </c>
      <c r="AI594" s="30">
        <v>47848.0</v>
      </c>
      <c r="AJ594" s="29" t="s">
        <v>7053</v>
      </c>
      <c r="AK594" s="29" t="s">
        <v>7053</v>
      </c>
      <c r="AL594" s="32" t="s">
        <v>7043</v>
      </c>
    </row>
    <row r="595" ht="14.25" customHeight="1">
      <c r="A595" s="28" t="s">
        <v>1288</v>
      </c>
      <c r="B595" s="29" t="s">
        <v>1289</v>
      </c>
      <c r="C595" s="29" t="s">
        <v>7041</v>
      </c>
      <c r="D595" s="30">
        <v>45292.0</v>
      </c>
      <c r="E595" s="30">
        <v>45657.0</v>
      </c>
      <c r="F595" s="29" t="s">
        <v>7053</v>
      </c>
      <c r="G595" s="29" t="s">
        <v>7053</v>
      </c>
      <c r="H595" s="35" t="s">
        <v>7045</v>
      </c>
      <c r="I595" s="30">
        <v>45658.0</v>
      </c>
      <c r="J595" s="30">
        <v>46022.0</v>
      </c>
      <c r="K595" s="29" t="s">
        <v>7053</v>
      </c>
      <c r="L595" s="29" t="s">
        <v>7077</v>
      </c>
      <c r="M595" s="35" t="s">
        <v>7045</v>
      </c>
      <c r="N595" s="30">
        <v>46023.0</v>
      </c>
      <c r="O595" s="30">
        <v>46387.0</v>
      </c>
      <c r="P595" s="29" t="s">
        <v>7053</v>
      </c>
      <c r="Q595" s="29" t="s">
        <v>7053</v>
      </c>
      <c r="R595" s="35" t="s">
        <v>7045</v>
      </c>
      <c r="S595" s="30">
        <v>46388.0</v>
      </c>
      <c r="T595" s="30">
        <v>46752.0</v>
      </c>
      <c r="U595" s="29" t="s">
        <v>7053</v>
      </c>
      <c r="V595" s="29" t="s">
        <v>7053</v>
      </c>
      <c r="W595" s="35" t="s">
        <v>7045</v>
      </c>
      <c r="X595" s="30">
        <v>46753.0</v>
      </c>
      <c r="Y595" s="30">
        <v>47118.0</v>
      </c>
      <c r="Z595" s="29" t="s">
        <v>7053</v>
      </c>
      <c r="AA595" s="29" t="s">
        <v>7053</v>
      </c>
      <c r="AB595" s="35" t="s">
        <v>7045</v>
      </c>
      <c r="AC595" s="30">
        <v>47119.0</v>
      </c>
      <c r="AD595" s="30">
        <v>47483.0</v>
      </c>
      <c r="AE595" s="29" t="s">
        <v>7053</v>
      </c>
      <c r="AF595" s="29" t="s">
        <v>7053</v>
      </c>
      <c r="AG595" s="35" t="s">
        <v>7045</v>
      </c>
      <c r="AH595" s="30">
        <v>47484.0</v>
      </c>
      <c r="AI595" s="30">
        <v>47848.0</v>
      </c>
      <c r="AJ595" s="29" t="s">
        <v>7053</v>
      </c>
      <c r="AK595" s="29" t="s">
        <v>7053</v>
      </c>
      <c r="AL595" s="35" t="s">
        <v>7045</v>
      </c>
    </row>
    <row r="596" ht="14.25" customHeight="1">
      <c r="A596" s="28" t="s">
        <v>3163</v>
      </c>
      <c r="B596" s="29" t="s">
        <v>3164</v>
      </c>
      <c r="C596" s="29" t="s">
        <v>7041</v>
      </c>
      <c r="D596" s="30">
        <v>45292.0</v>
      </c>
      <c r="E596" s="30">
        <v>45657.0</v>
      </c>
      <c r="F596" s="29" t="s">
        <v>7053</v>
      </c>
      <c r="G596" s="29" t="s">
        <v>7053</v>
      </c>
      <c r="H596" s="32" t="s">
        <v>7043</v>
      </c>
      <c r="I596" s="30">
        <v>45658.0</v>
      </c>
      <c r="J596" s="30">
        <v>46022.0</v>
      </c>
      <c r="K596" s="29" t="s">
        <v>7071</v>
      </c>
      <c r="L596" s="29" t="s">
        <v>7053</v>
      </c>
      <c r="M596" s="38" t="s">
        <v>7047</v>
      </c>
      <c r="N596" s="30">
        <v>46023.0</v>
      </c>
      <c r="O596" s="30">
        <v>46387.0</v>
      </c>
      <c r="P596" s="29" t="s">
        <v>7053</v>
      </c>
      <c r="Q596" s="29" t="s">
        <v>7053</v>
      </c>
      <c r="R596" s="32" t="s">
        <v>7043</v>
      </c>
      <c r="S596" s="30">
        <v>46388.0</v>
      </c>
      <c r="T596" s="30">
        <v>46752.0</v>
      </c>
      <c r="U596" s="29" t="s">
        <v>7053</v>
      </c>
      <c r="V596" s="29" t="s">
        <v>7053</v>
      </c>
      <c r="W596" s="32" t="s">
        <v>7043</v>
      </c>
      <c r="X596" s="30">
        <v>46753.0</v>
      </c>
      <c r="Y596" s="30">
        <v>47118.0</v>
      </c>
      <c r="Z596" s="29" t="s">
        <v>7053</v>
      </c>
      <c r="AA596" s="29" t="s">
        <v>7053</v>
      </c>
      <c r="AB596" s="32" t="s">
        <v>7043</v>
      </c>
      <c r="AC596" s="30">
        <v>47119.0</v>
      </c>
      <c r="AD596" s="30">
        <v>47483.0</v>
      </c>
      <c r="AE596" s="29" t="s">
        <v>7053</v>
      </c>
      <c r="AF596" s="29" t="s">
        <v>7053</v>
      </c>
      <c r="AG596" s="32" t="s">
        <v>7043</v>
      </c>
      <c r="AH596" s="30">
        <v>47484.0</v>
      </c>
      <c r="AI596" s="30">
        <v>47848.0</v>
      </c>
      <c r="AJ596" s="29" t="s">
        <v>7053</v>
      </c>
      <c r="AK596" s="29" t="s">
        <v>7053</v>
      </c>
      <c r="AL596" s="32" t="s">
        <v>7043</v>
      </c>
    </row>
    <row r="597" ht="14.25" customHeight="1">
      <c r="A597" s="28" t="s">
        <v>3873</v>
      </c>
      <c r="B597" s="29" t="s">
        <v>3874</v>
      </c>
      <c r="C597" s="29" t="s">
        <v>7041</v>
      </c>
      <c r="D597" s="30">
        <v>45292.0</v>
      </c>
      <c r="E597" s="30">
        <v>45657.0</v>
      </c>
      <c r="F597" s="29" t="s">
        <v>7053</v>
      </c>
      <c r="G597" s="29" t="s">
        <v>7053</v>
      </c>
      <c r="H597" s="32" t="s">
        <v>7043</v>
      </c>
      <c r="I597" s="30">
        <v>45658.0</v>
      </c>
      <c r="J597" s="30">
        <v>46022.0</v>
      </c>
      <c r="K597" s="29" t="s">
        <v>7100</v>
      </c>
      <c r="L597" s="29" t="s">
        <v>7053</v>
      </c>
      <c r="M597" s="38" t="s">
        <v>7047</v>
      </c>
      <c r="N597" s="30">
        <v>46023.0</v>
      </c>
      <c r="O597" s="30">
        <v>46387.0</v>
      </c>
      <c r="P597" s="29" t="s">
        <v>7053</v>
      </c>
      <c r="Q597" s="29" t="s">
        <v>7053</v>
      </c>
      <c r="R597" s="32" t="s">
        <v>7043</v>
      </c>
      <c r="S597" s="30">
        <v>46388.0</v>
      </c>
      <c r="T597" s="30">
        <v>46752.0</v>
      </c>
      <c r="U597" s="29" t="s">
        <v>7053</v>
      </c>
      <c r="V597" s="29" t="s">
        <v>7053</v>
      </c>
      <c r="W597" s="32" t="s">
        <v>7043</v>
      </c>
      <c r="X597" s="30">
        <v>46753.0</v>
      </c>
      <c r="Y597" s="30">
        <v>47118.0</v>
      </c>
      <c r="Z597" s="29" t="s">
        <v>7053</v>
      </c>
      <c r="AA597" s="29" t="s">
        <v>7053</v>
      </c>
      <c r="AB597" s="32" t="s">
        <v>7043</v>
      </c>
      <c r="AC597" s="30">
        <v>47119.0</v>
      </c>
      <c r="AD597" s="30">
        <v>47483.0</v>
      </c>
      <c r="AE597" s="29" t="s">
        <v>7053</v>
      </c>
      <c r="AF597" s="29" t="s">
        <v>7053</v>
      </c>
      <c r="AG597" s="32" t="s">
        <v>7043</v>
      </c>
      <c r="AH597" s="30">
        <v>47484.0</v>
      </c>
      <c r="AI597" s="30">
        <v>47848.0</v>
      </c>
      <c r="AJ597" s="29" t="s">
        <v>7053</v>
      </c>
      <c r="AK597" s="29" t="s">
        <v>7053</v>
      </c>
      <c r="AL597" s="32" t="s">
        <v>7043</v>
      </c>
    </row>
    <row r="598" ht="14.25" customHeight="1">
      <c r="A598" s="28" t="s">
        <v>2383</v>
      </c>
      <c r="B598" s="29" t="s">
        <v>2384</v>
      </c>
      <c r="C598" s="29" t="s">
        <v>7041</v>
      </c>
      <c r="D598" s="30">
        <v>45292.0</v>
      </c>
      <c r="E598" s="30">
        <v>45657.0</v>
      </c>
      <c r="F598" s="29" t="s">
        <v>7053</v>
      </c>
      <c r="G598" s="29" t="s">
        <v>7053</v>
      </c>
      <c r="H598" s="32" t="s">
        <v>7043</v>
      </c>
      <c r="I598" s="30">
        <v>45658.0</v>
      </c>
      <c r="J598" s="30">
        <v>46022.0</v>
      </c>
      <c r="K598" s="29" t="s">
        <v>7054</v>
      </c>
      <c r="L598" s="29" t="s">
        <v>7118</v>
      </c>
      <c r="M598" s="38" t="s">
        <v>7047</v>
      </c>
      <c r="N598" s="30">
        <v>46023.0</v>
      </c>
      <c r="O598" s="30">
        <v>46387.0</v>
      </c>
      <c r="P598" s="29" t="s">
        <v>7053</v>
      </c>
      <c r="Q598" s="29" t="s">
        <v>7053</v>
      </c>
      <c r="R598" s="32" t="s">
        <v>7043</v>
      </c>
      <c r="S598" s="30">
        <v>46388.0</v>
      </c>
      <c r="T598" s="30">
        <v>46752.0</v>
      </c>
      <c r="U598" s="29" t="s">
        <v>7053</v>
      </c>
      <c r="V598" s="29" t="s">
        <v>7053</v>
      </c>
      <c r="W598" s="32" t="s">
        <v>7043</v>
      </c>
      <c r="X598" s="30">
        <v>46753.0</v>
      </c>
      <c r="Y598" s="30">
        <v>47118.0</v>
      </c>
      <c r="Z598" s="29" t="s">
        <v>7053</v>
      </c>
      <c r="AA598" s="29" t="s">
        <v>7053</v>
      </c>
      <c r="AB598" s="32" t="s">
        <v>7043</v>
      </c>
      <c r="AC598" s="30">
        <v>47119.0</v>
      </c>
      <c r="AD598" s="30">
        <v>47483.0</v>
      </c>
      <c r="AE598" s="29" t="s">
        <v>7053</v>
      </c>
      <c r="AF598" s="29" t="s">
        <v>7053</v>
      </c>
      <c r="AG598" s="32" t="s">
        <v>7043</v>
      </c>
      <c r="AH598" s="30">
        <v>47484.0</v>
      </c>
      <c r="AI598" s="30">
        <v>47848.0</v>
      </c>
      <c r="AJ598" s="29" t="s">
        <v>7053</v>
      </c>
      <c r="AK598" s="29" t="s">
        <v>7053</v>
      </c>
      <c r="AL598" s="32" t="s">
        <v>7043</v>
      </c>
    </row>
    <row r="599" ht="14.25" customHeight="1">
      <c r="A599" s="28" t="s">
        <v>5052</v>
      </c>
      <c r="B599" s="29" t="s">
        <v>5053</v>
      </c>
      <c r="C599" s="29" t="s">
        <v>7041</v>
      </c>
      <c r="D599" s="30">
        <v>45292.0</v>
      </c>
      <c r="E599" s="30">
        <v>45657.0</v>
      </c>
      <c r="F599" s="29" t="s">
        <v>7053</v>
      </c>
      <c r="G599" s="29" t="s">
        <v>7053</v>
      </c>
      <c r="H599" s="32" t="s">
        <v>7043</v>
      </c>
      <c r="I599" s="30">
        <v>45658.0</v>
      </c>
      <c r="J599" s="30">
        <v>46022.0</v>
      </c>
      <c r="K599" s="29" t="s">
        <v>7070</v>
      </c>
      <c r="L599" s="29" t="s">
        <v>7068</v>
      </c>
      <c r="M599" s="38" t="s">
        <v>7047</v>
      </c>
      <c r="N599" s="30">
        <v>46023.0</v>
      </c>
      <c r="O599" s="30">
        <v>46387.0</v>
      </c>
      <c r="P599" s="29" t="s">
        <v>7053</v>
      </c>
      <c r="Q599" s="29" t="s">
        <v>7053</v>
      </c>
      <c r="R599" s="32" t="s">
        <v>7043</v>
      </c>
      <c r="S599" s="30">
        <v>46388.0</v>
      </c>
      <c r="T599" s="30">
        <v>46752.0</v>
      </c>
      <c r="U599" s="29" t="s">
        <v>7053</v>
      </c>
      <c r="V599" s="29" t="s">
        <v>7053</v>
      </c>
      <c r="W599" s="32" t="s">
        <v>7043</v>
      </c>
      <c r="X599" s="30">
        <v>46753.0</v>
      </c>
      <c r="Y599" s="30">
        <v>47118.0</v>
      </c>
      <c r="Z599" s="29" t="s">
        <v>7053</v>
      </c>
      <c r="AA599" s="29" t="s">
        <v>7053</v>
      </c>
      <c r="AB599" s="32" t="s">
        <v>7043</v>
      </c>
      <c r="AC599" s="30">
        <v>47119.0</v>
      </c>
      <c r="AD599" s="30">
        <v>47483.0</v>
      </c>
      <c r="AE599" s="29" t="s">
        <v>7053</v>
      </c>
      <c r="AF599" s="29" t="s">
        <v>7053</v>
      </c>
      <c r="AG599" s="32" t="s">
        <v>7043</v>
      </c>
      <c r="AH599" s="30">
        <v>47484.0</v>
      </c>
      <c r="AI599" s="30">
        <v>47848.0</v>
      </c>
      <c r="AJ599" s="29" t="s">
        <v>7053</v>
      </c>
      <c r="AK599" s="29" t="s">
        <v>7053</v>
      </c>
      <c r="AL599" s="32" t="s">
        <v>7043</v>
      </c>
    </row>
    <row r="600" ht="14.25" customHeight="1">
      <c r="A600" s="28" t="s">
        <v>5170</v>
      </c>
      <c r="B600" s="29" t="s">
        <v>5171</v>
      </c>
      <c r="C600" s="29" t="s">
        <v>7041</v>
      </c>
      <c r="D600" s="30">
        <v>45292.0</v>
      </c>
      <c r="E600" s="30">
        <v>45657.0</v>
      </c>
      <c r="F600" s="29" t="s">
        <v>7053</v>
      </c>
      <c r="G600" s="29" t="s">
        <v>7053</v>
      </c>
      <c r="H600" s="32" t="s">
        <v>7043</v>
      </c>
      <c r="I600" s="30">
        <v>45658.0</v>
      </c>
      <c r="J600" s="30">
        <v>46022.0</v>
      </c>
      <c r="K600" s="29" t="s">
        <v>7100</v>
      </c>
      <c r="L600" s="29" t="s">
        <v>7053</v>
      </c>
      <c r="M600" s="38" t="s">
        <v>7047</v>
      </c>
      <c r="N600" s="30">
        <v>46023.0</v>
      </c>
      <c r="O600" s="30">
        <v>46387.0</v>
      </c>
      <c r="P600" s="29" t="s">
        <v>7053</v>
      </c>
      <c r="Q600" s="29" t="s">
        <v>7053</v>
      </c>
      <c r="R600" s="32" t="s">
        <v>7043</v>
      </c>
      <c r="S600" s="30">
        <v>46388.0</v>
      </c>
      <c r="T600" s="30">
        <v>46752.0</v>
      </c>
      <c r="U600" s="29" t="s">
        <v>7053</v>
      </c>
      <c r="V600" s="29" t="s">
        <v>7053</v>
      </c>
      <c r="W600" s="32" t="s">
        <v>7043</v>
      </c>
      <c r="X600" s="30">
        <v>46753.0</v>
      </c>
      <c r="Y600" s="30">
        <v>47118.0</v>
      </c>
      <c r="Z600" s="29" t="s">
        <v>7053</v>
      </c>
      <c r="AA600" s="29" t="s">
        <v>7053</v>
      </c>
      <c r="AB600" s="32" t="s">
        <v>7043</v>
      </c>
      <c r="AC600" s="30">
        <v>47119.0</v>
      </c>
      <c r="AD600" s="30">
        <v>47483.0</v>
      </c>
      <c r="AE600" s="29" t="s">
        <v>7053</v>
      </c>
      <c r="AF600" s="29" t="s">
        <v>7053</v>
      </c>
      <c r="AG600" s="32" t="s">
        <v>7043</v>
      </c>
      <c r="AH600" s="30">
        <v>47484.0</v>
      </c>
      <c r="AI600" s="30">
        <v>47848.0</v>
      </c>
      <c r="AJ600" s="29" t="s">
        <v>7053</v>
      </c>
      <c r="AK600" s="29" t="s">
        <v>7053</v>
      </c>
      <c r="AL600" s="32" t="s">
        <v>7043</v>
      </c>
    </row>
    <row r="601" ht="14.25" customHeight="1">
      <c r="A601" s="28" t="s">
        <v>799</v>
      </c>
      <c r="B601" s="29" t="s">
        <v>800</v>
      </c>
      <c r="C601" s="29" t="s">
        <v>7041</v>
      </c>
      <c r="D601" s="30">
        <v>45292.0</v>
      </c>
      <c r="E601" s="30">
        <v>45657.0</v>
      </c>
      <c r="F601" s="29" t="s">
        <v>7053</v>
      </c>
      <c r="G601" s="29" t="s">
        <v>7053</v>
      </c>
      <c r="H601" s="32" t="s">
        <v>7043</v>
      </c>
      <c r="I601" s="30">
        <v>45658.0</v>
      </c>
      <c r="J601" s="30">
        <v>46022.0</v>
      </c>
      <c r="K601" s="29" t="s">
        <v>7080</v>
      </c>
      <c r="L601" s="29" t="s">
        <v>7053</v>
      </c>
      <c r="M601" s="38" t="s">
        <v>7047</v>
      </c>
      <c r="N601" s="30">
        <v>46023.0</v>
      </c>
      <c r="O601" s="30">
        <v>46387.0</v>
      </c>
      <c r="P601" s="29" t="s">
        <v>7053</v>
      </c>
      <c r="Q601" s="29" t="s">
        <v>7053</v>
      </c>
      <c r="R601" s="32" t="s">
        <v>7043</v>
      </c>
      <c r="S601" s="30">
        <v>46388.0</v>
      </c>
      <c r="T601" s="30">
        <v>46752.0</v>
      </c>
      <c r="U601" s="29" t="s">
        <v>7053</v>
      </c>
      <c r="V601" s="29" t="s">
        <v>7053</v>
      </c>
      <c r="W601" s="32" t="s">
        <v>7043</v>
      </c>
      <c r="X601" s="30">
        <v>46753.0</v>
      </c>
      <c r="Y601" s="30">
        <v>47118.0</v>
      </c>
      <c r="Z601" s="29" t="s">
        <v>7053</v>
      </c>
      <c r="AA601" s="29" t="s">
        <v>7053</v>
      </c>
      <c r="AB601" s="32" t="s">
        <v>7043</v>
      </c>
      <c r="AC601" s="30">
        <v>47119.0</v>
      </c>
      <c r="AD601" s="30">
        <v>47483.0</v>
      </c>
      <c r="AE601" s="29" t="s">
        <v>7053</v>
      </c>
      <c r="AF601" s="29" t="s">
        <v>7053</v>
      </c>
      <c r="AG601" s="32" t="s">
        <v>7043</v>
      </c>
      <c r="AH601" s="30">
        <v>47484.0</v>
      </c>
      <c r="AI601" s="30">
        <v>47848.0</v>
      </c>
      <c r="AJ601" s="29" t="s">
        <v>7053</v>
      </c>
      <c r="AK601" s="29" t="s">
        <v>7053</v>
      </c>
      <c r="AL601" s="32" t="s">
        <v>7043</v>
      </c>
    </row>
    <row r="602" ht="14.25" customHeight="1">
      <c r="A602" s="28" t="s">
        <v>2344</v>
      </c>
      <c r="B602" s="29" t="s">
        <v>2345</v>
      </c>
      <c r="C602" s="29" t="s">
        <v>7041</v>
      </c>
      <c r="D602" s="30">
        <v>45292.0</v>
      </c>
      <c r="E602" s="30">
        <v>45657.0</v>
      </c>
      <c r="F602" s="29" t="s">
        <v>7053</v>
      </c>
      <c r="G602" s="29" t="s">
        <v>7053</v>
      </c>
      <c r="H602" s="35" t="s">
        <v>7045</v>
      </c>
      <c r="I602" s="30">
        <v>45658.0</v>
      </c>
      <c r="J602" s="30">
        <v>46022.0</v>
      </c>
      <c r="K602" s="29" t="s">
        <v>7053</v>
      </c>
      <c r="L602" s="29" t="s">
        <v>7053</v>
      </c>
      <c r="M602" s="35" t="s">
        <v>7045</v>
      </c>
      <c r="N602" s="30">
        <v>46023.0</v>
      </c>
      <c r="O602" s="30">
        <v>46387.0</v>
      </c>
      <c r="P602" s="29" t="s">
        <v>7053</v>
      </c>
      <c r="Q602" s="29" t="s">
        <v>7053</v>
      </c>
      <c r="R602" s="35" t="s">
        <v>7045</v>
      </c>
      <c r="S602" s="30">
        <v>46388.0</v>
      </c>
      <c r="T602" s="30">
        <v>46752.0</v>
      </c>
      <c r="U602" s="29" t="s">
        <v>7053</v>
      </c>
      <c r="V602" s="29" t="s">
        <v>7053</v>
      </c>
      <c r="W602" s="35" t="s">
        <v>7045</v>
      </c>
      <c r="X602" s="30">
        <v>46753.0</v>
      </c>
      <c r="Y602" s="30">
        <v>47118.0</v>
      </c>
      <c r="Z602" s="29" t="s">
        <v>7053</v>
      </c>
      <c r="AA602" s="29" t="s">
        <v>7053</v>
      </c>
      <c r="AB602" s="35" t="s">
        <v>7045</v>
      </c>
      <c r="AC602" s="30">
        <v>47119.0</v>
      </c>
      <c r="AD602" s="30">
        <v>47483.0</v>
      </c>
      <c r="AE602" s="29" t="s">
        <v>7053</v>
      </c>
      <c r="AF602" s="29" t="s">
        <v>7053</v>
      </c>
      <c r="AG602" s="35" t="s">
        <v>7045</v>
      </c>
      <c r="AH602" s="30">
        <v>47484.0</v>
      </c>
      <c r="AI602" s="30">
        <v>47848.0</v>
      </c>
      <c r="AJ602" s="29" t="s">
        <v>7053</v>
      </c>
      <c r="AK602" s="29" t="s">
        <v>7053</v>
      </c>
      <c r="AL602" s="35" t="s">
        <v>7045</v>
      </c>
    </row>
    <row r="603" ht="14.25" customHeight="1">
      <c r="A603" s="28" t="s">
        <v>4432</v>
      </c>
      <c r="B603" s="29" t="s">
        <v>4433</v>
      </c>
      <c r="C603" s="29" t="s">
        <v>7041</v>
      </c>
      <c r="D603" s="30">
        <v>45292.0</v>
      </c>
      <c r="E603" s="30">
        <v>45657.0</v>
      </c>
      <c r="F603" s="29" t="s">
        <v>7053</v>
      </c>
      <c r="G603" s="29" t="s">
        <v>7053</v>
      </c>
      <c r="H603" s="32" t="s">
        <v>7043</v>
      </c>
      <c r="I603" s="30">
        <v>45658.0</v>
      </c>
      <c r="J603" s="30">
        <v>46022.0</v>
      </c>
      <c r="K603" s="29" t="s">
        <v>7070</v>
      </c>
      <c r="L603" s="29" t="s">
        <v>7053</v>
      </c>
      <c r="M603" s="38" t="s">
        <v>7047</v>
      </c>
      <c r="N603" s="30">
        <v>46023.0</v>
      </c>
      <c r="O603" s="30">
        <v>46387.0</v>
      </c>
      <c r="P603" s="29" t="s">
        <v>7053</v>
      </c>
      <c r="Q603" s="29" t="s">
        <v>7053</v>
      </c>
      <c r="R603" s="32" t="s">
        <v>7043</v>
      </c>
      <c r="S603" s="30">
        <v>46388.0</v>
      </c>
      <c r="T603" s="30">
        <v>46752.0</v>
      </c>
      <c r="U603" s="29" t="s">
        <v>7053</v>
      </c>
      <c r="V603" s="29" t="s">
        <v>7053</v>
      </c>
      <c r="W603" s="32" t="s">
        <v>7043</v>
      </c>
      <c r="X603" s="30">
        <v>46753.0</v>
      </c>
      <c r="Y603" s="30">
        <v>47118.0</v>
      </c>
      <c r="Z603" s="29" t="s">
        <v>7053</v>
      </c>
      <c r="AA603" s="29" t="s">
        <v>7053</v>
      </c>
      <c r="AB603" s="32" t="s">
        <v>7043</v>
      </c>
      <c r="AC603" s="30">
        <v>47119.0</v>
      </c>
      <c r="AD603" s="30">
        <v>47483.0</v>
      </c>
      <c r="AE603" s="29" t="s">
        <v>7053</v>
      </c>
      <c r="AF603" s="29" t="s">
        <v>7053</v>
      </c>
      <c r="AG603" s="32" t="s">
        <v>7043</v>
      </c>
      <c r="AH603" s="30">
        <v>47484.0</v>
      </c>
      <c r="AI603" s="30">
        <v>47848.0</v>
      </c>
      <c r="AJ603" s="29" t="s">
        <v>7053</v>
      </c>
      <c r="AK603" s="29" t="s">
        <v>7053</v>
      </c>
      <c r="AL603" s="32" t="s">
        <v>7043</v>
      </c>
    </row>
    <row r="604" ht="14.25" customHeight="1">
      <c r="A604" s="28" t="s">
        <v>5844</v>
      </c>
      <c r="B604" s="29" t="s">
        <v>5845</v>
      </c>
      <c r="C604" s="29" t="s">
        <v>7041</v>
      </c>
      <c r="D604" s="30">
        <v>45292.0</v>
      </c>
      <c r="E604" s="30">
        <v>45657.0</v>
      </c>
      <c r="F604" s="29" t="s">
        <v>7053</v>
      </c>
      <c r="G604" s="29" t="s">
        <v>7053</v>
      </c>
      <c r="H604" s="35" t="s">
        <v>7045</v>
      </c>
      <c r="I604" s="30">
        <v>45658.0</v>
      </c>
      <c r="J604" s="30">
        <v>46022.0</v>
      </c>
      <c r="K604" s="29" t="s">
        <v>7053</v>
      </c>
      <c r="L604" s="29" t="s">
        <v>7053</v>
      </c>
      <c r="M604" s="35" t="s">
        <v>7045</v>
      </c>
      <c r="N604" s="30">
        <v>46023.0</v>
      </c>
      <c r="O604" s="30">
        <v>46387.0</v>
      </c>
      <c r="P604" s="29" t="s">
        <v>7053</v>
      </c>
      <c r="Q604" s="29" t="s">
        <v>7053</v>
      </c>
      <c r="R604" s="35" t="s">
        <v>7045</v>
      </c>
      <c r="S604" s="30">
        <v>46388.0</v>
      </c>
      <c r="T604" s="30">
        <v>46752.0</v>
      </c>
      <c r="U604" s="29" t="s">
        <v>7053</v>
      </c>
      <c r="V604" s="29" t="s">
        <v>7053</v>
      </c>
      <c r="W604" s="35" t="s">
        <v>7045</v>
      </c>
      <c r="X604" s="30">
        <v>46753.0</v>
      </c>
      <c r="Y604" s="30">
        <v>47118.0</v>
      </c>
      <c r="Z604" s="29" t="s">
        <v>7053</v>
      </c>
      <c r="AA604" s="29" t="s">
        <v>7053</v>
      </c>
      <c r="AB604" s="35" t="s">
        <v>7045</v>
      </c>
      <c r="AC604" s="30">
        <v>47119.0</v>
      </c>
      <c r="AD604" s="30">
        <v>47483.0</v>
      </c>
      <c r="AE604" s="29" t="s">
        <v>7053</v>
      </c>
      <c r="AF604" s="29" t="s">
        <v>7053</v>
      </c>
      <c r="AG604" s="35" t="s">
        <v>7045</v>
      </c>
      <c r="AH604" s="30">
        <v>47484.0</v>
      </c>
      <c r="AI604" s="30">
        <v>47848.0</v>
      </c>
      <c r="AJ604" s="29" t="s">
        <v>7053</v>
      </c>
      <c r="AK604" s="29" t="s">
        <v>7053</v>
      </c>
      <c r="AL604" s="35" t="s">
        <v>7045</v>
      </c>
    </row>
    <row r="605" ht="14.25" customHeight="1">
      <c r="A605" s="28" t="s">
        <v>4038</v>
      </c>
      <c r="B605" s="29" t="s">
        <v>4039</v>
      </c>
      <c r="C605" s="29" t="s">
        <v>7041</v>
      </c>
      <c r="D605" s="30">
        <v>45292.0</v>
      </c>
      <c r="E605" s="30">
        <v>45657.0</v>
      </c>
      <c r="F605" s="29" t="s">
        <v>7053</v>
      </c>
      <c r="G605" s="29" t="s">
        <v>7053</v>
      </c>
      <c r="H605" s="32" t="s">
        <v>7043</v>
      </c>
      <c r="I605" s="30">
        <v>45658.0</v>
      </c>
      <c r="J605" s="30">
        <v>46022.0</v>
      </c>
      <c r="K605" s="29" t="s">
        <v>7128</v>
      </c>
      <c r="L605" s="29" t="s">
        <v>7053</v>
      </c>
      <c r="M605" s="38" t="s">
        <v>7047</v>
      </c>
      <c r="N605" s="30">
        <v>46023.0</v>
      </c>
      <c r="O605" s="30">
        <v>46387.0</v>
      </c>
      <c r="P605" s="29" t="s">
        <v>7053</v>
      </c>
      <c r="Q605" s="29" t="s">
        <v>7053</v>
      </c>
      <c r="R605" s="32" t="s">
        <v>7043</v>
      </c>
      <c r="S605" s="30">
        <v>46388.0</v>
      </c>
      <c r="T605" s="30">
        <v>46752.0</v>
      </c>
      <c r="U605" s="29" t="s">
        <v>7053</v>
      </c>
      <c r="V605" s="29" t="s">
        <v>7053</v>
      </c>
      <c r="W605" s="32" t="s">
        <v>7043</v>
      </c>
      <c r="X605" s="30">
        <v>46753.0</v>
      </c>
      <c r="Y605" s="30">
        <v>47118.0</v>
      </c>
      <c r="Z605" s="29" t="s">
        <v>7053</v>
      </c>
      <c r="AA605" s="29" t="s">
        <v>7053</v>
      </c>
      <c r="AB605" s="32" t="s">
        <v>7043</v>
      </c>
      <c r="AC605" s="30">
        <v>47119.0</v>
      </c>
      <c r="AD605" s="30">
        <v>47483.0</v>
      </c>
      <c r="AE605" s="29" t="s">
        <v>7053</v>
      </c>
      <c r="AF605" s="29" t="s">
        <v>7053</v>
      </c>
      <c r="AG605" s="32" t="s">
        <v>7043</v>
      </c>
      <c r="AH605" s="30">
        <v>47484.0</v>
      </c>
      <c r="AI605" s="30">
        <v>47848.0</v>
      </c>
      <c r="AJ605" s="29" t="s">
        <v>7053</v>
      </c>
      <c r="AK605" s="29" t="s">
        <v>7053</v>
      </c>
      <c r="AL605" s="32" t="s">
        <v>7043</v>
      </c>
    </row>
    <row r="606" ht="14.25" customHeight="1">
      <c r="A606" s="28" t="s">
        <v>5049</v>
      </c>
      <c r="B606" s="29" t="s">
        <v>5050</v>
      </c>
      <c r="C606" s="29" t="s">
        <v>7041</v>
      </c>
      <c r="D606" s="30">
        <v>45292.0</v>
      </c>
      <c r="E606" s="30">
        <v>45657.0</v>
      </c>
      <c r="F606" s="29" t="s">
        <v>7053</v>
      </c>
      <c r="G606" s="29" t="s">
        <v>7053</v>
      </c>
      <c r="H606" s="32" t="s">
        <v>7043</v>
      </c>
      <c r="I606" s="30">
        <v>45658.0</v>
      </c>
      <c r="J606" s="30">
        <v>46022.0</v>
      </c>
      <c r="K606" s="29" t="s">
        <v>7062</v>
      </c>
      <c r="L606" s="29" t="s">
        <v>7053</v>
      </c>
      <c r="M606" s="38" t="s">
        <v>7047</v>
      </c>
      <c r="N606" s="30">
        <v>46023.0</v>
      </c>
      <c r="O606" s="30">
        <v>46387.0</v>
      </c>
      <c r="P606" s="29" t="s">
        <v>7053</v>
      </c>
      <c r="Q606" s="29" t="s">
        <v>7053</v>
      </c>
      <c r="R606" s="32" t="s">
        <v>7043</v>
      </c>
      <c r="S606" s="30">
        <v>46388.0</v>
      </c>
      <c r="T606" s="30">
        <v>46752.0</v>
      </c>
      <c r="U606" s="29" t="s">
        <v>7053</v>
      </c>
      <c r="V606" s="29" t="s">
        <v>7053</v>
      </c>
      <c r="W606" s="32" t="s">
        <v>7043</v>
      </c>
      <c r="X606" s="30">
        <v>46753.0</v>
      </c>
      <c r="Y606" s="30">
        <v>47118.0</v>
      </c>
      <c r="Z606" s="29" t="s">
        <v>7053</v>
      </c>
      <c r="AA606" s="29" t="s">
        <v>7053</v>
      </c>
      <c r="AB606" s="32" t="s">
        <v>7043</v>
      </c>
      <c r="AC606" s="30">
        <v>47119.0</v>
      </c>
      <c r="AD606" s="30">
        <v>47483.0</v>
      </c>
      <c r="AE606" s="29" t="s">
        <v>7053</v>
      </c>
      <c r="AF606" s="29" t="s">
        <v>7053</v>
      </c>
      <c r="AG606" s="32" t="s">
        <v>7043</v>
      </c>
      <c r="AH606" s="30">
        <v>47484.0</v>
      </c>
      <c r="AI606" s="30">
        <v>47848.0</v>
      </c>
      <c r="AJ606" s="29" t="s">
        <v>7053</v>
      </c>
      <c r="AK606" s="29" t="s">
        <v>7053</v>
      </c>
      <c r="AL606" s="32" t="s">
        <v>7043</v>
      </c>
    </row>
    <row r="607" ht="14.25" customHeight="1">
      <c r="A607" s="28" t="s">
        <v>551</v>
      </c>
      <c r="B607" s="29" t="s">
        <v>552</v>
      </c>
      <c r="C607" s="29" t="s">
        <v>7041</v>
      </c>
      <c r="D607" s="30">
        <v>45292.0</v>
      </c>
      <c r="E607" s="30">
        <v>45657.0</v>
      </c>
      <c r="F607" s="29" t="s">
        <v>7053</v>
      </c>
      <c r="G607" s="29" t="s">
        <v>7053</v>
      </c>
      <c r="H607" s="32" t="s">
        <v>7043</v>
      </c>
      <c r="I607" s="30">
        <v>45658.0</v>
      </c>
      <c r="J607" s="30">
        <v>46022.0</v>
      </c>
      <c r="K607" s="29" t="s">
        <v>7058</v>
      </c>
      <c r="L607" s="29" t="s">
        <v>7053</v>
      </c>
      <c r="M607" s="38" t="s">
        <v>7047</v>
      </c>
      <c r="N607" s="30">
        <v>46023.0</v>
      </c>
      <c r="O607" s="30">
        <v>46387.0</v>
      </c>
      <c r="P607" s="29" t="s">
        <v>7053</v>
      </c>
      <c r="Q607" s="29" t="s">
        <v>7053</v>
      </c>
      <c r="R607" s="32" t="s">
        <v>7043</v>
      </c>
      <c r="S607" s="30">
        <v>46388.0</v>
      </c>
      <c r="T607" s="30">
        <v>46752.0</v>
      </c>
      <c r="U607" s="29" t="s">
        <v>7053</v>
      </c>
      <c r="V607" s="29" t="s">
        <v>7053</v>
      </c>
      <c r="W607" s="32" t="s">
        <v>7043</v>
      </c>
      <c r="X607" s="30">
        <v>46753.0</v>
      </c>
      <c r="Y607" s="30">
        <v>47118.0</v>
      </c>
      <c r="Z607" s="29" t="s">
        <v>7053</v>
      </c>
      <c r="AA607" s="29" t="s">
        <v>7053</v>
      </c>
      <c r="AB607" s="32" t="s">
        <v>7043</v>
      </c>
      <c r="AC607" s="30">
        <v>47119.0</v>
      </c>
      <c r="AD607" s="30">
        <v>47483.0</v>
      </c>
      <c r="AE607" s="29" t="s">
        <v>7053</v>
      </c>
      <c r="AF607" s="29" t="s">
        <v>7053</v>
      </c>
      <c r="AG607" s="32" t="s">
        <v>7043</v>
      </c>
      <c r="AH607" s="30">
        <v>47484.0</v>
      </c>
      <c r="AI607" s="30">
        <v>47848.0</v>
      </c>
      <c r="AJ607" s="29" t="s">
        <v>7053</v>
      </c>
      <c r="AK607" s="29" t="s">
        <v>7053</v>
      </c>
      <c r="AL607" s="32" t="s">
        <v>7043</v>
      </c>
    </row>
    <row r="608" ht="14.25" customHeight="1">
      <c r="A608" s="28" t="s">
        <v>132</v>
      </c>
      <c r="B608" s="29" t="s">
        <v>133</v>
      </c>
      <c r="C608" s="29" t="s">
        <v>7041</v>
      </c>
      <c r="D608" s="30">
        <v>45292.0</v>
      </c>
      <c r="E608" s="30">
        <v>45657.0</v>
      </c>
      <c r="F608" s="29" t="s">
        <v>7053</v>
      </c>
      <c r="G608" s="29" t="s">
        <v>7053</v>
      </c>
      <c r="H608" s="32" t="s">
        <v>7043</v>
      </c>
      <c r="I608" s="30">
        <v>45658.0</v>
      </c>
      <c r="J608" s="30">
        <v>46022.0</v>
      </c>
      <c r="K608" s="29" t="s">
        <v>7062</v>
      </c>
      <c r="L608" s="29" t="s">
        <v>7063</v>
      </c>
      <c r="M608" s="38" t="s">
        <v>7046</v>
      </c>
      <c r="N608" s="30">
        <v>46023.0</v>
      </c>
      <c r="O608" s="30">
        <v>46387.0</v>
      </c>
      <c r="P608" s="29" t="s">
        <v>7053</v>
      </c>
      <c r="Q608" s="29" t="s">
        <v>7053</v>
      </c>
      <c r="R608" s="32" t="s">
        <v>7043</v>
      </c>
      <c r="S608" s="30">
        <v>46388.0</v>
      </c>
      <c r="T608" s="30">
        <v>46752.0</v>
      </c>
      <c r="U608" s="29" t="s">
        <v>7053</v>
      </c>
      <c r="V608" s="29" t="s">
        <v>7053</v>
      </c>
      <c r="W608" s="32" t="s">
        <v>7043</v>
      </c>
      <c r="X608" s="30">
        <v>46753.0</v>
      </c>
      <c r="Y608" s="30">
        <v>47118.0</v>
      </c>
      <c r="Z608" s="29" t="s">
        <v>7053</v>
      </c>
      <c r="AA608" s="29" t="s">
        <v>7053</v>
      </c>
      <c r="AB608" s="32" t="s">
        <v>7043</v>
      </c>
      <c r="AC608" s="30">
        <v>47119.0</v>
      </c>
      <c r="AD608" s="30">
        <v>47483.0</v>
      </c>
      <c r="AE608" s="29" t="s">
        <v>7053</v>
      </c>
      <c r="AF608" s="29" t="s">
        <v>7053</v>
      </c>
      <c r="AG608" s="32" t="s">
        <v>7043</v>
      </c>
      <c r="AH608" s="30">
        <v>47484.0</v>
      </c>
      <c r="AI608" s="30">
        <v>47848.0</v>
      </c>
      <c r="AJ608" s="29" t="s">
        <v>7053</v>
      </c>
      <c r="AK608" s="29" t="s">
        <v>7053</v>
      </c>
      <c r="AL608" s="32" t="s">
        <v>7043</v>
      </c>
    </row>
    <row r="609" ht="14.25" customHeight="1">
      <c r="A609" s="28" t="s">
        <v>5124</v>
      </c>
      <c r="B609" s="29" t="s">
        <v>5125</v>
      </c>
      <c r="C609" s="29" t="s">
        <v>7041</v>
      </c>
      <c r="D609" s="30">
        <v>45292.0</v>
      </c>
      <c r="E609" s="30">
        <v>45657.0</v>
      </c>
      <c r="F609" s="29" t="s">
        <v>7053</v>
      </c>
      <c r="G609" s="29" t="s">
        <v>7053</v>
      </c>
      <c r="H609" s="35" t="s">
        <v>7045</v>
      </c>
      <c r="I609" s="30">
        <v>45658.0</v>
      </c>
      <c r="J609" s="30">
        <v>46022.0</v>
      </c>
      <c r="K609" s="29" t="s">
        <v>7053</v>
      </c>
      <c r="L609" s="29" t="s">
        <v>7053</v>
      </c>
      <c r="M609" s="35" t="s">
        <v>7045</v>
      </c>
      <c r="N609" s="30">
        <v>46023.0</v>
      </c>
      <c r="O609" s="30">
        <v>46387.0</v>
      </c>
      <c r="P609" s="29" t="s">
        <v>7053</v>
      </c>
      <c r="Q609" s="29" t="s">
        <v>7053</v>
      </c>
      <c r="R609" s="35" t="s">
        <v>7045</v>
      </c>
      <c r="S609" s="30">
        <v>46388.0</v>
      </c>
      <c r="T609" s="30">
        <v>46752.0</v>
      </c>
      <c r="U609" s="29" t="s">
        <v>7053</v>
      </c>
      <c r="V609" s="29" t="s">
        <v>7053</v>
      </c>
      <c r="W609" s="35" t="s">
        <v>7045</v>
      </c>
      <c r="X609" s="30">
        <v>46753.0</v>
      </c>
      <c r="Y609" s="30">
        <v>47118.0</v>
      </c>
      <c r="Z609" s="29" t="s">
        <v>7053</v>
      </c>
      <c r="AA609" s="29" t="s">
        <v>7053</v>
      </c>
      <c r="AB609" s="35" t="s">
        <v>7045</v>
      </c>
      <c r="AC609" s="30">
        <v>47119.0</v>
      </c>
      <c r="AD609" s="30">
        <v>47483.0</v>
      </c>
      <c r="AE609" s="29" t="s">
        <v>7053</v>
      </c>
      <c r="AF609" s="29" t="s">
        <v>7053</v>
      </c>
      <c r="AG609" s="35" t="s">
        <v>7045</v>
      </c>
      <c r="AH609" s="30">
        <v>47484.0</v>
      </c>
      <c r="AI609" s="30">
        <v>47848.0</v>
      </c>
      <c r="AJ609" s="29" t="s">
        <v>7053</v>
      </c>
      <c r="AK609" s="29" t="s">
        <v>7053</v>
      </c>
      <c r="AL609" s="35" t="s">
        <v>7045</v>
      </c>
    </row>
    <row r="610" ht="14.25" customHeight="1">
      <c r="A610" s="28" t="s">
        <v>867</v>
      </c>
      <c r="B610" s="29" t="s">
        <v>868</v>
      </c>
      <c r="C610" s="29" t="s">
        <v>7041</v>
      </c>
      <c r="D610" s="30">
        <v>45292.0</v>
      </c>
      <c r="E610" s="30">
        <v>45657.0</v>
      </c>
      <c r="F610" s="29" t="s">
        <v>7053</v>
      </c>
      <c r="G610" s="29" t="s">
        <v>7053</v>
      </c>
      <c r="H610" s="35" t="s">
        <v>7045</v>
      </c>
      <c r="I610" s="30">
        <v>45658.0</v>
      </c>
      <c r="J610" s="30">
        <v>46022.0</v>
      </c>
      <c r="K610" s="29" t="s">
        <v>7053</v>
      </c>
      <c r="L610" s="29" t="s">
        <v>7053</v>
      </c>
      <c r="M610" s="35" t="s">
        <v>7045</v>
      </c>
      <c r="N610" s="30">
        <v>46023.0</v>
      </c>
      <c r="O610" s="30">
        <v>46387.0</v>
      </c>
      <c r="P610" s="29" t="s">
        <v>7053</v>
      </c>
      <c r="Q610" s="29" t="s">
        <v>7053</v>
      </c>
      <c r="R610" s="35" t="s">
        <v>7045</v>
      </c>
      <c r="S610" s="30">
        <v>46388.0</v>
      </c>
      <c r="T610" s="30">
        <v>46752.0</v>
      </c>
      <c r="U610" s="29" t="s">
        <v>7053</v>
      </c>
      <c r="V610" s="29" t="s">
        <v>7053</v>
      </c>
      <c r="W610" s="35" t="s">
        <v>7045</v>
      </c>
      <c r="X610" s="30">
        <v>46753.0</v>
      </c>
      <c r="Y610" s="30">
        <v>47118.0</v>
      </c>
      <c r="Z610" s="29" t="s">
        <v>7053</v>
      </c>
      <c r="AA610" s="29" t="s">
        <v>7053</v>
      </c>
      <c r="AB610" s="35" t="s">
        <v>7045</v>
      </c>
      <c r="AC610" s="30">
        <v>47119.0</v>
      </c>
      <c r="AD610" s="30">
        <v>47483.0</v>
      </c>
      <c r="AE610" s="29" t="s">
        <v>7053</v>
      </c>
      <c r="AF610" s="29" t="s">
        <v>7053</v>
      </c>
      <c r="AG610" s="35" t="s">
        <v>7045</v>
      </c>
      <c r="AH610" s="30">
        <v>47484.0</v>
      </c>
      <c r="AI610" s="30">
        <v>47848.0</v>
      </c>
      <c r="AJ610" s="29" t="s">
        <v>7053</v>
      </c>
      <c r="AK610" s="29" t="s">
        <v>7053</v>
      </c>
      <c r="AL610" s="35" t="s">
        <v>7045</v>
      </c>
    </row>
    <row r="611" ht="14.25" customHeight="1">
      <c r="A611" s="28" t="s">
        <v>6912</v>
      </c>
      <c r="B611" s="29" t="s">
        <v>6913</v>
      </c>
      <c r="C611" s="29" t="s">
        <v>7041</v>
      </c>
      <c r="D611" s="30">
        <v>45292.0</v>
      </c>
      <c r="E611" s="30">
        <v>45657.0</v>
      </c>
      <c r="F611" s="29" t="s">
        <v>7053</v>
      </c>
      <c r="G611" s="29" t="s">
        <v>7053</v>
      </c>
      <c r="H611" s="32" t="s">
        <v>7043</v>
      </c>
      <c r="I611" s="30">
        <v>45658.0</v>
      </c>
      <c r="J611" s="30">
        <v>46022.0</v>
      </c>
      <c r="K611" s="29" t="s">
        <v>7068</v>
      </c>
      <c r="L611" s="29" t="s">
        <v>7053</v>
      </c>
      <c r="M611" s="38" t="s">
        <v>7047</v>
      </c>
      <c r="N611" s="30">
        <v>46023.0</v>
      </c>
      <c r="O611" s="30">
        <v>46387.0</v>
      </c>
      <c r="P611" s="29" t="s">
        <v>7053</v>
      </c>
      <c r="Q611" s="29" t="s">
        <v>7053</v>
      </c>
      <c r="R611" s="32" t="s">
        <v>7043</v>
      </c>
      <c r="S611" s="30">
        <v>46388.0</v>
      </c>
      <c r="T611" s="30">
        <v>46752.0</v>
      </c>
      <c r="U611" s="29" t="s">
        <v>7053</v>
      </c>
      <c r="V611" s="29" t="s">
        <v>7053</v>
      </c>
      <c r="W611" s="32" t="s">
        <v>7043</v>
      </c>
      <c r="X611" s="30">
        <v>46753.0</v>
      </c>
      <c r="Y611" s="30">
        <v>47118.0</v>
      </c>
      <c r="Z611" s="29" t="s">
        <v>7053</v>
      </c>
      <c r="AA611" s="29" t="s">
        <v>7053</v>
      </c>
      <c r="AB611" s="32" t="s">
        <v>7043</v>
      </c>
      <c r="AC611" s="30">
        <v>47119.0</v>
      </c>
      <c r="AD611" s="30">
        <v>47483.0</v>
      </c>
      <c r="AE611" s="29" t="s">
        <v>7053</v>
      </c>
      <c r="AF611" s="29" t="s">
        <v>7053</v>
      </c>
      <c r="AG611" s="32" t="s">
        <v>7043</v>
      </c>
      <c r="AH611" s="30">
        <v>47484.0</v>
      </c>
      <c r="AI611" s="30">
        <v>47848.0</v>
      </c>
      <c r="AJ611" s="29" t="s">
        <v>7053</v>
      </c>
      <c r="AK611" s="29" t="s">
        <v>7053</v>
      </c>
      <c r="AL611" s="32" t="s">
        <v>7043</v>
      </c>
    </row>
    <row r="612" ht="14.25" customHeight="1">
      <c r="A612" s="28" t="s">
        <v>1938</v>
      </c>
      <c r="B612" s="29" t="s">
        <v>1939</v>
      </c>
      <c r="C612" s="29" t="s">
        <v>7041</v>
      </c>
      <c r="D612" s="30">
        <v>45292.0</v>
      </c>
      <c r="E612" s="30">
        <v>45657.0</v>
      </c>
      <c r="F612" s="29" t="s">
        <v>7053</v>
      </c>
      <c r="G612" s="29" t="s">
        <v>7053</v>
      </c>
      <c r="H612" s="32" t="s">
        <v>7043</v>
      </c>
      <c r="I612" s="30">
        <v>45658.0</v>
      </c>
      <c r="J612" s="30">
        <v>46022.0</v>
      </c>
      <c r="K612" s="29" t="s">
        <v>7077</v>
      </c>
      <c r="L612" s="29" t="s">
        <v>7053</v>
      </c>
      <c r="M612" s="38" t="s">
        <v>7047</v>
      </c>
      <c r="N612" s="30">
        <v>46023.0</v>
      </c>
      <c r="O612" s="30">
        <v>46387.0</v>
      </c>
      <c r="P612" s="29" t="s">
        <v>7053</v>
      </c>
      <c r="Q612" s="29" t="s">
        <v>7053</v>
      </c>
      <c r="R612" s="32" t="s">
        <v>7043</v>
      </c>
      <c r="S612" s="30">
        <v>46388.0</v>
      </c>
      <c r="T612" s="30">
        <v>46752.0</v>
      </c>
      <c r="U612" s="29" t="s">
        <v>7053</v>
      </c>
      <c r="V612" s="29" t="s">
        <v>7053</v>
      </c>
      <c r="W612" s="32" t="s">
        <v>7043</v>
      </c>
      <c r="X612" s="30">
        <v>46753.0</v>
      </c>
      <c r="Y612" s="30">
        <v>47118.0</v>
      </c>
      <c r="Z612" s="29" t="s">
        <v>7053</v>
      </c>
      <c r="AA612" s="29" t="s">
        <v>7053</v>
      </c>
      <c r="AB612" s="32" t="s">
        <v>7043</v>
      </c>
      <c r="AC612" s="30">
        <v>47119.0</v>
      </c>
      <c r="AD612" s="30">
        <v>47483.0</v>
      </c>
      <c r="AE612" s="29" t="s">
        <v>7053</v>
      </c>
      <c r="AF612" s="29" t="s">
        <v>7053</v>
      </c>
      <c r="AG612" s="32" t="s">
        <v>7043</v>
      </c>
      <c r="AH612" s="30">
        <v>47484.0</v>
      </c>
      <c r="AI612" s="30">
        <v>47848.0</v>
      </c>
      <c r="AJ612" s="29" t="s">
        <v>7053</v>
      </c>
      <c r="AK612" s="29" t="s">
        <v>7053</v>
      </c>
      <c r="AL612" s="32" t="s">
        <v>7043</v>
      </c>
    </row>
    <row r="613" ht="14.25" customHeight="1">
      <c r="A613" s="28" t="s">
        <v>1218</v>
      </c>
      <c r="B613" s="29" t="s">
        <v>1219</v>
      </c>
      <c r="C613" s="29" t="s">
        <v>7041</v>
      </c>
      <c r="D613" s="30">
        <v>45292.0</v>
      </c>
      <c r="E613" s="30">
        <v>45657.0</v>
      </c>
      <c r="F613" s="29" t="s">
        <v>7053</v>
      </c>
      <c r="G613" s="29" t="s">
        <v>7053</v>
      </c>
      <c r="H613" s="32" t="s">
        <v>7043</v>
      </c>
      <c r="I613" s="30">
        <v>45658.0</v>
      </c>
      <c r="J613" s="30">
        <v>46022.0</v>
      </c>
      <c r="K613" s="29" t="s">
        <v>7071</v>
      </c>
      <c r="L613" s="29" t="s">
        <v>7053</v>
      </c>
      <c r="M613" s="38" t="s">
        <v>7047</v>
      </c>
      <c r="N613" s="30">
        <v>46023.0</v>
      </c>
      <c r="O613" s="30">
        <v>46387.0</v>
      </c>
      <c r="P613" s="29" t="s">
        <v>7053</v>
      </c>
      <c r="Q613" s="29" t="s">
        <v>7053</v>
      </c>
      <c r="R613" s="32" t="s">
        <v>7043</v>
      </c>
      <c r="S613" s="30">
        <v>46388.0</v>
      </c>
      <c r="T613" s="30">
        <v>46752.0</v>
      </c>
      <c r="U613" s="29" t="s">
        <v>7053</v>
      </c>
      <c r="V613" s="29" t="s">
        <v>7053</v>
      </c>
      <c r="W613" s="32" t="s">
        <v>7043</v>
      </c>
      <c r="X613" s="30">
        <v>46753.0</v>
      </c>
      <c r="Y613" s="30">
        <v>47118.0</v>
      </c>
      <c r="Z613" s="29" t="s">
        <v>7053</v>
      </c>
      <c r="AA613" s="29" t="s">
        <v>7053</v>
      </c>
      <c r="AB613" s="32" t="s">
        <v>7043</v>
      </c>
      <c r="AC613" s="30">
        <v>47119.0</v>
      </c>
      <c r="AD613" s="30">
        <v>47483.0</v>
      </c>
      <c r="AE613" s="29" t="s">
        <v>7053</v>
      </c>
      <c r="AF613" s="29" t="s">
        <v>7053</v>
      </c>
      <c r="AG613" s="32" t="s">
        <v>7043</v>
      </c>
      <c r="AH613" s="30">
        <v>47484.0</v>
      </c>
      <c r="AI613" s="30">
        <v>47848.0</v>
      </c>
      <c r="AJ613" s="29" t="s">
        <v>7053</v>
      </c>
      <c r="AK613" s="29" t="s">
        <v>7053</v>
      </c>
      <c r="AL613" s="32" t="s">
        <v>7043</v>
      </c>
    </row>
    <row r="614" ht="14.25" customHeight="1">
      <c r="A614" s="28" t="s">
        <v>1240</v>
      </c>
      <c r="B614" s="29" t="s">
        <v>1241</v>
      </c>
      <c r="C614" s="29" t="s">
        <v>7041</v>
      </c>
      <c r="D614" s="30">
        <v>45292.0</v>
      </c>
      <c r="E614" s="30">
        <v>45657.0</v>
      </c>
      <c r="F614" s="29" t="s">
        <v>7053</v>
      </c>
      <c r="G614" s="29" t="s">
        <v>7053</v>
      </c>
      <c r="H614" s="35" t="s">
        <v>7045</v>
      </c>
      <c r="I614" s="30">
        <v>45658.0</v>
      </c>
      <c r="J614" s="30">
        <v>46022.0</v>
      </c>
      <c r="K614" s="29" t="s">
        <v>7053</v>
      </c>
      <c r="L614" s="29" t="s">
        <v>7053</v>
      </c>
      <c r="M614" s="35" t="s">
        <v>7045</v>
      </c>
      <c r="N614" s="30">
        <v>46023.0</v>
      </c>
      <c r="O614" s="30">
        <v>46387.0</v>
      </c>
      <c r="P614" s="29" t="s">
        <v>7053</v>
      </c>
      <c r="Q614" s="29" t="s">
        <v>7053</v>
      </c>
      <c r="R614" s="35" t="s">
        <v>7045</v>
      </c>
      <c r="S614" s="30">
        <v>46388.0</v>
      </c>
      <c r="T614" s="30">
        <v>46752.0</v>
      </c>
      <c r="U614" s="29" t="s">
        <v>7053</v>
      </c>
      <c r="V614" s="29" t="s">
        <v>7053</v>
      </c>
      <c r="W614" s="35" t="s">
        <v>7045</v>
      </c>
      <c r="X614" s="30">
        <v>46753.0</v>
      </c>
      <c r="Y614" s="30">
        <v>47118.0</v>
      </c>
      <c r="Z614" s="29" t="s">
        <v>7053</v>
      </c>
      <c r="AA614" s="29" t="s">
        <v>7053</v>
      </c>
      <c r="AB614" s="35" t="s">
        <v>7045</v>
      </c>
      <c r="AC614" s="30">
        <v>47119.0</v>
      </c>
      <c r="AD614" s="30">
        <v>47483.0</v>
      </c>
      <c r="AE614" s="29" t="s">
        <v>7053</v>
      </c>
      <c r="AF614" s="29" t="s">
        <v>7053</v>
      </c>
      <c r="AG614" s="35" t="s">
        <v>7045</v>
      </c>
      <c r="AH614" s="30">
        <v>47484.0</v>
      </c>
      <c r="AI614" s="30">
        <v>47848.0</v>
      </c>
      <c r="AJ614" s="29" t="s">
        <v>7053</v>
      </c>
      <c r="AK614" s="29" t="s">
        <v>7053</v>
      </c>
      <c r="AL614" s="35" t="s">
        <v>7045</v>
      </c>
    </row>
    <row r="615" ht="14.25" customHeight="1">
      <c r="A615" s="28" t="s">
        <v>2945</v>
      </c>
      <c r="B615" s="29" t="s">
        <v>2946</v>
      </c>
      <c r="C615" s="29" t="s">
        <v>7041</v>
      </c>
      <c r="D615" s="30">
        <v>45292.0</v>
      </c>
      <c r="E615" s="30">
        <v>45657.0</v>
      </c>
      <c r="F615" s="29" t="s">
        <v>7053</v>
      </c>
      <c r="G615" s="29" t="s">
        <v>7053</v>
      </c>
      <c r="H615" s="32" t="s">
        <v>7043</v>
      </c>
      <c r="I615" s="30">
        <v>45658.0</v>
      </c>
      <c r="J615" s="30">
        <v>46022.0</v>
      </c>
      <c r="K615" s="29" t="s">
        <v>7057</v>
      </c>
      <c r="L615" s="29" t="s">
        <v>7053</v>
      </c>
      <c r="M615" s="38" t="s">
        <v>7047</v>
      </c>
      <c r="N615" s="30">
        <v>46023.0</v>
      </c>
      <c r="O615" s="30">
        <v>46387.0</v>
      </c>
      <c r="P615" s="29" t="s">
        <v>7053</v>
      </c>
      <c r="Q615" s="29" t="s">
        <v>7053</v>
      </c>
      <c r="R615" s="32" t="s">
        <v>7043</v>
      </c>
      <c r="S615" s="30">
        <v>46388.0</v>
      </c>
      <c r="T615" s="30">
        <v>46752.0</v>
      </c>
      <c r="U615" s="29" t="s">
        <v>7053</v>
      </c>
      <c r="V615" s="29" t="s">
        <v>7053</v>
      </c>
      <c r="W615" s="32" t="s">
        <v>7043</v>
      </c>
      <c r="X615" s="30">
        <v>46753.0</v>
      </c>
      <c r="Y615" s="30">
        <v>47118.0</v>
      </c>
      <c r="Z615" s="29" t="s">
        <v>7053</v>
      </c>
      <c r="AA615" s="29" t="s">
        <v>7053</v>
      </c>
      <c r="AB615" s="32" t="s">
        <v>7043</v>
      </c>
      <c r="AC615" s="30">
        <v>47119.0</v>
      </c>
      <c r="AD615" s="30">
        <v>47483.0</v>
      </c>
      <c r="AE615" s="29" t="s">
        <v>7053</v>
      </c>
      <c r="AF615" s="29" t="s">
        <v>7053</v>
      </c>
      <c r="AG615" s="32" t="s">
        <v>7043</v>
      </c>
      <c r="AH615" s="30">
        <v>47484.0</v>
      </c>
      <c r="AI615" s="30">
        <v>47848.0</v>
      </c>
      <c r="AJ615" s="29" t="s">
        <v>7053</v>
      </c>
      <c r="AK615" s="29" t="s">
        <v>7053</v>
      </c>
      <c r="AL615" s="32" t="s">
        <v>7043</v>
      </c>
    </row>
    <row r="616" ht="14.25" customHeight="1">
      <c r="A616" s="28" t="s">
        <v>1380</v>
      </c>
      <c r="B616" s="29" t="s">
        <v>1381</v>
      </c>
      <c r="C616" s="29" t="s">
        <v>7041</v>
      </c>
      <c r="D616" s="30">
        <v>45292.0</v>
      </c>
      <c r="E616" s="30">
        <v>45657.0</v>
      </c>
      <c r="F616" s="29" t="s">
        <v>7053</v>
      </c>
      <c r="G616" s="29" t="s">
        <v>7053</v>
      </c>
      <c r="H616" s="32" t="s">
        <v>7043</v>
      </c>
      <c r="I616" s="30">
        <v>45658.0</v>
      </c>
      <c r="J616" s="30">
        <v>46022.0</v>
      </c>
      <c r="K616" s="29" t="s">
        <v>7079</v>
      </c>
      <c r="L616" s="29" t="s">
        <v>7053</v>
      </c>
      <c r="M616" s="38" t="s">
        <v>7047</v>
      </c>
      <c r="N616" s="30">
        <v>46023.0</v>
      </c>
      <c r="O616" s="30">
        <v>46387.0</v>
      </c>
      <c r="P616" s="29" t="s">
        <v>7053</v>
      </c>
      <c r="Q616" s="29" t="s">
        <v>7053</v>
      </c>
      <c r="R616" s="32" t="s">
        <v>7043</v>
      </c>
      <c r="S616" s="30">
        <v>46388.0</v>
      </c>
      <c r="T616" s="30">
        <v>46752.0</v>
      </c>
      <c r="U616" s="29" t="s">
        <v>7053</v>
      </c>
      <c r="V616" s="29" t="s">
        <v>7053</v>
      </c>
      <c r="W616" s="32" t="s">
        <v>7043</v>
      </c>
      <c r="X616" s="30">
        <v>46753.0</v>
      </c>
      <c r="Y616" s="30">
        <v>47118.0</v>
      </c>
      <c r="Z616" s="29" t="s">
        <v>7053</v>
      </c>
      <c r="AA616" s="29" t="s">
        <v>7053</v>
      </c>
      <c r="AB616" s="32" t="s">
        <v>7043</v>
      </c>
      <c r="AC616" s="30">
        <v>47119.0</v>
      </c>
      <c r="AD616" s="30">
        <v>47483.0</v>
      </c>
      <c r="AE616" s="29" t="s">
        <v>7053</v>
      </c>
      <c r="AF616" s="29" t="s">
        <v>7053</v>
      </c>
      <c r="AG616" s="32" t="s">
        <v>7043</v>
      </c>
      <c r="AH616" s="30">
        <v>47484.0</v>
      </c>
      <c r="AI616" s="30">
        <v>47848.0</v>
      </c>
      <c r="AJ616" s="29" t="s">
        <v>7053</v>
      </c>
      <c r="AK616" s="29" t="s">
        <v>7053</v>
      </c>
      <c r="AL616" s="32" t="s">
        <v>7043</v>
      </c>
    </row>
    <row r="617" ht="14.25" customHeight="1">
      <c r="A617" s="28" t="s">
        <v>3159</v>
      </c>
      <c r="B617" s="29" t="s">
        <v>3160</v>
      </c>
      <c r="C617" s="29" t="s">
        <v>7041</v>
      </c>
      <c r="D617" s="30">
        <v>45292.0</v>
      </c>
      <c r="E617" s="30">
        <v>45657.0</v>
      </c>
      <c r="F617" s="29" t="s">
        <v>7053</v>
      </c>
      <c r="G617" s="29" t="s">
        <v>7053</v>
      </c>
      <c r="H617" s="35" t="s">
        <v>7045</v>
      </c>
      <c r="I617" s="30">
        <v>45658.0</v>
      </c>
      <c r="J617" s="30">
        <v>46022.0</v>
      </c>
      <c r="K617" s="29" t="s">
        <v>7053</v>
      </c>
      <c r="L617" s="29" t="s">
        <v>7053</v>
      </c>
      <c r="M617" s="35" t="s">
        <v>7045</v>
      </c>
      <c r="N617" s="30">
        <v>46023.0</v>
      </c>
      <c r="O617" s="30">
        <v>46387.0</v>
      </c>
      <c r="P617" s="29" t="s">
        <v>7053</v>
      </c>
      <c r="Q617" s="29" t="s">
        <v>7053</v>
      </c>
      <c r="R617" s="35" t="s">
        <v>7045</v>
      </c>
      <c r="S617" s="30">
        <v>46388.0</v>
      </c>
      <c r="T617" s="30">
        <v>46752.0</v>
      </c>
      <c r="U617" s="29" t="s">
        <v>7053</v>
      </c>
      <c r="V617" s="29" t="s">
        <v>7053</v>
      </c>
      <c r="W617" s="35" t="s">
        <v>7045</v>
      </c>
      <c r="X617" s="30">
        <v>46753.0</v>
      </c>
      <c r="Y617" s="30">
        <v>47118.0</v>
      </c>
      <c r="Z617" s="29" t="s">
        <v>7053</v>
      </c>
      <c r="AA617" s="29" t="s">
        <v>7053</v>
      </c>
      <c r="AB617" s="35" t="s">
        <v>7045</v>
      </c>
      <c r="AC617" s="30">
        <v>47119.0</v>
      </c>
      <c r="AD617" s="30">
        <v>47483.0</v>
      </c>
      <c r="AE617" s="29" t="s">
        <v>7053</v>
      </c>
      <c r="AF617" s="29" t="s">
        <v>7053</v>
      </c>
      <c r="AG617" s="35" t="s">
        <v>7045</v>
      </c>
      <c r="AH617" s="30">
        <v>47484.0</v>
      </c>
      <c r="AI617" s="30">
        <v>47848.0</v>
      </c>
      <c r="AJ617" s="29" t="s">
        <v>7053</v>
      </c>
      <c r="AK617" s="29" t="s">
        <v>7053</v>
      </c>
      <c r="AL617" s="35" t="s">
        <v>7045</v>
      </c>
    </row>
    <row r="618" ht="14.25" customHeight="1">
      <c r="A618" s="28" t="s">
        <v>3418</v>
      </c>
      <c r="B618" s="29" t="s">
        <v>3419</v>
      </c>
      <c r="C618" s="29" t="s">
        <v>7041</v>
      </c>
      <c r="D618" s="30">
        <v>45292.0</v>
      </c>
      <c r="E618" s="30">
        <v>45657.0</v>
      </c>
      <c r="F618" s="29" t="s">
        <v>7053</v>
      </c>
      <c r="G618" s="29" t="s">
        <v>7053</v>
      </c>
      <c r="H618" s="32" t="s">
        <v>7043</v>
      </c>
      <c r="I618" s="30">
        <v>45658.0</v>
      </c>
      <c r="J618" s="30">
        <v>46022.0</v>
      </c>
      <c r="K618" s="29" t="s">
        <v>7079</v>
      </c>
      <c r="L618" s="29" t="s">
        <v>7053</v>
      </c>
      <c r="M618" s="38" t="s">
        <v>7047</v>
      </c>
      <c r="N618" s="30">
        <v>46023.0</v>
      </c>
      <c r="O618" s="30">
        <v>46387.0</v>
      </c>
      <c r="P618" s="29" t="s">
        <v>7053</v>
      </c>
      <c r="Q618" s="29" t="s">
        <v>7053</v>
      </c>
      <c r="R618" s="32" t="s">
        <v>7043</v>
      </c>
      <c r="S618" s="30">
        <v>46388.0</v>
      </c>
      <c r="T618" s="30">
        <v>46752.0</v>
      </c>
      <c r="U618" s="29" t="s">
        <v>7053</v>
      </c>
      <c r="V618" s="29" t="s">
        <v>7053</v>
      </c>
      <c r="W618" s="32" t="s">
        <v>7043</v>
      </c>
      <c r="X618" s="30">
        <v>46753.0</v>
      </c>
      <c r="Y618" s="30">
        <v>47118.0</v>
      </c>
      <c r="Z618" s="29" t="s">
        <v>7053</v>
      </c>
      <c r="AA618" s="29" t="s">
        <v>7053</v>
      </c>
      <c r="AB618" s="32" t="s">
        <v>7043</v>
      </c>
      <c r="AC618" s="30">
        <v>47119.0</v>
      </c>
      <c r="AD618" s="30">
        <v>47483.0</v>
      </c>
      <c r="AE618" s="29" t="s">
        <v>7053</v>
      </c>
      <c r="AF618" s="29" t="s">
        <v>7053</v>
      </c>
      <c r="AG618" s="32" t="s">
        <v>7043</v>
      </c>
      <c r="AH618" s="30">
        <v>47484.0</v>
      </c>
      <c r="AI618" s="30">
        <v>47848.0</v>
      </c>
      <c r="AJ618" s="29" t="s">
        <v>7053</v>
      </c>
      <c r="AK618" s="29" t="s">
        <v>7053</v>
      </c>
      <c r="AL618" s="32" t="s">
        <v>7043</v>
      </c>
    </row>
    <row r="619" ht="14.25" customHeight="1">
      <c r="A619" s="28" t="s">
        <v>2068</v>
      </c>
      <c r="B619" s="29" t="s">
        <v>2069</v>
      </c>
      <c r="C619" s="29" t="s">
        <v>7041</v>
      </c>
      <c r="D619" s="30">
        <v>45292.0</v>
      </c>
      <c r="E619" s="30">
        <v>45657.0</v>
      </c>
      <c r="F619" s="29" t="s">
        <v>7053</v>
      </c>
      <c r="G619" s="29" t="s">
        <v>7053</v>
      </c>
      <c r="H619" s="32" t="s">
        <v>7043</v>
      </c>
      <c r="I619" s="30">
        <v>45658.0</v>
      </c>
      <c r="J619" s="30">
        <v>46022.0</v>
      </c>
      <c r="K619" s="29" t="s">
        <v>7097</v>
      </c>
      <c r="L619" s="29" t="s">
        <v>7053</v>
      </c>
      <c r="M619" s="38" t="s">
        <v>7047</v>
      </c>
      <c r="N619" s="30">
        <v>46023.0</v>
      </c>
      <c r="O619" s="30">
        <v>46387.0</v>
      </c>
      <c r="P619" s="29" t="s">
        <v>7053</v>
      </c>
      <c r="Q619" s="29" t="s">
        <v>7053</v>
      </c>
      <c r="R619" s="32" t="s">
        <v>7043</v>
      </c>
      <c r="S619" s="30">
        <v>46388.0</v>
      </c>
      <c r="T619" s="30">
        <v>46752.0</v>
      </c>
      <c r="U619" s="29" t="s">
        <v>7053</v>
      </c>
      <c r="V619" s="29" t="s">
        <v>7053</v>
      </c>
      <c r="W619" s="32" t="s">
        <v>7043</v>
      </c>
      <c r="X619" s="30">
        <v>46753.0</v>
      </c>
      <c r="Y619" s="30">
        <v>47118.0</v>
      </c>
      <c r="Z619" s="29" t="s">
        <v>7053</v>
      </c>
      <c r="AA619" s="29" t="s">
        <v>7053</v>
      </c>
      <c r="AB619" s="32" t="s">
        <v>7043</v>
      </c>
      <c r="AC619" s="30">
        <v>47119.0</v>
      </c>
      <c r="AD619" s="30">
        <v>47483.0</v>
      </c>
      <c r="AE619" s="29" t="s">
        <v>7053</v>
      </c>
      <c r="AF619" s="29" t="s">
        <v>7053</v>
      </c>
      <c r="AG619" s="32" t="s">
        <v>7043</v>
      </c>
      <c r="AH619" s="30">
        <v>47484.0</v>
      </c>
      <c r="AI619" s="30">
        <v>47848.0</v>
      </c>
      <c r="AJ619" s="29" t="s">
        <v>7053</v>
      </c>
      <c r="AK619" s="29" t="s">
        <v>7053</v>
      </c>
      <c r="AL619" s="32" t="s">
        <v>7043</v>
      </c>
    </row>
    <row r="620" ht="14.25" customHeight="1">
      <c r="A620" s="28" t="s">
        <v>6678</v>
      </c>
      <c r="B620" s="29" t="s">
        <v>6679</v>
      </c>
      <c r="C620" s="29" t="s">
        <v>7041</v>
      </c>
      <c r="D620" s="30">
        <v>45292.0</v>
      </c>
      <c r="E620" s="30">
        <v>45657.0</v>
      </c>
      <c r="F620" s="29" t="s">
        <v>7053</v>
      </c>
      <c r="G620" s="29" t="s">
        <v>7053</v>
      </c>
      <c r="H620" s="35" t="s">
        <v>7045</v>
      </c>
      <c r="I620" s="30">
        <v>45658.0</v>
      </c>
      <c r="J620" s="30">
        <v>46022.0</v>
      </c>
      <c r="K620" s="29" t="s">
        <v>7053</v>
      </c>
      <c r="L620" s="29" t="s">
        <v>7053</v>
      </c>
      <c r="M620" s="35" t="s">
        <v>7045</v>
      </c>
      <c r="N620" s="30">
        <v>46023.0</v>
      </c>
      <c r="O620" s="30">
        <v>46387.0</v>
      </c>
      <c r="P620" s="29" t="s">
        <v>7053</v>
      </c>
      <c r="Q620" s="29" t="s">
        <v>7053</v>
      </c>
      <c r="R620" s="35" t="s">
        <v>7045</v>
      </c>
      <c r="S620" s="30">
        <v>46388.0</v>
      </c>
      <c r="T620" s="30">
        <v>46752.0</v>
      </c>
      <c r="U620" s="29" t="s">
        <v>7053</v>
      </c>
      <c r="V620" s="29" t="s">
        <v>7053</v>
      </c>
      <c r="W620" s="35" t="s">
        <v>7045</v>
      </c>
      <c r="X620" s="30">
        <v>46753.0</v>
      </c>
      <c r="Y620" s="30">
        <v>47118.0</v>
      </c>
      <c r="Z620" s="29" t="s">
        <v>7053</v>
      </c>
      <c r="AA620" s="29" t="s">
        <v>7053</v>
      </c>
      <c r="AB620" s="35" t="s">
        <v>7045</v>
      </c>
      <c r="AC620" s="30">
        <v>47119.0</v>
      </c>
      <c r="AD620" s="30">
        <v>47483.0</v>
      </c>
      <c r="AE620" s="29" t="s">
        <v>7053</v>
      </c>
      <c r="AF620" s="29" t="s">
        <v>7053</v>
      </c>
      <c r="AG620" s="35" t="s">
        <v>7045</v>
      </c>
      <c r="AH620" s="30">
        <v>47484.0</v>
      </c>
      <c r="AI620" s="30">
        <v>47848.0</v>
      </c>
      <c r="AJ620" s="29" t="s">
        <v>7053</v>
      </c>
      <c r="AK620" s="29" t="s">
        <v>7053</v>
      </c>
      <c r="AL620" s="35" t="s">
        <v>7045</v>
      </c>
    </row>
    <row r="621" ht="14.25" customHeight="1">
      <c r="A621" s="28" t="s">
        <v>1829</v>
      </c>
      <c r="B621" s="29" t="s">
        <v>1830</v>
      </c>
      <c r="C621" s="29" t="s">
        <v>7041</v>
      </c>
      <c r="D621" s="30">
        <v>45292.0</v>
      </c>
      <c r="E621" s="30">
        <v>45657.0</v>
      </c>
      <c r="F621" s="29" t="s">
        <v>7053</v>
      </c>
      <c r="G621" s="29" t="s">
        <v>7053</v>
      </c>
      <c r="H621" s="32" t="s">
        <v>7043</v>
      </c>
      <c r="I621" s="30">
        <v>45658.0</v>
      </c>
      <c r="J621" s="30">
        <v>46022.0</v>
      </c>
      <c r="K621" s="29" t="s">
        <v>7097</v>
      </c>
      <c r="L621" s="29" t="s">
        <v>7053</v>
      </c>
      <c r="M621" s="38" t="s">
        <v>7047</v>
      </c>
      <c r="N621" s="30">
        <v>46023.0</v>
      </c>
      <c r="O621" s="30">
        <v>46387.0</v>
      </c>
      <c r="P621" s="29" t="s">
        <v>7053</v>
      </c>
      <c r="Q621" s="29" t="s">
        <v>7053</v>
      </c>
      <c r="R621" s="32" t="s">
        <v>7043</v>
      </c>
      <c r="S621" s="30">
        <v>46388.0</v>
      </c>
      <c r="T621" s="30">
        <v>46752.0</v>
      </c>
      <c r="U621" s="29" t="s">
        <v>7053</v>
      </c>
      <c r="V621" s="29" t="s">
        <v>7053</v>
      </c>
      <c r="W621" s="32" t="s">
        <v>7043</v>
      </c>
      <c r="X621" s="30">
        <v>46753.0</v>
      </c>
      <c r="Y621" s="30">
        <v>47118.0</v>
      </c>
      <c r="Z621" s="29" t="s">
        <v>7053</v>
      </c>
      <c r="AA621" s="29" t="s">
        <v>7053</v>
      </c>
      <c r="AB621" s="32" t="s">
        <v>7043</v>
      </c>
      <c r="AC621" s="30">
        <v>47119.0</v>
      </c>
      <c r="AD621" s="30">
        <v>47483.0</v>
      </c>
      <c r="AE621" s="29" t="s">
        <v>7053</v>
      </c>
      <c r="AF621" s="29" t="s">
        <v>7053</v>
      </c>
      <c r="AG621" s="32" t="s">
        <v>7043</v>
      </c>
      <c r="AH621" s="30">
        <v>47484.0</v>
      </c>
      <c r="AI621" s="30">
        <v>47848.0</v>
      </c>
      <c r="AJ621" s="29" t="s">
        <v>7053</v>
      </c>
      <c r="AK621" s="29" t="s">
        <v>7053</v>
      </c>
      <c r="AL621" s="32" t="s">
        <v>7043</v>
      </c>
    </row>
    <row r="622" ht="14.25" customHeight="1">
      <c r="A622" s="28" t="s">
        <v>2488</v>
      </c>
      <c r="B622" s="29" t="s">
        <v>2489</v>
      </c>
      <c r="C622" s="29" t="s">
        <v>7041</v>
      </c>
      <c r="D622" s="30">
        <v>45292.0</v>
      </c>
      <c r="E622" s="30">
        <v>45657.0</v>
      </c>
      <c r="F622" s="29" t="s">
        <v>7053</v>
      </c>
      <c r="G622" s="29" t="s">
        <v>7053</v>
      </c>
      <c r="H622" s="35" t="s">
        <v>7045</v>
      </c>
      <c r="I622" s="30">
        <v>45658.0</v>
      </c>
      <c r="J622" s="30">
        <v>46022.0</v>
      </c>
      <c r="K622" s="29" t="s">
        <v>7053</v>
      </c>
      <c r="L622" s="29" t="s">
        <v>7053</v>
      </c>
      <c r="M622" s="35" t="s">
        <v>7045</v>
      </c>
      <c r="N622" s="30">
        <v>46023.0</v>
      </c>
      <c r="O622" s="30">
        <v>46387.0</v>
      </c>
      <c r="P622" s="29" t="s">
        <v>7053</v>
      </c>
      <c r="Q622" s="29" t="s">
        <v>7053</v>
      </c>
      <c r="R622" s="35" t="s">
        <v>7045</v>
      </c>
      <c r="S622" s="30">
        <v>46388.0</v>
      </c>
      <c r="T622" s="30">
        <v>46752.0</v>
      </c>
      <c r="U622" s="29" t="s">
        <v>7053</v>
      </c>
      <c r="V622" s="29" t="s">
        <v>7053</v>
      </c>
      <c r="W622" s="35" t="s">
        <v>7045</v>
      </c>
      <c r="X622" s="30">
        <v>46753.0</v>
      </c>
      <c r="Y622" s="30">
        <v>47118.0</v>
      </c>
      <c r="Z622" s="29" t="s">
        <v>7053</v>
      </c>
      <c r="AA622" s="29" t="s">
        <v>7053</v>
      </c>
      <c r="AB622" s="35" t="s">
        <v>7045</v>
      </c>
      <c r="AC622" s="30">
        <v>47119.0</v>
      </c>
      <c r="AD622" s="30">
        <v>47483.0</v>
      </c>
      <c r="AE622" s="29" t="s">
        <v>7053</v>
      </c>
      <c r="AF622" s="29" t="s">
        <v>7053</v>
      </c>
      <c r="AG622" s="35" t="s">
        <v>7045</v>
      </c>
      <c r="AH622" s="30">
        <v>47484.0</v>
      </c>
      <c r="AI622" s="30">
        <v>47848.0</v>
      </c>
      <c r="AJ622" s="29" t="s">
        <v>7053</v>
      </c>
      <c r="AK622" s="29" t="s">
        <v>7053</v>
      </c>
      <c r="AL622" s="35" t="s">
        <v>7045</v>
      </c>
    </row>
    <row r="623" ht="14.25" customHeight="1">
      <c r="A623" s="20" t="s">
        <v>4686</v>
      </c>
      <c r="B623" s="20" t="s">
        <v>4687</v>
      </c>
      <c r="C623" s="20" t="s">
        <v>7041</v>
      </c>
      <c r="D623" s="24">
        <v>45292.0</v>
      </c>
      <c r="E623" s="24">
        <v>45657.0</v>
      </c>
      <c r="F623" s="20" t="s">
        <v>7053</v>
      </c>
      <c r="G623" s="20" t="s">
        <v>7053</v>
      </c>
      <c r="H623" s="20" t="s">
        <v>7043</v>
      </c>
      <c r="I623" s="24">
        <v>45658.0</v>
      </c>
      <c r="J623" s="24">
        <v>46022.0</v>
      </c>
      <c r="K623" s="20" t="s">
        <v>7097</v>
      </c>
      <c r="L623" s="20" t="s">
        <v>7053</v>
      </c>
      <c r="M623" s="20" t="s">
        <v>7047</v>
      </c>
      <c r="N623" s="24">
        <v>46023.0</v>
      </c>
      <c r="O623" s="24">
        <v>46387.0</v>
      </c>
      <c r="P623" s="20" t="s">
        <v>7053</v>
      </c>
      <c r="Q623" s="20" t="s">
        <v>7053</v>
      </c>
      <c r="R623" s="20" t="s">
        <v>7043</v>
      </c>
      <c r="S623" s="24">
        <v>46388.0</v>
      </c>
      <c r="T623" s="24">
        <v>46752.0</v>
      </c>
      <c r="U623" s="20" t="s">
        <v>7053</v>
      </c>
      <c r="V623" s="20" t="s">
        <v>7053</v>
      </c>
      <c r="W623" s="20" t="s">
        <v>7043</v>
      </c>
      <c r="X623" s="24">
        <v>46753.0</v>
      </c>
      <c r="Y623" s="24">
        <v>47118.0</v>
      </c>
      <c r="Z623" s="20" t="s">
        <v>7053</v>
      </c>
      <c r="AA623" s="20" t="s">
        <v>7053</v>
      </c>
      <c r="AB623" s="20" t="s">
        <v>7043</v>
      </c>
      <c r="AC623" s="24">
        <v>47119.0</v>
      </c>
      <c r="AD623" s="24">
        <v>47483.0</v>
      </c>
      <c r="AE623" s="20" t="s">
        <v>7053</v>
      </c>
      <c r="AF623" s="20" t="s">
        <v>7053</v>
      </c>
      <c r="AG623" s="20" t="s">
        <v>7043</v>
      </c>
      <c r="AH623" s="24">
        <v>47484.0</v>
      </c>
      <c r="AI623" s="24">
        <v>47848.0</v>
      </c>
      <c r="AJ623" s="20" t="s">
        <v>7053</v>
      </c>
      <c r="AK623" s="20" t="s">
        <v>7053</v>
      </c>
      <c r="AL623" s="20" t="s">
        <v>7043</v>
      </c>
    </row>
    <row r="624" ht="14.25" customHeight="1">
      <c r="A624" s="20" t="s">
        <v>6336</v>
      </c>
      <c r="B624" s="20" t="s">
        <v>6337</v>
      </c>
      <c r="C624" s="20" t="s">
        <v>7041</v>
      </c>
      <c r="D624" s="24">
        <v>45292.0</v>
      </c>
      <c r="E624" s="24">
        <v>45657.0</v>
      </c>
      <c r="F624" s="20" t="s">
        <v>7053</v>
      </c>
      <c r="G624" s="20" t="s">
        <v>7053</v>
      </c>
      <c r="H624" s="20" t="s">
        <v>7043</v>
      </c>
      <c r="I624" s="24">
        <v>45658.0</v>
      </c>
      <c r="J624" s="24">
        <v>46022.0</v>
      </c>
      <c r="K624" s="20" t="s">
        <v>7096</v>
      </c>
      <c r="L624" s="20" t="s">
        <v>7118</v>
      </c>
      <c r="M624" s="20" t="s">
        <v>7046</v>
      </c>
      <c r="N624" s="24">
        <v>46023.0</v>
      </c>
      <c r="O624" s="24">
        <v>46387.0</v>
      </c>
      <c r="P624" s="20" t="s">
        <v>7053</v>
      </c>
      <c r="Q624" s="20" t="s">
        <v>7053</v>
      </c>
      <c r="R624" s="20" t="s">
        <v>7043</v>
      </c>
      <c r="S624" s="24">
        <v>46388.0</v>
      </c>
      <c r="T624" s="24">
        <v>46752.0</v>
      </c>
      <c r="U624" s="20" t="s">
        <v>7053</v>
      </c>
      <c r="V624" s="20" t="s">
        <v>7053</v>
      </c>
      <c r="W624" s="20" t="s">
        <v>7043</v>
      </c>
      <c r="X624" s="24">
        <v>46753.0</v>
      </c>
      <c r="Y624" s="24">
        <v>47118.0</v>
      </c>
      <c r="Z624" s="20" t="s">
        <v>7053</v>
      </c>
      <c r="AA624" s="20" t="s">
        <v>7053</v>
      </c>
      <c r="AB624" s="20" t="s">
        <v>7043</v>
      </c>
      <c r="AC624" s="24">
        <v>47119.0</v>
      </c>
      <c r="AD624" s="24">
        <v>47483.0</v>
      </c>
      <c r="AE624" s="20" t="s">
        <v>7053</v>
      </c>
      <c r="AF624" s="20" t="s">
        <v>7053</v>
      </c>
      <c r="AG624" s="20" t="s">
        <v>7043</v>
      </c>
      <c r="AH624" s="24">
        <v>47484.0</v>
      </c>
      <c r="AI624" s="24">
        <v>47848.0</v>
      </c>
      <c r="AJ624" s="20" t="s">
        <v>7053</v>
      </c>
      <c r="AK624" s="20" t="s">
        <v>7053</v>
      </c>
      <c r="AL624" s="20" t="s">
        <v>7043</v>
      </c>
    </row>
    <row r="625" ht="14.25" customHeight="1">
      <c r="A625" s="20" t="s">
        <v>4272</v>
      </c>
      <c r="B625" s="20" t="s">
        <v>4273</v>
      </c>
      <c r="C625" s="20" t="s">
        <v>7041</v>
      </c>
      <c r="D625" s="24">
        <v>45292.0</v>
      </c>
      <c r="E625" s="24">
        <v>45657.0</v>
      </c>
      <c r="F625" s="20" t="s">
        <v>7053</v>
      </c>
      <c r="G625" s="20" t="s">
        <v>7053</v>
      </c>
      <c r="H625" s="20" t="s">
        <v>7043</v>
      </c>
      <c r="I625" s="24">
        <v>45658.0</v>
      </c>
      <c r="J625" s="24">
        <v>46022.0</v>
      </c>
      <c r="K625" s="20" t="s">
        <v>7052</v>
      </c>
      <c r="L625" s="20" t="s">
        <v>7053</v>
      </c>
      <c r="M625" s="20" t="s">
        <v>7047</v>
      </c>
      <c r="N625" s="24">
        <v>46023.0</v>
      </c>
      <c r="O625" s="24">
        <v>46387.0</v>
      </c>
      <c r="P625" s="20" t="s">
        <v>7053</v>
      </c>
      <c r="Q625" s="20" t="s">
        <v>7053</v>
      </c>
      <c r="R625" s="20" t="s">
        <v>7043</v>
      </c>
      <c r="S625" s="24">
        <v>46388.0</v>
      </c>
      <c r="T625" s="24">
        <v>46752.0</v>
      </c>
      <c r="U625" s="20" t="s">
        <v>7053</v>
      </c>
      <c r="V625" s="20" t="s">
        <v>7053</v>
      </c>
      <c r="W625" s="20" t="s">
        <v>7043</v>
      </c>
      <c r="X625" s="24">
        <v>46753.0</v>
      </c>
      <c r="Y625" s="24">
        <v>47118.0</v>
      </c>
      <c r="Z625" s="20" t="s">
        <v>7053</v>
      </c>
      <c r="AA625" s="20" t="s">
        <v>7053</v>
      </c>
      <c r="AB625" s="20" t="s">
        <v>7043</v>
      </c>
      <c r="AC625" s="24">
        <v>47119.0</v>
      </c>
      <c r="AD625" s="24">
        <v>47483.0</v>
      </c>
      <c r="AE625" s="20" t="s">
        <v>7053</v>
      </c>
      <c r="AF625" s="20" t="s">
        <v>7053</v>
      </c>
      <c r="AG625" s="20" t="s">
        <v>7043</v>
      </c>
      <c r="AH625" s="24">
        <v>47484.0</v>
      </c>
      <c r="AI625" s="24">
        <v>47848.0</v>
      </c>
      <c r="AJ625" s="20" t="s">
        <v>7053</v>
      </c>
      <c r="AK625" s="20" t="s">
        <v>7053</v>
      </c>
      <c r="AL625" s="20" t="s">
        <v>7043</v>
      </c>
    </row>
    <row r="626" ht="14.25" customHeight="1">
      <c r="A626" s="20" t="s">
        <v>6367</v>
      </c>
      <c r="B626" s="20" t="s">
        <v>6368</v>
      </c>
      <c r="C626" s="20" t="s">
        <v>7041</v>
      </c>
      <c r="D626" s="24">
        <v>45292.0</v>
      </c>
      <c r="E626" s="24">
        <v>45657.0</v>
      </c>
      <c r="F626" s="20" t="s">
        <v>7053</v>
      </c>
      <c r="G626" s="20" t="s">
        <v>7053</v>
      </c>
      <c r="H626" s="20" t="s">
        <v>7043</v>
      </c>
      <c r="I626" s="24">
        <v>45658.0</v>
      </c>
      <c r="J626" s="24">
        <v>46022.0</v>
      </c>
      <c r="K626" s="20" t="s">
        <v>7059</v>
      </c>
      <c r="L626" s="20" t="s">
        <v>7053</v>
      </c>
      <c r="M626" s="20" t="s">
        <v>7047</v>
      </c>
      <c r="N626" s="24">
        <v>46023.0</v>
      </c>
      <c r="O626" s="24">
        <v>46387.0</v>
      </c>
      <c r="P626" s="20" t="s">
        <v>7053</v>
      </c>
      <c r="Q626" s="20" t="s">
        <v>7053</v>
      </c>
      <c r="R626" s="20" t="s">
        <v>7043</v>
      </c>
      <c r="S626" s="24">
        <v>46388.0</v>
      </c>
      <c r="T626" s="24">
        <v>46752.0</v>
      </c>
      <c r="U626" s="20" t="s">
        <v>7053</v>
      </c>
      <c r="V626" s="20" t="s">
        <v>7053</v>
      </c>
      <c r="W626" s="20" t="s">
        <v>7043</v>
      </c>
      <c r="X626" s="24">
        <v>46753.0</v>
      </c>
      <c r="Y626" s="24">
        <v>47118.0</v>
      </c>
      <c r="Z626" s="20" t="s">
        <v>7053</v>
      </c>
      <c r="AA626" s="20" t="s">
        <v>7053</v>
      </c>
      <c r="AB626" s="20" t="s">
        <v>7043</v>
      </c>
      <c r="AC626" s="24">
        <v>47119.0</v>
      </c>
      <c r="AD626" s="24">
        <v>47483.0</v>
      </c>
      <c r="AE626" s="20" t="s">
        <v>7053</v>
      </c>
      <c r="AF626" s="20" t="s">
        <v>7053</v>
      </c>
      <c r="AG626" s="20" t="s">
        <v>7043</v>
      </c>
      <c r="AH626" s="24">
        <v>47484.0</v>
      </c>
      <c r="AI626" s="24">
        <v>47848.0</v>
      </c>
      <c r="AJ626" s="20" t="s">
        <v>7053</v>
      </c>
      <c r="AK626" s="20" t="s">
        <v>7053</v>
      </c>
      <c r="AL626" s="20" t="s">
        <v>7043</v>
      </c>
    </row>
    <row r="627" ht="14.25" customHeight="1">
      <c r="A627" s="20" t="s">
        <v>4457</v>
      </c>
      <c r="B627" s="20" t="s">
        <v>4458</v>
      </c>
      <c r="C627" s="20" t="s">
        <v>7041</v>
      </c>
      <c r="D627" s="24">
        <v>45292.0</v>
      </c>
      <c r="E627" s="24">
        <v>45657.0</v>
      </c>
      <c r="F627" s="20" t="s">
        <v>7053</v>
      </c>
      <c r="G627" s="20" t="s">
        <v>7053</v>
      </c>
      <c r="H627" s="20" t="s">
        <v>7043</v>
      </c>
      <c r="I627" s="24">
        <v>45658.0</v>
      </c>
      <c r="J627" s="24">
        <v>46022.0</v>
      </c>
      <c r="K627" s="20" t="s">
        <v>7086</v>
      </c>
      <c r="L627" s="20" t="s">
        <v>7053</v>
      </c>
      <c r="M627" s="20" t="s">
        <v>7047</v>
      </c>
      <c r="N627" s="24">
        <v>46023.0</v>
      </c>
      <c r="O627" s="24">
        <v>46387.0</v>
      </c>
      <c r="P627" s="20" t="s">
        <v>7053</v>
      </c>
      <c r="Q627" s="20" t="s">
        <v>7053</v>
      </c>
      <c r="R627" s="20" t="s">
        <v>7043</v>
      </c>
      <c r="S627" s="24">
        <v>46388.0</v>
      </c>
      <c r="T627" s="24">
        <v>46752.0</v>
      </c>
      <c r="U627" s="20" t="s">
        <v>7053</v>
      </c>
      <c r="V627" s="20" t="s">
        <v>7053</v>
      </c>
      <c r="W627" s="20" t="s">
        <v>7043</v>
      </c>
      <c r="X627" s="24">
        <v>46753.0</v>
      </c>
      <c r="Y627" s="24">
        <v>47118.0</v>
      </c>
      <c r="Z627" s="20" t="s">
        <v>7053</v>
      </c>
      <c r="AA627" s="20" t="s">
        <v>7053</v>
      </c>
      <c r="AB627" s="20" t="s">
        <v>7043</v>
      </c>
      <c r="AC627" s="24">
        <v>47119.0</v>
      </c>
      <c r="AD627" s="24">
        <v>47483.0</v>
      </c>
      <c r="AE627" s="20" t="s">
        <v>7053</v>
      </c>
      <c r="AF627" s="20" t="s">
        <v>7053</v>
      </c>
      <c r="AG627" s="20" t="s">
        <v>7043</v>
      </c>
      <c r="AH627" s="24">
        <v>47484.0</v>
      </c>
      <c r="AI627" s="24">
        <v>47848.0</v>
      </c>
      <c r="AJ627" s="20" t="s">
        <v>7053</v>
      </c>
      <c r="AK627" s="20" t="s">
        <v>7053</v>
      </c>
      <c r="AL627" s="20" t="s">
        <v>7043</v>
      </c>
    </row>
    <row r="628" ht="14.25" customHeight="1">
      <c r="A628" s="20" t="s">
        <v>1433</v>
      </c>
      <c r="B628" s="20" t="s">
        <v>1434</v>
      </c>
      <c r="C628" s="20" t="s">
        <v>7041</v>
      </c>
      <c r="D628" s="24">
        <v>45292.0</v>
      </c>
      <c r="E628" s="24">
        <v>45657.0</v>
      </c>
      <c r="F628" s="20" t="s">
        <v>7053</v>
      </c>
      <c r="G628" s="20" t="s">
        <v>7053</v>
      </c>
      <c r="H628" s="20" t="s">
        <v>7045</v>
      </c>
      <c r="I628" s="24">
        <v>45658.0</v>
      </c>
      <c r="J628" s="24">
        <v>46022.0</v>
      </c>
      <c r="K628" s="20" t="s">
        <v>7053</v>
      </c>
      <c r="L628" s="20" t="s">
        <v>7052</v>
      </c>
      <c r="M628" s="20" t="s">
        <v>7045</v>
      </c>
      <c r="N628" s="24">
        <v>46023.0</v>
      </c>
      <c r="O628" s="24">
        <v>46387.0</v>
      </c>
      <c r="P628" s="20" t="s">
        <v>7053</v>
      </c>
      <c r="Q628" s="20" t="s">
        <v>7053</v>
      </c>
      <c r="R628" s="20" t="s">
        <v>7045</v>
      </c>
      <c r="S628" s="24">
        <v>46388.0</v>
      </c>
      <c r="T628" s="24">
        <v>46752.0</v>
      </c>
      <c r="U628" s="20" t="s">
        <v>7053</v>
      </c>
      <c r="V628" s="20" t="s">
        <v>7053</v>
      </c>
      <c r="W628" s="20" t="s">
        <v>7045</v>
      </c>
      <c r="X628" s="24">
        <v>46753.0</v>
      </c>
      <c r="Y628" s="24">
        <v>47118.0</v>
      </c>
      <c r="Z628" s="20" t="s">
        <v>7053</v>
      </c>
      <c r="AA628" s="20" t="s">
        <v>7053</v>
      </c>
      <c r="AB628" s="20" t="s">
        <v>7045</v>
      </c>
      <c r="AC628" s="24">
        <v>47119.0</v>
      </c>
      <c r="AD628" s="24">
        <v>47483.0</v>
      </c>
      <c r="AE628" s="20" t="s">
        <v>7053</v>
      </c>
      <c r="AF628" s="20" t="s">
        <v>7053</v>
      </c>
      <c r="AG628" s="20" t="s">
        <v>7045</v>
      </c>
      <c r="AH628" s="24">
        <v>47484.0</v>
      </c>
      <c r="AI628" s="24">
        <v>47848.0</v>
      </c>
      <c r="AJ628" s="20" t="s">
        <v>7053</v>
      </c>
      <c r="AK628" s="20" t="s">
        <v>7053</v>
      </c>
      <c r="AL628" s="20" t="s">
        <v>7045</v>
      </c>
    </row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47"/>
    <hyperlink r:id="rId2" ref="B448"/>
  </hyperlinks>
  <printOptions/>
  <pageMargins bottom="0.75" footer="0.0" header="0.0" left="0.7" right="0.7" top="0.75"/>
  <pageSetup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8.29"/>
    <col customWidth="1" min="5" max="5" width="37.71"/>
    <col customWidth="1" min="6" max="7" width="18.14"/>
    <col customWidth="1" min="8" max="8" width="25.43"/>
    <col customWidth="1" min="9" max="9" width="22.43"/>
    <col customWidth="1" min="10" max="10" width="20.14"/>
    <col customWidth="1" min="11" max="12" width="18.14"/>
    <col customWidth="1" min="13" max="13" width="25.43"/>
    <col customWidth="1" min="14" max="14" width="22.43"/>
    <col customWidth="1" min="15" max="15" width="20.14"/>
    <col customWidth="1" min="16" max="17" width="18.14"/>
    <col customWidth="1" min="18" max="18" width="25.43"/>
    <col customWidth="1" min="19" max="19" width="22.43"/>
    <col customWidth="1" min="20" max="20" width="20.14"/>
    <col customWidth="1" min="21" max="22" width="18.14"/>
    <col customWidth="1" min="23" max="23" width="25.43"/>
    <col customWidth="1" min="24" max="24" width="22.43"/>
    <col customWidth="1" min="25" max="25" width="20.14"/>
    <col customWidth="1" min="26" max="27" width="18.14"/>
    <col customWidth="1" min="28" max="28" width="25.43"/>
    <col customWidth="1" min="29" max="29" width="22.43"/>
    <col customWidth="1" min="30" max="30" width="20.14"/>
    <col customWidth="1" min="31" max="32" width="18.14"/>
    <col customWidth="1" min="33" max="33" width="25.43"/>
  </cols>
  <sheetData>
    <row r="1" ht="14.25" customHeight="1">
      <c r="A1" s="27" t="s">
        <v>7033</v>
      </c>
      <c r="B1" s="27" t="s">
        <v>7034</v>
      </c>
      <c r="C1" s="27" t="s">
        <v>7035</v>
      </c>
      <c r="D1" s="27" t="s">
        <v>7036</v>
      </c>
      <c r="E1" s="27" t="s">
        <v>7037</v>
      </c>
      <c r="F1" s="27" t="s">
        <v>7038</v>
      </c>
      <c r="G1" s="27" t="s">
        <v>7039</v>
      </c>
      <c r="H1" s="27" t="s">
        <v>7040</v>
      </c>
      <c r="I1" s="27" t="s">
        <v>7036</v>
      </c>
      <c r="J1" s="27" t="s">
        <v>7037</v>
      </c>
      <c r="K1" s="27" t="s">
        <v>7038</v>
      </c>
      <c r="L1" s="27" t="s">
        <v>7039</v>
      </c>
      <c r="M1" s="27" t="s">
        <v>7040</v>
      </c>
      <c r="N1" s="27" t="s">
        <v>7036</v>
      </c>
      <c r="O1" s="27" t="s">
        <v>7037</v>
      </c>
      <c r="P1" s="27" t="s">
        <v>7038</v>
      </c>
      <c r="Q1" s="27" t="s">
        <v>7039</v>
      </c>
      <c r="R1" s="27" t="s">
        <v>7040</v>
      </c>
      <c r="S1" s="27" t="s">
        <v>7036</v>
      </c>
      <c r="T1" s="27" t="s">
        <v>7037</v>
      </c>
      <c r="U1" s="27" t="s">
        <v>7038</v>
      </c>
      <c r="V1" s="27" t="s">
        <v>7039</v>
      </c>
      <c r="W1" s="27" t="s">
        <v>7040</v>
      </c>
      <c r="X1" s="27" t="s">
        <v>7036</v>
      </c>
      <c r="Y1" s="27" t="s">
        <v>7037</v>
      </c>
      <c r="Z1" s="27" t="s">
        <v>7038</v>
      </c>
      <c r="AA1" s="27" t="s">
        <v>7039</v>
      </c>
      <c r="AB1" s="27" t="s">
        <v>7040</v>
      </c>
      <c r="AC1" s="27" t="s">
        <v>7036</v>
      </c>
      <c r="AD1" s="27" t="s">
        <v>7037</v>
      </c>
      <c r="AE1" s="27" t="s">
        <v>7038</v>
      </c>
      <c r="AF1" s="27" t="s">
        <v>7039</v>
      </c>
      <c r="AG1" s="27" t="s">
        <v>7040</v>
      </c>
    </row>
    <row r="2" ht="14.25" customHeight="1">
      <c r="A2" s="28" t="s">
        <v>184</v>
      </c>
      <c r="B2" s="29" t="s">
        <v>185</v>
      </c>
      <c r="C2" s="29" t="s">
        <v>7041</v>
      </c>
      <c r="D2" s="30">
        <v>45658.0</v>
      </c>
      <c r="E2" s="30">
        <v>46022.0</v>
      </c>
      <c r="F2" s="31">
        <v>0.0</v>
      </c>
      <c r="G2" s="31">
        <v>1.0</v>
      </c>
      <c r="H2" s="35" t="s">
        <v>7045</v>
      </c>
      <c r="I2" s="30">
        <v>46023.0</v>
      </c>
      <c r="J2" s="30">
        <v>46387.0</v>
      </c>
      <c r="K2" s="31">
        <v>0.0</v>
      </c>
      <c r="L2" s="31">
        <v>1.0</v>
      </c>
      <c r="M2" s="35" t="s">
        <v>7045</v>
      </c>
      <c r="N2" s="30">
        <v>46388.0</v>
      </c>
      <c r="O2" s="30">
        <v>46752.0</v>
      </c>
      <c r="P2" s="31">
        <v>0.0</v>
      </c>
      <c r="Q2" s="31">
        <v>1.0</v>
      </c>
      <c r="R2" s="35" t="s">
        <v>7045</v>
      </c>
      <c r="S2" s="30">
        <v>46753.0</v>
      </c>
      <c r="T2" s="30">
        <v>47118.0</v>
      </c>
      <c r="U2" s="31">
        <v>0.0</v>
      </c>
      <c r="V2" s="31">
        <v>1.0</v>
      </c>
      <c r="W2" s="35" t="s">
        <v>7045</v>
      </c>
      <c r="X2" s="30">
        <v>47119.0</v>
      </c>
      <c r="Y2" s="30">
        <v>47483.0</v>
      </c>
      <c r="Z2" s="31">
        <v>0.0</v>
      </c>
      <c r="AA2" s="31">
        <v>1.0</v>
      </c>
      <c r="AB2" s="35" t="s">
        <v>7045</v>
      </c>
      <c r="AC2" s="30">
        <v>47484.0</v>
      </c>
      <c r="AD2" s="30">
        <v>47848.0</v>
      </c>
      <c r="AE2" s="31">
        <v>0.0</v>
      </c>
      <c r="AF2" s="31">
        <v>1.0</v>
      </c>
      <c r="AG2" s="35" t="s">
        <v>7045</v>
      </c>
    </row>
    <row r="3" ht="14.25" customHeight="1">
      <c r="A3" s="28" t="s">
        <v>3123</v>
      </c>
      <c r="B3" s="29" t="s">
        <v>3124</v>
      </c>
      <c r="C3" s="29" t="s">
        <v>7041</v>
      </c>
      <c r="D3" s="30">
        <v>45658.0</v>
      </c>
      <c r="E3" s="30">
        <v>46022.0</v>
      </c>
      <c r="F3" s="31">
        <v>0.0</v>
      </c>
      <c r="G3" s="31">
        <v>1.0</v>
      </c>
      <c r="H3" s="35" t="s">
        <v>7045</v>
      </c>
      <c r="I3" s="30">
        <v>46023.0</v>
      </c>
      <c r="J3" s="30">
        <v>46387.0</v>
      </c>
      <c r="K3" s="31">
        <v>0.0</v>
      </c>
      <c r="L3" s="31">
        <v>1.0</v>
      </c>
      <c r="M3" s="35" t="s">
        <v>7045</v>
      </c>
      <c r="N3" s="30">
        <v>46388.0</v>
      </c>
      <c r="O3" s="30">
        <v>46752.0</v>
      </c>
      <c r="P3" s="31">
        <v>0.0</v>
      </c>
      <c r="Q3" s="31">
        <v>1.0</v>
      </c>
      <c r="R3" s="35" t="s">
        <v>7045</v>
      </c>
      <c r="S3" s="30">
        <v>46753.0</v>
      </c>
      <c r="T3" s="30">
        <v>47118.0</v>
      </c>
      <c r="U3" s="31">
        <v>0.0</v>
      </c>
      <c r="V3" s="31">
        <v>1.0</v>
      </c>
      <c r="W3" s="35" t="s">
        <v>7045</v>
      </c>
      <c r="X3" s="30">
        <v>47119.0</v>
      </c>
      <c r="Y3" s="30">
        <v>47483.0</v>
      </c>
      <c r="Z3" s="31">
        <v>0.0</v>
      </c>
      <c r="AA3" s="31">
        <v>1.0</v>
      </c>
      <c r="AB3" s="35" t="s">
        <v>7045</v>
      </c>
      <c r="AC3" s="30">
        <v>47484.0</v>
      </c>
      <c r="AD3" s="30">
        <v>47848.0</v>
      </c>
      <c r="AE3" s="31">
        <v>0.0</v>
      </c>
      <c r="AF3" s="31">
        <v>1.0</v>
      </c>
      <c r="AG3" s="35" t="s">
        <v>7045</v>
      </c>
    </row>
    <row r="4" ht="14.25" customHeight="1">
      <c r="A4" s="28" t="s">
        <v>2647</v>
      </c>
      <c r="B4" s="29" t="s">
        <v>2648</v>
      </c>
      <c r="C4" s="29" t="s">
        <v>7041</v>
      </c>
      <c r="D4" s="30">
        <v>45658.0</v>
      </c>
      <c r="E4" s="30">
        <v>46022.0</v>
      </c>
      <c r="F4" s="31">
        <v>0.0</v>
      </c>
      <c r="G4" s="31">
        <v>1.0</v>
      </c>
      <c r="H4" s="35" t="s">
        <v>7045</v>
      </c>
      <c r="I4" s="30">
        <v>46023.0</v>
      </c>
      <c r="J4" s="30">
        <v>46387.0</v>
      </c>
      <c r="K4" s="31">
        <v>0.0</v>
      </c>
      <c r="L4" s="31">
        <v>1.0</v>
      </c>
      <c r="M4" s="35" t="s">
        <v>7045</v>
      </c>
      <c r="N4" s="30">
        <v>46388.0</v>
      </c>
      <c r="O4" s="30">
        <v>46752.0</v>
      </c>
      <c r="P4" s="31">
        <v>0.0</v>
      </c>
      <c r="Q4" s="31">
        <v>1.0</v>
      </c>
      <c r="R4" s="35" t="s">
        <v>7045</v>
      </c>
      <c r="S4" s="30">
        <v>46753.0</v>
      </c>
      <c r="T4" s="30">
        <v>47118.0</v>
      </c>
      <c r="U4" s="31">
        <v>0.0</v>
      </c>
      <c r="V4" s="31">
        <v>1.0</v>
      </c>
      <c r="W4" s="35" t="s">
        <v>7045</v>
      </c>
      <c r="X4" s="30">
        <v>47119.0</v>
      </c>
      <c r="Y4" s="30">
        <v>47483.0</v>
      </c>
      <c r="Z4" s="31">
        <v>0.0</v>
      </c>
      <c r="AA4" s="31">
        <v>1.0</v>
      </c>
      <c r="AB4" s="35" t="s">
        <v>7045</v>
      </c>
      <c r="AC4" s="30">
        <v>47484.0</v>
      </c>
      <c r="AD4" s="30">
        <v>47848.0</v>
      </c>
      <c r="AE4" s="31">
        <v>0.0</v>
      </c>
      <c r="AF4" s="31">
        <v>1.0</v>
      </c>
      <c r="AG4" s="35" t="s">
        <v>7045</v>
      </c>
    </row>
    <row r="5" ht="14.25" customHeight="1">
      <c r="A5" s="28" t="s">
        <v>331</v>
      </c>
      <c r="B5" s="29" t="s">
        <v>332</v>
      </c>
      <c r="C5" s="29" t="s">
        <v>7041</v>
      </c>
      <c r="D5" s="30">
        <v>45658.0</v>
      </c>
      <c r="E5" s="30">
        <v>46022.0</v>
      </c>
      <c r="F5" s="31">
        <v>0.0</v>
      </c>
      <c r="G5" s="31">
        <v>1.0</v>
      </c>
      <c r="H5" s="35" t="s">
        <v>7045</v>
      </c>
      <c r="I5" s="30">
        <v>46023.0</v>
      </c>
      <c r="J5" s="30">
        <v>46387.0</v>
      </c>
      <c r="K5" s="31">
        <v>0.0</v>
      </c>
      <c r="L5" s="31">
        <v>1.0</v>
      </c>
      <c r="M5" s="35" t="s">
        <v>7045</v>
      </c>
      <c r="N5" s="30">
        <v>46388.0</v>
      </c>
      <c r="O5" s="30">
        <v>46752.0</v>
      </c>
      <c r="P5" s="31">
        <v>0.0</v>
      </c>
      <c r="Q5" s="31">
        <v>1.0</v>
      </c>
      <c r="R5" s="35" t="s">
        <v>7045</v>
      </c>
      <c r="S5" s="30">
        <v>46753.0</v>
      </c>
      <c r="T5" s="30">
        <v>47118.0</v>
      </c>
      <c r="U5" s="31">
        <v>0.0</v>
      </c>
      <c r="V5" s="31">
        <v>1.0</v>
      </c>
      <c r="W5" s="35" t="s">
        <v>7045</v>
      </c>
      <c r="X5" s="30">
        <v>47119.0</v>
      </c>
      <c r="Y5" s="30">
        <v>47483.0</v>
      </c>
      <c r="Z5" s="31">
        <v>0.0</v>
      </c>
      <c r="AA5" s="31">
        <v>1.0</v>
      </c>
      <c r="AB5" s="35" t="s">
        <v>7045</v>
      </c>
      <c r="AC5" s="30">
        <v>47484.0</v>
      </c>
      <c r="AD5" s="30">
        <v>47848.0</v>
      </c>
      <c r="AE5" s="31">
        <v>0.0</v>
      </c>
      <c r="AF5" s="31">
        <v>1.0</v>
      </c>
      <c r="AG5" s="35" t="s">
        <v>7045</v>
      </c>
    </row>
    <row r="6" ht="14.25" customHeight="1">
      <c r="A6" s="28" t="s">
        <v>2007</v>
      </c>
      <c r="B6" s="29" t="s">
        <v>2004</v>
      </c>
      <c r="C6" s="29" t="s">
        <v>7041</v>
      </c>
      <c r="D6" s="30">
        <v>45658.0</v>
      </c>
      <c r="E6" s="30">
        <v>46022.0</v>
      </c>
      <c r="F6" s="31">
        <v>0.0</v>
      </c>
      <c r="G6" s="31">
        <v>1.0</v>
      </c>
      <c r="H6" s="35" t="s">
        <v>7045</v>
      </c>
      <c r="I6" s="30">
        <v>46023.0</v>
      </c>
      <c r="J6" s="30">
        <v>46387.0</v>
      </c>
      <c r="K6" s="31">
        <v>0.0</v>
      </c>
      <c r="L6" s="31">
        <v>1.0</v>
      </c>
      <c r="M6" s="35" t="s">
        <v>7045</v>
      </c>
      <c r="N6" s="30">
        <v>46388.0</v>
      </c>
      <c r="O6" s="30">
        <v>46752.0</v>
      </c>
      <c r="P6" s="31">
        <v>0.0</v>
      </c>
      <c r="Q6" s="31">
        <v>1.0</v>
      </c>
      <c r="R6" s="35" t="s">
        <v>7045</v>
      </c>
      <c r="S6" s="30">
        <v>46753.0</v>
      </c>
      <c r="T6" s="30">
        <v>47118.0</v>
      </c>
      <c r="U6" s="31">
        <v>0.0</v>
      </c>
      <c r="V6" s="31">
        <v>1.0</v>
      </c>
      <c r="W6" s="35" t="s">
        <v>7045</v>
      </c>
      <c r="X6" s="30">
        <v>47119.0</v>
      </c>
      <c r="Y6" s="30">
        <v>47483.0</v>
      </c>
      <c r="Z6" s="31">
        <v>0.0</v>
      </c>
      <c r="AA6" s="31">
        <v>1.0</v>
      </c>
      <c r="AB6" s="35" t="s">
        <v>7045</v>
      </c>
      <c r="AC6" s="30">
        <v>47484.0</v>
      </c>
      <c r="AD6" s="30">
        <v>47848.0</v>
      </c>
      <c r="AE6" s="31">
        <v>0.0</v>
      </c>
      <c r="AF6" s="31">
        <v>1.0</v>
      </c>
      <c r="AG6" s="35" t="s">
        <v>7045</v>
      </c>
    </row>
    <row r="7" ht="14.25" customHeight="1">
      <c r="A7" s="28" t="s">
        <v>595</v>
      </c>
      <c r="B7" s="29" t="s">
        <v>596</v>
      </c>
      <c r="C7" s="29" t="s">
        <v>7041</v>
      </c>
      <c r="D7" s="30">
        <v>45658.0</v>
      </c>
      <c r="E7" s="30">
        <v>46022.0</v>
      </c>
      <c r="F7" s="31">
        <v>0.0</v>
      </c>
      <c r="G7" s="31">
        <v>1.0</v>
      </c>
      <c r="H7" s="35" t="s">
        <v>7045</v>
      </c>
      <c r="I7" s="30">
        <v>46023.0</v>
      </c>
      <c r="J7" s="30">
        <v>46387.0</v>
      </c>
      <c r="K7" s="31">
        <v>0.0</v>
      </c>
      <c r="L7" s="31">
        <v>1.0</v>
      </c>
      <c r="M7" s="35" t="s">
        <v>7045</v>
      </c>
      <c r="N7" s="30">
        <v>46388.0</v>
      </c>
      <c r="O7" s="30">
        <v>46752.0</v>
      </c>
      <c r="P7" s="31">
        <v>0.0</v>
      </c>
      <c r="Q7" s="31">
        <v>1.0</v>
      </c>
      <c r="R7" s="35" t="s">
        <v>7045</v>
      </c>
      <c r="S7" s="30">
        <v>46753.0</v>
      </c>
      <c r="T7" s="30">
        <v>47118.0</v>
      </c>
      <c r="U7" s="31">
        <v>0.0</v>
      </c>
      <c r="V7" s="31">
        <v>1.0</v>
      </c>
      <c r="W7" s="35" t="s">
        <v>7045</v>
      </c>
      <c r="X7" s="30">
        <v>47119.0</v>
      </c>
      <c r="Y7" s="30">
        <v>47483.0</v>
      </c>
      <c r="Z7" s="31">
        <v>0.0</v>
      </c>
      <c r="AA7" s="31">
        <v>1.0</v>
      </c>
      <c r="AB7" s="35" t="s">
        <v>7045</v>
      </c>
      <c r="AC7" s="30">
        <v>47484.0</v>
      </c>
      <c r="AD7" s="30">
        <v>47848.0</v>
      </c>
      <c r="AE7" s="31">
        <v>0.0</v>
      </c>
      <c r="AF7" s="31">
        <v>1.0</v>
      </c>
      <c r="AG7" s="35" t="s">
        <v>7045</v>
      </c>
    </row>
    <row r="8" ht="14.25" customHeight="1">
      <c r="A8" s="28" t="s">
        <v>255</v>
      </c>
      <c r="B8" s="29" t="s">
        <v>256</v>
      </c>
      <c r="C8" s="29" t="s">
        <v>7041</v>
      </c>
      <c r="D8" s="30">
        <v>45658.0</v>
      </c>
      <c r="E8" s="30">
        <v>46022.0</v>
      </c>
      <c r="F8" s="31">
        <v>0.0</v>
      </c>
      <c r="G8" s="31">
        <v>1.0</v>
      </c>
      <c r="H8" s="35" t="s">
        <v>7045</v>
      </c>
      <c r="I8" s="30">
        <v>46023.0</v>
      </c>
      <c r="J8" s="30">
        <v>46387.0</v>
      </c>
      <c r="K8" s="31">
        <v>0.0</v>
      </c>
      <c r="L8" s="31">
        <v>1.0</v>
      </c>
      <c r="M8" s="35" t="s">
        <v>7045</v>
      </c>
      <c r="N8" s="30">
        <v>46388.0</v>
      </c>
      <c r="O8" s="30">
        <v>46752.0</v>
      </c>
      <c r="P8" s="31">
        <v>0.0</v>
      </c>
      <c r="Q8" s="31">
        <v>1.0</v>
      </c>
      <c r="R8" s="35" t="s">
        <v>7045</v>
      </c>
      <c r="S8" s="30">
        <v>46753.0</v>
      </c>
      <c r="T8" s="30">
        <v>47118.0</v>
      </c>
      <c r="U8" s="31">
        <v>0.0</v>
      </c>
      <c r="V8" s="31">
        <v>1.0</v>
      </c>
      <c r="W8" s="35" t="s">
        <v>7045</v>
      </c>
      <c r="X8" s="30">
        <v>47119.0</v>
      </c>
      <c r="Y8" s="30">
        <v>47483.0</v>
      </c>
      <c r="Z8" s="31">
        <v>0.0</v>
      </c>
      <c r="AA8" s="31">
        <v>1.0</v>
      </c>
      <c r="AB8" s="35" t="s">
        <v>7045</v>
      </c>
      <c r="AC8" s="30">
        <v>47484.0</v>
      </c>
      <c r="AD8" s="30">
        <v>47848.0</v>
      </c>
      <c r="AE8" s="31">
        <v>0.0</v>
      </c>
      <c r="AF8" s="31">
        <v>1.0</v>
      </c>
      <c r="AG8" s="35" t="s">
        <v>7045</v>
      </c>
    </row>
    <row r="9" ht="14.25" customHeight="1">
      <c r="A9" s="28" t="s">
        <v>3966</v>
      </c>
      <c r="B9" s="29" t="s">
        <v>3967</v>
      </c>
      <c r="C9" s="29" t="s">
        <v>7041</v>
      </c>
      <c r="D9" s="30">
        <v>45658.0</v>
      </c>
      <c r="E9" s="30">
        <v>46022.0</v>
      </c>
      <c r="F9" s="31">
        <v>1.0</v>
      </c>
      <c r="G9" s="31">
        <v>1.0</v>
      </c>
      <c r="H9" s="33" t="s">
        <v>7042</v>
      </c>
      <c r="I9" s="30">
        <v>46023.0</v>
      </c>
      <c r="J9" s="30">
        <v>46387.0</v>
      </c>
      <c r="K9" s="31">
        <v>0.0</v>
      </c>
      <c r="L9" s="31">
        <v>1.0</v>
      </c>
      <c r="M9" s="35" t="s">
        <v>7045</v>
      </c>
      <c r="N9" s="30">
        <v>46388.0</v>
      </c>
      <c r="O9" s="30">
        <v>46752.0</v>
      </c>
      <c r="P9" s="31">
        <v>0.0</v>
      </c>
      <c r="Q9" s="31">
        <v>1.0</v>
      </c>
      <c r="R9" s="35" t="s">
        <v>7045</v>
      </c>
      <c r="S9" s="30">
        <v>46753.0</v>
      </c>
      <c r="T9" s="30">
        <v>47118.0</v>
      </c>
      <c r="U9" s="31">
        <v>0.0</v>
      </c>
      <c r="V9" s="31">
        <v>1.0</v>
      </c>
      <c r="W9" s="35" t="s">
        <v>7045</v>
      </c>
      <c r="X9" s="30">
        <v>47119.0</v>
      </c>
      <c r="Y9" s="30">
        <v>47483.0</v>
      </c>
      <c r="Z9" s="31">
        <v>0.0</v>
      </c>
      <c r="AA9" s="31">
        <v>1.0</v>
      </c>
      <c r="AB9" s="35" t="s">
        <v>7045</v>
      </c>
      <c r="AC9" s="30">
        <v>47484.0</v>
      </c>
      <c r="AD9" s="30">
        <v>47848.0</v>
      </c>
      <c r="AE9" s="31">
        <v>0.0</v>
      </c>
      <c r="AF9" s="31">
        <v>1.0</v>
      </c>
      <c r="AG9" s="35" t="s">
        <v>7045</v>
      </c>
    </row>
    <row r="10" ht="14.25" customHeight="1">
      <c r="A10" s="28" t="s">
        <v>6391</v>
      </c>
      <c r="B10" s="29" t="s">
        <v>6392</v>
      </c>
      <c r="C10" s="29" t="s">
        <v>7041</v>
      </c>
      <c r="D10" s="30">
        <v>45658.0</v>
      </c>
      <c r="E10" s="30">
        <v>46022.0</v>
      </c>
      <c r="F10" s="31">
        <v>0.0</v>
      </c>
      <c r="G10" s="31">
        <v>1.0</v>
      </c>
      <c r="H10" s="35" t="s">
        <v>7045</v>
      </c>
      <c r="I10" s="30">
        <v>46023.0</v>
      </c>
      <c r="J10" s="30">
        <v>46387.0</v>
      </c>
      <c r="K10" s="31">
        <v>0.0</v>
      </c>
      <c r="L10" s="31">
        <v>1.0</v>
      </c>
      <c r="M10" s="35" t="s">
        <v>7045</v>
      </c>
      <c r="N10" s="30">
        <v>46388.0</v>
      </c>
      <c r="O10" s="30">
        <v>46752.0</v>
      </c>
      <c r="P10" s="31">
        <v>0.0</v>
      </c>
      <c r="Q10" s="31">
        <v>1.0</v>
      </c>
      <c r="R10" s="35" t="s">
        <v>7045</v>
      </c>
      <c r="S10" s="30">
        <v>46753.0</v>
      </c>
      <c r="T10" s="30">
        <v>47118.0</v>
      </c>
      <c r="U10" s="31">
        <v>0.0</v>
      </c>
      <c r="V10" s="31">
        <v>1.0</v>
      </c>
      <c r="W10" s="35" t="s">
        <v>7045</v>
      </c>
      <c r="X10" s="30">
        <v>47119.0</v>
      </c>
      <c r="Y10" s="30">
        <v>47483.0</v>
      </c>
      <c r="Z10" s="31">
        <v>0.0</v>
      </c>
      <c r="AA10" s="31">
        <v>1.0</v>
      </c>
      <c r="AB10" s="35" t="s">
        <v>7045</v>
      </c>
      <c r="AC10" s="30">
        <v>47484.0</v>
      </c>
      <c r="AD10" s="30">
        <v>47848.0</v>
      </c>
      <c r="AE10" s="31">
        <v>0.0</v>
      </c>
      <c r="AF10" s="31">
        <v>1.0</v>
      </c>
      <c r="AG10" s="35" t="s">
        <v>7045</v>
      </c>
    </row>
    <row r="11" ht="14.25" customHeight="1">
      <c r="A11" s="28" t="s">
        <v>2000</v>
      </c>
      <c r="B11" s="29" t="s">
        <v>2001</v>
      </c>
      <c r="C11" s="29" t="s">
        <v>7041</v>
      </c>
      <c r="D11" s="30">
        <v>45658.0</v>
      </c>
      <c r="E11" s="30">
        <v>46022.0</v>
      </c>
      <c r="F11" s="31">
        <v>0.0</v>
      </c>
      <c r="G11" s="31">
        <v>1.0</v>
      </c>
      <c r="H11" s="35" t="s">
        <v>7045</v>
      </c>
      <c r="I11" s="30">
        <v>46023.0</v>
      </c>
      <c r="J11" s="30">
        <v>46387.0</v>
      </c>
      <c r="K11" s="31">
        <v>0.0</v>
      </c>
      <c r="L11" s="31">
        <v>1.0</v>
      </c>
      <c r="M11" s="35" t="s">
        <v>7045</v>
      </c>
      <c r="N11" s="30">
        <v>46388.0</v>
      </c>
      <c r="O11" s="30">
        <v>46752.0</v>
      </c>
      <c r="P11" s="31">
        <v>0.0</v>
      </c>
      <c r="Q11" s="31">
        <v>1.0</v>
      </c>
      <c r="R11" s="35" t="s">
        <v>7045</v>
      </c>
      <c r="S11" s="30">
        <v>46753.0</v>
      </c>
      <c r="T11" s="30">
        <v>47118.0</v>
      </c>
      <c r="U11" s="31">
        <v>0.0</v>
      </c>
      <c r="V11" s="31">
        <v>1.0</v>
      </c>
      <c r="W11" s="35" t="s">
        <v>7045</v>
      </c>
      <c r="X11" s="30">
        <v>47119.0</v>
      </c>
      <c r="Y11" s="30">
        <v>47483.0</v>
      </c>
      <c r="Z11" s="31">
        <v>0.0</v>
      </c>
      <c r="AA11" s="31">
        <v>1.0</v>
      </c>
      <c r="AB11" s="35" t="s">
        <v>7045</v>
      </c>
      <c r="AC11" s="30">
        <v>47484.0</v>
      </c>
      <c r="AD11" s="30">
        <v>47848.0</v>
      </c>
      <c r="AE11" s="31">
        <v>0.0</v>
      </c>
      <c r="AF11" s="31">
        <v>1.0</v>
      </c>
      <c r="AG11" s="35" t="s">
        <v>7045</v>
      </c>
    </row>
    <row r="12" ht="14.25" customHeight="1">
      <c r="A12" s="28" t="s">
        <v>6030</v>
      </c>
      <c r="B12" s="29" t="s">
        <v>6031</v>
      </c>
      <c r="C12" s="29" t="s">
        <v>7041</v>
      </c>
      <c r="D12" s="30">
        <v>45658.0</v>
      </c>
      <c r="E12" s="30">
        <v>46022.0</v>
      </c>
      <c r="F12" s="31">
        <v>0.0</v>
      </c>
      <c r="G12" s="31">
        <v>1.0</v>
      </c>
      <c r="H12" s="35" t="s">
        <v>7045</v>
      </c>
      <c r="I12" s="30">
        <v>46023.0</v>
      </c>
      <c r="J12" s="30">
        <v>46387.0</v>
      </c>
      <c r="K12" s="31">
        <v>0.0</v>
      </c>
      <c r="L12" s="31">
        <v>1.0</v>
      </c>
      <c r="M12" s="35" t="s">
        <v>7045</v>
      </c>
      <c r="N12" s="30">
        <v>46388.0</v>
      </c>
      <c r="O12" s="30">
        <v>46752.0</v>
      </c>
      <c r="P12" s="31">
        <v>0.0</v>
      </c>
      <c r="Q12" s="31">
        <v>1.0</v>
      </c>
      <c r="R12" s="35" t="s">
        <v>7045</v>
      </c>
      <c r="S12" s="30">
        <v>46753.0</v>
      </c>
      <c r="T12" s="30">
        <v>47118.0</v>
      </c>
      <c r="U12" s="31">
        <v>0.0</v>
      </c>
      <c r="V12" s="31">
        <v>1.0</v>
      </c>
      <c r="W12" s="35" t="s">
        <v>7045</v>
      </c>
      <c r="X12" s="30">
        <v>47119.0</v>
      </c>
      <c r="Y12" s="30">
        <v>47483.0</v>
      </c>
      <c r="Z12" s="31">
        <v>0.0</v>
      </c>
      <c r="AA12" s="31">
        <v>1.0</v>
      </c>
      <c r="AB12" s="35" t="s">
        <v>7045</v>
      </c>
      <c r="AC12" s="30">
        <v>47484.0</v>
      </c>
      <c r="AD12" s="30">
        <v>47848.0</v>
      </c>
      <c r="AE12" s="31">
        <v>0.0</v>
      </c>
      <c r="AF12" s="31">
        <v>1.0</v>
      </c>
      <c r="AG12" s="35" t="s">
        <v>7045</v>
      </c>
    </row>
    <row r="13" ht="14.25" customHeight="1">
      <c r="A13" s="28" t="s">
        <v>6774</v>
      </c>
      <c r="B13" s="29" t="s">
        <v>6775</v>
      </c>
      <c r="C13" s="29" t="s">
        <v>7041</v>
      </c>
      <c r="D13" s="30">
        <v>45658.0</v>
      </c>
      <c r="E13" s="30">
        <v>46022.0</v>
      </c>
      <c r="F13" s="31">
        <v>0.0</v>
      </c>
      <c r="G13" s="31">
        <v>1.0</v>
      </c>
      <c r="H13" s="35" t="s">
        <v>7045</v>
      </c>
      <c r="I13" s="30">
        <v>46023.0</v>
      </c>
      <c r="J13" s="30">
        <v>46387.0</v>
      </c>
      <c r="K13" s="31">
        <v>0.0</v>
      </c>
      <c r="L13" s="31">
        <v>1.0</v>
      </c>
      <c r="M13" s="35" t="s">
        <v>7045</v>
      </c>
      <c r="N13" s="30">
        <v>46388.0</v>
      </c>
      <c r="O13" s="30">
        <v>46752.0</v>
      </c>
      <c r="P13" s="31">
        <v>0.0</v>
      </c>
      <c r="Q13" s="31">
        <v>1.0</v>
      </c>
      <c r="R13" s="35" t="s">
        <v>7045</v>
      </c>
      <c r="S13" s="30">
        <v>46753.0</v>
      </c>
      <c r="T13" s="30">
        <v>47118.0</v>
      </c>
      <c r="U13" s="31">
        <v>0.0</v>
      </c>
      <c r="V13" s="31">
        <v>1.0</v>
      </c>
      <c r="W13" s="35" t="s">
        <v>7045</v>
      </c>
      <c r="X13" s="30">
        <v>47119.0</v>
      </c>
      <c r="Y13" s="30">
        <v>47483.0</v>
      </c>
      <c r="Z13" s="31">
        <v>0.0</v>
      </c>
      <c r="AA13" s="31">
        <v>1.0</v>
      </c>
      <c r="AB13" s="35" t="s">
        <v>7045</v>
      </c>
      <c r="AC13" s="30">
        <v>47484.0</v>
      </c>
      <c r="AD13" s="30">
        <v>47848.0</v>
      </c>
      <c r="AE13" s="31">
        <v>0.0</v>
      </c>
      <c r="AF13" s="31">
        <v>1.0</v>
      </c>
      <c r="AG13" s="35" t="s">
        <v>7045</v>
      </c>
    </row>
    <row r="14" ht="14.25" customHeight="1">
      <c r="A14" s="28" t="s">
        <v>1833</v>
      </c>
      <c r="B14" s="29" t="s">
        <v>1834</v>
      </c>
      <c r="C14" s="29" t="s">
        <v>7041</v>
      </c>
      <c r="D14" s="30">
        <v>45658.0</v>
      </c>
      <c r="E14" s="30">
        <v>46022.0</v>
      </c>
      <c r="F14" s="31">
        <v>0.0</v>
      </c>
      <c r="G14" s="31">
        <v>1.0</v>
      </c>
      <c r="H14" s="35" t="s">
        <v>7045</v>
      </c>
      <c r="I14" s="30">
        <v>46023.0</v>
      </c>
      <c r="J14" s="30">
        <v>46387.0</v>
      </c>
      <c r="K14" s="31">
        <v>0.0</v>
      </c>
      <c r="L14" s="31">
        <v>1.0</v>
      </c>
      <c r="M14" s="35" t="s">
        <v>7045</v>
      </c>
      <c r="N14" s="30">
        <v>46388.0</v>
      </c>
      <c r="O14" s="30">
        <v>46752.0</v>
      </c>
      <c r="P14" s="31">
        <v>0.0</v>
      </c>
      <c r="Q14" s="31">
        <v>1.0</v>
      </c>
      <c r="R14" s="35" t="s">
        <v>7045</v>
      </c>
      <c r="S14" s="30">
        <v>46753.0</v>
      </c>
      <c r="T14" s="30">
        <v>47118.0</v>
      </c>
      <c r="U14" s="31">
        <v>0.0</v>
      </c>
      <c r="V14" s="31">
        <v>1.0</v>
      </c>
      <c r="W14" s="35" t="s">
        <v>7045</v>
      </c>
      <c r="X14" s="30">
        <v>47119.0</v>
      </c>
      <c r="Y14" s="30">
        <v>47483.0</v>
      </c>
      <c r="Z14" s="31">
        <v>0.0</v>
      </c>
      <c r="AA14" s="31">
        <v>1.0</v>
      </c>
      <c r="AB14" s="35" t="s">
        <v>7045</v>
      </c>
      <c r="AC14" s="30">
        <v>47484.0</v>
      </c>
      <c r="AD14" s="30">
        <v>47848.0</v>
      </c>
      <c r="AE14" s="31">
        <v>0.0</v>
      </c>
      <c r="AF14" s="31">
        <v>1.0</v>
      </c>
      <c r="AG14" s="35" t="s">
        <v>7045</v>
      </c>
    </row>
    <row r="15" ht="14.25" customHeight="1">
      <c r="A15" s="28" t="s">
        <v>3203</v>
      </c>
      <c r="B15" s="29" t="s">
        <v>3204</v>
      </c>
      <c r="C15" s="29" t="s">
        <v>7041</v>
      </c>
      <c r="D15" s="30">
        <v>45658.0</v>
      </c>
      <c r="E15" s="30">
        <v>46022.0</v>
      </c>
      <c r="F15" s="31">
        <v>0.0</v>
      </c>
      <c r="G15" s="31">
        <v>1.0</v>
      </c>
      <c r="H15" s="35" t="s">
        <v>7045</v>
      </c>
      <c r="I15" s="30">
        <v>46023.0</v>
      </c>
      <c r="J15" s="30">
        <v>46387.0</v>
      </c>
      <c r="K15" s="31">
        <v>0.0</v>
      </c>
      <c r="L15" s="31">
        <v>1.0</v>
      </c>
      <c r="M15" s="35" t="s">
        <v>7045</v>
      </c>
      <c r="N15" s="30">
        <v>46388.0</v>
      </c>
      <c r="O15" s="30">
        <v>46752.0</v>
      </c>
      <c r="P15" s="31">
        <v>0.0</v>
      </c>
      <c r="Q15" s="31">
        <v>1.0</v>
      </c>
      <c r="R15" s="35" t="s">
        <v>7045</v>
      </c>
      <c r="S15" s="30">
        <v>46753.0</v>
      </c>
      <c r="T15" s="30">
        <v>47118.0</v>
      </c>
      <c r="U15" s="31">
        <v>0.0</v>
      </c>
      <c r="V15" s="31">
        <v>1.0</v>
      </c>
      <c r="W15" s="35" t="s">
        <v>7045</v>
      </c>
      <c r="X15" s="30">
        <v>47119.0</v>
      </c>
      <c r="Y15" s="30">
        <v>47483.0</v>
      </c>
      <c r="Z15" s="31">
        <v>0.0</v>
      </c>
      <c r="AA15" s="31">
        <v>1.0</v>
      </c>
      <c r="AB15" s="35" t="s">
        <v>7045</v>
      </c>
      <c r="AC15" s="30">
        <v>47484.0</v>
      </c>
      <c r="AD15" s="30">
        <v>47848.0</v>
      </c>
      <c r="AE15" s="31">
        <v>0.0</v>
      </c>
      <c r="AF15" s="31">
        <v>1.0</v>
      </c>
      <c r="AG15" s="35" t="s">
        <v>7045</v>
      </c>
    </row>
    <row r="16" ht="14.25" customHeight="1">
      <c r="A16" s="28" t="s">
        <v>4078</v>
      </c>
      <c r="B16" s="29" t="s">
        <v>4079</v>
      </c>
      <c r="C16" s="29" t="s">
        <v>7041</v>
      </c>
      <c r="D16" s="30">
        <v>45658.0</v>
      </c>
      <c r="E16" s="30">
        <v>46022.0</v>
      </c>
      <c r="F16" s="31">
        <v>0.0</v>
      </c>
      <c r="G16" s="31">
        <v>1.0</v>
      </c>
      <c r="H16" s="35" t="s">
        <v>7045</v>
      </c>
      <c r="I16" s="30">
        <v>46023.0</v>
      </c>
      <c r="J16" s="30">
        <v>46387.0</v>
      </c>
      <c r="K16" s="31">
        <v>0.0</v>
      </c>
      <c r="L16" s="31">
        <v>1.0</v>
      </c>
      <c r="M16" s="35" t="s">
        <v>7045</v>
      </c>
      <c r="N16" s="30">
        <v>46388.0</v>
      </c>
      <c r="O16" s="30">
        <v>46752.0</v>
      </c>
      <c r="P16" s="31">
        <v>0.0</v>
      </c>
      <c r="Q16" s="31">
        <v>1.0</v>
      </c>
      <c r="R16" s="35" t="s">
        <v>7045</v>
      </c>
      <c r="S16" s="30">
        <v>46753.0</v>
      </c>
      <c r="T16" s="30">
        <v>47118.0</v>
      </c>
      <c r="U16" s="31">
        <v>0.0</v>
      </c>
      <c r="V16" s="31">
        <v>1.0</v>
      </c>
      <c r="W16" s="35" t="s">
        <v>7045</v>
      </c>
      <c r="X16" s="30">
        <v>47119.0</v>
      </c>
      <c r="Y16" s="30">
        <v>47483.0</v>
      </c>
      <c r="Z16" s="31">
        <v>0.0</v>
      </c>
      <c r="AA16" s="31">
        <v>1.0</v>
      </c>
      <c r="AB16" s="35" t="s">
        <v>7045</v>
      </c>
      <c r="AC16" s="30">
        <v>47484.0</v>
      </c>
      <c r="AD16" s="30">
        <v>47848.0</v>
      </c>
      <c r="AE16" s="31">
        <v>0.0</v>
      </c>
      <c r="AF16" s="31">
        <v>1.0</v>
      </c>
      <c r="AG16" s="35" t="s">
        <v>7045</v>
      </c>
    </row>
    <row r="17" ht="14.25" customHeight="1">
      <c r="A17" s="28" t="s">
        <v>5579</v>
      </c>
      <c r="B17" s="29" t="s">
        <v>5580</v>
      </c>
      <c r="C17" s="29" t="s">
        <v>7041</v>
      </c>
      <c r="D17" s="30">
        <v>45658.0</v>
      </c>
      <c r="E17" s="30">
        <v>46022.0</v>
      </c>
      <c r="F17" s="31">
        <v>0.0</v>
      </c>
      <c r="G17" s="31">
        <v>1.0</v>
      </c>
      <c r="H17" s="35" t="s">
        <v>7045</v>
      </c>
      <c r="I17" s="30">
        <v>46023.0</v>
      </c>
      <c r="J17" s="30">
        <v>46387.0</v>
      </c>
      <c r="K17" s="31">
        <v>0.0</v>
      </c>
      <c r="L17" s="31">
        <v>1.0</v>
      </c>
      <c r="M17" s="35" t="s">
        <v>7045</v>
      </c>
      <c r="N17" s="30">
        <v>46388.0</v>
      </c>
      <c r="O17" s="30">
        <v>46752.0</v>
      </c>
      <c r="P17" s="31">
        <v>0.0</v>
      </c>
      <c r="Q17" s="31">
        <v>1.0</v>
      </c>
      <c r="R17" s="35" t="s">
        <v>7045</v>
      </c>
      <c r="S17" s="30">
        <v>46753.0</v>
      </c>
      <c r="T17" s="30">
        <v>47118.0</v>
      </c>
      <c r="U17" s="31">
        <v>0.0</v>
      </c>
      <c r="V17" s="31">
        <v>1.0</v>
      </c>
      <c r="W17" s="35" t="s">
        <v>7045</v>
      </c>
      <c r="X17" s="30">
        <v>47119.0</v>
      </c>
      <c r="Y17" s="30">
        <v>47483.0</v>
      </c>
      <c r="Z17" s="31">
        <v>0.0</v>
      </c>
      <c r="AA17" s="31">
        <v>1.0</v>
      </c>
      <c r="AB17" s="35" t="s">
        <v>7045</v>
      </c>
      <c r="AC17" s="30">
        <v>47484.0</v>
      </c>
      <c r="AD17" s="30">
        <v>47848.0</v>
      </c>
      <c r="AE17" s="31">
        <v>0.0</v>
      </c>
      <c r="AF17" s="31">
        <v>1.0</v>
      </c>
      <c r="AG17" s="35" t="s">
        <v>7045</v>
      </c>
    </row>
    <row r="18" ht="14.25" customHeight="1">
      <c r="A18" s="28" t="s">
        <v>6092</v>
      </c>
      <c r="B18" s="29" t="s">
        <v>6093</v>
      </c>
      <c r="C18" s="29" t="s">
        <v>7041</v>
      </c>
      <c r="D18" s="30">
        <v>45658.0</v>
      </c>
      <c r="E18" s="30">
        <v>46022.0</v>
      </c>
      <c r="F18" s="31">
        <v>0.0</v>
      </c>
      <c r="G18" s="31">
        <v>1.0</v>
      </c>
      <c r="H18" s="35" t="s">
        <v>7045</v>
      </c>
      <c r="I18" s="30">
        <v>46023.0</v>
      </c>
      <c r="J18" s="30">
        <v>46387.0</v>
      </c>
      <c r="K18" s="31">
        <v>0.0</v>
      </c>
      <c r="L18" s="31">
        <v>1.0</v>
      </c>
      <c r="M18" s="35" t="s">
        <v>7045</v>
      </c>
      <c r="N18" s="30">
        <v>46388.0</v>
      </c>
      <c r="O18" s="30">
        <v>46752.0</v>
      </c>
      <c r="P18" s="31">
        <v>0.0</v>
      </c>
      <c r="Q18" s="31">
        <v>1.0</v>
      </c>
      <c r="R18" s="35" t="s">
        <v>7045</v>
      </c>
      <c r="S18" s="30">
        <v>46753.0</v>
      </c>
      <c r="T18" s="30">
        <v>47118.0</v>
      </c>
      <c r="U18" s="31">
        <v>0.0</v>
      </c>
      <c r="V18" s="31">
        <v>1.0</v>
      </c>
      <c r="W18" s="35" t="s">
        <v>7045</v>
      </c>
      <c r="X18" s="30">
        <v>47119.0</v>
      </c>
      <c r="Y18" s="30">
        <v>47483.0</v>
      </c>
      <c r="Z18" s="31">
        <v>0.0</v>
      </c>
      <c r="AA18" s="31">
        <v>1.0</v>
      </c>
      <c r="AB18" s="35" t="s">
        <v>7045</v>
      </c>
      <c r="AC18" s="30">
        <v>47484.0</v>
      </c>
      <c r="AD18" s="30">
        <v>47848.0</v>
      </c>
      <c r="AE18" s="31">
        <v>0.0</v>
      </c>
      <c r="AF18" s="31">
        <v>1.0</v>
      </c>
      <c r="AG18" s="35" t="s">
        <v>7045</v>
      </c>
    </row>
    <row r="19" ht="14.25" customHeight="1">
      <c r="A19" s="28" t="s">
        <v>6860</v>
      </c>
      <c r="B19" s="29" t="s">
        <v>6861</v>
      </c>
      <c r="C19" s="29" t="s">
        <v>7041</v>
      </c>
      <c r="D19" s="30">
        <v>45658.0</v>
      </c>
      <c r="E19" s="30">
        <v>46022.0</v>
      </c>
      <c r="F19" s="31">
        <v>0.0</v>
      </c>
      <c r="G19" s="31">
        <v>1.0</v>
      </c>
      <c r="H19" s="35" t="s">
        <v>7045</v>
      </c>
      <c r="I19" s="30">
        <v>46023.0</v>
      </c>
      <c r="J19" s="30">
        <v>46387.0</v>
      </c>
      <c r="K19" s="31">
        <v>0.0</v>
      </c>
      <c r="L19" s="31">
        <v>1.0</v>
      </c>
      <c r="M19" s="35" t="s">
        <v>7045</v>
      </c>
      <c r="N19" s="30">
        <v>46388.0</v>
      </c>
      <c r="O19" s="30">
        <v>46752.0</v>
      </c>
      <c r="P19" s="31">
        <v>0.0</v>
      </c>
      <c r="Q19" s="31">
        <v>1.0</v>
      </c>
      <c r="R19" s="35" t="s">
        <v>7045</v>
      </c>
      <c r="S19" s="30">
        <v>46753.0</v>
      </c>
      <c r="T19" s="30">
        <v>47118.0</v>
      </c>
      <c r="U19" s="31">
        <v>0.0</v>
      </c>
      <c r="V19" s="31">
        <v>1.0</v>
      </c>
      <c r="W19" s="35" t="s">
        <v>7045</v>
      </c>
      <c r="X19" s="30">
        <v>47119.0</v>
      </c>
      <c r="Y19" s="30">
        <v>47483.0</v>
      </c>
      <c r="Z19" s="31">
        <v>0.0</v>
      </c>
      <c r="AA19" s="31">
        <v>1.0</v>
      </c>
      <c r="AB19" s="35" t="s">
        <v>7045</v>
      </c>
      <c r="AC19" s="30">
        <v>47484.0</v>
      </c>
      <c r="AD19" s="30">
        <v>47848.0</v>
      </c>
      <c r="AE19" s="31">
        <v>0.0</v>
      </c>
      <c r="AF19" s="31">
        <v>1.0</v>
      </c>
      <c r="AG19" s="35" t="s">
        <v>7045</v>
      </c>
    </row>
    <row r="20" ht="14.25" customHeight="1">
      <c r="A20" s="28" t="s">
        <v>3406</v>
      </c>
      <c r="B20" s="29" t="s">
        <v>3407</v>
      </c>
      <c r="C20" s="29" t="s">
        <v>7041</v>
      </c>
      <c r="D20" s="30">
        <v>45658.0</v>
      </c>
      <c r="E20" s="30">
        <v>46022.0</v>
      </c>
      <c r="F20" s="31">
        <v>0.0</v>
      </c>
      <c r="G20" s="31">
        <v>1.0</v>
      </c>
      <c r="H20" s="35" t="s">
        <v>7045</v>
      </c>
      <c r="I20" s="30">
        <v>46023.0</v>
      </c>
      <c r="J20" s="30">
        <v>46387.0</v>
      </c>
      <c r="K20" s="31">
        <v>0.0</v>
      </c>
      <c r="L20" s="31">
        <v>1.0</v>
      </c>
      <c r="M20" s="35" t="s">
        <v>7045</v>
      </c>
      <c r="N20" s="30">
        <v>46388.0</v>
      </c>
      <c r="O20" s="30">
        <v>46752.0</v>
      </c>
      <c r="P20" s="31">
        <v>0.0</v>
      </c>
      <c r="Q20" s="31">
        <v>1.0</v>
      </c>
      <c r="R20" s="35" t="s">
        <v>7045</v>
      </c>
      <c r="S20" s="30">
        <v>46753.0</v>
      </c>
      <c r="T20" s="30">
        <v>47118.0</v>
      </c>
      <c r="U20" s="31">
        <v>0.0</v>
      </c>
      <c r="V20" s="31">
        <v>1.0</v>
      </c>
      <c r="W20" s="35" t="s">
        <v>7045</v>
      </c>
      <c r="X20" s="30">
        <v>47119.0</v>
      </c>
      <c r="Y20" s="30">
        <v>47483.0</v>
      </c>
      <c r="Z20" s="31">
        <v>0.0</v>
      </c>
      <c r="AA20" s="31">
        <v>1.0</v>
      </c>
      <c r="AB20" s="35" t="s">
        <v>7045</v>
      </c>
      <c r="AC20" s="30">
        <v>47484.0</v>
      </c>
      <c r="AD20" s="30">
        <v>47848.0</v>
      </c>
      <c r="AE20" s="31">
        <v>0.0</v>
      </c>
      <c r="AF20" s="31">
        <v>1.0</v>
      </c>
      <c r="AG20" s="35" t="s">
        <v>7045</v>
      </c>
    </row>
    <row r="21" ht="14.25" customHeight="1">
      <c r="A21" s="28" t="s">
        <v>4794</v>
      </c>
      <c r="B21" s="29" t="s">
        <v>4795</v>
      </c>
      <c r="C21" s="29" t="s">
        <v>7041</v>
      </c>
      <c r="D21" s="30">
        <v>45658.0</v>
      </c>
      <c r="E21" s="30">
        <v>46022.0</v>
      </c>
      <c r="F21" s="31">
        <v>1.0</v>
      </c>
      <c r="G21" s="31">
        <v>1.0</v>
      </c>
      <c r="H21" s="33" t="s">
        <v>7042</v>
      </c>
      <c r="I21" s="30">
        <v>46023.0</v>
      </c>
      <c r="J21" s="30">
        <v>46387.0</v>
      </c>
      <c r="K21" s="31">
        <v>0.0</v>
      </c>
      <c r="L21" s="31">
        <v>1.0</v>
      </c>
      <c r="M21" s="35" t="s">
        <v>7045</v>
      </c>
      <c r="N21" s="30">
        <v>46388.0</v>
      </c>
      <c r="O21" s="30">
        <v>46752.0</v>
      </c>
      <c r="P21" s="31">
        <v>0.0</v>
      </c>
      <c r="Q21" s="31">
        <v>1.0</v>
      </c>
      <c r="R21" s="35" t="s">
        <v>7045</v>
      </c>
      <c r="S21" s="30">
        <v>46753.0</v>
      </c>
      <c r="T21" s="30">
        <v>47118.0</v>
      </c>
      <c r="U21" s="31">
        <v>0.0</v>
      </c>
      <c r="V21" s="31">
        <v>1.0</v>
      </c>
      <c r="W21" s="35" t="s">
        <v>7045</v>
      </c>
      <c r="X21" s="30">
        <v>47119.0</v>
      </c>
      <c r="Y21" s="30">
        <v>47483.0</v>
      </c>
      <c r="Z21" s="31">
        <v>0.0</v>
      </c>
      <c r="AA21" s="31">
        <v>1.0</v>
      </c>
      <c r="AB21" s="35" t="s">
        <v>7045</v>
      </c>
      <c r="AC21" s="30">
        <v>47484.0</v>
      </c>
      <c r="AD21" s="30">
        <v>47848.0</v>
      </c>
      <c r="AE21" s="31">
        <v>0.0</v>
      </c>
      <c r="AF21" s="31">
        <v>1.0</v>
      </c>
      <c r="AG21" s="35" t="s">
        <v>7045</v>
      </c>
    </row>
    <row r="22" ht="14.25" customHeight="1">
      <c r="A22" s="28" t="s">
        <v>6657</v>
      </c>
      <c r="B22" s="29" t="s">
        <v>6658</v>
      </c>
      <c r="C22" s="29" t="s">
        <v>7041</v>
      </c>
      <c r="D22" s="30">
        <v>45658.0</v>
      </c>
      <c r="E22" s="30">
        <v>46022.0</v>
      </c>
      <c r="F22" s="31">
        <v>0.0</v>
      </c>
      <c r="G22" s="31">
        <v>1.0</v>
      </c>
      <c r="H22" s="35" t="s">
        <v>7045</v>
      </c>
      <c r="I22" s="30">
        <v>46023.0</v>
      </c>
      <c r="J22" s="30">
        <v>46387.0</v>
      </c>
      <c r="K22" s="31">
        <v>0.0</v>
      </c>
      <c r="L22" s="31">
        <v>1.0</v>
      </c>
      <c r="M22" s="35" t="s">
        <v>7045</v>
      </c>
      <c r="N22" s="30">
        <v>46388.0</v>
      </c>
      <c r="O22" s="30">
        <v>46752.0</v>
      </c>
      <c r="P22" s="31">
        <v>0.0</v>
      </c>
      <c r="Q22" s="31">
        <v>1.0</v>
      </c>
      <c r="R22" s="35" t="s">
        <v>7045</v>
      </c>
      <c r="S22" s="30">
        <v>46753.0</v>
      </c>
      <c r="T22" s="30">
        <v>47118.0</v>
      </c>
      <c r="U22" s="31">
        <v>0.0</v>
      </c>
      <c r="V22" s="31">
        <v>1.0</v>
      </c>
      <c r="W22" s="35" t="s">
        <v>7045</v>
      </c>
      <c r="X22" s="30">
        <v>47119.0</v>
      </c>
      <c r="Y22" s="30">
        <v>47483.0</v>
      </c>
      <c r="Z22" s="31">
        <v>0.0</v>
      </c>
      <c r="AA22" s="31">
        <v>1.0</v>
      </c>
      <c r="AB22" s="35" t="s">
        <v>7045</v>
      </c>
      <c r="AC22" s="30">
        <v>47484.0</v>
      </c>
      <c r="AD22" s="30">
        <v>47848.0</v>
      </c>
      <c r="AE22" s="31">
        <v>0.0</v>
      </c>
      <c r="AF22" s="31">
        <v>1.0</v>
      </c>
      <c r="AG22" s="35" t="s">
        <v>7045</v>
      </c>
    </row>
    <row r="23" ht="14.25" customHeight="1">
      <c r="A23" s="28" t="s">
        <v>5234</v>
      </c>
      <c r="B23" s="29" t="s">
        <v>5235</v>
      </c>
      <c r="C23" s="29" t="s">
        <v>7041</v>
      </c>
      <c r="D23" s="30">
        <v>45658.0</v>
      </c>
      <c r="E23" s="30">
        <v>46022.0</v>
      </c>
      <c r="F23" s="31">
        <v>0.0</v>
      </c>
      <c r="G23" s="31">
        <v>1.0</v>
      </c>
      <c r="H23" s="35" t="s">
        <v>7045</v>
      </c>
      <c r="I23" s="30">
        <v>46023.0</v>
      </c>
      <c r="J23" s="30">
        <v>46387.0</v>
      </c>
      <c r="K23" s="31">
        <v>0.0</v>
      </c>
      <c r="L23" s="31">
        <v>1.0</v>
      </c>
      <c r="M23" s="35" t="s">
        <v>7045</v>
      </c>
      <c r="N23" s="30">
        <v>46388.0</v>
      </c>
      <c r="O23" s="30">
        <v>46752.0</v>
      </c>
      <c r="P23" s="31">
        <v>0.0</v>
      </c>
      <c r="Q23" s="31">
        <v>1.0</v>
      </c>
      <c r="R23" s="35" t="s">
        <v>7045</v>
      </c>
      <c r="S23" s="30">
        <v>46753.0</v>
      </c>
      <c r="T23" s="30">
        <v>47118.0</v>
      </c>
      <c r="U23" s="31">
        <v>0.0</v>
      </c>
      <c r="V23" s="31">
        <v>1.0</v>
      </c>
      <c r="W23" s="35" t="s">
        <v>7045</v>
      </c>
      <c r="X23" s="30">
        <v>47119.0</v>
      </c>
      <c r="Y23" s="30">
        <v>47483.0</v>
      </c>
      <c r="Z23" s="31">
        <v>0.0</v>
      </c>
      <c r="AA23" s="31">
        <v>1.0</v>
      </c>
      <c r="AB23" s="35" t="s">
        <v>7045</v>
      </c>
      <c r="AC23" s="30">
        <v>47484.0</v>
      </c>
      <c r="AD23" s="30">
        <v>47848.0</v>
      </c>
      <c r="AE23" s="31">
        <v>0.0</v>
      </c>
      <c r="AF23" s="31">
        <v>1.0</v>
      </c>
      <c r="AG23" s="35" t="s">
        <v>7045</v>
      </c>
    </row>
    <row r="24" ht="14.25" customHeight="1">
      <c r="A24" s="28" t="s">
        <v>5850</v>
      </c>
      <c r="B24" s="29" t="s">
        <v>5851</v>
      </c>
      <c r="C24" s="29" t="s">
        <v>7041</v>
      </c>
      <c r="D24" s="30">
        <v>45658.0</v>
      </c>
      <c r="E24" s="30">
        <v>46022.0</v>
      </c>
      <c r="F24" s="31">
        <v>0.0</v>
      </c>
      <c r="G24" s="31">
        <v>1.0</v>
      </c>
      <c r="H24" s="35" t="s">
        <v>7045</v>
      </c>
      <c r="I24" s="30">
        <v>46023.0</v>
      </c>
      <c r="J24" s="30">
        <v>46387.0</v>
      </c>
      <c r="K24" s="31">
        <v>0.0</v>
      </c>
      <c r="L24" s="31">
        <v>1.0</v>
      </c>
      <c r="M24" s="35" t="s">
        <v>7045</v>
      </c>
      <c r="N24" s="30">
        <v>46388.0</v>
      </c>
      <c r="O24" s="30">
        <v>46752.0</v>
      </c>
      <c r="P24" s="31">
        <v>0.0</v>
      </c>
      <c r="Q24" s="31">
        <v>1.0</v>
      </c>
      <c r="R24" s="35" t="s">
        <v>7045</v>
      </c>
      <c r="S24" s="30">
        <v>46753.0</v>
      </c>
      <c r="T24" s="30">
        <v>47118.0</v>
      </c>
      <c r="U24" s="31">
        <v>0.0</v>
      </c>
      <c r="V24" s="31">
        <v>1.0</v>
      </c>
      <c r="W24" s="35" t="s">
        <v>7045</v>
      </c>
      <c r="X24" s="30">
        <v>47119.0</v>
      </c>
      <c r="Y24" s="30">
        <v>47483.0</v>
      </c>
      <c r="Z24" s="31">
        <v>0.0</v>
      </c>
      <c r="AA24" s="31">
        <v>1.0</v>
      </c>
      <c r="AB24" s="35" t="s">
        <v>7045</v>
      </c>
      <c r="AC24" s="30">
        <v>47484.0</v>
      </c>
      <c r="AD24" s="30">
        <v>47848.0</v>
      </c>
      <c r="AE24" s="31">
        <v>0.0</v>
      </c>
      <c r="AF24" s="31">
        <v>1.0</v>
      </c>
      <c r="AG24" s="35" t="s">
        <v>7045</v>
      </c>
    </row>
    <row r="25" ht="14.25" customHeight="1">
      <c r="A25" s="28" t="s">
        <v>6432</v>
      </c>
      <c r="B25" s="29" t="s">
        <v>6433</v>
      </c>
      <c r="C25" s="29" t="s">
        <v>7041</v>
      </c>
      <c r="D25" s="30">
        <v>45658.0</v>
      </c>
      <c r="E25" s="30">
        <v>46022.0</v>
      </c>
      <c r="F25" s="31">
        <v>0.0</v>
      </c>
      <c r="G25" s="31">
        <v>1.0</v>
      </c>
      <c r="H25" s="35" t="s">
        <v>7045</v>
      </c>
      <c r="I25" s="30">
        <v>46023.0</v>
      </c>
      <c r="J25" s="30">
        <v>46387.0</v>
      </c>
      <c r="K25" s="31">
        <v>0.0</v>
      </c>
      <c r="L25" s="31">
        <v>1.0</v>
      </c>
      <c r="M25" s="35" t="s">
        <v>7045</v>
      </c>
      <c r="N25" s="30">
        <v>46388.0</v>
      </c>
      <c r="O25" s="30">
        <v>46752.0</v>
      </c>
      <c r="P25" s="31">
        <v>0.0</v>
      </c>
      <c r="Q25" s="31">
        <v>1.0</v>
      </c>
      <c r="R25" s="35" t="s">
        <v>7045</v>
      </c>
      <c r="S25" s="30">
        <v>46753.0</v>
      </c>
      <c r="T25" s="30">
        <v>47118.0</v>
      </c>
      <c r="U25" s="31">
        <v>0.0</v>
      </c>
      <c r="V25" s="31">
        <v>1.0</v>
      </c>
      <c r="W25" s="35" t="s">
        <v>7045</v>
      </c>
      <c r="X25" s="30">
        <v>47119.0</v>
      </c>
      <c r="Y25" s="30">
        <v>47483.0</v>
      </c>
      <c r="Z25" s="31">
        <v>0.0</v>
      </c>
      <c r="AA25" s="31">
        <v>1.0</v>
      </c>
      <c r="AB25" s="35" t="s">
        <v>7045</v>
      </c>
      <c r="AC25" s="30">
        <v>47484.0</v>
      </c>
      <c r="AD25" s="30">
        <v>47848.0</v>
      </c>
      <c r="AE25" s="31">
        <v>0.0</v>
      </c>
      <c r="AF25" s="31">
        <v>1.0</v>
      </c>
      <c r="AG25" s="35" t="s">
        <v>7045</v>
      </c>
    </row>
    <row r="26" ht="14.25" customHeight="1">
      <c r="A26" s="28" t="s">
        <v>1706</v>
      </c>
      <c r="B26" s="29" t="s">
        <v>1707</v>
      </c>
      <c r="C26" s="29" t="s">
        <v>7041</v>
      </c>
      <c r="D26" s="30">
        <v>45658.0</v>
      </c>
      <c r="E26" s="30">
        <v>46022.0</v>
      </c>
      <c r="F26" s="31">
        <v>1.0</v>
      </c>
      <c r="G26" s="31">
        <v>1.0</v>
      </c>
      <c r="H26" s="35" t="s">
        <v>7042</v>
      </c>
      <c r="I26" s="30">
        <v>46023.0</v>
      </c>
      <c r="J26" s="30">
        <v>46387.0</v>
      </c>
      <c r="K26" s="31">
        <v>0.0</v>
      </c>
      <c r="L26" s="31">
        <v>1.0</v>
      </c>
      <c r="M26" s="35" t="s">
        <v>7045</v>
      </c>
      <c r="N26" s="30">
        <v>46388.0</v>
      </c>
      <c r="O26" s="30">
        <v>46752.0</v>
      </c>
      <c r="P26" s="31">
        <v>0.0</v>
      </c>
      <c r="Q26" s="31">
        <v>1.0</v>
      </c>
      <c r="R26" s="35" t="s">
        <v>7045</v>
      </c>
      <c r="S26" s="30">
        <v>46753.0</v>
      </c>
      <c r="T26" s="30">
        <v>47118.0</v>
      </c>
      <c r="U26" s="31">
        <v>0.0</v>
      </c>
      <c r="V26" s="31">
        <v>1.0</v>
      </c>
      <c r="W26" s="35" t="s">
        <v>7045</v>
      </c>
      <c r="X26" s="30">
        <v>47119.0</v>
      </c>
      <c r="Y26" s="30">
        <v>47483.0</v>
      </c>
      <c r="Z26" s="31">
        <v>0.0</v>
      </c>
      <c r="AA26" s="31">
        <v>1.0</v>
      </c>
      <c r="AB26" s="35" t="s">
        <v>7045</v>
      </c>
      <c r="AC26" s="30">
        <v>47484.0</v>
      </c>
      <c r="AD26" s="30">
        <v>47848.0</v>
      </c>
      <c r="AE26" s="31">
        <v>0.0</v>
      </c>
      <c r="AF26" s="31">
        <v>1.0</v>
      </c>
      <c r="AG26" s="35" t="s">
        <v>7045</v>
      </c>
    </row>
    <row r="27" ht="14.25" customHeight="1">
      <c r="A27" s="28" t="s">
        <v>4505</v>
      </c>
      <c r="B27" s="29" t="s">
        <v>4506</v>
      </c>
      <c r="C27" s="29" t="s">
        <v>7041</v>
      </c>
      <c r="D27" s="30">
        <v>45658.0</v>
      </c>
      <c r="E27" s="30">
        <v>46022.0</v>
      </c>
      <c r="F27" s="31">
        <v>0.0</v>
      </c>
      <c r="G27" s="31">
        <v>1.0</v>
      </c>
      <c r="H27" s="35" t="s">
        <v>7045</v>
      </c>
      <c r="I27" s="30">
        <v>46023.0</v>
      </c>
      <c r="J27" s="30">
        <v>46387.0</v>
      </c>
      <c r="K27" s="31">
        <v>0.0</v>
      </c>
      <c r="L27" s="31">
        <v>1.0</v>
      </c>
      <c r="M27" s="35" t="s">
        <v>7045</v>
      </c>
      <c r="N27" s="30">
        <v>46388.0</v>
      </c>
      <c r="O27" s="30">
        <v>46752.0</v>
      </c>
      <c r="P27" s="31">
        <v>0.0</v>
      </c>
      <c r="Q27" s="31">
        <v>1.0</v>
      </c>
      <c r="R27" s="35" t="s">
        <v>7045</v>
      </c>
      <c r="S27" s="30">
        <v>46753.0</v>
      </c>
      <c r="T27" s="30">
        <v>47118.0</v>
      </c>
      <c r="U27" s="31">
        <v>0.0</v>
      </c>
      <c r="V27" s="31">
        <v>1.0</v>
      </c>
      <c r="W27" s="35" t="s">
        <v>7045</v>
      </c>
      <c r="X27" s="30">
        <v>47119.0</v>
      </c>
      <c r="Y27" s="30">
        <v>47483.0</v>
      </c>
      <c r="Z27" s="31">
        <v>0.0</v>
      </c>
      <c r="AA27" s="31">
        <v>1.0</v>
      </c>
      <c r="AB27" s="35" t="s">
        <v>7045</v>
      </c>
      <c r="AC27" s="30">
        <v>47484.0</v>
      </c>
      <c r="AD27" s="30">
        <v>47848.0</v>
      </c>
      <c r="AE27" s="31">
        <v>0.0</v>
      </c>
      <c r="AF27" s="31">
        <v>1.0</v>
      </c>
      <c r="AG27" s="35" t="s">
        <v>7045</v>
      </c>
    </row>
    <row r="28" ht="14.25" customHeight="1">
      <c r="A28" s="28" t="s">
        <v>4875</v>
      </c>
      <c r="B28" s="29" t="s">
        <v>4876</v>
      </c>
      <c r="C28" s="29" t="s">
        <v>7041</v>
      </c>
      <c r="D28" s="30">
        <v>45658.0</v>
      </c>
      <c r="E28" s="30">
        <v>46022.0</v>
      </c>
      <c r="F28" s="31">
        <v>0.0</v>
      </c>
      <c r="G28" s="31">
        <v>1.0</v>
      </c>
      <c r="H28" s="35" t="s">
        <v>7045</v>
      </c>
      <c r="I28" s="30">
        <v>46023.0</v>
      </c>
      <c r="J28" s="30">
        <v>46387.0</v>
      </c>
      <c r="K28" s="31">
        <v>0.0</v>
      </c>
      <c r="L28" s="31">
        <v>1.0</v>
      </c>
      <c r="M28" s="35" t="s">
        <v>7045</v>
      </c>
      <c r="N28" s="30">
        <v>46388.0</v>
      </c>
      <c r="O28" s="30">
        <v>46752.0</v>
      </c>
      <c r="P28" s="31">
        <v>0.0</v>
      </c>
      <c r="Q28" s="31">
        <v>1.0</v>
      </c>
      <c r="R28" s="35" t="s">
        <v>7045</v>
      </c>
      <c r="S28" s="30">
        <v>46753.0</v>
      </c>
      <c r="T28" s="30">
        <v>47118.0</v>
      </c>
      <c r="U28" s="31">
        <v>0.0</v>
      </c>
      <c r="V28" s="31">
        <v>1.0</v>
      </c>
      <c r="W28" s="35" t="s">
        <v>7045</v>
      </c>
      <c r="X28" s="30">
        <v>47119.0</v>
      </c>
      <c r="Y28" s="30">
        <v>47483.0</v>
      </c>
      <c r="Z28" s="31">
        <v>0.0</v>
      </c>
      <c r="AA28" s="31">
        <v>1.0</v>
      </c>
      <c r="AB28" s="35" t="s">
        <v>7045</v>
      </c>
      <c r="AC28" s="30">
        <v>47484.0</v>
      </c>
      <c r="AD28" s="30">
        <v>47848.0</v>
      </c>
      <c r="AE28" s="31">
        <v>0.0</v>
      </c>
      <c r="AF28" s="31">
        <v>1.0</v>
      </c>
      <c r="AG28" s="35" t="s">
        <v>7045</v>
      </c>
    </row>
    <row r="29" ht="14.25" customHeight="1">
      <c r="A29" s="28" t="s">
        <v>6065</v>
      </c>
      <c r="B29" s="29" t="s">
        <v>6066</v>
      </c>
      <c r="C29" s="29" t="s">
        <v>7041</v>
      </c>
      <c r="D29" s="30">
        <v>45658.0</v>
      </c>
      <c r="E29" s="30">
        <v>46022.0</v>
      </c>
      <c r="F29" s="31">
        <v>0.0</v>
      </c>
      <c r="G29" s="31">
        <v>1.0</v>
      </c>
      <c r="H29" s="35" t="s">
        <v>7045</v>
      </c>
      <c r="I29" s="30">
        <v>46023.0</v>
      </c>
      <c r="J29" s="30">
        <v>46387.0</v>
      </c>
      <c r="K29" s="31">
        <v>0.0</v>
      </c>
      <c r="L29" s="31">
        <v>1.0</v>
      </c>
      <c r="M29" s="35" t="s">
        <v>7045</v>
      </c>
      <c r="N29" s="30">
        <v>46388.0</v>
      </c>
      <c r="O29" s="30">
        <v>46752.0</v>
      </c>
      <c r="P29" s="31">
        <v>0.0</v>
      </c>
      <c r="Q29" s="31">
        <v>1.0</v>
      </c>
      <c r="R29" s="35" t="s">
        <v>7045</v>
      </c>
      <c r="S29" s="30">
        <v>46753.0</v>
      </c>
      <c r="T29" s="30">
        <v>47118.0</v>
      </c>
      <c r="U29" s="31">
        <v>0.0</v>
      </c>
      <c r="V29" s="31">
        <v>1.0</v>
      </c>
      <c r="W29" s="35" t="s">
        <v>7045</v>
      </c>
      <c r="X29" s="30">
        <v>47119.0</v>
      </c>
      <c r="Y29" s="30">
        <v>47483.0</v>
      </c>
      <c r="Z29" s="31">
        <v>0.0</v>
      </c>
      <c r="AA29" s="31">
        <v>1.0</v>
      </c>
      <c r="AB29" s="35" t="s">
        <v>7045</v>
      </c>
      <c r="AC29" s="30">
        <v>47484.0</v>
      </c>
      <c r="AD29" s="30">
        <v>47848.0</v>
      </c>
      <c r="AE29" s="31">
        <v>0.0</v>
      </c>
      <c r="AF29" s="31">
        <v>1.0</v>
      </c>
      <c r="AG29" s="35" t="s">
        <v>7045</v>
      </c>
    </row>
    <row r="30" ht="14.25" customHeight="1">
      <c r="A30" s="28" t="s">
        <v>6660</v>
      </c>
      <c r="B30" s="29" t="s">
        <v>6661</v>
      </c>
      <c r="C30" s="29" t="s">
        <v>7041</v>
      </c>
      <c r="D30" s="30">
        <v>45658.0</v>
      </c>
      <c r="E30" s="30">
        <v>46022.0</v>
      </c>
      <c r="F30" s="31">
        <v>0.0</v>
      </c>
      <c r="G30" s="31">
        <v>1.0</v>
      </c>
      <c r="H30" s="35" t="s">
        <v>7045</v>
      </c>
      <c r="I30" s="30">
        <v>46023.0</v>
      </c>
      <c r="J30" s="30">
        <v>46387.0</v>
      </c>
      <c r="K30" s="31">
        <v>0.0</v>
      </c>
      <c r="L30" s="31">
        <v>1.0</v>
      </c>
      <c r="M30" s="35" t="s">
        <v>7045</v>
      </c>
      <c r="N30" s="30">
        <v>46388.0</v>
      </c>
      <c r="O30" s="30">
        <v>46752.0</v>
      </c>
      <c r="P30" s="31">
        <v>0.0</v>
      </c>
      <c r="Q30" s="31">
        <v>1.0</v>
      </c>
      <c r="R30" s="35" t="s">
        <v>7045</v>
      </c>
      <c r="S30" s="30">
        <v>46753.0</v>
      </c>
      <c r="T30" s="30">
        <v>47118.0</v>
      </c>
      <c r="U30" s="31">
        <v>0.0</v>
      </c>
      <c r="V30" s="31">
        <v>1.0</v>
      </c>
      <c r="W30" s="35" t="s">
        <v>7045</v>
      </c>
      <c r="X30" s="30">
        <v>47119.0</v>
      </c>
      <c r="Y30" s="30">
        <v>47483.0</v>
      </c>
      <c r="Z30" s="31">
        <v>0.0</v>
      </c>
      <c r="AA30" s="31">
        <v>1.0</v>
      </c>
      <c r="AB30" s="35" t="s">
        <v>7045</v>
      </c>
      <c r="AC30" s="30">
        <v>47484.0</v>
      </c>
      <c r="AD30" s="30">
        <v>47848.0</v>
      </c>
      <c r="AE30" s="31">
        <v>0.0</v>
      </c>
      <c r="AF30" s="31">
        <v>1.0</v>
      </c>
      <c r="AG30" s="35" t="s">
        <v>7045</v>
      </c>
    </row>
    <row r="31" ht="14.25" customHeight="1">
      <c r="A31" s="28" t="s">
        <v>4788</v>
      </c>
      <c r="B31" s="29" t="s">
        <v>4789</v>
      </c>
      <c r="C31" s="29" t="s">
        <v>7041</v>
      </c>
      <c r="D31" s="30">
        <v>45658.0</v>
      </c>
      <c r="E31" s="30">
        <v>46022.0</v>
      </c>
      <c r="F31" s="31">
        <v>0.0</v>
      </c>
      <c r="G31" s="31">
        <v>1.0</v>
      </c>
      <c r="H31" s="35" t="s">
        <v>7045</v>
      </c>
      <c r="I31" s="30">
        <v>46023.0</v>
      </c>
      <c r="J31" s="30">
        <v>46387.0</v>
      </c>
      <c r="K31" s="31">
        <v>0.0</v>
      </c>
      <c r="L31" s="31">
        <v>1.0</v>
      </c>
      <c r="M31" s="35" t="s">
        <v>7045</v>
      </c>
      <c r="N31" s="30">
        <v>46388.0</v>
      </c>
      <c r="O31" s="30">
        <v>46752.0</v>
      </c>
      <c r="P31" s="31">
        <v>0.0</v>
      </c>
      <c r="Q31" s="31">
        <v>1.0</v>
      </c>
      <c r="R31" s="35" t="s">
        <v>7045</v>
      </c>
      <c r="S31" s="30">
        <v>46753.0</v>
      </c>
      <c r="T31" s="30">
        <v>47118.0</v>
      </c>
      <c r="U31" s="31">
        <v>0.0</v>
      </c>
      <c r="V31" s="31">
        <v>1.0</v>
      </c>
      <c r="W31" s="35" t="s">
        <v>7045</v>
      </c>
      <c r="X31" s="30">
        <v>47119.0</v>
      </c>
      <c r="Y31" s="30">
        <v>47483.0</v>
      </c>
      <c r="Z31" s="31">
        <v>0.0</v>
      </c>
      <c r="AA31" s="31">
        <v>1.0</v>
      </c>
      <c r="AB31" s="35" t="s">
        <v>7045</v>
      </c>
      <c r="AC31" s="30">
        <v>47484.0</v>
      </c>
      <c r="AD31" s="30">
        <v>47848.0</v>
      </c>
      <c r="AE31" s="31">
        <v>0.0</v>
      </c>
      <c r="AF31" s="31">
        <v>1.0</v>
      </c>
      <c r="AG31" s="35" t="s">
        <v>7045</v>
      </c>
    </row>
    <row r="32" ht="14.25" customHeight="1">
      <c r="A32" s="28" t="s">
        <v>4783</v>
      </c>
      <c r="B32" s="29" t="s">
        <v>4784</v>
      </c>
      <c r="C32" s="29" t="s">
        <v>7041</v>
      </c>
      <c r="D32" s="30">
        <v>45658.0</v>
      </c>
      <c r="E32" s="30">
        <v>46022.0</v>
      </c>
      <c r="F32" s="31">
        <v>0.0</v>
      </c>
      <c r="G32" s="31">
        <v>1.0</v>
      </c>
      <c r="H32" s="35" t="s">
        <v>7045</v>
      </c>
      <c r="I32" s="30">
        <v>46023.0</v>
      </c>
      <c r="J32" s="30">
        <v>46387.0</v>
      </c>
      <c r="K32" s="31">
        <v>0.0</v>
      </c>
      <c r="L32" s="31">
        <v>1.0</v>
      </c>
      <c r="M32" s="35" t="s">
        <v>7045</v>
      </c>
      <c r="N32" s="30">
        <v>46388.0</v>
      </c>
      <c r="O32" s="30">
        <v>46752.0</v>
      </c>
      <c r="P32" s="31">
        <v>0.0</v>
      </c>
      <c r="Q32" s="31">
        <v>1.0</v>
      </c>
      <c r="R32" s="35" t="s">
        <v>7045</v>
      </c>
      <c r="S32" s="30">
        <v>46753.0</v>
      </c>
      <c r="T32" s="30">
        <v>47118.0</v>
      </c>
      <c r="U32" s="31">
        <v>0.0</v>
      </c>
      <c r="V32" s="31">
        <v>1.0</v>
      </c>
      <c r="W32" s="35" t="s">
        <v>7045</v>
      </c>
      <c r="X32" s="30">
        <v>47119.0</v>
      </c>
      <c r="Y32" s="30">
        <v>47483.0</v>
      </c>
      <c r="Z32" s="31">
        <v>0.0</v>
      </c>
      <c r="AA32" s="31">
        <v>1.0</v>
      </c>
      <c r="AB32" s="35" t="s">
        <v>7045</v>
      </c>
      <c r="AC32" s="30">
        <v>47484.0</v>
      </c>
      <c r="AD32" s="30">
        <v>47848.0</v>
      </c>
      <c r="AE32" s="31">
        <v>0.0</v>
      </c>
      <c r="AF32" s="31">
        <v>1.0</v>
      </c>
      <c r="AG32" s="35" t="s">
        <v>7045</v>
      </c>
    </row>
    <row r="33" ht="14.25" customHeight="1">
      <c r="A33" s="28" t="s">
        <v>4845</v>
      </c>
      <c r="B33" s="29" t="s">
        <v>4846</v>
      </c>
      <c r="C33" s="29" t="s">
        <v>7041</v>
      </c>
      <c r="D33" s="30">
        <v>45658.0</v>
      </c>
      <c r="E33" s="30">
        <v>46022.0</v>
      </c>
      <c r="F33" s="31">
        <v>0.0</v>
      </c>
      <c r="G33" s="31">
        <v>1.0</v>
      </c>
      <c r="H33" s="35" t="s">
        <v>7045</v>
      </c>
      <c r="I33" s="30">
        <v>46023.0</v>
      </c>
      <c r="J33" s="30">
        <v>46387.0</v>
      </c>
      <c r="K33" s="31">
        <v>0.0</v>
      </c>
      <c r="L33" s="31">
        <v>1.0</v>
      </c>
      <c r="M33" s="35" t="s">
        <v>7045</v>
      </c>
      <c r="N33" s="30">
        <v>46388.0</v>
      </c>
      <c r="O33" s="30">
        <v>46752.0</v>
      </c>
      <c r="P33" s="31">
        <v>0.0</v>
      </c>
      <c r="Q33" s="31">
        <v>1.0</v>
      </c>
      <c r="R33" s="35" t="s">
        <v>7045</v>
      </c>
      <c r="S33" s="30">
        <v>46753.0</v>
      </c>
      <c r="T33" s="30">
        <v>47118.0</v>
      </c>
      <c r="U33" s="31">
        <v>0.0</v>
      </c>
      <c r="V33" s="31">
        <v>1.0</v>
      </c>
      <c r="W33" s="35" t="s">
        <v>7045</v>
      </c>
      <c r="X33" s="30">
        <v>47119.0</v>
      </c>
      <c r="Y33" s="30">
        <v>47483.0</v>
      </c>
      <c r="Z33" s="31">
        <v>0.0</v>
      </c>
      <c r="AA33" s="31">
        <v>1.0</v>
      </c>
      <c r="AB33" s="35" t="s">
        <v>7045</v>
      </c>
      <c r="AC33" s="30">
        <v>47484.0</v>
      </c>
      <c r="AD33" s="30">
        <v>47848.0</v>
      </c>
      <c r="AE33" s="31">
        <v>0.0</v>
      </c>
      <c r="AF33" s="31">
        <v>1.0</v>
      </c>
      <c r="AG33" s="35" t="s">
        <v>7045</v>
      </c>
    </row>
    <row r="34" ht="14.25" customHeight="1">
      <c r="A34" s="28" t="s">
        <v>4849</v>
      </c>
      <c r="B34" s="29" t="s">
        <v>4850</v>
      </c>
      <c r="C34" s="29" t="s">
        <v>7041</v>
      </c>
      <c r="D34" s="30">
        <v>45658.0</v>
      </c>
      <c r="E34" s="30">
        <v>46022.0</v>
      </c>
      <c r="F34" s="31">
        <v>0.0</v>
      </c>
      <c r="G34" s="31">
        <v>1.0</v>
      </c>
      <c r="H34" s="35" t="s">
        <v>7045</v>
      </c>
      <c r="I34" s="30">
        <v>46023.0</v>
      </c>
      <c r="J34" s="30">
        <v>46387.0</v>
      </c>
      <c r="K34" s="31">
        <v>0.0</v>
      </c>
      <c r="L34" s="31">
        <v>1.0</v>
      </c>
      <c r="M34" s="35" t="s">
        <v>7045</v>
      </c>
      <c r="N34" s="30">
        <v>46388.0</v>
      </c>
      <c r="O34" s="30">
        <v>46752.0</v>
      </c>
      <c r="P34" s="31">
        <v>0.0</v>
      </c>
      <c r="Q34" s="31">
        <v>1.0</v>
      </c>
      <c r="R34" s="35" t="s">
        <v>7045</v>
      </c>
      <c r="S34" s="30">
        <v>46753.0</v>
      </c>
      <c r="T34" s="30">
        <v>47118.0</v>
      </c>
      <c r="U34" s="31">
        <v>0.0</v>
      </c>
      <c r="V34" s="31">
        <v>1.0</v>
      </c>
      <c r="W34" s="35" t="s">
        <v>7045</v>
      </c>
      <c r="X34" s="30">
        <v>47119.0</v>
      </c>
      <c r="Y34" s="30">
        <v>47483.0</v>
      </c>
      <c r="Z34" s="31">
        <v>0.0</v>
      </c>
      <c r="AA34" s="31">
        <v>1.0</v>
      </c>
      <c r="AB34" s="35" t="s">
        <v>7045</v>
      </c>
      <c r="AC34" s="30">
        <v>47484.0</v>
      </c>
      <c r="AD34" s="30">
        <v>47848.0</v>
      </c>
      <c r="AE34" s="31">
        <v>0.0</v>
      </c>
      <c r="AF34" s="31">
        <v>1.0</v>
      </c>
      <c r="AG34" s="35" t="s">
        <v>7045</v>
      </c>
    </row>
    <row r="35" ht="14.25" customHeight="1">
      <c r="A35" s="28" t="s">
        <v>4838</v>
      </c>
      <c r="B35" s="29" t="s">
        <v>4839</v>
      </c>
      <c r="C35" s="29" t="s">
        <v>7041</v>
      </c>
      <c r="D35" s="30">
        <v>45658.0</v>
      </c>
      <c r="E35" s="30">
        <v>46022.0</v>
      </c>
      <c r="F35" s="31">
        <v>0.0</v>
      </c>
      <c r="G35" s="31">
        <v>1.0</v>
      </c>
      <c r="H35" s="35" t="s">
        <v>7045</v>
      </c>
      <c r="I35" s="30">
        <v>46023.0</v>
      </c>
      <c r="J35" s="30">
        <v>46387.0</v>
      </c>
      <c r="K35" s="31">
        <v>0.0</v>
      </c>
      <c r="L35" s="31">
        <v>1.0</v>
      </c>
      <c r="M35" s="35" t="s">
        <v>7045</v>
      </c>
      <c r="N35" s="30">
        <v>46388.0</v>
      </c>
      <c r="O35" s="30">
        <v>46752.0</v>
      </c>
      <c r="P35" s="31">
        <v>0.0</v>
      </c>
      <c r="Q35" s="31">
        <v>1.0</v>
      </c>
      <c r="R35" s="35" t="s">
        <v>7045</v>
      </c>
      <c r="S35" s="30">
        <v>46753.0</v>
      </c>
      <c r="T35" s="30">
        <v>47118.0</v>
      </c>
      <c r="U35" s="31">
        <v>0.0</v>
      </c>
      <c r="V35" s="31">
        <v>1.0</v>
      </c>
      <c r="W35" s="35" t="s">
        <v>7045</v>
      </c>
      <c r="X35" s="30">
        <v>47119.0</v>
      </c>
      <c r="Y35" s="30">
        <v>47483.0</v>
      </c>
      <c r="Z35" s="31">
        <v>0.0</v>
      </c>
      <c r="AA35" s="31">
        <v>1.0</v>
      </c>
      <c r="AB35" s="35" t="s">
        <v>7045</v>
      </c>
      <c r="AC35" s="30">
        <v>47484.0</v>
      </c>
      <c r="AD35" s="30">
        <v>47848.0</v>
      </c>
      <c r="AE35" s="31">
        <v>0.0</v>
      </c>
      <c r="AF35" s="31">
        <v>1.0</v>
      </c>
      <c r="AG35" s="35" t="s">
        <v>7045</v>
      </c>
    </row>
    <row r="36" ht="14.25" customHeight="1">
      <c r="A36" s="28" t="s">
        <v>4981</v>
      </c>
      <c r="B36" s="29" t="s">
        <v>4982</v>
      </c>
      <c r="C36" s="29" t="s">
        <v>7041</v>
      </c>
      <c r="D36" s="30">
        <v>45658.0</v>
      </c>
      <c r="E36" s="30">
        <v>46022.0</v>
      </c>
      <c r="F36" s="31">
        <v>0.0</v>
      </c>
      <c r="G36" s="31">
        <v>1.0</v>
      </c>
      <c r="H36" s="35" t="s">
        <v>7045</v>
      </c>
      <c r="I36" s="30">
        <v>46023.0</v>
      </c>
      <c r="J36" s="30">
        <v>46387.0</v>
      </c>
      <c r="K36" s="31">
        <v>0.0</v>
      </c>
      <c r="L36" s="31">
        <v>1.0</v>
      </c>
      <c r="M36" s="35" t="s">
        <v>7045</v>
      </c>
      <c r="N36" s="30">
        <v>46388.0</v>
      </c>
      <c r="O36" s="30">
        <v>46752.0</v>
      </c>
      <c r="P36" s="31">
        <v>0.0</v>
      </c>
      <c r="Q36" s="31">
        <v>1.0</v>
      </c>
      <c r="R36" s="35" t="s">
        <v>7045</v>
      </c>
      <c r="S36" s="30">
        <v>46753.0</v>
      </c>
      <c r="T36" s="30">
        <v>47118.0</v>
      </c>
      <c r="U36" s="31">
        <v>0.0</v>
      </c>
      <c r="V36" s="31">
        <v>1.0</v>
      </c>
      <c r="W36" s="35" t="s">
        <v>7045</v>
      </c>
      <c r="X36" s="30">
        <v>47119.0</v>
      </c>
      <c r="Y36" s="30">
        <v>47483.0</v>
      </c>
      <c r="Z36" s="31">
        <v>0.0</v>
      </c>
      <c r="AA36" s="31">
        <v>1.0</v>
      </c>
      <c r="AB36" s="35" t="s">
        <v>7045</v>
      </c>
      <c r="AC36" s="30">
        <v>47484.0</v>
      </c>
      <c r="AD36" s="30">
        <v>47848.0</v>
      </c>
      <c r="AE36" s="31">
        <v>0.0</v>
      </c>
      <c r="AF36" s="31">
        <v>1.0</v>
      </c>
      <c r="AG36" s="35" t="s">
        <v>7045</v>
      </c>
    </row>
    <row r="37" ht="14.25" customHeight="1">
      <c r="A37" s="28" t="s">
        <v>2137</v>
      </c>
      <c r="B37" s="29" t="s">
        <v>2138</v>
      </c>
      <c r="C37" s="29" t="s">
        <v>7041</v>
      </c>
      <c r="D37" s="30">
        <v>45658.0</v>
      </c>
      <c r="E37" s="30">
        <v>46022.0</v>
      </c>
      <c r="F37" s="31">
        <v>0.0</v>
      </c>
      <c r="G37" s="31">
        <v>1.0</v>
      </c>
      <c r="H37" s="35" t="s">
        <v>7045</v>
      </c>
      <c r="I37" s="30">
        <v>46023.0</v>
      </c>
      <c r="J37" s="30">
        <v>46387.0</v>
      </c>
      <c r="K37" s="31">
        <v>0.0</v>
      </c>
      <c r="L37" s="31">
        <v>1.0</v>
      </c>
      <c r="M37" s="35" t="s">
        <v>7045</v>
      </c>
      <c r="N37" s="30">
        <v>46388.0</v>
      </c>
      <c r="O37" s="30">
        <v>46752.0</v>
      </c>
      <c r="P37" s="31">
        <v>0.0</v>
      </c>
      <c r="Q37" s="31">
        <v>1.0</v>
      </c>
      <c r="R37" s="35" t="s">
        <v>7045</v>
      </c>
      <c r="S37" s="30">
        <v>46753.0</v>
      </c>
      <c r="T37" s="30">
        <v>47118.0</v>
      </c>
      <c r="U37" s="31">
        <v>0.0</v>
      </c>
      <c r="V37" s="31">
        <v>1.0</v>
      </c>
      <c r="W37" s="35" t="s">
        <v>7045</v>
      </c>
      <c r="X37" s="30">
        <v>47119.0</v>
      </c>
      <c r="Y37" s="30">
        <v>47483.0</v>
      </c>
      <c r="Z37" s="31">
        <v>0.0</v>
      </c>
      <c r="AA37" s="31">
        <v>1.0</v>
      </c>
      <c r="AB37" s="35" t="s">
        <v>7045</v>
      </c>
      <c r="AC37" s="30">
        <v>47484.0</v>
      </c>
      <c r="AD37" s="30">
        <v>47848.0</v>
      </c>
      <c r="AE37" s="31">
        <v>0.0</v>
      </c>
      <c r="AF37" s="31">
        <v>1.0</v>
      </c>
      <c r="AG37" s="35" t="s">
        <v>7045</v>
      </c>
    </row>
    <row r="38" ht="14.25" customHeight="1">
      <c r="A38" s="28" t="s">
        <v>1956</v>
      </c>
      <c r="B38" s="29" t="s">
        <v>1957</v>
      </c>
      <c r="C38" s="29" t="s">
        <v>7041</v>
      </c>
      <c r="D38" s="30">
        <v>45658.0</v>
      </c>
      <c r="E38" s="30">
        <v>46022.0</v>
      </c>
      <c r="F38" s="31">
        <v>1.0</v>
      </c>
      <c r="G38" s="31">
        <v>1.0</v>
      </c>
      <c r="H38" s="35" t="s">
        <v>7042</v>
      </c>
      <c r="I38" s="30">
        <v>46023.0</v>
      </c>
      <c r="J38" s="30">
        <v>46387.0</v>
      </c>
      <c r="K38" s="31">
        <v>0.0</v>
      </c>
      <c r="L38" s="31">
        <v>1.0</v>
      </c>
      <c r="M38" s="35" t="s">
        <v>7045</v>
      </c>
      <c r="N38" s="30">
        <v>46388.0</v>
      </c>
      <c r="O38" s="30">
        <v>46752.0</v>
      </c>
      <c r="P38" s="31">
        <v>0.0</v>
      </c>
      <c r="Q38" s="31">
        <v>1.0</v>
      </c>
      <c r="R38" s="35" t="s">
        <v>7045</v>
      </c>
      <c r="S38" s="30">
        <v>46753.0</v>
      </c>
      <c r="T38" s="30">
        <v>47118.0</v>
      </c>
      <c r="U38" s="31">
        <v>0.0</v>
      </c>
      <c r="V38" s="31">
        <v>1.0</v>
      </c>
      <c r="W38" s="35" t="s">
        <v>7045</v>
      </c>
      <c r="X38" s="30">
        <v>47119.0</v>
      </c>
      <c r="Y38" s="30">
        <v>47483.0</v>
      </c>
      <c r="Z38" s="31">
        <v>0.0</v>
      </c>
      <c r="AA38" s="31">
        <v>1.0</v>
      </c>
      <c r="AB38" s="35" t="s">
        <v>7045</v>
      </c>
      <c r="AC38" s="30">
        <v>47484.0</v>
      </c>
      <c r="AD38" s="30">
        <v>47848.0</v>
      </c>
      <c r="AE38" s="31">
        <v>0.0</v>
      </c>
      <c r="AF38" s="31">
        <v>1.0</v>
      </c>
      <c r="AG38" s="35" t="s">
        <v>7045</v>
      </c>
    </row>
    <row r="39" ht="14.25" customHeight="1">
      <c r="A39" s="28" t="s">
        <v>1124</v>
      </c>
      <c r="B39" s="29" t="s">
        <v>1125</v>
      </c>
      <c r="C39" s="29" t="s">
        <v>7041</v>
      </c>
      <c r="D39" s="30">
        <v>45658.0</v>
      </c>
      <c r="E39" s="30">
        <v>46022.0</v>
      </c>
      <c r="F39" s="31">
        <v>0.0</v>
      </c>
      <c r="G39" s="31">
        <v>1.0</v>
      </c>
      <c r="H39" s="35" t="s">
        <v>7045</v>
      </c>
      <c r="I39" s="30">
        <v>46023.0</v>
      </c>
      <c r="J39" s="30">
        <v>46387.0</v>
      </c>
      <c r="K39" s="31">
        <v>0.0</v>
      </c>
      <c r="L39" s="31">
        <v>1.0</v>
      </c>
      <c r="M39" s="35" t="s">
        <v>7045</v>
      </c>
      <c r="N39" s="30">
        <v>46388.0</v>
      </c>
      <c r="O39" s="30">
        <v>46752.0</v>
      </c>
      <c r="P39" s="31">
        <v>0.0</v>
      </c>
      <c r="Q39" s="31">
        <v>1.0</v>
      </c>
      <c r="R39" s="35" t="s">
        <v>7045</v>
      </c>
      <c r="S39" s="30">
        <v>46753.0</v>
      </c>
      <c r="T39" s="30">
        <v>47118.0</v>
      </c>
      <c r="U39" s="31">
        <v>0.0</v>
      </c>
      <c r="V39" s="31">
        <v>1.0</v>
      </c>
      <c r="W39" s="35" t="s">
        <v>7045</v>
      </c>
      <c r="X39" s="30">
        <v>47119.0</v>
      </c>
      <c r="Y39" s="30">
        <v>47483.0</v>
      </c>
      <c r="Z39" s="31">
        <v>0.0</v>
      </c>
      <c r="AA39" s="31">
        <v>1.0</v>
      </c>
      <c r="AB39" s="35" t="s">
        <v>7045</v>
      </c>
      <c r="AC39" s="30">
        <v>47484.0</v>
      </c>
      <c r="AD39" s="30">
        <v>47848.0</v>
      </c>
      <c r="AE39" s="31">
        <v>0.0</v>
      </c>
      <c r="AF39" s="31">
        <v>1.0</v>
      </c>
      <c r="AG39" s="35" t="s">
        <v>7045</v>
      </c>
    </row>
    <row r="40" ht="14.25" customHeight="1">
      <c r="A40" s="28" t="s">
        <v>5513</v>
      </c>
      <c r="B40" s="29" t="s">
        <v>5514</v>
      </c>
      <c r="C40" s="29" t="s">
        <v>7041</v>
      </c>
      <c r="D40" s="30">
        <v>45658.0</v>
      </c>
      <c r="E40" s="30">
        <v>46022.0</v>
      </c>
      <c r="F40" s="31">
        <v>0.0</v>
      </c>
      <c r="G40" s="31">
        <v>1.0</v>
      </c>
      <c r="H40" s="35" t="s">
        <v>7045</v>
      </c>
      <c r="I40" s="30">
        <v>46023.0</v>
      </c>
      <c r="J40" s="30">
        <v>46387.0</v>
      </c>
      <c r="K40" s="31">
        <v>0.0</v>
      </c>
      <c r="L40" s="31">
        <v>1.0</v>
      </c>
      <c r="M40" s="35" t="s">
        <v>7045</v>
      </c>
      <c r="N40" s="30">
        <v>46388.0</v>
      </c>
      <c r="O40" s="30">
        <v>46752.0</v>
      </c>
      <c r="P40" s="31">
        <v>0.0</v>
      </c>
      <c r="Q40" s="31">
        <v>1.0</v>
      </c>
      <c r="R40" s="35" t="s">
        <v>7045</v>
      </c>
      <c r="S40" s="30">
        <v>46753.0</v>
      </c>
      <c r="T40" s="30">
        <v>47118.0</v>
      </c>
      <c r="U40" s="31">
        <v>0.0</v>
      </c>
      <c r="V40" s="31">
        <v>1.0</v>
      </c>
      <c r="W40" s="35" t="s">
        <v>7045</v>
      </c>
      <c r="X40" s="30">
        <v>47119.0</v>
      </c>
      <c r="Y40" s="30">
        <v>47483.0</v>
      </c>
      <c r="Z40" s="31">
        <v>0.0</v>
      </c>
      <c r="AA40" s="31">
        <v>1.0</v>
      </c>
      <c r="AB40" s="35" t="s">
        <v>7045</v>
      </c>
      <c r="AC40" s="30">
        <v>47484.0</v>
      </c>
      <c r="AD40" s="30">
        <v>47848.0</v>
      </c>
      <c r="AE40" s="31">
        <v>0.0</v>
      </c>
      <c r="AF40" s="31">
        <v>1.0</v>
      </c>
      <c r="AG40" s="35" t="s">
        <v>7045</v>
      </c>
    </row>
    <row r="41" ht="14.25" customHeight="1">
      <c r="A41" s="28" t="s">
        <v>654</v>
      </c>
      <c r="B41" s="29" t="s">
        <v>655</v>
      </c>
      <c r="C41" s="29" t="s">
        <v>7041</v>
      </c>
      <c r="D41" s="30">
        <v>45658.0</v>
      </c>
      <c r="E41" s="30">
        <v>46022.0</v>
      </c>
      <c r="F41" s="31">
        <v>0.0</v>
      </c>
      <c r="G41" s="31">
        <v>1.0</v>
      </c>
      <c r="H41" s="35" t="s">
        <v>7045</v>
      </c>
      <c r="I41" s="30">
        <v>46023.0</v>
      </c>
      <c r="J41" s="30">
        <v>46387.0</v>
      </c>
      <c r="K41" s="31">
        <v>0.0</v>
      </c>
      <c r="L41" s="31">
        <v>1.0</v>
      </c>
      <c r="M41" s="35" t="s">
        <v>7045</v>
      </c>
      <c r="N41" s="30">
        <v>46388.0</v>
      </c>
      <c r="O41" s="30">
        <v>46752.0</v>
      </c>
      <c r="P41" s="31">
        <v>0.0</v>
      </c>
      <c r="Q41" s="31">
        <v>1.0</v>
      </c>
      <c r="R41" s="35" t="s">
        <v>7045</v>
      </c>
      <c r="S41" s="30">
        <v>46753.0</v>
      </c>
      <c r="T41" s="30">
        <v>47118.0</v>
      </c>
      <c r="U41" s="31">
        <v>0.0</v>
      </c>
      <c r="V41" s="31">
        <v>1.0</v>
      </c>
      <c r="W41" s="35" t="s">
        <v>7045</v>
      </c>
      <c r="X41" s="30">
        <v>47119.0</v>
      </c>
      <c r="Y41" s="30">
        <v>47483.0</v>
      </c>
      <c r="Z41" s="31">
        <v>0.0</v>
      </c>
      <c r="AA41" s="31">
        <v>1.0</v>
      </c>
      <c r="AB41" s="35" t="s">
        <v>7045</v>
      </c>
      <c r="AC41" s="30">
        <v>47484.0</v>
      </c>
      <c r="AD41" s="30">
        <v>47848.0</v>
      </c>
      <c r="AE41" s="31">
        <v>0.0</v>
      </c>
      <c r="AF41" s="31">
        <v>1.0</v>
      </c>
      <c r="AG41" s="35" t="s">
        <v>7045</v>
      </c>
    </row>
    <row r="42" ht="14.25" customHeight="1">
      <c r="A42" s="28" t="s">
        <v>6915</v>
      </c>
      <c r="B42" s="29" t="s">
        <v>6916</v>
      </c>
      <c r="C42" s="29" t="s">
        <v>7041</v>
      </c>
      <c r="D42" s="30">
        <v>45658.0</v>
      </c>
      <c r="E42" s="30">
        <v>46022.0</v>
      </c>
      <c r="F42" s="31">
        <v>0.0</v>
      </c>
      <c r="G42" s="31">
        <v>1.0</v>
      </c>
      <c r="H42" s="35" t="s">
        <v>7045</v>
      </c>
      <c r="I42" s="30">
        <v>46023.0</v>
      </c>
      <c r="J42" s="30">
        <v>46387.0</v>
      </c>
      <c r="K42" s="31">
        <v>0.0</v>
      </c>
      <c r="L42" s="31">
        <v>1.0</v>
      </c>
      <c r="M42" s="35" t="s">
        <v>7045</v>
      </c>
      <c r="N42" s="30">
        <v>46388.0</v>
      </c>
      <c r="O42" s="30">
        <v>46752.0</v>
      </c>
      <c r="P42" s="31">
        <v>0.0</v>
      </c>
      <c r="Q42" s="31">
        <v>1.0</v>
      </c>
      <c r="R42" s="35" t="s">
        <v>7045</v>
      </c>
      <c r="S42" s="30">
        <v>46753.0</v>
      </c>
      <c r="T42" s="30">
        <v>47118.0</v>
      </c>
      <c r="U42" s="31">
        <v>0.0</v>
      </c>
      <c r="V42" s="31">
        <v>1.0</v>
      </c>
      <c r="W42" s="35" t="s">
        <v>7045</v>
      </c>
      <c r="X42" s="30">
        <v>47119.0</v>
      </c>
      <c r="Y42" s="30">
        <v>47483.0</v>
      </c>
      <c r="Z42" s="31">
        <v>0.0</v>
      </c>
      <c r="AA42" s="31">
        <v>1.0</v>
      </c>
      <c r="AB42" s="35" t="s">
        <v>7045</v>
      </c>
      <c r="AC42" s="30">
        <v>47484.0</v>
      </c>
      <c r="AD42" s="30">
        <v>47848.0</v>
      </c>
      <c r="AE42" s="31">
        <v>0.0</v>
      </c>
      <c r="AF42" s="31">
        <v>1.0</v>
      </c>
      <c r="AG42" s="35" t="s">
        <v>7045</v>
      </c>
    </row>
    <row r="43" ht="14.25" customHeight="1">
      <c r="A43" s="28" t="s">
        <v>463</v>
      </c>
      <c r="B43" s="29" t="s">
        <v>464</v>
      </c>
      <c r="C43" s="29" t="s">
        <v>7041</v>
      </c>
      <c r="D43" s="30">
        <v>45658.0</v>
      </c>
      <c r="E43" s="30">
        <v>46022.0</v>
      </c>
      <c r="F43" s="31">
        <v>0.0</v>
      </c>
      <c r="G43" s="31">
        <v>1.0</v>
      </c>
      <c r="H43" s="35" t="s">
        <v>7045</v>
      </c>
      <c r="I43" s="30">
        <v>46023.0</v>
      </c>
      <c r="J43" s="30">
        <v>46387.0</v>
      </c>
      <c r="K43" s="31">
        <v>0.0</v>
      </c>
      <c r="L43" s="31">
        <v>1.0</v>
      </c>
      <c r="M43" s="35" t="s">
        <v>7045</v>
      </c>
      <c r="N43" s="30">
        <v>46388.0</v>
      </c>
      <c r="O43" s="30">
        <v>46752.0</v>
      </c>
      <c r="P43" s="31">
        <v>0.0</v>
      </c>
      <c r="Q43" s="31">
        <v>1.0</v>
      </c>
      <c r="R43" s="35" t="s">
        <v>7045</v>
      </c>
      <c r="S43" s="30">
        <v>46753.0</v>
      </c>
      <c r="T43" s="30">
        <v>47118.0</v>
      </c>
      <c r="U43" s="31">
        <v>0.0</v>
      </c>
      <c r="V43" s="31">
        <v>1.0</v>
      </c>
      <c r="W43" s="35" t="s">
        <v>7045</v>
      </c>
      <c r="X43" s="30">
        <v>47119.0</v>
      </c>
      <c r="Y43" s="30">
        <v>47483.0</v>
      </c>
      <c r="Z43" s="31">
        <v>0.0</v>
      </c>
      <c r="AA43" s="31">
        <v>1.0</v>
      </c>
      <c r="AB43" s="35" t="s">
        <v>7045</v>
      </c>
      <c r="AC43" s="30">
        <v>47484.0</v>
      </c>
      <c r="AD43" s="30">
        <v>47848.0</v>
      </c>
      <c r="AE43" s="31">
        <v>0.0</v>
      </c>
      <c r="AF43" s="31">
        <v>1.0</v>
      </c>
      <c r="AG43" s="35" t="s">
        <v>7045</v>
      </c>
    </row>
    <row r="44" ht="14.25" customHeight="1">
      <c r="A44" s="28" t="s">
        <v>4326</v>
      </c>
      <c r="B44" s="29" t="s">
        <v>4327</v>
      </c>
      <c r="C44" s="29" t="s">
        <v>7041</v>
      </c>
      <c r="D44" s="30">
        <v>45658.0</v>
      </c>
      <c r="E44" s="30">
        <v>46022.0</v>
      </c>
      <c r="F44" s="31">
        <v>0.0</v>
      </c>
      <c r="G44" s="31">
        <v>1.0</v>
      </c>
      <c r="H44" s="35" t="s">
        <v>7045</v>
      </c>
      <c r="I44" s="30">
        <v>46023.0</v>
      </c>
      <c r="J44" s="30">
        <v>46387.0</v>
      </c>
      <c r="K44" s="31">
        <v>0.0</v>
      </c>
      <c r="L44" s="31">
        <v>1.0</v>
      </c>
      <c r="M44" s="35" t="s">
        <v>7045</v>
      </c>
      <c r="N44" s="30">
        <v>46388.0</v>
      </c>
      <c r="O44" s="30">
        <v>46752.0</v>
      </c>
      <c r="P44" s="31">
        <v>0.0</v>
      </c>
      <c r="Q44" s="31">
        <v>1.0</v>
      </c>
      <c r="R44" s="35" t="s">
        <v>7045</v>
      </c>
      <c r="S44" s="30">
        <v>46753.0</v>
      </c>
      <c r="T44" s="30">
        <v>47118.0</v>
      </c>
      <c r="U44" s="31">
        <v>0.0</v>
      </c>
      <c r="V44" s="31">
        <v>1.0</v>
      </c>
      <c r="W44" s="35" t="s">
        <v>7045</v>
      </c>
      <c r="X44" s="30">
        <v>47119.0</v>
      </c>
      <c r="Y44" s="30">
        <v>47483.0</v>
      </c>
      <c r="Z44" s="31">
        <v>0.0</v>
      </c>
      <c r="AA44" s="31">
        <v>1.0</v>
      </c>
      <c r="AB44" s="35" t="s">
        <v>7045</v>
      </c>
      <c r="AC44" s="30">
        <v>47484.0</v>
      </c>
      <c r="AD44" s="30">
        <v>47848.0</v>
      </c>
      <c r="AE44" s="31">
        <v>0.0</v>
      </c>
      <c r="AF44" s="31">
        <v>1.0</v>
      </c>
      <c r="AG44" s="35" t="s">
        <v>7045</v>
      </c>
    </row>
    <row r="45" ht="14.25" customHeight="1">
      <c r="A45" s="28" t="s">
        <v>2853</v>
      </c>
      <c r="B45" s="29" t="s">
        <v>2854</v>
      </c>
      <c r="C45" s="29" t="s">
        <v>7041</v>
      </c>
      <c r="D45" s="30">
        <v>45658.0</v>
      </c>
      <c r="E45" s="30">
        <v>46022.0</v>
      </c>
      <c r="F45" s="31">
        <v>0.0</v>
      </c>
      <c r="G45" s="31">
        <v>1.0</v>
      </c>
      <c r="H45" s="35" t="s">
        <v>7045</v>
      </c>
      <c r="I45" s="30">
        <v>46023.0</v>
      </c>
      <c r="J45" s="30">
        <v>46387.0</v>
      </c>
      <c r="K45" s="31">
        <v>0.0</v>
      </c>
      <c r="L45" s="31">
        <v>1.0</v>
      </c>
      <c r="M45" s="35" t="s">
        <v>7045</v>
      </c>
      <c r="N45" s="30">
        <v>46388.0</v>
      </c>
      <c r="O45" s="30">
        <v>46752.0</v>
      </c>
      <c r="P45" s="31">
        <v>0.0</v>
      </c>
      <c r="Q45" s="31">
        <v>1.0</v>
      </c>
      <c r="R45" s="35" t="s">
        <v>7045</v>
      </c>
      <c r="S45" s="30">
        <v>46753.0</v>
      </c>
      <c r="T45" s="30">
        <v>47118.0</v>
      </c>
      <c r="U45" s="31">
        <v>0.0</v>
      </c>
      <c r="V45" s="31">
        <v>1.0</v>
      </c>
      <c r="W45" s="35" t="s">
        <v>7045</v>
      </c>
      <c r="X45" s="30">
        <v>47119.0</v>
      </c>
      <c r="Y45" s="30">
        <v>47483.0</v>
      </c>
      <c r="Z45" s="31">
        <v>0.0</v>
      </c>
      <c r="AA45" s="31">
        <v>1.0</v>
      </c>
      <c r="AB45" s="35" t="s">
        <v>7045</v>
      </c>
      <c r="AC45" s="30">
        <v>47484.0</v>
      </c>
      <c r="AD45" s="30">
        <v>47848.0</v>
      </c>
      <c r="AE45" s="31">
        <v>0.0</v>
      </c>
      <c r="AF45" s="31">
        <v>1.0</v>
      </c>
      <c r="AG45" s="35" t="s">
        <v>7045</v>
      </c>
    </row>
    <row r="46" ht="14.25" customHeight="1">
      <c r="A46" s="28" t="s">
        <v>2092</v>
      </c>
      <c r="B46" s="29" t="s">
        <v>2093</v>
      </c>
      <c r="C46" s="29" t="s">
        <v>7041</v>
      </c>
      <c r="D46" s="30">
        <v>45658.0</v>
      </c>
      <c r="E46" s="30">
        <v>46022.0</v>
      </c>
      <c r="F46" s="31">
        <v>0.0</v>
      </c>
      <c r="G46" s="31">
        <v>1.0</v>
      </c>
      <c r="H46" s="35" t="s">
        <v>7045</v>
      </c>
      <c r="I46" s="30">
        <v>46023.0</v>
      </c>
      <c r="J46" s="30">
        <v>46387.0</v>
      </c>
      <c r="K46" s="31">
        <v>0.0</v>
      </c>
      <c r="L46" s="31">
        <v>1.0</v>
      </c>
      <c r="M46" s="35" t="s">
        <v>7045</v>
      </c>
      <c r="N46" s="30">
        <v>46388.0</v>
      </c>
      <c r="O46" s="30">
        <v>46752.0</v>
      </c>
      <c r="P46" s="31">
        <v>0.0</v>
      </c>
      <c r="Q46" s="31">
        <v>1.0</v>
      </c>
      <c r="R46" s="35" t="s">
        <v>7045</v>
      </c>
      <c r="S46" s="30">
        <v>46753.0</v>
      </c>
      <c r="T46" s="30">
        <v>47118.0</v>
      </c>
      <c r="U46" s="31">
        <v>0.0</v>
      </c>
      <c r="V46" s="31">
        <v>1.0</v>
      </c>
      <c r="W46" s="35" t="s">
        <v>7045</v>
      </c>
      <c r="X46" s="30">
        <v>47119.0</v>
      </c>
      <c r="Y46" s="30">
        <v>47483.0</v>
      </c>
      <c r="Z46" s="31">
        <v>0.0</v>
      </c>
      <c r="AA46" s="31">
        <v>1.0</v>
      </c>
      <c r="AB46" s="35" t="s">
        <v>7045</v>
      </c>
      <c r="AC46" s="30">
        <v>47484.0</v>
      </c>
      <c r="AD46" s="30">
        <v>47848.0</v>
      </c>
      <c r="AE46" s="31">
        <v>0.0</v>
      </c>
      <c r="AF46" s="31">
        <v>1.0</v>
      </c>
      <c r="AG46" s="35" t="s">
        <v>7045</v>
      </c>
    </row>
    <row r="47" ht="14.25" customHeight="1">
      <c r="A47" s="28" t="s">
        <v>6898</v>
      </c>
      <c r="B47" s="29" t="s">
        <v>6899</v>
      </c>
      <c r="C47" s="29" t="s">
        <v>7041</v>
      </c>
      <c r="D47" s="30">
        <v>45658.0</v>
      </c>
      <c r="E47" s="30">
        <v>46022.0</v>
      </c>
      <c r="F47" s="31">
        <v>0.0</v>
      </c>
      <c r="G47" s="31">
        <v>1.0</v>
      </c>
      <c r="H47" s="35" t="s">
        <v>7045</v>
      </c>
      <c r="I47" s="30">
        <v>46023.0</v>
      </c>
      <c r="J47" s="30">
        <v>46387.0</v>
      </c>
      <c r="K47" s="31">
        <v>0.0</v>
      </c>
      <c r="L47" s="31">
        <v>1.0</v>
      </c>
      <c r="M47" s="35" t="s">
        <v>7045</v>
      </c>
      <c r="N47" s="30">
        <v>46388.0</v>
      </c>
      <c r="O47" s="30">
        <v>46752.0</v>
      </c>
      <c r="P47" s="31">
        <v>0.0</v>
      </c>
      <c r="Q47" s="31">
        <v>1.0</v>
      </c>
      <c r="R47" s="35" t="s">
        <v>7045</v>
      </c>
      <c r="S47" s="30">
        <v>46753.0</v>
      </c>
      <c r="T47" s="30">
        <v>47118.0</v>
      </c>
      <c r="U47" s="31">
        <v>0.0</v>
      </c>
      <c r="V47" s="31">
        <v>1.0</v>
      </c>
      <c r="W47" s="35" t="s">
        <v>7045</v>
      </c>
      <c r="X47" s="30">
        <v>47119.0</v>
      </c>
      <c r="Y47" s="30">
        <v>47483.0</v>
      </c>
      <c r="Z47" s="31">
        <v>0.0</v>
      </c>
      <c r="AA47" s="31">
        <v>1.0</v>
      </c>
      <c r="AB47" s="35" t="s">
        <v>7045</v>
      </c>
      <c r="AC47" s="30">
        <v>47484.0</v>
      </c>
      <c r="AD47" s="30">
        <v>47848.0</v>
      </c>
      <c r="AE47" s="31">
        <v>0.0</v>
      </c>
      <c r="AF47" s="31">
        <v>1.0</v>
      </c>
      <c r="AG47" s="35" t="s">
        <v>7045</v>
      </c>
    </row>
    <row r="48" ht="14.25" customHeight="1">
      <c r="A48" s="28" t="s">
        <v>4448</v>
      </c>
      <c r="B48" s="29" t="s">
        <v>4449</v>
      </c>
      <c r="C48" s="29" t="s">
        <v>7041</v>
      </c>
      <c r="D48" s="30">
        <v>45658.0</v>
      </c>
      <c r="E48" s="30">
        <v>46022.0</v>
      </c>
      <c r="F48" s="31">
        <v>0.0</v>
      </c>
      <c r="G48" s="31">
        <v>1.0</v>
      </c>
      <c r="H48" s="35" t="s">
        <v>7045</v>
      </c>
      <c r="I48" s="30">
        <v>46023.0</v>
      </c>
      <c r="J48" s="30">
        <v>46387.0</v>
      </c>
      <c r="K48" s="31">
        <v>0.0</v>
      </c>
      <c r="L48" s="31">
        <v>1.0</v>
      </c>
      <c r="M48" s="35" t="s">
        <v>7045</v>
      </c>
      <c r="N48" s="30">
        <v>46388.0</v>
      </c>
      <c r="O48" s="30">
        <v>46752.0</v>
      </c>
      <c r="P48" s="31">
        <v>0.0</v>
      </c>
      <c r="Q48" s="31">
        <v>1.0</v>
      </c>
      <c r="R48" s="35" t="s">
        <v>7045</v>
      </c>
      <c r="S48" s="30">
        <v>46753.0</v>
      </c>
      <c r="T48" s="30">
        <v>47118.0</v>
      </c>
      <c r="U48" s="31">
        <v>0.0</v>
      </c>
      <c r="V48" s="31">
        <v>1.0</v>
      </c>
      <c r="W48" s="35" t="s">
        <v>7045</v>
      </c>
      <c r="X48" s="30">
        <v>47119.0</v>
      </c>
      <c r="Y48" s="30">
        <v>47483.0</v>
      </c>
      <c r="Z48" s="31">
        <v>0.0</v>
      </c>
      <c r="AA48" s="31">
        <v>1.0</v>
      </c>
      <c r="AB48" s="35" t="s">
        <v>7045</v>
      </c>
      <c r="AC48" s="30">
        <v>47484.0</v>
      </c>
      <c r="AD48" s="30">
        <v>47848.0</v>
      </c>
      <c r="AE48" s="31">
        <v>0.0</v>
      </c>
      <c r="AF48" s="31">
        <v>1.0</v>
      </c>
      <c r="AG48" s="35" t="s">
        <v>7045</v>
      </c>
    </row>
    <row r="49" ht="14.25" customHeight="1">
      <c r="A49" s="28" t="s">
        <v>1156</v>
      </c>
      <c r="B49" s="29" t="s">
        <v>1157</v>
      </c>
      <c r="C49" s="29" t="s">
        <v>7041</v>
      </c>
      <c r="D49" s="30">
        <v>45658.0</v>
      </c>
      <c r="E49" s="30">
        <v>46022.0</v>
      </c>
      <c r="F49" s="31">
        <v>0.0</v>
      </c>
      <c r="G49" s="31">
        <v>1.0</v>
      </c>
      <c r="H49" s="35" t="s">
        <v>7045</v>
      </c>
      <c r="I49" s="30">
        <v>46023.0</v>
      </c>
      <c r="J49" s="30">
        <v>46387.0</v>
      </c>
      <c r="K49" s="31">
        <v>0.0</v>
      </c>
      <c r="L49" s="31">
        <v>1.0</v>
      </c>
      <c r="M49" s="35" t="s">
        <v>7045</v>
      </c>
      <c r="N49" s="30">
        <v>46388.0</v>
      </c>
      <c r="O49" s="30">
        <v>46752.0</v>
      </c>
      <c r="P49" s="31">
        <v>0.0</v>
      </c>
      <c r="Q49" s="31">
        <v>1.0</v>
      </c>
      <c r="R49" s="35" t="s">
        <v>7045</v>
      </c>
      <c r="S49" s="30">
        <v>46753.0</v>
      </c>
      <c r="T49" s="30">
        <v>47118.0</v>
      </c>
      <c r="U49" s="31">
        <v>0.0</v>
      </c>
      <c r="V49" s="31">
        <v>1.0</v>
      </c>
      <c r="W49" s="35" t="s">
        <v>7045</v>
      </c>
      <c r="X49" s="30">
        <v>47119.0</v>
      </c>
      <c r="Y49" s="30">
        <v>47483.0</v>
      </c>
      <c r="Z49" s="31">
        <v>0.0</v>
      </c>
      <c r="AA49" s="31">
        <v>1.0</v>
      </c>
      <c r="AB49" s="35" t="s">
        <v>7045</v>
      </c>
      <c r="AC49" s="30">
        <v>47484.0</v>
      </c>
      <c r="AD49" s="30">
        <v>47848.0</v>
      </c>
      <c r="AE49" s="31">
        <v>0.0</v>
      </c>
      <c r="AF49" s="31">
        <v>1.0</v>
      </c>
      <c r="AG49" s="35" t="s">
        <v>7045</v>
      </c>
    </row>
    <row r="50" ht="14.25" customHeight="1">
      <c r="A50" s="28" t="s">
        <v>1267</v>
      </c>
      <c r="B50" s="29" t="s">
        <v>1268</v>
      </c>
      <c r="C50" s="29" t="s">
        <v>7041</v>
      </c>
      <c r="D50" s="30">
        <v>45658.0</v>
      </c>
      <c r="E50" s="30">
        <v>46022.0</v>
      </c>
      <c r="F50" s="31">
        <v>0.0</v>
      </c>
      <c r="G50" s="31">
        <v>1.0</v>
      </c>
      <c r="H50" s="35" t="s">
        <v>7045</v>
      </c>
      <c r="I50" s="30">
        <v>46023.0</v>
      </c>
      <c r="J50" s="30">
        <v>46387.0</v>
      </c>
      <c r="K50" s="31">
        <v>0.0</v>
      </c>
      <c r="L50" s="31">
        <v>1.0</v>
      </c>
      <c r="M50" s="35" t="s">
        <v>7045</v>
      </c>
      <c r="N50" s="30">
        <v>46388.0</v>
      </c>
      <c r="O50" s="30">
        <v>46752.0</v>
      </c>
      <c r="P50" s="31">
        <v>0.0</v>
      </c>
      <c r="Q50" s="31">
        <v>1.0</v>
      </c>
      <c r="R50" s="35" t="s">
        <v>7045</v>
      </c>
      <c r="S50" s="30">
        <v>46753.0</v>
      </c>
      <c r="T50" s="30">
        <v>47118.0</v>
      </c>
      <c r="U50" s="31">
        <v>0.0</v>
      </c>
      <c r="V50" s="31">
        <v>1.0</v>
      </c>
      <c r="W50" s="35" t="s">
        <v>7045</v>
      </c>
      <c r="X50" s="30">
        <v>47119.0</v>
      </c>
      <c r="Y50" s="30">
        <v>47483.0</v>
      </c>
      <c r="Z50" s="31">
        <v>0.0</v>
      </c>
      <c r="AA50" s="31">
        <v>1.0</v>
      </c>
      <c r="AB50" s="35" t="s">
        <v>7045</v>
      </c>
      <c r="AC50" s="30">
        <v>47484.0</v>
      </c>
      <c r="AD50" s="30">
        <v>47848.0</v>
      </c>
      <c r="AE50" s="31">
        <v>0.0</v>
      </c>
      <c r="AF50" s="31">
        <v>1.0</v>
      </c>
      <c r="AG50" s="35" t="s">
        <v>7045</v>
      </c>
    </row>
    <row r="51" ht="14.25" customHeight="1">
      <c r="A51" s="28" t="s">
        <v>5825</v>
      </c>
      <c r="B51" s="29" t="s">
        <v>5826</v>
      </c>
      <c r="C51" s="29" t="s">
        <v>7041</v>
      </c>
      <c r="D51" s="30">
        <v>45658.0</v>
      </c>
      <c r="E51" s="30">
        <v>46022.0</v>
      </c>
      <c r="F51" s="31">
        <v>0.0</v>
      </c>
      <c r="G51" s="31">
        <v>1.0</v>
      </c>
      <c r="H51" s="35" t="s">
        <v>7045</v>
      </c>
      <c r="I51" s="30">
        <v>46023.0</v>
      </c>
      <c r="J51" s="30">
        <v>46387.0</v>
      </c>
      <c r="K51" s="31">
        <v>0.0</v>
      </c>
      <c r="L51" s="31">
        <v>1.0</v>
      </c>
      <c r="M51" s="35" t="s">
        <v>7045</v>
      </c>
      <c r="N51" s="30">
        <v>46388.0</v>
      </c>
      <c r="O51" s="30">
        <v>46752.0</v>
      </c>
      <c r="P51" s="31">
        <v>0.0</v>
      </c>
      <c r="Q51" s="31">
        <v>1.0</v>
      </c>
      <c r="R51" s="35" t="s">
        <v>7045</v>
      </c>
      <c r="S51" s="30">
        <v>46753.0</v>
      </c>
      <c r="T51" s="30">
        <v>47118.0</v>
      </c>
      <c r="U51" s="31">
        <v>0.0</v>
      </c>
      <c r="V51" s="31">
        <v>1.0</v>
      </c>
      <c r="W51" s="35" t="s">
        <v>7045</v>
      </c>
      <c r="X51" s="30">
        <v>47119.0</v>
      </c>
      <c r="Y51" s="30">
        <v>47483.0</v>
      </c>
      <c r="Z51" s="31">
        <v>0.0</v>
      </c>
      <c r="AA51" s="31">
        <v>1.0</v>
      </c>
      <c r="AB51" s="35" t="s">
        <v>7045</v>
      </c>
      <c r="AC51" s="30">
        <v>47484.0</v>
      </c>
      <c r="AD51" s="30">
        <v>47848.0</v>
      </c>
      <c r="AE51" s="31">
        <v>0.0</v>
      </c>
      <c r="AF51" s="31">
        <v>1.0</v>
      </c>
      <c r="AG51" s="35" t="s">
        <v>7045</v>
      </c>
    </row>
    <row r="52" ht="14.25" customHeight="1">
      <c r="A52" s="28" t="s">
        <v>1561</v>
      </c>
      <c r="B52" s="29" t="s">
        <v>1562</v>
      </c>
      <c r="C52" s="29" t="s">
        <v>7041</v>
      </c>
      <c r="D52" s="30">
        <v>45658.0</v>
      </c>
      <c r="E52" s="30">
        <v>46022.0</v>
      </c>
      <c r="F52" s="31">
        <v>0.0</v>
      </c>
      <c r="G52" s="31">
        <v>1.0</v>
      </c>
      <c r="H52" s="35" t="s">
        <v>7045</v>
      </c>
      <c r="I52" s="30">
        <v>46023.0</v>
      </c>
      <c r="J52" s="30">
        <v>46387.0</v>
      </c>
      <c r="K52" s="31">
        <v>0.0</v>
      </c>
      <c r="L52" s="31">
        <v>1.0</v>
      </c>
      <c r="M52" s="35" t="s">
        <v>7045</v>
      </c>
      <c r="N52" s="30">
        <v>46388.0</v>
      </c>
      <c r="O52" s="30">
        <v>46752.0</v>
      </c>
      <c r="P52" s="31">
        <v>0.0</v>
      </c>
      <c r="Q52" s="31">
        <v>1.0</v>
      </c>
      <c r="R52" s="35" t="s">
        <v>7045</v>
      </c>
      <c r="S52" s="30">
        <v>46753.0</v>
      </c>
      <c r="T52" s="30">
        <v>47118.0</v>
      </c>
      <c r="U52" s="31">
        <v>0.0</v>
      </c>
      <c r="V52" s="31">
        <v>1.0</v>
      </c>
      <c r="W52" s="35" t="s">
        <v>7045</v>
      </c>
      <c r="X52" s="30">
        <v>47119.0</v>
      </c>
      <c r="Y52" s="30">
        <v>47483.0</v>
      </c>
      <c r="Z52" s="31">
        <v>0.0</v>
      </c>
      <c r="AA52" s="31">
        <v>1.0</v>
      </c>
      <c r="AB52" s="35" t="s">
        <v>7045</v>
      </c>
      <c r="AC52" s="30">
        <v>47484.0</v>
      </c>
      <c r="AD52" s="30">
        <v>47848.0</v>
      </c>
      <c r="AE52" s="31">
        <v>0.0</v>
      </c>
      <c r="AF52" s="31">
        <v>1.0</v>
      </c>
      <c r="AG52" s="35" t="s">
        <v>7045</v>
      </c>
    </row>
    <row r="53" ht="14.25" customHeight="1">
      <c r="A53" s="28" t="s">
        <v>5036</v>
      </c>
      <c r="B53" s="29" t="s">
        <v>5037</v>
      </c>
      <c r="C53" s="29" t="s">
        <v>7041</v>
      </c>
      <c r="D53" s="30">
        <v>45658.0</v>
      </c>
      <c r="E53" s="30">
        <v>46022.0</v>
      </c>
      <c r="F53" s="31">
        <v>0.0</v>
      </c>
      <c r="G53" s="31">
        <v>1.0</v>
      </c>
      <c r="H53" s="35" t="s">
        <v>7045</v>
      </c>
      <c r="I53" s="30">
        <v>46023.0</v>
      </c>
      <c r="J53" s="30">
        <v>46387.0</v>
      </c>
      <c r="K53" s="31">
        <v>0.0</v>
      </c>
      <c r="L53" s="31">
        <v>1.0</v>
      </c>
      <c r="M53" s="35" t="s">
        <v>7045</v>
      </c>
      <c r="N53" s="30">
        <v>46388.0</v>
      </c>
      <c r="O53" s="30">
        <v>46752.0</v>
      </c>
      <c r="P53" s="31">
        <v>0.0</v>
      </c>
      <c r="Q53" s="31">
        <v>1.0</v>
      </c>
      <c r="R53" s="35" t="s">
        <v>7045</v>
      </c>
      <c r="S53" s="30">
        <v>46753.0</v>
      </c>
      <c r="T53" s="30">
        <v>47118.0</v>
      </c>
      <c r="U53" s="31">
        <v>0.0</v>
      </c>
      <c r="V53" s="31">
        <v>1.0</v>
      </c>
      <c r="W53" s="35" t="s">
        <v>7045</v>
      </c>
      <c r="X53" s="30">
        <v>47119.0</v>
      </c>
      <c r="Y53" s="30">
        <v>47483.0</v>
      </c>
      <c r="Z53" s="31">
        <v>0.0</v>
      </c>
      <c r="AA53" s="31">
        <v>1.0</v>
      </c>
      <c r="AB53" s="35" t="s">
        <v>7045</v>
      </c>
      <c r="AC53" s="30">
        <v>47484.0</v>
      </c>
      <c r="AD53" s="30">
        <v>47848.0</v>
      </c>
      <c r="AE53" s="31">
        <v>0.0</v>
      </c>
      <c r="AF53" s="31">
        <v>1.0</v>
      </c>
      <c r="AG53" s="35" t="s">
        <v>7045</v>
      </c>
    </row>
    <row r="54" ht="14.25" customHeight="1">
      <c r="A54" s="28" t="s">
        <v>4958</v>
      </c>
      <c r="B54" s="29" t="s">
        <v>4959</v>
      </c>
      <c r="C54" s="29" t="s">
        <v>7041</v>
      </c>
      <c r="D54" s="30">
        <v>45658.0</v>
      </c>
      <c r="E54" s="30">
        <v>46022.0</v>
      </c>
      <c r="F54" s="31">
        <v>0.0</v>
      </c>
      <c r="G54" s="31">
        <v>1.0</v>
      </c>
      <c r="H54" s="35" t="s">
        <v>7045</v>
      </c>
      <c r="I54" s="30">
        <v>46023.0</v>
      </c>
      <c r="J54" s="30">
        <v>46387.0</v>
      </c>
      <c r="K54" s="31">
        <v>0.0</v>
      </c>
      <c r="L54" s="31">
        <v>1.0</v>
      </c>
      <c r="M54" s="35" t="s">
        <v>7045</v>
      </c>
      <c r="N54" s="30">
        <v>46388.0</v>
      </c>
      <c r="O54" s="30">
        <v>46752.0</v>
      </c>
      <c r="P54" s="31">
        <v>0.0</v>
      </c>
      <c r="Q54" s="31">
        <v>1.0</v>
      </c>
      <c r="R54" s="35" t="s">
        <v>7045</v>
      </c>
      <c r="S54" s="30">
        <v>46753.0</v>
      </c>
      <c r="T54" s="30">
        <v>47118.0</v>
      </c>
      <c r="U54" s="31">
        <v>0.0</v>
      </c>
      <c r="V54" s="31">
        <v>1.0</v>
      </c>
      <c r="W54" s="35" t="s">
        <v>7045</v>
      </c>
      <c r="X54" s="30">
        <v>47119.0</v>
      </c>
      <c r="Y54" s="30">
        <v>47483.0</v>
      </c>
      <c r="Z54" s="31">
        <v>0.0</v>
      </c>
      <c r="AA54" s="31">
        <v>1.0</v>
      </c>
      <c r="AB54" s="35" t="s">
        <v>7045</v>
      </c>
      <c r="AC54" s="30">
        <v>47484.0</v>
      </c>
      <c r="AD54" s="30">
        <v>47848.0</v>
      </c>
      <c r="AE54" s="31">
        <v>0.0</v>
      </c>
      <c r="AF54" s="31">
        <v>1.0</v>
      </c>
      <c r="AG54" s="35" t="s">
        <v>7045</v>
      </c>
    </row>
    <row r="55" ht="14.25" customHeight="1">
      <c r="A55" s="28" t="s">
        <v>1457</v>
      </c>
      <c r="B55" s="29" t="s">
        <v>1458</v>
      </c>
      <c r="C55" s="29" t="s">
        <v>7041</v>
      </c>
      <c r="D55" s="30">
        <v>45658.0</v>
      </c>
      <c r="E55" s="30">
        <v>46022.0</v>
      </c>
      <c r="F55" s="31">
        <v>0.0</v>
      </c>
      <c r="G55" s="31">
        <v>1.0</v>
      </c>
      <c r="H55" s="35" t="s">
        <v>7045</v>
      </c>
      <c r="I55" s="30">
        <v>46023.0</v>
      </c>
      <c r="J55" s="30">
        <v>46387.0</v>
      </c>
      <c r="K55" s="31">
        <v>0.0</v>
      </c>
      <c r="L55" s="31">
        <v>1.0</v>
      </c>
      <c r="M55" s="35" t="s">
        <v>7045</v>
      </c>
      <c r="N55" s="30">
        <v>46388.0</v>
      </c>
      <c r="O55" s="30">
        <v>46752.0</v>
      </c>
      <c r="P55" s="31">
        <v>0.0</v>
      </c>
      <c r="Q55" s="31">
        <v>1.0</v>
      </c>
      <c r="R55" s="35" t="s">
        <v>7045</v>
      </c>
      <c r="S55" s="30">
        <v>46753.0</v>
      </c>
      <c r="T55" s="30">
        <v>47118.0</v>
      </c>
      <c r="U55" s="31">
        <v>0.0</v>
      </c>
      <c r="V55" s="31">
        <v>1.0</v>
      </c>
      <c r="W55" s="35" t="s">
        <v>7045</v>
      </c>
      <c r="X55" s="30">
        <v>47119.0</v>
      </c>
      <c r="Y55" s="30">
        <v>47483.0</v>
      </c>
      <c r="Z55" s="31">
        <v>0.0</v>
      </c>
      <c r="AA55" s="31">
        <v>1.0</v>
      </c>
      <c r="AB55" s="35" t="s">
        <v>7045</v>
      </c>
      <c r="AC55" s="30">
        <v>47484.0</v>
      </c>
      <c r="AD55" s="30">
        <v>47848.0</v>
      </c>
      <c r="AE55" s="31">
        <v>0.0</v>
      </c>
      <c r="AF55" s="31">
        <v>1.0</v>
      </c>
      <c r="AG55" s="35" t="s">
        <v>7045</v>
      </c>
    </row>
    <row r="56" ht="14.25" customHeight="1">
      <c r="A56" s="28" t="s">
        <v>604</v>
      </c>
      <c r="B56" s="29" t="s">
        <v>605</v>
      </c>
      <c r="C56" s="29" t="s">
        <v>7041</v>
      </c>
      <c r="D56" s="30">
        <v>45658.0</v>
      </c>
      <c r="E56" s="30">
        <v>46022.0</v>
      </c>
      <c r="F56" s="31">
        <v>0.0</v>
      </c>
      <c r="G56" s="31">
        <v>1.0</v>
      </c>
      <c r="H56" s="35" t="s">
        <v>7045</v>
      </c>
      <c r="I56" s="30">
        <v>46023.0</v>
      </c>
      <c r="J56" s="30">
        <v>46387.0</v>
      </c>
      <c r="K56" s="31">
        <v>0.0</v>
      </c>
      <c r="L56" s="31">
        <v>1.0</v>
      </c>
      <c r="M56" s="35" t="s">
        <v>7045</v>
      </c>
      <c r="N56" s="30">
        <v>46388.0</v>
      </c>
      <c r="O56" s="30">
        <v>46752.0</v>
      </c>
      <c r="P56" s="31">
        <v>0.0</v>
      </c>
      <c r="Q56" s="31">
        <v>1.0</v>
      </c>
      <c r="R56" s="35" t="s">
        <v>7045</v>
      </c>
      <c r="S56" s="30">
        <v>46753.0</v>
      </c>
      <c r="T56" s="30">
        <v>47118.0</v>
      </c>
      <c r="U56" s="31">
        <v>0.0</v>
      </c>
      <c r="V56" s="31">
        <v>1.0</v>
      </c>
      <c r="W56" s="35" t="s">
        <v>7045</v>
      </c>
      <c r="X56" s="30">
        <v>47119.0</v>
      </c>
      <c r="Y56" s="30">
        <v>47483.0</v>
      </c>
      <c r="Z56" s="31">
        <v>0.0</v>
      </c>
      <c r="AA56" s="31">
        <v>1.0</v>
      </c>
      <c r="AB56" s="35" t="s">
        <v>7045</v>
      </c>
      <c r="AC56" s="30">
        <v>47484.0</v>
      </c>
      <c r="AD56" s="30">
        <v>47848.0</v>
      </c>
      <c r="AE56" s="31">
        <v>0.0</v>
      </c>
      <c r="AF56" s="31">
        <v>1.0</v>
      </c>
      <c r="AG56" s="35" t="s">
        <v>7045</v>
      </c>
    </row>
    <row r="57" ht="14.25" customHeight="1">
      <c r="A57" s="28" t="s">
        <v>5024</v>
      </c>
      <c r="B57" s="29" t="s">
        <v>5025</v>
      </c>
      <c r="C57" s="29" t="s">
        <v>7041</v>
      </c>
      <c r="D57" s="30">
        <v>45658.0</v>
      </c>
      <c r="E57" s="30">
        <v>46022.0</v>
      </c>
      <c r="F57" s="31">
        <v>0.0</v>
      </c>
      <c r="G57" s="31">
        <v>1.0</v>
      </c>
      <c r="H57" s="35" t="s">
        <v>7045</v>
      </c>
      <c r="I57" s="30">
        <v>46023.0</v>
      </c>
      <c r="J57" s="30">
        <v>46387.0</v>
      </c>
      <c r="K57" s="31">
        <v>0.0</v>
      </c>
      <c r="L57" s="31">
        <v>1.0</v>
      </c>
      <c r="M57" s="35" t="s">
        <v>7045</v>
      </c>
      <c r="N57" s="30">
        <v>46388.0</v>
      </c>
      <c r="O57" s="30">
        <v>46752.0</v>
      </c>
      <c r="P57" s="31">
        <v>0.0</v>
      </c>
      <c r="Q57" s="31">
        <v>1.0</v>
      </c>
      <c r="R57" s="35" t="s">
        <v>7045</v>
      </c>
      <c r="S57" s="30">
        <v>46753.0</v>
      </c>
      <c r="T57" s="30">
        <v>47118.0</v>
      </c>
      <c r="U57" s="31">
        <v>0.0</v>
      </c>
      <c r="V57" s="31">
        <v>1.0</v>
      </c>
      <c r="W57" s="35" t="s">
        <v>7045</v>
      </c>
      <c r="X57" s="30">
        <v>47119.0</v>
      </c>
      <c r="Y57" s="30">
        <v>47483.0</v>
      </c>
      <c r="Z57" s="31">
        <v>0.0</v>
      </c>
      <c r="AA57" s="31">
        <v>1.0</v>
      </c>
      <c r="AB57" s="35" t="s">
        <v>7045</v>
      </c>
      <c r="AC57" s="30">
        <v>47484.0</v>
      </c>
      <c r="AD57" s="30">
        <v>47848.0</v>
      </c>
      <c r="AE57" s="31">
        <v>0.0</v>
      </c>
      <c r="AF57" s="31">
        <v>1.0</v>
      </c>
      <c r="AG57" s="35" t="s">
        <v>7045</v>
      </c>
    </row>
    <row r="58" ht="14.25" customHeight="1">
      <c r="A58" s="28" t="s">
        <v>5129</v>
      </c>
      <c r="B58" s="29" t="s">
        <v>5130</v>
      </c>
      <c r="C58" s="29" t="s">
        <v>7041</v>
      </c>
      <c r="D58" s="30">
        <v>45658.0</v>
      </c>
      <c r="E58" s="30">
        <v>46022.0</v>
      </c>
      <c r="F58" s="31">
        <v>0.0</v>
      </c>
      <c r="G58" s="31">
        <v>1.0</v>
      </c>
      <c r="H58" s="35" t="s">
        <v>7045</v>
      </c>
      <c r="I58" s="30">
        <v>46023.0</v>
      </c>
      <c r="J58" s="30">
        <v>46387.0</v>
      </c>
      <c r="K58" s="31">
        <v>0.0</v>
      </c>
      <c r="L58" s="31">
        <v>1.0</v>
      </c>
      <c r="M58" s="35" t="s">
        <v>7045</v>
      </c>
      <c r="N58" s="30">
        <v>46388.0</v>
      </c>
      <c r="O58" s="30">
        <v>46752.0</v>
      </c>
      <c r="P58" s="31">
        <v>0.0</v>
      </c>
      <c r="Q58" s="31">
        <v>1.0</v>
      </c>
      <c r="R58" s="35" t="s">
        <v>7045</v>
      </c>
      <c r="S58" s="30">
        <v>46753.0</v>
      </c>
      <c r="T58" s="30">
        <v>47118.0</v>
      </c>
      <c r="U58" s="31">
        <v>0.0</v>
      </c>
      <c r="V58" s="31">
        <v>1.0</v>
      </c>
      <c r="W58" s="35" t="s">
        <v>7045</v>
      </c>
      <c r="X58" s="30">
        <v>47119.0</v>
      </c>
      <c r="Y58" s="30">
        <v>47483.0</v>
      </c>
      <c r="Z58" s="31">
        <v>0.0</v>
      </c>
      <c r="AA58" s="31">
        <v>1.0</v>
      </c>
      <c r="AB58" s="35" t="s">
        <v>7045</v>
      </c>
      <c r="AC58" s="30">
        <v>47484.0</v>
      </c>
      <c r="AD58" s="30">
        <v>47848.0</v>
      </c>
      <c r="AE58" s="31">
        <v>0.0</v>
      </c>
      <c r="AF58" s="31">
        <v>1.0</v>
      </c>
      <c r="AG58" s="35" t="s">
        <v>7045</v>
      </c>
    </row>
    <row r="59" ht="14.25" customHeight="1">
      <c r="A59" s="28" t="s">
        <v>4213</v>
      </c>
      <c r="B59" s="29" t="s">
        <v>4214</v>
      </c>
      <c r="C59" s="29" t="s">
        <v>7041</v>
      </c>
      <c r="D59" s="30">
        <v>45658.0</v>
      </c>
      <c r="E59" s="30">
        <v>46022.0</v>
      </c>
      <c r="F59" s="31">
        <v>0.0</v>
      </c>
      <c r="G59" s="31">
        <v>1.0</v>
      </c>
      <c r="H59" s="35" t="s">
        <v>7045</v>
      </c>
      <c r="I59" s="30">
        <v>46023.0</v>
      </c>
      <c r="J59" s="30">
        <v>46387.0</v>
      </c>
      <c r="K59" s="31">
        <v>0.0</v>
      </c>
      <c r="L59" s="31">
        <v>1.0</v>
      </c>
      <c r="M59" s="35" t="s">
        <v>7045</v>
      </c>
      <c r="N59" s="30">
        <v>46388.0</v>
      </c>
      <c r="O59" s="30">
        <v>46752.0</v>
      </c>
      <c r="P59" s="31">
        <v>0.0</v>
      </c>
      <c r="Q59" s="31">
        <v>1.0</v>
      </c>
      <c r="R59" s="35" t="s">
        <v>7045</v>
      </c>
      <c r="S59" s="30">
        <v>46753.0</v>
      </c>
      <c r="T59" s="30">
        <v>47118.0</v>
      </c>
      <c r="U59" s="31">
        <v>0.0</v>
      </c>
      <c r="V59" s="31">
        <v>1.0</v>
      </c>
      <c r="W59" s="35" t="s">
        <v>7045</v>
      </c>
      <c r="X59" s="30">
        <v>47119.0</v>
      </c>
      <c r="Y59" s="30">
        <v>47483.0</v>
      </c>
      <c r="Z59" s="31">
        <v>0.0</v>
      </c>
      <c r="AA59" s="31">
        <v>1.0</v>
      </c>
      <c r="AB59" s="35" t="s">
        <v>7045</v>
      </c>
      <c r="AC59" s="30">
        <v>47484.0</v>
      </c>
      <c r="AD59" s="30">
        <v>47848.0</v>
      </c>
      <c r="AE59" s="31">
        <v>0.0</v>
      </c>
      <c r="AF59" s="31">
        <v>1.0</v>
      </c>
      <c r="AG59" s="35" t="s">
        <v>7045</v>
      </c>
    </row>
    <row r="60" ht="14.25" customHeight="1">
      <c r="A60" s="28" t="s">
        <v>5757</v>
      </c>
      <c r="B60" s="29" t="s">
        <v>5758</v>
      </c>
      <c r="C60" s="29" t="s">
        <v>7041</v>
      </c>
      <c r="D60" s="30">
        <v>45658.0</v>
      </c>
      <c r="E60" s="30">
        <v>46022.0</v>
      </c>
      <c r="F60" s="31">
        <v>0.0</v>
      </c>
      <c r="G60" s="31">
        <v>1.0</v>
      </c>
      <c r="H60" s="35" t="s">
        <v>7045</v>
      </c>
      <c r="I60" s="30">
        <v>46023.0</v>
      </c>
      <c r="J60" s="30">
        <v>46387.0</v>
      </c>
      <c r="K60" s="31">
        <v>0.0</v>
      </c>
      <c r="L60" s="31">
        <v>1.0</v>
      </c>
      <c r="M60" s="35" t="s">
        <v>7045</v>
      </c>
      <c r="N60" s="30">
        <v>46388.0</v>
      </c>
      <c r="O60" s="30">
        <v>46752.0</v>
      </c>
      <c r="P60" s="31">
        <v>0.0</v>
      </c>
      <c r="Q60" s="31">
        <v>1.0</v>
      </c>
      <c r="R60" s="35" t="s">
        <v>7045</v>
      </c>
      <c r="S60" s="30">
        <v>46753.0</v>
      </c>
      <c r="T60" s="30">
        <v>47118.0</v>
      </c>
      <c r="U60" s="31">
        <v>0.0</v>
      </c>
      <c r="V60" s="31">
        <v>1.0</v>
      </c>
      <c r="W60" s="35" t="s">
        <v>7045</v>
      </c>
      <c r="X60" s="30">
        <v>47119.0</v>
      </c>
      <c r="Y60" s="30">
        <v>47483.0</v>
      </c>
      <c r="Z60" s="31">
        <v>0.0</v>
      </c>
      <c r="AA60" s="31">
        <v>1.0</v>
      </c>
      <c r="AB60" s="35" t="s">
        <v>7045</v>
      </c>
      <c r="AC60" s="30">
        <v>47484.0</v>
      </c>
      <c r="AD60" s="30">
        <v>47848.0</v>
      </c>
      <c r="AE60" s="31">
        <v>0.0</v>
      </c>
      <c r="AF60" s="31">
        <v>1.0</v>
      </c>
      <c r="AG60" s="35" t="s">
        <v>7045</v>
      </c>
    </row>
    <row r="61" ht="14.25" customHeight="1">
      <c r="A61" s="28" t="s">
        <v>5988</v>
      </c>
      <c r="B61" s="29" t="s">
        <v>5989</v>
      </c>
      <c r="C61" s="29" t="s">
        <v>7041</v>
      </c>
      <c r="D61" s="30">
        <v>45658.0</v>
      </c>
      <c r="E61" s="30">
        <v>46022.0</v>
      </c>
      <c r="F61" s="31">
        <v>0.0</v>
      </c>
      <c r="G61" s="31">
        <v>1.0</v>
      </c>
      <c r="H61" s="35" t="s">
        <v>7045</v>
      </c>
      <c r="I61" s="30">
        <v>46023.0</v>
      </c>
      <c r="J61" s="30">
        <v>46387.0</v>
      </c>
      <c r="K61" s="31">
        <v>0.0</v>
      </c>
      <c r="L61" s="31">
        <v>1.0</v>
      </c>
      <c r="M61" s="35" t="s">
        <v>7045</v>
      </c>
      <c r="N61" s="30">
        <v>46388.0</v>
      </c>
      <c r="O61" s="30">
        <v>46752.0</v>
      </c>
      <c r="P61" s="31">
        <v>0.0</v>
      </c>
      <c r="Q61" s="31">
        <v>1.0</v>
      </c>
      <c r="R61" s="35" t="s">
        <v>7045</v>
      </c>
      <c r="S61" s="30">
        <v>46753.0</v>
      </c>
      <c r="T61" s="30">
        <v>47118.0</v>
      </c>
      <c r="U61" s="31">
        <v>0.0</v>
      </c>
      <c r="V61" s="31">
        <v>1.0</v>
      </c>
      <c r="W61" s="35" t="s">
        <v>7045</v>
      </c>
      <c r="X61" s="30">
        <v>47119.0</v>
      </c>
      <c r="Y61" s="30">
        <v>47483.0</v>
      </c>
      <c r="Z61" s="31">
        <v>0.0</v>
      </c>
      <c r="AA61" s="31">
        <v>1.0</v>
      </c>
      <c r="AB61" s="35" t="s">
        <v>7045</v>
      </c>
      <c r="AC61" s="30">
        <v>47484.0</v>
      </c>
      <c r="AD61" s="30">
        <v>47848.0</v>
      </c>
      <c r="AE61" s="31">
        <v>0.0</v>
      </c>
      <c r="AF61" s="31">
        <v>1.0</v>
      </c>
      <c r="AG61" s="35" t="s">
        <v>7045</v>
      </c>
    </row>
    <row r="62" ht="14.25" customHeight="1">
      <c r="A62" s="28" t="s">
        <v>3503</v>
      </c>
      <c r="B62" s="29" t="s">
        <v>3504</v>
      </c>
      <c r="C62" s="29" t="s">
        <v>7041</v>
      </c>
      <c r="D62" s="30">
        <v>45658.0</v>
      </c>
      <c r="E62" s="30">
        <v>46022.0</v>
      </c>
      <c r="F62" s="31">
        <v>0.0</v>
      </c>
      <c r="G62" s="31">
        <v>1.0</v>
      </c>
      <c r="H62" s="35" t="s">
        <v>7045</v>
      </c>
      <c r="I62" s="30">
        <v>46023.0</v>
      </c>
      <c r="J62" s="30">
        <v>46387.0</v>
      </c>
      <c r="K62" s="31">
        <v>0.0</v>
      </c>
      <c r="L62" s="31">
        <v>1.0</v>
      </c>
      <c r="M62" s="35" t="s">
        <v>7045</v>
      </c>
      <c r="N62" s="30">
        <v>46388.0</v>
      </c>
      <c r="O62" s="30">
        <v>46752.0</v>
      </c>
      <c r="P62" s="31">
        <v>0.0</v>
      </c>
      <c r="Q62" s="31">
        <v>1.0</v>
      </c>
      <c r="R62" s="35" t="s">
        <v>7045</v>
      </c>
      <c r="S62" s="30">
        <v>46753.0</v>
      </c>
      <c r="T62" s="30">
        <v>47118.0</v>
      </c>
      <c r="U62" s="31">
        <v>0.0</v>
      </c>
      <c r="V62" s="31">
        <v>1.0</v>
      </c>
      <c r="W62" s="35" t="s">
        <v>7045</v>
      </c>
      <c r="X62" s="30">
        <v>47119.0</v>
      </c>
      <c r="Y62" s="30">
        <v>47483.0</v>
      </c>
      <c r="Z62" s="31">
        <v>0.0</v>
      </c>
      <c r="AA62" s="31">
        <v>1.0</v>
      </c>
      <c r="AB62" s="35" t="s">
        <v>7045</v>
      </c>
      <c r="AC62" s="30">
        <v>47484.0</v>
      </c>
      <c r="AD62" s="30">
        <v>47848.0</v>
      </c>
      <c r="AE62" s="31">
        <v>0.0</v>
      </c>
      <c r="AF62" s="31">
        <v>1.0</v>
      </c>
      <c r="AG62" s="35" t="s">
        <v>7045</v>
      </c>
    </row>
    <row r="63" ht="14.25" customHeight="1">
      <c r="A63" s="28" t="s">
        <v>5498</v>
      </c>
      <c r="B63" s="29" t="s">
        <v>5499</v>
      </c>
      <c r="C63" s="29" t="s">
        <v>7041</v>
      </c>
      <c r="D63" s="30">
        <v>45658.0</v>
      </c>
      <c r="E63" s="30">
        <v>46022.0</v>
      </c>
      <c r="F63" s="31">
        <v>0.0</v>
      </c>
      <c r="G63" s="31">
        <v>1.0</v>
      </c>
      <c r="H63" s="35" t="s">
        <v>7045</v>
      </c>
      <c r="I63" s="30">
        <v>46023.0</v>
      </c>
      <c r="J63" s="30">
        <v>46387.0</v>
      </c>
      <c r="K63" s="31">
        <v>0.0</v>
      </c>
      <c r="L63" s="31">
        <v>1.0</v>
      </c>
      <c r="M63" s="35" t="s">
        <v>7045</v>
      </c>
      <c r="N63" s="30">
        <v>46388.0</v>
      </c>
      <c r="O63" s="30">
        <v>46752.0</v>
      </c>
      <c r="P63" s="31">
        <v>0.0</v>
      </c>
      <c r="Q63" s="31">
        <v>1.0</v>
      </c>
      <c r="R63" s="35" t="s">
        <v>7045</v>
      </c>
      <c r="S63" s="30">
        <v>46753.0</v>
      </c>
      <c r="T63" s="30">
        <v>47118.0</v>
      </c>
      <c r="U63" s="31">
        <v>0.0</v>
      </c>
      <c r="V63" s="31">
        <v>1.0</v>
      </c>
      <c r="W63" s="35" t="s">
        <v>7045</v>
      </c>
      <c r="X63" s="30">
        <v>47119.0</v>
      </c>
      <c r="Y63" s="30">
        <v>47483.0</v>
      </c>
      <c r="Z63" s="31">
        <v>0.0</v>
      </c>
      <c r="AA63" s="31">
        <v>1.0</v>
      </c>
      <c r="AB63" s="35" t="s">
        <v>7045</v>
      </c>
      <c r="AC63" s="30">
        <v>47484.0</v>
      </c>
      <c r="AD63" s="30">
        <v>47848.0</v>
      </c>
      <c r="AE63" s="31">
        <v>0.0</v>
      </c>
      <c r="AF63" s="31">
        <v>1.0</v>
      </c>
      <c r="AG63" s="35" t="s">
        <v>7045</v>
      </c>
    </row>
    <row r="64" ht="14.25" customHeight="1">
      <c r="A64" s="28" t="s">
        <v>2928</v>
      </c>
      <c r="B64" s="29" t="s">
        <v>2929</v>
      </c>
      <c r="C64" s="29" t="s">
        <v>7041</v>
      </c>
      <c r="D64" s="30">
        <v>45658.0</v>
      </c>
      <c r="E64" s="30">
        <v>46022.0</v>
      </c>
      <c r="F64" s="31">
        <v>0.0</v>
      </c>
      <c r="G64" s="31">
        <v>1.0</v>
      </c>
      <c r="H64" s="35" t="s">
        <v>7045</v>
      </c>
      <c r="I64" s="30">
        <v>46023.0</v>
      </c>
      <c r="J64" s="30">
        <v>46387.0</v>
      </c>
      <c r="K64" s="31">
        <v>0.0</v>
      </c>
      <c r="L64" s="31">
        <v>1.0</v>
      </c>
      <c r="M64" s="35" t="s">
        <v>7045</v>
      </c>
      <c r="N64" s="30">
        <v>46388.0</v>
      </c>
      <c r="O64" s="30">
        <v>46752.0</v>
      </c>
      <c r="P64" s="31">
        <v>0.0</v>
      </c>
      <c r="Q64" s="31">
        <v>1.0</v>
      </c>
      <c r="R64" s="35" t="s">
        <v>7045</v>
      </c>
      <c r="S64" s="30">
        <v>46753.0</v>
      </c>
      <c r="T64" s="30">
        <v>47118.0</v>
      </c>
      <c r="U64" s="31">
        <v>0.0</v>
      </c>
      <c r="V64" s="31">
        <v>1.0</v>
      </c>
      <c r="W64" s="35" t="s">
        <v>7045</v>
      </c>
      <c r="X64" s="30">
        <v>47119.0</v>
      </c>
      <c r="Y64" s="30">
        <v>47483.0</v>
      </c>
      <c r="Z64" s="31">
        <v>0.0</v>
      </c>
      <c r="AA64" s="31">
        <v>1.0</v>
      </c>
      <c r="AB64" s="35" t="s">
        <v>7045</v>
      </c>
      <c r="AC64" s="30">
        <v>47484.0</v>
      </c>
      <c r="AD64" s="30">
        <v>47848.0</v>
      </c>
      <c r="AE64" s="31">
        <v>0.0</v>
      </c>
      <c r="AF64" s="31">
        <v>1.0</v>
      </c>
      <c r="AG64" s="35" t="s">
        <v>7045</v>
      </c>
    </row>
    <row r="65" ht="14.25" customHeight="1">
      <c r="A65" s="28" t="s">
        <v>3443</v>
      </c>
      <c r="B65" s="29" t="s">
        <v>3444</v>
      </c>
      <c r="C65" s="29" t="s">
        <v>7041</v>
      </c>
      <c r="D65" s="30">
        <v>45658.0</v>
      </c>
      <c r="E65" s="30">
        <v>46022.0</v>
      </c>
      <c r="F65" s="31">
        <v>0.0</v>
      </c>
      <c r="G65" s="31">
        <v>1.0</v>
      </c>
      <c r="H65" s="35" t="s">
        <v>7045</v>
      </c>
      <c r="I65" s="30">
        <v>46023.0</v>
      </c>
      <c r="J65" s="30">
        <v>46387.0</v>
      </c>
      <c r="K65" s="31">
        <v>0.0</v>
      </c>
      <c r="L65" s="31">
        <v>1.0</v>
      </c>
      <c r="M65" s="35" t="s">
        <v>7045</v>
      </c>
      <c r="N65" s="30">
        <v>46388.0</v>
      </c>
      <c r="O65" s="30">
        <v>46752.0</v>
      </c>
      <c r="P65" s="31">
        <v>0.0</v>
      </c>
      <c r="Q65" s="31">
        <v>1.0</v>
      </c>
      <c r="R65" s="35" t="s">
        <v>7045</v>
      </c>
      <c r="S65" s="30">
        <v>46753.0</v>
      </c>
      <c r="T65" s="30">
        <v>47118.0</v>
      </c>
      <c r="U65" s="31">
        <v>0.0</v>
      </c>
      <c r="V65" s="31">
        <v>1.0</v>
      </c>
      <c r="W65" s="35" t="s">
        <v>7045</v>
      </c>
      <c r="X65" s="30">
        <v>47119.0</v>
      </c>
      <c r="Y65" s="30">
        <v>47483.0</v>
      </c>
      <c r="Z65" s="31">
        <v>0.0</v>
      </c>
      <c r="AA65" s="31">
        <v>1.0</v>
      </c>
      <c r="AB65" s="35" t="s">
        <v>7045</v>
      </c>
      <c r="AC65" s="30">
        <v>47484.0</v>
      </c>
      <c r="AD65" s="30">
        <v>47848.0</v>
      </c>
      <c r="AE65" s="31">
        <v>0.0</v>
      </c>
      <c r="AF65" s="31">
        <v>1.0</v>
      </c>
      <c r="AG65" s="35" t="s">
        <v>7045</v>
      </c>
    </row>
    <row r="66" ht="14.25" customHeight="1">
      <c r="A66" s="28" t="s">
        <v>262</v>
      </c>
      <c r="B66" s="29" t="s">
        <v>263</v>
      </c>
      <c r="C66" s="29" t="s">
        <v>7041</v>
      </c>
      <c r="D66" s="30">
        <v>45658.0</v>
      </c>
      <c r="E66" s="30">
        <v>46022.0</v>
      </c>
      <c r="F66" s="31">
        <v>1.0</v>
      </c>
      <c r="G66" s="31">
        <v>1.0</v>
      </c>
      <c r="H66" s="35" t="s">
        <v>7042</v>
      </c>
      <c r="I66" s="30">
        <v>46023.0</v>
      </c>
      <c r="J66" s="30">
        <v>46387.0</v>
      </c>
      <c r="K66" s="31">
        <v>0.0</v>
      </c>
      <c r="L66" s="31">
        <v>1.0</v>
      </c>
      <c r="M66" s="35" t="s">
        <v>7045</v>
      </c>
      <c r="N66" s="30">
        <v>46388.0</v>
      </c>
      <c r="O66" s="30">
        <v>46752.0</v>
      </c>
      <c r="P66" s="31">
        <v>0.0</v>
      </c>
      <c r="Q66" s="31">
        <v>1.0</v>
      </c>
      <c r="R66" s="35" t="s">
        <v>7045</v>
      </c>
      <c r="S66" s="30">
        <v>46753.0</v>
      </c>
      <c r="T66" s="30">
        <v>47118.0</v>
      </c>
      <c r="U66" s="31">
        <v>0.0</v>
      </c>
      <c r="V66" s="31">
        <v>1.0</v>
      </c>
      <c r="W66" s="35" t="s">
        <v>7045</v>
      </c>
      <c r="X66" s="30">
        <v>47119.0</v>
      </c>
      <c r="Y66" s="30">
        <v>47483.0</v>
      </c>
      <c r="Z66" s="31">
        <v>0.0</v>
      </c>
      <c r="AA66" s="31">
        <v>1.0</v>
      </c>
      <c r="AB66" s="35" t="s">
        <v>7045</v>
      </c>
      <c r="AC66" s="30">
        <v>47484.0</v>
      </c>
      <c r="AD66" s="30">
        <v>47848.0</v>
      </c>
      <c r="AE66" s="31">
        <v>0.0</v>
      </c>
      <c r="AF66" s="31">
        <v>1.0</v>
      </c>
      <c r="AG66" s="35" t="s">
        <v>7045</v>
      </c>
    </row>
    <row r="67" ht="14.25" customHeight="1">
      <c r="A67" s="28" t="s">
        <v>1146</v>
      </c>
      <c r="B67" s="29" t="s">
        <v>1147</v>
      </c>
      <c r="C67" s="29" t="s">
        <v>7041</v>
      </c>
      <c r="D67" s="30">
        <v>45658.0</v>
      </c>
      <c r="E67" s="30">
        <v>46022.0</v>
      </c>
      <c r="F67" s="31">
        <v>0.0</v>
      </c>
      <c r="G67" s="31">
        <v>1.0</v>
      </c>
      <c r="H67" s="35" t="s">
        <v>7045</v>
      </c>
      <c r="I67" s="30">
        <v>46023.0</v>
      </c>
      <c r="J67" s="30">
        <v>46387.0</v>
      </c>
      <c r="K67" s="31">
        <v>0.0</v>
      </c>
      <c r="L67" s="31">
        <v>1.0</v>
      </c>
      <c r="M67" s="35" t="s">
        <v>7045</v>
      </c>
      <c r="N67" s="30">
        <v>46388.0</v>
      </c>
      <c r="O67" s="30">
        <v>46752.0</v>
      </c>
      <c r="P67" s="31">
        <v>0.0</v>
      </c>
      <c r="Q67" s="31">
        <v>1.0</v>
      </c>
      <c r="R67" s="35" t="s">
        <v>7045</v>
      </c>
      <c r="S67" s="30">
        <v>46753.0</v>
      </c>
      <c r="T67" s="30">
        <v>47118.0</v>
      </c>
      <c r="U67" s="31">
        <v>0.0</v>
      </c>
      <c r="V67" s="31">
        <v>1.0</v>
      </c>
      <c r="W67" s="35" t="s">
        <v>7045</v>
      </c>
      <c r="X67" s="30">
        <v>47119.0</v>
      </c>
      <c r="Y67" s="30">
        <v>47483.0</v>
      </c>
      <c r="Z67" s="31">
        <v>0.0</v>
      </c>
      <c r="AA67" s="31">
        <v>1.0</v>
      </c>
      <c r="AB67" s="35" t="s">
        <v>7045</v>
      </c>
      <c r="AC67" s="30">
        <v>47484.0</v>
      </c>
      <c r="AD67" s="30">
        <v>47848.0</v>
      </c>
      <c r="AE67" s="31">
        <v>0.0</v>
      </c>
      <c r="AF67" s="31">
        <v>1.0</v>
      </c>
      <c r="AG67" s="35" t="s">
        <v>7045</v>
      </c>
    </row>
    <row r="68" ht="14.25" customHeight="1">
      <c r="A68" s="28" t="s">
        <v>622</v>
      </c>
      <c r="B68" s="29" t="s">
        <v>623</v>
      </c>
      <c r="C68" s="29" t="s">
        <v>7041</v>
      </c>
      <c r="D68" s="30">
        <v>45658.0</v>
      </c>
      <c r="E68" s="30">
        <v>46022.0</v>
      </c>
      <c r="F68" s="31">
        <v>0.0</v>
      </c>
      <c r="G68" s="31">
        <v>1.0</v>
      </c>
      <c r="H68" s="35" t="s">
        <v>7045</v>
      </c>
      <c r="I68" s="30">
        <v>46023.0</v>
      </c>
      <c r="J68" s="30">
        <v>46387.0</v>
      </c>
      <c r="K68" s="31">
        <v>0.0</v>
      </c>
      <c r="L68" s="31">
        <v>1.0</v>
      </c>
      <c r="M68" s="35" t="s">
        <v>7045</v>
      </c>
      <c r="N68" s="30">
        <v>46388.0</v>
      </c>
      <c r="O68" s="30">
        <v>46752.0</v>
      </c>
      <c r="P68" s="31">
        <v>0.0</v>
      </c>
      <c r="Q68" s="31">
        <v>1.0</v>
      </c>
      <c r="R68" s="35" t="s">
        <v>7045</v>
      </c>
      <c r="S68" s="30">
        <v>46753.0</v>
      </c>
      <c r="T68" s="30">
        <v>47118.0</v>
      </c>
      <c r="U68" s="31">
        <v>0.0</v>
      </c>
      <c r="V68" s="31">
        <v>1.0</v>
      </c>
      <c r="W68" s="35" t="s">
        <v>7045</v>
      </c>
      <c r="X68" s="30">
        <v>47119.0</v>
      </c>
      <c r="Y68" s="30">
        <v>47483.0</v>
      </c>
      <c r="Z68" s="31">
        <v>0.0</v>
      </c>
      <c r="AA68" s="31">
        <v>1.0</v>
      </c>
      <c r="AB68" s="35" t="s">
        <v>7045</v>
      </c>
      <c r="AC68" s="30">
        <v>47484.0</v>
      </c>
      <c r="AD68" s="30">
        <v>47848.0</v>
      </c>
      <c r="AE68" s="31">
        <v>0.0</v>
      </c>
      <c r="AF68" s="31">
        <v>1.0</v>
      </c>
      <c r="AG68" s="35" t="s">
        <v>7045</v>
      </c>
    </row>
    <row r="69" ht="14.25" customHeight="1">
      <c r="A69" s="28" t="s">
        <v>811</v>
      </c>
      <c r="B69" s="29" t="s">
        <v>812</v>
      </c>
      <c r="C69" s="29" t="s">
        <v>7041</v>
      </c>
      <c r="D69" s="30">
        <v>45658.0</v>
      </c>
      <c r="E69" s="30">
        <v>46022.0</v>
      </c>
      <c r="F69" s="31">
        <v>0.0</v>
      </c>
      <c r="G69" s="31">
        <v>1.0</v>
      </c>
      <c r="H69" s="35" t="s">
        <v>7045</v>
      </c>
      <c r="I69" s="30">
        <v>46023.0</v>
      </c>
      <c r="J69" s="30">
        <v>46387.0</v>
      </c>
      <c r="K69" s="31">
        <v>0.0</v>
      </c>
      <c r="L69" s="31">
        <v>1.0</v>
      </c>
      <c r="M69" s="35" t="s">
        <v>7045</v>
      </c>
      <c r="N69" s="30">
        <v>46388.0</v>
      </c>
      <c r="O69" s="30">
        <v>46752.0</v>
      </c>
      <c r="P69" s="31">
        <v>0.0</v>
      </c>
      <c r="Q69" s="31">
        <v>1.0</v>
      </c>
      <c r="R69" s="35" t="s">
        <v>7045</v>
      </c>
      <c r="S69" s="30">
        <v>46753.0</v>
      </c>
      <c r="T69" s="30">
        <v>47118.0</v>
      </c>
      <c r="U69" s="31">
        <v>0.0</v>
      </c>
      <c r="V69" s="31">
        <v>1.0</v>
      </c>
      <c r="W69" s="35" t="s">
        <v>7045</v>
      </c>
      <c r="X69" s="30">
        <v>47119.0</v>
      </c>
      <c r="Y69" s="30">
        <v>47483.0</v>
      </c>
      <c r="Z69" s="31">
        <v>0.0</v>
      </c>
      <c r="AA69" s="31">
        <v>1.0</v>
      </c>
      <c r="AB69" s="35" t="s">
        <v>7045</v>
      </c>
      <c r="AC69" s="30">
        <v>47484.0</v>
      </c>
      <c r="AD69" s="30">
        <v>47848.0</v>
      </c>
      <c r="AE69" s="31">
        <v>0.0</v>
      </c>
      <c r="AF69" s="31">
        <v>1.0</v>
      </c>
      <c r="AG69" s="35" t="s">
        <v>7045</v>
      </c>
    </row>
    <row r="70" ht="14.25" customHeight="1">
      <c r="A70" s="28" t="s">
        <v>6482</v>
      </c>
      <c r="B70" s="29" t="s">
        <v>6483</v>
      </c>
      <c r="C70" s="29" t="s">
        <v>7041</v>
      </c>
      <c r="D70" s="30">
        <v>45658.0</v>
      </c>
      <c r="E70" s="30">
        <v>46022.0</v>
      </c>
      <c r="F70" s="31">
        <v>0.0</v>
      </c>
      <c r="G70" s="31">
        <v>1.0</v>
      </c>
      <c r="H70" s="35" t="s">
        <v>7045</v>
      </c>
      <c r="I70" s="30">
        <v>46023.0</v>
      </c>
      <c r="J70" s="30">
        <v>46387.0</v>
      </c>
      <c r="K70" s="31">
        <v>0.0</v>
      </c>
      <c r="L70" s="31">
        <v>1.0</v>
      </c>
      <c r="M70" s="35" t="s">
        <v>7045</v>
      </c>
      <c r="N70" s="30">
        <v>46388.0</v>
      </c>
      <c r="O70" s="30">
        <v>46752.0</v>
      </c>
      <c r="P70" s="31">
        <v>0.0</v>
      </c>
      <c r="Q70" s="31">
        <v>1.0</v>
      </c>
      <c r="R70" s="35" t="s">
        <v>7045</v>
      </c>
      <c r="S70" s="30">
        <v>46753.0</v>
      </c>
      <c r="T70" s="30">
        <v>47118.0</v>
      </c>
      <c r="U70" s="31">
        <v>0.0</v>
      </c>
      <c r="V70" s="31">
        <v>1.0</v>
      </c>
      <c r="W70" s="35" t="s">
        <v>7045</v>
      </c>
      <c r="X70" s="30">
        <v>47119.0</v>
      </c>
      <c r="Y70" s="30">
        <v>47483.0</v>
      </c>
      <c r="Z70" s="31">
        <v>0.0</v>
      </c>
      <c r="AA70" s="31">
        <v>1.0</v>
      </c>
      <c r="AB70" s="35" t="s">
        <v>7045</v>
      </c>
      <c r="AC70" s="30">
        <v>47484.0</v>
      </c>
      <c r="AD70" s="30">
        <v>47848.0</v>
      </c>
      <c r="AE70" s="31">
        <v>0.0</v>
      </c>
      <c r="AF70" s="31">
        <v>1.0</v>
      </c>
      <c r="AG70" s="35" t="s">
        <v>7045</v>
      </c>
    </row>
    <row r="71" ht="14.25" customHeight="1">
      <c r="A71" s="28" t="s">
        <v>1674</v>
      </c>
      <c r="B71" s="29" t="s">
        <v>1675</v>
      </c>
      <c r="C71" s="29" t="s">
        <v>7041</v>
      </c>
      <c r="D71" s="30">
        <v>45658.0</v>
      </c>
      <c r="E71" s="30">
        <v>46022.0</v>
      </c>
      <c r="F71" s="31">
        <v>0.0</v>
      </c>
      <c r="G71" s="31">
        <v>1.0</v>
      </c>
      <c r="H71" s="35" t="s">
        <v>7045</v>
      </c>
      <c r="I71" s="30">
        <v>46023.0</v>
      </c>
      <c r="J71" s="30">
        <v>46387.0</v>
      </c>
      <c r="K71" s="31">
        <v>0.0</v>
      </c>
      <c r="L71" s="31">
        <v>1.0</v>
      </c>
      <c r="M71" s="35" t="s">
        <v>7045</v>
      </c>
      <c r="N71" s="30">
        <v>46388.0</v>
      </c>
      <c r="O71" s="30">
        <v>46752.0</v>
      </c>
      <c r="P71" s="31">
        <v>0.0</v>
      </c>
      <c r="Q71" s="31">
        <v>1.0</v>
      </c>
      <c r="R71" s="35" t="s">
        <v>7045</v>
      </c>
      <c r="S71" s="30">
        <v>46753.0</v>
      </c>
      <c r="T71" s="30">
        <v>47118.0</v>
      </c>
      <c r="U71" s="31">
        <v>0.0</v>
      </c>
      <c r="V71" s="31">
        <v>1.0</v>
      </c>
      <c r="W71" s="35" t="s">
        <v>7045</v>
      </c>
      <c r="X71" s="30">
        <v>47119.0</v>
      </c>
      <c r="Y71" s="30">
        <v>47483.0</v>
      </c>
      <c r="Z71" s="31">
        <v>0.0</v>
      </c>
      <c r="AA71" s="31">
        <v>1.0</v>
      </c>
      <c r="AB71" s="35" t="s">
        <v>7045</v>
      </c>
      <c r="AC71" s="30">
        <v>47484.0</v>
      </c>
      <c r="AD71" s="30">
        <v>47848.0</v>
      </c>
      <c r="AE71" s="31">
        <v>0.0</v>
      </c>
      <c r="AF71" s="31">
        <v>1.0</v>
      </c>
      <c r="AG71" s="35" t="s">
        <v>7045</v>
      </c>
    </row>
    <row r="72" ht="14.25" customHeight="1">
      <c r="A72" s="28" t="s">
        <v>6303</v>
      </c>
      <c r="B72" s="29" t="s">
        <v>6304</v>
      </c>
      <c r="C72" s="29" t="s">
        <v>7041</v>
      </c>
      <c r="D72" s="30">
        <v>45658.0</v>
      </c>
      <c r="E72" s="30">
        <v>46022.0</v>
      </c>
      <c r="F72" s="31">
        <v>0.0</v>
      </c>
      <c r="G72" s="31">
        <v>1.0</v>
      </c>
      <c r="H72" s="35" t="s">
        <v>7045</v>
      </c>
      <c r="I72" s="30">
        <v>46023.0</v>
      </c>
      <c r="J72" s="30">
        <v>46387.0</v>
      </c>
      <c r="K72" s="31">
        <v>0.0</v>
      </c>
      <c r="L72" s="31">
        <v>1.0</v>
      </c>
      <c r="M72" s="35" t="s">
        <v>7045</v>
      </c>
      <c r="N72" s="30">
        <v>46388.0</v>
      </c>
      <c r="O72" s="30">
        <v>46752.0</v>
      </c>
      <c r="P72" s="31">
        <v>0.0</v>
      </c>
      <c r="Q72" s="31">
        <v>1.0</v>
      </c>
      <c r="R72" s="35" t="s">
        <v>7045</v>
      </c>
      <c r="S72" s="30">
        <v>46753.0</v>
      </c>
      <c r="T72" s="30">
        <v>47118.0</v>
      </c>
      <c r="U72" s="31">
        <v>0.0</v>
      </c>
      <c r="V72" s="31">
        <v>1.0</v>
      </c>
      <c r="W72" s="35" t="s">
        <v>7045</v>
      </c>
      <c r="X72" s="30">
        <v>47119.0</v>
      </c>
      <c r="Y72" s="30">
        <v>47483.0</v>
      </c>
      <c r="Z72" s="31">
        <v>0.0</v>
      </c>
      <c r="AA72" s="31">
        <v>1.0</v>
      </c>
      <c r="AB72" s="35" t="s">
        <v>7045</v>
      </c>
      <c r="AC72" s="30">
        <v>47484.0</v>
      </c>
      <c r="AD72" s="30">
        <v>47848.0</v>
      </c>
      <c r="AE72" s="31">
        <v>0.0</v>
      </c>
      <c r="AF72" s="31">
        <v>1.0</v>
      </c>
      <c r="AG72" s="35" t="s">
        <v>7045</v>
      </c>
    </row>
    <row r="73" ht="14.25" customHeight="1">
      <c r="A73" s="28" t="s">
        <v>6217</v>
      </c>
      <c r="B73" s="29" t="s">
        <v>6218</v>
      </c>
      <c r="C73" s="29" t="s">
        <v>7041</v>
      </c>
      <c r="D73" s="30">
        <v>45658.0</v>
      </c>
      <c r="E73" s="30">
        <v>46022.0</v>
      </c>
      <c r="F73" s="31">
        <v>0.0</v>
      </c>
      <c r="G73" s="31">
        <v>1.0</v>
      </c>
      <c r="H73" s="35" t="s">
        <v>7045</v>
      </c>
      <c r="I73" s="30">
        <v>46023.0</v>
      </c>
      <c r="J73" s="30">
        <v>46387.0</v>
      </c>
      <c r="K73" s="31">
        <v>0.0</v>
      </c>
      <c r="L73" s="31">
        <v>1.0</v>
      </c>
      <c r="M73" s="35" t="s">
        <v>7045</v>
      </c>
      <c r="N73" s="30">
        <v>46388.0</v>
      </c>
      <c r="O73" s="30">
        <v>46752.0</v>
      </c>
      <c r="P73" s="31">
        <v>0.0</v>
      </c>
      <c r="Q73" s="31">
        <v>1.0</v>
      </c>
      <c r="R73" s="35" t="s">
        <v>7045</v>
      </c>
      <c r="S73" s="30">
        <v>46753.0</v>
      </c>
      <c r="T73" s="30">
        <v>47118.0</v>
      </c>
      <c r="U73" s="31">
        <v>0.0</v>
      </c>
      <c r="V73" s="31">
        <v>1.0</v>
      </c>
      <c r="W73" s="35" t="s">
        <v>7045</v>
      </c>
      <c r="X73" s="30">
        <v>47119.0</v>
      </c>
      <c r="Y73" s="30">
        <v>47483.0</v>
      </c>
      <c r="Z73" s="31">
        <v>0.0</v>
      </c>
      <c r="AA73" s="31">
        <v>1.0</v>
      </c>
      <c r="AB73" s="35" t="s">
        <v>7045</v>
      </c>
      <c r="AC73" s="30">
        <v>47484.0</v>
      </c>
      <c r="AD73" s="30">
        <v>47848.0</v>
      </c>
      <c r="AE73" s="31">
        <v>0.0</v>
      </c>
      <c r="AF73" s="31">
        <v>1.0</v>
      </c>
      <c r="AG73" s="35" t="s">
        <v>7045</v>
      </c>
    </row>
    <row r="74" ht="14.25" customHeight="1">
      <c r="A74" s="28" t="s">
        <v>6731</v>
      </c>
      <c r="B74" s="29" t="s">
        <v>6732</v>
      </c>
      <c r="C74" s="29" t="s">
        <v>7041</v>
      </c>
      <c r="D74" s="30">
        <v>45658.0</v>
      </c>
      <c r="E74" s="30">
        <v>46022.0</v>
      </c>
      <c r="F74" s="31">
        <v>0.0</v>
      </c>
      <c r="G74" s="31">
        <v>1.0</v>
      </c>
      <c r="H74" s="35" t="s">
        <v>7045</v>
      </c>
      <c r="I74" s="30">
        <v>46023.0</v>
      </c>
      <c r="J74" s="30">
        <v>46387.0</v>
      </c>
      <c r="K74" s="31">
        <v>0.0</v>
      </c>
      <c r="L74" s="31">
        <v>1.0</v>
      </c>
      <c r="M74" s="35" t="s">
        <v>7045</v>
      </c>
      <c r="N74" s="30">
        <v>46388.0</v>
      </c>
      <c r="O74" s="30">
        <v>46752.0</v>
      </c>
      <c r="P74" s="31">
        <v>0.0</v>
      </c>
      <c r="Q74" s="31">
        <v>1.0</v>
      </c>
      <c r="R74" s="35" t="s">
        <v>7045</v>
      </c>
      <c r="S74" s="30">
        <v>46753.0</v>
      </c>
      <c r="T74" s="30">
        <v>47118.0</v>
      </c>
      <c r="U74" s="31">
        <v>0.0</v>
      </c>
      <c r="V74" s="31">
        <v>1.0</v>
      </c>
      <c r="W74" s="35" t="s">
        <v>7045</v>
      </c>
      <c r="X74" s="30">
        <v>47119.0</v>
      </c>
      <c r="Y74" s="30">
        <v>47483.0</v>
      </c>
      <c r="Z74" s="31">
        <v>0.0</v>
      </c>
      <c r="AA74" s="31">
        <v>1.0</v>
      </c>
      <c r="AB74" s="35" t="s">
        <v>7045</v>
      </c>
      <c r="AC74" s="30">
        <v>47484.0</v>
      </c>
      <c r="AD74" s="30">
        <v>47848.0</v>
      </c>
      <c r="AE74" s="31">
        <v>0.0</v>
      </c>
      <c r="AF74" s="31">
        <v>1.0</v>
      </c>
      <c r="AG74" s="35" t="s">
        <v>7045</v>
      </c>
    </row>
    <row r="75" ht="14.25" customHeight="1">
      <c r="A75" s="28" t="s">
        <v>6141</v>
      </c>
      <c r="B75" s="29" t="s">
        <v>6142</v>
      </c>
      <c r="C75" s="29" t="s">
        <v>7041</v>
      </c>
      <c r="D75" s="30">
        <v>45658.0</v>
      </c>
      <c r="E75" s="30">
        <v>46022.0</v>
      </c>
      <c r="F75" s="31">
        <v>0.0</v>
      </c>
      <c r="G75" s="31">
        <v>1.0</v>
      </c>
      <c r="H75" s="35" t="s">
        <v>7045</v>
      </c>
      <c r="I75" s="30">
        <v>46023.0</v>
      </c>
      <c r="J75" s="30">
        <v>46387.0</v>
      </c>
      <c r="K75" s="31">
        <v>0.0</v>
      </c>
      <c r="L75" s="31">
        <v>1.0</v>
      </c>
      <c r="M75" s="35" t="s">
        <v>7045</v>
      </c>
      <c r="N75" s="30">
        <v>46388.0</v>
      </c>
      <c r="O75" s="30">
        <v>46752.0</v>
      </c>
      <c r="P75" s="31">
        <v>0.0</v>
      </c>
      <c r="Q75" s="31">
        <v>1.0</v>
      </c>
      <c r="R75" s="35" t="s">
        <v>7045</v>
      </c>
      <c r="S75" s="30">
        <v>46753.0</v>
      </c>
      <c r="T75" s="30">
        <v>47118.0</v>
      </c>
      <c r="U75" s="31">
        <v>0.0</v>
      </c>
      <c r="V75" s="31">
        <v>1.0</v>
      </c>
      <c r="W75" s="35" t="s">
        <v>7045</v>
      </c>
      <c r="X75" s="30">
        <v>47119.0</v>
      </c>
      <c r="Y75" s="30">
        <v>47483.0</v>
      </c>
      <c r="Z75" s="31">
        <v>0.0</v>
      </c>
      <c r="AA75" s="31">
        <v>1.0</v>
      </c>
      <c r="AB75" s="35" t="s">
        <v>7045</v>
      </c>
      <c r="AC75" s="30">
        <v>47484.0</v>
      </c>
      <c r="AD75" s="30">
        <v>47848.0</v>
      </c>
      <c r="AE75" s="31">
        <v>0.0</v>
      </c>
      <c r="AF75" s="31">
        <v>1.0</v>
      </c>
      <c r="AG75" s="35" t="s">
        <v>7045</v>
      </c>
    </row>
    <row r="76" ht="14.25" customHeight="1">
      <c r="A76" s="28" t="s">
        <v>4711</v>
      </c>
      <c r="B76" s="29" t="s">
        <v>4712</v>
      </c>
      <c r="C76" s="29" t="s">
        <v>7041</v>
      </c>
      <c r="D76" s="30">
        <v>45658.0</v>
      </c>
      <c r="E76" s="30">
        <v>46022.0</v>
      </c>
      <c r="F76" s="31">
        <v>0.0</v>
      </c>
      <c r="G76" s="31">
        <v>1.0</v>
      </c>
      <c r="H76" s="35" t="s">
        <v>7045</v>
      </c>
      <c r="I76" s="30">
        <v>46023.0</v>
      </c>
      <c r="J76" s="30">
        <v>46387.0</v>
      </c>
      <c r="K76" s="31">
        <v>0.0</v>
      </c>
      <c r="L76" s="31">
        <v>1.0</v>
      </c>
      <c r="M76" s="35" t="s">
        <v>7045</v>
      </c>
      <c r="N76" s="30">
        <v>46388.0</v>
      </c>
      <c r="O76" s="30">
        <v>46752.0</v>
      </c>
      <c r="P76" s="31">
        <v>0.0</v>
      </c>
      <c r="Q76" s="31">
        <v>1.0</v>
      </c>
      <c r="R76" s="35" t="s">
        <v>7045</v>
      </c>
      <c r="S76" s="30">
        <v>46753.0</v>
      </c>
      <c r="T76" s="30">
        <v>47118.0</v>
      </c>
      <c r="U76" s="31">
        <v>0.0</v>
      </c>
      <c r="V76" s="31">
        <v>1.0</v>
      </c>
      <c r="W76" s="35" t="s">
        <v>7045</v>
      </c>
      <c r="X76" s="30">
        <v>47119.0</v>
      </c>
      <c r="Y76" s="30">
        <v>47483.0</v>
      </c>
      <c r="Z76" s="31">
        <v>0.0</v>
      </c>
      <c r="AA76" s="31">
        <v>1.0</v>
      </c>
      <c r="AB76" s="35" t="s">
        <v>7045</v>
      </c>
      <c r="AC76" s="30">
        <v>47484.0</v>
      </c>
      <c r="AD76" s="30">
        <v>47848.0</v>
      </c>
      <c r="AE76" s="31">
        <v>0.0</v>
      </c>
      <c r="AF76" s="31">
        <v>1.0</v>
      </c>
      <c r="AG76" s="35" t="s">
        <v>7045</v>
      </c>
    </row>
    <row r="77" ht="14.25" customHeight="1">
      <c r="A77" s="28" t="s">
        <v>5367</v>
      </c>
      <c r="B77" s="29" t="s">
        <v>5368</v>
      </c>
      <c r="C77" s="29" t="s">
        <v>7041</v>
      </c>
      <c r="D77" s="30">
        <v>45658.0</v>
      </c>
      <c r="E77" s="30">
        <v>46022.0</v>
      </c>
      <c r="F77" s="31">
        <v>1.0</v>
      </c>
      <c r="G77" s="31">
        <v>1.0</v>
      </c>
      <c r="H77" s="33" t="s">
        <v>7042</v>
      </c>
      <c r="I77" s="30">
        <v>46023.0</v>
      </c>
      <c r="J77" s="30">
        <v>46387.0</v>
      </c>
      <c r="K77" s="31">
        <v>0.0</v>
      </c>
      <c r="L77" s="31">
        <v>1.0</v>
      </c>
      <c r="M77" s="35" t="s">
        <v>7045</v>
      </c>
      <c r="N77" s="30">
        <v>46388.0</v>
      </c>
      <c r="O77" s="30">
        <v>46752.0</v>
      </c>
      <c r="P77" s="31">
        <v>0.0</v>
      </c>
      <c r="Q77" s="31">
        <v>1.0</v>
      </c>
      <c r="R77" s="35" t="s">
        <v>7045</v>
      </c>
      <c r="S77" s="30">
        <v>46753.0</v>
      </c>
      <c r="T77" s="30">
        <v>47118.0</v>
      </c>
      <c r="U77" s="31">
        <v>0.0</v>
      </c>
      <c r="V77" s="31">
        <v>1.0</v>
      </c>
      <c r="W77" s="35" t="s">
        <v>7045</v>
      </c>
      <c r="X77" s="30">
        <v>47119.0</v>
      </c>
      <c r="Y77" s="30">
        <v>47483.0</v>
      </c>
      <c r="Z77" s="31">
        <v>0.0</v>
      </c>
      <c r="AA77" s="31">
        <v>1.0</v>
      </c>
      <c r="AB77" s="35" t="s">
        <v>7045</v>
      </c>
      <c r="AC77" s="30">
        <v>47484.0</v>
      </c>
      <c r="AD77" s="30">
        <v>47848.0</v>
      </c>
      <c r="AE77" s="31">
        <v>0.0</v>
      </c>
      <c r="AF77" s="31">
        <v>1.0</v>
      </c>
      <c r="AG77" s="35" t="s">
        <v>7045</v>
      </c>
    </row>
    <row r="78" ht="14.25" customHeight="1">
      <c r="A78" s="28" t="s">
        <v>5281</v>
      </c>
      <c r="B78" s="29" t="s">
        <v>5282</v>
      </c>
      <c r="C78" s="29" t="s">
        <v>7041</v>
      </c>
      <c r="D78" s="30">
        <v>45658.0</v>
      </c>
      <c r="E78" s="30">
        <v>46022.0</v>
      </c>
      <c r="F78" s="31">
        <v>0.0</v>
      </c>
      <c r="G78" s="31">
        <v>1.0</v>
      </c>
      <c r="H78" s="35" t="s">
        <v>7045</v>
      </c>
      <c r="I78" s="30">
        <v>46023.0</v>
      </c>
      <c r="J78" s="30">
        <v>46387.0</v>
      </c>
      <c r="K78" s="31">
        <v>0.0</v>
      </c>
      <c r="L78" s="31">
        <v>1.0</v>
      </c>
      <c r="M78" s="35" t="s">
        <v>7045</v>
      </c>
      <c r="N78" s="30">
        <v>46388.0</v>
      </c>
      <c r="O78" s="30">
        <v>46752.0</v>
      </c>
      <c r="P78" s="31">
        <v>0.0</v>
      </c>
      <c r="Q78" s="31">
        <v>1.0</v>
      </c>
      <c r="R78" s="35" t="s">
        <v>7045</v>
      </c>
      <c r="S78" s="30">
        <v>46753.0</v>
      </c>
      <c r="T78" s="30">
        <v>47118.0</v>
      </c>
      <c r="U78" s="31">
        <v>0.0</v>
      </c>
      <c r="V78" s="31">
        <v>1.0</v>
      </c>
      <c r="W78" s="35" t="s">
        <v>7045</v>
      </c>
      <c r="X78" s="30">
        <v>47119.0</v>
      </c>
      <c r="Y78" s="30">
        <v>47483.0</v>
      </c>
      <c r="Z78" s="31">
        <v>0.0</v>
      </c>
      <c r="AA78" s="31">
        <v>1.0</v>
      </c>
      <c r="AB78" s="35" t="s">
        <v>7045</v>
      </c>
      <c r="AC78" s="30">
        <v>47484.0</v>
      </c>
      <c r="AD78" s="30">
        <v>47848.0</v>
      </c>
      <c r="AE78" s="31">
        <v>0.0</v>
      </c>
      <c r="AF78" s="31">
        <v>1.0</v>
      </c>
      <c r="AG78" s="35" t="s">
        <v>7045</v>
      </c>
    </row>
    <row r="79" ht="14.25" customHeight="1">
      <c r="A79" s="28" t="s">
        <v>898</v>
      </c>
      <c r="B79" s="29" t="s">
        <v>899</v>
      </c>
      <c r="C79" s="29" t="s">
        <v>7041</v>
      </c>
      <c r="D79" s="30">
        <v>45658.0</v>
      </c>
      <c r="E79" s="30">
        <v>46022.0</v>
      </c>
      <c r="F79" s="31">
        <v>0.0</v>
      </c>
      <c r="G79" s="31">
        <v>1.0</v>
      </c>
      <c r="H79" s="35" t="s">
        <v>7045</v>
      </c>
      <c r="I79" s="30">
        <v>46023.0</v>
      </c>
      <c r="J79" s="30">
        <v>46387.0</v>
      </c>
      <c r="K79" s="31">
        <v>0.0</v>
      </c>
      <c r="L79" s="31">
        <v>1.0</v>
      </c>
      <c r="M79" s="35" t="s">
        <v>7045</v>
      </c>
      <c r="N79" s="30">
        <v>46388.0</v>
      </c>
      <c r="O79" s="30">
        <v>46752.0</v>
      </c>
      <c r="P79" s="31">
        <v>0.0</v>
      </c>
      <c r="Q79" s="31">
        <v>1.0</v>
      </c>
      <c r="R79" s="35" t="s">
        <v>7045</v>
      </c>
      <c r="S79" s="30">
        <v>46753.0</v>
      </c>
      <c r="T79" s="30">
        <v>47118.0</v>
      </c>
      <c r="U79" s="31">
        <v>0.0</v>
      </c>
      <c r="V79" s="31">
        <v>1.0</v>
      </c>
      <c r="W79" s="35" t="s">
        <v>7045</v>
      </c>
      <c r="X79" s="30">
        <v>47119.0</v>
      </c>
      <c r="Y79" s="30">
        <v>47483.0</v>
      </c>
      <c r="Z79" s="31">
        <v>0.0</v>
      </c>
      <c r="AA79" s="31">
        <v>1.0</v>
      </c>
      <c r="AB79" s="35" t="s">
        <v>7045</v>
      </c>
      <c r="AC79" s="30">
        <v>47484.0</v>
      </c>
      <c r="AD79" s="30">
        <v>47848.0</v>
      </c>
      <c r="AE79" s="31">
        <v>0.0</v>
      </c>
      <c r="AF79" s="31">
        <v>1.0</v>
      </c>
      <c r="AG79" s="35" t="s">
        <v>7045</v>
      </c>
    </row>
    <row r="80" ht="14.25" customHeight="1">
      <c r="A80" s="28" t="s">
        <v>1840</v>
      </c>
      <c r="B80" s="34" t="s">
        <v>1841</v>
      </c>
      <c r="C80" s="29" t="s">
        <v>7041</v>
      </c>
      <c r="D80" s="30">
        <v>45658.0</v>
      </c>
      <c r="E80" s="30">
        <v>46022.0</v>
      </c>
      <c r="F80" s="31">
        <v>0.0</v>
      </c>
      <c r="G80" s="31">
        <v>1.0</v>
      </c>
      <c r="H80" s="35" t="s">
        <v>7045</v>
      </c>
      <c r="I80" s="30">
        <v>46023.0</v>
      </c>
      <c r="J80" s="30">
        <v>46387.0</v>
      </c>
      <c r="K80" s="31">
        <v>0.0</v>
      </c>
      <c r="L80" s="31">
        <v>1.0</v>
      </c>
      <c r="M80" s="35" t="s">
        <v>7045</v>
      </c>
      <c r="N80" s="30">
        <v>46388.0</v>
      </c>
      <c r="O80" s="30">
        <v>46752.0</v>
      </c>
      <c r="P80" s="31">
        <v>0.0</v>
      </c>
      <c r="Q80" s="31">
        <v>1.0</v>
      </c>
      <c r="R80" s="35" t="s">
        <v>7045</v>
      </c>
      <c r="S80" s="30">
        <v>46753.0</v>
      </c>
      <c r="T80" s="30">
        <v>47118.0</v>
      </c>
      <c r="U80" s="31">
        <v>0.0</v>
      </c>
      <c r="V80" s="31">
        <v>1.0</v>
      </c>
      <c r="W80" s="35" t="s">
        <v>7045</v>
      </c>
      <c r="X80" s="30">
        <v>47119.0</v>
      </c>
      <c r="Y80" s="30">
        <v>47483.0</v>
      </c>
      <c r="Z80" s="31">
        <v>0.0</v>
      </c>
      <c r="AA80" s="31">
        <v>1.0</v>
      </c>
      <c r="AB80" s="35" t="s">
        <v>7045</v>
      </c>
      <c r="AC80" s="30">
        <v>47484.0</v>
      </c>
      <c r="AD80" s="30">
        <v>47848.0</v>
      </c>
      <c r="AE80" s="31">
        <v>0.0</v>
      </c>
      <c r="AF80" s="31">
        <v>1.0</v>
      </c>
      <c r="AG80" s="35" t="s">
        <v>7045</v>
      </c>
    </row>
    <row r="81" ht="14.25" customHeight="1">
      <c r="A81" s="28" t="s">
        <v>5008</v>
      </c>
      <c r="B81" s="29" t="s">
        <v>5009</v>
      </c>
      <c r="C81" s="29" t="s">
        <v>7041</v>
      </c>
      <c r="D81" s="30">
        <v>45658.0</v>
      </c>
      <c r="E81" s="30">
        <v>46022.0</v>
      </c>
      <c r="F81" s="31">
        <v>0.0</v>
      </c>
      <c r="G81" s="31">
        <v>1.0</v>
      </c>
      <c r="H81" s="35" t="s">
        <v>7045</v>
      </c>
      <c r="I81" s="30">
        <v>46023.0</v>
      </c>
      <c r="J81" s="30">
        <v>46387.0</v>
      </c>
      <c r="K81" s="31">
        <v>0.0</v>
      </c>
      <c r="L81" s="31">
        <v>1.0</v>
      </c>
      <c r="M81" s="35" t="s">
        <v>7045</v>
      </c>
      <c r="N81" s="30">
        <v>46388.0</v>
      </c>
      <c r="O81" s="30">
        <v>46752.0</v>
      </c>
      <c r="P81" s="31">
        <v>0.0</v>
      </c>
      <c r="Q81" s="31">
        <v>1.0</v>
      </c>
      <c r="R81" s="35" t="s">
        <v>7045</v>
      </c>
      <c r="S81" s="30">
        <v>46753.0</v>
      </c>
      <c r="T81" s="30">
        <v>47118.0</v>
      </c>
      <c r="U81" s="31">
        <v>0.0</v>
      </c>
      <c r="V81" s="31">
        <v>1.0</v>
      </c>
      <c r="W81" s="35" t="s">
        <v>7045</v>
      </c>
      <c r="X81" s="30">
        <v>47119.0</v>
      </c>
      <c r="Y81" s="30">
        <v>47483.0</v>
      </c>
      <c r="Z81" s="31">
        <v>0.0</v>
      </c>
      <c r="AA81" s="31">
        <v>1.0</v>
      </c>
      <c r="AB81" s="35" t="s">
        <v>7045</v>
      </c>
      <c r="AC81" s="30">
        <v>47484.0</v>
      </c>
      <c r="AD81" s="30">
        <v>47848.0</v>
      </c>
      <c r="AE81" s="31">
        <v>0.0</v>
      </c>
      <c r="AF81" s="31">
        <v>1.0</v>
      </c>
      <c r="AG81" s="35" t="s">
        <v>7045</v>
      </c>
    </row>
    <row r="82" ht="14.25" customHeight="1">
      <c r="A82" s="28" t="s">
        <v>3336</v>
      </c>
      <c r="B82" s="29" t="s">
        <v>3337</v>
      </c>
      <c r="C82" s="29" t="s">
        <v>7041</v>
      </c>
      <c r="D82" s="30">
        <v>45658.0</v>
      </c>
      <c r="E82" s="30">
        <v>46022.0</v>
      </c>
      <c r="F82" s="31">
        <v>0.0</v>
      </c>
      <c r="G82" s="31">
        <v>1.0</v>
      </c>
      <c r="H82" s="35" t="s">
        <v>7045</v>
      </c>
      <c r="I82" s="30">
        <v>46023.0</v>
      </c>
      <c r="J82" s="30">
        <v>46387.0</v>
      </c>
      <c r="K82" s="31">
        <v>0.0</v>
      </c>
      <c r="L82" s="31">
        <v>1.0</v>
      </c>
      <c r="M82" s="35" t="s">
        <v>7045</v>
      </c>
      <c r="N82" s="30">
        <v>46388.0</v>
      </c>
      <c r="O82" s="30">
        <v>46752.0</v>
      </c>
      <c r="P82" s="31">
        <v>0.0</v>
      </c>
      <c r="Q82" s="31">
        <v>1.0</v>
      </c>
      <c r="R82" s="35" t="s">
        <v>7045</v>
      </c>
      <c r="S82" s="30">
        <v>46753.0</v>
      </c>
      <c r="T82" s="30">
        <v>47118.0</v>
      </c>
      <c r="U82" s="31">
        <v>0.0</v>
      </c>
      <c r="V82" s="31">
        <v>1.0</v>
      </c>
      <c r="W82" s="35" t="s">
        <v>7045</v>
      </c>
      <c r="X82" s="30">
        <v>47119.0</v>
      </c>
      <c r="Y82" s="30">
        <v>47483.0</v>
      </c>
      <c r="Z82" s="31">
        <v>0.0</v>
      </c>
      <c r="AA82" s="31">
        <v>1.0</v>
      </c>
      <c r="AB82" s="35" t="s">
        <v>7045</v>
      </c>
      <c r="AC82" s="30">
        <v>47484.0</v>
      </c>
      <c r="AD82" s="30">
        <v>47848.0</v>
      </c>
      <c r="AE82" s="31">
        <v>0.0</v>
      </c>
      <c r="AF82" s="31">
        <v>1.0</v>
      </c>
      <c r="AG82" s="35" t="s">
        <v>7045</v>
      </c>
    </row>
    <row r="83" ht="14.25" customHeight="1">
      <c r="A83" s="28" t="s">
        <v>4961</v>
      </c>
      <c r="B83" s="29" t="s">
        <v>4962</v>
      </c>
      <c r="C83" s="29" t="s">
        <v>7041</v>
      </c>
      <c r="D83" s="30">
        <v>45658.0</v>
      </c>
      <c r="E83" s="30">
        <v>46022.0</v>
      </c>
      <c r="F83" s="31">
        <v>0.0</v>
      </c>
      <c r="G83" s="31">
        <v>1.0</v>
      </c>
      <c r="H83" s="35" t="s">
        <v>7045</v>
      </c>
      <c r="I83" s="30">
        <v>46023.0</v>
      </c>
      <c r="J83" s="30">
        <v>46387.0</v>
      </c>
      <c r="K83" s="31">
        <v>0.0</v>
      </c>
      <c r="L83" s="31">
        <v>1.0</v>
      </c>
      <c r="M83" s="35" t="s">
        <v>7045</v>
      </c>
      <c r="N83" s="30">
        <v>46388.0</v>
      </c>
      <c r="O83" s="30">
        <v>46752.0</v>
      </c>
      <c r="P83" s="31">
        <v>0.0</v>
      </c>
      <c r="Q83" s="31">
        <v>1.0</v>
      </c>
      <c r="R83" s="35" t="s">
        <v>7045</v>
      </c>
      <c r="S83" s="30">
        <v>46753.0</v>
      </c>
      <c r="T83" s="30">
        <v>47118.0</v>
      </c>
      <c r="U83" s="31">
        <v>0.0</v>
      </c>
      <c r="V83" s="31">
        <v>1.0</v>
      </c>
      <c r="W83" s="35" t="s">
        <v>7045</v>
      </c>
      <c r="X83" s="30">
        <v>47119.0</v>
      </c>
      <c r="Y83" s="30">
        <v>47483.0</v>
      </c>
      <c r="Z83" s="31">
        <v>0.0</v>
      </c>
      <c r="AA83" s="31">
        <v>1.0</v>
      </c>
      <c r="AB83" s="35" t="s">
        <v>7045</v>
      </c>
      <c r="AC83" s="30">
        <v>47484.0</v>
      </c>
      <c r="AD83" s="30">
        <v>47848.0</v>
      </c>
      <c r="AE83" s="31">
        <v>0.0</v>
      </c>
      <c r="AF83" s="31">
        <v>1.0</v>
      </c>
      <c r="AG83" s="35" t="s">
        <v>7045</v>
      </c>
    </row>
    <row r="84" ht="14.25" customHeight="1">
      <c r="A84" s="28" t="s">
        <v>3173</v>
      </c>
      <c r="B84" s="29" t="s">
        <v>3174</v>
      </c>
      <c r="C84" s="29" t="s">
        <v>7041</v>
      </c>
      <c r="D84" s="30">
        <v>45658.0</v>
      </c>
      <c r="E84" s="30">
        <v>46022.0</v>
      </c>
      <c r="F84" s="31">
        <v>0.0</v>
      </c>
      <c r="G84" s="31">
        <v>1.0</v>
      </c>
      <c r="H84" s="35" t="s">
        <v>7045</v>
      </c>
      <c r="I84" s="30">
        <v>46023.0</v>
      </c>
      <c r="J84" s="30">
        <v>46387.0</v>
      </c>
      <c r="K84" s="31">
        <v>0.0</v>
      </c>
      <c r="L84" s="31">
        <v>1.0</v>
      </c>
      <c r="M84" s="35" t="s">
        <v>7045</v>
      </c>
      <c r="N84" s="30">
        <v>46388.0</v>
      </c>
      <c r="O84" s="30">
        <v>46752.0</v>
      </c>
      <c r="P84" s="31">
        <v>0.0</v>
      </c>
      <c r="Q84" s="31">
        <v>1.0</v>
      </c>
      <c r="R84" s="35" t="s">
        <v>7045</v>
      </c>
      <c r="S84" s="30">
        <v>46753.0</v>
      </c>
      <c r="T84" s="30">
        <v>47118.0</v>
      </c>
      <c r="U84" s="31">
        <v>0.0</v>
      </c>
      <c r="V84" s="31">
        <v>1.0</v>
      </c>
      <c r="W84" s="35" t="s">
        <v>7045</v>
      </c>
      <c r="X84" s="30">
        <v>47119.0</v>
      </c>
      <c r="Y84" s="30">
        <v>47483.0</v>
      </c>
      <c r="Z84" s="31">
        <v>0.0</v>
      </c>
      <c r="AA84" s="31">
        <v>1.0</v>
      </c>
      <c r="AB84" s="35" t="s">
        <v>7045</v>
      </c>
      <c r="AC84" s="30">
        <v>47484.0</v>
      </c>
      <c r="AD84" s="30">
        <v>47848.0</v>
      </c>
      <c r="AE84" s="31">
        <v>0.0</v>
      </c>
      <c r="AF84" s="31">
        <v>1.0</v>
      </c>
      <c r="AG84" s="35" t="s">
        <v>7045</v>
      </c>
    </row>
    <row r="85" ht="14.25" customHeight="1">
      <c r="A85" s="28" t="s">
        <v>2741</v>
      </c>
      <c r="B85" s="29" t="s">
        <v>2742</v>
      </c>
      <c r="C85" s="29" t="s">
        <v>7041</v>
      </c>
      <c r="D85" s="30">
        <v>45658.0</v>
      </c>
      <c r="E85" s="30">
        <v>46022.0</v>
      </c>
      <c r="F85" s="31">
        <v>0.0</v>
      </c>
      <c r="G85" s="31">
        <v>1.0</v>
      </c>
      <c r="H85" s="35" t="s">
        <v>7045</v>
      </c>
      <c r="I85" s="30">
        <v>46023.0</v>
      </c>
      <c r="J85" s="30">
        <v>46387.0</v>
      </c>
      <c r="K85" s="31">
        <v>0.0</v>
      </c>
      <c r="L85" s="31">
        <v>1.0</v>
      </c>
      <c r="M85" s="35" t="s">
        <v>7045</v>
      </c>
      <c r="N85" s="30">
        <v>46388.0</v>
      </c>
      <c r="O85" s="30">
        <v>46752.0</v>
      </c>
      <c r="P85" s="31">
        <v>0.0</v>
      </c>
      <c r="Q85" s="31">
        <v>1.0</v>
      </c>
      <c r="R85" s="35" t="s">
        <v>7045</v>
      </c>
      <c r="S85" s="30">
        <v>46753.0</v>
      </c>
      <c r="T85" s="30">
        <v>47118.0</v>
      </c>
      <c r="U85" s="31">
        <v>0.0</v>
      </c>
      <c r="V85" s="31">
        <v>1.0</v>
      </c>
      <c r="W85" s="35" t="s">
        <v>7045</v>
      </c>
      <c r="X85" s="30">
        <v>47119.0</v>
      </c>
      <c r="Y85" s="30">
        <v>47483.0</v>
      </c>
      <c r="Z85" s="31">
        <v>0.0</v>
      </c>
      <c r="AA85" s="31">
        <v>1.0</v>
      </c>
      <c r="AB85" s="35" t="s">
        <v>7045</v>
      </c>
      <c r="AC85" s="30">
        <v>47484.0</v>
      </c>
      <c r="AD85" s="30">
        <v>47848.0</v>
      </c>
      <c r="AE85" s="31">
        <v>0.0</v>
      </c>
      <c r="AF85" s="31">
        <v>1.0</v>
      </c>
      <c r="AG85" s="35" t="s">
        <v>7045</v>
      </c>
    </row>
    <row r="86" ht="14.25" customHeight="1">
      <c r="A86" s="28" t="s">
        <v>6026</v>
      </c>
      <c r="B86" s="29" t="s">
        <v>6027</v>
      </c>
      <c r="C86" s="29" t="s">
        <v>7041</v>
      </c>
      <c r="D86" s="30">
        <v>45658.0</v>
      </c>
      <c r="E86" s="30">
        <v>46022.0</v>
      </c>
      <c r="F86" s="31">
        <v>0.0</v>
      </c>
      <c r="G86" s="31">
        <v>1.0</v>
      </c>
      <c r="H86" s="35" t="s">
        <v>7045</v>
      </c>
      <c r="I86" s="30">
        <v>46023.0</v>
      </c>
      <c r="J86" s="30">
        <v>46387.0</v>
      </c>
      <c r="K86" s="31">
        <v>0.0</v>
      </c>
      <c r="L86" s="31">
        <v>1.0</v>
      </c>
      <c r="M86" s="35" t="s">
        <v>7045</v>
      </c>
      <c r="N86" s="30">
        <v>46388.0</v>
      </c>
      <c r="O86" s="30">
        <v>46752.0</v>
      </c>
      <c r="P86" s="31">
        <v>0.0</v>
      </c>
      <c r="Q86" s="31">
        <v>1.0</v>
      </c>
      <c r="R86" s="35" t="s">
        <v>7045</v>
      </c>
      <c r="S86" s="30">
        <v>46753.0</v>
      </c>
      <c r="T86" s="30">
        <v>47118.0</v>
      </c>
      <c r="U86" s="31">
        <v>0.0</v>
      </c>
      <c r="V86" s="31">
        <v>1.0</v>
      </c>
      <c r="W86" s="35" t="s">
        <v>7045</v>
      </c>
      <c r="X86" s="30">
        <v>47119.0</v>
      </c>
      <c r="Y86" s="30">
        <v>47483.0</v>
      </c>
      <c r="Z86" s="31">
        <v>0.0</v>
      </c>
      <c r="AA86" s="31">
        <v>1.0</v>
      </c>
      <c r="AB86" s="35" t="s">
        <v>7045</v>
      </c>
      <c r="AC86" s="30">
        <v>47484.0</v>
      </c>
      <c r="AD86" s="30">
        <v>47848.0</v>
      </c>
      <c r="AE86" s="31">
        <v>0.0</v>
      </c>
      <c r="AF86" s="31">
        <v>1.0</v>
      </c>
      <c r="AG86" s="35" t="s">
        <v>7045</v>
      </c>
    </row>
    <row r="87" ht="14.25" customHeight="1">
      <c r="A87" s="28" t="s">
        <v>3893</v>
      </c>
      <c r="B87" s="29" t="s">
        <v>3894</v>
      </c>
      <c r="C87" s="29" t="s">
        <v>7041</v>
      </c>
      <c r="D87" s="30">
        <v>45658.0</v>
      </c>
      <c r="E87" s="30">
        <v>46022.0</v>
      </c>
      <c r="F87" s="31">
        <v>0.0</v>
      </c>
      <c r="G87" s="31">
        <v>1.0</v>
      </c>
      <c r="H87" s="35" t="s">
        <v>7045</v>
      </c>
      <c r="I87" s="30">
        <v>46023.0</v>
      </c>
      <c r="J87" s="30">
        <v>46387.0</v>
      </c>
      <c r="K87" s="31">
        <v>0.0</v>
      </c>
      <c r="L87" s="31">
        <v>1.0</v>
      </c>
      <c r="M87" s="35" t="s">
        <v>7045</v>
      </c>
      <c r="N87" s="30">
        <v>46388.0</v>
      </c>
      <c r="O87" s="30">
        <v>46752.0</v>
      </c>
      <c r="P87" s="31">
        <v>0.0</v>
      </c>
      <c r="Q87" s="31">
        <v>1.0</v>
      </c>
      <c r="R87" s="35" t="s">
        <v>7045</v>
      </c>
      <c r="S87" s="30">
        <v>46753.0</v>
      </c>
      <c r="T87" s="30">
        <v>47118.0</v>
      </c>
      <c r="U87" s="31">
        <v>0.0</v>
      </c>
      <c r="V87" s="31">
        <v>1.0</v>
      </c>
      <c r="W87" s="35" t="s">
        <v>7045</v>
      </c>
      <c r="X87" s="30">
        <v>47119.0</v>
      </c>
      <c r="Y87" s="30">
        <v>47483.0</v>
      </c>
      <c r="Z87" s="31">
        <v>0.0</v>
      </c>
      <c r="AA87" s="31">
        <v>1.0</v>
      </c>
      <c r="AB87" s="35" t="s">
        <v>7045</v>
      </c>
      <c r="AC87" s="30">
        <v>47484.0</v>
      </c>
      <c r="AD87" s="30">
        <v>47848.0</v>
      </c>
      <c r="AE87" s="31">
        <v>0.0</v>
      </c>
      <c r="AF87" s="31">
        <v>1.0</v>
      </c>
      <c r="AG87" s="35" t="s">
        <v>7045</v>
      </c>
    </row>
    <row r="88" ht="14.25" customHeight="1">
      <c r="A88" s="28" t="s">
        <v>1366</v>
      </c>
      <c r="B88" s="29" t="s">
        <v>1367</v>
      </c>
      <c r="C88" s="29" t="s">
        <v>7041</v>
      </c>
      <c r="D88" s="30">
        <v>45658.0</v>
      </c>
      <c r="E88" s="30">
        <v>46022.0</v>
      </c>
      <c r="F88" s="31">
        <v>0.0</v>
      </c>
      <c r="G88" s="31">
        <v>1.0</v>
      </c>
      <c r="H88" s="35" t="s">
        <v>7045</v>
      </c>
      <c r="I88" s="30">
        <v>46023.0</v>
      </c>
      <c r="J88" s="30">
        <v>46387.0</v>
      </c>
      <c r="K88" s="31">
        <v>0.0</v>
      </c>
      <c r="L88" s="31">
        <v>1.0</v>
      </c>
      <c r="M88" s="35" t="s">
        <v>7045</v>
      </c>
      <c r="N88" s="30">
        <v>46388.0</v>
      </c>
      <c r="O88" s="30">
        <v>46752.0</v>
      </c>
      <c r="P88" s="31">
        <v>0.0</v>
      </c>
      <c r="Q88" s="31">
        <v>1.0</v>
      </c>
      <c r="R88" s="35" t="s">
        <v>7045</v>
      </c>
      <c r="S88" s="30">
        <v>46753.0</v>
      </c>
      <c r="T88" s="30">
        <v>47118.0</v>
      </c>
      <c r="U88" s="31">
        <v>0.0</v>
      </c>
      <c r="V88" s="31">
        <v>1.0</v>
      </c>
      <c r="W88" s="35" t="s">
        <v>7045</v>
      </c>
      <c r="X88" s="30">
        <v>47119.0</v>
      </c>
      <c r="Y88" s="30">
        <v>47483.0</v>
      </c>
      <c r="Z88" s="31">
        <v>0.0</v>
      </c>
      <c r="AA88" s="31">
        <v>1.0</v>
      </c>
      <c r="AB88" s="35" t="s">
        <v>7045</v>
      </c>
      <c r="AC88" s="30">
        <v>47484.0</v>
      </c>
      <c r="AD88" s="30">
        <v>47848.0</v>
      </c>
      <c r="AE88" s="31">
        <v>0.0</v>
      </c>
      <c r="AF88" s="31">
        <v>1.0</v>
      </c>
      <c r="AG88" s="35" t="s">
        <v>7045</v>
      </c>
    </row>
    <row r="89" ht="14.25" customHeight="1">
      <c r="A89" s="28" t="s">
        <v>6495</v>
      </c>
      <c r="B89" s="29" t="s">
        <v>6496</v>
      </c>
      <c r="C89" s="29" t="s">
        <v>7041</v>
      </c>
      <c r="D89" s="30">
        <v>45658.0</v>
      </c>
      <c r="E89" s="30">
        <v>46022.0</v>
      </c>
      <c r="F89" s="31">
        <v>1.0</v>
      </c>
      <c r="G89" s="31">
        <v>1.0</v>
      </c>
      <c r="H89" s="33" t="s">
        <v>7042</v>
      </c>
      <c r="I89" s="30">
        <v>46023.0</v>
      </c>
      <c r="J89" s="30">
        <v>46387.0</v>
      </c>
      <c r="K89" s="31">
        <v>0.0</v>
      </c>
      <c r="L89" s="31">
        <v>1.0</v>
      </c>
      <c r="M89" s="35" t="s">
        <v>7045</v>
      </c>
      <c r="N89" s="30">
        <v>46388.0</v>
      </c>
      <c r="O89" s="30">
        <v>46752.0</v>
      </c>
      <c r="P89" s="31">
        <v>0.0</v>
      </c>
      <c r="Q89" s="31">
        <v>1.0</v>
      </c>
      <c r="R89" s="35" t="s">
        <v>7045</v>
      </c>
      <c r="S89" s="30">
        <v>46753.0</v>
      </c>
      <c r="T89" s="30">
        <v>47118.0</v>
      </c>
      <c r="U89" s="31">
        <v>0.0</v>
      </c>
      <c r="V89" s="31">
        <v>1.0</v>
      </c>
      <c r="W89" s="35" t="s">
        <v>7045</v>
      </c>
      <c r="X89" s="30">
        <v>47119.0</v>
      </c>
      <c r="Y89" s="30">
        <v>47483.0</v>
      </c>
      <c r="Z89" s="31">
        <v>0.0</v>
      </c>
      <c r="AA89" s="31">
        <v>1.0</v>
      </c>
      <c r="AB89" s="35" t="s">
        <v>7045</v>
      </c>
      <c r="AC89" s="30">
        <v>47484.0</v>
      </c>
      <c r="AD89" s="30">
        <v>47848.0</v>
      </c>
      <c r="AE89" s="31">
        <v>0.0</v>
      </c>
      <c r="AF89" s="31">
        <v>1.0</v>
      </c>
      <c r="AG89" s="35" t="s">
        <v>7045</v>
      </c>
    </row>
    <row r="90" ht="14.25" customHeight="1">
      <c r="A90" s="28" t="s">
        <v>1667</v>
      </c>
      <c r="B90" s="29" t="s">
        <v>1668</v>
      </c>
      <c r="C90" s="29" t="s">
        <v>7041</v>
      </c>
      <c r="D90" s="30">
        <v>45658.0</v>
      </c>
      <c r="E90" s="30">
        <v>46022.0</v>
      </c>
      <c r="F90" s="31">
        <v>0.0</v>
      </c>
      <c r="G90" s="31">
        <v>1.0</v>
      </c>
      <c r="H90" s="35" t="s">
        <v>7045</v>
      </c>
      <c r="I90" s="30">
        <v>46023.0</v>
      </c>
      <c r="J90" s="30">
        <v>46387.0</v>
      </c>
      <c r="K90" s="31">
        <v>0.0</v>
      </c>
      <c r="L90" s="31">
        <v>1.0</v>
      </c>
      <c r="M90" s="35" t="s">
        <v>7045</v>
      </c>
      <c r="N90" s="30">
        <v>46388.0</v>
      </c>
      <c r="O90" s="30">
        <v>46752.0</v>
      </c>
      <c r="P90" s="31">
        <v>0.0</v>
      </c>
      <c r="Q90" s="31">
        <v>1.0</v>
      </c>
      <c r="R90" s="35" t="s">
        <v>7045</v>
      </c>
      <c r="S90" s="30">
        <v>46753.0</v>
      </c>
      <c r="T90" s="30">
        <v>47118.0</v>
      </c>
      <c r="U90" s="31">
        <v>0.0</v>
      </c>
      <c r="V90" s="31">
        <v>1.0</v>
      </c>
      <c r="W90" s="35" t="s">
        <v>7045</v>
      </c>
      <c r="X90" s="30">
        <v>47119.0</v>
      </c>
      <c r="Y90" s="30">
        <v>47483.0</v>
      </c>
      <c r="Z90" s="31">
        <v>0.0</v>
      </c>
      <c r="AA90" s="31">
        <v>1.0</v>
      </c>
      <c r="AB90" s="35" t="s">
        <v>7045</v>
      </c>
      <c r="AC90" s="30">
        <v>47484.0</v>
      </c>
      <c r="AD90" s="30">
        <v>47848.0</v>
      </c>
      <c r="AE90" s="31">
        <v>0.0</v>
      </c>
      <c r="AF90" s="31">
        <v>1.0</v>
      </c>
      <c r="AG90" s="35" t="s">
        <v>7045</v>
      </c>
    </row>
    <row r="91" ht="14.25" customHeight="1">
      <c r="A91" s="28" t="s">
        <v>1873</v>
      </c>
      <c r="B91" s="29" t="s">
        <v>1874</v>
      </c>
      <c r="C91" s="29" t="s">
        <v>7041</v>
      </c>
      <c r="D91" s="30">
        <v>45658.0</v>
      </c>
      <c r="E91" s="30">
        <v>46022.0</v>
      </c>
      <c r="F91" s="31">
        <v>1.0</v>
      </c>
      <c r="G91" s="31">
        <v>1.0</v>
      </c>
      <c r="H91" s="33" t="s">
        <v>7042</v>
      </c>
      <c r="I91" s="30">
        <v>46023.0</v>
      </c>
      <c r="J91" s="30">
        <v>46387.0</v>
      </c>
      <c r="K91" s="31">
        <v>0.0</v>
      </c>
      <c r="L91" s="31">
        <v>1.0</v>
      </c>
      <c r="M91" s="35" t="s">
        <v>7045</v>
      </c>
      <c r="N91" s="30">
        <v>46388.0</v>
      </c>
      <c r="O91" s="30">
        <v>46752.0</v>
      </c>
      <c r="P91" s="31">
        <v>0.0</v>
      </c>
      <c r="Q91" s="31">
        <v>1.0</v>
      </c>
      <c r="R91" s="35" t="s">
        <v>7045</v>
      </c>
      <c r="S91" s="30">
        <v>46753.0</v>
      </c>
      <c r="T91" s="30">
        <v>47118.0</v>
      </c>
      <c r="U91" s="31">
        <v>0.0</v>
      </c>
      <c r="V91" s="31">
        <v>1.0</v>
      </c>
      <c r="W91" s="35" t="s">
        <v>7045</v>
      </c>
      <c r="X91" s="30">
        <v>47119.0</v>
      </c>
      <c r="Y91" s="30">
        <v>47483.0</v>
      </c>
      <c r="Z91" s="31">
        <v>0.0</v>
      </c>
      <c r="AA91" s="31">
        <v>1.0</v>
      </c>
      <c r="AB91" s="35" t="s">
        <v>7045</v>
      </c>
      <c r="AC91" s="30">
        <v>47484.0</v>
      </c>
      <c r="AD91" s="30">
        <v>47848.0</v>
      </c>
      <c r="AE91" s="31">
        <v>0.0</v>
      </c>
      <c r="AF91" s="31">
        <v>1.0</v>
      </c>
      <c r="AG91" s="35" t="s">
        <v>7045</v>
      </c>
    </row>
    <row r="92" ht="14.25" customHeight="1">
      <c r="A92" s="28" t="s">
        <v>3155</v>
      </c>
      <c r="B92" s="29" t="s">
        <v>3156</v>
      </c>
      <c r="C92" s="29" t="s">
        <v>7041</v>
      </c>
      <c r="D92" s="30">
        <v>45658.0</v>
      </c>
      <c r="E92" s="30">
        <v>46022.0</v>
      </c>
      <c r="F92" s="31">
        <v>1.0</v>
      </c>
      <c r="G92" s="31">
        <v>1.0</v>
      </c>
      <c r="H92" s="33" t="s">
        <v>7042</v>
      </c>
      <c r="I92" s="30">
        <v>46023.0</v>
      </c>
      <c r="J92" s="30">
        <v>46387.0</v>
      </c>
      <c r="K92" s="31">
        <v>0.0</v>
      </c>
      <c r="L92" s="31">
        <v>1.0</v>
      </c>
      <c r="M92" s="35" t="s">
        <v>7045</v>
      </c>
      <c r="N92" s="30">
        <v>46388.0</v>
      </c>
      <c r="O92" s="30">
        <v>46752.0</v>
      </c>
      <c r="P92" s="31">
        <v>0.0</v>
      </c>
      <c r="Q92" s="31">
        <v>1.0</v>
      </c>
      <c r="R92" s="35" t="s">
        <v>7045</v>
      </c>
      <c r="S92" s="30">
        <v>46753.0</v>
      </c>
      <c r="T92" s="30">
        <v>47118.0</v>
      </c>
      <c r="U92" s="31">
        <v>0.0</v>
      </c>
      <c r="V92" s="31">
        <v>1.0</v>
      </c>
      <c r="W92" s="35" t="s">
        <v>7045</v>
      </c>
      <c r="X92" s="30">
        <v>47119.0</v>
      </c>
      <c r="Y92" s="30">
        <v>47483.0</v>
      </c>
      <c r="Z92" s="31">
        <v>0.0</v>
      </c>
      <c r="AA92" s="31">
        <v>1.0</v>
      </c>
      <c r="AB92" s="35" t="s">
        <v>7045</v>
      </c>
      <c r="AC92" s="30">
        <v>47484.0</v>
      </c>
      <c r="AD92" s="30">
        <v>47848.0</v>
      </c>
      <c r="AE92" s="31">
        <v>0.0</v>
      </c>
      <c r="AF92" s="31">
        <v>1.0</v>
      </c>
      <c r="AG92" s="35" t="s">
        <v>7045</v>
      </c>
    </row>
    <row r="93" ht="14.25" customHeight="1">
      <c r="A93" s="28" t="s">
        <v>6018</v>
      </c>
      <c r="B93" s="29" t="s">
        <v>6019</v>
      </c>
      <c r="C93" s="29" t="s">
        <v>7041</v>
      </c>
      <c r="D93" s="30">
        <v>45658.0</v>
      </c>
      <c r="E93" s="30">
        <v>46022.0</v>
      </c>
      <c r="F93" s="31">
        <v>0.0</v>
      </c>
      <c r="G93" s="31">
        <v>1.0</v>
      </c>
      <c r="H93" s="35" t="s">
        <v>7045</v>
      </c>
      <c r="I93" s="30">
        <v>46023.0</v>
      </c>
      <c r="J93" s="30">
        <v>46387.0</v>
      </c>
      <c r="K93" s="31">
        <v>0.0</v>
      </c>
      <c r="L93" s="31">
        <v>1.0</v>
      </c>
      <c r="M93" s="35" t="s">
        <v>7045</v>
      </c>
      <c r="N93" s="30">
        <v>46388.0</v>
      </c>
      <c r="O93" s="30">
        <v>46752.0</v>
      </c>
      <c r="P93" s="31">
        <v>0.0</v>
      </c>
      <c r="Q93" s="31">
        <v>1.0</v>
      </c>
      <c r="R93" s="35" t="s">
        <v>7045</v>
      </c>
      <c r="S93" s="30">
        <v>46753.0</v>
      </c>
      <c r="T93" s="30">
        <v>47118.0</v>
      </c>
      <c r="U93" s="31">
        <v>0.0</v>
      </c>
      <c r="V93" s="31">
        <v>1.0</v>
      </c>
      <c r="W93" s="35" t="s">
        <v>7045</v>
      </c>
      <c r="X93" s="30">
        <v>47119.0</v>
      </c>
      <c r="Y93" s="30">
        <v>47483.0</v>
      </c>
      <c r="Z93" s="31">
        <v>0.0</v>
      </c>
      <c r="AA93" s="31">
        <v>1.0</v>
      </c>
      <c r="AB93" s="35" t="s">
        <v>7045</v>
      </c>
      <c r="AC93" s="30">
        <v>47484.0</v>
      </c>
      <c r="AD93" s="30">
        <v>47848.0</v>
      </c>
      <c r="AE93" s="31">
        <v>0.0</v>
      </c>
      <c r="AF93" s="31">
        <v>1.0</v>
      </c>
      <c r="AG93" s="35" t="s">
        <v>7045</v>
      </c>
    </row>
    <row r="94" ht="14.25" customHeight="1">
      <c r="A94" s="28" t="s">
        <v>6461</v>
      </c>
      <c r="B94" s="29" t="s">
        <v>6462</v>
      </c>
      <c r="C94" s="29" t="s">
        <v>7041</v>
      </c>
      <c r="D94" s="30">
        <v>45658.0</v>
      </c>
      <c r="E94" s="30">
        <v>46022.0</v>
      </c>
      <c r="F94" s="31">
        <v>0.0</v>
      </c>
      <c r="G94" s="31">
        <v>1.0</v>
      </c>
      <c r="H94" s="35" t="s">
        <v>7045</v>
      </c>
      <c r="I94" s="30">
        <v>46023.0</v>
      </c>
      <c r="J94" s="30">
        <v>46387.0</v>
      </c>
      <c r="K94" s="31">
        <v>0.0</v>
      </c>
      <c r="L94" s="31">
        <v>1.0</v>
      </c>
      <c r="M94" s="35" t="s">
        <v>7045</v>
      </c>
      <c r="N94" s="30">
        <v>46388.0</v>
      </c>
      <c r="O94" s="30">
        <v>46752.0</v>
      </c>
      <c r="P94" s="31">
        <v>0.0</v>
      </c>
      <c r="Q94" s="31">
        <v>1.0</v>
      </c>
      <c r="R94" s="35" t="s">
        <v>7045</v>
      </c>
      <c r="S94" s="30">
        <v>46753.0</v>
      </c>
      <c r="T94" s="30">
        <v>47118.0</v>
      </c>
      <c r="U94" s="31">
        <v>0.0</v>
      </c>
      <c r="V94" s="31">
        <v>1.0</v>
      </c>
      <c r="W94" s="35" t="s">
        <v>7045</v>
      </c>
      <c r="X94" s="30">
        <v>47119.0</v>
      </c>
      <c r="Y94" s="30">
        <v>47483.0</v>
      </c>
      <c r="Z94" s="31">
        <v>0.0</v>
      </c>
      <c r="AA94" s="31">
        <v>1.0</v>
      </c>
      <c r="AB94" s="35" t="s">
        <v>7045</v>
      </c>
      <c r="AC94" s="30">
        <v>47484.0</v>
      </c>
      <c r="AD94" s="30">
        <v>47848.0</v>
      </c>
      <c r="AE94" s="31">
        <v>0.0</v>
      </c>
      <c r="AF94" s="31">
        <v>1.0</v>
      </c>
      <c r="AG94" s="35" t="s">
        <v>7045</v>
      </c>
    </row>
    <row r="95" ht="14.25" customHeight="1">
      <c r="A95" s="28" t="s">
        <v>6464</v>
      </c>
      <c r="B95" s="29" t="s">
        <v>6465</v>
      </c>
      <c r="C95" s="29" t="s">
        <v>7041</v>
      </c>
      <c r="D95" s="30">
        <v>45658.0</v>
      </c>
      <c r="E95" s="30">
        <v>46022.0</v>
      </c>
      <c r="F95" s="31">
        <v>0.0</v>
      </c>
      <c r="G95" s="31">
        <v>1.0</v>
      </c>
      <c r="H95" s="35" t="s">
        <v>7045</v>
      </c>
      <c r="I95" s="30">
        <v>46023.0</v>
      </c>
      <c r="J95" s="30">
        <v>46387.0</v>
      </c>
      <c r="K95" s="31">
        <v>0.0</v>
      </c>
      <c r="L95" s="31">
        <v>1.0</v>
      </c>
      <c r="M95" s="35" t="s">
        <v>7045</v>
      </c>
      <c r="N95" s="30">
        <v>46388.0</v>
      </c>
      <c r="O95" s="30">
        <v>46752.0</v>
      </c>
      <c r="P95" s="31">
        <v>0.0</v>
      </c>
      <c r="Q95" s="31">
        <v>1.0</v>
      </c>
      <c r="R95" s="35" t="s">
        <v>7045</v>
      </c>
      <c r="S95" s="30">
        <v>46753.0</v>
      </c>
      <c r="T95" s="30">
        <v>47118.0</v>
      </c>
      <c r="U95" s="31">
        <v>0.0</v>
      </c>
      <c r="V95" s="31">
        <v>1.0</v>
      </c>
      <c r="W95" s="35" t="s">
        <v>7045</v>
      </c>
      <c r="X95" s="30">
        <v>47119.0</v>
      </c>
      <c r="Y95" s="30">
        <v>47483.0</v>
      </c>
      <c r="Z95" s="31">
        <v>0.0</v>
      </c>
      <c r="AA95" s="31">
        <v>1.0</v>
      </c>
      <c r="AB95" s="35" t="s">
        <v>7045</v>
      </c>
      <c r="AC95" s="30">
        <v>47484.0</v>
      </c>
      <c r="AD95" s="30">
        <v>47848.0</v>
      </c>
      <c r="AE95" s="31">
        <v>0.0</v>
      </c>
      <c r="AF95" s="31">
        <v>1.0</v>
      </c>
      <c r="AG95" s="35" t="s">
        <v>7045</v>
      </c>
    </row>
    <row r="96" ht="14.25" customHeight="1">
      <c r="A96" s="28" t="s">
        <v>3234</v>
      </c>
      <c r="B96" s="29" t="s">
        <v>3235</v>
      </c>
      <c r="C96" s="29" t="s">
        <v>7041</v>
      </c>
      <c r="D96" s="30">
        <v>45658.0</v>
      </c>
      <c r="E96" s="30">
        <v>46022.0</v>
      </c>
      <c r="F96" s="31">
        <v>0.0</v>
      </c>
      <c r="G96" s="31">
        <v>1.0</v>
      </c>
      <c r="H96" s="35" t="s">
        <v>7045</v>
      </c>
      <c r="I96" s="30">
        <v>46023.0</v>
      </c>
      <c r="J96" s="30">
        <v>46387.0</v>
      </c>
      <c r="K96" s="31">
        <v>0.0</v>
      </c>
      <c r="L96" s="31">
        <v>1.0</v>
      </c>
      <c r="M96" s="35" t="s">
        <v>7045</v>
      </c>
      <c r="N96" s="30">
        <v>46388.0</v>
      </c>
      <c r="O96" s="30">
        <v>46752.0</v>
      </c>
      <c r="P96" s="31">
        <v>0.0</v>
      </c>
      <c r="Q96" s="31">
        <v>1.0</v>
      </c>
      <c r="R96" s="35" t="s">
        <v>7045</v>
      </c>
      <c r="S96" s="30">
        <v>46753.0</v>
      </c>
      <c r="T96" s="30">
        <v>47118.0</v>
      </c>
      <c r="U96" s="31">
        <v>0.0</v>
      </c>
      <c r="V96" s="31">
        <v>1.0</v>
      </c>
      <c r="W96" s="35" t="s">
        <v>7045</v>
      </c>
      <c r="X96" s="30">
        <v>47119.0</v>
      </c>
      <c r="Y96" s="30">
        <v>47483.0</v>
      </c>
      <c r="Z96" s="31">
        <v>0.0</v>
      </c>
      <c r="AA96" s="31">
        <v>1.0</v>
      </c>
      <c r="AB96" s="35" t="s">
        <v>7045</v>
      </c>
      <c r="AC96" s="30">
        <v>47484.0</v>
      </c>
      <c r="AD96" s="30">
        <v>47848.0</v>
      </c>
      <c r="AE96" s="31">
        <v>0.0</v>
      </c>
      <c r="AF96" s="31">
        <v>1.0</v>
      </c>
      <c r="AG96" s="35" t="s">
        <v>7045</v>
      </c>
    </row>
    <row r="97" ht="14.25" customHeight="1">
      <c r="A97" s="28" t="s">
        <v>2105</v>
      </c>
      <c r="B97" s="29" t="s">
        <v>2106</v>
      </c>
      <c r="C97" s="29" t="s">
        <v>7041</v>
      </c>
      <c r="D97" s="30">
        <v>45658.0</v>
      </c>
      <c r="E97" s="30">
        <v>46022.0</v>
      </c>
      <c r="F97" s="31">
        <v>0.0</v>
      </c>
      <c r="G97" s="31">
        <v>1.0</v>
      </c>
      <c r="H97" s="35" t="s">
        <v>7045</v>
      </c>
      <c r="I97" s="30">
        <v>46023.0</v>
      </c>
      <c r="J97" s="30">
        <v>46387.0</v>
      </c>
      <c r="K97" s="31">
        <v>0.0</v>
      </c>
      <c r="L97" s="31">
        <v>1.0</v>
      </c>
      <c r="M97" s="35" t="s">
        <v>7045</v>
      </c>
      <c r="N97" s="30">
        <v>46388.0</v>
      </c>
      <c r="O97" s="30">
        <v>46752.0</v>
      </c>
      <c r="P97" s="31">
        <v>0.0</v>
      </c>
      <c r="Q97" s="31">
        <v>1.0</v>
      </c>
      <c r="R97" s="35" t="s">
        <v>7045</v>
      </c>
      <c r="S97" s="30">
        <v>46753.0</v>
      </c>
      <c r="T97" s="30">
        <v>47118.0</v>
      </c>
      <c r="U97" s="31">
        <v>0.0</v>
      </c>
      <c r="V97" s="31">
        <v>1.0</v>
      </c>
      <c r="W97" s="35" t="s">
        <v>7045</v>
      </c>
      <c r="X97" s="30">
        <v>47119.0</v>
      </c>
      <c r="Y97" s="30">
        <v>47483.0</v>
      </c>
      <c r="Z97" s="31">
        <v>0.0</v>
      </c>
      <c r="AA97" s="31">
        <v>1.0</v>
      </c>
      <c r="AB97" s="35" t="s">
        <v>7045</v>
      </c>
      <c r="AC97" s="30">
        <v>47484.0</v>
      </c>
      <c r="AD97" s="30">
        <v>47848.0</v>
      </c>
      <c r="AE97" s="31">
        <v>0.0</v>
      </c>
      <c r="AF97" s="31">
        <v>1.0</v>
      </c>
      <c r="AG97" s="35" t="s">
        <v>7045</v>
      </c>
    </row>
    <row r="98" ht="14.25" customHeight="1">
      <c r="A98" s="28" t="s">
        <v>5272</v>
      </c>
      <c r="B98" s="29" t="s">
        <v>5273</v>
      </c>
      <c r="C98" s="29" t="s">
        <v>7041</v>
      </c>
      <c r="D98" s="30">
        <v>45658.0</v>
      </c>
      <c r="E98" s="30">
        <v>46022.0</v>
      </c>
      <c r="F98" s="31">
        <v>1.0</v>
      </c>
      <c r="G98" s="31">
        <v>1.0</v>
      </c>
      <c r="H98" s="35" t="s">
        <v>7042</v>
      </c>
      <c r="I98" s="30">
        <v>46023.0</v>
      </c>
      <c r="J98" s="30">
        <v>46387.0</v>
      </c>
      <c r="K98" s="31">
        <v>0.0</v>
      </c>
      <c r="L98" s="31">
        <v>1.0</v>
      </c>
      <c r="M98" s="35" t="s">
        <v>7045</v>
      </c>
      <c r="N98" s="30">
        <v>46388.0</v>
      </c>
      <c r="O98" s="30">
        <v>46752.0</v>
      </c>
      <c r="P98" s="31">
        <v>0.0</v>
      </c>
      <c r="Q98" s="31">
        <v>1.0</v>
      </c>
      <c r="R98" s="35" t="s">
        <v>7045</v>
      </c>
      <c r="S98" s="30">
        <v>46753.0</v>
      </c>
      <c r="T98" s="30">
        <v>47118.0</v>
      </c>
      <c r="U98" s="31">
        <v>0.0</v>
      </c>
      <c r="V98" s="31">
        <v>1.0</v>
      </c>
      <c r="W98" s="35" t="s">
        <v>7045</v>
      </c>
      <c r="X98" s="30">
        <v>47119.0</v>
      </c>
      <c r="Y98" s="30">
        <v>47483.0</v>
      </c>
      <c r="Z98" s="31">
        <v>0.0</v>
      </c>
      <c r="AA98" s="31">
        <v>1.0</v>
      </c>
      <c r="AB98" s="35" t="s">
        <v>7045</v>
      </c>
      <c r="AC98" s="30">
        <v>47484.0</v>
      </c>
      <c r="AD98" s="30">
        <v>47848.0</v>
      </c>
      <c r="AE98" s="31">
        <v>0.0</v>
      </c>
      <c r="AF98" s="31">
        <v>1.0</v>
      </c>
      <c r="AG98" s="35" t="s">
        <v>7045</v>
      </c>
    </row>
    <row r="99" ht="14.25" customHeight="1">
      <c r="A99" s="28" t="s">
        <v>6300</v>
      </c>
      <c r="B99" s="29" t="s">
        <v>6301</v>
      </c>
      <c r="C99" s="29" t="s">
        <v>7041</v>
      </c>
      <c r="D99" s="30">
        <v>45658.0</v>
      </c>
      <c r="E99" s="30">
        <v>46022.0</v>
      </c>
      <c r="F99" s="31">
        <v>0.0</v>
      </c>
      <c r="G99" s="31">
        <v>1.0</v>
      </c>
      <c r="H99" s="35" t="s">
        <v>7045</v>
      </c>
      <c r="I99" s="30">
        <v>46023.0</v>
      </c>
      <c r="J99" s="30">
        <v>46387.0</v>
      </c>
      <c r="K99" s="31">
        <v>0.0</v>
      </c>
      <c r="L99" s="31">
        <v>1.0</v>
      </c>
      <c r="M99" s="35" t="s">
        <v>7045</v>
      </c>
      <c r="N99" s="30">
        <v>46388.0</v>
      </c>
      <c r="O99" s="30">
        <v>46752.0</v>
      </c>
      <c r="P99" s="31">
        <v>0.0</v>
      </c>
      <c r="Q99" s="31">
        <v>1.0</v>
      </c>
      <c r="R99" s="35" t="s">
        <v>7045</v>
      </c>
      <c r="S99" s="30">
        <v>46753.0</v>
      </c>
      <c r="T99" s="30">
        <v>47118.0</v>
      </c>
      <c r="U99" s="31">
        <v>0.0</v>
      </c>
      <c r="V99" s="31">
        <v>1.0</v>
      </c>
      <c r="W99" s="35" t="s">
        <v>7045</v>
      </c>
      <c r="X99" s="30">
        <v>47119.0</v>
      </c>
      <c r="Y99" s="30">
        <v>47483.0</v>
      </c>
      <c r="Z99" s="31">
        <v>0.0</v>
      </c>
      <c r="AA99" s="31">
        <v>1.0</v>
      </c>
      <c r="AB99" s="35" t="s">
        <v>7045</v>
      </c>
      <c r="AC99" s="30">
        <v>47484.0</v>
      </c>
      <c r="AD99" s="30">
        <v>47848.0</v>
      </c>
      <c r="AE99" s="31">
        <v>0.0</v>
      </c>
      <c r="AF99" s="31">
        <v>1.0</v>
      </c>
      <c r="AG99" s="35" t="s">
        <v>7045</v>
      </c>
    </row>
    <row r="100" ht="14.25" customHeight="1">
      <c r="A100" s="28" t="s">
        <v>2608</v>
      </c>
      <c r="B100" s="29" t="s">
        <v>2609</v>
      </c>
      <c r="C100" s="29" t="s">
        <v>7041</v>
      </c>
      <c r="D100" s="30">
        <v>45658.0</v>
      </c>
      <c r="E100" s="30">
        <v>46022.0</v>
      </c>
      <c r="F100" s="31">
        <v>0.0</v>
      </c>
      <c r="G100" s="31">
        <v>1.0</v>
      </c>
      <c r="H100" s="35" t="s">
        <v>7045</v>
      </c>
      <c r="I100" s="30">
        <v>46023.0</v>
      </c>
      <c r="J100" s="30">
        <v>46387.0</v>
      </c>
      <c r="K100" s="31">
        <v>0.0</v>
      </c>
      <c r="L100" s="31">
        <v>1.0</v>
      </c>
      <c r="M100" s="35" t="s">
        <v>7045</v>
      </c>
      <c r="N100" s="30">
        <v>46388.0</v>
      </c>
      <c r="O100" s="30">
        <v>46752.0</v>
      </c>
      <c r="P100" s="31">
        <v>0.0</v>
      </c>
      <c r="Q100" s="31">
        <v>1.0</v>
      </c>
      <c r="R100" s="35" t="s">
        <v>7045</v>
      </c>
      <c r="S100" s="30">
        <v>46753.0</v>
      </c>
      <c r="T100" s="30">
        <v>47118.0</v>
      </c>
      <c r="U100" s="31">
        <v>0.0</v>
      </c>
      <c r="V100" s="31">
        <v>1.0</v>
      </c>
      <c r="W100" s="35" t="s">
        <v>7045</v>
      </c>
      <c r="X100" s="30">
        <v>47119.0</v>
      </c>
      <c r="Y100" s="30">
        <v>47483.0</v>
      </c>
      <c r="Z100" s="31">
        <v>0.0</v>
      </c>
      <c r="AA100" s="31">
        <v>1.0</v>
      </c>
      <c r="AB100" s="35" t="s">
        <v>7045</v>
      </c>
      <c r="AC100" s="30">
        <v>47484.0</v>
      </c>
      <c r="AD100" s="30">
        <v>47848.0</v>
      </c>
      <c r="AE100" s="31">
        <v>0.0</v>
      </c>
      <c r="AF100" s="31">
        <v>1.0</v>
      </c>
      <c r="AG100" s="35" t="s">
        <v>7045</v>
      </c>
    </row>
    <row r="101" ht="14.25" customHeight="1">
      <c r="A101" s="28" t="s">
        <v>5450</v>
      </c>
      <c r="B101" s="29" t="s">
        <v>5451</v>
      </c>
      <c r="C101" s="29" t="s">
        <v>7041</v>
      </c>
      <c r="D101" s="30">
        <v>45658.0</v>
      </c>
      <c r="E101" s="30">
        <v>46022.0</v>
      </c>
      <c r="F101" s="31">
        <v>0.0</v>
      </c>
      <c r="G101" s="31">
        <v>1.0</v>
      </c>
      <c r="H101" s="35" t="s">
        <v>7045</v>
      </c>
      <c r="I101" s="30">
        <v>46023.0</v>
      </c>
      <c r="J101" s="30">
        <v>46387.0</v>
      </c>
      <c r="K101" s="31">
        <v>0.0</v>
      </c>
      <c r="L101" s="31">
        <v>1.0</v>
      </c>
      <c r="M101" s="35" t="s">
        <v>7045</v>
      </c>
      <c r="N101" s="30">
        <v>46388.0</v>
      </c>
      <c r="O101" s="30">
        <v>46752.0</v>
      </c>
      <c r="P101" s="31">
        <v>0.0</v>
      </c>
      <c r="Q101" s="31">
        <v>1.0</v>
      </c>
      <c r="R101" s="35" t="s">
        <v>7045</v>
      </c>
      <c r="S101" s="30">
        <v>46753.0</v>
      </c>
      <c r="T101" s="30">
        <v>47118.0</v>
      </c>
      <c r="U101" s="31">
        <v>0.0</v>
      </c>
      <c r="V101" s="31">
        <v>1.0</v>
      </c>
      <c r="W101" s="35" t="s">
        <v>7045</v>
      </c>
      <c r="X101" s="30">
        <v>47119.0</v>
      </c>
      <c r="Y101" s="30">
        <v>47483.0</v>
      </c>
      <c r="Z101" s="31">
        <v>0.0</v>
      </c>
      <c r="AA101" s="31">
        <v>1.0</v>
      </c>
      <c r="AB101" s="35" t="s">
        <v>7045</v>
      </c>
      <c r="AC101" s="30">
        <v>47484.0</v>
      </c>
      <c r="AD101" s="30">
        <v>47848.0</v>
      </c>
      <c r="AE101" s="31">
        <v>0.0</v>
      </c>
      <c r="AF101" s="31">
        <v>1.0</v>
      </c>
      <c r="AG101" s="35" t="s">
        <v>7045</v>
      </c>
    </row>
    <row r="102" ht="14.25" customHeight="1">
      <c r="A102" s="28" t="s">
        <v>6089</v>
      </c>
      <c r="B102" s="29" t="s">
        <v>6090</v>
      </c>
      <c r="C102" s="29" t="s">
        <v>7041</v>
      </c>
      <c r="D102" s="30">
        <v>45658.0</v>
      </c>
      <c r="E102" s="30">
        <v>46022.0</v>
      </c>
      <c r="F102" s="31">
        <v>0.0</v>
      </c>
      <c r="G102" s="31">
        <v>1.0</v>
      </c>
      <c r="H102" s="35" t="s">
        <v>7045</v>
      </c>
      <c r="I102" s="30">
        <v>46023.0</v>
      </c>
      <c r="J102" s="30">
        <v>46387.0</v>
      </c>
      <c r="K102" s="31">
        <v>0.0</v>
      </c>
      <c r="L102" s="31">
        <v>1.0</v>
      </c>
      <c r="M102" s="35" t="s">
        <v>7045</v>
      </c>
      <c r="N102" s="30">
        <v>46388.0</v>
      </c>
      <c r="O102" s="30">
        <v>46752.0</v>
      </c>
      <c r="P102" s="31">
        <v>0.0</v>
      </c>
      <c r="Q102" s="31">
        <v>1.0</v>
      </c>
      <c r="R102" s="35" t="s">
        <v>7045</v>
      </c>
      <c r="S102" s="30">
        <v>46753.0</v>
      </c>
      <c r="T102" s="30">
        <v>47118.0</v>
      </c>
      <c r="U102" s="31">
        <v>0.0</v>
      </c>
      <c r="V102" s="31">
        <v>1.0</v>
      </c>
      <c r="W102" s="35" t="s">
        <v>7045</v>
      </c>
      <c r="X102" s="30">
        <v>47119.0</v>
      </c>
      <c r="Y102" s="30">
        <v>47483.0</v>
      </c>
      <c r="Z102" s="31">
        <v>0.0</v>
      </c>
      <c r="AA102" s="31">
        <v>1.0</v>
      </c>
      <c r="AB102" s="35" t="s">
        <v>7045</v>
      </c>
      <c r="AC102" s="30">
        <v>47484.0</v>
      </c>
      <c r="AD102" s="30">
        <v>47848.0</v>
      </c>
      <c r="AE102" s="31">
        <v>0.0</v>
      </c>
      <c r="AF102" s="31">
        <v>1.0</v>
      </c>
      <c r="AG102" s="35" t="s">
        <v>7045</v>
      </c>
    </row>
    <row r="103" ht="14.25" customHeight="1">
      <c r="A103" s="28" t="s">
        <v>6583</v>
      </c>
      <c r="B103" s="29" t="s">
        <v>6584</v>
      </c>
      <c r="C103" s="29" t="s">
        <v>7041</v>
      </c>
      <c r="D103" s="30">
        <v>45658.0</v>
      </c>
      <c r="E103" s="30">
        <v>46022.0</v>
      </c>
      <c r="F103" s="31">
        <v>0.0</v>
      </c>
      <c r="G103" s="31">
        <v>1.0</v>
      </c>
      <c r="H103" s="35" t="s">
        <v>7045</v>
      </c>
      <c r="I103" s="30">
        <v>46023.0</v>
      </c>
      <c r="J103" s="30">
        <v>46387.0</v>
      </c>
      <c r="K103" s="31">
        <v>0.0</v>
      </c>
      <c r="L103" s="31">
        <v>1.0</v>
      </c>
      <c r="M103" s="35" t="s">
        <v>7045</v>
      </c>
      <c r="N103" s="30">
        <v>46388.0</v>
      </c>
      <c r="O103" s="30">
        <v>46752.0</v>
      </c>
      <c r="P103" s="31">
        <v>0.0</v>
      </c>
      <c r="Q103" s="31">
        <v>1.0</v>
      </c>
      <c r="R103" s="35" t="s">
        <v>7045</v>
      </c>
      <c r="S103" s="30">
        <v>46753.0</v>
      </c>
      <c r="T103" s="30">
        <v>47118.0</v>
      </c>
      <c r="U103" s="31">
        <v>0.0</v>
      </c>
      <c r="V103" s="31">
        <v>1.0</v>
      </c>
      <c r="W103" s="35" t="s">
        <v>7045</v>
      </c>
      <c r="X103" s="30">
        <v>47119.0</v>
      </c>
      <c r="Y103" s="30">
        <v>47483.0</v>
      </c>
      <c r="Z103" s="31">
        <v>0.0</v>
      </c>
      <c r="AA103" s="31">
        <v>1.0</v>
      </c>
      <c r="AB103" s="35" t="s">
        <v>7045</v>
      </c>
      <c r="AC103" s="30">
        <v>47484.0</v>
      </c>
      <c r="AD103" s="30">
        <v>47848.0</v>
      </c>
      <c r="AE103" s="31">
        <v>0.0</v>
      </c>
      <c r="AF103" s="31">
        <v>1.0</v>
      </c>
      <c r="AG103" s="35" t="s">
        <v>7045</v>
      </c>
    </row>
    <row r="104" ht="14.25" customHeight="1">
      <c r="A104" s="28" t="s">
        <v>2234</v>
      </c>
      <c r="B104" s="29" t="s">
        <v>2235</v>
      </c>
      <c r="C104" s="29" t="s">
        <v>7041</v>
      </c>
      <c r="D104" s="30">
        <v>45658.0</v>
      </c>
      <c r="E104" s="30">
        <v>46022.0</v>
      </c>
      <c r="F104" s="31">
        <v>0.0</v>
      </c>
      <c r="G104" s="31">
        <v>1.0</v>
      </c>
      <c r="H104" s="35" t="s">
        <v>7045</v>
      </c>
      <c r="I104" s="30">
        <v>46023.0</v>
      </c>
      <c r="J104" s="30">
        <v>46387.0</v>
      </c>
      <c r="K104" s="31">
        <v>0.0</v>
      </c>
      <c r="L104" s="31">
        <v>1.0</v>
      </c>
      <c r="M104" s="35" t="s">
        <v>7045</v>
      </c>
      <c r="N104" s="30">
        <v>46388.0</v>
      </c>
      <c r="O104" s="30">
        <v>46752.0</v>
      </c>
      <c r="P104" s="31">
        <v>0.0</v>
      </c>
      <c r="Q104" s="31">
        <v>1.0</v>
      </c>
      <c r="R104" s="35" t="s">
        <v>7045</v>
      </c>
      <c r="S104" s="30">
        <v>46753.0</v>
      </c>
      <c r="T104" s="30">
        <v>47118.0</v>
      </c>
      <c r="U104" s="31">
        <v>0.0</v>
      </c>
      <c r="V104" s="31">
        <v>1.0</v>
      </c>
      <c r="W104" s="35" t="s">
        <v>7045</v>
      </c>
      <c r="X104" s="30">
        <v>47119.0</v>
      </c>
      <c r="Y104" s="30">
        <v>47483.0</v>
      </c>
      <c r="Z104" s="31">
        <v>0.0</v>
      </c>
      <c r="AA104" s="31">
        <v>1.0</v>
      </c>
      <c r="AB104" s="35" t="s">
        <v>7045</v>
      </c>
      <c r="AC104" s="30">
        <v>47484.0</v>
      </c>
      <c r="AD104" s="30">
        <v>47848.0</v>
      </c>
      <c r="AE104" s="31">
        <v>0.0</v>
      </c>
      <c r="AF104" s="31">
        <v>1.0</v>
      </c>
      <c r="AG104" s="35" t="s">
        <v>7045</v>
      </c>
    </row>
    <row r="105" ht="14.25" customHeight="1">
      <c r="A105" s="28" t="s">
        <v>2894</v>
      </c>
      <c r="B105" s="29" t="s">
        <v>2895</v>
      </c>
      <c r="C105" s="29" t="s">
        <v>7041</v>
      </c>
      <c r="D105" s="30">
        <v>45658.0</v>
      </c>
      <c r="E105" s="30">
        <v>46022.0</v>
      </c>
      <c r="F105" s="31">
        <v>0.0</v>
      </c>
      <c r="G105" s="31">
        <v>1.0</v>
      </c>
      <c r="H105" s="35" t="s">
        <v>7045</v>
      </c>
      <c r="I105" s="30">
        <v>46023.0</v>
      </c>
      <c r="J105" s="30">
        <v>46387.0</v>
      </c>
      <c r="K105" s="31">
        <v>0.0</v>
      </c>
      <c r="L105" s="31">
        <v>1.0</v>
      </c>
      <c r="M105" s="35" t="s">
        <v>7045</v>
      </c>
      <c r="N105" s="30">
        <v>46388.0</v>
      </c>
      <c r="O105" s="30">
        <v>46752.0</v>
      </c>
      <c r="P105" s="31">
        <v>0.0</v>
      </c>
      <c r="Q105" s="31">
        <v>1.0</v>
      </c>
      <c r="R105" s="35" t="s">
        <v>7045</v>
      </c>
      <c r="S105" s="30">
        <v>46753.0</v>
      </c>
      <c r="T105" s="30">
        <v>47118.0</v>
      </c>
      <c r="U105" s="31">
        <v>0.0</v>
      </c>
      <c r="V105" s="31">
        <v>1.0</v>
      </c>
      <c r="W105" s="35" t="s">
        <v>7045</v>
      </c>
      <c r="X105" s="30">
        <v>47119.0</v>
      </c>
      <c r="Y105" s="30">
        <v>47483.0</v>
      </c>
      <c r="Z105" s="31">
        <v>0.0</v>
      </c>
      <c r="AA105" s="31">
        <v>1.0</v>
      </c>
      <c r="AB105" s="35" t="s">
        <v>7045</v>
      </c>
      <c r="AC105" s="30">
        <v>47484.0</v>
      </c>
      <c r="AD105" s="30">
        <v>47848.0</v>
      </c>
      <c r="AE105" s="31">
        <v>0.0</v>
      </c>
      <c r="AF105" s="31">
        <v>1.0</v>
      </c>
      <c r="AG105" s="35" t="s">
        <v>7045</v>
      </c>
    </row>
    <row r="106" ht="14.25" customHeight="1">
      <c r="A106" s="28" t="s">
        <v>3881</v>
      </c>
      <c r="B106" s="29" t="s">
        <v>3882</v>
      </c>
      <c r="C106" s="29" t="s">
        <v>7041</v>
      </c>
      <c r="D106" s="30">
        <v>45658.0</v>
      </c>
      <c r="E106" s="30">
        <v>46022.0</v>
      </c>
      <c r="F106" s="31">
        <v>0.0</v>
      </c>
      <c r="G106" s="31">
        <v>1.0</v>
      </c>
      <c r="H106" s="35" t="s">
        <v>7045</v>
      </c>
      <c r="I106" s="30">
        <v>46023.0</v>
      </c>
      <c r="J106" s="30">
        <v>46387.0</v>
      </c>
      <c r="K106" s="31">
        <v>0.0</v>
      </c>
      <c r="L106" s="31">
        <v>1.0</v>
      </c>
      <c r="M106" s="35" t="s">
        <v>7045</v>
      </c>
      <c r="N106" s="30">
        <v>46388.0</v>
      </c>
      <c r="O106" s="30">
        <v>46752.0</v>
      </c>
      <c r="P106" s="31">
        <v>0.0</v>
      </c>
      <c r="Q106" s="31">
        <v>1.0</v>
      </c>
      <c r="R106" s="35" t="s">
        <v>7045</v>
      </c>
      <c r="S106" s="30">
        <v>46753.0</v>
      </c>
      <c r="T106" s="30">
        <v>47118.0</v>
      </c>
      <c r="U106" s="31">
        <v>0.0</v>
      </c>
      <c r="V106" s="31">
        <v>1.0</v>
      </c>
      <c r="W106" s="35" t="s">
        <v>7045</v>
      </c>
      <c r="X106" s="30">
        <v>47119.0</v>
      </c>
      <c r="Y106" s="30">
        <v>47483.0</v>
      </c>
      <c r="Z106" s="31">
        <v>0.0</v>
      </c>
      <c r="AA106" s="31">
        <v>1.0</v>
      </c>
      <c r="AB106" s="35" t="s">
        <v>7045</v>
      </c>
      <c r="AC106" s="30">
        <v>47484.0</v>
      </c>
      <c r="AD106" s="30">
        <v>47848.0</v>
      </c>
      <c r="AE106" s="31">
        <v>0.0</v>
      </c>
      <c r="AF106" s="31">
        <v>1.0</v>
      </c>
      <c r="AG106" s="35" t="s">
        <v>7045</v>
      </c>
    </row>
    <row r="107" ht="14.25" customHeight="1">
      <c r="A107" s="28" t="s">
        <v>5787</v>
      </c>
      <c r="B107" s="29" t="s">
        <v>5788</v>
      </c>
      <c r="C107" s="29" t="s">
        <v>7041</v>
      </c>
      <c r="D107" s="30">
        <v>45658.0</v>
      </c>
      <c r="E107" s="30">
        <v>46022.0</v>
      </c>
      <c r="F107" s="31">
        <v>0.0</v>
      </c>
      <c r="G107" s="31">
        <v>1.0</v>
      </c>
      <c r="H107" s="35" t="s">
        <v>7045</v>
      </c>
      <c r="I107" s="30">
        <v>46023.0</v>
      </c>
      <c r="J107" s="30">
        <v>46387.0</v>
      </c>
      <c r="K107" s="31">
        <v>0.0</v>
      </c>
      <c r="L107" s="31">
        <v>1.0</v>
      </c>
      <c r="M107" s="35" t="s">
        <v>7045</v>
      </c>
      <c r="N107" s="30">
        <v>46388.0</v>
      </c>
      <c r="O107" s="30">
        <v>46752.0</v>
      </c>
      <c r="P107" s="31">
        <v>0.0</v>
      </c>
      <c r="Q107" s="31">
        <v>1.0</v>
      </c>
      <c r="R107" s="35" t="s">
        <v>7045</v>
      </c>
      <c r="S107" s="30">
        <v>46753.0</v>
      </c>
      <c r="T107" s="30">
        <v>47118.0</v>
      </c>
      <c r="U107" s="31">
        <v>0.0</v>
      </c>
      <c r="V107" s="31">
        <v>1.0</v>
      </c>
      <c r="W107" s="35" t="s">
        <v>7045</v>
      </c>
      <c r="X107" s="30">
        <v>47119.0</v>
      </c>
      <c r="Y107" s="30">
        <v>47483.0</v>
      </c>
      <c r="Z107" s="31">
        <v>0.0</v>
      </c>
      <c r="AA107" s="31">
        <v>1.0</v>
      </c>
      <c r="AB107" s="35" t="s">
        <v>7045</v>
      </c>
      <c r="AC107" s="30">
        <v>47484.0</v>
      </c>
      <c r="AD107" s="30">
        <v>47848.0</v>
      </c>
      <c r="AE107" s="31">
        <v>0.0</v>
      </c>
      <c r="AF107" s="31">
        <v>1.0</v>
      </c>
      <c r="AG107" s="35" t="s">
        <v>7045</v>
      </c>
    </row>
    <row r="108" ht="14.25" customHeight="1">
      <c r="A108" s="28" t="s">
        <v>3459</v>
      </c>
      <c r="B108" s="29" t="s">
        <v>3460</v>
      </c>
      <c r="C108" s="29" t="s">
        <v>7041</v>
      </c>
      <c r="D108" s="30">
        <v>45658.0</v>
      </c>
      <c r="E108" s="30">
        <v>46022.0</v>
      </c>
      <c r="F108" s="31">
        <v>0.0</v>
      </c>
      <c r="G108" s="31">
        <v>1.0</v>
      </c>
      <c r="H108" s="35" t="s">
        <v>7045</v>
      </c>
      <c r="I108" s="30">
        <v>46023.0</v>
      </c>
      <c r="J108" s="30">
        <v>46387.0</v>
      </c>
      <c r="K108" s="31">
        <v>0.0</v>
      </c>
      <c r="L108" s="31">
        <v>1.0</v>
      </c>
      <c r="M108" s="35" t="s">
        <v>7045</v>
      </c>
      <c r="N108" s="30">
        <v>46388.0</v>
      </c>
      <c r="O108" s="30">
        <v>46752.0</v>
      </c>
      <c r="P108" s="31">
        <v>0.0</v>
      </c>
      <c r="Q108" s="31">
        <v>1.0</v>
      </c>
      <c r="R108" s="35" t="s">
        <v>7045</v>
      </c>
      <c r="S108" s="30">
        <v>46753.0</v>
      </c>
      <c r="T108" s="30">
        <v>47118.0</v>
      </c>
      <c r="U108" s="31">
        <v>0.0</v>
      </c>
      <c r="V108" s="31">
        <v>1.0</v>
      </c>
      <c r="W108" s="35" t="s">
        <v>7045</v>
      </c>
      <c r="X108" s="30">
        <v>47119.0</v>
      </c>
      <c r="Y108" s="30">
        <v>47483.0</v>
      </c>
      <c r="Z108" s="31">
        <v>0.0</v>
      </c>
      <c r="AA108" s="31">
        <v>1.0</v>
      </c>
      <c r="AB108" s="35" t="s">
        <v>7045</v>
      </c>
      <c r="AC108" s="30">
        <v>47484.0</v>
      </c>
      <c r="AD108" s="30">
        <v>47848.0</v>
      </c>
      <c r="AE108" s="31">
        <v>0.0</v>
      </c>
      <c r="AF108" s="31">
        <v>1.0</v>
      </c>
      <c r="AG108" s="35" t="s">
        <v>7045</v>
      </c>
    </row>
    <row r="109" ht="14.25" customHeight="1">
      <c r="A109" s="28" t="s">
        <v>608</v>
      </c>
      <c r="B109" s="29" t="s">
        <v>609</v>
      </c>
      <c r="C109" s="29" t="s">
        <v>7041</v>
      </c>
      <c r="D109" s="30">
        <v>45658.0</v>
      </c>
      <c r="E109" s="30">
        <v>46022.0</v>
      </c>
      <c r="F109" s="31">
        <v>0.0</v>
      </c>
      <c r="G109" s="31">
        <v>1.0</v>
      </c>
      <c r="H109" s="35" t="s">
        <v>7045</v>
      </c>
      <c r="I109" s="30">
        <v>46023.0</v>
      </c>
      <c r="J109" s="30">
        <v>46387.0</v>
      </c>
      <c r="K109" s="31">
        <v>0.0</v>
      </c>
      <c r="L109" s="31">
        <v>1.0</v>
      </c>
      <c r="M109" s="35" t="s">
        <v>7045</v>
      </c>
      <c r="N109" s="30">
        <v>46388.0</v>
      </c>
      <c r="O109" s="30">
        <v>46752.0</v>
      </c>
      <c r="P109" s="31">
        <v>0.0</v>
      </c>
      <c r="Q109" s="31">
        <v>1.0</v>
      </c>
      <c r="R109" s="35" t="s">
        <v>7045</v>
      </c>
      <c r="S109" s="30">
        <v>46753.0</v>
      </c>
      <c r="T109" s="30">
        <v>47118.0</v>
      </c>
      <c r="U109" s="31">
        <v>0.0</v>
      </c>
      <c r="V109" s="31">
        <v>1.0</v>
      </c>
      <c r="W109" s="35" t="s">
        <v>7045</v>
      </c>
      <c r="X109" s="30">
        <v>47119.0</v>
      </c>
      <c r="Y109" s="30">
        <v>47483.0</v>
      </c>
      <c r="Z109" s="31">
        <v>0.0</v>
      </c>
      <c r="AA109" s="31">
        <v>1.0</v>
      </c>
      <c r="AB109" s="35" t="s">
        <v>7045</v>
      </c>
      <c r="AC109" s="30">
        <v>47484.0</v>
      </c>
      <c r="AD109" s="30">
        <v>47848.0</v>
      </c>
      <c r="AE109" s="31">
        <v>0.0</v>
      </c>
      <c r="AF109" s="31">
        <v>1.0</v>
      </c>
      <c r="AG109" s="35" t="s">
        <v>7045</v>
      </c>
    </row>
    <row r="110" ht="14.25" customHeight="1">
      <c r="A110" s="28" t="s">
        <v>948</v>
      </c>
      <c r="B110" s="29" t="s">
        <v>949</v>
      </c>
      <c r="C110" s="29" t="s">
        <v>7041</v>
      </c>
      <c r="D110" s="30">
        <v>45658.0</v>
      </c>
      <c r="E110" s="30">
        <v>46022.0</v>
      </c>
      <c r="F110" s="31">
        <v>0.0</v>
      </c>
      <c r="G110" s="31">
        <v>1.0</v>
      </c>
      <c r="H110" s="35" t="s">
        <v>7045</v>
      </c>
      <c r="I110" s="30">
        <v>46023.0</v>
      </c>
      <c r="J110" s="30">
        <v>46387.0</v>
      </c>
      <c r="K110" s="31">
        <v>0.0</v>
      </c>
      <c r="L110" s="31">
        <v>1.0</v>
      </c>
      <c r="M110" s="35" t="s">
        <v>7045</v>
      </c>
      <c r="N110" s="30">
        <v>46388.0</v>
      </c>
      <c r="O110" s="30">
        <v>46752.0</v>
      </c>
      <c r="P110" s="31">
        <v>0.0</v>
      </c>
      <c r="Q110" s="31">
        <v>1.0</v>
      </c>
      <c r="R110" s="35" t="s">
        <v>7045</v>
      </c>
      <c r="S110" s="30">
        <v>46753.0</v>
      </c>
      <c r="T110" s="30">
        <v>47118.0</v>
      </c>
      <c r="U110" s="31">
        <v>0.0</v>
      </c>
      <c r="V110" s="31">
        <v>1.0</v>
      </c>
      <c r="W110" s="35" t="s">
        <v>7045</v>
      </c>
      <c r="X110" s="30">
        <v>47119.0</v>
      </c>
      <c r="Y110" s="30">
        <v>47483.0</v>
      </c>
      <c r="Z110" s="31">
        <v>0.0</v>
      </c>
      <c r="AA110" s="31">
        <v>1.0</v>
      </c>
      <c r="AB110" s="35" t="s">
        <v>7045</v>
      </c>
      <c r="AC110" s="30">
        <v>47484.0</v>
      </c>
      <c r="AD110" s="30">
        <v>47848.0</v>
      </c>
      <c r="AE110" s="31">
        <v>0.0</v>
      </c>
      <c r="AF110" s="31">
        <v>1.0</v>
      </c>
      <c r="AG110" s="35" t="s">
        <v>7045</v>
      </c>
    </row>
    <row r="111" ht="14.25" customHeight="1">
      <c r="A111" s="28" t="s">
        <v>702</v>
      </c>
      <c r="B111" s="29" t="s">
        <v>703</v>
      </c>
      <c r="C111" s="29" t="s">
        <v>7041</v>
      </c>
      <c r="D111" s="30">
        <v>45658.0</v>
      </c>
      <c r="E111" s="30">
        <v>46022.0</v>
      </c>
      <c r="F111" s="31">
        <v>0.0</v>
      </c>
      <c r="G111" s="31">
        <v>1.0</v>
      </c>
      <c r="H111" s="35" t="s">
        <v>7045</v>
      </c>
      <c r="I111" s="30">
        <v>46023.0</v>
      </c>
      <c r="J111" s="30">
        <v>46387.0</v>
      </c>
      <c r="K111" s="31">
        <v>0.0</v>
      </c>
      <c r="L111" s="31">
        <v>1.0</v>
      </c>
      <c r="M111" s="35" t="s">
        <v>7045</v>
      </c>
      <c r="N111" s="30">
        <v>46388.0</v>
      </c>
      <c r="O111" s="30">
        <v>46752.0</v>
      </c>
      <c r="P111" s="31">
        <v>0.0</v>
      </c>
      <c r="Q111" s="31">
        <v>1.0</v>
      </c>
      <c r="R111" s="35" t="s">
        <v>7045</v>
      </c>
      <c r="S111" s="30">
        <v>46753.0</v>
      </c>
      <c r="T111" s="30">
        <v>47118.0</v>
      </c>
      <c r="U111" s="31">
        <v>0.0</v>
      </c>
      <c r="V111" s="31">
        <v>1.0</v>
      </c>
      <c r="W111" s="35" t="s">
        <v>7045</v>
      </c>
      <c r="X111" s="30">
        <v>47119.0</v>
      </c>
      <c r="Y111" s="30">
        <v>47483.0</v>
      </c>
      <c r="Z111" s="31">
        <v>0.0</v>
      </c>
      <c r="AA111" s="31">
        <v>1.0</v>
      </c>
      <c r="AB111" s="35" t="s">
        <v>7045</v>
      </c>
      <c r="AC111" s="30">
        <v>47484.0</v>
      </c>
      <c r="AD111" s="30">
        <v>47848.0</v>
      </c>
      <c r="AE111" s="31">
        <v>0.0</v>
      </c>
      <c r="AF111" s="31">
        <v>1.0</v>
      </c>
      <c r="AG111" s="35" t="s">
        <v>7045</v>
      </c>
    </row>
    <row r="112" ht="14.25" customHeight="1">
      <c r="A112" s="28" t="s">
        <v>2654</v>
      </c>
      <c r="B112" s="29" t="s">
        <v>2655</v>
      </c>
      <c r="C112" s="29" t="s">
        <v>7041</v>
      </c>
      <c r="D112" s="30">
        <v>45658.0</v>
      </c>
      <c r="E112" s="30">
        <v>46022.0</v>
      </c>
      <c r="F112" s="31">
        <v>0.0</v>
      </c>
      <c r="G112" s="31">
        <v>1.0</v>
      </c>
      <c r="H112" s="35" t="s">
        <v>7045</v>
      </c>
      <c r="I112" s="30">
        <v>46023.0</v>
      </c>
      <c r="J112" s="30">
        <v>46387.0</v>
      </c>
      <c r="K112" s="31">
        <v>0.0</v>
      </c>
      <c r="L112" s="31">
        <v>1.0</v>
      </c>
      <c r="M112" s="35" t="s">
        <v>7045</v>
      </c>
      <c r="N112" s="30">
        <v>46388.0</v>
      </c>
      <c r="O112" s="30">
        <v>46752.0</v>
      </c>
      <c r="P112" s="31">
        <v>0.0</v>
      </c>
      <c r="Q112" s="31">
        <v>1.0</v>
      </c>
      <c r="R112" s="35" t="s">
        <v>7045</v>
      </c>
      <c r="S112" s="30">
        <v>46753.0</v>
      </c>
      <c r="T112" s="30">
        <v>47118.0</v>
      </c>
      <c r="U112" s="31">
        <v>0.0</v>
      </c>
      <c r="V112" s="31">
        <v>1.0</v>
      </c>
      <c r="W112" s="35" t="s">
        <v>7045</v>
      </c>
      <c r="X112" s="30">
        <v>47119.0</v>
      </c>
      <c r="Y112" s="30">
        <v>47483.0</v>
      </c>
      <c r="Z112" s="31">
        <v>0.0</v>
      </c>
      <c r="AA112" s="31">
        <v>1.0</v>
      </c>
      <c r="AB112" s="35" t="s">
        <v>7045</v>
      </c>
      <c r="AC112" s="30">
        <v>47484.0</v>
      </c>
      <c r="AD112" s="30">
        <v>47848.0</v>
      </c>
      <c r="AE112" s="31">
        <v>0.0</v>
      </c>
      <c r="AF112" s="31">
        <v>1.0</v>
      </c>
      <c r="AG112" s="35" t="s">
        <v>7045</v>
      </c>
    </row>
    <row r="113" ht="14.25" customHeight="1">
      <c r="A113" s="28" t="s">
        <v>3916</v>
      </c>
      <c r="B113" s="29" t="s">
        <v>3917</v>
      </c>
      <c r="C113" s="29" t="s">
        <v>7041</v>
      </c>
      <c r="D113" s="30">
        <v>45658.0</v>
      </c>
      <c r="E113" s="30">
        <v>46022.0</v>
      </c>
      <c r="F113" s="31">
        <v>0.0</v>
      </c>
      <c r="G113" s="31">
        <v>1.0</v>
      </c>
      <c r="H113" s="35" t="s">
        <v>7045</v>
      </c>
      <c r="I113" s="30">
        <v>46023.0</v>
      </c>
      <c r="J113" s="30">
        <v>46387.0</v>
      </c>
      <c r="K113" s="31">
        <v>0.0</v>
      </c>
      <c r="L113" s="31">
        <v>1.0</v>
      </c>
      <c r="M113" s="35" t="s">
        <v>7045</v>
      </c>
      <c r="N113" s="30">
        <v>46388.0</v>
      </c>
      <c r="O113" s="30">
        <v>46752.0</v>
      </c>
      <c r="P113" s="31">
        <v>0.0</v>
      </c>
      <c r="Q113" s="31">
        <v>1.0</v>
      </c>
      <c r="R113" s="35" t="s">
        <v>7045</v>
      </c>
      <c r="S113" s="30">
        <v>46753.0</v>
      </c>
      <c r="T113" s="30">
        <v>47118.0</v>
      </c>
      <c r="U113" s="31">
        <v>0.0</v>
      </c>
      <c r="V113" s="31">
        <v>1.0</v>
      </c>
      <c r="W113" s="35" t="s">
        <v>7045</v>
      </c>
      <c r="X113" s="30">
        <v>47119.0</v>
      </c>
      <c r="Y113" s="30">
        <v>47483.0</v>
      </c>
      <c r="Z113" s="31">
        <v>0.0</v>
      </c>
      <c r="AA113" s="31">
        <v>1.0</v>
      </c>
      <c r="AB113" s="35" t="s">
        <v>7045</v>
      </c>
      <c r="AC113" s="30">
        <v>47484.0</v>
      </c>
      <c r="AD113" s="30">
        <v>47848.0</v>
      </c>
      <c r="AE113" s="31">
        <v>0.0</v>
      </c>
      <c r="AF113" s="31">
        <v>1.0</v>
      </c>
      <c r="AG113" s="35" t="s">
        <v>7045</v>
      </c>
    </row>
    <row r="114" ht="14.25" customHeight="1">
      <c r="A114" s="28" t="s">
        <v>4002</v>
      </c>
      <c r="B114" s="29" t="s">
        <v>4003</v>
      </c>
      <c r="C114" s="29" t="s">
        <v>7041</v>
      </c>
      <c r="D114" s="30">
        <v>45658.0</v>
      </c>
      <c r="E114" s="30">
        <v>46022.0</v>
      </c>
      <c r="F114" s="31">
        <v>1.0</v>
      </c>
      <c r="G114" s="31">
        <v>1.0</v>
      </c>
      <c r="H114" s="33" t="s">
        <v>7042</v>
      </c>
      <c r="I114" s="30">
        <v>46023.0</v>
      </c>
      <c r="J114" s="30">
        <v>46387.0</v>
      </c>
      <c r="K114" s="31">
        <v>0.0</v>
      </c>
      <c r="L114" s="31">
        <v>1.0</v>
      </c>
      <c r="M114" s="35" t="s">
        <v>7045</v>
      </c>
      <c r="N114" s="30">
        <v>46388.0</v>
      </c>
      <c r="O114" s="30">
        <v>46752.0</v>
      </c>
      <c r="P114" s="31">
        <v>0.0</v>
      </c>
      <c r="Q114" s="31">
        <v>1.0</v>
      </c>
      <c r="R114" s="35" t="s">
        <v>7045</v>
      </c>
      <c r="S114" s="30">
        <v>46753.0</v>
      </c>
      <c r="T114" s="30">
        <v>47118.0</v>
      </c>
      <c r="U114" s="31">
        <v>0.0</v>
      </c>
      <c r="V114" s="31">
        <v>1.0</v>
      </c>
      <c r="W114" s="35" t="s">
        <v>7045</v>
      </c>
      <c r="X114" s="30">
        <v>47119.0</v>
      </c>
      <c r="Y114" s="30">
        <v>47483.0</v>
      </c>
      <c r="Z114" s="31">
        <v>0.0</v>
      </c>
      <c r="AA114" s="31">
        <v>1.0</v>
      </c>
      <c r="AB114" s="35" t="s">
        <v>7045</v>
      </c>
      <c r="AC114" s="30">
        <v>47484.0</v>
      </c>
      <c r="AD114" s="30">
        <v>47848.0</v>
      </c>
      <c r="AE114" s="31">
        <v>0.0</v>
      </c>
      <c r="AF114" s="31">
        <v>1.0</v>
      </c>
      <c r="AG114" s="35" t="s">
        <v>7045</v>
      </c>
    </row>
    <row r="115" ht="14.25" customHeight="1">
      <c r="A115" s="28" t="s">
        <v>367</v>
      </c>
      <c r="B115" s="29" t="s">
        <v>368</v>
      </c>
      <c r="C115" s="29" t="s">
        <v>7041</v>
      </c>
      <c r="D115" s="30">
        <v>45658.0</v>
      </c>
      <c r="E115" s="30">
        <v>46022.0</v>
      </c>
      <c r="F115" s="31">
        <v>0.0</v>
      </c>
      <c r="G115" s="31">
        <v>1.0</v>
      </c>
      <c r="H115" s="35" t="s">
        <v>7045</v>
      </c>
      <c r="I115" s="30">
        <v>46023.0</v>
      </c>
      <c r="J115" s="30">
        <v>46387.0</v>
      </c>
      <c r="K115" s="31">
        <v>0.0</v>
      </c>
      <c r="L115" s="31">
        <v>1.0</v>
      </c>
      <c r="M115" s="35" t="s">
        <v>7045</v>
      </c>
      <c r="N115" s="30">
        <v>46388.0</v>
      </c>
      <c r="O115" s="30">
        <v>46752.0</v>
      </c>
      <c r="P115" s="31">
        <v>0.0</v>
      </c>
      <c r="Q115" s="31">
        <v>1.0</v>
      </c>
      <c r="R115" s="35" t="s">
        <v>7045</v>
      </c>
      <c r="S115" s="30">
        <v>46753.0</v>
      </c>
      <c r="T115" s="30">
        <v>47118.0</v>
      </c>
      <c r="U115" s="31">
        <v>0.0</v>
      </c>
      <c r="V115" s="31">
        <v>1.0</v>
      </c>
      <c r="W115" s="35" t="s">
        <v>7045</v>
      </c>
      <c r="X115" s="30">
        <v>47119.0</v>
      </c>
      <c r="Y115" s="30">
        <v>47483.0</v>
      </c>
      <c r="Z115" s="31">
        <v>0.0</v>
      </c>
      <c r="AA115" s="31">
        <v>1.0</v>
      </c>
      <c r="AB115" s="35" t="s">
        <v>7045</v>
      </c>
      <c r="AC115" s="30">
        <v>47484.0</v>
      </c>
      <c r="AD115" s="30">
        <v>47848.0</v>
      </c>
      <c r="AE115" s="31">
        <v>0.0</v>
      </c>
      <c r="AF115" s="31">
        <v>1.0</v>
      </c>
      <c r="AG115" s="35" t="s">
        <v>7045</v>
      </c>
    </row>
    <row r="116" ht="14.25" customHeight="1">
      <c r="A116" s="28" t="s">
        <v>2633</v>
      </c>
      <c r="B116" s="29" t="s">
        <v>2634</v>
      </c>
      <c r="C116" s="29" t="s">
        <v>7041</v>
      </c>
      <c r="D116" s="30">
        <v>45658.0</v>
      </c>
      <c r="E116" s="30">
        <v>46022.0</v>
      </c>
      <c r="F116" s="31">
        <v>0.0</v>
      </c>
      <c r="G116" s="31">
        <v>1.0</v>
      </c>
      <c r="H116" s="35" t="s">
        <v>7045</v>
      </c>
      <c r="I116" s="30">
        <v>46023.0</v>
      </c>
      <c r="J116" s="30">
        <v>46387.0</v>
      </c>
      <c r="K116" s="31">
        <v>0.0</v>
      </c>
      <c r="L116" s="31">
        <v>1.0</v>
      </c>
      <c r="M116" s="35" t="s">
        <v>7045</v>
      </c>
      <c r="N116" s="30">
        <v>46388.0</v>
      </c>
      <c r="O116" s="30">
        <v>46752.0</v>
      </c>
      <c r="P116" s="31">
        <v>0.0</v>
      </c>
      <c r="Q116" s="31">
        <v>1.0</v>
      </c>
      <c r="R116" s="35" t="s">
        <v>7045</v>
      </c>
      <c r="S116" s="30">
        <v>46753.0</v>
      </c>
      <c r="T116" s="30">
        <v>47118.0</v>
      </c>
      <c r="U116" s="31">
        <v>0.0</v>
      </c>
      <c r="V116" s="31">
        <v>1.0</v>
      </c>
      <c r="W116" s="35" t="s">
        <v>7045</v>
      </c>
      <c r="X116" s="30">
        <v>47119.0</v>
      </c>
      <c r="Y116" s="30">
        <v>47483.0</v>
      </c>
      <c r="Z116" s="31">
        <v>0.0</v>
      </c>
      <c r="AA116" s="31">
        <v>1.0</v>
      </c>
      <c r="AB116" s="35" t="s">
        <v>7045</v>
      </c>
      <c r="AC116" s="30">
        <v>47484.0</v>
      </c>
      <c r="AD116" s="30">
        <v>47848.0</v>
      </c>
      <c r="AE116" s="31">
        <v>0.0</v>
      </c>
      <c r="AF116" s="31">
        <v>1.0</v>
      </c>
      <c r="AG116" s="35" t="s">
        <v>7045</v>
      </c>
    </row>
    <row r="117" ht="14.25" customHeight="1">
      <c r="A117" s="28" t="s">
        <v>733</v>
      </c>
      <c r="B117" s="29" t="s">
        <v>734</v>
      </c>
      <c r="C117" s="29" t="s">
        <v>7041</v>
      </c>
      <c r="D117" s="30">
        <v>45658.0</v>
      </c>
      <c r="E117" s="30">
        <v>46022.0</v>
      </c>
      <c r="F117" s="31">
        <v>0.0</v>
      </c>
      <c r="G117" s="31">
        <v>1.0</v>
      </c>
      <c r="H117" s="35" t="s">
        <v>7045</v>
      </c>
      <c r="I117" s="30">
        <v>46023.0</v>
      </c>
      <c r="J117" s="30">
        <v>46387.0</v>
      </c>
      <c r="K117" s="31">
        <v>0.0</v>
      </c>
      <c r="L117" s="31">
        <v>1.0</v>
      </c>
      <c r="M117" s="35" t="s">
        <v>7045</v>
      </c>
      <c r="N117" s="30">
        <v>46388.0</v>
      </c>
      <c r="O117" s="30">
        <v>46752.0</v>
      </c>
      <c r="P117" s="31">
        <v>0.0</v>
      </c>
      <c r="Q117" s="31">
        <v>1.0</v>
      </c>
      <c r="R117" s="35" t="s">
        <v>7045</v>
      </c>
      <c r="S117" s="30">
        <v>46753.0</v>
      </c>
      <c r="T117" s="30">
        <v>47118.0</v>
      </c>
      <c r="U117" s="31">
        <v>0.0</v>
      </c>
      <c r="V117" s="31">
        <v>1.0</v>
      </c>
      <c r="W117" s="35" t="s">
        <v>7045</v>
      </c>
      <c r="X117" s="30">
        <v>47119.0</v>
      </c>
      <c r="Y117" s="30">
        <v>47483.0</v>
      </c>
      <c r="Z117" s="31">
        <v>0.0</v>
      </c>
      <c r="AA117" s="31">
        <v>1.0</v>
      </c>
      <c r="AB117" s="35" t="s">
        <v>7045</v>
      </c>
      <c r="AC117" s="30">
        <v>47484.0</v>
      </c>
      <c r="AD117" s="30">
        <v>47848.0</v>
      </c>
      <c r="AE117" s="31">
        <v>0.0</v>
      </c>
      <c r="AF117" s="31">
        <v>1.0</v>
      </c>
      <c r="AG117" s="35" t="s">
        <v>7045</v>
      </c>
    </row>
    <row r="118" ht="14.25" customHeight="1">
      <c r="A118" s="28" t="s">
        <v>4125</v>
      </c>
      <c r="B118" s="29" t="s">
        <v>4126</v>
      </c>
      <c r="C118" s="29" t="s">
        <v>7041</v>
      </c>
      <c r="D118" s="30">
        <v>45658.0</v>
      </c>
      <c r="E118" s="30">
        <v>46022.0</v>
      </c>
      <c r="F118" s="31">
        <v>0.0</v>
      </c>
      <c r="G118" s="31">
        <v>1.0</v>
      </c>
      <c r="H118" s="35" t="s">
        <v>7045</v>
      </c>
      <c r="I118" s="30">
        <v>46023.0</v>
      </c>
      <c r="J118" s="30">
        <v>46387.0</v>
      </c>
      <c r="K118" s="31">
        <v>0.0</v>
      </c>
      <c r="L118" s="31">
        <v>1.0</v>
      </c>
      <c r="M118" s="35" t="s">
        <v>7045</v>
      </c>
      <c r="N118" s="30">
        <v>46388.0</v>
      </c>
      <c r="O118" s="30">
        <v>46752.0</v>
      </c>
      <c r="P118" s="31">
        <v>0.0</v>
      </c>
      <c r="Q118" s="31">
        <v>1.0</v>
      </c>
      <c r="R118" s="35" t="s">
        <v>7045</v>
      </c>
      <c r="S118" s="30">
        <v>46753.0</v>
      </c>
      <c r="T118" s="30">
        <v>47118.0</v>
      </c>
      <c r="U118" s="31">
        <v>0.0</v>
      </c>
      <c r="V118" s="31">
        <v>1.0</v>
      </c>
      <c r="W118" s="35" t="s">
        <v>7045</v>
      </c>
      <c r="X118" s="30">
        <v>47119.0</v>
      </c>
      <c r="Y118" s="30">
        <v>47483.0</v>
      </c>
      <c r="Z118" s="31">
        <v>0.0</v>
      </c>
      <c r="AA118" s="31">
        <v>1.0</v>
      </c>
      <c r="AB118" s="35" t="s">
        <v>7045</v>
      </c>
      <c r="AC118" s="30">
        <v>47484.0</v>
      </c>
      <c r="AD118" s="30">
        <v>47848.0</v>
      </c>
      <c r="AE118" s="31">
        <v>0.0</v>
      </c>
      <c r="AF118" s="31">
        <v>1.0</v>
      </c>
      <c r="AG118" s="35" t="s">
        <v>7045</v>
      </c>
    </row>
    <row r="119" ht="14.25" customHeight="1">
      <c r="A119" s="28" t="s">
        <v>4868</v>
      </c>
      <c r="B119" s="29" t="s">
        <v>4869</v>
      </c>
      <c r="C119" s="29" t="s">
        <v>7041</v>
      </c>
      <c r="D119" s="30">
        <v>45658.0</v>
      </c>
      <c r="E119" s="30">
        <v>46022.0</v>
      </c>
      <c r="F119" s="31">
        <v>0.0</v>
      </c>
      <c r="G119" s="31">
        <v>1.0</v>
      </c>
      <c r="H119" s="35" t="s">
        <v>7045</v>
      </c>
      <c r="I119" s="30">
        <v>46023.0</v>
      </c>
      <c r="J119" s="30">
        <v>46387.0</v>
      </c>
      <c r="K119" s="31">
        <v>0.0</v>
      </c>
      <c r="L119" s="31">
        <v>1.0</v>
      </c>
      <c r="M119" s="35" t="s">
        <v>7045</v>
      </c>
      <c r="N119" s="30">
        <v>46388.0</v>
      </c>
      <c r="O119" s="30">
        <v>46752.0</v>
      </c>
      <c r="P119" s="31">
        <v>0.0</v>
      </c>
      <c r="Q119" s="31">
        <v>1.0</v>
      </c>
      <c r="R119" s="35" t="s">
        <v>7045</v>
      </c>
      <c r="S119" s="30">
        <v>46753.0</v>
      </c>
      <c r="T119" s="30">
        <v>47118.0</v>
      </c>
      <c r="U119" s="31">
        <v>0.0</v>
      </c>
      <c r="V119" s="31">
        <v>1.0</v>
      </c>
      <c r="W119" s="35" t="s">
        <v>7045</v>
      </c>
      <c r="X119" s="30">
        <v>47119.0</v>
      </c>
      <c r="Y119" s="30">
        <v>47483.0</v>
      </c>
      <c r="Z119" s="31">
        <v>0.0</v>
      </c>
      <c r="AA119" s="31">
        <v>1.0</v>
      </c>
      <c r="AB119" s="35" t="s">
        <v>7045</v>
      </c>
      <c r="AC119" s="30">
        <v>47484.0</v>
      </c>
      <c r="AD119" s="30">
        <v>47848.0</v>
      </c>
      <c r="AE119" s="31">
        <v>0.0</v>
      </c>
      <c r="AF119" s="31">
        <v>1.0</v>
      </c>
      <c r="AG119" s="35" t="s">
        <v>7045</v>
      </c>
    </row>
    <row r="120" ht="14.25" customHeight="1">
      <c r="A120" s="28" t="s">
        <v>5960</v>
      </c>
      <c r="B120" s="29" t="s">
        <v>5961</v>
      </c>
      <c r="C120" s="29" t="s">
        <v>7041</v>
      </c>
      <c r="D120" s="30">
        <v>45658.0</v>
      </c>
      <c r="E120" s="30">
        <v>46022.0</v>
      </c>
      <c r="F120" s="31">
        <v>0.0</v>
      </c>
      <c r="G120" s="31">
        <v>1.0</v>
      </c>
      <c r="H120" s="35" t="s">
        <v>7045</v>
      </c>
      <c r="I120" s="30">
        <v>46023.0</v>
      </c>
      <c r="J120" s="30">
        <v>46387.0</v>
      </c>
      <c r="K120" s="31">
        <v>0.0</v>
      </c>
      <c r="L120" s="31">
        <v>1.0</v>
      </c>
      <c r="M120" s="35" t="s">
        <v>7045</v>
      </c>
      <c r="N120" s="30">
        <v>46388.0</v>
      </c>
      <c r="O120" s="30">
        <v>46752.0</v>
      </c>
      <c r="P120" s="31">
        <v>0.0</v>
      </c>
      <c r="Q120" s="31">
        <v>1.0</v>
      </c>
      <c r="R120" s="35" t="s">
        <v>7045</v>
      </c>
      <c r="S120" s="30">
        <v>46753.0</v>
      </c>
      <c r="T120" s="30">
        <v>47118.0</v>
      </c>
      <c r="U120" s="31">
        <v>0.0</v>
      </c>
      <c r="V120" s="31">
        <v>1.0</v>
      </c>
      <c r="W120" s="35" t="s">
        <v>7045</v>
      </c>
      <c r="X120" s="30">
        <v>47119.0</v>
      </c>
      <c r="Y120" s="30">
        <v>47483.0</v>
      </c>
      <c r="Z120" s="31">
        <v>0.0</v>
      </c>
      <c r="AA120" s="31">
        <v>1.0</v>
      </c>
      <c r="AB120" s="35" t="s">
        <v>7045</v>
      </c>
      <c r="AC120" s="30">
        <v>47484.0</v>
      </c>
      <c r="AD120" s="30">
        <v>47848.0</v>
      </c>
      <c r="AE120" s="31">
        <v>0.0</v>
      </c>
      <c r="AF120" s="31">
        <v>1.0</v>
      </c>
      <c r="AG120" s="35" t="s">
        <v>7045</v>
      </c>
    </row>
    <row r="121" ht="14.25" customHeight="1">
      <c r="A121" s="28" t="s">
        <v>3658</v>
      </c>
      <c r="B121" s="29" t="s">
        <v>3659</v>
      </c>
      <c r="C121" s="29" t="s">
        <v>7041</v>
      </c>
      <c r="D121" s="30">
        <v>45658.0</v>
      </c>
      <c r="E121" s="30">
        <v>46022.0</v>
      </c>
      <c r="F121" s="31">
        <v>0.0</v>
      </c>
      <c r="G121" s="31">
        <v>1.0</v>
      </c>
      <c r="H121" s="35" t="s">
        <v>7045</v>
      </c>
      <c r="I121" s="30">
        <v>46023.0</v>
      </c>
      <c r="J121" s="30">
        <v>46387.0</v>
      </c>
      <c r="K121" s="31">
        <v>0.0</v>
      </c>
      <c r="L121" s="31">
        <v>1.0</v>
      </c>
      <c r="M121" s="35" t="s">
        <v>7045</v>
      </c>
      <c r="N121" s="30">
        <v>46388.0</v>
      </c>
      <c r="O121" s="30">
        <v>46752.0</v>
      </c>
      <c r="P121" s="31">
        <v>0.0</v>
      </c>
      <c r="Q121" s="31">
        <v>1.0</v>
      </c>
      <c r="R121" s="35" t="s">
        <v>7045</v>
      </c>
      <c r="S121" s="30">
        <v>46753.0</v>
      </c>
      <c r="T121" s="30">
        <v>47118.0</v>
      </c>
      <c r="U121" s="31">
        <v>0.0</v>
      </c>
      <c r="V121" s="31">
        <v>1.0</v>
      </c>
      <c r="W121" s="35" t="s">
        <v>7045</v>
      </c>
      <c r="X121" s="30">
        <v>47119.0</v>
      </c>
      <c r="Y121" s="30">
        <v>47483.0</v>
      </c>
      <c r="Z121" s="31">
        <v>0.0</v>
      </c>
      <c r="AA121" s="31">
        <v>1.0</v>
      </c>
      <c r="AB121" s="35" t="s">
        <v>7045</v>
      </c>
      <c r="AC121" s="30">
        <v>47484.0</v>
      </c>
      <c r="AD121" s="30">
        <v>47848.0</v>
      </c>
      <c r="AE121" s="31">
        <v>0.0</v>
      </c>
      <c r="AF121" s="31">
        <v>1.0</v>
      </c>
      <c r="AG121" s="35" t="s">
        <v>7045</v>
      </c>
    </row>
    <row r="122" ht="14.25" customHeight="1">
      <c r="A122" s="28" t="s">
        <v>3684</v>
      </c>
      <c r="B122" s="29" t="s">
        <v>3685</v>
      </c>
      <c r="C122" s="29" t="s">
        <v>7041</v>
      </c>
      <c r="D122" s="30">
        <v>45658.0</v>
      </c>
      <c r="E122" s="30">
        <v>46022.0</v>
      </c>
      <c r="F122" s="31">
        <v>0.0</v>
      </c>
      <c r="G122" s="31">
        <v>1.0</v>
      </c>
      <c r="H122" s="35" t="s">
        <v>7045</v>
      </c>
      <c r="I122" s="30">
        <v>46023.0</v>
      </c>
      <c r="J122" s="30">
        <v>46387.0</v>
      </c>
      <c r="K122" s="31">
        <v>0.0</v>
      </c>
      <c r="L122" s="31">
        <v>1.0</v>
      </c>
      <c r="M122" s="35" t="s">
        <v>7045</v>
      </c>
      <c r="N122" s="30">
        <v>46388.0</v>
      </c>
      <c r="O122" s="30">
        <v>46752.0</v>
      </c>
      <c r="P122" s="31">
        <v>0.0</v>
      </c>
      <c r="Q122" s="31">
        <v>1.0</v>
      </c>
      <c r="R122" s="35" t="s">
        <v>7045</v>
      </c>
      <c r="S122" s="30">
        <v>46753.0</v>
      </c>
      <c r="T122" s="30">
        <v>47118.0</v>
      </c>
      <c r="U122" s="31">
        <v>0.0</v>
      </c>
      <c r="V122" s="31">
        <v>1.0</v>
      </c>
      <c r="W122" s="35" t="s">
        <v>7045</v>
      </c>
      <c r="X122" s="30">
        <v>47119.0</v>
      </c>
      <c r="Y122" s="30">
        <v>47483.0</v>
      </c>
      <c r="Z122" s="31">
        <v>0.0</v>
      </c>
      <c r="AA122" s="31">
        <v>1.0</v>
      </c>
      <c r="AB122" s="35" t="s">
        <v>7045</v>
      </c>
      <c r="AC122" s="30">
        <v>47484.0</v>
      </c>
      <c r="AD122" s="30">
        <v>47848.0</v>
      </c>
      <c r="AE122" s="31">
        <v>0.0</v>
      </c>
      <c r="AF122" s="31">
        <v>1.0</v>
      </c>
      <c r="AG122" s="35" t="s">
        <v>7045</v>
      </c>
    </row>
    <row r="123" ht="14.25" customHeight="1">
      <c r="A123" s="28" t="s">
        <v>3272</v>
      </c>
      <c r="B123" s="29" t="s">
        <v>3273</v>
      </c>
      <c r="C123" s="29" t="s">
        <v>7041</v>
      </c>
      <c r="D123" s="30">
        <v>45658.0</v>
      </c>
      <c r="E123" s="30">
        <v>46022.0</v>
      </c>
      <c r="F123" s="31">
        <v>0.0</v>
      </c>
      <c r="G123" s="31">
        <v>1.0</v>
      </c>
      <c r="H123" s="35" t="s">
        <v>7045</v>
      </c>
      <c r="I123" s="30">
        <v>46023.0</v>
      </c>
      <c r="J123" s="30">
        <v>46387.0</v>
      </c>
      <c r="K123" s="31">
        <v>0.0</v>
      </c>
      <c r="L123" s="31">
        <v>1.0</v>
      </c>
      <c r="M123" s="35" t="s">
        <v>7045</v>
      </c>
      <c r="N123" s="30">
        <v>46388.0</v>
      </c>
      <c r="O123" s="30">
        <v>46752.0</v>
      </c>
      <c r="P123" s="31">
        <v>0.0</v>
      </c>
      <c r="Q123" s="31">
        <v>1.0</v>
      </c>
      <c r="R123" s="35" t="s">
        <v>7045</v>
      </c>
      <c r="S123" s="30">
        <v>46753.0</v>
      </c>
      <c r="T123" s="30">
        <v>47118.0</v>
      </c>
      <c r="U123" s="31">
        <v>0.0</v>
      </c>
      <c r="V123" s="31">
        <v>1.0</v>
      </c>
      <c r="W123" s="35" t="s">
        <v>7045</v>
      </c>
      <c r="X123" s="30">
        <v>47119.0</v>
      </c>
      <c r="Y123" s="30">
        <v>47483.0</v>
      </c>
      <c r="Z123" s="31">
        <v>0.0</v>
      </c>
      <c r="AA123" s="31">
        <v>1.0</v>
      </c>
      <c r="AB123" s="35" t="s">
        <v>7045</v>
      </c>
      <c r="AC123" s="30">
        <v>47484.0</v>
      </c>
      <c r="AD123" s="30">
        <v>47848.0</v>
      </c>
      <c r="AE123" s="31">
        <v>0.0</v>
      </c>
      <c r="AF123" s="31">
        <v>1.0</v>
      </c>
      <c r="AG123" s="35" t="s">
        <v>7045</v>
      </c>
    </row>
    <row r="124" ht="14.25" customHeight="1">
      <c r="A124" s="28" t="s">
        <v>3672</v>
      </c>
      <c r="B124" s="29" t="s">
        <v>3673</v>
      </c>
      <c r="C124" s="29" t="s">
        <v>7041</v>
      </c>
      <c r="D124" s="30">
        <v>45658.0</v>
      </c>
      <c r="E124" s="30">
        <v>46022.0</v>
      </c>
      <c r="F124" s="31">
        <v>0.0</v>
      </c>
      <c r="G124" s="31">
        <v>1.0</v>
      </c>
      <c r="H124" s="35" t="s">
        <v>7045</v>
      </c>
      <c r="I124" s="30">
        <v>46023.0</v>
      </c>
      <c r="J124" s="30">
        <v>46387.0</v>
      </c>
      <c r="K124" s="31">
        <v>0.0</v>
      </c>
      <c r="L124" s="31">
        <v>1.0</v>
      </c>
      <c r="M124" s="35" t="s">
        <v>7045</v>
      </c>
      <c r="N124" s="30">
        <v>46388.0</v>
      </c>
      <c r="O124" s="30">
        <v>46752.0</v>
      </c>
      <c r="P124" s="31">
        <v>0.0</v>
      </c>
      <c r="Q124" s="31">
        <v>1.0</v>
      </c>
      <c r="R124" s="35" t="s">
        <v>7045</v>
      </c>
      <c r="S124" s="30">
        <v>46753.0</v>
      </c>
      <c r="T124" s="30">
        <v>47118.0</v>
      </c>
      <c r="U124" s="31">
        <v>0.0</v>
      </c>
      <c r="V124" s="31">
        <v>1.0</v>
      </c>
      <c r="W124" s="35" t="s">
        <v>7045</v>
      </c>
      <c r="X124" s="30">
        <v>47119.0</v>
      </c>
      <c r="Y124" s="30">
        <v>47483.0</v>
      </c>
      <c r="Z124" s="31">
        <v>0.0</v>
      </c>
      <c r="AA124" s="31">
        <v>1.0</v>
      </c>
      <c r="AB124" s="35" t="s">
        <v>7045</v>
      </c>
      <c r="AC124" s="30">
        <v>47484.0</v>
      </c>
      <c r="AD124" s="30">
        <v>47848.0</v>
      </c>
      <c r="AE124" s="31">
        <v>0.0</v>
      </c>
      <c r="AF124" s="31">
        <v>1.0</v>
      </c>
      <c r="AG124" s="35" t="s">
        <v>7045</v>
      </c>
    </row>
    <row r="125" ht="14.25" customHeight="1">
      <c r="A125" s="28" t="s">
        <v>6269</v>
      </c>
      <c r="B125" s="29" t="s">
        <v>6270</v>
      </c>
      <c r="C125" s="29" t="s">
        <v>7041</v>
      </c>
      <c r="D125" s="30">
        <v>45658.0</v>
      </c>
      <c r="E125" s="30">
        <v>46022.0</v>
      </c>
      <c r="F125" s="31">
        <v>0.0</v>
      </c>
      <c r="G125" s="31">
        <v>1.0</v>
      </c>
      <c r="H125" s="35" t="s">
        <v>7045</v>
      </c>
      <c r="I125" s="30">
        <v>46023.0</v>
      </c>
      <c r="J125" s="30">
        <v>46387.0</v>
      </c>
      <c r="K125" s="31">
        <v>0.0</v>
      </c>
      <c r="L125" s="31">
        <v>1.0</v>
      </c>
      <c r="M125" s="35" t="s">
        <v>7045</v>
      </c>
      <c r="N125" s="30">
        <v>46388.0</v>
      </c>
      <c r="O125" s="30">
        <v>46752.0</v>
      </c>
      <c r="P125" s="31">
        <v>0.0</v>
      </c>
      <c r="Q125" s="31">
        <v>1.0</v>
      </c>
      <c r="R125" s="35" t="s">
        <v>7045</v>
      </c>
      <c r="S125" s="30">
        <v>46753.0</v>
      </c>
      <c r="T125" s="30">
        <v>47118.0</v>
      </c>
      <c r="U125" s="31">
        <v>0.0</v>
      </c>
      <c r="V125" s="31">
        <v>1.0</v>
      </c>
      <c r="W125" s="35" t="s">
        <v>7045</v>
      </c>
      <c r="X125" s="30">
        <v>47119.0</v>
      </c>
      <c r="Y125" s="30">
        <v>47483.0</v>
      </c>
      <c r="Z125" s="31">
        <v>0.0</v>
      </c>
      <c r="AA125" s="31">
        <v>1.0</v>
      </c>
      <c r="AB125" s="35" t="s">
        <v>7045</v>
      </c>
      <c r="AC125" s="30">
        <v>47484.0</v>
      </c>
      <c r="AD125" s="30">
        <v>47848.0</v>
      </c>
      <c r="AE125" s="31">
        <v>0.0</v>
      </c>
      <c r="AF125" s="31">
        <v>1.0</v>
      </c>
      <c r="AG125" s="35" t="s">
        <v>7045</v>
      </c>
    </row>
    <row r="126" ht="14.25" customHeight="1">
      <c r="A126" s="28" t="s">
        <v>904</v>
      </c>
      <c r="B126" s="29" t="s">
        <v>905</v>
      </c>
      <c r="C126" s="29" t="s">
        <v>7041</v>
      </c>
      <c r="D126" s="30">
        <v>45658.0</v>
      </c>
      <c r="E126" s="30">
        <v>46022.0</v>
      </c>
      <c r="F126" s="31">
        <v>0.0</v>
      </c>
      <c r="G126" s="31">
        <v>1.0</v>
      </c>
      <c r="H126" s="35" t="s">
        <v>7045</v>
      </c>
      <c r="I126" s="30">
        <v>46023.0</v>
      </c>
      <c r="J126" s="30">
        <v>46387.0</v>
      </c>
      <c r="K126" s="31">
        <v>0.0</v>
      </c>
      <c r="L126" s="31">
        <v>1.0</v>
      </c>
      <c r="M126" s="35" t="s">
        <v>7045</v>
      </c>
      <c r="N126" s="30">
        <v>46388.0</v>
      </c>
      <c r="O126" s="30">
        <v>46752.0</v>
      </c>
      <c r="P126" s="31">
        <v>0.0</v>
      </c>
      <c r="Q126" s="31">
        <v>1.0</v>
      </c>
      <c r="R126" s="35" t="s">
        <v>7045</v>
      </c>
      <c r="S126" s="30">
        <v>46753.0</v>
      </c>
      <c r="T126" s="30">
        <v>47118.0</v>
      </c>
      <c r="U126" s="31">
        <v>0.0</v>
      </c>
      <c r="V126" s="31">
        <v>1.0</v>
      </c>
      <c r="W126" s="35" t="s">
        <v>7045</v>
      </c>
      <c r="X126" s="30">
        <v>47119.0</v>
      </c>
      <c r="Y126" s="30">
        <v>47483.0</v>
      </c>
      <c r="Z126" s="31">
        <v>0.0</v>
      </c>
      <c r="AA126" s="31">
        <v>1.0</v>
      </c>
      <c r="AB126" s="35" t="s">
        <v>7045</v>
      </c>
      <c r="AC126" s="30">
        <v>47484.0</v>
      </c>
      <c r="AD126" s="30">
        <v>47848.0</v>
      </c>
      <c r="AE126" s="31">
        <v>0.0</v>
      </c>
      <c r="AF126" s="31">
        <v>1.0</v>
      </c>
      <c r="AG126" s="35" t="s">
        <v>7045</v>
      </c>
    </row>
    <row r="127" ht="14.25" customHeight="1">
      <c r="A127" s="28" t="s">
        <v>6242</v>
      </c>
      <c r="B127" s="29" t="s">
        <v>6243</v>
      </c>
      <c r="C127" s="29" t="s">
        <v>7041</v>
      </c>
      <c r="D127" s="30">
        <v>45658.0</v>
      </c>
      <c r="E127" s="30">
        <v>46022.0</v>
      </c>
      <c r="F127" s="31">
        <v>0.0</v>
      </c>
      <c r="G127" s="31">
        <v>1.0</v>
      </c>
      <c r="H127" s="35" t="s">
        <v>7045</v>
      </c>
      <c r="I127" s="30">
        <v>46023.0</v>
      </c>
      <c r="J127" s="30">
        <v>46387.0</v>
      </c>
      <c r="K127" s="31">
        <v>0.0</v>
      </c>
      <c r="L127" s="31">
        <v>1.0</v>
      </c>
      <c r="M127" s="35" t="s">
        <v>7045</v>
      </c>
      <c r="N127" s="30">
        <v>46388.0</v>
      </c>
      <c r="O127" s="30">
        <v>46752.0</v>
      </c>
      <c r="P127" s="31">
        <v>0.0</v>
      </c>
      <c r="Q127" s="31">
        <v>1.0</v>
      </c>
      <c r="R127" s="35" t="s">
        <v>7045</v>
      </c>
      <c r="S127" s="30">
        <v>46753.0</v>
      </c>
      <c r="T127" s="30">
        <v>47118.0</v>
      </c>
      <c r="U127" s="31">
        <v>0.0</v>
      </c>
      <c r="V127" s="31">
        <v>1.0</v>
      </c>
      <c r="W127" s="35" t="s">
        <v>7045</v>
      </c>
      <c r="X127" s="30">
        <v>47119.0</v>
      </c>
      <c r="Y127" s="30">
        <v>47483.0</v>
      </c>
      <c r="Z127" s="31">
        <v>0.0</v>
      </c>
      <c r="AA127" s="31">
        <v>1.0</v>
      </c>
      <c r="AB127" s="35" t="s">
        <v>7045</v>
      </c>
      <c r="AC127" s="30">
        <v>47484.0</v>
      </c>
      <c r="AD127" s="30">
        <v>47848.0</v>
      </c>
      <c r="AE127" s="31">
        <v>0.0</v>
      </c>
      <c r="AF127" s="31">
        <v>1.0</v>
      </c>
      <c r="AG127" s="35" t="s">
        <v>7045</v>
      </c>
    </row>
    <row r="128" ht="14.25" customHeight="1">
      <c r="A128" s="28" t="s">
        <v>2390</v>
      </c>
      <c r="B128" s="29" t="s">
        <v>2391</v>
      </c>
      <c r="C128" s="29" t="s">
        <v>7041</v>
      </c>
      <c r="D128" s="30">
        <v>45658.0</v>
      </c>
      <c r="E128" s="30">
        <v>46022.0</v>
      </c>
      <c r="F128" s="31">
        <v>0.0</v>
      </c>
      <c r="G128" s="31">
        <v>1.0</v>
      </c>
      <c r="H128" s="35" t="s">
        <v>7045</v>
      </c>
      <c r="I128" s="30">
        <v>46023.0</v>
      </c>
      <c r="J128" s="30">
        <v>46387.0</v>
      </c>
      <c r="K128" s="31">
        <v>0.0</v>
      </c>
      <c r="L128" s="31">
        <v>1.0</v>
      </c>
      <c r="M128" s="35" t="s">
        <v>7045</v>
      </c>
      <c r="N128" s="30">
        <v>46388.0</v>
      </c>
      <c r="O128" s="30">
        <v>46752.0</v>
      </c>
      <c r="P128" s="31">
        <v>0.0</v>
      </c>
      <c r="Q128" s="31">
        <v>1.0</v>
      </c>
      <c r="R128" s="35" t="s">
        <v>7045</v>
      </c>
      <c r="S128" s="30">
        <v>46753.0</v>
      </c>
      <c r="T128" s="30">
        <v>47118.0</v>
      </c>
      <c r="U128" s="31">
        <v>0.0</v>
      </c>
      <c r="V128" s="31">
        <v>1.0</v>
      </c>
      <c r="W128" s="35" t="s">
        <v>7045</v>
      </c>
      <c r="X128" s="30">
        <v>47119.0</v>
      </c>
      <c r="Y128" s="30">
        <v>47483.0</v>
      </c>
      <c r="Z128" s="31">
        <v>0.0</v>
      </c>
      <c r="AA128" s="31">
        <v>1.0</v>
      </c>
      <c r="AB128" s="35" t="s">
        <v>7045</v>
      </c>
      <c r="AC128" s="30">
        <v>47484.0</v>
      </c>
      <c r="AD128" s="30">
        <v>47848.0</v>
      </c>
      <c r="AE128" s="31">
        <v>0.0</v>
      </c>
      <c r="AF128" s="31">
        <v>1.0</v>
      </c>
      <c r="AG128" s="35" t="s">
        <v>7045</v>
      </c>
    </row>
    <row r="129" ht="14.25" customHeight="1">
      <c r="A129" s="28" t="s">
        <v>316</v>
      </c>
      <c r="B129" s="29" t="s">
        <v>317</v>
      </c>
      <c r="C129" s="29" t="s">
        <v>7041</v>
      </c>
      <c r="D129" s="30">
        <v>45658.0</v>
      </c>
      <c r="E129" s="30">
        <v>46022.0</v>
      </c>
      <c r="F129" s="31">
        <v>0.0</v>
      </c>
      <c r="G129" s="31">
        <v>1.0</v>
      </c>
      <c r="H129" s="35" t="s">
        <v>7045</v>
      </c>
      <c r="I129" s="30">
        <v>46023.0</v>
      </c>
      <c r="J129" s="30">
        <v>46387.0</v>
      </c>
      <c r="K129" s="31">
        <v>0.0</v>
      </c>
      <c r="L129" s="31">
        <v>1.0</v>
      </c>
      <c r="M129" s="35" t="s">
        <v>7045</v>
      </c>
      <c r="N129" s="30">
        <v>46388.0</v>
      </c>
      <c r="O129" s="30">
        <v>46752.0</v>
      </c>
      <c r="P129" s="31">
        <v>0.0</v>
      </c>
      <c r="Q129" s="31">
        <v>1.0</v>
      </c>
      <c r="R129" s="35" t="s">
        <v>7045</v>
      </c>
      <c r="S129" s="30">
        <v>46753.0</v>
      </c>
      <c r="T129" s="30">
        <v>47118.0</v>
      </c>
      <c r="U129" s="31">
        <v>0.0</v>
      </c>
      <c r="V129" s="31">
        <v>1.0</v>
      </c>
      <c r="W129" s="35" t="s">
        <v>7045</v>
      </c>
      <c r="X129" s="30">
        <v>47119.0</v>
      </c>
      <c r="Y129" s="30">
        <v>47483.0</v>
      </c>
      <c r="Z129" s="31">
        <v>0.0</v>
      </c>
      <c r="AA129" s="31">
        <v>1.0</v>
      </c>
      <c r="AB129" s="35" t="s">
        <v>7045</v>
      </c>
      <c r="AC129" s="30">
        <v>47484.0</v>
      </c>
      <c r="AD129" s="30">
        <v>47848.0</v>
      </c>
      <c r="AE129" s="31">
        <v>0.0</v>
      </c>
      <c r="AF129" s="31">
        <v>1.0</v>
      </c>
      <c r="AG129" s="35" t="s">
        <v>7045</v>
      </c>
    </row>
    <row r="130" ht="14.25" customHeight="1">
      <c r="A130" s="28" t="s">
        <v>585</v>
      </c>
      <c r="B130" s="29" t="s">
        <v>586</v>
      </c>
      <c r="C130" s="29" t="s">
        <v>7044</v>
      </c>
      <c r="D130" s="30">
        <v>45658.0</v>
      </c>
      <c r="E130" s="30">
        <v>46022.0</v>
      </c>
      <c r="F130" s="31">
        <v>0.0</v>
      </c>
      <c r="G130" s="31">
        <v>1.0</v>
      </c>
      <c r="H130" s="35" t="s">
        <v>7045</v>
      </c>
      <c r="I130" s="30">
        <v>46023.0</v>
      </c>
      <c r="J130" s="30">
        <v>46387.0</v>
      </c>
      <c r="K130" s="31">
        <v>0.0</v>
      </c>
      <c r="L130" s="31">
        <v>1.0</v>
      </c>
      <c r="M130" s="35" t="s">
        <v>7045</v>
      </c>
      <c r="N130" s="30">
        <v>46388.0</v>
      </c>
      <c r="O130" s="30">
        <v>46752.0</v>
      </c>
      <c r="P130" s="31">
        <v>0.0</v>
      </c>
      <c r="Q130" s="31">
        <v>1.0</v>
      </c>
      <c r="R130" s="35" t="s">
        <v>7045</v>
      </c>
      <c r="S130" s="30">
        <v>46753.0</v>
      </c>
      <c r="T130" s="30">
        <v>47118.0</v>
      </c>
      <c r="U130" s="31">
        <v>0.0</v>
      </c>
      <c r="V130" s="31">
        <v>1.0</v>
      </c>
      <c r="W130" s="35" t="s">
        <v>7045</v>
      </c>
      <c r="X130" s="30">
        <v>47119.0</v>
      </c>
      <c r="Y130" s="30">
        <v>47483.0</v>
      </c>
      <c r="Z130" s="31">
        <v>0.0</v>
      </c>
      <c r="AA130" s="31">
        <v>1.0</v>
      </c>
      <c r="AB130" s="35" t="s">
        <v>7045</v>
      </c>
      <c r="AC130" s="30">
        <v>47484.0</v>
      </c>
      <c r="AD130" s="30">
        <v>47848.0</v>
      </c>
      <c r="AE130" s="31">
        <v>0.0</v>
      </c>
      <c r="AF130" s="31">
        <v>1.0</v>
      </c>
      <c r="AG130" s="35" t="s">
        <v>7045</v>
      </c>
    </row>
    <row r="131" ht="14.25" customHeight="1">
      <c r="A131" s="28" t="s">
        <v>737</v>
      </c>
      <c r="B131" s="29" t="s">
        <v>738</v>
      </c>
      <c r="C131" s="29" t="s">
        <v>7041</v>
      </c>
      <c r="D131" s="30">
        <v>45658.0</v>
      </c>
      <c r="E131" s="30">
        <v>46022.0</v>
      </c>
      <c r="F131" s="31">
        <v>0.0</v>
      </c>
      <c r="G131" s="31">
        <v>1.0</v>
      </c>
      <c r="H131" s="35" t="s">
        <v>7045</v>
      </c>
      <c r="I131" s="30">
        <v>46023.0</v>
      </c>
      <c r="J131" s="30">
        <v>46387.0</v>
      </c>
      <c r="K131" s="31">
        <v>0.0</v>
      </c>
      <c r="L131" s="31">
        <v>1.0</v>
      </c>
      <c r="M131" s="35" t="s">
        <v>7045</v>
      </c>
      <c r="N131" s="30">
        <v>46388.0</v>
      </c>
      <c r="O131" s="30">
        <v>46752.0</v>
      </c>
      <c r="P131" s="31">
        <v>0.0</v>
      </c>
      <c r="Q131" s="31">
        <v>1.0</v>
      </c>
      <c r="R131" s="35" t="s">
        <v>7045</v>
      </c>
      <c r="S131" s="30">
        <v>46753.0</v>
      </c>
      <c r="T131" s="30">
        <v>47118.0</v>
      </c>
      <c r="U131" s="31">
        <v>0.0</v>
      </c>
      <c r="V131" s="31">
        <v>1.0</v>
      </c>
      <c r="W131" s="35" t="s">
        <v>7045</v>
      </c>
      <c r="X131" s="30">
        <v>47119.0</v>
      </c>
      <c r="Y131" s="30">
        <v>47483.0</v>
      </c>
      <c r="Z131" s="31">
        <v>0.0</v>
      </c>
      <c r="AA131" s="31">
        <v>1.0</v>
      </c>
      <c r="AB131" s="35" t="s">
        <v>7045</v>
      </c>
      <c r="AC131" s="30">
        <v>47484.0</v>
      </c>
      <c r="AD131" s="30">
        <v>47848.0</v>
      </c>
      <c r="AE131" s="31">
        <v>0.0</v>
      </c>
      <c r="AF131" s="31">
        <v>1.0</v>
      </c>
      <c r="AG131" s="35" t="s">
        <v>7045</v>
      </c>
    </row>
    <row r="132" ht="14.25" customHeight="1">
      <c r="A132" s="28" t="s">
        <v>827</v>
      </c>
      <c r="B132" s="29" t="s">
        <v>828</v>
      </c>
      <c r="C132" s="29" t="s">
        <v>7041</v>
      </c>
      <c r="D132" s="30">
        <v>45658.0</v>
      </c>
      <c r="E132" s="30">
        <v>46022.0</v>
      </c>
      <c r="F132" s="31">
        <v>0.0</v>
      </c>
      <c r="G132" s="31">
        <v>1.0</v>
      </c>
      <c r="H132" s="35" t="s">
        <v>7045</v>
      </c>
      <c r="I132" s="30">
        <v>46023.0</v>
      </c>
      <c r="J132" s="30">
        <v>46387.0</v>
      </c>
      <c r="K132" s="31">
        <v>0.0</v>
      </c>
      <c r="L132" s="31">
        <v>1.0</v>
      </c>
      <c r="M132" s="35" t="s">
        <v>7045</v>
      </c>
      <c r="N132" s="30">
        <v>46388.0</v>
      </c>
      <c r="O132" s="30">
        <v>46752.0</v>
      </c>
      <c r="P132" s="31">
        <v>0.0</v>
      </c>
      <c r="Q132" s="31">
        <v>1.0</v>
      </c>
      <c r="R132" s="35" t="s">
        <v>7045</v>
      </c>
      <c r="S132" s="30">
        <v>46753.0</v>
      </c>
      <c r="T132" s="30">
        <v>47118.0</v>
      </c>
      <c r="U132" s="31">
        <v>0.0</v>
      </c>
      <c r="V132" s="31">
        <v>1.0</v>
      </c>
      <c r="W132" s="35" t="s">
        <v>7045</v>
      </c>
      <c r="X132" s="30">
        <v>47119.0</v>
      </c>
      <c r="Y132" s="30">
        <v>47483.0</v>
      </c>
      <c r="Z132" s="31">
        <v>0.0</v>
      </c>
      <c r="AA132" s="31">
        <v>1.0</v>
      </c>
      <c r="AB132" s="35" t="s">
        <v>7045</v>
      </c>
      <c r="AC132" s="30">
        <v>47484.0</v>
      </c>
      <c r="AD132" s="30">
        <v>47848.0</v>
      </c>
      <c r="AE132" s="31">
        <v>0.0</v>
      </c>
      <c r="AF132" s="31">
        <v>1.0</v>
      </c>
      <c r="AG132" s="35" t="s">
        <v>7045</v>
      </c>
    </row>
    <row r="133" ht="14.25" customHeight="1">
      <c r="A133" s="28" t="s">
        <v>941</v>
      </c>
      <c r="B133" s="29" t="s">
        <v>942</v>
      </c>
      <c r="C133" s="29" t="s">
        <v>7041</v>
      </c>
      <c r="D133" s="30">
        <v>45658.0</v>
      </c>
      <c r="E133" s="30">
        <v>46022.0</v>
      </c>
      <c r="F133" s="31">
        <v>0.0</v>
      </c>
      <c r="G133" s="31">
        <v>1.0</v>
      </c>
      <c r="H133" s="35" t="s">
        <v>7045</v>
      </c>
      <c r="I133" s="30">
        <v>46023.0</v>
      </c>
      <c r="J133" s="30">
        <v>46387.0</v>
      </c>
      <c r="K133" s="31">
        <v>0.0</v>
      </c>
      <c r="L133" s="31">
        <v>1.0</v>
      </c>
      <c r="M133" s="35" t="s">
        <v>7045</v>
      </c>
      <c r="N133" s="30">
        <v>46388.0</v>
      </c>
      <c r="O133" s="30">
        <v>46752.0</v>
      </c>
      <c r="P133" s="31">
        <v>0.0</v>
      </c>
      <c r="Q133" s="31">
        <v>1.0</v>
      </c>
      <c r="R133" s="35" t="s">
        <v>7045</v>
      </c>
      <c r="S133" s="30">
        <v>46753.0</v>
      </c>
      <c r="T133" s="30">
        <v>47118.0</v>
      </c>
      <c r="U133" s="31">
        <v>0.0</v>
      </c>
      <c r="V133" s="31">
        <v>1.0</v>
      </c>
      <c r="W133" s="35" t="s">
        <v>7045</v>
      </c>
      <c r="X133" s="30">
        <v>47119.0</v>
      </c>
      <c r="Y133" s="30">
        <v>47483.0</v>
      </c>
      <c r="Z133" s="31">
        <v>0.0</v>
      </c>
      <c r="AA133" s="31">
        <v>1.0</v>
      </c>
      <c r="AB133" s="35" t="s">
        <v>7045</v>
      </c>
      <c r="AC133" s="30">
        <v>47484.0</v>
      </c>
      <c r="AD133" s="30">
        <v>47848.0</v>
      </c>
      <c r="AE133" s="31">
        <v>0.0</v>
      </c>
      <c r="AF133" s="31">
        <v>1.0</v>
      </c>
      <c r="AG133" s="35" t="s">
        <v>7045</v>
      </c>
    </row>
    <row r="134" ht="14.25" customHeight="1">
      <c r="A134" s="28" t="s">
        <v>1036</v>
      </c>
      <c r="B134" s="29" t="s">
        <v>1037</v>
      </c>
      <c r="C134" s="29" t="s">
        <v>7041</v>
      </c>
      <c r="D134" s="30">
        <v>45658.0</v>
      </c>
      <c r="E134" s="30">
        <v>46022.0</v>
      </c>
      <c r="F134" s="31">
        <v>0.0</v>
      </c>
      <c r="G134" s="31">
        <v>1.0</v>
      </c>
      <c r="H134" s="35" t="s">
        <v>7045</v>
      </c>
      <c r="I134" s="30">
        <v>46023.0</v>
      </c>
      <c r="J134" s="30">
        <v>46387.0</v>
      </c>
      <c r="K134" s="31">
        <v>0.0</v>
      </c>
      <c r="L134" s="31">
        <v>1.0</v>
      </c>
      <c r="M134" s="35" t="s">
        <v>7045</v>
      </c>
      <c r="N134" s="30">
        <v>46388.0</v>
      </c>
      <c r="O134" s="30">
        <v>46752.0</v>
      </c>
      <c r="P134" s="31">
        <v>0.0</v>
      </c>
      <c r="Q134" s="31">
        <v>1.0</v>
      </c>
      <c r="R134" s="35" t="s">
        <v>7045</v>
      </c>
      <c r="S134" s="30">
        <v>46753.0</v>
      </c>
      <c r="T134" s="30">
        <v>47118.0</v>
      </c>
      <c r="U134" s="31">
        <v>0.0</v>
      </c>
      <c r="V134" s="31">
        <v>1.0</v>
      </c>
      <c r="W134" s="35" t="s">
        <v>7045</v>
      </c>
      <c r="X134" s="30">
        <v>47119.0</v>
      </c>
      <c r="Y134" s="30">
        <v>47483.0</v>
      </c>
      <c r="Z134" s="31">
        <v>0.0</v>
      </c>
      <c r="AA134" s="31">
        <v>1.0</v>
      </c>
      <c r="AB134" s="35" t="s">
        <v>7045</v>
      </c>
      <c r="AC134" s="30">
        <v>47484.0</v>
      </c>
      <c r="AD134" s="30">
        <v>47848.0</v>
      </c>
      <c r="AE134" s="31">
        <v>0.0</v>
      </c>
      <c r="AF134" s="31">
        <v>1.0</v>
      </c>
      <c r="AG134" s="35" t="s">
        <v>7045</v>
      </c>
    </row>
    <row r="135" ht="14.25" customHeight="1">
      <c r="A135" s="28" t="s">
        <v>1057</v>
      </c>
      <c r="B135" s="29" t="s">
        <v>1058</v>
      </c>
      <c r="C135" s="29" t="s">
        <v>7041</v>
      </c>
      <c r="D135" s="30">
        <v>45658.0</v>
      </c>
      <c r="E135" s="30">
        <v>46022.0</v>
      </c>
      <c r="F135" s="31">
        <v>0.0</v>
      </c>
      <c r="G135" s="31">
        <v>1.0</v>
      </c>
      <c r="H135" s="35" t="s">
        <v>7045</v>
      </c>
      <c r="I135" s="30">
        <v>46023.0</v>
      </c>
      <c r="J135" s="30">
        <v>46387.0</v>
      </c>
      <c r="K135" s="31">
        <v>0.0</v>
      </c>
      <c r="L135" s="31">
        <v>1.0</v>
      </c>
      <c r="M135" s="35" t="s">
        <v>7045</v>
      </c>
      <c r="N135" s="30">
        <v>46388.0</v>
      </c>
      <c r="O135" s="30">
        <v>46752.0</v>
      </c>
      <c r="P135" s="31">
        <v>0.0</v>
      </c>
      <c r="Q135" s="31">
        <v>1.0</v>
      </c>
      <c r="R135" s="35" t="s">
        <v>7045</v>
      </c>
      <c r="S135" s="30">
        <v>46753.0</v>
      </c>
      <c r="T135" s="30">
        <v>47118.0</v>
      </c>
      <c r="U135" s="31">
        <v>0.0</v>
      </c>
      <c r="V135" s="31">
        <v>1.0</v>
      </c>
      <c r="W135" s="35" t="s">
        <v>7045</v>
      </c>
      <c r="X135" s="30">
        <v>47119.0</v>
      </c>
      <c r="Y135" s="30">
        <v>47483.0</v>
      </c>
      <c r="Z135" s="31">
        <v>0.0</v>
      </c>
      <c r="AA135" s="31">
        <v>1.0</v>
      </c>
      <c r="AB135" s="35" t="s">
        <v>7045</v>
      </c>
      <c r="AC135" s="30">
        <v>47484.0</v>
      </c>
      <c r="AD135" s="30">
        <v>47848.0</v>
      </c>
      <c r="AE135" s="31">
        <v>0.0</v>
      </c>
      <c r="AF135" s="31">
        <v>1.0</v>
      </c>
      <c r="AG135" s="35" t="s">
        <v>7045</v>
      </c>
    </row>
    <row r="136" ht="14.25" customHeight="1">
      <c r="A136" s="28" t="s">
        <v>1109</v>
      </c>
      <c r="B136" s="29" t="s">
        <v>1110</v>
      </c>
      <c r="C136" s="29" t="s">
        <v>7041</v>
      </c>
      <c r="D136" s="30">
        <v>45658.0</v>
      </c>
      <c r="E136" s="30">
        <v>46022.0</v>
      </c>
      <c r="F136" s="31">
        <v>0.0</v>
      </c>
      <c r="G136" s="31">
        <v>1.0</v>
      </c>
      <c r="H136" s="35" t="s">
        <v>7045</v>
      </c>
      <c r="I136" s="30">
        <v>46023.0</v>
      </c>
      <c r="J136" s="30">
        <v>46387.0</v>
      </c>
      <c r="K136" s="31">
        <v>0.0</v>
      </c>
      <c r="L136" s="31">
        <v>1.0</v>
      </c>
      <c r="M136" s="35" t="s">
        <v>7045</v>
      </c>
      <c r="N136" s="30">
        <v>46388.0</v>
      </c>
      <c r="O136" s="30">
        <v>46752.0</v>
      </c>
      <c r="P136" s="31">
        <v>0.0</v>
      </c>
      <c r="Q136" s="31">
        <v>1.0</v>
      </c>
      <c r="R136" s="35" t="s">
        <v>7045</v>
      </c>
      <c r="S136" s="30">
        <v>46753.0</v>
      </c>
      <c r="T136" s="30">
        <v>47118.0</v>
      </c>
      <c r="U136" s="31">
        <v>0.0</v>
      </c>
      <c r="V136" s="31">
        <v>1.0</v>
      </c>
      <c r="W136" s="35" t="s">
        <v>7045</v>
      </c>
      <c r="X136" s="30">
        <v>47119.0</v>
      </c>
      <c r="Y136" s="30">
        <v>47483.0</v>
      </c>
      <c r="Z136" s="31">
        <v>0.0</v>
      </c>
      <c r="AA136" s="31">
        <v>1.0</v>
      </c>
      <c r="AB136" s="35" t="s">
        <v>7045</v>
      </c>
      <c r="AC136" s="30">
        <v>47484.0</v>
      </c>
      <c r="AD136" s="30">
        <v>47848.0</v>
      </c>
      <c r="AE136" s="31">
        <v>0.0</v>
      </c>
      <c r="AF136" s="31">
        <v>1.0</v>
      </c>
      <c r="AG136" s="35" t="s">
        <v>7045</v>
      </c>
    </row>
    <row r="137" ht="14.25" customHeight="1">
      <c r="A137" s="28" t="s">
        <v>1174</v>
      </c>
      <c r="B137" s="29" t="s">
        <v>1175</v>
      </c>
      <c r="C137" s="29" t="s">
        <v>7041</v>
      </c>
      <c r="D137" s="30">
        <v>45658.0</v>
      </c>
      <c r="E137" s="30">
        <v>46022.0</v>
      </c>
      <c r="F137" s="31">
        <v>0.0</v>
      </c>
      <c r="G137" s="31">
        <v>1.0</v>
      </c>
      <c r="H137" s="35" t="s">
        <v>7045</v>
      </c>
      <c r="I137" s="30">
        <v>46023.0</v>
      </c>
      <c r="J137" s="30">
        <v>46387.0</v>
      </c>
      <c r="K137" s="31">
        <v>0.0</v>
      </c>
      <c r="L137" s="31">
        <v>1.0</v>
      </c>
      <c r="M137" s="35" t="s">
        <v>7045</v>
      </c>
      <c r="N137" s="30">
        <v>46388.0</v>
      </c>
      <c r="O137" s="30">
        <v>46752.0</v>
      </c>
      <c r="P137" s="31">
        <v>0.0</v>
      </c>
      <c r="Q137" s="31">
        <v>1.0</v>
      </c>
      <c r="R137" s="35" t="s">
        <v>7045</v>
      </c>
      <c r="S137" s="30">
        <v>46753.0</v>
      </c>
      <c r="T137" s="30">
        <v>47118.0</v>
      </c>
      <c r="U137" s="31">
        <v>0.0</v>
      </c>
      <c r="V137" s="31">
        <v>1.0</v>
      </c>
      <c r="W137" s="35" t="s">
        <v>7045</v>
      </c>
      <c r="X137" s="30">
        <v>47119.0</v>
      </c>
      <c r="Y137" s="30">
        <v>47483.0</v>
      </c>
      <c r="Z137" s="31">
        <v>0.0</v>
      </c>
      <c r="AA137" s="31">
        <v>1.0</v>
      </c>
      <c r="AB137" s="35" t="s">
        <v>7045</v>
      </c>
      <c r="AC137" s="30">
        <v>47484.0</v>
      </c>
      <c r="AD137" s="30">
        <v>47848.0</v>
      </c>
      <c r="AE137" s="31">
        <v>0.0</v>
      </c>
      <c r="AF137" s="31">
        <v>1.0</v>
      </c>
      <c r="AG137" s="35" t="s">
        <v>7045</v>
      </c>
    </row>
    <row r="138" ht="14.25" customHeight="1">
      <c r="A138" s="28" t="s">
        <v>1279</v>
      </c>
      <c r="B138" s="29" t="s">
        <v>1280</v>
      </c>
      <c r="C138" s="29" t="s">
        <v>7041</v>
      </c>
      <c r="D138" s="30">
        <v>45658.0</v>
      </c>
      <c r="E138" s="30">
        <v>46022.0</v>
      </c>
      <c r="F138" s="31">
        <v>0.0</v>
      </c>
      <c r="G138" s="31">
        <v>1.0</v>
      </c>
      <c r="H138" s="35" t="s">
        <v>7045</v>
      </c>
      <c r="I138" s="30">
        <v>46023.0</v>
      </c>
      <c r="J138" s="30">
        <v>46387.0</v>
      </c>
      <c r="K138" s="31">
        <v>0.0</v>
      </c>
      <c r="L138" s="31">
        <v>1.0</v>
      </c>
      <c r="M138" s="35" t="s">
        <v>7045</v>
      </c>
      <c r="N138" s="30">
        <v>46388.0</v>
      </c>
      <c r="O138" s="30">
        <v>46752.0</v>
      </c>
      <c r="P138" s="31">
        <v>0.0</v>
      </c>
      <c r="Q138" s="31">
        <v>1.0</v>
      </c>
      <c r="R138" s="35" t="s">
        <v>7045</v>
      </c>
      <c r="S138" s="30">
        <v>46753.0</v>
      </c>
      <c r="T138" s="30">
        <v>47118.0</v>
      </c>
      <c r="U138" s="31">
        <v>0.0</v>
      </c>
      <c r="V138" s="31">
        <v>1.0</v>
      </c>
      <c r="W138" s="35" t="s">
        <v>7045</v>
      </c>
      <c r="X138" s="30">
        <v>47119.0</v>
      </c>
      <c r="Y138" s="30">
        <v>47483.0</v>
      </c>
      <c r="Z138" s="31">
        <v>0.0</v>
      </c>
      <c r="AA138" s="31">
        <v>1.0</v>
      </c>
      <c r="AB138" s="35" t="s">
        <v>7045</v>
      </c>
      <c r="AC138" s="30">
        <v>47484.0</v>
      </c>
      <c r="AD138" s="30">
        <v>47848.0</v>
      </c>
      <c r="AE138" s="31">
        <v>0.0</v>
      </c>
      <c r="AF138" s="31">
        <v>1.0</v>
      </c>
      <c r="AG138" s="35" t="s">
        <v>7045</v>
      </c>
    </row>
    <row r="139" ht="14.25" customHeight="1">
      <c r="A139" s="28" t="s">
        <v>1288</v>
      </c>
      <c r="B139" s="29" t="s">
        <v>1289</v>
      </c>
      <c r="C139" s="29" t="s">
        <v>7041</v>
      </c>
      <c r="D139" s="30">
        <v>45658.0</v>
      </c>
      <c r="E139" s="30">
        <v>46022.0</v>
      </c>
      <c r="F139" s="31">
        <v>0.0</v>
      </c>
      <c r="G139" s="31">
        <v>1.0</v>
      </c>
      <c r="H139" s="35" t="s">
        <v>7045</v>
      </c>
      <c r="I139" s="30">
        <v>46023.0</v>
      </c>
      <c r="J139" s="30">
        <v>46387.0</v>
      </c>
      <c r="K139" s="31">
        <v>0.0</v>
      </c>
      <c r="L139" s="31">
        <v>1.0</v>
      </c>
      <c r="M139" s="35" t="s">
        <v>7045</v>
      </c>
      <c r="N139" s="30">
        <v>46388.0</v>
      </c>
      <c r="O139" s="30">
        <v>46752.0</v>
      </c>
      <c r="P139" s="31">
        <v>0.0</v>
      </c>
      <c r="Q139" s="31">
        <v>1.0</v>
      </c>
      <c r="R139" s="35" t="s">
        <v>7045</v>
      </c>
      <c r="S139" s="30">
        <v>46753.0</v>
      </c>
      <c r="T139" s="30">
        <v>47118.0</v>
      </c>
      <c r="U139" s="31">
        <v>0.0</v>
      </c>
      <c r="V139" s="31">
        <v>1.0</v>
      </c>
      <c r="W139" s="35" t="s">
        <v>7045</v>
      </c>
      <c r="X139" s="30">
        <v>47119.0</v>
      </c>
      <c r="Y139" s="30">
        <v>47483.0</v>
      </c>
      <c r="Z139" s="31">
        <v>0.0</v>
      </c>
      <c r="AA139" s="31">
        <v>1.0</v>
      </c>
      <c r="AB139" s="35" t="s">
        <v>7045</v>
      </c>
      <c r="AC139" s="30">
        <v>47484.0</v>
      </c>
      <c r="AD139" s="30">
        <v>47848.0</v>
      </c>
      <c r="AE139" s="31">
        <v>0.0</v>
      </c>
      <c r="AF139" s="31">
        <v>1.0</v>
      </c>
      <c r="AG139" s="35" t="s">
        <v>7045</v>
      </c>
    </row>
    <row r="140" ht="14.25" customHeight="1">
      <c r="A140" s="28" t="s">
        <v>1320</v>
      </c>
      <c r="B140" s="29" t="s">
        <v>1321</v>
      </c>
      <c r="C140" s="29" t="s">
        <v>7041</v>
      </c>
      <c r="D140" s="30">
        <v>45658.0</v>
      </c>
      <c r="E140" s="30">
        <v>46022.0</v>
      </c>
      <c r="F140" s="31">
        <v>0.0</v>
      </c>
      <c r="G140" s="31">
        <v>1.0</v>
      </c>
      <c r="H140" s="35" t="s">
        <v>7045</v>
      </c>
      <c r="I140" s="30">
        <v>46023.0</v>
      </c>
      <c r="J140" s="30">
        <v>46387.0</v>
      </c>
      <c r="K140" s="31">
        <v>0.0</v>
      </c>
      <c r="L140" s="31">
        <v>1.0</v>
      </c>
      <c r="M140" s="35" t="s">
        <v>7045</v>
      </c>
      <c r="N140" s="30">
        <v>46388.0</v>
      </c>
      <c r="O140" s="30">
        <v>46752.0</v>
      </c>
      <c r="P140" s="31">
        <v>0.0</v>
      </c>
      <c r="Q140" s="31">
        <v>1.0</v>
      </c>
      <c r="R140" s="35" t="s">
        <v>7045</v>
      </c>
      <c r="S140" s="30">
        <v>46753.0</v>
      </c>
      <c r="T140" s="30">
        <v>47118.0</v>
      </c>
      <c r="U140" s="31">
        <v>0.0</v>
      </c>
      <c r="V140" s="31">
        <v>1.0</v>
      </c>
      <c r="W140" s="35" t="s">
        <v>7045</v>
      </c>
      <c r="X140" s="30">
        <v>47119.0</v>
      </c>
      <c r="Y140" s="30">
        <v>47483.0</v>
      </c>
      <c r="Z140" s="31">
        <v>0.0</v>
      </c>
      <c r="AA140" s="31">
        <v>1.0</v>
      </c>
      <c r="AB140" s="35" t="s">
        <v>7045</v>
      </c>
      <c r="AC140" s="30">
        <v>47484.0</v>
      </c>
      <c r="AD140" s="30">
        <v>47848.0</v>
      </c>
      <c r="AE140" s="31">
        <v>0.0</v>
      </c>
      <c r="AF140" s="31">
        <v>1.0</v>
      </c>
      <c r="AG140" s="35" t="s">
        <v>7045</v>
      </c>
    </row>
    <row r="141" ht="14.25" customHeight="1">
      <c r="A141" s="28" t="s">
        <v>1447</v>
      </c>
      <c r="B141" s="29" t="s">
        <v>1448</v>
      </c>
      <c r="C141" s="29" t="s">
        <v>7041</v>
      </c>
      <c r="D141" s="30">
        <v>45658.0</v>
      </c>
      <c r="E141" s="30">
        <v>46022.0</v>
      </c>
      <c r="F141" s="31">
        <v>1.0</v>
      </c>
      <c r="G141" s="31">
        <v>1.0</v>
      </c>
      <c r="H141" s="33" t="s">
        <v>7042</v>
      </c>
      <c r="I141" s="30">
        <v>46023.0</v>
      </c>
      <c r="J141" s="30">
        <v>46387.0</v>
      </c>
      <c r="K141" s="31">
        <v>0.0</v>
      </c>
      <c r="L141" s="31">
        <v>1.0</v>
      </c>
      <c r="M141" s="35" t="s">
        <v>7045</v>
      </c>
      <c r="N141" s="30">
        <v>46388.0</v>
      </c>
      <c r="O141" s="30">
        <v>46752.0</v>
      </c>
      <c r="P141" s="31">
        <v>0.0</v>
      </c>
      <c r="Q141" s="31">
        <v>1.0</v>
      </c>
      <c r="R141" s="35" t="s">
        <v>7045</v>
      </c>
      <c r="S141" s="30">
        <v>46753.0</v>
      </c>
      <c r="T141" s="30">
        <v>47118.0</v>
      </c>
      <c r="U141" s="31">
        <v>0.0</v>
      </c>
      <c r="V141" s="31">
        <v>1.0</v>
      </c>
      <c r="W141" s="35" t="s">
        <v>7045</v>
      </c>
      <c r="X141" s="30">
        <v>47119.0</v>
      </c>
      <c r="Y141" s="30">
        <v>47483.0</v>
      </c>
      <c r="Z141" s="31">
        <v>0.0</v>
      </c>
      <c r="AA141" s="31">
        <v>1.0</v>
      </c>
      <c r="AB141" s="35" t="s">
        <v>7045</v>
      </c>
      <c r="AC141" s="30">
        <v>47484.0</v>
      </c>
      <c r="AD141" s="30">
        <v>47848.0</v>
      </c>
      <c r="AE141" s="31">
        <v>0.0</v>
      </c>
      <c r="AF141" s="31">
        <v>1.0</v>
      </c>
      <c r="AG141" s="35" t="s">
        <v>7045</v>
      </c>
    </row>
    <row r="142" ht="14.25" customHeight="1">
      <c r="A142" s="28" t="s">
        <v>1571</v>
      </c>
      <c r="B142" s="29" t="s">
        <v>1572</v>
      </c>
      <c r="C142" s="29" t="s">
        <v>7041</v>
      </c>
      <c r="D142" s="30">
        <v>45658.0</v>
      </c>
      <c r="E142" s="30">
        <v>46022.0</v>
      </c>
      <c r="F142" s="31">
        <v>0.0</v>
      </c>
      <c r="G142" s="31">
        <v>1.0</v>
      </c>
      <c r="H142" s="35" t="s">
        <v>7045</v>
      </c>
      <c r="I142" s="30">
        <v>46023.0</v>
      </c>
      <c r="J142" s="30">
        <v>46387.0</v>
      </c>
      <c r="K142" s="31">
        <v>0.0</v>
      </c>
      <c r="L142" s="31">
        <v>1.0</v>
      </c>
      <c r="M142" s="35" t="s">
        <v>7045</v>
      </c>
      <c r="N142" s="30">
        <v>46388.0</v>
      </c>
      <c r="O142" s="30">
        <v>46752.0</v>
      </c>
      <c r="P142" s="31">
        <v>0.0</v>
      </c>
      <c r="Q142" s="31">
        <v>1.0</v>
      </c>
      <c r="R142" s="35" t="s">
        <v>7045</v>
      </c>
      <c r="S142" s="30">
        <v>46753.0</v>
      </c>
      <c r="T142" s="30">
        <v>47118.0</v>
      </c>
      <c r="U142" s="31">
        <v>0.0</v>
      </c>
      <c r="V142" s="31">
        <v>1.0</v>
      </c>
      <c r="W142" s="35" t="s">
        <v>7045</v>
      </c>
      <c r="X142" s="30">
        <v>47119.0</v>
      </c>
      <c r="Y142" s="30">
        <v>47483.0</v>
      </c>
      <c r="Z142" s="31">
        <v>0.0</v>
      </c>
      <c r="AA142" s="31">
        <v>1.0</v>
      </c>
      <c r="AB142" s="35" t="s">
        <v>7045</v>
      </c>
      <c r="AC142" s="30">
        <v>47484.0</v>
      </c>
      <c r="AD142" s="30">
        <v>47848.0</v>
      </c>
      <c r="AE142" s="31">
        <v>0.0</v>
      </c>
      <c r="AF142" s="31">
        <v>1.0</v>
      </c>
      <c r="AG142" s="35" t="s">
        <v>7045</v>
      </c>
    </row>
    <row r="143" ht="14.25" customHeight="1">
      <c r="A143" s="28" t="s">
        <v>1605</v>
      </c>
      <c r="B143" s="29" t="s">
        <v>1606</v>
      </c>
      <c r="C143" s="29" t="s">
        <v>7041</v>
      </c>
      <c r="D143" s="30">
        <v>45658.0</v>
      </c>
      <c r="E143" s="30">
        <v>46022.0</v>
      </c>
      <c r="F143" s="31">
        <v>0.0</v>
      </c>
      <c r="G143" s="31">
        <v>1.0</v>
      </c>
      <c r="H143" s="35" t="s">
        <v>7045</v>
      </c>
      <c r="I143" s="30">
        <v>46023.0</v>
      </c>
      <c r="J143" s="30">
        <v>46387.0</v>
      </c>
      <c r="K143" s="31">
        <v>0.0</v>
      </c>
      <c r="L143" s="31">
        <v>1.0</v>
      </c>
      <c r="M143" s="35" t="s">
        <v>7045</v>
      </c>
      <c r="N143" s="30">
        <v>46388.0</v>
      </c>
      <c r="O143" s="30">
        <v>46752.0</v>
      </c>
      <c r="P143" s="31">
        <v>0.0</v>
      </c>
      <c r="Q143" s="31">
        <v>1.0</v>
      </c>
      <c r="R143" s="35" t="s">
        <v>7045</v>
      </c>
      <c r="S143" s="30">
        <v>46753.0</v>
      </c>
      <c r="T143" s="30">
        <v>47118.0</v>
      </c>
      <c r="U143" s="31">
        <v>0.0</v>
      </c>
      <c r="V143" s="31">
        <v>1.0</v>
      </c>
      <c r="W143" s="35" t="s">
        <v>7045</v>
      </c>
      <c r="X143" s="30">
        <v>47119.0</v>
      </c>
      <c r="Y143" s="30">
        <v>47483.0</v>
      </c>
      <c r="Z143" s="31">
        <v>0.0</v>
      </c>
      <c r="AA143" s="31">
        <v>1.0</v>
      </c>
      <c r="AB143" s="35" t="s">
        <v>7045</v>
      </c>
      <c r="AC143" s="30">
        <v>47484.0</v>
      </c>
      <c r="AD143" s="30">
        <v>47848.0</v>
      </c>
      <c r="AE143" s="31">
        <v>0.0</v>
      </c>
      <c r="AF143" s="31">
        <v>1.0</v>
      </c>
      <c r="AG143" s="35" t="s">
        <v>7045</v>
      </c>
    </row>
    <row r="144" ht="14.25" customHeight="1">
      <c r="A144" s="28" t="s">
        <v>1850</v>
      </c>
      <c r="B144" s="29" t="s">
        <v>1851</v>
      </c>
      <c r="C144" s="29" t="s">
        <v>7041</v>
      </c>
      <c r="D144" s="30">
        <v>45658.0</v>
      </c>
      <c r="E144" s="30">
        <v>46022.0</v>
      </c>
      <c r="F144" s="31">
        <v>0.0</v>
      </c>
      <c r="G144" s="31">
        <v>1.0</v>
      </c>
      <c r="H144" s="35" t="s">
        <v>7045</v>
      </c>
      <c r="I144" s="30">
        <v>46023.0</v>
      </c>
      <c r="J144" s="30">
        <v>46387.0</v>
      </c>
      <c r="K144" s="31">
        <v>0.0</v>
      </c>
      <c r="L144" s="31">
        <v>1.0</v>
      </c>
      <c r="M144" s="35" t="s">
        <v>7045</v>
      </c>
      <c r="N144" s="30">
        <v>46388.0</v>
      </c>
      <c r="O144" s="30">
        <v>46752.0</v>
      </c>
      <c r="P144" s="31">
        <v>0.0</v>
      </c>
      <c r="Q144" s="31">
        <v>1.0</v>
      </c>
      <c r="R144" s="35" t="s">
        <v>7045</v>
      </c>
      <c r="S144" s="30">
        <v>46753.0</v>
      </c>
      <c r="T144" s="30">
        <v>47118.0</v>
      </c>
      <c r="U144" s="31">
        <v>0.0</v>
      </c>
      <c r="V144" s="31">
        <v>1.0</v>
      </c>
      <c r="W144" s="35" t="s">
        <v>7045</v>
      </c>
      <c r="X144" s="30">
        <v>47119.0</v>
      </c>
      <c r="Y144" s="30">
        <v>47483.0</v>
      </c>
      <c r="Z144" s="31">
        <v>0.0</v>
      </c>
      <c r="AA144" s="31">
        <v>1.0</v>
      </c>
      <c r="AB144" s="35" t="s">
        <v>7045</v>
      </c>
      <c r="AC144" s="30">
        <v>47484.0</v>
      </c>
      <c r="AD144" s="30">
        <v>47848.0</v>
      </c>
      <c r="AE144" s="31">
        <v>0.0</v>
      </c>
      <c r="AF144" s="31">
        <v>1.0</v>
      </c>
      <c r="AG144" s="35" t="s">
        <v>7045</v>
      </c>
    </row>
    <row r="145" ht="14.25" customHeight="1">
      <c r="A145" s="28" t="s">
        <v>1928</v>
      </c>
      <c r="B145" s="29" t="s">
        <v>1929</v>
      </c>
      <c r="C145" s="29" t="s">
        <v>7041</v>
      </c>
      <c r="D145" s="30">
        <v>45658.0</v>
      </c>
      <c r="E145" s="30">
        <v>46022.0</v>
      </c>
      <c r="F145" s="31">
        <v>0.0</v>
      </c>
      <c r="G145" s="31">
        <v>1.0</v>
      </c>
      <c r="H145" s="35" t="s">
        <v>7045</v>
      </c>
      <c r="I145" s="30">
        <v>46023.0</v>
      </c>
      <c r="J145" s="30">
        <v>46387.0</v>
      </c>
      <c r="K145" s="31">
        <v>0.0</v>
      </c>
      <c r="L145" s="31">
        <v>1.0</v>
      </c>
      <c r="M145" s="35" t="s">
        <v>7045</v>
      </c>
      <c r="N145" s="30">
        <v>46388.0</v>
      </c>
      <c r="O145" s="30">
        <v>46752.0</v>
      </c>
      <c r="P145" s="31">
        <v>0.0</v>
      </c>
      <c r="Q145" s="31">
        <v>1.0</v>
      </c>
      <c r="R145" s="35" t="s">
        <v>7045</v>
      </c>
      <c r="S145" s="30">
        <v>46753.0</v>
      </c>
      <c r="T145" s="30">
        <v>47118.0</v>
      </c>
      <c r="U145" s="31">
        <v>0.0</v>
      </c>
      <c r="V145" s="31">
        <v>1.0</v>
      </c>
      <c r="W145" s="35" t="s">
        <v>7045</v>
      </c>
      <c r="X145" s="30">
        <v>47119.0</v>
      </c>
      <c r="Y145" s="30">
        <v>47483.0</v>
      </c>
      <c r="Z145" s="31">
        <v>0.0</v>
      </c>
      <c r="AA145" s="31">
        <v>1.0</v>
      </c>
      <c r="AB145" s="35" t="s">
        <v>7045</v>
      </c>
      <c r="AC145" s="30">
        <v>47484.0</v>
      </c>
      <c r="AD145" s="30">
        <v>47848.0</v>
      </c>
      <c r="AE145" s="31">
        <v>0.0</v>
      </c>
      <c r="AF145" s="31">
        <v>1.0</v>
      </c>
      <c r="AG145" s="35" t="s">
        <v>7045</v>
      </c>
    </row>
    <row r="146" ht="14.25" customHeight="1">
      <c r="A146" s="28" t="s">
        <v>1979</v>
      </c>
      <c r="B146" s="29" t="s">
        <v>1980</v>
      </c>
      <c r="C146" s="29" t="s">
        <v>7041</v>
      </c>
      <c r="D146" s="30">
        <v>45658.0</v>
      </c>
      <c r="E146" s="30">
        <v>46022.0</v>
      </c>
      <c r="F146" s="31">
        <v>0.0</v>
      </c>
      <c r="G146" s="31">
        <v>1.0</v>
      </c>
      <c r="H146" s="35" t="s">
        <v>7045</v>
      </c>
      <c r="I146" s="30">
        <v>46023.0</v>
      </c>
      <c r="J146" s="30">
        <v>46387.0</v>
      </c>
      <c r="K146" s="31">
        <v>0.0</v>
      </c>
      <c r="L146" s="31">
        <v>1.0</v>
      </c>
      <c r="M146" s="35" t="s">
        <v>7045</v>
      </c>
      <c r="N146" s="30">
        <v>46388.0</v>
      </c>
      <c r="O146" s="30">
        <v>46752.0</v>
      </c>
      <c r="P146" s="31">
        <v>0.0</v>
      </c>
      <c r="Q146" s="31">
        <v>1.0</v>
      </c>
      <c r="R146" s="35" t="s">
        <v>7045</v>
      </c>
      <c r="S146" s="30">
        <v>46753.0</v>
      </c>
      <c r="T146" s="30">
        <v>47118.0</v>
      </c>
      <c r="U146" s="31">
        <v>0.0</v>
      </c>
      <c r="V146" s="31">
        <v>1.0</v>
      </c>
      <c r="W146" s="35" t="s">
        <v>7045</v>
      </c>
      <c r="X146" s="30">
        <v>47119.0</v>
      </c>
      <c r="Y146" s="30">
        <v>47483.0</v>
      </c>
      <c r="Z146" s="31">
        <v>0.0</v>
      </c>
      <c r="AA146" s="31">
        <v>1.0</v>
      </c>
      <c r="AB146" s="35" t="s">
        <v>7045</v>
      </c>
      <c r="AC146" s="30">
        <v>47484.0</v>
      </c>
      <c r="AD146" s="30">
        <v>47848.0</v>
      </c>
      <c r="AE146" s="31">
        <v>0.0</v>
      </c>
      <c r="AF146" s="31">
        <v>1.0</v>
      </c>
      <c r="AG146" s="35" t="s">
        <v>7045</v>
      </c>
    </row>
    <row r="147" ht="14.25" customHeight="1">
      <c r="A147" s="28" t="s">
        <v>2158</v>
      </c>
      <c r="B147" s="29" t="s">
        <v>2159</v>
      </c>
      <c r="C147" s="29" t="s">
        <v>7041</v>
      </c>
      <c r="D147" s="30">
        <v>45658.0</v>
      </c>
      <c r="E147" s="30">
        <v>46022.0</v>
      </c>
      <c r="F147" s="31">
        <v>0.0</v>
      </c>
      <c r="G147" s="31">
        <v>1.0</v>
      </c>
      <c r="H147" s="35" t="s">
        <v>7045</v>
      </c>
      <c r="I147" s="30">
        <v>46023.0</v>
      </c>
      <c r="J147" s="30">
        <v>46387.0</v>
      </c>
      <c r="K147" s="31">
        <v>0.0</v>
      </c>
      <c r="L147" s="31">
        <v>1.0</v>
      </c>
      <c r="M147" s="35" t="s">
        <v>7045</v>
      </c>
      <c r="N147" s="30">
        <v>46388.0</v>
      </c>
      <c r="O147" s="30">
        <v>46752.0</v>
      </c>
      <c r="P147" s="31">
        <v>0.0</v>
      </c>
      <c r="Q147" s="31">
        <v>1.0</v>
      </c>
      <c r="R147" s="35" t="s">
        <v>7045</v>
      </c>
      <c r="S147" s="30">
        <v>46753.0</v>
      </c>
      <c r="T147" s="30">
        <v>47118.0</v>
      </c>
      <c r="U147" s="31">
        <v>0.0</v>
      </c>
      <c r="V147" s="31">
        <v>1.0</v>
      </c>
      <c r="W147" s="35" t="s">
        <v>7045</v>
      </c>
      <c r="X147" s="30">
        <v>47119.0</v>
      </c>
      <c r="Y147" s="30">
        <v>47483.0</v>
      </c>
      <c r="Z147" s="31">
        <v>0.0</v>
      </c>
      <c r="AA147" s="31">
        <v>1.0</v>
      </c>
      <c r="AB147" s="35" t="s">
        <v>7045</v>
      </c>
      <c r="AC147" s="30">
        <v>47484.0</v>
      </c>
      <c r="AD147" s="30">
        <v>47848.0</v>
      </c>
      <c r="AE147" s="31">
        <v>0.0</v>
      </c>
      <c r="AF147" s="31">
        <v>1.0</v>
      </c>
      <c r="AG147" s="35" t="s">
        <v>7045</v>
      </c>
    </row>
    <row r="148" ht="14.25" customHeight="1">
      <c r="A148" s="28" t="s">
        <v>2163</v>
      </c>
      <c r="B148" s="29" t="s">
        <v>2164</v>
      </c>
      <c r="C148" s="29" t="s">
        <v>7041</v>
      </c>
      <c r="D148" s="30">
        <v>45658.0</v>
      </c>
      <c r="E148" s="30">
        <v>46022.0</v>
      </c>
      <c r="F148" s="31">
        <v>0.0</v>
      </c>
      <c r="G148" s="31">
        <v>1.0</v>
      </c>
      <c r="H148" s="35" t="s">
        <v>7045</v>
      </c>
      <c r="I148" s="30">
        <v>46023.0</v>
      </c>
      <c r="J148" s="30">
        <v>46387.0</v>
      </c>
      <c r="K148" s="31">
        <v>0.0</v>
      </c>
      <c r="L148" s="31">
        <v>1.0</v>
      </c>
      <c r="M148" s="35" t="s">
        <v>7045</v>
      </c>
      <c r="N148" s="30">
        <v>46388.0</v>
      </c>
      <c r="O148" s="30">
        <v>46752.0</v>
      </c>
      <c r="P148" s="31">
        <v>0.0</v>
      </c>
      <c r="Q148" s="31">
        <v>1.0</v>
      </c>
      <c r="R148" s="35" t="s">
        <v>7045</v>
      </c>
      <c r="S148" s="30">
        <v>46753.0</v>
      </c>
      <c r="T148" s="30">
        <v>47118.0</v>
      </c>
      <c r="U148" s="31">
        <v>0.0</v>
      </c>
      <c r="V148" s="31">
        <v>1.0</v>
      </c>
      <c r="W148" s="35" t="s">
        <v>7045</v>
      </c>
      <c r="X148" s="30">
        <v>47119.0</v>
      </c>
      <c r="Y148" s="30">
        <v>47483.0</v>
      </c>
      <c r="Z148" s="31">
        <v>0.0</v>
      </c>
      <c r="AA148" s="31">
        <v>1.0</v>
      </c>
      <c r="AB148" s="35" t="s">
        <v>7045</v>
      </c>
      <c r="AC148" s="30">
        <v>47484.0</v>
      </c>
      <c r="AD148" s="30">
        <v>47848.0</v>
      </c>
      <c r="AE148" s="31">
        <v>0.0</v>
      </c>
      <c r="AF148" s="31">
        <v>1.0</v>
      </c>
      <c r="AG148" s="35" t="s">
        <v>7045</v>
      </c>
    </row>
    <row r="149" ht="14.25" customHeight="1">
      <c r="A149" s="28" t="s">
        <v>2167</v>
      </c>
      <c r="B149" s="29" t="s">
        <v>2168</v>
      </c>
      <c r="C149" s="29" t="s">
        <v>7041</v>
      </c>
      <c r="D149" s="30">
        <v>45658.0</v>
      </c>
      <c r="E149" s="30">
        <v>46022.0</v>
      </c>
      <c r="F149" s="31">
        <v>0.0</v>
      </c>
      <c r="G149" s="31">
        <v>1.0</v>
      </c>
      <c r="H149" s="35" t="s">
        <v>7045</v>
      </c>
      <c r="I149" s="30">
        <v>46023.0</v>
      </c>
      <c r="J149" s="30">
        <v>46387.0</v>
      </c>
      <c r="K149" s="31">
        <v>0.0</v>
      </c>
      <c r="L149" s="31">
        <v>1.0</v>
      </c>
      <c r="M149" s="35" t="s">
        <v>7045</v>
      </c>
      <c r="N149" s="30">
        <v>46388.0</v>
      </c>
      <c r="O149" s="30">
        <v>46752.0</v>
      </c>
      <c r="P149" s="31">
        <v>0.0</v>
      </c>
      <c r="Q149" s="31">
        <v>1.0</v>
      </c>
      <c r="R149" s="35" t="s">
        <v>7045</v>
      </c>
      <c r="S149" s="30">
        <v>46753.0</v>
      </c>
      <c r="T149" s="30">
        <v>47118.0</v>
      </c>
      <c r="U149" s="31">
        <v>0.0</v>
      </c>
      <c r="V149" s="31">
        <v>1.0</v>
      </c>
      <c r="W149" s="35" t="s">
        <v>7045</v>
      </c>
      <c r="X149" s="30">
        <v>47119.0</v>
      </c>
      <c r="Y149" s="30">
        <v>47483.0</v>
      </c>
      <c r="Z149" s="31">
        <v>0.0</v>
      </c>
      <c r="AA149" s="31">
        <v>1.0</v>
      </c>
      <c r="AB149" s="35" t="s">
        <v>7045</v>
      </c>
      <c r="AC149" s="30">
        <v>47484.0</v>
      </c>
      <c r="AD149" s="30">
        <v>47848.0</v>
      </c>
      <c r="AE149" s="31">
        <v>0.0</v>
      </c>
      <c r="AF149" s="31">
        <v>1.0</v>
      </c>
      <c r="AG149" s="35" t="s">
        <v>7045</v>
      </c>
    </row>
    <row r="150" ht="14.25" customHeight="1">
      <c r="A150" s="28" t="s">
        <v>2380</v>
      </c>
      <c r="B150" s="29" t="s">
        <v>2381</v>
      </c>
      <c r="C150" s="29" t="s">
        <v>7041</v>
      </c>
      <c r="D150" s="30">
        <v>45658.0</v>
      </c>
      <c r="E150" s="30">
        <v>46022.0</v>
      </c>
      <c r="F150" s="31">
        <v>0.0</v>
      </c>
      <c r="G150" s="31">
        <v>1.0</v>
      </c>
      <c r="H150" s="35" t="s">
        <v>7045</v>
      </c>
      <c r="I150" s="30">
        <v>46023.0</v>
      </c>
      <c r="J150" s="30">
        <v>46387.0</v>
      </c>
      <c r="K150" s="31">
        <v>0.0</v>
      </c>
      <c r="L150" s="31">
        <v>1.0</v>
      </c>
      <c r="M150" s="35" t="s">
        <v>7045</v>
      </c>
      <c r="N150" s="30">
        <v>46388.0</v>
      </c>
      <c r="O150" s="30">
        <v>46752.0</v>
      </c>
      <c r="P150" s="31">
        <v>0.0</v>
      </c>
      <c r="Q150" s="31">
        <v>1.0</v>
      </c>
      <c r="R150" s="35" t="s">
        <v>7045</v>
      </c>
      <c r="S150" s="30">
        <v>46753.0</v>
      </c>
      <c r="T150" s="30">
        <v>47118.0</v>
      </c>
      <c r="U150" s="31">
        <v>0.0</v>
      </c>
      <c r="V150" s="31">
        <v>1.0</v>
      </c>
      <c r="W150" s="35" t="s">
        <v>7045</v>
      </c>
      <c r="X150" s="30">
        <v>47119.0</v>
      </c>
      <c r="Y150" s="30">
        <v>47483.0</v>
      </c>
      <c r="Z150" s="31">
        <v>0.0</v>
      </c>
      <c r="AA150" s="31">
        <v>1.0</v>
      </c>
      <c r="AB150" s="35" t="s">
        <v>7045</v>
      </c>
      <c r="AC150" s="30">
        <v>47484.0</v>
      </c>
      <c r="AD150" s="30">
        <v>47848.0</v>
      </c>
      <c r="AE150" s="31">
        <v>0.0</v>
      </c>
      <c r="AF150" s="31">
        <v>1.0</v>
      </c>
      <c r="AG150" s="35" t="s">
        <v>7045</v>
      </c>
    </row>
    <row r="151" ht="14.25" customHeight="1">
      <c r="A151" s="28" t="s">
        <v>2423</v>
      </c>
      <c r="B151" s="29" t="s">
        <v>2424</v>
      </c>
      <c r="C151" s="29" t="s">
        <v>7041</v>
      </c>
      <c r="D151" s="30">
        <v>45658.0</v>
      </c>
      <c r="E151" s="30">
        <v>46022.0</v>
      </c>
      <c r="F151" s="31">
        <v>0.0</v>
      </c>
      <c r="G151" s="31">
        <v>1.0</v>
      </c>
      <c r="H151" s="35" t="s">
        <v>7045</v>
      </c>
      <c r="I151" s="30">
        <v>46023.0</v>
      </c>
      <c r="J151" s="30">
        <v>46387.0</v>
      </c>
      <c r="K151" s="31">
        <v>0.0</v>
      </c>
      <c r="L151" s="31">
        <v>1.0</v>
      </c>
      <c r="M151" s="35" t="s">
        <v>7045</v>
      </c>
      <c r="N151" s="30">
        <v>46388.0</v>
      </c>
      <c r="O151" s="30">
        <v>46752.0</v>
      </c>
      <c r="P151" s="31">
        <v>0.0</v>
      </c>
      <c r="Q151" s="31">
        <v>1.0</v>
      </c>
      <c r="R151" s="35" t="s">
        <v>7045</v>
      </c>
      <c r="S151" s="30">
        <v>46753.0</v>
      </c>
      <c r="T151" s="30">
        <v>47118.0</v>
      </c>
      <c r="U151" s="31">
        <v>0.0</v>
      </c>
      <c r="V151" s="31">
        <v>1.0</v>
      </c>
      <c r="W151" s="35" t="s">
        <v>7045</v>
      </c>
      <c r="X151" s="30">
        <v>47119.0</v>
      </c>
      <c r="Y151" s="30">
        <v>47483.0</v>
      </c>
      <c r="Z151" s="31">
        <v>0.0</v>
      </c>
      <c r="AA151" s="31">
        <v>1.0</v>
      </c>
      <c r="AB151" s="35" t="s">
        <v>7045</v>
      </c>
      <c r="AC151" s="30">
        <v>47484.0</v>
      </c>
      <c r="AD151" s="30">
        <v>47848.0</v>
      </c>
      <c r="AE151" s="31">
        <v>0.0</v>
      </c>
      <c r="AF151" s="31">
        <v>1.0</v>
      </c>
      <c r="AG151" s="35" t="s">
        <v>7045</v>
      </c>
    </row>
    <row r="152" ht="14.25" customHeight="1">
      <c r="A152" s="28" t="s">
        <v>2474</v>
      </c>
      <c r="B152" s="29" t="s">
        <v>2475</v>
      </c>
      <c r="C152" s="29" t="s">
        <v>7041</v>
      </c>
      <c r="D152" s="30">
        <v>45658.0</v>
      </c>
      <c r="E152" s="30">
        <v>46022.0</v>
      </c>
      <c r="F152" s="31">
        <v>0.0</v>
      </c>
      <c r="G152" s="31">
        <v>1.0</v>
      </c>
      <c r="H152" s="35" t="s">
        <v>7045</v>
      </c>
      <c r="I152" s="30">
        <v>46023.0</v>
      </c>
      <c r="J152" s="30">
        <v>46387.0</v>
      </c>
      <c r="K152" s="31">
        <v>0.0</v>
      </c>
      <c r="L152" s="31">
        <v>1.0</v>
      </c>
      <c r="M152" s="35" t="s">
        <v>7045</v>
      </c>
      <c r="N152" s="30">
        <v>46388.0</v>
      </c>
      <c r="O152" s="30">
        <v>46752.0</v>
      </c>
      <c r="P152" s="31">
        <v>0.0</v>
      </c>
      <c r="Q152" s="31">
        <v>1.0</v>
      </c>
      <c r="R152" s="35" t="s">
        <v>7045</v>
      </c>
      <c r="S152" s="30">
        <v>46753.0</v>
      </c>
      <c r="T152" s="30">
        <v>47118.0</v>
      </c>
      <c r="U152" s="31">
        <v>0.0</v>
      </c>
      <c r="V152" s="31">
        <v>1.0</v>
      </c>
      <c r="W152" s="35" t="s">
        <v>7045</v>
      </c>
      <c r="X152" s="30">
        <v>47119.0</v>
      </c>
      <c r="Y152" s="30">
        <v>47483.0</v>
      </c>
      <c r="Z152" s="31">
        <v>0.0</v>
      </c>
      <c r="AA152" s="31">
        <v>1.0</v>
      </c>
      <c r="AB152" s="35" t="s">
        <v>7045</v>
      </c>
      <c r="AC152" s="30">
        <v>47484.0</v>
      </c>
      <c r="AD152" s="30">
        <v>47848.0</v>
      </c>
      <c r="AE152" s="31">
        <v>0.0</v>
      </c>
      <c r="AF152" s="31">
        <v>1.0</v>
      </c>
      <c r="AG152" s="35" t="s">
        <v>7045</v>
      </c>
    </row>
    <row r="153" ht="14.25" customHeight="1">
      <c r="A153" s="28" t="s">
        <v>2492</v>
      </c>
      <c r="B153" s="29" t="s">
        <v>2493</v>
      </c>
      <c r="C153" s="29" t="s">
        <v>7041</v>
      </c>
      <c r="D153" s="30">
        <v>45658.0</v>
      </c>
      <c r="E153" s="30">
        <v>46022.0</v>
      </c>
      <c r="F153" s="31">
        <v>0.0</v>
      </c>
      <c r="G153" s="31">
        <v>1.0</v>
      </c>
      <c r="H153" s="35" t="s">
        <v>7045</v>
      </c>
      <c r="I153" s="30">
        <v>46023.0</v>
      </c>
      <c r="J153" s="30">
        <v>46387.0</v>
      </c>
      <c r="K153" s="31">
        <v>0.0</v>
      </c>
      <c r="L153" s="31">
        <v>1.0</v>
      </c>
      <c r="M153" s="35" t="s">
        <v>7045</v>
      </c>
      <c r="N153" s="30">
        <v>46388.0</v>
      </c>
      <c r="O153" s="30">
        <v>46752.0</v>
      </c>
      <c r="P153" s="31">
        <v>0.0</v>
      </c>
      <c r="Q153" s="31">
        <v>1.0</v>
      </c>
      <c r="R153" s="35" t="s">
        <v>7045</v>
      </c>
      <c r="S153" s="30">
        <v>46753.0</v>
      </c>
      <c r="T153" s="30">
        <v>47118.0</v>
      </c>
      <c r="U153" s="31">
        <v>0.0</v>
      </c>
      <c r="V153" s="31">
        <v>1.0</v>
      </c>
      <c r="W153" s="35" t="s">
        <v>7045</v>
      </c>
      <c r="X153" s="30">
        <v>47119.0</v>
      </c>
      <c r="Y153" s="30">
        <v>47483.0</v>
      </c>
      <c r="Z153" s="31">
        <v>0.0</v>
      </c>
      <c r="AA153" s="31">
        <v>1.0</v>
      </c>
      <c r="AB153" s="35" t="s">
        <v>7045</v>
      </c>
      <c r="AC153" s="30">
        <v>47484.0</v>
      </c>
      <c r="AD153" s="30">
        <v>47848.0</v>
      </c>
      <c r="AE153" s="31">
        <v>0.0</v>
      </c>
      <c r="AF153" s="31">
        <v>1.0</v>
      </c>
      <c r="AG153" s="35" t="s">
        <v>7045</v>
      </c>
    </row>
    <row r="154" ht="14.25" customHeight="1">
      <c r="A154" s="28" t="s">
        <v>2526</v>
      </c>
      <c r="B154" s="29" t="s">
        <v>2527</v>
      </c>
      <c r="C154" s="29" t="s">
        <v>7041</v>
      </c>
      <c r="D154" s="30">
        <v>45658.0</v>
      </c>
      <c r="E154" s="30">
        <v>46022.0</v>
      </c>
      <c r="F154" s="31">
        <v>0.0</v>
      </c>
      <c r="G154" s="31">
        <v>1.0</v>
      </c>
      <c r="H154" s="35" t="s">
        <v>7045</v>
      </c>
      <c r="I154" s="30">
        <v>46023.0</v>
      </c>
      <c r="J154" s="30">
        <v>46387.0</v>
      </c>
      <c r="K154" s="31">
        <v>0.0</v>
      </c>
      <c r="L154" s="31">
        <v>1.0</v>
      </c>
      <c r="M154" s="35" t="s">
        <v>7045</v>
      </c>
      <c r="N154" s="30">
        <v>46388.0</v>
      </c>
      <c r="O154" s="30">
        <v>46752.0</v>
      </c>
      <c r="P154" s="31">
        <v>0.0</v>
      </c>
      <c r="Q154" s="31">
        <v>1.0</v>
      </c>
      <c r="R154" s="35" t="s">
        <v>7045</v>
      </c>
      <c r="S154" s="30">
        <v>46753.0</v>
      </c>
      <c r="T154" s="30">
        <v>47118.0</v>
      </c>
      <c r="U154" s="31">
        <v>0.0</v>
      </c>
      <c r="V154" s="31">
        <v>1.0</v>
      </c>
      <c r="W154" s="35" t="s">
        <v>7045</v>
      </c>
      <c r="X154" s="30">
        <v>47119.0</v>
      </c>
      <c r="Y154" s="30">
        <v>47483.0</v>
      </c>
      <c r="Z154" s="31">
        <v>0.0</v>
      </c>
      <c r="AA154" s="31">
        <v>1.0</v>
      </c>
      <c r="AB154" s="35" t="s">
        <v>7045</v>
      </c>
      <c r="AC154" s="30">
        <v>47484.0</v>
      </c>
      <c r="AD154" s="30">
        <v>47848.0</v>
      </c>
      <c r="AE154" s="31">
        <v>0.0</v>
      </c>
      <c r="AF154" s="31">
        <v>1.0</v>
      </c>
      <c r="AG154" s="35" t="s">
        <v>7045</v>
      </c>
    </row>
    <row r="155" ht="14.25" customHeight="1">
      <c r="A155" s="28" t="s">
        <v>2636</v>
      </c>
      <c r="B155" s="29" t="s">
        <v>2637</v>
      </c>
      <c r="C155" s="29" t="s">
        <v>7041</v>
      </c>
      <c r="D155" s="30">
        <v>45658.0</v>
      </c>
      <c r="E155" s="30">
        <v>46022.0</v>
      </c>
      <c r="F155" s="31">
        <v>0.0</v>
      </c>
      <c r="G155" s="31">
        <v>1.0</v>
      </c>
      <c r="H155" s="35" t="s">
        <v>7045</v>
      </c>
      <c r="I155" s="30">
        <v>46023.0</v>
      </c>
      <c r="J155" s="30">
        <v>46387.0</v>
      </c>
      <c r="K155" s="31">
        <v>0.0</v>
      </c>
      <c r="L155" s="31">
        <v>1.0</v>
      </c>
      <c r="M155" s="35" t="s">
        <v>7045</v>
      </c>
      <c r="N155" s="30">
        <v>46388.0</v>
      </c>
      <c r="O155" s="30">
        <v>46752.0</v>
      </c>
      <c r="P155" s="31">
        <v>0.0</v>
      </c>
      <c r="Q155" s="31">
        <v>1.0</v>
      </c>
      <c r="R155" s="35" t="s">
        <v>7045</v>
      </c>
      <c r="S155" s="30">
        <v>46753.0</v>
      </c>
      <c r="T155" s="30">
        <v>47118.0</v>
      </c>
      <c r="U155" s="31">
        <v>0.0</v>
      </c>
      <c r="V155" s="31">
        <v>1.0</v>
      </c>
      <c r="W155" s="35" t="s">
        <v>7045</v>
      </c>
      <c r="X155" s="30">
        <v>47119.0</v>
      </c>
      <c r="Y155" s="30">
        <v>47483.0</v>
      </c>
      <c r="Z155" s="31">
        <v>0.0</v>
      </c>
      <c r="AA155" s="31">
        <v>1.0</v>
      </c>
      <c r="AB155" s="35" t="s">
        <v>7045</v>
      </c>
      <c r="AC155" s="30">
        <v>47484.0</v>
      </c>
      <c r="AD155" s="30">
        <v>47848.0</v>
      </c>
      <c r="AE155" s="31">
        <v>0.0</v>
      </c>
      <c r="AF155" s="31">
        <v>1.0</v>
      </c>
      <c r="AG155" s="35" t="s">
        <v>7045</v>
      </c>
    </row>
    <row r="156" ht="14.25" customHeight="1">
      <c r="A156" s="28" t="s">
        <v>2776</v>
      </c>
      <c r="B156" s="29" t="s">
        <v>2777</v>
      </c>
      <c r="C156" s="29" t="s">
        <v>7041</v>
      </c>
      <c r="D156" s="30">
        <v>45658.0</v>
      </c>
      <c r="E156" s="30">
        <v>46022.0</v>
      </c>
      <c r="F156" s="31">
        <v>0.0</v>
      </c>
      <c r="G156" s="31">
        <v>1.0</v>
      </c>
      <c r="H156" s="35" t="s">
        <v>7045</v>
      </c>
      <c r="I156" s="30">
        <v>46023.0</v>
      </c>
      <c r="J156" s="30">
        <v>46387.0</v>
      </c>
      <c r="K156" s="31">
        <v>0.0</v>
      </c>
      <c r="L156" s="31">
        <v>1.0</v>
      </c>
      <c r="M156" s="35" t="s">
        <v>7045</v>
      </c>
      <c r="N156" s="30">
        <v>46388.0</v>
      </c>
      <c r="O156" s="30">
        <v>46752.0</v>
      </c>
      <c r="P156" s="31">
        <v>0.0</v>
      </c>
      <c r="Q156" s="31">
        <v>1.0</v>
      </c>
      <c r="R156" s="35" t="s">
        <v>7045</v>
      </c>
      <c r="S156" s="30">
        <v>46753.0</v>
      </c>
      <c r="T156" s="30">
        <v>47118.0</v>
      </c>
      <c r="U156" s="31">
        <v>0.0</v>
      </c>
      <c r="V156" s="31">
        <v>1.0</v>
      </c>
      <c r="W156" s="35" t="s">
        <v>7045</v>
      </c>
      <c r="X156" s="30">
        <v>47119.0</v>
      </c>
      <c r="Y156" s="30">
        <v>47483.0</v>
      </c>
      <c r="Z156" s="31">
        <v>0.0</v>
      </c>
      <c r="AA156" s="31">
        <v>1.0</v>
      </c>
      <c r="AB156" s="35" t="s">
        <v>7045</v>
      </c>
      <c r="AC156" s="30">
        <v>47484.0</v>
      </c>
      <c r="AD156" s="30">
        <v>47848.0</v>
      </c>
      <c r="AE156" s="31">
        <v>0.0</v>
      </c>
      <c r="AF156" s="31">
        <v>1.0</v>
      </c>
      <c r="AG156" s="35" t="s">
        <v>7045</v>
      </c>
    </row>
    <row r="157" ht="14.25" customHeight="1">
      <c r="A157" s="28" t="s">
        <v>2794</v>
      </c>
      <c r="B157" s="29" t="s">
        <v>2795</v>
      </c>
      <c r="C157" s="29" t="s">
        <v>7041</v>
      </c>
      <c r="D157" s="30">
        <v>45658.0</v>
      </c>
      <c r="E157" s="30">
        <v>46022.0</v>
      </c>
      <c r="F157" s="31">
        <v>0.0</v>
      </c>
      <c r="G157" s="31">
        <v>1.0</v>
      </c>
      <c r="H157" s="35" t="s">
        <v>7045</v>
      </c>
      <c r="I157" s="30">
        <v>46023.0</v>
      </c>
      <c r="J157" s="30">
        <v>46387.0</v>
      </c>
      <c r="K157" s="31">
        <v>0.0</v>
      </c>
      <c r="L157" s="31">
        <v>1.0</v>
      </c>
      <c r="M157" s="35" t="s">
        <v>7045</v>
      </c>
      <c r="N157" s="30">
        <v>46388.0</v>
      </c>
      <c r="O157" s="30">
        <v>46752.0</v>
      </c>
      <c r="P157" s="31">
        <v>0.0</v>
      </c>
      <c r="Q157" s="31">
        <v>1.0</v>
      </c>
      <c r="R157" s="35" t="s">
        <v>7045</v>
      </c>
      <c r="S157" s="30">
        <v>46753.0</v>
      </c>
      <c r="T157" s="30">
        <v>47118.0</v>
      </c>
      <c r="U157" s="31">
        <v>0.0</v>
      </c>
      <c r="V157" s="31">
        <v>1.0</v>
      </c>
      <c r="W157" s="35" t="s">
        <v>7045</v>
      </c>
      <c r="X157" s="30">
        <v>47119.0</v>
      </c>
      <c r="Y157" s="30">
        <v>47483.0</v>
      </c>
      <c r="Z157" s="31">
        <v>0.0</v>
      </c>
      <c r="AA157" s="31">
        <v>1.0</v>
      </c>
      <c r="AB157" s="35" t="s">
        <v>7045</v>
      </c>
      <c r="AC157" s="30">
        <v>47484.0</v>
      </c>
      <c r="AD157" s="30">
        <v>47848.0</v>
      </c>
      <c r="AE157" s="31">
        <v>0.0</v>
      </c>
      <c r="AF157" s="31">
        <v>1.0</v>
      </c>
      <c r="AG157" s="35" t="s">
        <v>7045</v>
      </c>
    </row>
    <row r="158" ht="14.25" customHeight="1">
      <c r="A158" s="28" t="s">
        <v>2975</v>
      </c>
      <c r="B158" s="29" t="s">
        <v>2976</v>
      </c>
      <c r="C158" s="29" t="s">
        <v>7041</v>
      </c>
      <c r="D158" s="30">
        <v>45658.0</v>
      </c>
      <c r="E158" s="30">
        <v>46022.0</v>
      </c>
      <c r="F158" s="31">
        <v>0.0</v>
      </c>
      <c r="G158" s="31">
        <v>1.0</v>
      </c>
      <c r="H158" s="35" t="s">
        <v>7045</v>
      </c>
      <c r="I158" s="30">
        <v>46023.0</v>
      </c>
      <c r="J158" s="30">
        <v>46387.0</v>
      </c>
      <c r="K158" s="31">
        <v>0.0</v>
      </c>
      <c r="L158" s="31">
        <v>1.0</v>
      </c>
      <c r="M158" s="35" t="s">
        <v>7045</v>
      </c>
      <c r="N158" s="30">
        <v>46388.0</v>
      </c>
      <c r="O158" s="30">
        <v>46752.0</v>
      </c>
      <c r="P158" s="31">
        <v>0.0</v>
      </c>
      <c r="Q158" s="31">
        <v>1.0</v>
      </c>
      <c r="R158" s="35" t="s">
        <v>7045</v>
      </c>
      <c r="S158" s="30">
        <v>46753.0</v>
      </c>
      <c r="T158" s="30">
        <v>47118.0</v>
      </c>
      <c r="U158" s="31">
        <v>0.0</v>
      </c>
      <c r="V158" s="31">
        <v>1.0</v>
      </c>
      <c r="W158" s="35" t="s">
        <v>7045</v>
      </c>
      <c r="X158" s="30">
        <v>47119.0</v>
      </c>
      <c r="Y158" s="30">
        <v>47483.0</v>
      </c>
      <c r="Z158" s="31">
        <v>0.0</v>
      </c>
      <c r="AA158" s="31">
        <v>1.0</v>
      </c>
      <c r="AB158" s="35" t="s">
        <v>7045</v>
      </c>
      <c r="AC158" s="30">
        <v>47484.0</v>
      </c>
      <c r="AD158" s="30">
        <v>47848.0</v>
      </c>
      <c r="AE158" s="31">
        <v>0.0</v>
      </c>
      <c r="AF158" s="31">
        <v>1.0</v>
      </c>
      <c r="AG158" s="35" t="s">
        <v>7045</v>
      </c>
    </row>
    <row r="159" ht="14.25" customHeight="1">
      <c r="A159" s="28" t="s">
        <v>2978</v>
      </c>
      <c r="B159" s="29" t="s">
        <v>2979</v>
      </c>
      <c r="C159" s="29" t="s">
        <v>7041</v>
      </c>
      <c r="D159" s="30">
        <v>45658.0</v>
      </c>
      <c r="E159" s="30">
        <v>46022.0</v>
      </c>
      <c r="F159" s="31">
        <v>1.0</v>
      </c>
      <c r="G159" s="31">
        <v>1.0</v>
      </c>
      <c r="H159" s="35" t="s">
        <v>7042</v>
      </c>
      <c r="I159" s="30">
        <v>46023.0</v>
      </c>
      <c r="J159" s="30">
        <v>46387.0</v>
      </c>
      <c r="K159" s="31">
        <v>0.0</v>
      </c>
      <c r="L159" s="31">
        <v>1.0</v>
      </c>
      <c r="M159" s="35" t="s">
        <v>7045</v>
      </c>
      <c r="N159" s="30">
        <v>46388.0</v>
      </c>
      <c r="O159" s="30">
        <v>46752.0</v>
      </c>
      <c r="P159" s="31">
        <v>0.0</v>
      </c>
      <c r="Q159" s="31">
        <v>1.0</v>
      </c>
      <c r="R159" s="35" t="s">
        <v>7045</v>
      </c>
      <c r="S159" s="30">
        <v>46753.0</v>
      </c>
      <c r="T159" s="30">
        <v>47118.0</v>
      </c>
      <c r="U159" s="31">
        <v>0.0</v>
      </c>
      <c r="V159" s="31">
        <v>1.0</v>
      </c>
      <c r="W159" s="35" t="s">
        <v>7045</v>
      </c>
      <c r="X159" s="30">
        <v>47119.0</v>
      </c>
      <c r="Y159" s="30">
        <v>47483.0</v>
      </c>
      <c r="Z159" s="31">
        <v>0.0</v>
      </c>
      <c r="AA159" s="31">
        <v>1.0</v>
      </c>
      <c r="AB159" s="35" t="s">
        <v>7045</v>
      </c>
      <c r="AC159" s="30">
        <v>47484.0</v>
      </c>
      <c r="AD159" s="30">
        <v>47848.0</v>
      </c>
      <c r="AE159" s="31">
        <v>0.0</v>
      </c>
      <c r="AF159" s="31">
        <v>1.0</v>
      </c>
      <c r="AG159" s="35" t="s">
        <v>7045</v>
      </c>
    </row>
    <row r="160" ht="14.25" customHeight="1">
      <c r="A160" s="28" t="s">
        <v>2982</v>
      </c>
      <c r="B160" s="29" t="s">
        <v>2983</v>
      </c>
      <c r="C160" s="29" t="s">
        <v>7041</v>
      </c>
      <c r="D160" s="30">
        <v>45658.0</v>
      </c>
      <c r="E160" s="30">
        <v>46022.0</v>
      </c>
      <c r="F160" s="31">
        <v>0.0</v>
      </c>
      <c r="G160" s="31">
        <v>1.0</v>
      </c>
      <c r="H160" s="35" t="s">
        <v>7045</v>
      </c>
      <c r="I160" s="30">
        <v>46023.0</v>
      </c>
      <c r="J160" s="30">
        <v>46387.0</v>
      </c>
      <c r="K160" s="31">
        <v>0.0</v>
      </c>
      <c r="L160" s="31">
        <v>1.0</v>
      </c>
      <c r="M160" s="35" t="s">
        <v>7045</v>
      </c>
      <c r="N160" s="30">
        <v>46388.0</v>
      </c>
      <c r="O160" s="30">
        <v>46752.0</v>
      </c>
      <c r="P160" s="31">
        <v>0.0</v>
      </c>
      <c r="Q160" s="31">
        <v>1.0</v>
      </c>
      <c r="R160" s="35" t="s">
        <v>7045</v>
      </c>
      <c r="S160" s="30">
        <v>46753.0</v>
      </c>
      <c r="T160" s="30">
        <v>47118.0</v>
      </c>
      <c r="U160" s="31">
        <v>0.0</v>
      </c>
      <c r="V160" s="31">
        <v>1.0</v>
      </c>
      <c r="W160" s="35" t="s">
        <v>7045</v>
      </c>
      <c r="X160" s="30">
        <v>47119.0</v>
      </c>
      <c r="Y160" s="30">
        <v>47483.0</v>
      </c>
      <c r="Z160" s="31">
        <v>0.0</v>
      </c>
      <c r="AA160" s="31">
        <v>1.0</v>
      </c>
      <c r="AB160" s="35" t="s">
        <v>7045</v>
      </c>
      <c r="AC160" s="30">
        <v>47484.0</v>
      </c>
      <c r="AD160" s="30">
        <v>47848.0</v>
      </c>
      <c r="AE160" s="31">
        <v>0.0</v>
      </c>
      <c r="AF160" s="31">
        <v>1.0</v>
      </c>
      <c r="AG160" s="35" t="s">
        <v>7045</v>
      </c>
    </row>
    <row r="161" ht="14.25" customHeight="1">
      <c r="A161" s="28" t="s">
        <v>3112</v>
      </c>
      <c r="B161" s="29" t="s">
        <v>3113</v>
      </c>
      <c r="C161" s="29" t="s">
        <v>7041</v>
      </c>
      <c r="D161" s="30">
        <v>45658.0</v>
      </c>
      <c r="E161" s="30">
        <v>46022.0</v>
      </c>
      <c r="F161" s="31">
        <v>0.0</v>
      </c>
      <c r="G161" s="31">
        <v>1.0</v>
      </c>
      <c r="H161" s="35" t="s">
        <v>7045</v>
      </c>
      <c r="I161" s="30">
        <v>46023.0</v>
      </c>
      <c r="J161" s="30">
        <v>46387.0</v>
      </c>
      <c r="K161" s="31">
        <v>0.0</v>
      </c>
      <c r="L161" s="31">
        <v>1.0</v>
      </c>
      <c r="M161" s="35" t="s">
        <v>7045</v>
      </c>
      <c r="N161" s="30">
        <v>46388.0</v>
      </c>
      <c r="O161" s="30">
        <v>46752.0</v>
      </c>
      <c r="P161" s="31">
        <v>0.0</v>
      </c>
      <c r="Q161" s="31">
        <v>1.0</v>
      </c>
      <c r="R161" s="35" t="s">
        <v>7045</v>
      </c>
      <c r="S161" s="30">
        <v>46753.0</v>
      </c>
      <c r="T161" s="30">
        <v>47118.0</v>
      </c>
      <c r="U161" s="31">
        <v>0.0</v>
      </c>
      <c r="V161" s="31">
        <v>1.0</v>
      </c>
      <c r="W161" s="35" t="s">
        <v>7045</v>
      </c>
      <c r="X161" s="30">
        <v>47119.0</v>
      </c>
      <c r="Y161" s="30">
        <v>47483.0</v>
      </c>
      <c r="Z161" s="31">
        <v>0.0</v>
      </c>
      <c r="AA161" s="31">
        <v>1.0</v>
      </c>
      <c r="AB161" s="35" t="s">
        <v>7045</v>
      </c>
      <c r="AC161" s="30">
        <v>47484.0</v>
      </c>
      <c r="AD161" s="30">
        <v>47848.0</v>
      </c>
      <c r="AE161" s="31">
        <v>0.0</v>
      </c>
      <c r="AF161" s="31">
        <v>1.0</v>
      </c>
      <c r="AG161" s="35" t="s">
        <v>7045</v>
      </c>
    </row>
    <row r="162" ht="14.25" customHeight="1">
      <c r="A162" s="28" t="s">
        <v>3141</v>
      </c>
      <c r="B162" s="29" t="s">
        <v>3142</v>
      </c>
      <c r="C162" s="29" t="s">
        <v>7041</v>
      </c>
      <c r="D162" s="30">
        <v>45658.0</v>
      </c>
      <c r="E162" s="30">
        <v>46022.0</v>
      </c>
      <c r="F162" s="31">
        <v>0.0</v>
      </c>
      <c r="G162" s="31">
        <v>1.0</v>
      </c>
      <c r="H162" s="35" t="s">
        <v>7045</v>
      </c>
      <c r="I162" s="30">
        <v>46023.0</v>
      </c>
      <c r="J162" s="30">
        <v>46387.0</v>
      </c>
      <c r="K162" s="31">
        <v>0.0</v>
      </c>
      <c r="L162" s="31">
        <v>1.0</v>
      </c>
      <c r="M162" s="35" t="s">
        <v>7045</v>
      </c>
      <c r="N162" s="30">
        <v>46388.0</v>
      </c>
      <c r="O162" s="30">
        <v>46752.0</v>
      </c>
      <c r="P162" s="31">
        <v>0.0</v>
      </c>
      <c r="Q162" s="31">
        <v>1.0</v>
      </c>
      <c r="R162" s="35" t="s">
        <v>7045</v>
      </c>
      <c r="S162" s="30">
        <v>46753.0</v>
      </c>
      <c r="T162" s="30">
        <v>47118.0</v>
      </c>
      <c r="U162" s="31">
        <v>0.0</v>
      </c>
      <c r="V162" s="31">
        <v>1.0</v>
      </c>
      <c r="W162" s="35" t="s">
        <v>7045</v>
      </c>
      <c r="X162" s="30">
        <v>47119.0</v>
      </c>
      <c r="Y162" s="30">
        <v>47483.0</v>
      </c>
      <c r="Z162" s="31">
        <v>0.0</v>
      </c>
      <c r="AA162" s="31">
        <v>1.0</v>
      </c>
      <c r="AB162" s="35" t="s">
        <v>7045</v>
      </c>
      <c r="AC162" s="30">
        <v>47484.0</v>
      </c>
      <c r="AD162" s="30">
        <v>47848.0</v>
      </c>
      <c r="AE162" s="31">
        <v>0.0</v>
      </c>
      <c r="AF162" s="31">
        <v>1.0</v>
      </c>
      <c r="AG162" s="35" t="s">
        <v>7045</v>
      </c>
    </row>
    <row r="163" ht="14.25" customHeight="1">
      <c r="A163" s="28" t="s">
        <v>3163</v>
      </c>
      <c r="B163" s="29" t="s">
        <v>3164</v>
      </c>
      <c r="C163" s="29" t="s">
        <v>7041</v>
      </c>
      <c r="D163" s="30">
        <v>45658.0</v>
      </c>
      <c r="E163" s="30">
        <v>46022.0</v>
      </c>
      <c r="F163" s="31">
        <v>0.0</v>
      </c>
      <c r="G163" s="31">
        <v>1.0</v>
      </c>
      <c r="H163" s="35" t="s">
        <v>7045</v>
      </c>
      <c r="I163" s="30">
        <v>46023.0</v>
      </c>
      <c r="J163" s="30">
        <v>46387.0</v>
      </c>
      <c r="K163" s="31">
        <v>0.0</v>
      </c>
      <c r="L163" s="31">
        <v>1.0</v>
      </c>
      <c r="M163" s="35" t="s">
        <v>7045</v>
      </c>
      <c r="N163" s="30">
        <v>46388.0</v>
      </c>
      <c r="O163" s="30">
        <v>46752.0</v>
      </c>
      <c r="P163" s="31">
        <v>0.0</v>
      </c>
      <c r="Q163" s="31">
        <v>1.0</v>
      </c>
      <c r="R163" s="35" t="s">
        <v>7045</v>
      </c>
      <c r="S163" s="30">
        <v>46753.0</v>
      </c>
      <c r="T163" s="30">
        <v>47118.0</v>
      </c>
      <c r="U163" s="31">
        <v>0.0</v>
      </c>
      <c r="V163" s="31">
        <v>1.0</v>
      </c>
      <c r="W163" s="35" t="s">
        <v>7045</v>
      </c>
      <c r="X163" s="30">
        <v>47119.0</v>
      </c>
      <c r="Y163" s="30">
        <v>47483.0</v>
      </c>
      <c r="Z163" s="31">
        <v>0.0</v>
      </c>
      <c r="AA163" s="31">
        <v>1.0</v>
      </c>
      <c r="AB163" s="35" t="s">
        <v>7045</v>
      </c>
      <c r="AC163" s="30">
        <v>47484.0</v>
      </c>
      <c r="AD163" s="30">
        <v>47848.0</v>
      </c>
      <c r="AE163" s="31">
        <v>0.0</v>
      </c>
      <c r="AF163" s="31">
        <v>1.0</v>
      </c>
      <c r="AG163" s="35" t="s">
        <v>7045</v>
      </c>
    </row>
    <row r="164" ht="14.25" customHeight="1">
      <c r="A164" s="28" t="s">
        <v>3176</v>
      </c>
      <c r="B164" s="29" t="s">
        <v>3177</v>
      </c>
      <c r="C164" s="29" t="s">
        <v>7041</v>
      </c>
      <c r="D164" s="30">
        <v>45658.0</v>
      </c>
      <c r="E164" s="30">
        <v>46022.0</v>
      </c>
      <c r="F164" s="31">
        <v>0.0</v>
      </c>
      <c r="G164" s="31">
        <v>1.0</v>
      </c>
      <c r="H164" s="35" t="s">
        <v>7045</v>
      </c>
      <c r="I164" s="30">
        <v>46023.0</v>
      </c>
      <c r="J164" s="30">
        <v>46387.0</v>
      </c>
      <c r="K164" s="31">
        <v>0.0</v>
      </c>
      <c r="L164" s="31">
        <v>1.0</v>
      </c>
      <c r="M164" s="35" t="s">
        <v>7045</v>
      </c>
      <c r="N164" s="30">
        <v>46388.0</v>
      </c>
      <c r="O164" s="30">
        <v>46752.0</v>
      </c>
      <c r="P164" s="31">
        <v>0.0</v>
      </c>
      <c r="Q164" s="31">
        <v>1.0</v>
      </c>
      <c r="R164" s="35" t="s">
        <v>7045</v>
      </c>
      <c r="S164" s="30">
        <v>46753.0</v>
      </c>
      <c r="T164" s="30">
        <v>47118.0</v>
      </c>
      <c r="U164" s="31">
        <v>0.0</v>
      </c>
      <c r="V164" s="31">
        <v>1.0</v>
      </c>
      <c r="W164" s="35" t="s">
        <v>7045</v>
      </c>
      <c r="X164" s="30">
        <v>47119.0</v>
      </c>
      <c r="Y164" s="30">
        <v>47483.0</v>
      </c>
      <c r="Z164" s="31">
        <v>0.0</v>
      </c>
      <c r="AA164" s="31">
        <v>1.0</v>
      </c>
      <c r="AB164" s="35" t="s">
        <v>7045</v>
      </c>
      <c r="AC164" s="30">
        <v>47484.0</v>
      </c>
      <c r="AD164" s="30">
        <v>47848.0</v>
      </c>
      <c r="AE164" s="31">
        <v>0.0</v>
      </c>
      <c r="AF164" s="31">
        <v>1.0</v>
      </c>
      <c r="AG164" s="35" t="s">
        <v>7045</v>
      </c>
    </row>
    <row r="165" ht="14.25" customHeight="1">
      <c r="A165" s="28" t="s">
        <v>3268</v>
      </c>
      <c r="B165" s="29" t="s">
        <v>3269</v>
      </c>
      <c r="C165" s="29" t="s">
        <v>7041</v>
      </c>
      <c r="D165" s="30">
        <v>45658.0</v>
      </c>
      <c r="E165" s="30">
        <v>46022.0</v>
      </c>
      <c r="F165" s="31">
        <v>0.0</v>
      </c>
      <c r="G165" s="31">
        <v>1.0</v>
      </c>
      <c r="H165" s="35" t="s">
        <v>7045</v>
      </c>
      <c r="I165" s="30">
        <v>46023.0</v>
      </c>
      <c r="J165" s="30">
        <v>46387.0</v>
      </c>
      <c r="K165" s="31">
        <v>0.0</v>
      </c>
      <c r="L165" s="31">
        <v>1.0</v>
      </c>
      <c r="M165" s="35" t="s">
        <v>7045</v>
      </c>
      <c r="N165" s="30">
        <v>46388.0</v>
      </c>
      <c r="O165" s="30">
        <v>46752.0</v>
      </c>
      <c r="P165" s="31">
        <v>0.0</v>
      </c>
      <c r="Q165" s="31">
        <v>1.0</v>
      </c>
      <c r="R165" s="35" t="s">
        <v>7045</v>
      </c>
      <c r="S165" s="30">
        <v>46753.0</v>
      </c>
      <c r="T165" s="30">
        <v>47118.0</v>
      </c>
      <c r="U165" s="31">
        <v>0.0</v>
      </c>
      <c r="V165" s="31">
        <v>1.0</v>
      </c>
      <c r="W165" s="35" t="s">
        <v>7045</v>
      </c>
      <c r="X165" s="30">
        <v>47119.0</v>
      </c>
      <c r="Y165" s="30">
        <v>47483.0</v>
      </c>
      <c r="Z165" s="31">
        <v>0.0</v>
      </c>
      <c r="AA165" s="31">
        <v>1.0</v>
      </c>
      <c r="AB165" s="35" t="s">
        <v>7045</v>
      </c>
      <c r="AC165" s="30">
        <v>47484.0</v>
      </c>
      <c r="AD165" s="30">
        <v>47848.0</v>
      </c>
      <c r="AE165" s="31">
        <v>0.0</v>
      </c>
      <c r="AF165" s="31">
        <v>1.0</v>
      </c>
      <c r="AG165" s="35" t="s">
        <v>7045</v>
      </c>
    </row>
    <row r="166" ht="14.25" customHeight="1">
      <c r="A166" s="28" t="s">
        <v>3357</v>
      </c>
      <c r="B166" s="29" t="s">
        <v>3358</v>
      </c>
      <c r="C166" s="29" t="s">
        <v>7041</v>
      </c>
      <c r="D166" s="30">
        <v>45658.0</v>
      </c>
      <c r="E166" s="30">
        <v>46022.0</v>
      </c>
      <c r="F166" s="31">
        <v>0.0</v>
      </c>
      <c r="G166" s="31">
        <v>1.0</v>
      </c>
      <c r="H166" s="35" t="s">
        <v>7045</v>
      </c>
      <c r="I166" s="30">
        <v>46023.0</v>
      </c>
      <c r="J166" s="30">
        <v>46387.0</v>
      </c>
      <c r="K166" s="31">
        <v>0.0</v>
      </c>
      <c r="L166" s="31">
        <v>1.0</v>
      </c>
      <c r="M166" s="35" t="s">
        <v>7045</v>
      </c>
      <c r="N166" s="30">
        <v>46388.0</v>
      </c>
      <c r="O166" s="30">
        <v>46752.0</v>
      </c>
      <c r="P166" s="31">
        <v>0.0</v>
      </c>
      <c r="Q166" s="31">
        <v>1.0</v>
      </c>
      <c r="R166" s="35" t="s">
        <v>7045</v>
      </c>
      <c r="S166" s="30">
        <v>46753.0</v>
      </c>
      <c r="T166" s="30">
        <v>47118.0</v>
      </c>
      <c r="U166" s="31">
        <v>0.0</v>
      </c>
      <c r="V166" s="31">
        <v>1.0</v>
      </c>
      <c r="W166" s="35" t="s">
        <v>7045</v>
      </c>
      <c r="X166" s="30">
        <v>47119.0</v>
      </c>
      <c r="Y166" s="30">
        <v>47483.0</v>
      </c>
      <c r="Z166" s="31">
        <v>0.0</v>
      </c>
      <c r="AA166" s="31">
        <v>1.0</v>
      </c>
      <c r="AB166" s="35" t="s">
        <v>7045</v>
      </c>
      <c r="AC166" s="30">
        <v>47484.0</v>
      </c>
      <c r="AD166" s="30">
        <v>47848.0</v>
      </c>
      <c r="AE166" s="31">
        <v>0.0</v>
      </c>
      <c r="AF166" s="31">
        <v>1.0</v>
      </c>
      <c r="AG166" s="35" t="s">
        <v>7045</v>
      </c>
    </row>
    <row r="167" ht="14.25" customHeight="1">
      <c r="A167" s="28" t="s">
        <v>3392</v>
      </c>
      <c r="B167" s="29" t="s">
        <v>3393</v>
      </c>
      <c r="C167" s="29" t="s">
        <v>7041</v>
      </c>
      <c r="D167" s="30">
        <v>45658.0</v>
      </c>
      <c r="E167" s="30">
        <v>46022.0</v>
      </c>
      <c r="F167" s="31">
        <v>0.0</v>
      </c>
      <c r="G167" s="31">
        <v>1.0</v>
      </c>
      <c r="H167" s="35" t="s">
        <v>7045</v>
      </c>
      <c r="I167" s="30">
        <v>46023.0</v>
      </c>
      <c r="J167" s="30">
        <v>46387.0</v>
      </c>
      <c r="K167" s="31">
        <v>0.0</v>
      </c>
      <c r="L167" s="31">
        <v>1.0</v>
      </c>
      <c r="M167" s="35" t="s">
        <v>7045</v>
      </c>
      <c r="N167" s="30">
        <v>46388.0</v>
      </c>
      <c r="O167" s="30">
        <v>46752.0</v>
      </c>
      <c r="P167" s="31">
        <v>0.0</v>
      </c>
      <c r="Q167" s="31">
        <v>1.0</v>
      </c>
      <c r="R167" s="35" t="s">
        <v>7045</v>
      </c>
      <c r="S167" s="30">
        <v>46753.0</v>
      </c>
      <c r="T167" s="30">
        <v>47118.0</v>
      </c>
      <c r="U167" s="31">
        <v>0.0</v>
      </c>
      <c r="V167" s="31">
        <v>1.0</v>
      </c>
      <c r="W167" s="35" t="s">
        <v>7045</v>
      </c>
      <c r="X167" s="30">
        <v>47119.0</v>
      </c>
      <c r="Y167" s="30">
        <v>47483.0</v>
      </c>
      <c r="Z167" s="31">
        <v>0.0</v>
      </c>
      <c r="AA167" s="31">
        <v>1.0</v>
      </c>
      <c r="AB167" s="35" t="s">
        <v>7045</v>
      </c>
      <c r="AC167" s="30">
        <v>47484.0</v>
      </c>
      <c r="AD167" s="30">
        <v>47848.0</v>
      </c>
      <c r="AE167" s="31">
        <v>0.0</v>
      </c>
      <c r="AF167" s="31">
        <v>1.0</v>
      </c>
      <c r="AG167" s="35" t="s">
        <v>7045</v>
      </c>
    </row>
    <row r="168" ht="14.25" customHeight="1">
      <c r="A168" s="28" t="s">
        <v>3413</v>
      </c>
      <c r="B168" s="29" t="s">
        <v>3414</v>
      </c>
      <c r="C168" s="29" t="s">
        <v>7041</v>
      </c>
      <c r="D168" s="30">
        <v>45658.0</v>
      </c>
      <c r="E168" s="30">
        <v>46022.0</v>
      </c>
      <c r="F168" s="31">
        <v>0.0</v>
      </c>
      <c r="G168" s="31">
        <v>1.0</v>
      </c>
      <c r="H168" s="35" t="s">
        <v>7045</v>
      </c>
      <c r="I168" s="30">
        <v>46023.0</v>
      </c>
      <c r="J168" s="30">
        <v>46387.0</v>
      </c>
      <c r="K168" s="31">
        <v>0.0</v>
      </c>
      <c r="L168" s="31">
        <v>1.0</v>
      </c>
      <c r="M168" s="35" t="s">
        <v>7045</v>
      </c>
      <c r="N168" s="30">
        <v>46388.0</v>
      </c>
      <c r="O168" s="30">
        <v>46752.0</v>
      </c>
      <c r="P168" s="31">
        <v>0.0</v>
      </c>
      <c r="Q168" s="31">
        <v>1.0</v>
      </c>
      <c r="R168" s="35" t="s">
        <v>7045</v>
      </c>
      <c r="S168" s="30">
        <v>46753.0</v>
      </c>
      <c r="T168" s="30">
        <v>47118.0</v>
      </c>
      <c r="U168" s="31">
        <v>0.0</v>
      </c>
      <c r="V168" s="31">
        <v>1.0</v>
      </c>
      <c r="W168" s="35" t="s">
        <v>7045</v>
      </c>
      <c r="X168" s="30">
        <v>47119.0</v>
      </c>
      <c r="Y168" s="30">
        <v>47483.0</v>
      </c>
      <c r="Z168" s="31">
        <v>0.0</v>
      </c>
      <c r="AA168" s="31">
        <v>1.0</v>
      </c>
      <c r="AB168" s="35" t="s">
        <v>7045</v>
      </c>
      <c r="AC168" s="30">
        <v>47484.0</v>
      </c>
      <c r="AD168" s="30">
        <v>47848.0</v>
      </c>
      <c r="AE168" s="31">
        <v>0.0</v>
      </c>
      <c r="AF168" s="31">
        <v>1.0</v>
      </c>
      <c r="AG168" s="35" t="s">
        <v>7045</v>
      </c>
    </row>
    <row r="169" ht="14.25" customHeight="1">
      <c r="A169" s="28" t="s">
        <v>3564</v>
      </c>
      <c r="B169" s="29" t="s">
        <v>3565</v>
      </c>
      <c r="C169" s="29" t="s">
        <v>7044</v>
      </c>
      <c r="D169" s="30">
        <v>45658.0</v>
      </c>
      <c r="E169" s="30">
        <v>46022.0</v>
      </c>
      <c r="F169" s="31">
        <v>0.0</v>
      </c>
      <c r="G169" s="31">
        <v>1.0</v>
      </c>
      <c r="H169" s="35" t="s">
        <v>7045</v>
      </c>
      <c r="I169" s="30">
        <v>46023.0</v>
      </c>
      <c r="J169" s="30">
        <v>46387.0</v>
      </c>
      <c r="K169" s="31">
        <v>0.0</v>
      </c>
      <c r="L169" s="31">
        <v>1.0</v>
      </c>
      <c r="M169" s="35" t="s">
        <v>7045</v>
      </c>
      <c r="N169" s="30">
        <v>46388.0</v>
      </c>
      <c r="O169" s="30">
        <v>46752.0</v>
      </c>
      <c r="P169" s="31">
        <v>0.0</v>
      </c>
      <c r="Q169" s="31">
        <v>1.0</v>
      </c>
      <c r="R169" s="35" t="s">
        <v>7045</v>
      </c>
      <c r="S169" s="30">
        <v>46753.0</v>
      </c>
      <c r="T169" s="30">
        <v>47118.0</v>
      </c>
      <c r="U169" s="31">
        <v>0.0</v>
      </c>
      <c r="V169" s="31">
        <v>1.0</v>
      </c>
      <c r="W169" s="35" t="s">
        <v>7045</v>
      </c>
      <c r="X169" s="30">
        <v>47119.0</v>
      </c>
      <c r="Y169" s="30">
        <v>47483.0</v>
      </c>
      <c r="Z169" s="31">
        <v>0.0</v>
      </c>
      <c r="AA169" s="31">
        <v>1.0</v>
      </c>
      <c r="AB169" s="35" t="s">
        <v>7045</v>
      </c>
      <c r="AC169" s="30">
        <v>47484.0</v>
      </c>
      <c r="AD169" s="30">
        <v>47848.0</v>
      </c>
      <c r="AE169" s="31">
        <v>0.0</v>
      </c>
      <c r="AF169" s="31">
        <v>1.0</v>
      </c>
      <c r="AG169" s="35" t="s">
        <v>7045</v>
      </c>
    </row>
    <row r="170" ht="14.25" customHeight="1">
      <c r="A170" s="28" t="s">
        <v>3603</v>
      </c>
      <c r="B170" s="29" t="s">
        <v>3604</v>
      </c>
      <c r="C170" s="29" t="s">
        <v>7041</v>
      </c>
      <c r="D170" s="30">
        <v>45658.0</v>
      </c>
      <c r="E170" s="30">
        <v>46022.0</v>
      </c>
      <c r="F170" s="31">
        <v>0.0</v>
      </c>
      <c r="G170" s="31">
        <v>1.0</v>
      </c>
      <c r="H170" s="35" t="s">
        <v>7045</v>
      </c>
      <c r="I170" s="30">
        <v>46023.0</v>
      </c>
      <c r="J170" s="30">
        <v>46387.0</v>
      </c>
      <c r="K170" s="31">
        <v>0.0</v>
      </c>
      <c r="L170" s="31">
        <v>1.0</v>
      </c>
      <c r="M170" s="35" t="s">
        <v>7045</v>
      </c>
      <c r="N170" s="30">
        <v>46388.0</v>
      </c>
      <c r="O170" s="30">
        <v>46752.0</v>
      </c>
      <c r="P170" s="31">
        <v>0.0</v>
      </c>
      <c r="Q170" s="31">
        <v>1.0</v>
      </c>
      <c r="R170" s="35" t="s">
        <v>7045</v>
      </c>
      <c r="S170" s="30">
        <v>46753.0</v>
      </c>
      <c r="T170" s="30">
        <v>47118.0</v>
      </c>
      <c r="U170" s="31">
        <v>0.0</v>
      </c>
      <c r="V170" s="31">
        <v>1.0</v>
      </c>
      <c r="W170" s="35" t="s">
        <v>7045</v>
      </c>
      <c r="X170" s="30">
        <v>47119.0</v>
      </c>
      <c r="Y170" s="30">
        <v>47483.0</v>
      </c>
      <c r="Z170" s="31">
        <v>0.0</v>
      </c>
      <c r="AA170" s="31">
        <v>1.0</v>
      </c>
      <c r="AB170" s="35" t="s">
        <v>7045</v>
      </c>
      <c r="AC170" s="30">
        <v>47484.0</v>
      </c>
      <c r="AD170" s="30">
        <v>47848.0</v>
      </c>
      <c r="AE170" s="31">
        <v>0.0</v>
      </c>
      <c r="AF170" s="31">
        <v>1.0</v>
      </c>
      <c r="AG170" s="35" t="s">
        <v>7045</v>
      </c>
    </row>
    <row r="171" ht="14.25" customHeight="1">
      <c r="A171" s="28" t="s">
        <v>3877</v>
      </c>
      <c r="B171" s="29" t="s">
        <v>3878</v>
      </c>
      <c r="C171" s="29" t="s">
        <v>7041</v>
      </c>
      <c r="D171" s="30">
        <v>45658.0</v>
      </c>
      <c r="E171" s="30">
        <v>46022.0</v>
      </c>
      <c r="F171" s="31">
        <v>0.0</v>
      </c>
      <c r="G171" s="31">
        <v>1.0</v>
      </c>
      <c r="H171" s="35" t="s">
        <v>7045</v>
      </c>
      <c r="I171" s="30">
        <v>46023.0</v>
      </c>
      <c r="J171" s="30">
        <v>46387.0</v>
      </c>
      <c r="K171" s="31">
        <v>0.0</v>
      </c>
      <c r="L171" s="31">
        <v>1.0</v>
      </c>
      <c r="M171" s="35" t="s">
        <v>7045</v>
      </c>
      <c r="N171" s="30">
        <v>46388.0</v>
      </c>
      <c r="O171" s="30">
        <v>46752.0</v>
      </c>
      <c r="P171" s="31">
        <v>0.0</v>
      </c>
      <c r="Q171" s="31">
        <v>1.0</v>
      </c>
      <c r="R171" s="35" t="s">
        <v>7045</v>
      </c>
      <c r="S171" s="30">
        <v>46753.0</v>
      </c>
      <c r="T171" s="30">
        <v>47118.0</v>
      </c>
      <c r="U171" s="31">
        <v>0.0</v>
      </c>
      <c r="V171" s="31">
        <v>1.0</v>
      </c>
      <c r="W171" s="35" t="s">
        <v>7045</v>
      </c>
      <c r="X171" s="30">
        <v>47119.0</v>
      </c>
      <c r="Y171" s="30">
        <v>47483.0</v>
      </c>
      <c r="Z171" s="31">
        <v>0.0</v>
      </c>
      <c r="AA171" s="31">
        <v>1.0</v>
      </c>
      <c r="AB171" s="35" t="s">
        <v>7045</v>
      </c>
      <c r="AC171" s="30">
        <v>47484.0</v>
      </c>
      <c r="AD171" s="30">
        <v>47848.0</v>
      </c>
      <c r="AE171" s="31">
        <v>0.0</v>
      </c>
      <c r="AF171" s="31">
        <v>1.0</v>
      </c>
      <c r="AG171" s="35" t="s">
        <v>7045</v>
      </c>
    </row>
    <row r="172" ht="14.25" customHeight="1">
      <c r="A172" s="28" t="s">
        <v>3943</v>
      </c>
      <c r="B172" s="34" t="s">
        <v>3944</v>
      </c>
      <c r="C172" s="29" t="s">
        <v>7041</v>
      </c>
      <c r="D172" s="30">
        <v>45658.0</v>
      </c>
      <c r="E172" s="30">
        <v>46022.0</v>
      </c>
      <c r="F172" s="31">
        <v>0.0</v>
      </c>
      <c r="G172" s="31">
        <v>1.0</v>
      </c>
      <c r="H172" s="35" t="s">
        <v>7045</v>
      </c>
      <c r="I172" s="30">
        <v>46023.0</v>
      </c>
      <c r="J172" s="30">
        <v>46387.0</v>
      </c>
      <c r="K172" s="31">
        <v>0.0</v>
      </c>
      <c r="L172" s="31">
        <v>1.0</v>
      </c>
      <c r="M172" s="35" t="s">
        <v>7045</v>
      </c>
      <c r="N172" s="30">
        <v>46388.0</v>
      </c>
      <c r="O172" s="30">
        <v>46752.0</v>
      </c>
      <c r="P172" s="31">
        <v>0.0</v>
      </c>
      <c r="Q172" s="31">
        <v>1.0</v>
      </c>
      <c r="R172" s="35" t="s">
        <v>7045</v>
      </c>
      <c r="S172" s="30">
        <v>46753.0</v>
      </c>
      <c r="T172" s="30">
        <v>47118.0</v>
      </c>
      <c r="U172" s="31">
        <v>0.0</v>
      </c>
      <c r="V172" s="31">
        <v>1.0</v>
      </c>
      <c r="W172" s="35" t="s">
        <v>7045</v>
      </c>
      <c r="X172" s="30">
        <v>47119.0</v>
      </c>
      <c r="Y172" s="30">
        <v>47483.0</v>
      </c>
      <c r="Z172" s="31">
        <v>0.0</v>
      </c>
      <c r="AA172" s="31">
        <v>1.0</v>
      </c>
      <c r="AB172" s="35" t="s">
        <v>7045</v>
      </c>
      <c r="AC172" s="30">
        <v>47484.0</v>
      </c>
      <c r="AD172" s="30">
        <v>47848.0</v>
      </c>
      <c r="AE172" s="31">
        <v>0.0</v>
      </c>
      <c r="AF172" s="31">
        <v>1.0</v>
      </c>
      <c r="AG172" s="35" t="s">
        <v>7045</v>
      </c>
    </row>
    <row r="173" ht="14.25" customHeight="1">
      <c r="A173" s="28" t="s">
        <v>4011</v>
      </c>
      <c r="B173" s="29" t="s">
        <v>4012</v>
      </c>
      <c r="C173" s="29" t="s">
        <v>7041</v>
      </c>
      <c r="D173" s="30">
        <v>45658.0</v>
      </c>
      <c r="E173" s="30">
        <v>46022.0</v>
      </c>
      <c r="F173" s="31">
        <v>0.0</v>
      </c>
      <c r="G173" s="31">
        <v>1.0</v>
      </c>
      <c r="H173" s="35" t="s">
        <v>7045</v>
      </c>
      <c r="I173" s="30">
        <v>46023.0</v>
      </c>
      <c r="J173" s="30">
        <v>46387.0</v>
      </c>
      <c r="K173" s="31">
        <v>0.0</v>
      </c>
      <c r="L173" s="31">
        <v>1.0</v>
      </c>
      <c r="M173" s="35" t="s">
        <v>7045</v>
      </c>
      <c r="N173" s="30">
        <v>46388.0</v>
      </c>
      <c r="O173" s="30">
        <v>46752.0</v>
      </c>
      <c r="P173" s="31">
        <v>0.0</v>
      </c>
      <c r="Q173" s="31">
        <v>1.0</v>
      </c>
      <c r="R173" s="35" t="s">
        <v>7045</v>
      </c>
      <c r="S173" s="30">
        <v>46753.0</v>
      </c>
      <c r="T173" s="30">
        <v>47118.0</v>
      </c>
      <c r="U173" s="31">
        <v>0.0</v>
      </c>
      <c r="V173" s="31">
        <v>1.0</v>
      </c>
      <c r="W173" s="35" t="s">
        <v>7045</v>
      </c>
      <c r="X173" s="30">
        <v>47119.0</v>
      </c>
      <c r="Y173" s="30">
        <v>47483.0</v>
      </c>
      <c r="Z173" s="31">
        <v>0.0</v>
      </c>
      <c r="AA173" s="31">
        <v>1.0</v>
      </c>
      <c r="AB173" s="35" t="s">
        <v>7045</v>
      </c>
      <c r="AC173" s="30">
        <v>47484.0</v>
      </c>
      <c r="AD173" s="30">
        <v>47848.0</v>
      </c>
      <c r="AE173" s="31">
        <v>0.0</v>
      </c>
      <c r="AF173" s="31">
        <v>1.0</v>
      </c>
      <c r="AG173" s="35" t="s">
        <v>7045</v>
      </c>
    </row>
    <row r="174" ht="14.25" customHeight="1">
      <c r="A174" s="28" t="s">
        <v>4140</v>
      </c>
      <c r="B174" s="29" t="s">
        <v>4141</v>
      </c>
      <c r="C174" s="29" t="s">
        <v>7041</v>
      </c>
      <c r="D174" s="30">
        <v>45658.0</v>
      </c>
      <c r="E174" s="30">
        <v>46022.0</v>
      </c>
      <c r="F174" s="31">
        <v>0.0</v>
      </c>
      <c r="G174" s="31">
        <v>1.0</v>
      </c>
      <c r="H174" s="35" t="s">
        <v>7045</v>
      </c>
      <c r="I174" s="30">
        <v>46023.0</v>
      </c>
      <c r="J174" s="30">
        <v>46387.0</v>
      </c>
      <c r="K174" s="31">
        <v>0.0</v>
      </c>
      <c r="L174" s="31">
        <v>1.0</v>
      </c>
      <c r="M174" s="35" t="s">
        <v>7045</v>
      </c>
      <c r="N174" s="30">
        <v>46388.0</v>
      </c>
      <c r="O174" s="30">
        <v>46752.0</v>
      </c>
      <c r="P174" s="31">
        <v>0.0</v>
      </c>
      <c r="Q174" s="31">
        <v>1.0</v>
      </c>
      <c r="R174" s="35" t="s">
        <v>7045</v>
      </c>
      <c r="S174" s="30">
        <v>46753.0</v>
      </c>
      <c r="T174" s="30">
        <v>47118.0</v>
      </c>
      <c r="U174" s="31">
        <v>0.0</v>
      </c>
      <c r="V174" s="31">
        <v>1.0</v>
      </c>
      <c r="W174" s="35" t="s">
        <v>7045</v>
      </c>
      <c r="X174" s="30">
        <v>47119.0</v>
      </c>
      <c r="Y174" s="30">
        <v>47483.0</v>
      </c>
      <c r="Z174" s="31">
        <v>0.0</v>
      </c>
      <c r="AA174" s="31">
        <v>1.0</v>
      </c>
      <c r="AB174" s="35" t="s">
        <v>7045</v>
      </c>
      <c r="AC174" s="30">
        <v>47484.0</v>
      </c>
      <c r="AD174" s="30">
        <v>47848.0</v>
      </c>
      <c r="AE174" s="31">
        <v>0.0</v>
      </c>
      <c r="AF174" s="31">
        <v>1.0</v>
      </c>
      <c r="AG174" s="35" t="s">
        <v>7045</v>
      </c>
    </row>
    <row r="175" ht="14.25" customHeight="1">
      <c r="A175" s="28" t="s">
        <v>4197</v>
      </c>
      <c r="B175" s="29" t="s">
        <v>4198</v>
      </c>
      <c r="C175" s="29" t="s">
        <v>7041</v>
      </c>
      <c r="D175" s="30">
        <v>45658.0</v>
      </c>
      <c r="E175" s="30">
        <v>46022.0</v>
      </c>
      <c r="F175" s="31">
        <v>0.0</v>
      </c>
      <c r="G175" s="31">
        <v>1.0</v>
      </c>
      <c r="H175" s="35" t="s">
        <v>7045</v>
      </c>
      <c r="I175" s="30">
        <v>46023.0</v>
      </c>
      <c r="J175" s="30">
        <v>46387.0</v>
      </c>
      <c r="K175" s="31">
        <v>0.0</v>
      </c>
      <c r="L175" s="31">
        <v>1.0</v>
      </c>
      <c r="M175" s="35" t="s">
        <v>7045</v>
      </c>
      <c r="N175" s="30">
        <v>46388.0</v>
      </c>
      <c r="O175" s="30">
        <v>46752.0</v>
      </c>
      <c r="P175" s="31">
        <v>0.0</v>
      </c>
      <c r="Q175" s="31">
        <v>1.0</v>
      </c>
      <c r="R175" s="35" t="s">
        <v>7045</v>
      </c>
      <c r="S175" s="30">
        <v>46753.0</v>
      </c>
      <c r="T175" s="30">
        <v>47118.0</v>
      </c>
      <c r="U175" s="31">
        <v>0.0</v>
      </c>
      <c r="V175" s="31">
        <v>1.0</v>
      </c>
      <c r="W175" s="35" t="s">
        <v>7045</v>
      </c>
      <c r="X175" s="30">
        <v>47119.0</v>
      </c>
      <c r="Y175" s="30">
        <v>47483.0</v>
      </c>
      <c r="Z175" s="31">
        <v>0.0</v>
      </c>
      <c r="AA175" s="31">
        <v>1.0</v>
      </c>
      <c r="AB175" s="35" t="s">
        <v>7045</v>
      </c>
      <c r="AC175" s="30">
        <v>47484.0</v>
      </c>
      <c r="AD175" s="30">
        <v>47848.0</v>
      </c>
      <c r="AE175" s="31">
        <v>0.0</v>
      </c>
      <c r="AF175" s="31">
        <v>1.0</v>
      </c>
      <c r="AG175" s="35" t="s">
        <v>7045</v>
      </c>
    </row>
    <row r="176" ht="14.25" customHeight="1">
      <c r="A176" s="28" t="s">
        <v>4894</v>
      </c>
      <c r="B176" s="29" t="s">
        <v>4895</v>
      </c>
      <c r="C176" s="29" t="s">
        <v>7041</v>
      </c>
      <c r="D176" s="30">
        <v>45658.0</v>
      </c>
      <c r="E176" s="30">
        <v>46022.0</v>
      </c>
      <c r="F176" s="31">
        <v>0.0</v>
      </c>
      <c r="G176" s="31">
        <v>1.0</v>
      </c>
      <c r="H176" s="35" t="s">
        <v>7045</v>
      </c>
      <c r="I176" s="30">
        <v>46023.0</v>
      </c>
      <c r="J176" s="30">
        <v>46387.0</v>
      </c>
      <c r="K176" s="31">
        <v>0.0</v>
      </c>
      <c r="L176" s="31">
        <v>1.0</v>
      </c>
      <c r="M176" s="35" t="s">
        <v>7045</v>
      </c>
      <c r="N176" s="30">
        <v>46388.0</v>
      </c>
      <c r="O176" s="30">
        <v>46752.0</v>
      </c>
      <c r="P176" s="31">
        <v>0.0</v>
      </c>
      <c r="Q176" s="31">
        <v>1.0</v>
      </c>
      <c r="R176" s="35" t="s">
        <v>7045</v>
      </c>
      <c r="S176" s="30">
        <v>46753.0</v>
      </c>
      <c r="T176" s="30">
        <v>47118.0</v>
      </c>
      <c r="U176" s="31">
        <v>0.0</v>
      </c>
      <c r="V176" s="31">
        <v>1.0</v>
      </c>
      <c r="W176" s="35" t="s">
        <v>7045</v>
      </c>
      <c r="X176" s="30">
        <v>47119.0</v>
      </c>
      <c r="Y176" s="30">
        <v>47483.0</v>
      </c>
      <c r="Z176" s="31">
        <v>0.0</v>
      </c>
      <c r="AA176" s="31">
        <v>1.0</v>
      </c>
      <c r="AB176" s="35" t="s">
        <v>7045</v>
      </c>
      <c r="AC176" s="30">
        <v>47484.0</v>
      </c>
      <c r="AD176" s="30">
        <v>47848.0</v>
      </c>
      <c r="AE176" s="31">
        <v>0.0</v>
      </c>
      <c r="AF176" s="31">
        <v>1.0</v>
      </c>
      <c r="AG176" s="35" t="s">
        <v>7045</v>
      </c>
    </row>
    <row r="177" ht="14.25" customHeight="1">
      <c r="A177" s="28" t="s">
        <v>4904</v>
      </c>
      <c r="B177" s="29" t="s">
        <v>4905</v>
      </c>
      <c r="C177" s="29" t="s">
        <v>7041</v>
      </c>
      <c r="D177" s="30">
        <v>45658.0</v>
      </c>
      <c r="E177" s="30">
        <v>46022.0</v>
      </c>
      <c r="F177" s="31">
        <v>0.0</v>
      </c>
      <c r="G177" s="31">
        <v>1.0</v>
      </c>
      <c r="H177" s="35" t="s">
        <v>7045</v>
      </c>
      <c r="I177" s="30">
        <v>46023.0</v>
      </c>
      <c r="J177" s="30">
        <v>46387.0</v>
      </c>
      <c r="K177" s="31">
        <v>0.0</v>
      </c>
      <c r="L177" s="31">
        <v>1.0</v>
      </c>
      <c r="M177" s="35" t="s">
        <v>7045</v>
      </c>
      <c r="N177" s="30">
        <v>46388.0</v>
      </c>
      <c r="O177" s="30">
        <v>46752.0</v>
      </c>
      <c r="P177" s="31">
        <v>0.0</v>
      </c>
      <c r="Q177" s="31">
        <v>1.0</v>
      </c>
      <c r="R177" s="35" t="s">
        <v>7045</v>
      </c>
      <c r="S177" s="30">
        <v>46753.0</v>
      </c>
      <c r="T177" s="30">
        <v>47118.0</v>
      </c>
      <c r="U177" s="31">
        <v>0.0</v>
      </c>
      <c r="V177" s="31">
        <v>1.0</v>
      </c>
      <c r="W177" s="35" t="s">
        <v>7045</v>
      </c>
      <c r="X177" s="30">
        <v>47119.0</v>
      </c>
      <c r="Y177" s="30">
        <v>47483.0</v>
      </c>
      <c r="Z177" s="31">
        <v>0.0</v>
      </c>
      <c r="AA177" s="31">
        <v>1.0</v>
      </c>
      <c r="AB177" s="35" t="s">
        <v>7045</v>
      </c>
      <c r="AC177" s="30">
        <v>47484.0</v>
      </c>
      <c r="AD177" s="30">
        <v>47848.0</v>
      </c>
      <c r="AE177" s="31">
        <v>0.0</v>
      </c>
      <c r="AF177" s="31">
        <v>1.0</v>
      </c>
      <c r="AG177" s="35" t="s">
        <v>7045</v>
      </c>
    </row>
    <row r="178" ht="14.25" customHeight="1">
      <c r="A178" s="28" t="s">
        <v>5041</v>
      </c>
      <c r="B178" s="29" t="s">
        <v>5042</v>
      </c>
      <c r="C178" s="29" t="s">
        <v>7041</v>
      </c>
      <c r="D178" s="30">
        <v>45658.0</v>
      </c>
      <c r="E178" s="30">
        <v>46022.0</v>
      </c>
      <c r="F178" s="31">
        <v>0.0</v>
      </c>
      <c r="G178" s="31">
        <v>1.0</v>
      </c>
      <c r="H178" s="35" t="s">
        <v>7045</v>
      </c>
      <c r="I178" s="30">
        <v>46023.0</v>
      </c>
      <c r="J178" s="30">
        <v>46387.0</v>
      </c>
      <c r="K178" s="31">
        <v>0.0</v>
      </c>
      <c r="L178" s="31">
        <v>1.0</v>
      </c>
      <c r="M178" s="35" t="s">
        <v>7045</v>
      </c>
      <c r="N178" s="30">
        <v>46388.0</v>
      </c>
      <c r="O178" s="30">
        <v>46752.0</v>
      </c>
      <c r="P178" s="31">
        <v>0.0</v>
      </c>
      <c r="Q178" s="31">
        <v>1.0</v>
      </c>
      <c r="R178" s="35" t="s">
        <v>7045</v>
      </c>
      <c r="S178" s="30">
        <v>46753.0</v>
      </c>
      <c r="T178" s="30">
        <v>47118.0</v>
      </c>
      <c r="U178" s="31">
        <v>0.0</v>
      </c>
      <c r="V178" s="31">
        <v>1.0</v>
      </c>
      <c r="W178" s="35" t="s">
        <v>7045</v>
      </c>
      <c r="X178" s="30">
        <v>47119.0</v>
      </c>
      <c r="Y178" s="30">
        <v>47483.0</v>
      </c>
      <c r="Z178" s="31">
        <v>0.0</v>
      </c>
      <c r="AA178" s="31">
        <v>1.0</v>
      </c>
      <c r="AB178" s="35" t="s">
        <v>7045</v>
      </c>
      <c r="AC178" s="30">
        <v>47484.0</v>
      </c>
      <c r="AD178" s="30">
        <v>47848.0</v>
      </c>
      <c r="AE178" s="31">
        <v>0.0</v>
      </c>
      <c r="AF178" s="31">
        <v>1.0</v>
      </c>
      <c r="AG178" s="35" t="s">
        <v>7045</v>
      </c>
    </row>
    <row r="179" ht="14.25" customHeight="1">
      <c r="A179" s="28" t="s">
        <v>5052</v>
      </c>
      <c r="B179" s="29" t="s">
        <v>5053</v>
      </c>
      <c r="C179" s="29" t="s">
        <v>7041</v>
      </c>
      <c r="D179" s="30">
        <v>45658.0</v>
      </c>
      <c r="E179" s="30">
        <v>46022.0</v>
      </c>
      <c r="F179" s="31">
        <v>1.0</v>
      </c>
      <c r="G179" s="31">
        <v>1.0</v>
      </c>
      <c r="H179" s="33" t="s">
        <v>7042</v>
      </c>
      <c r="I179" s="30">
        <v>46023.0</v>
      </c>
      <c r="J179" s="30">
        <v>46387.0</v>
      </c>
      <c r="K179" s="31">
        <v>0.0</v>
      </c>
      <c r="L179" s="31">
        <v>1.0</v>
      </c>
      <c r="M179" s="35" t="s">
        <v>7045</v>
      </c>
      <c r="N179" s="30">
        <v>46388.0</v>
      </c>
      <c r="O179" s="30">
        <v>46752.0</v>
      </c>
      <c r="P179" s="31">
        <v>0.0</v>
      </c>
      <c r="Q179" s="31">
        <v>1.0</v>
      </c>
      <c r="R179" s="35" t="s">
        <v>7045</v>
      </c>
      <c r="S179" s="30">
        <v>46753.0</v>
      </c>
      <c r="T179" s="30">
        <v>47118.0</v>
      </c>
      <c r="U179" s="31">
        <v>0.0</v>
      </c>
      <c r="V179" s="31">
        <v>1.0</v>
      </c>
      <c r="W179" s="35" t="s">
        <v>7045</v>
      </c>
      <c r="X179" s="30">
        <v>47119.0</v>
      </c>
      <c r="Y179" s="30">
        <v>47483.0</v>
      </c>
      <c r="Z179" s="31">
        <v>0.0</v>
      </c>
      <c r="AA179" s="31">
        <v>1.0</v>
      </c>
      <c r="AB179" s="35" t="s">
        <v>7045</v>
      </c>
      <c r="AC179" s="30">
        <v>47484.0</v>
      </c>
      <c r="AD179" s="30">
        <v>47848.0</v>
      </c>
      <c r="AE179" s="31">
        <v>0.0</v>
      </c>
      <c r="AF179" s="31">
        <v>1.0</v>
      </c>
      <c r="AG179" s="35" t="s">
        <v>7045</v>
      </c>
    </row>
    <row r="180" ht="14.25" customHeight="1">
      <c r="A180" s="28" t="s">
        <v>5112</v>
      </c>
      <c r="B180" s="29" t="s">
        <v>5113</v>
      </c>
      <c r="C180" s="29" t="s">
        <v>7041</v>
      </c>
      <c r="D180" s="30">
        <v>45658.0</v>
      </c>
      <c r="E180" s="30">
        <v>46022.0</v>
      </c>
      <c r="F180" s="31">
        <v>0.0</v>
      </c>
      <c r="G180" s="31">
        <v>1.0</v>
      </c>
      <c r="H180" s="35" t="s">
        <v>7045</v>
      </c>
      <c r="I180" s="30">
        <v>46023.0</v>
      </c>
      <c r="J180" s="30">
        <v>46387.0</v>
      </c>
      <c r="K180" s="31">
        <v>0.0</v>
      </c>
      <c r="L180" s="31">
        <v>1.0</v>
      </c>
      <c r="M180" s="35" t="s">
        <v>7045</v>
      </c>
      <c r="N180" s="30">
        <v>46388.0</v>
      </c>
      <c r="O180" s="30">
        <v>46752.0</v>
      </c>
      <c r="P180" s="31">
        <v>0.0</v>
      </c>
      <c r="Q180" s="31">
        <v>1.0</v>
      </c>
      <c r="R180" s="35" t="s">
        <v>7045</v>
      </c>
      <c r="S180" s="30">
        <v>46753.0</v>
      </c>
      <c r="T180" s="30">
        <v>47118.0</v>
      </c>
      <c r="U180" s="31">
        <v>0.0</v>
      </c>
      <c r="V180" s="31">
        <v>1.0</v>
      </c>
      <c r="W180" s="35" t="s">
        <v>7045</v>
      </c>
      <c r="X180" s="30">
        <v>47119.0</v>
      </c>
      <c r="Y180" s="30">
        <v>47483.0</v>
      </c>
      <c r="Z180" s="31">
        <v>0.0</v>
      </c>
      <c r="AA180" s="31">
        <v>1.0</v>
      </c>
      <c r="AB180" s="35" t="s">
        <v>7045</v>
      </c>
      <c r="AC180" s="30">
        <v>47484.0</v>
      </c>
      <c r="AD180" s="30">
        <v>47848.0</v>
      </c>
      <c r="AE180" s="31">
        <v>0.0</v>
      </c>
      <c r="AF180" s="31">
        <v>1.0</v>
      </c>
      <c r="AG180" s="35" t="s">
        <v>7045</v>
      </c>
    </row>
    <row r="181" ht="14.25" customHeight="1">
      <c r="A181" s="28" t="s">
        <v>5163</v>
      </c>
      <c r="B181" s="29" t="s">
        <v>5164</v>
      </c>
      <c r="C181" s="29" t="s">
        <v>7041</v>
      </c>
      <c r="D181" s="30">
        <v>45658.0</v>
      </c>
      <c r="E181" s="30">
        <v>46022.0</v>
      </c>
      <c r="F181" s="31">
        <v>0.0</v>
      </c>
      <c r="G181" s="31">
        <v>1.0</v>
      </c>
      <c r="H181" s="35" t="s">
        <v>7045</v>
      </c>
      <c r="I181" s="30">
        <v>46023.0</v>
      </c>
      <c r="J181" s="30">
        <v>46387.0</v>
      </c>
      <c r="K181" s="31">
        <v>0.0</v>
      </c>
      <c r="L181" s="31">
        <v>1.0</v>
      </c>
      <c r="M181" s="35" t="s">
        <v>7045</v>
      </c>
      <c r="N181" s="30">
        <v>46388.0</v>
      </c>
      <c r="O181" s="30">
        <v>46752.0</v>
      </c>
      <c r="P181" s="31">
        <v>0.0</v>
      </c>
      <c r="Q181" s="31">
        <v>1.0</v>
      </c>
      <c r="R181" s="35" t="s">
        <v>7045</v>
      </c>
      <c r="S181" s="30">
        <v>46753.0</v>
      </c>
      <c r="T181" s="30">
        <v>47118.0</v>
      </c>
      <c r="U181" s="31">
        <v>0.0</v>
      </c>
      <c r="V181" s="31">
        <v>1.0</v>
      </c>
      <c r="W181" s="35" t="s">
        <v>7045</v>
      </c>
      <c r="X181" s="30">
        <v>47119.0</v>
      </c>
      <c r="Y181" s="30">
        <v>47483.0</v>
      </c>
      <c r="Z181" s="31">
        <v>0.0</v>
      </c>
      <c r="AA181" s="31">
        <v>1.0</v>
      </c>
      <c r="AB181" s="35" t="s">
        <v>7045</v>
      </c>
      <c r="AC181" s="30">
        <v>47484.0</v>
      </c>
      <c r="AD181" s="30">
        <v>47848.0</v>
      </c>
      <c r="AE181" s="31">
        <v>0.0</v>
      </c>
      <c r="AF181" s="31">
        <v>1.0</v>
      </c>
      <c r="AG181" s="35" t="s">
        <v>7045</v>
      </c>
    </row>
    <row r="182" ht="14.25" customHeight="1">
      <c r="A182" s="28" t="s">
        <v>5166</v>
      </c>
      <c r="B182" s="29" t="s">
        <v>5167</v>
      </c>
      <c r="C182" s="29" t="s">
        <v>7041</v>
      </c>
      <c r="D182" s="30">
        <v>45658.0</v>
      </c>
      <c r="E182" s="30">
        <v>46022.0</v>
      </c>
      <c r="F182" s="31">
        <v>0.0</v>
      </c>
      <c r="G182" s="31">
        <v>1.0</v>
      </c>
      <c r="H182" s="35" t="s">
        <v>7045</v>
      </c>
      <c r="I182" s="30">
        <v>46023.0</v>
      </c>
      <c r="J182" s="30">
        <v>46387.0</v>
      </c>
      <c r="K182" s="31">
        <v>0.0</v>
      </c>
      <c r="L182" s="31">
        <v>1.0</v>
      </c>
      <c r="M182" s="35" t="s">
        <v>7045</v>
      </c>
      <c r="N182" s="30">
        <v>46388.0</v>
      </c>
      <c r="O182" s="30">
        <v>46752.0</v>
      </c>
      <c r="P182" s="31">
        <v>0.0</v>
      </c>
      <c r="Q182" s="31">
        <v>1.0</v>
      </c>
      <c r="R182" s="35" t="s">
        <v>7045</v>
      </c>
      <c r="S182" s="30">
        <v>46753.0</v>
      </c>
      <c r="T182" s="30">
        <v>47118.0</v>
      </c>
      <c r="U182" s="31">
        <v>0.0</v>
      </c>
      <c r="V182" s="31">
        <v>1.0</v>
      </c>
      <c r="W182" s="35" t="s">
        <v>7045</v>
      </c>
      <c r="X182" s="30">
        <v>47119.0</v>
      </c>
      <c r="Y182" s="30">
        <v>47483.0</v>
      </c>
      <c r="Z182" s="31">
        <v>0.0</v>
      </c>
      <c r="AA182" s="31">
        <v>1.0</v>
      </c>
      <c r="AB182" s="35" t="s">
        <v>7045</v>
      </c>
      <c r="AC182" s="30">
        <v>47484.0</v>
      </c>
      <c r="AD182" s="30">
        <v>47848.0</v>
      </c>
      <c r="AE182" s="31">
        <v>0.0</v>
      </c>
      <c r="AF182" s="31">
        <v>1.0</v>
      </c>
      <c r="AG182" s="35" t="s">
        <v>7045</v>
      </c>
    </row>
    <row r="183" ht="14.25" customHeight="1">
      <c r="A183" s="28" t="s">
        <v>5177</v>
      </c>
      <c r="B183" s="29" t="s">
        <v>5178</v>
      </c>
      <c r="C183" s="29" t="s">
        <v>7041</v>
      </c>
      <c r="D183" s="30">
        <v>45658.0</v>
      </c>
      <c r="E183" s="30">
        <v>46022.0</v>
      </c>
      <c r="F183" s="31">
        <v>0.0</v>
      </c>
      <c r="G183" s="31">
        <v>1.0</v>
      </c>
      <c r="H183" s="35" t="s">
        <v>7045</v>
      </c>
      <c r="I183" s="30">
        <v>46023.0</v>
      </c>
      <c r="J183" s="30">
        <v>46387.0</v>
      </c>
      <c r="K183" s="31">
        <v>0.0</v>
      </c>
      <c r="L183" s="31">
        <v>1.0</v>
      </c>
      <c r="M183" s="35" t="s">
        <v>7045</v>
      </c>
      <c r="N183" s="30">
        <v>46388.0</v>
      </c>
      <c r="O183" s="30">
        <v>46752.0</v>
      </c>
      <c r="P183" s="31">
        <v>0.0</v>
      </c>
      <c r="Q183" s="31">
        <v>1.0</v>
      </c>
      <c r="R183" s="35" t="s">
        <v>7045</v>
      </c>
      <c r="S183" s="30">
        <v>46753.0</v>
      </c>
      <c r="T183" s="30">
        <v>47118.0</v>
      </c>
      <c r="U183" s="31">
        <v>0.0</v>
      </c>
      <c r="V183" s="31">
        <v>1.0</v>
      </c>
      <c r="W183" s="35" t="s">
        <v>7045</v>
      </c>
      <c r="X183" s="30">
        <v>47119.0</v>
      </c>
      <c r="Y183" s="30">
        <v>47483.0</v>
      </c>
      <c r="Z183" s="31">
        <v>0.0</v>
      </c>
      <c r="AA183" s="31">
        <v>1.0</v>
      </c>
      <c r="AB183" s="35" t="s">
        <v>7045</v>
      </c>
      <c r="AC183" s="30">
        <v>47484.0</v>
      </c>
      <c r="AD183" s="30">
        <v>47848.0</v>
      </c>
      <c r="AE183" s="31">
        <v>0.0</v>
      </c>
      <c r="AF183" s="31">
        <v>1.0</v>
      </c>
      <c r="AG183" s="35" t="s">
        <v>7045</v>
      </c>
    </row>
    <row r="184" ht="14.25" customHeight="1">
      <c r="A184" s="28" t="s">
        <v>5249</v>
      </c>
      <c r="B184" s="29" t="s">
        <v>5250</v>
      </c>
      <c r="C184" s="29" t="s">
        <v>7041</v>
      </c>
      <c r="D184" s="30">
        <v>45658.0</v>
      </c>
      <c r="E184" s="30">
        <v>46022.0</v>
      </c>
      <c r="F184" s="31">
        <v>0.0</v>
      </c>
      <c r="G184" s="31">
        <v>1.0</v>
      </c>
      <c r="H184" s="35" t="s">
        <v>7045</v>
      </c>
      <c r="I184" s="30">
        <v>46023.0</v>
      </c>
      <c r="J184" s="30">
        <v>46387.0</v>
      </c>
      <c r="K184" s="31">
        <v>0.0</v>
      </c>
      <c r="L184" s="31">
        <v>1.0</v>
      </c>
      <c r="M184" s="35" t="s">
        <v>7045</v>
      </c>
      <c r="N184" s="30">
        <v>46388.0</v>
      </c>
      <c r="O184" s="30">
        <v>46752.0</v>
      </c>
      <c r="P184" s="31">
        <v>0.0</v>
      </c>
      <c r="Q184" s="31">
        <v>1.0</v>
      </c>
      <c r="R184" s="35" t="s">
        <v>7045</v>
      </c>
      <c r="S184" s="30">
        <v>46753.0</v>
      </c>
      <c r="T184" s="30">
        <v>47118.0</v>
      </c>
      <c r="U184" s="31">
        <v>0.0</v>
      </c>
      <c r="V184" s="31">
        <v>1.0</v>
      </c>
      <c r="W184" s="35" t="s">
        <v>7045</v>
      </c>
      <c r="X184" s="30">
        <v>47119.0</v>
      </c>
      <c r="Y184" s="30">
        <v>47483.0</v>
      </c>
      <c r="Z184" s="31">
        <v>0.0</v>
      </c>
      <c r="AA184" s="31">
        <v>1.0</v>
      </c>
      <c r="AB184" s="35" t="s">
        <v>7045</v>
      </c>
      <c r="AC184" s="30">
        <v>47484.0</v>
      </c>
      <c r="AD184" s="30">
        <v>47848.0</v>
      </c>
      <c r="AE184" s="31">
        <v>0.0</v>
      </c>
      <c r="AF184" s="31">
        <v>1.0</v>
      </c>
      <c r="AG184" s="35" t="s">
        <v>7045</v>
      </c>
    </row>
    <row r="185" ht="14.25" customHeight="1">
      <c r="A185" s="28" t="s">
        <v>5309</v>
      </c>
      <c r="B185" s="29" t="s">
        <v>5310</v>
      </c>
      <c r="C185" s="29" t="s">
        <v>7041</v>
      </c>
      <c r="D185" s="30">
        <v>45658.0</v>
      </c>
      <c r="E185" s="30">
        <v>46022.0</v>
      </c>
      <c r="F185" s="31">
        <v>0.0</v>
      </c>
      <c r="G185" s="31">
        <v>1.0</v>
      </c>
      <c r="H185" s="35" t="s">
        <v>7045</v>
      </c>
      <c r="I185" s="30">
        <v>46023.0</v>
      </c>
      <c r="J185" s="30">
        <v>46387.0</v>
      </c>
      <c r="K185" s="31">
        <v>0.0</v>
      </c>
      <c r="L185" s="31">
        <v>1.0</v>
      </c>
      <c r="M185" s="35" t="s">
        <v>7045</v>
      </c>
      <c r="N185" s="30">
        <v>46388.0</v>
      </c>
      <c r="O185" s="30">
        <v>46752.0</v>
      </c>
      <c r="P185" s="31">
        <v>0.0</v>
      </c>
      <c r="Q185" s="31">
        <v>1.0</v>
      </c>
      <c r="R185" s="35" t="s">
        <v>7045</v>
      </c>
      <c r="S185" s="30">
        <v>46753.0</v>
      </c>
      <c r="T185" s="30">
        <v>47118.0</v>
      </c>
      <c r="U185" s="31">
        <v>0.0</v>
      </c>
      <c r="V185" s="31">
        <v>1.0</v>
      </c>
      <c r="W185" s="35" t="s">
        <v>7045</v>
      </c>
      <c r="X185" s="30">
        <v>47119.0</v>
      </c>
      <c r="Y185" s="30">
        <v>47483.0</v>
      </c>
      <c r="Z185" s="31">
        <v>0.0</v>
      </c>
      <c r="AA185" s="31">
        <v>1.0</v>
      </c>
      <c r="AB185" s="35" t="s">
        <v>7045</v>
      </c>
      <c r="AC185" s="30">
        <v>47484.0</v>
      </c>
      <c r="AD185" s="30">
        <v>47848.0</v>
      </c>
      <c r="AE185" s="31">
        <v>0.0</v>
      </c>
      <c r="AF185" s="31">
        <v>1.0</v>
      </c>
      <c r="AG185" s="35" t="s">
        <v>7045</v>
      </c>
    </row>
    <row r="186" ht="14.25" customHeight="1">
      <c r="A186" s="28" t="s">
        <v>5341</v>
      </c>
      <c r="B186" s="29" t="s">
        <v>5342</v>
      </c>
      <c r="C186" s="29" t="s">
        <v>7041</v>
      </c>
      <c r="D186" s="30">
        <v>45658.0</v>
      </c>
      <c r="E186" s="30">
        <v>46022.0</v>
      </c>
      <c r="F186" s="31">
        <v>0.0</v>
      </c>
      <c r="G186" s="31">
        <v>1.0</v>
      </c>
      <c r="H186" s="35" t="s">
        <v>7045</v>
      </c>
      <c r="I186" s="30">
        <v>46023.0</v>
      </c>
      <c r="J186" s="30">
        <v>46387.0</v>
      </c>
      <c r="K186" s="31">
        <v>0.0</v>
      </c>
      <c r="L186" s="31">
        <v>1.0</v>
      </c>
      <c r="M186" s="35" t="s">
        <v>7045</v>
      </c>
      <c r="N186" s="30">
        <v>46388.0</v>
      </c>
      <c r="O186" s="30">
        <v>46752.0</v>
      </c>
      <c r="P186" s="31">
        <v>0.0</v>
      </c>
      <c r="Q186" s="31">
        <v>1.0</v>
      </c>
      <c r="R186" s="35" t="s">
        <v>7045</v>
      </c>
      <c r="S186" s="30">
        <v>46753.0</v>
      </c>
      <c r="T186" s="30">
        <v>47118.0</v>
      </c>
      <c r="U186" s="31">
        <v>0.0</v>
      </c>
      <c r="V186" s="31">
        <v>1.0</v>
      </c>
      <c r="W186" s="35" t="s">
        <v>7045</v>
      </c>
      <c r="X186" s="30">
        <v>47119.0</v>
      </c>
      <c r="Y186" s="30">
        <v>47483.0</v>
      </c>
      <c r="Z186" s="31">
        <v>0.0</v>
      </c>
      <c r="AA186" s="31">
        <v>1.0</v>
      </c>
      <c r="AB186" s="35" t="s">
        <v>7045</v>
      </c>
      <c r="AC186" s="30">
        <v>47484.0</v>
      </c>
      <c r="AD186" s="30">
        <v>47848.0</v>
      </c>
      <c r="AE186" s="31">
        <v>0.0</v>
      </c>
      <c r="AF186" s="31">
        <v>1.0</v>
      </c>
      <c r="AG186" s="35" t="s">
        <v>7045</v>
      </c>
    </row>
    <row r="187" ht="14.25" customHeight="1">
      <c r="A187" s="28" t="s">
        <v>5417</v>
      </c>
      <c r="B187" s="29" t="s">
        <v>5418</v>
      </c>
      <c r="C187" s="29" t="s">
        <v>7041</v>
      </c>
      <c r="D187" s="30">
        <v>45658.0</v>
      </c>
      <c r="E187" s="30">
        <v>46022.0</v>
      </c>
      <c r="F187" s="31">
        <v>0.0</v>
      </c>
      <c r="G187" s="31">
        <v>1.0</v>
      </c>
      <c r="H187" s="35" t="s">
        <v>7045</v>
      </c>
      <c r="I187" s="30">
        <v>46023.0</v>
      </c>
      <c r="J187" s="30">
        <v>46387.0</v>
      </c>
      <c r="K187" s="31">
        <v>0.0</v>
      </c>
      <c r="L187" s="31">
        <v>1.0</v>
      </c>
      <c r="M187" s="35" t="s">
        <v>7045</v>
      </c>
      <c r="N187" s="30">
        <v>46388.0</v>
      </c>
      <c r="O187" s="30">
        <v>46752.0</v>
      </c>
      <c r="P187" s="31">
        <v>0.0</v>
      </c>
      <c r="Q187" s="31">
        <v>1.0</v>
      </c>
      <c r="R187" s="35" t="s">
        <v>7045</v>
      </c>
      <c r="S187" s="30">
        <v>46753.0</v>
      </c>
      <c r="T187" s="30">
        <v>47118.0</v>
      </c>
      <c r="U187" s="31">
        <v>0.0</v>
      </c>
      <c r="V187" s="31">
        <v>1.0</v>
      </c>
      <c r="W187" s="35" t="s">
        <v>7045</v>
      </c>
      <c r="X187" s="30">
        <v>47119.0</v>
      </c>
      <c r="Y187" s="30">
        <v>47483.0</v>
      </c>
      <c r="Z187" s="31">
        <v>0.0</v>
      </c>
      <c r="AA187" s="31">
        <v>1.0</v>
      </c>
      <c r="AB187" s="35" t="s">
        <v>7045</v>
      </c>
      <c r="AC187" s="30">
        <v>47484.0</v>
      </c>
      <c r="AD187" s="30">
        <v>47848.0</v>
      </c>
      <c r="AE187" s="31">
        <v>0.0</v>
      </c>
      <c r="AF187" s="31">
        <v>1.0</v>
      </c>
      <c r="AG187" s="35" t="s">
        <v>7045</v>
      </c>
    </row>
    <row r="188" ht="14.25" customHeight="1">
      <c r="A188" s="28" t="s">
        <v>5592</v>
      </c>
      <c r="B188" s="29" t="s">
        <v>5593</v>
      </c>
      <c r="C188" s="29" t="s">
        <v>7041</v>
      </c>
      <c r="D188" s="30">
        <v>45658.0</v>
      </c>
      <c r="E188" s="30">
        <v>46022.0</v>
      </c>
      <c r="F188" s="31">
        <v>0.0</v>
      </c>
      <c r="G188" s="31">
        <v>1.0</v>
      </c>
      <c r="H188" s="35" t="s">
        <v>7045</v>
      </c>
      <c r="I188" s="30">
        <v>46023.0</v>
      </c>
      <c r="J188" s="30">
        <v>46387.0</v>
      </c>
      <c r="K188" s="31">
        <v>0.0</v>
      </c>
      <c r="L188" s="31">
        <v>1.0</v>
      </c>
      <c r="M188" s="35" t="s">
        <v>7045</v>
      </c>
      <c r="N188" s="30">
        <v>46388.0</v>
      </c>
      <c r="O188" s="30">
        <v>46752.0</v>
      </c>
      <c r="P188" s="31">
        <v>0.0</v>
      </c>
      <c r="Q188" s="31">
        <v>1.0</v>
      </c>
      <c r="R188" s="35" t="s">
        <v>7045</v>
      </c>
      <c r="S188" s="30">
        <v>46753.0</v>
      </c>
      <c r="T188" s="30">
        <v>47118.0</v>
      </c>
      <c r="U188" s="31">
        <v>0.0</v>
      </c>
      <c r="V188" s="31">
        <v>1.0</v>
      </c>
      <c r="W188" s="35" t="s">
        <v>7045</v>
      </c>
      <c r="X188" s="30">
        <v>47119.0</v>
      </c>
      <c r="Y188" s="30">
        <v>47483.0</v>
      </c>
      <c r="Z188" s="31">
        <v>0.0</v>
      </c>
      <c r="AA188" s="31">
        <v>1.0</v>
      </c>
      <c r="AB188" s="35" t="s">
        <v>7045</v>
      </c>
      <c r="AC188" s="30">
        <v>47484.0</v>
      </c>
      <c r="AD188" s="30">
        <v>47848.0</v>
      </c>
      <c r="AE188" s="31">
        <v>0.0</v>
      </c>
      <c r="AF188" s="31">
        <v>1.0</v>
      </c>
      <c r="AG188" s="35" t="s">
        <v>7045</v>
      </c>
    </row>
    <row r="189" ht="14.25" customHeight="1">
      <c r="A189" s="28" t="s">
        <v>5650</v>
      </c>
      <c r="B189" s="29" t="s">
        <v>5651</v>
      </c>
      <c r="C189" s="29" t="s">
        <v>7041</v>
      </c>
      <c r="D189" s="30">
        <v>45658.0</v>
      </c>
      <c r="E189" s="30">
        <v>46022.0</v>
      </c>
      <c r="F189" s="31">
        <v>0.0</v>
      </c>
      <c r="G189" s="31">
        <v>1.0</v>
      </c>
      <c r="H189" s="35" t="s">
        <v>7045</v>
      </c>
      <c r="I189" s="30">
        <v>46023.0</v>
      </c>
      <c r="J189" s="30">
        <v>46387.0</v>
      </c>
      <c r="K189" s="31">
        <v>0.0</v>
      </c>
      <c r="L189" s="31">
        <v>1.0</v>
      </c>
      <c r="M189" s="35" t="s">
        <v>7045</v>
      </c>
      <c r="N189" s="30">
        <v>46388.0</v>
      </c>
      <c r="O189" s="30">
        <v>46752.0</v>
      </c>
      <c r="P189" s="31">
        <v>0.0</v>
      </c>
      <c r="Q189" s="31">
        <v>1.0</v>
      </c>
      <c r="R189" s="35" t="s">
        <v>7045</v>
      </c>
      <c r="S189" s="30">
        <v>46753.0</v>
      </c>
      <c r="T189" s="30">
        <v>47118.0</v>
      </c>
      <c r="U189" s="31">
        <v>0.0</v>
      </c>
      <c r="V189" s="31">
        <v>1.0</v>
      </c>
      <c r="W189" s="35" t="s">
        <v>7045</v>
      </c>
      <c r="X189" s="30">
        <v>47119.0</v>
      </c>
      <c r="Y189" s="30">
        <v>47483.0</v>
      </c>
      <c r="Z189" s="31">
        <v>0.0</v>
      </c>
      <c r="AA189" s="31">
        <v>1.0</v>
      </c>
      <c r="AB189" s="35" t="s">
        <v>7045</v>
      </c>
      <c r="AC189" s="30">
        <v>47484.0</v>
      </c>
      <c r="AD189" s="30">
        <v>47848.0</v>
      </c>
      <c r="AE189" s="31">
        <v>0.0</v>
      </c>
      <c r="AF189" s="31">
        <v>1.0</v>
      </c>
      <c r="AG189" s="35" t="s">
        <v>7045</v>
      </c>
    </row>
    <row r="190" ht="14.25" customHeight="1">
      <c r="A190" s="28" t="s">
        <v>5695</v>
      </c>
      <c r="B190" s="29" t="s">
        <v>5696</v>
      </c>
      <c r="C190" s="29" t="s">
        <v>7041</v>
      </c>
      <c r="D190" s="30">
        <v>45658.0</v>
      </c>
      <c r="E190" s="30">
        <v>46022.0</v>
      </c>
      <c r="F190" s="31">
        <v>0.0</v>
      </c>
      <c r="G190" s="31">
        <v>1.0</v>
      </c>
      <c r="H190" s="35" t="s">
        <v>7045</v>
      </c>
      <c r="I190" s="30">
        <v>46023.0</v>
      </c>
      <c r="J190" s="30">
        <v>46387.0</v>
      </c>
      <c r="K190" s="31">
        <v>0.0</v>
      </c>
      <c r="L190" s="31">
        <v>1.0</v>
      </c>
      <c r="M190" s="35" t="s">
        <v>7045</v>
      </c>
      <c r="N190" s="30">
        <v>46388.0</v>
      </c>
      <c r="O190" s="30">
        <v>46752.0</v>
      </c>
      <c r="P190" s="31">
        <v>0.0</v>
      </c>
      <c r="Q190" s="31">
        <v>1.0</v>
      </c>
      <c r="R190" s="35" t="s">
        <v>7045</v>
      </c>
      <c r="S190" s="30">
        <v>46753.0</v>
      </c>
      <c r="T190" s="30">
        <v>47118.0</v>
      </c>
      <c r="U190" s="31">
        <v>0.0</v>
      </c>
      <c r="V190" s="31">
        <v>1.0</v>
      </c>
      <c r="W190" s="35" t="s">
        <v>7045</v>
      </c>
      <c r="X190" s="30">
        <v>47119.0</v>
      </c>
      <c r="Y190" s="30">
        <v>47483.0</v>
      </c>
      <c r="Z190" s="31">
        <v>0.0</v>
      </c>
      <c r="AA190" s="31">
        <v>1.0</v>
      </c>
      <c r="AB190" s="35" t="s">
        <v>7045</v>
      </c>
      <c r="AC190" s="30">
        <v>47484.0</v>
      </c>
      <c r="AD190" s="30">
        <v>47848.0</v>
      </c>
      <c r="AE190" s="31">
        <v>0.0</v>
      </c>
      <c r="AF190" s="31">
        <v>1.0</v>
      </c>
      <c r="AG190" s="35" t="s">
        <v>7045</v>
      </c>
    </row>
    <row r="191" ht="14.25" customHeight="1">
      <c r="A191" s="28" t="s">
        <v>5702</v>
      </c>
      <c r="B191" s="29" t="s">
        <v>5703</v>
      </c>
      <c r="C191" s="29" t="s">
        <v>7041</v>
      </c>
      <c r="D191" s="30">
        <v>45658.0</v>
      </c>
      <c r="E191" s="30">
        <v>46022.0</v>
      </c>
      <c r="F191" s="31">
        <v>0.0</v>
      </c>
      <c r="G191" s="31">
        <v>1.0</v>
      </c>
      <c r="H191" s="35" t="s">
        <v>7045</v>
      </c>
      <c r="I191" s="30">
        <v>46023.0</v>
      </c>
      <c r="J191" s="30">
        <v>46387.0</v>
      </c>
      <c r="K191" s="31">
        <v>0.0</v>
      </c>
      <c r="L191" s="31">
        <v>1.0</v>
      </c>
      <c r="M191" s="35" t="s">
        <v>7045</v>
      </c>
      <c r="N191" s="30">
        <v>46388.0</v>
      </c>
      <c r="O191" s="30">
        <v>46752.0</v>
      </c>
      <c r="P191" s="31">
        <v>0.0</v>
      </c>
      <c r="Q191" s="31">
        <v>1.0</v>
      </c>
      <c r="R191" s="35" t="s">
        <v>7045</v>
      </c>
      <c r="S191" s="30">
        <v>46753.0</v>
      </c>
      <c r="T191" s="30">
        <v>47118.0</v>
      </c>
      <c r="U191" s="31">
        <v>0.0</v>
      </c>
      <c r="V191" s="31">
        <v>1.0</v>
      </c>
      <c r="W191" s="35" t="s">
        <v>7045</v>
      </c>
      <c r="X191" s="30">
        <v>47119.0</v>
      </c>
      <c r="Y191" s="30">
        <v>47483.0</v>
      </c>
      <c r="Z191" s="31">
        <v>0.0</v>
      </c>
      <c r="AA191" s="31">
        <v>1.0</v>
      </c>
      <c r="AB191" s="35" t="s">
        <v>7045</v>
      </c>
      <c r="AC191" s="30">
        <v>47484.0</v>
      </c>
      <c r="AD191" s="30">
        <v>47848.0</v>
      </c>
      <c r="AE191" s="31">
        <v>0.0</v>
      </c>
      <c r="AF191" s="31">
        <v>1.0</v>
      </c>
      <c r="AG191" s="35" t="s">
        <v>7045</v>
      </c>
    </row>
    <row r="192" ht="14.25" customHeight="1">
      <c r="A192" s="28" t="s">
        <v>5915</v>
      </c>
      <c r="B192" s="29" t="s">
        <v>5916</v>
      </c>
      <c r="C192" s="29" t="s">
        <v>7041</v>
      </c>
      <c r="D192" s="30">
        <v>45658.0</v>
      </c>
      <c r="E192" s="30">
        <v>46022.0</v>
      </c>
      <c r="F192" s="31">
        <v>0.0</v>
      </c>
      <c r="G192" s="31">
        <v>1.0</v>
      </c>
      <c r="H192" s="35" t="s">
        <v>7045</v>
      </c>
      <c r="I192" s="30">
        <v>46023.0</v>
      </c>
      <c r="J192" s="30">
        <v>46387.0</v>
      </c>
      <c r="K192" s="31">
        <v>0.0</v>
      </c>
      <c r="L192" s="31">
        <v>1.0</v>
      </c>
      <c r="M192" s="35" t="s">
        <v>7045</v>
      </c>
      <c r="N192" s="30">
        <v>46388.0</v>
      </c>
      <c r="O192" s="30">
        <v>46752.0</v>
      </c>
      <c r="P192" s="31">
        <v>0.0</v>
      </c>
      <c r="Q192" s="31">
        <v>1.0</v>
      </c>
      <c r="R192" s="35" t="s">
        <v>7045</v>
      </c>
      <c r="S192" s="30">
        <v>46753.0</v>
      </c>
      <c r="T192" s="30">
        <v>47118.0</v>
      </c>
      <c r="U192" s="31">
        <v>0.0</v>
      </c>
      <c r="V192" s="31">
        <v>1.0</v>
      </c>
      <c r="W192" s="35" t="s">
        <v>7045</v>
      </c>
      <c r="X192" s="30">
        <v>47119.0</v>
      </c>
      <c r="Y192" s="30">
        <v>47483.0</v>
      </c>
      <c r="Z192" s="31">
        <v>0.0</v>
      </c>
      <c r="AA192" s="31">
        <v>1.0</v>
      </c>
      <c r="AB192" s="35" t="s">
        <v>7045</v>
      </c>
      <c r="AC192" s="30">
        <v>47484.0</v>
      </c>
      <c r="AD192" s="30">
        <v>47848.0</v>
      </c>
      <c r="AE192" s="31">
        <v>0.0</v>
      </c>
      <c r="AF192" s="31">
        <v>1.0</v>
      </c>
      <c r="AG192" s="35" t="s">
        <v>7045</v>
      </c>
    </row>
    <row r="193" ht="14.25" customHeight="1">
      <c r="A193" s="28" t="s">
        <v>5995</v>
      </c>
      <c r="B193" s="29" t="s">
        <v>5996</v>
      </c>
      <c r="C193" s="29" t="s">
        <v>7041</v>
      </c>
      <c r="D193" s="30">
        <v>45658.0</v>
      </c>
      <c r="E193" s="30">
        <v>46022.0</v>
      </c>
      <c r="F193" s="31">
        <v>0.0</v>
      </c>
      <c r="G193" s="31">
        <v>1.0</v>
      </c>
      <c r="H193" s="35" t="s">
        <v>7045</v>
      </c>
      <c r="I193" s="30">
        <v>46023.0</v>
      </c>
      <c r="J193" s="30">
        <v>46387.0</v>
      </c>
      <c r="K193" s="31">
        <v>0.0</v>
      </c>
      <c r="L193" s="31">
        <v>1.0</v>
      </c>
      <c r="M193" s="35" t="s">
        <v>7045</v>
      </c>
      <c r="N193" s="30">
        <v>46388.0</v>
      </c>
      <c r="O193" s="30">
        <v>46752.0</v>
      </c>
      <c r="P193" s="31">
        <v>0.0</v>
      </c>
      <c r="Q193" s="31">
        <v>1.0</v>
      </c>
      <c r="R193" s="35" t="s">
        <v>7045</v>
      </c>
      <c r="S193" s="30">
        <v>46753.0</v>
      </c>
      <c r="T193" s="30">
        <v>47118.0</v>
      </c>
      <c r="U193" s="31">
        <v>0.0</v>
      </c>
      <c r="V193" s="31">
        <v>1.0</v>
      </c>
      <c r="W193" s="35" t="s">
        <v>7045</v>
      </c>
      <c r="X193" s="30">
        <v>47119.0</v>
      </c>
      <c r="Y193" s="30">
        <v>47483.0</v>
      </c>
      <c r="Z193" s="31">
        <v>0.0</v>
      </c>
      <c r="AA193" s="31">
        <v>1.0</v>
      </c>
      <c r="AB193" s="35" t="s">
        <v>7045</v>
      </c>
      <c r="AC193" s="30">
        <v>47484.0</v>
      </c>
      <c r="AD193" s="30">
        <v>47848.0</v>
      </c>
      <c r="AE193" s="31">
        <v>0.0</v>
      </c>
      <c r="AF193" s="31">
        <v>1.0</v>
      </c>
      <c r="AG193" s="35" t="s">
        <v>7045</v>
      </c>
    </row>
    <row r="194" ht="14.25" customHeight="1">
      <c r="A194" s="28" t="s">
        <v>6199</v>
      </c>
      <c r="B194" s="29" t="s">
        <v>6200</v>
      </c>
      <c r="C194" s="29" t="s">
        <v>7041</v>
      </c>
      <c r="D194" s="30">
        <v>45658.0</v>
      </c>
      <c r="E194" s="30">
        <v>46022.0</v>
      </c>
      <c r="F194" s="31">
        <v>0.0</v>
      </c>
      <c r="G194" s="31">
        <v>1.0</v>
      </c>
      <c r="H194" s="35" t="s">
        <v>7045</v>
      </c>
      <c r="I194" s="30">
        <v>46023.0</v>
      </c>
      <c r="J194" s="30">
        <v>46387.0</v>
      </c>
      <c r="K194" s="31">
        <v>0.0</v>
      </c>
      <c r="L194" s="31">
        <v>1.0</v>
      </c>
      <c r="M194" s="35" t="s">
        <v>7045</v>
      </c>
      <c r="N194" s="30">
        <v>46388.0</v>
      </c>
      <c r="O194" s="30">
        <v>46752.0</v>
      </c>
      <c r="P194" s="31">
        <v>0.0</v>
      </c>
      <c r="Q194" s="31">
        <v>1.0</v>
      </c>
      <c r="R194" s="35" t="s">
        <v>7045</v>
      </c>
      <c r="S194" s="30">
        <v>46753.0</v>
      </c>
      <c r="T194" s="30">
        <v>47118.0</v>
      </c>
      <c r="U194" s="31">
        <v>0.0</v>
      </c>
      <c r="V194" s="31">
        <v>1.0</v>
      </c>
      <c r="W194" s="35" t="s">
        <v>7045</v>
      </c>
      <c r="X194" s="30">
        <v>47119.0</v>
      </c>
      <c r="Y194" s="30">
        <v>47483.0</v>
      </c>
      <c r="Z194" s="31">
        <v>0.0</v>
      </c>
      <c r="AA194" s="31">
        <v>1.0</v>
      </c>
      <c r="AB194" s="35" t="s">
        <v>7045</v>
      </c>
      <c r="AC194" s="30">
        <v>47484.0</v>
      </c>
      <c r="AD194" s="30">
        <v>47848.0</v>
      </c>
      <c r="AE194" s="31">
        <v>0.0</v>
      </c>
      <c r="AF194" s="31">
        <v>1.0</v>
      </c>
      <c r="AG194" s="35" t="s">
        <v>7045</v>
      </c>
    </row>
    <row r="195" ht="14.25" customHeight="1">
      <c r="A195" s="28" t="s">
        <v>6238</v>
      </c>
      <c r="B195" s="29" t="s">
        <v>6239</v>
      </c>
      <c r="C195" s="29" t="s">
        <v>7041</v>
      </c>
      <c r="D195" s="30">
        <v>45658.0</v>
      </c>
      <c r="E195" s="30">
        <v>46022.0</v>
      </c>
      <c r="F195" s="31">
        <v>0.0</v>
      </c>
      <c r="G195" s="31">
        <v>1.0</v>
      </c>
      <c r="H195" s="35" t="s">
        <v>7045</v>
      </c>
      <c r="I195" s="30">
        <v>46023.0</v>
      </c>
      <c r="J195" s="30">
        <v>46387.0</v>
      </c>
      <c r="K195" s="31">
        <v>0.0</v>
      </c>
      <c r="L195" s="31">
        <v>1.0</v>
      </c>
      <c r="M195" s="35" t="s">
        <v>7045</v>
      </c>
      <c r="N195" s="30">
        <v>46388.0</v>
      </c>
      <c r="O195" s="30">
        <v>46752.0</v>
      </c>
      <c r="P195" s="31">
        <v>0.0</v>
      </c>
      <c r="Q195" s="31">
        <v>1.0</v>
      </c>
      <c r="R195" s="35" t="s">
        <v>7045</v>
      </c>
      <c r="S195" s="30">
        <v>46753.0</v>
      </c>
      <c r="T195" s="30">
        <v>47118.0</v>
      </c>
      <c r="U195" s="31">
        <v>0.0</v>
      </c>
      <c r="V195" s="31">
        <v>1.0</v>
      </c>
      <c r="W195" s="35" t="s">
        <v>7045</v>
      </c>
      <c r="X195" s="30">
        <v>47119.0</v>
      </c>
      <c r="Y195" s="30">
        <v>47483.0</v>
      </c>
      <c r="Z195" s="31">
        <v>0.0</v>
      </c>
      <c r="AA195" s="31">
        <v>1.0</v>
      </c>
      <c r="AB195" s="35" t="s">
        <v>7045</v>
      </c>
      <c r="AC195" s="30">
        <v>47484.0</v>
      </c>
      <c r="AD195" s="30">
        <v>47848.0</v>
      </c>
      <c r="AE195" s="31">
        <v>0.0</v>
      </c>
      <c r="AF195" s="31">
        <v>1.0</v>
      </c>
      <c r="AG195" s="35" t="s">
        <v>7045</v>
      </c>
    </row>
    <row r="196" ht="14.25" customHeight="1">
      <c r="A196" s="28" t="s">
        <v>6248</v>
      </c>
      <c r="B196" s="29" t="s">
        <v>6249</v>
      </c>
      <c r="C196" s="29" t="s">
        <v>7041</v>
      </c>
      <c r="D196" s="30">
        <v>45658.0</v>
      </c>
      <c r="E196" s="30">
        <v>46022.0</v>
      </c>
      <c r="F196" s="31">
        <v>0.0</v>
      </c>
      <c r="G196" s="31">
        <v>1.0</v>
      </c>
      <c r="H196" s="35" t="s">
        <v>7045</v>
      </c>
      <c r="I196" s="30">
        <v>46023.0</v>
      </c>
      <c r="J196" s="30">
        <v>46387.0</v>
      </c>
      <c r="K196" s="31">
        <v>0.0</v>
      </c>
      <c r="L196" s="31">
        <v>1.0</v>
      </c>
      <c r="M196" s="35" t="s">
        <v>7045</v>
      </c>
      <c r="N196" s="30">
        <v>46388.0</v>
      </c>
      <c r="O196" s="30">
        <v>46752.0</v>
      </c>
      <c r="P196" s="31">
        <v>0.0</v>
      </c>
      <c r="Q196" s="31">
        <v>1.0</v>
      </c>
      <c r="R196" s="35" t="s">
        <v>7045</v>
      </c>
      <c r="S196" s="30">
        <v>46753.0</v>
      </c>
      <c r="T196" s="30">
        <v>47118.0</v>
      </c>
      <c r="U196" s="31">
        <v>0.0</v>
      </c>
      <c r="V196" s="31">
        <v>1.0</v>
      </c>
      <c r="W196" s="35" t="s">
        <v>7045</v>
      </c>
      <c r="X196" s="30">
        <v>47119.0</v>
      </c>
      <c r="Y196" s="30">
        <v>47483.0</v>
      </c>
      <c r="Z196" s="31">
        <v>0.0</v>
      </c>
      <c r="AA196" s="31">
        <v>1.0</v>
      </c>
      <c r="AB196" s="35" t="s">
        <v>7045</v>
      </c>
      <c r="AC196" s="30">
        <v>47484.0</v>
      </c>
      <c r="AD196" s="30">
        <v>47848.0</v>
      </c>
      <c r="AE196" s="31">
        <v>0.0</v>
      </c>
      <c r="AF196" s="31">
        <v>1.0</v>
      </c>
      <c r="AG196" s="35" t="s">
        <v>7045</v>
      </c>
    </row>
    <row r="197" ht="14.25" customHeight="1">
      <c r="A197" s="28" t="s">
        <v>6435</v>
      </c>
      <c r="B197" s="29" t="s">
        <v>6436</v>
      </c>
      <c r="C197" s="29" t="s">
        <v>7041</v>
      </c>
      <c r="D197" s="30">
        <v>45658.0</v>
      </c>
      <c r="E197" s="30">
        <v>46022.0</v>
      </c>
      <c r="F197" s="31">
        <v>0.0</v>
      </c>
      <c r="G197" s="31">
        <v>1.0</v>
      </c>
      <c r="H197" s="35" t="s">
        <v>7045</v>
      </c>
      <c r="I197" s="30">
        <v>46023.0</v>
      </c>
      <c r="J197" s="30">
        <v>46387.0</v>
      </c>
      <c r="K197" s="31">
        <v>0.0</v>
      </c>
      <c r="L197" s="31">
        <v>1.0</v>
      </c>
      <c r="M197" s="35" t="s">
        <v>7045</v>
      </c>
      <c r="N197" s="30">
        <v>46388.0</v>
      </c>
      <c r="O197" s="30">
        <v>46752.0</v>
      </c>
      <c r="P197" s="31">
        <v>0.0</v>
      </c>
      <c r="Q197" s="31">
        <v>1.0</v>
      </c>
      <c r="R197" s="35" t="s">
        <v>7045</v>
      </c>
      <c r="S197" s="30">
        <v>46753.0</v>
      </c>
      <c r="T197" s="30">
        <v>47118.0</v>
      </c>
      <c r="U197" s="31">
        <v>0.0</v>
      </c>
      <c r="V197" s="31">
        <v>1.0</v>
      </c>
      <c r="W197" s="35" t="s">
        <v>7045</v>
      </c>
      <c r="X197" s="30">
        <v>47119.0</v>
      </c>
      <c r="Y197" s="30">
        <v>47483.0</v>
      </c>
      <c r="Z197" s="31">
        <v>0.0</v>
      </c>
      <c r="AA197" s="31">
        <v>1.0</v>
      </c>
      <c r="AB197" s="35" t="s">
        <v>7045</v>
      </c>
      <c r="AC197" s="30">
        <v>47484.0</v>
      </c>
      <c r="AD197" s="30">
        <v>47848.0</v>
      </c>
      <c r="AE197" s="31">
        <v>0.0</v>
      </c>
      <c r="AF197" s="31">
        <v>1.0</v>
      </c>
      <c r="AG197" s="35" t="s">
        <v>7045</v>
      </c>
    </row>
    <row r="198" ht="14.25" customHeight="1">
      <c r="A198" s="28" t="s">
        <v>6693</v>
      </c>
      <c r="B198" s="29" t="s">
        <v>6694</v>
      </c>
      <c r="C198" s="29" t="s">
        <v>7041</v>
      </c>
      <c r="D198" s="30">
        <v>45658.0</v>
      </c>
      <c r="E198" s="30">
        <v>46022.0</v>
      </c>
      <c r="F198" s="31">
        <v>0.0</v>
      </c>
      <c r="G198" s="31">
        <v>1.0</v>
      </c>
      <c r="H198" s="35" t="s">
        <v>7045</v>
      </c>
      <c r="I198" s="30">
        <v>46023.0</v>
      </c>
      <c r="J198" s="30">
        <v>46387.0</v>
      </c>
      <c r="K198" s="31">
        <v>0.0</v>
      </c>
      <c r="L198" s="31">
        <v>1.0</v>
      </c>
      <c r="M198" s="35" t="s">
        <v>7045</v>
      </c>
      <c r="N198" s="30">
        <v>46388.0</v>
      </c>
      <c r="O198" s="30">
        <v>46752.0</v>
      </c>
      <c r="P198" s="31">
        <v>0.0</v>
      </c>
      <c r="Q198" s="31">
        <v>1.0</v>
      </c>
      <c r="R198" s="35" t="s">
        <v>7045</v>
      </c>
      <c r="S198" s="30">
        <v>46753.0</v>
      </c>
      <c r="T198" s="30">
        <v>47118.0</v>
      </c>
      <c r="U198" s="31">
        <v>0.0</v>
      </c>
      <c r="V198" s="31">
        <v>1.0</v>
      </c>
      <c r="W198" s="35" t="s">
        <v>7045</v>
      </c>
      <c r="X198" s="30">
        <v>47119.0</v>
      </c>
      <c r="Y198" s="30">
        <v>47483.0</v>
      </c>
      <c r="Z198" s="31">
        <v>0.0</v>
      </c>
      <c r="AA198" s="31">
        <v>1.0</v>
      </c>
      <c r="AB198" s="35" t="s">
        <v>7045</v>
      </c>
      <c r="AC198" s="30">
        <v>47484.0</v>
      </c>
      <c r="AD198" s="30">
        <v>47848.0</v>
      </c>
      <c r="AE198" s="31">
        <v>0.0</v>
      </c>
      <c r="AF198" s="31">
        <v>1.0</v>
      </c>
      <c r="AG198" s="35" t="s">
        <v>7045</v>
      </c>
    </row>
    <row r="199" ht="14.25" customHeight="1">
      <c r="A199" s="28" t="s">
        <v>6716</v>
      </c>
      <c r="B199" s="29" t="s">
        <v>6717</v>
      </c>
      <c r="C199" s="29" t="s">
        <v>7041</v>
      </c>
      <c r="D199" s="30">
        <v>45658.0</v>
      </c>
      <c r="E199" s="30">
        <v>46022.0</v>
      </c>
      <c r="F199" s="31">
        <v>0.0</v>
      </c>
      <c r="G199" s="31">
        <v>1.0</v>
      </c>
      <c r="H199" s="35" t="s">
        <v>7045</v>
      </c>
      <c r="I199" s="30">
        <v>46023.0</v>
      </c>
      <c r="J199" s="30">
        <v>46387.0</v>
      </c>
      <c r="K199" s="31">
        <v>0.0</v>
      </c>
      <c r="L199" s="31">
        <v>1.0</v>
      </c>
      <c r="M199" s="35" t="s">
        <v>7045</v>
      </c>
      <c r="N199" s="30">
        <v>46388.0</v>
      </c>
      <c r="O199" s="30">
        <v>46752.0</v>
      </c>
      <c r="P199" s="31">
        <v>0.0</v>
      </c>
      <c r="Q199" s="31">
        <v>1.0</v>
      </c>
      <c r="R199" s="35" t="s">
        <v>7045</v>
      </c>
      <c r="S199" s="30">
        <v>46753.0</v>
      </c>
      <c r="T199" s="30">
        <v>47118.0</v>
      </c>
      <c r="U199" s="31">
        <v>0.0</v>
      </c>
      <c r="V199" s="31">
        <v>1.0</v>
      </c>
      <c r="W199" s="35" t="s">
        <v>7045</v>
      </c>
      <c r="X199" s="30">
        <v>47119.0</v>
      </c>
      <c r="Y199" s="30">
        <v>47483.0</v>
      </c>
      <c r="Z199" s="31">
        <v>0.0</v>
      </c>
      <c r="AA199" s="31">
        <v>1.0</v>
      </c>
      <c r="AB199" s="35" t="s">
        <v>7045</v>
      </c>
      <c r="AC199" s="30">
        <v>47484.0</v>
      </c>
      <c r="AD199" s="30">
        <v>47848.0</v>
      </c>
      <c r="AE199" s="31">
        <v>0.0</v>
      </c>
      <c r="AF199" s="31">
        <v>1.0</v>
      </c>
      <c r="AG199" s="35" t="s">
        <v>7045</v>
      </c>
    </row>
    <row r="200" ht="14.25" customHeight="1">
      <c r="A200" s="28" t="s">
        <v>6943</v>
      </c>
      <c r="B200" s="29" t="s">
        <v>6944</v>
      </c>
      <c r="C200" s="29" t="s">
        <v>7041</v>
      </c>
      <c r="D200" s="30">
        <v>45658.0</v>
      </c>
      <c r="E200" s="30">
        <v>46022.0</v>
      </c>
      <c r="F200" s="31">
        <v>0.0</v>
      </c>
      <c r="G200" s="31">
        <v>1.0</v>
      </c>
      <c r="H200" s="35" t="s">
        <v>7045</v>
      </c>
      <c r="I200" s="30">
        <v>46023.0</v>
      </c>
      <c r="J200" s="30">
        <v>46387.0</v>
      </c>
      <c r="K200" s="31">
        <v>0.0</v>
      </c>
      <c r="L200" s="31">
        <v>1.0</v>
      </c>
      <c r="M200" s="35" t="s">
        <v>7045</v>
      </c>
      <c r="N200" s="30">
        <v>46388.0</v>
      </c>
      <c r="O200" s="30">
        <v>46752.0</v>
      </c>
      <c r="P200" s="31">
        <v>0.0</v>
      </c>
      <c r="Q200" s="31">
        <v>1.0</v>
      </c>
      <c r="R200" s="35" t="s">
        <v>7045</v>
      </c>
      <c r="S200" s="30">
        <v>46753.0</v>
      </c>
      <c r="T200" s="30">
        <v>47118.0</v>
      </c>
      <c r="U200" s="31">
        <v>0.0</v>
      </c>
      <c r="V200" s="31">
        <v>1.0</v>
      </c>
      <c r="W200" s="35" t="s">
        <v>7045</v>
      </c>
      <c r="X200" s="30">
        <v>47119.0</v>
      </c>
      <c r="Y200" s="30">
        <v>47483.0</v>
      </c>
      <c r="Z200" s="31">
        <v>0.0</v>
      </c>
      <c r="AA200" s="31">
        <v>1.0</v>
      </c>
      <c r="AB200" s="35" t="s">
        <v>7045</v>
      </c>
      <c r="AC200" s="30">
        <v>47484.0</v>
      </c>
      <c r="AD200" s="30">
        <v>47848.0</v>
      </c>
      <c r="AE200" s="31">
        <v>0.0</v>
      </c>
      <c r="AF200" s="31">
        <v>1.0</v>
      </c>
      <c r="AG200" s="35" t="s">
        <v>7045</v>
      </c>
    </row>
    <row r="201" ht="14.25" customHeight="1">
      <c r="A201" s="28" t="s">
        <v>7002</v>
      </c>
      <c r="B201" s="29" t="s">
        <v>7003</v>
      </c>
      <c r="C201" s="29" t="s">
        <v>7041</v>
      </c>
      <c r="D201" s="30">
        <v>45658.0</v>
      </c>
      <c r="E201" s="30">
        <v>46022.0</v>
      </c>
      <c r="F201" s="31">
        <v>0.0</v>
      </c>
      <c r="G201" s="31">
        <v>1.0</v>
      </c>
      <c r="H201" s="35" t="s">
        <v>7045</v>
      </c>
      <c r="I201" s="30">
        <v>46023.0</v>
      </c>
      <c r="J201" s="30">
        <v>46387.0</v>
      </c>
      <c r="K201" s="31">
        <v>0.0</v>
      </c>
      <c r="L201" s="31">
        <v>1.0</v>
      </c>
      <c r="M201" s="35" t="s">
        <v>7045</v>
      </c>
      <c r="N201" s="30">
        <v>46388.0</v>
      </c>
      <c r="O201" s="30">
        <v>46752.0</v>
      </c>
      <c r="P201" s="31">
        <v>0.0</v>
      </c>
      <c r="Q201" s="31">
        <v>1.0</v>
      </c>
      <c r="R201" s="35" t="s">
        <v>7045</v>
      </c>
      <c r="S201" s="30">
        <v>46753.0</v>
      </c>
      <c r="T201" s="30">
        <v>47118.0</v>
      </c>
      <c r="U201" s="31">
        <v>0.0</v>
      </c>
      <c r="V201" s="31">
        <v>1.0</v>
      </c>
      <c r="W201" s="35" t="s">
        <v>7045</v>
      </c>
      <c r="X201" s="30">
        <v>47119.0</v>
      </c>
      <c r="Y201" s="30">
        <v>47483.0</v>
      </c>
      <c r="Z201" s="31">
        <v>0.0</v>
      </c>
      <c r="AA201" s="31">
        <v>1.0</v>
      </c>
      <c r="AB201" s="35" t="s">
        <v>7045</v>
      </c>
      <c r="AC201" s="30">
        <v>47484.0</v>
      </c>
      <c r="AD201" s="30">
        <v>47848.0</v>
      </c>
      <c r="AE201" s="31">
        <v>0.0</v>
      </c>
      <c r="AF201" s="31">
        <v>1.0</v>
      </c>
      <c r="AG201" s="35" t="s">
        <v>7045</v>
      </c>
    </row>
    <row r="202" ht="14.25" customHeight="1">
      <c r="A202" s="28" t="s">
        <v>7027</v>
      </c>
      <c r="B202" s="29" t="s">
        <v>7028</v>
      </c>
      <c r="C202" s="29" t="s">
        <v>7041</v>
      </c>
      <c r="D202" s="30">
        <v>45658.0</v>
      </c>
      <c r="E202" s="30">
        <v>46022.0</v>
      </c>
      <c r="F202" s="31">
        <v>0.0</v>
      </c>
      <c r="G202" s="31">
        <v>1.0</v>
      </c>
      <c r="H202" s="35" t="s">
        <v>7045</v>
      </c>
      <c r="I202" s="30">
        <v>46023.0</v>
      </c>
      <c r="J202" s="30">
        <v>46387.0</v>
      </c>
      <c r="K202" s="31">
        <v>0.0</v>
      </c>
      <c r="L202" s="31">
        <v>1.0</v>
      </c>
      <c r="M202" s="35" t="s">
        <v>7045</v>
      </c>
      <c r="N202" s="30">
        <v>46388.0</v>
      </c>
      <c r="O202" s="30">
        <v>46752.0</v>
      </c>
      <c r="P202" s="31">
        <v>0.0</v>
      </c>
      <c r="Q202" s="31">
        <v>1.0</v>
      </c>
      <c r="R202" s="35" t="s">
        <v>7045</v>
      </c>
      <c r="S202" s="30">
        <v>46753.0</v>
      </c>
      <c r="T202" s="30">
        <v>47118.0</v>
      </c>
      <c r="U202" s="31">
        <v>0.0</v>
      </c>
      <c r="V202" s="31">
        <v>1.0</v>
      </c>
      <c r="W202" s="35" t="s">
        <v>7045</v>
      </c>
      <c r="X202" s="30">
        <v>47119.0</v>
      </c>
      <c r="Y202" s="30">
        <v>47483.0</v>
      </c>
      <c r="Z202" s="31">
        <v>0.0</v>
      </c>
      <c r="AA202" s="31">
        <v>1.0</v>
      </c>
      <c r="AB202" s="35" t="s">
        <v>7045</v>
      </c>
      <c r="AC202" s="30">
        <v>47484.0</v>
      </c>
      <c r="AD202" s="30">
        <v>47848.0</v>
      </c>
      <c r="AE202" s="31">
        <v>0.0</v>
      </c>
      <c r="AF202" s="31">
        <v>1.0</v>
      </c>
      <c r="AG202" s="35" t="s">
        <v>7045</v>
      </c>
    </row>
    <row r="203" ht="14.25" customHeight="1">
      <c r="A203" s="28" t="s">
        <v>6681</v>
      </c>
      <c r="B203" s="29" t="s">
        <v>6682</v>
      </c>
      <c r="C203" s="29" t="s">
        <v>7041</v>
      </c>
      <c r="D203" s="30">
        <v>45658.0</v>
      </c>
      <c r="E203" s="30">
        <v>46022.0</v>
      </c>
      <c r="F203" s="31">
        <v>0.0</v>
      </c>
      <c r="G203" s="31">
        <v>1.0</v>
      </c>
      <c r="H203" s="35" t="s">
        <v>7045</v>
      </c>
      <c r="I203" s="30">
        <v>46023.0</v>
      </c>
      <c r="J203" s="30">
        <v>46387.0</v>
      </c>
      <c r="K203" s="31">
        <v>0.0</v>
      </c>
      <c r="L203" s="31">
        <v>1.0</v>
      </c>
      <c r="M203" s="35" t="s">
        <v>7045</v>
      </c>
      <c r="N203" s="30">
        <v>46388.0</v>
      </c>
      <c r="O203" s="30">
        <v>46752.0</v>
      </c>
      <c r="P203" s="31">
        <v>0.0</v>
      </c>
      <c r="Q203" s="31">
        <v>1.0</v>
      </c>
      <c r="R203" s="35" t="s">
        <v>7045</v>
      </c>
      <c r="S203" s="30">
        <v>46753.0</v>
      </c>
      <c r="T203" s="30">
        <v>47118.0</v>
      </c>
      <c r="U203" s="31">
        <v>0.0</v>
      </c>
      <c r="V203" s="31">
        <v>1.0</v>
      </c>
      <c r="W203" s="35" t="s">
        <v>7045</v>
      </c>
      <c r="X203" s="30">
        <v>47119.0</v>
      </c>
      <c r="Y203" s="30">
        <v>47483.0</v>
      </c>
      <c r="Z203" s="31">
        <v>0.0</v>
      </c>
      <c r="AA203" s="31">
        <v>1.0</v>
      </c>
      <c r="AB203" s="35" t="s">
        <v>7045</v>
      </c>
      <c r="AC203" s="30">
        <v>47484.0</v>
      </c>
      <c r="AD203" s="30">
        <v>47848.0</v>
      </c>
      <c r="AE203" s="31">
        <v>0.0</v>
      </c>
      <c r="AF203" s="31">
        <v>1.0</v>
      </c>
      <c r="AG203" s="35" t="s">
        <v>7045</v>
      </c>
    </row>
    <row r="204" ht="14.25" customHeight="1">
      <c r="A204" s="28" t="s">
        <v>6492</v>
      </c>
      <c r="B204" s="29" t="s">
        <v>6493</v>
      </c>
      <c r="C204" s="29" t="s">
        <v>7041</v>
      </c>
      <c r="D204" s="30">
        <v>45658.0</v>
      </c>
      <c r="E204" s="30">
        <v>46022.0</v>
      </c>
      <c r="F204" s="31">
        <v>0.0</v>
      </c>
      <c r="G204" s="31">
        <v>1.0</v>
      </c>
      <c r="H204" s="35" t="s">
        <v>7045</v>
      </c>
      <c r="I204" s="30">
        <v>46023.0</v>
      </c>
      <c r="J204" s="30">
        <v>46387.0</v>
      </c>
      <c r="K204" s="31">
        <v>0.0</v>
      </c>
      <c r="L204" s="31">
        <v>1.0</v>
      </c>
      <c r="M204" s="35" t="s">
        <v>7045</v>
      </c>
      <c r="N204" s="30">
        <v>46388.0</v>
      </c>
      <c r="O204" s="30">
        <v>46752.0</v>
      </c>
      <c r="P204" s="31">
        <v>0.0</v>
      </c>
      <c r="Q204" s="31">
        <v>1.0</v>
      </c>
      <c r="R204" s="35" t="s">
        <v>7045</v>
      </c>
      <c r="S204" s="30">
        <v>46753.0</v>
      </c>
      <c r="T204" s="30">
        <v>47118.0</v>
      </c>
      <c r="U204" s="31">
        <v>0.0</v>
      </c>
      <c r="V204" s="31">
        <v>1.0</v>
      </c>
      <c r="W204" s="35" t="s">
        <v>7045</v>
      </c>
      <c r="X204" s="30">
        <v>47119.0</v>
      </c>
      <c r="Y204" s="30">
        <v>47483.0</v>
      </c>
      <c r="Z204" s="31">
        <v>0.0</v>
      </c>
      <c r="AA204" s="31">
        <v>1.0</v>
      </c>
      <c r="AB204" s="35" t="s">
        <v>7045</v>
      </c>
      <c r="AC204" s="30">
        <v>47484.0</v>
      </c>
      <c r="AD204" s="30">
        <v>47848.0</v>
      </c>
      <c r="AE204" s="31">
        <v>0.0</v>
      </c>
      <c r="AF204" s="31">
        <v>1.0</v>
      </c>
      <c r="AG204" s="35" t="s">
        <v>7045</v>
      </c>
    </row>
    <row r="205" ht="14.25" customHeight="1">
      <c r="A205" s="28" t="s">
        <v>5379</v>
      </c>
      <c r="B205" s="29" t="s">
        <v>5380</v>
      </c>
      <c r="C205" s="29" t="s">
        <v>7041</v>
      </c>
      <c r="D205" s="30">
        <v>45658.0</v>
      </c>
      <c r="E205" s="30">
        <v>46022.0</v>
      </c>
      <c r="F205" s="31">
        <v>0.0</v>
      </c>
      <c r="G205" s="31">
        <v>1.0</v>
      </c>
      <c r="H205" s="35" t="s">
        <v>7045</v>
      </c>
      <c r="I205" s="30">
        <v>46023.0</v>
      </c>
      <c r="J205" s="30">
        <v>46387.0</v>
      </c>
      <c r="K205" s="31">
        <v>0.0</v>
      </c>
      <c r="L205" s="31">
        <v>1.0</v>
      </c>
      <c r="M205" s="35" t="s">
        <v>7045</v>
      </c>
      <c r="N205" s="30">
        <v>46388.0</v>
      </c>
      <c r="O205" s="30">
        <v>46752.0</v>
      </c>
      <c r="P205" s="31">
        <v>0.0</v>
      </c>
      <c r="Q205" s="31">
        <v>1.0</v>
      </c>
      <c r="R205" s="35" t="s">
        <v>7045</v>
      </c>
      <c r="S205" s="30">
        <v>46753.0</v>
      </c>
      <c r="T205" s="30">
        <v>47118.0</v>
      </c>
      <c r="U205" s="31">
        <v>0.0</v>
      </c>
      <c r="V205" s="31">
        <v>1.0</v>
      </c>
      <c r="W205" s="35" t="s">
        <v>7045</v>
      </c>
      <c r="X205" s="30">
        <v>47119.0</v>
      </c>
      <c r="Y205" s="30">
        <v>47483.0</v>
      </c>
      <c r="Z205" s="31">
        <v>0.0</v>
      </c>
      <c r="AA205" s="31">
        <v>1.0</v>
      </c>
      <c r="AB205" s="35" t="s">
        <v>7045</v>
      </c>
      <c r="AC205" s="30">
        <v>47484.0</v>
      </c>
      <c r="AD205" s="30">
        <v>47848.0</v>
      </c>
      <c r="AE205" s="31">
        <v>0.0</v>
      </c>
      <c r="AF205" s="31">
        <v>1.0</v>
      </c>
      <c r="AG205" s="35" t="s">
        <v>7045</v>
      </c>
    </row>
    <row r="206" ht="14.25" customHeight="1">
      <c r="A206" s="28" t="s">
        <v>2317</v>
      </c>
      <c r="B206" s="29" t="s">
        <v>2318</v>
      </c>
      <c r="C206" s="29" t="s">
        <v>7041</v>
      </c>
      <c r="D206" s="30">
        <v>45658.0</v>
      </c>
      <c r="E206" s="30">
        <v>46022.0</v>
      </c>
      <c r="F206" s="31">
        <v>0.0</v>
      </c>
      <c r="G206" s="31">
        <v>1.0</v>
      </c>
      <c r="H206" s="35" t="s">
        <v>7045</v>
      </c>
      <c r="I206" s="30">
        <v>46023.0</v>
      </c>
      <c r="J206" s="30">
        <v>46387.0</v>
      </c>
      <c r="K206" s="31">
        <v>0.0</v>
      </c>
      <c r="L206" s="31">
        <v>1.0</v>
      </c>
      <c r="M206" s="35" t="s">
        <v>7045</v>
      </c>
      <c r="N206" s="30">
        <v>46388.0</v>
      </c>
      <c r="O206" s="30">
        <v>46752.0</v>
      </c>
      <c r="P206" s="31">
        <v>0.0</v>
      </c>
      <c r="Q206" s="31">
        <v>1.0</v>
      </c>
      <c r="R206" s="35" t="s">
        <v>7045</v>
      </c>
      <c r="S206" s="30">
        <v>46753.0</v>
      </c>
      <c r="T206" s="30">
        <v>47118.0</v>
      </c>
      <c r="U206" s="31">
        <v>0.0</v>
      </c>
      <c r="V206" s="31">
        <v>1.0</v>
      </c>
      <c r="W206" s="35" t="s">
        <v>7045</v>
      </c>
      <c r="X206" s="30">
        <v>47119.0</v>
      </c>
      <c r="Y206" s="30">
        <v>47483.0</v>
      </c>
      <c r="Z206" s="31">
        <v>0.0</v>
      </c>
      <c r="AA206" s="31">
        <v>1.0</v>
      </c>
      <c r="AB206" s="35" t="s">
        <v>7045</v>
      </c>
      <c r="AC206" s="30">
        <v>47484.0</v>
      </c>
      <c r="AD206" s="30">
        <v>47848.0</v>
      </c>
      <c r="AE206" s="31">
        <v>0.0</v>
      </c>
      <c r="AF206" s="31">
        <v>1.0</v>
      </c>
      <c r="AG206" s="35" t="s">
        <v>7045</v>
      </c>
    </row>
    <row r="207" ht="14.25" customHeight="1">
      <c r="A207" s="28" t="s">
        <v>5619</v>
      </c>
      <c r="B207" s="29" t="s">
        <v>5620</v>
      </c>
      <c r="C207" s="29" t="s">
        <v>7041</v>
      </c>
      <c r="D207" s="30">
        <v>45658.0</v>
      </c>
      <c r="E207" s="30">
        <v>46022.0</v>
      </c>
      <c r="F207" s="31">
        <v>0.0</v>
      </c>
      <c r="G207" s="31">
        <v>1.0</v>
      </c>
      <c r="H207" s="35" t="s">
        <v>7045</v>
      </c>
      <c r="I207" s="30">
        <v>46023.0</v>
      </c>
      <c r="J207" s="30">
        <v>46387.0</v>
      </c>
      <c r="K207" s="31">
        <v>0.0</v>
      </c>
      <c r="L207" s="31">
        <v>1.0</v>
      </c>
      <c r="M207" s="35" t="s">
        <v>7045</v>
      </c>
      <c r="N207" s="30">
        <v>46388.0</v>
      </c>
      <c r="O207" s="30">
        <v>46752.0</v>
      </c>
      <c r="P207" s="31">
        <v>0.0</v>
      </c>
      <c r="Q207" s="31">
        <v>1.0</v>
      </c>
      <c r="R207" s="35" t="s">
        <v>7045</v>
      </c>
      <c r="S207" s="30">
        <v>46753.0</v>
      </c>
      <c r="T207" s="30">
        <v>47118.0</v>
      </c>
      <c r="U207" s="31">
        <v>0.0</v>
      </c>
      <c r="V207" s="31">
        <v>1.0</v>
      </c>
      <c r="W207" s="35" t="s">
        <v>7045</v>
      </c>
      <c r="X207" s="30">
        <v>47119.0</v>
      </c>
      <c r="Y207" s="30">
        <v>47483.0</v>
      </c>
      <c r="Z207" s="31">
        <v>0.0</v>
      </c>
      <c r="AA207" s="31">
        <v>1.0</v>
      </c>
      <c r="AB207" s="35" t="s">
        <v>7045</v>
      </c>
      <c r="AC207" s="30">
        <v>47484.0</v>
      </c>
      <c r="AD207" s="30">
        <v>47848.0</v>
      </c>
      <c r="AE207" s="31">
        <v>0.0</v>
      </c>
      <c r="AF207" s="31">
        <v>1.0</v>
      </c>
      <c r="AG207" s="35" t="s">
        <v>7045</v>
      </c>
    </row>
    <row r="208" ht="14.25" customHeight="1">
      <c r="A208" s="28" t="s">
        <v>3904</v>
      </c>
      <c r="B208" s="29" t="s">
        <v>3905</v>
      </c>
      <c r="C208" s="29" t="s">
        <v>7041</v>
      </c>
      <c r="D208" s="30">
        <v>45658.0</v>
      </c>
      <c r="E208" s="30">
        <v>46022.0</v>
      </c>
      <c r="F208" s="31">
        <v>1.0</v>
      </c>
      <c r="G208" s="31">
        <v>1.0</v>
      </c>
      <c r="H208" s="35" t="s">
        <v>7042</v>
      </c>
      <c r="I208" s="30">
        <v>46023.0</v>
      </c>
      <c r="J208" s="30">
        <v>46387.0</v>
      </c>
      <c r="K208" s="31">
        <v>0.0</v>
      </c>
      <c r="L208" s="31">
        <v>1.0</v>
      </c>
      <c r="M208" s="35" t="s">
        <v>7045</v>
      </c>
      <c r="N208" s="30">
        <v>46388.0</v>
      </c>
      <c r="O208" s="30">
        <v>46752.0</v>
      </c>
      <c r="P208" s="31">
        <v>0.0</v>
      </c>
      <c r="Q208" s="31">
        <v>1.0</v>
      </c>
      <c r="R208" s="35" t="s">
        <v>7045</v>
      </c>
      <c r="S208" s="30">
        <v>46753.0</v>
      </c>
      <c r="T208" s="30">
        <v>47118.0</v>
      </c>
      <c r="U208" s="31">
        <v>0.0</v>
      </c>
      <c r="V208" s="31">
        <v>1.0</v>
      </c>
      <c r="W208" s="35" t="s">
        <v>7045</v>
      </c>
      <c r="X208" s="30">
        <v>47119.0</v>
      </c>
      <c r="Y208" s="30">
        <v>47483.0</v>
      </c>
      <c r="Z208" s="31">
        <v>0.0</v>
      </c>
      <c r="AA208" s="31">
        <v>1.0</v>
      </c>
      <c r="AB208" s="35" t="s">
        <v>7045</v>
      </c>
      <c r="AC208" s="30">
        <v>47484.0</v>
      </c>
      <c r="AD208" s="30">
        <v>47848.0</v>
      </c>
      <c r="AE208" s="31">
        <v>0.0</v>
      </c>
      <c r="AF208" s="31">
        <v>1.0</v>
      </c>
      <c r="AG208" s="35" t="s">
        <v>7045</v>
      </c>
    </row>
    <row r="209" ht="14.25" customHeight="1">
      <c r="A209" s="28" t="s">
        <v>6620</v>
      </c>
      <c r="B209" s="29" t="s">
        <v>6621</v>
      </c>
      <c r="C209" s="29" t="s">
        <v>7041</v>
      </c>
      <c r="D209" s="30">
        <v>45658.0</v>
      </c>
      <c r="E209" s="30">
        <v>46022.0</v>
      </c>
      <c r="F209" s="31">
        <v>0.0</v>
      </c>
      <c r="G209" s="31">
        <v>1.0</v>
      </c>
      <c r="H209" s="35" t="s">
        <v>7045</v>
      </c>
      <c r="I209" s="30">
        <v>46023.0</v>
      </c>
      <c r="J209" s="30">
        <v>46387.0</v>
      </c>
      <c r="K209" s="31">
        <v>0.0</v>
      </c>
      <c r="L209" s="31">
        <v>1.0</v>
      </c>
      <c r="M209" s="35" t="s">
        <v>7045</v>
      </c>
      <c r="N209" s="30">
        <v>46388.0</v>
      </c>
      <c r="O209" s="30">
        <v>46752.0</v>
      </c>
      <c r="P209" s="31">
        <v>0.0</v>
      </c>
      <c r="Q209" s="31">
        <v>1.0</v>
      </c>
      <c r="R209" s="35" t="s">
        <v>7045</v>
      </c>
      <c r="S209" s="30">
        <v>46753.0</v>
      </c>
      <c r="T209" s="30">
        <v>47118.0</v>
      </c>
      <c r="U209" s="31">
        <v>0.0</v>
      </c>
      <c r="V209" s="31">
        <v>1.0</v>
      </c>
      <c r="W209" s="35" t="s">
        <v>7045</v>
      </c>
      <c r="X209" s="30">
        <v>47119.0</v>
      </c>
      <c r="Y209" s="30">
        <v>47483.0</v>
      </c>
      <c r="Z209" s="31">
        <v>0.0</v>
      </c>
      <c r="AA209" s="31">
        <v>1.0</v>
      </c>
      <c r="AB209" s="35" t="s">
        <v>7045</v>
      </c>
      <c r="AC209" s="30">
        <v>47484.0</v>
      </c>
      <c r="AD209" s="30">
        <v>47848.0</v>
      </c>
      <c r="AE209" s="31">
        <v>0.0</v>
      </c>
      <c r="AF209" s="31">
        <v>1.0</v>
      </c>
      <c r="AG209" s="35" t="s">
        <v>7045</v>
      </c>
    </row>
    <row r="210" ht="14.25" customHeight="1">
      <c r="A210" s="28" t="s">
        <v>6479</v>
      </c>
      <c r="B210" s="29" t="s">
        <v>6480</v>
      </c>
      <c r="C210" s="29" t="s">
        <v>7041</v>
      </c>
      <c r="D210" s="30">
        <v>45658.0</v>
      </c>
      <c r="E210" s="30">
        <v>46022.0</v>
      </c>
      <c r="F210" s="31">
        <v>0.0</v>
      </c>
      <c r="G210" s="31">
        <v>1.0</v>
      </c>
      <c r="H210" s="35" t="s">
        <v>7045</v>
      </c>
      <c r="I210" s="30">
        <v>46023.0</v>
      </c>
      <c r="J210" s="30">
        <v>46387.0</v>
      </c>
      <c r="K210" s="31">
        <v>0.0</v>
      </c>
      <c r="L210" s="31">
        <v>1.0</v>
      </c>
      <c r="M210" s="35" t="s">
        <v>7045</v>
      </c>
      <c r="N210" s="30">
        <v>46388.0</v>
      </c>
      <c r="O210" s="30">
        <v>46752.0</v>
      </c>
      <c r="P210" s="31">
        <v>0.0</v>
      </c>
      <c r="Q210" s="31">
        <v>1.0</v>
      </c>
      <c r="R210" s="35" t="s">
        <v>7045</v>
      </c>
      <c r="S210" s="30">
        <v>46753.0</v>
      </c>
      <c r="T210" s="30">
        <v>47118.0</v>
      </c>
      <c r="U210" s="31">
        <v>0.0</v>
      </c>
      <c r="V210" s="31">
        <v>1.0</v>
      </c>
      <c r="W210" s="35" t="s">
        <v>7045</v>
      </c>
      <c r="X210" s="30">
        <v>47119.0</v>
      </c>
      <c r="Y210" s="30">
        <v>47483.0</v>
      </c>
      <c r="Z210" s="31">
        <v>0.0</v>
      </c>
      <c r="AA210" s="31">
        <v>1.0</v>
      </c>
      <c r="AB210" s="35" t="s">
        <v>7045</v>
      </c>
      <c r="AC210" s="30">
        <v>47484.0</v>
      </c>
      <c r="AD210" s="30">
        <v>47848.0</v>
      </c>
      <c r="AE210" s="31">
        <v>0.0</v>
      </c>
      <c r="AF210" s="31">
        <v>1.0</v>
      </c>
      <c r="AG210" s="35" t="s">
        <v>7045</v>
      </c>
    </row>
    <row r="211" ht="14.25" customHeight="1">
      <c r="A211" s="28" t="s">
        <v>3264</v>
      </c>
      <c r="B211" s="29" t="s">
        <v>3265</v>
      </c>
      <c r="C211" s="29" t="s">
        <v>7041</v>
      </c>
      <c r="D211" s="30">
        <v>45658.0</v>
      </c>
      <c r="E211" s="30">
        <v>46022.0</v>
      </c>
      <c r="F211" s="31">
        <v>0.0</v>
      </c>
      <c r="G211" s="31">
        <v>1.0</v>
      </c>
      <c r="H211" s="35" t="s">
        <v>7045</v>
      </c>
      <c r="I211" s="30">
        <v>46023.0</v>
      </c>
      <c r="J211" s="30">
        <v>46387.0</v>
      </c>
      <c r="K211" s="31">
        <v>0.0</v>
      </c>
      <c r="L211" s="31">
        <v>1.0</v>
      </c>
      <c r="M211" s="35" t="s">
        <v>7045</v>
      </c>
      <c r="N211" s="30">
        <v>46388.0</v>
      </c>
      <c r="O211" s="30">
        <v>46752.0</v>
      </c>
      <c r="P211" s="31">
        <v>0.0</v>
      </c>
      <c r="Q211" s="31">
        <v>1.0</v>
      </c>
      <c r="R211" s="35" t="s">
        <v>7045</v>
      </c>
      <c r="S211" s="30">
        <v>46753.0</v>
      </c>
      <c r="T211" s="30">
        <v>47118.0</v>
      </c>
      <c r="U211" s="31">
        <v>0.0</v>
      </c>
      <c r="V211" s="31">
        <v>1.0</v>
      </c>
      <c r="W211" s="35" t="s">
        <v>7045</v>
      </c>
      <c r="X211" s="30">
        <v>47119.0</v>
      </c>
      <c r="Y211" s="30">
        <v>47483.0</v>
      </c>
      <c r="Z211" s="31">
        <v>0.0</v>
      </c>
      <c r="AA211" s="31">
        <v>1.0</v>
      </c>
      <c r="AB211" s="35" t="s">
        <v>7045</v>
      </c>
      <c r="AC211" s="30">
        <v>47484.0</v>
      </c>
      <c r="AD211" s="30">
        <v>47848.0</v>
      </c>
      <c r="AE211" s="31">
        <v>0.0</v>
      </c>
      <c r="AF211" s="31">
        <v>1.0</v>
      </c>
      <c r="AG211" s="35" t="s">
        <v>7045</v>
      </c>
    </row>
    <row r="212" ht="14.25" customHeight="1">
      <c r="A212" s="28" t="s">
        <v>3907</v>
      </c>
      <c r="B212" s="29" t="s">
        <v>3908</v>
      </c>
      <c r="C212" s="29" t="s">
        <v>7041</v>
      </c>
      <c r="D212" s="30">
        <v>45658.0</v>
      </c>
      <c r="E212" s="30">
        <v>46022.0</v>
      </c>
      <c r="F212" s="31">
        <v>0.0</v>
      </c>
      <c r="G212" s="31">
        <v>1.0</v>
      </c>
      <c r="H212" s="35" t="s">
        <v>7045</v>
      </c>
      <c r="I212" s="30">
        <v>46023.0</v>
      </c>
      <c r="J212" s="30">
        <v>46387.0</v>
      </c>
      <c r="K212" s="31">
        <v>0.0</v>
      </c>
      <c r="L212" s="31">
        <v>1.0</v>
      </c>
      <c r="M212" s="35" t="s">
        <v>7045</v>
      </c>
      <c r="N212" s="30">
        <v>46388.0</v>
      </c>
      <c r="O212" s="30">
        <v>46752.0</v>
      </c>
      <c r="P212" s="31">
        <v>0.0</v>
      </c>
      <c r="Q212" s="31">
        <v>1.0</v>
      </c>
      <c r="R212" s="35" t="s">
        <v>7045</v>
      </c>
      <c r="S212" s="30">
        <v>46753.0</v>
      </c>
      <c r="T212" s="30">
        <v>47118.0</v>
      </c>
      <c r="U212" s="31">
        <v>0.0</v>
      </c>
      <c r="V212" s="31">
        <v>1.0</v>
      </c>
      <c r="W212" s="35" t="s">
        <v>7045</v>
      </c>
      <c r="X212" s="30">
        <v>47119.0</v>
      </c>
      <c r="Y212" s="30">
        <v>47483.0</v>
      </c>
      <c r="Z212" s="31">
        <v>0.0</v>
      </c>
      <c r="AA212" s="31">
        <v>1.0</v>
      </c>
      <c r="AB212" s="35" t="s">
        <v>7045</v>
      </c>
      <c r="AC212" s="30">
        <v>47484.0</v>
      </c>
      <c r="AD212" s="30">
        <v>47848.0</v>
      </c>
      <c r="AE212" s="31">
        <v>0.0</v>
      </c>
      <c r="AF212" s="31">
        <v>1.0</v>
      </c>
      <c r="AG212" s="35" t="s">
        <v>7045</v>
      </c>
    </row>
    <row r="213" ht="14.25" customHeight="1">
      <c r="A213" s="28" t="s">
        <v>504</v>
      </c>
      <c r="B213" s="29" t="s">
        <v>505</v>
      </c>
      <c r="C213" s="29" t="s">
        <v>7041</v>
      </c>
      <c r="D213" s="30">
        <v>45658.0</v>
      </c>
      <c r="E213" s="30">
        <v>46022.0</v>
      </c>
      <c r="F213" s="31">
        <v>0.0</v>
      </c>
      <c r="G213" s="31">
        <v>1.0</v>
      </c>
      <c r="H213" s="35" t="s">
        <v>7045</v>
      </c>
      <c r="I213" s="30">
        <v>46023.0</v>
      </c>
      <c r="J213" s="30">
        <v>46387.0</v>
      </c>
      <c r="K213" s="31">
        <v>0.0</v>
      </c>
      <c r="L213" s="31">
        <v>1.0</v>
      </c>
      <c r="M213" s="35" t="s">
        <v>7045</v>
      </c>
      <c r="N213" s="30">
        <v>46388.0</v>
      </c>
      <c r="O213" s="30">
        <v>46752.0</v>
      </c>
      <c r="P213" s="31">
        <v>0.0</v>
      </c>
      <c r="Q213" s="31">
        <v>1.0</v>
      </c>
      <c r="R213" s="35" t="s">
        <v>7045</v>
      </c>
      <c r="S213" s="30">
        <v>46753.0</v>
      </c>
      <c r="T213" s="30">
        <v>47118.0</v>
      </c>
      <c r="U213" s="31">
        <v>0.0</v>
      </c>
      <c r="V213" s="31">
        <v>1.0</v>
      </c>
      <c r="W213" s="35" t="s">
        <v>7045</v>
      </c>
      <c r="X213" s="30">
        <v>47119.0</v>
      </c>
      <c r="Y213" s="30">
        <v>47483.0</v>
      </c>
      <c r="Z213" s="31">
        <v>0.0</v>
      </c>
      <c r="AA213" s="31">
        <v>1.0</v>
      </c>
      <c r="AB213" s="35" t="s">
        <v>7045</v>
      </c>
      <c r="AC213" s="30">
        <v>47484.0</v>
      </c>
      <c r="AD213" s="30">
        <v>47848.0</v>
      </c>
      <c r="AE213" s="31">
        <v>0.0</v>
      </c>
      <c r="AF213" s="31">
        <v>1.0</v>
      </c>
      <c r="AG213" s="35" t="s">
        <v>7045</v>
      </c>
    </row>
    <row r="214" ht="14.25" customHeight="1">
      <c r="A214" s="28" t="s">
        <v>507</v>
      </c>
      <c r="B214" s="29" t="s">
        <v>508</v>
      </c>
      <c r="C214" s="29" t="s">
        <v>7041</v>
      </c>
      <c r="D214" s="30">
        <v>45658.0</v>
      </c>
      <c r="E214" s="30">
        <v>46022.0</v>
      </c>
      <c r="F214" s="31">
        <v>0.0</v>
      </c>
      <c r="G214" s="31">
        <v>1.0</v>
      </c>
      <c r="H214" s="35" t="s">
        <v>7045</v>
      </c>
      <c r="I214" s="30">
        <v>46023.0</v>
      </c>
      <c r="J214" s="30">
        <v>46387.0</v>
      </c>
      <c r="K214" s="31">
        <v>0.0</v>
      </c>
      <c r="L214" s="31">
        <v>1.0</v>
      </c>
      <c r="M214" s="35" t="s">
        <v>7045</v>
      </c>
      <c r="N214" s="30">
        <v>46388.0</v>
      </c>
      <c r="O214" s="30">
        <v>46752.0</v>
      </c>
      <c r="P214" s="31">
        <v>0.0</v>
      </c>
      <c r="Q214" s="31">
        <v>1.0</v>
      </c>
      <c r="R214" s="35" t="s">
        <v>7045</v>
      </c>
      <c r="S214" s="30">
        <v>46753.0</v>
      </c>
      <c r="T214" s="30">
        <v>47118.0</v>
      </c>
      <c r="U214" s="31">
        <v>0.0</v>
      </c>
      <c r="V214" s="31">
        <v>1.0</v>
      </c>
      <c r="W214" s="35" t="s">
        <v>7045</v>
      </c>
      <c r="X214" s="30">
        <v>47119.0</v>
      </c>
      <c r="Y214" s="30">
        <v>47483.0</v>
      </c>
      <c r="Z214" s="31">
        <v>0.0</v>
      </c>
      <c r="AA214" s="31">
        <v>1.0</v>
      </c>
      <c r="AB214" s="35" t="s">
        <v>7045</v>
      </c>
      <c r="AC214" s="30">
        <v>47484.0</v>
      </c>
      <c r="AD214" s="30">
        <v>47848.0</v>
      </c>
      <c r="AE214" s="31">
        <v>0.0</v>
      </c>
      <c r="AF214" s="31">
        <v>1.0</v>
      </c>
      <c r="AG214" s="35" t="s">
        <v>7045</v>
      </c>
    </row>
    <row r="215" ht="14.25" customHeight="1">
      <c r="A215" s="28" t="s">
        <v>718</v>
      </c>
      <c r="B215" s="29" t="s">
        <v>719</v>
      </c>
      <c r="C215" s="29" t="s">
        <v>7041</v>
      </c>
      <c r="D215" s="30">
        <v>45658.0</v>
      </c>
      <c r="E215" s="30">
        <v>46022.0</v>
      </c>
      <c r="F215" s="31">
        <v>0.0</v>
      </c>
      <c r="G215" s="31">
        <v>1.0</v>
      </c>
      <c r="H215" s="35" t="s">
        <v>7045</v>
      </c>
      <c r="I215" s="30">
        <v>46023.0</v>
      </c>
      <c r="J215" s="30">
        <v>46387.0</v>
      </c>
      <c r="K215" s="31">
        <v>0.0</v>
      </c>
      <c r="L215" s="31">
        <v>1.0</v>
      </c>
      <c r="M215" s="35" t="s">
        <v>7045</v>
      </c>
      <c r="N215" s="30">
        <v>46388.0</v>
      </c>
      <c r="O215" s="30">
        <v>46752.0</v>
      </c>
      <c r="P215" s="31">
        <v>0.0</v>
      </c>
      <c r="Q215" s="31">
        <v>1.0</v>
      </c>
      <c r="R215" s="35" t="s">
        <v>7045</v>
      </c>
      <c r="S215" s="30">
        <v>46753.0</v>
      </c>
      <c r="T215" s="30">
        <v>47118.0</v>
      </c>
      <c r="U215" s="31">
        <v>0.0</v>
      </c>
      <c r="V215" s="31">
        <v>1.0</v>
      </c>
      <c r="W215" s="35" t="s">
        <v>7045</v>
      </c>
      <c r="X215" s="30">
        <v>47119.0</v>
      </c>
      <c r="Y215" s="30">
        <v>47483.0</v>
      </c>
      <c r="Z215" s="31">
        <v>0.0</v>
      </c>
      <c r="AA215" s="31">
        <v>1.0</v>
      </c>
      <c r="AB215" s="35" t="s">
        <v>7045</v>
      </c>
      <c r="AC215" s="30">
        <v>47484.0</v>
      </c>
      <c r="AD215" s="30">
        <v>47848.0</v>
      </c>
      <c r="AE215" s="31">
        <v>0.0</v>
      </c>
      <c r="AF215" s="31">
        <v>1.0</v>
      </c>
      <c r="AG215" s="35" t="s">
        <v>7045</v>
      </c>
    </row>
    <row r="216" ht="14.25" customHeight="1">
      <c r="A216" s="28" t="s">
        <v>759</v>
      </c>
      <c r="B216" s="29" t="s">
        <v>760</v>
      </c>
      <c r="C216" s="29" t="s">
        <v>7041</v>
      </c>
      <c r="D216" s="30">
        <v>45658.0</v>
      </c>
      <c r="E216" s="30">
        <v>46022.0</v>
      </c>
      <c r="F216" s="31">
        <v>0.0</v>
      </c>
      <c r="G216" s="31">
        <v>1.0</v>
      </c>
      <c r="H216" s="35" t="s">
        <v>7045</v>
      </c>
      <c r="I216" s="30">
        <v>46023.0</v>
      </c>
      <c r="J216" s="30">
        <v>46387.0</v>
      </c>
      <c r="K216" s="31">
        <v>0.0</v>
      </c>
      <c r="L216" s="31">
        <v>1.0</v>
      </c>
      <c r="M216" s="35" t="s">
        <v>7045</v>
      </c>
      <c r="N216" s="30">
        <v>46388.0</v>
      </c>
      <c r="O216" s="30">
        <v>46752.0</v>
      </c>
      <c r="P216" s="31">
        <v>0.0</v>
      </c>
      <c r="Q216" s="31">
        <v>1.0</v>
      </c>
      <c r="R216" s="35" t="s">
        <v>7045</v>
      </c>
      <c r="S216" s="30">
        <v>46753.0</v>
      </c>
      <c r="T216" s="30">
        <v>47118.0</v>
      </c>
      <c r="U216" s="31">
        <v>0.0</v>
      </c>
      <c r="V216" s="31">
        <v>1.0</v>
      </c>
      <c r="W216" s="35" t="s">
        <v>7045</v>
      </c>
      <c r="X216" s="30">
        <v>47119.0</v>
      </c>
      <c r="Y216" s="30">
        <v>47483.0</v>
      </c>
      <c r="Z216" s="31">
        <v>0.0</v>
      </c>
      <c r="AA216" s="31">
        <v>1.0</v>
      </c>
      <c r="AB216" s="35" t="s">
        <v>7045</v>
      </c>
      <c r="AC216" s="30">
        <v>47484.0</v>
      </c>
      <c r="AD216" s="30">
        <v>47848.0</v>
      </c>
      <c r="AE216" s="31">
        <v>0.0</v>
      </c>
      <c r="AF216" s="31">
        <v>1.0</v>
      </c>
      <c r="AG216" s="35" t="s">
        <v>7045</v>
      </c>
    </row>
    <row r="217" ht="14.25" customHeight="1">
      <c r="A217" s="28" t="s">
        <v>1271</v>
      </c>
      <c r="B217" s="29" t="s">
        <v>1272</v>
      </c>
      <c r="C217" s="29" t="s">
        <v>7041</v>
      </c>
      <c r="D217" s="30">
        <v>45658.0</v>
      </c>
      <c r="E217" s="30">
        <v>46022.0</v>
      </c>
      <c r="F217" s="31">
        <v>0.0</v>
      </c>
      <c r="G217" s="31">
        <v>1.0</v>
      </c>
      <c r="H217" s="35" t="s">
        <v>7045</v>
      </c>
      <c r="I217" s="30">
        <v>46023.0</v>
      </c>
      <c r="J217" s="30">
        <v>46387.0</v>
      </c>
      <c r="K217" s="31">
        <v>0.0</v>
      </c>
      <c r="L217" s="31">
        <v>1.0</v>
      </c>
      <c r="M217" s="35" t="s">
        <v>7045</v>
      </c>
      <c r="N217" s="30">
        <v>46388.0</v>
      </c>
      <c r="O217" s="30">
        <v>46752.0</v>
      </c>
      <c r="P217" s="31">
        <v>0.0</v>
      </c>
      <c r="Q217" s="31">
        <v>1.0</v>
      </c>
      <c r="R217" s="35" t="s">
        <v>7045</v>
      </c>
      <c r="S217" s="30">
        <v>46753.0</v>
      </c>
      <c r="T217" s="30">
        <v>47118.0</v>
      </c>
      <c r="U217" s="31">
        <v>0.0</v>
      </c>
      <c r="V217" s="31">
        <v>1.0</v>
      </c>
      <c r="W217" s="35" t="s">
        <v>7045</v>
      </c>
      <c r="X217" s="30">
        <v>47119.0</v>
      </c>
      <c r="Y217" s="30">
        <v>47483.0</v>
      </c>
      <c r="Z217" s="31">
        <v>0.0</v>
      </c>
      <c r="AA217" s="31">
        <v>1.0</v>
      </c>
      <c r="AB217" s="35" t="s">
        <v>7045</v>
      </c>
      <c r="AC217" s="30">
        <v>47484.0</v>
      </c>
      <c r="AD217" s="30">
        <v>47848.0</v>
      </c>
      <c r="AE217" s="31">
        <v>0.0</v>
      </c>
      <c r="AF217" s="31">
        <v>1.0</v>
      </c>
      <c r="AG217" s="35" t="s">
        <v>7045</v>
      </c>
    </row>
    <row r="218" ht="14.25" customHeight="1">
      <c r="A218" s="28" t="s">
        <v>1328</v>
      </c>
      <c r="B218" s="29" t="s">
        <v>1329</v>
      </c>
      <c r="C218" s="29" t="s">
        <v>7041</v>
      </c>
      <c r="D218" s="30">
        <v>45658.0</v>
      </c>
      <c r="E218" s="30">
        <v>46022.0</v>
      </c>
      <c r="F218" s="31">
        <v>0.0</v>
      </c>
      <c r="G218" s="31">
        <v>1.0</v>
      </c>
      <c r="H218" s="35" t="s">
        <v>7045</v>
      </c>
      <c r="I218" s="30">
        <v>46023.0</v>
      </c>
      <c r="J218" s="30">
        <v>46387.0</v>
      </c>
      <c r="K218" s="31">
        <v>0.0</v>
      </c>
      <c r="L218" s="31">
        <v>1.0</v>
      </c>
      <c r="M218" s="35" t="s">
        <v>7045</v>
      </c>
      <c r="N218" s="30">
        <v>46388.0</v>
      </c>
      <c r="O218" s="30">
        <v>46752.0</v>
      </c>
      <c r="P218" s="31">
        <v>0.0</v>
      </c>
      <c r="Q218" s="31">
        <v>1.0</v>
      </c>
      <c r="R218" s="35" t="s">
        <v>7045</v>
      </c>
      <c r="S218" s="30">
        <v>46753.0</v>
      </c>
      <c r="T218" s="30">
        <v>47118.0</v>
      </c>
      <c r="U218" s="31">
        <v>0.0</v>
      </c>
      <c r="V218" s="31">
        <v>1.0</v>
      </c>
      <c r="W218" s="35" t="s">
        <v>7045</v>
      </c>
      <c r="X218" s="30">
        <v>47119.0</v>
      </c>
      <c r="Y218" s="30">
        <v>47483.0</v>
      </c>
      <c r="Z218" s="31">
        <v>0.0</v>
      </c>
      <c r="AA218" s="31">
        <v>1.0</v>
      </c>
      <c r="AB218" s="35" t="s">
        <v>7045</v>
      </c>
      <c r="AC218" s="30">
        <v>47484.0</v>
      </c>
      <c r="AD218" s="30">
        <v>47848.0</v>
      </c>
      <c r="AE218" s="31">
        <v>0.0</v>
      </c>
      <c r="AF218" s="31">
        <v>1.0</v>
      </c>
      <c r="AG218" s="35" t="s">
        <v>7045</v>
      </c>
    </row>
    <row r="219" ht="14.25" customHeight="1">
      <c r="A219" s="28" t="s">
        <v>1437</v>
      </c>
      <c r="B219" s="29" t="s">
        <v>1438</v>
      </c>
      <c r="C219" s="29" t="s">
        <v>7041</v>
      </c>
      <c r="D219" s="30">
        <v>45658.0</v>
      </c>
      <c r="E219" s="30">
        <v>46022.0</v>
      </c>
      <c r="F219" s="31">
        <v>0.0</v>
      </c>
      <c r="G219" s="31">
        <v>1.0</v>
      </c>
      <c r="H219" s="35" t="s">
        <v>7045</v>
      </c>
      <c r="I219" s="30">
        <v>46023.0</v>
      </c>
      <c r="J219" s="30">
        <v>46387.0</v>
      </c>
      <c r="K219" s="31">
        <v>0.0</v>
      </c>
      <c r="L219" s="31">
        <v>1.0</v>
      </c>
      <c r="M219" s="35" t="s">
        <v>7045</v>
      </c>
      <c r="N219" s="30">
        <v>46388.0</v>
      </c>
      <c r="O219" s="30">
        <v>46752.0</v>
      </c>
      <c r="P219" s="31">
        <v>0.0</v>
      </c>
      <c r="Q219" s="31">
        <v>1.0</v>
      </c>
      <c r="R219" s="35" t="s">
        <v>7045</v>
      </c>
      <c r="S219" s="30">
        <v>46753.0</v>
      </c>
      <c r="T219" s="30">
        <v>47118.0</v>
      </c>
      <c r="U219" s="31">
        <v>0.0</v>
      </c>
      <c r="V219" s="31">
        <v>1.0</v>
      </c>
      <c r="W219" s="35" t="s">
        <v>7045</v>
      </c>
      <c r="X219" s="30">
        <v>47119.0</v>
      </c>
      <c r="Y219" s="30">
        <v>47483.0</v>
      </c>
      <c r="Z219" s="31">
        <v>0.0</v>
      </c>
      <c r="AA219" s="31">
        <v>1.0</v>
      </c>
      <c r="AB219" s="35" t="s">
        <v>7045</v>
      </c>
      <c r="AC219" s="30">
        <v>47484.0</v>
      </c>
      <c r="AD219" s="30">
        <v>47848.0</v>
      </c>
      <c r="AE219" s="31">
        <v>0.0</v>
      </c>
      <c r="AF219" s="31">
        <v>1.0</v>
      </c>
      <c r="AG219" s="35" t="s">
        <v>7045</v>
      </c>
    </row>
    <row r="220" ht="14.25" customHeight="1">
      <c r="A220" s="28" t="s">
        <v>1451</v>
      </c>
      <c r="B220" s="29" t="s">
        <v>1452</v>
      </c>
      <c r="C220" s="29" t="s">
        <v>7041</v>
      </c>
      <c r="D220" s="30">
        <v>45658.0</v>
      </c>
      <c r="E220" s="30">
        <v>46022.0</v>
      </c>
      <c r="F220" s="31">
        <v>0.0</v>
      </c>
      <c r="G220" s="31">
        <v>1.0</v>
      </c>
      <c r="H220" s="35" t="s">
        <v>7045</v>
      </c>
      <c r="I220" s="30">
        <v>46023.0</v>
      </c>
      <c r="J220" s="30">
        <v>46387.0</v>
      </c>
      <c r="K220" s="31">
        <v>0.0</v>
      </c>
      <c r="L220" s="31">
        <v>1.0</v>
      </c>
      <c r="M220" s="35" t="s">
        <v>7045</v>
      </c>
      <c r="N220" s="30">
        <v>46388.0</v>
      </c>
      <c r="O220" s="30">
        <v>46752.0</v>
      </c>
      <c r="P220" s="31">
        <v>0.0</v>
      </c>
      <c r="Q220" s="31">
        <v>1.0</v>
      </c>
      <c r="R220" s="35" t="s">
        <v>7045</v>
      </c>
      <c r="S220" s="30">
        <v>46753.0</v>
      </c>
      <c r="T220" s="30">
        <v>47118.0</v>
      </c>
      <c r="U220" s="31">
        <v>0.0</v>
      </c>
      <c r="V220" s="31">
        <v>1.0</v>
      </c>
      <c r="W220" s="35" t="s">
        <v>7045</v>
      </c>
      <c r="X220" s="30">
        <v>47119.0</v>
      </c>
      <c r="Y220" s="30">
        <v>47483.0</v>
      </c>
      <c r="Z220" s="31">
        <v>0.0</v>
      </c>
      <c r="AA220" s="31">
        <v>1.0</v>
      </c>
      <c r="AB220" s="35" t="s">
        <v>7045</v>
      </c>
      <c r="AC220" s="30">
        <v>47484.0</v>
      </c>
      <c r="AD220" s="30">
        <v>47848.0</v>
      </c>
      <c r="AE220" s="31">
        <v>0.0</v>
      </c>
      <c r="AF220" s="31">
        <v>1.0</v>
      </c>
      <c r="AG220" s="35" t="s">
        <v>7045</v>
      </c>
    </row>
    <row r="221" ht="14.25" customHeight="1">
      <c r="A221" s="28" t="s">
        <v>2262</v>
      </c>
      <c r="B221" s="29" t="s">
        <v>2263</v>
      </c>
      <c r="C221" s="29" t="s">
        <v>7041</v>
      </c>
      <c r="D221" s="30">
        <v>45658.0</v>
      </c>
      <c r="E221" s="30">
        <v>46022.0</v>
      </c>
      <c r="F221" s="31">
        <v>0.0</v>
      </c>
      <c r="G221" s="31">
        <v>1.0</v>
      </c>
      <c r="H221" s="35" t="s">
        <v>7045</v>
      </c>
      <c r="I221" s="30">
        <v>46023.0</v>
      </c>
      <c r="J221" s="30">
        <v>46387.0</v>
      </c>
      <c r="K221" s="31">
        <v>0.0</v>
      </c>
      <c r="L221" s="31">
        <v>1.0</v>
      </c>
      <c r="M221" s="35" t="s">
        <v>7045</v>
      </c>
      <c r="N221" s="30">
        <v>46388.0</v>
      </c>
      <c r="O221" s="30">
        <v>46752.0</v>
      </c>
      <c r="P221" s="31">
        <v>0.0</v>
      </c>
      <c r="Q221" s="31">
        <v>1.0</v>
      </c>
      <c r="R221" s="35" t="s">
        <v>7045</v>
      </c>
      <c r="S221" s="30">
        <v>46753.0</v>
      </c>
      <c r="T221" s="30">
        <v>47118.0</v>
      </c>
      <c r="U221" s="31">
        <v>0.0</v>
      </c>
      <c r="V221" s="31">
        <v>1.0</v>
      </c>
      <c r="W221" s="35" t="s">
        <v>7045</v>
      </c>
      <c r="X221" s="30">
        <v>47119.0</v>
      </c>
      <c r="Y221" s="30">
        <v>47483.0</v>
      </c>
      <c r="Z221" s="31">
        <v>0.0</v>
      </c>
      <c r="AA221" s="31">
        <v>1.0</v>
      </c>
      <c r="AB221" s="35" t="s">
        <v>7045</v>
      </c>
      <c r="AC221" s="30">
        <v>47484.0</v>
      </c>
      <c r="AD221" s="30">
        <v>47848.0</v>
      </c>
      <c r="AE221" s="31">
        <v>0.0</v>
      </c>
      <c r="AF221" s="31">
        <v>1.0</v>
      </c>
      <c r="AG221" s="35" t="s">
        <v>7045</v>
      </c>
    </row>
    <row r="222" ht="14.25" customHeight="1">
      <c r="A222" s="28" t="s">
        <v>2341</v>
      </c>
      <c r="B222" s="29" t="s">
        <v>2342</v>
      </c>
      <c r="C222" s="29" t="s">
        <v>7041</v>
      </c>
      <c r="D222" s="30">
        <v>45658.0</v>
      </c>
      <c r="E222" s="30">
        <v>46022.0</v>
      </c>
      <c r="F222" s="31">
        <v>1.0</v>
      </c>
      <c r="G222" s="31">
        <v>1.0</v>
      </c>
      <c r="H222" s="33" t="s">
        <v>7042</v>
      </c>
      <c r="I222" s="30">
        <v>46023.0</v>
      </c>
      <c r="J222" s="30">
        <v>46387.0</v>
      </c>
      <c r="K222" s="31">
        <v>0.0</v>
      </c>
      <c r="L222" s="31">
        <v>1.0</v>
      </c>
      <c r="M222" s="35" t="s">
        <v>7045</v>
      </c>
      <c r="N222" s="30">
        <v>46388.0</v>
      </c>
      <c r="O222" s="30">
        <v>46752.0</v>
      </c>
      <c r="P222" s="31">
        <v>0.0</v>
      </c>
      <c r="Q222" s="31">
        <v>1.0</v>
      </c>
      <c r="R222" s="35" t="s">
        <v>7045</v>
      </c>
      <c r="S222" s="30">
        <v>46753.0</v>
      </c>
      <c r="T222" s="30">
        <v>47118.0</v>
      </c>
      <c r="U222" s="31">
        <v>0.0</v>
      </c>
      <c r="V222" s="31">
        <v>1.0</v>
      </c>
      <c r="W222" s="35" t="s">
        <v>7045</v>
      </c>
      <c r="X222" s="30">
        <v>47119.0</v>
      </c>
      <c r="Y222" s="30">
        <v>47483.0</v>
      </c>
      <c r="Z222" s="31">
        <v>0.0</v>
      </c>
      <c r="AA222" s="31">
        <v>1.0</v>
      </c>
      <c r="AB222" s="35" t="s">
        <v>7045</v>
      </c>
      <c r="AC222" s="30">
        <v>47484.0</v>
      </c>
      <c r="AD222" s="30">
        <v>47848.0</v>
      </c>
      <c r="AE222" s="31">
        <v>0.0</v>
      </c>
      <c r="AF222" s="31">
        <v>1.0</v>
      </c>
      <c r="AG222" s="35" t="s">
        <v>7045</v>
      </c>
    </row>
    <row r="223" ht="14.25" customHeight="1">
      <c r="A223" s="28" t="s">
        <v>6790</v>
      </c>
      <c r="B223" s="29" t="s">
        <v>6791</v>
      </c>
      <c r="C223" s="29" t="s">
        <v>7041</v>
      </c>
      <c r="D223" s="30">
        <v>45658.0</v>
      </c>
      <c r="E223" s="30">
        <v>46022.0</v>
      </c>
      <c r="F223" s="31">
        <v>0.0</v>
      </c>
      <c r="G223" s="31">
        <v>1.0</v>
      </c>
      <c r="H223" s="35" t="s">
        <v>7045</v>
      </c>
      <c r="I223" s="30">
        <v>46023.0</v>
      </c>
      <c r="J223" s="30">
        <v>46387.0</v>
      </c>
      <c r="K223" s="31">
        <v>0.0</v>
      </c>
      <c r="L223" s="31">
        <v>1.0</v>
      </c>
      <c r="M223" s="35" t="s">
        <v>7045</v>
      </c>
      <c r="N223" s="30">
        <v>46388.0</v>
      </c>
      <c r="O223" s="30">
        <v>46752.0</v>
      </c>
      <c r="P223" s="31">
        <v>0.0</v>
      </c>
      <c r="Q223" s="31">
        <v>1.0</v>
      </c>
      <c r="R223" s="35" t="s">
        <v>7045</v>
      </c>
      <c r="S223" s="30">
        <v>46753.0</v>
      </c>
      <c r="T223" s="30">
        <v>47118.0</v>
      </c>
      <c r="U223" s="31">
        <v>0.0</v>
      </c>
      <c r="V223" s="31">
        <v>1.0</v>
      </c>
      <c r="W223" s="35" t="s">
        <v>7045</v>
      </c>
      <c r="X223" s="30">
        <v>47119.0</v>
      </c>
      <c r="Y223" s="30">
        <v>47483.0</v>
      </c>
      <c r="Z223" s="31">
        <v>0.0</v>
      </c>
      <c r="AA223" s="31">
        <v>1.0</v>
      </c>
      <c r="AB223" s="35" t="s">
        <v>7045</v>
      </c>
      <c r="AC223" s="30">
        <v>47484.0</v>
      </c>
      <c r="AD223" s="30">
        <v>47848.0</v>
      </c>
      <c r="AE223" s="31">
        <v>0.0</v>
      </c>
      <c r="AF223" s="31">
        <v>1.0</v>
      </c>
      <c r="AG223" s="35" t="s">
        <v>7045</v>
      </c>
    </row>
    <row r="224" ht="14.25" customHeight="1">
      <c r="A224" s="28" t="s">
        <v>2623</v>
      </c>
      <c r="B224" s="29" t="s">
        <v>2624</v>
      </c>
      <c r="C224" s="29" t="s">
        <v>7041</v>
      </c>
      <c r="D224" s="30">
        <v>45658.0</v>
      </c>
      <c r="E224" s="30">
        <v>46022.0</v>
      </c>
      <c r="F224" s="31">
        <v>0.0</v>
      </c>
      <c r="G224" s="31">
        <v>1.0</v>
      </c>
      <c r="H224" s="35" t="s">
        <v>7045</v>
      </c>
      <c r="I224" s="30">
        <v>46023.0</v>
      </c>
      <c r="J224" s="30">
        <v>46387.0</v>
      </c>
      <c r="K224" s="31">
        <v>0.0</v>
      </c>
      <c r="L224" s="31">
        <v>1.0</v>
      </c>
      <c r="M224" s="35" t="s">
        <v>7045</v>
      </c>
      <c r="N224" s="30">
        <v>46388.0</v>
      </c>
      <c r="O224" s="30">
        <v>46752.0</v>
      </c>
      <c r="P224" s="31">
        <v>0.0</v>
      </c>
      <c r="Q224" s="31">
        <v>1.0</v>
      </c>
      <c r="R224" s="35" t="s">
        <v>7045</v>
      </c>
      <c r="S224" s="30">
        <v>46753.0</v>
      </c>
      <c r="T224" s="30">
        <v>47118.0</v>
      </c>
      <c r="U224" s="31">
        <v>0.0</v>
      </c>
      <c r="V224" s="31">
        <v>1.0</v>
      </c>
      <c r="W224" s="35" t="s">
        <v>7045</v>
      </c>
      <c r="X224" s="30">
        <v>47119.0</v>
      </c>
      <c r="Y224" s="30">
        <v>47483.0</v>
      </c>
      <c r="Z224" s="31">
        <v>0.0</v>
      </c>
      <c r="AA224" s="31">
        <v>1.0</v>
      </c>
      <c r="AB224" s="35" t="s">
        <v>7045</v>
      </c>
      <c r="AC224" s="30">
        <v>47484.0</v>
      </c>
      <c r="AD224" s="30">
        <v>47848.0</v>
      </c>
      <c r="AE224" s="31">
        <v>0.0</v>
      </c>
      <c r="AF224" s="31">
        <v>1.0</v>
      </c>
      <c r="AG224" s="35" t="s">
        <v>7045</v>
      </c>
    </row>
    <row r="225" ht="14.25" customHeight="1">
      <c r="A225" s="28" t="s">
        <v>3762</v>
      </c>
      <c r="B225" s="29" t="s">
        <v>3763</v>
      </c>
      <c r="C225" s="29" t="s">
        <v>7041</v>
      </c>
      <c r="D225" s="30">
        <v>45658.0</v>
      </c>
      <c r="E225" s="30">
        <v>46022.0</v>
      </c>
      <c r="F225" s="31">
        <v>0.0</v>
      </c>
      <c r="G225" s="31">
        <v>1.0</v>
      </c>
      <c r="H225" s="35" t="s">
        <v>7045</v>
      </c>
      <c r="I225" s="30">
        <v>46023.0</v>
      </c>
      <c r="J225" s="30">
        <v>46387.0</v>
      </c>
      <c r="K225" s="31">
        <v>0.0</v>
      </c>
      <c r="L225" s="31">
        <v>1.0</v>
      </c>
      <c r="M225" s="35" t="s">
        <v>7045</v>
      </c>
      <c r="N225" s="30">
        <v>46388.0</v>
      </c>
      <c r="O225" s="30">
        <v>46752.0</v>
      </c>
      <c r="P225" s="31">
        <v>0.0</v>
      </c>
      <c r="Q225" s="31">
        <v>1.0</v>
      </c>
      <c r="R225" s="35" t="s">
        <v>7045</v>
      </c>
      <c r="S225" s="30">
        <v>46753.0</v>
      </c>
      <c r="T225" s="30">
        <v>47118.0</v>
      </c>
      <c r="U225" s="31">
        <v>0.0</v>
      </c>
      <c r="V225" s="31">
        <v>1.0</v>
      </c>
      <c r="W225" s="35" t="s">
        <v>7045</v>
      </c>
      <c r="X225" s="30">
        <v>47119.0</v>
      </c>
      <c r="Y225" s="30">
        <v>47483.0</v>
      </c>
      <c r="Z225" s="31">
        <v>0.0</v>
      </c>
      <c r="AA225" s="31">
        <v>1.0</v>
      </c>
      <c r="AB225" s="35" t="s">
        <v>7045</v>
      </c>
      <c r="AC225" s="30">
        <v>47484.0</v>
      </c>
      <c r="AD225" s="30">
        <v>47848.0</v>
      </c>
      <c r="AE225" s="31">
        <v>0.0</v>
      </c>
      <c r="AF225" s="31">
        <v>1.0</v>
      </c>
      <c r="AG225" s="35" t="s">
        <v>7045</v>
      </c>
    </row>
    <row r="226" ht="14.25" customHeight="1">
      <c r="A226" s="28" t="s">
        <v>4041</v>
      </c>
      <c r="B226" s="29" t="s">
        <v>4042</v>
      </c>
      <c r="C226" s="29" t="s">
        <v>7041</v>
      </c>
      <c r="D226" s="30">
        <v>45658.0</v>
      </c>
      <c r="E226" s="30">
        <v>46022.0</v>
      </c>
      <c r="F226" s="31">
        <v>0.0</v>
      </c>
      <c r="G226" s="31">
        <v>1.0</v>
      </c>
      <c r="H226" s="35" t="s">
        <v>7045</v>
      </c>
      <c r="I226" s="30">
        <v>46023.0</v>
      </c>
      <c r="J226" s="30">
        <v>46387.0</v>
      </c>
      <c r="K226" s="31">
        <v>0.0</v>
      </c>
      <c r="L226" s="31">
        <v>1.0</v>
      </c>
      <c r="M226" s="35" t="s">
        <v>7045</v>
      </c>
      <c r="N226" s="30">
        <v>46388.0</v>
      </c>
      <c r="O226" s="30">
        <v>46752.0</v>
      </c>
      <c r="P226" s="31">
        <v>0.0</v>
      </c>
      <c r="Q226" s="31">
        <v>1.0</v>
      </c>
      <c r="R226" s="35" t="s">
        <v>7045</v>
      </c>
      <c r="S226" s="30">
        <v>46753.0</v>
      </c>
      <c r="T226" s="30">
        <v>47118.0</v>
      </c>
      <c r="U226" s="31">
        <v>0.0</v>
      </c>
      <c r="V226" s="31">
        <v>1.0</v>
      </c>
      <c r="W226" s="35" t="s">
        <v>7045</v>
      </c>
      <c r="X226" s="30">
        <v>47119.0</v>
      </c>
      <c r="Y226" s="30">
        <v>47483.0</v>
      </c>
      <c r="Z226" s="31">
        <v>0.0</v>
      </c>
      <c r="AA226" s="31">
        <v>1.0</v>
      </c>
      <c r="AB226" s="35" t="s">
        <v>7045</v>
      </c>
      <c r="AC226" s="30">
        <v>47484.0</v>
      </c>
      <c r="AD226" s="30">
        <v>47848.0</v>
      </c>
      <c r="AE226" s="31">
        <v>0.0</v>
      </c>
      <c r="AF226" s="31">
        <v>1.0</v>
      </c>
      <c r="AG226" s="35" t="s">
        <v>7045</v>
      </c>
    </row>
    <row r="227" ht="14.25" customHeight="1">
      <c r="A227" s="28" t="s">
        <v>4397</v>
      </c>
      <c r="B227" s="29" t="s">
        <v>4398</v>
      </c>
      <c r="C227" s="29" t="s">
        <v>7041</v>
      </c>
      <c r="D227" s="30">
        <v>45658.0</v>
      </c>
      <c r="E227" s="30">
        <v>46022.0</v>
      </c>
      <c r="F227" s="31">
        <v>0.0</v>
      </c>
      <c r="G227" s="31">
        <v>1.0</v>
      </c>
      <c r="H227" s="35" t="s">
        <v>7045</v>
      </c>
      <c r="I227" s="30">
        <v>46023.0</v>
      </c>
      <c r="J227" s="30">
        <v>46387.0</v>
      </c>
      <c r="K227" s="31">
        <v>0.0</v>
      </c>
      <c r="L227" s="31">
        <v>1.0</v>
      </c>
      <c r="M227" s="35" t="s">
        <v>7045</v>
      </c>
      <c r="N227" s="30">
        <v>46388.0</v>
      </c>
      <c r="O227" s="30">
        <v>46752.0</v>
      </c>
      <c r="P227" s="31">
        <v>0.0</v>
      </c>
      <c r="Q227" s="31">
        <v>1.0</v>
      </c>
      <c r="R227" s="35" t="s">
        <v>7045</v>
      </c>
      <c r="S227" s="30">
        <v>46753.0</v>
      </c>
      <c r="T227" s="30">
        <v>47118.0</v>
      </c>
      <c r="U227" s="31">
        <v>0.0</v>
      </c>
      <c r="V227" s="31">
        <v>1.0</v>
      </c>
      <c r="W227" s="35" t="s">
        <v>7045</v>
      </c>
      <c r="X227" s="30">
        <v>47119.0</v>
      </c>
      <c r="Y227" s="30">
        <v>47483.0</v>
      </c>
      <c r="Z227" s="31">
        <v>0.0</v>
      </c>
      <c r="AA227" s="31">
        <v>1.0</v>
      </c>
      <c r="AB227" s="35" t="s">
        <v>7045</v>
      </c>
      <c r="AC227" s="30">
        <v>47484.0</v>
      </c>
      <c r="AD227" s="30">
        <v>47848.0</v>
      </c>
      <c r="AE227" s="31">
        <v>0.0</v>
      </c>
      <c r="AF227" s="31">
        <v>1.0</v>
      </c>
      <c r="AG227" s="35" t="s">
        <v>7045</v>
      </c>
    </row>
    <row r="228" ht="14.25" customHeight="1">
      <c r="A228" s="28" t="s">
        <v>4416</v>
      </c>
      <c r="B228" s="29" t="s">
        <v>4417</v>
      </c>
      <c r="C228" s="29" t="s">
        <v>7041</v>
      </c>
      <c r="D228" s="30">
        <v>45658.0</v>
      </c>
      <c r="E228" s="30">
        <v>46022.0</v>
      </c>
      <c r="F228" s="31">
        <v>0.0</v>
      </c>
      <c r="G228" s="31">
        <v>1.0</v>
      </c>
      <c r="H228" s="35" t="s">
        <v>7045</v>
      </c>
      <c r="I228" s="30">
        <v>46023.0</v>
      </c>
      <c r="J228" s="30">
        <v>46387.0</v>
      </c>
      <c r="K228" s="31">
        <v>0.0</v>
      </c>
      <c r="L228" s="31">
        <v>1.0</v>
      </c>
      <c r="M228" s="35" t="s">
        <v>7045</v>
      </c>
      <c r="N228" s="30">
        <v>46388.0</v>
      </c>
      <c r="O228" s="30">
        <v>46752.0</v>
      </c>
      <c r="P228" s="31">
        <v>0.0</v>
      </c>
      <c r="Q228" s="31">
        <v>1.0</v>
      </c>
      <c r="R228" s="35" t="s">
        <v>7045</v>
      </c>
      <c r="S228" s="30">
        <v>46753.0</v>
      </c>
      <c r="T228" s="30">
        <v>47118.0</v>
      </c>
      <c r="U228" s="31">
        <v>0.0</v>
      </c>
      <c r="V228" s="31">
        <v>1.0</v>
      </c>
      <c r="W228" s="35" t="s">
        <v>7045</v>
      </c>
      <c r="X228" s="30">
        <v>47119.0</v>
      </c>
      <c r="Y228" s="30">
        <v>47483.0</v>
      </c>
      <c r="Z228" s="31">
        <v>0.0</v>
      </c>
      <c r="AA228" s="31">
        <v>1.0</v>
      </c>
      <c r="AB228" s="35" t="s">
        <v>7045</v>
      </c>
      <c r="AC228" s="30">
        <v>47484.0</v>
      </c>
      <c r="AD228" s="30">
        <v>47848.0</v>
      </c>
      <c r="AE228" s="31">
        <v>0.0</v>
      </c>
      <c r="AF228" s="31">
        <v>1.0</v>
      </c>
      <c r="AG228" s="35" t="s">
        <v>7045</v>
      </c>
    </row>
    <row r="229" ht="14.25" customHeight="1">
      <c r="A229" s="28" t="s">
        <v>5004</v>
      </c>
      <c r="B229" s="29" t="s">
        <v>5005</v>
      </c>
      <c r="C229" s="29" t="s">
        <v>7041</v>
      </c>
      <c r="D229" s="30">
        <v>45658.0</v>
      </c>
      <c r="E229" s="30">
        <v>46022.0</v>
      </c>
      <c r="F229" s="31">
        <v>1.0</v>
      </c>
      <c r="G229" s="31">
        <v>1.0</v>
      </c>
      <c r="H229" s="35" t="s">
        <v>7042</v>
      </c>
      <c r="I229" s="30">
        <v>46023.0</v>
      </c>
      <c r="J229" s="30">
        <v>46387.0</v>
      </c>
      <c r="K229" s="31">
        <v>0.0</v>
      </c>
      <c r="L229" s="31">
        <v>1.0</v>
      </c>
      <c r="M229" s="35" t="s">
        <v>7045</v>
      </c>
      <c r="N229" s="30">
        <v>46388.0</v>
      </c>
      <c r="O229" s="30">
        <v>46752.0</v>
      </c>
      <c r="P229" s="31">
        <v>0.0</v>
      </c>
      <c r="Q229" s="31">
        <v>1.0</v>
      </c>
      <c r="R229" s="35" t="s">
        <v>7045</v>
      </c>
      <c r="S229" s="30">
        <v>46753.0</v>
      </c>
      <c r="T229" s="30">
        <v>47118.0</v>
      </c>
      <c r="U229" s="31">
        <v>0.0</v>
      </c>
      <c r="V229" s="31">
        <v>1.0</v>
      </c>
      <c r="W229" s="35" t="s">
        <v>7045</v>
      </c>
      <c r="X229" s="30">
        <v>47119.0</v>
      </c>
      <c r="Y229" s="30">
        <v>47483.0</v>
      </c>
      <c r="Z229" s="31">
        <v>0.0</v>
      </c>
      <c r="AA229" s="31">
        <v>1.0</v>
      </c>
      <c r="AB229" s="35" t="s">
        <v>7045</v>
      </c>
      <c r="AC229" s="30">
        <v>47484.0</v>
      </c>
      <c r="AD229" s="30">
        <v>47848.0</v>
      </c>
      <c r="AE229" s="31">
        <v>0.0</v>
      </c>
      <c r="AF229" s="31">
        <v>1.0</v>
      </c>
      <c r="AG229" s="35" t="s">
        <v>7045</v>
      </c>
    </row>
    <row r="230" ht="14.25" customHeight="1">
      <c r="A230" s="28" t="s">
        <v>5060</v>
      </c>
      <c r="B230" s="29" t="s">
        <v>5061</v>
      </c>
      <c r="C230" s="29" t="s">
        <v>7041</v>
      </c>
      <c r="D230" s="30">
        <v>45658.0</v>
      </c>
      <c r="E230" s="30">
        <v>46022.0</v>
      </c>
      <c r="F230" s="31">
        <v>0.0</v>
      </c>
      <c r="G230" s="31">
        <v>1.0</v>
      </c>
      <c r="H230" s="35" t="s">
        <v>7045</v>
      </c>
      <c r="I230" s="30">
        <v>46023.0</v>
      </c>
      <c r="J230" s="30">
        <v>46387.0</v>
      </c>
      <c r="K230" s="31">
        <v>0.0</v>
      </c>
      <c r="L230" s="31">
        <v>1.0</v>
      </c>
      <c r="M230" s="35" t="s">
        <v>7045</v>
      </c>
      <c r="N230" s="30">
        <v>46388.0</v>
      </c>
      <c r="O230" s="30">
        <v>46752.0</v>
      </c>
      <c r="P230" s="31">
        <v>0.0</v>
      </c>
      <c r="Q230" s="31">
        <v>1.0</v>
      </c>
      <c r="R230" s="35" t="s">
        <v>7045</v>
      </c>
      <c r="S230" s="30">
        <v>46753.0</v>
      </c>
      <c r="T230" s="30">
        <v>47118.0</v>
      </c>
      <c r="U230" s="31">
        <v>0.0</v>
      </c>
      <c r="V230" s="31">
        <v>1.0</v>
      </c>
      <c r="W230" s="35" t="s">
        <v>7045</v>
      </c>
      <c r="X230" s="30">
        <v>47119.0</v>
      </c>
      <c r="Y230" s="30">
        <v>47483.0</v>
      </c>
      <c r="Z230" s="31">
        <v>0.0</v>
      </c>
      <c r="AA230" s="31">
        <v>1.0</v>
      </c>
      <c r="AB230" s="35" t="s">
        <v>7045</v>
      </c>
      <c r="AC230" s="30">
        <v>47484.0</v>
      </c>
      <c r="AD230" s="30">
        <v>47848.0</v>
      </c>
      <c r="AE230" s="31">
        <v>0.0</v>
      </c>
      <c r="AF230" s="31">
        <v>1.0</v>
      </c>
      <c r="AG230" s="35" t="s">
        <v>7045</v>
      </c>
    </row>
    <row r="231" ht="14.25" customHeight="1">
      <c r="A231" s="28" t="s">
        <v>5116</v>
      </c>
      <c r="B231" s="29" t="s">
        <v>5117</v>
      </c>
      <c r="C231" s="29" t="s">
        <v>7041</v>
      </c>
      <c r="D231" s="30">
        <v>45658.0</v>
      </c>
      <c r="E231" s="30">
        <v>46022.0</v>
      </c>
      <c r="F231" s="31">
        <v>0.0</v>
      </c>
      <c r="G231" s="31">
        <v>1.0</v>
      </c>
      <c r="H231" s="35" t="s">
        <v>7045</v>
      </c>
      <c r="I231" s="30">
        <v>46023.0</v>
      </c>
      <c r="J231" s="30">
        <v>46387.0</v>
      </c>
      <c r="K231" s="31">
        <v>0.0</v>
      </c>
      <c r="L231" s="31">
        <v>1.0</v>
      </c>
      <c r="M231" s="35" t="s">
        <v>7045</v>
      </c>
      <c r="N231" s="30">
        <v>46388.0</v>
      </c>
      <c r="O231" s="30">
        <v>46752.0</v>
      </c>
      <c r="P231" s="31">
        <v>0.0</v>
      </c>
      <c r="Q231" s="31">
        <v>1.0</v>
      </c>
      <c r="R231" s="35" t="s">
        <v>7045</v>
      </c>
      <c r="S231" s="30">
        <v>46753.0</v>
      </c>
      <c r="T231" s="30">
        <v>47118.0</v>
      </c>
      <c r="U231" s="31">
        <v>0.0</v>
      </c>
      <c r="V231" s="31">
        <v>1.0</v>
      </c>
      <c r="W231" s="35" t="s">
        <v>7045</v>
      </c>
      <c r="X231" s="30">
        <v>47119.0</v>
      </c>
      <c r="Y231" s="30">
        <v>47483.0</v>
      </c>
      <c r="Z231" s="31">
        <v>0.0</v>
      </c>
      <c r="AA231" s="31">
        <v>1.0</v>
      </c>
      <c r="AB231" s="35" t="s">
        <v>7045</v>
      </c>
      <c r="AC231" s="30">
        <v>47484.0</v>
      </c>
      <c r="AD231" s="30">
        <v>47848.0</v>
      </c>
      <c r="AE231" s="31">
        <v>0.0</v>
      </c>
      <c r="AF231" s="31">
        <v>1.0</v>
      </c>
      <c r="AG231" s="35" t="s">
        <v>7045</v>
      </c>
    </row>
    <row r="232" ht="14.25" customHeight="1">
      <c r="A232" s="28" t="s">
        <v>5157</v>
      </c>
      <c r="B232" s="29" t="s">
        <v>5158</v>
      </c>
      <c r="C232" s="29" t="s">
        <v>7041</v>
      </c>
      <c r="D232" s="30">
        <v>45658.0</v>
      </c>
      <c r="E232" s="30">
        <v>46022.0</v>
      </c>
      <c r="F232" s="31">
        <v>0.0</v>
      </c>
      <c r="G232" s="31">
        <v>1.0</v>
      </c>
      <c r="H232" s="35" t="s">
        <v>7045</v>
      </c>
      <c r="I232" s="30">
        <v>46023.0</v>
      </c>
      <c r="J232" s="30">
        <v>46387.0</v>
      </c>
      <c r="K232" s="31">
        <v>0.0</v>
      </c>
      <c r="L232" s="31">
        <v>1.0</v>
      </c>
      <c r="M232" s="35" t="s">
        <v>7045</v>
      </c>
      <c r="N232" s="30">
        <v>46388.0</v>
      </c>
      <c r="O232" s="30">
        <v>46752.0</v>
      </c>
      <c r="P232" s="31">
        <v>0.0</v>
      </c>
      <c r="Q232" s="31">
        <v>1.0</v>
      </c>
      <c r="R232" s="35" t="s">
        <v>7045</v>
      </c>
      <c r="S232" s="30">
        <v>46753.0</v>
      </c>
      <c r="T232" s="30">
        <v>47118.0</v>
      </c>
      <c r="U232" s="31">
        <v>0.0</v>
      </c>
      <c r="V232" s="31">
        <v>1.0</v>
      </c>
      <c r="W232" s="35" t="s">
        <v>7045</v>
      </c>
      <c r="X232" s="30">
        <v>47119.0</v>
      </c>
      <c r="Y232" s="30">
        <v>47483.0</v>
      </c>
      <c r="Z232" s="31">
        <v>0.0</v>
      </c>
      <c r="AA232" s="31">
        <v>1.0</v>
      </c>
      <c r="AB232" s="35" t="s">
        <v>7045</v>
      </c>
      <c r="AC232" s="30">
        <v>47484.0</v>
      </c>
      <c r="AD232" s="30">
        <v>47848.0</v>
      </c>
      <c r="AE232" s="31">
        <v>0.0</v>
      </c>
      <c r="AF232" s="31">
        <v>1.0</v>
      </c>
      <c r="AG232" s="35" t="s">
        <v>7045</v>
      </c>
    </row>
    <row r="233" ht="14.25" customHeight="1">
      <c r="A233" s="28" t="s">
        <v>5717</v>
      </c>
      <c r="B233" s="29" t="s">
        <v>5718</v>
      </c>
      <c r="C233" s="29" t="s">
        <v>7041</v>
      </c>
      <c r="D233" s="30">
        <v>45658.0</v>
      </c>
      <c r="E233" s="30">
        <v>46022.0</v>
      </c>
      <c r="F233" s="31">
        <v>0.0</v>
      </c>
      <c r="G233" s="31">
        <v>1.0</v>
      </c>
      <c r="H233" s="35" t="s">
        <v>7045</v>
      </c>
      <c r="I233" s="30">
        <v>46023.0</v>
      </c>
      <c r="J233" s="30">
        <v>46387.0</v>
      </c>
      <c r="K233" s="31">
        <v>0.0</v>
      </c>
      <c r="L233" s="31">
        <v>1.0</v>
      </c>
      <c r="M233" s="35" t="s">
        <v>7045</v>
      </c>
      <c r="N233" s="30">
        <v>46388.0</v>
      </c>
      <c r="O233" s="30">
        <v>46752.0</v>
      </c>
      <c r="P233" s="31">
        <v>0.0</v>
      </c>
      <c r="Q233" s="31">
        <v>1.0</v>
      </c>
      <c r="R233" s="35" t="s">
        <v>7045</v>
      </c>
      <c r="S233" s="30">
        <v>46753.0</v>
      </c>
      <c r="T233" s="30">
        <v>47118.0</v>
      </c>
      <c r="U233" s="31">
        <v>0.0</v>
      </c>
      <c r="V233" s="31">
        <v>1.0</v>
      </c>
      <c r="W233" s="35" t="s">
        <v>7045</v>
      </c>
      <c r="X233" s="30">
        <v>47119.0</v>
      </c>
      <c r="Y233" s="30">
        <v>47483.0</v>
      </c>
      <c r="Z233" s="31">
        <v>0.0</v>
      </c>
      <c r="AA233" s="31">
        <v>1.0</v>
      </c>
      <c r="AB233" s="35" t="s">
        <v>7045</v>
      </c>
      <c r="AC233" s="30">
        <v>47484.0</v>
      </c>
      <c r="AD233" s="30">
        <v>47848.0</v>
      </c>
      <c r="AE233" s="31">
        <v>0.0</v>
      </c>
      <c r="AF233" s="31">
        <v>1.0</v>
      </c>
      <c r="AG233" s="35" t="s">
        <v>7045</v>
      </c>
    </row>
    <row r="234" ht="14.25" customHeight="1">
      <c r="A234" s="28" t="s">
        <v>6261</v>
      </c>
      <c r="B234" s="29" t="s">
        <v>6262</v>
      </c>
      <c r="C234" s="29" t="s">
        <v>7041</v>
      </c>
      <c r="D234" s="30">
        <v>45658.0</v>
      </c>
      <c r="E234" s="30">
        <v>46022.0</v>
      </c>
      <c r="F234" s="31">
        <v>0.0</v>
      </c>
      <c r="G234" s="31">
        <v>1.0</v>
      </c>
      <c r="H234" s="35" t="s">
        <v>7045</v>
      </c>
      <c r="I234" s="30">
        <v>46023.0</v>
      </c>
      <c r="J234" s="30">
        <v>46387.0</v>
      </c>
      <c r="K234" s="31">
        <v>0.0</v>
      </c>
      <c r="L234" s="31">
        <v>1.0</v>
      </c>
      <c r="M234" s="35" t="s">
        <v>7045</v>
      </c>
      <c r="N234" s="30">
        <v>46388.0</v>
      </c>
      <c r="O234" s="30">
        <v>46752.0</v>
      </c>
      <c r="P234" s="31">
        <v>0.0</v>
      </c>
      <c r="Q234" s="31">
        <v>1.0</v>
      </c>
      <c r="R234" s="35" t="s">
        <v>7045</v>
      </c>
      <c r="S234" s="30">
        <v>46753.0</v>
      </c>
      <c r="T234" s="30">
        <v>47118.0</v>
      </c>
      <c r="U234" s="31">
        <v>0.0</v>
      </c>
      <c r="V234" s="31">
        <v>1.0</v>
      </c>
      <c r="W234" s="35" t="s">
        <v>7045</v>
      </c>
      <c r="X234" s="30">
        <v>47119.0</v>
      </c>
      <c r="Y234" s="30">
        <v>47483.0</v>
      </c>
      <c r="Z234" s="31">
        <v>0.0</v>
      </c>
      <c r="AA234" s="31">
        <v>1.0</v>
      </c>
      <c r="AB234" s="35" t="s">
        <v>7045</v>
      </c>
      <c r="AC234" s="30">
        <v>47484.0</v>
      </c>
      <c r="AD234" s="30">
        <v>47848.0</v>
      </c>
      <c r="AE234" s="31">
        <v>0.0</v>
      </c>
      <c r="AF234" s="31">
        <v>1.0</v>
      </c>
      <c r="AG234" s="35" t="s">
        <v>7045</v>
      </c>
    </row>
    <row r="235" ht="14.25" customHeight="1">
      <c r="A235" s="28" t="s">
        <v>2471</v>
      </c>
      <c r="B235" s="29" t="s">
        <v>2472</v>
      </c>
      <c r="C235" s="29" t="s">
        <v>7041</v>
      </c>
      <c r="D235" s="30">
        <v>45658.0</v>
      </c>
      <c r="E235" s="30">
        <v>46022.0</v>
      </c>
      <c r="F235" s="31">
        <v>0.0</v>
      </c>
      <c r="G235" s="31">
        <v>1.0</v>
      </c>
      <c r="H235" s="35" t="s">
        <v>7045</v>
      </c>
      <c r="I235" s="30">
        <v>46023.0</v>
      </c>
      <c r="J235" s="30">
        <v>46387.0</v>
      </c>
      <c r="K235" s="31">
        <v>0.0</v>
      </c>
      <c r="L235" s="31">
        <v>1.0</v>
      </c>
      <c r="M235" s="35" t="s">
        <v>7045</v>
      </c>
      <c r="N235" s="30">
        <v>46388.0</v>
      </c>
      <c r="O235" s="30">
        <v>46752.0</v>
      </c>
      <c r="P235" s="31">
        <v>0.0</v>
      </c>
      <c r="Q235" s="31">
        <v>1.0</v>
      </c>
      <c r="R235" s="35" t="s">
        <v>7045</v>
      </c>
      <c r="S235" s="30">
        <v>46753.0</v>
      </c>
      <c r="T235" s="30">
        <v>47118.0</v>
      </c>
      <c r="U235" s="31">
        <v>0.0</v>
      </c>
      <c r="V235" s="31">
        <v>1.0</v>
      </c>
      <c r="W235" s="35" t="s">
        <v>7045</v>
      </c>
      <c r="X235" s="30">
        <v>47119.0</v>
      </c>
      <c r="Y235" s="30">
        <v>47483.0</v>
      </c>
      <c r="Z235" s="31">
        <v>0.0</v>
      </c>
      <c r="AA235" s="31">
        <v>1.0</v>
      </c>
      <c r="AB235" s="35" t="s">
        <v>7045</v>
      </c>
      <c r="AC235" s="30">
        <v>47484.0</v>
      </c>
      <c r="AD235" s="30">
        <v>47848.0</v>
      </c>
      <c r="AE235" s="31">
        <v>0.0</v>
      </c>
      <c r="AF235" s="31">
        <v>1.0</v>
      </c>
      <c r="AG235" s="35" t="s">
        <v>7045</v>
      </c>
    </row>
    <row r="236" ht="14.25" customHeight="1">
      <c r="A236" s="28" t="s">
        <v>1188</v>
      </c>
      <c r="B236" s="29" t="s">
        <v>1189</v>
      </c>
      <c r="C236" s="29" t="s">
        <v>7041</v>
      </c>
      <c r="D236" s="30">
        <v>45658.0</v>
      </c>
      <c r="E236" s="30">
        <v>46022.0</v>
      </c>
      <c r="F236" s="31">
        <v>0.0</v>
      </c>
      <c r="G236" s="31">
        <v>1.0</v>
      </c>
      <c r="H236" s="35" t="s">
        <v>7045</v>
      </c>
      <c r="I236" s="30">
        <v>46023.0</v>
      </c>
      <c r="J236" s="30">
        <v>46387.0</v>
      </c>
      <c r="K236" s="31">
        <v>0.0</v>
      </c>
      <c r="L236" s="31">
        <v>1.0</v>
      </c>
      <c r="M236" s="35" t="s">
        <v>7045</v>
      </c>
      <c r="N236" s="30">
        <v>46388.0</v>
      </c>
      <c r="O236" s="30">
        <v>46752.0</v>
      </c>
      <c r="P236" s="31">
        <v>0.0</v>
      </c>
      <c r="Q236" s="31">
        <v>1.0</v>
      </c>
      <c r="R236" s="35" t="s">
        <v>7045</v>
      </c>
      <c r="S236" s="30">
        <v>46753.0</v>
      </c>
      <c r="T236" s="30">
        <v>47118.0</v>
      </c>
      <c r="U236" s="31">
        <v>0.0</v>
      </c>
      <c r="V236" s="31">
        <v>1.0</v>
      </c>
      <c r="W236" s="35" t="s">
        <v>7045</v>
      </c>
      <c r="X236" s="30">
        <v>47119.0</v>
      </c>
      <c r="Y236" s="30">
        <v>47483.0</v>
      </c>
      <c r="Z236" s="31">
        <v>0.0</v>
      </c>
      <c r="AA236" s="31">
        <v>1.0</v>
      </c>
      <c r="AB236" s="35" t="s">
        <v>7045</v>
      </c>
      <c r="AC236" s="30">
        <v>47484.0</v>
      </c>
      <c r="AD236" s="30">
        <v>47848.0</v>
      </c>
      <c r="AE236" s="31">
        <v>0.0</v>
      </c>
      <c r="AF236" s="31">
        <v>1.0</v>
      </c>
      <c r="AG236" s="35" t="s">
        <v>7045</v>
      </c>
    </row>
    <row r="237" ht="14.25" customHeight="1">
      <c r="A237" s="28" t="s">
        <v>208</v>
      </c>
      <c r="B237" s="29" t="s">
        <v>209</v>
      </c>
      <c r="C237" s="29" t="s">
        <v>7041</v>
      </c>
      <c r="D237" s="30">
        <v>45658.0</v>
      </c>
      <c r="E237" s="30">
        <v>46022.0</v>
      </c>
      <c r="F237" s="31">
        <v>0.0</v>
      </c>
      <c r="G237" s="31">
        <v>1.0</v>
      </c>
      <c r="H237" s="35" t="s">
        <v>7045</v>
      </c>
      <c r="I237" s="30">
        <v>46023.0</v>
      </c>
      <c r="J237" s="30">
        <v>46387.0</v>
      </c>
      <c r="K237" s="31">
        <v>0.0</v>
      </c>
      <c r="L237" s="31">
        <v>1.0</v>
      </c>
      <c r="M237" s="35" t="s">
        <v>7045</v>
      </c>
      <c r="N237" s="30">
        <v>46388.0</v>
      </c>
      <c r="O237" s="30">
        <v>46752.0</v>
      </c>
      <c r="P237" s="31">
        <v>0.0</v>
      </c>
      <c r="Q237" s="31">
        <v>1.0</v>
      </c>
      <c r="R237" s="35" t="s">
        <v>7045</v>
      </c>
      <c r="S237" s="30">
        <v>46753.0</v>
      </c>
      <c r="T237" s="30">
        <v>47118.0</v>
      </c>
      <c r="U237" s="31">
        <v>0.0</v>
      </c>
      <c r="V237" s="31">
        <v>1.0</v>
      </c>
      <c r="W237" s="35" t="s">
        <v>7045</v>
      </c>
      <c r="X237" s="30">
        <v>47119.0</v>
      </c>
      <c r="Y237" s="30">
        <v>47483.0</v>
      </c>
      <c r="Z237" s="31">
        <v>0.0</v>
      </c>
      <c r="AA237" s="31">
        <v>1.0</v>
      </c>
      <c r="AB237" s="35" t="s">
        <v>7045</v>
      </c>
      <c r="AC237" s="30">
        <v>47484.0</v>
      </c>
      <c r="AD237" s="30">
        <v>47848.0</v>
      </c>
      <c r="AE237" s="31">
        <v>0.0</v>
      </c>
      <c r="AF237" s="31">
        <v>1.0</v>
      </c>
      <c r="AG237" s="35" t="s">
        <v>7045</v>
      </c>
    </row>
    <row r="238" ht="14.25" customHeight="1">
      <c r="A238" s="28" t="s">
        <v>237</v>
      </c>
      <c r="B238" s="29" t="s">
        <v>238</v>
      </c>
      <c r="C238" s="29" t="s">
        <v>7041</v>
      </c>
      <c r="D238" s="30">
        <v>45658.0</v>
      </c>
      <c r="E238" s="30">
        <v>46022.0</v>
      </c>
      <c r="F238" s="31">
        <v>0.0</v>
      </c>
      <c r="G238" s="31">
        <v>1.0</v>
      </c>
      <c r="H238" s="35" t="s">
        <v>7045</v>
      </c>
      <c r="I238" s="30">
        <v>46023.0</v>
      </c>
      <c r="J238" s="30">
        <v>46387.0</v>
      </c>
      <c r="K238" s="31">
        <v>0.0</v>
      </c>
      <c r="L238" s="31">
        <v>1.0</v>
      </c>
      <c r="M238" s="35" t="s">
        <v>7045</v>
      </c>
      <c r="N238" s="30">
        <v>46388.0</v>
      </c>
      <c r="O238" s="30">
        <v>46752.0</v>
      </c>
      <c r="P238" s="31">
        <v>0.0</v>
      </c>
      <c r="Q238" s="31">
        <v>1.0</v>
      </c>
      <c r="R238" s="35" t="s">
        <v>7045</v>
      </c>
      <c r="S238" s="30">
        <v>46753.0</v>
      </c>
      <c r="T238" s="30">
        <v>47118.0</v>
      </c>
      <c r="U238" s="31">
        <v>0.0</v>
      </c>
      <c r="V238" s="31">
        <v>1.0</v>
      </c>
      <c r="W238" s="35" t="s">
        <v>7045</v>
      </c>
      <c r="X238" s="30">
        <v>47119.0</v>
      </c>
      <c r="Y238" s="30">
        <v>47483.0</v>
      </c>
      <c r="Z238" s="31">
        <v>0.0</v>
      </c>
      <c r="AA238" s="31">
        <v>1.0</v>
      </c>
      <c r="AB238" s="35" t="s">
        <v>7045</v>
      </c>
      <c r="AC238" s="30">
        <v>47484.0</v>
      </c>
      <c r="AD238" s="30">
        <v>47848.0</v>
      </c>
      <c r="AE238" s="31">
        <v>0.0</v>
      </c>
      <c r="AF238" s="31">
        <v>1.0</v>
      </c>
      <c r="AG238" s="35" t="s">
        <v>7045</v>
      </c>
    </row>
    <row r="239" ht="14.25" customHeight="1">
      <c r="A239" s="28" t="s">
        <v>311</v>
      </c>
      <c r="B239" s="29" t="s">
        <v>312</v>
      </c>
      <c r="C239" s="29" t="s">
        <v>7041</v>
      </c>
      <c r="D239" s="30">
        <v>45658.0</v>
      </c>
      <c r="E239" s="30">
        <v>46022.0</v>
      </c>
      <c r="F239" s="31">
        <v>0.0</v>
      </c>
      <c r="G239" s="31">
        <v>1.0</v>
      </c>
      <c r="H239" s="35" t="s">
        <v>7045</v>
      </c>
      <c r="I239" s="30">
        <v>46023.0</v>
      </c>
      <c r="J239" s="30">
        <v>46387.0</v>
      </c>
      <c r="K239" s="31">
        <v>0.0</v>
      </c>
      <c r="L239" s="31">
        <v>1.0</v>
      </c>
      <c r="M239" s="35" t="s">
        <v>7045</v>
      </c>
      <c r="N239" s="30">
        <v>46388.0</v>
      </c>
      <c r="O239" s="30">
        <v>46752.0</v>
      </c>
      <c r="P239" s="31">
        <v>0.0</v>
      </c>
      <c r="Q239" s="31">
        <v>1.0</v>
      </c>
      <c r="R239" s="35" t="s">
        <v>7045</v>
      </c>
      <c r="S239" s="30">
        <v>46753.0</v>
      </c>
      <c r="T239" s="30">
        <v>47118.0</v>
      </c>
      <c r="U239" s="31">
        <v>0.0</v>
      </c>
      <c r="V239" s="31">
        <v>1.0</v>
      </c>
      <c r="W239" s="35" t="s">
        <v>7045</v>
      </c>
      <c r="X239" s="30">
        <v>47119.0</v>
      </c>
      <c r="Y239" s="30">
        <v>47483.0</v>
      </c>
      <c r="Z239" s="31">
        <v>0.0</v>
      </c>
      <c r="AA239" s="31">
        <v>1.0</v>
      </c>
      <c r="AB239" s="35" t="s">
        <v>7045</v>
      </c>
      <c r="AC239" s="30">
        <v>47484.0</v>
      </c>
      <c r="AD239" s="30">
        <v>47848.0</v>
      </c>
      <c r="AE239" s="31">
        <v>0.0</v>
      </c>
      <c r="AF239" s="31">
        <v>1.0</v>
      </c>
      <c r="AG239" s="35" t="s">
        <v>7045</v>
      </c>
    </row>
    <row r="240" ht="14.25" customHeight="1">
      <c r="A240" s="28" t="s">
        <v>283</v>
      </c>
      <c r="B240" s="29" t="s">
        <v>284</v>
      </c>
      <c r="C240" s="29" t="s">
        <v>7041</v>
      </c>
      <c r="D240" s="30">
        <v>45658.0</v>
      </c>
      <c r="E240" s="30">
        <v>46022.0</v>
      </c>
      <c r="F240" s="31">
        <v>0.0</v>
      </c>
      <c r="G240" s="31">
        <v>1.0</v>
      </c>
      <c r="H240" s="35" t="s">
        <v>7045</v>
      </c>
      <c r="I240" s="30">
        <v>46023.0</v>
      </c>
      <c r="J240" s="30">
        <v>46387.0</v>
      </c>
      <c r="K240" s="31">
        <v>0.0</v>
      </c>
      <c r="L240" s="31">
        <v>1.0</v>
      </c>
      <c r="M240" s="35" t="s">
        <v>7045</v>
      </c>
      <c r="N240" s="30">
        <v>46388.0</v>
      </c>
      <c r="O240" s="30">
        <v>46752.0</v>
      </c>
      <c r="P240" s="31">
        <v>0.0</v>
      </c>
      <c r="Q240" s="31">
        <v>1.0</v>
      </c>
      <c r="R240" s="35" t="s">
        <v>7045</v>
      </c>
      <c r="S240" s="30">
        <v>46753.0</v>
      </c>
      <c r="T240" s="30">
        <v>47118.0</v>
      </c>
      <c r="U240" s="31">
        <v>0.0</v>
      </c>
      <c r="V240" s="31">
        <v>1.0</v>
      </c>
      <c r="W240" s="35" t="s">
        <v>7045</v>
      </c>
      <c r="X240" s="30">
        <v>47119.0</v>
      </c>
      <c r="Y240" s="30">
        <v>47483.0</v>
      </c>
      <c r="Z240" s="31">
        <v>0.0</v>
      </c>
      <c r="AA240" s="31">
        <v>1.0</v>
      </c>
      <c r="AB240" s="35" t="s">
        <v>7045</v>
      </c>
      <c r="AC240" s="30">
        <v>47484.0</v>
      </c>
      <c r="AD240" s="30">
        <v>47848.0</v>
      </c>
      <c r="AE240" s="31">
        <v>0.0</v>
      </c>
      <c r="AF240" s="31">
        <v>1.0</v>
      </c>
      <c r="AG240" s="35" t="s">
        <v>7045</v>
      </c>
    </row>
    <row r="241" ht="14.25" customHeight="1">
      <c r="A241" s="28" t="s">
        <v>324</v>
      </c>
      <c r="B241" s="29" t="s">
        <v>325</v>
      </c>
      <c r="C241" s="29" t="s">
        <v>7041</v>
      </c>
      <c r="D241" s="30">
        <v>45658.0</v>
      </c>
      <c r="E241" s="30">
        <v>46022.0</v>
      </c>
      <c r="F241" s="31">
        <v>0.0</v>
      </c>
      <c r="G241" s="31">
        <v>1.0</v>
      </c>
      <c r="H241" s="35" t="s">
        <v>7045</v>
      </c>
      <c r="I241" s="30">
        <v>46023.0</v>
      </c>
      <c r="J241" s="30">
        <v>46387.0</v>
      </c>
      <c r="K241" s="31">
        <v>0.0</v>
      </c>
      <c r="L241" s="31">
        <v>1.0</v>
      </c>
      <c r="M241" s="35" t="s">
        <v>7045</v>
      </c>
      <c r="N241" s="30">
        <v>46388.0</v>
      </c>
      <c r="O241" s="30">
        <v>46752.0</v>
      </c>
      <c r="P241" s="31">
        <v>0.0</v>
      </c>
      <c r="Q241" s="31">
        <v>1.0</v>
      </c>
      <c r="R241" s="35" t="s">
        <v>7045</v>
      </c>
      <c r="S241" s="30">
        <v>46753.0</v>
      </c>
      <c r="T241" s="30">
        <v>47118.0</v>
      </c>
      <c r="U241" s="31">
        <v>0.0</v>
      </c>
      <c r="V241" s="31">
        <v>1.0</v>
      </c>
      <c r="W241" s="35" t="s">
        <v>7045</v>
      </c>
      <c r="X241" s="30">
        <v>47119.0</v>
      </c>
      <c r="Y241" s="30">
        <v>47483.0</v>
      </c>
      <c r="Z241" s="31">
        <v>0.0</v>
      </c>
      <c r="AA241" s="31">
        <v>1.0</v>
      </c>
      <c r="AB241" s="35" t="s">
        <v>7045</v>
      </c>
      <c r="AC241" s="30">
        <v>47484.0</v>
      </c>
      <c r="AD241" s="30">
        <v>47848.0</v>
      </c>
      <c r="AE241" s="31">
        <v>0.0</v>
      </c>
      <c r="AF241" s="31">
        <v>1.0</v>
      </c>
      <c r="AG241" s="35" t="s">
        <v>7045</v>
      </c>
    </row>
    <row r="242" ht="14.25" customHeight="1">
      <c r="A242" s="28" t="s">
        <v>335</v>
      </c>
      <c r="B242" s="29" t="s">
        <v>336</v>
      </c>
      <c r="C242" s="29" t="s">
        <v>7041</v>
      </c>
      <c r="D242" s="30">
        <v>45658.0</v>
      </c>
      <c r="E242" s="30">
        <v>46022.0</v>
      </c>
      <c r="F242" s="31">
        <v>0.0</v>
      </c>
      <c r="G242" s="31">
        <v>1.0</v>
      </c>
      <c r="H242" s="35" t="s">
        <v>7045</v>
      </c>
      <c r="I242" s="30">
        <v>46023.0</v>
      </c>
      <c r="J242" s="30">
        <v>46387.0</v>
      </c>
      <c r="K242" s="31">
        <v>0.0</v>
      </c>
      <c r="L242" s="31">
        <v>1.0</v>
      </c>
      <c r="M242" s="35" t="s">
        <v>7045</v>
      </c>
      <c r="N242" s="30">
        <v>46388.0</v>
      </c>
      <c r="O242" s="30">
        <v>46752.0</v>
      </c>
      <c r="P242" s="31">
        <v>0.0</v>
      </c>
      <c r="Q242" s="31">
        <v>1.0</v>
      </c>
      <c r="R242" s="35" t="s">
        <v>7045</v>
      </c>
      <c r="S242" s="30">
        <v>46753.0</v>
      </c>
      <c r="T242" s="30">
        <v>47118.0</v>
      </c>
      <c r="U242" s="31">
        <v>0.0</v>
      </c>
      <c r="V242" s="31">
        <v>1.0</v>
      </c>
      <c r="W242" s="35" t="s">
        <v>7045</v>
      </c>
      <c r="X242" s="30">
        <v>47119.0</v>
      </c>
      <c r="Y242" s="30">
        <v>47483.0</v>
      </c>
      <c r="Z242" s="31">
        <v>0.0</v>
      </c>
      <c r="AA242" s="31">
        <v>1.0</v>
      </c>
      <c r="AB242" s="35" t="s">
        <v>7045</v>
      </c>
      <c r="AC242" s="30">
        <v>47484.0</v>
      </c>
      <c r="AD242" s="30">
        <v>47848.0</v>
      </c>
      <c r="AE242" s="31">
        <v>0.0</v>
      </c>
      <c r="AF242" s="31">
        <v>1.0</v>
      </c>
      <c r="AG242" s="35" t="s">
        <v>7045</v>
      </c>
    </row>
    <row r="243" ht="14.25" customHeight="1">
      <c r="A243" s="28" t="s">
        <v>434</v>
      </c>
      <c r="B243" s="29" t="s">
        <v>435</v>
      </c>
      <c r="C243" s="29" t="s">
        <v>7041</v>
      </c>
      <c r="D243" s="30">
        <v>45658.0</v>
      </c>
      <c r="E243" s="30">
        <v>46022.0</v>
      </c>
      <c r="F243" s="31">
        <v>0.0</v>
      </c>
      <c r="G243" s="31">
        <v>1.0</v>
      </c>
      <c r="H243" s="35" t="s">
        <v>7045</v>
      </c>
      <c r="I243" s="30">
        <v>46023.0</v>
      </c>
      <c r="J243" s="30">
        <v>46387.0</v>
      </c>
      <c r="K243" s="31">
        <v>0.0</v>
      </c>
      <c r="L243" s="31">
        <v>1.0</v>
      </c>
      <c r="M243" s="35" t="s">
        <v>7045</v>
      </c>
      <c r="N243" s="30">
        <v>46388.0</v>
      </c>
      <c r="O243" s="30">
        <v>46752.0</v>
      </c>
      <c r="P243" s="31">
        <v>0.0</v>
      </c>
      <c r="Q243" s="31">
        <v>1.0</v>
      </c>
      <c r="R243" s="35" t="s">
        <v>7045</v>
      </c>
      <c r="S243" s="30">
        <v>46753.0</v>
      </c>
      <c r="T243" s="30">
        <v>47118.0</v>
      </c>
      <c r="U243" s="31">
        <v>0.0</v>
      </c>
      <c r="V243" s="31">
        <v>1.0</v>
      </c>
      <c r="W243" s="35" t="s">
        <v>7045</v>
      </c>
      <c r="X243" s="30">
        <v>47119.0</v>
      </c>
      <c r="Y243" s="30">
        <v>47483.0</v>
      </c>
      <c r="Z243" s="31">
        <v>0.0</v>
      </c>
      <c r="AA243" s="31">
        <v>1.0</v>
      </c>
      <c r="AB243" s="35" t="s">
        <v>7045</v>
      </c>
      <c r="AC243" s="30">
        <v>47484.0</v>
      </c>
      <c r="AD243" s="30">
        <v>47848.0</v>
      </c>
      <c r="AE243" s="31">
        <v>0.0</v>
      </c>
      <c r="AF243" s="31">
        <v>1.0</v>
      </c>
      <c r="AG243" s="35" t="s">
        <v>7045</v>
      </c>
    </row>
    <row r="244" ht="14.25" customHeight="1">
      <c r="A244" s="28" t="s">
        <v>499</v>
      </c>
      <c r="B244" s="29" t="s">
        <v>500</v>
      </c>
      <c r="C244" s="29" t="s">
        <v>7041</v>
      </c>
      <c r="D244" s="30">
        <v>45658.0</v>
      </c>
      <c r="E244" s="30">
        <v>46022.0</v>
      </c>
      <c r="F244" s="31">
        <v>0.0</v>
      </c>
      <c r="G244" s="31">
        <v>1.0</v>
      </c>
      <c r="H244" s="35" t="s">
        <v>7045</v>
      </c>
      <c r="I244" s="30">
        <v>46023.0</v>
      </c>
      <c r="J244" s="30">
        <v>46387.0</v>
      </c>
      <c r="K244" s="31">
        <v>0.0</v>
      </c>
      <c r="L244" s="31">
        <v>1.0</v>
      </c>
      <c r="M244" s="35" t="s">
        <v>7045</v>
      </c>
      <c r="N244" s="30">
        <v>46388.0</v>
      </c>
      <c r="O244" s="30">
        <v>46752.0</v>
      </c>
      <c r="P244" s="31">
        <v>0.0</v>
      </c>
      <c r="Q244" s="31">
        <v>1.0</v>
      </c>
      <c r="R244" s="35" t="s">
        <v>7045</v>
      </c>
      <c r="S244" s="30">
        <v>46753.0</v>
      </c>
      <c r="T244" s="30">
        <v>47118.0</v>
      </c>
      <c r="U244" s="31">
        <v>0.0</v>
      </c>
      <c r="V244" s="31">
        <v>1.0</v>
      </c>
      <c r="W244" s="35" t="s">
        <v>7045</v>
      </c>
      <c r="X244" s="30">
        <v>47119.0</v>
      </c>
      <c r="Y244" s="30">
        <v>47483.0</v>
      </c>
      <c r="Z244" s="31">
        <v>0.0</v>
      </c>
      <c r="AA244" s="31">
        <v>1.0</v>
      </c>
      <c r="AB244" s="35" t="s">
        <v>7045</v>
      </c>
      <c r="AC244" s="30">
        <v>47484.0</v>
      </c>
      <c r="AD244" s="30">
        <v>47848.0</v>
      </c>
      <c r="AE244" s="31">
        <v>0.0</v>
      </c>
      <c r="AF244" s="31">
        <v>1.0</v>
      </c>
      <c r="AG244" s="35" t="s">
        <v>7045</v>
      </c>
    </row>
    <row r="245" ht="14.25" customHeight="1">
      <c r="A245" s="28" t="s">
        <v>515</v>
      </c>
      <c r="B245" s="29" t="s">
        <v>516</v>
      </c>
      <c r="C245" s="29" t="s">
        <v>7041</v>
      </c>
      <c r="D245" s="30">
        <v>45658.0</v>
      </c>
      <c r="E245" s="30">
        <v>46022.0</v>
      </c>
      <c r="F245" s="31">
        <v>0.0</v>
      </c>
      <c r="G245" s="31">
        <v>1.0</v>
      </c>
      <c r="H245" s="35" t="s">
        <v>7045</v>
      </c>
      <c r="I245" s="30">
        <v>46023.0</v>
      </c>
      <c r="J245" s="30">
        <v>46387.0</v>
      </c>
      <c r="K245" s="31">
        <v>0.0</v>
      </c>
      <c r="L245" s="31">
        <v>1.0</v>
      </c>
      <c r="M245" s="35" t="s">
        <v>7045</v>
      </c>
      <c r="N245" s="30">
        <v>46388.0</v>
      </c>
      <c r="O245" s="30">
        <v>46752.0</v>
      </c>
      <c r="P245" s="31">
        <v>0.0</v>
      </c>
      <c r="Q245" s="31">
        <v>1.0</v>
      </c>
      <c r="R245" s="35" t="s">
        <v>7045</v>
      </c>
      <c r="S245" s="30">
        <v>46753.0</v>
      </c>
      <c r="T245" s="30">
        <v>47118.0</v>
      </c>
      <c r="U245" s="31">
        <v>0.0</v>
      </c>
      <c r="V245" s="31">
        <v>1.0</v>
      </c>
      <c r="W245" s="35" t="s">
        <v>7045</v>
      </c>
      <c r="X245" s="30">
        <v>47119.0</v>
      </c>
      <c r="Y245" s="30">
        <v>47483.0</v>
      </c>
      <c r="Z245" s="31">
        <v>0.0</v>
      </c>
      <c r="AA245" s="31">
        <v>1.0</v>
      </c>
      <c r="AB245" s="35" t="s">
        <v>7045</v>
      </c>
      <c r="AC245" s="30">
        <v>47484.0</v>
      </c>
      <c r="AD245" s="30">
        <v>47848.0</v>
      </c>
      <c r="AE245" s="31">
        <v>0.0</v>
      </c>
      <c r="AF245" s="31">
        <v>1.0</v>
      </c>
      <c r="AG245" s="35" t="s">
        <v>7045</v>
      </c>
    </row>
    <row r="246" ht="14.25" customHeight="1">
      <c r="A246" s="28" t="s">
        <v>626</v>
      </c>
      <c r="B246" s="29" t="s">
        <v>627</v>
      </c>
      <c r="C246" s="29" t="s">
        <v>7041</v>
      </c>
      <c r="D246" s="30">
        <v>45658.0</v>
      </c>
      <c r="E246" s="30">
        <v>46022.0</v>
      </c>
      <c r="F246" s="31">
        <v>0.0</v>
      </c>
      <c r="G246" s="31">
        <v>1.0</v>
      </c>
      <c r="H246" s="35" t="s">
        <v>7045</v>
      </c>
      <c r="I246" s="30">
        <v>46023.0</v>
      </c>
      <c r="J246" s="30">
        <v>46387.0</v>
      </c>
      <c r="K246" s="31">
        <v>0.0</v>
      </c>
      <c r="L246" s="31">
        <v>1.0</v>
      </c>
      <c r="M246" s="35" t="s">
        <v>7045</v>
      </c>
      <c r="N246" s="30">
        <v>46388.0</v>
      </c>
      <c r="O246" s="30">
        <v>46752.0</v>
      </c>
      <c r="P246" s="31">
        <v>0.0</v>
      </c>
      <c r="Q246" s="31">
        <v>1.0</v>
      </c>
      <c r="R246" s="35" t="s">
        <v>7045</v>
      </c>
      <c r="S246" s="30">
        <v>46753.0</v>
      </c>
      <c r="T246" s="30">
        <v>47118.0</v>
      </c>
      <c r="U246" s="31">
        <v>0.0</v>
      </c>
      <c r="V246" s="31">
        <v>1.0</v>
      </c>
      <c r="W246" s="35" t="s">
        <v>7045</v>
      </c>
      <c r="X246" s="30">
        <v>47119.0</v>
      </c>
      <c r="Y246" s="30">
        <v>47483.0</v>
      </c>
      <c r="Z246" s="31">
        <v>0.0</v>
      </c>
      <c r="AA246" s="31">
        <v>1.0</v>
      </c>
      <c r="AB246" s="35" t="s">
        <v>7045</v>
      </c>
      <c r="AC246" s="30">
        <v>47484.0</v>
      </c>
      <c r="AD246" s="30">
        <v>47848.0</v>
      </c>
      <c r="AE246" s="31">
        <v>0.0</v>
      </c>
      <c r="AF246" s="31">
        <v>1.0</v>
      </c>
      <c r="AG246" s="35" t="s">
        <v>7045</v>
      </c>
    </row>
    <row r="247" ht="14.25" customHeight="1">
      <c r="A247" s="28" t="s">
        <v>631</v>
      </c>
      <c r="B247" s="29" t="s">
        <v>632</v>
      </c>
      <c r="C247" s="29" t="s">
        <v>7041</v>
      </c>
      <c r="D247" s="30">
        <v>45658.0</v>
      </c>
      <c r="E247" s="30">
        <v>46022.0</v>
      </c>
      <c r="F247" s="31">
        <v>0.0</v>
      </c>
      <c r="G247" s="31">
        <v>1.0</v>
      </c>
      <c r="H247" s="35" t="s">
        <v>7045</v>
      </c>
      <c r="I247" s="30">
        <v>46023.0</v>
      </c>
      <c r="J247" s="30">
        <v>46387.0</v>
      </c>
      <c r="K247" s="31">
        <v>0.0</v>
      </c>
      <c r="L247" s="31">
        <v>1.0</v>
      </c>
      <c r="M247" s="35" t="s">
        <v>7045</v>
      </c>
      <c r="N247" s="30">
        <v>46388.0</v>
      </c>
      <c r="O247" s="30">
        <v>46752.0</v>
      </c>
      <c r="P247" s="31">
        <v>0.0</v>
      </c>
      <c r="Q247" s="31">
        <v>1.0</v>
      </c>
      <c r="R247" s="35" t="s">
        <v>7045</v>
      </c>
      <c r="S247" s="30">
        <v>46753.0</v>
      </c>
      <c r="T247" s="30">
        <v>47118.0</v>
      </c>
      <c r="U247" s="31">
        <v>0.0</v>
      </c>
      <c r="V247" s="31">
        <v>1.0</v>
      </c>
      <c r="W247" s="35" t="s">
        <v>7045</v>
      </c>
      <c r="X247" s="30">
        <v>47119.0</v>
      </c>
      <c r="Y247" s="30">
        <v>47483.0</v>
      </c>
      <c r="Z247" s="31">
        <v>0.0</v>
      </c>
      <c r="AA247" s="31">
        <v>1.0</v>
      </c>
      <c r="AB247" s="35" t="s">
        <v>7045</v>
      </c>
      <c r="AC247" s="30">
        <v>47484.0</v>
      </c>
      <c r="AD247" s="30">
        <v>47848.0</v>
      </c>
      <c r="AE247" s="31">
        <v>0.0</v>
      </c>
      <c r="AF247" s="31">
        <v>1.0</v>
      </c>
      <c r="AG247" s="35" t="s">
        <v>7045</v>
      </c>
    </row>
    <row r="248" ht="14.25" customHeight="1">
      <c r="A248" s="28" t="s">
        <v>635</v>
      </c>
      <c r="B248" s="29" t="s">
        <v>636</v>
      </c>
      <c r="C248" s="29" t="s">
        <v>7041</v>
      </c>
      <c r="D248" s="30">
        <v>45658.0</v>
      </c>
      <c r="E248" s="30">
        <v>46022.0</v>
      </c>
      <c r="F248" s="31">
        <v>0.0</v>
      </c>
      <c r="G248" s="31">
        <v>1.0</v>
      </c>
      <c r="H248" s="35" t="s">
        <v>7045</v>
      </c>
      <c r="I248" s="30">
        <v>46023.0</v>
      </c>
      <c r="J248" s="30">
        <v>46387.0</v>
      </c>
      <c r="K248" s="31">
        <v>0.0</v>
      </c>
      <c r="L248" s="31">
        <v>1.0</v>
      </c>
      <c r="M248" s="35" t="s">
        <v>7045</v>
      </c>
      <c r="N248" s="30">
        <v>46388.0</v>
      </c>
      <c r="O248" s="30">
        <v>46752.0</v>
      </c>
      <c r="P248" s="31">
        <v>0.0</v>
      </c>
      <c r="Q248" s="31">
        <v>1.0</v>
      </c>
      <c r="R248" s="35" t="s">
        <v>7045</v>
      </c>
      <c r="S248" s="30">
        <v>46753.0</v>
      </c>
      <c r="T248" s="30">
        <v>47118.0</v>
      </c>
      <c r="U248" s="31">
        <v>0.0</v>
      </c>
      <c r="V248" s="31">
        <v>1.0</v>
      </c>
      <c r="W248" s="35" t="s">
        <v>7045</v>
      </c>
      <c r="X248" s="30">
        <v>47119.0</v>
      </c>
      <c r="Y248" s="30">
        <v>47483.0</v>
      </c>
      <c r="Z248" s="31">
        <v>0.0</v>
      </c>
      <c r="AA248" s="31">
        <v>1.0</v>
      </c>
      <c r="AB248" s="35" t="s">
        <v>7045</v>
      </c>
      <c r="AC248" s="30">
        <v>47484.0</v>
      </c>
      <c r="AD248" s="30">
        <v>47848.0</v>
      </c>
      <c r="AE248" s="31">
        <v>0.0</v>
      </c>
      <c r="AF248" s="31">
        <v>1.0</v>
      </c>
      <c r="AG248" s="35" t="s">
        <v>7045</v>
      </c>
    </row>
    <row r="249" ht="14.25" customHeight="1">
      <c r="A249" s="28" t="s">
        <v>641</v>
      </c>
      <c r="B249" s="29" t="s">
        <v>642</v>
      </c>
      <c r="C249" s="29" t="s">
        <v>7041</v>
      </c>
      <c r="D249" s="30">
        <v>45658.0</v>
      </c>
      <c r="E249" s="30">
        <v>46022.0</v>
      </c>
      <c r="F249" s="31">
        <v>0.0</v>
      </c>
      <c r="G249" s="31">
        <v>1.0</v>
      </c>
      <c r="H249" s="35" t="s">
        <v>7045</v>
      </c>
      <c r="I249" s="30">
        <v>46023.0</v>
      </c>
      <c r="J249" s="30">
        <v>46387.0</v>
      </c>
      <c r="K249" s="31">
        <v>0.0</v>
      </c>
      <c r="L249" s="31">
        <v>1.0</v>
      </c>
      <c r="M249" s="35" t="s">
        <v>7045</v>
      </c>
      <c r="N249" s="30">
        <v>46388.0</v>
      </c>
      <c r="O249" s="30">
        <v>46752.0</v>
      </c>
      <c r="P249" s="31">
        <v>0.0</v>
      </c>
      <c r="Q249" s="31">
        <v>1.0</v>
      </c>
      <c r="R249" s="35" t="s">
        <v>7045</v>
      </c>
      <c r="S249" s="30">
        <v>46753.0</v>
      </c>
      <c r="T249" s="30">
        <v>47118.0</v>
      </c>
      <c r="U249" s="31">
        <v>0.0</v>
      </c>
      <c r="V249" s="31">
        <v>1.0</v>
      </c>
      <c r="W249" s="35" t="s">
        <v>7045</v>
      </c>
      <c r="X249" s="30">
        <v>47119.0</v>
      </c>
      <c r="Y249" s="30">
        <v>47483.0</v>
      </c>
      <c r="Z249" s="31">
        <v>0.0</v>
      </c>
      <c r="AA249" s="31">
        <v>1.0</v>
      </c>
      <c r="AB249" s="35" t="s">
        <v>7045</v>
      </c>
      <c r="AC249" s="30">
        <v>47484.0</v>
      </c>
      <c r="AD249" s="30">
        <v>47848.0</v>
      </c>
      <c r="AE249" s="31">
        <v>0.0</v>
      </c>
      <c r="AF249" s="31">
        <v>1.0</v>
      </c>
      <c r="AG249" s="35" t="s">
        <v>7045</v>
      </c>
    </row>
    <row r="250" ht="14.25" customHeight="1">
      <c r="A250" s="28" t="s">
        <v>649</v>
      </c>
      <c r="B250" s="29" t="s">
        <v>650</v>
      </c>
      <c r="C250" s="29" t="s">
        <v>7041</v>
      </c>
      <c r="D250" s="30">
        <v>45658.0</v>
      </c>
      <c r="E250" s="30">
        <v>46022.0</v>
      </c>
      <c r="F250" s="31">
        <v>0.0</v>
      </c>
      <c r="G250" s="31">
        <v>1.0</v>
      </c>
      <c r="H250" s="35" t="s">
        <v>7045</v>
      </c>
      <c r="I250" s="30">
        <v>46023.0</v>
      </c>
      <c r="J250" s="30">
        <v>46387.0</v>
      </c>
      <c r="K250" s="31">
        <v>0.0</v>
      </c>
      <c r="L250" s="31">
        <v>1.0</v>
      </c>
      <c r="M250" s="35" t="s">
        <v>7045</v>
      </c>
      <c r="N250" s="30">
        <v>46388.0</v>
      </c>
      <c r="O250" s="30">
        <v>46752.0</v>
      </c>
      <c r="P250" s="31">
        <v>0.0</v>
      </c>
      <c r="Q250" s="31">
        <v>1.0</v>
      </c>
      <c r="R250" s="35" t="s">
        <v>7045</v>
      </c>
      <c r="S250" s="30">
        <v>46753.0</v>
      </c>
      <c r="T250" s="30">
        <v>47118.0</v>
      </c>
      <c r="U250" s="31">
        <v>0.0</v>
      </c>
      <c r="V250" s="31">
        <v>1.0</v>
      </c>
      <c r="W250" s="35" t="s">
        <v>7045</v>
      </c>
      <c r="X250" s="30">
        <v>47119.0</v>
      </c>
      <c r="Y250" s="30">
        <v>47483.0</v>
      </c>
      <c r="Z250" s="31">
        <v>0.0</v>
      </c>
      <c r="AA250" s="31">
        <v>1.0</v>
      </c>
      <c r="AB250" s="35" t="s">
        <v>7045</v>
      </c>
      <c r="AC250" s="30">
        <v>47484.0</v>
      </c>
      <c r="AD250" s="30">
        <v>47848.0</v>
      </c>
      <c r="AE250" s="31">
        <v>0.0</v>
      </c>
      <c r="AF250" s="31">
        <v>1.0</v>
      </c>
      <c r="AG250" s="35" t="s">
        <v>7045</v>
      </c>
    </row>
    <row r="251" ht="14.25" customHeight="1">
      <c r="A251" s="28" t="s">
        <v>767</v>
      </c>
      <c r="B251" s="29" t="s">
        <v>768</v>
      </c>
      <c r="C251" s="29" t="s">
        <v>7041</v>
      </c>
      <c r="D251" s="30">
        <v>45658.0</v>
      </c>
      <c r="E251" s="30">
        <v>46022.0</v>
      </c>
      <c r="F251" s="31">
        <v>0.0</v>
      </c>
      <c r="G251" s="31">
        <v>1.0</v>
      </c>
      <c r="H251" s="35" t="s">
        <v>7045</v>
      </c>
      <c r="I251" s="30">
        <v>46023.0</v>
      </c>
      <c r="J251" s="30">
        <v>46387.0</v>
      </c>
      <c r="K251" s="31">
        <v>0.0</v>
      </c>
      <c r="L251" s="31">
        <v>1.0</v>
      </c>
      <c r="M251" s="35" t="s">
        <v>7045</v>
      </c>
      <c r="N251" s="30">
        <v>46388.0</v>
      </c>
      <c r="O251" s="30">
        <v>46752.0</v>
      </c>
      <c r="P251" s="31">
        <v>0.0</v>
      </c>
      <c r="Q251" s="31">
        <v>1.0</v>
      </c>
      <c r="R251" s="35" t="s">
        <v>7045</v>
      </c>
      <c r="S251" s="30">
        <v>46753.0</v>
      </c>
      <c r="T251" s="30">
        <v>47118.0</v>
      </c>
      <c r="U251" s="31">
        <v>0.0</v>
      </c>
      <c r="V251" s="31">
        <v>1.0</v>
      </c>
      <c r="W251" s="35" t="s">
        <v>7045</v>
      </c>
      <c r="X251" s="30">
        <v>47119.0</v>
      </c>
      <c r="Y251" s="30">
        <v>47483.0</v>
      </c>
      <c r="Z251" s="31">
        <v>0.0</v>
      </c>
      <c r="AA251" s="31">
        <v>1.0</v>
      </c>
      <c r="AB251" s="35" t="s">
        <v>7045</v>
      </c>
      <c r="AC251" s="30">
        <v>47484.0</v>
      </c>
      <c r="AD251" s="30">
        <v>47848.0</v>
      </c>
      <c r="AE251" s="31">
        <v>0.0</v>
      </c>
      <c r="AF251" s="31">
        <v>1.0</v>
      </c>
      <c r="AG251" s="35" t="s">
        <v>7045</v>
      </c>
    </row>
    <row r="252" ht="14.25" customHeight="1">
      <c r="A252" s="28" t="s">
        <v>791</v>
      </c>
      <c r="B252" s="29" t="s">
        <v>792</v>
      </c>
      <c r="C252" s="29" t="s">
        <v>7041</v>
      </c>
      <c r="D252" s="30">
        <v>45658.0</v>
      </c>
      <c r="E252" s="30">
        <v>46022.0</v>
      </c>
      <c r="F252" s="31">
        <v>0.0</v>
      </c>
      <c r="G252" s="31">
        <v>1.0</v>
      </c>
      <c r="H252" s="35" t="s">
        <v>7045</v>
      </c>
      <c r="I252" s="30">
        <v>46023.0</v>
      </c>
      <c r="J252" s="30">
        <v>46387.0</v>
      </c>
      <c r="K252" s="31">
        <v>0.0</v>
      </c>
      <c r="L252" s="31">
        <v>1.0</v>
      </c>
      <c r="M252" s="35" t="s">
        <v>7045</v>
      </c>
      <c r="N252" s="30">
        <v>46388.0</v>
      </c>
      <c r="O252" s="30">
        <v>46752.0</v>
      </c>
      <c r="P252" s="31">
        <v>0.0</v>
      </c>
      <c r="Q252" s="31">
        <v>1.0</v>
      </c>
      <c r="R252" s="35" t="s">
        <v>7045</v>
      </c>
      <c r="S252" s="30">
        <v>46753.0</v>
      </c>
      <c r="T252" s="30">
        <v>47118.0</v>
      </c>
      <c r="U252" s="31">
        <v>0.0</v>
      </c>
      <c r="V252" s="31">
        <v>1.0</v>
      </c>
      <c r="W252" s="35" t="s">
        <v>7045</v>
      </c>
      <c r="X252" s="30">
        <v>47119.0</v>
      </c>
      <c r="Y252" s="30">
        <v>47483.0</v>
      </c>
      <c r="Z252" s="31">
        <v>0.0</v>
      </c>
      <c r="AA252" s="31">
        <v>1.0</v>
      </c>
      <c r="AB252" s="35" t="s">
        <v>7045</v>
      </c>
      <c r="AC252" s="30">
        <v>47484.0</v>
      </c>
      <c r="AD252" s="30">
        <v>47848.0</v>
      </c>
      <c r="AE252" s="31">
        <v>0.0</v>
      </c>
      <c r="AF252" s="31">
        <v>1.0</v>
      </c>
      <c r="AG252" s="35" t="s">
        <v>7045</v>
      </c>
    </row>
    <row r="253" ht="14.25" customHeight="1">
      <c r="A253" s="28" t="s">
        <v>857</v>
      </c>
      <c r="B253" s="29" t="s">
        <v>858</v>
      </c>
      <c r="C253" s="29" t="s">
        <v>7041</v>
      </c>
      <c r="D253" s="30">
        <v>45658.0</v>
      </c>
      <c r="E253" s="30">
        <v>46022.0</v>
      </c>
      <c r="F253" s="31">
        <v>0.0</v>
      </c>
      <c r="G253" s="31">
        <v>1.0</v>
      </c>
      <c r="H253" s="35" t="s">
        <v>7045</v>
      </c>
      <c r="I253" s="30">
        <v>46023.0</v>
      </c>
      <c r="J253" s="30">
        <v>46387.0</v>
      </c>
      <c r="K253" s="31">
        <v>0.0</v>
      </c>
      <c r="L253" s="31">
        <v>1.0</v>
      </c>
      <c r="M253" s="35" t="s">
        <v>7045</v>
      </c>
      <c r="N253" s="30">
        <v>46388.0</v>
      </c>
      <c r="O253" s="30">
        <v>46752.0</v>
      </c>
      <c r="P253" s="31">
        <v>0.0</v>
      </c>
      <c r="Q253" s="31">
        <v>1.0</v>
      </c>
      <c r="R253" s="35" t="s">
        <v>7045</v>
      </c>
      <c r="S253" s="30">
        <v>46753.0</v>
      </c>
      <c r="T253" s="30">
        <v>47118.0</v>
      </c>
      <c r="U253" s="31">
        <v>0.0</v>
      </c>
      <c r="V253" s="31">
        <v>1.0</v>
      </c>
      <c r="W253" s="35" t="s">
        <v>7045</v>
      </c>
      <c r="X253" s="30">
        <v>47119.0</v>
      </c>
      <c r="Y253" s="30">
        <v>47483.0</v>
      </c>
      <c r="Z253" s="31">
        <v>0.0</v>
      </c>
      <c r="AA253" s="31">
        <v>1.0</v>
      </c>
      <c r="AB253" s="35" t="s">
        <v>7045</v>
      </c>
      <c r="AC253" s="30">
        <v>47484.0</v>
      </c>
      <c r="AD253" s="30">
        <v>47848.0</v>
      </c>
      <c r="AE253" s="31">
        <v>0.0</v>
      </c>
      <c r="AF253" s="31">
        <v>1.0</v>
      </c>
      <c r="AG253" s="35" t="s">
        <v>7045</v>
      </c>
    </row>
    <row r="254" ht="14.25" customHeight="1">
      <c r="A254" s="28" t="s">
        <v>936</v>
      </c>
      <c r="B254" s="29" t="s">
        <v>937</v>
      </c>
      <c r="C254" s="29" t="s">
        <v>7041</v>
      </c>
      <c r="D254" s="30">
        <v>45658.0</v>
      </c>
      <c r="E254" s="30">
        <v>46022.0</v>
      </c>
      <c r="F254" s="31">
        <v>0.0</v>
      </c>
      <c r="G254" s="31">
        <v>1.0</v>
      </c>
      <c r="H254" s="35" t="s">
        <v>7045</v>
      </c>
      <c r="I254" s="30">
        <v>46023.0</v>
      </c>
      <c r="J254" s="30">
        <v>46387.0</v>
      </c>
      <c r="K254" s="31">
        <v>0.0</v>
      </c>
      <c r="L254" s="31">
        <v>1.0</v>
      </c>
      <c r="M254" s="35" t="s">
        <v>7045</v>
      </c>
      <c r="N254" s="30">
        <v>46388.0</v>
      </c>
      <c r="O254" s="30">
        <v>46752.0</v>
      </c>
      <c r="P254" s="31">
        <v>0.0</v>
      </c>
      <c r="Q254" s="31">
        <v>1.0</v>
      </c>
      <c r="R254" s="35" t="s">
        <v>7045</v>
      </c>
      <c r="S254" s="30">
        <v>46753.0</v>
      </c>
      <c r="T254" s="30">
        <v>47118.0</v>
      </c>
      <c r="U254" s="31">
        <v>0.0</v>
      </c>
      <c r="V254" s="31">
        <v>1.0</v>
      </c>
      <c r="W254" s="35" t="s">
        <v>7045</v>
      </c>
      <c r="X254" s="30">
        <v>47119.0</v>
      </c>
      <c r="Y254" s="30">
        <v>47483.0</v>
      </c>
      <c r="Z254" s="31">
        <v>0.0</v>
      </c>
      <c r="AA254" s="31">
        <v>1.0</v>
      </c>
      <c r="AB254" s="35" t="s">
        <v>7045</v>
      </c>
      <c r="AC254" s="30">
        <v>47484.0</v>
      </c>
      <c r="AD254" s="30">
        <v>47848.0</v>
      </c>
      <c r="AE254" s="31">
        <v>0.0</v>
      </c>
      <c r="AF254" s="31">
        <v>1.0</v>
      </c>
      <c r="AG254" s="35" t="s">
        <v>7045</v>
      </c>
    </row>
    <row r="255" ht="14.25" customHeight="1">
      <c r="A255" s="28" t="s">
        <v>988</v>
      </c>
      <c r="B255" s="29" t="s">
        <v>989</v>
      </c>
      <c r="C255" s="29" t="s">
        <v>7041</v>
      </c>
      <c r="D255" s="30">
        <v>45658.0</v>
      </c>
      <c r="E255" s="30">
        <v>46022.0</v>
      </c>
      <c r="F255" s="31">
        <v>0.0</v>
      </c>
      <c r="G255" s="31">
        <v>1.0</v>
      </c>
      <c r="H255" s="35" t="s">
        <v>7045</v>
      </c>
      <c r="I255" s="30">
        <v>46023.0</v>
      </c>
      <c r="J255" s="30">
        <v>46387.0</v>
      </c>
      <c r="K255" s="31">
        <v>0.0</v>
      </c>
      <c r="L255" s="31">
        <v>1.0</v>
      </c>
      <c r="M255" s="35" t="s">
        <v>7045</v>
      </c>
      <c r="N255" s="30">
        <v>46388.0</v>
      </c>
      <c r="O255" s="30">
        <v>46752.0</v>
      </c>
      <c r="P255" s="31">
        <v>0.0</v>
      </c>
      <c r="Q255" s="31">
        <v>1.0</v>
      </c>
      <c r="R255" s="35" t="s">
        <v>7045</v>
      </c>
      <c r="S255" s="30">
        <v>46753.0</v>
      </c>
      <c r="T255" s="30">
        <v>47118.0</v>
      </c>
      <c r="U255" s="31">
        <v>0.0</v>
      </c>
      <c r="V255" s="31">
        <v>1.0</v>
      </c>
      <c r="W255" s="35" t="s">
        <v>7045</v>
      </c>
      <c r="X255" s="30">
        <v>47119.0</v>
      </c>
      <c r="Y255" s="30">
        <v>47483.0</v>
      </c>
      <c r="Z255" s="31">
        <v>0.0</v>
      </c>
      <c r="AA255" s="31">
        <v>1.0</v>
      </c>
      <c r="AB255" s="35" t="s">
        <v>7045</v>
      </c>
      <c r="AC255" s="30">
        <v>47484.0</v>
      </c>
      <c r="AD255" s="30">
        <v>47848.0</v>
      </c>
      <c r="AE255" s="31">
        <v>0.0</v>
      </c>
      <c r="AF255" s="31">
        <v>1.0</v>
      </c>
      <c r="AG255" s="35" t="s">
        <v>7045</v>
      </c>
    </row>
    <row r="256" ht="14.25" customHeight="1">
      <c r="A256" s="28" t="s">
        <v>1031</v>
      </c>
      <c r="B256" s="29" t="s">
        <v>1032</v>
      </c>
      <c r="C256" s="29" t="s">
        <v>7041</v>
      </c>
      <c r="D256" s="30">
        <v>45658.0</v>
      </c>
      <c r="E256" s="30">
        <v>46022.0</v>
      </c>
      <c r="F256" s="31">
        <v>0.0</v>
      </c>
      <c r="G256" s="31">
        <v>1.0</v>
      </c>
      <c r="H256" s="35" t="s">
        <v>7045</v>
      </c>
      <c r="I256" s="30">
        <v>46023.0</v>
      </c>
      <c r="J256" s="30">
        <v>46387.0</v>
      </c>
      <c r="K256" s="31">
        <v>0.0</v>
      </c>
      <c r="L256" s="31">
        <v>1.0</v>
      </c>
      <c r="M256" s="35" t="s">
        <v>7045</v>
      </c>
      <c r="N256" s="30">
        <v>46388.0</v>
      </c>
      <c r="O256" s="30">
        <v>46752.0</v>
      </c>
      <c r="P256" s="31">
        <v>0.0</v>
      </c>
      <c r="Q256" s="31">
        <v>1.0</v>
      </c>
      <c r="R256" s="35" t="s">
        <v>7045</v>
      </c>
      <c r="S256" s="30">
        <v>46753.0</v>
      </c>
      <c r="T256" s="30">
        <v>47118.0</v>
      </c>
      <c r="U256" s="31">
        <v>0.0</v>
      </c>
      <c r="V256" s="31">
        <v>1.0</v>
      </c>
      <c r="W256" s="35" t="s">
        <v>7045</v>
      </c>
      <c r="X256" s="30">
        <v>47119.0</v>
      </c>
      <c r="Y256" s="30">
        <v>47483.0</v>
      </c>
      <c r="Z256" s="31">
        <v>0.0</v>
      </c>
      <c r="AA256" s="31">
        <v>1.0</v>
      </c>
      <c r="AB256" s="35" t="s">
        <v>7045</v>
      </c>
      <c r="AC256" s="30">
        <v>47484.0</v>
      </c>
      <c r="AD256" s="30">
        <v>47848.0</v>
      </c>
      <c r="AE256" s="31">
        <v>0.0</v>
      </c>
      <c r="AF256" s="31">
        <v>1.0</v>
      </c>
      <c r="AG256" s="35" t="s">
        <v>7045</v>
      </c>
    </row>
    <row r="257" ht="14.25" customHeight="1">
      <c r="A257" s="28" t="s">
        <v>1094</v>
      </c>
      <c r="B257" s="29" t="s">
        <v>1095</v>
      </c>
      <c r="C257" s="29" t="s">
        <v>7041</v>
      </c>
      <c r="D257" s="30">
        <v>45658.0</v>
      </c>
      <c r="E257" s="30">
        <v>46022.0</v>
      </c>
      <c r="F257" s="31">
        <v>0.0</v>
      </c>
      <c r="G257" s="31">
        <v>1.0</v>
      </c>
      <c r="H257" s="35" t="s">
        <v>7045</v>
      </c>
      <c r="I257" s="30">
        <v>46023.0</v>
      </c>
      <c r="J257" s="30">
        <v>46387.0</v>
      </c>
      <c r="K257" s="31">
        <v>0.0</v>
      </c>
      <c r="L257" s="31">
        <v>1.0</v>
      </c>
      <c r="M257" s="35" t="s">
        <v>7045</v>
      </c>
      <c r="N257" s="30">
        <v>46388.0</v>
      </c>
      <c r="O257" s="30">
        <v>46752.0</v>
      </c>
      <c r="P257" s="31">
        <v>0.0</v>
      </c>
      <c r="Q257" s="31">
        <v>1.0</v>
      </c>
      <c r="R257" s="35" t="s">
        <v>7045</v>
      </c>
      <c r="S257" s="30">
        <v>46753.0</v>
      </c>
      <c r="T257" s="30">
        <v>47118.0</v>
      </c>
      <c r="U257" s="31">
        <v>0.0</v>
      </c>
      <c r="V257" s="31">
        <v>1.0</v>
      </c>
      <c r="W257" s="35" t="s">
        <v>7045</v>
      </c>
      <c r="X257" s="30">
        <v>47119.0</v>
      </c>
      <c r="Y257" s="30">
        <v>47483.0</v>
      </c>
      <c r="Z257" s="31">
        <v>0.0</v>
      </c>
      <c r="AA257" s="31">
        <v>1.0</v>
      </c>
      <c r="AB257" s="35" t="s">
        <v>7045</v>
      </c>
      <c r="AC257" s="30">
        <v>47484.0</v>
      </c>
      <c r="AD257" s="30">
        <v>47848.0</v>
      </c>
      <c r="AE257" s="31">
        <v>0.0</v>
      </c>
      <c r="AF257" s="31">
        <v>1.0</v>
      </c>
      <c r="AG257" s="35" t="s">
        <v>7045</v>
      </c>
    </row>
    <row r="258" ht="14.25" customHeight="1">
      <c r="A258" s="28" t="s">
        <v>1253</v>
      </c>
      <c r="B258" s="29" t="s">
        <v>1254</v>
      </c>
      <c r="C258" s="29" t="s">
        <v>7041</v>
      </c>
      <c r="D258" s="30">
        <v>45658.0</v>
      </c>
      <c r="E258" s="30">
        <v>46022.0</v>
      </c>
      <c r="F258" s="31">
        <v>0.0</v>
      </c>
      <c r="G258" s="31">
        <v>1.0</v>
      </c>
      <c r="H258" s="35" t="s">
        <v>7045</v>
      </c>
      <c r="I258" s="30">
        <v>46023.0</v>
      </c>
      <c r="J258" s="30">
        <v>46387.0</v>
      </c>
      <c r="K258" s="31">
        <v>0.0</v>
      </c>
      <c r="L258" s="31">
        <v>1.0</v>
      </c>
      <c r="M258" s="35" t="s">
        <v>7045</v>
      </c>
      <c r="N258" s="30">
        <v>46388.0</v>
      </c>
      <c r="O258" s="30">
        <v>46752.0</v>
      </c>
      <c r="P258" s="31">
        <v>0.0</v>
      </c>
      <c r="Q258" s="31">
        <v>1.0</v>
      </c>
      <c r="R258" s="35" t="s">
        <v>7045</v>
      </c>
      <c r="S258" s="30">
        <v>46753.0</v>
      </c>
      <c r="T258" s="30">
        <v>47118.0</v>
      </c>
      <c r="U258" s="31">
        <v>0.0</v>
      </c>
      <c r="V258" s="31">
        <v>1.0</v>
      </c>
      <c r="W258" s="35" t="s">
        <v>7045</v>
      </c>
      <c r="X258" s="30">
        <v>47119.0</v>
      </c>
      <c r="Y258" s="30">
        <v>47483.0</v>
      </c>
      <c r="Z258" s="31">
        <v>0.0</v>
      </c>
      <c r="AA258" s="31">
        <v>1.0</v>
      </c>
      <c r="AB258" s="35" t="s">
        <v>7045</v>
      </c>
      <c r="AC258" s="30">
        <v>47484.0</v>
      </c>
      <c r="AD258" s="30">
        <v>47848.0</v>
      </c>
      <c r="AE258" s="31">
        <v>0.0</v>
      </c>
      <c r="AF258" s="31">
        <v>1.0</v>
      </c>
      <c r="AG258" s="35" t="s">
        <v>7045</v>
      </c>
    </row>
    <row r="259" ht="14.25" customHeight="1">
      <c r="A259" s="28" t="s">
        <v>1312</v>
      </c>
      <c r="B259" s="29" t="s">
        <v>1313</v>
      </c>
      <c r="C259" s="29" t="s">
        <v>7041</v>
      </c>
      <c r="D259" s="30">
        <v>45658.0</v>
      </c>
      <c r="E259" s="30">
        <v>46022.0</v>
      </c>
      <c r="F259" s="31">
        <v>0.0</v>
      </c>
      <c r="G259" s="31">
        <v>1.0</v>
      </c>
      <c r="H259" s="35" t="s">
        <v>7045</v>
      </c>
      <c r="I259" s="30">
        <v>46023.0</v>
      </c>
      <c r="J259" s="30">
        <v>46387.0</v>
      </c>
      <c r="K259" s="31">
        <v>0.0</v>
      </c>
      <c r="L259" s="31">
        <v>1.0</v>
      </c>
      <c r="M259" s="35" t="s">
        <v>7045</v>
      </c>
      <c r="N259" s="30">
        <v>46388.0</v>
      </c>
      <c r="O259" s="30">
        <v>46752.0</v>
      </c>
      <c r="P259" s="31">
        <v>0.0</v>
      </c>
      <c r="Q259" s="31">
        <v>1.0</v>
      </c>
      <c r="R259" s="35" t="s">
        <v>7045</v>
      </c>
      <c r="S259" s="30">
        <v>46753.0</v>
      </c>
      <c r="T259" s="30">
        <v>47118.0</v>
      </c>
      <c r="U259" s="31">
        <v>0.0</v>
      </c>
      <c r="V259" s="31">
        <v>1.0</v>
      </c>
      <c r="W259" s="35" t="s">
        <v>7045</v>
      </c>
      <c r="X259" s="30">
        <v>47119.0</v>
      </c>
      <c r="Y259" s="30">
        <v>47483.0</v>
      </c>
      <c r="Z259" s="31">
        <v>0.0</v>
      </c>
      <c r="AA259" s="31">
        <v>1.0</v>
      </c>
      <c r="AB259" s="35" t="s">
        <v>7045</v>
      </c>
      <c r="AC259" s="30">
        <v>47484.0</v>
      </c>
      <c r="AD259" s="30">
        <v>47848.0</v>
      </c>
      <c r="AE259" s="31">
        <v>0.0</v>
      </c>
      <c r="AF259" s="31">
        <v>1.0</v>
      </c>
      <c r="AG259" s="35" t="s">
        <v>7045</v>
      </c>
    </row>
    <row r="260" ht="14.25" customHeight="1">
      <c r="A260" s="28" t="s">
        <v>1353</v>
      </c>
      <c r="B260" s="29" t="s">
        <v>1354</v>
      </c>
      <c r="C260" s="29" t="s">
        <v>7041</v>
      </c>
      <c r="D260" s="30">
        <v>45658.0</v>
      </c>
      <c r="E260" s="30">
        <v>46022.0</v>
      </c>
      <c r="F260" s="31">
        <v>0.0</v>
      </c>
      <c r="G260" s="31">
        <v>1.0</v>
      </c>
      <c r="H260" s="35" t="s">
        <v>7045</v>
      </c>
      <c r="I260" s="30">
        <v>46023.0</v>
      </c>
      <c r="J260" s="30">
        <v>46387.0</v>
      </c>
      <c r="K260" s="31">
        <v>0.0</v>
      </c>
      <c r="L260" s="31">
        <v>1.0</v>
      </c>
      <c r="M260" s="35" t="s">
        <v>7045</v>
      </c>
      <c r="N260" s="30">
        <v>46388.0</v>
      </c>
      <c r="O260" s="30">
        <v>46752.0</v>
      </c>
      <c r="P260" s="31">
        <v>0.0</v>
      </c>
      <c r="Q260" s="31">
        <v>1.0</v>
      </c>
      <c r="R260" s="35" t="s">
        <v>7045</v>
      </c>
      <c r="S260" s="30">
        <v>46753.0</v>
      </c>
      <c r="T260" s="30">
        <v>47118.0</v>
      </c>
      <c r="U260" s="31">
        <v>0.0</v>
      </c>
      <c r="V260" s="31">
        <v>1.0</v>
      </c>
      <c r="W260" s="35" t="s">
        <v>7045</v>
      </c>
      <c r="X260" s="30">
        <v>47119.0</v>
      </c>
      <c r="Y260" s="30">
        <v>47483.0</v>
      </c>
      <c r="Z260" s="31">
        <v>0.0</v>
      </c>
      <c r="AA260" s="31">
        <v>1.0</v>
      </c>
      <c r="AB260" s="35" t="s">
        <v>7045</v>
      </c>
      <c r="AC260" s="30">
        <v>47484.0</v>
      </c>
      <c r="AD260" s="30">
        <v>47848.0</v>
      </c>
      <c r="AE260" s="31">
        <v>0.0</v>
      </c>
      <c r="AF260" s="31">
        <v>1.0</v>
      </c>
      <c r="AG260" s="35" t="s">
        <v>7045</v>
      </c>
    </row>
    <row r="261" ht="14.25" customHeight="1">
      <c r="A261" s="28" t="s">
        <v>1414</v>
      </c>
      <c r="B261" s="29" t="s">
        <v>1415</v>
      </c>
      <c r="C261" s="29" t="s">
        <v>7041</v>
      </c>
      <c r="D261" s="30">
        <v>45658.0</v>
      </c>
      <c r="E261" s="30">
        <v>46022.0</v>
      </c>
      <c r="F261" s="31">
        <v>0.0</v>
      </c>
      <c r="G261" s="31">
        <v>1.0</v>
      </c>
      <c r="H261" s="35" t="s">
        <v>7045</v>
      </c>
      <c r="I261" s="30">
        <v>46023.0</v>
      </c>
      <c r="J261" s="30">
        <v>46387.0</v>
      </c>
      <c r="K261" s="31">
        <v>0.0</v>
      </c>
      <c r="L261" s="31">
        <v>1.0</v>
      </c>
      <c r="M261" s="35" t="s">
        <v>7045</v>
      </c>
      <c r="N261" s="30">
        <v>46388.0</v>
      </c>
      <c r="O261" s="30">
        <v>46752.0</v>
      </c>
      <c r="P261" s="31">
        <v>0.0</v>
      </c>
      <c r="Q261" s="31">
        <v>1.0</v>
      </c>
      <c r="R261" s="35" t="s">
        <v>7045</v>
      </c>
      <c r="S261" s="30">
        <v>46753.0</v>
      </c>
      <c r="T261" s="30">
        <v>47118.0</v>
      </c>
      <c r="U261" s="31">
        <v>0.0</v>
      </c>
      <c r="V261" s="31">
        <v>1.0</v>
      </c>
      <c r="W261" s="35" t="s">
        <v>7045</v>
      </c>
      <c r="X261" s="30">
        <v>47119.0</v>
      </c>
      <c r="Y261" s="30">
        <v>47483.0</v>
      </c>
      <c r="Z261" s="31">
        <v>0.0</v>
      </c>
      <c r="AA261" s="31">
        <v>1.0</v>
      </c>
      <c r="AB261" s="35" t="s">
        <v>7045</v>
      </c>
      <c r="AC261" s="30">
        <v>47484.0</v>
      </c>
      <c r="AD261" s="30">
        <v>47848.0</v>
      </c>
      <c r="AE261" s="31">
        <v>0.0</v>
      </c>
      <c r="AF261" s="31">
        <v>1.0</v>
      </c>
      <c r="AG261" s="35" t="s">
        <v>7045</v>
      </c>
    </row>
    <row r="262" ht="14.25" customHeight="1">
      <c r="A262" s="28" t="s">
        <v>1418</v>
      </c>
      <c r="B262" s="29" t="s">
        <v>1419</v>
      </c>
      <c r="C262" s="29" t="s">
        <v>7041</v>
      </c>
      <c r="D262" s="30">
        <v>45658.0</v>
      </c>
      <c r="E262" s="30">
        <v>46022.0</v>
      </c>
      <c r="F262" s="31">
        <v>1.0</v>
      </c>
      <c r="G262" s="31">
        <v>1.0</v>
      </c>
      <c r="H262" s="33" t="s">
        <v>7042</v>
      </c>
      <c r="I262" s="30">
        <v>46023.0</v>
      </c>
      <c r="J262" s="30">
        <v>46387.0</v>
      </c>
      <c r="K262" s="31">
        <v>0.0</v>
      </c>
      <c r="L262" s="31">
        <v>1.0</v>
      </c>
      <c r="M262" s="35" t="s">
        <v>7045</v>
      </c>
      <c r="N262" s="30">
        <v>46388.0</v>
      </c>
      <c r="O262" s="30">
        <v>46752.0</v>
      </c>
      <c r="P262" s="31">
        <v>0.0</v>
      </c>
      <c r="Q262" s="31">
        <v>1.0</v>
      </c>
      <c r="R262" s="35" t="s">
        <v>7045</v>
      </c>
      <c r="S262" s="30">
        <v>46753.0</v>
      </c>
      <c r="T262" s="30">
        <v>47118.0</v>
      </c>
      <c r="U262" s="31">
        <v>0.0</v>
      </c>
      <c r="V262" s="31">
        <v>1.0</v>
      </c>
      <c r="W262" s="35" t="s">
        <v>7045</v>
      </c>
      <c r="X262" s="30">
        <v>47119.0</v>
      </c>
      <c r="Y262" s="30">
        <v>47483.0</v>
      </c>
      <c r="Z262" s="31">
        <v>0.0</v>
      </c>
      <c r="AA262" s="31">
        <v>1.0</v>
      </c>
      <c r="AB262" s="35" t="s">
        <v>7045</v>
      </c>
      <c r="AC262" s="30">
        <v>47484.0</v>
      </c>
      <c r="AD262" s="30">
        <v>47848.0</v>
      </c>
      <c r="AE262" s="31">
        <v>0.0</v>
      </c>
      <c r="AF262" s="31">
        <v>1.0</v>
      </c>
      <c r="AG262" s="35" t="s">
        <v>7045</v>
      </c>
    </row>
    <row r="263" ht="14.25" customHeight="1">
      <c r="A263" s="28" t="s">
        <v>1422</v>
      </c>
      <c r="B263" s="29" t="s">
        <v>1423</v>
      </c>
      <c r="C263" s="29" t="s">
        <v>7041</v>
      </c>
      <c r="D263" s="30">
        <v>45658.0</v>
      </c>
      <c r="E263" s="30">
        <v>46022.0</v>
      </c>
      <c r="F263" s="31">
        <v>0.0</v>
      </c>
      <c r="G263" s="31">
        <v>1.0</v>
      </c>
      <c r="H263" s="35" t="s">
        <v>7045</v>
      </c>
      <c r="I263" s="30">
        <v>46023.0</v>
      </c>
      <c r="J263" s="30">
        <v>46387.0</v>
      </c>
      <c r="K263" s="31">
        <v>0.0</v>
      </c>
      <c r="L263" s="31">
        <v>1.0</v>
      </c>
      <c r="M263" s="35" t="s">
        <v>7045</v>
      </c>
      <c r="N263" s="30">
        <v>46388.0</v>
      </c>
      <c r="O263" s="30">
        <v>46752.0</v>
      </c>
      <c r="P263" s="31">
        <v>0.0</v>
      </c>
      <c r="Q263" s="31">
        <v>1.0</v>
      </c>
      <c r="R263" s="35" t="s">
        <v>7045</v>
      </c>
      <c r="S263" s="30">
        <v>46753.0</v>
      </c>
      <c r="T263" s="30">
        <v>47118.0</v>
      </c>
      <c r="U263" s="31">
        <v>0.0</v>
      </c>
      <c r="V263" s="31">
        <v>1.0</v>
      </c>
      <c r="W263" s="35" t="s">
        <v>7045</v>
      </c>
      <c r="X263" s="30">
        <v>47119.0</v>
      </c>
      <c r="Y263" s="30">
        <v>47483.0</v>
      </c>
      <c r="Z263" s="31">
        <v>0.0</v>
      </c>
      <c r="AA263" s="31">
        <v>1.0</v>
      </c>
      <c r="AB263" s="35" t="s">
        <v>7045</v>
      </c>
      <c r="AC263" s="30">
        <v>47484.0</v>
      </c>
      <c r="AD263" s="30">
        <v>47848.0</v>
      </c>
      <c r="AE263" s="31">
        <v>0.0</v>
      </c>
      <c r="AF263" s="31">
        <v>1.0</v>
      </c>
      <c r="AG263" s="35" t="s">
        <v>7045</v>
      </c>
    </row>
    <row r="264" ht="14.25" customHeight="1">
      <c r="A264" s="28" t="s">
        <v>1425</v>
      </c>
      <c r="B264" s="29" t="s">
        <v>1426</v>
      </c>
      <c r="C264" s="29" t="s">
        <v>7041</v>
      </c>
      <c r="D264" s="30">
        <v>45658.0</v>
      </c>
      <c r="E264" s="30">
        <v>46022.0</v>
      </c>
      <c r="F264" s="31">
        <v>0.0</v>
      </c>
      <c r="G264" s="31">
        <v>1.0</v>
      </c>
      <c r="H264" s="35" t="s">
        <v>7045</v>
      </c>
      <c r="I264" s="30">
        <v>46023.0</v>
      </c>
      <c r="J264" s="30">
        <v>46387.0</v>
      </c>
      <c r="K264" s="31">
        <v>0.0</v>
      </c>
      <c r="L264" s="31">
        <v>1.0</v>
      </c>
      <c r="M264" s="35" t="s">
        <v>7045</v>
      </c>
      <c r="N264" s="30">
        <v>46388.0</v>
      </c>
      <c r="O264" s="30">
        <v>46752.0</v>
      </c>
      <c r="P264" s="31">
        <v>0.0</v>
      </c>
      <c r="Q264" s="31">
        <v>1.0</v>
      </c>
      <c r="R264" s="35" t="s">
        <v>7045</v>
      </c>
      <c r="S264" s="30">
        <v>46753.0</v>
      </c>
      <c r="T264" s="30">
        <v>47118.0</v>
      </c>
      <c r="U264" s="31">
        <v>0.0</v>
      </c>
      <c r="V264" s="31">
        <v>1.0</v>
      </c>
      <c r="W264" s="35" t="s">
        <v>7045</v>
      </c>
      <c r="X264" s="30">
        <v>47119.0</v>
      </c>
      <c r="Y264" s="30">
        <v>47483.0</v>
      </c>
      <c r="Z264" s="31">
        <v>0.0</v>
      </c>
      <c r="AA264" s="31">
        <v>1.0</v>
      </c>
      <c r="AB264" s="35" t="s">
        <v>7045</v>
      </c>
      <c r="AC264" s="30">
        <v>47484.0</v>
      </c>
      <c r="AD264" s="30">
        <v>47848.0</v>
      </c>
      <c r="AE264" s="31">
        <v>0.0</v>
      </c>
      <c r="AF264" s="31">
        <v>1.0</v>
      </c>
      <c r="AG264" s="35" t="s">
        <v>7045</v>
      </c>
    </row>
    <row r="265" ht="14.25" customHeight="1">
      <c r="A265" s="28" t="s">
        <v>1428</v>
      </c>
      <c r="B265" s="29" t="s">
        <v>1429</v>
      </c>
      <c r="C265" s="29" t="s">
        <v>7041</v>
      </c>
      <c r="D265" s="30">
        <v>45658.0</v>
      </c>
      <c r="E265" s="30">
        <v>46022.0</v>
      </c>
      <c r="F265" s="31">
        <v>0.0</v>
      </c>
      <c r="G265" s="31">
        <v>1.0</v>
      </c>
      <c r="H265" s="35" t="s">
        <v>7045</v>
      </c>
      <c r="I265" s="30">
        <v>46023.0</v>
      </c>
      <c r="J265" s="30">
        <v>46387.0</v>
      </c>
      <c r="K265" s="31">
        <v>0.0</v>
      </c>
      <c r="L265" s="31">
        <v>1.0</v>
      </c>
      <c r="M265" s="35" t="s">
        <v>7045</v>
      </c>
      <c r="N265" s="30">
        <v>46388.0</v>
      </c>
      <c r="O265" s="30">
        <v>46752.0</v>
      </c>
      <c r="P265" s="31">
        <v>0.0</v>
      </c>
      <c r="Q265" s="31">
        <v>1.0</v>
      </c>
      <c r="R265" s="35" t="s">
        <v>7045</v>
      </c>
      <c r="S265" s="30">
        <v>46753.0</v>
      </c>
      <c r="T265" s="30">
        <v>47118.0</v>
      </c>
      <c r="U265" s="31">
        <v>0.0</v>
      </c>
      <c r="V265" s="31">
        <v>1.0</v>
      </c>
      <c r="W265" s="35" t="s">
        <v>7045</v>
      </c>
      <c r="X265" s="30">
        <v>47119.0</v>
      </c>
      <c r="Y265" s="30">
        <v>47483.0</v>
      </c>
      <c r="Z265" s="31">
        <v>0.0</v>
      </c>
      <c r="AA265" s="31">
        <v>1.0</v>
      </c>
      <c r="AB265" s="35" t="s">
        <v>7045</v>
      </c>
      <c r="AC265" s="30">
        <v>47484.0</v>
      </c>
      <c r="AD265" s="30">
        <v>47848.0</v>
      </c>
      <c r="AE265" s="31">
        <v>0.0</v>
      </c>
      <c r="AF265" s="31">
        <v>1.0</v>
      </c>
      <c r="AG265" s="35" t="s">
        <v>7045</v>
      </c>
    </row>
    <row r="266" ht="14.25" customHeight="1">
      <c r="A266" s="28" t="s">
        <v>1480</v>
      </c>
      <c r="B266" s="29" t="s">
        <v>1481</v>
      </c>
      <c r="C266" s="29" t="s">
        <v>7041</v>
      </c>
      <c r="D266" s="30">
        <v>45658.0</v>
      </c>
      <c r="E266" s="30">
        <v>46022.0</v>
      </c>
      <c r="F266" s="31">
        <v>1.0</v>
      </c>
      <c r="G266" s="31">
        <v>1.0</v>
      </c>
      <c r="H266" s="35" t="s">
        <v>7042</v>
      </c>
      <c r="I266" s="30">
        <v>46023.0</v>
      </c>
      <c r="J266" s="30">
        <v>46387.0</v>
      </c>
      <c r="K266" s="31">
        <v>0.0</v>
      </c>
      <c r="L266" s="31">
        <v>1.0</v>
      </c>
      <c r="M266" s="35" t="s">
        <v>7045</v>
      </c>
      <c r="N266" s="30">
        <v>46388.0</v>
      </c>
      <c r="O266" s="30">
        <v>46752.0</v>
      </c>
      <c r="P266" s="31">
        <v>0.0</v>
      </c>
      <c r="Q266" s="31">
        <v>1.0</v>
      </c>
      <c r="R266" s="35" t="s">
        <v>7045</v>
      </c>
      <c r="S266" s="30">
        <v>46753.0</v>
      </c>
      <c r="T266" s="30">
        <v>47118.0</v>
      </c>
      <c r="U266" s="31">
        <v>0.0</v>
      </c>
      <c r="V266" s="31">
        <v>1.0</v>
      </c>
      <c r="W266" s="35" t="s">
        <v>7045</v>
      </c>
      <c r="X266" s="30">
        <v>47119.0</v>
      </c>
      <c r="Y266" s="30">
        <v>47483.0</v>
      </c>
      <c r="Z266" s="31">
        <v>0.0</v>
      </c>
      <c r="AA266" s="31">
        <v>1.0</v>
      </c>
      <c r="AB266" s="35" t="s">
        <v>7045</v>
      </c>
      <c r="AC266" s="30">
        <v>47484.0</v>
      </c>
      <c r="AD266" s="30">
        <v>47848.0</v>
      </c>
      <c r="AE266" s="31">
        <v>0.0</v>
      </c>
      <c r="AF266" s="31">
        <v>1.0</v>
      </c>
      <c r="AG266" s="35" t="s">
        <v>7045</v>
      </c>
    </row>
    <row r="267" ht="14.25" customHeight="1">
      <c r="A267" s="28" t="s">
        <v>1602</v>
      </c>
      <c r="B267" s="29" t="s">
        <v>1603</v>
      </c>
      <c r="C267" s="29" t="s">
        <v>7041</v>
      </c>
      <c r="D267" s="30">
        <v>45658.0</v>
      </c>
      <c r="E267" s="30">
        <v>46022.0</v>
      </c>
      <c r="F267" s="31">
        <v>0.0</v>
      </c>
      <c r="G267" s="31">
        <v>1.0</v>
      </c>
      <c r="H267" s="35" t="s">
        <v>7045</v>
      </c>
      <c r="I267" s="30">
        <v>46023.0</v>
      </c>
      <c r="J267" s="30">
        <v>46387.0</v>
      </c>
      <c r="K267" s="31">
        <v>0.0</v>
      </c>
      <c r="L267" s="31">
        <v>1.0</v>
      </c>
      <c r="M267" s="35" t="s">
        <v>7045</v>
      </c>
      <c r="N267" s="30">
        <v>46388.0</v>
      </c>
      <c r="O267" s="30">
        <v>46752.0</v>
      </c>
      <c r="P267" s="31">
        <v>0.0</v>
      </c>
      <c r="Q267" s="31">
        <v>1.0</v>
      </c>
      <c r="R267" s="35" t="s">
        <v>7045</v>
      </c>
      <c r="S267" s="30">
        <v>46753.0</v>
      </c>
      <c r="T267" s="30">
        <v>47118.0</v>
      </c>
      <c r="U267" s="31">
        <v>0.0</v>
      </c>
      <c r="V267" s="31">
        <v>1.0</v>
      </c>
      <c r="W267" s="35" t="s">
        <v>7045</v>
      </c>
      <c r="X267" s="30">
        <v>47119.0</v>
      </c>
      <c r="Y267" s="30">
        <v>47483.0</v>
      </c>
      <c r="Z267" s="31">
        <v>0.0</v>
      </c>
      <c r="AA267" s="31">
        <v>1.0</v>
      </c>
      <c r="AB267" s="35" t="s">
        <v>7045</v>
      </c>
      <c r="AC267" s="30">
        <v>47484.0</v>
      </c>
      <c r="AD267" s="30">
        <v>47848.0</v>
      </c>
      <c r="AE267" s="31">
        <v>0.0</v>
      </c>
      <c r="AF267" s="31">
        <v>1.0</v>
      </c>
      <c r="AG267" s="35" t="s">
        <v>7045</v>
      </c>
    </row>
    <row r="268" ht="14.25" customHeight="1">
      <c r="A268" s="28" t="s">
        <v>1689</v>
      </c>
      <c r="B268" s="29" t="s">
        <v>1690</v>
      </c>
      <c r="C268" s="29" t="s">
        <v>7041</v>
      </c>
      <c r="D268" s="30">
        <v>45658.0</v>
      </c>
      <c r="E268" s="30">
        <v>46022.0</v>
      </c>
      <c r="F268" s="31">
        <v>0.0</v>
      </c>
      <c r="G268" s="31">
        <v>1.0</v>
      </c>
      <c r="H268" s="35" t="s">
        <v>7045</v>
      </c>
      <c r="I268" s="30">
        <v>46023.0</v>
      </c>
      <c r="J268" s="30">
        <v>46387.0</v>
      </c>
      <c r="K268" s="31">
        <v>0.0</v>
      </c>
      <c r="L268" s="31">
        <v>1.0</v>
      </c>
      <c r="M268" s="35" t="s">
        <v>7045</v>
      </c>
      <c r="N268" s="30">
        <v>46388.0</v>
      </c>
      <c r="O268" s="30">
        <v>46752.0</v>
      </c>
      <c r="P268" s="31">
        <v>0.0</v>
      </c>
      <c r="Q268" s="31">
        <v>1.0</v>
      </c>
      <c r="R268" s="35" t="s">
        <v>7045</v>
      </c>
      <c r="S268" s="30">
        <v>46753.0</v>
      </c>
      <c r="T268" s="30">
        <v>47118.0</v>
      </c>
      <c r="U268" s="31">
        <v>0.0</v>
      </c>
      <c r="V268" s="31">
        <v>1.0</v>
      </c>
      <c r="W268" s="35" t="s">
        <v>7045</v>
      </c>
      <c r="X268" s="30">
        <v>47119.0</v>
      </c>
      <c r="Y268" s="30">
        <v>47483.0</v>
      </c>
      <c r="Z268" s="31">
        <v>0.0</v>
      </c>
      <c r="AA268" s="31">
        <v>1.0</v>
      </c>
      <c r="AB268" s="35" t="s">
        <v>7045</v>
      </c>
      <c r="AC268" s="30">
        <v>47484.0</v>
      </c>
      <c r="AD268" s="30">
        <v>47848.0</v>
      </c>
      <c r="AE268" s="31">
        <v>0.0</v>
      </c>
      <c r="AF268" s="31">
        <v>1.0</v>
      </c>
      <c r="AG268" s="35" t="s">
        <v>7045</v>
      </c>
    </row>
    <row r="269" ht="14.25" customHeight="1">
      <c r="A269" s="28" t="s">
        <v>1699</v>
      </c>
      <c r="B269" s="29" t="s">
        <v>1700</v>
      </c>
      <c r="C269" s="29" t="s">
        <v>7041</v>
      </c>
      <c r="D269" s="30">
        <v>45658.0</v>
      </c>
      <c r="E269" s="30">
        <v>46022.0</v>
      </c>
      <c r="F269" s="31">
        <v>0.0</v>
      </c>
      <c r="G269" s="31">
        <v>1.0</v>
      </c>
      <c r="H269" s="35" t="s">
        <v>7045</v>
      </c>
      <c r="I269" s="30">
        <v>46023.0</v>
      </c>
      <c r="J269" s="30">
        <v>46387.0</v>
      </c>
      <c r="K269" s="31">
        <v>0.0</v>
      </c>
      <c r="L269" s="31">
        <v>1.0</v>
      </c>
      <c r="M269" s="35" t="s">
        <v>7045</v>
      </c>
      <c r="N269" s="30">
        <v>46388.0</v>
      </c>
      <c r="O269" s="30">
        <v>46752.0</v>
      </c>
      <c r="P269" s="31">
        <v>0.0</v>
      </c>
      <c r="Q269" s="31">
        <v>1.0</v>
      </c>
      <c r="R269" s="35" t="s">
        <v>7045</v>
      </c>
      <c r="S269" s="30">
        <v>46753.0</v>
      </c>
      <c r="T269" s="30">
        <v>47118.0</v>
      </c>
      <c r="U269" s="31">
        <v>0.0</v>
      </c>
      <c r="V269" s="31">
        <v>1.0</v>
      </c>
      <c r="W269" s="35" t="s">
        <v>7045</v>
      </c>
      <c r="X269" s="30">
        <v>47119.0</v>
      </c>
      <c r="Y269" s="30">
        <v>47483.0</v>
      </c>
      <c r="Z269" s="31">
        <v>0.0</v>
      </c>
      <c r="AA269" s="31">
        <v>1.0</v>
      </c>
      <c r="AB269" s="35" t="s">
        <v>7045</v>
      </c>
      <c r="AC269" s="30">
        <v>47484.0</v>
      </c>
      <c r="AD269" s="30">
        <v>47848.0</v>
      </c>
      <c r="AE269" s="31">
        <v>0.0</v>
      </c>
      <c r="AF269" s="31">
        <v>1.0</v>
      </c>
      <c r="AG269" s="35" t="s">
        <v>7045</v>
      </c>
    </row>
    <row r="270" ht="14.25" customHeight="1">
      <c r="A270" s="28" t="s">
        <v>1751</v>
      </c>
      <c r="B270" s="29" t="s">
        <v>1752</v>
      </c>
      <c r="C270" s="29" t="s">
        <v>7041</v>
      </c>
      <c r="D270" s="30">
        <v>45658.0</v>
      </c>
      <c r="E270" s="30">
        <v>46022.0</v>
      </c>
      <c r="F270" s="31">
        <v>0.0</v>
      </c>
      <c r="G270" s="31">
        <v>1.0</v>
      </c>
      <c r="H270" s="35" t="s">
        <v>7045</v>
      </c>
      <c r="I270" s="30">
        <v>46023.0</v>
      </c>
      <c r="J270" s="30">
        <v>46387.0</v>
      </c>
      <c r="K270" s="31">
        <v>0.0</v>
      </c>
      <c r="L270" s="31">
        <v>1.0</v>
      </c>
      <c r="M270" s="35" t="s">
        <v>7045</v>
      </c>
      <c r="N270" s="30">
        <v>46388.0</v>
      </c>
      <c r="O270" s="30">
        <v>46752.0</v>
      </c>
      <c r="P270" s="31">
        <v>0.0</v>
      </c>
      <c r="Q270" s="31">
        <v>1.0</v>
      </c>
      <c r="R270" s="35" t="s">
        <v>7045</v>
      </c>
      <c r="S270" s="30">
        <v>46753.0</v>
      </c>
      <c r="T270" s="30">
        <v>47118.0</v>
      </c>
      <c r="U270" s="31">
        <v>0.0</v>
      </c>
      <c r="V270" s="31">
        <v>1.0</v>
      </c>
      <c r="W270" s="35" t="s">
        <v>7045</v>
      </c>
      <c r="X270" s="30">
        <v>47119.0</v>
      </c>
      <c r="Y270" s="30">
        <v>47483.0</v>
      </c>
      <c r="Z270" s="31">
        <v>0.0</v>
      </c>
      <c r="AA270" s="31">
        <v>1.0</v>
      </c>
      <c r="AB270" s="35" t="s">
        <v>7045</v>
      </c>
      <c r="AC270" s="30">
        <v>47484.0</v>
      </c>
      <c r="AD270" s="30">
        <v>47848.0</v>
      </c>
      <c r="AE270" s="31">
        <v>0.0</v>
      </c>
      <c r="AF270" s="31">
        <v>1.0</v>
      </c>
      <c r="AG270" s="35" t="s">
        <v>7045</v>
      </c>
    </row>
    <row r="271" ht="14.25" customHeight="1">
      <c r="A271" s="28" t="s">
        <v>1792</v>
      </c>
      <c r="B271" s="29" t="s">
        <v>1793</v>
      </c>
      <c r="C271" s="29" t="s">
        <v>7041</v>
      </c>
      <c r="D271" s="30">
        <v>45658.0</v>
      </c>
      <c r="E271" s="30">
        <v>46022.0</v>
      </c>
      <c r="F271" s="31">
        <v>0.0</v>
      </c>
      <c r="G271" s="31">
        <v>1.0</v>
      </c>
      <c r="H271" s="35" t="s">
        <v>7045</v>
      </c>
      <c r="I271" s="30">
        <v>46023.0</v>
      </c>
      <c r="J271" s="30">
        <v>46387.0</v>
      </c>
      <c r="K271" s="31">
        <v>0.0</v>
      </c>
      <c r="L271" s="31">
        <v>1.0</v>
      </c>
      <c r="M271" s="35" t="s">
        <v>7045</v>
      </c>
      <c r="N271" s="30">
        <v>46388.0</v>
      </c>
      <c r="O271" s="30">
        <v>46752.0</v>
      </c>
      <c r="P271" s="31">
        <v>0.0</v>
      </c>
      <c r="Q271" s="31">
        <v>1.0</v>
      </c>
      <c r="R271" s="35" t="s">
        <v>7045</v>
      </c>
      <c r="S271" s="30">
        <v>46753.0</v>
      </c>
      <c r="T271" s="30">
        <v>47118.0</v>
      </c>
      <c r="U271" s="31">
        <v>0.0</v>
      </c>
      <c r="V271" s="31">
        <v>1.0</v>
      </c>
      <c r="W271" s="35" t="s">
        <v>7045</v>
      </c>
      <c r="X271" s="30">
        <v>47119.0</v>
      </c>
      <c r="Y271" s="30">
        <v>47483.0</v>
      </c>
      <c r="Z271" s="31">
        <v>0.0</v>
      </c>
      <c r="AA271" s="31">
        <v>1.0</v>
      </c>
      <c r="AB271" s="35" t="s">
        <v>7045</v>
      </c>
      <c r="AC271" s="30">
        <v>47484.0</v>
      </c>
      <c r="AD271" s="30">
        <v>47848.0</v>
      </c>
      <c r="AE271" s="31">
        <v>0.0</v>
      </c>
      <c r="AF271" s="31">
        <v>1.0</v>
      </c>
      <c r="AG271" s="35" t="s">
        <v>7045</v>
      </c>
    </row>
    <row r="272" ht="14.25" customHeight="1">
      <c r="A272" s="28" t="s">
        <v>1811</v>
      </c>
      <c r="B272" s="29" t="s">
        <v>1812</v>
      </c>
      <c r="C272" s="29" t="s">
        <v>7041</v>
      </c>
      <c r="D272" s="30">
        <v>45658.0</v>
      </c>
      <c r="E272" s="30">
        <v>46022.0</v>
      </c>
      <c r="F272" s="31">
        <v>0.0</v>
      </c>
      <c r="G272" s="31">
        <v>1.0</v>
      </c>
      <c r="H272" s="35" t="s">
        <v>7045</v>
      </c>
      <c r="I272" s="30">
        <v>46023.0</v>
      </c>
      <c r="J272" s="30">
        <v>46387.0</v>
      </c>
      <c r="K272" s="31">
        <v>0.0</v>
      </c>
      <c r="L272" s="31">
        <v>1.0</v>
      </c>
      <c r="M272" s="35" t="s">
        <v>7045</v>
      </c>
      <c r="N272" s="30">
        <v>46388.0</v>
      </c>
      <c r="O272" s="30">
        <v>46752.0</v>
      </c>
      <c r="P272" s="31">
        <v>0.0</v>
      </c>
      <c r="Q272" s="31">
        <v>1.0</v>
      </c>
      <c r="R272" s="35" t="s">
        <v>7045</v>
      </c>
      <c r="S272" s="30">
        <v>46753.0</v>
      </c>
      <c r="T272" s="30">
        <v>47118.0</v>
      </c>
      <c r="U272" s="31">
        <v>0.0</v>
      </c>
      <c r="V272" s="31">
        <v>1.0</v>
      </c>
      <c r="W272" s="35" t="s">
        <v>7045</v>
      </c>
      <c r="X272" s="30">
        <v>47119.0</v>
      </c>
      <c r="Y272" s="30">
        <v>47483.0</v>
      </c>
      <c r="Z272" s="31">
        <v>0.0</v>
      </c>
      <c r="AA272" s="31">
        <v>1.0</v>
      </c>
      <c r="AB272" s="35" t="s">
        <v>7045</v>
      </c>
      <c r="AC272" s="30">
        <v>47484.0</v>
      </c>
      <c r="AD272" s="30">
        <v>47848.0</v>
      </c>
      <c r="AE272" s="31">
        <v>0.0</v>
      </c>
      <c r="AF272" s="31">
        <v>1.0</v>
      </c>
      <c r="AG272" s="35" t="s">
        <v>7045</v>
      </c>
    </row>
    <row r="273" ht="14.25" customHeight="1">
      <c r="A273" s="28" t="s">
        <v>1899</v>
      </c>
      <c r="B273" s="29" t="s">
        <v>1900</v>
      </c>
      <c r="C273" s="29" t="s">
        <v>7041</v>
      </c>
      <c r="D273" s="30">
        <v>45658.0</v>
      </c>
      <c r="E273" s="30">
        <v>46022.0</v>
      </c>
      <c r="F273" s="31">
        <v>0.0</v>
      </c>
      <c r="G273" s="31">
        <v>1.0</v>
      </c>
      <c r="H273" s="35" t="s">
        <v>7045</v>
      </c>
      <c r="I273" s="30">
        <v>46023.0</v>
      </c>
      <c r="J273" s="30">
        <v>46387.0</v>
      </c>
      <c r="K273" s="31">
        <v>0.0</v>
      </c>
      <c r="L273" s="31">
        <v>1.0</v>
      </c>
      <c r="M273" s="35" t="s">
        <v>7045</v>
      </c>
      <c r="N273" s="30">
        <v>46388.0</v>
      </c>
      <c r="O273" s="30">
        <v>46752.0</v>
      </c>
      <c r="P273" s="31">
        <v>0.0</v>
      </c>
      <c r="Q273" s="31">
        <v>1.0</v>
      </c>
      <c r="R273" s="35" t="s">
        <v>7045</v>
      </c>
      <c r="S273" s="30">
        <v>46753.0</v>
      </c>
      <c r="T273" s="30">
        <v>47118.0</v>
      </c>
      <c r="U273" s="31">
        <v>0.0</v>
      </c>
      <c r="V273" s="31">
        <v>1.0</v>
      </c>
      <c r="W273" s="35" t="s">
        <v>7045</v>
      </c>
      <c r="X273" s="30">
        <v>47119.0</v>
      </c>
      <c r="Y273" s="30">
        <v>47483.0</v>
      </c>
      <c r="Z273" s="31">
        <v>0.0</v>
      </c>
      <c r="AA273" s="31">
        <v>1.0</v>
      </c>
      <c r="AB273" s="35" t="s">
        <v>7045</v>
      </c>
      <c r="AC273" s="30">
        <v>47484.0</v>
      </c>
      <c r="AD273" s="30">
        <v>47848.0</v>
      </c>
      <c r="AE273" s="31">
        <v>0.0</v>
      </c>
      <c r="AF273" s="31">
        <v>1.0</v>
      </c>
      <c r="AG273" s="35" t="s">
        <v>7045</v>
      </c>
    </row>
    <row r="274" ht="14.25" customHeight="1">
      <c r="A274" s="28" t="s">
        <v>1933</v>
      </c>
      <c r="B274" s="29" t="s">
        <v>1934</v>
      </c>
      <c r="C274" s="29" t="s">
        <v>7041</v>
      </c>
      <c r="D274" s="30">
        <v>45658.0</v>
      </c>
      <c r="E274" s="30">
        <v>46022.0</v>
      </c>
      <c r="F274" s="31">
        <v>0.0</v>
      </c>
      <c r="G274" s="31">
        <v>1.0</v>
      </c>
      <c r="H274" s="35" t="s">
        <v>7045</v>
      </c>
      <c r="I274" s="30">
        <v>46023.0</v>
      </c>
      <c r="J274" s="30">
        <v>46387.0</v>
      </c>
      <c r="K274" s="31">
        <v>0.0</v>
      </c>
      <c r="L274" s="31">
        <v>1.0</v>
      </c>
      <c r="M274" s="35" t="s">
        <v>7045</v>
      </c>
      <c r="N274" s="30">
        <v>46388.0</v>
      </c>
      <c r="O274" s="30">
        <v>46752.0</v>
      </c>
      <c r="P274" s="31">
        <v>0.0</v>
      </c>
      <c r="Q274" s="31">
        <v>1.0</v>
      </c>
      <c r="R274" s="35" t="s">
        <v>7045</v>
      </c>
      <c r="S274" s="30">
        <v>46753.0</v>
      </c>
      <c r="T274" s="30">
        <v>47118.0</v>
      </c>
      <c r="U274" s="31">
        <v>0.0</v>
      </c>
      <c r="V274" s="31">
        <v>1.0</v>
      </c>
      <c r="W274" s="35" t="s">
        <v>7045</v>
      </c>
      <c r="X274" s="30">
        <v>47119.0</v>
      </c>
      <c r="Y274" s="30">
        <v>47483.0</v>
      </c>
      <c r="Z274" s="31">
        <v>0.0</v>
      </c>
      <c r="AA274" s="31">
        <v>1.0</v>
      </c>
      <c r="AB274" s="35" t="s">
        <v>7045</v>
      </c>
      <c r="AC274" s="30">
        <v>47484.0</v>
      </c>
      <c r="AD274" s="30">
        <v>47848.0</v>
      </c>
      <c r="AE274" s="31">
        <v>0.0</v>
      </c>
      <c r="AF274" s="31">
        <v>1.0</v>
      </c>
      <c r="AG274" s="35" t="s">
        <v>7045</v>
      </c>
    </row>
    <row r="275" ht="14.25" customHeight="1">
      <c r="A275" s="28" t="s">
        <v>1987</v>
      </c>
      <c r="B275" s="29" t="s">
        <v>1988</v>
      </c>
      <c r="C275" s="29" t="s">
        <v>7041</v>
      </c>
      <c r="D275" s="30">
        <v>45658.0</v>
      </c>
      <c r="E275" s="30">
        <v>46022.0</v>
      </c>
      <c r="F275" s="31">
        <v>0.0</v>
      </c>
      <c r="G275" s="31">
        <v>1.0</v>
      </c>
      <c r="H275" s="35" t="s">
        <v>7045</v>
      </c>
      <c r="I275" s="30">
        <v>46023.0</v>
      </c>
      <c r="J275" s="30">
        <v>46387.0</v>
      </c>
      <c r="K275" s="31">
        <v>0.0</v>
      </c>
      <c r="L275" s="31">
        <v>1.0</v>
      </c>
      <c r="M275" s="35" t="s">
        <v>7045</v>
      </c>
      <c r="N275" s="30">
        <v>46388.0</v>
      </c>
      <c r="O275" s="30">
        <v>46752.0</v>
      </c>
      <c r="P275" s="31">
        <v>0.0</v>
      </c>
      <c r="Q275" s="31">
        <v>1.0</v>
      </c>
      <c r="R275" s="35" t="s">
        <v>7045</v>
      </c>
      <c r="S275" s="30">
        <v>46753.0</v>
      </c>
      <c r="T275" s="30">
        <v>47118.0</v>
      </c>
      <c r="U275" s="31">
        <v>0.0</v>
      </c>
      <c r="V275" s="31">
        <v>1.0</v>
      </c>
      <c r="W275" s="35" t="s">
        <v>7045</v>
      </c>
      <c r="X275" s="30">
        <v>47119.0</v>
      </c>
      <c r="Y275" s="30">
        <v>47483.0</v>
      </c>
      <c r="Z275" s="31">
        <v>0.0</v>
      </c>
      <c r="AA275" s="31">
        <v>1.0</v>
      </c>
      <c r="AB275" s="35" t="s">
        <v>7045</v>
      </c>
      <c r="AC275" s="30">
        <v>47484.0</v>
      </c>
      <c r="AD275" s="30">
        <v>47848.0</v>
      </c>
      <c r="AE275" s="31">
        <v>0.0</v>
      </c>
      <c r="AF275" s="31">
        <v>1.0</v>
      </c>
      <c r="AG275" s="35" t="s">
        <v>7045</v>
      </c>
    </row>
    <row r="276" ht="14.25" customHeight="1">
      <c r="A276" s="28" t="s">
        <v>2089</v>
      </c>
      <c r="B276" s="29" t="s">
        <v>2090</v>
      </c>
      <c r="C276" s="29" t="s">
        <v>7041</v>
      </c>
      <c r="D276" s="30">
        <v>45658.0</v>
      </c>
      <c r="E276" s="30">
        <v>46022.0</v>
      </c>
      <c r="F276" s="31">
        <v>0.0</v>
      </c>
      <c r="G276" s="31">
        <v>1.0</v>
      </c>
      <c r="H276" s="35" t="s">
        <v>7045</v>
      </c>
      <c r="I276" s="30">
        <v>46023.0</v>
      </c>
      <c r="J276" s="30">
        <v>46387.0</v>
      </c>
      <c r="K276" s="31">
        <v>0.0</v>
      </c>
      <c r="L276" s="31">
        <v>1.0</v>
      </c>
      <c r="M276" s="35" t="s">
        <v>7045</v>
      </c>
      <c r="N276" s="30">
        <v>46388.0</v>
      </c>
      <c r="O276" s="30">
        <v>46752.0</v>
      </c>
      <c r="P276" s="31">
        <v>0.0</v>
      </c>
      <c r="Q276" s="31">
        <v>1.0</v>
      </c>
      <c r="R276" s="35" t="s">
        <v>7045</v>
      </c>
      <c r="S276" s="30">
        <v>46753.0</v>
      </c>
      <c r="T276" s="30">
        <v>47118.0</v>
      </c>
      <c r="U276" s="31">
        <v>0.0</v>
      </c>
      <c r="V276" s="31">
        <v>1.0</v>
      </c>
      <c r="W276" s="35" t="s">
        <v>7045</v>
      </c>
      <c r="X276" s="30">
        <v>47119.0</v>
      </c>
      <c r="Y276" s="30">
        <v>47483.0</v>
      </c>
      <c r="Z276" s="31">
        <v>0.0</v>
      </c>
      <c r="AA276" s="31">
        <v>1.0</v>
      </c>
      <c r="AB276" s="35" t="s">
        <v>7045</v>
      </c>
      <c r="AC276" s="30">
        <v>47484.0</v>
      </c>
      <c r="AD276" s="30">
        <v>47848.0</v>
      </c>
      <c r="AE276" s="31">
        <v>0.0</v>
      </c>
      <c r="AF276" s="31">
        <v>1.0</v>
      </c>
      <c r="AG276" s="35" t="s">
        <v>7045</v>
      </c>
    </row>
    <row r="277" ht="14.25" customHeight="1">
      <c r="A277" s="28" t="s">
        <v>2173</v>
      </c>
      <c r="B277" s="29" t="s">
        <v>2174</v>
      </c>
      <c r="C277" s="29" t="s">
        <v>7041</v>
      </c>
      <c r="D277" s="30">
        <v>45658.0</v>
      </c>
      <c r="E277" s="30">
        <v>46022.0</v>
      </c>
      <c r="F277" s="31">
        <v>0.0</v>
      </c>
      <c r="G277" s="31">
        <v>1.0</v>
      </c>
      <c r="H277" s="35" t="s">
        <v>7045</v>
      </c>
      <c r="I277" s="30">
        <v>46023.0</v>
      </c>
      <c r="J277" s="30">
        <v>46387.0</v>
      </c>
      <c r="K277" s="31">
        <v>0.0</v>
      </c>
      <c r="L277" s="31">
        <v>1.0</v>
      </c>
      <c r="M277" s="35" t="s">
        <v>7045</v>
      </c>
      <c r="N277" s="30">
        <v>46388.0</v>
      </c>
      <c r="O277" s="30">
        <v>46752.0</v>
      </c>
      <c r="P277" s="31">
        <v>0.0</v>
      </c>
      <c r="Q277" s="31">
        <v>1.0</v>
      </c>
      <c r="R277" s="35" t="s">
        <v>7045</v>
      </c>
      <c r="S277" s="30">
        <v>46753.0</v>
      </c>
      <c r="T277" s="30">
        <v>47118.0</v>
      </c>
      <c r="U277" s="31">
        <v>0.0</v>
      </c>
      <c r="V277" s="31">
        <v>1.0</v>
      </c>
      <c r="W277" s="35" t="s">
        <v>7045</v>
      </c>
      <c r="X277" s="30">
        <v>47119.0</v>
      </c>
      <c r="Y277" s="30">
        <v>47483.0</v>
      </c>
      <c r="Z277" s="31">
        <v>0.0</v>
      </c>
      <c r="AA277" s="31">
        <v>1.0</v>
      </c>
      <c r="AB277" s="35" t="s">
        <v>7045</v>
      </c>
      <c r="AC277" s="30">
        <v>47484.0</v>
      </c>
      <c r="AD277" s="30">
        <v>47848.0</v>
      </c>
      <c r="AE277" s="31">
        <v>0.0</v>
      </c>
      <c r="AF277" s="31">
        <v>1.0</v>
      </c>
      <c r="AG277" s="35" t="s">
        <v>7045</v>
      </c>
    </row>
    <row r="278" ht="14.25" customHeight="1">
      <c r="A278" s="28" t="s">
        <v>2256</v>
      </c>
      <c r="B278" s="29" t="s">
        <v>2257</v>
      </c>
      <c r="C278" s="29" t="s">
        <v>7041</v>
      </c>
      <c r="D278" s="30">
        <v>45658.0</v>
      </c>
      <c r="E278" s="30">
        <v>46022.0</v>
      </c>
      <c r="F278" s="31">
        <v>0.0</v>
      </c>
      <c r="G278" s="31">
        <v>1.0</v>
      </c>
      <c r="H278" s="35" t="s">
        <v>7045</v>
      </c>
      <c r="I278" s="30">
        <v>46023.0</v>
      </c>
      <c r="J278" s="30">
        <v>46387.0</v>
      </c>
      <c r="K278" s="31">
        <v>0.0</v>
      </c>
      <c r="L278" s="31">
        <v>1.0</v>
      </c>
      <c r="M278" s="35" t="s">
        <v>7045</v>
      </c>
      <c r="N278" s="30">
        <v>46388.0</v>
      </c>
      <c r="O278" s="30">
        <v>46752.0</v>
      </c>
      <c r="P278" s="31">
        <v>0.0</v>
      </c>
      <c r="Q278" s="31">
        <v>1.0</v>
      </c>
      <c r="R278" s="35" t="s">
        <v>7045</v>
      </c>
      <c r="S278" s="30">
        <v>46753.0</v>
      </c>
      <c r="T278" s="30">
        <v>47118.0</v>
      </c>
      <c r="U278" s="31">
        <v>0.0</v>
      </c>
      <c r="V278" s="31">
        <v>1.0</v>
      </c>
      <c r="W278" s="35" t="s">
        <v>7045</v>
      </c>
      <c r="X278" s="30">
        <v>47119.0</v>
      </c>
      <c r="Y278" s="30">
        <v>47483.0</v>
      </c>
      <c r="Z278" s="31">
        <v>0.0</v>
      </c>
      <c r="AA278" s="31">
        <v>1.0</v>
      </c>
      <c r="AB278" s="35" t="s">
        <v>7045</v>
      </c>
      <c r="AC278" s="30">
        <v>47484.0</v>
      </c>
      <c r="AD278" s="30">
        <v>47848.0</v>
      </c>
      <c r="AE278" s="31">
        <v>0.0</v>
      </c>
      <c r="AF278" s="31">
        <v>1.0</v>
      </c>
      <c r="AG278" s="35" t="s">
        <v>7045</v>
      </c>
    </row>
    <row r="279" ht="14.25" customHeight="1">
      <c r="A279" s="28" t="s">
        <v>2265</v>
      </c>
      <c r="B279" s="29" t="s">
        <v>2266</v>
      </c>
      <c r="C279" s="29" t="s">
        <v>7041</v>
      </c>
      <c r="D279" s="30">
        <v>45658.0</v>
      </c>
      <c r="E279" s="30">
        <v>46022.0</v>
      </c>
      <c r="F279" s="31">
        <v>0.0</v>
      </c>
      <c r="G279" s="31">
        <v>1.0</v>
      </c>
      <c r="H279" s="35" t="s">
        <v>7045</v>
      </c>
      <c r="I279" s="30">
        <v>46023.0</v>
      </c>
      <c r="J279" s="30">
        <v>46387.0</v>
      </c>
      <c r="K279" s="31">
        <v>0.0</v>
      </c>
      <c r="L279" s="31">
        <v>1.0</v>
      </c>
      <c r="M279" s="35" t="s">
        <v>7045</v>
      </c>
      <c r="N279" s="30">
        <v>46388.0</v>
      </c>
      <c r="O279" s="30">
        <v>46752.0</v>
      </c>
      <c r="P279" s="31">
        <v>0.0</v>
      </c>
      <c r="Q279" s="31">
        <v>1.0</v>
      </c>
      <c r="R279" s="35" t="s">
        <v>7045</v>
      </c>
      <c r="S279" s="30">
        <v>46753.0</v>
      </c>
      <c r="T279" s="30">
        <v>47118.0</v>
      </c>
      <c r="U279" s="31">
        <v>0.0</v>
      </c>
      <c r="V279" s="31">
        <v>1.0</v>
      </c>
      <c r="W279" s="35" t="s">
        <v>7045</v>
      </c>
      <c r="X279" s="30">
        <v>47119.0</v>
      </c>
      <c r="Y279" s="30">
        <v>47483.0</v>
      </c>
      <c r="Z279" s="31">
        <v>0.0</v>
      </c>
      <c r="AA279" s="31">
        <v>1.0</v>
      </c>
      <c r="AB279" s="35" t="s">
        <v>7045</v>
      </c>
      <c r="AC279" s="30">
        <v>47484.0</v>
      </c>
      <c r="AD279" s="30">
        <v>47848.0</v>
      </c>
      <c r="AE279" s="31">
        <v>0.0</v>
      </c>
      <c r="AF279" s="31">
        <v>1.0</v>
      </c>
      <c r="AG279" s="35" t="s">
        <v>7045</v>
      </c>
    </row>
    <row r="280" ht="14.25" customHeight="1">
      <c r="A280" s="28" t="s">
        <v>2523</v>
      </c>
      <c r="B280" s="29" t="s">
        <v>2524</v>
      </c>
      <c r="C280" s="29" t="s">
        <v>7041</v>
      </c>
      <c r="D280" s="30">
        <v>45658.0</v>
      </c>
      <c r="E280" s="30">
        <v>46022.0</v>
      </c>
      <c r="F280" s="31">
        <v>0.0</v>
      </c>
      <c r="G280" s="31">
        <v>1.0</v>
      </c>
      <c r="H280" s="35" t="s">
        <v>7045</v>
      </c>
      <c r="I280" s="30">
        <v>46023.0</v>
      </c>
      <c r="J280" s="30">
        <v>46387.0</v>
      </c>
      <c r="K280" s="31">
        <v>0.0</v>
      </c>
      <c r="L280" s="31">
        <v>1.0</v>
      </c>
      <c r="M280" s="35" t="s">
        <v>7045</v>
      </c>
      <c r="N280" s="30">
        <v>46388.0</v>
      </c>
      <c r="O280" s="30">
        <v>46752.0</v>
      </c>
      <c r="P280" s="31">
        <v>0.0</v>
      </c>
      <c r="Q280" s="31">
        <v>1.0</v>
      </c>
      <c r="R280" s="35" t="s">
        <v>7045</v>
      </c>
      <c r="S280" s="30">
        <v>46753.0</v>
      </c>
      <c r="T280" s="30">
        <v>47118.0</v>
      </c>
      <c r="U280" s="31">
        <v>0.0</v>
      </c>
      <c r="V280" s="31">
        <v>1.0</v>
      </c>
      <c r="W280" s="35" t="s">
        <v>7045</v>
      </c>
      <c r="X280" s="30">
        <v>47119.0</v>
      </c>
      <c r="Y280" s="30">
        <v>47483.0</v>
      </c>
      <c r="Z280" s="31">
        <v>0.0</v>
      </c>
      <c r="AA280" s="31">
        <v>1.0</v>
      </c>
      <c r="AB280" s="35" t="s">
        <v>7045</v>
      </c>
      <c r="AC280" s="30">
        <v>47484.0</v>
      </c>
      <c r="AD280" s="30">
        <v>47848.0</v>
      </c>
      <c r="AE280" s="31">
        <v>0.0</v>
      </c>
      <c r="AF280" s="31">
        <v>1.0</v>
      </c>
      <c r="AG280" s="35" t="s">
        <v>7045</v>
      </c>
    </row>
    <row r="281" ht="14.25" customHeight="1">
      <c r="A281" s="28" t="s">
        <v>2541</v>
      </c>
      <c r="B281" s="29" t="s">
        <v>2542</v>
      </c>
      <c r="C281" s="29" t="s">
        <v>7041</v>
      </c>
      <c r="D281" s="30">
        <v>45658.0</v>
      </c>
      <c r="E281" s="30">
        <v>46022.0</v>
      </c>
      <c r="F281" s="31">
        <v>0.0</v>
      </c>
      <c r="G281" s="31">
        <v>1.0</v>
      </c>
      <c r="H281" s="35" t="s">
        <v>7045</v>
      </c>
      <c r="I281" s="30">
        <v>46023.0</v>
      </c>
      <c r="J281" s="30">
        <v>46387.0</v>
      </c>
      <c r="K281" s="31">
        <v>0.0</v>
      </c>
      <c r="L281" s="31">
        <v>1.0</v>
      </c>
      <c r="M281" s="35" t="s">
        <v>7045</v>
      </c>
      <c r="N281" s="30">
        <v>46388.0</v>
      </c>
      <c r="O281" s="30">
        <v>46752.0</v>
      </c>
      <c r="P281" s="31">
        <v>0.0</v>
      </c>
      <c r="Q281" s="31">
        <v>1.0</v>
      </c>
      <c r="R281" s="35" t="s">
        <v>7045</v>
      </c>
      <c r="S281" s="30">
        <v>46753.0</v>
      </c>
      <c r="T281" s="30">
        <v>47118.0</v>
      </c>
      <c r="U281" s="31">
        <v>0.0</v>
      </c>
      <c r="V281" s="31">
        <v>1.0</v>
      </c>
      <c r="W281" s="35" t="s">
        <v>7045</v>
      </c>
      <c r="X281" s="30">
        <v>47119.0</v>
      </c>
      <c r="Y281" s="30">
        <v>47483.0</v>
      </c>
      <c r="Z281" s="31">
        <v>0.0</v>
      </c>
      <c r="AA281" s="31">
        <v>1.0</v>
      </c>
      <c r="AB281" s="35" t="s">
        <v>7045</v>
      </c>
      <c r="AC281" s="30">
        <v>47484.0</v>
      </c>
      <c r="AD281" s="30">
        <v>47848.0</v>
      </c>
      <c r="AE281" s="31">
        <v>0.0</v>
      </c>
      <c r="AF281" s="31">
        <v>1.0</v>
      </c>
      <c r="AG281" s="35" t="s">
        <v>7045</v>
      </c>
    </row>
    <row r="282" ht="14.25" customHeight="1">
      <c r="A282" s="28" t="s">
        <v>2553</v>
      </c>
      <c r="B282" s="29" t="s">
        <v>2554</v>
      </c>
      <c r="C282" s="29" t="s">
        <v>7041</v>
      </c>
      <c r="D282" s="30">
        <v>45658.0</v>
      </c>
      <c r="E282" s="30">
        <v>46022.0</v>
      </c>
      <c r="F282" s="31">
        <v>0.0</v>
      </c>
      <c r="G282" s="31">
        <v>1.0</v>
      </c>
      <c r="H282" s="35" t="s">
        <v>7045</v>
      </c>
      <c r="I282" s="30">
        <v>46023.0</v>
      </c>
      <c r="J282" s="30">
        <v>46387.0</v>
      </c>
      <c r="K282" s="31">
        <v>0.0</v>
      </c>
      <c r="L282" s="31">
        <v>1.0</v>
      </c>
      <c r="M282" s="35" t="s">
        <v>7045</v>
      </c>
      <c r="N282" s="30">
        <v>46388.0</v>
      </c>
      <c r="O282" s="30">
        <v>46752.0</v>
      </c>
      <c r="P282" s="31">
        <v>0.0</v>
      </c>
      <c r="Q282" s="31">
        <v>1.0</v>
      </c>
      <c r="R282" s="35" t="s">
        <v>7045</v>
      </c>
      <c r="S282" s="30">
        <v>46753.0</v>
      </c>
      <c r="T282" s="30">
        <v>47118.0</v>
      </c>
      <c r="U282" s="31">
        <v>0.0</v>
      </c>
      <c r="V282" s="31">
        <v>1.0</v>
      </c>
      <c r="W282" s="35" t="s">
        <v>7045</v>
      </c>
      <c r="X282" s="30">
        <v>47119.0</v>
      </c>
      <c r="Y282" s="30">
        <v>47483.0</v>
      </c>
      <c r="Z282" s="31">
        <v>0.0</v>
      </c>
      <c r="AA282" s="31">
        <v>1.0</v>
      </c>
      <c r="AB282" s="35" t="s">
        <v>7045</v>
      </c>
      <c r="AC282" s="30">
        <v>47484.0</v>
      </c>
      <c r="AD282" s="30">
        <v>47848.0</v>
      </c>
      <c r="AE282" s="31">
        <v>0.0</v>
      </c>
      <c r="AF282" s="31">
        <v>1.0</v>
      </c>
      <c r="AG282" s="35" t="s">
        <v>7045</v>
      </c>
    </row>
    <row r="283" ht="14.25" customHeight="1">
      <c r="A283" s="28" t="s">
        <v>2574</v>
      </c>
      <c r="B283" s="29" t="s">
        <v>2575</v>
      </c>
      <c r="C283" s="29" t="s">
        <v>7041</v>
      </c>
      <c r="D283" s="30">
        <v>45658.0</v>
      </c>
      <c r="E283" s="30">
        <v>46022.0</v>
      </c>
      <c r="F283" s="31">
        <v>0.0</v>
      </c>
      <c r="G283" s="31">
        <v>1.0</v>
      </c>
      <c r="H283" s="35" t="s">
        <v>7045</v>
      </c>
      <c r="I283" s="30">
        <v>46023.0</v>
      </c>
      <c r="J283" s="30">
        <v>46387.0</v>
      </c>
      <c r="K283" s="31">
        <v>0.0</v>
      </c>
      <c r="L283" s="31">
        <v>1.0</v>
      </c>
      <c r="M283" s="35" t="s">
        <v>7045</v>
      </c>
      <c r="N283" s="30">
        <v>46388.0</v>
      </c>
      <c r="O283" s="30">
        <v>46752.0</v>
      </c>
      <c r="P283" s="31">
        <v>0.0</v>
      </c>
      <c r="Q283" s="31">
        <v>1.0</v>
      </c>
      <c r="R283" s="35" t="s">
        <v>7045</v>
      </c>
      <c r="S283" s="30">
        <v>46753.0</v>
      </c>
      <c r="T283" s="30">
        <v>47118.0</v>
      </c>
      <c r="U283" s="31">
        <v>0.0</v>
      </c>
      <c r="V283" s="31">
        <v>1.0</v>
      </c>
      <c r="W283" s="35" t="s">
        <v>7045</v>
      </c>
      <c r="X283" s="30">
        <v>47119.0</v>
      </c>
      <c r="Y283" s="30">
        <v>47483.0</v>
      </c>
      <c r="Z283" s="31">
        <v>0.0</v>
      </c>
      <c r="AA283" s="31">
        <v>1.0</v>
      </c>
      <c r="AB283" s="35" t="s">
        <v>7045</v>
      </c>
      <c r="AC283" s="30">
        <v>47484.0</v>
      </c>
      <c r="AD283" s="30">
        <v>47848.0</v>
      </c>
      <c r="AE283" s="31">
        <v>0.0</v>
      </c>
      <c r="AF283" s="31">
        <v>1.0</v>
      </c>
      <c r="AG283" s="35" t="s">
        <v>7045</v>
      </c>
    </row>
    <row r="284" ht="14.25" customHeight="1">
      <c r="A284" s="28" t="s">
        <v>2592</v>
      </c>
      <c r="B284" s="29" t="s">
        <v>2593</v>
      </c>
      <c r="C284" s="29" t="s">
        <v>7041</v>
      </c>
      <c r="D284" s="30">
        <v>45658.0</v>
      </c>
      <c r="E284" s="30">
        <v>46022.0</v>
      </c>
      <c r="F284" s="31">
        <v>0.0</v>
      </c>
      <c r="G284" s="31">
        <v>1.0</v>
      </c>
      <c r="H284" s="35" t="s">
        <v>7045</v>
      </c>
      <c r="I284" s="30">
        <v>46023.0</v>
      </c>
      <c r="J284" s="30">
        <v>46387.0</v>
      </c>
      <c r="K284" s="31">
        <v>0.0</v>
      </c>
      <c r="L284" s="31">
        <v>1.0</v>
      </c>
      <c r="M284" s="35" t="s">
        <v>7045</v>
      </c>
      <c r="N284" s="30">
        <v>46388.0</v>
      </c>
      <c r="O284" s="30">
        <v>46752.0</v>
      </c>
      <c r="P284" s="31">
        <v>0.0</v>
      </c>
      <c r="Q284" s="31">
        <v>1.0</v>
      </c>
      <c r="R284" s="35" t="s">
        <v>7045</v>
      </c>
      <c r="S284" s="30">
        <v>46753.0</v>
      </c>
      <c r="T284" s="30">
        <v>47118.0</v>
      </c>
      <c r="U284" s="31">
        <v>0.0</v>
      </c>
      <c r="V284" s="31">
        <v>1.0</v>
      </c>
      <c r="W284" s="35" t="s">
        <v>7045</v>
      </c>
      <c r="X284" s="30">
        <v>47119.0</v>
      </c>
      <c r="Y284" s="30">
        <v>47483.0</v>
      </c>
      <c r="Z284" s="31">
        <v>0.0</v>
      </c>
      <c r="AA284" s="31">
        <v>1.0</v>
      </c>
      <c r="AB284" s="35" t="s">
        <v>7045</v>
      </c>
      <c r="AC284" s="30">
        <v>47484.0</v>
      </c>
      <c r="AD284" s="30">
        <v>47848.0</v>
      </c>
      <c r="AE284" s="31">
        <v>0.0</v>
      </c>
      <c r="AF284" s="31">
        <v>1.0</v>
      </c>
      <c r="AG284" s="35" t="s">
        <v>7045</v>
      </c>
    </row>
    <row r="285" ht="14.25" customHeight="1">
      <c r="A285" s="28" t="s">
        <v>2595</v>
      </c>
      <c r="B285" s="29" t="s">
        <v>2596</v>
      </c>
      <c r="C285" s="29" t="s">
        <v>7041</v>
      </c>
      <c r="D285" s="30">
        <v>45658.0</v>
      </c>
      <c r="E285" s="30">
        <v>46022.0</v>
      </c>
      <c r="F285" s="31">
        <v>0.0</v>
      </c>
      <c r="G285" s="31">
        <v>1.0</v>
      </c>
      <c r="H285" s="35" t="s">
        <v>7045</v>
      </c>
      <c r="I285" s="30">
        <v>46023.0</v>
      </c>
      <c r="J285" s="30">
        <v>46387.0</v>
      </c>
      <c r="K285" s="31">
        <v>0.0</v>
      </c>
      <c r="L285" s="31">
        <v>1.0</v>
      </c>
      <c r="M285" s="35" t="s">
        <v>7045</v>
      </c>
      <c r="N285" s="30">
        <v>46388.0</v>
      </c>
      <c r="O285" s="30">
        <v>46752.0</v>
      </c>
      <c r="P285" s="31">
        <v>0.0</v>
      </c>
      <c r="Q285" s="31">
        <v>1.0</v>
      </c>
      <c r="R285" s="35" t="s">
        <v>7045</v>
      </c>
      <c r="S285" s="30">
        <v>46753.0</v>
      </c>
      <c r="T285" s="30">
        <v>47118.0</v>
      </c>
      <c r="U285" s="31">
        <v>0.0</v>
      </c>
      <c r="V285" s="31">
        <v>1.0</v>
      </c>
      <c r="W285" s="35" t="s">
        <v>7045</v>
      </c>
      <c r="X285" s="30">
        <v>47119.0</v>
      </c>
      <c r="Y285" s="30">
        <v>47483.0</v>
      </c>
      <c r="Z285" s="31">
        <v>0.0</v>
      </c>
      <c r="AA285" s="31">
        <v>1.0</v>
      </c>
      <c r="AB285" s="35" t="s">
        <v>7045</v>
      </c>
      <c r="AC285" s="30">
        <v>47484.0</v>
      </c>
      <c r="AD285" s="30">
        <v>47848.0</v>
      </c>
      <c r="AE285" s="31">
        <v>0.0</v>
      </c>
      <c r="AF285" s="31">
        <v>1.0</v>
      </c>
      <c r="AG285" s="35" t="s">
        <v>7045</v>
      </c>
    </row>
    <row r="286" ht="14.25" customHeight="1">
      <c r="A286" s="28" t="s">
        <v>2620</v>
      </c>
      <c r="B286" s="29" t="s">
        <v>2621</v>
      </c>
      <c r="C286" s="29" t="s">
        <v>7041</v>
      </c>
      <c r="D286" s="30">
        <v>45658.0</v>
      </c>
      <c r="E286" s="30">
        <v>46022.0</v>
      </c>
      <c r="F286" s="31">
        <v>0.0</v>
      </c>
      <c r="G286" s="31">
        <v>1.0</v>
      </c>
      <c r="H286" s="35" t="s">
        <v>7045</v>
      </c>
      <c r="I286" s="30">
        <v>46023.0</v>
      </c>
      <c r="J286" s="30">
        <v>46387.0</v>
      </c>
      <c r="K286" s="31">
        <v>0.0</v>
      </c>
      <c r="L286" s="31">
        <v>1.0</v>
      </c>
      <c r="M286" s="35" t="s">
        <v>7045</v>
      </c>
      <c r="N286" s="30">
        <v>46388.0</v>
      </c>
      <c r="O286" s="30">
        <v>46752.0</v>
      </c>
      <c r="P286" s="31">
        <v>0.0</v>
      </c>
      <c r="Q286" s="31">
        <v>1.0</v>
      </c>
      <c r="R286" s="35" t="s">
        <v>7045</v>
      </c>
      <c r="S286" s="30">
        <v>46753.0</v>
      </c>
      <c r="T286" s="30">
        <v>47118.0</v>
      </c>
      <c r="U286" s="31">
        <v>0.0</v>
      </c>
      <c r="V286" s="31">
        <v>1.0</v>
      </c>
      <c r="W286" s="35" t="s">
        <v>7045</v>
      </c>
      <c r="X286" s="30">
        <v>47119.0</v>
      </c>
      <c r="Y286" s="30">
        <v>47483.0</v>
      </c>
      <c r="Z286" s="31">
        <v>0.0</v>
      </c>
      <c r="AA286" s="31">
        <v>1.0</v>
      </c>
      <c r="AB286" s="35" t="s">
        <v>7045</v>
      </c>
      <c r="AC286" s="30">
        <v>47484.0</v>
      </c>
      <c r="AD286" s="30">
        <v>47848.0</v>
      </c>
      <c r="AE286" s="31">
        <v>0.0</v>
      </c>
      <c r="AF286" s="31">
        <v>1.0</v>
      </c>
      <c r="AG286" s="35" t="s">
        <v>7045</v>
      </c>
    </row>
    <row r="287" ht="14.25" customHeight="1">
      <c r="A287" s="28" t="s">
        <v>2709</v>
      </c>
      <c r="B287" s="29" t="s">
        <v>2710</v>
      </c>
      <c r="C287" s="29" t="s">
        <v>7041</v>
      </c>
      <c r="D287" s="30">
        <v>45658.0</v>
      </c>
      <c r="E287" s="30">
        <v>46022.0</v>
      </c>
      <c r="F287" s="31">
        <v>0.0</v>
      </c>
      <c r="G287" s="31">
        <v>1.0</v>
      </c>
      <c r="H287" s="35" t="s">
        <v>7045</v>
      </c>
      <c r="I287" s="30">
        <v>46023.0</v>
      </c>
      <c r="J287" s="30">
        <v>46387.0</v>
      </c>
      <c r="K287" s="31">
        <v>0.0</v>
      </c>
      <c r="L287" s="31">
        <v>1.0</v>
      </c>
      <c r="M287" s="35" t="s">
        <v>7045</v>
      </c>
      <c r="N287" s="30">
        <v>46388.0</v>
      </c>
      <c r="O287" s="30">
        <v>46752.0</v>
      </c>
      <c r="P287" s="31">
        <v>0.0</v>
      </c>
      <c r="Q287" s="31">
        <v>1.0</v>
      </c>
      <c r="R287" s="35" t="s">
        <v>7045</v>
      </c>
      <c r="S287" s="30">
        <v>46753.0</v>
      </c>
      <c r="T287" s="30">
        <v>47118.0</v>
      </c>
      <c r="U287" s="31">
        <v>0.0</v>
      </c>
      <c r="V287" s="31">
        <v>1.0</v>
      </c>
      <c r="W287" s="35" t="s">
        <v>7045</v>
      </c>
      <c r="X287" s="30">
        <v>47119.0</v>
      </c>
      <c r="Y287" s="30">
        <v>47483.0</v>
      </c>
      <c r="Z287" s="31">
        <v>0.0</v>
      </c>
      <c r="AA287" s="31">
        <v>1.0</v>
      </c>
      <c r="AB287" s="35" t="s">
        <v>7045</v>
      </c>
      <c r="AC287" s="30">
        <v>47484.0</v>
      </c>
      <c r="AD287" s="30">
        <v>47848.0</v>
      </c>
      <c r="AE287" s="31">
        <v>0.0</v>
      </c>
      <c r="AF287" s="31">
        <v>1.0</v>
      </c>
      <c r="AG287" s="35" t="s">
        <v>7045</v>
      </c>
    </row>
    <row r="288" ht="14.25" customHeight="1">
      <c r="A288" s="28" t="s">
        <v>2781</v>
      </c>
      <c r="B288" s="29" t="s">
        <v>2782</v>
      </c>
      <c r="C288" s="29" t="s">
        <v>7041</v>
      </c>
      <c r="D288" s="30">
        <v>45658.0</v>
      </c>
      <c r="E288" s="30">
        <v>46022.0</v>
      </c>
      <c r="F288" s="31">
        <v>0.0</v>
      </c>
      <c r="G288" s="31">
        <v>1.0</v>
      </c>
      <c r="H288" s="35" t="s">
        <v>7045</v>
      </c>
      <c r="I288" s="30">
        <v>46023.0</v>
      </c>
      <c r="J288" s="30">
        <v>46387.0</v>
      </c>
      <c r="K288" s="31">
        <v>0.0</v>
      </c>
      <c r="L288" s="31">
        <v>1.0</v>
      </c>
      <c r="M288" s="35" t="s">
        <v>7045</v>
      </c>
      <c r="N288" s="30">
        <v>46388.0</v>
      </c>
      <c r="O288" s="30">
        <v>46752.0</v>
      </c>
      <c r="P288" s="31">
        <v>0.0</v>
      </c>
      <c r="Q288" s="31">
        <v>1.0</v>
      </c>
      <c r="R288" s="35" t="s">
        <v>7045</v>
      </c>
      <c r="S288" s="30">
        <v>46753.0</v>
      </c>
      <c r="T288" s="30">
        <v>47118.0</v>
      </c>
      <c r="U288" s="31">
        <v>0.0</v>
      </c>
      <c r="V288" s="31">
        <v>1.0</v>
      </c>
      <c r="W288" s="35" t="s">
        <v>7045</v>
      </c>
      <c r="X288" s="30">
        <v>47119.0</v>
      </c>
      <c r="Y288" s="30">
        <v>47483.0</v>
      </c>
      <c r="Z288" s="31">
        <v>0.0</v>
      </c>
      <c r="AA288" s="31">
        <v>1.0</v>
      </c>
      <c r="AB288" s="35" t="s">
        <v>7045</v>
      </c>
      <c r="AC288" s="30">
        <v>47484.0</v>
      </c>
      <c r="AD288" s="30">
        <v>47848.0</v>
      </c>
      <c r="AE288" s="31">
        <v>0.0</v>
      </c>
      <c r="AF288" s="31">
        <v>1.0</v>
      </c>
      <c r="AG288" s="35" t="s">
        <v>7045</v>
      </c>
    </row>
    <row r="289" ht="14.25" customHeight="1">
      <c r="A289" s="28" t="s">
        <v>2948</v>
      </c>
      <c r="B289" s="29" t="s">
        <v>2949</v>
      </c>
      <c r="C289" s="29" t="s">
        <v>7041</v>
      </c>
      <c r="D289" s="30">
        <v>45658.0</v>
      </c>
      <c r="E289" s="30">
        <v>46022.0</v>
      </c>
      <c r="F289" s="31">
        <v>0.0</v>
      </c>
      <c r="G289" s="31">
        <v>1.0</v>
      </c>
      <c r="H289" s="35" t="s">
        <v>7045</v>
      </c>
      <c r="I289" s="30">
        <v>46023.0</v>
      </c>
      <c r="J289" s="30">
        <v>46387.0</v>
      </c>
      <c r="K289" s="31">
        <v>0.0</v>
      </c>
      <c r="L289" s="31">
        <v>1.0</v>
      </c>
      <c r="M289" s="35" t="s">
        <v>7045</v>
      </c>
      <c r="N289" s="30">
        <v>46388.0</v>
      </c>
      <c r="O289" s="30">
        <v>46752.0</v>
      </c>
      <c r="P289" s="31">
        <v>0.0</v>
      </c>
      <c r="Q289" s="31">
        <v>1.0</v>
      </c>
      <c r="R289" s="35" t="s">
        <v>7045</v>
      </c>
      <c r="S289" s="30">
        <v>46753.0</v>
      </c>
      <c r="T289" s="30">
        <v>47118.0</v>
      </c>
      <c r="U289" s="31">
        <v>0.0</v>
      </c>
      <c r="V289" s="31">
        <v>1.0</v>
      </c>
      <c r="W289" s="35" t="s">
        <v>7045</v>
      </c>
      <c r="X289" s="30">
        <v>47119.0</v>
      </c>
      <c r="Y289" s="30">
        <v>47483.0</v>
      </c>
      <c r="Z289" s="31">
        <v>0.0</v>
      </c>
      <c r="AA289" s="31">
        <v>1.0</v>
      </c>
      <c r="AB289" s="35" t="s">
        <v>7045</v>
      </c>
      <c r="AC289" s="30">
        <v>47484.0</v>
      </c>
      <c r="AD289" s="30">
        <v>47848.0</v>
      </c>
      <c r="AE289" s="31">
        <v>0.0</v>
      </c>
      <c r="AF289" s="31">
        <v>1.0</v>
      </c>
      <c r="AG289" s="35" t="s">
        <v>7045</v>
      </c>
    </row>
    <row r="290" ht="14.25" customHeight="1">
      <c r="A290" s="28" t="s">
        <v>2957</v>
      </c>
      <c r="B290" s="29" t="s">
        <v>2958</v>
      </c>
      <c r="C290" s="29" t="s">
        <v>7041</v>
      </c>
      <c r="D290" s="30">
        <v>45658.0</v>
      </c>
      <c r="E290" s="30">
        <v>46022.0</v>
      </c>
      <c r="F290" s="31">
        <v>0.0</v>
      </c>
      <c r="G290" s="31">
        <v>1.0</v>
      </c>
      <c r="H290" s="35" t="s">
        <v>7045</v>
      </c>
      <c r="I290" s="30">
        <v>46023.0</v>
      </c>
      <c r="J290" s="30">
        <v>46387.0</v>
      </c>
      <c r="K290" s="31">
        <v>0.0</v>
      </c>
      <c r="L290" s="31">
        <v>1.0</v>
      </c>
      <c r="M290" s="35" t="s">
        <v>7045</v>
      </c>
      <c r="N290" s="30">
        <v>46388.0</v>
      </c>
      <c r="O290" s="30">
        <v>46752.0</v>
      </c>
      <c r="P290" s="31">
        <v>0.0</v>
      </c>
      <c r="Q290" s="31">
        <v>1.0</v>
      </c>
      <c r="R290" s="35" t="s">
        <v>7045</v>
      </c>
      <c r="S290" s="30">
        <v>46753.0</v>
      </c>
      <c r="T290" s="30">
        <v>47118.0</v>
      </c>
      <c r="U290" s="31">
        <v>0.0</v>
      </c>
      <c r="V290" s="31">
        <v>1.0</v>
      </c>
      <c r="W290" s="35" t="s">
        <v>7045</v>
      </c>
      <c r="X290" s="30">
        <v>47119.0</v>
      </c>
      <c r="Y290" s="30">
        <v>47483.0</v>
      </c>
      <c r="Z290" s="31">
        <v>0.0</v>
      </c>
      <c r="AA290" s="31">
        <v>1.0</v>
      </c>
      <c r="AB290" s="35" t="s">
        <v>7045</v>
      </c>
      <c r="AC290" s="30">
        <v>47484.0</v>
      </c>
      <c r="AD290" s="30">
        <v>47848.0</v>
      </c>
      <c r="AE290" s="31">
        <v>0.0</v>
      </c>
      <c r="AF290" s="31">
        <v>1.0</v>
      </c>
      <c r="AG290" s="35" t="s">
        <v>7045</v>
      </c>
    </row>
    <row r="291" ht="14.25" customHeight="1">
      <c r="A291" s="28" t="s">
        <v>3189</v>
      </c>
      <c r="B291" s="29" t="s">
        <v>3190</v>
      </c>
      <c r="C291" s="29" t="s">
        <v>7041</v>
      </c>
      <c r="D291" s="30">
        <v>45658.0</v>
      </c>
      <c r="E291" s="30">
        <v>46022.0</v>
      </c>
      <c r="F291" s="31">
        <v>1.0</v>
      </c>
      <c r="G291" s="31">
        <v>1.0</v>
      </c>
      <c r="H291" s="33" t="s">
        <v>7042</v>
      </c>
      <c r="I291" s="30">
        <v>46023.0</v>
      </c>
      <c r="J291" s="30">
        <v>46387.0</v>
      </c>
      <c r="K291" s="31">
        <v>0.0</v>
      </c>
      <c r="L291" s="31">
        <v>1.0</v>
      </c>
      <c r="M291" s="35" t="s">
        <v>7045</v>
      </c>
      <c r="N291" s="30">
        <v>46388.0</v>
      </c>
      <c r="O291" s="30">
        <v>46752.0</v>
      </c>
      <c r="P291" s="31">
        <v>0.0</v>
      </c>
      <c r="Q291" s="31">
        <v>1.0</v>
      </c>
      <c r="R291" s="35" t="s">
        <v>7045</v>
      </c>
      <c r="S291" s="30">
        <v>46753.0</v>
      </c>
      <c r="T291" s="30">
        <v>47118.0</v>
      </c>
      <c r="U291" s="31">
        <v>0.0</v>
      </c>
      <c r="V291" s="31">
        <v>1.0</v>
      </c>
      <c r="W291" s="35" t="s">
        <v>7045</v>
      </c>
      <c r="X291" s="30">
        <v>47119.0</v>
      </c>
      <c r="Y291" s="30">
        <v>47483.0</v>
      </c>
      <c r="Z291" s="31">
        <v>0.0</v>
      </c>
      <c r="AA291" s="31">
        <v>1.0</v>
      </c>
      <c r="AB291" s="35" t="s">
        <v>7045</v>
      </c>
      <c r="AC291" s="30">
        <v>47484.0</v>
      </c>
      <c r="AD291" s="30">
        <v>47848.0</v>
      </c>
      <c r="AE291" s="31">
        <v>0.0</v>
      </c>
      <c r="AF291" s="31">
        <v>1.0</v>
      </c>
      <c r="AG291" s="35" t="s">
        <v>7045</v>
      </c>
    </row>
    <row r="292" ht="14.25" customHeight="1">
      <c r="A292" s="28" t="s">
        <v>3291</v>
      </c>
      <c r="B292" s="29" t="s">
        <v>3292</v>
      </c>
      <c r="C292" s="29" t="s">
        <v>7041</v>
      </c>
      <c r="D292" s="30">
        <v>45658.0</v>
      </c>
      <c r="E292" s="30">
        <v>46022.0</v>
      </c>
      <c r="F292" s="31">
        <v>0.0</v>
      </c>
      <c r="G292" s="31">
        <v>1.0</v>
      </c>
      <c r="H292" s="35" t="s">
        <v>7045</v>
      </c>
      <c r="I292" s="30">
        <v>46023.0</v>
      </c>
      <c r="J292" s="30">
        <v>46387.0</v>
      </c>
      <c r="K292" s="31">
        <v>0.0</v>
      </c>
      <c r="L292" s="31">
        <v>1.0</v>
      </c>
      <c r="M292" s="35" t="s">
        <v>7045</v>
      </c>
      <c r="N292" s="30">
        <v>46388.0</v>
      </c>
      <c r="O292" s="30">
        <v>46752.0</v>
      </c>
      <c r="P292" s="31">
        <v>0.0</v>
      </c>
      <c r="Q292" s="31">
        <v>1.0</v>
      </c>
      <c r="R292" s="35" t="s">
        <v>7045</v>
      </c>
      <c r="S292" s="30">
        <v>46753.0</v>
      </c>
      <c r="T292" s="30">
        <v>47118.0</v>
      </c>
      <c r="U292" s="31">
        <v>0.0</v>
      </c>
      <c r="V292" s="31">
        <v>1.0</v>
      </c>
      <c r="W292" s="35" t="s">
        <v>7045</v>
      </c>
      <c r="X292" s="30">
        <v>47119.0</v>
      </c>
      <c r="Y292" s="30">
        <v>47483.0</v>
      </c>
      <c r="Z292" s="31">
        <v>0.0</v>
      </c>
      <c r="AA292" s="31">
        <v>1.0</v>
      </c>
      <c r="AB292" s="35" t="s">
        <v>7045</v>
      </c>
      <c r="AC292" s="30">
        <v>47484.0</v>
      </c>
      <c r="AD292" s="30">
        <v>47848.0</v>
      </c>
      <c r="AE292" s="31">
        <v>0.0</v>
      </c>
      <c r="AF292" s="31">
        <v>1.0</v>
      </c>
      <c r="AG292" s="35" t="s">
        <v>7045</v>
      </c>
    </row>
    <row r="293" ht="14.25" customHeight="1">
      <c r="A293" s="28" t="s">
        <v>3326</v>
      </c>
      <c r="B293" s="29" t="s">
        <v>3327</v>
      </c>
      <c r="C293" s="29" t="s">
        <v>7041</v>
      </c>
      <c r="D293" s="30">
        <v>45658.0</v>
      </c>
      <c r="E293" s="30">
        <v>46022.0</v>
      </c>
      <c r="F293" s="31">
        <v>0.0</v>
      </c>
      <c r="G293" s="31">
        <v>1.0</v>
      </c>
      <c r="H293" s="35" t="s">
        <v>7045</v>
      </c>
      <c r="I293" s="30">
        <v>46023.0</v>
      </c>
      <c r="J293" s="30">
        <v>46387.0</v>
      </c>
      <c r="K293" s="31">
        <v>0.0</v>
      </c>
      <c r="L293" s="31">
        <v>1.0</v>
      </c>
      <c r="M293" s="35" t="s">
        <v>7045</v>
      </c>
      <c r="N293" s="30">
        <v>46388.0</v>
      </c>
      <c r="O293" s="30">
        <v>46752.0</v>
      </c>
      <c r="P293" s="31">
        <v>0.0</v>
      </c>
      <c r="Q293" s="31">
        <v>1.0</v>
      </c>
      <c r="R293" s="35" t="s">
        <v>7045</v>
      </c>
      <c r="S293" s="30">
        <v>46753.0</v>
      </c>
      <c r="T293" s="30">
        <v>47118.0</v>
      </c>
      <c r="U293" s="31">
        <v>0.0</v>
      </c>
      <c r="V293" s="31">
        <v>1.0</v>
      </c>
      <c r="W293" s="35" t="s">
        <v>7045</v>
      </c>
      <c r="X293" s="30">
        <v>47119.0</v>
      </c>
      <c r="Y293" s="30">
        <v>47483.0</v>
      </c>
      <c r="Z293" s="31">
        <v>0.0</v>
      </c>
      <c r="AA293" s="31">
        <v>1.0</v>
      </c>
      <c r="AB293" s="35" t="s">
        <v>7045</v>
      </c>
      <c r="AC293" s="30">
        <v>47484.0</v>
      </c>
      <c r="AD293" s="30">
        <v>47848.0</v>
      </c>
      <c r="AE293" s="31">
        <v>0.0</v>
      </c>
      <c r="AF293" s="31">
        <v>1.0</v>
      </c>
      <c r="AG293" s="35" t="s">
        <v>7045</v>
      </c>
    </row>
    <row r="294" ht="14.25" customHeight="1">
      <c r="A294" s="28" t="s">
        <v>3396</v>
      </c>
      <c r="B294" s="29" t="s">
        <v>3397</v>
      </c>
      <c r="C294" s="29" t="s">
        <v>7041</v>
      </c>
      <c r="D294" s="30">
        <v>45658.0</v>
      </c>
      <c r="E294" s="30">
        <v>46022.0</v>
      </c>
      <c r="F294" s="31">
        <v>0.0</v>
      </c>
      <c r="G294" s="31">
        <v>1.0</v>
      </c>
      <c r="H294" s="35" t="s">
        <v>7045</v>
      </c>
      <c r="I294" s="30">
        <v>46023.0</v>
      </c>
      <c r="J294" s="30">
        <v>46387.0</v>
      </c>
      <c r="K294" s="31">
        <v>0.0</v>
      </c>
      <c r="L294" s="31">
        <v>1.0</v>
      </c>
      <c r="M294" s="35" t="s">
        <v>7045</v>
      </c>
      <c r="N294" s="30">
        <v>46388.0</v>
      </c>
      <c r="O294" s="30">
        <v>46752.0</v>
      </c>
      <c r="P294" s="31">
        <v>0.0</v>
      </c>
      <c r="Q294" s="31">
        <v>1.0</v>
      </c>
      <c r="R294" s="35" t="s">
        <v>7045</v>
      </c>
      <c r="S294" s="30">
        <v>46753.0</v>
      </c>
      <c r="T294" s="30">
        <v>47118.0</v>
      </c>
      <c r="U294" s="31">
        <v>0.0</v>
      </c>
      <c r="V294" s="31">
        <v>1.0</v>
      </c>
      <c r="W294" s="35" t="s">
        <v>7045</v>
      </c>
      <c r="X294" s="30">
        <v>47119.0</v>
      </c>
      <c r="Y294" s="30">
        <v>47483.0</v>
      </c>
      <c r="Z294" s="31">
        <v>0.0</v>
      </c>
      <c r="AA294" s="31">
        <v>1.0</v>
      </c>
      <c r="AB294" s="35" t="s">
        <v>7045</v>
      </c>
      <c r="AC294" s="30">
        <v>47484.0</v>
      </c>
      <c r="AD294" s="30">
        <v>47848.0</v>
      </c>
      <c r="AE294" s="31">
        <v>0.0</v>
      </c>
      <c r="AF294" s="31">
        <v>1.0</v>
      </c>
      <c r="AG294" s="35" t="s">
        <v>7045</v>
      </c>
    </row>
    <row r="295" ht="14.25" customHeight="1">
      <c r="A295" s="28" t="s">
        <v>3403</v>
      </c>
      <c r="B295" s="29" t="s">
        <v>3404</v>
      </c>
      <c r="C295" s="29" t="s">
        <v>7041</v>
      </c>
      <c r="D295" s="30">
        <v>45658.0</v>
      </c>
      <c r="E295" s="30">
        <v>46022.0</v>
      </c>
      <c r="F295" s="31">
        <v>0.0</v>
      </c>
      <c r="G295" s="31">
        <v>1.0</v>
      </c>
      <c r="H295" s="35" t="s">
        <v>7045</v>
      </c>
      <c r="I295" s="30">
        <v>46023.0</v>
      </c>
      <c r="J295" s="30">
        <v>46387.0</v>
      </c>
      <c r="K295" s="31">
        <v>0.0</v>
      </c>
      <c r="L295" s="31">
        <v>1.0</v>
      </c>
      <c r="M295" s="35" t="s">
        <v>7045</v>
      </c>
      <c r="N295" s="30">
        <v>46388.0</v>
      </c>
      <c r="O295" s="30">
        <v>46752.0</v>
      </c>
      <c r="P295" s="31">
        <v>0.0</v>
      </c>
      <c r="Q295" s="31">
        <v>1.0</v>
      </c>
      <c r="R295" s="35" t="s">
        <v>7045</v>
      </c>
      <c r="S295" s="30">
        <v>46753.0</v>
      </c>
      <c r="T295" s="30">
        <v>47118.0</v>
      </c>
      <c r="U295" s="31">
        <v>0.0</v>
      </c>
      <c r="V295" s="31">
        <v>1.0</v>
      </c>
      <c r="W295" s="35" t="s">
        <v>7045</v>
      </c>
      <c r="X295" s="30">
        <v>47119.0</v>
      </c>
      <c r="Y295" s="30">
        <v>47483.0</v>
      </c>
      <c r="Z295" s="31">
        <v>0.0</v>
      </c>
      <c r="AA295" s="31">
        <v>1.0</v>
      </c>
      <c r="AB295" s="35" t="s">
        <v>7045</v>
      </c>
      <c r="AC295" s="30">
        <v>47484.0</v>
      </c>
      <c r="AD295" s="30">
        <v>47848.0</v>
      </c>
      <c r="AE295" s="31">
        <v>0.0</v>
      </c>
      <c r="AF295" s="31">
        <v>1.0</v>
      </c>
      <c r="AG295" s="35" t="s">
        <v>7045</v>
      </c>
    </row>
    <row r="296" ht="14.25" customHeight="1">
      <c r="A296" s="28" t="s">
        <v>3469</v>
      </c>
      <c r="B296" s="29" t="s">
        <v>3470</v>
      </c>
      <c r="C296" s="29" t="s">
        <v>7041</v>
      </c>
      <c r="D296" s="30">
        <v>45658.0</v>
      </c>
      <c r="E296" s="30">
        <v>46022.0</v>
      </c>
      <c r="F296" s="31">
        <v>0.0</v>
      </c>
      <c r="G296" s="31">
        <v>1.0</v>
      </c>
      <c r="H296" s="35" t="s">
        <v>7045</v>
      </c>
      <c r="I296" s="30">
        <v>46023.0</v>
      </c>
      <c r="J296" s="30">
        <v>46387.0</v>
      </c>
      <c r="K296" s="31">
        <v>0.0</v>
      </c>
      <c r="L296" s="31">
        <v>1.0</v>
      </c>
      <c r="M296" s="35" t="s">
        <v>7045</v>
      </c>
      <c r="N296" s="30">
        <v>46388.0</v>
      </c>
      <c r="O296" s="30">
        <v>46752.0</v>
      </c>
      <c r="P296" s="31">
        <v>0.0</v>
      </c>
      <c r="Q296" s="31">
        <v>1.0</v>
      </c>
      <c r="R296" s="35" t="s">
        <v>7045</v>
      </c>
      <c r="S296" s="30">
        <v>46753.0</v>
      </c>
      <c r="T296" s="30">
        <v>47118.0</v>
      </c>
      <c r="U296" s="31">
        <v>0.0</v>
      </c>
      <c r="V296" s="31">
        <v>1.0</v>
      </c>
      <c r="W296" s="35" t="s">
        <v>7045</v>
      </c>
      <c r="X296" s="30">
        <v>47119.0</v>
      </c>
      <c r="Y296" s="30">
        <v>47483.0</v>
      </c>
      <c r="Z296" s="31">
        <v>0.0</v>
      </c>
      <c r="AA296" s="31">
        <v>1.0</v>
      </c>
      <c r="AB296" s="35" t="s">
        <v>7045</v>
      </c>
      <c r="AC296" s="30">
        <v>47484.0</v>
      </c>
      <c r="AD296" s="30">
        <v>47848.0</v>
      </c>
      <c r="AE296" s="31">
        <v>0.0</v>
      </c>
      <c r="AF296" s="31">
        <v>1.0</v>
      </c>
      <c r="AG296" s="35" t="s">
        <v>7045</v>
      </c>
    </row>
    <row r="297" ht="14.25" customHeight="1">
      <c r="A297" s="28" t="s">
        <v>3543</v>
      </c>
      <c r="B297" s="29" t="s">
        <v>3544</v>
      </c>
      <c r="C297" s="29" t="s">
        <v>7041</v>
      </c>
      <c r="D297" s="30">
        <v>45658.0</v>
      </c>
      <c r="E297" s="30">
        <v>46022.0</v>
      </c>
      <c r="F297" s="31">
        <v>0.0</v>
      </c>
      <c r="G297" s="31">
        <v>1.0</v>
      </c>
      <c r="H297" s="35" t="s">
        <v>7045</v>
      </c>
      <c r="I297" s="30">
        <v>46023.0</v>
      </c>
      <c r="J297" s="30">
        <v>46387.0</v>
      </c>
      <c r="K297" s="31">
        <v>0.0</v>
      </c>
      <c r="L297" s="31">
        <v>1.0</v>
      </c>
      <c r="M297" s="35" t="s">
        <v>7045</v>
      </c>
      <c r="N297" s="30">
        <v>46388.0</v>
      </c>
      <c r="O297" s="30">
        <v>46752.0</v>
      </c>
      <c r="P297" s="31">
        <v>0.0</v>
      </c>
      <c r="Q297" s="31">
        <v>1.0</v>
      </c>
      <c r="R297" s="35" t="s">
        <v>7045</v>
      </c>
      <c r="S297" s="30">
        <v>46753.0</v>
      </c>
      <c r="T297" s="30">
        <v>47118.0</v>
      </c>
      <c r="U297" s="31">
        <v>0.0</v>
      </c>
      <c r="V297" s="31">
        <v>1.0</v>
      </c>
      <c r="W297" s="35" t="s">
        <v>7045</v>
      </c>
      <c r="X297" s="30">
        <v>47119.0</v>
      </c>
      <c r="Y297" s="30">
        <v>47483.0</v>
      </c>
      <c r="Z297" s="31">
        <v>0.0</v>
      </c>
      <c r="AA297" s="31">
        <v>1.0</v>
      </c>
      <c r="AB297" s="35" t="s">
        <v>7045</v>
      </c>
      <c r="AC297" s="30">
        <v>47484.0</v>
      </c>
      <c r="AD297" s="30">
        <v>47848.0</v>
      </c>
      <c r="AE297" s="31">
        <v>0.0</v>
      </c>
      <c r="AF297" s="31">
        <v>1.0</v>
      </c>
      <c r="AG297" s="35" t="s">
        <v>7045</v>
      </c>
    </row>
    <row r="298" ht="14.25" customHeight="1">
      <c r="A298" s="28" t="s">
        <v>3555</v>
      </c>
      <c r="B298" s="29" t="s">
        <v>3556</v>
      </c>
      <c r="C298" s="29" t="s">
        <v>7041</v>
      </c>
      <c r="D298" s="30">
        <v>45658.0</v>
      </c>
      <c r="E298" s="30">
        <v>46022.0</v>
      </c>
      <c r="F298" s="31">
        <v>0.0</v>
      </c>
      <c r="G298" s="31">
        <v>1.0</v>
      </c>
      <c r="H298" s="35" t="s">
        <v>7045</v>
      </c>
      <c r="I298" s="30">
        <v>46023.0</v>
      </c>
      <c r="J298" s="30">
        <v>46387.0</v>
      </c>
      <c r="K298" s="31">
        <v>0.0</v>
      </c>
      <c r="L298" s="31">
        <v>1.0</v>
      </c>
      <c r="M298" s="35" t="s">
        <v>7045</v>
      </c>
      <c r="N298" s="30">
        <v>46388.0</v>
      </c>
      <c r="O298" s="30">
        <v>46752.0</v>
      </c>
      <c r="P298" s="31">
        <v>0.0</v>
      </c>
      <c r="Q298" s="31">
        <v>1.0</v>
      </c>
      <c r="R298" s="35" t="s">
        <v>7045</v>
      </c>
      <c r="S298" s="30">
        <v>46753.0</v>
      </c>
      <c r="T298" s="30">
        <v>47118.0</v>
      </c>
      <c r="U298" s="31">
        <v>0.0</v>
      </c>
      <c r="V298" s="31">
        <v>1.0</v>
      </c>
      <c r="W298" s="35" t="s">
        <v>7045</v>
      </c>
      <c r="X298" s="30">
        <v>47119.0</v>
      </c>
      <c r="Y298" s="30">
        <v>47483.0</v>
      </c>
      <c r="Z298" s="31">
        <v>0.0</v>
      </c>
      <c r="AA298" s="31">
        <v>1.0</v>
      </c>
      <c r="AB298" s="35" t="s">
        <v>7045</v>
      </c>
      <c r="AC298" s="30">
        <v>47484.0</v>
      </c>
      <c r="AD298" s="30">
        <v>47848.0</v>
      </c>
      <c r="AE298" s="31">
        <v>0.0</v>
      </c>
      <c r="AF298" s="31">
        <v>1.0</v>
      </c>
      <c r="AG298" s="35" t="s">
        <v>7045</v>
      </c>
    </row>
    <row r="299" ht="14.25" customHeight="1">
      <c r="A299" s="28" t="s">
        <v>3572</v>
      </c>
      <c r="B299" s="29" t="s">
        <v>3573</v>
      </c>
      <c r="C299" s="29" t="s">
        <v>7041</v>
      </c>
      <c r="D299" s="30">
        <v>45658.0</v>
      </c>
      <c r="E299" s="30">
        <v>46022.0</v>
      </c>
      <c r="F299" s="31">
        <v>0.0</v>
      </c>
      <c r="G299" s="31">
        <v>1.0</v>
      </c>
      <c r="H299" s="35" t="s">
        <v>7045</v>
      </c>
      <c r="I299" s="30">
        <v>46023.0</v>
      </c>
      <c r="J299" s="30">
        <v>46387.0</v>
      </c>
      <c r="K299" s="31">
        <v>0.0</v>
      </c>
      <c r="L299" s="31">
        <v>1.0</v>
      </c>
      <c r="M299" s="35" t="s">
        <v>7045</v>
      </c>
      <c r="N299" s="30">
        <v>46388.0</v>
      </c>
      <c r="O299" s="30">
        <v>46752.0</v>
      </c>
      <c r="P299" s="31">
        <v>0.0</v>
      </c>
      <c r="Q299" s="31">
        <v>1.0</v>
      </c>
      <c r="R299" s="35" t="s">
        <v>7045</v>
      </c>
      <c r="S299" s="30">
        <v>46753.0</v>
      </c>
      <c r="T299" s="30">
        <v>47118.0</v>
      </c>
      <c r="U299" s="31">
        <v>0.0</v>
      </c>
      <c r="V299" s="31">
        <v>1.0</v>
      </c>
      <c r="W299" s="35" t="s">
        <v>7045</v>
      </c>
      <c r="X299" s="30">
        <v>47119.0</v>
      </c>
      <c r="Y299" s="30">
        <v>47483.0</v>
      </c>
      <c r="Z299" s="31">
        <v>0.0</v>
      </c>
      <c r="AA299" s="31">
        <v>1.0</v>
      </c>
      <c r="AB299" s="35" t="s">
        <v>7045</v>
      </c>
      <c r="AC299" s="30">
        <v>47484.0</v>
      </c>
      <c r="AD299" s="30">
        <v>47848.0</v>
      </c>
      <c r="AE299" s="31">
        <v>0.0</v>
      </c>
      <c r="AF299" s="31">
        <v>1.0</v>
      </c>
      <c r="AG299" s="35" t="s">
        <v>7045</v>
      </c>
    </row>
    <row r="300" ht="14.25" customHeight="1">
      <c r="A300" s="28" t="s">
        <v>3618</v>
      </c>
      <c r="B300" s="29" t="s">
        <v>3619</v>
      </c>
      <c r="C300" s="29" t="s">
        <v>7041</v>
      </c>
      <c r="D300" s="30">
        <v>45658.0</v>
      </c>
      <c r="E300" s="30">
        <v>46022.0</v>
      </c>
      <c r="F300" s="31">
        <v>0.0</v>
      </c>
      <c r="G300" s="31">
        <v>1.0</v>
      </c>
      <c r="H300" s="35" t="s">
        <v>7045</v>
      </c>
      <c r="I300" s="30">
        <v>46023.0</v>
      </c>
      <c r="J300" s="30">
        <v>46387.0</v>
      </c>
      <c r="K300" s="31">
        <v>0.0</v>
      </c>
      <c r="L300" s="31">
        <v>1.0</v>
      </c>
      <c r="M300" s="35" t="s">
        <v>7045</v>
      </c>
      <c r="N300" s="30">
        <v>46388.0</v>
      </c>
      <c r="O300" s="30">
        <v>46752.0</v>
      </c>
      <c r="P300" s="31">
        <v>0.0</v>
      </c>
      <c r="Q300" s="31">
        <v>1.0</v>
      </c>
      <c r="R300" s="35" t="s">
        <v>7045</v>
      </c>
      <c r="S300" s="30">
        <v>46753.0</v>
      </c>
      <c r="T300" s="30">
        <v>47118.0</v>
      </c>
      <c r="U300" s="31">
        <v>0.0</v>
      </c>
      <c r="V300" s="31">
        <v>1.0</v>
      </c>
      <c r="W300" s="35" t="s">
        <v>7045</v>
      </c>
      <c r="X300" s="30">
        <v>47119.0</v>
      </c>
      <c r="Y300" s="30">
        <v>47483.0</v>
      </c>
      <c r="Z300" s="31">
        <v>0.0</v>
      </c>
      <c r="AA300" s="31">
        <v>1.0</v>
      </c>
      <c r="AB300" s="35" t="s">
        <v>7045</v>
      </c>
      <c r="AC300" s="30">
        <v>47484.0</v>
      </c>
      <c r="AD300" s="30">
        <v>47848.0</v>
      </c>
      <c r="AE300" s="31">
        <v>0.0</v>
      </c>
      <c r="AF300" s="31">
        <v>1.0</v>
      </c>
      <c r="AG300" s="35" t="s">
        <v>7045</v>
      </c>
    </row>
    <row r="301" ht="14.25" customHeight="1">
      <c r="A301" s="28" t="s">
        <v>3637</v>
      </c>
      <c r="B301" s="29" t="s">
        <v>3638</v>
      </c>
      <c r="C301" s="29" t="s">
        <v>7041</v>
      </c>
      <c r="D301" s="30">
        <v>45658.0</v>
      </c>
      <c r="E301" s="30">
        <v>46022.0</v>
      </c>
      <c r="F301" s="31">
        <v>0.0</v>
      </c>
      <c r="G301" s="31">
        <v>1.0</v>
      </c>
      <c r="H301" s="35" t="s">
        <v>7045</v>
      </c>
      <c r="I301" s="30">
        <v>46023.0</v>
      </c>
      <c r="J301" s="30">
        <v>46387.0</v>
      </c>
      <c r="K301" s="31">
        <v>0.0</v>
      </c>
      <c r="L301" s="31">
        <v>1.0</v>
      </c>
      <c r="M301" s="35" t="s">
        <v>7045</v>
      </c>
      <c r="N301" s="30">
        <v>46388.0</v>
      </c>
      <c r="O301" s="30">
        <v>46752.0</v>
      </c>
      <c r="P301" s="31">
        <v>0.0</v>
      </c>
      <c r="Q301" s="31">
        <v>1.0</v>
      </c>
      <c r="R301" s="35" t="s">
        <v>7045</v>
      </c>
      <c r="S301" s="30">
        <v>46753.0</v>
      </c>
      <c r="T301" s="30">
        <v>47118.0</v>
      </c>
      <c r="U301" s="31">
        <v>0.0</v>
      </c>
      <c r="V301" s="31">
        <v>1.0</v>
      </c>
      <c r="W301" s="35" t="s">
        <v>7045</v>
      </c>
      <c r="X301" s="30">
        <v>47119.0</v>
      </c>
      <c r="Y301" s="30">
        <v>47483.0</v>
      </c>
      <c r="Z301" s="31">
        <v>0.0</v>
      </c>
      <c r="AA301" s="31">
        <v>1.0</v>
      </c>
      <c r="AB301" s="35" t="s">
        <v>7045</v>
      </c>
      <c r="AC301" s="30">
        <v>47484.0</v>
      </c>
      <c r="AD301" s="30">
        <v>47848.0</v>
      </c>
      <c r="AE301" s="31">
        <v>0.0</v>
      </c>
      <c r="AF301" s="31">
        <v>1.0</v>
      </c>
      <c r="AG301" s="35" t="s">
        <v>7045</v>
      </c>
    </row>
    <row r="302" ht="14.25" customHeight="1">
      <c r="A302" s="28" t="s">
        <v>3703</v>
      </c>
      <c r="B302" s="29" t="s">
        <v>3704</v>
      </c>
      <c r="C302" s="29" t="s">
        <v>7041</v>
      </c>
      <c r="D302" s="30">
        <v>45658.0</v>
      </c>
      <c r="E302" s="30">
        <v>46022.0</v>
      </c>
      <c r="F302" s="31">
        <v>0.0</v>
      </c>
      <c r="G302" s="31">
        <v>1.0</v>
      </c>
      <c r="H302" s="35" t="s">
        <v>7045</v>
      </c>
      <c r="I302" s="30">
        <v>46023.0</v>
      </c>
      <c r="J302" s="30">
        <v>46387.0</v>
      </c>
      <c r="K302" s="31">
        <v>0.0</v>
      </c>
      <c r="L302" s="31">
        <v>1.0</v>
      </c>
      <c r="M302" s="35" t="s">
        <v>7045</v>
      </c>
      <c r="N302" s="30">
        <v>46388.0</v>
      </c>
      <c r="O302" s="30">
        <v>46752.0</v>
      </c>
      <c r="P302" s="31">
        <v>0.0</v>
      </c>
      <c r="Q302" s="31">
        <v>1.0</v>
      </c>
      <c r="R302" s="35" t="s">
        <v>7045</v>
      </c>
      <c r="S302" s="30">
        <v>46753.0</v>
      </c>
      <c r="T302" s="30">
        <v>47118.0</v>
      </c>
      <c r="U302" s="31">
        <v>0.0</v>
      </c>
      <c r="V302" s="31">
        <v>1.0</v>
      </c>
      <c r="W302" s="35" t="s">
        <v>7045</v>
      </c>
      <c r="X302" s="30">
        <v>47119.0</v>
      </c>
      <c r="Y302" s="30">
        <v>47483.0</v>
      </c>
      <c r="Z302" s="31">
        <v>0.0</v>
      </c>
      <c r="AA302" s="31">
        <v>1.0</v>
      </c>
      <c r="AB302" s="35" t="s">
        <v>7045</v>
      </c>
      <c r="AC302" s="30">
        <v>47484.0</v>
      </c>
      <c r="AD302" s="30">
        <v>47848.0</v>
      </c>
      <c r="AE302" s="31">
        <v>0.0</v>
      </c>
      <c r="AF302" s="31">
        <v>1.0</v>
      </c>
      <c r="AG302" s="35" t="s">
        <v>7045</v>
      </c>
    </row>
    <row r="303" ht="14.25" customHeight="1">
      <c r="A303" s="28" t="s">
        <v>3709</v>
      </c>
      <c r="B303" s="29" t="s">
        <v>3710</v>
      </c>
      <c r="C303" s="29" t="s">
        <v>7041</v>
      </c>
      <c r="D303" s="30">
        <v>45658.0</v>
      </c>
      <c r="E303" s="30">
        <v>46022.0</v>
      </c>
      <c r="F303" s="31">
        <v>1.0</v>
      </c>
      <c r="G303" s="31">
        <v>1.0</v>
      </c>
      <c r="H303" s="33" t="s">
        <v>7042</v>
      </c>
      <c r="I303" s="30">
        <v>46023.0</v>
      </c>
      <c r="J303" s="30">
        <v>46387.0</v>
      </c>
      <c r="K303" s="31">
        <v>0.0</v>
      </c>
      <c r="L303" s="31">
        <v>1.0</v>
      </c>
      <c r="M303" s="35" t="s">
        <v>7045</v>
      </c>
      <c r="N303" s="30">
        <v>46388.0</v>
      </c>
      <c r="O303" s="30">
        <v>46752.0</v>
      </c>
      <c r="P303" s="31">
        <v>0.0</v>
      </c>
      <c r="Q303" s="31">
        <v>1.0</v>
      </c>
      <c r="R303" s="35" t="s">
        <v>7045</v>
      </c>
      <c r="S303" s="30">
        <v>46753.0</v>
      </c>
      <c r="T303" s="30">
        <v>47118.0</v>
      </c>
      <c r="U303" s="31">
        <v>0.0</v>
      </c>
      <c r="V303" s="31">
        <v>1.0</v>
      </c>
      <c r="W303" s="35" t="s">
        <v>7045</v>
      </c>
      <c r="X303" s="30">
        <v>47119.0</v>
      </c>
      <c r="Y303" s="30">
        <v>47483.0</v>
      </c>
      <c r="Z303" s="31">
        <v>0.0</v>
      </c>
      <c r="AA303" s="31">
        <v>1.0</v>
      </c>
      <c r="AB303" s="35" t="s">
        <v>7045</v>
      </c>
      <c r="AC303" s="30">
        <v>47484.0</v>
      </c>
      <c r="AD303" s="30">
        <v>47848.0</v>
      </c>
      <c r="AE303" s="31">
        <v>0.0</v>
      </c>
      <c r="AF303" s="31">
        <v>1.0</v>
      </c>
      <c r="AG303" s="35" t="s">
        <v>7045</v>
      </c>
    </row>
    <row r="304" ht="14.25" customHeight="1">
      <c r="A304" s="28" t="s">
        <v>3730</v>
      </c>
      <c r="B304" s="29" t="s">
        <v>3731</v>
      </c>
      <c r="C304" s="29" t="s">
        <v>7041</v>
      </c>
      <c r="D304" s="30">
        <v>45658.0</v>
      </c>
      <c r="E304" s="30">
        <v>46022.0</v>
      </c>
      <c r="F304" s="31">
        <v>0.0</v>
      </c>
      <c r="G304" s="31">
        <v>1.0</v>
      </c>
      <c r="H304" s="35" t="s">
        <v>7045</v>
      </c>
      <c r="I304" s="30">
        <v>46023.0</v>
      </c>
      <c r="J304" s="30">
        <v>46387.0</v>
      </c>
      <c r="K304" s="31">
        <v>0.0</v>
      </c>
      <c r="L304" s="31">
        <v>1.0</v>
      </c>
      <c r="M304" s="35" t="s">
        <v>7045</v>
      </c>
      <c r="N304" s="30">
        <v>46388.0</v>
      </c>
      <c r="O304" s="30">
        <v>46752.0</v>
      </c>
      <c r="P304" s="31">
        <v>0.0</v>
      </c>
      <c r="Q304" s="31">
        <v>1.0</v>
      </c>
      <c r="R304" s="35" t="s">
        <v>7045</v>
      </c>
      <c r="S304" s="30">
        <v>46753.0</v>
      </c>
      <c r="T304" s="30">
        <v>47118.0</v>
      </c>
      <c r="U304" s="31">
        <v>0.0</v>
      </c>
      <c r="V304" s="31">
        <v>1.0</v>
      </c>
      <c r="W304" s="35" t="s">
        <v>7045</v>
      </c>
      <c r="X304" s="30">
        <v>47119.0</v>
      </c>
      <c r="Y304" s="30">
        <v>47483.0</v>
      </c>
      <c r="Z304" s="31">
        <v>0.0</v>
      </c>
      <c r="AA304" s="31">
        <v>1.0</v>
      </c>
      <c r="AB304" s="35" t="s">
        <v>7045</v>
      </c>
      <c r="AC304" s="30">
        <v>47484.0</v>
      </c>
      <c r="AD304" s="30">
        <v>47848.0</v>
      </c>
      <c r="AE304" s="31">
        <v>0.0</v>
      </c>
      <c r="AF304" s="31">
        <v>1.0</v>
      </c>
      <c r="AG304" s="35" t="s">
        <v>7045</v>
      </c>
    </row>
    <row r="305" ht="14.25" customHeight="1">
      <c r="A305" s="28" t="s">
        <v>3733</v>
      </c>
      <c r="B305" s="29" t="s">
        <v>3734</v>
      </c>
      <c r="C305" s="29" t="s">
        <v>7041</v>
      </c>
      <c r="D305" s="30">
        <v>45658.0</v>
      </c>
      <c r="E305" s="30">
        <v>46022.0</v>
      </c>
      <c r="F305" s="31">
        <v>0.0</v>
      </c>
      <c r="G305" s="31">
        <v>1.0</v>
      </c>
      <c r="H305" s="35" t="s">
        <v>7045</v>
      </c>
      <c r="I305" s="30">
        <v>46023.0</v>
      </c>
      <c r="J305" s="30">
        <v>46387.0</v>
      </c>
      <c r="K305" s="31">
        <v>0.0</v>
      </c>
      <c r="L305" s="31">
        <v>1.0</v>
      </c>
      <c r="M305" s="35" t="s">
        <v>7045</v>
      </c>
      <c r="N305" s="30">
        <v>46388.0</v>
      </c>
      <c r="O305" s="30">
        <v>46752.0</v>
      </c>
      <c r="P305" s="31">
        <v>0.0</v>
      </c>
      <c r="Q305" s="31">
        <v>1.0</v>
      </c>
      <c r="R305" s="35" t="s">
        <v>7045</v>
      </c>
      <c r="S305" s="30">
        <v>46753.0</v>
      </c>
      <c r="T305" s="30">
        <v>47118.0</v>
      </c>
      <c r="U305" s="31">
        <v>0.0</v>
      </c>
      <c r="V305" s="31">
        <v>1.0</v>
      </c>
      <c r="W305" s="35" t="s">
        <v>7045</v>
      </c>
      <c r="X305" s="30">
        <v>47119.0</v>
      </c>
      <c r="Y305" s="30">
        <v>47483.0</v>
      </c>
      <c r="Z305" s="31">
        <v>0.0</v>
      </c>
      <c r="AA305" s="31">
        <v>1.0</v>
      </c>
      <c r="AB305" s="35" t="s">
        <v>7045</v>
      </c>
      <c r="AC305" s="30">
        <v>47484.0</v>
      </c>
      <c r="AD305" s="30">
        <v>47848.0</v>
      </c>
      <c r="AE305" s="31">
        <v>0.0</v>
      </c>
      <c r="AF305" s="31">
        <v>1.0</v>
      </c>
      <c r="AG305" s="35" t="s">
        <v>7045</v>
      </c>
    </row>
    <row r="306" ht="14.25" customHeight="1">
      <c r="A306" s="28" t="s">
        <v>3746</v>
      </c>
      <c r="B306" s="29" t="s">
        <v>3747</v>
      </c>
      <c r="C306" s="29" t="s">
        <v>7041</v>
      </c>
      <c r="D306" s="30">
        <v>45658.0</v>
      </c>
      <c r="E306" s="30">
        <v>46022.0</v>
      </c>
      <c r="F306" s="31">
        <v>0.0</v>
      </c>
      <c r="G306" s="31">
        <v>1.0</v>
      </c>
      <c r="H306" s="35" t="s">
        <v>7045</v>
      </c>
      <c r="I306" s="30">
        <v>46023.0</v>
      </c>
      <c r="J306" s="30">
        <v>46387.0</v>
      </c>
      <c r="K306" s="31">
        <v>0.0</v>
      </c>
      <c r="L306" s="31">
        <v>1.0</v>
      </c>
      <c r="M306" s="35" t="s">
        <v>7045</v>
      </c>
      <c r="N306" s="30">
        <v>46388.0</v>
      </c>
      <c r="O306" s="30">
        <v>46752.0</v>
      </c>
      <c r="P306" s="31">
        <v>0.0</v>
      </c>
      <c r="Q306" s="31">
        <v>1.0</v>
      </c>
      <c r="R306" s="35" t="s">
        <v>7045</v>
      </c>
      <c r="S306" s="30">
        <v>46753.0</v>
      </c>
      <c r="T306" s="30">
        <v>47118.0</v>
      </c>
      <c r="U306" s="31">
        <v>0.0</v>
      </c>
      <c r="V306" s="31">
        <v>1.0</v>
      </c>
      <c r="W306" s="35" t="s">
        <v>7045</v>
      </c>
      <c r="X306" s="30">
        <v>47119.0</v>
      </c>
      <c r="Y306" s="30">
        <v>47483.0</v>
      </c>
      <c r="Z306" s="31">
        <v>0.0</v>
      </c>
      <c r="AA306" s="31">
        <v>1.0</v>
      </c>
      <c r="AB306" s="35" t="s">
        <v>7045</v>
      </c>
      <c r="AC306" s="30">
        <v>47484.0</v>
      </c>
      <c r="AD306" s="30">
        <v>47848.0</v>
      </c>
      <c r="AE306" s="31">
        <v>0.0</v>
      </c>
      <c r="AF306" s="31">
        <v>1.0</v>
      </c>
      <c r="AG306" s="35" t="s">
        <v>7045</v>
      </c>
    </row>
    <row r="307" ht="14.25" customHeight="1">
      <c r="A307" s="28" t="s">
        <v>3765</v>
      </c>
      <c r="B307" s="29" t="s">
        <v>3766</v>
      </c>
      <c r="C307" s="29" t="s">
        <v>7041</v>
      </c>
      <c r="D307" s="30">
        <v>45658.0</v>
      </c>
      <c r="E307" s="30">
        <v>46022.0</v>
      </c>
      <c r="F307" s="31">
        <v>0.0</v>
      </c>
      <c r="G307" s="31">
        <v>1.0</v>
      </c>
      <c r="H307" s="35" t="s">
        <v>7045</v>
      </c>
      <c r="I307" s="30">
        <v>46023.0</v>
      </c>
      <c r="J307" s="30">
        <v>46387.0</v>
      </c>
      <c r="K307" s="31">
        <v>0.0</v>
      </c>
      <c r="L307" s="31">
        <v>1.0</v>
      </c>
      <c r="M307" s="35" t="s">
        <v>7045</v>
      </c>
      <c r="N307" s="30">
        <v>46388.0</v>
      </c>
      <c r="O307" s="30">
        <v>46752.0</v>
      </c>
      <c r="P307" s="31">
        <v>0.0</v>
      </c>
      <c r="Q307" s="31">
        <v>1.0</v>
      </c>
      <c r="R307" s="35" t="s">
        <v>7045</v>
      </c>
      <c r="S307" s="30">
        <v>46753.0</v>
      </c>
      <c r="T307" s="30">
        <v>47118.0</v>
      </c>
      <c r="U307" s="31">
        <v>0.0</v>
      </c>
      <c r="V307" s="31">
        <v>1.0</v>
      </c>
      <c r="W307" s="35" t="s">
        <v>7045</v>
      </c>
      <c r="X307" s="30">
        <v>47119.0</v>
      </c>
      <c r="Y307" s="30">
        <v>47483.0</v>
      </c>
      <c r="Z307" s="31">
        <v>0.0</v>
      </c>
      <c r="AA307" s="31">
        <v>1.0</v>
      </c>
      <c r="AB307" s="35" t="s">
        <v>7045</v>
      </c>
      <c r="AC307" s="30">
        <v>47484.0</v>
      </c>
      <c r="AD307" s="30">
        <v>47848.0</v>
      </c>
      <c r="AE307" s="31">
        <v>0.0</v>
      </c>
      <c r="AF307" s="31">
        <v>1.0</v>
      </c>
      <c r="AG307" s="35" t="s">
        <v>7045</v>
      </c>
    </row>
    <row r="308" ht="14.25" customHeight="1">
      <c r="A308" s="28" t="s">
        <v>3768</v>
      </c>
      <c r="B308" s="29" t="s">
        <v>3769</v>
      </c>
      <c r="C308" s="29" t="s">
        <v>7041</v>
      </c>
      <c r="D308" s="30">
        <v>45658.0</v>
      </c>
      <c r="E308" s="30">
        <v>46022.0</v>
      </c>
      <c r="F308" s="31">
        <v>0.0</v>
      </c>
      <c r="G308" s="31">
        <v>1.0</v>
      </c>
      <c r="H308" s="35" t="s">
        <v>7045</v>
      </c>
      <c r="I308" s="30">
        <v>46023.0</v>
      </c>
      <c r="J308" s="30">
        <v>46387.0</v>
      </c>
      <c r="K308" s="31">
        <v>0.0</v>
      </c>
      <c r="L308" s="31">
        <v>1.0</v>
      </c>
      <c r="M308" s="35" t="s">
        <v>7045</v>
      </c>
      <c r="N308" s="30">
        <v>46388.0</v>
      </c>
      <c r="O308" s="30">
        <v>46752.0</v>
      </c>
      <c r="P308" s="31">
        <v>0.0</v>
      </c>
      <c r="Q308" s="31">
        <v>1.0</v>
      </c>
      <c r="R308" s="35" t="s">
        <v>7045</v>
      </c>
      <c r="S308" s="30">
        <v>46753.0</v>
      </c>
      <c r="T308" s="30">
        <v>47118.0</v>
      </c>
      <c r="U308" s="31">
        <v>0.0</v>
      </c>
      <c r="V308" s="31">
        <v>1.0</v>
      </c>
      <c r="W308" s="35" t="s">
        <v>7045</v>
      </c>
      <c r="X308" s="30">
        <v>47119.0</v>
      </c>
      <c r="Y308" s="30">
        <v>47483.0</v>
      </c>
      <c r="Z308" s="31">
        <v>0.0</v>
      </c>
      <c r="AA308" s="31">
        <v>1.0</v>
      </c>
      <c r="AB308" s="35" t="s">
        <v>7045</v>
      </c>
      <c r="AC308" s="30">
        <v>47484.0</v>
      </c>
      <c r="AD308" s="30">
        <v>47848.0</v>
      </c>
      <c r="AE308" s="31">
        <v>0.0</v>
      </c>
      <c r="AF308" s="31">
        <v>1.0</v>
      </c>
      <c r="AG308" s="35" t="s">
        <v>7045</v>
      </c>
    </row>
    <row r="309" ht="14.25" customHeight="1">
      <c r="A309" s="28" t="s">
        <v>3890</v>
      </c>
      <c r="B309" s="29" t="s">
        <v>3891</v>
      </c>
      <c r="C309" s="29" t="s">
        <v>7041</v>
      </c>
      <c r="D309" s="30">
        <v>45658.0</v>
      </c>
      <c r="E309" s="30">
        <v>46022.0</v>
      </c>
      <c r="F309" s="31">
        <v>0.0</v>
      </c>
      <c r="G309" s="31">
        <v>1.0</v>
      </c>
      <c r="H309" s="35" t="s">
        <v>7045</v>
      </c>
      <c r="I309" s="30">
        <v>46023.0</v>
      </c>
      <c r="J309" s="30">
        <v>46387.0</v>
      </c>
      <c r="K309" s="31">
        <v>0.0</v>
      </c>
      <c r="L309" s="31">
        <v>1.0</v>
      </c>
      <c r="M309" s="35" t="s">
        <v>7045</v>
      </c>
      <c r="N309" s="30">
        <v>46388.0</v>
      </c>
      <c r="O309" s="30">
        <v>46752.0</v>
      </c>
      <c r="P309" s="31">
        <v>0.0</v>
      </c>
      <c r="Q309" s="31">
        <v>1.0</v>
      </c>
      <c r="R309" s="35" t="s">
        <v>7045</v>
      </c>
      <c r="S309" s="30">
        <v>46753.0</v>
      </c>
      <c r="T309" s="30">
        <v>47118.0</v>
      </c>
      <c r="U309" s="31">
        <v>0.0</v>
      </c>
      <c r="V309" s="31">
        <v>1.0</v>
      </c>
      <c r="W309" s="35" t="s">
        <v>7045</v>
      </c>
      <c r="X309" s="30">
        <v>47119.0</v>
      </c>
      <c r="Y309" s="30">
        <v>47483.0</v>
      </c>
      <c r="Z309" s="31">
        <v>0.0</v>
      </c>
      <c r="AA309" s="31">
        <v>1.0</v>
      </c>
      <c r="AB309" s="35" t="s">
        <v>7045</v>
      </c>
      <c r="AC309" s="30">
        <v>47484.0</v>
      </c>
      <c r="AD309" s="30">
        <v>47848.0</v>
      </c>
      <c r="AE309" s="31">
        <v>0.0</v>
      </c>
      <c r="AF309" s="31">
        <v>1.0</v>
      </c>
      <c r="AG309" s="35" t="s">
        <v>7045</v>
      </c>
    </row>
    <row r="310" ht="14.25" customHeight="1">
      <c r="A310" s="28" t="s">
        <v>3920</v>
      </c>
      <c r="B310" s="29" t="s">
        <v>3921</v>
      </c>
      <c r="C310" s="29" t="s">
        <v>7041</v>
      </c>
      <c r="D310" s="30">
        <v>45658.0</v>
      </c>
      <c r="E310" s="30">
        <v>46022.0</v>
      </c>
      <c r="F310" s="31">
        <v>0.0</v>
      </c>
      <c r="G310" s="31">
        <v>1.0</v>
      </c>
      <c r="H310" s="35" t="s">
        <v>7045</v>
      </c>
      <c r="I310" s="30">
        <v>46023.0</v>
      </c>
      <c r="J310" s="30">
        <v>46387.0</v>
      </c>
      <c r="K310" s="31">
        <v>0.0</v>
      </c>
      <c r="L310" s="31">
        <v>1.0</v>
      </c>
      <c r="M310" s="35" t="s">
        <v>7045</v>
      </c>
      <c r="N310" s="30">
        <v>46388.0</v>
      </c>
      <c r="O310" s="30">
        <v>46752.0</v>
      </c>
      <c r="P310" s="31">
        <v>0.0</v>
      </c>
      <c r="Q310" s="31">
        <v>1.0</v>
      </c>
      <c r="R310" s="35" t="s">
        <v>7045</v>
      </c>
      <c r="S310" s="30">
        <v>46753.0</v>
      </c>
      <c r="T310" s="30">
        <v>47118.0</v>
      </c>
      <c r="U310" s="31">
        <v>0.0</v>
      </c>
      <c r="V310" s="31">
        <v>1.0</v>
      </c>
      <c r="W310" s="35" t="s">
        <v>7045</v>
      </c>
      <c r="X310" s="30">
        <v>47119.0</v>
      </c>
      <c r="Y310" s="30">
        <v>47483.0</v>
      </c>
      <c r="Z310" s="31">
        <v>0.0</v>
      </c>
      <c r="AA310" s="31">
        <v>1.0</v>
      </c>
      <c r="AB310" s="35" t="s">
        <v>7045</v>
      </c>
      <c r="AC310" s="30">
        <v>47484.0</v>
      </c>
      <c r="AD310" s="30">
        <v>47848.0</v>
      </c>
      <c r="AE310" s="31">
        <v>0.0</v>
      </c>
      <c r="AF310" s="31">
        <v>1.0</v>
      </c>
      <c r="AG310" s="35" t="s">
        <v>7045</v>
      </c>
    </row>
    <row r="311" ht="14.25" customHeight="1">
      <c r="A311" s="28" t="s">
        <v>4045</v>
      </c>
      <c r="B311" s="29" t="s">
        <v>4046</v>
      </c>
      <c r="C311" s="29" t="s">
        <v>7041</v>
      </c>
      <c r="D311" s="30">
        <v>45658.0</v>
      </c>
      <c r="E311" s="30">
        <v>46022.0</v>
      </c>
      <c r="F311" s="31">
        <v>0.0</v>
      </c>
      <c r="G311" s="31">
        <v>1.0</v>
      </c>
      <c r="H311" s="35" t="s">
        <v>7045</v>
      </c>
      <c r="I311" s="30">
        <v>46023.0</v>
      </c>
      <c r="J311" s="30">
        <v>46387.0</v>
      </c>
      <c r="K311" s="31">
        <v>0.0</v>
      </c>
      <c r="L311" s="31">
        <v>1.0</v>
      </c>
      <c r="M311" s="35" t="s">
        <v>7045</v>
      </c>
      <c r="N311" s="30">
        <v>46388.0</v>
      </c>
      <c r="O311" s="30">
        <v>46752.0</v>
      </c>
      <c r="P311" s="31">
        <v>0.0</v>
      </c>
      <c r="Q311" s="31">
        <v>1.0</v>
      </c>
      <c r="R311" s="35" t="s">
        <v>7045</v>
      </c>
      <c r="S311" s="30">
        <v>46753.0</v>
      </c>
      <c r="T311" s="30">
        <v>47118.0</v>
      </c>
      <c r="U311" s="31">
        <v>0.0</v>
      </c>
      <c r="V311" s="31">
        <v>1.0</v>
      </c>
      <c r="W311" s="35" t="s">
        <v>7045</v>
      </c>
      <c r="X311" s="30">
        <v>47119.0</v>
      </c>
      <c r="Y311" s="30">
        <v>47483.0</v>
      </c>
      <c r="Z311" s="31">
        <v>0.0</v>
      </c>
      <c r="AA311" s="31">
        <v>1.0</v>
      </c>
      <c r="AB311" s="35" t="s">
        <v>7045</v>
      </c>
      <c r="AC311" s="30">
        <v>47484.0</v>
      </c>
      <c r="AD311" s="30">
        <v>47848.0</v>
      </c>
      <c r="AE311" s="31">
        <v>0.0</v>
      </c>
      <c r="AF311" s="31">
        <v>1.0</v>
      </c>
      <c r="AG311" s="35" t="s">
        <v>7045</v>
      </c>
    </row>
    <row r="312" ht="14.25" customHeight="1">
      <c r="A312" s="28" t="s">
        <v>3979</v>
      </c>
      <c r="B312" s="29" t="s">
        <v>3980</v>
      </c>
      <c r="C312" s="29" t="s">
        <v>7041</v>
      </c>
      <c r="D312" s="30">
        <v>45658.0</v>
      </c>
      <c r="E312" s="30">
        <v>46022.0</v>
      </c>
      <c r="F312" s="31">
        <v>0.0</v>
      </c>
      <c r="G312" s="31">
        <v>1.0</v>
      </c>
      <c r="H312" s="35" t="s">
        <v>7045</v>
      </c>
      <c r="I312" s="30">
        <v>46023.0</v>
      </c>
      <c r="J312" s="30">
        <v>46387.0</v>
      </c>
      <c r="K312" s="31">
        <v>0.0</v>
      </c>
      <c r="L312" s="31">
        <v>1.0</v>
      </c>
      <c r="M312" s="35" t="s">
        <v>7045</v>
      </c>
      <c r="N312" s="30">
        <v>46388.0</v>
      </c>
      <c r="O312" s="30">
        <v>46752.0</v>
      </c>
      <c r="P312" s="31">
        <v>0.0</v>
      </c>
      <c r="Q312" s="31">
        <v>1.0</v>
      </c>
      <c r="R312" s="35" t="s">
        <v>7045</v>
      </c>
      <c r="S312" s="30">
        <v>46753.0</v>
      </c>
      <c r="T312" s="30">
        <v>47118.0</v>
      </c>
      <c r="U312" s="31">
        <v>0.0</v>
      </c>
      <c r="V312" s="31">
        <v>1.0</v>
      </c>
      <c r="W312" s="35" t="s">
        <v>7045</v>
      </c>
      <c r="X312" s="30">
        <v>47119.0</v>
      </c>
      <c r="Y312" s="30">
        <v>47483.0</v>
      </c>
      <c r="Z312" s="31">
        <v>0.0</v>
      </c>
      <c r="AA312" s="31">
        <v>1.0</v>
      </c>
      <c r="AB312" s="35" t="s">
        <v>7045</v>
      </c>
      <c r="AC312" s="30">
        <v>47484.0</v>
      </c>
      <c r="AD312" s="30">
        <v>47848.0</v>
      </c>
      <c r="AE312" s="31">
        <v>0.0</v>
      </c>
      <c r="AF312" s="31">
        <v>1.0</v>
      </c>
      <c r="AG312" s="35" t="s">
        <v>7045</v>
      </c>
    </row>
    <row r="313" ht="14.25" customHeight="1">
      <c r="A313" s="28" t="s">
        <v>4019</v>
      </c>
      <c r="B313" s="29" t="s">
        <v>4020</v>
      </c>
      <c r="C313" s="29" t="s">
        <v>7041</v>
      </c>
      <c r="D313" s="30">
        <v>45658.0</v>
      </c>
      <c r="E313" s="30">
        <v>46022.0</v>
      </c>
      <c r="F313" s="31">
        <v>0.0</v>
      </c>
      <c r="G313" s="31">
        <v>1.0</v>
      </c>
      <c r="H313" s="35" t="s">
        <v>7045</v>
      </c>
      <c r="I313" s="30">
        <v>46023.0</v>
      </c>
      <c r="J313" s="30">
        <v>46387.0</v>
      </c>
      <c r="K313" s="31">
        <v>0.0</v>
      </c>
      <c r="L313" s="31">
        <v>1.0</v>
      </c>
      <c r="M313" s="35" t="s">
        <v>7045</v>
      </c>
      <c r="N313" s="30">
        <v>46388.0</v>
      </c>
      <c r="O313" s="30">
        <v>46752.0</v>
      </c>
      <c r="P313" s="31">
        <v>0.0</v>
      </c>
      <c r="Q313" s="31">
        <v>1.0</v>
      </c>
      <c r="R313" s="35" t="s">
        <v>7045</v>
      </c>
      <c r="S313" s="30">
        <v>46753.0</v>
      </c>
      <c r="T313" s="30">
        <v>47118.0</v>
      </c>
      <c r="U313" s="31">
        <v>0.0</v>
      </c>
      <c r="V313" s="31">
        <v>1.0</v>
      </c>
      <c r="W313" s="35" t="s">
        <v>7045</v>
      </c>
      <c r="X313" s="30">
        <v>47119.0</v>
      </c>
      <c r="Y313" s="30">
        <v>47483.0</v>
      </c>
      <c r="Z313" s="31">
        <v>0.0</v>
      </c>
      <c r="AA313" s="31">
        <v>1.0</v>
      </c>
      <c r="AB313" s="35" t="s">
        <v>7045</v>
      </c>
      <c r="AC313" s="30">
        <v>47484.0</v>
      </c>
      <c r="AD313" s="30">
        <v>47848.0</v>
      </c>
      <c r="AE313" s="31">
        <v>0.0</v>
      </c>
      <c r="AF313" s="31">
        <v>1.0</v>
      </c>
      <c r="AG313" s="35" t="s">
        <v>7045</v>
      </c>
    </row>
    <row r="314" ht="14.25" customHeight="1">
      <c r="A314" s="28" t="s">
        <v>4101</v>
      </c>
      <c r="B314" s="29" t="s">
        <v>4102</v>
      </c>
      <c r="C314" s="29" t="s">
        <v>7041</v>
      </c>
      <c r="D314" s="30">
        <v>45658.0</v>
      </c>
      <c r="E314" s="30">
        <v>46022.0</v>
      </c>
      <c r="F314" s="31">
        <v>0.0</v>
      </c>
      <c r="G314" s="31">
        <v>1.0</v>
      </c>
      <c r="H314" s="35" t="s">
        <v>7045</v>
      </c>
      <c r="I314" s="30">
        <v>46023.0</v>
      </c>
      <c r="J314" s="30">
        <v>46387.0</v>
      </c>
      <c r="K314" s="31">
        <v>0.0</v>
      </c>
      <c r="L314" s="31">
        <v>1.0</v>
      </c>
      <c r="M314" s="35" t="s">
        <v>7045</v>
      </c>
      <c r="N314" s="30">
        <v>46388.0</v>
      </c>
      <c r="O314" s="30">
        <v>46752.0</v>
      </c>
      <c r="P314" s="31">
        <v>0.0</v>
      </c>
      <c r="Q314" s="31">
        <v>1.0</v>
      </c>
      <c r="R314" s="35" t="s">
        <v>7045</v>
      </c>
      <c r="S314" s="30">
        <v>46753.0</v>
      </c>
      <c r="T314" s="30">
        <v>47118.0</v>
      </c>
      <c r="U314" s="31">
        <v>0.0</v>
      </c>
      <c r="V314" s="31">
        <v>1.0</v>
      </c>
      <c r="W314" s="35" t="s">
        <v>7045</v>
      </c>
      <c r="X314" s="30">
        <v>47119.0</v>
      </c>
      <c r="Y314" s="30">
        <v>47483.0</v>
      </c>
      <c r="Z314" s="31">
        <v>0.0</v>
      </c>
      <c r="AA314" s="31">
        <v>1.0</v>
      </c>
      <c r="AB314" s="35" t="s">
        <v>7045</v>
      </c>
      <c r="AC314" s="30">
        <v>47484.0</v>
      </c>
      <c r="AD314" s="30">
        <v>47848.0</v>
      </c>
      <c r="AE314" s="31">
        <v>0.0</v>
      </c>
      <c r="AF314" s="31">
        <v>1.0</v>
      </c>
      <c r="AG314" s="35" t="s">
        <v>7045</v>
      </c>
    </row>
    <row r="315" ht="14.25" customHeight="1">
      <c r="A315" s="28" t="s">
        <v>4184</v>
      </c>
      <c r="B315" s="29" t="s">
        <v>4185</v>
      </c>
      <c r="C315" s="29" t="s">
        <v>7041</v>
      </c>
      <c r="D315" s="30">
        <v>45658.0</v>
      </c>
      <c r="E315" s="30">
        <v>46022.0</v>
      </c>
      <c r="F315" s="31">
        <v>0.0</v>
      </c>
      <c r="G315" s="31">
        <v>1.0</v>
      </c>
      <c r="H315" s="35" t="s">
        <v>7045</v>
      </c>
      <c r="I315" s="30">
        <v>46023.0</v>
      </c>
      <c r="J315" s="30">
        <v>46387.0</v>
      </c>
      <c r="K315" s="31">
        <v>0.0</v>
      </c>
      <c r="L315" s="31">
        <v>1.0</v>
      </c>
      <c r="M315" s="35" t="s">
        <v>7045</v>
      </c>
      <c r="N315" s="30">
        <v>46388.0</v>
      </c>
      <c r="O315" s="30">
        <v>46752.0</v>
      </c>
      <c r="P315" s="31">
        <v>0.0</v>
      </c>
      <c r="Q315" s="31">
        <v>1.0</v>
      </c>
      <c r="R315" s="35" t="s">
        <v>7045</v>
      </c>
      <c r="S315" s="30">
        <v>46753.0</v>
      </c>
      <c r="T315" s="30">
        <v>47118.0</v>
      </c>
      <c r="U315" s="31">
        <v>0.0</v>
      </c>
      <c r="V315" s="31">
        <v>1.0</v>
      </c>
      <c r="W315" s="35" t="s">
        <v>7045</v>
      </c>
      <c r="X315" s="30">
        <v>47119.0</v>
      </c>
      <c r="Y315" s="30">
        <v>47483.0</v>
      </c>
      <c r="Z315" s="31">
        <v>0.0</v>
      </c>
      <c r="AA315" s="31">
        <v>1.0</v>
      </c>
      <c r="AB315" s="35" t="s">
        <v>7045</v>
      </c>
      <c r="AC315" s="30">
        <v>47484.0</v>
      </c>
      <c r="AD315" s="30">
        <v>47848.0</v>
      </c>
      <c r="AE315" s="31">
        <v>0.0</v>
      </c>
      <c r="AF315" s="31">
        <v>1.0</v>
      </c>
      <c r="AG315" s="35" t="s">
        <v>7045</v>
      </c>
    </row>
    <row r="316" ht="14.25" customHeight="1">
      <c r="A316" s="28" t="s">
        <v>4201</v>
      </c>
      <c r="B316" s="29" t="s">
        <v>4202</v>
      </c>
      <c r="C316" s="29" t="s">
        <v>7041</v>
      </c>
      <c r="D316" s="30">
        <v>45658.0</v>
      </c>
      <c r="E316" s="30">
        <v>46022.0</v>
      </c>
      <c r="F316" s="31">
        <v>0.0</v>
      </c>
      <c r="G316" s="31">
        <v>1.0</v>
      </c>
      <c r="H316" s="35" t="s">
        <v>7045</v>
      </c>
      <c r="I316" s="30">
        <v>46023.0</v>
      </c>
      <c r="J316" s="30">
        <v>46387.0</v>
      </c>
      <c r="K316" s="31">
        <v>0.0</v>
      </c>
      <c r="L316" s="31">
        <v>1.0</v>
      </c>
      <c r="M316" s="35" t="s">
        <v>7045</v>
      </c>
      <c r="N316" s="30">
        <v>46388.0</v>
      </c>
      <c r="O316" s="30">
        <v>46752.0</v>
      </c>
      <c r="P316" s="31">
        <v>0.0</v>
      </c>
      <c r="Q316" s="31">
        <v>1.0</v>
      </c>
      <c r="R316" s="35" t="s">
        <v>7045</v>
      </c>
      <c r="S316" s="30">
        <v>46753.0</v>
      </c>
      <c r="T316" s="30">
        <v>47118.0</v>
      </c>
      <c r="U316" s="31">
        <v>0.0</v>
      </c>
      <c r="V316" s="31">
        <v>1.0</v>
      </c>
      <c r="W316" s="35" t="s">
        <v>7045</v>
      </c>
      <c r="X316" s="30">
        <v>47119.0</v>
      </c>
      <c r="Y316" s="30">
        <v>47483.0</v>
      </c>
      <c r="Z316" s="31">
        <v>0.0</v>
      </c>
      <c r="AA316" s="31">
        <v>1.0</v>
      </c>
      <c r="AB316" s="35" t="s">
        <v>7045</v>
      </c>
      <c r="AC316" s="30">
        <v>47484.0</v>
      </c>
      <c r="AD316" s="30">
        <v>47848.0</v>
      </c>
      <c r="AE316" s="31">
        <v>0.0</v>
      </c>
      <c r="AF316" s="31">
        <v>1.0</v>
      </c>
      <c r="AG316" s="35" t="s">
        <v>7045</v>
      </c>
    </row>
    <row r="317" ht="14.25" customHeight="1">
      <c r="A317" s="28" t="s">
        <v>4259</v>
      </c>
      <c r="B317" s="29" t="s">
        <v>4260</v>
      </c>
      <c r="C317" s="29" t="s">
        <v>7041</v>
      </c>
      <c r="D317" s="30">
        <v>45658.0</v>
      </c>
      <c r="E317" s="30">
        <v>46022.0</v>
      </c>
      <c r="F317" s="31">
        <v>0.0</v>
      </c>
      <c r="G317" s="31">
        <v>1.0</v>
      </c>
      <c r="H317" s="35" t="s">
        <v>7045</v>
      </c>
      <c r="I317" s="30">
        <v>46023.0</v>
      </c>
      <c r="J317" s="30">
        <v>46387.0</v>
      </c>
      <c r="K317" s="31">
        <v>0.0</v>
      </c>
      <c r="L317" s="31">
        <v>1.0</v>
      </c>
      <c r="M317" s="35" t="s">
        <v>7045</v>
      </c>
      <c r="N317" s="30">
        <v>46388.0</v>
      </c>
      <c r="O317" s="30">
        <v>46752.0</v>
      </c>
      <c r="P317" s="31">
        <v>0.0</v>
      </c>
      <c r="Q317" s="31">
        <v>1.0</v>
      </c>
      <c r="R317" s="35" t="s">
        <v>7045</v>
      </c>
      <c r="S317" s="30">
        <v>46753.0</v>
      </c>
      <c r="T317" s="30">
        <v>47118.0</v>
      </c>
      <c r="U317" s="31">
        <v>0.0</v>
      </c>
      <c r="V317" s="31">
        <v>1.0</v>
      </c>
      <c r="W317" s="35" t="s">
        <v>7045</v>
      </c>
      <c r="X317" s="30">
        <v>47119.0</v>
      </c>
      <c r="Y317" s="30">
        <v>47483.0</v>
      </c>
      <c r="Z317" s="31">
        <v>0.0</v>
      </c>
      <c r="AA317" s="31">
        <v>1.0</v>
      </c>
      <c r="AB317" s="35" t="s">
        <v>7045</v>
      </c>
      <c r="AC317" s="30">
        <v>47484.0</v>
      </c>
      <c r="AD317" s="30">
        <v>47848.0</v>
      </c>
      <c r="AE317" s="31">
        <v>0.0</v>
      </c>
      <c r="AF317" s="31">
        <v>1.0</v>
      </c>
      <c r="AG317" s="35" t="s">
        <v>7045</v>
      </c>
    </row>
    <row r="318" ht="14.25" customHeight="1">
      <c r="A318" s="28" t="s">
        <v>4390</v>
      </c>
      <c r="B318" s="29" t="s">
        <v>4391</v>
      </c>
      <c r="C318" s="29" t="s">
        <v>7041</v>
      </c>
      <c r="D318" s="30">
        <v>45658.0</v>
      </c>
      <c r="E318" s="30">
        <v>46022.0</v>
      </c>
      <c r="F318" s="31">
        <v>0.0</v>
      </c>
      <c r="G318" s="31">
        <v>1.0</v>
      </c>
      <c r="H318" s="35" t="s">
        <v>7045</v>
      </c>
      <c r="I318" s="30">
        <v>46023.0</v>
      </c>
      <c r="J318" s="30">
        <v>46387.0</v>
      </c>
      <c r="K318" s="31">
        <v>0.0</v>
      </c>
      <c r="L318" s="31">
        <v>1.0</v>
      </c>
      <c r="M318" s="35" t="s">
        <v>7045</v>
      </c>
      <c r="N318" s="30">
        <v>46388.0</v>
      </c>
      <c r="O318" s="30">
        <v>46752.0</v>
      </c>
      <c r="P318" s="31">
        <v>0.0</v>
      </c>
      <c r="Q318" s="31">
        <v>1.0</v>
      </c>
      <c r="R318" s="35" t="s">
        <v>7045</v>
      </c>
      <c r="S318" s="30">
        <v>46753.0</v>
      </c>
      <c r="T318" s="30">
        <v>47118.0</v>
      </c>
      <c r="U318" s="31">
        <v>0.0</v>
      </c>
      <c r="V318" s="31">
        <v>1.0</v>
      </c>
      <c r="W318" s="35" t="s">
        <v>7045</v>
      </c>
      <c r="X318" s="30">
        <v>47119.0</v>
      </c>
      <c r="Y318" s="30">
        <v>47483.0</v>
      </c>
      <c r="Z318" s="31">
        <v>0.0</v>
      </c>
      <c r="AA318" s="31">
        <v>1.0</v>
      </c>
      <c r="AB318" s="35" t="s">
        <v>7045</v>
      </c>
      <c r="AC318" s="30">
        <v>47484.0</v>
      </c>
      <c r="AD318" s="30">
        <v>47848.0</v>
      </c>
      <c r="AE318" s="31">
        <v>0.0</v>
      </c>
      <c r="AF318" s="31">
        <v>1.0</v>
      </c>
      <c r="AG318" s="35" t="s">
        <v>7045</v>
      </c>
    </row>
    <row r="319" ht="14.25" customHeight="1">
      <c r="A319" s="28" t="s">
        <v>4404</v>
      </c>
      <c r="B319" s="29" t="s">
        <v>4405</v>
      </c>
      <c r="C319" s="29" t="s">
        <v>7041</v>
      </c>
      <c r="D319" s="30">
        <v>45658.0</v>
      </c>
      <c r="E319" s="30">
        <v>46022.0</v>
      </c>
      <c r="F319" s="31">
        <v>0.0</v>
      </c>
      <c r="G319" s="31">
        <v>1.0</v>
      </c>
      <c r="H319" s="35" t="s">
        <v>7045</v>
      </c>
      <c r="I319" s="30">
        <v>46023.0</v>
      </c>
      <c r="J319" s="30">
        <v>46387.0</v>
      </c>
      <c r="K319" s="31">
        <v>0.0</v>
      </c>
      <c r="L319" s="31">
        <v>1.0</v>
      </c>
      <c r="M319" s="35" t="s">
        <v>7045</v>
      </c>
      <c r="N319" s="30">
        <v>46388.0</v>
      </c>
      <c r="O319" s="30">
        <v>46752.0</v>
      </c>
      <c r="P319" s="31">
        <v>0.0</v>
      </c>
      <c r="Q319" s="31">
        <v>1.0</v>
      </c>
      <c r="R319" s="35" t="s">
        <v>7045</v>
      </c>
      <c r="S319" s="30">
        <v>46753.0</v>
      </c>
      <c r="T319" s="30">
        <v>47118.0</v>
      </c>
      <c r="U319" s="31">
        <v>0.0</v>
      </c>
      <c r="V319" s="31">
        <v>1.0</v>
      </c>
      <c r="W319" s="35" t="s">
        <v>7045</v>
      </c>
      <c r="X319" s="30">
        <v>47119.0</v>
      </c>
      <c r="Y319" s="30">
        <v>47483.0</v>
      </c>
      <c r="Z319" s="31">
        <v>0.0</v>
      </c>
      <c r="AA319" s="31">
        <v>1.0</v>
      </c>
      <c r="AB319" s="35" t="s">
        <v>7045</v>
      </c>
      <c r="AC319" s="30">
        <v>47484.0</v>
      </c>
      <c r="AD319" s="30">
        <v>47848.0</v>
      </c>
      <c r="AE319" s="31">
        <v>0.0</v>
      </c>
      <c r="AF319" s="31">
        <v>1.0</v>
      </c>
      <c r="AG319" s="35" t="s">
        <v>7045</v>
      </c>
    </row>
    <row r="320" ht="14.25" customHeight="1">
      <c r="A320" s="28" t="s">
        <v>4419</v>
      </c>
      <c r="B320" s="29" t="s">
        <v>4420</v>
      </c>
      <c r="C320" s="29" t="s">
        <v>7041</v>
      </c>
      <c r="D320" s="30">
        <v>45658.0</v>
      </c>
      <c r="E320" s="30">
        <v>46022.0</v>
      </c>
      <c r="F320" s="31">
        <v>0.0</v>
      </c>
      <c r="G320" s="31">
        <v>1.0</v>
      </c>
      <c r="H320" s="35" t="s">
        <v>7045</v>
      </c>
      <c r="I320" s="30">
        <v>46023.0</v>
      </c>
      <c r="J320" s="30">
        <v>46387.0</v>
      </c>
      <c r="K320" s="31">
        <v>0.0</v>
      </c>
      <c r="L320" s="31">
        <v>1.0</v>
      </c>
      <c r="M320" s="35" t="s">
        <v>7045</v>
      </c>
      <c r="N320" s="30">
        <v>46388.0</v>
      </c>
      <c r="O320" s="30">
        <v>46752.0</v>
      </c>
      <c r="P320" s="31">
        <v>0.0</v>
      </c>
      <c r="Q320" s="31">
        <v>1.0</v>
      </c>
      <c r="R320" s="35" t="s">
        <v>7045</v>
      </c>
      <c r="S320" s="30">
        <v>46753.0</v>
      </c>
      <c r="T320" s="30">
        <v>47118.0</v>
      </c>
      <c r="U320" s="31">
        <v>0.0</v>
      </c>
      <c r="V320" s="31">
        <v>1.0</v>
      </c>
      <c r="W320" s="35" t="s">
        <v>7045</v>
      </c>
      <c r="X320" s="30">
        <v>47119.0</v>
      </c>
      <c r="Y320" s="30">
        <v>47483.0</v>
      </c>
      <c r="Z320" s="31">
        <v>0.0</v>
      </c>
      <c r="AA320" s="31">
        <v>1.0</v>
      </c>
      <c r="AB320" s="35" t="s">
        <v>7045</v>
      </c>
      <c r="AC320" s="30">
        <v>47484.0</v>
      </c>
      <c r="AD320" s="30">
        <v>47848.0</v>
      </c>
      <c r="AE320" s="31">
        <v>0.0</v>
      </c>
      <c r="AF320" s="31">
        <v>1.0</v>
      </c>
      <c r="AG320" s="35" t="s">
        <v>7045</v>
      </c>
    </row>
    <row r="321" ht="14.25" customHeight="1">
      <c r="A321" s="28" t="s">
        <v>4423</v>
      </c>
      <c r="B321" s="29" t="s">
        <v>4424</v>
      </c>
      <c r="C321" s="29" t="s">
        <v>7041</v>
      </c>
      <c r="D321" s="30">
        <v>45658.0</v>
      </c>
      <c r="E321" s="30">
        <v>46022.0</v>
      </c>
      <c r="F321" s="31">
        <v>1.0</v>
      </c>
      <c r="G321" s="31">
        <v>1.0</v>
      </c>
      <c r="H321" s="33" t="s">
        <v>7042</v>
      </c>
      <c r="I321" s="30">
        <v>46023.0</v>
      </c>
      <c r="J321" s="30">
        <v>46387.0</v>
      </c>
      <c r="K321" s="31">
        <v>0.0</v>
      </c>
      <c r="L321" s="31">
        <v>1.0</v>
      </c>
      <c r="M321" s="35" t="s">
        <v>7045</v>
      </c>
      <c r="N321" s="30">
        <v>46388.0</v>
      </c>
      <c r="O321" s="30">
        <v>46752.0</v>
      </c>
      <c r="P321" s="31">
        <v>0.0</v>
      </c>
      <c r="Q321" s="31">
        <v>1.0</v>
      </c>
      <c r="R321" s="35" t="s">
        <v>7045</v>
      </c>
      <c r="S321" s="30">
        <v>46753.0</v>
      </c>
      <c r="T321" s="30">
        <v>47118.0</v>
      </c>
      <c r="U321" s="31">
        <v>0.0</v>
      </c>
      <c r="V321" s="31">
        <v>1.0</v>
      </c>
      <c r="W321" s="35" t="s">
        <v>7045</v>
      </c>
      <c r="X321" s="30">
        <v>47119.0</v>
      </c>
      <c r="Y321" s="30">
        <v>47483.0</v>
      </c>
      <c r="Z321" s="31">
        <v>0.0</v>
      </c>
      <c r="AA321" s="31">
        <v>1.0</v>
      </c>
      <c r="AB321" s="35" t="s">
        <v>7045</v>
      </c>
      <c r="AC321" s="30">
        <v>47484.0</v>
      </c>
      <c r="AD321" s="30">
        <v>47848.0</v>
      </c>
      <c r="AE321" s="31">
        <v>0.0</v>
      </c>
      <c r="AF321" s="31">
        <v>1.0</v>
      </c>
      <c r="AG321" s="35" t="s">
        <v>7045</v>
      </c>
    </row>
    <row r="322" ht="14.25" customHeight="1">
      <c r="A322" s="28" t="s">
        <v>4435</v>
      </c>
      <c r="B322" s="29" t="s">
        <v>4436</v>
      </c>
      <c r="C322" s="29" t="s">
        <v>7041</v>
      </c>
      <c r="D322" s="30">
        <v>45658.0</v>
      </c>
      <c r="E322" s="30">
        <v>46022.0</v>
      </c>
      <c r="F322" s="31">
        <v>0.0</v>
      </c>
      <c r="G322" s="31">
        <v>1.0</v>
      </c>
      <c r="H322" s="35" t="s">
        <v>7045</v>
      </c>
      <c r="I322" s="30">
        <v>46023.0</v>
      </c>
      <c r="J322" s="30">
        <v>46387.0</v>
      </c>
      <c r="K322" s="31">
        <v>0.0</v>
      </c>
      <c r="L322" s="31">
        <v>1.0</v>
      </c>
      <c r="M322" s="35" t="s">
        <v>7045</v>
      </c>
      <c r="N322" s="30">
        <v>46388.0</v>
      </c>
      <c r="O322" s="30">
        <v>46752.0</v>
      </c>
      <c r="P322" s="31">
        <v>0.0</v>
      </c>
      <c r="Q322" s="31">
        <v>1.0</v>
      </c>
      <c r="R322" s="35" t="s">
        <v>7045</v>
      </c>
      <c r="S322" s="30">
        <v>46753.0</v>
      </c>
      <c r="T322" s="30">
        <v>47118.0</v>
      </c>
      <c r="U322" s="31">
        <v>0.0</v>
      </c>
      <c r="V322" s="31">
        <v>1.0</v>
      </c>
      <c r="W322" s="35" t="s">
        <v>7045</v>
      </c>
      <c r="X322" s="30">
        <v>47119.0</v>
      </c>
      <c r="Y322" s="30">
        <v>47483.0</v>
      </c>
      <c r="Z322" s="31">
        <v>0.0</v>
      </c>
      <c r="AA322" s="31">
        <v>1.0</v>
      </c>
      <c r="AB322" s="35" t="s">
        <v>7045</v>
      </c>
      <c r="AC322" s="30">
        <v>47484.0</v>
      </c>
      <c r="AD322" s="30">
        <v>47848.0</v>
      </c>
      <c r="AE322" s="31">
        <v>0.0</v>
      </c>
      <c r="AF322" s="31">
        <v>1.0</v>
      </c>
      <c r="AG322" s="35" t="s">
        <v>7045</v>
      </c>
    </row>
    <row r="323" ht="14.25" customHeight="1">
      <c r="A323" s="28" t="s">
        <v>4470</v>
      </c>
      <c r="B323" s="29" t="s">
        <v>4471</v>
      </c>
      <c r="C323" s="29" t="s">
        <v>7041</v>
      </c>
      <c r="D323" s="30">
        <v>45658.0</v>
      </c>
      <c r="E323" s="30">
        <v>46022.0</v>
      </c>
      <c r="F323" s="31">
        <v>0.0</v>
      </c>
      <c r="G323" s="31">
        <v>1.0</v>
      </c>
      <c r="H323" s="35" t="s">
        <v>7045</v>
      </c>
      <c r="I323" s="30">
        <v>46023.0</v>
      </c>
      <c r="J323" s="30">
        <v>46387.0</v>
      </c>
      <c r="K323" s="31">
        <v>0.0</v>
      </c>
      <c r="L323" s="31">
        <v>1.0</v>
      </c>
      <c r="M323" s="35" t="s">
        <v>7045</v>
      </c>
      <c r="N323" s="30">
        <v>46388.0</v>
      </c>
      <c r="O323" s="30">
        <v>46752.0</v>
      </c>
      <c r="P323" s="31">
        <v>0.0</v>
      </c>
      <c r="Q323" s="31">
        <v>1.0</v>
      </c>
      <c r="R323" s="35" t="s">
        <v>7045</v>
      </c>
      <c r="S323" s="30">
        <v>46753.0</v>
      </c>
      <c r="T323" s="30">
        <v>47118.0</v>
      </c>
      <c r="U323" s="31">
        <v>0.0</v>
      </c>
      <c r="V323" s="31">
        <v>1.0</v>
      </c>
      <c r="W323" s="35" t="s">
        <v>7045</v>
      </c>
      <c r="X323" s="30">
        <v>47119.0</v>
      </c>
      <c r="Y323" s="30">
        <v>47483.0</v>
      </c>
      <c r="Z323" s="31">
        <v>0.0</v>
      </c>
      <c r="AA323" s="31">
        <v>1.0</v>
      </c>
      <c r="AB323" s="35" t="s">
        <v>7045</v>
      </c>
      <c r="AC323" s="30">
        <v>47484.0</v>
      </c>
      <c r="AD323" s="30">
        <v>47848.0</v>
      </c>
      <c r="AE323" s="31">
        <v>0.0</v>
      </c>
      <c r="AF323" s="31">
        <v>1.0</v>
      </c>
      <c r="AG323" s="35" t="s">
        <v>7045</v>
      </c>
    </row>
    <row r="324" ht="14.25" customHeight="1">
      <c r="A324" s="28" t="s">
        <v>4474</v>
      </c>
      <c r="B324" s="29" t="s">
        <v>4475</v>
      </c>
      <c r="C324" s="29" t="s">
        <v>7041</v>
      </c>
      <c r="D324" s="30">
        <v>45658.0</v>
      </c>
      <c r="E324" s="30">
        <v>46022.0</v>
      </c>
      <c r="F324" s="31">
        <v>0.0</v>
      </c>
      <c r="G324" s="31">
        <v>1.0</v>
      </c>
      <c r="H324" s="35" t="s">
        <v>7045</v>
      </c>
      <c r="I324" s="30">
        <v>46023.0</v>
      </c>
      <c r="J324" s="30">
        <v>46387.0</v>
      </c>
      <c r="K324" s="31">
        <v>0.0</v>
      </c>
      <c r="L324" s="31">
        <v>1.0</v>
      </c>
      <c r="M324" s="35" t="s">
        <v>7045</v>
      </c>
      <c r="N324" s="30">
        <v>46388.0</v>
      </c>
      <c r="O324" s="30">
        <v>46752.0</v>
      </c>
      <c r="P324" s="31">
        <v>0.0</v>
      </c>
      <c r="Q324" s="31">
        <v>1.0</v>
      </c>
      <c r="R324" s="35" t="s">
        <v>7045</v>
      </c>
      <c r="S324" s="30">
        <v>46753.0</v>
      </c>
      <c r="T324" s="30">
        <v>47118.0</v>
      </c>
      <c r="U324" s="31">
        <v>0.0</v>
      </c>
      <c r="V324" s="31">
        <v>1.0</v>
      </c>
      <c r="W324" s="35" t="s">
        <v>7045</v>
      </c>
      <c r="X324" s="30">
        <v>47119.0</v>
      </c>
      <c r="Y324" s="30">
        <v>47483.0</v>
      </c>
      <c r="Z324" s="31">
        <v>0.0</v>
      </c>
      <c r="AA324" s="31">
        <v>1.0</v>
      </c>
      <c r="AB324" s="35" t="s">
        <v>7045</v>
      </c>
      <c r="AC324" s="30">
        <v>47484.0</v>
      </c>
      <c r="AD324" s="30">
        <v>47848.0</v>
      </c>
      <c r="AE324" s="31">
        <v>0.0</v>
      </c>
      <c r="AF324" s="31">
        <v>1.0</v>
      </c>
      <c r="AG324" s="35" t="s">
        <v>7045</v>
      </c>
    </row>
    <row r="325" ht="14.25" customHeight="1">
      <c r="A325" s="28" t="s">
        <v>4705</v>
      </c>
      <c r="B325" s="29" t="s">
        <v>4706</v>
      </c>
      <c r="C325" s="29" t="s">
        <v>7041</v>
      </c>
      <c r="D325" s="30">
        <v>45658.0</v>
      </c>
      <c r="E325" s="30">
        <v>46022.0</v>
      </c>
      <c r="F325" s="31">
        <v>0.0</v>
      </c>
      <c r="G325" s="31">
        <v>1.0</v>
      </c>
      <c r="H325" s="35" t="s">
        <v>7045</v>
      </c>
      <c r="I325" s="30">
        <v>46023.0</v>
      </c>
      <c r="J325" s="30">
        <v>46387.0</v>
      </c>
      <c r="K325" s="31">
        <v>0.0</v>
      </c>
      <c r="L325" s="31">
        <v>1.0</v>
      </c>
      <c r="M325" s="35" t="s">
        <v>7045</v>
      </c>
      <c r="N325" s="30">
        <v>46388.0</v>
      </c>
      <c r="O325" s="30">
        <v>46752.0</v>
      </c>
      <c r="P325" s="31">
        <v>0.0</v>
      </c>
      <c r="Q325" s="31">
        <v>1.0</v>
      </c>
      <c r="R325" s="35" t="s">
        <v>7045</v>
      </c>
      <c r="S325" s="30">
        <v>46753.0</v>
      </c>
      <c r="T325" s="30">
        <v>47118.0</v>
      </c>
      <c r="U325" s="31">
        <v>0.0</v>
      </c>
      <c r="V325" s="31">
        <v>1.0</v>
      </c>
      <c r="W325" s="35" t="s">
        <v>7045</v>
      </c>
      <c r="X325" s="30">
        <v>47119.0</v>
      </c>
      <c r="Y325" s="30">
        <v>47483.0</v>
      </c>
      <c r="Z325" s="31">
        <v>0.0</v>
      </c>
      <c r="AA325" s="31">
        <v>1.0</v>
      </c>
      <c r="AB325" s="35" t="s">
        <v>7045</v>
      </c>
      <c r="AC325" s="30">
        <v>47484.0</v>
      </c>
      <c r="AD325" s="30">
        <v>47848.0</v>
      </c>
      <c r="AE325" s="31">
        <v>0.0</v>
      </c>
      <c r="AF325" s="31">
        <v>1.0</v>
      </c>
      <c r="AG325" s="35" t="s">
        <v>7045</v>
      </c>
    </row>
    <row r="326" ht="14.25" customHeight="1">
      <c r="A326" s="28" t="s">
        <v>4806</v>
      </c>
      <c r="B326" s="29" t="s">
        <v>4807</v>
      </c>
      <c r="C326" s="29" t="s">
        <v>7041</v>
      </c>
      <c r="D326" s="30">
        <v>45658.0</v>
      </c>
      <c r="E326" s="30">
        <v>46022.0</v>
      </c>
      <c r="F326" s="31">
        <v>0.0</v>
      </c>
      <c r="G326" s="31">
        <v>1.0</v>
      </c>
      <c r="H326" s="35" t="s">
        <v>7045</v>
      </c>
      <c r="I326" s="30">
        <v>46023.0</v>
      </c>
      <c r="J326" s="30">
        <v>46387.0</v>
      </c>
      <c r="K326" s="31">
        <v>0.0</v>
      </c>
      <c r="L326" s="31">
        <v>1.0</v>
      </c>
      <c r="M326" s="35" t="s">
        <v>7045</v>
      </c>
      <c r="N326" s="30">
        <v>46388.0</v>
      </c>
      <c r="O326" s="30">
        <v>46752.0</v>
      </c>
      <c r="P326" s="31">
        <v>0.0</v>
      </c>
      <c r="Q326" s="31">
        <v>1.0</v>
      </c>
      <c r="R326" s="35" t="s">
        <v>7045</v>
      </c>
      <c r="S326" s="30">
        <v>46753.0</v>
      </c>
      <c r="T326" s="30">
        <v>47118.0</v>
      </c>
      <c r="U326" s="31">
        <v>0.0</v>
      </c>
      <c r="V326" s="31">
        <v>1.0</v>
      </c>
      <c r="W326" s="35" t="s">
        <v>7045</v>
      </c>
      <c r="X326" s="30">
        <v>47119.0</v>
      </c>
      <c r="Y326" s="30">
        <v>47483.0</v>
      </c>
      <c r="Z326" s="31">
        <v>0.0</v>
      </c>
      <c r="AA326" s="31">
        <v>1.0</v>
      </c>
      <c r="AB326" s="35" t="s">
        <v>7045</v>
      </c>
      <c r="AC326" s="30">
        <v>47484.0</v>
      </c>
      <c r="AD326" s="30">
        <v>47848.0</v>
      </c>
      <c r="AE326" s="31">
        <v>0.0</v>
      </c>
      <c r="AF326" s="31">
        <v>1.0</v>
      </c>
      <c r="AG326" s="35" t="s">
        <v>7045</v>
      </c>
    </row>
    <row r="327" ht="14.25" customHeight="1">
      <c r="A327" s="28" t="s">
        <v>4841</v>
      </c>
      <c r="B327" s="29" t="s">
        <v>4842</v>
      </c>
      <c r="C327" s="29" t="s">
        <v>7041</v>
      </c>
      <c r="D327" s="30">
        <v>45658.0</v>
      </c>
      <c r="E327" s="30">
        <v>46022.0</v>
      </c>
      <c r="F327" s="31">
        <v>0.0</v>
      </c>
      <c r="G327" s="31">
        <v>1.0</v>
      </c>
      <c r="H327" s="35" t="s">
        <v>7045</v>
      </c>
      <c r="I327" s="30">
        <v>46023.0</v>
      </c>
      <c r="J327" s="30">
        <v>46387.0</v>
      </c>
      <c r="K327" s="31">
        <v>0.0</v>
      </c>
      <c r="L327" s="31">
        <v>1.0</v>
      </c>
      <c r="M327" s="35" t="s">
        <v>7045</v>
      </c>
      <c r="N327" s="30">
        <v>46388.0</v>
      </c>
      <c r="O327" s="30">
        <v>46752.0</v>
      </c>
      <c r="P327" s="31">
        <v>0.0</v>
      </c>
      <c r="Q327" s="31">
        <v>1.0</v>
      </c>
      <c r="R327" s="35" t="s">
        <v>7045</v>
      </c>
      <c r="S327" s="30">
        <v>46753.0</v>
      </c>
      <c r="T327" s="30">
        <v>47118.0</v>
      </c>
      <c r="U327" s="31">
        <v>0.0</v>
      </c>
      <c r="V327" s="31">
        <v>1.0</v>
      </c>
      <c r="W327" s="35" t="s">
        <v>7045</v>
      </c>
      <c r="X327" s="30">
        <v>47119.0</v>
      </c>
      <c r="Y327" s="30">
        <v>47483.0</v>
      </c>
      <c r="Z327" s="31">
        <v>0.0</v>
      </c>
      <c r="AA327" s="31">
        <v>1.0</v>
      </c>
      <c r="AB327" s="35" t="s">
        <v>7045</v>
      </c>
      <c r="AC327" s="30">
        <v>47484.0</v>
      </c>
      <c r="AD327" s="30">
        <v>47848.0</v>
      </c>
      <c r="AE327" s="31">
        <v>0.0</v>
      </c>
      <c r="AF327" s="31">
        <v>1.0</v>
      </c>
      <c r="AG327" s="35" t="s">
        <v>7045</v>
      </c>
    </row>
    <row r="328" ht="14.25" customHeight="1">
      <c r="A328" s="28" t="s">
        <v>4916</v>
      </c>
      <c r="B328" s="29" t="s">
        <v>4917</v>
      </c>
      <c r="C328" s="29" t="s">
        <v>7041</v>
      </c>
      <c r="D328" s="30">
        <v>45658.0</v>
      </c>
      <c r="E328" s="30">
        <v>46022.0</v>
      </c>
      <c r="F328" s="31">
        <v>0.0</v>
      </c>
      <c r="G328" s="31">
        <v>1.0</v>
      </c>
      <c r="H328" s="35" t="s">
        <v>7045</v>
      </c>
      <c r="I328" s="30">
        <v>46023.0</v>
      </c>
      <c r="J328" s="30">
        <v>46387.0</v>
      </c>
      <c r="K328" s="31">
        <v>0.0</v>
      </c>
      <c r="L328" s="31">
        <v>1.0</v>
      </c>
      <c r="M328" s="35" t="s">
        <v>7045</v>
      </c>
      <c r="N328" s="30">
        <v>46388.0</v>
      </c>
      <c r="O328" s="30">
        <v>46752.0</v>
      </c>
      <c r="P328" s="31">
        <v>0.0</v>
      </c>
      <c r="Q328" s="31">
        <v>1.0</v>
      </c>
      <c r="R328" s="35" t="s">
        <v>7045</v>
      </c>
      <c r="S328" s="30">
        <v>46753.0</v>
      </c>
      <c r="T328" s="30">
        <v>47118.0</v>
      </c>
      <c r="U328" s="31">
        <v>0.0</v>
      </c>
      <c r="V328" s="31">
        <v>1.0</v>
      </c>
      <c r="W328" s="35" t="s">
        <v>7045</v>
      </c>
      <c r="X328" s="30">
        <v>47119.0</v>
      </c>
      <c r="Y328" s="30">
        <v>47483.0</v>
      </c>
      <c r="Z328" s="31">
        <v>0.0</v>
      </c>
      <c r="AA328" s="31">
        <v>1.0</v>
      </c>
      <c r="AB328" s="35" t="s">
        <v>7045</v>
      </c>
      <c r="AC328" s="30">
        <v>47484.0</v>
      </c>
      <c r="AD328" s="30">
        <v>47848.0</v>
      </c>
      <c r="AE328" s="31">
        <v>0.0</v>
      </c>
      <c r="AF328" s="31">
        <v>1.0</v>
      </c>
      <c r="AG328" s="35" t="s">
        <v>7045</v>
      </c>
    </row>
    <row r="329" ht="14.25" customHeight="1">
      <c r="A329" s="28" t="s">
        <v>4925</v>
      </c>
      <c r="B329" s="29" t="s">
        <v>4926</v>
      </c>
      <c r="C329" s="29" t="s">
        <v>7041</v>
      </c>
      <c r="D329" s="30">
        <v>45658.0</v>
      </c>
      <c r="E329" s="30">
        <v>46022.0</v>
      </c>
      <c r="F329" s="31">
        <v>0.0</v>
      </c>
      <c r="G329" s="31">
        <v>1.0</v>
      </c>
      <c r="H329" s="35" t="s">
        <v>7045</v>
      </c>
      <c r="I329" s="30">
        <v>46023.0</v>
      </c>
      <c r="J329" s="30">
        <v>46387.0</v>
      </c>
      <c r="K329" s="31">
        <v>0.0</v>
      </c>
      <c r="L329" s="31">
        <v>1.0</v>
      </c>
      <c r="M329" s="35" t="s">
        <v>7045</v>
      </c>
      <c r="N329" s="30">
        <v>46388.0</v>
      </c>
      <c r="O329" s="30">
        <v>46752.0</v>
      </c>
      <c r="P329" s="31">
        <v>0.0</v>
      </c>
      <c r="Q329" s="31">
        <v>1.0</v>
      </c>
      <c r="R329" s="35" t="s">
        <v>7045</v>
      </c>
      <c r="S329" s="30">
        <v>46753.0</v>
      </c>
      <c r="T329" s="30">
        <v>47118.0</v>
      </c>
      <c r="U329" s="31">
        <v>0.0</v>
      </c>
      <c r="V329" s="31">
        <v>1.0</v>
      </c>
      <c r="W329" s="35" t="s">
        <v>7045</v>
      </c>
      <c r="X329" s="30">
        <v>47119.0</v>
      </c>
      <c r="Y329" s="30">
        <v>47483.0</v>
      </c>
      <c r="Z329" s="31">
        <v>0.0</v>
      </c>
      <c r="AA329" s="31">
        <v>1.0</v>
      </c>
      <c r="AB329" s="35" t="s">
        <v>7045</v>
      </c>
      <c r="AC329" s="30">
        <v>47484.0</v>
      </c>
      <c r="AD329" s="30">
        <v>47848.0</v>
      </c>
      <c r="AE329" s="31">
        <v>0.0</v>
      </c>
      <c r="AF329" s="31">
        <v>1.0</v>
      </c>
      <c r="AG329" s="35" t="s">
        <v>7045</v>
      </c>
    </row>
    <row r="330" ht="14.25" customHeight="1">
      <c r="A330" s="28" t="s">
        <v>5057</v>
      </c>
      <c r="B330" s="29" t="s">
        <v>5058</v>
      </c>
      <c r="C330" s="29" t="s">
        <v>7041</v>
      </c>
      <c r="D330" s="30">
        <v>45658.0</v>
      </c>
      <c r="E330" s="30">
        <v>46022.0</v>
      </c>
      <c r="F330" s="31">
        <v>0.0</v>
      </c>
      <c r="G330" s="31">
        <v>1.0</v>
      </c>
      <c r="H330" s="35" t="s">
        <v>7045</v>
      </c>
      <c r="I330" s="30">
        <v>46023.0</v>
      </c>
      <c r="J330" s="30">
        <v>46387.0</v>
      </c>
      <c r="K330" s="31">
        <v>0.0</v>
      </c>
      <c r="L330" s="31">
        <v>1.0</v>
      </c>
      <c r="M330" s="35" t="s">
        <v>7045</v>
      </c>
      <c r="N330" s="30">
        <v>46388.0</v>
      </c>
      <c r="O330" s="30">
        <v>46752.0</v>
      </c>
      <c r="P330" s="31">
        <v>0.0</v>
      </c>
      <c r="Q330" s="31">
        <v>1.0</v>
      </c>
      <c r="R330" s="35" t="s">
        <v>7045</v>
      </c>
      <c r="S330" s="30">
        <v>46753.0</v>
      </c>
      <c r="T330" s="30">
        <v>47118.0</v>
      </c>
      <c r="U330" s="31">
        <v>0.0</v>
      </c>
      <c r="V330" s="31">
        <v>1.0</v>
      </c>
      <c r="W330" s="35" t="s">
        <v>7045</v>
      </c>
      <c r="X330" s="30">
        <v>47119.0</v>
      </c>
      <c r="Y330" s="30">
        <v>47483.0</v>
      </c>
      <c r="Z330" s="31">
        <v>0.0</v>
      </c>
      <c r="AA330" s="31">
        <v>1.0</v>
      </c>
      <c r="AB330" s="35" t="s">
        <v>7045</v>
      </c>
      <c r="AC330" s="30">
        <v>47484.0</v>
      </c>
      <c r="AD330" s="30">
        <v>47848.0</v>
      </c>
      <c r="AE330" s="31">
        <v>0.0</v>
      </c>
      <c r="AF330" s="31">
        <v>1.0</v>
      </c>
      <c r="AG330" s="35" t="s">
        <v>7045</v>
      </c>
    </row>
    <row r="331" ht="14.25" customHeight="1">
      <c r="A331" s="28" t="s">
        <v>5079</v>
      </c>
      <c r="B331" s="29" t="s">
        <v>5080</v>
      </c>
      <c r="C331" s="29" t="s">
        <v>7041</v>
      </c>
      <c r="D331" s="30">
        <v>45658.0</v>
      </c>
      <c r="E331" s="30">
        <v>46022.0</v>
      </c>
      <c r="F331" s="31">
        <v>0.0</v>
      </c>
      <c r="G331" s="31">
        <v>1.0</v>
      </c>
      <c r="H331" s="35" t="s">
        <v>7045</v>
      </c>
      <c r="I331" s="30">
        <v>46023.0</v>
      </c>
      <c r="J331" s="30">
        <v>46387.0</v>
      </c>
      <c r="K331" s="31">
        <v>0.0</v>
      </c>
      <c r="L331" s="31">
        <v>1.0</v>
      </c>
      <c r="M331" s="35" t="s">
        <v>7045</v>
      </c>
      <c r="N331" s="30">
        <v>46388.0</v>
      </c>
      <c r="O331" s="30">
        <v>46752.0</v>
      </c>
      <c r="P331" s="31">
        <v>0.0</v>
      </c>
      <c r="Q331" s="31">
        <v>1.0</v>
      </c>
      <c r="R331" s="35" t="s">
        <v>7045</v>
      </c>
      <c r="S331" s="30">
        <v>46753.0</v>
      </c>
      <c r="T331" s="30">
        <v>47118.0</v>
      </c>
      <c r="U331" s="31">
        <v>0.0</v>
      </c>
      <c r="V331" s="31">
        <v>1.0</v>
      </c>
      <c r="W331" s="35" t="s">
        <v>7045</v>
      </c>
      <c r="X331" s="30">
        <v>47119.0</v>
      </c>
      <c r="Y331" s="30">
        <v>47483.0</v>
      </c>
      <c r="Z331" s="31">
        <v>0.0</v>
      </c>
      <c r="AA331" s="31">
        <v>1.0</v>
      </c>
      <c r="AB331" s="35" t="s">
        <v>7045</v>
      </c>
      <c r="AC331" s="30">
        <v>47484.0</v>
      </c>
      <c r="AD331" s="30">
        <v>47848.0</v>
      </c>
      <c r="AE331" s="31">
        <v>0.0</v>
      </c>
      <c r="AF331" s="31">
        <v>1.0</v>
      </c>
      <c r="AG331" s="35" t="s">
        <v>7045</v>
      </c>
    </row>
    <row r="332" ht="14.25" customHeight="1">
      <c r="A332" s="28" t="s">
        <v>5182</v>
      </c>
      <c r="B332" s="29" t="s">
        <v>5183</v>
      </c>
      <c r="C332" s="29" t="s">
        <v>7041</v>
      </c>
      <c r="D332" s="30">
        <v>45658.0</v>
      </c>
      <c r="E332" s="30">
        <v>46022.0</v>
      </c>
      <c r="F332" s="31">
        <v>0.0</v>
      </c>
      <c r="G332" s="31">
        <v>1.0</v>
      </c>
      <c r="H332" s="35" t="s">
        <v>7045</v>
      </c>
      <c r="I332" s="30">
        <v>46023.0</v>
      </c>
      <c r="J332" s="30">
        <v>46387.0</v>
      </c>
      <c r="K332" s="31">
        <v>0.0</v>
      </c>
      <c r="L332" s="31">
        <v>1.0</v>
      </c>
      <c r="M332" s="35" t="s">
        <v>7045</v>
      </c>
      <c r="N332" s="30">
        <v>46388.0</v>
      </c>
      <c r="O332" s="30">
        <v>46752.0</v>
      </c>
      <c r="P332" s="31">
        <v>0.0</v>
      </c>
      <c r="Q332" s="31">
        <v>1.0</v>
      </c>
      <c r="R332" s="35" t="s">
        <v>7045</v>
      </c>
      <c r="S332" s="30">
        <v>46753.0</v>
      </c>
      <c r="T332" s="30">
        <v>47118.0</v>
      </c>
      <c r="U332" s="31">
        <v>0.0</v>
      </c>
      <c r="V332" s="31">
        <v>1.0</v>
      </c>
      <c r="W332" s="35" t="s">
        <v>7045</v>
      </c>
      <c r="X332" s="30">
        <v>47119.0</v>
      </c>
      <c r="Y332" s="30">
        <v>47483.0</v>
      </c>
      <c r="Z332" s="31">
        <v>0.0</v>
      </c>
      <c r="AA332" s="31">
        <v>1.0</v>
      </c>
      <c r="AB332" s="35" t="s">
        <v>7045</v>
      </c>
      <c r="AC332" s="30">
        <v>47484.0</v>
      </c>
      <c r="AD332" s="30">
        <v>47848.0</v>
      </c>
      <c r="AE332" s="31">
        <v>0.0</v>
      </c>
      <c r="AF332" s="31">
        <v>1.0</v>
      </c>
      <c r="AG332" s="35" t="s">
        <v>7045</v>
      </c>
    </row>
    <row r="333" ht="14.25" customHeight="1">
      <c r="A333" s="28" t="s">
        <v>5215</v>
      </c>
      <c r="B333" s="29" t="s">
        <v>5216</v>
      </c>
      <c r="C333" s="29" t="s">
        <v>7041</v>
      </c>
      <c r="D333" s="30">
        <v>45658.0</v>
      </c>
      <c r="E333" s="30">
        <v>46022.0</v>
      </c>
      <c r="F333" s="31">
        <v>0.0</v>
      </c>
      <c r="G333" s="31">
        <v>1.0</v>
      </c>
      <c r="H333" s="35" t="s">
        <v>7045</v>
      </c>
      <c r="I333" s="30">
        <v>46023.0</v>
      </c>
      <c r="J333" s="30">
        <v>46387.0</v>
      </c>
      <c r="K333" s="31">
        <v>0.0</v>
      </c>
      <c r="L333" s="31">
        <v>1.0</v>
      </c>
      <c r="M333" s="35" t="s">
        <v>7045</v>
      </c>
      <c r="N333" s="30">
        <v>46388.0</v>
      </c>
      <c r="O333" s="30">
        <v>46752.0</v>
      </c>
      <c r="P333" s="31">
        <v>0.0</v>
      </c>
      <c r="Q333" s="31">
        <v>1.0</v>
      </c>
      <c r="R333" s="35" t="s">
        <v>7045</v>
      </c>
      <c r="S333" s="30">
        <v>46753.0</v>
      </c>
      <c r="T333" s="30">
        <v>47118.0</v>
      </c>
      <c r="U333" s="31">
        <v>0.0</v>
      </c>
      <c r="V333" s="31">
        <v>1.0</v>
      </c>
      <c r="W333" s="35" t="s">
        <v>7045</v>
      </c>
      <c r="X333" s="30">
        <v>47119.0</v>
      </c>
      <c r="Y333" s="30">
        <v>47483.0</v>
      </c>
      <c r="Z333" s="31">
        <v>0.0</v>
      </c>
      <c r="AA333" s="31">
        <v>1.0</v>
      </c>
      <c r="AB333" s="35" t="s">
        <v>7045</v>
      </c>
      <c r="AC333" s="30">
        <v>47484.0</v>
      </c>
      <c r="AD333" s="30">
        <v>47848.0</v>
      </c>
      <c r="AE333" s="31">
        <v>0.0</v>
      </c>
      <c r="AF333" s="31">
        <v>1.0</v>
      </c>
      <c r="AG333" s="35" t="s">
        <v>7045</v>
      </c>
    </row>
    <row r="334" ht="14.25" customHeight="1">
      <c r="A334" s="28" t="s">
        <v>5348</v>
      </c>
      <c r="B334" s="29" t="s">
        <v>5349</v>
      </c>
      <c r="C334" s="29" t="s">
        <v>7041</v>
      </c>
      <c r="D334" s="30">
        <v>45658.0</v>
      </c>
      <c r="E334" s="30">
        <v>46022.0</v>
      </c>
      <c r="F334" s="31">
        <v>0.0</v>
      </c>
      <c r="G334" s="31">
        <v>1.0</v>
      </c>
      <c r="H334" s="35" t="s">
        <v>7045</v>
      </c>
      <c r="I334" s="30">
        <v>46023.0</v>
      </c>
      <c r="J334" s="30">
        <v>46387.0</v>
      </c>
      <c r="K334" s="31">
        <v>0.0</v>
      </c>
      <c r="L334" s="31">
        <v>1.0</v>
      </c>
      <c r="M334" s="35" t="s">
        <v>7045</v>
      </c>
      <c r="N334" s="30">
        <v>46388.0</v>
      </c>
      <c r="O334" s="30">
        <v>46752.0</v>
      </c>
      <c r="P334" s="31">
        <v>0.0</v>
      </c>
      <c r="Q334" s="31">
        <v>1.0</v>
      </c>
      <c r="R334" s="35" t="s">
        <v>7045</v>
      </c>
      <c r="S334" s="30">
        <v>46753.0</v>
      </c>
      <c r="T334" s="30">
        <v>47118.0</v>
      </c>
      <c r="U334" s="31">
        <v>0.0</v>
      </c>
      <c r="V334" s="31">
        <v>1.0</v>
      </c>
      <c r="W334" s="35" t="s">
        <v>7045</v>
      </c>
      <c r="X334" s="30">
        <v>47119.0</v>
      </c>
      <c r="Y334" s="30">
        <v>47483.0</v>
      </c>
      <c r="Z334" s="31">
        <v>0.0</v>
      </c>
      <c r="AA334" s="31">
        <v>1.0</v>
      </c>
      <c r="AB334" s="35" t="s">
        <v>7045</v>
      </c>
      <c r="AC334" s="30">
        <v>47484.0</v>
      </c>
      <c r="AD334" s="30">
        <v>47848.0</v>
      </c>
      <c r="AE334" s="31">
        <v>0.0</v>
      </c>
      <c r="AF334" s="31">
        <v>1.0</v>
      </c>
      <c r="AG334" s="35" t="s">
        <v>7045</v>
      </c>
    </row>
    <row r="335" ht="14.25" customHeight="1">
      <c r="A335" s="28" t="s">
        <v>5357</v>
      </c>
      <c r="B335" s="29" t="s">
        <v>5358</v>
      </c>
      <c r="C335" s="29" t="s">
        <v>7044</v>
      </c>
      <c r="D335" s="30">
        <v>45658.0</v>
      </c>
      <c r="E335" s="30">
        <v>46022.0</v>
      </c>
      <c r="F335" s="31">
        <v>0.0</v>
      </c>
      <c r="G335" s="31">
        <v>1.0</v>
      </c>
      <c r="H335" s="35" t="s">
        <v>7045</v>
      </c>
      <c r="I335" s="30">
        <v>46023.0</v>
      </c>
      <c r="J335" s="30">
        <v>46387.0</v>
      </c>
      <c r="K335" s="31">
        <v>0.0</v>
      </c>
      <c r="L335" s="31">
        <v>1.0</v>
      </c>
      <c r="M335" s="35" t="s">
        <v>7045</v>
      </c>
      <c r="N335" s="30">
        <v>46388.0</v>
      </c>
      <c r="O335" s="30">
        <v>46752.0</v>
      </c>
      <c r="P335" s="31">
        <v>0.0</v>
      </c>
      <c r="Q335" s="31">
        <v>1.0</v>
      </c>
      <c r="R335" s="35" t="s">
        <v>7045</v>
      </c>
      <c r="S335" s="30">
        <v>46753.0</v>
      </c>
      <c r="T335" s="30">
        <v>47118.0</v>
      </c>
      <c r="U335" s="31">
        <v>0.0</v>
      </c>
      <c r="V335" s="31">
        <v>1.0</v>
      </c>
      <c r="W335" s="35" t="s">
        <v>7045</v>
      </c>
      <c r="X335" s="30">
        <v>47119.0</v>
      </c>
      <c r="Y335" s="30">
        <v>47483.0</v>
      </c>
      <c r="Z335" s="31">
        <v>0.0</v>
      </c>
      <c r="AA335" s="31">
        <v>1.0</v>
      </c>
      <c r="AB335" s="35" t="s">
        <v>7045</v>
      </c>
      <c r="AC335" s="30">
        <v>47484.0</v>
      </c>
      <c r="AD335" s="30">
        <v>47848.0</v>
      </c>
      <c r="AE335" s="31">
        <v>0.0</v>
      </c>
      <c r="AF335" s="31">
        <v>1.0</v>
      </c>
      <c r="AG335" s="35" t="s">
        <v>7045</v>
      </c>
    </row>
    <row r="336" ht="14.25" customHeight="1">
      <c r="A336" s="28" t="s">
        <v>5399</v>
      </c>
      <c r="B336" s="29" t="s">
        <v>5400</v>
      </c>
      <c r="C336" s="29" t="s">
        <v>7041</v>
      </c>
      <c r="D336" s="30">
        <v>45658.0</v>
      </c>
      <c r="E336" s="30">
        <v>46022.0</v>
      </c>
      <c r="F336" s="31">
        <v>0.0</v>
      </c>
      <c r="G336" s="31">
        <v>1.0</v>
      </c>
      <c r="H336" s="35" t="s">
        <v>7045</v>
      </c>
      <c r="I336" s="30">
        <v>46023.0</v>
      </c>
      <c r="J336" s="30">
        <v>46387.0</v>
      </c>
      <c r="K336" s="31">
        <v>0.0</v>
      </c>
      <c r="L336" s="31">
        <v>1.0</v>
      </c>
      <c r="M336" s="35" t="s">
        <v>7045</v>
      </c>
      <c r="N336" s="30">
        <v>46388.0</v>
      </c>
      <c r="O336" s="30">
        <v>46752.0</v>
      </c>
      <c r="P336" s="31">
        <v>0.0</v>
      </c>
      <c r="Q336" s="31">
        <v>1.0</v>
      </c>
      <c r="R336" s="35" t="s">
        <v>7045</v>
      </c>
      <c r="S336" s="30">
        <v>46753.0</v>
      </c>
      <c r="T336" s="30">
        <v>47118.0</v>
      </c>
      <c r="U336" s="31">
        <v>0.0</v>
      </c>
      <c r="V336" s="31">
        <v>1.0</v>
      </c>
      <c r="W336" s="35" t="s">
        <v>7045</v>
      </c>
      <c r="X336" s="30">
        <v>47119.0</v>
      </c>
      <c r="Y336" s="30">
        <v>47483.0</v>
      </c>
      <c r="Z336" s="31">
        <v>0.0</v>
      </c>
      <c r="AA336" s="31">
        <v>1.0</v>
      </c>
      <c r="AB336" s="35" t="s">
        <v>7045</v>
      </c>
      <c r="AC336" s="30">
        <v>47484.0</v>
      </c>
      <c r="AD336" s="30">
        <v>47848.0</v>
      </c>
      <c r="AE336" s="31">
        <v>0.0</v>
      </c>
      <c r="AF336" s="31">
        <v>1.0</v>
      </c>
      <c r="AG336" s="35" t="s">
        <v>7045</v>
      </c>
    </row>
    <row r="337" ht="14.25" customHeight="1">
      <c r="A337" s="28" t="s">
        <v>5454</v>
      </c>
      <c r="B337" s="29" t="s">
        <v>5455</v>
      </c>
      <c r="C337" s="29" t="s">
        <v>7041</v>
      </c>
      <c r="D337" s="30">
        <v>45658.0</v>
      </c>
      <c r="E337" s="30">
        <v>46022.0</v>
      </c>
      <c r="F337" s="31">
        <v>0.0</v>
      </c>
      <c r="G337" s="31">
        <v>1.0</v>
      </c>
      <c r="H337" s="35" t="s">
        <v>7045</v>
      </c>
      <c r="I337" s="30">
        <v>46023.0</v>
      </c>
      <c r="J337" s="30">
        <v>46387.0</v>
      </c>
      <c r="K337" s="31">
        <v>0.0</v>
      </c>
      <c r="L337" s="31">
        <v>1.0</v>
      </c>
      <c r="M337" s="35" t="s">
        <v>7045</v>
      </c>
      <c r="N337" s="30">
        <v>46388.0</v>
      </c>
      <c r="O337" s="30">
        <v>46752.0</v>
      </c>
      <c r="P337" s="31">
        <v>0.0</v>
      </c>
      <c r="Q337" s="31">
        <v>1.0</v>
      </c>
      <c r="R337" s="35" t="s">
        <v>7045</v>
      </c>
      <c r="S337" s="30">
        <v>46753.0</v>
      </c>
      <c r="T337" s="30">
        <v>47118.0</v>
      </c>
      <c r="U337" s="31">
        <v>0.0</v>
      </c>
      <c r="V337" s="31">
        <v>1.0</v>
      </c>
      <c r="W337" s="35" t="s">
        <v>7045</v>
      </c>
      <c r="X337" s="30">
        <v>47119.0</v>
      </c>
      <c r="Y337" s="30">
        <v>47483.0</v>
      </c>
      <c r="Z337" s="31">
        <v>0.0</v>
      </c>
      <c r="AA337" s="31">
        <v>1.0</v>
      </c>
      <c r="AB337" s="35" t="s">
        <v>7045</v>
      </c>
      <c r="AC337" s="30">
        <v>47484.0</v>
      </c>
      <c r="AD337" s="30">
        <v>47848.0</v>
      </c>
      <c r="AE337" s="31">
        <v>0.0</v>
      </c>
      <c r="AF337" s="31">
        <v>1.0</v>
      </c>
      <c r="AG337" s="35" t="s">
        <v>7045</v>
      </c>
    </row>
    <row r="338" ht="14.25" customHeight="1">
      <c r="A338" s="28" t="s">
        <v>5504</v>
      </c>
      <c r="B338" s="29" t="s">
        <v>5505</v>
      </c>
      <c r="C338" s="29" t="s">
        <v>7041</v>
      </c>
      <c r="D338" s="30">
        <v>45658.0</v>
      </c>
      <c r="E338" s="30">
        <v>46022.0</v>
      </c>
      <c r="F338" s="31">
        <v>0.0</v>
      </c>
      <c r="G338" s="31">
        <v>1.0</v>
      </c>
      <c r="H338" s="35" t="s">
        <v>7045</v>
      </c>
      <c r="I338" s="30">
        <v>46023.0</v>
      </c>
      <c r="J338" s="30">
        <v>46387.0</v>
      </c>
      <c r="K338" s="31">
        <v>0.0</v>
      </c>
      <c r="L338" s="31">
        <v>1.0</v>
      </c>
      <c r="M338" s="35" t="s">
        <v>7045</v>
      </c>
      <c r="N338" s="30">
        <v>46388.0</v>
      </c>
      <c r="O338" s="30">
        <v>46752.0</v>
      </c>
      <c r="P338" s="31">
        <v>0.0</v>
      </c>
      <c r="Q338" s="31">
        <v>1.0</v>
      </c>
      <c r="R338" s="35" t="s">
        <v>7045</v>
      </c>
      <c r="S338" s="30">
        <v>46753.0</v>
      </c>
      <c r="T338" s="30">
        <v>47118.0</v>
      </c>
      <c r="U338" s="31">
        <v>0.0</v>
      </c>
      <c r="V338" s="31">
        <v>1.0</v>
      </c>
      <c r="W338" s="35" t="s">
        <v>7045</v>
      </c>
      <c r="X338" s="30">
        <v>47119.0</v>
      </c>
      <c r="Y338" s="30">
        <v>47483.0</v>
      </c>
      <c r="Z338" s="31">
        <v>0.0</v>
      </c>
      <c r="AA338" s="31">
        <v>1.0</v>
      </c>
      <c r="AB338" s="35" t="s">
        <v>7045</v>
      </c>
      <c r="AC338" s="30">
        <v>47484.0</v>
      </c>
      <c r="AD338" s="30">
        <v>47848.0</v>
      </c>
      <c r="AE338" s="31">
        <v>0.0</v>
      </c>
      <c r="AF338" s="31">
        <v>1.0</v>
      </c>
      <c r="AG338" s="35" t="s">
        <v>7045</v>
      </c>
    </row>
    <row r="339" ht="14.25" customHeight="1">
      <c r="A339" s="28" t="s">
        <v>5569</v>
      </c>
      <c r="B339" s="29" t="s">
        <v>5570</v>
      </c>
      <c r="C339" s="29" t="s">
        <v>7041</v>
      </c>
      <c r="D339" s="30">
        <v>45658.0</v>
      </c>
      <c r="E339" s="30">
        <v>46022.0</v>
      </c>
      <c r="F339" s="31">
        <v>0.0</v>
      </c>
      <c r="G339" s="31">
        <v>1.0</v>
      </c>
      <c r="H339" s="35" t="s">
        <v>7045</v>
      </c>
      <c r="I339" s="30">
        <v>46023.0</v>
      </c>
      <c r="J339" s="30">
        <v>46387.0</v>
      </c>
      <c r="K339" s="31">
        <v>0.0</v>
      </c>
      <c r="L339" s="31">
        <v>1.0</v>
      </c>
      <c r="M339" s="35" t="s">
        <v>7045</v>
      </c>
      <c r="N339" s="30">
        <v>46388.0</v>
      </c>
      <c r="O339" s="30">
        <v>46752.0</v>
      </c>
      <c r="P339" s="31">
        <v>0.0</v>
      </c>
      <c r="Q339" s="31">
        <v>1.0</v>
      </c>
      <c r="R339" s="35" t="s">
        <v>7045</v>
      </c>
      <c r="S339" s="30">
        <v>46753.0</v>
      </c>
      <c r="T339" s="30">
        <v>47118.0</v>
      </c>
      <c r="U339" s="31">
        <v>0.0</v>
      </c>
      <c r="V339" s="31">
        <v>1.0</v>
      </c>
      <c r="W339" s="35" t="s">
        <v>7045</v>
      </c>
      <c r="X339" s="30">
        <v>47119.0</v>
      </c>
      <c r="Y339" s="30">
        <v>47483.0</v>
      </c>
      <c r="Z339" s="31">
        <v>0.0</v>
      </c>
      <c r="AA339" s="31">
        <v>1.0</v>
      </c>
      <c r="AB339" s="35" t="s">
        <v>7045</v>
      </c>
      <c r="AC339" s="30">
        <v>47484.0</v>
      </c>
      <c r="AD339" s="30">
        <v>47848.0</v>
      </c>
      <c r="AE339" s="31">
        <v>0.0</v>
      </c>
      <c r="AF339" s="31">
        <v>1.0</v>
      </c>
      <c r="AG339" s="35" t="s">
        <v>7045</v>
      </c>
    </row>
    <row r="340" ht="14.25" customHeight="1">
      <c r="A340" s="28" t="s">
        <v>5616</v>
      </c>
      <c r="B340" s="29" t="s">
        <v>5617</v>
      </c>
      <c r="C340" s="29" t="s">
        <v>7041</v>
      </c>
      <c r="D340" s="30">
        <v>45658.0</v>
      </c>
      <c r="E340" s="30">
        <v>46022.0</v>
      </c>
      <c r="F340" s="31">
        <v>0.0</v>
      </c>
      <c r="G340" s="31">
        <v>1.0</v>
      </c>
      <c r="H340" s="35" t="s">
        <v>7045</v>
      </c>
      <c r="I340" s="30">
        <v>46023.0</v>
      </c>
      <c r="J340" s="30">
        <v>46387.0</v>
      </c>
      <c r="K340" s="31">
        <v>0.0</v>
      </c>
      <c r="L340" s="31">
        <v>1.0</v>
      </c>
      <c r="M340" s="35" t="s">
        <v>7045</v>
      </c>
      <c r="N340" s="30">
        <v>46388.0</v>
      </c>
      <c r="O340" s="30">
        <v>46752.0</v>
      </c>
      <c r="P340" s="31">
        <v>0.0</v>
      </c>
      <c r="Q340" s="31">
        <v>1.0</v>
      </c>
      <c r="R340" s="35" t="s">
        <v>7045</v>
      </c>
      <c r="S340" s="30">
        <v>46753.0</v>
      </c>
      <c r="T340" s="30">
        <v>47118.0</v>
      </c>
      <c r="U340" s="31">
        <v>0.0</v>
      </c>
      <c r="V340" s="31">
        <v>1.0</v>
      </c>
      <c r="W340" s="35" t="s">
        <v>7045</v>
      </c>
      <c r="X340" s="30">
        <v>47119.0</v>
      </c>
      <c r="Y340" s="30">
        <v>47483.0</v>
      </c>
      <c r="Z340" s="31">
        <v>0.0</v>
      </c>
      <c r="AA340" s="31">
        <v>1.0</v>
      </c>
      <c r="AB340" s="35" t="s">
        <v>7045</v>
      </c>
      <c r="AC340" s="30">
        <v>47484.0</v>
      </c>
      <c r="AD340" s="30">
        <v>47848.0</v>
      </c>
      <c r="AE340" s="31">
        <v>0.0</v>
      </c>
      <c r="AF340" s="31">
        <v>1.0</v>
      </c>
      <c r="AG340" s="35" t="s">
        <v>7045</v>
      </c>
    </row>
    <row r="341" ht="14.25" customHeight="1">
      <c r="A341" s="28" t="s">
        <v>1884</v>
      </c>
      <c r="B341" s="29" t="s">
        <v>1885</v>
      </c>
      <c r="C341" s="29" t="s">
        <v>7041</v>
      </c>
      <c r="D341" s="30">
        <v>45658.0</v>
      </c>
      <c r="E341" s="30">
        <v>46022.0</v>
      </c>
      <c r="F341" s="31">
        <v>0.0</v>
      </c>
      <c r="G341" s="31">
        <v>1.0</v>
      </c>
      <c r="H341" s="35" t="s">
        <v>7045</v>
      </c>
      <c r="I341" s="30">
        <v>46023.0</v>
      </c>
      <c r="J341" s="30">
        <v>46387.0</v>
      </c>
      <c r="K341" s="31">
        <v>0.0</v>
      </c>
      <c r="L341" s="31">
        <v>1.0</v>
      </c>
      <c r="M341" s="35" t="s">
        <v>7045</v>
      </c>
      <c r="N341" s="30">
        <v>46388.0</v>
      </c>
      <c r="O341" s="30">
        <v>46752.0</v>
      </c>
      <c r="P341" s="31">
        <v>0.0</v>
      </c>
      <c r="Q341" s="31">
        <v>1.0</v>
      </c>
      <c r="R341" s="35" t="s">
        <v>7045</v>
      </c>
      <c r="S341" s="30">
        <v>46753.0</v>
      </c>
      <c r="T341" s="30">
        <v>47118.0</v>
      </c>
      <c r="U341" s="31">
        <v>0.0</v>
      </c>
      <c r="V341" s="31">
        <v>1.0</v>
      </c>
      <c r="W341" s="35" t="s">
        <v>7045</v>
      </c>
      <c r="X341" s="30">
        <v>47119.0</v>
      </c>
      <c r="Y341" s="30">
        <v>47483.0</v>
      </c>
      <c r="Z341" s="31">
        <v>0.0</v>
      </c>
      <c r="AA341" s="31">
        <v>1.0</v>
      </c>
      <c r="AB341" s="35" t="s">
        <v>7045</v>
      </c>
      <c r="AC341" s="30">
        <v>47484.0</v>
      </c>
      <c r="AD341" s="30">
        <v>47848.0</v>
      </c>
      <c r="AE341" s="31">
        <v>0.0</v>
      </c>
      <c r="AF341" s="31">
        <v>1.0</v>
      </c>
      <c r="AG341" s="35" t="s">
        <v>7045</v>
      </c>
    </row>
    <row r="342" ht="14.25" customHeight="1">
      <c r="A342" s="28" t="s">
        <v>5729</v>
      </c>
      <c r="B342" s="29" t="s">
        <v>5730</v>
      </c>
      <c r="C342" s="29" t="s">
        <v>7041</v>
      </c>
      <c r="D342" s="30">
        <v>45658.0</v>
      </c>
      <c r="E342" s="30">
        <v>46022.0</v>
      </c>
      <c r="F342" s="31">
        <v>0.0</v>
      </c>
      <c r="G342" s="31">
        <v>1.0</v>
      </c>
      <c r="H342" s="35" t="s">
        <v>7045</v>
      </c>
      <c r="I342" s="30">
        <v>46023.0</v>
      </c>
      <c r="J342" s="30">
        <v>46387.0</v>
      </c>
      <c r="K342" s="31">
        <v>0.0</v>
      </c>
      <c r="L342" s="31">
        <v>1.0</v>
      </c>
      <c r="M342" s="35" t="s">
        <v>7045</v>
      </c>
      <c r="N342" s="30">
        <v>46388.0</v>
      </c>
      <c r="O342" s="30">
        <v>46752.0</v>
      </c>
      <c r="P342" s="31">
        <v>0.0</v>
      </c>
      <c r="Q342" s="31">
        <v>1.0</v>
      </c>
      <c r="R342" s="35" t="s">
        <v>7045</v>
      </c>
      <c r="S342" s="30">
        <v>46753.0</v>
      </c>
      <c r="T342" s="30">
        <v>47118.0</v>
      </c>
      <c r="U342" s="31">
        <v>0.0</v>
      </c>
      <c r="V342" s="31">
        <v>1.0</v>
      </c>
      <c r="W342" s="35" t="s">
        <v>7045</v>
      </c>
      <c r="X342" s="30">
        <v>47119.0</v>
      </c>
      <c r="Y342" s="30">
        <v>47483.0</v>
      </c>
      <c r="Z342" s="31">
        <v>0.0</v>
      </c>
      <c r="AA342" s="31">
        <v>1.0</v>
      </c>
      <c r="AB342" s="35" t="s">
        <v>7045</v>
      </c>
      <c r="AC342" s="30">
        <v>47484.0</v>
      </c>
      <c r="AD342" s="30">
        <v>47848.0</v>
      </c>
      <c r="AE342" s="31">
        <v>0.0</v>
      </c>
      <c r="AF342" s="31">
        <v>1.0</v>
      </c>
      <c r="AG342" s="35" t="s">
        <v>7045</v>
      </c>
    </row>
    <row r="343" ht="14.25" customHeight="1">
      <c r="A343" s="28" t="s">
        <v>5767</v>
      </c>
      <c r="B343" s="29" t="s">
        <v>5768</v>
      </c>
      <c r="C343" s="29" t="s">
        <v>7041</v>
      </c>
      <c r="D343" s="30">
        <v>45658.0</v>
      </c>
      <c r="E343" s="30">
        <v>46022.0</v>
      </c>
      <c r="F343" s="31">
        <v>0.0</v>
      </c>
      <c r="G343" s="31">
        <v>1.0</v>
      </c>
      <c r="H343" s="35" t="s">
        <v>7045</v>
      </c>
      <c r="I343" s="30">
        <v>46023.0</v>
      </c>
      <c r="J343" s="30">
        <v>46387.0</v>
      </c>
      <c r="K343" s="31">
        <v>0.0</v>
      </c>
      <c r="L343" s="31">
        <v>1.0</v>
      </c>
      <c r="M343" s="35" t="s">
        <v>7045</v>
      </c>
      <c r="N343" s="30">
        <v>46388.0</v>
      </c>
      <c r="O343" s="30">
        <v>46752.0</v>
      </c>
      <c r="P343" s="31">
        <v>0.0</v>
      </c>
      <c r="Q343" s="31">
        <v>1.0</v>
      </c>
      <c r="R343" s="35" t="s">
        <v>7045</v>
      </c>
      <c r="S343" s="30">
        <v>46753.0</v>
      </c>
      <c r="T343" s="30">
        <v>47118.0</v>
      </c>
      <c r="U343" s="31">
        <v>0.0</v>
      </c>
      <c r="V343" s="31">
        <v>1.0</v>
      </c>
      <c r="W343" s="35" t="s">
        <v>7045</v>
      </c>
      <c r="X343" s="30">
        <v>47119.0</v>
      </c>
      <c r="Y343" s="30">
        <v>47483.0</v>
      </c>
      <c r="Z343" s="31">
        <v>0.0</v>
      </c>
      <c r="AA343" s="31">
        <v>1.0</v>
      </c>
      <c r="AB343" s="35" t="s">
        <v>7045</v>
      </c>
      <c r="AC343" s="30">
        <v>47484.0</v>
      </c>
      <c r="AD343" s="30">
        <v>47848.0</v>
      </c>
      <c r="AE343" s="31">
        <v>0.0</v>
      </c>
      <c r="AF343" s="31">
        <v>1.0</v>
      </c>
      <c r="AG343" s="35" t="s">
        <v>7045</v>
      </c>
    </row>
    <row r="344" ht="14.25" customHeight="1">
      <c r="A344" s="28" t="s">
        <v>5783</v>
      </c>
      <c r="B344" s="29" t="s">
        <v>5784</v>
      </c>
      <c r="C344" s="29" t="s">
        <v>7041</v>
      </c>
      <c r="D344" s="30">
        <v>45658.0</v>
      </c>
      <c r="E344" s="30">
        <v>46022.0</v>
      </c>
      <c r="F344" s="31">
        <v>0.0</v>
      </c>
      <c r="G344" s="31">
        <v>1.0</v>
      </c>
      <c r="H344" s="35" t="s">
        <v>7045</v>
      </c>
      <c r="I344" s="30">
        <v>46023.0</v>
      </c>
      <c r="J344" s="30">
        <v>46387.0</v>
      </c>
      <c r="K344" s="31">
        <v>0.0</v>
      </c>
      <c r="L344" s="31">
        <v>1.0</v>
      </c>
      <c r="M344" s="35" t="s">
        <v>7045</v>
      </c>
      <c r="N344" s="30">
        <v>46388.0</v>
      </c>
      <c r="O344" s="30">
        <v>46752.0</v>
      </c>
      <c r="P344" s="31">
        <v>0.0</v>
      </c>
      <c r="Q344" s="31">
        <v>1.0</v>
      </c>
      <c r="R344" s="35" t="s">
        <v>7045</v>
      </c>
      <c r="S344" s="30">
        <v>46753.0</v>
      </c>
      <c r="T344" s="30">
        <v>47118.0</v>
      </c>
      <c r="U344" s="31">
        <v>0.0</v>
      </c>
      <c r="V344" s="31">
        <v>1.0</v>
      </c>
      <c r="W344" s="35" t="s">
        <v>7045</v>
      </c>
      <c r="X344" s="30">
        <v>47119.0</v>
      </c>
      <c r="Y344" s="30">
        <v>47483.0</v>
      </c>
      <c r="Z344" s="31">
        <v>0.0</v>
      </c>
      <c r="AA344" s="31">
        <v>1.0</v>
      </c>
      <c r="AB344" s="35" t="s">
        <v>7045</v>
      </c>
      <c r="AC344" s="30">
        <v>47484.0</v>
      </c>
      <c r="AD344" s="30">
        <v>47848.0</v>
      </c>
      <c r="AE344" s="31">
        <v>0.0</v>
      </c>
      <c r="AF344" s="31">
        <v>1.0</v>
      </c>
      <c r="AG344" s="35" t="s">
        <v>7045</v>
      </c>
    </row>
    <row r="345" ht="14.25" customHeight="1">
      <c r="A345" s="28" t="s">
        <v>5802</v>
      </c>
      <c r="B345" s="29" t="s">
        <v>5803</v>
      </c>
      <c r="C345" s="29" t="s">
        <v>7041</v>
      </c>
      <c r="D345" s="30">
        <v>45658.0</v>
      </c>
      <c r="E345" s="30">
        <v>46022.0</v>
      </c>
      <c r="F345" s="31">
        <v>0.0</v>
      </c>
      <c r="G345" s="31">
        <v>1.0</v>
      </c>
      <c r="H345" s="35" t="s">
        <v>7045</v>
      </c>
      <c r="I345" s="30">
        <v>46023.0</v>
      </c>
      <c r="J345" s="30">
        <v>46387.0</v>
      </c>
      <c r="K345" s="31">
        <v>0.0</v>
      </c>
      <c r="L345" s="31">
        <v>1.0</v>
      </c>
      <c r="M345" s="35" t="s">
        <v>7045</v>
      </c>
      <c r="N345" s="30">
        <v>46388.0</v>
      </c>
      <c r="O345" s="30">
        <v>46752.0</v>
      </c>
      <c r="P345" s="31">
        <v>0.0</v>
      </c>
      <c r="Q345" s="31">
        <v>1.0</v>
      </c>
      <c r="R345" s="35" t="s">
        <v>7045</v>
      </c>
      <c r="S345" s="30">
        <v>46753.0</v>
      </c>
      <c r="T345" s="30">
        <v>47118.0</v>
      </c>
      <c r="U345" s="31">
        <v>0.0</v>
      </c>
      <c r="V345" s="31">
        <v>1.0</v>
      </c>
      <c r="W345" s="35" t="s">
        <v>7045</v>
      </c>
      <c r="X345" s="30">
        <v>47119.0</v>
      </c>
      <c r="Y345" s="30">
        <v>47483.0</v>
      </c>
      <c r="Z345" s="31">
        <v>0.0</v>
      </c>
      <c r="AA345" s="31">
        <v>1.0</v>
      </c>
      <c r="AB345" s="35" t="s">
        <v>7045</v>
      </c>
      <c r="AC345" s="30">
        <v>47484.0</v>
      </c>
      <c r="AD345" s="30">
        <v>47848.0</v>
      </c>
      <c r="AE345" s="31">
        <v>0.0</v>
      </c>
      <c r="AF345" s="31">
        <v>1.0</v>
      </c>
      <c r="AG345" s="35" t="s">
        <v>7045</v>
      </c>
    </row>
    <row r="346" ht="14.25" customHeight="1">
      <c r="A346" s="28" t="s">
        <v>5813</v>
      </c>
      <c r="B346" s="29" t="s">
        <v>5814</v>
      </c>
      <c r="C346" s="29" t="s">
        <v>7044</v>
      </c>
      <c r="D346" s="30">
        <v>45658.0</v>
      </c>
      <c r="E346" s="30">
        <v>46022.0</v>
      </c>
      <c r="F346" s="31">
        <v>0.0</v>
      </c>
      <c r="G346" s="31">
        <v>1.0</v>
      </c>
      <c r="H346" s="35" t="s">
        <v>7045</v>
      </c>
      <c r="I346" s="30">
        <v>46023.0</v>
      </c>
      <c r="J346" s="30">
        <v>46387.0</v>
      </c>
      <c r="K346" s="31">
        <v>0.0</v>
      </c>
      <c r="L346" s="31">
        <v>1.0</v>
      </c>
      <c r="M346" s="35" t="s">
        <v>7045</v>
      </c>
      <c r="N346" s="30">
        <v>46388.0</v>
      </c>
      <c r="O346" s="30">
        <v>46752.0</v>
      </c>
      <c r="P346" s="31">
        <v>0.0</v>
      </c>
      <c r="Q346" s="31">
        <v>1.0</v>
      </c>
      <c r="R346" s="35" t="s">
        <v>7045</v>
      </c>
      <c r="S346" s="30">
        <v>46753.0</v>
      </c>
      <c r="T346" s="30">
        <v>47118.0</v>
      </c>
      <c r="U346" s="31">
        <v>0.0</v>
      </c>
      <c r="V346" s="31">
        <v>1.0</v>
      </c>
      <c r="W346" s="35" t="s">
        <v>7045</v>
      </c>
      <c r="X346" s="30">
        <v>47119.0</v>
      </c>
      <c r="Y346" s="30">
        <v>47483.0</v>
      </c>
      <c r="Z346" s="31">
        <v>0.0</v>
      </c>
      <c r="AA346" s="31">
        <v>1.0</v>
      </c>
      <c r="AB346" s="35" t="s">
        <v>7045</v>
      </c>
      <c r="AC346" s="30">
        <v>47484.0</v>
      </c>
      <c r="AD346" s="30">
        <v>47848.0</v>
      </c>
      <c r="AE346" s="31">
        <v>0.0</v>
      </c>
      <c r="AF346" s="31">
        <v>1.0</v>
      </c>
      <c r="AG346" s="35" t="s">
        <v>7045</v>
      </c>
    </row>
    <row r="347" ht="14.25" customHeight="1">
      <c r="A347" s="28" t="s">
        <v>5838</v>
      </c>
      <c r="B347" s="29" t="s">
        <v>5839</v>
      </c>
      <c r="C347" s="29" t="s">
        <v>7041</v>
      </c>
      <c r="D347" s="30">
        <v>45658.0</v>
      </c>
      <c r="E347" s="30">
        <v>46022.0</v>
      </c>
      <c r="F347" s="31">
        <v>0.0</v>
      </c>
      <c r="G347" s="31">
        <v>1.0</v>
      </c>
      <c r="H347" s="35" t="s">
        <v>7045</v>
      </c>
      <c r="I347" s="30">
        <v>46023.0</v>
      </c>
      <c r="J347" s="30">
        <v>46387.0</v>
      </c>
      <c r="K347" s="31">
        <v>0.0</v>
      </c>
      <c r="L347" s="31">
        <v>1.0</v>
      </c>
      <c r="M347" s="35" t="s">
        <v>7045</v>
      </c>
      <c r="N347" s="30">
        <v>46388.0</v>
      </c>
      <c r="O347" s="30">
        <v>46752.0</v>
      </c>
      <c r="P347" s="31">
        <v>0.0</v>
      </c>
      <c r="Q347" s="31">
        <v>1.0</v>
      </c>
      <c r="R347" s="35" t="s">
        <v>7045</v>
      </c>
      <c r="S347" s="30">
        <v>46753.0</v>
      </c>
      <c r="T347" s="30">
        <v>47118.0</v>
      </c>
      <c r="U347" s="31">
        <v>0.0</v>
      </c>
      <c r="V347" s="31">
        <v>1.0</v>
      </c>
      <c r="W347" s="35" t="s">
        <v>7045</v>
      </c>
      <c r="X347" s="30">
        <v>47119.0</v>
      </c>
      <c r="Y347" s="30">
        <v>47483.0</v>
      </c>
      <c r="Z347" s="31">
        <v>0.0</v>
      </c>
      <c r="AA347" s="31">
        <v>1.0</v>
      </c>
      <c r="AB347" s="35" t="s">
        <v>7045</v>
      </c>
      <c r="AC347" s="30">
        <v>47484.0</v>
      </c>
      <c r="AD347" s="30">
        <v>47848.0</v>
      </c>
      <c r="AE347" s="31">
        <v>0.0</v>
      </c>
      <c r="AF347" s="31">
        <v>1.0</v>
      </c>
      <c r="AG347" s="35" t="s">
        <v>7045</v>
      </c>
    </row>
    <row r="348" ht="14.25" customHeight="1">
      <c r="A348" s="28" t="s">
        <v>5880</v>
      </c>
      <c r="B348" s="29" t="s">
        <v>5881</v>
      </c>
      <c r="C348" s="29" t="s">
        <v>7041</v>
      </c>
      <c r="D348" s="30">
        <v>45658.0</v>
      </c>
      <c r="E348" s="30">
        <v>46022.0</v>
      </c>
      <c r="F348" s="31">
        <v>1.0</v>
      </c>
      <c r="G348" s="31">
        <v>1.0</v>
      </c>
      <c r="H348" s="33" t="s">
        <v>7042</v>
      </c>
      <c r="I348" s="30">
        <v>46023.0</v>
      </c>
      <c r="J348" s="30">
        <v>46387.0</v>
      </c>
      <c r="K348" s="31">
        <v>0.0</v>
      </c>
      <c r="L348" s="31">
        <v>1.0</v>
      </c>
      <c r="M348" s="35" t="s">
        <v>7045</v>
      </c>
      <c r="N348" s="30">
        <v>46388.0</v>
      </c>
      <c r="O348" s="30">
        <v>46752.0</v>
      </c>
      <c r="P348" s="31">
        <v>0.0</v>
      </c>
      <c r="Q348" s="31">
        <v>1.0</v>
      </c>
      <c r="R348" s="35" t="s">
        <v>7045</v>
      </c>
      <c r="S348" s="30">
        <v>46753.0</v>
      </c>
      <c r="T348" s="30">
        <v>47118.0</v>
      </c>
      <c r="U348" s="31">
        <v>0.0</v>
      </c>
      <c r="V348" s="31">
        <v>1.0</v>
      </c>
      <c r="W348" s="35" t="s">
        <v>7045</v>
      </c>
      <c r="X348" s="30">
        <v>47119.0</v>
      </c>
      <c r="Y348" s="30">
        <v>47483.0</v>
      </c>
      <c r="Z348" s="31">
        <v>0.0</v>
      </c>
      <c r="AA348" s="31">
        <v>1.0</v>
      </c>
      <c r="AB348" s="35" t="s">
        <v>7045</v>
      </c>
      <c r="AC348" s="30">
        <v>47484.0</v>
      </c>
      <c r="AD348" s="30">
        <v>47848.0</v>
      </c>
      <c r="AE348" s="31">
        <v>0.0</v>
      </c>
      <c r="AF348" s="31">
        <v>1.0</v>
      </c>
      <c r="AG348" s="35" t="s">
        <v>7045</v>
      </c>
    </row>
    <row r="349" ht="14.25" customHeight="1">
      <c r="A349" s="28" t="s">
        <v>5893</v>
      </c>
      <c r="B349" s="29" t="s">
        <v>5894</v>
      </c>
      <c r="C349" s="29" t="s">
        <v>7041</v>
      </c>
      <c r="D349" s="30">
        <v>45658.0</v>
      </c>
      <c r="E349" s="30">
        <v>46022.0</v>
      </c>
      <c r="F349" s="31">
        <v>0.0</v>
      </c>
      <c r="G349" s="31">
        <v>1.0</v>
      </c>
      <c r="H349" s="35" t="s">
        <v>7045</v>
      </c>
      <c r="I349" s="30">
        <v>46023.0</v>
      </c>
      <c r="J349" s="30">
        <v>46387.0</v>
      </c>
      <c r="K349" s="31">
        <v>0.0</v>
      </c>
      <c r="L349" s="31">
        <v>1.0</v>
      </c>
      <c r="M349" s="35" t="s">
        <v>7045</v>
      </c>
      <c r="N349" s="30">
        <v>46388.0</v>
      </c>
      <c r="O349" s="30">
        <v>46752.0</v>
      </c>
      <c r="P349" s="31">
        <v>0.0</v>
      </c>
      <c r="Q349" s="31">
        <v>1.0</v>
      </c>
      <c r="R349" s="35" t="s">
        <v>7045</v>
      </c>
      <c r="S349" s="30">
        <v>46753.0</v>
      </c>
      <c r="T349" s="30">
        <v>47118.0</v>
      </c>
      <c r="U349" s="31">
        <v>0.0</v>
      </c>
      <c r="V349" s="31">
        <v>1.0</v>
      </c>
      <c r="W349" s="35" t="s">
        <v>7045</v>
      </c>
      <c r="X349" s="30">
        <v>47119.0</v>
      </c>
      <c r="Y349" s="30">
        <v>47483.0</v>
      </c>
      <c r="Z349" s="31">
        <v>0.0</v>
      </c>
      <c r="AA349" s="31">
        <v>1.0</v>
      </c>
      <c r="AB349" s="35" t="s">
        <v>7045</v>
      </c>
      <c r="AC349" s="30">
        <v>47484.0</v>
      </c>
      <c r="AD349" s="30">
        <v>47848.0</v>
      </c>
      <c r="AE349" s="31">
        <v>0.0</v>
      </c>
      <c r="AF349" s="31">
        <v>1.0</v>
      </c>
      <c r="AG349" s="35" t="s">
        <v>7045</v>
      </c>
    </row>
    <row r="350" ht="14.25" customHeight="1">
      <c r="A350" s="28" t="s">
        <v>6006</v>
      </c>
      <c r="B350" s="29" t="s">
        <v>6007</v>
      </c>
      <c r="C350" s="29" t="s">
        <v>7041</v>
      </c>
      <c r="D350" s="30">
        <v>45658.0</v>
      </c>
      <c r="E350" s="30">
        <v>46022.0</v>
      </c>
      <c r="F350" s="31">
        <v>0.0</v>
      </c>
      <c r="G350" s="31">
        <v>1.0</v>
      </c>
      <c r="H350" s="35" t="s">
        <v>7045</v>
      </c>
      <c r="I350" s="30">
        <v>46023.0</v>
      </c>
      <c r="J350" s="30">
        <v>46387.0</v>
      </c>
      <c r="K350" s="31">
        <v>0.0</v>
      </c>
      <c r="L350" s="31">
        <v>1.0</v>
      </c>
      <c r="M350" s="35" t="s">
        <v>7045</v>
      </c>
      <c r="N350" s="30">
        <v>46388.0</v>
      </c>
      <c r="O350" s="30">
        <v>46752.0</v>
      </c>
      <c r="P350" s="31">
        <v>0.0</v>
      </c>
      <c r="Q350" s="31">
        <v>1.0</v>
      </c>
      <c r="R350" s="35" t="s">
        <v>7045</v>
      </c>
      <c r="S350" s="30">
        <v>46753.0</v>
      </c>
      <c r="T350" s="30">
        <v>47118.0</v>
      </c>
      <c r="U350" s="31">
        <v>0.0</v>
      </c>
      <c r="V350" s="31">
        <v>1.0</v>
      </c>
      <c r="W350" s="35" t="s">
        <v>7045</v>
      </c>
      <c r="X350" s="30">
        <v>47119.0</v>
      </c>
      <c r="Y350" s="30">
        <v>47483.0</v>
      </c>
      <c r="Z350" s="31">
        <v>0.0</v>
      </c>
      <c r="AA350" s="31">
        <v>1.0</v>
      </c>
      <c r="AB350" s="35" t="s">
        <v>7045</v>
      </c>
      <c r="AC350" s="30">
        <v>47484.0</v>
      </c>
      <c r="AD350" s="30">
        <v>47848.0</v>
      </c>
      <c r="AE350" s="31">
        <v>0.0</v>
      </c>
      <c r="AF350" s="31">
        <v>1.0</v>
      </c>
      <c r="AG350" s="35" t="s">
        <v>7045</v>
      </c>
    </row>
    <row r="351" ht="14.25" customHeight="1">
      <c r="A351" s="28" t="s">
        <v>6035</v>
      </c>
      <c r="B351" s="29" t="s">
        <v>6036</v>
      </c>
      <c r="C351" s="29" t="s">
        <v>7041</v>
      </c>
      <c r="D351" s="30">
        <v>45658.0</v>
      </c>
      <c r="E351" s="30">
        <v>46022.0</v>
      </c>
      <c r="F351" s="31">
        <v>0.0</v>
      </c>
      <c r="G351" s="31">
        <v>1.0</v>
      </c>
      <c r="H351" s="35" t="s">
        <v>7045</v>
      </c>
      <c r="I351" s="30">
        <v>46023.0</v>
      </c>
      <c r="J351" s="30">
        <v>46387.0</v>
      </c>
      <c r="K351" s="31">
        <v>0.0</v>
      </c>
      <c r="L351" s="31">
        <v>1.0</v>
      </c>
      <c r="M351" s="35" t="s">
        <v>7045</v>
      </c>
      <c r="N351" s="30">
        <v>46388.0</v>
      </c>
      <c r="O351" s="30">
        <v>46752.0</v>
      </c>
      <c r="P351" s="31">
        <v>0.0</v>
      </c>
      <c r="Q351" s="31">
        <v>1.0</v>
      </c>
      <c r="R351" s="35" t="s">
        <v>7045</v>
      </c>
      <c r="S351" s="30">
        <v>46753.0</v>
      </c>
      <c r="T351" s="30">
        <v>47118.0</v>
      </c>
      <c r="U351" s="31">
        <v>0.0</v>
      </c>
      <c r="V351" s="31">
        <v>1.0</v>
      </c>
      <c r="W351" s="35" t="s">
        <v>7045</v>
      </c>
      <c r="X351" s="30">
        <v>47119.0</v>
      </c>
      <c r="Y351" s="30">
        <v>47483.0</v>
      </c>
      <c r="Z351" s="31">
        <v>0.0</v>
      </c>
      <c r="AA351" s="31">
        <v>1.0</v>
      </c>
      <c r="AB351" s="35" t="s">
        <v>7045</v>
      </c>
      <c r="AC351" s="30">
        <v>47484.0</v>
      </c>
      <c r="AD351" s="30">
        <v>47848.0</v>
      </c>
      <c r="AE351" s="31">
        <v>0.0</v>
      </c>
      <c r="AF351" s="31">
        <v>1.0</v>
      </c>
      <c r="AG351" s="35" t="s">
        <v>7045</v>
      </c>
    </row>
    <row r="352" ht="14.25" customHeight="1">
      <c r="A352" s="28" t="s">
        <v>6068</v>
      </c>
      <c r="B352" s="29" t="s">
        <v>6069</v>
      </c>
      <c r="C352" s="29" t="s">
        <v>7041</v>
      </c>
      <c r="D352" s="30">
        <v>45658.0</v>
      </c>
      <c r="E352" s="30">
        <v>46022.0</v>
      </c>
      <c r="F352" s="31">
        <v>0.0</v>
      </c>
      <c r="G352" s="31">
        <v>1.0</v>
      </c>
      <c r="H352" s="35" t="s">
        <v>7045</v>
      </c>
      <c r="I352" s="30">
        <v>46023.0</v>
      </c>
      <c r="J352" s="30">
        <v>46387.0</v>
      </c>
      <c r="K352" s="31">
        <v>0.0</v>
      </c>
      <c r="L352" s="31">
        <v>1.0</v>
      </c>
      <c r="M352" s="35" t="s">
        <v>7045</v>
      </c>
      <c r="N352" s="30">
        <v>46388.0</v>
      </c>
      <c r="O352" s="30">
        <v>46752.0</v>
      </c>
      <c r="P352" s="31">
        <v>0.0</v>
      </c>
      <c r="Q352" s="31">
        <v>1.0</v>
      </c>
      <c r="R352" s="35" t="s">
        <v>7045</v>
      </c>
      <c r="S352" s="30">
        <v>46753.0</v>
      </c>
      <c r="T352" s="30">
        <v>47118.0</v>
      </c>
      <c r="U352" s="31">
        <v>0.0</v>
      </c>
      <c r="V352" s="31">
        <v>1.0</v>
      </c>
      <c r="W352" s="35" t="s">
        <v>7045</v>
      </c>
      <c r="X352" s="30">
        <v>47119.0</v>
      </c>
      <c r="Y352" s="30">
        <v>47483.0</v>
      </c>
      <c r="Z352" s="31">
        <v>0.0</v>
      </c>
      <c r="AA352" s="31">
        <v>1.0</v>
      </c>
      <c r="AB352" s="35" t="s">
        <v>7045</v>
      </c>
      <c r="AC352" s="30">
        <v>47484.0</v>
      </c>
      <c r="AD352" s="30">
        <v>47848.0</v>
      </c>
      <c r="AE352" s="31">
        <v>0.0</v>
      </c>
      <c r="AF352" s="31">
        <v>1.0</v>
      </c>
      <c r="AG352" s="35" t="s">
        <v>7045</v>
      </c>
    </row>
    <row r="353" ht="14.25" customHeight="1">
      <c r="A353" s="28" t="s">
        <v>6125</v>
      </c>
      <c r="B353" s="29" t="s">
        <v>6126</v>
      </c>
      <c r="C353" s="29" t="s">
        <v>7041</v>
      </c>
      <c r="D353" s="30">
        <v>45658.0</v>
      </c>
      <c r="E353" s="30">
        <v>46022.0</v>
      </c>
      <c r="F353" s="31">
        <v>0.0</v>
      </c>
      <c r="G353" s="31">
        <v>1.0</v>
      </c>
      <c r="H353" s="35" t="s">
        <v>7045</v>
      </c>
      <c r="I353" s="30">
        <v>46023.0</v>
      </c>
      <c r="J353" s="30">
        <v>46387.0</v>
      </c>
      <c r="K353" s="31">
        <v>0.0</v>
      </c>
      <c r="L353" s="31">
        <v>1.0</v>
      </c>
      <c r="M353" s="35" t="s">
        <v>7045</v>
      </c>
      <c r="N353" s="30">
        <v>46388.0</v>
      </c>
      <c r="O353" s="30">
        <v>46752.0</v>
      </c>
      <c r="P353" s="31">
        <v>0.0</v>
      </c>
      <c r="Q353" s="31">
        <v>1.0</v>
      </c>
      <c r="R353" s="35" t="s">
        <v>7045</v>
      </c>
      <c r="S353" s="30">
        <v>46753.0</v>
      </c>
      <c r="T353" s="30">
        <v>47118.0</v>
      </c>
      <c r="U353" s="31">
        <v>0.0</v>
      </c>
      <c r="V353" s="31">
        <v>1.0</v>
      </c>
      <c r="W353" s="35" t="s">
        <v>7045</v>
      </c>
      <c r="X353" s="30">
        <v>47119.0</v>
      </c>
      <c r="Y353" s="30">
        <v>47483.0</v>
      </c>
      <c r="Z353" s="31">
        <v>0.0</v>
      </c>
      <c r="AA353" s="31">
        <v>1.0</v>
      </c>
      <c r="AB353" s="35" t="s">
        <v>7045</v>
      </c>
      <c r="AC353" s="30">
        <v>47484.0</v>
      </c>
      <c r="AD353" s="30">
        <v>47848.0</v>
      </c>
      <c r="AE353" s="31">
        <v>0.0</v>
      </c>
      <c r="AF353" s="31">
        <v>1.0</v>
      </c>
      <c r="AG353" s="35" t="s">
        <v>7045</v>
      </c>
    </row>
    <row r="354" ht="14.25" customHeight="1">
      <c r="A354" s="28" t="s">
        <v>6184</v>
      </c>
      <c r="B354" s="29" t="s">
        <v>6185</v>
      </c>
      <c r="C354" s="29" t="s">
        <v>7041</v>
      </c>
      <c r="D354" s="30">
        <v>45658.0</v>
      </c>
      <c r="E354" s="30">
        <v>46022.0</v>
      </c>
      <c r="F354" s="31">
        <v>0.0</v>
      </c>
      <c r="G354" s="31">
        <v>1.0</v>
      </c>
      <c r="H354" s="35" t="s">
        <v>7045</v>
      </c>
      <c r="I354" s="30">
        <v>46023.0</v>
      </c>
      <c r="J354" s="30">
        <v>46387.0</v>
      </c>
      <c r="K354" s="31">
        <v>0.0</v>
      </c>
      <c r="L354" s="31">
        <v>1.0</v>
      </c>
      <c r="M354" s="35" t="s">
        <v>7045</v>
      </c>
      <c r="N354" s="30">
        <v>46388.0</v>
      </c>
      <c r="O354" s="30">
        <v>46752.0</v>
      </c>
      <c r="P354" s="31">
        <v>0.0</v>
      </c>
      <c r="Q354" s="31">
        <v>1.0</v>
      </c>
      <c r="R354" s="35" t="s">
        <v>7045</v>
      </c>
      <c r="S354" s="30">
        <v>46753.0</v>
      </c>
      <c r="T354" s="30">
        <v>47118.0</v>
      </c>
      <c r="U354" s="31">
        <v>0.0</v>
      </c>
      <c r="V354" s="31">
        <v>1.0</v>
      </c>
      <c r="W354" s="35" t="s">
        <v>7045</v>
      </c>
      <c r="X354" s="30">
        <v>47119.0</v>
      </c>
      <c r="Y354" s="30">
        <v>47483.0</v>
      </c>
      <c r="Z354" s="31">
        <v>0.0</v>
      </c>
      <c r="AA354" s="31">
        <v>1.0</v>
      </c>
      <c r="AB354" s="35" t="s">
        <v>7045</v>
      </c>
      <c r="AC354" s="30">
        <v>47484.0</v>
      </c>
      <c r="AD354" s="30">
        <v>47848.0</v>
      </c>
      <c r="AE354" s="31">
        <v>0.0</v>
      </c>
      <c r="AF354" s="31">
        <v>1.0</v>
      </c>
      <c r="AG354" s="35" t="s">
        <v>7045</v>
      </c>
    </row>
    <row r="355" ht="14.25" customHeight="1">
      <c r="A355" s="28" t="s">
        <v>6251</v>
      </c>
      <c r="B355" s="29" t="s">
        <v>6252</v>
      </c>
      <c r="C355" s="29" t="s">
        <v>7041</v>
      </c>
      <c r="D355" s="30">
        <v>45658.0</v>
      </c>
      <c r="E355" s="30">
        <v>46022.0</v>
      </c>
      <c r="F355" s="31">
        <v>0.0</v>
      </c>
      <c r="G355" s="31">
        <v>1.0</v>
      </c>
      <c r="H355" s="35" t="s">
        <v>7045</v>
      </c>
      <c r="I355" s="30">
        <v>46023.0</v>
      </c>
      <c r="J355" s="30">
        <v>46387.0</v>
      </c>
      <c r="K355" s="31">
        <v>0.0</v>
      </c>
      <c r="L355" s="31">
        <v>1.0</v>
      </c>
      <c r="M355" s="35" t="s">
        <v>7045</v>
      </c>
      <c r="N355" s="30">
        <v>46388.0</v>
      </c>
      <c r="O355" s="30">
        <v>46752.0</v>
      </c>
      <c r="P355" s="31">
        <v>0.0</v>
      </c>
      <c r="Q355" s="31">
        <v>1.0</v>
      </c>
      <c r="R355" s="35" t="s">
        <v>7045</v>
      </c>
      <c r="S355" s="30">
        <v>46753.0</v>
      </c>
      <c r="T355" s="30">
        <v>47118.0</v>
      </c>
      <c r="U355" s="31">
        <v>0.0</v>
      </c>
      <c r="V355" s="31">
        <v>1.0</v>
      </c>
      <c r="W355" s="35" t="s">
        <v>7045</v>
      </c>
      <c r="X355" s="30">
        <v>47119.0</v>
      </c>
      <c r="Y355" s="30">
        <v>47483.0</v>
      </c>
      <c r="Z355" s="31">
        <v>0.0</v>
      </c>
      <c r="AA355" s="31">
        <v>1.0</v>
      </c>
      <c r="AB355" s="35" t="s">
        <v>7045</v>
      </c>
      <c r="AC355" s="30">
        <v>47484.0</v>
      </c>
      <c r="AD355" s="30">
        <v>47848.0</v>
      </c>
      <c r="AE355" s="31">
        <v>0.0</v>
      </c>
      <c r="AF355" s="31">
        <v>1.0</v>
      </c>
      <c r="AG355" s="35" t="s">
        <v>7045</v>
      </c>
    </row>
    <row r="356" ht="14.25" customHeight="1">
      <c r="A356" s="28" t="s">
        <v>6254</v>
      </c>
      <c r="B356" s="29" t="s">
        <v>6255</v>
      </c>
      <c r="C356" s="29" t="s">
        <v>7041</v>
      </c>
      <c r="D356" s="30">
        <v>45658.0</v>
      </c>
      <c r="E356" s="30">
        <v>46022.0</v>
      </c>
      <c r="F356" s="31">
        <v>0.0</v>
      </c>
      <c r="G356" s="31">
        <v>1.0</v>
      </c>
      <c r="H356" s="35" t="s">
        <v>7045</v>
      </c>
      <c r="I356" s="30">
        <v>46023.0</v>
      </c>
      <c r="J356" s="30">
        <v>46387.0</v>
      </c>
      <c r="K356" s="31">
        <v>0.0</v>
      </c>
      <c r="L356" s="31">
        <v>1.0</v>
      </c>
      <c r="M356" s="35" t="s">
        <v>7045</v>
      </c>
      <c r="N356" s="30">
        <v>46388.0</v>
      </c>
      <c r="O356" s="30">
        <v>46752.0</v>
      </c>
      <c r="P356" s="31">
        <v>0.0</v>
      </c>
      <c r="Q356" s="31">
        <v>1.0</v>
      </c>
      <c r="R356" s="35" t="s">
        <v>7045</v>
      </c>
      <c r="S356" s="30">
        <v>46753.0</v>
      </c>
      <c r="T356" s="30">
        <v>47118.0</v>
      </c>
      <c r="U356" s="31">
        <v>0.0</v>
      </c>
      <c r="V356" s="31">
        <v>1.0</v>
      </c>
      <c r="W356" s="35" t="s">
        <v>7045</v>
      </c>
      <c r="X356" s="30">
        <v>47119.0</v>
      </c>
      <c r="Y356" s="30">
        <v>47483.0</v>
      </c>
      <c r="Z356" s="31">
        <v>0.0</v>
      </c>
      <c r="AA356" s="31">
        <v>1.0</v>
      </c>
      <c r="AB356" s="35" t="s">
        <v>7045</v>
      </c>
      <c r="AC356" s="30">
        <v>47484.0</v>
      </c>
      <c r="AD356" s="30">
        <v>47848.0</v>
      </c>
      <c r="AE356" s="31">
        <v>0.0</v>
      </c>
      <c r="AF356" s="31">
        <v>1.0</v>
      </c>
      <c r="AG356" s="35" t="s">
        <v>7045</v>
      </c>
    </row>
    <row r="357" ht="14.25" customHeight="1">
      <c r="A357" s="28" t="s">
        <v>6257</v>
      </c>
      <c r="B357" s="29" t="s">
        <v>6258</v>
      </c>
      <c r="C357" s="29" t="s">
        <v>7041</v>
      </c>
      <c r="D357" s="30">
        <v>45658.0</v>
      </c>
      <c r="E357" s="30">
        <v>46022.0</v>
      </c>
      <c r="F357" s="31">
        <v>0.0</v>
      </c>
      <c r="G357" s="31">
        <v>1.0</v>
      </c>
      <c r="H357" s="35" t="s">
        <v>7045</v>
      </c>
      <c r="I357" s="30">
        <v>46023.0</v>
      </c>
      <c r="J357" s="30">
        <v>46387.0</v>
      </c>
      <c r="K357" s="31">
        <v>0.0</v>
      </c>
      <c r="L357" s="31">
        <v>1.0</v>
      </c>
      <c r="M357" s="35" t="s">
        <v>7045</v>
      </c>
      <c r="N357" s="30">
        <v>46388.0</v>
      </c>
      <c r="O357" s="30">
        <v>46752.0</v>
      </c>
      <c r="P357" s="31">
        <v>0.0</v>
      </c>
      <c r="Q357" s="31">
        <v>1.0</v>
      </c>
      <c r="R357" s="35" t="s">
        <v>7045</v>
      </c>
      <c r="S357" s="30">
        <v>46753.0</v>
      </c>
      <c r="T357" s="30">
        <v>47118.0</v>
      </c>
      <c r="U357" s="31">
        <v>0.0</v>
      </c>
      <c r="V357" s="31">
        <v>1.0</v>
      </c>
      <c r="W357" s="35" t="s">
        <v>7045</v>
      </c>
      <c r="X357" s="30">
        <v>47119.0</v>
      </c>
      <c r="Y357" s="30">
        <v>47483.0</v>
      </c>
      <c r="Z357" s="31">
        <v>0.0</v>
      </c>
      <c r="AA357" s="31">
        <v>1.0</v>
      </c>
      <c r="AB357" s="35" t="s">
        <v>7045</v>
      </c>
      <c r="AC357" s="30">
        <v>47484.0</v>
      </c>
      <c r="AD357" s="30">
        <v>47848.0</v>
      </c>
      <c r="AE357" s="31">
        <v>0.0</v>
      </c>
      <c r="AF357" s="31">
        <v>1.0</v>
      </c>
      <c r="AG357" s="35" t="s">
        <v>7045</v>
      </c>
    </row>
    <row r="358" ht="14.25" customHeight="1">
      <c r="A358" s="28" t="s">
        <v>6264</v>
      </c>
      <c r="B358" s="29" t="s">
        <v>6265</v>
      </c>
      <c r="C358" s="29" t="s">
        <v>7041</v>
      </c>
      <c r="D358" s="30">
        <v>45658.0</v>
      </c>
      <c r="E358" s="30">
        <v>46022.0</v>
      </c>
      <c r="F358" s="31">
        <v>0.0</v>
      </c>
      <c r="G358" s="31">
        <v>1.0</v>
      </c>
      <c r="H358" s="35" t="s">
        <v>7045</v>
      </c>
      <c r="I358" s="30">
        <v>46023.0</v>
      </c>
      <c r="J358" s="30">
        <v>46387.0</v>
      </c>
      <c r="K358" s="31">
        <v>0.0</v>
      </c>
      <c r="L358" s="31">
        <v>1.0</v>
      </c>
      <c r="M358" s="35" t="s">
        <v>7045</v>
      </c>
      <c r="N358" s="30">
        <v>46388.0</v>
      </c>
      <c r="O358" s="30">
        <v>46752.0</v>
      </c>
      <c r="P358" s="31">
        <v>0.0</v>
      </c>
      <c r="Q358" s="31">
        <v>1.0</v>
      </c>
      <c r="R358" s="35" t="s">
        <v>7045</v>
      </c>
      <c r="S358" s="30">
        <v>46753.0</v>
      </c>
      <c r="T358" s="30">
        <v>47118.0</v>
      </c>
      <c r="U358" s="31">
        <v>0.0</v>
      </c>
      <c r="V358" s="31">
        <v>1.0</v>
      </c>
      <c r="W358" s="35" t="s">
        <v>7045</v>
      </c>
      <c r="X358" s="30">
        <v>47119.0</v>
      </c>
      <c r="Y358" s="30">
        <v>47483.0</v>
      </c>
      <c r="Z358" s="31">
        <v>0.0</v>
      </c>
      <c r="AA358" s="31">
        <v>1.0</v>
      </c>
      <c r="AB358" s="35" t="s">
        <v>7045</v>
      </c>
      <c r="AC358" s="30">
        <v>47484.0</v>
      </c>
      <c r="AD358" s="30">
        <v>47848.0</v>
      </c>
      <c r="AE358" s="31">
        <v>0.0</v>
      </c>
      <c r="AF358" s="31">
        <v>1.0</v>
      </c>
      <c r="AG358" s="35" t="s">
        <v>7045</v>
      </c>
    </row>
    <row r="359" ht="14.25" customHeight="1">
      <c r="A359" s="28" t="s">
        <v>6288</v>
      </c>
      <c r="B359" s="29" t="s">
        <v>6289</v>
      </c>
      <c r="C359" s="29" t="s">
        <v>7041</v>
      </c>
      <c r="D359" s="30">
        <v>45658.0</v>
      </c>
      <c r="E359" s="30">
        <v>46022.0</v>
      </c>
      <c r="F359" s="31">
        <v>0.0</v>
      </c>
      <c r="G359" s="31">
        <v>1.0</v>
      </c>
      <c r="H359" s="35" t="s">
        <v>7045</v>
      </c>
      <c r="I359" s="30">
        <v>46023.0</v>
      </c>
      <c r="J359" s="30">
        <v>46387.0</v>
      </c>
      <c r="K359" s="31">
        <v>0.0</v>
      </c>
      <c r="L359" s="31">
        <v>1.0</v>
      </c>
      <c r="M359" s="35" t="s">
        <v>7045</v>
      </c>
      <c r="N359" s="30">
        <v>46388.0</v>
      </c>
      <c r="O359" s="30">
        <v>46752.0</v>
      </c>
      <c r="P359" s="31">
        <v>0.0</v>
      </c>
      <c r="Q359" s="31">
        <v>1.0</v>
      </c>
      <c r="R359" s="35" t="s">
        <v>7045</v>
      </c>
      <c r="S359" s="30">
        <v>46753.0</v>
      </c>
      <c r="T359" s="30">
        <v>47118.0</v>
      </c>
      <c r="U359" s="31">
        <v>0.0</v>
      </c>
      <c r="V359" s="31">
        <v>1.0</v>
      </c>
      <c r="W359" s="35" t="s">
        <v>7045</v>
      </c>
      <c r="X359" s="30">
        <v>47119.0</v>
      </c>
      <c r="Y359" s="30">
        <v>47483.0</v>
      </c>
      <c r="Z359" s="31">
        <v>0.0</v>
      </c>
      <c r="AA359" s="31">
        <v>1.0</v>
      </c>
      <c r="AB359" s="35" t="s">
        <v>7045</v>
      </c>
      <c r="AC359" s="30">
        <v>47484.0</v>
      </c>
      <c r="AD359" s="30">
        <v>47848.0</v>
      </c>
      <c r="AE359" s="31">
        <v>0.0</v>
      </c>
      <c r="AF359" s="31">
        <v>1.0</v>
      </c>
      <c r="AG359" s="35" t="s">
        <v>7045</v>
      </c>
    </row>
    <row r="360" ht="14.25" customHeight="1">
      <c r="A360" s="28" t="s">
        <v>6370</v>
      </c>
      <c r="B360" s="29" t="s">
        <v>6371</v>
      </c>
      <c r="C360" s="29" t="s">
        <v>7041</v>
      </c>
      <c r="D360" s="30">
        <v>45658.0</v>
      </c>
      <c r="E360" s="30">
        <v>46022.0</v>
      </c>
      <c r="F360" s="31">
        <v>1.0</v>
      </c>
      <c r="G360" s="31">
        <v>1.0</v>
      </c>
      <c r="H360" s="33" t="s">
        <v>7042</v>
      </c>
      <c r="I360" s="30">
        <v>46023.0</v>
      </c>
      <c r="J360" s="30">
        <v>46387.0</v>
      </c>
      <c r="K360" s="31">
        <v>0.0</v>
      </c>
      <c r="L360" s="31">
        <v>1.0</v>
      </c>
      <c r="M360" s="35" t="s">
        <v>7045</v>
      </c>
      <c r="N360" s="30">
        <v>46388.0</v>
      </c>
      <c r="O360" s="30">
        <v>46752.0</v>
      </c>
      <c r="P360" s="31">
        <v>0.0</v>
      </c>
      <c r="Q360" s="31">
        <v>1.0</v>
      </c>
      <c r="R360" s="35" t="s">
        <v>7045</v>
      </c>
      <c r="S360" s="30">
        <v>46753.0</v>
      </c>
      <c r="T360" s="30">
        <v>47118.0</v>
      </c>
      <c r="U360" s="31">
        <v>0.0</v>
      </c>
      <c r="V360" s="31">
        <v>1.0</v>
      </c>
      <c r="W360" s="35" t="s">
        <v>7045</v>
      </c>
      <c r="X360" s="30">
        <v>47119.0</v>
      </c>
      <c r="Y360" s="30">
        <v>47483.0</v>
      </c>
      <c r="Z360" s="31">
        <v>0.0</v>
      </c>
      <c r="AA360" s="31">
        <v>1.0</v>
      </c>
      <c r="AB360" s="35" t="s">
        <v>7045</v>
      </c>
      <c r="AC360" s="30">
        <v>47484.0</v>
      </c>
      <c r="AD360" s="30">
        <v>47848.0</v>
      </c>
      <c r="AE360" s="31">
        <v>0.0</v>
      </c>
      <c r="AF360" s="31">
        <v>1.0</v>
      </c>
      <c r="AG360" s="35" t="s">
        <v>7045</v>
      </c>
    </row>
    <row r="361" ht="14.25" customHeight="1">
      <c r="A361" s="28" t="s">
        <v>6425</v>
      </c>
      <c r="B361" s="29" t="s">
        <v>6426</v>
      </c>
      <c r="C361" s="29" t="s">
        <v>7041</v>
      </c>
      <c r="D361" s="30">
        <v>45658.0</v>
      </c>
      <c r="E361" s="30">
        <v>46022.0</v>
      </c>
      <c r="F361" s="31">
        <v>0.0</v>
      </c>
      <c r="G361" s="31">
        <v>1.0</v>
      </c>
      <c r="H361" s="35" t="s">
        <v>7045</v>
      </c>
      <c r="I361" s="30">
        <v>46023.0</v>
      </c>
      <c r="J361" s="30">
        <v>46387.0</v>
      </c>
      <c r="K361" s="31">
        <v>0.0</v>
      </c>
      <c r="L361" s="31">
        <v>1.0</v>
      </c>
      <c r="M361" s="35" t="s">
        <v>7045</v>
      </c>
      <c r="N361" s="30">
        <v>46388.0</v>
      </c>
      <c r="O361" s="30">
        <v>46752.0</v>
      </c>
      <c r="P361" s="31">
        <v>0.0</v>
      </c>
      <c r="Q361" s="31">
        <v>1.0</v>
      </c>
      <c r="R361" s="35" t="s">
        <v>7045</v>
      </c>
      <c r="S361" s="30">
        <v>46753.0</v>
      </c>
      <c r="T361" s="30">
        <v>47118.0</v>
      </c>
      <c r="U361" s="31">
        <v>0.0</v>
      </c>
      <c r="V361" s="31">
        <v>1.0</v>
      </c>
      <c r="W361" s="35" t="s">
        <v>7045</v>
      </c>
      <c r="X361" s="30">
        <v>47119.0</v>
      </c>
      <c r="Y361" s="30">
        <v>47483.0</v>
      </c>
      <c r="Z361" s="31">
        <v>0.0</v>
      </c>
      <c r="AA361" s="31">
        <v>1.0</v>
      </c>
      <c r="AB361" s="35" t="s">
        <v>7045</v>
      </c>
      <c r="AC361" s="30">
        <v>47484.0</v>
      </c>
      <c r="AD361" s="30">
        <v>47848.0</v>
      </c>
      <c r="AE361" s="31">
        <v>0.0</v>
      </c>
      <c r="AF361" s="31">
        <v>1.0</v>
      </c>
      <c r="AG361" s="35" t="s">
        <v>7045</v>
      </c>
    </row>
    <row r="362" ht="14.25" customHeight="1">
      <c r="A362" s="28" t="s">
        <v>6454</v>
      </c>
      <c r="B362" s="29" t="s">
        <v>6455</v>
      </c>
      <c r="C362" s="29" t="s">
        <v>7041</v>
      </c>
      <c r="D362" s="30">
        <v>45658.0</v>
      </c>
      <c r="E362" s="30">
        <v>46022.0</v>
      </c>
      <c r="F362" s="31">
        <v>0.0</v>
      </c>
      <c r="G362" s="31">
        <v>1.0</v>
      </c>
      <c r="H362" s="35" t="s">
        <v>7045</v>
      </c>
      <c r="I362" s="30">
        <v>46023.0</v>
      </c>
      <c r="J362" s="30">
        <v>46387.0</v>
      </c>
      <c r="K362" s="31">
        <v>0.0</v>
      </c>
      <c r="L362" s="31">
        <v>1.0</v>
      </c>
      <c r="M362" s="35" t="s">
        <v>7045</v>
      </c>
      <c r="N362" s="30">
        <v>46388.0</v>
      </c>
      <c r="O362" s="30">
        <v>46752.0</v>
      </c>
      <c r="P362" s="31">
        <v>0.0</v>
      </c>
      <c r="Q362" s="31">
        <v>1.0</v>
      </c>
      <c r="R362" s="35" t="s">
        <v>7045</v>
      </c>
      <c r="S362" s="30">
        <v>46753.0</v>
      </c>
      <c r="T362" s="30">
        <v>47118.0</v>
      </c>
      <c r="U362" s="31">
        <v>0.0</v>
      </c>
      <c r="V362" s="31">
        <v>1.0</v>
      </c>
      <c r="W362" s="35" t="s">
        <v>7045</v>
      </c>
      <c r="X362" s="30">
        <v>47119.0</v>
      </c>
      <c r="Y362" s="30">
        <v>47483.0</v>
      </c>
      <c r="Z362" s="31">
        <v>0.0</v>
      </c>
      <c r="AA362" s="31">
        <v>1.0</v>
      </c>
      <c r="AB362" s="35" t="s">
        <v>7045</v>
      </c>
      <c r="AC362" s="30">
        <v>47484.0</v>
      </c>
      <c r="AD362" s="30">
        <v>47848.0</v>
      </c>
      <c r="AE362" s="31">
        <v>0.0</v>
      </c>
      <c r="AF362" s="31">
        <v>1.0</v>
      </c>
      <c r="AG362" s="35" t="s">
        <v>7045</v>
      </c>
    </row>
    <row r="363" ht="14.25" customHeight="1">
      <c r="A363" s="28" t="s">
        <v>6467</v>
      </c>
      <c r="B363" s="29" t="s">
        <v>6468</v>
      </c>
      <c r="C363" s="29" t="s">
        <v>7041</v>
      </c>
      <c r="D363" s="30">
        <v>45658.0</v>
      </c>
      <c r="E363" s="30">
        <v>46022.0</v>
      </c>
      <c r="F363" s="31">
        <v>0.0</v>
      </c>
      <c r="G363" s="31">
        <v>1.0</v>
      </c>
      <c r="H363" s="35" t="s">
        <v>7045</v>
      </c>
      <c r="I363" s="30">
        <v>46023.0</v>
      </c>
      <c r="J363" s="30">
        <v>46387.0</v>
      </c>
      <c r="K363" s="31">
        <v>0.0</v>
      </c>
      <c r="L363" s="31">
        <v>1.0</v>
      </c>
      <c r="M363" s="35" t="s">
        <v>7045</v>
      </c>
      <c r="N363" s="30">
        <v>46388.0</v>
      </c>
      <c r="O363" s="30">
        <v>46752.0</v>
      </c>
      <c r="P363" s="31">
        <v>0.0</v>
      </c>
      <c r="Q363" s="31">
        <v>1.0</v>
      </c>
      <c r="R363" s="35" t="s">
        <v>7045</v>
      </c>
      <c r="S363" s="30">
        <v>46753.0</v>
      </c>
      <c r="T363" s="30">
        <v>47118.0</v>
      </c>
      <c r="U363" s="31">
        <v>0.0</v>
      </c>
      <c r="V363" s="31">
        <v>1.0</v>
      </c>
      <c r="W363" s="35" t="s">
        <v>7045</v>
      </c>
      <c r="X363" s="30">
        <v>47119.0</v>
      </c>
      <c r="Y363" s="30">
        <v>47483.0</v>
      </c>
      <c r="Z363" s="31">
        <v>0.0</v>
      </c>
      <c r="AA363" s="31">
        <v>1.0</v>
      </c>
      <c r="AB363" s="35" t="s">
        <v>7045</v>
      </c>
      <c r="AC363" s="30">
        <v>47484.0</v>
      </c>
      <c r="AD363" s="30">
        <v>47848.0</v>
      </c>
      <c r="AE363" s="31">
        <v>0.0</v>
      </c>
      <c r="AF363" s="31">
        <v>1.0</v>
      </c>
      <c r="AG363" s="35" t="s">
        <v>7045</v>
      </c>
    </row>
    <row r="364" ht="14.25" customHeight="1">
      <c r="A364" s="28" t="s">
        <v>6486</v>
      </c>
      <c r="B364" s="29" t="s">
        <v>6487</v>
      </c>
      <c r="C364" s="29" t="s">
        <v>7041</v>
      </c>
      <c r="D364" s="30">
        <v>45658.0</v>
      </c>
      <c r="E364" s="30">
        <v>46022.0</v>
      </c>
      <c r="F364" s="31">
        <v>0.0</v>
      </c>
      <c r="G364" s="31">
        <v>1.0</v>
      </c>
      <c r="H364" s="35" t="s">
        <v>7045</v>
      </c>
      <c r="I364" s="30">
        <v>46023.0</v>
      </c>
      <c r="J364" s="30">
        <v>46387.0</v>
      </c>
      <c r="K364" s="31">
        <v>0.0</v>
      </c>
      <c r="L364" s="31">
        <v>1.0</v>
      </c>
      <c r="M364" s="35" t="s">
        <v>7045</v>
      </c>
      <c r="N364" s="30">
        <v>46388.0</v>
      </c>
      <c r="O364" s="30">
        <v>46752.0</v>
      </c>
      <c r="P364" s="31">
        <v>0.0</v>
      </c>
      <c r="Q364" s="31">
        <v>1.0</v>
      </c>
      <c r="R364" s="35" t="s">
        <v>7045</v>
      </c>
      <c r="S364" s="30">
        <v>46753.0</v>
      </c>
      <c r="T364" s="30">
        <v>47118.0</v>
      </c>
      <c r="U364" s="31">
        <v>0.0</v>
      </c>
      <c r="V364" s="31">
        <v>1.0</v>
      </c>
      <c r="W364" s="35" t="s">
        <v>7045</v>
      </c>
      <c r="X364" s="30">
        <v>47119.0</v>
      </c>
      <c r="Y364" s="30">
        <v>47483.0</v>
      </c>
      <c r="Z364" s="31">
        <v>0.0</v>
      </c>
      <c r="AA364" s="31">
        <v>1.0</v>
      </c>
      <c r="AB364" s="35" t="s">
        <v>7045</v>
      </c>
      <c r="AC364" s="30">
        <v>47484.0</v>
      </c>
      <c r="AD364" s="30">
        <v>47848.0</v>
      </c>
      <c r="AE364" s="31">
        <v>0.0</v>
      </c>
      <c r="AF364" s="31">
        <v>1.0</v>
      </c>
      <c r="AG364" s="35" t="s">
        <v>7045</v>
      </c>
    </row>
    <row r="365" ht="14.25" customHeight="1">
      <c r="A365" s="28" t="s">
        <v>6586</v>
      </c>
      <c r="B365" s="29" t="s">
        <v>6587</v>
      </c>
      <c r="C365" s="29" t="s">
        <v>7041</v>
      </c>
      <c r="D365" s="30">
        <v>45658.0</v>
      </c>
      <c r="E365" s="30">
        <v>46022.0</v>
      </c>
      <c r="F365" s="31">
        <v>0.0</v>
      </c>
      <c r="G365" s="31">
        <v>1.0</v>
      </c>
      <c r="H365" s="35" t="s">
        <v>7045</v>
      </c>
      <c r="I365" s="30">
        <v>46023.0</v>
      </c>
      <c r="J365" s="30">
        <v>46387.0</v>
      </c>
      <c r="K365" s="31">
        <v>0.0</v>
      </c>
      <c r="L365" s="31">
        <v>1.0</v>
      </c>
      <c r="M365" s="35" t="s">
        <v>7045</v>
      </c>
      <c r="N365" s="30">
        <v>46388.0</v>
      </c>
      <c r="O365" s="30">
        <v>46752.0</v>
      </c>
      <c r="P365" s="31">
        <v>0.0</v>
      </c>
      <c r="Q365" s="31">
        <v>1.0</v>
      </c>
      <c r="R365" s="35" t="s">
        <v>7045</v>
      </c>
      <c r="S365" s="30">
        <v>46753.0</v>
      </c>
      <c r="T365" s="30">
        <v>47118.0</v>
      </c>
      <c r="U365" s="31">
        <v>0.0</v>
      </c>
      <c r="V365" s="31">
        <v>1.0</v>
      </c>
      <c r="W365" s="35" t="s">
        <v>7045</v>
      </c>
      <c r="X365" s="30">
        <v>47119.0</v>
      </c>
      <c r="Y365" s="30">
        <v>47483.0</v>
      </c>
      <c r="Z365" s="31">
        <v>0.0</v>
      </c>
      <c r="AA365" s="31">
        <v>1.0</v>
      </c>
      <c r="AB365" s="35" t="s">
        <v>7045</v>
      </c>
      <c r="AC365" s="30">
        <v>47484.0</v>
      </c>
      <c r="AD365" s="30">
        <v>47848.0</v>
      </c>
      <c r="AE365" s="31">
        <v>0.0</v>
      </c>
      <c r="AF365" s="31">
        <v>1.0</v>
      </c>
      <c r="AG365" s="35" t="s">
        <v>7045</v>
      </c>
    </row>
    <row r="366" ht="14.25" customHeight="1">
      <c r="A366" s="28" t="s">
        <v>6601</v>
      </c>
      <c r="B366" s="29" t="s">
        <v>6602</v>
      </c>
      <c r="C366" s="29" t="s">
        <v>7041</v>
      </c>
      <c r="D366" s="30">
        <v>45658.0</v>
      </c>
      <c r="E366" s="30">
        <v>46022.0</v>
      </c>
      <c r="F366" s="31">
        <v>0.0</v>
      </c>
      <c r="G366" s="31">
        <v>1.0</v>
      </c>
      <c r="H366" s="35" t="s">
        <v>7045</v>
      </c>
      <c r="I366" s="30">
        <v>46023.0</v>
      </c>
      <c r="J366" s="30">
        <v>46387.0</v>
      </c>
      <c r="K366" s="31">
        <v>0.0</v>
      </c>
      <c r="L366" s="31">
        <v>1.0</v>
      </c>
      <c r="M366" s="35" t="s">
        <v>7045</v>
      </c>
      <c r="N366" s="30">
        <v>46388.0</v>
      </c>
      <c r="O366" s="30">
        <v>46752.0</v>
      </c>
      <c r="P366" s="31">
        <v>0.0</v>
      </c>
      <c r="Q366" s="31">
        <v>1.0</v>
      </c>
      <c r="R366" s="35" t="s">
        <v>7045</v>
      </c>
      <c r="S366" s="30">
        <v>46753.0</v>
      </c>
      <c r="T366" s="30">
        <v>47118.0</v>
      </c>
      <c r="U366" s="31">
        <v>0.0</v>
      </c>
      <c r="V366" s="31">
        <v>1.0</v>
      </c>
      <c r="W366" s="35" t="s">
        <v>7045</v>
      </c>
      <c r="X366" s="30">
        <v>47119.0</v>
      </c>
      <c r="Y366" s="30">
        <v>47483.0</v>
      </c>
      <c r="Z366" s="31">
        <v>0.0</v>
      </c>
      <c r="AA366" s="31">
        <v>1.0</v>
      </c>
      <c r="AB366" s="35" t="s">
        <v>7045</v>
      </c>
      <c r="AC366" s="30">
        <v>47484.0</v>
      </c>
      <c r="AD366" s="30">
        <v>47848.0</v>
      </c>
      <c r="AE366" s="31">
        <v>0.0</v>
      </c>
      <c r="AF366" s="31">
        <v>1.0</v>
      </c>
      <c r="AG366" s="35" t="s">
        <v>7045</v>
      </c>
    </row>
    <row r="367" ht="14.25" customHeight="1">
      <c r="A367" s="28" t="s">
        <v>6669</v>
      </c>
      <c r="B367" s="29" t="s">
        <v>6670</v>
      </c>
      <c r="C367" s="29" t="s">
        <v>7041</v>
      </c>
      <c r="D367" s="30">
        <v>45658.0</v>
      </c>
      <c r="E367" s="30">
        <v>46022.0</v>
      </c>
      <c r="F367" s="31">
        <v>0.0</v>
      </c>
      <c r="G367" s="31">
        <v>1.0</v>
      </c>
      <c r="H367" s="35" t="s">
        <v>7045</v>
      </c>
      <c r="I367" s="30">
        <v>46023.0</v>
      </c>
      <c r="J367" s="30">
        <v>46387.0</v>
      </c>
      <c r="K367" s="31">
        <v>0.0</v>
      </c>
      <c r="L367" s="31">
        <v>1.0</v>
      </c>
      <c r="M367" s="35" t="s">
        <v>7045</v>
      </c>
      <c r="N367" s="30">
        <v>46388.0</v>
      </c>
      <c r="O367" s="30">
        <v>46752.0</v>
      </c>
      <c r="P367" s="31">
        <v>0.0</v>
      </c>
      <c r="Q367" s="31">
        <v>1.0</v>
      </c>
      <c r="R367" s="35" t="s">
        <v>7045</v>
      </c>
      <c r="S367" s="30">
        <v>46753.0</v>
      </c>
      <c r="T367" s="30">
        <v>47118.0</v>
      </c>
      <c r="U367" s="31">
        <v>0.0</v>
      </c>
      <c r="V367" s="31">
        <v>1.0</v>
      </c>
      <c r="W367" s="35" t="s">
        <v>7045</v>
      </c>
      <c r="X367" s="30">
        <v>47119.0</v>
      </c>
      <c r="Y367" s="30">
        <v>47483.0</v>
      </c>
      <c r="Z367" s="31">
        <v>0.0</v>
      </c>
      <c r="AA367" s="31">
        <v>1.0</v>
      </c>
      <c r="AB367" s="35" t="s">
        <v>7045</v>
      </c>
      <c r="AC367" s="30">
        <v>47484.0</v>
      </c>
      <c r="AD367" s="30">
        <v>47848.0</v>
      </c>
      <c r="AE367" s="31">
        <v>0.0</v>
      </c>
      <c r="AF367" s="31">
        <v>1.0</v>
      </c>
      <c r="AG367" s="35" t="s">
        <v>7045</v>
      </c>
    </row>
    <row r="368" ht="14.25" customHeight="1">
      <c r="A368" s="28" t="s">
        <v>6707</v>
      </c>
      <c r="B368" s="29" t="s">
        <v>6708</v>
      </c>
      <c r="C368" s="29" t="s">
        <v>7041</v>
      </c>
      <c r="D368" s="30">
        <v>45658.0</v>
      </c>
      <c r="E368" s="30">
        <v>46022.0</v>
      </c>
      <c r="F368" s="31">
        <v>0.0</v>
      </c>
      <c r="G368" s="31">
        <v>1.0</v>
      </c>
      <c r="H368" s="35" t="s">
        <v>7045</v>
      </c>
      <c r="I368" s="30">
        <v>46023.0</v>
      </c>
      <c r="J368" s="30">
        <v>46387.0</v>
      </c>
      <c r="K368" s="31">
        <v>0.0</v>
      </c>
      <c r="L368" s="31">
        <v>1.0</v>
      </c>
      <c r="M368" s="35" t="s">
        <v>7045</v>
      </c>
      <c r="N368" s="30">
        <v>46388.0</v>
      </c>
      <c r="O368" s="30">
        <v>46752.0</v>
      </c>
      <c r="P368" s="31">
        <v>0.0</v>
      </c>
      <c r="Q368" s="31">
        <v>1.0</v>
      </c>
      <c r="R368" s="35" t="s">
        <v>7045</v>
      </c>
      <c r="S368" s="30">
        <v>46753.0</v>
      </c>
      <c r="T368" s="30">
        <v>47118.0</v>
      </c>
      <c r="U368" s="31">
        <v>0.0</v>
      </c>
      <c r="V368" s="31">
        <v>1.0</v>
      </c>
      <c r="W368" s="35" t="s">
        <v>7045</v>
      </c>
      <c r="X368" s="30">
        <v>47119.0</v>
      </c>
      <c r="Y368" s="30">
        <v>47483.0</v>
      </c>
      <c r="Z368" s="31">
        <v>0.0</v>
      </c>
      <c r="AA368" s="31">
        <v>1.0</v>
      </c>
      <c r="AB368" s="35" t="s">
        <v>7045</v>
      </c>
      <c r="AC368" s="30">
        <v>47484.0</v>
      </c>
      <c r="AD368" s="30">
        <v>47848.0</v>
      </c>
      <c r="AE368" s="31">
        <v>0.0</v>
      </c>
      <c r="AF368" s="31">
        <v>1.0</v>
      </c>
      <c r="AG368" s="35" t="s">
        <v>7045</v>
      </c>
    </row>
    <row r="369" ht="14.25" customHeight="1">
      <c r="A369" s="28" t="s">
        <v>6768</v>
      </c>
      <c r="B369" s="29" t="s">
        <v>6769</v>
      </c>
      <c r="C369" s="29" t="s">
        <v>7041</v>
      </c>
      <c r="D369" s="30">
        <v>45658.0</v>
      </c>
      <c r="E369" s="30">
        <v>46022.0</v>
      </c>
      <c r="F369" s="31">
        <v>1.0</v>
      </c>
      <c r="G369" s="31">
        <v>1.0</v>
      </c>
      <c r="H369" s="33" t="s">
        <v>7042</v>
      </c>
      <c r="I369" s="30">
        <v>46023.0</v>
      </c>
      <c r="J369" s="30">
        <v>46387.0</v>
      </c>
      <c r="K369" s="31">
        <v>0.0</v>
      </c>
      <c r="L369" s="31">
        <v>1.0</v>
      </c>
      <c r="M369" s="35" t="s">
        <v>7045</v>
      </c>
      <c r="N369" s="30">
        <v>46388.0</v>
      </c>
      <c r="O369" s="30">
        <v>46752.0</v>
      </c>
      <c r="P369" s="31">
        <v>0.0</v>
      </c>
      <c r="Q369" s="31">
        <v>1.0</v>
      </c>
      <c r="R369" s="35" t="s">
        <v>7045</v>
      </c>
      <c r="S369" s="30">
        <v>46753.0</v>
      </c>
      <c r="T369" s="30">
        <v>47118.0</v>
      </c>
      <c r="U369" s="31">
        <v>0.0</v>
      </c>
      <c r="V369" s="31">
        <v>1.0</v>
      </c>
      <c r="W369" s="35" t="s">
        <v>7045</v>
      </c>
      <c r="X369" s="30">
        <v>47119.0</v>
      </c>
      <c r="Y369" s="30">
        <v>47483.0</v>
      </c>
      <c r="Z369" s="31">
        <v>0.0</v>
      </c>
      <c r="AA369" s="31">
        <v>1.0</v>
      </c>
      <c r="AB369" s="35" t="s">
        <v>7045</v>
      </c>
      <c r="AC369" s="30">
        <v>47484.0</v>
      </c>
      <c r="AD369" s="30">
        <v>47848.0</v>
      </c>
      <c r="AE369" s="31">
        <v>0.0</v>
      </c>
      <c r="AF369" s="31">
        <v>1.0</v>
      </c>
      <c r="AG369" s="35" t="s">
        <v>7045</v>
      </c>
    </row>
    <row r="370" ht="14.25" customHeight="1">
      <c r="A370" s="28" t="s">
        <v>6835</v>
      </c>
      <c r="B370" s="29" t="s">
        <v>6836</v>
      </c>
      <c r="C370" s="29" t="s">
        <v>7041</v>
      </c>
      <c r="D370" s="30">
        <v>45658.0</v>
      </c>
      <c r="E370" s="30">
        <v>46022.0</v>
      </c>
      <c r="F370" s="31">
        <v>0.0</v>
      </c>
      <c r="G370" s="31">
        <v>1.0</v>
      </c>
      <c r="H370" s="35" t="s">
        <v>7045</v>
      </c>
      <c r="I370" s="30">
        <v>46023.0</v>
      </c>
      <c r="J370" s="30">
        <v>46387.0</v>
      </c>
      <c r="K370" s="31">
        <v>0.0</v>
      </c>
      <c r="L370" s="31">
        <v>1.0</v>
      </c>
      <c r="M370" s="35" t="s">
        <v>7045</v>
      </c>
      <c r="N370" s="30">
        <v>46388.0</v>
      </c>
      <c r="O370" s="30">
        <v>46752.0</v>
      </c>
      <c r="P370" s="31">
        <v>0.0</v>
      </c>
      <c r="Q370" s="31">
        <v>1.0</v>
      </c>
      <c r="R370" s="35" t="s">
        <v>7045</v>
      </c>
      <c r="S370" s="30">
        <v>46753.0</v>
      </c>
      <c r="T370" s="30">
        <v>47118.0</v>
      </c>
      <c r="U370" s="31">
        <v>0.0</v>
      </c>
      <c r="V370" s="31">
        <v>1.0</v>
      </c>
      <c r="W370" s="35" t="s">
        <v>7045</v>
      </c>
      <c r="X370" s="30">
        <v>47119.0</v>
      </c>
      <c r="Y370" s="30">
        <v>47483.0</v>
      </c>
      <c r="Z370" s="31">
        <v>0.0</v>
      </c>
      <c r="AA370" s="31">
        <v>1.0</v>
      </c>
      <c r="AB370" s="35" t="s">
        <v>7045</v>
      </c>
      <c r="AC370" s="30">
        <v>47484.0</v>
      </c>
      <c r="AD370" s="30">
        <v>47848.0</v>
      </c>
      <c r="AE370" s="31">
        <v>0.0</v>
      </c>
      <c r="AF370" s="31">
        <v>1.0</v>
      </c>
      <c r="AG370" s="35" t="s">
        <v>7045</v>
      </c>
    </row>
    <row r="371" ht="14.25" customHeight="1">
      <c r="A371" s="28" t="s">
        <v>6892</v>
      </c>
      <c r="B371" s="29" t="s">
        <v>6893</v>
      </c>
      <c r="C371" s="29" t="s">
        <v>7041</v>
      </c>
      <c r="D371" s="30">
        <v>45658.0</v>
      </c>
      <c r="E371" s="30">
        <v>46022.0</v>
      </c>
      <c r="F371" s="31">
        <v>0.0</v>
      </c>
      <c r="G371" s="31">
        <v>1.0</v>
      </c>
      <c r="H371" s="35" t="s">
        <v>7045</v>
      </c>
      <c r="I371" s="30">
        <v>46023.0</v>
      </c>
      <c r="J371" s="30">
        <v>46387.0</v>
      </c>
      <c r="K371" s="31">
        <v>0.0</v>
      </c>
      <c r="L371" s="31">
        <v>1.0</v>
      </c>
      <c r="M371" s="35" t="s">
        <v>7045</v>
      </c>
      <c r="N371" s="30">
        <v>46388.0</v>
      </c>
      <c r="O371" s="30">
        <v>46752.0</v>
      </c>
      <c r="P371" s="31">
        <v>0.0</v>
      </c>
      <c r="Q371" s="31">
        <v>1.0</v>
      </c>
      <c r="R371" s="35" t="s">
        <v>7045</v>
      </c>
      <c r="S371" s="30">
        <v>46753.0</v>
      </c>
      <c r="T371" s="30">
        <v>47118.0</v>
      </c>
      <c r="U371" s="31">
        <v>0.0</v>
      </c>
      <c r="V371" s="31">
        <v>1.0</v>
      </c>
      <c r="W371" s="35" t="s">
        <v>7045</v>
      </c>
      <c r="X371" s="30">
        <v>47119.0</v>
      </c>
      <c r="Y371" s="30">
        <v>47483.0</v>
      </c>
      <c r="Z371" s="31">
        <v>0.0</v>
      </c>
      <c r="AA371" s="31">
        <v>1.0</v>
      </c>
      <c r="AB371" s="35" t="s">
        <v>7045</v>
      </c>
      <c r="AC371" s="30">
        <v>47484.0</v>
      </c>
      <c r="AD371" s="30">
        <v>47848.0</v>
      </c>
      <c r="AE371" s="31">
        <v>0.0</v>
      </c>
      <c r="AF371" s="31">
        <v>1.0</v>
      </c>
      <c r="AG371" s="35" t="s">
        <v>7045</v>
      </c>
    </row>
    <row r="372" ht="14.25" customHeight="1">
      <c r="A372" s="28" t="s">
        <v>6895</v>
      </c>
      <c r="B372" s="29" t="s">
        <v>6896</v>
      </c>
      <c r="C372" s="29" t="s">
        <v>7041</v>
      </c>
      <c r="D372" s="30">
        <v>45658.0</v>
      </c>
      <c r="E372" s="30">
        <v>46022.0</v>
      </c>
      <c r="F372" s="31">
        <v>0.0</v>
      </c>
      <c r="G372" s="31">
        <v>1.0</v>
      </c>
      <c r="H372" s="35" t="s">
        <v>7045</v>
      </c>
      <c r="I372" s="30">
        <v>46023.0</v>
      </c>
      <c r="J372" s="30">
        <v>46387.0</v>
      </c>
      <c r="K372" s="31">
        <v>0.0</v>
      </c>
      <c r="L372" s="31">
        <v>1.0</v>
      </c>
      <c r="M372" s="35" t="s">
        <v>7045</v>
      </c>
      <c r="N372" s="30">
        <v>46388.0</v>
      </c>
      <c r="O372" s="30">
        <v>46752.0</v>
      </c>
      <c r="P372" s="31">
        <v>0.0</v>
      </c>
      <c r="Q372" s="31">
        <v>1.0</v>
      </c>
      <c r="R372" s="35" t="s">
        <v>7045</v>
      </c>
      <c r="S372" s="30">
        <v>46753.0</v>
      </c>
      <c r="T372" s="30">
        <v>47118.0</v>
      </c>
      <c r="U372" s="31">
        <v>0.0</v>
      </c>
      <c r="V372" s="31">
        <v>1.0</v>
      </c>
      <c r="W372" s="35" t="s">
        <v>7045</v>
      </c>
      <c r="X372" s="30">
        <v>47119.0</v>
      </c>
      <c r="Y372" s="30">
        <v>47483.0</v>
      </c>
      <c r="Z372" s="31">
        <v>0.0</v>
      </c>
      <c r="AA372" s="31">
        <v>1.0</v>
      </c>
      <c r="AB372" s="35" t="s">
        <v>7045</v>
      </c>
      <c r="AC372" s="30">
        <v>47484.0</v>
      </c>
      <c r="AD372" s="30">
        <v>47848.0</v>
      </c>
      <c r="AE372" s="31">
        <v>0.0</v>
      </c>
      <c r="AF372" s="31">
        <v>1.0</v>
      </c>
      <c r="AG372" s="35" t="s">
        <v>7045</v>
      </c>
    </row>
    <row r="373" ht="14.25" customHeight="1">
      <c r="A373" s="28" t="s">
        <v>6937</v>
      </c>
      <c r="B373" s="29" t="s">
        <v>6938</v>
      </c>
      <c r="C373" s="29" t="s">
        <v>7041</v>
      </c>
      <c r="D373" s="30">
        <v>45658.0</v>
      </c>
      <c r="E373" s="30">
        <v>46022.0</v>
      </c>
      <c r="F373" s="31">
        <v>0.0</v>
      </c>
      <c r="G373" s="31">
        <v>1.0</v>
      </c>
      <c r="H373" s="35" t="s">
        <v>7045</v>
      </c>
      <c r="I373" s="30">
        <v>46023.0</v>
      </c>
      <c r="J373" s="30">
        <v>46387.0</v>
      </c>
      <c r="K373" s="31">
        <v>0.0</v>
      </c>
      <c r="L373" s="31">
        <v>1.0</v>
      </c>
      <c r="M373" s="35" t="s">
        <v>7045</v>
      </c>
      <c r="N373" s="30">
        <v>46388.0</v>
      </c>
      <c r="O373" s="30">
        <v>46752.0</v>
      </c>
      <c r="P373" s="31">
        <v>0.0</v>
      </c>
      <c r="Q373" s="31">
        <v>1.0</v>
      </c>
      <c r="R373" s="35" t="s">
        <v>7045</v>
      </c>
      <c r="S373" s="30">
        <v>46753.0</v>
      </c>
      <c r="T373" s="30">
        <v>47118.0</v>
      </c>
      <c r="U373" s="31">
        <v>0.0</v>
      </c>
      <c r="V373" s="31">
        <v>1.0</v>
      </c>
      <c r="W373" s="35" t="s">
        <v>7045</v>
      </c>
      <c r="X373" s="30">
        <v>47119.0</v>
      </c>
      <c r="Y373" s="30">
        <v>47483.0</v>
      </c>
      <c r="Z373" s="31">
        <v>0.0</v>
      </c>
      <c r="AA373" s="31">
        <v>1.0</v>
      </c>
      <c r="AB373" s="35" t="s">
        <v>7045</v>
      </c>
      <c r="AC373" s="30">
        <v>47484.0</v>
      </c>
      <c r="AD373" s="30">
        <v>47848.0</v>
      </c>
      <c r="AE373" s="31">
        <v>0.0</v>
      </c>
      <c r="AF373" s="31">
        <v>1.0</v>
      </c>
      <c r="AG373" s="35" t="s">
        <v>7045</v>
      </c>
    </row>
    <row r="374" ht="14.25" customHeight="1">
      <c r="A374" s="28" t="s">
        <v>6999</v>
      </c>
      <c r="B374" s="29" t="s">
        <v>7000</v>
      </c>
      <c r="C374" s="29" t="s">
        <v>7041</v>
      </c>
      <c r="D374" s="30">
        <v>45658.0</v>
      </c>
      <c r="E374" s="30">
        <v>46022.0</v>
      </c>
      <c r="F374" s="31">
        <v>0.0</v>
      </c>
      <c r="G374" s="31">
        <v>1.0</v>
      </c>
      <c r="H374" s="35" t="s">
        <v>7045</v>
      </c>
      <c r="I374" s="30">
        <v>46023.0</v>
      </c>
      <c r="J374" s="30">
        <v>46387.0</v>
      </c>
      <c r="K374" s="31">
        <v>0.0</v>
      </c>
      <c r="L374" s="31">
        <v>1.0</v>
      </c>
      <c r="M374" s="35" t="s">
        <v>7045</v>
      </c>
      <c r="N374" s="30">
        <v>46388.0</v>
      </c>
      <c r="O374" s="30">
        <v>46752.0</v>
      </c>
      <c r="P374" s="31">
        <v>0.0</v>
      </c>
      <c r="Q374" s="31">
        <v>1.0</v>
      </c>
      <c r="R374" s="35" t="s">
        <v>7045</v>
      </c>
      <c r="S374" s="30">
        <v>46753.0</v>
      </c>
      <c r="T374" s="30">
        <v>47118.0</v>
      </c>
      <c r="U374" s="31">
        <v>0.0</v>
      </c>
      <c r="V374" s="31">
        <v>1.0</v>
      </c>
      <c r="W374" s="35" t="s">
        <v>7045</v>
      </c>
      <c r="X374" s="30">
        <v>47119.0</v>
      </c>
      <c r="Y374" s="30">
        <v>47483.0</v>
      </c>
      <c r="Z374" s="31">
        <v>0.0</v>
      </c>
      <c r="AA374" s="31">
        <v>1.0</v>
      </c>
      <c r="AB374" s="35" t="s">
        <v>7045</v>
      </c>
      <c r="AC374" s="30">
        <v>47484.0</v>
      </c>
      <c r="AD374" s="30">
        <v>47848.0</v>
      </c>
      <c r="AE374" s="31">
        <v>0.0</v>
      </c>
      <c r="AF374" s="31">
        <v>1.0</v>
      </c>
      <c r="AG374" s="35" t="s">
        <v>7045</v>
      </c>
    </row>
    <row r="375" ht="14.25" customHeight="1">
      <c r="A375" s="28" t="s">
        <v>7019</v>
      </c>
      <c r="B375" s="29" t="s">
        <v>7020</v>
      </c>
      <c r="C375" s="29" t="s">
        <v>7041</v>
      </c>
      <c r="D375" s="30">
        <v>45658.0</v>
      </c>
      <c r="E375" s="30">
        <v>46022.0</v>
      </c>
      <c r="F375" s="31">
        <v>0.0</v>
      </c>
      <c r="G375" s="31">
        <v>1.0</v>
      </c>
      <c r="H375" s="35" t="s">
        <v>7045</v>
      </c>
      <c r="I375" s="30">
        <v>46023.0</v>
      </c>
      <c r="J375" s="30">
        <v>46387.0</v>
      </c>
      <c r="K375" s="31">
        <v>0.0</v>
      </c>
      <c r="L375" s="31">
        <v>1.0</v>
      </c>
      <c r="M375" s="35" t="s">
        <v>7045</v>
      </c>
      <c r="N375" s="30">
        <v>46388.0</v>
      </c>
      <c r="O375" s="30">
        <v>46752.0</v>
      </c>
      <c r="P375" s="31">
        <v>0.0</v>
      </c>
      <c r="Q375" s="31">
        <v>1.0</v>
      </c>
      <c r="R375" s="35" t="s">
        <v>7045</v>
      </c>
      <c r="S375" s="30">
        <v>46753.0</v>
      </c>
      <c r="T375" s="30">
        <v>47118.0</v>
      </c>
      <c r="U375" s="31">
        <v>0.0</v>
      </c>
      <c r="V375" s="31">
        <v>1.0</v>
      </c>
      <c r="W375" s="35" t="s">
        <v>7045</v>
      </c>
      <c r="X375" s="30">
        <v>47119.0</v>
      </c>
      <c r="Y375" s="30">
        <v>47483.0</v>
      </c>
      <c r="Z375" s="31">
        <v>0.0</v>
      </c>
      <c r="AA375" s="31">
        <v>1.0</v>
      </c>
      <c r="AB375" s="35" t="s">
        <v>7045</v>
      </c>
      <c r="AC375" s="30">
        <v>47484.0</v>
      </c>
      <c r="AD375" s="30">
        <v>47848.0</v>
      </c>
      <c r="AE375" s="31">
        <v>0.0</v>
      </c>
      <c r="AF375" s="31">
        <v>1.0</v>
      </c>
      <c r="AG375" s="35" t="s">
        <v>7045</v>
      </c>
    </row>
    <row r="376" ht="14.25" customHeight="1">
      <c r="A376" s="28" t="s">
        <v>215</v>
      </c>
      <c r="B376" s="29" t="s">
        <v>216</v>
      </c>
      <c r="C376" s="29" t="s">
        <v>7041</v>
      </c>
      <c r="D376" s="30">
        <v>45658.0</v>
      </c>
      <c r="E376" s="30">
        <v>46022.0</v>
      </c>
      <c r="F376" s="31">
        <v>0.0</v>
      </c>
      <c r="G376" s="31">
        <v>1.0</v>
      </c>
      <c r="H376" s="35" t="s">
        <v>7045</v>
      </c>
      <c r="I376" s="30">
        <v>46023.0</v>
      </c>
      <c r="J376" s="30">
        <v>46387.0</v>
      </c>
      <c r="K376" s="31">
        <v>0.0</v>
      </c>
      <c r="L376" s="31">
        <v>1.0</v>
      </c>
      <c r="M376" s="35" t="s">
        <v>7045</v>
      </c>
      <c r="N376" s="30">
        <v>46388.0</v>
      </c>
      <c r="O376" s="30">
        <v>46752.0</v>
      </c>
      <c r="P376" s="31">
        <v>0.0</v>
      </c>
      <c r="Q376" s="31">
        <v>1.0</v>
      </c>
      <c r="R376" s="35" t="s">
        <v>7045</v>
      </c>
      <c r="S376" s="30">
        <v>46753.0</v>
      </c>
      <c r="T376" s="30">
        <v>47118.0</v>
      </c>
      <c r="U376" s="31">
        <v>0.0</v>
      </c>
      <c r="V376" s="31">
        <v>1.0</v>
      </c>
      <c r="W376" s="35" t="s">
        <v>7045</v>
      </c>
      <c r="X376" s="30">
        <v>47119.0</v>
      </c>
      <c r="Y376" s="30">
        <v>47483.0</v>
      </c>
      <c r="Z376" s="31">
        <v>0.0</v>
      </c>
      <c r="AA376" s="31">
        <v>1.0</v>
      </c>
      <c r="AB376" s="35" t="s">
        <v>7045</v>
      </c>
      <c r="AC376" s="30">
        <v>47484.0</v>
      </c>
      <c r="AD376" s="30">
        <v>47848.0</v>
      </c>
      <c r="AE376" s="31">
        <v>0.0</v>
      </c>
      <c r="AF376" s="31">
        <v>1.0</v>
      </c>
      <c r="AG376" s="35" t="s">
        <v>7045</v>
      </c>
    </row>
    <row r="377" ht="14.25" customHeight="1">
      <c r="A377" s="28" t="s">
        <v>4879</v>
      </c>
      <c r="B377" s="29" t="s">
        <v>4880</v>
      </c>
      <c r="C377" s="29" t="s">
        <v>7041</v>
      </c>
      <c r="D377" s="30">
        <v>45658.0</v>
      </c>
      <c r="E377" s="30">
        <v>46022.0</v>
      </c>
      <c r="F377" s="31">
        <v>0.0</v>
      </c>
      <c r="G377" s="31">
        <v>1.0</v>
      </c>
      <c r="H377" s="35" t="s">
        <v>7045</v>
      </c>
      <c r="I377" s="30">
        <v>46023.0</v>
      </c>
      <c r="J377" s="30">
        <v>46387.0</v>
      </c>
      <c r="K377" s="31">
        <v>0.0</v>
      </c>
      <c r="L377" s="31">
        <v>1.0</v>
      </c>
      <c r="M377" s="35" t="s">
        <v>7045</v>
      </c>
      <c r="N377" s="30">
        <v>46388.0</v>
      </c>
      <c r="O377" s="30">
        <v>46752.0</v>
      </c>
      <c r="P377" s="31">
        <v>0.0</v>
      </c>
      <c r="Q377" s="31">
        <v>1.0</v>
      </c>
      <c r="R377" s="35" t="s">
        <v>7045</v>
      </c>
      <c r="S377" s="30">
        <v>46753.0</v>
      </c>
      <c r="T377" s="30">
        <v>47118.0</v>
      </c>
      <c r="U377" s="31">
        <v>0.0</v>
      </c>
      <c r="V377" s="31">
        <v>1.0</v>
      </c>
      <c r="W377" s="35" t="s">
        <v>7045</v>
      </c>
      <c r="X377" s="30">
        <v>47119.0</v>
      </c>
      <c r="Y377" s="30">
        <v>47483.0</v>
      </c>
      <c r="Z377" s="31">
        <v>0.0</v>
      </c>
      <c r="AA377" s="31">
        <v>1.0</v>
      </c>
      <c r="AB377" s="35" t="s">
        <v>7045</v>
      </c>
      <c r="AC377" s="30">
        <v>47484.0</v>
      </c>
      <c r="AD377" s="30">
        <v>47848.0</v>
      </c>
      <c r="AE377" s="31">
        <v>0.0</v>
      </c>
      <c r="AF377" s="31">
        <v>1.0</v>
      </c>
      <c r="AG377" s="35" t="s">
        <v>7045</v>
      </c>
    </row>
    <row r="378" ht="14.25" customHeight="1">
      <c r="A378" s="28" t="s">
        <v>1477</v>
      </c>
      <c r="B378" s="29" t="s">
        <v>1478</v>
      </c>
      <c r="C378" s="29" t="s">
        <v>7041</v>
      </c>
      <c r="D378" s="30">
        <v>45658.0</v>
      </c>
      <c r="E378" s="30">
        <v>46022.0</v>
      </c>
      <c r="F378" s="31">
        <v>0.0</v>
      </c>
      <c r="G378" s="31">
        <v>1.0</v>
      </c>
      <c r="H378" s="35" t="s">
        <v>7045</v>
      </c>
      <c r="I378" s="30">
        <v>46023.0</v>
      </c>
      <c r="J378" s="30">
        <v>46387.0</v>
      </c>
      <c r="K378" s="31">
        <v>0.0</v>
      </c>
      <c r="L378" s="31">
        <v>1.0</v>
      </c>
      <c r="M378" s="35" t="s">
        <v>7045</v>
      </c>
      <c r="N378" s="30">
        <v>46388.0</v>
      </c>
      <c r="O378" s="30">
        <v>46752.0</v>
      </c>
      <c r="P378" s="31">
        <v>0.0</v>
      </c>
      <c r="Q378" s="31">
        <v>1.0</v>
      </c>
      <c r="R378" s="35" t="s">
        <v>7045</v>
      </c>
      <c r="S378" s="30">
        <v>46753.0</v>
      </c>
      <c r="T378" s="30">
        <v>47118.0</v>
      </c>
      <c r="U378" s="31">
        <v>0.0</v>
      </c>
      <c r="V378" s="31">
        <v>1.0</v>
      </c>
      <c r="W378" s="35" t="s">
        <v>7045</v>
      </c>
      <c r="X378" s="30">
        <v>47119.0</v>
      </c>
      <c r="Y378" s="30">
        <v>47483.0</v>
      </c>
      <c r="Z378" s="31">
        <v>0.0</v>
      </c>
      <c r="AA378" s="31">
        <v>1.0</v>
      </c>
      <c r="AB378" s="35" t="s">
        <v>7045</v>
      </c>
      <c r="AC378" s="30">
        <v>47484.0</v>
      </c>
      <c r="AD378" s="30">
        <v>47848.0</v>
      </c>
      <c r="AE378" s="31">
        <v>0.0</v>
      </c>
      <c r="AF378" s="31">
        <v>1.0</v>
      </c>
      <c r="AG378" s="35" t="s">
        <v>7045</v>
      </c>
    </row>
    <row r="379" ht="14.25" customHeight="1">
      <c r="A379" s="28" t="s">
        <v>3756</v>
      </c>
      <c r="B379" s="29" t="s">
        <v>3757</v>
      </c>
      <c r="C379" s="29" t="s">
        <v>7041</v>
      </c>
      <c r="D379" s="30">
        <v>45658.0</v>
      </c>
      <c r="E379" s="30">
        <v>46022.0</v>
      </c>
      <c r="F379" s="31">
        <v>0.0</v>
      </c>
      <c r="G379" s="31">
        <v>1.0</v>
      </c>
      <c r="H379" s="35" t="s">
        <v>7045</v>
      </c>
      <c r="I379" s="30">
        <v>46023.0</v>
      </c>
      <c r="J379" s="30">
        <v>46387.0</v>
      </c>
      <c r="K379" s="31">
        <v>0.0</v>
      </c>
      <c r="L379" s="31">
        <v>1.0</v>
      </c>
      <c r="M379" s="35" t="s">
        <v>7045</v>
      </c>
      <c r="N379" s="30">
        <v>46388.0</v>
      </c>
      <c r="O379" s="30">
        <v>46752.0</v>
      </c>
      <c r="P379" s="31">
        <v>0.0</v>
      </c>
      <c r="Q379" s="31">
        <v>1.0</v>
      </c>
      <c r="R379" s="35" t="s">
        <v>7045</v>
      </c>
      <c r="S379" s="30">
        <v>46753.0</v>
      </c>
      <c r="T379" s="30">
        <v>47118.0</v>
      </c>
      <c r="U379" s="31">
        <v>0.0</v>
      </c>
      <c r="V379" s="31">
        <v>1.0</v>
      </c>
      <c r="W379" s="35" t="s">
        <v>7045</v>
      </c>
      <c r="X379" s="30">
        <v>47119.0</v>
      </c>
      <c r="Y379" s="30">
        <v>47483.0</v>
      </c>
      <c r="Z379" s="31">
        <v>0.0</v>
      </c>
      <c r="AA379" s="31">
        <v>1.0</v>
      </c>
      <c r="AB379" s="35" t="s">
        <v>7045</v>
      </c>
      <c r="AC379" s="30">
        <v>47484.0</v>
      </c>
      <c r="AD379" s="30">
        <v>47848.0</v>
      </c>
      <c r="AE379" s="31">
        <v>0.0</v>
      </c>
      <c r="AF379" s="31">
        <v>1.0</v>
      </c>
      <c r="AG379" s="35" t="s">
        <v>7045</v>
      </c>
    </row>
    <row r="380" ht="14.25" customHeight="1">
      <c r="A380" s="28" t="s">
        <v>5259</v>
      </c>
      <c r="B380" s="29" t="s">
        <v>5260</v>
      </c>
      <c r="C380" s="29" t="s">
        <v>7041</v>
      </c>
      <c r="D380" s="30">
        <v>45658.0</v>
      </c>
      <c r="E380" s="30">
        <v>46022.0</v>
      </c>
      <c r="F380" s="31">
        <v>0.0</v>
      </c>
      <c r="G380" s="31">
        <v>1.0</v>
      </c>
      <c r="H380" s="35" t="s">
        <v>7045</v>
      </c>
      <c r="I380" s="30">
        <v>46023.0</v>
      </c>
      <c r="J380" s="30">
        <v>46387.0</v>
      </c>
      <c r="K380" s="31">
        <v>0.0</v>
      </c>
      <c r="L380" s="31">
        <v>1.0</v>
      </c>
      <c r="M380" s="35" t="s">
        <v>7045</v>
      </c>
      <c r="N380" s="30">
        <v>46388.0</v>
      </c>
      <c r="O380" s="30">
        <v>46752.0</v>
      </c>
      <c r="P380" s="31">
        <v>0.0</v>
      </c>
      <c r="Q380" s="31">
        <v>1.0</v>
      </c>
      <c r="R380" s="35" t="s">
        <v>7045</v>
      </c>
      <c r="S380" s="30">
        <v>46753.0</v>
      </c>
      <c r="T380" s="30">
        <v>47118.0</v>
      </c>
      <c r="U380" s="31">
        <v>0.0</v>
      </c>
      <c r="V380" s="31">
        <v>1.0</v>
      </c>
      <c r="W380" s="35" t="s">
        <v>7045</v>
      </c>
      <c r="X380" s="30">
        <v>47119.0</v>
      </c>
      <c r="Y380" s="30">
        <v>47483.0</v>
      </c>
      <c r="Z380" s="31">
        <v>0.0</v>
      </c>
      <c r="AA380" s="31">
        <v>1.0</v>
      </c>
      <c r="AB380" s="35" t="s">
        <v>7045</v>
      </c>
      <c r="AC380" s="30">
        <v>47484.0</v>
      </c>
      <c r="AD380" s="30">
        <v>47848.0</v>
      </c>
      <c r="AE380" s="31">
        <v>0.0</v>
      </c>
      <c r="AF380" s="31">
        <v>1.0</v>
      </c>
      <c r="AG380" s="35" t="s">
        <v>7045</v>
      </c>
    </row>
    <row r="381" ht="14.25" customHeight="1">
      <c r="A381" s="28" t="s">
        <v>5335</v>
      </c>
      <c r="B381" s="29" t="s">
        <v>5336</v>
      </c>
      <c r="C381" s="29" t="s">
        <v>7041</v>
      </c>
      <c r="D381" s="30">
        <v>45658.0</v>
      </c>
      <c r="E381" s="30">
        <v>46022.0</v>
      </c>
      <c r="F381" s="31">
        <v>0.0</v>
      </c>
      <c r="G381" s="31">
        <v>1.0</v>
      </c>
      <c r="H381" s="35" t="s">
        <v>7045</v>
      </c>
      <c r="I381" s="30">
        <v>46023.0</v>
      </c>
      <c r="J381" s="30">
        <v>46387.0</v>
      </c>
      <c r="K381" s="31">
        <v>0.0</v>
      </c>
      <c r="L381" s="31">
        <v>1.0</v>
      </c>
      <c r="M381" s="35" t="s">
        <v>7045</v>
      </c>
      <c r="N381" s="30">
        <v>46388.0</v>
      </c>
      <c r="O381" s="30">
        <v>46752.0</v>
      </c>
      <c r="P381" s="31">
        <v>0.0</v>
      </c>
      <c r="Q381" s="31">
        <v>1.0</v>
      </c>
      <c r="R381" s="35" t="s">
        <v>7045</v>
      </c>
      <c r="S381" s="30">
        <v>46753.0</v>
      </c>
      <c r="T381" s="30">
        <v>47118.0</v>
      </c>
      <c r="U381" s="31">
        <v>0.0</v>
      </c>
      <c r="V381" s="31">
        <v>1.0</v>
      </c>
      <c r="W381" s="35" t="s">
        <v>7045</v>
      </c>
      <c r="X381" s="30">
        <v>47119.0</v>
      </c>
      <c r="Y381" s="30">
        <v>47483.0</v>
      </c>
      <c r="Z381" s="31">
        <v>0.0</v>
      </c>
      <c r="AA381" s="31">
        <v>1.0</v>
      </c>
      <c r="AB381" s="35" t="s">
        <v>7045</v>
      </c>
      <c r="AC381" s="30">
        <v>47484.0</v>
      </c>
      <c r="AD381" s="30">
        <v>47848.0</v>
      </c>
      <c r="AE381" s="31">
        <v>0.0</v>
      </c>
      <c r="AF381" s="31">
        <v>1.0</v>
      </c>
      <c r="AG381" s="35" t="s">
        <v>7045</v>
      </c>
    </row>
    <row r="382" ht="14.25" customHeight="1">
      <c r="A382" s="28" t="s">
        <v>5389</v>
      </c>
      <c r="B382" s="29" t="s">
        <v>5390</v>
      </c>
      <c r="C382" s="29" t="s">
        <v>7041</v>
      </c>
      <c r="D382" s="30">
        <v>45658.0</v>
      </c>
      <c r="E382" s="30">
        <v>46022.0</v>
      </c>
      <c r="F382" s="31">
        <v>0.0</v>
      </c>
      <c r="G382" s="31">
        <v>1.0</v>
      </c>
      <c r="H382" s="35" t="s">
        <v>7045</v>
      </c>
      <c r="I382" s="30">
        <v>46023.0</v>
      </c>
      <c r="J382" s="30">
        <v>46387.0</v>
      </c>
      <c r="K382" s="31">
        <v>0.0</v>
      </c>
      <c r="L382" s="31">
        <v>1.0</v>
      </c>
      <c r="M382" s="35" t="s">
        <v>7045</v>
      </c>
      <c r="N382" s="30">
        <v>46388.0</v>
      </c>
      <c r="O382" s="30">
        <v>46752.0</v>
      </c>
      <c r="P382" s="31">
        <v>0.0</v>
      </c>
      <c r="Q382" s="31">
        <v>1.0</v>
      </c>
      <c r="R382" s="35" t="s">
        <v>7045</v>
      </c>
      <c r="S382" s="30">
        <v>46753.0</v>
      </c>
      <c r="T382" s="30">
        <v>47118.0</v>
      </c>
      <c r="U382" s="31">
        <v>0.0</v>
      </c>
      <c r="V382" s="31">
        <v>1.0</v>
      </c>
      <c r="W382" s="35" t="s">
        <v>7045</v>
      </c>
      <c r="X382" s="30">
        <v>47119.0</v>
      </c>
      <c r="Y382" s="30">
        <v>47483.0</v>
      </c>
      <c r="Z382" s="31">
        <v>0.0</v>
      </c>
      <c r="AA382" s="31">
        <v>1.0</v>
      </c>
      <c r="AB382" s="35" t="s">
        <v>7045</v>
      </c>
      <c r="AC382" s="30">
        <v>47484.0</v>
      </c>
      <c r="AD382" s="30">
        <v>47848.0</v>
      </c>
      <c r="AE382" s="31">
        <v>0.0</v>
      </c>
      <c r="AF382" s="31">
        <v>1.0</v>
      </c>
      <c r="AG382" s="35" t="s">
        <v>7045</v>
      </c>
    </row>
    <row r="383" ht="14.25" customHeight="1">
      <c r="A383" s="28" t="s">
        <v>1864</v>
      </c>
      <c r="B383" s="29" t="s">
        <v>1865</v>
      </c>
      <c r="C383" s="29" t="s">
        <v>7041</v>
      </c>
      <c r="D383" s="30">
        <v>45658.0</v>
      </c>
      <c r="E383" s="30">
        <v>46022.0</v>
      </c>
      <c r="F383" s="31">
        <v>0.0</v>
      </c>
      <c r="G383" s="31">
        <v>1.0</v>
      </c>
      <c r="H383" s="35" t="s">
        <v>7045</v>
      </c>
      <c r="I383" s="30">
        <v>46023.0</v>
      </c>
      <c r="J383" s="30">
        <v>46387.0</v>
      </c>
      <c r="K383" s="31">
        <v>0.0</v>
      </c>
      <c r="L383" s="31">
        <v>1.0</v>
      </c>
      <c r="M383" s="35" t="s">
        <v>7045</v>
      </c>
      <c r="N383" s="30">
        <v>46388.0</v>
      </c>
      <c r="O383" s="30">
        <v>46752.0</v>
      </c>
      <c r="P383" s="31">
        <v>0.0</v>
      </c>
      <c r="Q383" s="31">
        <v>1.0</v>
      </c>
      <c r="R383" s="35" t="s">
        <v>7045</v>
      </c>
      <c r="S383" s="30">
        <v>46753.0</v>
      </c>
      <c r="T383" s="30">
        <v>47118.0</v>
      </c>
      <c r="U383" s="31">
        <v>0.0</v>
      </c>
      <c r="V383" s="31">
        <v>1.0</v>
      </c>
      <c r="W383" s="35" t="s">
        <v>7045</v>
      </c>
      <c r="X383" s="30">
        <v>47119.0</v>
      </c>
      <c r="Y383" s="30">
        <v>47483.0</v>
      </c>
      <c r="Z383" s="31">
        <v>0.0</v>
      </c>
      <c r="AA383" s="31">
        <v>1.0</v>
      </c>
      <c r="AB383" s="35" t="s">
        <v>7045</v>
      </c>
      <c r="AC383" s="30">
        <v>47484.0</v>
      </c>
      <c r="AD383" s="30">
        <v>47848.0</v>
      </c>
      <c r="AE383" s="31">
        <v>0.0</v>
      </c>
      <c r="AF383" s="31">
        <v>1.0</v>
      </c>
      <c r="AG383" s="35" t="s">
        <v>7045</v>
      </c>
    </row>
    <row r="384" ht="14.25" customHeight="1">
      <c r="A384" s="28" t="s">
        <v>5844</v>
      </c>
      <c r="B384" s="29" t="s">
        <v>5845</v>
      </c>
      <c r="C384" s="29" t="s">
        <v>7041</v>
      </c>
      <c r="D384" s="30">
        <v>45658.0</v>
      </c>
      <c r="E384" s="30">
        <v>46022.0</v>
      </c>
      <c r="F384" s="31">
        <v>0.0</v>
      </c>
      <c r="G384" s="31">
        <v>1.0</v>
      </c>
      <c r="H384" s="35" t="s">
        <v>7045</v>
      </c>
      <c r="I384" s="30">
        <v>46023.0</v>
      </c>
      <c r="J384" s="30">
        <v>46387.0</v>
      </c>
      <c r="K384" s="31">
        <v>0.0</v>
      </c>
      <c r="L384" s="31">
        <v>1.0</v>
      </c>
      <c r="M384" s="35" t="s">
        <v>7045</v>
      </c>
      <c r="N384" s="30">
        <v>46388.0</v>
      </c>
      <c r="O384" s="30">
        <v>46752.0</v>
      </c>
      <c r="P384" s="31">
        <v>0.0</v>
      </c>
      <c r="Q384" s="31">
        <v>1.0</v>
      </c>
      <c r="R384" s="35" t="s">
        <v>7045</v>
      </c>
      <c r="S384" s="30">
        <v>46753.0</v>
      </c>
      <c r="T384" s="30">
        <v>47118.0</v>
      </c>
      <c r="U384" s="31">
        <v>0.0</v>
      </c>
      <c r="V384" s="31">
        <v>1.0</v>
      </c>
      <c r="W384" s="35" t="s">
        <v>7045</v>
      </c>
      <c r="X384" s="30">
        <v>47119.0</v>
      </c>
      <c r="Y384" s="30">
        <v>47483.0</v>
      </c>
      <c r="Z384" s="31">
        <v>0.0</v>
      </c>
      <c r="AA384" s="31">
        <v>1.0</v>
      </c>
      <c r="AB384" s="35" t="s">
        <v>7045</v>
      </c>
      <c r="AC384" s="30">
        <v>47484.0</v>
      </c>
      <c r="AD384" s="30">
        <v>47848.0</v>
      </c>
      <c r="AE384" s="31">
        <v>0.0</v>
      </c>
      <c r="AF384" s="31">
        <v>1.0</v>
      </c>
      <c r="AG384" s="35" t="s">
        <v>7045</v>
      </c>
    </row>
    <row r="385" ht="14.25" customHeight="1">
      <c r="A385" s="28" t="s">
        <v>4174</v>
      </c>
      <c r="B385" s="29" t="s">
        <v>4175</v>
      </c>
      <c r="C385" s="29" t="s">
        <v>7041</v>
      </c>
      <c r="D385" s="30">
        <v>45658.0</v>
      </c>
      <c r="E385" s="30">
        <v>46022.0</v>
      </c>
      <c r="F385" s="31">
        <v>0.0</v>
      </c>
      <c r="G385" s="31">
        <v>1.0</v>
      </c>
      <c r="H385" s="32" t="s">
        <v>7043</v>
      </c>
      <c r="I385" s="30">
        <v>46023.0</v>
      </c>
      <c r="J385" s="30">
        <v>46387.0</v>
      </c>
      <c r="K385" s="31">
        <v>0.0</v>
      </c>
      <c r="L385" s="31">
        <v>1.0</v>
      </c>
      <c r="M385" s="35" t="s">
        <v>7045</v>
      </c>
      <c r="N385" s="30">
        <v>46388.0</v>
      </c>
      <c r="O385" s="30">
        <v>46752.0</v>
      </c>
      <c r="P385" s="31">
        <v>0.0</v>
      </c>
      <c r="Q385" s="31">
        <v>1.0</v>
      </c>
      <c r="R385" s="35" t="s">
        <v>7045</v>
      </c>
      <c r="S385" s="30">
        <v>46753.0</v>
      </c>
      <c r="T385" s="30">
        <v>47118.0</v>
      </c>
      <c r="U385" s="31">
        <v>0.0</v>
      </c>
      <c r="V385" s="31">
        <v>1.0</v>
      </c>
      <c r="W385" s="35" t="s">
        <v>7045</v>
      </c>
      <c r="X385" s="30">
        <v>47119.0</v>
      </c>
      <c r="Y385" s="30">
        <v>47483.0</v>
      </c>
      <c r="Z385" s="31">
        <v>0.0</v>
      </c>
      <c r="AA385" s="31">
        <v>1.0</v>
      </c>
      <c r="AB385" s="35" t="s">
        <v>7045</v>
      </c>
      <c r="AC385" s="30">
        <v>47484.0</v>
      </c>
      <c r="AD385" s="30">
        <v>47848.0</v>
      </c>
      <c r="AE385" s="31">
        <v>0.0</v>
      </c>
      <c r="AF385" s="31">
        <v>1.0</v>
      </c>
      <c r="AG385" s="35" t="s">
        <v>7045</v>
      </c>
    </row>
    <row r="386" ht="14.25" customHeight="1">
      <c r="A386" s="28" t="s">
        <v>2869</v>
      </c>
      <c r="B386" s="29" t="s">
        <v>2870</v>
      </c>
      <c r="C386" s="29" t="s">
        <v>7041</v>
      </c>
      <c r="D386" s="30">
        <v>45658.0</v>
      </c>
      <c r="E386" s="30">
        <v>46022.0</v>
      </c>
      <c r="F386" s="31">
        <v>0.0</v>
      </c>
      <c r="G386" s="31">
        <v>1.0</v>
      </c>
      <c r="H386" s="35" t="s">
        <v>7045</v>
      </c>
      <c r="I386" s="30">
        <v>46023.0</v>
      </c>
      <c r="J386" s="30">
        <v>46387.0</v>
      </c>
      <c r="K386" s="31">
        <v>0.0</v>
      </c>
      <c r="L386" s="31">
        <v>1.0</v>
      </c>
      <c r="M386" s="35" t="s">
        <v>7045</v>
      </c>
      <c r="N386" s="30">
        <v>46388.0</v>
      </c>
      <c r="O386" s="30">
        <v>46752.0</v>
      </c>
      <c r="P386" s="31">
        <v>0.0</v>
      </c>
      <c r="Q386" s="31">
        <v>1.0</v>
      </c>
      <c r="R386" s="35" t="s">
        <v>7045</v>
      </c>
      <c r="S386" s="30">
        <v>46753.0</v>
      </c>
      <c r="T386" s="30">
        <v>47118.0</v>
      </c>
      <c r="U386" s="31">
        <v>0.0</v>
      </c>
      <c r="V386" s="31">
        <v>1.0</v>
      </c>
      <c r="W386" s="35" t="s">
        <v>7045</v>
      </c>
      <c r="X386" s="30">
        <v>47119.0</v>
      </c>
      <c r="Y386" s="30">
        <v>47483.0</v>
      </c>
      <c r="Z386" s="31">
        <v>0.0</v>
      </c>
      <c r="AA386" s="31">
        <v>1.0</v>
      </c>
      <c r="AB386" s="35" t="s">
        <v>7045</v>
      </c>
      <c r="AC386" s="30">
        <v>47484.0</v>
      </c>
      <c r="AD386" s="30">
        <v>47848.0</v>
      </c>
      <c r="AE386" s="31">
        <v>0.0</v>
      </c>
      <c r="AF386" s="31">
        <v>1.0</v>
      </c>
      <c r="AG386" s="35" t="s">
        <v>7045</v>
      </c>
    </row>
    <row r="387" ht="14.25" customHeight="1">
      <c r="A387" s="28" t="s">
        <v>6381</v>
      </c>
      <c r="B387" s="29" t="s">
        <v>6382</v>
      </c>
      <c r="C387" s="29" t="s">
        <v>7041</v>
      </c>
      <c r="D387" s="30">
        <v>45658.0</v>
      </c>
      <c r="E387" s="30">
        <v>46022.0</v>
      </c>
      <c r="F387" s="31">
        <v>0.0</v>
      </c>
      <c r="G387" s="31">
        <v>1.0</v>
      </c>
      <c r="H387" s="35" t="s">
        <v>7045</v>
      </c>
      <c r="I387" s="30">
        <v>46023.0</v>
      </c>
      <c r="J387" s="30">
        <v>46387.0</v>
      </c>
      <c r="K387" s="31">
        <v>0.0</v>
      </c>
      <c r="L387" s="31">
        <v>1.0</v>
      </c>
      <c r="M387" s="35" t="s">
        <v>7045</v>
      </c>
      <c r="N387" s="30">
        <v>46388.0</v>
      </c>
      <c r="O387" s="30">
        <v>46752.0</v>
      </c>
      <c r="P387" s="31">
        <v>0.0</v>
      </c>
      <c r="Q387" s="31">
        <v>1.0</v>
      </c>
      <c r="R387" s="35" t="s">
        <v>7045</v>
      </c>
      <c r="S387" s="30">
        <v>46753.0</v>
      </c>
      <c r="T387" s="30">
        <v>47118.0</v>
      </c>
      <c r="U387" s="31">
        <v>0.0</v>
      </c>
      <c r="V387" s="31">
        <v>1.0</v>
      </c>
      <c r="W387" s="35" t="s">
        <v>7045</v>
      </c>
      <c r="X387" s="30">
        <v>47119.0</v>
      </c>
      <c r="Y387" s="30">
        <v>47483.0</v>
      </c>
      <c r="Z387" s="31">
        <v>0.0</v>
      </c>
      <c r="AA387" s="31">
        <v>1.0</v>
      </c>
      <c r="AB387" s="35" t="s">
        <v>7045</v>
      </c>
      <c r="AC387" s="30">
        <v>47484.0</v>
      </c>
      <c r="AD387" s="30">
        <v>47848.0</v>
      </c>
      <c r="AE387" s="31">
        <v>0.0</v>
      </c>
      <c r="AF387" s="31">
        <v>1.0</v>
      </c>
      <c r="AG387" s="35" t="s">
        <v>7045</v>
      </c>
    </row>
    <row r="388" ht="14.25" customHeight="1">
      <c r="A388" s="28" t="s">
        <v>2045</v>
      </c>
      <c r="B388" s="29" t="s">
        <v>2046</v>
      </c>
      <c r="C388" s="29" t="s">
        <v>7041</v>
      </c>
      <c r="D388" s="30">
        <v>45658.0</v>
      </c>
      <c r="E388" s="30">
        <v>46022.0</v>
      </c>
      <c r="F388" s="31">
        <v>0.0</v>
      </c>
      <c r="G388" s="31">
        <v>1.0</v>
      </c>
      <c r="H388" s="35" t="s">
        <v>7045</v>
      </c>
      <c r="I388" s="30">
        <v>46023.0</v>
      </c>
      <c r="J388" s="30">
        <v>46387.0</v>
      </c>
      <c r="K388" s="31">
        <v>0.0</v>
      </c>
      <c r="L388" s="31">
        <v>1.0</v>
      </c>
      <c r="M388" s="35" t="s">
        <v>7045</v>
      </c>
      <c r="N388" s="30">
        <v>46388.0</v>
      </c>
      <c r="O388" s="30">
        <v>46752.0</v>
      </c>
      <c r="P388" s="31">
        <v>0.0</v>
      </c>
      <c r="Q388" s="31">
        <v>1.0</v>
      </c>
      <c r="R388" s="35" t="s">
        <v>7045</v>
      </c>
      <c r="S388" s="30">
        <v>46753.0</v>
      </c>
      <c r="T388" s="30">
        <v>47118.0</v>
      </c>
      <c r="U388" s="31">
        <v>0.0</v>
      </c>
      <c r="V388" s="31">
        <v>1.0</v>
      </c>
      <c r="W388" s="35" t="s">
        <v>7045</v>
      </c>
      <c r="X388" s="30">
        <v>47119.0</v>
      </c>
      <c r="Y388" s="30">
        <v>47483.0</v>
      </c>
      <c r="Z388" s="31">
        <v>0.0</v>
      </c>
      <c r="AA388" s="31">
        <v>1.0</v>
      </c>
      <c r="AB388" s="35" t="s">
        <v>7045</v>
      </c>
      <c r="AC388" s="30">
        <v>47484.0</v>
      </c>
      <c r="AD388" s="30">
        <v>47848.0</v>
      </c>
      <c r="AE388" s="31">
        <v>0.0</v>
      </c>
      <c r="AF388" s="31">
        <v>1.0</v>
      </c>
      <c r="AG388" s="35" t="s">
        <v>7045</v>
      </c>
    </row>
    <row r="389" ht="14.25" customHeight="1">
      <c r="A389" s="28" t="s">
        <v>4934</v>
      </c>
      <c r="B389" s="29" t="s">
        <v>4935</v>
      </c>
      <c r="C389" s="29" t="s">
        <v>7041</v>
      </c>
      <c r="D389" s="30">
        <v>45658.0</v>
      </c>
      <c r="E389" s="30">
        <v>46022.0</v>
      </c>
      <c r="F389" s="31">
        <v>0.0</v>
      </c>
      <c r="G389" s="31">
        <v>1.0</v>
      </c>
      <c r="H389" s="35" t="s">
        <v>7045</v>
      </c>
      <c r="I389" s="30">
        <v>46023.0</v>
      </c>
      <c r="J389" s="30">
        <v>46387.0</v>
      </c>
      <c r="K389" s="31">
        <v>0.0</v>
      </c>
      <c r="L389" s="31">
        <v>1.0</v>
      </c>
      <c r="M389" s="35" t="s">
        <v>7045</v>
      </c>
      <c r="N389" s="30">
        <v>46388.0</v>
      </c>
      <c r="O389" s="30">
        <v>46752.0</v>
      </c>
      <c r="P389" s="31">
        <v>0.0</v>
      </c>
      <c r="Q389" s="31">
        <v>1.0</v>
      </c>
      <c r="R389" s="35" t="s">
        <v>7045</v>
      </c>
      <c r="S389" s="30">
        <v>46753.0</v>
      </c>
      <c r="T389" s="30">
        <v>47118.0</v>
      </c>
      <c r="U389" s="31">
        <v>0.0</v>
      </c>
      <c r="V389" s="31">
        <v>1.0</v>
      </c>
      <c r="W389" s="35" t="s">
        <v>7045</v>
      </c>
      <c r="X389" s="30">
        <v>47119.0</v>
      </c>
      <c r="Y389" s="30">
        <v>47483.0</v>
      </c>
      <c r="Z389" s="31">
        <v>0.0</v>
      </c>
      <c r="AA389" s="31">
        <v>1.0</v>
      </c>
      <c r="AB389" s="35" t="s">
        <v>7045</v>
      </c>
      <c r="AC389" s="30">
        <v>47484.0</v>
      </c>
      <c r="AD389" s="30">
        <v>47848.0</v>
      </c>
      <c r="AE389" s="31">
        <v>0.0</v>
      </c>
      <c r="AF389" s="31">
        <v>1.0</v>
      </c>
      <c r="AG389" s="35" t="s">
        <v>7045</v>
      </c>
    </row>
    <row r="390" ht="14.25" customHeight="1">
      <c r="A390" s="28" t="s">
        <v>1386</v>
      </c>
      <c r="B390" s="29" t="s">
        <v>1387</v>
      </c>
      <c r="C390" s="29" t="s">
        <v>7041</v>
      </c>
      <c r="D390" s="30">
        <v>45658.0</v>
      </c>
      <c r="E390" s="30">
        <v>46022.0</v>
      </c>
      <c r="F390" s="31">
        <v>0.0</v>
      </c>
      <c r="G390" s="31">
        <v>1.0</v>
      </c>
      <c r="H390" s="35" t="s">
        <v>7045</v>
      </c>
      <c r="I390" s="30">
        <v>46023.0</v>
      </c>
      <c r="J390" s="30">
        <v>46387.0</v>
      </c>
      <c r="K390" s="31">
        <v>0.0</v>
      </c>
      <c r="L390" s="31">
        <v>1.0</v>
      </c>
      <c r="M390" s="35" t="s">
        <v>7045</v>
      </c>
      <c r="N390" s="30">
        <v>46388.0</v>
      </c>
      <c r="O390" s="30">
        <v>46752.0</v>
      </c>
      <c r="P390" s="31">
        <v>0.0</v>
      </c>
      <c r="Q390" s="31">
        <v>1.0</v>
      </c>
      <c r="R390" s="35" t="s">
        <v>7045</v>
      </c>
      <c r="S390" s="30">
        <v>46753.0</v>
      </c>
      <c r="T390" s="30">
        <v>47118.0</v>
      </c>
      <c r="U390" s="31">
        <v>0.0</v>
      </c>
      <c r="V390" s="31">
        <v>1.0</v>
      </c>
      <c r="W390" s="35" t="s">
        <v>7045</v>
      </c>
      <c r="X390" s="30">
        <v>47119.0</v>
      </c>
      <c r="Y390" s="30">
        <v>47483.0</v>
      </c>
      <c r="Z390" s="31">
        <v>0.0</v>
      </c>
      <c r="AA390" s="31">
        <v>1.0</v>
      </c>
      <c r="AB390" s="35" t="s">
        <v>7045</v>
      </c>
      <c r="AC390" s="30">
        <v>47484.0</v>
      </c>
      <c r="AD390" s="30">
        <v>47848.0</v>
      </c>
      <c r="AE390" s="31">
        <v>0.0</v>
      </c>
      <c r="AF390" s="31">
        <v>1.0</v>
      </c>
      <c r="AG390" s="35" t="s">
        <v>7045</v>
      </c>
    </row>
    <row r="391" ht="14.25" customHeight="1">
      <c r="A391" s="28" t="s">
        <v>2276</v>
      </c>
      <c r="B391" s="29" t="s">
        <v>2277</v>
      </c>
      <c r="C391" s="29" t="s">
        <v>7041</v>
      </c>
      <c r="D391" s="30">
        <v>45658.0</v>
      </c>
      <c r="E391" s="30">
        <v>46022.0</v>
      </c>
      <c r="F391" s="31">
        <v>0.0</v>
      </c>
      <c r="G391" s="31">
        <v>1.0</v>
      </c>
      <c r="H391" s="35" t="s">
        <v>7045</v>
      </c>
      <c r="I391" s="30">
        <v>46023.0</v>
      </c>
      <c r="J391" s="30">
        <v>46387.0</v>
      </c>
      <c r="K391" s="31">
        <v>0.0</v>
      </c>
      <c r="L391" s="31">
        <v>1.0</v>
      </c>
      <c r="M391" s="35" t="s">
        <v>7045</v>
      </c>
      <c r="N391" s="30">
        <v>46388.0</v>
      </c>
      <c r="O391" s="30">
        <v>46752.0</v>
      </c>
      <c r="P391" s="31">
        <v>0.0</v>
      </c>
      <c r="Q391" s="31">
        <v>1.0</v>
      </c>
      <c r="R391" s="35" t="s">
        <v>7045</v>
      </c>
      <c r="S391" s="30">
        <v>46753.0</v>
      </c>
      <c r="T391" s="30">
        <v>47118.0</v>
      </c>
      <c r="U391" s="31">
        <v>0.0</v>
      </c>
      <c r="V391" s="31">
        <v>1.0</v>
      </c>
      <c r="W391" s="35" t="s">
        <v>7045</v>
      </c>
      <c r="X391" s="30">
        <v>47119.0</v>
      </c>
      <c r="Y391" s="30">
        <v>47483.0</v>
      </c>
      <c r="Z391" s="31">
        <v>0.0</v>
      </c>
      <c r="AA391" s="31">
        <v>1.0</v>
      </c>
      <c r="AB391" s="35" t="s">
        <v>7045</v>
      </c>
      <c r="AC391" s="30">
        <v>47484.0</v>
      </c>
      <c r="AD391" s="30">
        <v>47848.0</v>
      </c>
      <c r="AE391" s="31">
        <v>0.0</v>
      </c>
      <c r="AF391" s="31">
        <v>1.0</v>
      </c>
      <c r="AG391" s="35" t="s">
        <v>7045</v>
      </c>
    </row>
    <row r="392" ht="14.25" customHeight="1">
      <c r="A392" s="28" t="s">
        <v>5747</v>
      </c>
      <c r="B392" s="29" t="s">
        <v>5748</v>
      </c>
      <c r="C392" s="29" t="s">
        <v>7041</v>
      </c>
      <c r="D392" s="30">
        <v>45658.0</v>
      </c>
      <c r="E392" s="30">
        <v>46022.0</v>
      </c>
      <c r="F392" s="31">
        <v>0.0</v>
      </c>
      <c r="G392" s="31">
        <v>1.0</v>
      </c>
      <c r="H392" s="35" t="s">
        <v>7045</v>
      </c>
      <c r="I392" s="30">
        <v>46023.0</v>
      </c>
      <c r="J392" s="30">
        <v>46387.0</v>
      </c>
      <c r="K392" s="31">
        <v>0.0</v>
      </c>
      <c r="L392" s="31">
        <v>1.0</v>
      </c>
      <c r="M392" s="35" t="s">
        <v>7045</v>
      </c>
      <c r="N392" s="30">
        <v>46388.0</v>
      </c>
      <c r="O392" s="30">
        <v>46752.0</v>
      </c>
      <c r="P392" s="31">
        <v>0.0</v>
      </c>
      <c r="Q392" s="31">
        <v>1.0</v>
      </c>
      <c r="R392" s="35" t="s">
        <v>7045</v>
      </c>
      <c r="S392" s="30">
        <v>46753.0</v>
      </c>
      <c r="T392" s="30">
        <v>47118.0</v>
      </c>
      <c r="U392" s="31">
        <v>0.0</v>
      </c>
      <c r="V392" s="31">
        <v>1.0</v>
      </c>
      <c r="W392" s="35" t="s">
        <v>7045</v>
      </c>
      <c r="X392" s="30">
        <v>47119.0</v>
      </c>
      <c r="Y392" s="30">
        <v>47483.0</v>
      </c>
      <c r="Z392" s="31">
        <v>0.0</v>
      </c>
      <c r="AA392" s="31">
        <v>1.0</v>
      </c>
      <c r="AB392" s="35" t="s">
        <v>7045</v>
      </c>
      <c r="AC392" s="30">
        <v>47484.0</v>
      </c>
      <c r="AD392" s="30">
        <v>47848.0</v>
      </c>
      <c r="AE392" s="31">
        <v>0.0</v>
      </c>
      <c r="AF392" s="31">
        <v>1.0</v>
      </c>
      <c r="AG392" s="35" t="s">
        <v>7045</v>
      </c>
    </row>
    <row r="393" ht="14.25" customHeight="1">
      <c r="A393" s="28" t="s">
        <v>3097</v>
      </c>
      <c r="B393" s="29" t="s">
        <v>3098</v>
      </c>
      <c r="C393" s="29" t="s">
        <v>7041</v>
      </c>
      <c r="D393" s="30">
        <v>45658.0</v>
      </c>
      <c r="E393" s="30">
        <v>46022.0</v>
      </c>
      <c r="F393" s="31">
        <v>0.0</v>
      </c>
      <c r="G393" s="31">
        <v>1.0</v>
      </c>
      <c r="H393" s="35" t="s">
        <v>7045</v>
      </c>
      <c r="I393" s="30">
        <v>46023.0</v>
      </c>
      <c r="J393" s="30">
        <v>46387.0</v>
      </c>
      <c r="K393" s="31">
        <v>0.0</v>
      </c>
      <c r="L393" s="31">
        <v>1.0</v>
      </c>
      <c r="M393" s="35" t="s">
        <v>7045</v>
      </c>
      <c r="N393" s="30">
        <v>46388.0</v>
      </c>
      <c r="O393" s="30">
        <v>46752.0</v>
      </c>
      <c r="P393" s="31">
        <v>0.0</v>
      </c>
      <c r="Q393" s="31">
        <v>1.0</v>
      </c>
      <c r="R393" s="35" t="s">
        <v>7045</v>
      </c>
      <c r="S393" s="30">
        <v>46753.0</v>
      </c>
      <c r="T393" s="30">
        <v>47118.0</v>
      </c>
      <c r="U393" s="31">
        <v>0.0</v>
      </c>
      <c r="V393" s="31">
        <v>1.0</v>
      </c>
      <c r="W393" s="35" t="s">
        <v>7045</v>
      </c>
      <c r="X393" s="30">
        <v>47119.0</v>
      </c>
      <c r="Y393" s="30">
        <v>47483.0</v>
      </c>
      <c r="Z393" s="31">
        <v>0.0</v>
      </c>
      <c r="AA393" s="31">
        <v>1.0</v>
      </c>
      <c r="AB393" s="35" t="s">
        <v>7045</v>
      </c>
      <c r="AC393" s="30">
        <v>47484.0</v>
      </c>
      <c r="AD393" s="30">
        <v>47848.0</v>
      </c>
      <c r="AE393" s="31">
        <v>0.0</v>
      </c>
      <c r="AF393" s="31">
        <v>1.0</v>
      </c>
      <c r="AG393" s="35" t="s">
        <v>7045</v>
      </c>
    </row>
    <row r="394" ht="14.25" customHeight="1">
      <c r="A394" s="28" t="s">
        <v>6796</v>
      </c>
      <c r="B394" s="29" t="s">
        <v>6797</v>
      </c>
      <c r="C394" s="29" t="s">
        <v>7041</v>
      </c>
      <c r="D394" s="30">
        <v>45658.0</v>
      </c>
      <c r="E394" s="30">
        <v>46022.0</v>
      </c>
      <c r="F394" s="31">
        <v>0.0</v>
      </c>
      <c r="G394" s="31">
        <v>1.0</v>
      </c>
      <c r="H394" s="35" t="s">
        <v>7045</v>
      </c>
      <c r="I394" s="30">
        <v>46023.0</v>
      </c>
      <c r="J394" s="30">
        <v>46387.0</v>
      </c>
      <c r="K394" s="31">
        <v>0.0</v>
      </c>
      <c r="L394" s="31">
        <v>1.0</v>
      </c>
      <c r="M394" s="35" t="s">
        <v>7045</v>
      </c>
      <c r="N394" s="30">
        <v>46388.0</v>
      </c>
      <c r="O394" s="30">
        <v>46752.0</v>
      </c>
      <c r="P394" s="31">
        <v>0.0</v>
      </c>
      <c r="Q394" s="31">
        <v>1.0</v>
      </c>
      <c r="R394" s="35" t="s">
        <v>7045</v>
      </c>
      <c r="S394" s="30">
        <v>46753.0</v>
      </c>
      <c r="T394" s="30">
        <v>47118.0</v>
      </c>
      <c r="U394" s="31">
        <v>0.0</v>
      </c>
      <c r="V394" s="31">
        <v>1.0</v>
      </c>
      <c r="W394" s="35" t="s">
        <v>7045</v>
      </c>
      <c r="X394" s="30">
        <v>47119.0</v>
      </c>
      <c r="Y394" s="30">
        <v>47483.0</v>
      </c>
      <c r="Z394" s="31">
        <v>0.0</v>
      </c>
      <c r="AA394" s="31">
        <v>1.0</v>
      </c>
      <c r="AB394" s="35" t="s">
        <v>7045</v>
      </c>
      <c r="AC394" s="30">
        <v>47484.0</v>
      </c>
      <c r="AD394" s="30">
        <v>47848.0</v>
      </c>
      <c r="AE394" s="31">
        <v>0.0</v>
      </c>
      <c r="AF394" s="31">
        <v>1.0</v>
      </c>
      <c r="AG394" s="35" t="s">
        <v>7045</v>
      </c>
    </row>
    <row r="395" ht="14.25" customHeight="1">
      <c r="A395" s="28" t="s">
        <v>5409</v>
      </c>
      <c r="B395" s="29" t="s">
        <v>5410</v>
      </c>
      <c r="C395" s="29" t="s">
        <v>7041</v>
      </c>
      <c r="D395" s="30">
        <v>45658.0</v>
      </c>
      <c r="E395" s="30">
        <v>46022.0</v>
      </c>
      <c r="F395" s="31">
        <v>0.0</v>
      </c>
      <c r="G395" s="31">
        <v>1.0</v>
      </c>
      <c r="H395" s="35" t="s">
        <v>7045</v>
      </c>
      <c r="I395" s="30">
        <v>46023.0</v>
      </c>
      <c r="J395" s="30">
        <v>46387.0</v>
      </c>
      <c r="K395" s="31">
        <v>0.0</v>
      </c>
      <c r="L395" s="31">
        <v>1.0</v>
      </c>
      <c r="M395" s="35" t="s">
        <v>7045</v>
      </c>
      <c r="N395" s="30">
        <v>46388.0</v>
      </c>
      <c r="O395" s="30">
        <v>46752.0</v>
      </c>
      <c r="P395" s="31">
        <v>0.0</v>
      </c>
      <c r="Q395" s="31">
        <v>1.0</v>
      </c>
      <c r="R395" s="35" t="s">
        <v>7045</v>
      </c>
      <c r="S395" s="30">
        <v>46753.0</v>
      </c>
      <c r="T395" s="30">
        <v>47118.0</v>
      </c>
      <c r="U395" s="31">
        <v>0.0</v>
      </c>
      <c r="V395" s="31">
        <v>1.0</v>
      </c>
      <c r="W395" s="35" t="s">
        <v>7045</v>
      </c>
      <c r="X395" s="30">
        <v>47119.0</v>
      </c>
      <c r="Y395" s="30">
        <v>47483.0</v>
      </c>
      <c r="Z395" s="31">
        <v>0.0</v>
      </c>
      <c r="AA395" s="31">
        <v>1.0</v>
      </c>
      <c r="AB395" s="35" t="s">
        <v>7045</v>
      </c>
      <c r="AC395" s="30">
        <v>47484.0</v>
      </c>
      <c r="AD395" s="30">
        <v>47848.0</v>
      </c>
      <c r="AE395" s="31">
        <v>0.0</v>
      </c>
      <c r="AF395" s="31">
        <v>1.0</v>
      </c>
      <c r="AG395" s="35" t="s">
        <v>7045</v>
      </c>
    </row>
    <row r="396" ht="14.25" customHeight="1">
      <c r="A396" s="28" t="s">
        <v>5854</v>
      </c>
      <c r="B396" s="29" t="s">
        <v>5855</v>
      </c>
      <c r="C396" s="29" t="s">
        <v>7041</v>
      </c>
      <c r="D396" s="30">
        <v>45658.0</v>
      </c>
      <c r="E396" s="30">
        <v>46022.0</v>
      </c>
      <c r="F396" s="31">
        <v>0.0</v>
      </c>
      <c r="G396" s="31">
        <v>1.0</v>
      </c>
      <c r="H396" s="35" t="s">
        <v>7045</v>
      </c>
      <c r="I396" s="30">
        <v>46023.0</v>
      </c>
      <c r="J396" s="30">
        <v>46387.0</v>
      </c>
      <c r="K396" s="31">
        <v>0.0</v>
      </c>
      <c r="L396" s="31">
        <v>1.0</v>
      </c>
      <c r="M396" s="35" t="s">
        <v>7045</v>
      </c>
      <c r="N396" s="30">
        <v>46388.0</v>
      </c>
      <c r="O396" s="30">
        <v>46752.0</v>
      </c>
      <c r="P396" s="31">
        <v>0.0</v>
      </c>
      <c r="Q396" s="31">
        <v>1.0</v>
      </c>
      <c r="R396" s="35" t="s">
        <v>7045</v>
      </c>
      <c r="S396" s="30">
        <v>46753.0</v>
      </c>
      <c r="T396" s="30">
        <v>47118.0</v>
      </c>
      <c r="U396" s="31">
        <v>0.0</v>
      </c>
      <c r="V396" s="31">
        <v>1.0</v>
      </c>
      <c r="W396" s="35" t="s">
        <v>7045</v>
      </c>
      <c r="X396" s="30">
        <v>47119.0</v>
      </c>
      <c r="Y396" s="30">
        <v>47483.0</v>
      </c>
      <c r="Z396" s="31">
        <v>0.0</v>
      </c>
      <c r="AA396" s="31">
        <v>1.0</v>
      </c>
      <c r="AB396" s="35" t="s">
        <v>7045</v>
      </c>
      <c r="AC396" s="30">
        <v>47484.0</v>
      </c>
      <c r="AD396" s="30">
        <v>47848.0</v>
      </c>
      <c r="AE396" s="31">
        <v>0.0</v>
      </c>
      <c r="AF396" s="31">
        <v>1.0</v>
      </c>
      <c r="AG396" s="35" t="s">
        <v>7045</v>
      </c>
    </row>
    <row r="397" ht="14.25" customHeight="1">
      <c r="A397" s="28" t="s">
        <v>444</v>
      </c>
      <c r="B397" s="29" t="s">
        <v>445</v>
      </c>
      <c r="C397" s="29" t="s">
        <v>7041</v>
      </c>
      <c r="D397" s="30">
        <v>45658.0</v>
      </c>
      <c r="E397" s="30">
        <v>46022.0</v>
      </c>
      <c r="F397" s="31">
        <v>0.0</v>
      </c>
      <c r="G397" s="31">
        <v>1.0</v>
      </c>
      <c r="H397" s="35" t="s">
        <v>7045</v>
      </c>
      <c r="I397" s="30">
        <v>46023.0</v>
      </c>
      <c r="J397" s="30">
        <v>46387.0</v>
      </c>
      <c r="K397" s="31">
        <v>0.0</v>
      </c>
      <c r="L397" s="31">
        <v>1.0</v>
      </c>
      <c r="M397" s="35" t="s">
        <v>7045</v>
      </c>
      <c r="N397" s="30">
        <v>46388.0</v>
      </c>
      <c r="O397" s="30">
        <v>46752.0</v>
      </c>
      <c r="P397" s="31">
        <v>0.0</v>
      </c>
      <c r="Q397" s="31">
        <v>1.0</v>
      </c>
      <c r="R397" s="35" t="s">
        <v>7045</v>
      </c>
      <c r="S397" s="30">
        <v>46753.0</v>
      </c>
      <c r="T397" s="30">
        <v>47118.0</v>
      </c>
      <c r="U397" s="31">
        <v>0.0</v>
      </c>
      <c r="V397" s="31">
        <v>1.0</v>
      </c>
      <c r="W397" s="35" t="s">
        <v>7045</v>
      </c>
      <c r="X397" s="30">
        <v>47119.0</v>
      </c>
      <c r="Y397" s="30">
        <v>47483.0</v>
      </c>
      <c r="Z397" s="31">
        <v>0.0</v>
      </c>
      <c r="AA397" s="31">
        <v>1.0</v>
      </c>
      <c r="AB397" s="35" t="s">
        <v>7045</v>
      </c>
      <c r="AC397" s="30">
        <v>47484.0</v>
      </c>
      <c r="AD397" s="30">
        <v>47848.0</v>
      </c>
      <c r="AE397" s="31">
        <v>0.0</v>
      </c>
      <c r="AF397" s="31">
        <v>1.0</v>
      </c>
      <c r="AG397" s="35" t="s">
        <v>7045</v>
      </c>
    </row>
    <row r="398" ht="14.25" customHeight="1">
      <c r="A398" s="28" t="s">
        <v>1516</v>
      </c>
      <c r="B398" s="29" t="s">
        <v>1517</v>
      </c>
      <c r="C398" s="29" t="s">
        <v>7041</v>
      </c>
      <c r="D398" s="30">
        <v>45658.0</v>
      </c>
      <c r="E398" s="30">
        <v>46022.0</v>
      </c>
      <c r="F398" s="31">
        <v>0.0</v>
      </c>
      <c r="G398" s="31">
        <v>1.0</v>
      </c>
      <c r="H398" s="35" t="s">
        <v>7045</v>
      </c>
      <c r="I398" s="30">
        <v>46023.0</v>
      </c>
      <c r="J398" s="30">
        <v>46387.0</v>
      </c>
      <c r="K398" s="31">
        <v>0.0</v>
      </c>
      <c r="L398" s="31">
        <v>1.0</v>
      </c>
      <c r="M398" s="35" t="s">
        <v>7045</v>
      </c>
      <c r="N398" s="30">
        <v>46388.0</v>
      </c>
      <c r="O398" s="30">
        <v>46752.0</v>
      </c>
      <c r="P398" s="31">
        <v>0.0</v>
      </c>
      <c r="Q398" s="31">
        <v>1.0</v>
      </c>
      <c r="R398" s="35" t="s">
        <v>7045</v>
      </c>
      <c r="S398" s="30">
        <v>46753.0</v>
      </c>
      <c r="T398" s="30">
        <v>47118.0</v>
      </c>
      <c r="U398" s="31">
        <v>0.0</v>
      </c>
      <c r="V398" s="31">
        <v>1.0</v>
      </c>
      <c r="W398" s="35" t="s">
        <v>7045</v>
      </c>
      <c r="X398" s="30">
        <v>47119.0</v>
      </c>
      <c r="Y398" s="30">
        <v>47483.0</v>
      </c>
      <c r="Z398" s="31">
        <v>0.0</v>
      </c>
      <c r="AA398" s="31">
        <v>1.0</v>
      </c>
      <c r="AB398" s="35" t="s">
        <v>7045</v>
      </c>
      <c r="AC398" s="30">
        <v>47484.0</v>
      </c>
      <c r="AD398" s="30">
        <v>47848.0</v>
      </c>
      <c r="AE398" s="31">
        <v>0.0</v>
      </c>
      <c r="AF398" s="31">
        <v>1.0</v>
      </c>
      <c r="AG398" s="35" t="s">
        <v>7045</v>
      </c>
    </row>
    <row r="399" ht="14.25" customHeight="1">
      <c r="A399" s="28" t="s">
        <v>153</v>
      </c>
      <c r="B399" s="29" t="s">
        <v>154</v>
      </c>
      <c r="C399" s="29" t="s">
        <v>7041</v>
      </c>
      <c r="D399" s="30">
        <v>45658.0</v>
      </c>
      <c r="E399" s="30">
        <v>46022.0</v>
      </c>
      <c r="F399" s="31">
        <v>0.0</v>
      </c>
      <c r="G399" s="31">
        <v>1.0</v>
      </c>
      <c r="H399" s="35" t="s">
        <v>7045</v>
      </c>
      <c r="I399" s="30">
        <v>46023.0</v>
      </c>
      <c r="J399" s="30">
        <v>46387.0</v>
      </c>
      <c r="K399" s="31">
        <v>0.0</v>
      </c>
      <c r="L399" s="31">
        <v>1.0</v>
      </c>
      <c r="M399" s="35" t="s">
        <v>7045</v>
      </c>
      <c r="N399" s="30">
        <v>46388.0</v>
      </c>
      <c r="O399" s="30">
        <v>46752.0</v>
      </c>
      <c r="P399" s="31">
        <v>0.0</v>
      </c>
      <c r="Q399" s="31">
        <v>1.0</v>
      </c>
      <c r="R399" s="35" t="s">
        <v>7045</v>
      </c>
      <c r="S399" s="30">
        <v>46753.0</v>
      </c>
      <c r="T399" s="30">
        <v>47118.0</v>
      </c>
      <c r="U399" s="31">
        <v>0.0</v>
      </c>
      <c r="V399" s="31">
        <v>1.0</v>
      </c>
      <c r="W399" s="35" t="s">
        <v>7045</v>
      </c>
      <c r="X399" s="30">
        <v>47119.0</v>
      </c>
      <c r="Y399" s="30">
        <v>47483.0</v>
      </c>
      <c r="Z399" s="31">
        <v>0.0</v>
      </c>
      <c r="AA399" s="31">
        <v>1.0</v>
      </c>
      <c r="AB399" s="35" t="s">
        <v>7045</v>
      </c>
      <c r="AC399" s="30">
        <v>47484.0</v>
      </c>
      <c r="AD399" s="30">
        <v>47848.0</v>
      </c>
      <c r="AE399" s="31">
        <v>0.0</v>
      </c>
      <c r="AF399" s="31">
        <v>1.0</v>
      </c>
      <c r="AG399" s="35" t="s">
        <v>7045</v>
      </c>
    </row>
    <row r="400" ht="14.25" customHeight="1">
      <c r="A400" s="28" t="s">
        <v>2678</v>
      </c>
      <c r="B400" s="29" t="s">
        <v>2679</v>
      </c>
      <c r="C400" s="29" t="s">
        <v>7041</v>
      </c>
      <c r="D400" s="30">
        <v>45658.0</v>
      </c>
      <c r="E400" s="30">
        <v>46022.0</v>
      </c>
      <c r="F400" s="31">
        <v>0.0</v>
      </c>
      <c r="G400" s="31">
        <v>1.0</v>
      </c>
      <c r="H400" s="35" t="s">
        <v>7045</v>
      </c>
      <c r="I400" s="30">
        <v>46023.0</v>
      </c>
      <c r="J400" s="30">
        <v>46387.0</v>
      </c>
      <c r="K400" s="31">
        <v>0.0</v>
      </c>
      <c r="L400" s="31">
        <v>1.0</v>
      </c>
      <c r="M400" s="35" t="s">
        <v>7045</v>
      </c>
      <c r="N400" s="30">
        <v>46388.0</v>
      </c>
      <c r="O400" s="30">
        <v>46752.0</v>
      </c>
      <c r="P400" s="31">
        <v>0.0</v>
      </c>
      <c r="Q400" s="31">
        <v>1.0</v>
      </c>
      <c r="R400" s="35" t="s">
        <v>7045</v>
      </c>
      <c r="S400" s="30">
        <v>46753.0</v>
      </c>
      <c r="T400" s="30">
        <v>47118.0</v>
      </c>
      <c r="U400" s="31">
        <v>0.0</v>
      </c>
      <c r="V400" s="31">
        <v>1.0</v>
      </c>
      <c r="W400" s="35" t="s">
        <v>7045</v>
      </c>
      <c r="X400" s="30">
        <v>47119.0</v>
      </c>
      <c r="Y400" s="30">
        <v>47483.0</v>
      </c>
      <c r="Z400" s="31">
        <v>0.0</v>
      </c>
      <c r="AA400" s="31">
        <v>1.0</v>
      </c>
      <c r="AB400" s="35" t="s">
        <v>7045</v>
      </c>
      <c r="AC400" s="30">
        <v>47484.0</v>
      </c>
      <c r="AD400" s="30">
        <v>47848.0</v>
      </c>
      <c r="AE400" s="31">
        <v>0.0</v>
      </c>
      <c r="AF400" s="31">
        <v>1.0</v>
      </c>
      <c r="AG400" s="35" t="s">
        <v>7045</v>
      </c>
    </row>
    <row r="401" ht="14.25" customHeight="1">
      <c r="A401" s="28" t="s">
        <v>3931</v>
      </c>
      <c r="B401" s="29" t="s">
        <v>3932</v>
      </c>
      <c r="C401" s="29" t="s">
        <v>7041</v>
      </c>
      <c r="D401" s="30">
        <v>45658.0</v>
      </c>
      <c r="E401" s="30">
        <v>46022.0</v>
      </c>
      <c r="F401" s="31">
        <v>0.0</v>
      </c>
      <c r="G401" s="31">
        <v>1.0</v>
      </c>
      <c r="H401" s="35" t="s">
        <v>7045</v>
      </c>
      <c r="I401" s="30">
        <v>46023.0</v>
      </c>
      <c r="J401" s="30">
        <v>46387.0</v>
      </c>
      <c r="K401" s="31">
        <v>0.0</v>
      </c>
      <c r="L401" s="31">
        <v>1.0</v>
      </c>
      <c r="M401" s="35" t="s">
        <v>7045</v>
      </c>
      <c r="N401" s="30">
        <v>46388.0</v>
      </c>
      <c r="O401" s="30">
        <v>46752.0</v>
      </c>
      <c r="P401" s="31">
        <v>0.0</v>
      </c>
      <c r="Q401" s="31">
        <v>1.0</v>
      </c>
      <c r="R401" s="35" t="s">
        <v>7045</v>
      </c>
      <c r="S401" s="30">
        <v>46753.0</v>
      </c>
      <c r="T401" s="30">
        <v>47118.0</v>
      </c>
      <c r="U401" s="31">
        <v>0.0</v>
      </c>
      <c r="V401" s="31">
        <v>1.0</v>
      </c>
      <c r="W401" s="35" t="s">
        <v>7045</v>
      </c>
      <c r="X401" s="30">
        <v>47119.0</v>
      </c>
      <c r="Y401" s="30">
        <v>47483.0</v>
      </c>
      <c r="Z401" s="31">
        <v>0.0</v>
      </c>
      <c r="AA401" s="31">
        <v>1.0</v>
      </c>
      <c r="AB401" s="35" t="s">
        <v>7045</v>
      </c>
      <c r="AC401" s="30">
        <v>47484.0</v>
      </c>
      <c r="AD401" s="30">
        <v>47848.0</v>
      </c>
      <c r="AE401" s="31">
        <v>0.0</v>
      </c>
      <c r="AF401" s="31">
        <v>1.0</v>
      </c>
      <c r="AG401" s="35" t="s">
        <v>7045</v>
      </c>
    </row>
    <row r="402" ht="14.25" customHeight="1">
      <c r="A402" s="28" t="s">
        <v>4949</v>
      </c>
      <c r="B402" s="29" t="s">
        <v>4950</v>
      </c>
      <c r="C402" s="29" t="s">
        <v>7041</v>
      </c>
      <c r="D402" s="30">
        <v>45658.0</v>
      </c>
      <c r="E402" s="30">
        <v>46022.0</v>
      </c>
      <c r="F402" s="31">
        <v>0.0</v>
      </c>
      <c r="G402" s="31">
        <v>1.0</v>
      </c>
      <c r="H402" s="35" t="s">
        <v>7045</v>
      </c>
      <c r="I402" s="30">
        <v>46023.0</v>
      </c>
      <c r="J402" s="30">
        <v>46387.0</v>
      </c>
      <c r="K402" s="31">
        <v>0.0</v>
      </c>
      <c r="L402" s="31">
        <v>1.0</v>
      </c>
      <c r="M402" s="35" t="s">
        <v>7045</v>
      </c>
      <c r="N402" s="30">
        <v>46388.0</v>
      </c>
      <c r="O402" s="30">
        <v>46752.0</v>
      </c>
      <c r="P402" s="31">
        <v>0.0</v>
      </c>
      <c r="Q402" s="31">
        <v>1.0</v>
      </c>
      <c r="R402" s="35" t="s">
        <v>7045</v>
      </c>
      <c r="S402" s="30">
        <v>46753.0</v>
      </c>
      <c r="T402" s="30">
        <v>47118.0</v>
      </c>
      <c r="U402" s="31">
        <v>0.0</v>
      </c>
      <c r="V402" s="31">
        <v>1.0</v>
      </c>
      <c r="W402" s="35" t="s">
        <v>7045</v>
      </c>
      <c r="X402" s="30">
        <v>47119.0</v>
      </c>
      <c r="Y402" s="30">
        <v>47483.0</v>
      </c>
      <c r="Z402" s="31">
        <v>0.0</v>
      </c>
      <c r="AA402" s="31">
        <v>1.0</v>
      </c>
      <c r="AB402" s="35" t="s">
        <v>7045</v>
      </c>
      <c r="AC402" s="30">
        <v>47484.0</v>
      </c>
      <c r="AD402" s="30">
        <v>47848.0</v>
      </c>
      <c r="AE402" s="31">
        <v>0.0</v>
      </c>
      <c r="AF402" s="31">
        <v>1.0</v>
      </c>
      <c r="AG402" s="35" t="s">
        <v>7045</v>
      </c>
    </row>
    <row r="403" ht="14.25" customHeight="1">
      <c r="A403" s="28" t="s">
        <v>4943</v>
      </c>
      <c r="B403" s="29" t="s">
        <v>4944</v>
      </c>
      <c r="C403" s="29" t="s">
        <v>7041</v>
      </c>
      <c r="D403" s="30">
        <v>45658.0</v>
      </c>
      <c r="E403" s="30">
        <v>46022.0</v>
      </c>
      <c r="F403" s="31">
        <v>0.0</v>
      </c>
      <c r="G403" s="31">
        <v>1.0</v>
      </c>
      <c r="H403" s="35" t="s">
        <v>7045</v>
      </c>
      <c r="I403" s="30">
        <v>46023.0</v>
      </c>
      <c r="J403" s="30">
        <v>46387.0</v>
      </c>
      <c r="K403" s="31">
        <v>0.0</v>
      </c>
      <c r="L403" s="31">
        <v>1.0</v>
      </c>
      <c r="M403" s="35" t="s">
        <v>7045</v>
      </c>
      <c r="N403" s="30">
        <v>46388.0</v>
      </c>
      <c r="O403" s="30">
        <v>46752.0</v>
      </c>
      <c r="P403" s="31">
        <v>0.0</v>
      </c>
      <c r="Q403" s="31">
        <v>1.0</v>
      </c>
      <c r="R403" s="35" t="s">
        <v>7045</v>
      </c>
      <c r="S403" s="30">
        <v>46753.0</v>
      </c>
      <c r="T403" s="30">
        <v>47118.0</v>
      </c>
      <c r="U403" s="31">
        <v>0.0</v>
      </c>
      <c r="V403" s="31">
        <v>1.0</v>
      </c>
      <c r="W403" s="35" t="s">
        <v>7045</v>
      </c>
      <c r="X403" s="30">
        <v>47119.0</v>
      </c>
      <c r="Y403" s="30">
        <v>47483.0</v>
      </c>
      <c r="Z403" s="31">
        <v>0.0</v>
      </c>
      <c r="AA403" s="31">
        <v>1.0</v>
      </c>
      <c r="AB403" s="35" t="s">
        <v>7045</v>
      </c>
      <c r="AC403" s="30">
        <v>47484.0</v>
      </c>
      <c r="AD403" s="30">
        <v>47848.0</v>
      </c>
      <c r="AE403" s="31">
        <v>0.0</v>
      </c>
      <c r="AF403" s="31">
        <v>1.0</v>
      </c>
      <c r="AG403" s="35" t="s">
        <v>7045</v>
      </c>
    </row>
    <row r="404" ht="14.25" customHeight="1">
      <c r="A404" s="28" t="s">
        <v>5906</v>
      </c>
      <c r="B404" s="29" t="s">
        <v>5907</v>
      </c>
      <c r="C404" s="29" t="s">
        <v>7041</v>
      </c>
      <c r="D404" s="30">
        <v>45658.0</v>
      </c>
      <c r="E404" s="30">
        <v>46022.0</v>
      </c>
      <c r="F404" s="31">
        <v>0.0</v>
      </c>
      <c r="G404" s="31">
        <v>1.0</v>
      </c>
      <c r="H404" s="35" t="s">
        <v>7045</v>
      </c>
      <c r="I404" s="30">
        <v>46023.0</v>
      </c>
      <c r="J404" s="30">
        <v>46387.0</v>
      </c>
      <c r="K404" s="31">
        <v>0.0</v>
      </c>
      <c r="L404" s="31">
        <v>1.0</v>
      </c>
      <c r="M404" s="35" t="s">
        <v>7045</v>
      </c>
      <c r="N404" s="30">
        <v>46388.0</v>
      </c>
      <c r="O404" s="30">
        <v>46752.0</v>
      </c>
      <c r="P404" s="31">
        <v>0.0</v>
      </c>
      <c r="Q404" s="31">
        <v>1.0</v>
      </c>
      <c r="R404" s="35" t="s">
        <v>7045</v>
      </c>
      <c r="S404" s="30">
        <v>46753.0</v>
      </c>
      <c r="T404" s="30">
        <v>47118.0</v>
      </c>
      <c r="U404" s="31">
        <v>0.0</v>
      </c>
      <c r="V404" s="31">
        <v>1.0</v>
      </c>
      <c r="W404" s="35" t="s">
        <v>7045</v>
      </c>
      <c r="X404" s="30">
        <v>47119.0</v>
      </c>
      <c r="Y404" s="30">
        <v>47483.0</v>
      </c>
      <c r="Z404" s="31">
        <v>0.0</v>
      </c>
      <c r="AA404" s="31">
        <v>1.0</v>
      </c>
      <c r="AB404" s="35" t="s">
        <v>7045</v>
      </c>
      <c r="AC404" s="30">
        <v>47484.0</v>
      </c>
      <c r="AD404" s="30">
        <v>47848.0</v>
      </c>
      <c r="AE404" s="31">
        <v>0.0</v>
      </c>
      <c r="AF404" s="31">
        <v>1.0</v>
      </c>
      <c r="AG404" s="35" t="s">
        <v>7045</v>
      </c>
    </row>
    <row r="405" ht="14.25" customHeight="1">
      <c r="A405" s="28" t="s">
        <v>5966</v>
      </c>
      <c r="B405" s="29" t="s">
        <v>5967</v>
      </c>
      <c r="C405" s="29" t="s">
        <v>7041</v>
      </c>
      <c r="D405" s="30">
        <v>45658.0</v>
      </c>
      <c r="E405" s="30">
        <v>46022.0</v>
      </c>
      <c r="F405" s="31">
        <v>0.0</v>
      </c>
      <c r="G405" s="31">
        <v>1.0</v>
      </c>
      <c r="H405" s="35" t="s">
        <v>7045</v>
      </c>
      <c r="I405" s="30">
        <v>46023.0</v>
      </c>
      <c r="J405" s="30">
        <v>46387.0</v>
      </c>
      <c r="K405" s="31">
        <v>0.0</v>
      </c>
      <c r="L405" s="31">
        <v>1.0</v>
      </c>
      <c r="M405" s="35" t="s">
        <v>7045</v>
      </c>
      <c r="N405" s="30">
        <v>46388.0</v>
      </c>
      <c r="O405" s="30">
        <v>46752.0</v>
      </c>
      <c r="P405" s="31">
        <v>0.0</v>
      </c>
      <c r="Q405" s="31">
        <v>1.0</v>
      </c>
      <c r="R405" s="35" t="s">
        <v>7045</v>
      </c>
      <c r="S405" s="30">
        <v>46753.0</v>
      </c>
      <c r="T405" s="30">
        <v>47118.0</v>
      </c>
      <c r="U405" s="31">
        <v>0.0</v>
      </c>
      <c r="V405" s="31">
        <v>1.0</v>
      </c>
      <c r="W405" s="35" t="s">
        <v>7045</v>
      </c>
      <c r="X405" s="30">
        <v>47119.0</v>
      </c>
      <c r="Y405" s="30">
        <v>47483.0</v>
      </c>
      <c r="Z405" s="31">
        <v>0.0</v>
      </c>
      <c r="AA405" s="31">
        <v>1.0</v>
      </c>
      <c r="AB405" s="35" t="s">
        <v>7045</v>
      </c>
      <c r="AC405" s="30">
        <v>47484.0</v>
      </c>
      <c r="AD405" s="30">
        <v>47848.0</v>
      </c>
      <c r="AE405" s="31">
        <v>0.0</v>
      </c>
      <c r="AF405" s="31">
        <v>1.0</v>
      </c>
      <c r="AG405" s="35" t="s">
        <v>7045</v>
      </c>
    </row>
    <row r="406" ht="14.25" customHeight="1">
      <c r="A406" s="28" t="s">
        <v>2243</v>
      </c>
      <c r="B406" s="29" t="s">
        <v>2244</v>
      </c>
      <c r="C406" s="29" t="s">
        <v>7041</v>
      </c>
      <c r="D406" s="30">
        <v>45658.0</v>
      </c>
      <c r="E406" s="30">
        <v>46022.0</v>
      </c>
      <c r="F406" s="31">
        <v>0.0</v>
      </c>
      <c r="G406" s="31">
        <v>1.0</v>
      </c>
      <c r="H406" s="35" t="s">
        <v>7045</v>
      </c>
      <c r="I406" s="30">
        <v>46023.0</v>
      </c>
      <c r="J406" s="30">
        <v>46387.0</v>
      </c>
      <c r="K406" s="31">
        <v>0.0</v>
      </c>
      <c r="L406" s="31">
        <v>1.0</v>
      </c>
      <c r="M406" s="35" t="s">
        <v>7045</v>
      </c>
      <c r="N406" s="30">
        <v>46388.0</v>
      </c>
      <c r="O406" s="30">
        <v>46752.0</v>
      </c>
      <c r="P406" s="31">
        <v>0.0</v>
      </c>
      <c r="Q406" s="31">
        <v>1.0</v>
      </c>
      <c r="R406" s="35" t="s">
        <v>7045</v>
      </c>
      <c r="S406" s="30">
        <v>46753.0</v>
      </c>
      <c r="T406" s="30">
        <v>47118.0</v>
      </c>
      <c r="U406" s="31">
        <v>0.0</v>
      </c>
      <c r="V406" s="31">
        <v>1.0</v>
      </c>
      <c r="W406" s="35" t="s">
        <v>7045</v>
      </c>
      <c r="X406" s="30">
        <v>47119.0</v>
      </c>
      <c r="Y406" s="30">
        <v>47483.0</v>
      </c>
      <c r="Z406" s="31">
        <v>0.0</v>
      </c>
      <c r="AA406" s="31">
        <v>1.0</v>
      </c>
      <c r="AB406" s="35" t="s">
        <v>7045</v>
      </c>
      <c r="AC406" s="30">
        <v>47484.0</v>
      </c>
      <c r="AD406" s="30">
        <v>47848.0</v>
      </c>
      <c r="AE406" s="31">
        <v>0.0</v>
      </c>
      <c r="AF406" s="31">
        <v>1.0</v>
      </c>
      <c r="AG406" s="35" t="s">
        <v>7045</v>
      </c>
    </row>
    <row r="407" ht="14.25" customHeight="1">
      <c r="A407" s="28" t="s">
        <v>2352</v>
      </c>
      <c r="B407" s="29" t="s">
        <v>2353</v>
      </c>
      <c r="C407" s="29" t="s">
        <v>7041</v>
      </c>
      <c r="D407" s="30">
        <v>45658.0</v>
      </c>
      <c r="E407" s="30">
        <v>46022.0</v>
      </c>
      <c r="F407" s="31">
        <v>0.0</v>
      </c>
      <c r="G407" s="31">
        <v>1.0</v>
      </c>
      <c r="H407" s="35" t="s">
        <v>7045</v>
      </c>
      <c r="I407" s="30">
        <v>46023.0</v>
      </c>
      <c r="J407" s="30">
        <v>46387.0</v>
      </c>
      <c r="K407" s="31">
        <v>0.0</v>
      </c>
      <c r="L407" s="31">
        <v>1.0</v>
      </c>
      <c r="M407" s="35" t="s">
        <v>7045</v>
      </c>
      <c r="N407" s="30">
        <v>46388.0</v>
      </c>
      <c r="O407" s="30">
        <v>46752.0</v>
      </c>
      <c r="P407" s="31">
        <v>0.0</v>
      </c>
      <c r="Q407" s="31">
        <v>1.0</v>
      </c>
      <c r="R407" s="35" t="s">
        <v>7045</v>
      </c>
      <c r="S407" s="30">
        <v>46753.0</v>
      </c>
      <c r="T407" s="30">
        <v>47118.0</v>
      </c>
      <c r="U407" s="31">
        <v>0.0</v>
      </c>
      <c r="V407" s="31">
        <v>1.0</v>
      </c>
      <c r="W407" s="35" t="s">
        <v>7045</v>
      </c>
      <c r="X407" s="30">
        <v>47119.0</v>
      </c>
      <c r="Y407" s="30">
        <v>47483.0</v>
      </c>
      <c r="Z407" s="31">
        <v>0.0</v>
      </c>
      <c r="AA407" s="31">
        <v>1.0</v>
      </c>
      <c r="AB407" s="35" t="s">
        <v>7045</v>
      </c>
      <c r="AC407" s="30">
        <v>47484.0</v>
      </c>
      <c r="AD407" s="30">
        <v>47848.0</v>
      </c>
      <c r="AE407" s="31">
        <v>0.0</v>
      </c>
      <c r="AF407" s="31">
        <v>1.0</v>
      </c>
      <c r="AG407" s="35" t="s">
        <v>7045</v>
      </c>
    </row>
    <row r="408" ht="14.25" customHeight="1">
      <c r="A408" s="28" t="s">
        <v>3771</v>
      </c>
      <c r="B408" s="29" t="s">
        <v>3772</v>
      </c>
      <c r="C408" s="29" t="s">
        <v>7041</v>
      </c>
      <c r="D408" s="30">
        <v>45658.0</v>
      </c>
      <c r="E408" s="30">
        <v>46022.0</v>
      </c>
      <c r="F408" s="31">
        <v>0.0</v>
      </c>
      <c r="G408" s="31">
        <v>1.0</v>
      </c>
      <c r="H408" s="35" t="s">
        <v>7045</v>
      </c>
      <c r="I408" s="30">
        <v>46023.0</v>
      </c>
      <c r="J408" s="30">
        <v>46387.0</v>
      </c>
      <c r="K408" s="31">
        <v>0.0</v>
      </c>
      <c r="L408" s="31">
        <v>1.0</v>
      </c>
      <c r="M408" s="35" t="s">
        <v>7045</v>
      </c>
      <c r="N408" s="30">
        <v>46388.0</v>
      </c>
      <c r="O408" s="30">
        <v>46752.0</v>
      </c>
      <c r="P408" s="31">
        <v>0.0</v>
      </c>
      <c r="Q408" s="31">
        <v>1.0</v>
      </c>
      <c r="R408" s="35" t="s">
        <v>7045</v>
      </c>
      <c r="S408" s="30">
        <v>46753.0</v>
      </c>
      <c r="T408" s="30">
        <v>47118.0</v>
      </c>
      <c r="U408" s="31">
        <v>0.0</v>
      </c>
      <c r="V408" s="31">
        <v>1.0</v>
      </c>
      <c r="W408" s="35" t="s">
        <v>7045</v>
      </c>
      <c r="X408" s="30">
        <v>47119.0</v>
      </c>
      <c r="Y408" s="30">
        <v>47483.0</v>
      </c>
      <c r="Z408" s="31">
        <v>0.0</v>
      </c>
      <c r="AA408" s="31">
        <v>1.0</v>
      </c>
      <c r="AB408" s="35" t="s">
        <v>7045</v>
      </c>
      <c r="AC408" s="30">
        <v>47484.0</v>
      </c>
      <c r="AD408" s="30">
        <v>47848.0</v>
      </c>
      <c r="AE408" s="31">
        <v>0.0</v>
      </c>
      <c r="AF408" s="31">
        <v>1.0</v>
      </c>
      <c r="AG408" s="35" t="s">
        <v>7045</v>
      </c>
    </row>
    <row r="409" ht="14.25" customHeight="1">
      <c r="A409" s="28" t="s">
        <v>3183</v>
      </c>
      <c r="B409" s="29" t="s">
        <v>3184</v>
      </c>
      <c r="C409" s="29" t="s">
        <v>7041</v>
      </c>
      <c r="D409" s="30">
        <v>45658.0</v>
      </c>
      <c r="E409" s="30">
        <v>46022.0</v>
      </c>
      <c r="F409" s="31">
        <v>0.0</v>
      </c>
      <c r="G409" s="31">
        <v>1.0</v>
      </c>
      <c r="H409" s="35" t="s">
        <v>7045</v>
      </c>
      <c r="I409" s="30">
        <v>46023.0</v>
      </c>
      <c r="J409" s="30">
        <v>46387.0</v>
      </c>
      <c r="K409" s="31">
        <v>0.0</v>
      </c>
      <c r="L409" s="31">
        <v>1.0</v>
      </c>
      <c r="M409" s="35" t="s">
        <v>7045</v>
      </c>
      <c r="N409" s="30">
        <v>46388.0</v>
      </c>
      <c r="O409" s="30">
        <v>46752.0</v>
      </c>
      <c r="P409" s="31">
        <v>0.0</v>
      </c>
      <c r="Q409" s="31">
        <v>1.0</v>
      </c>
      <c r="R409" s="35" t="s">
        <v>7045</v>
      </c>
      <c r="S409" s="30">
        <v>46753.0</v>
      </c>
      <c r="T409" s="30">
        <v>47118.0</v>
      </c>
      <c r="U409" s="31">
        <v>0.0</v>
      </c>
      <c r="V409" s="31">
        <v>1.0</v>
      </c>
      <c r="W409" s="35" t="s">
        <v>7045</v>
      </c>
      <c r="X409" s="30">
        <v>47119.0</v>
      </c>
      <c r="Y409" s="30">
        <v>47483.0</v>
      </c>
      <c r="Z409" s="31">
        <v>0.0</v>
      </c>
      <c r="AA409" s="31">
        <v>1.0</v>
      </c>
      <c r="AB409" s="35" t="s">
        <v>7045</v>
      </c>
      <c r="AC409" s="30">
        <v>47484.0</v>
      </c>
      <c r="AD409" s="30">
        <v>47848.0</v>
      </c>
      <c r="AE409" s="31">
        <v>0.0</v>
      </c>
      <c r="AF409" s="31">
        <v>1.0</v>
      </c>
      <c r="AG409" s="35" t="s">
        <v>7045</v>
      </c>
    </row>
    <row r="410" ht="14.25" customHeight="1">
      <c r="A410" s="28" t="s">
        <v>2304</v>
      </c>
      <c r="B410" s="29" t="s">
        <v>2305</v>
      </c>
      <c r="C410" s="29" t="s">
        <v>7041</v>
      </c>
      <c r="D410" s="30">
        <v>45658.0</v>
      </c>
      <c r="E410" s="30">
        <v>46022.0</v>
      </c>
      <c r="F410" s="31">
        <v>0.0</v>
      </c>
      <c r="G410" s="31">
        <v>1.0</v>
      </c>
      <c r="H410" s="35" t="s">
        <v>7045</v>
      </c>
      <c r="I410" s="30">
        <v>46023.0</v>
      </c>
      <c r="J410" s="30">
        <v>46387.0</v>
      </c>
      <c r="K410" s="31">
        <v>0.0</v>
      </c>
      <c r="L410" s="31">
        <v>1.0</v>
      </c>
      <c r="M410" s="35" t="s">
        <v>7045</v>
      </c>
      <c r="N410" s="30">
        <v>46388.0</v>
      </c>
      <c r="O410" s="30">
        <v>46752.0</v>
      </c>
      <c r="P410" s="31">
        <v>0.0</v>
      </c>
      <c r="Q410" s="31">
        <v>1.0</v>
      </c>
      <c r="R410" s="35" t="s">
        <v>7045</v>
      </c>
      <c r="S410" s="30">
        <v>46753.0</v>
      </c>
      <c r="T410" s="30">
        <v>47118.0</v>
      </c>
      <c r="U410" s="31">
        <v>0.0</v>
      </c>
      <c r="V410" s="31">
        <v>1.0</v>
      </c>
      <c r="W410" s="35" t="s">
        <v>7045</v>
      </c>
      <c r="X410" s="30">
        <v>47119.0</v>
      </c>
      <c r="Y410" s="30">
        <v>47483.0</v>
      </c>
      <c r="Z410" s="31">
        <v>0.0</v>
      </c>
      <c r="AA410" s="31">
        <v>1.0</v>
      </c>
      <c r="AB410" s="35" t="s">
        <v>7045</v>
      </c>
      <c r="AC410" s="30">
        <v>47484.0</v>
      </c>
      <c r="AD410" s="30">
        <v>47848.0</v>
      </c>
      <c r="AE410" s="31">
        <v>0.0</v>
      </c>
      <c r="AF410" s="31">
        <v>1.0</v>
      </c>
      <c r="AG410" s="35" t="s">
        <v>7045</v>
      </c>
    </row>
    <row r="411" ht="14.25" customHeight="1">
      <c r="A411" s="28" t="s">
        <v>4955</v>
      </c>
      <c r="B411" s="29" t="s">
        <v>4956</v>
      </c>
      <c r="C411" s="29" t="s">
        <v>7041</v>
      </c>
      <c r="D411" s="30">
        <v>45658.0</v>
      </c>
      <c r="E411" s="30">
        <v>46022.0</v>
      </c>
      <c r="F411" s="31">
        <v>0.0</v>
      </c>
      <c r="G411" s="31">
        <v>1.0</v>
      </c>
      <c r="H411" s="35" t="s">
        <v>7045</v>
      </c>
      <c r="I411" s="30">
        <v>46023.0</v>
      </c>
      <c r="J411" s="30">
        <v>46387.0</v>
      </c>
      <c r="K411" s="31">
        <v>0.0</v>
      </c>
      <c r="L411" s="31">
        <v>1.0</v>
      </c>
      <c r="M411" s="35" t="s">
        <v>7045</v>
      </c>
      <c r="N411" s="30">
        <v>46388.0</v>
      </c>
      <c r="O411" s="30">
        <v>46752.0</v>
      </c>
      <c r="P411" s="31">
        <v>0.0</v>
      </c>
      <c r="Q411" s="31">
        <v>1.0</v>
      </c>
      <c r="R411" s="35" t="s">
        <v>7045</v>
      </c>
      <c r="S411" s="30">
        <v>46753.0</v>
      </c>
      <c r="T411" s="30">
        <v>47118.0</v>
      </c>
      <c r="U411" s="31">
        <v>0.0</v>
      </c>
      <c r="V411" s="31">
        <v>1.0</v>
      </c>
      <c r="W411" s="35" t="s">
        <v>7045</v>
      </c>
      <c r="X411" s="30">
        <v>47119.0</v>
      </c>
      <c r="Y411" s="30">
        <v>47483.0</v>
      </c>
      <c r="Z411" s="31">
        <v>0.0</v>
      </c>
      <c r="AA411" s="31">
        <v>1.0</v>
      </c>
      <c r="AB411" s="35" t="s">
        <v>7045</v>
      </c>
      <c r="AC411" s="30">
        <v>47484.0</v>
      </c>
      <c r="AD411" s="30">
        <v>47848.0</v>
      </c>
      <c r="AE411" s="31">
        <v>0.0</v>
      </c>
      <c r="AF411" s="31">
        <v>1.0</v>
      </c>
      <c r="AG411" s="35" t="s">
        <v>7045</v>
      </c>
    </row>
    <row r="412" ht="14.25" customHeight="1">
      <c r="A412" s="28" t="s">
        <v>4426</v>
      </c>
      <c r="B412" s="29" t="s">
        <v>4427</v>
      </c>
      <c r="C412" s="29" t="s">
        <v>7041</v>
      </c>
      <c r="D412" s="30">
        <v>45658.0</v>
      </c>
      <c r="E412" s="30">
        <v>46022.0</v>
      </c>
      <c r="F412" s="31">
        <v>0.0</v>
      </c>
      <c r="G412" s="31">
        <v>1.0</v>
      </c>
      <c r="H412" s="35" t="s">
        <v>7045</v>
      </c>
      <c r="I412" s="30">
        <v>46023.0</v>
      </c>
      <c r="J412" s="30">
        <v>46387.0</v>
      </c>
      <c r="K412" s="31">
        <v>0.0</v>
      </c>
      <c r="L412" s="31">
        <v>1.0</v>
      </c>
      <c r="M412" s="35" t="s">
        <v>7045</v>
      </c>
      <c r="N412" s="30">
        <v>46388.0</v>
      </c>
      <c r="O412" s="30">
        <v>46752.0</v>
      </c>
      <c r="P412" s="31">
        <v>0.0</v>
      </c>
      <c r="Q412" s="31">
        <v>1.0</v>
      </c>
      <c r="R412" s="35" t="s">
        <v>7045</v>
      </c>
      <c r="S412" s="30">
        <v>46753.0</v>
      </c>
      <c r="T412" s="30">
        <v>47118.0</v>
      </c>
      <c r="U412" s="31">
        <v>0.0</v>
      </c>
      <c r="V412" s="31">
        <v>1.0</v>
      </c>
      <c r="W412" s="35" t="s">
        <v>7045</v>
      </c>
      <c r="X412" s="30">
        <v>47119.0</v>
      </c>
      <c r="Y412" s="30">
        <v>47483.0</v>
      </c>
      <c r="Z412" s="31">
        <v>0.0</v>
      </c>
      <c r="AA412" s="31">
        <v>1.0</v>
      </c>
      <c r="AB412" s="35" t="s">
        <v>7045</v>
      </c>
      <c r="AC412" s="30">
        <v>47484.0</v>
      </c>
      <c r="AD412" s="30">
        <v>47848.0</v>
      </c>
      <c r="AE412" s="31">
        <v>0.0</v>
      </c>
      <c r="AF412" s="31">
        <v>1.0</v>
      </c>
      <c r="AG412" s="35" t="s">
        <v>7045</v>
      </c>
    </row>
    <row r="413" ht="14.25" customHeight="1">
      <c r="A413" s="28" t="s">
        <v>1678</v>
      </c>
      <c r="B413" s="29" t="s">
        <v>1679</v>
      </c>
      <c r="C413" s="29" t="s">
        <v>7041</v>
      </c>
      <c r="D413" s="30">
        <v>45658.0</v>
      </c>
      <c r="E413" s="30">
        <v>46022.0</v>
      </c>
      <c r="F413" s="31">
        <v>0.0</v>
      </c>
      <c r="G413" s="31">
        <v>1.0</v>
      </c>
      <c r="H413" s="35" t="s">
        <v>7045</v>
      </c>
      <c r="I413" s="30">
        <v>46023.0</v>
      </c>
      <c r="J413" s="30">
        <v>46387.0</v>
      </c>
      <c r="K413" s="31">
        <v>0.0</v>
      </c>
      <c r="L413" s="31">
        <v>1.0</v>
      </c>
      <c r="M413" s="35" t="s">
        <v>7045</v>
      </c>
      <c r="N413" s="30">
        <v>46388.0</v>
      </c>
      <c r="O413" s="30">
        <v>46752.0</v>
      </c>
      <c r="P413" s="31">
        <v>0.0</v>
      </c>
      <c r="Q413" s="31">
        <v>1.0</v>
      </c>
      <c r="R413" s="35" t="s">
        <v>7045</v>
      </c>
      <c r="S413" s="30">
        <v>46753.0</v>
      </c>
      <c r="T413" s="30">
        <v>47118.0</v>
      </c>
      <c r="U413" s="31">
        <v>0.0</v>
      </c>
      <c r="V413" s="31">
        <v>1.0</v>
      </c>
      <c r="W413" s="35" t="s">
        <v>7045</v>
      </c>
      <c r="X413" s="30">
        <v>47119.0</v>
      </c>
      <c r="Y413" s="30">
        <v>47483.0</v>
      </c>
      <c r="Z413" s="31">
        <v>0.0</v>
      </c>
      <c r="AA413" s="31">
        <v>1.0</v>
      </c>
      <c r="AB413" s="35" t="s">
        <v>7045</v>
      </c>
      <c r="AC413" s="30">
        <v>47484.0</v>
      </c>
      <c r="AD413" s="30">
        <v>47848.0</v>
      </c>
      <c r="AE413" s="31">
        <v>0.0</v>
      </c>
      <c r="AF413" s="31">
        <v>1.0</v>
      </c>
      <c r="AG413" s="35" t="s">
        <v>7045</v>
      </c>
    </row>
    <row r="414" ht="14.25" customHeight="1">
      <c r="A414" s="28" t="s">
        <v>4235</v>
      </c>
      <c r="B414" s="29" t="s">
        <v>4236</v>
      </c>
      <c r="C414" s="29" t="s">
        <v>7041</v>
      </c>
      <c r="D414" s="30">
        <v>45658.0</v>
      </c>
      <c r="E414" s="30">
        <v>46022.0</v>
      </c>
      <c r="F414" s="31">
        <v>0.0</v>
      </c>
      <c r="G414" s="31">
        <v>1.0</v>
      </c>
      <c r="H414" s="35" t="s">
        <v>7045</v>
      </c>
      <c r="I414" s="30">
        <v>46023.0</v>
      </c>
      <c r="J414" s="30">
        <v>46387.0</v>
      </c>
      <c r="K414" s="31">
        <v>0.0</v>
      </c>
      <c r="L414" s="31">
        <v>1.0</v>
      </c>
      <c r="M414" s="35" t="s">
        <v>7045</v>
      </c>
      <c r="N414" s="30">
        <v>46388.0</v>
      </c>
      <c r="O414" s="30">
        <v>46752.0</v>
      </c>
      <c r="P414" s="31">
        <v>0.0</v>
      </c>
      <c r="Q414" s="31">
        <v>1.0</v>
      </c>
      <c r="R414" s="35" t="s">
        <v>7045</v>
      </c>
      <c r="S414" s="30">
        <v>46753.0</v>
      </c>
      <c r="T414" s="30">
        <v>47118.0</v>
      </c>
      <c r="U414" s="31">
        <v>0.0</v>
      </c>
      <c r="V414" s="31">
        <v>1.0</v>
      </c>
      <c r="W414" s="35" t="s">
        <v>7045</v>
      </c>
      <c r="X414" s="30">
        <v>47119.0</v>
      </c>
      <c r="Y414" s="30">
        <v>47483.0</v>
      </c>
      <c r="Z414" s="31">
        <v>0.0</v>
      </c>
      <c r="AA414" s="31">
        <v>1.0</v>
      </c>
      <c r="AB414" s="35" t="s">
        <v>7045</v>
      </c>
      <c r="AC414" s="30">
        <v>47484.0</v>
      </c>
      <c r="AD414" s="30">
        <v>47848.0</v>
      </c>
      <c r="AE414" s="31">
        <v>0.0</v>
      </c>
      <c r="AF414" s="31">
        <v>1.0</v>
      </c>
      <c r="AG414" s="35" t="s">
        <v>7045</v>
      </c>
    </row>
    <row r="415" ht="14.25" customHeight="1">
      <c r="A415" s="28" t="s">
        <v>5246</v>
      </c>
      <c r="B415" s="29" t="s">
        <v>5247</v>
      </c>
      <c r="C415" s="29" t="s">
        <v>7041</v>
      </c>
      <c r="D415" s="30">
        <v>45658.0</v>
      </c>
      <c r="E415" s="30">
        <v>46022.0</v>
      </c>
      <c r="F415" s="31">
        <v>0.0</v>
      </c>
      <c r="G415" s="31">
        <v>1.0</v>
      </c>
      <c r="H415" s="35" t="s">
        <v>7045</v>
      </c>
      <c r="I415" s="30">
        <v>46023.0</v>
      </c>
      <c r="J415" s="30">
        <v>46387.0</v>
      </c>
      <c r="K415" s="31">
        <v>0.0</v>
      </c>
      <c r="L415" s="31">
        <v>1.0</v>
      </c>
      <c r="M415" s="35" t="s">
        <v>7045</v>
      </c>
      <c r="N415" s="30">
        <v>46388.0</v>
      </c>
      <c r="O415" s="30">
        <v>46752.0</v>
      </c>
      <c r="P415" s="31">
        <v>0.0</v>
      </c>
      <c r="Q415" s="31">
        <v>1.0</v>
      </c>
      <c r="R415" s="35" t="s">
        <v>7045</v>
      </c>
      <c r="S415" s="30">
        <v>46753.0</v>
      </c>
      <c r="T415" s="30">
        <v>47118.0</v>
      </c>
      <c r="U415" s="31">
        <v>0.0</v>
      </c>
      <c r="V415" s="31">
        <v>1.0</v>
      </c>
      <c r="W415" s="35" t="s">
        <v>7045</v>
      </c>
      <c r="X415" s="30">
        <v>47119.0</v>
      </c>
      <c r="Y415" s="30">
        <v>47483.0</v>
      </c>
      <c r="Z415" s="31">
        <v>0.0</v>
      </c>
      <c r="AA415" s="31">
        <v>1.0</v>
      </c>
      <c r="AB415" s="35" t="s">
        <v>7045</v>
      </c>
      <c r="AC415" s="30">
        <v>47484.0</v>
      </c>
      <c r="AD415" s="30">
        <v>47848.0</v>
      </c>
      <c r="AE415" s="31">
        <v>0.0</v>
      </c>
      <c r="AF415" s="31">
        <v>1.0</v>
      </c>
      <c r="AG415" s="35" t="s">
        <v>7045</v>
      </c>
    </row>
    <row r="416" ht="14.25" customHeight="1">
      <c r="A416" s="28" t="s">
        <v>3320</v>
      </c>
      <c r="B416" s="29" t="s">
        <v>3321</v>
      </c>
      <c r="C416" s="29" t="s">
        <v>7041</v>
      </c>
      <c r="D416" s="30">
        <v>45658.0</v>
      </c>
      <c r="E416" s="30">
        <v>46022.0</v>
      </c>
      <c r="F416" s="31">
        <v>0.0</v>
      </c>
      <c r="G416" s="31">
        <v>1.0</v>
      </c>
      <c r="H416" s="35" t="s">
        <v>7045</v>
      </c>
      <c r="I416" s="30">
        <v>46023.0</v>
      </c>
      <c r="J416" s="30">
        <v>46387.0</v>
      </c>
      <c r="K416" s="31">
        <v>0.0</v>
      </c>
      <c r="L416" s="31">
        <v>1.0</v>
      </c>
      <c r="M416" s="35" t="s">
        <v>7045</v>
      </c>
      <c r="N416" s="30">
        <v>46388.0</v>
      </c>
      <c r="O416" s="30">
        <v>46752.0</v>
      </c>
      <c r="P416" s="31">
        <v>0.0</v>
      </c>
      <c r="Q416" s="31">
        <v>1.0</v>
      </c>
      <c r="R416" s="35" t="s">
        <v>7045</v>
      </c>
      <c r="S416" s="30">
        <v>46753.0</v>
      </c>
      <c r="T416" s="30">
        <v>47118.0</v>
      </c>
      <c r="U416" s="31">
        <v>0.0</v>
      </c>
      <c r="V416" s="31">
        <v>1.0</v>
      </c>
      <c r="W416" s="35" t="s">
        <v>7045</v>
      </c>
      <c r="X416" s="30">
        <v>47119.0</v>
      </c>
      <c r="Y416" s="30">
        <v>47483.0</v>
      </c>
      <c r="Z416" s="31">
        <v>0.0</v>
      </c>
      <c r="AA416" s="31">
        <v>1.0</v>
      </c>
      <c r="AB416" s="35" t="s">
        <v>7045</v>
      </c>
      <c r="AC416" s="30">
        <v>47484.0</v>
      </c>
      <c r="AD416" s="30">
        <v>47848.0</v>
      </c>
      <c r="AE416" s="31">
        <v>0.0</v>
      </c>
      <c r="AF416" s="31">
        <v>1.0</v>
      </c>
      <c r="AG416" s="35" t="s">
        <v>7045</v>
      </c>
    </row>
    <row r="417" ht="14.25" customHeight="1">
      <c r="A417" s="28" t="s">
        <v>3721</v>
      </c>
      <c r="B417" s="29" t="s">
        <v>3722</v>
      </c>
      <c r="C417" s="29" t="s">
        <v>7041</v>
      </c>
      <c r="D417" s="30">
        <v>45658.0</v>
      </c>
      <c r="E417" s="30">
        <v>46022.0</v>
      </c>
      <c r="F417" s="31">
        <v>0.0</v>
      </c>
      <c r="G417" s="31">
        <v>1.0</v>
      </c>
      <c r="H417" s="35" t="s">
        <v>7045</v>
      </c>
      <c r="I417" s="30">
        <v>46023.0</v>
      </c>
      <c r="J417" s="30">
        <v>46387.0</v>
      </c>
      <c r="K417" s="31">
        <v>0.0</v>
      </c>
      <c r="L417" s="31">
        <v>1.0</v>
      </c>
      <c r="M417" s="35" t="s">
        <v>7045</v>
      </c>
      <c r="N417" s="30">
        <v>46388.0</v>
      </c>
      <c r="O417" s="30">
        <v>46752.0</v>
      </c>
      <c r="P417" s="31">
        <v>0.0</v>
      </c>
      <c r="Q417" s="31">
        <v>1.0</v>
      </c>
      <c r="R417" s="35" t="s">
        <v>7045</v>
      </c>
      <c r="S417" s="30">
        <v>46753.0</v>
      </c>
      <c r="T417" s="30">
        <v>47118.0</v>
      </c>
      <c r="U417" s="31">
        <v>0.0</v>
      </c>
      <c r="V417" s="31">
        <v>1.0</v>
      </c>
      <c r="W417" s="35" t="s">
        <v>7045</v>
      </c>
      <c r="X417" s="30">
        <v>47119.0</v>
      </c>
      <c r="Y417" s="30">
        <v>47483.0</v>
      </c>
      <c r="Z417" s="31">
        <v>0.0</v>
      </c>
      <c r="AA417" s="31">
        <v>1.0</v>
      </c>
      <c r="AB417" s="35" t="s">
        <v>7045</v>
      </c>
      <c r="AC417" s="30">
        <v>47484.0</v>
      </c>
      <c r="AD417" s="30">
        <v>47848.0</v>
      </c>
      <c r="AE417" s="31">
        <v>0.0</v>
      </c>
      <c r="AF417" s="31">
        <v>1.0</v>
      </c>
      <c r="AG417" s="35" t="s">
        <v>7045</v>
      </c>
    </row>
    <row r="418" ht="14.25" customHeight="1">
      <c r="A418" s="28" t="s">
        <v>2811</v>
      </c>
      <c r="B418" s="29" t="s">
        <v>2812</v>
      </c>
      <c r="C418" s="29" t="s">
        <v>7041</v>
      </c>
      <c r="D418" s="30">
        <v>45658.0</v>
      </c>
      <c r="E418" s="30">
        <v>46022.0</v>
      </c>
      <c r="F418" s="31">
        <v>0.0</v>
      </c>
      <c r="G418" s="31">
        <v>1.0</v>
      </c>
      <c r="H418" s="35" t="s">
        <v>7045</v>
      </c>
      <c r="I418" s="30">
        <v>46023.0</v>
      </c>
      <c r="J418" s="30">
        <v>46387.0</v>
      </c>
      <c r="K418" s="31">
        <v>0.0</v>
      </c>
      <c r="L418" s="31">
        <v>1.0</v>
      </c>
      <c r="M418" s="35" t="s">
        <v>7045</v>
      </c>
      <c r="N418" s="30">
        <v>46388.0</v>
      </c>
      <c r="O418" s="30">
        <v>46752.0</v>
      </c>
      <c r="P418" s="31">
        <v>0.0</v>
      </c>
      <c r="Q418" s="31">
        <v>1.0</v>
      </c>
      <c r="R418" s="35" t="s">
        <v>7045</v>
      </c>
      <c r="S418" s="30">
        <v>46753.0</v>
      </c>
      <c r="T418" s="30">
        <v>47118.0</v>
      </c>
      <c r="U418" s="31">
        <v>0.0</v>
      </c>
      <c r="V418" s="31">
        <v>1.0</v>
      </c>
      <c r="W418" s="35" t="s">
        <v>7045</v>
      </c>
      <c r="X418" s="30">
        <v>47119.0</v>
      </c>
      <c r="Y418" s="30">
        <v>47483.0</v>
      </c>
      <c r="Z418" s="31">
        <v>0.0</v>
      </c>
      <c r="AA418" s="31">
        <v>1.0</v>
      </c>
      <c r="AB418" s="35" t="s">
        <v>7045</v>
      </c>
      <c r="AC418" s="30">
        <v>47484.0</v>
      </c>
      <c r="AD418" s="30">
        <v>47848.0</v>
      </c>
      <c r="AE418" s="31">
        <v>0.0</v>
      </c>
      <c r="AF418" s="31">
        <v>1.0</v>
      </c>
      <c r="AG418" s="35" t="s">
        <v>7045</v>
      </c>
    </row>
    <row r="419" ht="14.25" customHeight="1">
      <c r="A419" s="28" t="s">
        <v>2604</v>
      </c>
      <c r="B419" s="29" t="s">
        <v>2605</v>
      </c>
      <c r="C419" s="29" t="s">
        <v>7041</v>
      </c>
      <c r="D419" s="30">
        <v>45658.0</v>
      </c>
      <c r="E419" s="30">
        <v>46022.0</v>
      </c>
      <c r="F419" s="31">
        <v>0.0</v>
      </c>
      <c r="G419" s="31">
        <v>1.0</v>
      </c>
      <c r="H419" s="35" t="s">
        <v>7045</v>
      </c>
      <c r="I419" s="30">
        <v>46023.0</v>
      </c>
      <c r="J419" s="30">
        <v>46387.0</v>
      </c>
      <c r="K419" s="31">
        <v>0.0</v>
      </c>
      <c r="L419" s="31">
        <v>1.0</v>
      </c>
      <c r="M419" s="35" t="s">
        <v>7045</v>
      </c>
      <c r="N419" s="30">
        <v>46388.0</v>
      </c>
      <c r="O419" s="30">
        <v>46752.0</v>
      </c>
      <c r="P419" s="31">
        <v>0.0</v>
      </c>
      <c r="Q419" s="31">
        <v>1.0</v>
      </c>
      <c r="R419" s="35" t="s">
        <v>7045</v>
      </c>
      <c r="S419" s="30">
        <v>46753.0</v>
      </c>
      <c r="T419" s="30">
        <v>47118.0</v>
      </c>
      <c r="U419" s="31">
        <v>0.0</v>
      </c>
      <c r="V419" s="31">
        <v>1.0</v>
      </c>
      <c r="W419" s="35" t="s">
        <v>7045</v>
      </c>
      <c r="X419" s="30">
        <v>47119.0</v>
      </c>
      <c r="Y419" s="30">
        <v>47483.0</v>
      </c>
      <c r="Z419" s="31">
        <v>0.0</v>
      </c>
      <c r="AA419" s="31">
        <v>1.0</v>
      </c>
      <c r="AB419" s="35" t="s">
        <v>7045</v>
      </c>
      <c r="AC419" s="30">
        <v>47484.0</v>
      </c>
      <c r="AD419" s="30">
        <v>47848.0</v>
      </c>
      <c r="AE419" s="31">
        <v>0.0</v>
      </c>
      <c r="AF419" s="31">
        <v>1.0</v>
      </c>
      <c r="AG419" s="35" t="s">
        <v>7045</v>
      </c>
    </row>
    <row r="420" ht="14.25" customHeight="1">
      <c r="A420" s="28" t="s">
        <v>308</v>
      </c>
      <c r="B420" s="29" t="s">
        <v>309</v>
      </c>
      <c r="C420" s="29" t="s">
        <v>7041</v>
      </c>
      <c r="D420" s="30">
        <v>45658.0</v>
      </c>
      <c r="E420" s="30">
        <v>46022.0</v>
      </c>
      <c r="F420" s="31">
        <v>0.0</v>
      </c>
      <c r="G420" s="31">
        <v>1.0</v>
      </c>
      <c r="H420" s="35" t="s">
        <v>7045</v>
      </c>
      <c r="I420" s="30">
        <v>46023.0</v>
      </c>
      <c r="J420" s="30">
        <v>46387.0</v>
      </c>
      <c r="K420" s="31">
        <v>0.0</v>
      </c>
      <c r="L420" s="31">
        <v>1.0</v>
      </c>
      <c r="M420" s="35" t="s">
        <v>7045</v>
      </c>
      <c r="N420" s="30">
        <v>46388.0</v>
      </c>
      <c r="O420" s="30">
        <v>46752.0</v>
      </c>
      <c r="P420" s="31">
        <v>0.0</v>
      </c>
      <c r="Q420" s="31">
        <v>1.0</v>
      </c>
      <c r="R420" s="35" t="s">
        <v>7045</v>
      </c>
      <c r="S420" s="30">
        <v>46753.0</v>
      </c>
      <c r="T420" s="30">
        <v>47118.0</v>
      </c>
      <c r="U420" s="31">
        <v>0.0</v>
      </c>
      <c r="V420" s="31">
        <v>1.0</v>
      </c>
      <c r="W420" s="35" t="s">
        <v>7045</v>
      </c>
      <c r="X420" s="30">
        <v>47119.0</v>
      </c>
      <c r="Y420" s="30">
        <v>47483.0</v>
      </c>
      <c r="Z420" s="31">
        <v>0.0</v>
      </c>
      <c r="AA420" s="31">
        <v>1.0</v>
      </c>
      <c r="AB420" s="35" t="s">
        <v>7045</v>
      </c>
      <c r="AC420" s="30">
        <v>47484.0</v>
      </c>
      <c r="AD420" s="30">
        <v>47848.0</v>
      </c>
      <c r="AE420" s="31">
        <v>0.0</v>
      </c>
      <c r="AF420" s="31">
        <v>1.0</v>
      </c>
      <c r="AG420" s="35" t="s">
        <v>7045</v>
      </c>
    </row>
    <row r="421" ht="14.25" customHeight="1">
      <c r="A421" s="28" t="s">
        <v>6002</v>
      </c>
      <c r="B421" s="29" t="s">
        <v>6003</v>
      </c>
      <c r="C421" s="29" t="s">
        <v>7041</v>
      </c>
      <c r="D421" s="30">
        <v>45658.0</v>
      </c>
      <c r="E421" s="30">
        <v>46022.0</v>
      </c>
      <c r="F421" s="31">
        <v>0.0</v>
      </c>
      <c r="G421" s="31">
        <v>1.0</v>
      </c>
      <c r="H421" s="35" t="s">
        <v>7045</v>
      </c>
      <c r="I421" s="30">
        <v>46023.0</v>
      </c>
      <c r="J421" s="30">
        <v>46387.0</v>
      </c>
      <c r="K421" s="31">
        <v>0.0</v>
      </c>
      <c r="L421" s="31">
        <v>1.0</v>
      </c>
      <c r="M421" s="35" t="s">
        <v>7045</v>
      </c>
      <c r="N421" s="30">
        <v>46388.0</v>
      </c>
      <c r="O421" s="30">
        <v>46752.0</v>
      </c>
      <c r="P421" s="31">
        <v>0.0</v>
      </c>
      <c r="Q421" s="31">
        <v>1.0</v>
      </c>
      <c r="R421" s="35" t="s">
        <v>7045</v>
      </c>
      <c r="S421" s="30">
        <v>46753.0</v>
      </c>
      <c r="T421" s="30">
        <v>47118.0</v>
      </c>
      <c r="U421" s="31">
        <v>0.0</v>
      </c>
      <c r="V421" s="31">
        <v>1.0</v>
      </c>
      <c r="W421" s="35" t="s">
        <v>7045</v>
      </c>
      <c r="X421" s="30">
        <v>47119.0</v>
      </c>
      <c r="Y421" s="30">
        <v>47483.0</v>
      </c>
      <c r="Z421" s="31">
        <v>0.0</v>
      </c>
      <c r="AA421" s="31">
        <v>1.0</v>
      </c>
      <c r="AB421" s="35" t="s">
        <v>7045</v>
      </c>
      <c r="AC421" s="30">
        <v>47484.0</v>
      </c>
      <c r="AD421" s="30">
        <v>47848.0</v>
      </c>
      <c r="AE421" s="31">
        <v>0.0</v>
      </c>
      <c r="AF421" s="31">
        <v>1.0</v>
      </c>
      <c r="AG421" s="35" t="s">
        <v>7045</v>
      </c>
    </row>
    <row r="422" ht="14.25" customHeight="1">
      <c r="A422" s="28" t="s">
        <v>844</v>
      </c>
      <c r="B422" s="29" t="s">
        <v>845</v>
      </c>
      <c r="C422" s="29" t="s">
        <v>7041</v>
      </c>
      <c r="D422" s="30">
        <v>45658.0</v>
      </c>
      <c r="E422" s="30">
        <v>46022.0</v>
      </c>
      <c r="F422" s="31">
        <v>0.0</v>
      </c>
      <c r="G422" s="31">
        <v>1.0</v>
      </c>
      <c r="H422" s="35" t="s">
        <v>7045</v>
      </c>
      <c r="I422" s="30">
        <v>46023.0</v>
      </c>
      <c r="J422" s="30">
        <v>46387.0</v>
      </c>
      <c r="K422" s="31">
        <v>0.0</v>
      </c>
      <c r="L422" s="31">
        <v>1.0</v>
      </c>
      <c r="M422" s="35" t="s">
        <v>7045</v>
      </c>
      <c r="N422" s="30">
        <v>46388.0</v>
      </c>
      <c r="O422" s="30">
        <v>46752.0</v>
      </c>
      <c r="P422" s="31">
        <v>0.0</v>
      </c>
      <c r="Q422" s="31">
        <v>1.0</v>
      </c>
      <c r="R422" s="35" t="s">
        <v>7045</v>
      </c>
      <c r="S422" s="30">
        <v>46753.0</v>
      </c>
      <c r="T422" s="30">
        <v>47118.0</v>
      </c>
      <c r="U422" s="31">
        <v>0.0</v>
      </c>
      <c r="V422" s="31">
        <v>1.0</v>
      </c>
      <c r="W422" s="35" t="s">
        <v>7045</v>
      </c>
      <c r="X422" s="30">
        <v>47119.0</v>
      </c>
      <c r="Y422" s="30">
        <v>47483.0</v>
      </c>
      <c r="Z422" s="31">
        <v>0.0</v>
      </c>
      <c r="AA422" s="31">
        <v>1.0</v>
      </c>
      <c r="AB422" s="35" t="s">
        <v>7045</v>
      </c>
      <c r="AC422" s="30">
        <v>47484.0</v>
      </c>
      <c r="AD422" s="30">
        <v>47848.0</v>
      </c>
      <c r="AE422" s="31">
        <v>0.0</v>
      </c>
      <c r="AF422" s="31">
        <v>1.0</v>
      </c>
      <c r="AG422" s="35" t="s">
        <v>7045</v>
      </c>
    </row>
    <row r="423" ht="14.25" customHeight="1">
      <c r="A423" s="28" t="s">
        <v>6150</v>
      </c>
      <c r="B423" s="29" t="s">
        <v>6151</v>
      </c>
      <c r="C423" s="29" t="s">
        <v>7041</v>
      </c>
      <c r="D423" s="30">
        <v>45658.0</v>
      </c>
      <c r="E423" s="30">
        <v>46022.0</v>
      </c>
      <c r="F423" s="31">
        <v>1.0</v>
      </c>
      <c r="G423" s="31">
        <v>1.0</v>
      </c>
      <c r="H423" s="33" t="s">
        <v>7042</v>
      </c>
      <c r="I423" s="30">
        <v>46023.0</v>
      </c>
      <c r="J423" s="30">
        <v>46387.0</v>
      </c>
      <c r="K423" s="31">
        <v>0.0</v>
      </c>
      <c r="L423" s="31">
        <v>1.0</v>
      </c>
      <c r="M423" s="35" t="s">
        <v>7045</v>
      </c>
      <c r="N423" s="30">
        <v>46388.0</v>
      </c>
      <c r="O423" s="30">
        <v>46752.0</v>
      </c>
      <c r="P423" s="31">
        <v>0.0</v>
      </c>
      <c r="Q423" s="31">
        <v>1.0</v>
      </c>
      <c r="R423" s="35" t="s">
        <v>7045</v>
      </c>
      <c r="S423" s="30">
        <v>46753.0</v>
      </c>
      <c r="T423" s="30">
        <v>47118.0</v>
      </c>
      <c r="U423" s="31">
        <v>0.0</v>
      </c>
      <c r="V423" s="31">
        <v>1.0</v>
      </c>
      <c r="W423" s="35" t="s">
        <v>7045</v>
      </c>
      <c r="X423" s="30">
        <v>47119.0</v>
      </c>
      <c r="Y423" s="30">
        <v>47483.0</v>
      </c>
      <c r="Z423" s="31">
        <v>0.0</v>
      </c>
      <c r="AA423" s="31">
        <v>1.0</v>
      </c>
      <c r="AB423" s="35" t="s">
        <v>7045</v>
      </c>
      <c r="AC423" s="30">
        <v>47484.0</v>
      </c>
      <c r="AD423" s="30">
        <v>47848.0</v>
      </c>
      <c r="AE423" s="31">
        <v>0.0</v>
      </c>
      <c r="AF423" s="31">
        <v>1.0</v>
      </c>
      <c r="AG423" s="35" t="s">
        <v>7045</v>
      </c>
    </row>
    <row r="424" ht="14.25" customHeight="1">
      <c r="A424" s="28" t="s">
        <v>1641</v>
      </c>
      <c r="B424" s="29" t="s">
        <v>1642</v>
      </c>
      <c r="C424" s="29" t="s">
        <v>7041</v>
      </c>
      <c r="D424" s="30">
        <v>45658.0</v>
      </c>
      <c r="E424" s="30">
        <v>46022.0</v>
      </c>
      <c r="F424" s="31">
        <v>0.0</v>
      </c>
      <c r="G424" s="31">
        <v>1.0</v>
      </c>
      <c r="H424" s="35" t="s">
        <v>7045</v>
      </c>
      <c r="I424" s="30">
        <v>46023.0</v>
      </c>
      <c r="J424" s="30">
        <v>46387.0</v>
      </c>
      <c r="K424" s="31">
        <v>0.0</v>
      </c>
      <c r="L424" s="31">
        <v>1.0</v>
      </c>
      <c r="M424" s="35" t="s">
        <v>7045</v>
      </c>
      <c r="N424" s="30">
        <v>46388.0</v>
      </c>
      <c r="O424" s="30">
        <v>46752.0</v>
      </c>
      <c r="P424" s="31">
        <v>0.0</v>
      </c>
      <c r="Q424" s="31">
        <v>1.0</v>
      </c>
      <c r="R424" s="35" t="s">
        <v>7045</v>
      </c>
      <c r="S424" s="30">
        <v>46753.0</v>
      </c>
      <c r="T424" s="30">
        <v>47118.0</v>
      </c>
      <c r="U424" s="31">
        <v>0.0</v>
      </c>
      <c r="V424" s="31">
        <v>1.0</v>
      </c>
      <c r="W424" s="35" t="s">
        <v>7045</v>
      </c>
      <c r="X424" s="30">
        <v>47119.0</v>
      </c>
      <c r="Y424" s="30">
        <v>47483.0</v>
      </c>
      <c r="Z424" s="31">
        <v>0.0</v>
      </c>
      <c r="AA424" s="31">
        <v>1.0</v>
      </c>
      <c r="AB424" s="35" t="s">
        <v>7045</v>
      </c>
      <c r="AC424" s="30">
        <v>47484.0</v>
      </c>
      <c r="AD424" s="30">
        <v>47848.0</v>
      </c>
      <c r="AE424" s="31">
        <v>0.0</v>
      </c>
      <c r="AF424" s="31">
        <v>1.0</v>
      </c>
      <c r="AG424" s="35" t="s">
        <v>7045</v>
      </c>
    </row>
    <row r="425" ht="14.25" customHeight="1">
      <c r="A425" s="28" t="s">
        <v>5525</v>
      </c>
      <c r="B425" s="29" t="s">
        <v>5526</v>
      </c>
      <c r="C425" s="29" t="s">
        <v>7041</v>
      </c>
      <c r="D425" s="30">
        <v>45658.0</v>
      </c>
      <c r="E425" s="30">
        <v>46022.0</v>
      </c>
      <c r="F425" s="31">
        <v>0.0</v>
      </c>
      <c r="G425" s="31">
        <v>1.0</v>
      </c>
      <c r="H425" s="35" t="s">
        <v>7045</v>
      </c>
      <c r="I425" s="30">
        <v>46023.0</v>
      </c>
      <c r="J425" s="30">
        <v>46387.0</v>
      </c>
      <c r="K425" s="31">
        <v>0.0</v>
      </c>
      <c r="L425" s="31">
        <v>1.0</v>
      </c>
      <c r="M425" s="35" t="s">
        <v>7045</v>
      </c>
      <c r="N425" s="30">
        <v>46388.0</v>
      </c>
      <c r="O425" s="30">
        <v>46752.0</v>
      </c>
      <c r="P425" s="31">
        <v>0.0</v>
      </c>
      <c r="Q425" s="31">
        <v>1.0</v>
      </c>
      <c r="R425" s="35" t="s">
        <v>7045</v>
      </c>
      <c r="S425" s="30">
        <v>46753.0</v>
      </c>
      <c r="T425" s="30">
        <v>47118.0</v>
      </c>
      <c r="U425" s="31">
        <v>0.0</v>
      </c>
      <c r="V425" s="31">
        <v>1.0</v>
      </c>
      <c r="W425" s="35" t="s">
        <v>7045</v>
      </c>
      <c r="X425" s="30">
        <v>47119.0</v>
      </c>
      <c r="Y425" s="30">
        <v>47483.0</v>
      </c>
      <c r="Z425" s="31">
        <v>0.0</v>
      </c>
      <c r="AA425" s="31">
        <v>1.0</v>
      </c>
      <c r="AB425" s="35" t="s">
        <v>7045</v>
      </c>
      <c r="AC425" s="30">
        <v>47484.0</v>
      </c>
      <c r="AD425" s="30">
        <v>47848.0</v>
      </c>
      <c r="AE425" s="31">
        <v>0.0</v>
      </c>
      <c r="AF425" s="31">
        <v>1.0</v>
      </c>
      <c r="AG425" s="35" t="s">
        <v>7045</v>
      </c>
    </row>
    <row r="426" ht="14.25" customHeight="1">
      <c r="A426" s="28" t="s">
        <v>5212</v>
      </c>
      <c r="B426" s="29" t="s">
        <v>5213</v>
      </c>
      <c r="C426" s="29" t="s">
        <v>7041</v>
      </c>
      <c r="D426" s="30">
        <v>45658.0</v>
      </c>
      <c r="E426" s="30">
        <v>46022.0</v>
      </c>
      <c r="F426" s="31">
        <v>0.0</v>
      </c>
      <c r="G426" s="31">
        <v>1.0</v>
      </c>
      <c r="H426" s="35" t="s">
        <v>7045</v>
      </c>
      <c r="I426" s="30">
        <v>46023.0</v>
      </c>
      <c r="J426" s="30">
        <v>46387.0</v>
      </c>
      <c r="K426" s="31">
        <v>0.0</v>
      </c>
      <c r="L426" s="31">
        <v>1.0</v>
      </c>
      <c r="M426" s="35" t="s">
        <v>7045</v>
      </c>
      <c r="N426" s="30">
        <v>46388.0</v>
      </c>
      <c r="O426" s="30">
        <v>46752.0</v>
      </c>
      <c r="P426" s="31">
        <v>0.0</v>
      </c>
      <c r="Q426" s="31">
        <v>1.0</v>
      </c>
      <c r="R426" s="35" t="s">
        <v>7045</v>
      </c>
      <c r="S426" s="30">
        <v>46753.0</v>
      </c>
      <c r="T426" s="30">
        <v>47118.0</v>
      </c>
      <c r="U426" s="31">
        <v>0.0</v>
      </c>
      <c r="V426" s="31">
        <v>1.0</v>
      </c>
      <c r="W426" s="35" t="s">
        <v>7045</v>
      </c>
      <c r="X426" s="30">
        <v>47119.0</v>
      </c>
      <c r="Y426" s="30">
        <v>47483.0</v>
      </c>
      <c r="Z426" s="31">
        <v>0.0</v>
      </c>
      <c r="AA426" s="31">
        <v>1.0</v>
      </c>
      <c r="AB426" s="35" t="s">
        <v>7045</v>
      </c>
      <c r="AC426" s="30">
        <v>47484.0</v>
      </c>
      <c r="AD426" s="30">
        <v>47848.0</v>
      </c>
      <c r="AE426" s="31">
        <v>0.0</v>
      </c>
      <c r="AF426" s="31">
        <v>1.0</v>
      </c>
      <c r="AG426" s="35" t="s">
        <v>7045</v>
      </c>
    </row>
    <row r="427" ht="14.25" customHeight="1">
      <c r="A427" s="28" t="s">
        <v>3832</v>
      </c>
      <c r="B427" s="29" t="s">
        <v>3833</v>
      </c>
      <c r="C427" s="29" t="s">
        <v>7041</v>
      </c>
      <c r="D427" s="30">
        <v>45658.0</v>
      </c>
      <c r="E427" s="30">
        <v>46022.0</v>
      </c>
      <c r="F427" s="31">
        <v>0.0</v>
      </c>
      <c r="G427" s="31">
        <v>1.0</v>
      </c>
      <c r="H427" s="35" t="s">
        <v>7045</v>
      </c>
      <c r="I427" s="30">
        <v>46023.0</v>
      </c>
      <c r="J427" s="30">
        <v>46387.0</v>
      </c>
      <c r="K427" s="31">
        <v>0.0</v>
      </c>
      <c r="L427" s="31">
        <v>1.0</v>
      </c>
      <c r="M427" s="35" t="s">
        <v>7045</v>
      </c>
      <c r="N427" s="30">
        <v>46388.0</v>
      </c>
      <c r="O427" s="30">
        <v>46752.0</v>
      </c>
      <c r="P427" s="31">
        <v>0.0</v>
      </c>
      <c r="Q427" s="31">
        <v>1.0</v>
      </c>
      <c r="R427" s="35" t="s">
        <v>7045</v>
      </c>
      <c r="S427" s="30">
        <v>46753.0</v>
      </c>
      <c r="T427" s="30">
        <v>47118.0</v>
      </c>
      <c r="U427" s="31">
        <v>0.0</v>
      </c>
      <c r="V427" s="31">
        <v>1.0</v>
      </c>
      <c r="W427" s="35" t="s">
        <v>7045</v>
      </c>
      <c r="X427" s="30">
        <v>47119.0</v>
      </c>
      <c r="Y427" s="30">
        <v>47483.0</v>
      </c>
      <c r="Z427" s="31">
        <v>0.0</v>
      </c>
      <c r="AA427" s="31">
        <v>1.0</v>
      </c>
      <c r="AB427" s="35" t="s">
        <v>7045</v>
      </c>
      <c r="AC427" s="30">
        <v>47484.0</v>
      </c>
      <c r="AD427" s="30">
        <v>47848.0</v>
      </c>
      <c r="AE427" s="31">
        <v>0.0</v>
      </c>
      <c r="AF427" s="31">
        <v>1.0</v>
      </c>
      <c r="AG427" s="35" t="s">
        <v>7045</v>
      </c>
    </row>
    <row r="428" ht="14.25" customHeight="1">
      <c r="A428" s="28" t="s">
        <v>1695</v>
      </c>
      <c r="B428" s="29" t="s">
        <v>1696</v>
      </c>
      <c r="C428" s="29" t="s">
        <v>7041</v>
      </c>
      <c r="D428" s="30">
        <v>45658.0</v>
      </c>
      <c r="E428" s="30">
        <v>46022.0</v>
      </c>
      <c r="F428" s="31">
        <v>0.0</v>
      </c>
      <c r="G428" s="31">
        <v>1.0</v>
      </c>
      <c r="H428" s="35" t="s">
        <v>7045</v>
      </c>
      <c r="I428" s="30">
        <v>46023.0</v>
      </c>
      <c r="J428" s="30">
        <v>46387.0</v>
      </c>
      <c r="K428" s="31">
        <v>0.0</v>
      </c>
      <c r="L428" s="31">
        <v>1.0</v>
      </c>
      <c r="M428" s="35" t="s">
        <v>7045</v>
      </c>
      <c r="N428" s="30">
        <v>46388.0</v>
      </c>
      <c r="O428" s="30">
        <v>46752.0</v>
      </c>
      <c r="P428" s="31">
        <v>0.0</v>
      </c>
      <c r="Q428" s="31">
        <v>1.0</v>
      </c>
      <c r="R428" s="35" t="s">
        <v>7045</v>
      </c>
      <c r="S428" s="30">
        <v>46753.0</v>
      </c>
      <c r="T428" s="30">
        <v>47118.0</v>
      </c>
      <c r="U428" s="31">
        <v>0.0</v>
      </c>
      <c r="V428" s="31">
        <v>1.0</v>
      </c>
      <c r="W428" s="35" t="s">
        <v>7045</v>
      </c>
      <c r="X428" s="30">
        <v>47119.0</v>
      </c>
      <c r="Y428" s="30">
        <v>47483.0</v>
      </c>
      <c r="Z428" s="31">
        <v>0.0</v>
      </c>
      <c r="AA428" s="31">
        <v>1.0</v>
      </c>
      <c r="AB428" s="35" t="s">
        <v>7045</v>
      </c>
      <c r="AC428" s="30">
        <v>47484.0</v>
      </c>
      <c r="AD428" s="30">
        <v>47848.0</v>
      </c>
      <c r="AE428" s="31">
        <v>0.0</v>
      </c>
      <c r="AF428" s="31">
        <v>1.0</v>
      </c>
      <c r="AG428" s="35" t="s">
        <v>7045</v>
      </c>
    </row>
    <row r="429" ht="14.25" customHeight="1">
      <c r="A429" s="28" t="s">
        <v>1316</v>
      </c>
      <c r="B429" s="29" t="s">
        <v>1317</v>
      </c>
      <c r="C429" s="29" t="s">
        <v>7041</v>
      </c>
      <c r="D429" s="30">
        <v>45658.0</v>
      </c>
      <c r="E429" s="30">
        <v>46022.0</v>
      </c>
      <c r="F429" s="31">
        <v>0.0</v>
      </c>
      <c r="G429" s="31">
        <v>1.0</v>
      </c>
      <c r="H429" s="35" t="s">
        <v>7045</v>
      </c>
      <c r="I429" s="30">
        <v>46023.0</v>
      </c>
      <c r="J429" s="30">
        <v>46387.0</v>
      </c>
      <c r="K429" s="31">
        <v>0.0</v>
      </c>
      <c r="L429" s="31">
        <v>1.0</v>
      </c>
      <c r="M429" s="35" t="s">
        <v>7045</v>
      </c>
      <c r="N429" s="30">
        <v>46388.0</v>
      </c>
      <c r="O429" s="30">
        <v>46752.0</v>
      </c>
      <c r="P429" s="31">
        <v>0.0</v>
      </c>
      <c r="Q429" s="31">
        <v>1.0</v>
      </c>
      <c r="R429" s="35" t="s">
        <v>7045</v>
      </c>
      <c r="S429" s="30">
        <v>46753.0</v>
      </c>
      <c r="T429" s="30">
        <v>47118.0</v>
      </c>
      <c r="U429" s="31">
        <v>0.0</v>
      </c>
      <c r="V429" s="31">
        <v>1.0</v>
      </c>
      <c r="W429" s="35" t="s">
        <v>7045</v>
      </c>
      <c r="X429" s="30">
        <v>47119.0</v>
      </c>
      <c r="Y429" s="30">
        <v>47483.0</v>
      </c>
      <c r="Z429" s="31">
        <v>0.0</v>
      </c>
      <c r="AA429" s="31">
        <v>1.0</v>
      </c>
      <c r="AB429" s="35" t="s">
        <v>7045</v>
      </c>
      <c r="AC429" s="30">
        <v>47484.0</v>
      </c>
      <c r="AD429" s="30">
        <v>47848.0</v>
      </c>
      <c r="AE429" s="31">
        <v>0.0</v>
      </c>
      <c r="AF429" s="31">
        <v>1.0</v>
      </c>
      <c r="AG429" s="35" t="s">
        <v>7045</v>
      </c>
    </row>
    <row r="430" ht="14.25" customHeight="1">
      <c r="A430" s="28" t="s">
        <v>2215</v>
      </c>
      <c r="B430" s="29" t="s">
        <v>2216</v>
      </c>
      <c r="C430" s="29" t="s">
        <v>7041</v>
      </c>
      <c r="D430" s="30">
        <v>45658.0</v>
      </c>
      <c r="E430" s="30">
        <v>46022.0</v>
      </c>
      <c r="F430" s="31">
        <v>0.0</v>
      </c>
      <c r="G430" s="31">
        <v>1.0</v>
      </c>
      <c r="H430" s="35" t="s">
        <v>7045</v>
      </c>
      <c r="I430" s="30">
        <v>46023.0</v>
      </c>
      <c r="J430" s="30">
        <v>46387.0</v>
      </c>
      <c r="K430" s="31">
        <v>0.0</v>
      </c>
      <c r="L430" s="31">
        <v>1.0</v>
      </c>
      <c r="M430" s="35" t="s">
        <v>7045</v>
      </c>
      <c r="N430" s="30">
        <v>46388.0</v>
      </c>
      <c r="O430" s="30">
        <v>46752.0</v>
      </c>
      <c r="P430" s="31">
        <v>0.0</v>
      </c>
      <c r="Q430" s="31">
        <v>1.0</v>
      </c>
      <c r="R430" s="35" t="s">
        <v>7045</v>
      </c>
      <c r="S430" s="30">
        <v>46753.0</v>
      </c>
      <c r="T430" s="30">
        <v>47118.0</v>
      </c>
      <c r="U430" s="31">
        <v>0.0</v>
      </c>
      <c r="V430" s="31">
        <v>1.0</v>
      </c>
      <c r="W430" s="35" t="s">
        <v>7045</v>
      </c>
      <c r="X430" s="30">
        <v>47119.0</v>
      </c>
      <c r="Y430" s="30">
        <v>47483.0</v>
      </c>
      <c r="Z430" s="31">
        <v>0.0</v>
      </c>
      <c r="AA430" s="31">
        <v>1.0</v>
      </c>
      <c r="AB430" s="35" t="s">
        <v>7045</v>
      </c>
      <c r="AC430" s="30">
        <v>47484.0</v>
      </c>
      <c r="AD430" s="30">
        <v>47848.0</v>
      </c>
      <c r="AE430" s="31">
        <v>0.0</v>
      </c>
      <c r="AF430" s="31">
        <v>1.0</v>
      </c>
      <c r="AG430" s="35" t="s">
        <v>7045</v>
      </c>
    </row>
    <row r="431" ht="14.25" customHeight="1">
      <c r="A431" s="28" t="s">
        <v>2891</v>
      </c>
      <c r="B431" s="29" t="s">
        <v>2892</v>
      </c>
      <c r="C431" s="29" t="s">
        <v>7041</v>
      </c>
      <c r="D431" s="30">
        <v>45658.0</v>
      </c>
      <c r="E431" s="30">
        <v>46022.0</v>
      </c>
      <c r="F431" s="31">
        <v>0.0</v>
      </c>
      <c r="G431" s="31">
        <v>1.0</v>
      </c>
      <c r="H431" s="35" t="s">
        <v>7045</v>
      </c>
      <c r="I431" s="30">
        <v>46023.0</v>
      </c>
      <c r="J431" s="30">
        <v>46387.0</v>
      </c>
      <c r="K431" s="31">
        <v>0.0</v>
      </c>
      <c r="L431" s="31">
        <v>1.0</v>
      </c>
      <c r="M431" s="35" t="s">
        <v>7045</v>
      </c>
      <c r="N431" s="30">
        <v>46388.0</v>
      </c>
      <c r="O431" s="30">
        <v>46752.0</v>
      </c>
      <c r="P431" s="31">
        <v>0.0</v>
      </c>
      <c r="Q431" s="31">
        <v>1.0</v>
      </c>
      <c r="R431" s="35" t="s">
        <v>7045</v>
      </c>
      <c r="S431" s="30">
        <v>46753.0</v>
      </c>
      <c r="T431" s="30">
        <v>47118.0</v>
      </c>
      <c r="U431" s="31">
        <v>0.0</v>
      </c>
      <c r="V431" s="31">
        <v>1.0</v>
      </c>
      <c r="W431" s="35" t="s">
        <v>7045</v>
      </c>
      <c r="X431" s="30">
        <v>47119.0</v>
      </c>
      <c r="Y431" s="30">
        <v>47483.0</v>
      </c>
      <c r="Z431" s="31">
        <v>0.0</v>
      </c>
      <c r="AA431" s="31">
        <v>1.0</v>
      </c>
      <c r="AB431" s="35" t="s">
        <v>7045</v>
      </c>
      <c r="AC431" s="30">
        <v>47484.0</v>
      </c>
      <c r="AD431" s="30">
        <v>47848.0</v>
      </c>
      <c r="AE431" s="31">
        <v>0.0</v>
      </c>
      <c r="AF431" s="31">
        <v>1.0</v>
      </c>
      <c r="AG431" s="35" t="s">
        <v>7045</v>
      </c>
    </row>
    <row r="432" ht="14.25" customHeight="1">
      <c r="A432" s="28" t="s">
        <v>3219</v>
      </c>
      <c r="B432" s="29" t="s">
        <v>3220</v>
      </c>
      <c r="C432" s="29" t="s">
        <v>7041</v>
      </c>
      <c r="D432" s="30">
        <v>45658.0</v>
      </c>
      <c r="E432" s="30">
        <v>46022.0</v>
      </c>
      <c r="F432" s="31">
        <v>0.0</v>
      </c>
      <c r="G432" s="31">
        <v>1.0</v>
      </c>
      <c r="H432" s="35" t="s">
        <v>7045</v>
      </c>
      <c r="I432" s="30">
        <v>46023.0</v>
      </c>
      <c r="J432" s="30">
        <v>46387.0</v>
      </c>
      <c r="K432" s="31">
        <v>0.0</v>
      </c>
      <c r="L432" s="31">
        <v>1.0</v>
      </c>
      <c r="M432" s="35" t="s">
        <v>7045</v>
      </c>
      <c r="N432" s="30">
        <v>46388.0</v>
      </c>
      <c r="O432" s="30">
        <v>46752.0</v>
      </c>
      <c r="P432" s="31">
        <v>0.0</v>
      </c>
      <c r="Q432" s="31">
        <v>1.0</v>
      </c>
      <c r="R432" s="35" t="s">
        <v>7045</v>
      </c>
      <c r="S432" s="30">
        <v>46753.0</v>
      </c>
      <c r="T432" s="30">
        <v>47118.0</v>
      </c>
      <c r="U432" s="31">
        <v>0.0</v>
      </c>
      <c r="V432" s="31">
        <v>1.0</v>
      </c>
      <c r="W432" s="35" t="s">
        <v>7045</v>
      </c>
      <c r="X432" s="30">
        <v>47119.0</v>
      </c>
      <c r="Y432" s="30">
        <v>47483.0</v>
      </c>
      <c r="Z432" s="31">
        <v>0.0</v>
      </c>
      <c r="AA432" s="31">
        <v>1.0</v>
      </c>
      <c r="AB432" s="35" t="s">
        <v>7045</v>
      </c>
      <c r="AC432" s="30">
        <v>47484.0</v>
      </c>
      <c r="AD432" s="30">
        <v>47848.0</v>
      </c>
      <c r="AE432" s="31">
        <v>0.0</v>
      </c>
      <c r="AF432" s="31">
        <v>1.0</v>
      </c>
      <c r="AG432" s="35" t="s">
        <v>7045</v>
      </c>
    </row>
    <row r="433" ht="14.25" customHeight="1">
      <c r="A433" s="28" t="s">
        <v>3491</v>
      </c>
      <c r="B433" s="29" t="s">
        <v>3492</v>
      </c>
      <c r="C433" s="29" t="s">
        <v>7041</v>
      </c>
      <c r="D433" s="30">
        <v>45658.0</v>
      </c>
      <c r="E433" s="30">
        <v>46022.0</v>
      </c>
      <c r="F433" s="31">
        <v>0.0</v>
      </c>
      <c r="G433" s="31">
        <v>1.0</v>
      </c>
      <c r="H433" s="35" t="s">
        <v>7045</v>
      </c>
      <c r="I433" s="30">
        <v>46023.0</v>
      </c>
      <c r="J433" s="30">
        <v>46387.0</v>
      </c>
      <c r="K433" s="31">
        <v>0.0</v>
      </c>
      <c r="L433" s="31">
        <v>1.0</v>
      </c>
      <c r="M433" s="35" t="s">
        <v>7045</v>
      </c>
      <c r="N433" s="30">
        <v>46388.0</v>
      </c>
      <c r="O433" s="30">
        <v>46752.0</v>
      </c>
      <c r="P433" s="31">
        <v>0.0</v>
      </c>
      <c r="Q433" s="31">
        <v>1.0</v>
      </c>
      <c r="R433" s="35" t="s">
        <v>7045</v>
      </c>
      <c r="S433" s="30">
        <v>46753.0</v>
      </c>
      <c r="T433" s="30">
        <v>47118.0</v>
      </c>
      <c r="U433" s="31">
        <v>0.0</v>
      </c>
      <c r="V433" s="31">
        <v>1.0</v>
      </c>
      <c r="W433" s="35" t="s">
        <v>7045</v>
      </c>
      <c r="X433" s="30">
        <v>47119.0</v>
      </c>
      <c r="Y433" s="30">
        <v>47483.0</v>
      </c>
      <c r="Z433" s="31">
        <v>0.0</v>
      </c>
      <c r="AA433" s="31">
        <v>1.0</v>
      </c>
      <c r="AB433" s="35" t="s">
        <v>7045</v>
      </c>
      <c r="AC433" s="30">
        <v>47484.0</v>
      </c>
      <c r="AD433" s="30">
        <v>47848.0</v>
      </c>
      <c r="AE433" s="31">
        <v>0.0</v>
      </c>
      <c r="AF433" s="31">
        <v>1.0</v>
      </c>
      <c r="AG433" s="35" t="s">
        <v>7045</v>
      </c>
    </row>
    <row r="434" ht="14.25" customHeight="1">
      <c r="A434" s="28" t="s">
        <v>3649</v>
      </c>
      <c r="B434" s="29" t="s">
        <v>3650</v>
      </c>
      <c r="C434" s="29" t="s">
        <v>7041</v>
      </c>
      <c r="D434" s="30">
        <v>45658.0</v>
      </c>
      <c r="E434" s="30">
        <v>46022.0</v>
      </c>
      <c r="F434" s="31">
        <v>0.0</v>
      </c>
      <c r="G434" s="31">
        <v>1.0</v>
      </c>
      <c r="H434" s="35" t="s">
        <v>7045</v>
      </c>
      <c r="I434" s="30">
        <v>46023.0</v>
      </c>
      <c r="J434" s="30">
        <v>46387.0</v>
      </c>
      <c r="K434" s="31">
        <v>0.0</v>
      </c>
      <c r="L434" s="31">
        <v>1.0</v>
      </c>
      <c r="M434" s="35" t="s">
        <v>7045</v>
      </c>
      <c r="N434" s="30">
        <v>46388.0</v>
      </c>
      <c r="O434" s="30">
        <v>46752.0</v>
      </c>
      <c r="P434" s="31">
        <v>0.0</v>
      </c>
      <c r="Q434" s="31">
        <v>1.0</v>
      </c>
      <c r="R434" s="35" t="s">
        <v>7045</v>
      </c>
      <c r="S434" s="30">
        <v>46753.0</v>
      </c>
      <c r="T434" s="30">
        <v>47118.0</v>
      </c>
      <c r="U434" s="31">
        <v>0.0</v>
      </c>
      <c r="V434" s="31">
        <v>1.0</v>
      </c>
      <c r="W434" s="35" t="s">
        <v>7045</v>
      </c>
      <c r="X434" s="30">
        <v>47119.0</v>
      </c>
      <c r="Y434" s="30">
        <v>47483.0</v>
      </c>
      <c r="Z434" s="31">
        <v>0.0</v>
      </c>
      <c r="AA434" s="31">
        <v>1.0</v>
      </c>
      <c r="AB434" s="35" t="s">
        <v>7045</v>
      </c>
      <c r="AC434" s="30">
        <v>47484.0</v>
      </c>
      <c r="AD434" s="30">
        <v>47848.0</v>
      </c>
      <c r="AE434" s="31">
        <v>0.0</v>
      </c>
      <c r="AF434" s="31">
        <v>1.0</v>
      </c>
      <c r="AG434" s="35" t="s">
        <v>7045</v>
      </c>
    </row>
    <row r="435" ht="14.25" customHeight="1">
      <c r="A435" s="28" t="s">
        <v>6672</v>
      </c>
      <c r="B435" s="29" t="s">
        <v>6673</v>
      </c>
      <c r="C435" s="29" t="s">
        <v>7041</v>
      </c>
      <c r="D435" s="30">
        <v>45658.0</v>
      </c>
      <c r="E435" s="30">
        <v>46022.0</v>
      </c>
      <c r="F435" s="31">
        <v>0.0</v>
      </c>
      <c r="G435" s="31">
        <v>1.0</v>
      </c>
      <c r="H435" s="35" t="s">
        <v>7045</v>
      </c>
      <c r="I435" s="30">
        <v>46023.0</v>
      </c>
      <c r="J435" s="30">
        <v>46387.0</v>
      </c>
      <c r="K435" s="31">
        <v>0.0</v>
      </c>
      <c r="L435" s="31">
        <v>1.0</v>
      </c>
      <c r="M435" s="35" t="s">
        <v>7045</v>
      </c>
      <c r="N435" s="30">
        <v>46388.0</v>
      </c>
      <c r="O435" s="30">
        <v>46752.0</v>
      </c>
      <c r="P435" s="31">
        <v>0.0</v>
      </c>
      <c r="Q435" s="31">
        <v>1.0</v>
      </c>
      <c r="R435" s="35" t="s">
        <v>7045</v>
      </c>
      <c r="S435" s="30">
        <v>46753.0</v>
      </c>
      <c r="T435" s="30">
        <v>47118.0</v>
      </c>
      <c r="U435" s="31">
        <v>0.0</v>
      </c>
      <c r="V435" s="31">
        <v>1.0</v>
      </c>
      <c r="W435" s="35" t="s">
        <v>7045</v>
      </c>
      <c r="X435" s="30">
        <v>47119.0</v>
      </c>
      <c r="Y435" s="30">
        <v>47483.0</v>
      </c>
      <c r="Z435" s="31">
        <v>0.0</v>
      </c>
      <c r="AA435" s="31">
        <v>1.0</v>
      </c>
      <c r="AB435" s="35" t="s">
        <v>7045</v>
      </c>
      <c r="AC435" s="30">
        <v>47484.0</v>
      </c>
      <c r="AD435" s="30">
        <v>47848.0</v>
      </c>
      <c r="AE435" s="31">
        <v>0.0</v>
      </c>
      <c r="AF435" s="31">
        <v>1.0</v>
      </c>
      <c r="AG435" s="35" t="s">
        <v>7045</v>
      </c>
    </row>
    <row r="436" ht="14.25" customHeight="1">
      <c r="A436" s="28" t="s">
        <v>1117</v>
      </c>
      <c r="B436" s="29" t="s">
        <v>1118</v>
      </c>
      <c r="C436" s="29" t="s">
        <v>7041</v>
      </c>
      <c r="D436" s="30">
        <v>45658.0</v>
      </c>
      <c r="E436" s="30">
        <v>46022.0</v>
      </c>
      <c r="F436" s="31">
        <v>0.0</v>
      </c>
      <c r="G436" s="31">
        <v>1.0</v>
      </c>
      <c r="H436" s="35" t="s">
        <v>7045</v>
      </c>
      <c r="I436" s="30">
        <v>46023.0</v>
      </c>
      <c r="J436" s="30">
        <v>46387.0</v>
      </c>
      <c r="K436" s="31">
        <v>0.0</v>
      </c>
      <c r="L436" s="31">
        <v>1.0</v>
      </c>
      <c r="M436" s="35" t="s">
        <v>7045</v>
      </c>
      <c r="N436" s="30">
        <v>46388.0</v>
      </c>
      <c r="O436" s="30">
        <v>46752.0</v>
      </c>
      <c r="P436" s="31">
        <v>0.0</v>
      </c>
      <c r="Q436" s="31">
        <v>1.0</v>
      </c>
      <c r="R436" s="35" t="s">
        <v>7045</v>
      </c>
      <c r="S436" s="30">
        <v>46753.0</v>
      </c>
      <c r="T436" s="30">
        <v>47118.0</v>
      </c>
      <c r="U436" s="31">
        <v>0.0</v>
      </c>
      <c r="V436" s="31">
        <v>1.0</v>
      </c>
      <c r="W436" s="35" t="s">
        <v>7045</v>
      </c>
      <c r="X436" s="30">
        <v>47119.0</v>
      </c>
      <c r="Y436" s="30">
        <v>47483.0</v>
      </c>
      <c r="Z436" s="31">
        <v>0.0</v>
      </c>
      <c r="AA436" s="31">
        <v>1.0</v>
      </c>
      <c r="AB436" s="35" t="s">
        <v>7045</v>
      </c>
      <c r="AC436" s="30">
        <v>47484.0</v>
      </c>
      <c r="AD436" s="30">
        <v>47848.0</v>
      </c>
      <c r="AE436" s="31">
        <v>0.0</v>
      </c>
      <c r="AF436" s="31">
        <v>1.0</v>
      </c>
      <c r="AG436" s="35" t="s">
        <v>7045</v>
      </c>
    </row>
    <row r="437" ht="14.25" customHeight="1">
      <c r="A437" s="28" t="s">
        <v>4031</v>
      </c>
      <c r="B437" s="29" t="s">
        <v>4032</v>
      </c>
      <c r="C437" s="29" t="s">
        <v>7041</v>
      </c>
      <c r="D437" s="30">
        <v>45658.0</v>
      </c>
      <c r="E437" s="30">
        <v>46022.0</v>
      </c>
      <c r="F437" s="31">
        <v>0.0</v>
      </c>
      <c r="G437" s="31">
        <v>1.0</v>
      </c>
      <c r="H437" s="35" t="s">
        <v>7045</v>
      </c>
      <c r="I437" s="30">
        <v>46023.0</v>
      </c>
      <c r="J437" s="30">
        <v>46387.0</v>
      </c>
      <c r="K437" s="31">
        <v>0.0</v>
      </c>
      <c r="L437" s="31">
        <v>1.0</v>
      </c>
      <c r="M437" s="35" t="s">
        <v>7045</v>
      </c>
      <c r="N437" s="30">
        <v>46388.0</v>
      </c>
      <c r="O437" s="30">
        <v>46752.0</v>
      </c>
      <c r="P437" s="31">
        <v>0.0</v>
      </c>
      <c r="Q437" s="31">
        <v>1.0</v>
      </c>
      <c r="R437" s="35" t="s">
        <v>7045</v>
      </c>
      <c r="S437" s="30">
        <v>46753.0</v>
      </c>
      <c r="T437" s="30">
        <v>47118.0</v>
      </c>
      <c r="U437" s="31">
        <v>0.0</v>
      </c>
      <c r="V437" s="31">
        <v>1.0</v>
      </c>
      <c r="W437" s="35" t="s">
        <v>7045</v>
      </c>
      <c r="X437" s="30">
        <v>47119.0</v>
      </c>
      <c r="Y437" s="30">
        <v>47483.0</v>
      </c>
      <c r="Z437" s="31">
        <v>0.0</v>
      </c>
      <c r="AA437" s="31">
        <v>1.0</v>
      </c>
      <c r="AB437" s="35" t="s">
        <v>7045</v>
      </c>
      <c r="AC437" s="30">
        <v>47484.0</v>
      </c>
      <c r="AD437" s="30">
        <v>47848.0</v>
      </c>
      <c r="AE437" s="31">
        <v>0.0</v>
      </c>
      <c r="AF437" s="31">
        <v>1.0</v>
      </c>
      <c r="AG437" s="35" t="s">
        <v>7045</v>
      </c>
    </row>
    <row r="438" ht="14.25" customHeight="1">
      <c r="A438" s="28" t="s">
        <v>5887</v>
      </c>
      <c r="B438" s="29" t="s">
        <v>5888</v>
      </c>
      <c r="C438" s="29" t="s">
        <v>7041</v>
      </c>
      <c r="D438" s="30">
        <v>45658.0</v>
      </c>
      <c r="E438" s="30">
        <v>46022.0</v>
      </c>
      <c r="F438" s="31">
        <v>0.0</v>
      </c>
      <c r="G438" s="31">
        <v>1.0</v>
      </c>
      <c r="H438" s="35" t="s">
        <v>7045</v>
      </c>
      <c r="I438" s="30">
        <v>46023.0</v>
      </c>
      <c r="J438" s="30">
        <v>46387.0</v>
      </c>
      <c r="K438" s="31">
        <v>0.0</v>
      </c>
      <c r="L438" s="31">
        <v>1.0</v>
      </c>
      <c r="M438" s="35" t="s">
        <v>7045</v>
      </c>
      <c r="N438" s="30">
        <v>46388.0</v>
      </c>
      <c r="O438" s="30">
        <v>46752.0</v>
      </c>
      <c r="P438" s="31">
        <v>0.0</v>
      </c>
      <c r="Q438" s="31">
        <v>1.0</v>
      </c>
      <c r="R438" s="35" t="s">
        <v>7045</v>
      </c>
      <c r="S438" s="30">
        <v>46753.0</v>
      </c>
      <c r="T438" s="30">
        <v>47118.0</v>
      </c>
      <c r="U438" s="31">
        <v>0.0</v>
      </c>
      <c r="V438" s="31">
        <v>1.0</v>
      </c>
      <c r="W438" s="35" t="s">
        <v>7045</v>
      </c>
      <c r="X438" s="30">
        <v>47119.0</v>
      </c>
      <c r="Y438" s="30">
        <v>47483.0</v>
      </c>
      <c r="Z438" s="31">
        <v>0.0</v>
      </c>
      <c r="AA438" s="31">
        <v>1.0</v>
      </c>
      <c r="AB438" s="35" t="s">
        <v>7045</v>
      </c>
      <c r="AC438" s="30">
        <v>47484.0</v>
      </c>
      <c r="AD438" s="30">
        <v>47848.0</v>
      </c>
      <c r="AE438" s="31">
        <v>0.0</v>
      </c>
      <c r="AF438" s="31">
        <v>1.0</v>
      </c>
      <c r="AG438" s="35" t="s">
        <v>7045</v>
      </c>
    </row>
    <row r="439" ht="14.25" customHeight="1">
      <c r="A439" s="28" t="s">
        <v>6349</v>
      </c>
      <c r="B439" s="29" t="s">
        <v>6350</v>
      </c>
      <c r="C439" s="29" t="s">
        <v>7041</v>
      </c>
      <c r="D439" s="30">
        <v>45658.0</v>
      </c>
      <c r="E439" s="30">
        <v>46022.0</v>
      </c>
      <c r="F439" s="31">
        <v>0.0</v>
      </c>
      <c r="G439" s="31">
        <v>1.0</v>
      </c>
      <c r="H439" s="35" t="s">
        <v>7045</v>
      </c>
      <c r="I439" s="30">
        <v>46023.0</v>
      </c>
      <c r="J439" s="30">
        <v>46387.0</v>
      </c>
      <c r="K439" s="31">
        <v>0.0</v>
      </c>
      <c r="L439" s="31">
        <v>1.0</v>
      </c>
      <c r="M439" s="35" t="s">
        <v>7045</v>
      </c>
      <c r="N439" s="30">
        <v>46388.0</v>
      </c>
      <c r="O439" s="30">
        <v>46752.0</v>
      </c>
      <c r="P439" s="31">
        <v>0.0</v>
      </c>
      <c r="Q439" s="31">
        <v>1.0</v>
      </c>
      <c r="R439" s="35" t="s">
        <v>7045</v>
      </c>
      <c r="S439" s="30">
        <v>46753.0</v>
      </c>
      <c r="T439" s="30">
        <v>47118.0</v>
      </c>
      <c r="U439" s="31">
        <v>0.0</v>
      </c>
      <c r="V439" s="31">
        <v>1.0</v>
      </c>
      <c r="W439" s="35" t="s">
        <v>7045</v>
      </c>
      <c r="X439" s="30">
        <v>47119.0</v>
      </c>
      <c r="Y439" s="30">
        <v>47483.0</v>
      </c>
      <c r="Z439" s="31">
        <v>0.0</v>
      </c>
      <c r="AA439" s="31">
        <v>1.0</v>
      </c>
      <c r="AB439" s="35" t="s">
        <v>7045</v>
      </c>
      <c r="AC439" s="30">
        <v>47484.0</v>
      </c>
      <c r="AD439" s="30">
        <v>47848.0</v>
      </c>
      <c r="AE439" s="31">
        <v>0.0</v>
      </c>
      <c r="AF439" s="31">
        <v>1.0</v>
      </c>
      <c r="AG439" s="35" t="s">
        <v>7045</v>
      </c>
    </row>
    <row r="440" ht="14.25" customHeight="1">
      <c r="A440" s="28" t="s">
        <v>6644</v>
      </c>
      <c r="B440" s="29" t="s">
        <v>6645</v>
      </c>
      <c r="C440" s="29" t="s">
        <v>7041</v>
      </c>
      <c r="D440" s="30">
        <v>45658.0</v>
      </c>
      <c r="E440" s="30">
        <v>46022.0</v>
      </c>
      <c r="F440" s="31">
        <v>0.0</v>
      </c>
      <c r="G440" s="31">
        <v>1.0</v>
      </c>
      <c r="H440" s="35" t="s">
        <v>7045</v>
      </c>
      <c r="I440" s="30">
        <v>46023.0</v>
      </c>
      <c r="J440" s="30">
        <v>46387.0</v>
      </c>
      <c r="K440" s="31">
        <v>0.0</v>
      </c>
      <c r="L440" s="31">
        <v>1.0</v>
      </c>
      <c r="M440" s="35" t="s">
        <v>7045</v>
      </c>
      <c r="N440" s="30">
        <v>46388.0</v>
      </c>
      <c r="O440" s="30">
        <v>46752.0</v>
      </c>
      <c r="P440" s="31">
        <v>0.0</v>
      </c>
      <c r="Q440" s="31">
        <v>1.0</v>
      </c>
      <c r="R440" s="35" t="s">
        <v>7045</v>
      </c>
      <c r="S440" s="30">
        <v>46753.0</v>
      </c>
      <c r="T440" s="30">
        <v>47118.0</v>
      </c>
      <c r="U440" s="31">
        <v>0.0</v>
      </c>
      <c r="V440" s="31">
        <v>1.0</v>
      </c>
      <c r="W440" s="35" t="s">
        <v>7045</v>
      </c>
      <c r="X440" s="30">
        <v>47119.0</v>
      </c>
      <c r="Y440" s="30">
        <v>47483.0</v>
      </c>
      <c r="Z440" s="31">
        <v>0.0</v>
      </c>
      <c r="AA440" s="31">
        <v>1.0</v>
      </c>
      <c r="AB440" s="35" t="s">
        <v>7045</v>
      </c>
      <c r="AC440" s="30">
        <v>47484.0</v>
      </c>
      <c r="AD440" s="30">
        <v>47848.0</v>
      </c>
      <c r="AE440" s="31">
        <v>0.0</v>
      </c>
      <c r="AF440" s="31">
        <v>1.0</v>
      </c>
      <c r="AG440" s="35" t="s">
        <v>7045</v>
      </c>
    </row>
    <row r="441" ht="14.25" customHeight="1">
      <c r="A441" s="28" t="s">
        <v>6651</v>
      </c>
      <c r="B441" s="29" t="s">
        <v>6652</v>
      </c>
      <c r="C441" s="29" t="s">
        <v>7041</v>
      </c>
      <c r="D441" s="30">
        <v>45658.0</v>
      </c>
      <c r="E441" s="30">
        <v>46022.0</v>
      </c>
      <c r="F441" s="31">
        <v>0.0</v>
      </c>
      <c r="G441" s="31">
        <v>1.0</v>
      </c>
      <c r="H441" s="35" t="s">
        <v>7045</v>
      </c>
      <c r="I441" s="30">
        <v>46023.0</v>
      </c>
      <c r="J441" s="30">
        <v>46387.0</v>
      </c>
      <c r="K441" s="31">
        <v>0.0</v>
      </c>
      <c r="L441" s="31">
        <v>1.0</v>
      </c>
      <c r="M441" s="35" t="s">
        <v>7045</v>
      </c>
      <c r="N441" s="30">
        <v>46388.0</v>
      </c>
      <c r="O441" s="30">
        <v>46752.0</v>
      </c>
      <c r="P441" s="31">
        <v>0.0</v>
      </c>
      <c r="Q441" s="31">
        <v>1.0</v>
      </c>
      <c r="R441" s="35" t="s">
        <v>7045</v>
      </c>
      <c r="S441" s="30">
        <v>46753.0</v>
      </c>
      <c r="T441" s="30">
        <v>47118.0</v>
      </c>
      <c r="U441" s="31">
        <v>0.0</v>
      </c>
      <c r="V441" s="31">
        <v>1.0</v>
      </c>
      <c r="W441" s="35" t="s">
        <v>7045</v>
      </c>
      <c r="X441" s="30">
        <v>47119.0</v>
      </c>
      <c r="Y441" s="30">
        <v>47483.0</v>
      </c>
      <c r="Z441" s="31">
        <v>0.0</v>
      </c>
      <c r="AA441" s="31">
        <v>1.0</v>
      </c>
      <c r="AB441" s="35" t="s">
        <v>7045</v>
      </c>
      <c r="AC441" s="30">
        <v>47484.0</v>
      </c>
      <c r="AD441" s="30">
        <v>47848.0</v>
      </c>
      <c r="AE441" s="31">
        <v>0.0</v>
      </c>
      <c r="AF441" s="31">
        <v>1.0</v>
      </c>
      <c r="AG441" s="35" t="s">
        <v>7045</v>
      </c>
    </row>
    <row r="442" ht="14.25" customHeight="1">
      <c r="A442" s="28" t="s">
        <v>6783</v>
      </c>
      <c r="B442" s="29" t="s">
        <v>6784</v>
      </c>
      <c r="C442" s="29" t="s">
        <v>7041</v>
      </c>
      <c r="D442" s="30">
        <v>45658.0</v>
      </c>
      <c r="E442" s="30">
        <v>46022.0</v>
      </c>
      <c r="F442" s="31">
        <v>0.0</v>
      </c>
      <c r="G442" s="31">
        <v>1.0</v>
      </c>
      <c r="H442" s="35" t="s">
        <v>7045</v>
      </c>
      <c r="I442" s="30">
        <v>46023.0</v>
      </c>
      <c r="J442" s="30">
        <v>46387.0</v>
      </c>
      <c r="K442" s="31">
        <v>0.0</v>
      </c>
      <c r="L442" s="31">
        <v>1.0</v>
      </c>
      <c r="M442" s="35" t="s">
        <v>7045</v>
      </c>
      <c r="N442" s="30">
        <v>46388.0</v>
      </c>
      <c r="O442" s="30">
        <v>46752.0</v>
      </c>
      <c r="P442" s="31">
        <v>0.0</v>
      </c>
      <c r="Q442" s="31">
        <v>1.0</v>
      </c>
      <c r="R442" s="35" t="s">
        <v>7045</v>
      </c>
      <c r="S442" s="30">
        <v>46753.0</v>
      </c>
      <c r="T442" s="30">
        <v>47118.0</v>
      </c>
      <c r="U442" s="31">
        <v>0.0</v>
      </c>
      <c r="V442" s="31">
        <v>1.0</v>
      </c>
      <c r="W442" s="35" t="s">
        <v>7045</v>
      </c>
      <c r="X442" s="30">
        <v>47119.0</v>
      </c>
      <c r="Y442" s="30">
        <v>47483.0</v>
      </c>
      <c r="Z442" s="31">
        <v>0.0</v>
      </c>
      <c r="AA442" s="31">
        <v>1.0</v>
      </c>
      <c r="AB442" s="35" t="s">
        <v>7045</v>
      </c>
      <c r="AC442" s="30">
        <v>47484.0</v>
      </c>
      <c r="AD442" s="30">
        <v>47848.0</v>
      </c>
      <c r="AE442" s="31">
        <v>0.0</v>
      </c>
      <c r="AF442" s="31">
        <v>1.0</v>
      </c>
      <c r="AG442" s="35" t="s">
        <v>7045</v>
      </c>
    </row>
    <row r="443" ht="14.25" customHeight="1">
      <c r="A443" s="28" t="s">
        <v>139</v>
      </c>
      <c r="B443" s="29" t="s">
        <v>140</v>
      </c>
      <c r="C443" s="29" t="s">
        <v>7041</v>
      </c>
      <c r="D443" s="30">
        <v>45658.0</v>
      </c>
      <c r="E443" s="30">
        <v>46022.0</v>
      </c>
      <c r="F443" s="31">
        <v>0.0</v>
      </c>
      <c r="G443" s="31">
        <v>1.0</v>
      </c>
      <c r="H443" s="35" t="s">
        <v>7045</v>
      </c>
      <c r="I443" s="30">
        <v>46023.0</v>
      </c>
      <c r="J443" s="30">
        <v>46387.0</v>
      </c>
      <c r="K443" s="31">
        <v>0.0</v>
      </c>
      <c r="L443" s="31">
        <v>1.0</v>
      </c>
      <c r="M443" s="35" t="s">
        <v>7045</v>
      </c>
      <c r="N443" s="30">
        <v>46388.0</v>
      </c>
      <c r="O443" s="30">
        <v>46752.0</v>
      </c>
      <c r="P443" s="31">
        <v>0.0</v>
      </c>
      <c r="Q443" s="31">
        <v>1.0</v>
      </c>
      <c r="R443" s="35" t="s">
        <v>7045</v>
      </c>
      <c r="S443" s="30">
        <v>46753.0</v>
      </c>
      <c r="T443" s="30">
        <v>47118.0</v>
      </c>
      <c r="U443" s="31">
        <v>0.0</v>
      </c>
      <c r="V443" s="31">
        <v>1.0</v>
      </c>
      <c r="W443" s="35" t="s">
        <v>7045</v>
      </c>
      <c r="X443" s="30">
        <v>47119.0</v>
      </c>
      <c r="Y443" s="30">
        <v>47483.0</v>
      </c>
      <c r="Z443" s="31">
        <v>0.0</v>
      </c>
      <c r="AA443" s="31">
        <v>1.0</v>
      </c>
      <c r="AB443" s="35" t="s">
        <v>7045</v>
      </c>
      <c r="AC443" s="30">
        <v>47484.0</v>
      </c>
      <c r="AD443" s="30">
        <v>47848.0</v>
      </c>
      <c r="AE443" s="31">
        <v>0.0</v>
      </c>
      <c r="AF443" s="31">
        <v>1.0</v>
      </c>
      <c r="AG443" s="35" t="s">
        <v>7045</v>
      </c>
    </row>
    <row r="444" ht="14.25" customHeight="1">
      <c r="A444" s="28" t="s">
        <v>1113</v>
      </c>
      <c r="B444" s="29" t="s">
        <v>1114</v>
      </c>
      <c r="C444" s="29" t="s">
        <v>7041</v>
      </c>
      <c r="D444" s="30">
        <v>45658.0</v>
      </c>
      <c r="E444" s="30">
        <v>46022.0</v>
      </c>
      <c r="F444" s="31">
        <v>0.0</v>
      </c>
      <c r="G444" s="31">
        <v>1.0</v>
      </c>
      <c r="H444" s="35" t="s">
        <v>7045</v>
      </c>
      <c r="I444" s="30">
        <v>46023.0</v>
      </c>
      <c r="J444" s="30">
        <v>46387.0</v>
      </c>
      <c r="K444" s="31">
        <v>0.0</v>
      </c>
      <c r="L444" s="31">
        <v>1.0</v>
      </c>
      <c r="M444" s="35" t="s">
        <v>7045</v>
      </c>
      <c r="N444" s="30">
        <v>46388.0</v>
      </c>
      <c r="O444" s="30">
        <v>46752.0</v>
      </c>
      <c r="P444" s="31">
        <v>0.0</v>
      </c>
      <c r="Q444" s="31">
        <v>1.0</v>
      </c>
      <c r="R444" s="35" t="s">
        <v>7045</v>
      </c>
      <c r="S444" s="30">
        <v>46753.0</v>
      </c>
      <c r="T444" s="30">
        <v>47118.0</v>
      </c>
      <c r="U444" s="31">
        <v>0.0</v>
      </c>
      <c r="V444" s="31">
        <v>1.0</v>
      </c>
      <c r="W444" s="35" t="s">
        <v>7045</v>
      </c>
      <c r="X444" s="30">
        <v>47119.0</v>
      </c>
      <c r="Y444" s="30">
        <v>47483.0</v>
      </c>
      <c r="Z444" s="31">
        <v>0.0</v>
      </c>
      <c r="AA444" s="31">
        <v>1.0</v>
      </c>
      <c r="AB444" s="35" t="s">
        <v>7045</v>
      </c>
      <c r="AC444" s="30">
        <v>47484.0</v>
      </c>
      <c r="AD444" s="30">
        <v>47848.0</v>
      </c>
      <c r="AE444" s="31">
        <v>0.0</v>
      </c>
      <c r="AF444" s="31">
        <v>1.0</v>
      </c>
      <c r="AG444" s="35" t="s">
        <v>7045</v>
      </c>
    </row>
    <row r="445" ht="14.25" customHeight="1">
      <c r="A445" s="28" t="s">
        <v>1308</v>
      </c>
      <c r="B445" s="29" t="s">
        <v>1309</v>
      </c>
      <c r="C445" s="29" t="s">
        <v>7041</v>
      </c>
      <c r="D445" s="30">
        <v>45658.0</v>
      </c>
      <c r="E445" s="30">
        <v>46022.0</v>
      </c>
      <c r="F445" s="31">
        <v>0.0</v>
      </c>
      <c r="G445" s="31">
        <v>1.0</v>
      </c>
      <c r="H445" s="35" t="s">
        <v>7045</v>
      </c>
      <c r="I445" s="30">
        <v>46023.0</v>
      </c>
      <c r="J445" s="30">
        <v>46387.0</v>
      </c>
      <c r="K445" s="31">
        <v>0.0</v>
      </c>
      <c r="L445" s="31">
        <v>1.0</v>
      </c>
      <c r="M445" s="35" t="s">
        <v>7045</v>
      </c>
      <c r="N445" s="30">
        <v>46388.0</v>
      </c>
      <c r="O445" s="30">
        <v>46752.0</v>
      </c>
      <c r="P445" s="31">
        <v>0.0</v>
      </c>
      <c r="Q445" s="31">
        <v>1.0</v>
      </c>
      <c r="R445" s="35" t="s">
        <v>7045</v>
      </c>
      <c r="S445" s="30">
        <v>46753.0</v>
      </c>
      <c r="T445" s="30">
        <v>47118.0</v>
      </c>
      <c r="U445" s="31">
        <v>0.0</v>
      </c>
      <c r="V445" s="31">
        <v>1.0</v>
      </c>
      <c r="W445" s="35" t="s">
        <v>7045</v>
      </c>
      <c r="X445" s="30">
        <v>47119.0</v>
      </c>
      <c r="Y445" s="30">
        <v>47483.0</v>
      </c>
      <c r="Z445" s="31">
        <v>0.0</v>
      </c>
      <c r="AA445" s="31">
        <v>1.0</v>
      </c>
      <c r="AB445" s="35" t="s">
        <v>7045</v>
      </c>
      <c r="AC445" s="30">
        <v>47484.0</v>
      </c>
      <c r="AD445" s="30">
        <v>47848.0</v>
      </c>
      <c r="AE445" s="31">
        <v>0.0</v>
      </c>
      <c r="AF445" s="31">
        <v>1.0</v>
      </c>
      <c r="AG445" s="35" t="s">
        <v>7045</v>
      </c>
    </row>
    <row r="446" ht="14.25" customHeight="1">
      <c r="A446" s="28" t="s">
        <v>222</v>
      </c>
      <c r="B446" s="29" t="s">
        <v>223</v>
      </c>
      <c r="C446" s="29" t="s">
        <v>7041</v>
      </c>
      <c r="D446" s="30">
        <v>45658.0</v>
      </c>
      <c r="E446" s="30">
        <v>46022.0</v>
      </c>
      <c r="F446" s="31">
        <v>0.0</v>
      </c>
      <c r="G446" s="31">
        <v>1.0</v>
      </c>
      <c r="H446" s="35" t="s">
        <v>7045</v>
      </c>
      <c r="I446" s="30">
        <v>46023.0</v>
      </c>
      <c r="J446" s="30">
        <v>46387.0</v>
      </c>
      <c r="K446" s="31">
        <v>0.0</v>
      </c>
      <c r="L446" s="31">
        <v>1.0</v>
      </c>
      <c r="M446" s="35" t="s">
        <v>7045</v>
      </c>
      <c r="N446" s="30">
        <v>46388.0</v>
      </c>
      <c r="O446" s="30">
        <v>46752.0</v>
      </c>
      <c r="P446" s="31">
        <v>0.0</v>
      </c>
      <c r="Q446" s="31">
        <v>1.0</v>
      </c>
      <c r="R446" s="35" t="s">
        <v>7045</v>
      </c>
      <c r="S446" s="30">
        <v>46753.0</v>
      </c>
      <c r="T446" s="30">
        <v>47118.0</v>
      </c>
      <c r="U446" s="31">
        <v>0.0</v>
      </c>
      <c r="V446" s="31">
        <v>1.0</v>
      </c>
      <c r="W446" s="35" t="s">
        <v>7045</v>
      </c>
      <c r="X446" s="30">
        <v>47119.0</v>
      </c>
      <c r="Y446" s="30">
        <v>47483.0</v>
      </c>
      <c r="Z446" s="31">
        <v>0.0</v>
      </c>
      <c r="AA446" s="31">
        <v>1.0</v>
      </c>
      <c r="AB446" s="35" t="s">
        <v>7045</v>
      </c>
      <c r="AC446" s="30">
        <v>47484.0</v>
      </c>
      <c r="AD446" s="30">
        <v>47848.0</v>
      </c>
      <c r="AE446" s="31">
        <v>0.0</v>
      </c>
      <c r="AF446" s="31">
        <v>1.0</v>
      </c>
      <c r="AG446" s="35" t="s">
        <v>7045</v>
      </c>
    </row>
    <row r="447" ht="14.25" customHeight="1">
      <c r="A447" s="28" t="s">
        <v>4156</v>
      </c>
      <c r="B447" s="29" t="s">
        <v>4157</v>
      </c>
      <c r="C447" s="29" t="s">
        <v>7041</v>
      </c>
      <c r="D447" s="30">
        <v>45658.0</v>
      </c>
      <c r="E447" s="30">
        <v>46022.0</v>
      </c>
      <c r="F447" s="31">
        <v>0.0</v>
      </c>
      <c r="G447" s="31">
        <v>1.0</v>
      </c>
      <c r="H447" s="35" t="s">
        <v>7045</v>
      </c>
      <c r="I447" s="30">
        <v>46023.0</v>
      </c>
      <c r="J447" s="30">
        <v>46387.0</v>
      </c>
      <c r="K447" s="31">
        <v>0.0</v>
      </c>
      <c r="L447" s="31">
        <v>1.0</v>
      </c>
      <c r="M447" s="35" t="s">
        <v>7045</v>
      </c>
      <c r="N447" s="30">
        <v>46388.0</v>
      </c>
      <c r="O447" s="30">
        <v>46752.0</v>
      </c>
      <c r="P447" s="31">
        <v>0.0</v>
      </c>
      <c r="Q447" s="31">
        <v>1.0</v>
      </c>
      <c r="R447" s="35" t="s">
        <v>7045</v>
      </c>
      <c r="S447" s="30">
        <v>46753.0</v>
      </c>
      <c r="T447" s="30">
        <v>47118.0</v>
      </c>
      <c r="U447" s="31">
        <v>0.0</v>
      </c>
      <c r="V447" s="31">
        <v>1.0</v>
      </c>
      <c r="W447" s="35" t="s">
        <v>7045</v>
      </c>
      <c r="X447" s="30">
        <v>47119.0</v>
      </c>
      <c r="Y447" s="30">
        <v>47483.0</v>
      </c>
      <c r="Z447" s="31">
        <v>0.0</v>
      </c>
      <c r="AA447" s="31">
        <v>1.0</v>
      </c>
      <c r="AB447" s="35" t="s">
        <v>7045</v>
      </c>
      <c r="AC447" s="30">
        <v>47484.0</v>
      </c>
      <c r="AD447" s="30">
        <v>47848.0</v>
      </c>
      <c r="AE447" s="31">
        <v>0.0</v>
      </c>
      <c r="AF447" s="31">
        <v>1.0</v>
      </c>
      <c r="AG447" s="35" t="s">
        <v>7045</v>
      </c>
    </row>
    <row r="448" ht="14.25" customHeight="1">
      <c r="A448" s="28" t="s">
        <v>3844</v>
      </c>
      <c r="B448" s="29" t="s">
        <v>3845</v>
      </c>
      <c r="C448" s="29" t="s">
        <v>7041</v>
      </c>
      <c r="D448" s="30">
        <v>45658.0</v>
      </c>
      <c r="E448" s="30">
        <v>46022.0</v>
      </c>
      <c r="F448" s="31">
        <v>0.0</v>
      </c>
      <c r="G448" s="31">
        <v>1.0</v>
      </c>
      <c r="H448" s="35" t="s">
        <v>7045</v>
      </c>
      <c r="I448" s="30">
        <v>46023.0</v>
      </c>
      <c r="J448" s="30">
        <v>46387.0</v>
      </c>
      <c r="K448" s="31">
        <v>0.0</v>
      </c>
      <c r="L448" s="31">
        <v>1.0</v>
      </c>
      <c r="M448" s="35" t="s">
        <v>7045</v>
      </c>
      <c r="N448" s="30">
        <v>46388.0</v>
      </c>
      <c r="O448" s="30">
        <v>46752.0</v>
      </c>
      <c r="P448" s="31">
        <v>0.0</v>
      </c>
      <c r="Q448" s="31">
        <v>1.0</v>
      </c>
      <c r="R448" s="35" t="s">
        <v>7045</v>
      </c>
      <c r="S448" s="30">
        <v>46753.0</v>
      </c>
      <c r="T448" s="30">
        <v>47118.0</v>
      </c>
      <c r="U448" s="31">
        <v>0.0</v>
      </c>
      <c r="V448" s="31">
        <v>1.0</v>
      </c>
      <c r="W448" s="35" t="s">
        <v>7045</v>
      </c>
      <c r="X448" s="30">
        <v>47119.0</v>
      </c>
      <c r="Y448" s="30">
        <v>47483.0</v>
      </c>
      <c r="Z448" s="31">
        <v>0.0</v>
      </c>
      <c r="AA448" s="31">
        <v>1.0</v>
      </c>
      <c r="AB448" s="35" t="s">
        <v>7045</v>
      </c>
      <c r="AC448" s="30">
        <v>47484.0</v>
      </c>
      <c r="AD448" s="30">
        <v>47848.0</v>
      </c>
      <c r="AE448" s="31">
        <v>0.0</v>
      </c>
      <c r="AF448" s="31">
        <v>1.0</v>
      </c>
      <c r="AG448" s="35" t="s">
        <v>7045</v>
      </c>
    </row>
    <row r="449" ht="14.25" customHeight="1">
      <c r="A449" s="28" t="s">
        <v>6022</v>
      </c>
      <c r="B449" s="29" t="s">
        <v>6023</v>
      </c>
      <c r="C449" s="29" t="s">
        <v>7044</v>
      </c>
      <c r="D449" s="30">
        <v>45658.0</v>
      </c>
      <c r="E449" s="30">
        <v>46022.0</v>
      </c>
      <c r="F449" s="31">
        <v>0.0</v>
      </c>
      <c r="G449" s="31">
        <v>1.0</v>
      </c>
      <c r="H449" s="35" t="s">
        <v>7045</v>
      </c>
      <c r="I449" s="30">
        <v>46023.0</v>
      </c>
      <c r="J449" s="30">
        <v>46387.0</v>
      </c>
      <c r="K449" s="31">
        <v>0.0</v>
      </c>
      <c r="L449" s="31">
        <v>1.0</v>
      </c>
      <c r="M449" s="35" t="s">
        <v>7045</v>
      </c>
      <c r="N449" s="30">
        <v>46388.0</v>
      </c>
      <c r="O449" s="30">
        <v>46752.0</v>
      </c>
      <c r="P449" s="31">
        <v>0.0</v>
      </c>
      <c r="Q449" s="31">
        <v>1.0</v>
      </c>
      <c r="R449" s="35" t="s">
        <v>7045</v>
      </c>
      <c r="S449" s="30">
        <v>46753.0</v>
      </c>
      <c r="T449" s="30">
        <v>47118.0</v>
      </c>
      <c r="U449" s="31">
        <v>0.0</v>
      </c>
      <c r="V449" s="31">
        <v>1.0</v>
      </c>
      <c r="W449" s="35" t="s">
        <v>7045</v>
      </c>
      <c r="X449" s="30">
        <v>47119.0</v>
      </c>
      <c r="Y449" s="30">
        <v>47483.0</v>
      </c>
      <c r="Z449" s="31">
        <v>0.0</v>
      </c>
      <c r="AA449" s="31">
        <v>1.0</v>
      </c>
      <c r="AB449" s="35" t="s">
        <v>7045</v>
      </c>
      <c r="AC449" s="30">
        <v>47484.0</v>
      </c>
      <c r="AD449" s="30">
        <v>47848.0</v>
      </c>
      <c r="AE449" s="31">
        <v>0.0</v>
      </c>
      <c r="AF449" s="31">
        <v>1.0</v>
      </c>
      <c r="AG449" s="35" t="s">
        <v>7045</v>
      </c>
    </row>
    <row r="450" ht="14.25" customHeight="1">
      <c r="A450" s="28" t="s">
        <v>6960</v>
      </c>
      <c r="B450" s="29" t="s">
        <v>6961</v>
      </c>
      <c r="C450" s="29" t="s">
        <v>7041</v>
      </c>
      <c r="D450" s="30">
        <v>45658.0</v>
      </c>
      <c r="E450" s="30">
        <v>46022.0</v>
      </c>
      <c r="F450" s="31">
        <v>0.0</v>
      </c>
      <c r="G450" s="31">
        <v>1.0</v>
      </c>
      <c r="H450" s="35" t="s">
        <v>7045</v>
      </c>
      <c r="I450" s="30">
        <v>46023.0</v>
      </c>
      <c r="J450" s="30">
        <v>46387.0</v>
      </c>
      <c r="K450" s="31">
        <v>0.0</v>
      </c>
      <c r="L450" s="31">
        <v>1.0</v>
      </c>
      <c r="M450" s="35" t="s">
        <v>7045</v>
      </c>
      <c r="N450" s="30">
        <v>46388.0</v>
      </c>
      <c r="O450" s="30">
        <v>46752.0</v>
      </c>
      <c r="P450" s="31">
        <v>0.0</v>
      </c>
      <c r="Q450" s="31">
        <v>1.0</v>
      </c>
      <c r="R450" s="35" t="s">
        <v>7045</v>
      </c>
      <c r="S450" s="30">
        <v>46753.0</v>
      </c>
      <c r="T450" s="30">
        <v>47118.0</v>
      </c>
      <c r="U450" s="31">
        <v>0.0</v>
      </c>
      <c r="V450" s="31">
        <v>1.0</v>
      </c>
      <c r="W450" s="35" t="s">
        <v>7045</v>
      </c>
      <c r="X450" s="30">
        <v>47119.0</v>
      </c>
      <c r="Y450" s="30">
        <v>47483.0</v>
      </c>
      <c r="Z450" s="31">
        <v>0.0</v>
      </c>
      <c r="AA450" s="31">
        <v>1.0</v>
      </c>
      <c r="AB450" s="35" t="s">
        <v>7045</v>
      </c>
      <c r="AC450" s="30">
        <v>47484.0</v>
      </c>
      <c r="AD450" s="30">
        <v>47848.0</v>
      </c>
      <c r="AE450" s="31">
        <v>0.0</v>
      </c>
      <c r="AF450" s="31">
        <v>1.0</v>
      </c>
      <c r="AG450" s="35" t="s">
        <v>7045</v>
      </c>
    </row>
    <row r="451" ht="14.25" customHeight="1">
      <c r="A451" s="28" t="s">
        <v>955</v>
      </c>
      <c r="B451" s="29" t="s">
        <v>956</v>
      </c>
      <c r="C451" s="29" t="s">
        <v>7041</v>
      </c>
      <c r="D451" s="30">
        <v>45658.0</v>
      </c>
      <c r="E451" s="30">
        <v>46022.0</v>
      </c>
      <c r="F451" s="31">
        <v>0.0</v>
      </c>
      <c r="G451" s="31">
        <v>1.0</v>
      </c>
      <c r="H451" s="35" t="s">
        <v>7045</v>
      </c>
      <c r="I451" s="30">
        <v>46023.0</v>
      </c>
      <c r="J451" s="30">
        <v>46387.0</v>
      </c>
      <c r="K451" s="31">
        <v>0.0</v>
      </c>
      <c r="L451" s="31">
        <v>1.0</v>
      </c>
      <c r="M451" s="35" t="s">
        <v>7045</v>
      </c>
      <c r="N451" s="30">
        <v>46388.0</v>
      </c>
      <c r="O451" s="30">
        <v>46752.0</v>
      </c>
      <c r="P451" s="31">
        <v>0.0</v>
      </c>
      <c r="Q451" s="31">
        <v>1.0</v>
      </c>
      <c r="R451" s="35" t="s">
        <v>7045</v>
      </c>
      <c r="S451" s="30">
        <v>46753.0</v>
      </c>
      <c r="T451" s="30">
        <v>47118.0</v>
      </c>
      <c r="U451" s="31">
        <v>0.0</v>
      </c>
      <c r="V451" s="31">
        <v>1.0</v>
      </c>
      <c r="W451" s="35" t="s">
        <v>7045</v>
      </c>
      <c r="X451" s="30">
        <v>47119.0</v>
      </c>
      <c r="Y451" s="30">
        <v>47483.0</v>
      </c>
      <c r="Z451" s="31">
        <v>0.0</v>
      </c>
      <c r="AA451" s="31">
        <v>1.0</v>
      </c>
      <c r="AB451" s="35" t="s">
        <v>7045</v>
      </c>
      <c r="AC451" s="30">
        <v>47484.0</v>
      </c>
      <c r="AD451" s="30">
        <v>47848.0</v>
      </c>
      <c r="AE451" s="31">
        <v>0.0</v>
      </c>
      <c r="AF451" s="31">
        <v>1.0</v>
      </c>
      <c r="AG451" s="35" t="s">
        <v>7045</v>
      </c>
    </row>
    <row r="452" ht="14.25" customHeight="1">
      <c r="A452" s="28" t="s">
        <v>5488</v>
      </c>
      <c r="B452" s="29" t="s">
        <v>5489</v>
      </c>
      <c r="C452" s="29" t="s">
        <v>7044</v>
      </c>
      <c r="D452" s="30">
        <v>45658.0</v>
      </c>
      <c r="E452" s="30">
        <v>46022.0</v>
      </c>
      <c r="F452" s="31">
        <v>0.0</v>
      </c>
      <c r="G452" s="31">
        <v>1.0</v>
      </c>
      <c r="H452" s="35" t="s">
        <v>7045</v>
      </c>
      <c r="I452" s="30">
        <v>46023.0</v>
      </c>
      <c r="J452" s="30">
        <v>46387.0</v>
      </c>
      <c r="K452" s="31">
        <v>0.0</v>
      </c>
      <c r="L452" s="31">
        <v>1.0</v>
      </c>
      <c r="M452" s="35" t="s">
        <v>7045</v>
      </c>
      <c r="N452" s="30">
        <v>46388.0</v>
      </c>
      <c r="O452" s="30">
        <v>46752.0</v>
      </c>
      <c r="P452" s="31">
        <v>0.0</v>
      </c>
      <c r="Q452" s="31">
        <v>1.0</v>
      </c>
      <c r="R452" s="35" t="s">
        <v>7045</v>
      </c>
      <c r="S452" s="30">
        <v>46753.0</v>
      </c>
      <c r="T452" s="30">
        <v>47118.0</v>
      </c>
      <c r="U452" s="31">
        <v>0.0</v>
      </c>
      <c r="V452" s="31">
        <v>1.0</v>
      </c>
      <c r="W452" s="35" t="s">
        <v>7045</v>
      </c>
      <c r="X452" s="30">
        <v>47119.0</v>
      </c>
      <c r="Y452" s="30">
        <v>47483.0</v>
      </c>
      <c r="Z452" s="31">
        <v>0.0</v>
      </c>
      <c r="AA452" s="31">
        <v>1.0</v>
      </c>
      <c r="AB452" s="35" t="s">
        <v>7045</v>
      </c>
      <c r="AC452" s="30">
        <v>47484.0</v>
      </c>
      <c r="AD452" s="30">
        <v>47848.0</v>
      </c>
      <c r="AE452" s="31">
        <v>0.0</v>
      </c>
      <c r="AF452" s="31">
        <v>1.0</v>
      </c>
      <c r="AG452" s="35" t="s">
        <v>7045</v>
      </c>
    </row>
    <row r="453" ht="14.25" customHeight="1">
      <c r="A453" s="28" t="s">
        <v>3816</v>
      </c>
      <c r="B453" s="29" t="s">
        <v>3817</v>
      </c>
      <c r="C453" s="29" t="s">
        <v>7041</v>
      </c>
      <c r="D453" s="30">
        <v>45658.0</v>
      </c>
      <c r="E453" s="30">
        <v>46022.0</v>
      </c>
      <c r="F453" s="31">
        <v>0.0</v>
      </c>
      <c r="G453" s="31">
        <v>1.0</v>
      </c>
      <c r="H453" s="35" t="s">
        <v>7045</v>
      </c>
      <c r="I453" s="30">
        <v>46023.0</v>
      </c>
      <c r="J453" s="30">
        <v>46387.0</v>
      </c>
      <c r="K453" s="31">
        <v>0.0</v>
      </c>
      <c r="L453" s="31">
        <v>1.0</v>
      </c>
      <c r="M453" s="35" t="s">
        <v>7045</v>
      </c>
      <c r="N453" s="30">
        <v>46388.0</v>
      </c>
      <c r="O453" s="30">
        <v>46752.0</v>
      </c>
      <c r="P453" s="31">
        <v>0.0</v>
      </c>
      <c r="Q453" s="31">
        <v>1.0</v>
      </c>
      <c r="R453" s="35" t="s">
        <v>7045</v>
      </c>
      <c r="S453" s="30">
        <v>46753.0</v>
      </c>
      <c r="T453" s="30">
        <v>47118.0</v>
      </c>
      <c r="U453" s="31">
        <v>0.0</v>
      </c>
      <c r="V453" s="31">
        <v>1.0</v>
      </c>
      <c r="W453" s="35" t="s">
        <v>7045</v>
      </c>
      <c r="X453" s="30">
        <v>47119.0</v>
      </c>
      <c r="Y453" s="30">
        <v>47483.0</v>
      </c>
      <c r="Z453" s="31">
        <v>0.0</v>
      </c>
      <c r="AA453" s="31">
        <v>1.0</v>
      </c>
      <c r="AB453" s="35" t="s">
        <v>7045</v>
      </c>
      <c r="AC453" s="30">
        <v>47484.0</v>
      </c>
      <c r="AD453" s="30">
        <v>47848.0</v>
      </c>
      <c r="AE453" s="31">
        <v>0.0</v>
      </c>
      <c r="AF453" s="31">
        <v>1.0</v>
      </c>
      <c r="AG453" s="35" t="s">
        <v>7045</v>
      </c>
    </row>
    <row r="454" ht="14.25" customHeight="1">
      <c r="A454" s="28" t="s">
        <v>1595</v>
      </c>
      <c r="B454" s="29" t="s">
        <v>1596</v>
      </c>
      <c r="C454" s="29" t="s">
        <v>7041</v>
      </c>
      <c r="D454" s="30">
        <v>45658.0</v>
      </c>
      <c r="E454" s="30">
        <v>46022.0</v>
      </c>
      <c r="F454" s="31">
        <v>0.0</v>
      </c>
      <c r="G454" s="31">
        <v>1.0</v>
      </c>
      <c r="H454" s="35" t="s">
        <v>7045</v>
      </c>
      <c r="I454" s="30">
        <v>46023.0</v>
      </c>
      <c r="J454" s="30">
        <v>46387.0</v>
      </c>
      <c r="K454" s="31">
        <v>0.0</v>
      </c>
      <c r="L454" s="31">
        <v>1.0</v>
      </c>
      <c r="M454" s="35" t="s">
        <v>7045</v>
      </c>
      <c r="N454" s="30">
        <v>46388.0</v>
      </c>
      <c r="O454" s="30">
        <v>46752.0</v>
      </c>
      <c r="P454" s="31">
        <v>0.0</v>
      </c>
      <c r="Q454" s="31">
        <v>1.0</v>
      </c>
      <c r="R454" s="35" t="s">
        <v>7045</v>
      </c>
      <c r="S454" s="30">
        <v>46753.0</v>
      </c>
      <c r="T454" s="30">
        <v>47118.0</v>
      </c>
      <c r="U454" s="31">
        <v>0.0</v>
      </c>
      <c r="V454" s="31">
        <v>1.0</v>
      </c>
      <c r="W454" s="35" t="s">
        <v>7045</v>
      </c>
      <c r="X454" s="30">
        <v>47119.0</v>
      </c>
      <c r="Y454" s="30">
        <v>47483.0</v>
      </c>
      <c r="Z454" s="31">
        <v>0.0</v>
      </c>
      <c r="AA454" s="31">
        <v>1.0</v>
      </c>
      <c r="AB454" s="35" t="s">
        <v>7045</v>
      </c>
      <c r="AC454" s="30">
        <v>47484.0</v>
      </c>
      <c r="AD454" s="30">
        <v>47848.0</v>
      </c>
      <c r="AE454" s="31">
        <v>0.0</v>
      </c>
      <c r="AF454" s="31">
        <v>1.0</v>
      </c>
      <c r="AG454" s="35" t="s">
        <v>7045</v>
      </c>
    </row>
    <row r="455" ht="14.25" customHeight="1">
      <c r="A455" s="28" t="s">
        <v>2611</v>
      </c>
      <c r="B455" s="29" t="s">
        <v>2612</v>
      </c>
      <c r="C455" s="29" t="s">
        <v>7044</v>
      </c>
      <c r="D455" s="30">
        <v>45658.0</v>
      </c>
      <c r="E455" s="30">
        <v>46022.0</v>
      </c>
      <c r="F455" s="31">
        <v>0.0</v>
      </c>
      <c r="G455" s="31">
        <v>1.0</v>
      </c>
      <c r="H455" s="32" t="s">
        <v>7043</v>
      </c>
      <c r="I455" s="30">
        <v>46023.0</v>
      </c>
      <c r="J455" s="30">
        <v>46387.0</v>
      </c>
      <c r="K455" s="31">
        <v>0.0</v>
      </c>
      <c r="L455" s="31">
        <v>1.0</v>
      </c>
      <c r="M455" s="35" t="s">
        <v>7045</v>
      </c>
      <c r="N455" s="30">
        <v>46388.0</v>
      </c>
      <c r="O455" s="30">
        <v>46752.0</v>
      </c>
      <c r="P455" s="31">
        <v>0.0</v>
      </c>
      <c r="Q455" s="31">
        <v>1.0</v>
      </c>
      <c r="R455" s="35" t="s">
        <v>7045</v>
      </c>
      <c r="S455" s="30">
        <v>46753.0</v>
      </c>
      <c r="T455" s="30">
        <v>47118.0</v>
      </c>
      <c r="U455" s="31">
        <v>0.0</v>
      </c>
      <c r="V455" s="31">
        <v>1.0</v>
      </c>
      <c r="W455" s="35" t="s">
        <v>7045</v>
      </c>
      <c r="X455" s="30">
        <v>47119.0</v>
      </c>
      <c r="Y455" s="30">
        <v>47483.0</v>
      </c>
      <c r="Z455" s="31">
        <v>0.0</v>
      </c>
      <c r="AA455" s="31">
        <v>1.0</v>
      </c>
      <c r="AB455" s="35" t="s">
        <v>7045</v>
      </c>
      <c r="AC455" s="30">
        <v>47484.0</v>
      </c>
      <c r="AD455" s="30">
        <v>47848.0</v>
      </c>
      <c r="AE455" s="31">
        <v>0.0</v>
      </c>
      <c r="AF455" s="31">
        <v>1.0</v>
      </c>
      <c r="AG455" s="35" t="s">
        <v>7045</v>
      </c>
    </row>
    <row r="456" ht="14.25" customHeight="1">
      <c r="A456" s="28" t="s">
        <v>854</v>
      </c>
      <c r="B456" s="29" t="s">
        <v>855</v>
      </c>
      <c r="C456" s="29" t="s">
        <v>7044</v>
      </c>
      <c r="D456" s="30">
        <v>45658.0</v>
      </c>
      <c r="E456" s="30">
        <v>46022.0</v>
      </c>
      <c r="F456" s="31">
        <v>0.0</v>
      </c>
      <c r="G456" s="31">
        <v>1.0</v>
      </c>
      <c r="H456" s="35" t="s">
        <v>7045</v>
      </c>
      <c r="I456" s="30">
        <v>46023.0</v>
      </c>
      <c r="J456" s="30">
        <v>46387.0</v>
      </c>
      <c r="K456" s="31">
        <v>0.0</v>
      </c>
      <c r="L456" s="31">
        <v>1.0</v>
      </c>
      <c r="M456" s="35" t="s">
        <v>7045</v>
      </c>
      <c r="N456" s="30">
        <v>46388.0</v>
      </c>
      <c r="O456" s="30">
        <v>46752.0</v>
      </c>
      <c r="P456" s="31">
        <v>0.0</v>
      </c>
      <c r="Q456" s="31">
        <v>1.0</v>
      </c>
      <c r="R456" s="35" t="s">
        <v>7045</v>
      </c>
      <c r="S456" s="30">
        <v>46753.0</v>
      </c>
      <c r="T456" s="30">
        <v>47118.0</v>
      </c>
      <c r="U456" s="31">
        <v>0.0</v>
      </c>
      <c r="V456" s="31">
        <v>1.0</v>
      </c>
      <c r="W456" s="35" t="s">
        <v>7045</v>
      </c>
      <c r="X456" s="30">
        <v>47119.0</v>
      </c>
      <c r="Y456" s="30">
        <v>47483.0</v>
      </c>
      <c r="Z456" s="31">
        <v>0.0</v>
      </c>
      <c r="AA456" s="31">
        <v>1.0</v>
      </c>
      <c r="AB456" s="35" t="s">
        <v>7045</v>
      </c>
      <c r="AC456" s="30">
        <v>47484.0</v>
      </c>
      <c r="AD456" s="30">
        <v>47848.0</v>
      </c>
      <c r="AE456" s="31">
        <v>0.0</v>
      </c>
      <c r="AF456" s="31">
        <v>1.0</v>
      </c>
      <c r="AG456" s="35" t="s">
        <v>7045</v>
      </c>
    </row>
    <row r="457" ht="14.25" customHeight="1">
      <c r="A457" s="28" t="s">
        <v>5469</v>
      </c>
      <c r="B457" s="29" t="s">
        <v>5470</v>
      </c>
      <c r="C457" s="29" t="s">
        <v>7041</v>
      </c>
      <c r="D457" s="30">
        <v>45658.0</v>
      </c>
      <c r="E457" s="30">
        <v>46022.0</v>
      </c>
      <c r="F457" s="31">
        <v>0.0</v>
      </c>
      <c r="G457" s="31">
        <v>1.0</v>
      </c>
      <c r="H457" s="35" t="s">
        <v>7045</v>
      </c>
      <c r="I457" s="30">
        <v>46023.0</v>
      </c>
      <c r="J457" s="30">
        <v>46387.0</v>
      </c>
      <c r="K457" s="31">
        <v>0.0</v>
      </c>
      <c r="L457" s="31">
        <v>1.0</v>
      </c>
      <c r="M457" s="35" t="s">
        <v>7045</v>
      </c>
      <c r="N457" s="30">
        <v>46388.0</v>
      </c>
      <c r="O457" s="30">
        <v>46752.0</v>
      </c>
      <c r="P457" s="31">
        <v>0.0</v>
      </c>
      <c r="Q457" s="31">
        <v>1.0</v>
      </c>
      <c r="R457" s="35" t="s">
        <v>7045</v>
      </c>
      <c r="S457" s="30">
        <v>46753.0</v>
      </c>
      <c r="T457" s="30">
        <v>47118.0</v>
      </c>
      <c r="U457" s="31">
        <v>0.0</v>
      </c>
      <c r="V457" s="31">
        <v>1.0</v>
      </c>
      <c r="W457" s="35" t="s">
        <v>7045</v>
      </c>
      <c r="X457" s="30">
        <v>47119.0</v>
      </c>
      <c r="Y457" s="30">
        <v>47483.0</v>
      </c>
      <c r="Z457" s="31">
        <v>0.0</v>
      </c>
      <c r="AA457" s="31">
        <v>1.0</v>
      </c>
      <c r="AB457" s="35" t="s">
        <v>7045</v>
      </c>
      <c r="AC457" s="30">
        <v>47484.0</v>
      </c>
      <c r="AD457" s="30">
        <v>47848.0</v>
      </c>
      <c r="AE457" s="31">
        <v>0.0</v>
      </c>
      <c r="AF457" s="31">
        <v>1.0</v>
      </c>
      <c r="AG457" s="35" t="s">
        <v>7045</v>
      </c>
    </row>
    <row r="458" ht="14.25" customHeight="1">
      <c r="A458" s="28" t="s">
        <v>5562</v>
      </c>
      <c r="B458" s="29" t="s">
        <v>5563</v>
      </c>
      <c r="C458" s="29" t="s">
        <v>7041</v>
      </c>
      <c r="D458" s="30">
        <v>45658.0</v>
      </c>
      <c r="E458" s="30">
        <v>46022.0</v>
      </c>
      <c r="F458" s="31">
        <v>0.0</v>
      </c>
      <c r="G458" s="31">
        <v>1.0</v>
      </c>
      <c r="H458" s="35" t="s">
        <v>7045</v>
      </c>
      <c r="I458" s="30">
        <v>46023.0</v>
      </c>
      <c r="J458" s="30">
        <v>46387.0</v>
      </c>
      <c r="K458" s="31">
        <v>0.0</v>
      </c>
      <c r="L458" s="31">
        <v>1.0</v>
      </c>
      <c r="M458" s="35" t="s">
        <v>7045</v>
      </c>
      <c r="N458" s="30">
        <v>46388.0</v>
      </c>
      <c r="O458" s="30">
        <v>46752.0</v>
      </c>
      <c r="P458" s="31">
        <v>0.0</v>
      </c>
      <c r="Q458" s="31">
        <v>1.0</v>
      </c>
      <c r="R458" s="35" t="s">
        <v>7045</v>
      </c>
      <c r="S458" s="30">
        <v>46753.0</v>
      </c>
      <c r="T458" s="30">
        <v>47118.0</v>
      </c>
      <c r="U458" s="31">
        <v>0.0</v>
      </c>
      <c r="V458" s="31">
        <v>1.0</v>
      </c>
      <c r="W458" s="35" t="s">
        <v>7045</v>
      </c>
      <c r="X458" s="30">
        <v>47119.0</v>
      </c>
      <c r="Y458" s="30">
        <v>47483.0</v>
      </c>
      <c r="Z458" s="31">
        <v>0.0</v>
      </c>
      <c r="AA458" s="31">
        <v>1.0</v>
      </c>
      <c r="AB458" s="35" t="s">
        <v>7045</v>
      </c>
      <c r="AC458" s="30">
        <v>47484.0</v>
      </c>
      <c r="AD458" s="30">
        <v>47848.0</v>
      </c>
      <c r="AE458" s="31">
        <v>0.0</v>
      </c>
      <c r="AF458" s="31">
        <v>1.0</v>
      </c>
      <c r="AG458" s="35" t="s">
        <v>7045</v>
      </c>
    </row>
    <row r="459" ht="14.25" customHeight="1">
      <c r="A459" s="28" t="s">
        <v>6137</v>
      </c>
      <c r="B459" s="29" t="s">
        <v>6138</v>
      </c>
      <c r="C459" s="29" t="s">
        <v>7041</v>
      </c>
      <c r="D459" s="30">
        <v>45658.0</v>
      </c>
      <c r="E459" s="30">
        <v>46022.0</v>
      </c>
      <c r="F459" s="31">
        <v>0.0</v>
      </c>
      <c r="G459" s="31">
        <v>1.0</v>
      </c>
      <c r="H459" s="35" t="s">
        <v>7045</v>
      </c>
      <c r="I459" s="30">
        <v>46023.0</v>
      </c>
      <c r="J459" s="30">
        <v>46387.0</v>
      </c>
      <c r="K459" s="31">
        <v>0.0</v>
      </c>
      <c r="L459" s="31">
        <v>1.0</v>
      </c>
      <c r="M459" s="35" t="s">
        <v>7045</v>
      </c>
      <c r="N459" s="30">
        <v>46388.0</v>
      </c>
      <c r="O459" s="30">
        <v>46752.0</v>
      </c>
      <c r="P459" s="31">
        <v>0.0</v>
      </c>
      <c r="Q459" s="31">
        <v>1.0</v>
      </c>
      <c r="R459" s="35" t="s">
        <v>7045</v>
      </c>
      <c r="S459" s="30">
        <v>46753.0</v>
      </c>
      <c r="T459" s="30">
        <v>47118.0</v>
      </c>
      <c r="U459" s="31">
        <v>0.0</v>
      </c>
      <c r="V459" s="31">
        <v>1.0</v>
      </c>
      <c r="W459" s="35" t="s">
        <v>7045</v>
      </c>
      <c r="X459" s="30">
        <v>47119.0</v>
      </c>
      <c r="Y459" s="30">
        <v>47483.0</v>
      </c>
      <c r="Z459" s="31">
        <v>0.0</v>
      </c>
      <c r="AA459" s="31">
        <v>1.0</v>
      </c>
      <c r="AB459" s="35" t="s">
        <v>7045</v>
      </c>
      <c r="AC459" s="30">
        <v>47484.0</v>
      </c>
      <c r="AD459" s="30">
        <v>47848.0</v>
      </c>
      <c r="AE459" s="31">
        <v>0.0</v>
      </c>
      <c r="AF459" s="31">
        <v>1.0</v>
      </c>
      <c r="AG459" s="35" t="s">
        <v>7045</v>
      </c>
    </row>
    <row r="460" ht="14.25" customHeight="1">
      <c r="A460" s="28" t="s">
        <v>352</v>
      </c>
      <c r="B460" s="29" t="s">
        <v>353</v>
      </c>
      <c r="C460" s="29" t="s">
        <v>7041</v>
      </c>
      <c r="D460" s="30">
        <v>45658.0</v>
      </c>
      <c r="E460" s="30">
        <v>46022.0</v>
      </c>
      <c r="F460" s="31">
        <v>0.0</v>
      </c>
      <c r="G460" s="31">
        <v>1.0</v>
      </c>
      <c r="H460" s="35" t="s">
        <v>7045</v>
      </c>
      <c r="I460" s="30">
        <v>46023.0</v>
      </c>
      <c r="J460" s="30">
        <v>46387.0</v>
      </c>
      <c r="K460" s="31">
        <v>0.0</v>
      </c>
      <c r="L460" s="31">
        <v>1.0</v>
      </c>
      <c r="M460" s="35" t="s">
        <v>7045</v>
      </c>
      <c r="N460" s="30">
        <v>46388.0</v>
      </c>
      <c r="O460" s="30">
        <v>46752.0</v>
      </c>
      <c r="P460" s="31">
        <v>0.0</v>
      </c>
      <c r="Q460" s="31">
        <v>1.0</v>
      </c>
      <c r="R460" s="35" t="s">
        <v>7045</v>
      </c>
      <c r="S460" s="30">
        <v>46753.0</v>
      </c>
      <c r="T460" s="30">
        <v>47118.0</v>
      </c>
      <c r="U460" s="31">
        <v>0.0</v>
      </c>
      <c r="V460" s="31">
        <v>1.0</v>
      </c>
      <c r="W460" s="35" t="s">
        <v>7045</v>
      </c>
      <c r="X460" s="30">
        <v>47119.0</v>
      </c>
      <c r="Y460" s="30">
        <v>47483.0</v>
      </c>
      <c r="Z460" s="31">
        <v>0.0</v>
      </c>
      <c r="AA460" s="31">
        <v>1.0</v>
      </c>
      <c r="AB460" s="35" t="s">
        <v>7045</v>
      </c>
      <c r="AC460" s="30">
        <v>47484.0</v>
      </c>
      <c r="AD460" s="30">
        <v>47848.0</v>
      </c>
      <c r="AE460" s="31">
        <v>0.0</v>
      </c>
      <c r="AF460" s="31">
        <v>1.0</v>
      </c>
      <c r="AG460" s="35" t="s">
        <v>7045</v>
      </c>
    </row>
    <row r="461" ht="14.25" customHeight="1">
      <c r="A461" s="28" t="s">
        <v>5120</v>
      </c>
      <c r="B461" s="29" t="s">
        <v>5121</v>
      </c>
      <c r="C461" s="29" t="s">
        <v>7041</v>
      </c>
      <c r="D461" s="30">
        <v>45658.0</v>
      </c>
      <c r="E461" s="30">
        <v>46022.0</v>
      </c>
      <c r="F461" s="31">
        <v>0.0</v>
      </c>
      <c r="G461" s="31">
        <v>1.0</v>
      </c>
      <c r="H461" s="35" t="s">
        <v>7045</v>
      </c>
      <c r="I461" s="30">
        <v>46023.0</v>
      </c>
      <c r="J461" s="30">
        <v>46387.0</v>
      </c>
      <c r="K461" s="31">
        <v>0.0</v>
      </c>
      <c r="L461" s="31">
        <v>1.0</v>
      </c>
      <c r="M461" s="35" t="s">
        <v>7045</v>
      </c>
      <c r="N461" s="30">
        <v>46388.0</v>
      </c>
      <c r="O461" s="30">
        <v>46752.0</v>
      </c>
      <c r="P461" s="31">
        <v>0.0</v>
      </c>
      <c r="Q461" s="31">
        <v>1.0</v>
      </c>
      <c r="R461" s="35" t="s">
        <v>7045</v>
      </c>
      <c r="S461" s="30">
        <v>46753.0</v>
      </c>
      <c r="T461" s="30">
        <v>47118.0</v>
      </c>
      <c r="U461" s="31">
        <v>0.0</v>
      </c>
      <c r="V461" s="31">
        <v>1.0</v>
      </c>
      <c r="W461" s="35" t="s">
        <v>7045</v>
      </c>
      <c r="X461" s="30">
        <v>47119.0</v>
      </c>
      <c r="Y461" s="30">
        <v>47483.0</v>
      </c>
      <c r="Z461" s="31">
        <v>0.0</v>
      </c>
      <c r="AA461" s="31">
        <v>1.0</v>
      </c>
      <c r="AB461" s="35" t="s">
        <v>7045</v>
      </c>
      <c r="AC461" s="30">
        <v>47484.0</v>
      </c>
      <c r="AD461" s="30">
        <v>47848.0</v>
      </c>
      <c r="AE461" s="31">
        <v>0.0</v>
      </c>
      <c r="AF461" s="31">
        <v>1.0</v>
      </c>
      <c r="AG461" s="35" t="s">
        <v>7045</v>
      </c>
    </row>
    <row r="462" ht="14.25" customHeight="1">
      <c r="A462" s="28" t="s">
        <v>3873</v>
      </c>
      <c r="B462" s="29" t="s">
        <v>3874</v>
      </c>
      <c r="C462" s="29" t="s">
        <v>7041</v>
      </c>
      <c r="D462" s="30">
        <v>45658.0</v>
      </c>
      <c r="E462" s="30">
        <v>46022.0</v>
      </c>
      <c r="F462" s="31">
        <v>0.0</v>
      </c>
      <c r="G462" s="31">
        <v>1.0</v>
      </c>
      <c r="H462" s="35" t="s">
        <v>7045</v>
      </c>
      <c r="I462" s="30">
        <v>46023.0</v>
      </c>
      <c r="J462" s="30">
        <v>46387.0</v>
      </c>
      <c r="K462" s="31">
        <v>0.0</v>
      </c>
      <c r="L462" s="31">
        <v>1.0</v>
      </c>
      <c r="M462" s="35" t="s">
        <v>7045</v>
      </c>
      <c r="N462" s="30">
        <v>46388.0</v>
      </c>
      <c r="O462" s="30">
        <v>46752.0</v>
      </c>
      <c r="P462" s="31">
        <v>0.0</v>
      </c>
      <c r="Q462" s="31">
        <v>1.0</v>
      </c>
      <c r="R462" s="35" t="s">
        <v>7045</v>
      </c>
      <c r="S462" s="30">
        <v>46753.0</v>
      </c>
      <c r="T462" s="30">
        <v>47118.0</v>
      </c>
      <c r="U462" s="31">
        <v>0.0</v>
      </c>
      <c r="V462" s="31">
        <v>1.0</v>
      </c>
      <c r="W462" s="35" t="s">
        <v>7045</v>
      </c>
      <c r="X462" s="30">
        <v>47119.0</v>
      </c>
      <c r="Y462" s="30">
        <v>47483.0</v>
      </c>
      <c r="Z462" s="31">
        <v>0.0</v>
      </c>
      <c r="AA462" s="31">
        <v>1.0</v>
      </c>
      <c r="AB462" s="35" t="s">
        <v>7045</v>
      </c>
      <c r="AC462" s="30">
        <v>47484.0</v>
      </c>
      <c r="AD462" s="30">
        <v>47848.0</v>
      </c>
      <c r="AE462" s="31">
        <v>0.0</v>
      </c>
      <c r="AF462" s="31">
        <v>1.0</v>
      </c>
      <c r="AG462" s="35" t="s">
        <v>7045</v>
      </c>
    </row>
    <row r="463" ht="14.25" customHeight="1">
      <c r="A463" s="28" t="s">
        <v>2383</v>
      </c>
      <c r="B463" s="29" t="s">
        <v>2384</v>
      </c>
      <c r="C463" s="29" t="s">
        <v>7041</v>
      </c>
      <c r="D463" s="30">
        <v>45658.0</v>
      </c>
      <c r="E463" s="30">
        <v>46022.0</v>
      </c>
      <c r="F463" s="31">
        <v>0.0</v>
      </c>
      <c r="G463" s="31">
        <v>1.0</v>
      </c>
      <c r="H463" s="35" t="s">
        <v>7045</v>
      </c>
      <c r="I463" s="30">
        <v>46023.0</v>
      </c>
      <c r="J463" s="30">
        <v>46387.0</v>
      </c>
      <c r="K463" s="31">
        <v>0.0</v>
      </c>
      <c r="L463" s="31">
        <v>1.0</v>
      </c>
      <c r="M463" s="35" t="s">
        <v>7045</v>
      </c>
      <c r="N463" s="30">
        <v>46388.0</v>
      </c>
      <c r="O463" s="30">
        <v>46752.0</v>
      </c>
      <c r="P463" s="31">
        <v>0.0</v>
      </c>
      <c r="Q463" s="31">
        <v>1.0</v>
      </c>
      <c r="R463" s="35" t="s">
        <v>7045</v>
      </c>
      <c r="S463" s="30">
        <v>46753.0</v>
      </c>
      <c r="T463" s="30">
        <v>47118.0</v>
      </c>
      <c r="U463" s="31">
        <v>0.0</v>
      </c>
      <c r="V463" s="31">
        <v>1.0</v>
      </c>
      <c r="W463" s="35" t="s">
        <v>7045</v>
      </c>
      <c r="X463" s="30">
        <v>47119.0</v>
      </c>
      <c r="Y463" s="30">
        <v>47483.0</v>
      </c>
      <c r="Z463" s="31">
        <v>0.0</v>
      </c>
      <c r="AA463" s="31">
        <v>1.0</v>
      </c>
      <c r="AB463" s="35" t="s">
        <v>7045</v>
      </c>
      <c r="AC463" s="30">
        <v>47484.0</v>
      </c>
      <c r="AD463" s="30">
        <v>47848.0</v>
      </c>
      <c r="AE463" s="31">
        <v>0.0</v>
      </c>
      <c r="AF463" s="31">
        <v>1.0</v>
      </c>
      <c r="AG463" s="35" t="s">
        <v>7045</v>
      </c>
    </row>
    <row r="464" ht="14.25" customHeight="1">
      <c r="A464" s="28" t="s">
        <v>5170</v>
      </c>
      <c r="B464" s="29" t="s">
        <v>5171</v>
      </c>
      <c r="C464" s="29" t="s">
        <v>7041</v>
      </c>
      <c r="D464" s="30">
        <v>45658.0</v>
      </c>
      <c r="E464" s="30">
        <v>46022.0</v>
      </c>
      <c r="F464" s="31">
        <v>0.0</v>
      </c>
      <c r="G464" s="31">
        <v>1.0</v>
      </c>
      <c r="H464" s="35" t="s">
        <v>7045</v>
      </c>
      <c r="I464" s="30">
        <v>46023.0</v>
      </c>
      <c r="J464" s="30">
        <v>46387.0</v>
      </c>
      <c r="K464" s="31">
        <v>0.0</v>
      </c>
      <c r="L464" s="31">
        <v>1.0</v>
      </c>
      <c r="M464" s="35" t="s">
        <v>7045</v>
      </c>
      <c r="N464" s="30">
        <v>46388.0</v>
      </c>
      <c r="O464" s="30">
        <v>46752.0</v>
      </c>
      <c r="P464" s="31">
        <v>0.0</v>
      </c>
      <c r="Q464" s="31">
        <v>1.0</v>
      </c>
      <c r="R464" s="35" t="s">
        <v>7045</v>
      </c>
      <c r="S464" s="30">
        <v>46753.0</v>
      </c>
      <c r="T464" s="30">
        <v>47118.0</v>
      </c>
      <c r="U464" s="31">
        <v>0.0</v>
      </c>
      <c r="V464" s="31">
        <v>1.0</v>
      </c>
      <c r="W464" s="35" t="s">
        <v>7045</v>
      </c>
      <c r="X464" s="30">
        <v>47119.0</v>
      </c>
      <c r="Y464" s="30">
        <v>47483.0</v>
      </c>
      <c r="Z464" s="31">
        <v>0.0</v>
      </c>
      <c r="AA464" s="31">
        <v>1.0</v>
      </c>
      <c r="AB464" s="35" t="s">
        <v>7045</v>
      </c>
      <c r="AC464" s="30">
        <v>47484.0</v>
      </c>
      <c r="AD464" s="30">
        <v>47848.0</v>
      </c>
      <c r="AE464" s="31">
        <v>0.0</v>
      </c>
      <c r="AF464" s="31">
        <v>1.0</v>
      </c>
      <c r="AG464" s="35" t="s">
        <v>7045</v>
      </c>
    </row>
    <row r="465" ht="14.25" customHeight="1">
      <c r="A465" s="28" t="s">
        <v>799</v>
      </c>
      <c r="B465" s="29" t="s">
        <v>800</v>
      </c>
      <c r="C465" s="29" t="s">
        <v>7041</v>
      </c>
      <c r="D465" s="30">
        <v>45658.0</v>
      </c>
      <c r="E465" s="30">
        <v>46022.0</v>
      </c>
      <c r="F465" s="31">
        <v>0.0</v>
      </c>
      <c r="G465" s="31">
        <v>1.0</v>
      </c>
      <c r="H465" s="35" t="s">
        <v>7045</v>
      </c>
      <c r="I465" s="30">
        <v>46023.0</v>
      </c>
      <c r="J465" s="30">
        <v>46387.0</v>
      </c>
      <c r="K465" s="31">
        <v>0.0</v>
      </c>
      <c r="L465" s="31">
        <v>1.0</v>
      </c>
      <c r="M465" s="35" t="s">
        <v>7045</v>
      </c>
      <c r="N465" s="30">
        <v>46388.0</v>
      </c>
      <c r="O465" s="30">
        <v>46752.0</v>
      </c>
      <c r="P465" s="31">
        <v>0.0</v>
      </c>
      <c r="Q465" s="31">
        <v>1.0</v>
      </c>
      <c r="R465" s="35" t="s">
        <v>7045</v>
      </c>
      <c r="S465" s="30">
        <v>46753.0</v>
      </c>
      <c r="T465" s="30">
        <v>47118.0</v>
      </c>
      <c r="U465" s="31">
        <v>0.0</v>
      </c>
      <c r="V465" s="31">
        <v>1.0</v>
      </c>
      <c r="W465" s="35" t="s">
        <v>7045</v>
      </c>
      <c r="X465" s="30">
        <v>47119.0</v>
      </c>
      <c r="Y465" s="30">
        <v>47483.0</v>
      </c>
      <c r="Z465" s="31">
        <v>0.0</v>
      </c>
      <c r="AA465" s="31">
        <v>1.0</v>
      </c>
      <c r="AB465" s="35" t="s">
        <v>7045</v>
      </c>
      <c r="AC465" s="30">
        <v>47484.0</v>
      </c>
      <c r="AD465" s="30">
        <v>47848.0</v>
      </c>
      <c r="AE465" s="31">
        <v>0.0</v>
      </c>
      <c r="AF465" s="31">
        <v>1.0</v>
      </c>
      <c r="AG465" s="35" t="s">
        <v>7045</v>
      </c>
    </row>
    <row r="466" ht="14.25" customHeight="1">
      <c r="A466" s="28" t="s">
        <v>1732</v>
      </c>
      <c r="B466" s="29" t="s">
        <v>1733</v>
      </c>
      <c r="C466" s="29" t="s">
        <v>7041</v>
      </c>
      <c r="D466" s="30">
        <v>45658.0</v>
      </c>
      <c r="E466" s="30">
        <v>46022.0</v>
      </c>
      <c r="F466" s="31">
        <v>0.0</v>
      </c>
      <c r="G466" s="31">
        <v>1.0</v>
      </c>
      <c r="H466" s="35" t="s">
        <v>7045</v>
      </c>
      <c r="I466" s="30">
        <v>46023.0</v>
      </c>
      <c r="J466" s="30">
        <v>46387.0</v>
      </c>
      <c r="K466" s="31">
        <v>0.0</v>
      </c>
      <c r="L466" s="31">
        <v>1.0</v>
      </c>
      <c r="M466" s="35" t="s">
        <v>7045</v>
      </c>
      <c r="N466" s="30">
        <v>46388.0</v>
      </c>
      <c r="O466" s="30">
        <v>46752.0</v>
      </c>
      <c r="P466" s="31">
        <v>0.0</v>
      </c>
      <c r="Q466" s="31">
        <v>1.0</v>
      </c>
      <c r="R466" s="35" t="s">
        <v>7045</v>
      </c>
      <c r="S466" s="30">
        <v>46753.0</v>
      </c>
      <c r="T466" s="30">
        <v>47118.0</v>
      </c>
      <c r="U466" s="31">
        <v>0.0</v>
      </c>
      <c r="V466" s="31">
        <v>1.0</v>
      </c>
      <c r="W466" s="35" t="s">
        <v>7045</v>
      </c>
      <c r="X466" s="30">
        <v>47119.0</v>
      </c>
      <c r="Y466" s="30">
        <v>47483.0</v>
      </c>
      <c r="Z466" s="31">
        <v>0.0</v>
      </c>
      <c r="AA466" s="31">
        <v>1.0</v>
      </c>
      <c r="AB466" s="35" t="s">
        <v>7045</v>
      </c>
      <c r="AC466" s="30">
        <v>47484.0</v>
      </c>
      <c r="AD466" s="30">
        <v>47848.0</v>
      </c>
      <c r="AE466" s="31">
        <v>0.0</v>
      </c>
      <c r="AF466" s="31">
        <v>1.0</v>
      </c>
      <c r="AG466" s="35" t="s">
        <v>7045</v>
      </c>
    </row>
    <row r="467" ht="14.25" customHeight="1">
      <c r="A467" s="28" t="s">
        <v>6399</v>
      </c>
      <c r="B467" s="29" t="s">
        <v>6400</v>
      </c>
      <c r="C467" s="29" t="s">
        <v>7041</v>
      </c>
      <c r="D467" s="30">
        <v>45658.0</v>
      </c>
      <c r="E467" s="30">
        <v>46022.0</v>
      </c>
      <c r="F467" s="31">
        <v>0.0</v>
      </c>
      <c r="G467" s="31">
        <v>1.0</v>
      </c>
      <c r="H467" s="35" t="s">
        <v>7045</v>
      </c>
      <c r="I467" s="30">
        <v>46023.0</v>
      </c>
      <c r="J467" s="30">
        <v>46387.0</v>
      </c>
      <c r="K467" s="31">
        <v>0.0</v>
      </c>
      <c r="L467" s="31">
        <v>1.0</v>
      </c>
      <c r="M467" s="35" t="s">
        <v>7045</v>
      </c>
      <c r="N467" s="30">
        <v>46388.0</v>
      </c>
      <c r="O467" s="30">
        <v>46752.0</v>
      </c>
      <c r="P467" s="31">
        <v>0.0</v>
      </c>
      <c r="Q467" s="31">
        <v>1.0</v>
      </c>
      <c r="R467" s="35" t="s">
        <v>7045</v>
      </c>
      <c r="S467" s="30">
        <v>46753.0</v>
      </c>
      <c r="T467" s="30">
        <v>47118.0</v>
      </c>
      <c r="U467" s="31">
        <v>0.0</v>
      </c>
      <c r="V467" s="31">
        <v>1.0</v>
      </c>
      <c r="W467" s="35" t="s">
        <v>7045</v>
      </c>
      <c r="X467" s="30">
        <v>47119.0</v>
      </c>
      <c r="Y467" s="30">
        <v>47483.0</v>
      </c>
      <c r="Z467" s="31">
        <v>0.0</v>
      </c>
      <c r="AA467" s="31">
        <v>1.0</v>
      </c>
      <c r="AB467" s="35" t="s">
        <v>7045</v>
      </c>
      <c r="AC467" s="30">
        <v>47484.0</v>
      </c>
      <c r="AD467" s="30">
        <v>47848.0</v>
      </c>
      <c r="AE467" s="31">
        <v>0.0</v>
      </c>
      <c r="AF467" s="31">
        <v>1.0</v>
      </c>
      <c r="AG467" s="35" t="s">
        <v>7045</v>
      </c>
    </row>
    <row r="468" ht="14.25" customHeight="1">
      <c r="A468" s="28" t="s">
        <v>6162</v>
      </c>
      <c r="B468" s="29" t="s">
        <v>6163</v>
      </c>
      <c r="C468" s="29" t="s">
        <v>7041</v>
      </c>
      <c r="D468" s="30">
        <v>45658.0</v>
      </c>
      <c r="E468" s="30">
        <v>46022.0</v>
      </c>
      <c r="F468" s="31">
        <v>0.0</v>
      </c>
      <c r="G468" s="31">
        <v>1.0</v>
      </c>
      <c r="H468" s="35" t="s">
        <v>7045</v>
      </c>
      <c r="I468" s="30">
        <v>46023.0</v>
      </c>
      <c r="J468" s="30">
        <v>46387.0</v>
      </c>
      <c r="K468" s="31">
        <v>0.0</v>
      </c>
      <c r="L468" s="31">
        <v>1.0</v>
      </c>
      <c r="M468" s="35" t="s">
        <v>7045</v>
      </c>
      <c r="N468" s="30">
        <v>46388.0</v>
      </c>
      <c r="O468" s="30">
        <v>46752.0</v>
      </c>
      <c r="P468" s="31">
        <v>0.0</v>
      </c>
      <c r="Q468" s="31">
        <v>1.0</v>
      </c>
      <c r="R468" s="35" t="s">
        <v>7045</v>
      </c>
      <c r="S468" s="30">
        <v>46753.0</v>
      </c>
      <c r="T468" s="30">
        <v>47118.0</v>
      </c>
      <c r="U468" s="31">
        <v>0.0</v>
      </c>
      <c r="V468" s="31">
        <v>1.0</v>
      </c>
      <c r="W468" s="35" t="s">
        <v>7045</v>
      </c>
      <c r="X468" s="30">
        <v>47119.0</v>
      </c>
      <c r="Y468" s="30">
        <v>47483.0</v>
      </c>
      <c r="Z468" s="31">
        <v>0.0</v>
      </c>
      <c r="AA468" s="31">
        <v>1.0</v>
      </c>
      <c r="AB468" s="35" t="s">
        <v>7045</v>
      </c>
      <c r="AC468" s="30">
        <v>47484.0</v>
      </c>
      <c r="AD468" s="30">
        <v>47848.0</v>
      </c>
      <c r="AE468" s="31">
        <v>0.0</v>
      </c>
      <c r="AF468" s="31">
        <v>1.0</v>
      </c>
      <c r="AG468" s="35" t="s">
        <v>7045</v>
      </c>
    </row>
    <row r="469" ht="14.25" customHeight="1">
      <c r="A469" s="28" t="s">
        <v>6415</v>
      </c>
      <c r="B469" s="29" t="s">
        <v>6416</v>
      </c>
      <c r="C469" s="29" t="s">
        <v>7041</v>
      </c>
      <c r="D469" s="30">
        <v>45658.0</v>
      </c>
      <c r="E469" s="30">
        <v>46022.0</v>
      </c>
      <c r="F469" s="31">
        <v>0.0</v>
      </c>
      <c r="G469" s="31">
        <v>1.0</v>
      </c>
      <c r="H469" s="35" t="s">
        <v>7045</v>
      </c>
      <c r="I469" s="30">
        <v>46023.0</v>
      </c>
      <c r="J469" s="30">
        <v>46387.0</v>
      </c>
      <c r="K469" s="31">
        <v>0.0</v>
      </c>
      <c r="L469" s="31">
        <v>1.0</v>
      </c>
      <c r="M469" s="35" t="s">
        <v>7045</v>
      </c>
      <c r="N469" s="30">
        <v>46388.0</v>
      </c>
      <c r="O469" s="30">
        <v>46752.0</v>
      </c>
      <c r="P469" s="31">
        <v>0.0</v>
      </c>
      <c r="Q469" s="31">
        <v>1.0</v>
      </c>
      <c r="R469" s="35" t="s">
        <v>7045</v>
      </c>
      <c r="S469" s="30">
        <v>46753.0</v>
      </c>
      <c r="T469" s="30">
        <v>47118.0</v>
      </c>
      <c r="U469" s="31">
        <v>0.0</v>
      </c>
      <c r="V469" s="31">
        <v>1.0</v>
      </c>
      <c r="W469" s="35" t="s">
        <v>7045</v>
      </c>
      <c r="X469" s="30">
        <v>47119.0</v>
      </c>
      <c r="Y469" s="30">
        <v>47483.0</v>
      </c>
      <c r="Z469" s="31">
        <v>0.0</v>
      </c>
      <c r="AA469" s="31">
        <v>1.0</v>
      </c>
      <c r="AB469" s="35" t="s">
        <v>7045</v>
      </c>
      <c r="AC469" s="30">
        <v>47484.0</v>
      </c>
      <c r="AD469" s="30">
        <v>47848.0</v>
      </c>
      <c r="AE469" s="31">
        <v>0.0</v>
      </c>
      <c r="AF469" s="31">
        <v>1.0</v>
      </c>
      <c r="AG469" s="35" t="s">
        <v>7045</v>
      </c>
    </row>
    <row r="470" ht="14.25" customHeight="1">
      <c r="A470" s="28" t="s">
        <v>4432</v>
      </c>
      <c r="B470" s="29" t="s">
        <v>4433</v>
      </c>
      <c r="C470" s="29" t="s">
        <v>7041</v>
      </c>
      <c r="D470" s="30">
        <v>45658.0</v>
      </c>
      <c r="E470" s="30">
        <v>46022.0</v>
      </c>
      <c r="F470" s="31">
        <v>0.0</v>
      </c>
      <c r="G470" s="31">
        <v>1.0</v>
      </c>
      <c r="H470" s="35" t="s">
        <v>7045</v>
      </c>
      <c r="I470" s="30">
        <v>46023.0</v>
      </c>
      <c r="J470" s="30">
        <v>46387.0</v>
      </c>
      <c r="K470" s="31">
        <v>0.0</v>
      </c>
      <c r="L470" s="31">
        <v>1.0</v>
      </c>
      <c r="M470" s="35" t="s">
        <v>7045</v>
      </c>
      <c r="N470" s="30">
        <v>46388.0</v>
      </c>
      <c r="O470" s="30">
        <v>46752.0</v>
      </c>
      <c r="P470" s="31">
        <v>0.0</v>
      </c>
      <c r="Q470" s="31">
        <v>1.0</v>
      </c>
      <c r="R470" s="35" t="s">
        <v>7045</v>
      </c>
      <c r="S470" s="30">
        <v>46753.0</v>
      </c>
      <c r="T470" s="30">
        <v>47118.0</v>
      </c>
      <c r="U470" s="31">
        <v>0.0</v>
      </c>
      <c r="V470" s="31">
        <v>1.0</v>
      </c>
      <c r="W470" s="35" t="s">
        <v>7045</v>
      </c>
      <c r="X470" s="30">
        <v>47119.0</v>
      </c>
      <c r="Y470" s="30">
        <v>47483.0</v>
      </c>
      <c r="Z470" s="31">
        <v>0.0</v>
      </c>
      <c r="AA470" s="31">
        <v>1.0</v>
      </c>
      <c r="AB470" s="35" t="s">
        <v>7045</v>
      </c>
      <c r="AC470" s="30">
        <v>47484.0</v>
      </c>
      <c r="AD470" s="30">
        <v>47848.0</v>
      </c>
      <c r="AE470" s="31">
        <v>0.0</v>
      </c>
      <c r="AF470" s="31">
        <v>1.0</v>
      </c>
      <c r="AG470" s="35" t="s">
        <v>7045</v>
      </c>
    </row>
    <row r="471" ht="14.25" customHeight="1">
      <c r="A471" s="28" t="s">
        <v>2344</v>
      </c>
      <c r="B471" s="29" t="s">
        <v>2345</v>
      </c>
      <c r="C471" s="29" t="s">
        <v>7041</v>
      </c>
      <c r="D471" s="30">
        <v>45658.0</v>
      </c>
      <c r="E471" s="30">
        <v>46022.0</v>
      </c>
      <c r="F471" s="31">
        <v>0.0</v>
      </c>
      <c r="G471" s="31">
        <v>1.0</v>
      </c>
      <c r="H471" s="35" t="s">
        <v>7045</v>
      </c>
      <c r="I471" s="30">
        <v>46023.0</v>
      </c>
      <c r="J471" s="30">
        <v>46387.0</v>
      </c>
      <c r="K471" s="31">
        <v>0.0</v>
      </c>
      <c r="L471" s="31">
        <v>1.0</v>
      </c>
      <c r="M471" s="35" t="s">
        <v>7045</v>
      </c>
      <c r="N471" s="30">
        <v>46388.0</v>
      </c>
      <c r="O471" s="30">
        <v>46752.0</v>
      </c>
      <c r="P471" s="31">
        <v>0.0</v>
      </c>
      <c r="Q471" s="31">
        <v>1.0</v>
      </c>
      <c r="R471" s="35" t="s">
        <v>7045</v>
      </c>
      <c r="S471" s="30">
        <v>46753.0</v>
      </c>
      <c r="T471" s="30">
        <v>47118.0</v>
      </c>
      <c r="U471" s="31">
        <v>0.0</v>
      </c>
      <c r="V471" s="31">
        <v>1.0</v>
      </c>
      <c r="W471" s="35" t="s">
        <v>7045</v>
      </c>
      <c r="X471" s="30">
        <v>47119.0</v>
      </c>
      <c r="Y471" s="30">
        <v>47483.0</v>
      </c>
      <c r="Z471" s="31">
        <v>0.0</v>
      </c>
      <c r="AA471" s="31">
        <v>1.0</v>
      </c>
      <c r="AB471" s="35" t="s">
        <v>7045</v>
      </c>
      <c r="AC471" s="30">
        <v>47484.0</v>
      </c>
      <c r="AD471" s="30">
        <v>47848.0</v>
      </c>
      <c r="AE471" s="31">
        <v>0.0</v>
      </c>
      <c r="AF471" s="31">
        <v>1.0</v>
      </c>
      <c r="AG471" s="35" t="s">
        <v>7045</v>
      </c>
    </row>
    <row r="472" ht="14.25" customHeight="1">
      <c r="A472" s="28" t="s">
        <v>6931</v>
      </c>
      <c r="B472" s="29" t="s">
        <v>6932</v>
      </c>
      <c r="C472" s="29" t="s">
        <v>7041</v>
      </c>
      <c r="D472" s="30">
        <v>45658.0</v>
      </c>
      <c r="E472" s="30">
        <v>46022.0</v>
      </c>
      <c r="F472" s="31">
        <v>0.0</v>
      </c>
      <c r="G472" s="31">
        <v>1.0</v>
      </c>
      <c r="H472" s="35" t="s">
        <v>7045</v>
      </c>
      <c r="I472" s="30">
        <v>46023.0</v>
      </c>
      <c r="J472" s="30">
        <v>46387.0</v>
      </c>
      <c r="K472" s="31">
        <v>0.0</v>
      </c>
      <c r="L472" s="31">
        <v>1.0</v>
      </c>
      <c r="M472" s="35" t="s">
        <v>7045</v>
      </c>
      <c r="N472" s="30">
        <v>46388.0</v>
      </c>
      <c r="O472" s="30">
        <v>46752.0</v>
      </c>
      <c r="P472" s="31">
        <v>0.0</v>
      </c>
      <c r="Q472" s="31">
        <v>1.0</v>
      </c>
      <c r="R472" s="35" t="s">
        <v>7045</v>
      </c>
      <c r="S472" s="30">
        <v>46753.0</v>
      </c>
      <c r="T472" s="30">
        <v>47118.0</v>
      </c>
      <c r="U472" s="31">
        <v>0.0</v>
      </c>
      <c r="V472" s="31">
        <v>1.0</v>
      </c>
      <c r="W472" s="35" t="s">
        <v>7045</v>
      </c>
      <c r="X472" s="30">
        <v>47119.0</v>
      </c>
      <c r="Y472" s="30">
        <v>47483.0</v>
      </c>
      <c r="Z472" s="31">
        <v>0.0</v>
      </c>
      <c r="AA472" s="31">
        <v>1.0</v>
      </c>
      <c r="AB472" s="35" t="s">
        <v>7045</v>
      </c>
      <c r="AC472" s="30">
        <v>47484.0</v>
      </c>
      <c r="AD472" s="30">
        <v>47848.0</v>
      </c>
      <c r="AE472" s="31">
        <v>0.0</v>
      </c>
      <c r="AF472" s="31">
        <v>1.0</v>
      </c>
      <c r="AG472" s="35" t="s">
        <v>7045</v>
      </c>
    </row>
    <row r="473" ht="14.25" customHeight="1">
      <c r="A473" s="28" t="s">
        <v>1735</v>
      </c>
      <c r="B473" s="29" t="s">
        <v>1736</v>
      </c>
      <c r="C473" s="29" t="s">
        <v>7041</v>
      </c>
      <c r="D473" s="30">
        <v>45658.0</v>
      </c>
      <c r="E473" s="30">
        <v>46022.0</v>
      </c>
      <c r="F473" s="31">
        <v>0.0</v>
      </c>
      <c r="G473" s="31">
        <v>1.0</v>
      </c>
      <c r="H473" s="35" t="s">
        <v>7045</v>
      </c>
      <c r="I473" s="30">
        <v>46023.0</v>
      </c>
      <c r="J473" s="30">
        <v>46387.0</v>
      </c>
      <c r="K473" s="31">
        <v>0.0</v>
      </c>
      <c r="L473" s="31">
        <v>1.0</v>
      </c>
      <c r="M473" s="35" t="s">
        <v>7045</v>
      </c>
      <c r="N473" s="30">
        <v>46388.0</v>
      </c>
      <c r="O473" s="30">
        <v>46752.0</v>
      </c>
      <c r="P473" s="31">
        <v>0.0</v>
      </c>
      <c r="Q473" s="31">
        <v>1.0</v>
      </c>
      <c r="R473" s="35" t="s">
        <v>7045</v>
      </c>
      <c r="S473" s="30">
        <v>46753.0</v>
      </c>
      <c r="T473" s="30">
        <v>47118.0</v>
      </c>
      <c r="U473" s="31">
        <v>0.0</v>
      </c>
      <c r="V473" s="31">
        <v>1.0</v>
      </c>
      <c r="W473" s="35" t="s">
        <v>7045</v>
      </c>
      <c r="X473" s="30">
        <v>47119.0</v>
      </c>
      <c r="Y473" s="30">
        <v>47483.0</v>
      </c>
      <c r="Z473" s="31">
        <v>0.0</v>
      </c>
      <c r="AA473" s="31">
        <v>1.0</v>
      </c>
      <c r="AB473" s="35" t="s">
        <v>7045</v>
      </c>
      <c r="AC473" s="30">
        <v>47484.0</v>
      </c>
      <c r="AD473" s="30">
        <v>47848.0</v>
      </c>
      <c r="AE473" s="31">
        <v>0.0</v>
      </c>
      <c r="AF473" s="31">
        <v>1.0</v>
      </c>
      <c r="AG473" s="35" t="s">
        <v>7045</v>
      </c>
    </row>
    <row r="474" ht="14.25" customHeight="1">
      <c r="A474" s="28" t="s">
        <v>4038</v>
      </c>
      <c r="B474" s="29" t="s">
        <v>4039</v>
      </c>
      <c r="C474" s="29" t="s">
        <v>7041</v>
      </c>
      <c r="D474" s="30">
        <v>45658.0</v>
      </c>
      <c r="E474" s="30">
        <v>46022.0</v>
      </c>
      <c r="F474" s="31">
        <v>0.0</v>
      </c>
      <c r="G474" s="31">
        <v>1.0</v>
      </c>
      <c r="H474" s="35" t="s">
        <v>7045</v>
      </c>
      <c r="I474" s="30">
        <v>46023.0</v>
      </c>
      <c r="J474" s="30">
        <v>46387.0</v>
      </c>
      <c r="K474" s="31">
        <v>0.0</v>
      </c>
      <c r="L474" s="31">
        <v>1.0</v>
      </c>
      <c r="M474" s="35" t="s">
        <v>7045</v>
      </c>
      <c r="N474" s="30">
        <v>46388.0</v>
      </c>
      <c r="O474" s="30">
        <v>46752.0</v>
      </c>
      <c r="P474" s="31">
        <v>0.0</v>
      </c>
      <c r="Q474" s="31">
        <v>1.0</v>
      </c>
      <c r="R474" s="35" t="s">
        <v>7045</v>
      </c>
      <c r="S474" s="30">
        <v>46753.0</v>
      </c>
      <c r="T474" s="30">
        <v>47118.0</v>
      </c>
      <c r="U474" s="31">
        <v>0.0</v>
      </c>
      <c r="V474" s="31">
        <v>1.0</v>
      </c>
      <c r="W474" s="35" t="s">
        <v>7045</v>
      </c>
      <c r="X474" s="30">
        <v>47119.0</v>
      </c>
      <c r="Y474" s="30">
        <v>47483.0</v>
      </c>
      <c r="Z474" s="31">
        <v>0.0</v>
      </c>
      <c r="AA474" s="31">
        <v>1.0</v>
      </c>
      <c r="AB474" s="35" t="s">
        <v>7045</v>
      </c>
      <c r="AC474" s="30">
        <v>47484.0</v>
      </c>
      <c r="AD474" s="30">
        <v>47848.0</v>
      </c>
      <c r="AE474" s="31">
        <v>0.0</v>
      </c>
      <c r="AF474" s="31">
        <v>1.0</v>
      </c>
      <c r="AG474" s="35" t="s">
        <v>7045</v>
      </c>
    </row>
    <row r="475" ht="14.25" customHeight="1">
      <c r="A475" s="28" t="s">
        <v>5049</v>
      </c>
      <c r="B475" s="29" t="s">
        <v>5050</v>
      </c>
      <c r="C475" s="29" t="s">
        <v>7041</v>
      </c>
      <c r="D475" s="30">
        <v>45658.0</v>
      </c>
      <c r="E475" s="30">
        <v>46022.0</v>
      </c>
      <c r="F475" s="31">
        <v>0.0</v>
      </c>
      <c r="G475" s="31">
        <v>1.0</v>
      </c>
      <c r="H475" s="35" t="s">
        <v>7045</v>
      </c>
      <c r="I475" s="30">
        <v>46023.0</v>
      </c>
      <c r="J475" s="30">
        <v>46387.0</v>
      </c>
      <c r="K475" s="31">
        <v>0.0</v>
      </c>
      <c r="L475" s="31">
        <v>1.0</v>
      </c>
      <c r="M475" s="35" t="s">
        <v>7045</v>
      </c>
      <c r="N475" s="30">
        <v>46388.0</v>
      </c>
      <c r="O475" s="30">
        <v>46752.0</v>
      </c>
      <c r="P475" s="31">
        <v>0.0</v>
      </c>
      <c r="Q475" s="31">
        <v>1.0</v>
      </c>
      <c r="R475" s="35" t="s">
        <v>7045</v>
      </c>
      <c r="S475" s="30">
        <v>46753.0</v>
      </c>
      <c r="T475" s="30">
        <v>47118.0</v>
      </c>
      <c r="U475" s="31">
        <v>0.0</v>
      </c>
      <c r="V475" s="31">
        <v>1.0</v>
      </c>
      <c r="W475" s="35" t="s">
        <v>7045</v>
      </c>
      <c r="X475" s="30">
        <v>47119.0</v>
      </c>
      <c r="Y475" s="30">
        <v>47483.0</v>
      </c>
      <c r="Z475" s="31">
        <v>0.0</v>
      </c>
      <c r="AA475" s="31">
        <v>1.0</v>
      </c>
      <c r="AB475" s="35" t="s">
        <v>7045</v>
      </c>
      <c r="AC475" s="30">
        <v>47484.0</v>
      </c>
      <c r="AD475" s="30">
        <v>47848.0</v>
      </c>
      <c r="AE475" s="31">
        <v>0.0</v>
      </c>
      <c r="AF475" s="31">
        <v>1.0</v>
      </c>
      <c r="AG475" s="35" t="s">
        <v>7045</v>
      </c>
    </row>
    <row r="476" ht="14.25" customHeight="1">
      <c r="A476" s="28" t="s">
        <v>6172</v>
      </c>
      <c r="B476" s="29" t="s">
        <v>6173</v>
      </c>
      <c r="C476" s="29" t="s">
        <v>7041</v>
      </c>
      <c r="D476" s="30">
        <v>45658.0</v>
      </c>
      <c r="E476" s="30">
        <v>46022.0</v>
      </c>
      <c r="F476" s="31">
        <v>0.0</v>
      </c>
      <c r="G476" s="31">
        <v>1.0</v>
      </c>
      <c r="H476" s="35" t="s">
        <v>7045</v>
      </c>
      <c r="I476" s="30">
        <v>46023.0</v>
      </c>
      <c r="J476" s="30">
        <v>46387.0</v>
      </c>
      <c r="K476" s="31">
        <v>0.0</v>
      </c>
      <c r="L476" s="31">
        <v>1.0</v>
      </c>
      <c r="M476" s="35" t="s">
        <v>7045</v>
      </c>
      <c r="N476" s="30">
        <v>46388.0</v>
      </c>
      <c r="O476" s="30">
        <v>46752.0</v>
      </c>
      <c r="P476" s="31">
        <v>0.0</v>
      </c>
      <c r="Q476" s="31">
        <v>1.0</v>
      </c>
      <c r="R476" s="35" t="s">
        <v>7045</v>
      </c>
      <c r="S476" s="30">
        <v>46753.0</v>
      </c>
      <c r="T476" s="30">
        <v>47118.0</v>
      </c>
      <c r="U476" s="31">
        <v>0.0</v>
      </c>
      <c r="V476" s="31">
        <v>1.0</v>
      </c>
      <c r="W476" s="35" t="s">
        <v>7045</v>
      </c>
      <c r="X476" s="30">
        <v>47119.0</v>
      </c>
      <c r="Y476" s="30">
        <v>47483.0</v>
      </c>
      <c r="Z476" s="31">
        <v>0.0</v>
      </c>
      <c r="AA476" s="31">
        <v>1.0</v>
      </c>
      <c r="AB476" s="35" t="s">
        <v>7045</v>
      </c>
      <c r="AC476" s="30">
        <v>47484.0</v>
      </c>
      <c r="AD476" s="30">
        <v>47848.0</v>
      </c>
      <c r="AE476" s="31">
        <v>0.0</v>
      </c>
      <c r="AF476" s="31">
        <v>1.0</v>
      </c>
      <c r="AG476" s="35" t="s">
        <v>7045</v>
      </c>
    </row>
    <row r="477" ht="14.25" customHeight="1">
      <c r="A477" s="28" t="s">
        <v>5947</v>
      </c>
      <c r="B477" s="29" t="s">
        <v>5948</v>
      </c>
      <c r="C477" s="29" t="s">
        <v>7041</v>
      </c>
      <c r="D477" s="30">
        <v>45658.0</v>
      </c>
      <c r="E477" s="30">
        <v>46022.0</v>
      </c>
      <c r="F477" s="31">
        <v>0.0</v>
      </c>
      <c r="G477" s="31">
        <v>1.0</v>
      </c>
      <c r="H477" s="35" t="s">
        <v>7045</v>
      </c>
      <c r="I477" s="30">
        <v>46023.0</v>
      </c>
      <c r="J477" s="30">
        <v>46387.0</v>
      </c>
      <c r="K477" s="31">
        <v>0.0</v>
      </c>
      <c r="L477" s="31">
        <v>1.0</v>
      </c>
      <c r="M477" s="35" t="s">
        <v>7045</v>
      </c>
      <c r="N477" s="30">
        <v>46388.0</v>
      </c>
      <c r="O477" s="30">
        <v>46752.0</v>
      </c>
      <c r="P477" s="31">
        <v>0.0</v>
      </c>
      <c r="Q477" s="31">
        <v>1.0</v>
      </c>
      <c r="R477" s="35" t="s">
        <v>7045</v>
      </c>
      <c r="S477" s="30">
        <v>46753.0</v>
      </c>
      <c r="T477" s="30">
        <v>47118.0</v>
      </c>
      <c r="U477" s="31">
        <v>0.0</v>
      </c>
      <c r="V477" s="31">
        <v>1.0</v>
      </c>
      <c r="W477" s="35" t="s">
        <v>7045</v>
      </c>
      <c r="X477" s="30">
        <v>47119.0</v>
      </c>
      <c r="Y477" s="30">
        <v>47483.0</v>
      </c>
      <c r="Z477" s="31">
        <v>0.0</v>
      </c>
      <c r="AA477" s="31">
        <v>1.0</v>
      </c>
      <c r="AB477" s="35" t="s">
        <v>7045</v>
      </c>
      <c r="AC477" s="30">
        <v>47484.0</v>
      </c>
      <c r="AD477" s="30">
        <v>47848.0</v>
      </c>
      <c r="AE477" s="31">
        <v>0.0</v>
      </c>
      <c r="AF477" s="31">
        <v>1.0</v>
      </c>
      <c r="AG477" s="35" t="s">
        <v>7045</v>
      </c>
    </row>
    <row r="478" ht="14.25" customHeight="1">
      <c r="A478" s="28" t="s">
        <v>2833</v>
      </c>
      <c r="B478" s="29" t="s">
        <v>2834</v>
      </c>
      <c r="C478" s="29" t="s">
        <v>7041</v>
      </c>
      <c r="D478" s="30">
        <v>45658.0</v>
      </c>
      <c r="E478" s="30">
        <v>46022.0</v>
      </c>
      <c r="F478" s="31">
        <v>0.0</v>
      </c>
      <c r="G478" s="31">
        <v>1.0</v>
      </c>
      <c r="H478" s="35" t="s">
        <v>7045</v>
      </c>
      <c r="I478" s="30">
        <v>46023.0</v>
      </c>
      <c r="J478" s="30">
        <v>46387.0</v>
      </c>
      <c r="K478" s="31">
        <v>0.0</v>
      </c>
      <c r="L478" s="31">
        <v>1.0</v>
      </c>
      <c r="M478" s="35" t="s">
        <v>7045</v>
      </c>
      <c r="N478" s="30">
        <v>46388.0</v>
      </c>
      <c r="O478" s="30">
        <v>46752.0</v>
      </c>
      <c r="P478" s="31">
        <v>0.0</v>
      </c>
      <c r="Q478" s="31">
        <v>1.0</v>
      </c>
      <c r="R478" s="35" t="s">
        <v>7045</v>
      </c>
      <c r="S478" s="30">
        <v>46753.0</v>
      </c>
      <c r="T478" s="30">
        <v>47118.0</v>
      </c>
      <c r="U478" s="31">
        <v>0.0</v>
      </c>
      <c r="V478" s="31">
        <v>1.0</v>
      </c>
      <c r="W478" s="35" t="s">
        <v>7045</v>
      </c>
      <c r="X478" s="30">
        <v>47119.0</v>
      </c>
      <c r="Y478" s="30">
        <v>47483.0</v>
      </c>
      <c r="Z478" s="31">
        <v>0.0</v>
      </c>
      <c r="AA478" s="31">
        <v>1.0</v>
      </c>
      <c r="AB478" s="35" t="s">
        <v>7045</v>
      </c>
      <c r="AC478" s="30">
        <v>47484.0</v>
      </c>
      <c r="AD478" s="30">
        <v>47848.0</v>
      </c>
      <c r="AE478" s="31">
        <v>0.0</v>
      </c>
      <c r="AF478" s="31">
        <v>1.0</v>
      </c>
      <c r="AG478" s="35" t="s">
        <v>7045</v>
      </c>
    </row>
    <row r="479" ht="14.25" customHeight="1">
      <c r="A479" s="28" t="s">
        <v>551</v>
      </c>
      <c r="B479" s="29" t="s">
        <v>552</v>
      </c>
      <c r="C479" s="29" t="s">
        <v>7041</v>
      </c>
      <c r="D479" s="30">
        <v>45658.0</v>
      </c>
      <c r="E479" s="30">
        <v>46022.0</v>
      </c>
      <c r="F479" s="31">
        <v>1.0</v>
      </c>
      <c r="G479" s="31">
        <v>1.0</v>
      </c>
      <c r="H479" s="35" t="s">
        <v>7042</v>
      </c>
      <c r="I479" s="30">
        <v>46023.0</v>
      </c>
      <c r="J479" s="30">
        <v>46387.0</v>
      </c>
      <c r="K479" s="31">
        <v>0.0</v>
      </c>
      <c r="L479" s="31">
        <v>1.0</v>
      </c>
      <c r="M479" s="35" t="s">
        <v>7045</v>
      </c>
      <c r="N479" s="30">
        <v>46388.0</v>
      </c>
      <c r="O479" s="30">
        <v>46752.0</v>
      </c>
      <c r="P479" s="31">
        <v>0.0</v>
      </c>
      <c r="Q479" s="31">
        <v>1.0</v>
      </c>
      <c r="R479" s="35" t="s">
        <v>7045</v>
      </c>
      <c r="S479" s="30">
        <v>46753.0</v>
      </c>
      <c r="T479" s="30">
        <v>47118.0</v>
      </c>
      <c r="U479" s="31">
        <v>0.0</v>
      </c>
      <c r="V479" s="31">
        <v>1.0</v>
      </c>
      <c r="W479" s="35" t="s">
        <v>7045</v>
      </c>
      <c r="X479" s="30">
        <v>47119.0</v>
      </c>
      <c r="Y479" s="30">
        <v>47483.0</v>
      </c>
      <c r="Z479" s="31">
        <v>0.0</v>
      </c>
      <c r="AA479" s="31">
        <v>1.0</v>
      </c>
      <c r="AB479" s="35" t="s">
        <v>7045</v>
      </c>
      <c r="AC479" s="30">
        <v>47484.0</v>
      </c>
      <c r="AD479" s="30">
        <v>47848.0</v>
      </c>
      <c r="AE479" s="31">
        <v>0.0</v>
      </c>
      <c r="AF479" s="31">
        <v>1.0</v>
      </c>
      <c r="AG479" s="35" t="s">
        <v>7045</v>
      </c>
    </row>
    <row r="480" ht="14.25" customHeight="1">
      <c r="A480" s="28" t="s">
        <v>132</v>
      </c>
      <c r="B480" s="29" t="s">
        <v>133</v>
      </c>
      <c r="C480" s="29" t="s">
        <v>7041</v>
      </c>
      <c r="D480" s="30">
        <v>45658.0</v>
      </c>
      <c r="E480" s="30">
        <v>46022.0</v>
      </c>
      <c r="F480" s="31">
        <v>0.0</v>
      </c>
      <c r="G480" s="31">
        <v>1.0</v>
      </c>
      <c r="H480" s="35" t="s">
        <v>7045</v>
      </c>
      <c r="I480" s="30">
        <v>46023.0</v>
      </c>
      <c r="J480" s="30">
        <v>46387.0</v>
      </c>
      <c r="K480" s="31">
        <v>0.0</v>
      </c>
      <c r="L480" s="31">
        <v>1.0</v>
      </c>
      <c r="M480" s="35" t="s">
        <v>7045</v>
      </c>
      <c r="N480" s="30">
        <v>46388.0</v>
      </c>
      <c r="O480" s="30">
        <v>46752.0</v>
      </c>
      <c r="P480" s="31">
        <v>0.0</v>
      </c>
      <c r="Q480" s="31">
        <v>1.0</v>
      </c>
      <c r="R480" s="35" t="s">
        <v>7045</v>
      </c>
      <c r="S480" s="30">
        <v>46753.0</v>
      </c>
      <c r="T480" s="30">
        <v>47118.0</v>
      </c>
      <c r="U480" s="31">
        <v>0.0</v>
      </c>
      <c r="V480" s="31">
        <v>1.0</v>
      </c>
      <c r="W480" s="35" t="s">
        <v>7045</v>
      </c>
      <c r="X480" s="30">
        <v>47119.0</v>
      </c>
      <c r="Y480" s="30">
        <v>47483.0</v>
      </c>
      <c r="Z480" s="31">
        <v>0.0</v>
      </c>
      <c r="AA480" s="31">
        <v>1.0</v>
      </c>
      <c r="AB480" s="35" t="s">
        <v>7045</v>
      </c>
      <c r="AC480" s="30">
        <v>47484.0</v>
      </c>
      <c r="AD480" s="30">
        <v>47848.0</v>
      </c>
      <c r="AE480" s="31">
        <v>0.0</v>
      </c>
      <c r="AF480" s="31">
        <v>1.0</v>
      </c>
      <c r="AG480" s="35" t="s">
        <v>7045</v>
      </c>
    </row>
    <row r="481" ht="14.25" customHeight="1">
      <c r="A481" s="28" t="s">
        <v>5124</v>
      </c>
      <c r="B481" s="29" t="s">
        <v>5125</v>
      </c>
      <c r="C481" s="29" t="s">
        <v>7041</v>
      </c>
      <c r="D481" s="30">
        <v>45658.0</v>
      </c>
      <c r="E481" s="30">
        <v>46022.0</v>
      </c>
      <c r="F481" s="31">
        <v>0.0</v>
      </c>
      <c r="G481" s="31">
        <v>1.0</v>
      </c>
      <c r="H481" s="35" t="s">
        <v>7045</v>
      </c>
      <c r="I481" s="30">
        <v>46023.0</v>
      </c>
      <c r="J481" s="30">
        <v>46387.0</v>
      </c>
      <c r="K481" s="31">
        <v>0.0</v>
      </c>
      <c r="L481" s="31">
        <v>1.0</v>
      </c>
      <c r="M481" s="35" t="s">
        <v>7045</v>
      </c>
      <c r="N481" s="30">
        <v>46388.0</v>
      </c>
      <c r="O481" s="30">
        <v>46752.0</v>
      </c>
      <c r="P481" s="31">
        <v>0.0</v>
      </c>
      <c r="Q481" s="31">
        <v>1.0</v>
      </c>
      <c r="R481" s="35" t="s">
        <v>7045</v>
      </c>
      <c r="S481" s="30">
        <v>46753.0</v>
      </c>
      <c r="T481" s="30">
        <v>47118.0</v>
      </c>
      <c r="U481" s="31">
        <v>0.0</v>
      </c>
      <c r="V481" s="31">
        <v>1.0</v>
      </c>
      <c r="W481" s="35" t="s">
        <v>7045</v>
      </c>
      <c r="X481" s="30">
        <v>47119.0</v>
      </c>
      <c r="Y481" s="30">
        <v>47483.0</v>
      </c>
      <c r="Z481" s="31">
        <v>0.0</v>
      </c>
      <c r="AA481" s="31">
        <v>1.0</v>
      </c>
      <c r="AB481" s="35" t="s">
        <v>7045</v>
      </c>
      <c r="AC481" s="30">
        <v>47484.0</v>
      </c>
      <c r="AD481" s="30">
        <v>47848.0</v>
      </c>
      <c r="AE481" s="31">
        <v>0.0</v>
      </c>
      <c r="AF481" s="31">
        <v>1.0</v>
      </c>
      <c r="AG481" s="35" t="s">
        <v>7045</v>
      </c>
    </row>
    <row r="482" ht="14.25" customHeight="1">
      <c r="A482" s="28" t="s">
        <v>4988</v>
      </c>
      <c r="B482" s="29" t="s">
        <v>4989</v>
      </c>
      <c r="C482" s="29" t="s">
        <v>7041</v>
      </c>
      <c r="D482" s="30">
        <v>45658.0</v>
      </c>
      <c r="E482" s="30">
        <v>46022.0</v>
      </c>
      <c r="F482" s="31">
        <v>0.0</v>
      </c>
      <c r="G482" s="31">
        <v>1.0</v>
      </c>
      <c r="H482" s="35" t="s">
        <v>7045</v>
      </c>
      <c r="I482" s="30">
        <v>46023.0</v>
      </c>
      <c r="J482" s="30">
        <v>46387.0</v>
      </c>
      <c r="K482" s="31">
        <v>0.0</v>
      </c>
      <c r="L482" s="31">
        <v>1.0</v>
      </c>
      <c r="M482" s="35" t="s">
        <v>7045</v>
      </c>
      <c r="N482" s="30">
        <v>46388.0</v>
      </c>
      <c r="O482" s="30">
        <v>46752.0</v>
      </c>
      <c r="P482" s="31">
        <v>0.0</v>
      </c>
      <c r="Q482" s="31">
        <v>1.0</v>
      </c>
      <c r="R482" s="35" t="s">
        <v>7045</v>
      </c>
      <c r="S482" s="30">
        <v>46753.0</v>
      </c>
      <c r="T482" s="30">
        <v>47118.0</v>
      </c>
      <c r="U482" s="31">
        <v>0.0</v>
      </c>
      <c r="V482" s="31">
        <v>1.0</v>
      </c>
      <c r="W482" s="35" t="s">
        <v>7045</v>
      </c>
      <c r="X482" s="30">
        <v>47119.0</v>
      </c>
      <c r="Y482" s="30">
        <v>47483.0</v>
      </c>
      <c r="Z482" s="31">
        <v>0.0</v>
      </c>
      <c r="AA482" s="31">
        <v>1.0</v>
      </c>
      <c r="AB482" s="35" t="s">
        <v>7045</v>
      </c>
      <c r="AC482" s="30">
        <v>47484.0</v>
      </c>
      <c r="AD482" s="30">
        <v>47848.0</v>
      </c>
      <c r="AE482" s="31">
        <v>0.0</v>
      </c>
      <c r="AF482" s="31">
        <v>1.0</v>
      </c>
      <c r="AG482" s="35" t="s">
        <v>7045</v>
      </c>
    </row>
    <row r="483" ht="14.25" customHeight="1">
      <c r="A483" s="28" t="s">
        <v>867</v>
      </c>
      <c r="B483" s="29" t="s">
        <v>868</v>
      </c>
      <c r="C483" s="29" t="s">
        <v>7041</v>
      </c>
      <c r="D483" s="30">
        <v>45658.0</v>
      </c>
      <c r="E483" s="30">
        <v>46022.0</v>
      </c>
      <c r="F483" s="31">
        <v>0.0</v>
      </c>
      <c r="G483" s="31">
        <v>1.0</v>
      </c>
      <c r="H483" s="35" t="s">
        <v>7045</v>
      </c>
      <c r="I483" s="30">
        <v>46023.0</v>
      </c>
      <c r="J483" s="30">
        <v>46387.0</v>
      </c>
      <c r="K483" s="31">
        <v>0.0</v>
      </c>
      <c r="L483" s="31">
        <v>1.0</v>
      </c>
      <c r="M483" s="35" t="s">
        <v>7045</v>
      </c>
      <c r="N483" s="30">
        <v>46388.0</v>
      </c>
      <c r="O483" s="30">
        <v>46752.0</v>
      </c>
      <c r="P483" s="31">
        <v>0.0</v>
      </c>
      <c r="Q483" s="31">
        <v>1.0</v>
      </c>
      <c r="R483" s="35" t="s">
        <v>7045</v>
      </c>
      <c r="S483" s="30">
        <v>46753.0</v>
      </c>
      <c r="T483" s="30">
        <v>47118.0</v>
      </c>
      <c r="U483" s="31">
        <v>0.0</v>
      </c>
      <c r="V483" s="31">
        <v>1.0</v>
      </c>
      <c r="W483" s="35" t="s">
        <v>7045</v>
      </c>
      <c r="X483" s="30">
        <v>47119.0</v>
      </c>
      <c r="Y483" s="30">
        <v>47483.0</v>
      </c>
      <c r="Z483" s="31">
        <v>0.0</v>
      </c>
      <c r="AA483" s="31">
        <v>1.0</v>
      </c>
      <c r="AB483" s="35" t="s">
        <v>7045</v>
      </c>
      <c r="AC483" s="30">
        <v>47484.0</v>
      </c>
      <c r="AD483" s="30">
        <v>47848.0</v>
      </c>
      <c r="AE483" s="31">
        <v>0.0</v>
      </c>
      <c r="AF483" s="31">
        <v>1.0</v>
      </c>
      <c r="AG483" s="35" t="s">
        <v>7045</v>
      </c>
    </row>
    <row r="484" ht="14.25" customHeight="1">
      <c r="A484" s="28" t="s">
        <v>6912</v>
      </c>
      <c r="B484" s="29" t="s">
        <v>6913</v>
      </c>
      <c r="C484" s="29" t="s">
        <v>7041</v>
      </c>
      <c r="D484" s="30">
        <v>45658.0</v>
      </c>
      <c r="E484" s="30">
        <v>46022.0</v>
      </c>
      <c r="F484" s="31">
        <v>0.0</v>
      </c>
      <c r="G484" s="31">
        <v>1.0</v>
      </c>
      <c r="H484" s="35" t="s">
        <v>7045</v>
      </c>
      <c r="I484" s="30">
        <v>46023.0</v>
      </c>
      <c r="J484" s="30">
        <v>46387.0</v>
      </c>
      <c r="K484" s="31">
        <v>0.0</v>
      </c>
      <c r="L484" s="31">
        <v>1.0</v>
      </c>
      <c r="M484" s="35" t="s">
        <v>7045</v>
      </c>
      <c r="N484" s="30">
        <v>46388.0</v>
      </c>
      <c r="O484" s="30">
        <v>46752.0</v>
      </c>
      <c r="P484" s="31">
        <v>0.0</v>
      </c>
      <c r="Q484" s="31">
        <v>1.0</v>
      </c>
      <c r="R484" s="35" t="s">
        <v>7045</v>
      </c>
      <c r="S484" s="30">
        <v>46753.0</v>
      </c>
      <c r="T484" s="30">
        <v>47118.0</v>
      </c>
      <c r="U484" s="31">
        <v>0.0</v>
      </c>
      <c r="V484" s="31">
        <v>1.0</v>
      </c>
      <c r="W484" s="35" t="s">
        <v>7045</v>
      </c>
      <c r="X484" s="30">
        <v>47119.0</v>
      </c>
      <c r="Y484" s="30">
        <v>47483.0</v>
      </c>
      <c r="Z484" s="31">
        <v>0.0</v>
      </c>
      <c r="AA484" s="31">
        <v>1.0</v>
      </c>
      <c r="AB484" s="35" t="s">
        <v>7045</v>
      </c>
      <c r="AC484" s="30">
        <v>47484.0</v>
      </c>
      <c r="AD484" s="30">
        <v>47848.0</v>
      </c>
      <c r="AE484" s="31">
        <v>0.0</v>
      </c>
      <c r="AF484" s="31">
        <v>1.0</v>
      </c>
      <c r="AG484" s="35" t="s">
        <v>7045</v>
      </c>
    </row>
    <row r="485" ht="14.25" customHeight="1">
      <c r="A485" s="28" t="s">
        <v>1938</v>
      </c>
      <c r="B485" s="29" t="s">
        <v>1939</v>
      </c>
      <c r="C485" s="29" t="s">
        <v>7041</v>
      </c>
      <c r="D485" s="30">
        <v>45658.0</v>
      </c>
      <c r="E485" s="30">
        <v>46022.0</v>
      </c>
      <c r="F485" s="31">
        <v>0.0</v>
      </c>
      <c r="G485" s="31">
        <v>1.0</v>
      </c>
      <c r="H485" s="35" t="s">
        <v>7045</v>
      </c>
      <c r="I485" s="30">
        <v>46023.0</v>
      </c>
      <c r="J485" s="30">
        <v>46387.0</v>
      </c>
      <c r="K485" s="31">
        <v>0.0</v>
      </c>
      <c r="L485" s="31">
        <v>1.0</v>
      </c>
      <c r="M485" s="35" t="s">
        <v>7045</v>
      </c>
      <c r="N485" s="30">
        <v>46388.0</v>
      </c>
      <c r="O485" s="30">
        <v>46752.0</v>
      </c>
      <c r="P485" s="31">
        <v>0.0</v>
      </c>
      <c r="Q485" s="31">
        <v>1.0</v>
      </c>
      <c r="R485" s="35" t="s">
        <v>7045</v>
      </c>
      <c r="S485" s="30">
        <v>46753.0</v>
      </c>
      <c r="T485" s="30">
        <v>47118.0</v>
      </c>
      <c r="U485" s="31">
        <v>0.0</v>
      </c>
      <c r="V485" s="31">
        <v>1.0</v>
      </c>
      <c r="W485" s="35" t="s">
        <v>7045</v>
      </c>
      <c r="X485" s="30">
        <v>47119.0</v>
      </c>
      <c r="Y485" s="30">
        <v>47483.0</v>
      </c>
      <c r="Z485" s="31">
        <v>0.0</v>
      </c>
      <c r="AA485" s="31">
        <v>1.0</v>
      </c>
      <c r="AB485" s="35" t="s">
        <v>7045</v>
      </c>
      <c r="AC485" s="30">
        <v>47484.0</v>
      </c>
      <c r="AD485" s="30">
        <v>47848.0</v>
      </c>
      <c r="AE485" s="31">
        <v>0.0</v>
      </c>
      <c r="AF485" s="31">
        <v>1.0</v>
      </c>
      <c r="AG485" s="35" t="s">
        <v>7045</v>
      </c>
    </row>
    <row r="486" ht="14.25" customHeight="1">
      <c r="A486" s="28" t="s">
        <v>1218</v>
      </c>
      <c r="B486" s="29" t="s">
        <v>1219</v>
      </c>
      <c r="C486" s="29" t="s">
        <v>7041</v>
      </c>
      <c r="D486" s="30">
        <v>45658.0</v>
      </c>
      <c r="E486" s="30">
        <v>46022.0</v>
      </c>
      <c r="F486" s="31">
        <v>0.0</v>
      </c>
      <c r="G486" s="31">
        <v>1.0</v>
      </c>
      <c r="H486" s="35" t="s">
        <v>7045</v>
      </c>
      <c r="I486" s="30">
        <v>46023.0</v>
      </c>
      <c r="J486" s="30">
        <v>46387.0</v>
      </c>
      <c r="K486" s="31">
        <v>0.0</v>
      </c>
      <c r="L486" s="31">
        <v>1.0</v>
      </c>
      <c r="M486" s="35" t="s">
        <v>7045</v>
      </c>
      <c r="N486" s="30">
        <v>46388.0</v>
      </c>
      <c r="O486" s="30">
        <v>46752.0</v>
      </c>
      <c r="P486" s="31">
        <v>0.0</v>
      </c>
      <c r="Q486" s="31">
        <v>1.0</v>
      </c>
      <c r="R486" s="35" t="s">
        <v>7045</v>
      </c>
      <c r="S486" s="30">
        <v>46753.0</v>
      </c>
      <c r="T486" s="30">
        <v>47118.0</v>
      </c>
      <c r="U486" s="31">
        <v>0.0</v>
      </c>
      <c r="V486" s="31">
        <v>1.0</v>
      </c>
      <c r="W486" s="35" t="s">
        <v>7045</v>
      </c>
      <c r="X486" s="30">
        <v>47119.0</v>
      </c>
      <c r="Y486" s="30">
        <v>47483.0</v>
      </c>
      <c r="Z486" s="31">
        <v>0.0</v>
      </c>
      <c r="AA486" s="31">
        <v>1.0</v>
      </c>
      <c r="AB486" s="35" t="s">
        <v>7045</v>
      </c>
      <c r="AC486" s="30">
        <v>47484.0</v>
      </c>
      <c r="AD486" s="30">
        <v>47848.0</v>
      </c>
      <c r="AE486" s="31">
        <v>0.0</v>
      </c>
      <c r="AF486" s="31">
        <v>1.0</v>
      </c>
      <c r="AG486" s="35" t="s">
        <v>7045</v>
      </c>
    </row>
    <row r="487" ht="14.25" customHeight="1">
      <c r="A487" s="28" t="s">
        <v>2259</v>
      </c>
      <c r="B487" s="29" t="s">
        <v>2260</v>
      </c>
      <c r="C487" s="29" t="s">
        <v>7041</v>
      </c>
      <c r="D487" s="30">
        <v>45658.0</v>
      </c>
      <c r="E487" s="30">
        <v>46022.0</v>
      </c>
      <c r="F487" s="31">
        <v>0.0</v>
      </c>
      <c r="G487" s="31">
        <v>1.0</v>
      </c>
      <c r="H487" s="35" t="s">
        <v>7045</v>
      </c>
      <c r="I487" s="30">
        <v>46023.0</v>
      </c>
      <c r="J487" s="30">
        <v>46387.0</v>
      </c>
      <c r="K487" s="31">
        <v>0.0</v>
      </c>
      <c r="L487" s="31">
        <v>1.0</v>
      </c>
      <c r="M487" s="35" t="s">
        <v>7045</v>
      </c>
      <c r="N487" s="30">
        <v>46388.0</v>
      </c>
      <c r="O487" s="30">
        <v>46752.0</v>
      </c>
      <c r="P487" s="31">
        <v>0.0</v>
      </c>
      <c r="Q487" s="31">
        <v>1.0</v>
      </c>
      <c r="R487" s="35" t="s">
        <v>7045</v>
      </c>
      <c r="S487" s="30">
        <v>46753.0</v>
      </c>
      <c r="T487" s="30">
        <v>47118.0</v>
      </c>
      <c r="U487" s="31">
        <v>0.0</v>
      </c>
      <c r="V487" s="31">
        <v>1.0</v>
      </c>
      <c r="W487" s="35" t="s">
        <v>7045</v>
      </c>
      <c r="X487" s="30">
        <v>47119.0</v>
      </c>
      <c r="Y487" s="30">
        <v>47483.0</v>
      </c>
      <c r="Z487" s="31">
        <v>0.0</v>
      </c>
      <c r="AA487" s="31">
        <v>1.0</v>
      </c>
      <c r="AB487" s="35" t="s">
        <v>7045</v>
      </c>
      <c r="AC487" s="30">
        <v>47484.0</v>
      </c>
      <c r="AD487" s="30">
        <v>47848.0</v>
      </c>
      <c r="AE487" s="31">
        <v>0.0</v>
      </c>
      <c r="AF487" s="31">
        <v>1.0</v>
      </c>
      <c r="AG487" s="35" t="s">
        <v>7045</v>
      </c>
    </row>
    <row r="488" ht="14.25" customHeight="1">
      <c r="A488" s="28" t="s">
        <v>3246</v>
      </c>
      <c r="B488" s="29" t="s">
        <v>3247</v>
      </c>
      <c r="C488" s="29" t="s">
        <v>7041</v>
      </c>
      <c r="D488" s="30">
        <v>45658.0</v>
      </c>
      <c r="E488" s="30">
        <v>46022.0</v>
      </c>
      <c r="F488" s="31">
        <v>0.0</v>
      </c>
      <c r="G488" s="31">
        <v>1.0</v>
      </c>
      <c r="H488" s="35" t="s">
        <v>7045</v>
      </c>
      <c r="I488" s="30">
        <v>46023.0</v>
      </c>
      <c r="J488" s="30">
        <v>46387.0</v>
      </c>
      <c r="K488" s="31">
        <v>0.0</v>
      </c>
      <c r="L488" s="31">
        <v>1.0</v>
      </c>
      <c r="M488" s="35" t="s">
        <v>7045</v>
      </c>
      <c r="N488" s="30">
        <v>46388.0</v>
      </c>
      <c r="O488" s="30">
        <v>46752.0</v>
      </c>
      <c r="P488" s="31">
        <v>0.0</v>
      </c>
      <c r="Q488" s="31">
        <v>1.0</v>
      </c>
      <c r="R488" s="35" t="s">
        <v>7045</v>
      </c>
      <c r="S488" s="30">
        <v>46753.0</v>
      </c>
      <c r="T488" s="30">
        <v>47118.0</v>
      </c>
      <c r="U488" s="31">
        <v>0.0</v>
      </c>
      <c r="V488" s="31">
        <v>1.0</v>
      </c>
      <c r="W488" s="35" t="s">
        <v>7045</v>
      </c>
      <c r="X488" s="30">
        <v>47119.0</v>
      </c>
      <c r="Y488" s="30">
        <v>47483.0</v>
      </c>
      <c r="Z488" s="31">
        <v>0.0</v>
      </c>
      <c r="AA488" s="31">
        <v>1.0</v>
      </c>
      <c r="AB488" s="35" t="s">
        <v>7045</v>
      </c>
      <c r="AC488" s="30">
        <v>47484.0</v>
      </c>
      <c r="AD488" s="30">
        <v>47848.0</v>
      </c>
      <c r="AE488" s="31">
        <v>0.0</v>
      </c>
      <c r="AF488" s="31">
        <v>1.0</v>
      </c>
      <c r="AG488" s="35" t="s">
        <v>7045</v>
      </c>
    </row>
    <row r="489" ht="14.25" customHeight="1">
      <c r="A489" s="28" t="s">
        <v>321</v>
      </c>
      <c r="B489" s="29" t="s">
        <v>322</v>
      </c>
      <c r="C489" s="29" t="s">
        <v>7041</v>
      </c>
      <c r="D489" s="30">
        <v>45658.0</v>
      </c>
      <c r="E489" s="30">
        <v>46022.0</v>
      </c>
      <c r="F489" s="31">
        <v>0.0</v>
      </c>
      <c r="G489" s="31">
        <v>1.0</v>
      </c>
      <c r="H489" s="35" t="s">
        <v>7045</v>
      </c>
      <c r="I489" s="30">
        <v>46023.0</v>
      </c>
      <c r="J489" s="30">
        <v>46387.0</v>
      </c>
      <c r="K489" s="31">
        <v>0.0</v>
      </c>
      <c r="L489" s="31">
        <v>1.0</v>
      </c>
      <c r="M489" s="35" t="s">
        <v>7045</v>
      </c>
      <c r="N489" s="30">
        <v>46388.0</v>
      </c>
      <c r="O489" s="30">
        <v>46752.0</v>
      </c>
      <c r="P489" s="31">
        <v>0.0</v>
      </c>
      <c r="Q489" s="31">
        <v>1.0</v>
      </c>
      <c r="R489" s="35" t="s">
        <v>7045</v>
      </c>
      <c r="S489" s="30">
        <v>46753.0</v>
      </c>
      <c r="T489" s="30">
        <v>47118.0</v>
      </c>
      <c r="U489" s="31">
        <v>0.0</v>
      </c>
      <c r="V489" s="31">
        <v>1.0</v>
      </c>
      <c r="W489" s="35" t="s">
        <v>7045</v>
      </c>
      <c r="X489" s="30">
        <v>47119.0</v>
      </c>
      <c r="Y489" s="30">
        <v>47483.0</v>
      </c>
      <c r="Z489" s="31">
        <v>0.0</v>
      </c>
      <c r="AA489" s="31">
        <v>1.0</v>
      </c>
      <c r="AB489" s="35" t="s">
        <v>7045</v>
      </c>
      <c r="AC489" s="30">
        <v>47484.0</v>
      </c>
      <c r="AD489" s="30">
        <v>47848.0</v>
      </c>
      <c r="AE489" s="31">
        <v>0.0</v>
      </c>
      <c r="AF489" s="31">
        <v>1.0</v>
      </c>
      <c r="AG489" s="35" t="s">
        <v>7045</v>
      </c>
    </row>
    <row r="490" ht="14.25" customHeight="1">
      <c r="A490" s="28" t="s">
        <v>494</v>
      </c>
      <c r="B490" s="29" t="s">
        <v>495</v>
      </c>
      <c r="C490" s="29" t="s">
        <v>7041</v>
      </c>
      <c r="D490" s="30">
        <v>45658.0</v>
      </c>
      <c r="E490" s="30">
        <v>46022.0</v>
      </c>
      <c r="F490" s="31">
        <v>0.0</v>
      </c>
      <c r="G490" s="31">
        <v>1.0</v>
      </c>
      <c r="H490" s="35" t="s">
        <v>7045</v>
      </c>
      <c r="I490" s="30">
        <v>46023.0</v>
      </c>
      <c r="J490" s="30">
        <v>46387.0</v>
      </c>
      <c r="K490" s="31">
        <v>0.0</v>
      </c>
      <c r="L490" s="31">
        <v>1.0</v>
      </c>
      <c r="M490" s="35" t="s">
        <v>7045</v>
      </c>
      <c r="N490" s="30">
        <v>46388.0</v>
      </c>
      <c r="O490" s="30">
        <v>46752.0</v>
      </c>
      <c r="P490" s="31">
        <v>0.0</v>
      </c>
      <c r="Q490" s="31">
        <v>1.0</v>
      </c>
      <c r="R490" s="35" t="s">
        <v>7045</v>
      </c>
      <c r="S490" s="30">
        <v>46753.0</v>
      </c>
      <c r="T490" s="30">
        <v>47118.0</v>
      </c>
      <c r="U490" s="31">
        <v>0.0</v>
      </c>
      <c r="V490" s="31">
        <v>1.0</v>
      </c>
      <c r="W490" s="35" t="s">
        <v>7045</v>
      </c>
      <c r="X490" s="30">
        <v>47119.0</v>
      </c>
      <c r="Y490" s="30">
        <v>47483.0</v>
      </c>
      <c r="Z490" s="31">
        <v>0.0</v>
      </c>
      <c r="AA490" s="31">
        <v>1.0</v>
      </c>
      <c r="AB490" s="35" t="s">
        <v>7045</v>
      </c>
      <c r="AC490" s="30">
        <v>47484.0</v>
      </c>
      <c r="AD490" s="30">
        <v>47848.0</v>
      </c>
      <c r="AE490" s="31">
        <v>0.0</v>
      </c>
      <c r="AF490" s="31">
        <v>1.0</v>
      </c>
      <c r="AG490" s="35" t="s">
        <v>7045</v>
      </c>
    </row>
    <row r="491" ht="14.25" customHeight="1">
      <c r="A491" s="28" t="s">
        <v>1240</v>
      </c>
      <c r="B491" s="29" t="s">
        <v>1241</v>
      </c>
      <c r="C491" s="29" t="s">
        <v>7041</v>
      </c>
      <c r="D491" s="30">
        <v>45658.0</v>
      </c>
      <c r="E491" s="30">
        <v>46022.0</v>
      </c>
      <c r="F491" s="31">
        <v>0.0</v>
      </c>
      <c r="G491" s="31">
        <v>1.0</v>
      </c>
      <c r="H491" s="35" t="s">
        <v>7045</v>
      </c>
      <c r="I491" s="30">
        <v>46023.0</v>
      </c>
      <c r="J491" s="30">
        <v>46387.0</v>
      </c>
      <c r="K491" s="31">
        <v>0.0</v>
      </c>
      <c r="L491" s="31">
        <v>1.0</v>
      </c>
      <c r="M491" s="35" t="s">
        <v>7045</v>
      </c>
      <c r="N491" s="30">
        <v>46388.0</v>
      </c>
      <c r="O491" s="30">
        <v>46752.0</v>
      </c>
      <c r="P491" s="31">
        <v>0.0</v>
      </c>
      <c r="Q491" s="31">
        <v>1.0</v>
      </c>
      <c r="R491" s="35" t="s">
        <v>7045</v>
      </c>
      <c r="S491" s="30">
        <v>46753.0</v>
      </c>
      <c r="T491" s="30">
        <v>47118.0</v>
      </c>
      <c r="U491" s="31">
        <v>0.0</v>
      </c>
      <c r="V491" s="31">
        <v>1.0</v>
      </c>
      <c r="W491" s="35" t="s">
        <v>7045</v>
      </c>
      <c r="X491" s="30">
        <v>47119.0</v>
      </c>
      <c r="Y491" s="30">
        <v>47483.0</v>
      </c>
      <c r="Z491" s="31">
        <v>0.0</v>
      </c>
      <c r="AA491" s="31">
        <v>1.0</v>
      </c>
      <c r="AB491" s="35" t="s">
        <v>7045</v>
      </c>
      <c r="AC491" s="30">
        <v>47484.0</v>
      </c>
      <c r="AD491" s="30">
        <v>47848.0</v>
      </c>
      <c r="AE491" s="31">
        <v>0.0</v>
      </c>
      <c r="AF491" s="31">
        <v>1.0</v>
      </c>
      <c r="AG491" s="35" t="s">
        <v>7045</v>
      </c>
    </row>
    <row r="492" ht="14.25" customHeight="1">
      <c r="A492" s="28" t="s">
        <v>6864</v>
      </c>
      <c r="B492" s="29" t="s">
        <v>6865</v>
      </c>
      <c r="C492" s="29" t="s">
        <v>7041</v>
      </c>
      <c r="D492" s="30">
        <v>45658.0</v>
      </c>
      <c r="E492" s="30">
        <v>46022.0</v>
      </c>
      <c r="F492" s="31">
        <v>0.0</v>
      </c>
      <c r="G492" s="31">
        <v>1.0</v>
      </c>
      <c r="H492" s="35" t="s">
        <v>7045</v>
      </c>
      <c r="I492" s="30">
        <v>46023.0</v>
      </c>
      <c r="J492" s="30">
        <v>46387.0</v>
      </c>
      <c r="K492" s="31">
        <v>0.0</v>
      </c>
      <c r="L492" s="31">
        <v>1.0</v>
      </c>
      <c r="M492" s="35" t="s">
        <v>7045</v>
      </c>
      <c r="N492" s="30">
        <v>46388.0</v>
      </c>
      <c r="O492" s="30">
        <v>46752.0</v>
      </c>
      <c r="P492" s="31">
        <v>0.0</v>
      </c>
      <c r="Q492" s="31">
        <v>1.0</v>
      </c>
      <c r="R492" s="35" t="s">
        <v>7045</v>
      </c>
      <c r="S492" s="30">
        <v>46753.0</v>
      </c>
      <c r="T492" s="30">
        <v>47118.0</v>
      </c>
      <c r="U492" s="31">
        <v>0.0</v>
      </c>
      <c r="V492" s="31">
        <v>1.0</v>
      </c>
      <c r="W492" s="35" t="s">
        <v>7045</v>
      </c>
      <c r="X492" s="30">
        <v>47119.0</v>
      </c>
      <c r="Y492" s="30">
        <v>47483.0</v>
      </c>
      <c r="Z492" s="31">
        <v>0.0</v>
      </c>
      <c r="AA492" s="31">
        <v>1.0</v>
      </c>
      <c r="AB492" s="35" t="s">
        <v>7045</v>
      </c>
      <c r="AC492" s="30">
        <v>47484.0</v>
      </c>
      <c r="AD492" s="30">
        <v>47848.0</v>
      </c>
      <c r="AE492" s="31">
        <v>0.0</v>
      </c>
      <c r="AF492" s="31">
        <v>1.0</v>
      </c>
      <c r="AG492" s="35" t="s">
        <v>7045</v>
      </c>
    </row>
    <row r="493" ht="14.25" customHeight="1">
      <c r="A493" s="28" t="s">
        <v>6402</v>
      </c>
      <c r="B493" s="29" t="s">
        <v>6403</v>
      </c>
      <c r="C493" s="29" t="s">
        <v>7041</v>
      </c>
      <c r="D493" s="30">
        <v>45658.0</v>
      </c>
      <c r="E493" s="30">
        <v>46022.0</v>
      </c>
      <c r="F493" s="31">
        <v>0.0</v>
      </c>
      <c r="G493" s="31">
        <v>1.0</v>
      </c>
      <c r="H493" s="35" t="s">
        <v>7045</v>
      </c>
      <c r="I493" s="30">
        <v>46023.0</v>
      </c>
      <c r="J493" s="30">
        <v>46387.0</v>
      </c>
      <c r="K493" s="31">
        <v>0.0</v>
      </c>
      <c r="L493" s="31">
        <v>1.0</v>
      </c>
      <c r="M493" s="35" t="s">
        <v>7045</v>
      </c>
      <c r="N493" s="30">
        <v>46388.0</v>
      </c>
      <c r="O493" s="30">
        <v>46752.0</v>
      </c>
      <c r="P493" s="31">
        <v>0.0</v>
      </c>
      <c r="Q493" s="31">
        <v>1.0</v>
      </c>
      <c r="R493" s="35" t="s">
        <v>7045</v>
      </c>
      <c r="S493" s="30">
        <v>46753.0</v>
      </c>
      <c r="T493" s="30">
        <v>47118.0</v>
      </c>
      <c r="U493" s="31">
        <v>0.0</v>
      </c>
      <c r="V493" s="31">
        <v>1.0</v>
      </c>
      <c r="W493" s="35" t="s">
        <v>7045</v>
      </c>
      <c r="X493" s="30">
        <v>47119.0</v>
      </c>
      <c r="Y493" s="30">
        <v>47483.0</v>
      </c>
      <c r="Z493" s="31">
        <v>0.0</v>
      </c>
      <c r="AA493" s="31">
        <v>1.0</v>
      </c>
      <c r="AB493" s="35" t="s">
        <v>7045</v>
      </c>
      <c r="AC493" s="30">
        <v>47484.0</v>
      </c>
      <c r="AD493" s="30">
        <v>47848.0</v>
      </c>
      <c r="AE493" s="31">
        <v>0.0</v>
      </c>
      <c r="AF493" s="31">
        <v>1.0</v>
      </c>
      <c r="AG493" s="35" t="s">
        <v>7045</v>
      </c>
    </row>
    <row r="494" ht="14.25" customHeight="1">
      <c r="A494" s="28" t="s">
        <v>2719</v>
      </c>
      <c r="B494" s="29" t="s">
        <v>2720</v>
      </c>
      <c r="C494" s="29" t="s">
        <v>7041</v>
      </c>
      <c r="D494" s="30">
        <v>45658.0</v>
      </c>
      <c r="E494" s="30">
        <v>46022.0</v>
      </c>
      <c r="F494" s="31">
        <v>0.0</v>
      </c>
      <c r="G494" s="31">
        <v>1.0</v>
      </c>
      <c r="H494" s="35" t="s">
        <v>7045</v>
      </c>
      <c r="I494" s="30">
        <v>46023.0</v>
      </c>
      <c r="J494" s="30">
        <v>46387.0</v>
      </c>
      <c r="K494" s="31">
        <v>0.0</v>
      </c>
      <c r="L494" s="31">
        <v>1.0</v>
      </c>
      <c r="M494" s="35" t="s">
        <v>7045</v>
      </c>
      <c r="N494" s="30">
        <v>46388.0</v>
      </c>
      <c r="O494" s="30">
        <v>46752.0</v>
      </c>
      <c r="P494" s="31">
        <v>0.0</v>
      </c>
      <c r="Q494" s="31">
        <v>1.0</v>
      </c>
      <c r="R494" s="35" t="s">
        <v>7045</v>
      </c>
      <c r="S494" s="30">
        <v>46753.0</v>
      </c>
      <c r="T494" s="30">
        <v>47118.0</v>
      </c>
      <c r="U494" s="31">
        <v>0.0</v>
      </c>
      <c r="V494" s="31">
        <v>1.0</v>
      </c>
      <c r="W494" s="35" t="s">
        <v>7045</v>
      </c>
      <c r="X494" s="30">
        <v>47119.0</v>
      </c>
      <c r="Y494" s="30">
        <v>47483.0</v>
      </c>
      <c r="Z494" s="31">
        <v>0.0</v>
      </c>
      <c r="AA494" s="31">
        <v>1.0</v>
      </c>
      <c r="AB494" s="35" t="s">
        <v>7045</v>
      </c>
      <c r="AC494" s="30">
        <v>47484.0</v>
      </c>
      <c r="AD494" s="30">
        <v>47848.0</v>
      </c>
      <c r="AE494" s="31">
        <v>0.0</v>
      </c>
      <c r="AF494" s="31">
        <v>1.0</v>
      </c>
      <c r="AG494" s="35" t="s">
        <v>7045</v>
      </c>
    </row>
    <row r="495" ht="14.25" customHeight="1">
      <c r="A495" s="28" t="s">
        <v>2301</v>
      </c>
      <c r="B495" s="29" t="s">
        <v>2302</v>
      </c>
      <c r="C495" s="29" t="s">
        <v>7041</v>
      </c>
      <c r="D495" s="30">
        <v>45658.0</v>
      </c>
      <c r="E495" s="30">
        <v>46022.0</v>
      </c>
      <c r="F495" s="31">
        <v>0.0</v>
      </c>
      <c r="G495" s="31">
        <v>1.0</v>
      </c>
      <c r="H495" s="35" t="s">
        <v>7045</v>
      </c>
      <c r="I495" s="30">
        <v>46023.0</v>
      </c>
      <c r="J495" s="30">
        <v>46387.0</v>
      </c>
      <c r="K495" s="31">
        <v>0.0</v>
      </c>
      <c r="L495" s="31">
        <v>1.0</v>
      </c>
      <c r="M495" s="35" t="s">
        <v>7045</v>
      </c>
      <c r="N495" s="30">
        <v>46388.0</v>
      </c>
      <c r="O495" s="30">
        <v>46752.0</v>
      </c>
      <c r="P495" s="31">
        <v>0.0</v>
      </c>
      <c r="Q495" s="31">
        <v>1.0</v>
      </c>
      <c r="R495" s="35" t="s">
        <v>7045</v>
      </c>
      <c r="S495" s="30">
        <v>46753.0</v>
      </c>
      <c r="T495" s="30">
        <v>47118.0</v>
      </c>
      <c r="U495" s="31">
        <v>0.0</v>
      </c>
      <c r="V495" s="31">
        <v>1.0</v>
      </c>
      <c r="W495" s="35" t="s">
        <v>7045</v>
      </c>
      <c r="X495" s="30">
        <v>47119.0</v>
      </c>
      <c r="Y495" s="30">
        <v>47483.0</v>
      </c>
      <c r="Z495" s="31">
        <v>0.0</v>
      </c>
      <c r="AA495" s="31">
        <v>1.0</v>
      </c>
      <c r="AB495" s="35" t="s">
        <v>7045</v>
      </c>
      <c r="AC495" s="30">
        <v>47484.0</v>
      </c>
      <c r="AD495" s="30">
        <v>47848.0</v>
      </c>
      <c r="AE495" s="31">
        <v>0.0</v>
      </c>
      <c r="AF495" s="31">
        <v>1.0</v>
      </c>
      <c r="AG495" s="35" t="s">
        <v>7045</v>
      </c>
    </row>
    <row r="496" ht="14.25" customHeight="1">
      <c r="A496" s="28" t="s">
        <v>3120</v>
      </c>
      <c r="B496" s="29" t="s">
        <v>3121</v>
      </c>
      <c r="C496" s="29" t="s">
        <v>7041</v>
      </c>
      <c r="D496" s="30">
        <v>45658.0</v>
      </c>
      <c r="E496" s="30">
        <v>46022.0</v>
      </c>
      <c r="F496" s="31">
        <v>0.0</v>
      </c>
      <c r="G496" s="31">
        <v>1.0</v>
      </c>
      <c r="H496" s="35" t="s">
        <v>7045</v>
      </c>
      <c r="I496" s="30">
        <v>46023.0</v>
      </c>
      <c r="J496" s="30">
        <v>46387.0</v>
      </c>
      <c r="K496" s="31">
        <v>0.0</v>
      </c>
      <c r="L496" s="31">
        <v>1.0</v>
      </c>
      <c r="M496" s="35" t="s">
        <v>7045</v>
      </c>
      <c r="N496" s="30">
        <v>46388.0</v>
      </c>
      <c r="O496" s="30">
        <v>46752.0</v>
      </c>
      <c r="P496" s="31">
        <v>0.0</v>
      </c>
      <c r="Q496" s="31">
        <v>1.0</v>
      </c>
      <c r="R496" s="35" t="s">
        <v>7045</v>
      </c>
      <c r="S496" s="30">
        <v>46753.0</v>
      </c>
      <c r="T496" s="30">
        <v>47118.0</v>
      </c>
      <c r="U496" s="31">
        <v>0.0</v>
      </c>
      <c r="V496" s="31">
        <v>1.0</v>
      </c>
      <c r="W496" s="35" t="s">
        <v>7045</v>
      </c>
      <c r="X496" s="30">
        <v>47119.0</v>
      </c>
      <c r="Y496" s="30">
        <v>47483.0</v>
      </c>
      <c r="Z496" s="31">
        <v>0.0</v>
      </c>
      <c r="AA496" s="31">
        <v>1.0</v>
      </c>
      <c r="AB496" s="35" t="s">
        <v>7045</v>
      </c>
      <c r="AC496" s="30">
        <v>47484.0</v>
      </c>
      <c r="AD496" s="30">
        <v>47848.0</v>
      </c>
      <c r="AE496" s="31">
        <v>0.0</v>
      </c>
      <c r="AF496" s="31">
        <v>1.0</v>
      </c>
      <c r="AG496" s="35" t="s">
        <v>7045</v>
      </c>
    </row>
    <row r="497" ht="14.25" customHeight="1">
      <c r="A497" s="28" t="s">
        <v>7022</v>
      </c>
      <c r="B497" s="29" t="s">
        <v>7023</v>
      </c>
      <c r="C497" s="29" t="s">
        <v>7041</v>
      </c>
      <c r="D497" s="30">
        <v>45658.0</v>
      </c>
      <c r="E497" s="30">
        <v>46022.0</v>
      </c>
      <c r="F497" s="31">
        <v>0.0</v>
      </c>
      <c r="G497" s="31">
        <v>1.0</v>
      </c>
      <c r="H497" s="35" t="s">
        <v>7045</v>
      </c>
      <c r="I497" s="30">
        <v>46023.0</v>
      </c>
      <c r="J497" s="30">
        <v>46387.0</v>
      </c>
      <c r="K497" s="31">
        <v>0.0</v>
      </c>
      <c r="L497" s="31">
        <v>1.0</v>
      </c>
      <c r="M497" s="35" t="s">
        <v>7045</v>
      </c>
      <c r="N497" s="30">
        <v>46388.0</v>
      </c>
      <c r="O497" s="30">
        <v>46752.0</v>
      </c>
      <c r="P497" s="31">
        <v>0.0</v>
      </c>
      <c r="Q497" s="31">
        <v>1.0</v>
      </c>
      <c r="R497" s="35" t="s">
        <v>7045</v>
      </c>
      <c r="S497" s="30">
        <v>46753.0</v>
      </c>
      <c r="T497" s="30">
        <v>47118.0</v>
      </c>
      <c r="U497" s="31">
        <v>0.0</v>
      </c>
      <c r="V497" s="31">
        <v>1.0</v>
      </c>
      <c r="W497" s="35" t="s">
        <v>7045</v>
      </c>
      <c r="X497" s="30">
        <v>47119.0</v>
      </c>
      <c r="Y497" s="30">
        <v>47483.0</v>
      </c>
      <c r="Z497" s="31">
        <v>0.0</v>
      </c>
      <c r="AA497" s="31">
        <v>1.0</v>
      </c>
      <c r="AB497" s="35" t="s">
        <v>7045</v>
      </c>
      <c r="AC497" s="30">
        <v>47484.0</v>
      </c>
      <c r="AD497" s="30">
        <v>47848.0</v>
      </c>
      <c r="AE497" s="31">
        <v>0.0</v>
      </c>
      <c r="AF497" s="31">
        <v>1.0</v>
      </c>
      <c r="AG497" s="35" t="s">
        <v>7045</v>
      </c>
    </row>
    <row r="498" ht="14.25" customHeight="1">
      <c r="A498" s="28" t="s">
        <v>6684</v>
      </c>
      <c r="B498" s="29" t="s">
        <v>6685</v>
      </c>
      <c r="C498" s="29" t="s">
        <v>7041</v>
      </c>
      <c r="D498" s="30">
        <v>45658.0</v>
      </c>
      <c r="E498" s="30">
        <v>46022.0</v>
      </c>
      <c r="F498" s="31">
        <v>0.0</v>
      </c>
      <c r="G498" s="31">
        <v>1.0</v>
      </c>
      <c r="H498" s="35" t="s">
        <v>7045</v>
      </c>
      <c r="I498" s="30">
        <v>46023.0</v>
      </c>
      <c r="J498" s="30">
        <v>46387.0</v>
      </c>
      <c r="K498" s="31">
        <v>0.0</v>
      </c>
      <c r="L498" s="31">
        <v>1.0</v>
      </c>
      <c r="M498" s="35" t="s">
        <v>7045</v>
      </c>
      <c r="N498" s="30">
        <v>46388.0</v>
      </c>
      <c r="O498" s="30">
        <v>46752.0</v>
      </c>
      <c r="P498" s="31">
        <v>0.0</v>
      </c>
      <c r="Q498" s="31">
        <v>1.0</v>
      </c>
      <c r="R498" s="35" t="s">
        <v>7045</v>
      </c>
      <c r="S498" s="30">
        <v>46753.0</v>
      </c>
      <c r="T498" s="30">
        <v>47118.0</v>
      </c>
      <c r="U498" s="31">
        <v>0.0</v>
      </c>
      <c r="V498" s="31">
        <v>1.0</v>
      </c>
      <c r="W498" s="35" t="s">
        <v>7045</v>
      </c>
      <c r="X498" s="30">
        <v>47119.0</v>
      </c>
      <c r="Y498" s="30">
        <v>47483.0</v>
      </c>
      <c r="Z498" s="31">
        <v>0.0</v>
      </c>
      <c r="AA498" s="31">
        <v>1.0</v>
      </c>
      <c r="AB498" s="35" t="s">
        <v>7045</v>
      </c>
      <c r="AC498" s="30">
        <v>47484.0</v>
      </c>
      <c r="AD498" s="30">
        <v>47848.0</v>
      </c>
      <c r="AE498" s="31">
        <v>0.0</v>
      </c>
      <c r="AF498" s="31">
        <v>1.0</v>
      </c>
      <c r="AG498" s="35" t="s">
        <v>7045</v>
      </c>
    </row>
    <row r="499" ht="14.25" customHeight="1">
      <c r="A499" s="28" t="s">
        <v>4798</v>
      </c>
      <c r="B499" s="29" t="s">
        <v>4799</v>
      </c>
      <c r="C499" s="29" t="s">
        <v>7041</v>
      </c>
      <c r="D499" s="30">
        <v>45658.0</v>
      </c>
      <c r="E499" s="30">
        <v>46022.0</v>
      </c>
      <c r="F499" s="31">
        <v>0.0</v>
      </c>
      <c r="G499" s="31">
        <v>1.0</v>
      </c>
      <c r="H499" s="35" t="s">
        <v>7045</v>
      </c>
      <c r="I499" s="30">
        <v>46023.0</v>
      </c>
      <c r="J499" s="30">
        <v>46387.0</v>
      </c>
      <c r="K499" s="31">
        <v>0.0</v>
      </c>
      <c r="L499" s="31">
        <v>1.0</v>
      </c>
      <c r="M499" s="35" t="s">
        <v>7045</v>
      </c>
      <c r="N499" s="30">
        <v>46388.0</v>
      </c>
      <c r="O499" s="30">
        <v>46752.0</v>
      </c>
      <c r="P499" s="31">
        <v>0.0</v>
      </c>
      <c r="Q499" s="31">
        <v>1.0</v>
      </c>
      <c r="R499" s="35" t="s">
        <v>7045</v>
      </c>
      <c r="S499" s="30">
        <v>46753.0</v>
      </c>
      <c r="T499" s="30">
        <v>47118.0</v>
      </c>
      <c r="U499" s="31">
        <v>0.0</v>
      </c>
      <c r="V499" s="31">
        <v>1.0</v>
      </c>
      <c r="W499" s="35" t="s">
        <v>7045</v>
      </c>
      <c r="X499" s="30">
        <v>47119.0</v>
      </c>
      <c r="Y499" s="30">
        <v>47483.0</v>
      </c>
      <c r="Z499" s="31">
        <v>0.0</v>
      </c>
      <c r="AA499" s="31">
        <v>1.0</v>
      </c>
      <c r="AB499" s="35" t="s">
        <v>7045</v>
      </c>
      <c r="AC499" s="30">
        <v>47484.0</v>
      </c>
      <c r="AD499" s="30">
        <v>47848.0</v>
      </c>
      <c r="AE499" s="31">
        <v>0.0</v>
      </c>
      <c r="AF499" s="31">
        <v>1.0</v>
      </c>
      <c r="AG499" s="35" t="s">
        <v>7045</v>
      </c>
    </row>
    <row r="500" ht="14.25" customHeight="1">
      <c r="A500" s="28" t="s">
        <v>3206</v>
      </c>
      <c r="B500" s="29" t="s">
        <v>3207</v>
      </c>
      <c r="C500" s="29" t="s">
        <v>7041</v>
      </c>
      <c r="D500" s="30">
        <v>45658.0</v>
      </c>
      <c r="E500" s="30">
        <v>46022.0</v>
      </c>
      <c r="F500" s="31">
        <v>0.0</v>
      </c>
      <c r="G500" s="31">
        <v>1.0</v>
      </c>
      <c r="H500" s="35" t="s">
        <v>7045</v>
      </c>
      <c r="I500" s="30">
        <v>46023.0</v>
      </c>
      <c r="J500" s="30">
        <v>46387.0</v>
      </c>
      <c r="K500" s="31">
        <v>0.0</v>
      </c>
      <c r="L500" s="31">
        <v>1.0</v>
      </c>
      <c r="M500" s="35" t="s">
        <v>7045</v>
      </c>
      <c r="N500" s="30">
        <v>46388.0</v>
      </c>
      <c r="O500" s="30">
        <v>46752.0</v>
      </c>
      <c r="P500" s="31">
        <v>0.0</v>
      </c>
      <c r="Q500" s="31">
        <v>1.0</v>
      </c>
      <c r="R500" s="35" t="s">
        <v>7045</v>
      </c>
      <c r="S500" s="30">
        <v>46753.0</v>
      </c>
      <c r="T500" s="30">
        <v>47118.0</v>
      </c>
      <c r="U500" s="31">
        <v>0.0</v>
      </c>
      <c r="V500" s="31">
        <v>1.0</v>
      </c>
      <c r="W500" s="35" t="s">
        <v>7045</v>
      </c>
      <c r="X500" s="30">
        <v>47119.0</v>
      </c>
      <c r="Y500" s="30">
        <v>47483.0</v>
      </c>
      <c r="Z500" s="31">
        <v>0.0</v>
      </c>
      <c r="AA500" s="31">
        <v>1.0</v>
      </c>
      <c r="AB500" s="35" t="s">
        <v>7045</v>
      </c>
      <c r="AC500" s="30">
        <v>47484.0</v>
      </c>
      <c r="AD500" s="30">
        <v>47848.0</v>
      </c>
      <c r="AE500" s="31">
        <v>0.0</v>
      </c>
      <c r="AF500" s="31">
        <v>1.0</v>
      </c>
      <c r="AG500" s="35" t="s">
        <v>7045</v>
      </c>
    </row>
    <row r="501" ht="14.25" customHeight="1">
      <c r="A501" s="28" t="s">
        <v>3330</v>
      </c>
      <c r="B501" s="29" t="s">
        <v>3331</v>
      </c>
      <c r="C501" s="29" t="s">
        <v>7041</v>
      </c>
      <c r="D501" s="30">
        <v>45658.0</v>
      </c>
      <c r="E501" s="30">
        <v>46022.0</v>
      </c>
      <c r="F501" s="31">
        <v>0.0</v>
      </c>
      <c r="G501" s="31">
        <v>1.0</v>
      </c>
      <c r="H501" s="35" t="s">
        <v>7045</v>
      </c>
      <c r="I501" s="30">
        <v>46023.0</v>
      </c>
      <c r="J501" s="30">
        <v>46387.0</v>
      </c>
      <c r="K501" s="31">
        <v>0.0</v>
      </c>
      <c r="L501" s="31">
        <v>1.0</v>
      </c>
      <c r="M501" s="35" t="s">
        <v>7045</v>
      </c>
      <c r="N501" s="30">
        <v>46388.0</v>
      </c>
      <c r="O501" s="30">
        <v>46752.0</v>
      </c>
      <c r="P501" s="31">
        <v>0.0</v>
      </c>
      <c r="Q501" s="31">
        <v>1.0</v>
      </c>
      <c r="R501" s="35" t="s">
        <v>7045</v>
      </c>
      <c r="S501" s="30">
        <v>46753.0</v>
      </c>
      <c r="T501" s="30">
        <v>47118.0</v>
      </c>
      <c r="U501" s="31">
        <v>0.0</v>
      </c>
      <c r="V501" s="31">
        <v>1.0</v>
      </c>
      <c r="W501" s="35" t="s">
        <v>7045</v>
      </c>
      <c r="X501" s="30">
        <v>47119.0</v>
      </c>
      <c r="Y501" s="30">
        <v>47483.0</v>
      </c>
      <c r="Z501" s="31">
        <v>0.0</v>
      </c>
      <c r="AA501" s="31">
        <v>1.0</v>
      </c>
      <c r="AB501" s="35" t="s">
        <v>7045</v>
      </c>
      <c r="AC501" s="30">
        <v>47484.0</v>
      </c>
      <c r="AD501" s="30">
        <v>47848.0</v>
      </c>
      <c r="AE501" s="31">
        <v>0.0</v>
      </c>
      <c r="AF501" s="31">
        <v>1.0</v>
      </c>
      <c r="AG501" s="35" t="s">
        <v>7045</v>
      </c>
    </row>
    <row r="502" ht="14.25" customHeight="1">
      <c r="A502" s="28" t="s">
        <v>4501</v>
      </c>
      <c r="B502" s="29" t="s">
        <v>4502</v>
      </c>
      <c r="C502" s="29" t="s">
        <v>7041</v>
      </c>
      <c r="D502" s="30">
        <v>45658.0</v>
      </c>
      <c r="E502" s="30">
        <v>46022.0</v>
      </c>
      <c r="F502" s="31">
        <v>0.0</v>
      </c>
      <c r="G502" s="31">
        <v>1.0</v>
      </c>
      <c r="H502" s="35" t="s">
        <v>7045</v>
      </c>
      <c r="I502" s="30">
        <v>46023.0</v>
      </c>
      <c r="J502" s="30">
        <v>46387.0</v>
      </c>
      <c r="K502" s="31">
        <v>0.0</v>
      </c>
      <c r="L502" s="31">
        <v>1.0</v>
      </c>
      <c r="M502" s="35" t="s">
        <v>7045</v>
      </c>
      <c r="N502" s="30">
        <v>46388.0</v>
      </c>
      <c r="O502" s="30">
        <v>46752.0</v>
      </c>
      <c r="P502" s="31">
        <v>0.0</v>
      </c>
      <c r="Q502" s="31">
        <v>1.0</v>
      </c>
      <c r="R502" s="35" t="s">
        <v>7045</v>
      </c>
      <c r="S502" s="30">
        <v>46753.0</v>
      </c>
      <c r="T502" s="30">
        <v>47118.0</v>
      </c>
      <c r="U502" s="31">
        <v>0.0</v>
      </c>
      <c r="V502" s="31">
        <v>1.0</v>
      </c>
      <c r="W502" s="35" t="s">
        <v>7045</v>
      </c>
      <c r="X502" s="30">
        <v>47119.0</v>
      </c>
      <c r="Y502" s="30">
        <v>47483.0</v>
      </c>
      <c r="Z502" s="31">
        <v>0.0</v>
      </c>
      <c r="AA502" s="31">
        <v>1.0</v>
      </c>
      <c r="AB502" s="35" t="s">
        <v>7045</v>
      </c>
      <c r="AC502" s="30">
        <v>47484.0</v>
      </c>
      <c r="AD502" s="30">
        <v>47848.0</v>
      </c>
      <c r="AE502" s="31">
        <v>0.0</v>
      </c>
      <c r="AF502" s="31">
        <v>1.0</v>
      </c>
      <c r="AG502" s="35" t="s">
        <v>7045</v>
      </c>
    </row>
    <row r="503" ht="14.25" customHeight="1">
      <c r="A503" s="28" t="s">
        <v>3067</v>
      </c>
      <c r="B503" s="29" t="s">
        <v>3068</v>
      </c>
      <c r="C503" s="29" t="s">
        <v>7041</v>
      </c>
      <c r="D503" s="30">
        <v>45658.0</v>
      </c>
      <c r="E503" s="30">
        <v>46022.0</v>
      </c>
      <c r="F503" s="31">
        <v>0.0</v>
      </c>
      <c r="G503" s="31">
        <v>1.0</v>
      </c>
      <c r="H503" s="35" t="s">
        <v>7045</v>
      </c>
      <c r="I503" s="30">
        <v>46023.0</v>
      </c>
      <c r="J503" s="30">
        <v>46387.0</v>
      </c>
      <c r="K503" s="31">
        <v>0.0</v>
      </c>
      <c r="L503" s="31">
        <v>1.0</v>
      </c>
      <c r="M503" s="35" t="s">
        <v>7045</v>
      </c>
      <c r="N503" s="30">
        <v>46388.0</v>
      </c>
      <c r="O503" s="30">
        <v>46752.0</v>
      </c>
      <c r="P503" s="31">
        <v>0.0</v>
      </c>
      <c r="Q503" s="31">
        <v>1.0</v>
      </c>
      <c r="R503" s="35" t="s">
        <v>7045</v>
      </c>
      <c r="S503" s="30">
        <v>46753.0</v>
      </c>
      <c r="T503" s="30">
        <v>47118.0</v>
      </c>
      <c r="U503" s="31">
        <v>0.0</v>
      </c>
      <c r="V503" s="31">
        <v>1.0</v>
      </c>
      <c r="W503" s="35" t="s">
        <v>7045</v>
      </c>
      <c r="X503" s="30">
        <v>47119.0</v>
      </c>
      <c r="Y503" s="30">
        <v>47483.0</v>
      </c>
      <c r="Z503" s="31">
        <v>0.0</v>
      </c>
      <c r="AA503" s="31">
        <v>1.0</v>
      </c>
      <c r="AB503" s="35" t="s">
        <v>7045</v>
      </c>
      <c r="AC503" s="30">
        <v>47484.0</v>
      </c>
      <c r="AD503" s="30">
        <v>47848.0</v>
      </c>
      <c r="AE503" s="31">
        <v>0.0</v>
      </c>
      <c r="AF503" s="31">
        <v>1.0</v>
      </c>
      <c r="AG503" s="35" t="s">
        <v>7045</v>
      </c>
    </row>
    <row r="504" ht="14.25" customHeight="1">
      <c r="A504" s="28" t="s">
        <v>6744</v>
      </c>
      <c r="B504" s="29" t="s">
        <v>6745</v>
      </c>
      <c r="C504" s="29" t="s">
        <v>7041</v>
      </c>
      <c r="D504" s="30">
        <v>45658.0</v>
      </c>
      <c r="E504" s="30">
        <v>46022.0</v>
      </c>
      <c r="F504" s="31">
        <v>0.0</v>
      </c>
      <c r="G504" s="31">
        <v>1.0</v>
      </c>
      <c r="H504" s="35" t="s">
        <v>7045</v>
      </c>
      <c r="I504" s="30">
        <v>46023.0</v>
      </c>
      <c r="J504" s="30">
        <v>46387.0</v>
      </c>
      <c r="K504" s="31">
        <v>0.0</v>
      </c>
      <c r="L504" s="31">
        <v>1.0</v>
      </c>
      <c r="M504" s="35" t="s">
        <v>7045</v>
      </c>
      <c r="N504" s="30">
        <v>46388.0</v>
      </c>
      <c r="O504" s="30">
        <v>46752.0</v>
      </c>
      <c r="P504" s="31">
        <v>0.0</v>
      </c>
      <c r="Q504" s="31">
        <v>1.0</v>
      </c>
      <c r="R504" s="35" t="s">
        <v>7045</v>
      </c>
      <c r="S504" s="30">
        <v>46753.0</v>
      </c>
      <c r="T504" s="30">
        <v>47118.0</v>
      </c>
      <c r="U504" s="31">
        <v>0.0</v>
      </c>
      <c r="V504" s="31">
        <v>1.0</v>
      </c>
      <c r="W504" s="35" t="s">
        <v>7045</v>
      </c>
      <c r="X504" s="30">
        <v>47119.0</v>
      </c>
      <c r="Y504" s="30">
        <v>47483.0</v>
      </c>
      <c r="Z504" s="31">
        <v>0.0</v>
      </c>
      <c r="AA504" s="31">
        <v>1.0</v>
      </c>
      <c r="AB504" s="35" t="s">
        <v>7045</v>
      </c>
      <c r="AC504" s="30">
        <v>47484.0</v>
      </c>
      <c r="AD504" s="30">
        <v>47848.0</v>
      </c>
      <c r="AE504" s="31">
        <v>0.0</v>
      </c>
      <c r="AF504" s="31">
        <v>1.0</v>
      </c>
      <c r="AG504" s="35" t="s">
        <v>7045</v>
      </c>
    </row>
    <row r="505" ht="14.25" customHeight="1">
      <c r="A505" s="28" t="s">
        <v>4178</v>
      </c>
      <c r="B505" s="29" t="s">
        <v>4179</v>
      </c>
      <c r="C505" s="29" t="s">
        <v>7041</v>
      </c>
      <c r="D505" s="30">
        <v>45658.0</v>
      </c>
      <c r="E505" s="30">
        <v>46022.0</v>
      </c>
      <c r="F505" s="31">
        <v>0.0</v>
      </c>
      <c r="G505" s="31">
        <v>1.0</v>
      </c>
      <c r="H505" s="35" t="s">
        <v>7045</v>
      </c>
      <c r="I505" s="30">
        <v>46023.0</v>
      </c>
      <c r="J505" s="30">
        <v>46387.0</v>
      </c>
      <c r="K505" s="31">
        <v>0.0</v>
      </c>
      <c r="L505" s="31">
        <v>1.0</v>
      </c>
      <c r="M505" s="35" t="s">
        <v>7045</v>
      </c>
      <c r="N505" s="30">
        <v>46388.0</v>
      </c>
      <c r="O505" s="30">
        <v>46752.0</v>
      </c>
      <c r="P505" s="31">
        <v>0.0</v>
      </c>
      <c r="Q505" s="31">
        <v>1.0</v>
      </c>
      <c r="R505" s="35" t="s">
        <v>7045</v>
      </c>
      <c r="S505" s="30">
        <v>46753.0</v>
      </c>
      <c r="T505" s="30">
        <v>47118.0</v>
      </c>
      <c r="U505" s="31">
        <v>0.0</v>
      </c>
      <c r="V505" s="31">
        <v>1.0</v>
      </c>
      <c r="W505" s="35" t="s">
        <v>7045</v>
      </c>
      <c r="X505" s="30">
        <v>47119.0</v>
      </c>
      <c r="Y505" s="30">
        <v>47483.0</v>
      </c>
      <c r="Z505" s="31">
        <v>0.0</v>
      </c>
      <c r="AA505" s="31">
        <v>1.0</v>
      </c>
      <c r="AB505" s="35" t="s">
        <v>7045</v>
      </c>
      <c r="AC505" s="30">
        <v>47484.0</v>
      </c>
      <c r="AD505" s="30">
        <v>47848.0</v>
      </c>
      <c r="AE505" s="31">
        <v>0.0</v>
      </c>
      <c r="AF505" s="31">
        <v>1.0</v>
      </c>
      <c r="AG505" s="35" t="s">
        <v>7045</v>
      </c>
    </row>
    <row r="506" ht="14.25" customHeight="1">
      <c r="A506" s="28" t="s">
        <v>6408</v>
      </c>
      <c r="B506" s="29" t="s">
        <v>6409</v>
      </c>
      <c r="C506" s="29" t="s">
        <v>7041</v>
      </c>
      <c r="D506" s="30">
        <v>45658.0</v>
      </c>
      <c r="E506" s="30">
        <v>46022.0</v>
      </c>
      <c r="F506" s="31">
        <v>0.0</v>
      </c>
      <c r="G506" s="31">
        <v>1.0</v>
      </c>
      <c r="H506" s="35" t="s">
        <v>7045</v>
      </c>
      <c r="I506" s="30">
        <v>46023.0</v>
      </c>
      <c r="J506" s="30">
        <v>46387.0</v>
      </c>
      <c r="K506" s="31">
        <v>0.0</v>
      </c>
      <c r="L506" s="31">
        <v>1.0</v>
      </c>
      <c r="M506" s="35" t="s">
        <v>7045</v>
      </c>
      <c r="N506" s="30">
        <v>46388.0</v>
      </c>
      <c r="O506" s="30">
        <v>46752.0</v>
      </c>
      <c r="P506" s="31">
        <v>0.0</v>
      </c>
      <c r="Q506" s="31">
        <v>1.0</v>
      </c>
      <c r="R506" s="35" t="s">
        <v>7045</v>
      </c>
      <c r="S506" s="30">
        <v>46753.0</v>
      </c>
      <c r="T506" s="30">
        <v>47118.0</v>
      </c>
      <c r="U506" s="31">
        <v>0.0</v>
      </c>
      <c r="V506" s="31">
        <v>1.0</v>
      </c>
      <c r="W506" s="35" t="s">
        <v>7045</v>
      </c>
      <c r="X506" s="30">
        <v>47119.0</v>
      </c>
      <c r="Y506" s="30">
        <v>47483.0</v>
      </c>
      <c r="Z506" s="31">
        <v>0.0</v>
      </c>
      <c r="AA506" s="31">
        <v>1.0</v>
      </c>
      <c r="AB506" s="35" t="s">
        <v>7045</v>
      </c>
      <c r="AC506" s="30">
        <v>47484.0</v>
      </c>
      <c r="AD506" s="30">
        <v>47848.0</v>
      </c>
      <c r="AE506" s="31">
        <v>0.0</v>
      </c>
      <c r="AF506" s="31">
        <v>1.0</v>
      </c>
      <c r="AG506" s="35" t="s">
        <v>7045</v>
      </c>
    </row>
    <row r="507" ht="14.25" customHeight="1">
      <c r="A507" s="28" t="s">
        <v>6420</v>
      </c>
      <c r="B507" s="29" t="s">
        <v>6421</v>
      </c>
      <c r="C507" s="29" t="s">
        <v>7041</v>
      </c>
      <c r="D507" s="30">
        <v>45658.0</v>
      </c>
      <c r="E507" s="30">
        <v>46022.0</v>
      </c>
      <c r="F507" s="31">
        <v>0.0</v>
      </c>
      <c r="G507" s="31">
        <v>1.0</v>
      </c>
      <c r="H507" s="35" t="s">
        <v>7045</v>
      </c>
      <c r="I507" s="30">
        <v>46023.0</v>
      </c>
      <c r="J507" s="30">
        <v>46387.0</v>
      </c>
      <c r="K507" s="31">
        <v>0.0</v>
      </c>
      <c r="L507" s="31">
        <v>1.0</v>
      </c>
      <c r="M507" s="35" t="s">
        <v>7045</v>
      </c>
      <c r="N507" s="30">
        <v>46388.0</v>
      </c>
      <c r="O507" s="30">
        <v>46752.0</v>
      </c>
      <c r="P507" s="31">
        <v>0.0</v>
      </c>
      <c r="Q507" s="31">
        <v>1.0</v>
      </c>
      <c r="R507" s="35" t="s">
        <v>7045</v>
      </c>
      <c r="S507" s="30">
        <v>46753.0</v>
      </c>
      <c r="T507" s="30">
        <v>47118.0</v>
      </c>
      <c r="U507" s="31">
        <v>0.0</v>
      </c>
      <c r="V507" s="31">
        <v>1.0</v>
      </c>
      <c r="W507" s="35" t="s">
        <v>7045</v>
      </c>
      <c r="X507" s="30">
        <v>47119.0</v>
      </c>
      <c r="Y507" s="30">
        <v>47483.0</v>
      </c>
      <c r="Z507" s="31">
        <v>0.0</v>
      </c>
      <c r="AA507" s="31">
        <v>1.0</v>
      </c>
      <c r="AB507" s="35" t="s">
        <v>7045</v>
      </c>
      <c r="AC507" s="30">
        <v>47484.0</v>
      </c>
      <c r="AD507" s="30">
        <v>47848.0</v>
      </c>
      <c r="AE507" s="31">
        <v>0.0</v>
      </c>
      <c r="AF507" s="31">
        <v>1.0</v>
      </c>
      <c r="AG507" s="35" t="s">
        <v>7045</v>
      </c>
    </row>
    <row r="508" ht="14.25" customHeight="1">
      <c r="A508" s="28" t="s">
        <v>1702</v>
      </c>
      <c r="B508" s="29" t="s">
        <v>1703</v>
      </c>
      <c r="C508" s="29" t="s">
        <v>7041</v>
      </c>
      <c r="D508" s="30">
        <v>45658.0</v>
      </c>
      <c r="E508" s="30">
        <v>46022.0</v>
      </c>
      <c r="F508" s="31">
        <v>0.0</v>
      </c>
      <c r="G508" s="31">
        <v>1.0</v>
      </c>
      <c r="H508" s="35" t="s">
        <v>7045</v>
      </c>
      <c r="I508" s="30">
        <v>46023.0</v>
      </c>
      <c r="J508" s="30">
        <v>46387.0</v>
      </c>
      <c r="K508" s="31">
        <v>0.0</v>
      </c>
      <c r="L508" s="31">
        <v>1.0</v>
      </c>
      <c r="M508" s="35" t="s">
        <v>7045</v>
      </c>
      <c r="N508" s="30">
        <v>46388.0</v>
      </c>
      <c r="O508" s="30">
        <v>46752.0</v>
      </c>
      <c r="P508" s="31">
        <v>0.0</v>
      </c>
      <c r="Q508" s="31">
        <v>1.0</v>
      </c>
      <c r="R508" s="35" t="s">
        <v>7045</v>
      </c>
      <c r="S508" s="30">
        <v>46753.0</v>
      </c>
      <c r="T508" s="30">
        <v>47118.0</v>
      </c>
      <c r="U508" s="31">
        <v>0.0</v>
      </c>
      <c r="V508" s="31">
        <v>1.0</v>
      </c>
      <c r="W508" s="35" t="s">
        <v>7045</v>
      </c>
      <c r="X508" s="30">
        <v>47119.0</v>
      </c>
      <c r="Y508" s="30">
        <v>47483.0</v>
      </c>
      <c r="Z508" s="31">
        <v>0.0</v>
      </c>
      <c r="AA508" s="31">
        <v>1.0</v>
      </c>
      <c r="AB508" s="35" t="s">
        <v>7045</v>
      </c>
      <c r="AC508" s="30">
        <v>47484.0</v>
      </c>
      <c r="AD508" s="30">
        <v>47848.0</v>
      </c>
      <c r="AE508" s="31">
        <v>0.0</v>
      </c>
      <c r="AF508" s="31">
        <v>1.0</v>
      </c>
      <c r="AG508" s="35" t="s">
        <v>7045</v>
      </c>
    </row>
    <row r="509" ht="14.25" customHeight="1">
      <c r="A509" s="28" t="s">
        <v>2056</v>
      </c>
      <c r="B509" s="29" t="s">
        <v>2057</v>
      </c>
      <c r="C509" s="29" t="s">
        <v>7041</v>
      </c>
      <c r="D509" s="30">
        <v>45658.0</v>
      </c>
      <c r="E509" s="30">
        <v>46022.0</v>
      </c>
      <c r="F509" s="31">
        <v>0.0</v>
      </c>
      <c r="G509" s="31">
        <v>1.0</v>
      </c>
      <c r="H509" s="35" t="s">
        <v>7045</v>
      </c>
      <c r="I509" s="30">
        <v>46023.0</v>
      </c>
      <c r="J509" s="30">
        <v>46387.0</v>
      </c>
      <c r="K509" s="31">
        <v>0.0</v>
      </c>
      <c r="L509" s="31">
        <v>1.0</v>
      </c>
      <c r="M509" s="35" t="s">
        <v>7045</v>
      </c>
      <c r="N509" s="30">
        <v>46388.0</v>
      </c>
      <c r="O509" s="30">
        <v>46752.0</v>
      </c>
      <c r="P509" s="31">
        <v>0.0</v>
      </c>
      <c r="Q509" s="31">
        <v>1.0</v>
      </c>
      <c r="R509" s="35" t="s">
        <v>7045</v>
      </c>
      <c r="S509" s="30">
        <v>46753.0</v>
      </c>
      <c r="T509" s="30">
        <v>47118.0</v>
      </c>
      <c r="U509" s="31">
        <v>0.0</v>
      </c>
      <c r="V509" s="31">
        <v>1.0</v>
      </c>
      <c r="W509" s="35" t="s">
        <v>7045</v>
      </c>
      <c r="X509" s="30">
        <v>47119.0</v>
      </c>
      <c r="Y509" s="30">
        <v>47483.0</v>
      </c>
      <c r="Z509" s="31">
        <v>0.0</v>
      </c>
      <c r="AA509" s="31">
        <v>1.0</v>
      </c>
      <c r="AB509" s="35" t="s">
        <v>7045</v>
      </c>
      <c r="AC509" s="30">
        <v>47484.0</v>
      </c>
      <c r="AD509" s="30">
        <v>47848.0</v>
      </c>
      <c r="AE509" s="31">
        <v>0.0</v>
      </c>
      <c r="AF509" s="31">
        <v>1.0</v>
      </c>
      <c r="AG509" s="35" t="s">
        <v>7045</v>
      </c>
    </row>
    <row r="510" ht="14.25" customHeight="1">
      <c r="A510" s="28" t="s">
        <v>2662</v>
      </c>
      <c r="B510" s="29" t="s">
        <v>2663</v>
      </c>
      <c r="C510" s="29" t="s">
        <v>7041</v>
      </c>
      <c r="D510" s="30">
        <v>45658.0</v>
      </c>
      <c r="E510" s="30">
        <v>46022.0</v>
      </c>
      <c r="F510" s="31">
        <v>0.0</v>
      </c>
      <c r="G510" s="31">
        <v>1.0</v>
      </c>
      <c r="H510" s="35" t="s">
        <v>7045</v>
      </c>
      <c r="I510" s="30">
        <v>46023.0</v>
      </c>
      <c r="J510" s="30">
        <v>46387.0</v>
      </c>
      <c r="K510" s="31">
        <v>0.0</v>
      </c>
      <c r="L510" s="31">
        <v>1.0</v>
      </c>
      <c r="M510" s="35" t="s">
        <v>7045</v>
      </c>
      <c r="N510" s="30">
        <v>46388.0</v>
      </c>
      <c r="O510" s="30">
        <v>46752.0</v>
      </c>
      <c r="P510" s="31">
        <v>0.0</v>
      </c>
      <c r="Q510" s="31">
        <v>1.0</v>
      </c>
      <c r="R510" s="35" t="s">
        <v>7045</v>
      </c>
      <c r="S510" s="30">
        <v>46753.0</v>
      </c>
      <c r="T510" s="30">
        <v>47118.0</v>
      </c>
      <c r="U510" s="31">
        <v>0.0</v>
      </c>
      <c r="V510" s="31">
        <v>1.0</v>
      </c>
      <c r="W510" s="35" t="s">
        <v>7045</v>
      </c>
      <c r="X510" s="30">
        <v>47119.0</v>
      </c>
      <c r="Y510" s="30">
        <v>47483.0</v>
      </c>
      <c r="Z510" s="31">
        <v>0.0</v>
      </c>
      <c r="AA510" s="31">
        <v>1.0</v>
      </c>
      <c r="AB510" s="35" t="s">
        <v>7045</v>
      </c>
      <c r="AC510" s="30">
        <v>47484.0</v>
      </c>
      <c r="AD510" s="30">
        <v>47848.0</v>
      </c>
      <c r="AE510" s="31">
        <v>0.0</v>
      </c>
      <c r="AF510" s="31">
        <v>1.0</v>
      </c>
      <c r="AG510" s="35" t="s">
        <v>7045</v>
      </c>
    </row>
    <row r="511" ht="14.25" customHeight="1">
      <c r="A511" s="28" t="s">
        <v>5507</v>
      </c>
      <c r="B511" s="29" t="s">
        <v>5508</v>
      </c>
      <c r="C511" s="29" t="s">
        <v>7041</v>
      </c>
      <c r="D511" s="30">
        <v>45658.0</v>
      </c>
      <c r="E511" s="30">
        <v>46022.0</v>
      </c>
      <c r="F511" s="31">
        <v>0.0</v>
      </c>
      <c r="G511" s="31">
        <v>1.0</v>
      </c>
      <c r="H511" s="35" t="s">
        <v>7045</v>
      </c>
      <c r="I511" s="30">
        <v>46023.0</v>
      </c>
      <c r="J511" s="30">
        <v>46387.0</v>
      </c>
      <c r="K511" s="31">
        <v>0.0</v>
      </c>
      <c r="L511" s="31">
        <v>1.0</v>
      </c>
      <c r="M511" s="35" t="s">
        <v>7045</v>
      </c>
      <c r="N511" s="30">
        <v>46388.0</v>
      </c>
      <c r="O511" s="30">
        <v>46752.0</v>
      </c>
      <c r="P511" s="31">
        <v>0.0</v>
      </c>
      <c r="Q511" s="31">
        <v>1.0</v>
      </c>
      <c r="R511" s="35" t="s">
        <v>7045</v>
      </c>
      <c r="S511" s="30">
        <v>46753.0</v>
      </c>
      <c r="T511" s="30">
        <v>47118.0</v>
      </c>
      <c r="U511" s="31">
        <v>0.0</v>
      </c>
      <c r="V511" s="31">
        <v>1.0</v>
      </c>
      <c r="W511" s="35" t="s">
        <v>7045</v>
      </c>
      <c r="X511" s="30">
        <v>47119.0</v>
      </c>
      <c r="Y511" s="30">
        <v>47483.0</v>
      </c>
      <c r="Z511" s="31">
        <v>0.0</v>
      </c>
      <c r="AA511" s="31">
        <v>1.0</v>
      </c>
      <c r="AB511" s="35" t="s">
        <v>7045</v>
      </c>
      <c r="AC511" s="30">
        <v>47484.0</v>
      </c>
      <c r="AD511" s="30">
        <v>47848.0</v>
      </c>
      <c r="AE511" s="31">
        <v>0.0</v>
      </c>
      <c r="AF511" s="31">
        <v>1.0</v>
      </c>
      <c r="AG511" s="35" t="s">
        <v>7045</v>
      </c>
    </row>
    <row r="512" ht="14.25" customHeight="1">
      <c r="A512" s="28" t="s">
        <v>165</v>
      </c>
      <c r="B512" s="29" t="s">
        <v>166</v>
      </c>
      <c r="C512" s="29" t="s">
        <v>7041</v>
      </c>
      <c r="D512" s="30">
        <v>45658.0</v>
      </c>
      <c r="E512" s="30">
        <v>46022.0</v>
      </c>
      <c r="F512" s="31">
        <v>0.0</v>
      </c>
      <c r="G512" s="31">
        <v>1.0</v>
      </c>
      <c r="H512" s="35" t="s">
        <v>7045</v>
      </c>
      <c r="I512" s="30">
        <v>46023.0</v>
      </c>
      <c r="J512" s="30">
        <v>46387.0</v>
      </c>
      <c r="K512" s="31">
        <v>0.0</v>
      </c>
      <c r="L512" s="31">
        <v>1.0</v>
      </c>
      <c r="M512" s="35" t="s">
        <v>7045</v>
      </c>
      <c r="N512" s="30">
        <v>46388.0</v>
      </c>
      <c r="O512" s="30">
        <v>46752.0</v>
      </c>
      <c r="P512" s="31">
        <v>0.0</v>
      </c>
      <c r="Q512" s="31">
        <v>1.0</v>
      </c>
      <c r="R512" s="35" t="s">
        <v>7045</v>
      </c>
      <c r="S512" s="30">
        <v>46753.0</v>
      </c>
      <c r="T512" s="30">
        <v>47118.0</v>
      </c>
      <c r="U512" s="31">
        <v>0.0</v>
      </c>
      <c r="V512" s="31">
        <v>1.0</v>
      </c>
      <c r="W512" s="35" t="s">
        <v>7045</v>
      </c>
      <c r="X512" s="30">
        <v>47119.0</v>
      </c>
      <c r="Y512" s="30">
        <v>47483.0</v>
      </c>
      <c r="Z512" s="31">
        <v>0.0</v>
      </c>
      <c r="AA512" s="31">
        <v>1.0</v>
      </c>
      <c r="AB512" s="35" t="s">
        <v>7045</v>
      </c>
      <c r="AC512" s="30">
        <v>47484.0</v>
      </c>
      <c r="AD512" s="30">
        <v>47848.0</v>
      </c>
      <c r="AE512" s="31">
        <v>0.0</v>
      </c>
      <c r="AF512" s="31">
        <v>1.0</v>
      </c>
      <c r="AG512" s="35" t="s">
        <v>7045</v>
      </c>
    </row>
    <row r="513" ht="14.25" customHeight="1">
      <c r="A513" s="28" t="s">
        <v>6877</v>
      </c>
      <c r="B513" s="29" t="s">
        <v>6878</v>
      </c>
      <c r="C513" s="29" t="s">
        <v>7041</v>
      </c>
      <c r="D513" s="30">
        <v>45658.0</v>
      </c>
      <c r="E513" s="30">
        <v>46022.0</v>
      </c>
      <c r="F513" s="31">
        <v>0.0</v>
      </c>
      <c r="G513" s="31">
        <v>1.0</v>
      </c>
      <c r="H513" s="35" t="s">
        <v>7045</v>
      </c>
      <c r="I513" s="30">
        <v>46023.0</v>
      </c>
      <c r="J513" s="30">
        <v>46387.0</v>
      </c>
      <c r="K513" s="31">
        <v>0.0</v>
      </c>
      <c r="L513" s="31">
        <v>1.0</v>
      </c>
      <c r="M513" s="35" t="s">
        <v>7045</v>
      </c>
      <c r="N513" s="30">
        <v>46388.0</v>
      </c>
      <c r="O513" s="30">
        <v>46752.0</v>
      </c>
      <c r="P513" s="31">
        <v>0.0</v>
      </c>
      <c r="Q513" s="31">
        <v>1.0</v>
      </c>
      <c r="R513" s="35" t="s">
        <v>7045</v>
      </c>
      <c r="S513" s="30">
        <v>46753.0</v>
      </c>
      <c r="T513" s="30">
        <v>47118.0</v>
      </c>
      <c r="U513" s="31">
        <v>0.0</v>
      </c>
      <c r="V513" s="31">
        <v>1.0</v>
      </c>
      <c r="W513" s="35" t="s">
        <v>7045</v>
      </c>
      <c r="X513" s="30">
        <v>47119.0</v>
      </c>
      <c r="Y513" s="30">
        <v>47483.0</v>
      </c>
      <c r="Z513" s="31">
        <v>0.0</v>
      </c>
      <c r="AA513" s="31">
        <v>1.0</v>
      </c>
      <c r="AB513" s="35" t="s">
        <v>7045</v>
      </c>
      <c r="AC513" s="30">
        <v>47484.0</v>
      </c>
      <c r="AD513" s="30">
        <v>47848.0</v>
      </c>
      <c r="AE513" s="31">
        <v>0.0</v>
      </c>
      <c r="AF513" s="31">
        <v>1.0</v>
      </c>
      <c r="AG513" s="35" t="s">
        <v>7045</v>
      </c>
    </row>
    <row r="514" ht="14.25" customHeight="1">
      <c r="A514" s="28" t="s">
        <v>6504</v>
      </c>
      <c r="B514" s="29" t="s">
        <v>6505</v>
      </c>
      <c r="C514" s="29" t="s">
        <v>7041</v>
      </c>
      <c r="D514" s="30">
        <v>45658.0</v>
      </c>
      <c r="E514" s="30">
        <v>46022.0</v>
      </c>
      <c r="F514" s="31">
        <v>0.0</v>
      </c>
      <c r="G514" s="31">
        <v>1.0</v>
      </c>
      <c r="H514" s="35" t="s">
        <v>7045</v>
      </c>
      <c r="I514" s="30">
        <v>46023.0</v>
      </c>
      <c r="J514" s="30">
        <v>46387.0</v>
      </c>
      <c r="K514" s="31">
        <v>0.0</v>
      </c>
      <c r="L514" s="31">
        <v>1.0</v>
      </c>
      <c r="M514" s="35" t="s">
        <v>7045</v>
      </c>
      <c r="N514" s="30">
        <v>46388.0</v>
      </c>
      <c r="O514" s="30">
        <v>46752.0</v>
      </c>
      <c r="P514" s="31">
        <v>0.0</v>
      </c>
      <c r="Q514" s="31">
        <v>1.0</v>
      </c>
      <c r="R514" s="35" t="s">
        <v>7045</v>
      </c>
      <c r="S514" s="30">
        <v>46753.0</v>
      </c>
      <c r="T514" s="30">
        <v>47118.0</v>
      </c>
      <c r="U514" s="31">
        <v>0.0</v>
      </c>
      <c r="V514" s="31">
        <v>1.0</v>
      </c>
      <c r="W514" s="35" t="s">
        <v>7045</v>
      </c>
      <c r="X514" s="30">
        <v>47119.0</v>
      </c>
      <c r="Y514" s="30">
        <v>47483.0</v>
      </c>
      <c r="Z514" s="31">
        <v>0.0</v>
      </c>
      <c r="AA514" s="31">
        <v>1.0</v>
      </c>
      <c r="AB514" s="35" t="s">
        <v>7045</v>
      </c>
      <c r="AC514" s="30">
        <v>47484.0</v>
      </c>
      <c r="AD514" s="30">
        <v>47848.0</v>
      </c>
      <c r="AE514" s="31">
        <v>0.0</v>
      </c>
      <c r="AF514" s="31">
        <v>1.0</v>
      </c>
      <c r="AG514" s="35" t="s">
        <v>7045</v>
      </c>
    </row>
    <row r="515" ht="14.25" customHeight="1">
      <c r="A515" s="28" t="s">
        <v>2348</v>
      </c>
      <c r="B515" s="29" t="s">
        <v>2349</v>
      </c>
      <c r="C515" s="29" t="s">
        <v>7041</v>
      </c>
      <c r="D515" s="30">
        <v>45658.0</v>
      </c>
      <c r="E515" s="30">
        <v>46022.0</v>
      </c>
      <c r="F515" s="31">
        <v>0.0</v>
      </c>
      <c r="G515" s="31">
        <v>1.0</v>
      </c>
      <c r="H515" s="35" t="s">
        <v>7045</v>
      </c>
      <c r="I515" s="30">
        <v>46023.0</v>
      </c>
      <c r="J515" s="30">
        <v>46387.0</v>
      </c>
      <c r="K515" s="31">
        <v>0.0</v>
      </c>
      <c r="L515" s="31">
        <v>1.0</v>
      </c>
      <c r="M515" s="35" t="s">
        <v>7045</v>
      </c>
      <c r="N515" s="30">
        <v>46388.0</v>
      </c>
      <c r="O515" s="30">
        <v>46752.0</v>
      </c>
      <c r="P515" s="31">
        <v>0.0</v>
      </c>
      <c r="Q515" s="31">
        <v>1.0</v>
      </c>
      <c r="R515" s="35" t="s">
        <v>7045</v>
      </c>
      <c r="S515" s="30">
        <v>46753.0</v>
      </c>
      <c r="T515" s="30">
        <v>47118.0</v>
      </c>
      <c r="U515" s="31">
        <v>0.0</v>
      </c>
      <c r="V515" s="31">
        <v>1.0</v>
      </c>
      <c r="W515" s="35" t="s">
        <v>7045</v>
      </c>
      <c r="X515" s="30">
        <v>47119.0</v>
      </c>
      <c r="Y515" s="30">
        <v>47483.0</v>
      </c>
      <c r="Z515" s="31">
        <v>0.0</v>
      </c>
      <c r="AA515" s="31">
        <v>1.0</v>
      </c>
      <c r="AB515" s="35" t="s">
        <v>7045</v>
      </c>
      <c r="AC515" s="30">
        <v>47484.0</v>
      </c>
      <c r="AD515" s="30">
        <v>47848.0</v>
      </c>
      <c r="AE515" s="31">
        <v>0.0</v>
      </c>
      <c r="AF515" s="31">
        <v>1.0</v>
      </c>
      <c r="AG515" s="35" t="s">
        <v>7045</v>
      </c>
    </row>
    <row r="516" ht="14.25" customHeight="1">
      <c r="A516" s="28" t="s">
        <v>2945</v>
      </c>
      <c r="B516" s="29" t="s">
        <v>2946</v>
      </c>
      <c r="C516" s="29" t="s">
        <v>7041</v>
      </c>
      <c r="D516" s="30">
        <v>45658.0</v>
      </c>
      <c r="E516" s="30">
        <v>46022.0</v>
      </c>
      <c r="F516" s="31">
        <v>0.0</v>
      </c>
      <c r="G516" s="31">
        <v>1.0</v>
      </c>
      <c r="H516" s="35" t="s">
        <v>7045</v>
      </c>
      <c r="I516" s="30">
        <v>46023.0</v>
      </c>
      <c r="J516" s="30">
        <v>46387.0</v>
      </c>
      <c r="K516" s="31">
        <v>0.0</v>
      </c>
      <c r="L516" s="31">
        <v>1.0</v>
      </c>
      <c r="M516" s="35" t="s">
        <v>7045</v>
      </c>
      <c r="N516" s="30">
        <v>46388.0</v>
      </c>
      <c r="O516" s="30">
        <v>46752.0</v>
      </c>
      <c r="P516" s="31">
        <v>0.0</v>
      </c>
      <c r="Q516" s="31">
        <v>1.0</v>
      </c>
      <c r="R516" s="35" t="s">
        <v>7045</v>
      </c>
      <c r="S516" s="30">
        <v>46753.0</v>
      </c>
      <c r="T516" s="30">
        <v>47118.0</v>
      </c>
      <c r="U516" s="31">
        <v>0.0</v>
      </c>
      <c r="V516" s="31">
        <v>1.0</v>
      </c>
      <c r="W516" s="35" t="s">
        <v>7045</v>
      </c>
      <c r="X516" s="30">
        <v>47119.0</v>
      </c>
      <c r="Y516" s="30">
        <v>47483.0</v>
      </c>
      <c r="Z516" s="31">
        <v>0.0</v>
      </c>
      <c r="AA516" s="31">
        <v>1.0</v>
      </c>
      <c r="AB516" s="35" t="s">
        <v>7045</v>
      </c>
      <c r="AC516" s="30">
        <v>47484.0</v>
      </c>
      <c r="AD516" s="30">
        <v>47848.0</v>
      </c>
      <c r="AE516" s="31">
        <v>0.0</v>
      </c>
      <c r="AF516" s="31">
        <v>1.0</v>
      </c>
      <c r="AG516" s="35" t="s">
        <v>7045</v>
      </c>
    </row>
    <row r="517" ht="14.25" customHeight="1">
      <c r="A517" s="28" t="s">
        <v>1380</v>
      </c>
      <c r="B517" s="29" t="s">
        <v>1381</v>
      </c>
      <c r="C517" s="29" t="s">
        <v>7041</v>
      </c>
      <c r="D517" s="30">
        <v>45658.0</v>
      </c>
      <c r="E517" s="30">
        <v>46022.0</v>
      </c>
      <c r="F517" s="31">
        <v>0.0</v>
      </c>
      <c r="G517" s="31">
        <v>1.0</v>
      </c>
      <c r="H517" s="35" t="s">
        <v>7045</v>
      </c>
      <c r="I517" s="30">
        <v>46023.0</v>
      </c>
      <c r="J517" s="30">
        <v>46387.0</v>
      </c>
      <c r="K517" s="31">
        <v>0.0</v>
      </c>
      <c r="L517" s="31">
        <v>1.0</v>
      </c>
      <c r="M517" s="35" t="s">
        <v>7045</v>
      </c>
      <c r="N517" s="30">
        <v>46388.0</v>
      </c>
      <c r="O517" s="30">
        <v>46752.0</v>
      </c>
      <c r="P517" s="31">
        <v>0.0</v>
      </c>
      <c r="Q517" s="31">
        <v>1.0</v>
      </c>
      <c r="R517" s="35" t="s">
        <v>7045</v>
      </c>
      <c r="S517" s="30">
        <v>46753.0</v>
      </c>
      <c r="T517" s="30">
        <v>47118.0</v>
      </c>
      <c r="U517" s="31">
        <v>0.0</v>
      </c>
      <c r="V517" s="31">
        <v>1.0</v>
      </c>
      <c r="W517" s="35" t="s">
        <v>7045</v>
      </c>
      <c r="X517" s="30">
        <v>47119.0</v>
      </c>
      <c r="Y517" s="30">
        <v>47483.0</v>
      </c>
      <c r="Z517" s="31">
        <v>0.0</v>
      </c>
      <c r="AA517" s="31">
        <v>1.0</v>
      </c>
      <c r="AB517" s="35" t="s">
        <v>7045</v>
      </c>
      <c r="AC517" s="30">
        <v>47484.0</v>
      </c>
      <c r="AD517" s="30">
        <v>47848.0</v>
      </c>
      <c r="AE517" s="31">
        <v>0.0</v>
      </c>
      <c r="AF517" s="31">
        <v>1.0</v>
      </c>
      <c r="AG517" s="35" t="s">
        <v>7045</v>
      </c>
    </row>
    <row r="518" ht="14.25" customHeight="1">
      <c r="A518" s="28" t="s">
        <v>3159</v>
      </c>
      <c r="B518" s="29" t="s">
        <v>3160</v>
      </c>
      <c r="C518" s="29" t="s">
        <v>7041</v>
      </c>
      <c r="D518" s="30">
        <v>45658.0</v>
      </c>
      <c r="E518" s="30">
        <v>46022.0</v>
      </c>
      <c r="F518" s="31">
        <v>0.0</v>
      </c>
      <c r="G518" s="31">
        <v>1.0</v>
      </c>
      <c r="H518" s="35" t="s">
        <v>7045</v>
      </c>
      <c r="I518" s="30">
        <v>46023.0</v>
      </c>
      <c r="J518" s="30">
        <v>46387.0</v>
      </c>
      <c r="K518" s="31">
        <v>0.0</v>
      </c>
      <c r="L518" s="31">
        <v>1.0</v>
      </c>
      <c r="M518" s="35" t="s">
        <v>7045</v>
      </c>
      <c r="N518" s="30">
        <v>46388.0</v>
      </c>
      <c r="O518" s="30">
        <v>46752.0</v>
      </c>
      <c r="P518" s="31">
        <v>0.0</v>
      </c>
      <c r="Q518" s="31">
        <v>1.0</v>
      </c>
      <c r="R518" s="35" t="s">
        <v>7045</v>
      </c>
      <c r="S518" s="30">
        <v>46753.0</v>
      </c>
      <c r="T518" s="30">
        <v>47118.0</v>
      </c>
      <c r="U518" s="31">
        <v>0.0</v>
      </c>
      <c r="V518" s="31">
        <v>1.0</v>
      </c>
      <c r="W518" s="35" t="s">
        <v>7045</v>
      </c>
      <c r="X518" s="30">
        <v>47119.0</v>
      </c>
      <c r="Y518" s="30">
        <v>47483.0</v>
      </c>
      <c r="Z518" s="31">
        <v>0.0</v>
      </c>
      <c r="AA518" s="31">
        <v>1.0</v>
      </c>
      <c r="AB518" s="35" t="s">
        <v>7045</v>
      </c>
      <c r="AC518" s="30">
        <v>47484.0</v>
      </c>
      <c r="AD518" s="30">
        <v>47848.0</v>
      </c>
      <c r="AE518" s="31">
        <v>0.0</v>
      </c>
      <c r="AF518" s="31">
        <v>1.0</v>
      </c>
      <c r="AG518" s="35" t="s">
        <v>7045</v>
      </c>
    </row>
    <row r="519" ht="14.25" customHeight="1">
      <c r="A519" s="28" t="s">
        <v>3418</v>
      </c>
      <c r="B519" s="29" t="s">
        <v>3419</v>
      </c>
      <c r="C519" s="29" t="s">
        <v>7041</v>
      </c>
      <c r="D519" s="30">
        <v>45658.0</v>
      </c>
      <c r="E519" s="30">
        <v>46022.0</v>
      </c>
      <c r="F519" s="31">
        <v>0.0</v>
      </c>
      <c r="G519" s="31">
        <v>1.0</v>
      </c>
      <c r="H519" s="35" t="s">
        <v>7045</v>
      </c>
      <c r="I519" s="30">
        <v>46023.0</v>
      </c>
      <c r="J519" s="30">
        <v>46387.0</v>
      </c>
      <c r="K519" s="31">
        <v>0.0</v>
      </c>
      <c r="L519" s="31">
        <v>1.0</v>
      </c>
      <c r="M519" s="35" t="s">
        <v>7045</v>
      </c>
      <c r="N519" s="30">
        <v>46388.0</v>
      </c>
      <c r="O519" s="30">
        <v>46752.0</v>
      </c>
      <c r="P519" s="31">
        <v>0.0</v>
      </c>
      <c r="Q519" s="31">
        <v>1.0</v>
      </c>
      <c r="R519" s="35" t="s">
        <v>7045</v>
      </c>
      <c r="S519" s="30">
        <v>46753.0</v>
      </c>
      <c r="T519" s="30">
        <v>47118.0</v>
      </c>
      <c r="U519" s="31">
        <v>0.0</v>
      </c>
      <c r="V519" s="31">
        <v>1.0</v>
      </c>
      <c r="W519" s="35" t="s">
        <v>7045</v>
      </c>
      <c r="X519" s="30">
        <v>47119.0</v>
      </c>
      <c r="Y519" s="30">
        <v>47483.0</v>
      </c>
      <c r="Z519" s="31">
        <v>0.0</v>
      </c>
      <c r="AA519" s="31">
        <v>1.0</v>
      </c>
      <c r="AB519" s="35" t="s">
        <v>7045</v>
      </c>
      <c r="AC519" s="30">
        <v>47484.0</v>
      </c>
      <c r="AD519" s="30">
        <v>47848.0</v>
      </c>
      <c r="AE519" s="31">
        <v>0.0</v>
      </c>
      <c r="AF519" s="31">
        <v>1.0</v>
      </c>
      <c r="AG519" s="35" t="s">
        <v>7045</v>
      </c>
    </row>
    <row r="520" ht="14.25" customHeight="1">
      <c r="A520" s="28" t="s">
        <v>2068</v>
      </c>
      <c r="B520" s="29" t="s">
        <v>2069</v>
      </c>
      <c r="C520" s="29" t="s">
        <v>7041</v>
      </c>
      <c r="D520" s="30">
        <v>45658.0</v>
      </c>
      <c r="E520" s="30">
        <v>46022.0</v>
      </c>
      <c r="F520" s="31">
        <v>0.0</v>
      </c>
      <c r="G520" s="31">
        <v>1.0</v>
      </c>
      <c r="H520" s="35" t="s">
        <v>7045</v>
      </c>
      <c r="I520" s="30">
        <v>46023.0</v>
      </c>
      <c r="J520" s="30">
        <v>46387.0</v>
      </c>
      <c r="K520" s="31">
        <v>0.0</v>
      </c>
      <c r="L520" s="31">
        <v>1.0</v>
      </c>
      <c r="M520" s="35" t="s">
        <v>7045</v>
      </c>
      <c r="N520" s="30">
        <v>46388.0</v>
      </c>
      <c r="O520" s="30">
        <v>46752.0</v>
      </c>
      <c r="P520" s="31">
        <v>0.0</v>
      </c>
      <c r="Q520" s="31">
        <v>1.0</v>
      </c>
      <c r="R520" s="35" t="s">
        <v>7045</v>
      </c>
      <c r="S520" s="30">
        <v>46753.0</v>
      </c>
      <c r="T520" s="30">
        <v>47118.0</v>
      </c>
      <c r="U520" s="31">
        <v>0.0</v>
      </c>
      <c r="V520" s="31">
        <v>1.0</v>
      </c>
      <c r="W520" s="35" t="s">
        <v>7045</v>
      </c>
      <c r="X520" s="30">
        <v>47119.0</v>
      </c>
      <c r="Y520" s="30">
        <v>47483.0</v>
      </c>
      <c r="Z520" s="31">
        <v>0.0</v>
      </c>
      <c r="AA520" s="31">
        <v>1.0</v>
      </c>
      <c r="AB520" s="35" t="s">
        <v>7045</v>
      </c>
      <c r="AC520" s="30">
        <v>47484.0</v>
      </c>
      <c r="AD520" s="30">
        <v>47848.0</v>
      </c>
      <c r="AE520" s="31">
        <v>0.0</v>
      </c>
      <c r="AF520" s="31">
        <v>1.0</v>
      </c>
      <c r="AG520" s="35" t="s">
        <v>7045</v>
      </c>
    </row>
    <row r="521" ht="14.25" customHeight="1">
      <c r="A521" s="28" t="s">
        <v>6678</v>
      </c>
      <c r="B521" s="29" t="s">
        <v>6679</v>
      </c>
      <c r="C521" s="29" t="s">
        <v>7044</v>
      </c>
      <c r="D521" s="30">
        <v>45658.0</v>
      </c>
      <c r="E521" s="30">
        <v>46022.0</v>
      </c>
      <c r="F521" s="31">
        <v>0.0</v>
      </c>
      <c r="G521" s="31">
        <v>1.0</v>
      </c>
      <c r="H521" s="35" t="s">
        <v>7045</v>
      </c>
      <c r="I521" s="30">
        <v>46023.0</v>
      </c>
      <c r="J521" s="30">
        <v>46387.0</v>
      </c>
      <c r="K521" s="31">
        <v>0.0</v>
      </c>
      <c r="L521" s="31">
        <v>1.0</v>
      </c>
      <c r="M521" s="35" t="s">
        <v>7045</v>
      </c>
      <c r="N521" s="30">
        <v>46388.0</v>
      </c>
      <c r="O521" s="30">
        <v>46752.0</v>
      </c>
      <c r="P521" s="31">
        <v>0.0</v>
      </c>
      <c r="Q521" s="31">
        <v>1.0</v>
      </c>
      <c r="R521" s="35" t="s">
        <v>7045</v>
      </c>
      <c r="S521" s="30">
        <v>46753.0</v>
      </c>
      <c r="T521" s="30">
        <v>47118.0</v>
      </c>
      <c r="U521" s="31">
        <v>0.0</v>
      </c>
      <c r="V521" s="31">
        <v>1.0</v>
      </c>
      <c r="W521" s="35" t="s">
        <v>7045</v>
      </c>
      <c r="X521" s="30">
        <v>47119.0</v>
      </c>
      <c r="Y521" s="30">
        <v>47483.0</v>
      </c>
      <c r="Z521" s="31">
        <v>0.0</v>
      </c>
      <c r="AA521" s="31">
        <v>1.0</v>
      </c>
      <c r="AB521" s="35" t="s">
        <v>7045</v>
      </c>
      <c r="AC521" s="30">
        <v>47484.0</v>
      </c>
      <c r="AD521" s="30">
        <v>47848.0</v>
      </c>
      <c r="AE521" s="31">
        <v>0.0</v>
      </c>
      <c r="AF521" s="31">
        <v>1.0</v>
      </c>
      <c r="AG521" s="35" t="s">
        <v>7045</v>
      </c>
    </row>
    <row r="522" ht="14.25" customHeight="1">
      <c r="A522" s="28" t="s">
        <v>1829</v>
      </c>
      <c r="B522" s="29" t="s">
        <v>1830</v>
      </c>
      <c r="C522" s="29" t="s">
        <v>7041</v>
      </c>
      <c r="D522" s="30">
        <v>45658.0</v>
      </c>
      <c r="E522" s="30">
        <v>46022.0</v>
      </c>
      <c r="F522" s="31">
        <v>0.0</v>
      </c>
      <c r="G522" s="31">
        <v>1.0</v>
      </c>
      <c r="H522" s="35" t="s">
        <v>7045</v>
      </c>
      <c r="I522" s="30">
        <v>46023.0</v>
      </c>
      <c r="J522" s="30">
        <v>46387.0</v>
      </c>
      <c r="K522" s="31">
        <v>0.0</v>
      </c>
      <c r="L522" s="31">
        <v>1.0</v>
      </c>
      <c r="M522" s="35" t="s">
        <v>7045</v>
      </c>
      <c r="N522" s="30">
        <v>46388.0</v>
      </c>
      <c r="O522" s="30">
        <v>46752.0</v>
      </c>
      <c r="P522" s="31">
        <v>0.0</v>
      </c>
      <c r="Q522" s="31">
        <v>1.0</v>
      </c>
      <c r="R522" s="35" t="s">
        <v>7045</v>
      </c>
      <c r="S522" s="30">
        <v>46753.0</v>
      </c>
      <c r="T522" s="30">
        <v>47118.0</v>
      </c>
      <c r="U522" s="31">
        <v>0.0</v>
      </c>
      <c r="V522" s="31">
        <v>1.0</v>
      </c>
      <c r="W522" s="35" t="s">
        <v>7045</v>
      </c>
      <c r="X522" s="30">
        <v>47119.0</v>
      </c>
      <c r="Y522" s="30">
        <v>47483.0</v>
      </c>
      <c r="Z522" s="31">
        <v>0.0</v>
      </c>
      <c r="AA522" s="31">
        <v>1.0</v>
      </c>
      <c r="AB522" s="35" t="s">
        <v>7045</v>
      </c>
      <c r="AC522" s="30">
        <v>47484.0</v>
      </c>
      <c r="AD522" s="30">
        <v>47848.0</v>
      </c>
      <c r="AE522" s="31">
        <v>0.0</v>
      </c>
      <c r="AF522" s="31">
        <v>1.0</v>
      </c>
      <c r="AG522" s="35" t="s">
        <v>7045</v>
      </c>
    </row>
    <row r="523" ht="14.25" customHeight="1">
      <c r="A523" s="28" t="s">
        <v>2488</v>
      </c>
      <c r="B523" s="29" t="s">
        <v>2489</v>
      </c>
      <c r="C523" s="29" t="s">
        <v>7041</v>
      </c>
      <c r="D523" s="30">
        <v>45658.0</v>
      </c>
      <c r="E523" s="30">
        <v>46022.0</v>
      </c>
      <c r="F523" s="31">
        <v>0.0</v>
      </c>
      <c r="G523" s="31">
        <v>1.0</v>
      </c>
      <c r="H523" s="35" t="s">
        <v>7045</v>
      </c>
      <c r="I523" s="30">
        <v>46023.0</v>
      </c>
      <c r="J523" s="30">
        <v>46387.0</v>
      </c>
      <c r="K523" s="31">
        <v>0.0</v>
      </c>
      <c r="L523" s="31">
        <v>1.0</v>
      </c>
      <c r="M523" s="35" t="s">
        <v>7045</v>
      </c>
      <c r="N523" s="30">
        <v>46388.0</v>
      </c>
      <c r="O523" s="30">
        <v>46752.0</v>
      </c>
      <c r="P523" s="31">
        <v>0.0</v>
      </c>
      <c r="Q523" s="31">
        <v>1.0</v>
      </c>
      <c r="R523" s="35" t="s">
        <v>7045</v>
      </c>
      <c r="S523" s="30">
        <v>46753.0</v>
      </c>
      <c r="T523" s="30">
        <v>47118.0</v>
      </c>
      <c r="U523" s="31">
        <v>0.0</v>
      </c>
      <c r="V523" s="31">
        <v>1.0</v>
      </c>
      <c r="W523" s="35" t="s">
        <v>7045</v>
      </c>
      <c r="X523" s="30">
        <v>47119.0</v>
      </c>
      <c r="Y523" s="30">
        <v>47483.0</v>
      </c>
      <c r="Z523" s="31">
        <v>0.0</v>
      </c>
      <c r="AA523" s="31">
        <v>1.0</v>
      </c>
      <c r="AB523" s="35" t="s">
        <v>7045</v>
      </c>
      <c r="AC523" s="30">
        <v>47484.0</v>
      </c>
      <c r="AD523" s="30">
        <v>47848.0</v>
      </c>
      <c r="AE523" s="31">
        <v>0.0</v>
      </c>
      <c r="AF523" s="31">
        <v>1.0</v>
      </c>
      <c r="AG523" s="35" t="s">
        <v>7045</v>
      </c>
    </row>
    <row r="524" ht="14.25" customHeight="1">
      <c r="A524" s="20" t="s">
        <v>4686</v>
      </c>
      <c r="B524" s="20" t="s">
        <v>4687</v>
      </c>
      <c r="C524" s="20" t="s">
        <v>7041</v>
      </c>
      <c r="D524" s="24">
        <v>45658.0</v>
      </c>
      <c r="E524" s="24">
        <v>46022.0</v>
      </c>
      <c r="F524" s="20">
        <v>0.0</v>
      </c>
      <c r="G524" s="20">
        <v>1.0</v>
      </c>
      <c r="H524" s="20" t="s">
        <v>7045</v>
      </c>
      <c r="I524" s="24">
        <v>46023.0</v>
      </c>
      <c r="J524" s="24">
        <v>46387.0</v>
      </c>
      <c r="K524" s="20">
        <v>0.0</v>
      </c>
      <c r="L524" s="20">
        <v>1.0</v>
      </c>
      <c r="M524" s="20" t="s">
        <v>7045</v>
      </c>
      <c r="N524" s="24">
        <v>46388.0</v>
      </c>
      <c r="O524" s="24">
        <v>46752.0</v>
      </c>
      <c r="P524" s="20">
        <v>0.0</v>
      </c>
      <c r="Q524" s="20">
        <v>1.0</v>
      </c>
      <c r="R524" s="20" t="s">
        <v>7045</v>
      </c>
      <c r="S524" s="24">
        <v>46753.0</v>
      </c>
      <c r="T524" s="24">
        <v>47118.0</v>
      </c>
      <c r="U524" s="20">
        <v>0.0</v>
      </c>
      <c r="V524" s="20">
        <v>1.0</v>
      </c>
      <c r="W524" s="20" t="s">
        <v>7045</v>
      </c>
      <c r="X524" s="24">
        <v>47119.0</v>
      </c>
      <c r="Y524" s="24">
        <v>47483.0</v>
      </c>
      <c r="Z524" s="20">
        <v>0.0</v>
      </c>
      <c r="AA524" s="20">
        <v>1.0</v>
      </c>
      <c r="AB524" s="20" t="s">
        <v>7045</v>
      </c>
      <c r="AC524" s="24">
        <v>47484.0</v>
      </c>
      <c r="AD524" s="24">
        <v>47848.0</v>
      </c>
      <c r="AE524" s="20">
        <v>0.0</v>
      </c>
      <c r="AF524" s="20">
        <v>1.0</v>
      </c>
      <c r="AG524" s="20" t="s">
        <v>7045</v>
      </c>
    </row>
    <row r="525" ht="14.25" customHeight="1">
      <c r="A525" s="20" t="s">
        <v>6336</v>
      </c>
      <c r="B525" s="20" t="s">
        <v>6337</v>
      </c>
      <c r="C525" s="20" t="s">
        <v>7041</v>
      </c>
      <c r="D525" s="24">
        <v>45658.0</v>
      </c>
      <c r="E525" s="24">
        <v>46022.0</v>
      </c>
      <c r="F525" s="20">
        <v>0.0</v>
      </c>
      <c r="G525" s="20">
        <v>1.0</v>
      </c>
      <c r="H525" s="20" t="s">
        <v>7045</v>
      </c>
      <c r="I525" s="24">
        <v>46023.0</v>
      </c>
      <c r="J525" s="24">
        <v>46387.0</v>
      </c>
      <c r="K525" s="20">
        <v>0.0</v>
      </c>
      <c r="L525" s="20">
        <v>1.0</v>
      </c>
      <c r="M525" s="20" t="s">
        <v>7045</v>
      </c>
      <c r="N525" s="24">
        <v>46388.0</v>
      </c>
      <c r="O525" s="24">
        <v>46752.0</v>
      </c>
      <c r="P525" s="20">
        <v>0.0</v>
      </c>
      <c r="Q525" s="20">
        <v>1.0</v>
      </c>
      <c r="R525" s="20" t="s">
        <v>7045</v>
      </c>
      <c r="S525" s="24">
        <v>46753.0</v>
      </c>
      <c r="T525" s="24">
        <v>47118.0</v>
      </c>
      <c r="U525" s="20">
        <v>0.0</v>
      </c>
      <c r="V525" s="20">
        <v>1.0</v>
      </c>
      <c r="W525" s="20" t="s">
        <v>7045</v>
      </c>
      <c r="X525" s="24">
        <v>47119.0</v>
      </c>
      <c r="Y525" s="24">
        <v>47483.0</v>
      </c>
      <c r="Z525" s="20">
        <v>0.0</v>
      </c>
      <c r="AA525" s="20">
        <v>1.0</v>
      </c>
      <c r="AB525" s="20" t="s">
        <v>7045</v>
      </c>
      <c r="AC525" s="24">
        <v>47484.0</v>
      </c>
      <c r="AD525" s="24">
        <v>47848.0</v>
      </c>
      <c r="AE525" s="20">
        <v>0.0</v>
      </c>
      <c r="AF525" s="20">
        <v>1.0</v>
      </c>
      <c r="AG525" s="20" t="s">
        <v>7045</v>
      </c>
    </row>
    <row r="526" ht="14.25" customHeight="1">
      <c r="A526" s="20" t="s">
        <v>4272</v>
      </c>
      <c r="B526" s="20" t="s">
        <v>4273</v>
      </c>
      <c r="C526" s="20" t="s">
        <v>7044</v>
      </c>
      <c r="D526" s="24">
        <v>45658.0</v>
      </c>
      <c r="E526" s="24">
        <v>46022.0</v>
      </c>
      <c r="F526" s="20">
        <v>0.0</v>
      </c>
      <c r="G526" s="20">
        <v>1.0</v>
      </c>
      <c r="H526" s="20" t="s">
        <v>7045</v>
      </c>
      <c r="I526" s="24">
        <v>46023.0</v>
      </c>
      <c r="J526" s="24">
        <v>46387.0</v>
      </c>
      <c r="K526" s="20">
        <v>0.0</v>
      </c>
      <c r="L526" s="20">
        <v>1.0</v>
      </c>
      <c r="M526" s="20" t="s">
        <v>7045</v>
      </c>
      <c r="N526" s="24">
        <v>46388.0</v>
      </c>
      <c r="O526" s="24">
        <v>46752.0</v>
      </c>
      <c r="P526" s="20">
        <v>0.0</v>
      </c>
      <c r="Q526" s="20">
        <v>1.0</v>
      </c>
      <c r="R526" s="20" t="s">
        <v>7045</v>
      </c>
      <c r="S526" s="24">
        <v>46753.0</v>
      </c>
      <c r="T526" s="24">
        <v>47118.0</v>
      </c>
      <c r="U526" s="20">
        <v>0.0</v>
      </c>
      <c r="V526" s="20">
        <v>1.0</v>
      </c>
      <c r="W526" s="20" t="s">
        <v>7045</v>
      </c>
      <c r="X526" s="24">
        <v>47119.0</v>
      </c>
      <c r="Y526" s="24">
        <v>47483.0</v>
      </c>
      <c r="Z526" s="20">
        <v>0.0</v>
      </c>
      <c r="AA526" s="20">
        <v>1.0</v>
      </c>
      <c r="AB526" s="20" t="s">
        <v>7045</v>
      </c>
      <c r="AC526" s="24">
        <v>47484.0</v>
      </c>
      <c r="AD526" s="24">
        <v>47848.0</v>
      </c>
      <c r="AE526" s="20">
        <v>0.0</v>
      </c>
      <c r="AF526" s="20">
        <v>1.0</v>
      </c>
      <c r="AG526" s="20" t="s">
        <v>7045</v>
      </c>
    </row>
    <row r="527" ht="14.25" customHeight="1">
      <c r="A527" s="20" t="s">
        <v>4107</v>
      </c>
      <c r="B527" s="20" t="s">
        <v>4108</v>
      </c>
      <c r="C527" s="20" t="s">
        <v>7044</v>
      </c>
      <c r="D527" s="24">
        <v>45658.0</v>
      </c>
      <c r="E527" s="24">
        <v>46022.0</v>
      </c>
      <c r="F527" s="20">
        <v>0.0</v>
      </c>
      <c r="G527" s="20">
        <v>1.0</v>
      </c>
      <c r="H527" s="20" t="s">
        <v>7045</v>
      </c>
      <c r="I527" s="24">
        <v>46023.0</v>
      </c>
      <c r="J527" s="24">
        <v>46387.0</v>
      </c>
      <c r="K527" s="20">
        <v>0.0</v>
      </c>
      <c r="L527" s="20">
        <v>1.0</v>
      </c>
      <c r="M527" s="20" t="s">
        <v>7045</v>
      </c>
      <c r="N527" s="24">
        <v>46388.0</v>
      </c>
      <c r="O527" s="24">
        <v>46752.0</v>
      </c>
      <c r="P527" s="20">
        <v>0.0</v>
      </c>
      <c r="Q527" s="20">
        <v>1.0</v>
      </c>
      <c r="R527" s="20" t="s">
        <v>7045</v>
      </c>
      <c r="S527" s="24">
        <v>46753.0</v>
      </c>
      <c r="T527" s="24">
        <v>47118.0</v>
      </c>
      <c r="U527" s="20">
        <v>0.0</v>
      </c>
      <c r="V527" s="20">
        <v>1.0</v>
      </c>
      <c r="W527" s="20" t="s">
        <v>7045</v>
      </c>
      <c r="X527" s="24">
        <v>47119.0</v>
      </c>
      <c r="Y527" s="24">
        <v>47483.0</v>
      </c>
      <c r="Z527" s="20">
        <v>0.0</v>
      </c>
      <c r="AA527" s="20">
        <v>1.0</v>
      </c>
      <c r="AB527" s="20" t="s">
        <v>7045</v>
      </c>
      <c r="AC527" s="24">
        <v>47484.0</v>
      </c>
      <c r="AD527" s="24">
        <v>47848.0</v>
      </c>
      <c r="AE527" s="20">
        <v>0.0</v>
      </c>
      <c r="AF527" s="20">
        <v>1.0</v>
      </c>
      <c r="AG527" s="20" t="s">
        <v>7045</v>
      </c>
    </row>
    <row r="528" ht="14.25" customHeight="1">
      <c r="A528" s="20" t="s">
        <v>6367</v>
      </c>
      <c r="B528" s="20" t="s">
        <v>6368</v>
      </c>
      <c r="C528" s="20" t="s">
        <v>7041</v>
      </c>
      <c r="D528" s="24">
        <v>45658.0</v>
      </c>
      <c r="E528" s="24">
        <v>46022.0</v>
      </c>
      <c r="F528" s="20">
        <v>0.0</v>
      </c>
      <c r="G528" s="20">
        <v>1.0</v>
      </c>
      <c r="H528" s="20" t="s">
        <v>7045</v>
      </c>
      <c r="I528" s="24">
        <v>46023.0</v>
      </c>
      <c r="J528" s="24">
        <v>46387.0</v>
      </c>
      <c r="K528" s="20">
        <v>0.0</v>
      </c>
      <c r="L528" s="20">
        <v>1.0</v>
      </c>
      <c r="M528" s="20" t="s">
        <v>7045</v>
      </c>
      <c r="N528" s="24">
        <v>46388.0</v>
      </c>
      <c r="O528" s="24">
        <v>46752.0</v>
      </c>
      <c r="P528" s="20">
        <v>0.0</v>
      </c>
      <c r="Q528" s="20">
        <v>1.0</v>
      </c>
      <c r="R528" s="20" t="s">
        <v>7045</v>
      </c>
      <c r="S528" s="24">
        <v>46753.0</v>
      </c>
      <c r="T528" s="24">
        <v>47118.0</v>
      </c>
      <c r="U528" s="20">
        <v>0.0</v>
      </c>
      <c r="V528" s="20">
        <v>1.0</v>
      </c>
      <c r="W528" s="20" t="s">
        <v>7045</v>
      </c>
      <c r="X528" s="24">
        <v>47119.0</v>
      </c>
      <c r="Y528" s="24">
        <v>47483.0</v>
      </c>
      <c r="Z528" s="20">
        <v>0.0</v>
      </c>
      <c r="AA528" s="20">
        <v>1.0</v>
      </c>
      <c r="AB528" s="20" t="s">
        <v>7045</v>
      </c>
      <c r="AC528" s="24">
        <v>47484.0</v>
      </c>
      <c r="AD528" s="24">
        <v>47848.0</v>
      </c>
      <c r="AE528" s="20">
        <v>0.0</v>
      </c>
      <c r="AF528" s="20">
        <v>1.0</v>
      </c>
      <c r="AG528" s="20" t="s">
        <v>7045</v>
      </c>
    </row>
    <row r="529" ht="14.25" customHeight="1">
      <c r="A529" s="20" t="s">
        <v>4457</v>
      </c>
      <c r="B529" s="20" t="s">
        <v>4458</v>
      </c>
      <c r="C529" s="20" t="s">
        <v>7041</v>
      </c>
      <c r="D529" s="24">
        <v>45658.0</v>
      </c>
      <c r="E529" s="24">
        <v>46022.0</v>
      </c>
      <c r="F529" s="20">
        <v>0.0</v>
      </c>
      <c r="G529" s="20">
        <v>1.0</v>
      </c>
      <c r="H529" s="20" t="s">
        <v>7045</v>
      </c>
      <c r="I529" s="24">
        <v>46023.0</v>
      </c>
      <c r="J529" s="24">
        <v>46387.0</v>
      </c>
      <c r="K529" s="20">
        <v>0.0</v>
      </c>
      <c r="L529" s="20">
        <v>1.0</v>
      </c>
      <c r="M529" s="20" t="s">
        <v>7045</v>
      </c>
      <c r="N529" s="24">
        <v>46388.0</v>
      </c>
      <c r="O529" s="24">
        <v>46752.0</v>
      </c>
      <c r="P529" s="20">
        <v>0.0</v>
      </c>
      <c r="Q529" s="20">
        <v>1.0</v>
      </c>
      <c r="R529" s="20" t="s">
        <v>7045</v>
      </c>
      <c r="S529" s="24">
        <v>46753.0</v>
      </c>
      <c r="T529" s="24">
        <v>47118.0</v>
      </c>
      <c r="U529" s="20">
        <v>0.0</v>
      </c>
      <c r="V529" s="20">
        <v>1.0</v>
      </c>
      <c r="W529" s="20" t="s">
        <v>7045</v>
      </c>
      <c r="X529" s="24">
        <v>47119.0</v>
      </c>
      <c r="Y529" s="24">
        <v>47483.0</v>
      </c>
      <c r="Z529" s="20">
        <v>0.0</v>
      </c>
      <c r="AA529" s="20">
        <v>1.0</v>
      </c>
      <c r="AB529" s="20" t="s">
        <v>7045</v>
      </c>
      <c r="AC529" s="24">
        <v>47484.0</v>
      </c>
      <c r="AD529" s="24">
        <v>47848.0</v>
      </c>
      <c r="AE529" s="20">
        <v>0.0</v>
      </c>
      <c r="AF529" s="20">
        <v>1.0</v>
      </c>
      <c r="AG529" s="20" t="s">
        <v>7045</v>
      </c>
    </row>
    <row r="530" ht="14.25" customHeight="1">
      <c r="A530" s="20" t="s">
        <v>1433</v>
      </c>
      <c r="B530" s="20" t="s">
        <v>1434</v>
      </c>
      <c r="C530" s="20" t="s">
        <v>7041</v>
      </c>
      <c r="D530" s="24">
        <v>45658.0</v>
      </c>
      <c r="E530" s="24">
        <v>46022.0</v>
      </c>
      <c r="F530" s="20">
        <v>0.0</v>
      </c>
      <c r="G530" s="20">
        <v>1.0</v>
      </c>
      <c r="H530" s="20" t="s">
        <v>7045</v>
      </c>
      <c r="I530" s="24">
        <v>46023.0</v>
      </c>
      <c r="J530" s="24">
        <v>46387.0</v>
      </c>
      <c r="K530" s="20">
        <v>0.0</v>
      </c>
      <c r="L530" s="20">
        <v>1.0</v>
      </c>
      <c r="M530" s="20" t="s">
        <v>7045</v>
      </c>
      <c r="N530" s="24">
        <v>46388.0</v>
      </c>
      <c r="O530" s="24">
        <v>46752.0</v>
      </c>
      <c r="P530" s="20">
        <v>0.0</v>
      </c>
      <c r="Q530" s="20">
        <v>1.0</v>
      </c>
      <c r="R530" s="20" t="s">
        <v>7045</v>
      </c>
      <c r="S530" s="24">
        <v>46753.0</v>
      </c>
      <c r="T530" s="24">
        <v>47118.0</v>
      </c>
      <c r="U530" s="20">
        <v>0.0</v>
      </c>
      <c r="V530" s="20">
        <v>1.0</v>
      </c>
      <c r="W530" s="20" t="s">
        <v>7045</v>
      </c>
      <c r="X530" s="24">
        <v>47119.0</v>
      </c>
      <c r="Y530" s="24">
        <v>47483.0</v>
      </c>
      <c r="Z530" s="20">
        <v>0.0</v>
      </c>
      <c r="AA530" s="20">
        <v>1.0</v>
      </c>
      <c r="AB530" s="20" t="s">
        <v>7045</v>
      </c>
      <c r="AC530" s="24">
        <v>47484.0</v>
      </c>
      <c r="AD530" s="24">
        <v>47848.0</v>
      </c>
      <c r="AE530" s="20">
        <v>0.0</v>
      </c>
      <c r="AF530" s="20">
        <v>1.0</v>
      </c>
      <c r="AG530" s="20" t="s">
        <v>7045</v>
      </c>
    </row>
    <row r="531" ht="14.25" customHeight="1">
      <c r="A531" s="20" t="s">
        <v>3897</v>
      </c>
      <c r="B531" s="20" t="s">
        <v>3898</v>
      </c>
      <c r="C531" s="20" t="s">
        <v>7044</v>
      </c>
      <c r="D531" s="24">
        <v>45658.0</v>
      </c>
      <c r="E531" s="24">
        <v>46022.0</v>
      </c>
      <c r="F531" s="20">
        <v>0.0</v>
      </c>
      <c r="G531" s="20">
        <v>1.0</v>
      </c>
      <c r="H531" s="20" t="s">
        <v>7045</v>
      </c>
      <c r="I531" s="24">
        <v>46023.0</v>
      </c>
      <c r="J531" s="24">
        <v>46387.0</v>
      </c>
      <c r="K531" s="20">
        <v>0.0</v>
      </c>
      <c r="L531" s="20">
        <v>1.0</v>
      </c>
      <c r="M531" s="20" t="s">
        <v>7045</v>
      </c>
      <c r="N531" s="24">
        <v>46388.0</v>
      </c>
      <c r="O531" s="24">
        <v>46752.0</v>
      </c>
      <c r="P531" s="20">
        <v>0.0</v>
      </c>
      <c r="Q531" s="20">
        <v>1.0</v>
      </c>
      <c r="R531" s="20" t="s">
        <v>7045</v>
      </c>
      <c r="S531" s="24">
        <v>46753.0</v>
      </c>
      <c r="T531" s="24">
        <v>47118.0</v>
      </c>
      <c r="U531" s="20">
        <v>0.0</v>
      </c>
      <c r="V531" s="20">
        <v>1.0</v>
      </c>
      <c r="W531" s="20" t="s">
        <v>7045</v>
      </c>
      <c r="X531" s="24">
        <v>47119.0</v>
      </c>
      <c r="Y531" s="24">
        <v>47483.0</v>
      </c>
      <c r="Z531" s="20">
        <v>0.0</v>
      </c>
      <c r="AA531" s="20">
        <v>1.0</v>
      </c>
      <c r="AB531" s="20" t="s">
        <v>7045</v>
      </c>
      <c r="AC531" s="24">
        <v>47484.0</v>
      </c>
      <c r="AD531" s="24">
        <v>47848.0</v>
      </c>
      <c r="AE531" s="20">
        <v>0.0</v>
      </c>
      <c r="AF531" s="20">
        <v>1.0</v>
      </c>
      <c r="AG531" s="20" t="s">
        <v>7045</v>
      </c>
    </row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80"/>
    <hyperlink r:id="rId2" ref="B172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8.29"/>
    <col customWidth="1" min="5" max="5" width="37.71"/>
    <col customWidth="1" min="6" max="7" width="18.14"/>
    <col customWidth="1" min="8" max="8" width="22.43"/>
    <col customWidth="1" min="9" max="9" width="20.14"/>
    <col customWidth="1" min="10" max="11" width="18.14"/>
    <col customWidth="1" min="12" max="12" width="22.43"/>
    <col customWidth="1" min="13" max="13" width="20.14"/>
    <col customWidth="1" min="14" max="15" width="18.14"/>
    <col customWidth="1" min="16" max="16" width="22.43"/>
    <col customWidth="1" min="17" max="17" width="20.14"/>
    <col customWidth="1" min="18" max="19" width="18.14"/>
    <col customWidth="1" min="20" max="20" width="22.43"/>
    <col customWidth="1" min="21" max="21" width="20.14"/>
    <col customWidth="1" min="22" max="23" width="18.14"/>
    <col customWidth="1" min="24" max="24" width="22.43"/>
    <col customWidth="1" min="25" max="25" width="20.14"/>
    <col customWidth="1" min="26" max="31" width="18.14"/>
  </cols>
  <sheetData>
    <row r="1" ht="14.25" customHeight="1">
      <c r="A1" s="44" t="s">
        <v>7033</v>
      </c>
      <c r="B1" s="44" t="s">
        <v>7034</v>
      </c>
      <c r="C1" s="44" t="s">
        <v>7035</v>
      </c>
      <c r="D1" s="44" t="s">
        <v>7036</v>
      </c>
      <c r="E1" s="44" t="s">
        <v>7037</v>
      </c>
      <c r="F1" s="44" t="s">
        <v>7038</v>
      </c>
      <c r="G1" s="44" t="s">
        <v>7039</v>
      </c>
      <c r="H1" s="44" t="s">
        <v>7036</v>
      </c>
      <c r="I1" s="44" t="s">
        <v>7037</v>
      </c>
      <c r="J1" s="44" t="s">
        <v>7038</v>
      </c>
      <c r="K1" s="44" t="s">
        <v>7039</v>
      </c>
      <c r="L1" s="44" t="s">
        <v>7036</v>
      </c>
      <c r="M1" s="44" t="s">
        <v>7037</v>
      </c>
      <c r="N1" s="44" t="s">
        <v>7038</v>
      </c>
      <c r="O1" s="44" t="s">
        <v>7039</v>
      </c>
      <c r="P1" s="44" t="s">
        <v>7036</v>
      </c>
      <c r="Q1" s="44" t="s">
        <v>7037</v>
      </c>
      <c r="R1" s="44" t="s">
        <v>7038</v>
      </c>
      <c r="S1" s="44" t="s">
        <v>7039</v>
      </c>
      <c r="T1" s="44" t="s">
        <v>7036</v>
      </c>
      <c r="U1" s="44" t="s">
        <v>7037</v>
      </c>
      <c r="V1" s="44" t="s">
        <v>7038</v>
      </c>
      <c r="W1" s="44" t="s">
        <v>7039</v>
      </c>
      <c r="X1" s="44" t="s">
        <v>7036</v>
      </c>
      <c r="Y1" s="44" t="s">
        <v>7037</v>
      </c>
      <c r="Z1" s="44" t="s">
        <v>7038</v>
      </c>
      <c r="AA1" s="44" t="s">
        <v>7039</v>
      </c>
      <c r="AB1" s="45"/>
      <c r="AC1" s="45"/>
      <c r="AD1" s="45"/>
      <c r="AE1" s="45"/>
    </row>
    <row r="2" ht="14.25" customHeight="1">
      <c r="A2" s="46" t="s">
        <v>3123</v>
      </c>
      <c r="B2" s="20" t="s">
        <v>3124</v>
      </c>
      <c r="C2" s="20" t="s">
        <v>7041</v>
      </c>
      <c r="D2" s="24">
        <v>45658.0</v>
      </c>
      <c r="E2" s="24">
        <v>46022.0</v>
      </c>
      <c r="F2" s="20">
        <v>0.0</v>
      </c>
      <c r="G2" s="20">
        <v>1.0</v>
      </c>
      <c r="H2" s="24">
        <v>46023.0</v>
      </c>
      <c r="I2" s="24">
        <v>46387.0</v>
      </c>
      <c r="J2" s="20">
        <v>0.0</v>
      </c>
      <c r="K2" s="20">
        <v>1.0</v>
      </c>
      <c r="L2" s="24">
        <v>46388.0</v>
      </c>
      <c r="M2" s="24">
        <v>46752.0</v>
      </c>
      <c r="N2" s="20">
        <v>0.0</v>
      </c>
      <c r="O2" s="20">
        <v>1.0</v>
      </c>
      <c r="P2" s="24">
        <v>46753.0</v>
      </c>
      <c r="Q2" s="24">
        <v>47118.0</v>
      </c>
      <c r="R2" s="20">
        <v>0.0</v>
      </c>
      <c r="S2" s="20">
        <v>1.0</v>
      </c>
      <c r="T2" s="24">
        <v>47119.0</v>
      </c>
      <c r="U2" s="24">
        <v>47483.0</v>
      </c>
      <c r="V2" s="20">
        <v>0.0</v>
      </c>
      <c r="W2" s="20">
        <v>1.0</v>
      </c>
      <c r="X2" s="24">
        <v>47484.0</v>
      </c>
      <c r="Y2" s="24">
        <v>47848.0</v>
      </c>
      <c r="Z2" s="20">
        <v>0.0</v>
      </c>
      <c r="AA2" s="20">
        <v>1.0</v>
      </c>
      <c r="AB2" s="24"/>
      <c r="AC2" s="24"/>
    </row>
    <row r="3" ht="14.25" customHeight="1">
      <c r="A3" s="46" t="s">
        <v>6092</v>
      </c>
      <c r="B3" s="20" t="s">
        <v>6093</v>
      </c>
      <c r="C3" s="20" t="s">
        <v>7041</v>
      </c>
      <c r="D3" s="24">
        <v>45658.0</v>
      </c>
      <c r="E3" s="24">
        <v>46022.0</v>
      </c>
      <c r="F3" s="20">
        <v>1.0</v>
      </c>
      <c r="G3" s="20">
        <v>1.0</v>
      </c>
      <c r="H3" s="24">
        <v>46023.0</v>
      </c>
      <c r="I3" s="24">
        <v>46387.0</v>
      </c>
      <c r="J3" s="20">
        <v>0.0</v>
      </c>
      <c r="K3" s="20">
        <v>1.0</v>
      </c>
      <c r="L3" s="24">
        <v>46388.0</v>
      </c>
      <c r="M3" s="24">
        <v>46752.0</v>
      </c>
      <c r="N3" s="20">
        <v>0.0</v>
      </c>
      <c r="O3" s="20">
        <v>1.0</v>
      </c>
      <c r="P3" s="24">
        <v>46753.0</v>
      </c>
      <c r="Q3" s="24">
        <v>47118.0</v>
      </c>
      <c r="R3" s="20">
        <v>0.0</v>
      </c>
      <c r="S3" s="20">
        <v>1.0</v>
      </c>
      <c r="T3" s="24">
        <v>47119.0</v>
      </c>
      <c r="U3" s="24">
        <v>47483.0</v>
      </c>
      <c r="V3" s="20">
        <v>0.0</v>
      </c>
      <c r="W3" s="20">
        <v>1.0</v>
      </c>
      <c r="X3" s="24">
        <v>47484.0</v>
      </c>
      <c r="Y3" s="24">
        <v>47848.0</v>
      </c>
      <c r="Z3" s="20">
        <v>0.0</v>
      </c>
      <c r="AA3" s="20">
        <v>1.0</v>
      </c>
      <c r="AB3" s="24"/>
      <c r="AC3" s="24"/>
    </row>
    <row r="4" ht="14.25" customHeight="1">
      <c r="A4" s="46" t="s">
        <v>184</v>
      </c>
      <c r="B4" s="20" t="s">
        <v>185</v>
      </c>
      <c r="C4" s="20" t="s">
        <v>7041</v>
      </c>
      <c r="D4" s="24">
        <v>45658.0</v>
      </c>
      <c r="E4" s="24">
        <v>46022.0</v>
      </c>
      <c r="F4" s="20">
        <v>1.0</v>
      </c>
      <c r="G4" s="20">
        <v>1.0</v>
      </c>
      <c r="H4" s="24">
        <v>46023.0</v>
      </c>
      <c r="I4" s="24">
        <v>46387.0</v>
      </c>
      <c r="J4" s="20">
        <v>0.0</v>
      </c>
      <c r="K4" s="20">
        <v>1.0</v>
      </c>
      <c r="L4" s="24">
        <v>46388.0</v>
      </c>
      <c r="M4" s="24">
        <v>46752.0</v>
      </c>
      <c r="N4" s="20">
        <v>0.0</v>
      </c>
      <c r="O4" s="20">
        <v>1.0</v>
      </c>
      <c r="P4" s="24">
        <v>46753.0</v>
      </c>
      <c r="Q4" s="24">
        <v>47118.0</v>
      </c>
      <c r="R4" s="20">
        <v>0.0</v>
      </c>
      <c r="S4" s="20">
        <v>1.0</v>
      </c>
      <c r="T4" s="24">
        <v>47119.0</v>
      </c>
      <c r="U4" s="24">
        <v>47483.0</v>
      </c>
      <c r="V4" s="20">
        <v>0.0</v>
      </c>
      <c r="W4" s="20">
        <v>1.0</v>
      </c>
      <c r="X4" s="24">
        <v>47484.0</v>
      </c>
      <c r="Y4" s="24">
        <v>47848.0</v>
      </c>
      <c r="Z4" s="20">
        <v>0.0</v>
      </c>
      <c r="AA4" s="20">
        <v>1.0</v>
      </c>
      <c r="AB4" s="24"/>
      <c r="AC4" s="24"/>
    </row>
    <row r="5" ht="14.25" customHeight="1">
      <c r="A5" s="46" t="s">
        <v>2647</v>
      </c>
      <c r="B5" s="20" t="s">
        <v>2648</v>
      </c>
      <c r="C5" s="20" t="s">
        <v>7041</v>
      </c>
      <c r="D5" s="24">
        <v>45658.0</v>
      </c>
      <c r="E5" s="24">
        <v>46022.0</v>
      </c>
      <c r="F5" s="20">
        <v>1.0</v>
      </c>
      <c r="G5" s="20">
        <v>1.0</v>
      </c>
      <c r="H5" s="24">
        <v>46023.0</v>
      </c>
      <c r="I5" s="24">
        <v>46387.0</v>
      </c>
      <c r="J5" s="20">
        <v>0.0</v>
      </c>
      <c r="K5" s="20">
        <v>1.0</v>
      </c>
      <c r="L5" s="24">
        <v>46388.0</v>
      </c>
      <c r="M5" s="24">
        <v>46752.0</v>
      </c>
      <c r="N5" s="20">
        <v>0.0</v>
      </c>
      <c r="O5" s="20">
        <v>1.0</v>
      </c>
      <c r="P5" s="24">
        <v>46753.0</v>
      </c>
      <c r="Q5" s="24">
        <v>47118.0</v>
      </c>
      <c r="R5" s="20">
        <v>0.0</v>
      </c>
      <c r="S5" s="20">
        <v>1.0</v>
      </c>
      <c r="T5" s="24">
        <v>47119.0</v>
      </c>
      <c r="U5" s="24">
        <v>47483.0</v>
      </c>
      <c r="V5" s="20">
        <v>0.0</v>
      </c>
      <c r="W5" s="20">
        <v>1.0</v>
      </c>
      <c r="X5" s="24">
        <v>47484.0</v>
      </c>
      <c r="Y5" s="24">
        <v>47848.0</v>
      </c>
      <c r="Z5" s="20">
        <v>0.0</v>
      </c>
      <c r="AA5" s="20">
        <v>1.0</v>
      </c>
      <c r="AB5" s="24"/>
      <c r="AC5" s="24"/>
    </row>
    <row r="6" ht="14.25" customHeight="1">
      <c r="A6" s="46" t="s">
        <v>3406</v>
      </c>
      <c r="B6" s="20" t="s">
        <v>3407</v>
      </c>
      <c r="C6" s="20" t="s">
        <v>7041</v>
      </c>
      <c r="D6" s="24">
        <v>45658.0</v>
      </c>
      <c r="E6" s="24">
        <v>46022.0</v>
      </c>
      <c r="F6" s="20">
        <v>1.0</v>
      </c>
      <c r="G6" s="20">
        <v>1.0</v>
      </c>
      <c r="H6" s="24">
        <v>46023.0</v>
      </c>
      <c r="I6" s="24">
        <v>46387.0</v>
      </c>
      <c r="J6" s="20">
        <v>0.0</v>
      </c>
      <c r="K6" s="20">
        <v>1.0</v>
      </c>
      <c r="L6" s="24">
        <v>46388.0</v>
      </c>
      <c r="M6" s="24">
        <v>46752.0</v>
      </c>
      <c r="N6" s="20">
        <v>0.0</v>
      </c>
      <c r="O6" s="20">
        <v>1.0</v>
      </c>
      <c r="P6" s="24">
        <v>46753.0</v>
      </c>
      <c r="Q6" s="24">
        <v>47118.0</v>
      </c>
      <c r="R6" s="20">
        <v>0.0</v>
      </c>
      <c r="S6" s="20">
        <v>1.0</v>
      </c>
      <c r="T6" s="24">
        <v>47119.0</v>
      </c>
      <c r="U6" s="24">
        <v>47483.0</v>
      </c>
      <c r="V6" s="20">
        <v>0.0</v>
      </c>
      <c r="W6" s="20">
        <v>1.0</v>
      </c>
      <c r="X6" s="24">
        <v>47484.0</v>
      </c>
      <c r="Y6" s="24">
        <v>47848.0</v>
      </c>
      <c r="Z6" s="20">
        <v>0.0</v>
      </c>
      <c r="AA6" s="20">
        <v>1.0</v>
      </c>
      <c r="AB6" s="24"/>
      <c r="AC6" s="24"/>
    </row>
    <row r="7" ht="14.25" customHeight="1">
      <c r="A7" s="46" t="s">
        <v>3966</v>
      </c>
      <c r="B7" s="20" t="s">
        <v>3967</v>
      </c>
      <c r="C7" s="20" t="s">
        <v>7041</v>
      </c>
      <c r="D7" s="24">
        <v>45658.0</v>
      </c>
      <c r="E7" s="24">
        <v>46022.0</v>
      </c>
      <c r="F7" s="20">
        <v>0.0</v>
      </c>
      <c r="G7" s="20">
        <v>1.0</v>
      </c>
      <c r="H7" s="24">
        <v>46023.0</v>
      </c>
      <c r="I7" s="24">
        <v>46387.0</v>
      </c>
      <c r="J7" s="20">
        <v>0.0</v>
      </c>
      <c r="K7" s="20">
        <v>1.0</v>
      </c>
      <c r="L7" s="24">
        <v>46388.0</v>
      </c>
      <c r="M7" s="24">
        <v>46752.0</v>
      </c>
      <c r="N7" s="20">
        <v>0.0</v>
      </c>
      <c r="O7" s="20">
        <v>1.0</v>
      </c>
      <c r="P7" s="24">
        <v>46753.0</v>
      </c>
      <c r="Q7" s="24">
        <v>47118.0</v>
      </c>
      <c r="R7" s="20">
        <v>0.0</v>
      </c>
      <c r="S7" s="20">
        <v>1.0</v>
      </c>
      <c r="T7" s="24">
        <v>47119.0</v>
      </c>
      <c r="U7" s="24">
        <v>47483.0</v>
      </c>
      <c r="V7" s="20">
        <v>0.0</v>
      </c>
      <c r="W7" s="20">
        <v>1.0</v>
      </c>
      <c r="X7" s="24">
        <v>47484.0</v>
      </c>
      <c r="Y7" s="24">
        <v>47848.0</v>
      </c>
      <c r="Z7" s="20">
        <v>0.0</v>
      </c>
      <c r="AA7" s="20">
        <v>1.0</v>
      </c>
      <c r="AB7" s="24"/>
      <c r="AC7" s="24"/>
    </row>
    <row r="8" ht="14.25" customHeight="1">
      <c r="A8" s="46" t="s">
        <v>4875</v>
      </c>
      <c r="B8" s="20" t="s">
        <v>4876</v>
      </c>
      <c r="C8" s="20" t="s">
        <v>7041</v>
      </c>
      <c r="D8" s="24">
        <v>45658.0</v>
      </c>
      <c r="E8" s="24">
        <v>46022.0</v>
      </c>
      <c r="F8" s="20">
        <v>1.0</v>
      </c>
      <c r="G8" s="20">
        <v>1.0</v>
      </c>
      <c r="H8" s="24">
        <v>46023.0</v>
      </c>
      <c r="I8" s="24">
        <v>46387.0</v>
      </c>
      <c r="J8" s="20">
        <v>0.0</v>
      </c>
      <c r="K8" s="20">
        <v>1.0</v>
      </c>
      <c r="L8" s="24">
        <v>46388.0</v>
      </c>
      <c r="M8" s="24">
        <v>46752.0</v>
      </c>
      <c r="N8" s="20">
        <v>0.0</v>
      </c>
      <c r="O8" s="20">
        <v>1.0</v>
      </c>
      <c r="P8" s="24">
        <v>46753.0</v>
      </c>
      <c r="Q8" s="24">
        <v>47118.0</v>
      </c>
      <c r="R8" s="20">
        <v>0.0</v>
      </c>
      <c r="S8" s="20">
        <v>1.0</v>
      </c>
      <c r="T8" s="24">
        <v>47119.0</v>
      </c>
      <c r="U8" s="24">
        <v>47483.0</v>
      </c>
      <c r="V8" s="20">
        <v>0.0</v>
      </c>
      <c r="W8" s="20">
        <v>1.0</v>
      </c>
      <c r="X8" s="24">
        <v>47484.0</v>
      </c>
      <c r="Y8" s="24">
        <v>47848.0</v>
      </c>
      <c r="Z8" s="20">
        <v>0.0</v>
      </c>
      <c r="AA8" s="20">
        <v>1.0</v>
      </c>
      <c r="AB8" s="24"/>
      <c r="AC8" s="24"/>
    </row>
    <row r="9" ht="14.25" customHeight="1">
      <c r="A9" s="46" t="s">
        <v>331</v>
      </c>
      <c r="B9" s="20" t="s">
        <v>332</v>
      </c>
      <c r="C9" s="20" t="s">
        <v>7041</v>
      </c>
      <c r="D9" s="24">
        <v>45658.0</v>
      </c>
      <c r="E9" s="24">
        <v>46022.0</v>
      </c>
      <c r="F9" s="20">
        <v>1.0</v>
      </c>
      <c r="G9" s="20">
        <v>1.0</v>
      </c>
      <c r="H9" s="24">
        <v>46023.0</v>
      </c>
      <c r="I9" s="24">
        <v>46387.0</v>
      </c>
      <c r="J9" s="20">
        <v>0.0</v>
      </c>
      <c r="K9" s="20">
        <v>1.0</v>
      </c>
      <c r="L9" s="24">
        <v>46388.0</v>
      </c>
      <c r="M9" s="24">
        <v>46752.0</v>
      </c>
      <c r="N9" s="20">
        <v>0.0</v>
      </c>
      <c r="O9" s="20">
        <v>1.0</v>
      </c>
      <c r="P9" s="24">
        <v>46753.0</v>
      </c>
      <c r="Q9" s="24">
        <v>47118.0</v>
      </c>
      <c r="R9" s="20">
        <v>0.0</v>
      </c>
      <c r="S9" s="20">
        <v>1.0</v>
      </c>
      <c r="T9" s="24">
        <v>47119.0</v>
      </c>
      <c r="U9" s="24">
        <v>47483.0</v>
      </c>
      <c r="V9" s="20">
        <v>0.0</v>
      </c>
      <c r="W9" s="20">
        <v>1.0</v>
      </c>
      <c r="X9" s="24">
        <v>47484.0</v>
      </c>
      <c r="Y9" s="24">
        <v>47848.0</v>
      </c>
      <c r="Z9" s="20">
        <v>0.0</v>
      </c>
      <c r="AA9" s="20">
        <v>1.0</v>
      </c>
      <c r="AB9" s="24"/>
      <c r="AC9" s="24"/>
    </row>
    <row r="10" ht="14.25" customHeight="1">
      <c r="A10" s="46" t="s">
        <v>5234</v>
      </c>
      <c r="B10" s="20" t="s">
        <v>5235</v>
      </c>
      <c r="C10" s="20" t="s">
        <v>7041</v>
      </c>
      <c r="D10" s="24">
        <v>45658.0</v>
      </c>
      <c r="E10" s="24">
        <v>46022.0</v>
      </c>
      <c r="F10" s="20">
        <v>0.0</v>
      </c>
      <c r="G10" s="20">
        <v>1.0</v>
      </c>
      <c r="H10" s="24">
        <v>46023.0</v>
      </c>
      <c r="I10" s="24">
        <v>46387.0</v>
      </c>
      <c r="J10" s="20">
        <v>0.0</v>
      </c>
      <c r="K10" s="20">
        <v>1.0</v>
      </c>
      <c r="L10" s="24">
        <v>46388.0</v>
      </c>
      <c r="M10" s="24">
        <v>46752.0</v>
      </c>
      <c r="N10" s="20">
        <v>0.0</v>
      </c>
      <c r="O10" s="20">
        <v>1.0</v>
      </c>
      <c r="P10" s="24">
        <v>46753.0</v>
      </c>
      <c r="Q10" s="24">
        <v>47118.0</v>
      </c>
      <c r="R10" s="20">
        <v>0.0</v>
      </c>
      <c r="S10" s="20">
        <v>1.0</v>
      </c>
      <c r="T10" s="24">
        <v>47119.0</v>
      </c>
      <c r="U10" s="24">
        <v>47483.0</v>
      </c>
      <c r="V10" s="20">
        <v>0.0</v>
      </c>
      <c r="W10" s="20">
        <v>1.0</v>
      </c>
      <c r="X10" s="24">
        <v>47484.0</v>
      </c>
      <c r="Y10" s="24">
        <v>47848.0</v>
      </c>
      <c r="Z10" s="20">
        <v>0.0</v>
      </c>
      <c r="AA10" s="20">
        <v>1.0</v>
      </c>
      <c r="AB10" s="24"/>
      <c r="AC10" s="24"/>
    </row>
    <row r="11" ht="14.25" customHeight="1">
      <c r="A11" s="46" t="s">
        <v>6391</v>
      </c>
      <c r="B11" s="20" t="s">
        <v>6392</v>
      </c>
      <c r="C11" s="20" t="s">
        <v>7041</v>
      </c>
      <c r="D11" s="24">
        <v>45658.0</v>
      </c>
      <c r="E11" s="24">
        <v>46022.0</v>
      </c>
      <c r="F11" s="20">
        <v>0.0</v>
      </c>
      <c r="G11" s="20">
        <v>1.0</v>
      </c>
      <c r="H11" s="24">
        <v>46023.0</v>
      </c>
      <c r="I11" s="24">
        <v>46387.0</v>
      </c>
      <c r="J11" s="20">
        <v>0.0</v>
      </c>
      <c r="K11" s="20">
        <v>1.0</v>
      </c>
      <c r="L11" s="24">
        <v>46388.0</v>
      </c>
      <c r="M11" s="24">
        <v>46752.0</v>
      </c>
      <c r="N11" s="20">
        <v>0.0</v>
      </c>
      <c r="O11" s="20">
        <v>1.0</v>
      </c>
      <c r="P11" s="24">
        <v>46753.0</v>
      </c>
      <c r="Q11" s="24">
        <v>47118.0</v>
      </c>
      <c r="R11" s="20">
        <v>0.0</v>
      </c>
      <c r="S11" s="20">
        <v>1.0</v>
      </c>
      <c r="T11" s="24">
        <v>47119.0</v>
      </c>
      <c r="U11" s="24">
        <v>47483.0</v>
      </c>
      <c r="V11" s="20">
        <v>0.0</v>
      </c>
      <c r="W11" s="20">
        <v>1.0</v>
      </c>
      <c r="X11" s="24">
        <v>47484.0</v>
      </c>
      <c r="Y11" s="24">
        <v>47848.0</v>
      </c>
      <c r="Z11" s="20">
        <v>0.0</v>
      </c>
      <c r="AA11" s="20">
        <v>1.0</v>
      </c>
      <c r="AB11" s="24"/>
      <c r="AC11" s="24"/>
    </row>
    <row r="12" ht="14.25" customHeight="1">
      <c r="A12" s="46" t="s">
        <v>595</v>
      </c>
      <c r="B12" s="20" t="s">
        <v>596</v>
      </c>
      <c r="C12" s="20" t="s">
        <v>7041</v>
      </c>
      <c r="D12" s="24">
        <v>45658.0</v>
      </c>
      <c r="E12" s="24">
        <v>46022.0</v>
      </c>
      <c r="F12" s="20">
        <v>1.0</v>
      </c>
      <c r="G12" s="20">
        <v>1.0</v>
      </c>
      <c r="H12" s="24">
        <v>46023.0</v>
      </c>
      <c r="I12" s="24">
        <v>46387.0</v>
      </c>
      <c r="J12" s="20">
        <v>0.0</v>
      </c>
      <c r="K12" s="20">
        <v>1.0</v>
      </c>
      <c r="L12" s="24">
        <v>46388.0</v>
      </c>
      <c r="M12" s="24">
        <v>46752.0</v>
      </c>
      <c r="N12" s="20">
        <v>0.0</v>
      </c>
      <c r="O12" s="20">
        <v>1.0</v>
      </c>
      <c r="P12" s="24">
        <v>46753.0</v>
      </c>
      <c r="Q12" s="24">
        <v>47118.0</v>
      </c>
      <c r="R12" s="20">
        <v>0.0</v>
      </c>
      <c r="S12" s="20">
        <v>1.0</v>
      </c>
      <c r="T12" s="24">
        <v>47119.0</v>
      </c>
      <c r="U12" s="24">
        <v>47483.0</v>
      </c>
      <c r="V12" s="20">
        <v>0.0</v>
      </c>
      <c r="W12" s="20">
        <v>1.0</v>
      </c>
      <c r="X12" s="24">
        <v>47484.0</v>
      </c>
      <c r="Y12" s="24">
        <v>47848.0</v>
      </c>
      <c r="Z12" s="20">
        <v>0.0</v>
      </c>
      <c r="AA12" s="20">
        <v>1.0</v>
      </c>
      <c r="AB12" s="24"/>
      <c r="AC12" s="24"/>
    </row>
    <row r="13" ht="14.25" customHeight="1">
      <c r="A13" s="46" t="s">
        <v>2007</v>
      </c>
      <c r="B13" s="20" t="s">
        <v>2004</v>
      </c>
      <c r="C13" s="20" t="s">
        <v>7041</v>
      </c>
      <c r="D13" s="24">
        <v>45658.0</v>
      </c>
      <c r="E13" s="24">
        <v>46022.0</v>
      </c>
      <c r="F13" s="20">
        <v>1.0</v>
      </c>
      <c r="G13" s="20">
        <v>1.0</v>
      </c>
      <c r="H13" s="24">
        <v>46023.0</v>
      </c>
      <c r="I13" s="24">
        <v>46387.0</v>
      </c>
      <c r="J13" s="20">
        <v>0.0</v>
      </c>
      <c r="K13" s="20">
        <v>1.0</v>
      </c>
      <c r="L13" s="24">
        <v>46388.0</v>
      </c>
      <c r="M13" s="24">
        <v>46752.0</v>
      </c>
      <c r="N13" s="20">
        <v>0.0</v>
      </c>
      <c r="O13" s="20">
        <v>1.0</v>
      </c>
      <c r="P13" s="24">
        <v>46753.0</v>
      </c>
      <c r="Q13" s="24">
        <v>47118.0</v>
      </c>
      <c r="R13" s="20">
        <v>0.0</v>
      </c>
      <c r="S13" s="20">
        <v>1.0</v>
      </c>
      <c r="T13" s="24">
        <v>47119.0</v>
      </c>
      <c r="U13" s="24">
        <v>47483.0</v>
      </c>
      <c r="V13" s="20">
        <v>0.0</v>
      </c>
      <c r="W13" s="20">
        <v>1.0</v>
      </c>
      <c r="X13" s="24">
        <v>47484.0</v>
      </c>
      <c r="Y13" s="24">
        <v>47848.0</v>
      </c>
      <c r="Z13" s="20">
        <v>0.0</v>
      </c>
      <c r="AA13" s="20">
        <v>1.0</v>
      </c>
      <c r="AB13" s="24"/>
      <c r="AC13" s="24"/>
    </row>
    <row r="14" ht="14.25" customHeight="1">
      <c r="A14" s="46" t="s">
        <v>6030</v>
      </c>
      <c r="B14" s="20" t="s">
        <v>6031</v>
      </c>
      <c r="C14" s="20" t="s">
        <v>7041</v>
      </c>
      <c r="D14" s="24">
        <v>45658.0</v>
      </c>
      <c r="E14" s="24">
        <v>46022.0</v>
      </c>
      <c r="F14" s="20">
        <v>1.0</v>
      </c>
      <c r="G14" s="20">
        <v>1.0</v>
      </c>
      <c r="H14" s="24">
        <v>46023.0</v>
      </c>
      <c r="I14" s="24">
        <v>46387.0</v>
      </c>
      <c r="J14" s="20">
        <v>0.0</v>
      </c>
      <c r="K14" s="20">
        <v>1.0</v>
      </c>
      <c r="L14" s="24">
        <v>46388.0</v>
      </c>
      <c r="M14" s="24">
        <v>46752.0</v>
      </c>
      <c r="N14" s="20">
        <v>0.0</v>
      </c>
      <c r="O14" s="20">
        <v>1.0</v>
      </c>
      <c r="P14" s="24">
        <v>46753.0</v>
      </c>
      <c r="Q14" s="24">
        <v>47118.0</v>
      </c>
      <c r="R14" s="20">
        <v>0.0</v>
      </c>
      <c r="S14" s="20">
        <v>1.0</v>
      </c>
      <c r="T14" s="24">
        <v>47119.0</v>
      </c>
      <c r="U14" s="24">
        <v>47483.0</v>
      </c>
      <c r="V14" s="20">
        <v>0.0</v>
      </c>
      <c r="W14" s="20">
        <v>1.0</v>
      </c>
      <c r="X14" s="24">
        <v>47484.0</v>
      </c>
      <c r="Y14" s="24">
        <v>47848.0</v>
      </c>
      <c r="Z14" s="20">
        <v>0.0</v>
      </c>
      <c r="AA14" s="20">
        <v>1.0</v>
      </c>
      <c r="AB14" s="24"/>
      <c r="AC14" s="24"/>
    </row>
    <row r="15" ht="14.25" customHeight="1">
      <c r="A15" s="46" t="s">
        <v>6774</v>
      </c>
      <c r="B15" s="20" t="s">
        <v>6775</v>
      </c>
      <c r="C15" s="20" t="s">
        <v>7041</v>
      </c>
      <c r="D15" s="24">
        <v>45658.0</v>
      </c>
      <c r="E15" s="24">
        <v>46022.0</v>
      </c>
      <c r="F15" s="20">
        <v>0.0</v>
      </c>
      <c r="G15" s="20">
        <v>1.0</v>
      </c>
      <c r="H15" s="24">
        <v>46023.0</v>
      </c>
      <c r="I15" s="24">
        <v>46387.0</v>
      </c>
      <c r="J15" s="20">
        <v>0.0</v>
      </c>
      <c r="K15" s="20">
        <v>1.0</v>
      </c>
      <c r="L15" s="24">
        <v>46388.0</v>
      </c>
      <c r="M15" s="24">
        <v>46752.0</v>
      </c>
      <c r="N15" s="20">
        <v>0.0</v>
      </c>
      <c r="O15" s="20">
        <v>1.0</v>
      </c>
      <c r="P15" s="24">
        <v>46753.0</v>
      </c>
      <c r="Q15" s="24">
        <v>47118.0</v>
      </c>
      <c r="R15" s="20">
        <v>0.0</v>
      </c>
      <c r="S15" s="20">
        <v>1.0</v>
      </c>
      <c r="T15" s="24">
        <v>47119.0</v>
      </c>
      <c r="U15" s="24">
        <v>47483.0</v>
      </c>
      <c r="V15" s="20">
        <v>0.0</v>
      </c>
      <c r="W15" s="20">
        <v>1.0</v>
      </c>
      <c r="X15" s="24">
        <v>47484.0</v>
      </c>
      <c r="Y15" s="24">
        <v>47848.0</v>
      </c>
      <c r="Z15" s="20">
        <v>0.0</v>
      </c>
      <c r="AA15" s="20">
        <v>1.0</v>
      </c>
      <c r="AB15" s="24"/>
      <c r="AC15" s="24"/>
    </row>
    <row r="16" ht="14.25" customHeight="1">
      <c r="A16" s="46" t="s">
        <v>6860</v>
      </c>
      <c r="B16" s="20" t="s">
        <v>6861</v>
      </c>
      <c r="C16" s="20" t="s">
        <v>7041</v>
      </c>
      <c r="D16" s="24">
        <v>45658.0</v>
      </c>
      <c r="E16" s="24">
        <v>46022.0</v>
      </c>
      <c r="F16" s="20">
        <v>1.0</v>
      </c>
      <c r="G16" s="20">
        <v>1.0</v>
      </c>
      <c r="H16" s="24">
        <v>46023.0</v>
      </c>
      <c r="I16" s="24">
        <v>46387.0</v>
      </c>
      <c r="J16" s="20">
        <v>0.0</v>
      </c>
      <c r="K16" s="20">
        <v>1.0</v>
      </c>
      <c r="L16" s="24">
        <v>46388.0</v>
      </c>
      <c r="M16" s="24">
        <v>46752.0</v>
      </c>
      <c r="N16" s="20">
        <v>0.0</v>
      </c>
      <c r="O16" s="20">
        <v>1.0</v>
      </c>
      <c r="P16" s="24">
        <v>46753.0</v>
      </c>
      <c r="Q16" s="24">
        <v>47118.0</v>
      </c>
      <c r="R16" s="20">
        <v>0.0</v>
      </c>
      <c r="S16" s="20">
        <v>1.0</v>
      </c>
      <c r="T16" s="24">
        <v>47119.0</v>
      </c>
      <c r="U16" s="24">
        <v>47483.0</v>
      </c>
      <c r="V16" s="20">
        <v>0.0</v>
      </c>
      <c r="W16" s="20">
        <v>1.0</v>
      </c>
      <c r="X16" s="24">
        <v>47484.0</v>
      </c>
      <c r="Y16" s="24">
        <v>47848.0</v>
      </c>
      <c r="Z16" s="20">
        <v>0.0</v>
      </c>
      <c r="AA16" s="20">
        <v>1.0</v>
      </c>
      <c r="AB16" s="24"/>
      <c r="AC16" s="24"/>
    </row>
    <row r="17" ht="14.25" customHeight="1">
      <c r="A17" s="46" t="s">
        <v>2000</v>
      </c>
      <c r="B17" s="20" t="s">
        <v>2001</v>
      </c>
      <c r="C17" s="20" t="s">
        <v>7041</v>
      </c>
      <c r="D17" s="24">
        <v>45658.0</v>
      </c>
      <c r="E17" s="24">
        <v>46022.0</v>
      </c>
      <c r="F17" s="20">
        <v>0.0</v>
      </c>
      <c r="G17" s="20">
        <v>1.0</v>
      </c>
      <c r="H17" s="24">
        <v>46023.0</v>
      </c>
      <c r="I17" s="24">
        <v>46387.0</v>
      </c>
      <c r="J17" s="20">
        <v>0.0</v>
      </c>
      <c r="K17" s="20">
        <v>1.0</v>
      </c>
      <c r="L17" s="24">
        <v>46388.0</v>
      </c>
      <c r="M17" s="24">
        <v>46752.0</v>
      </c>
      <c r="N17" s="20">
        <v>0.0</v>
      </c>
      <c r="O17" s="20">
        <v>1.0</v>
      </c>
      <c r="P17" s="24">
        <v>46753.0</v>
      </c>
      <c r="Q17" s="24">
        <v>47118.0</v>
      </c>
      <c r="R17" s="20">
        <v>0.0</v>
      </c>
      <c r="S17" s="20">
        <v>1.0</v>
      </c>
      <c r="T17" s="24">
        <v>47119.0</v>
      </c>
      <c r="U17" s="24">
        <v>47483.0</v>
      </c>
      <c r="V17" s="20">
        <v>0.0</v>
      </c>
      <c r="W17" s="20">
        <v>1.0</v>
      </c>
      <c r="X17" s="24">
        <v>47484.0</v>
      </c>
      <c r="Y17" s="24">
        <v>47848.0</v>
      </c>
      <c r="Z17" s="20">
        <v>0.0</v>
      </c>
      <c r="AA17" s="20">
        <v>1.0</v>
      </c>
      <c r="AB17" s="24"/>
      <c r="AC17" s="24"/>
    </row>
    <row r="18" ht="14.25" customHeight="1">
      <c r="A18" s="46" t="s">
        <v>6065</v>
      </c>
      <c r="B18" s="20" t="s">
        <v>6066</v>
      </c>
      <c r="C18" s="20" t="s">
        <v>7041</v>
      </c>
      <c r="D18" s="24">
        <v>45658.0</v>
      </c>
      <c r="E18" s="24">
        <v>46022.0</v>
      </c>
      <c r="F18" s="20">
        <v>0.0</v>
      </c>
      <c r="G18" s="20">
        <v>1.0</v>
      </c>
      <c r="H18" s="24">
        <v>46023.0</v>
      </c>
      <c r="I18" s="24">
        <v>46387.0</v>
      </c>
      <c r="J18" s="20">
        <v>0.0</v>
      </c>
      <c r="K18" s="20">
        <v>1.0</v>
      </c>
      <c r="L18" s="24">
        <v>46388.0</v>
      </c>
      <c r="M18" s="24">
        <v>46752.0</v>
      </c>
      <c r="N18" s="20">
        <v>0.0</v>
      </c>
      <c r="O18" s="20">
        <v>1.0</v>
      </c>
      <c r="P18" s="24">
        <v>46753.0</v>
      </c>
      <c r="Q18" s="24">
        <v>47118.0</v>
      </c>
      <c r="R18" s="20">
        <v>0.0</v>
      </c>
      <c r="S18" s="20">
        <v>1.0</v>
      </c>
      <c r="T18" s="24">
        <v>47119.0</v>
      </c>
      <c r="U18" s="24">
        <v>47483.0</v>
      </c>
      <c r="V18" s="20">
        <v>0.0</v>
      </c>
      <c r="W18" s="20">
        <v>1.0</v>
      </c>
      <c r="X18" s="24">
        <v>47484.0</v>
      </c>
      <c r="Y18" s="24">
        <v>47848.0</v>
      </c>
      <c r="Z18" s="20">
        <v>0.0</v>
      </c>
      <c r="AA18" s="20">
        <v>1.0</v>
      </c>
      <c r="AB18" s="24"/>
      <c r="AC18" s="24"/>
    </row>
    <row r="19" ht="14.25" customHeight="1">
      <c r="A19" s="46" t="s">
        <v>6432</v>
      </c>
      <c r="B19" s="20" t="s">
        <v>6433</v>
      </c>
      <c r="C19" s="20" t="s">
        <v>7041</v>
      </c>
      <c r="D19" s="24">
        <v>45658.0</v>
      </c>
      <c r="E19" s="24">
        <v>46022.0</v>
      </c>
      <c r="F19" s="20">
        <v>1.0</v>
      </c>
      <c r="G19" s="20">
        <v>1.0</v>
      </c>
      <c r="H19" s="24">
        <v>46023.0</v>
      </c>
      <c r="I19" s="24">
        <v>46387.0</v>
      </c>
      <c r="J19" s="20">
        <v>0.0</v>
      </c>
      <c r="K19" s="20">
        <v>1.0</v>
      </c>
      <c r="L19" s="24">
        <v>46388.0</v>
      </c>
      <c r="M19" s="24">
        <v>46752.0</v>
      </c>
      <c r="N19" s="20">
        <v>0.0</v>
      </c>
      <c r="O19" s="20">
        <v>1.0</v>
      </c>
      <c r="P19" s="24">
        <v>46753.0</v>
      </c>
      <c r="Q19" s="24">
        <v>47118.0</v>
      </c>
      <c r="R19" s="20">
        <v>0.0</v>
      </c>
      <c r="S19" s="20">
        <v>1.0</v>
      </c>
      <c r="T19" s="24">
        <v>47119.0</v>
      </c>
      <c r="U19" s="24">
        <v>47483.0</v>
      </c>
      <c r="V19" s="20">
        <v>0.0</v>
      </c>
      <c r="W19" s="20">
        <v>1.0</v>
      </c>
      <c r="X19" s="24">
        <v>47484.0</v>
      </c>
      <c r="Y19" s="24">
        <v>47848.0</v>
      </c>
      <c r="Z19" s="20">
        <v>0.0</v>
      </c>
      <c r="AA19" s="20">
        <v>1.0</v>
      </c>
      <c r="AB19" s="24"/>
      <c r="AC19" s="24"/>
    </row>
    <row r="20" ht="14.25" customHeight="1">
      <c r="A20" s="46" t="s">
        <v>4078</v>
      </c>
      <c r="B20" s="20" t="s">
        <v>4079</v>
      </c>
      <c r="C20" s="20" t="s">
        <v>7041</v>
      </c>
      <c r="D20" s="24">
        <v>45658.0</v>
      </c>
      <c r="E20" s="24">
        <v>46022.0</v>
      </c>
      <c r="F20" s="20">
        <v>0.0</v>
      </c>
      <c r="G20" s="20">
        <v>1.0</v>
      </c>
      <c r="H20" s="24">
        <v>46023.0</v>
      </c>
      <c r="I20" s="24">
        <v>46387.0</v>
      </c>
      <c r="J20" s="20">
        <v>0.0</v>
      </c>
      <c r="K20" s="20">
        <v>1.0</v>
      </c>
      <c r="L20" s="24">
        <v>46388.0</v>
      </c>
      <c r="M20" s="24">
        <v>46752.0</v>
      </c>
      <c r="N20" s="20">
        <v>0.0</v>
      </c>
      <c r="O20" s="20">
        <v>1.0</v>
      </c>
      <c r="P20" s="24">
        <v>46753.0</v>
      </c>
      <c r="Q20" s="24">
        <v>47118.0</v>
      </c>
      <c r="R20" s="20">
        <v>0.0</v>
      </c>
      <c r="S20" s="20">
        <v>1.0</v>
      </c>
      <c r="T20" s="24">
        <v>47119.0</v>
      </c>
      <c r="U20" s="24">
        <v>47483.0</v>
      </c>
      <c r="V20" s="20">
        <v>0.0</v>
      </c>
      <c r="W20" s="20">
        <v>1.0</v>
      </c>
      <c r="X20" s="24">
        <v>47484.0</v>
      </c>
      <c r="Y20" s="24">
        <v>47848.0</v>
      </c>
      <c r="Z20" s="20">
        <v>0.0</v>
      </c>
      <c r="AA20" s="20">
        <v>1.0</v>
      </c>
      <c r="AB20" s="24"/>
      <c r="AC20" s="24"/>
    </row>
    <row r="21" ht="14.25" customHeight="1">
      <c r="A21" s="46" t="s">
        <v>4794</v>
      </c>
      <c r="B21" s="20" t="s">
        <v>4795</v>
      </c>
      <c r="C21" s="20" t="s">
        <v>7041</v>
      </c>
      <c r="D21" s="24">
        <v>45658.0</v>
      </c>
      <c r="E21" s="24">
        <v>46022.0</v>
      </c>
      <c r="F21" s="20">
        <v>1.0</v>
      </c>
      <c r="G21" s="20">
        <v>1.0</v>
      </c>
      <c r="H21" s="24">
        <v>46023.0</v>
      </c>
      <c r="I21" s="24">
        <v>46387.0</v>
      </c>
      <c r="J21" s="20">
        <v>0.0</v>
      </c>
      <c r="K21" s="20">
        <v>1.0</v>
      </c>
      <c r="L21" s="24">
        <v>46388.0</v>
      </c>
      <c r="M21" s="24">
        <v>46752.0</v>
      </c>
      <c r="N21" s="20">
        <v>0.0</v>
      </c>
      <c r="O21" s="20">
        <v>1.0</v>
      </c>
      <c r="P21" s="24">
        <v>46753.0</v>
      </c>
      <c r="Q21" s="24">
        <v>47118.0</v>
      </c>
      <c r="R21" s="20">
        <v>0.0</v>
      </c>
      <c r="S21" s="20">
        <v>1.0</v>
      </c>
      <c r="T21" s="24">
        <v>47119.0</v>
      </c>
      <c r="U21" s="24">
        <v>47483.0</v>
      </c>
      <c r="V21" s="20">
        <v>0.0</v>
      </c>
      <c r="W21" s="20">
        <v>1.0</v>
      </c>
      <c r="X21" s="24">
        <v>47484.0</v>
      </c>
      <c r="Y21" s="24">
        <v>47848.0</v>
      </c>
      <c r="Z21" s="20">
        <v>0.0</v>
      </c>
      <c r="AA21" s="20">
        <v>1.0</v>
      </c>
      <c r="AB21" s="24"/>
      <c r="AC21" s="24"/>
    </row>
    <row r="22" ht="14.25" customHeight="1">
      <c r="A22" s="46" t="s">
        <v>5850</v>
      </c>
      <c r="B22" s="20" t="s">
        <v>5851</v>
      </c>
      <c r="C22" s="20" t="s">
        <v>7041</v>
      </c>
      <c r="D22" s="24">
        <v>45658.0</v>
      </c>
      <c r="E22" s="24">
        <v>46022.0</v>
      </c>
      <c r="F22" s="20">
        <v>1.0</v>
      </c>
      <c r="G22" s="20">
        <v>1.0</v>
      </c>
      <c r="H22" s="24">
        <v>46023.0</v>
      </c>
      <c r="I22" s="24">
        <v>46387.0</v>
      </c>
      <c r="J22" s="20">
        <v>0.0</v>
      </c>
      <c r="K22" s="20">
        <v>1.0</v>
      </c>
      <c r="L22" s="24">
        <v>46388.0</v>
      </c>
      <c r="M22" s="24">
        <v>46752.0</v>
      </c>
      <c r="N22" s="20">
        <v>0.0</v>
      </c>
      <c r="O22" s="20">
        <v>1.0</v>
      </c>
      <c r="P22" s="24">
        <v>46753.0</v>
      </c>
      <c r="Q22" s="24">
        <v>47118.0</v>
      </c>
      <c r="R22" s="20">
        <v>0.0</v>
      </c>
      <c r="S22" s="20">
        <v>1.0</v>
      </c>
      <c r="T22" s="24">
        <v>47119.0</v>
      </c>
      <c r="U22" s="24">
        <v>47483.0</v>
      </c>
      <c r="V22" s="20">
        <v>0.0</v>
      </c>
      <c r="W22" s="20">
        <v>1.0</v>
      </c>
      <c r="X22" s="24">
        <v>47484.0</v>
      </c>
      <c r="Y22" s="24">
        <v>47848.0</v>
      </c>
      <c r="Z22" s="20">
        <v>0.0</v>
      </c>
      <c r="AA22" s="20">
        <v>1.0</v>
      </c>
      <c r="AB22" s="24"/>
      <c r="AC22" s="24"/>
    </row>
    <row r="23" ht="14.25" customHeight="1">
      <c r="A23" s="46" t="s">
        <v>255</v>
      </c>
      <c r="B23" s="20" t="s">
        <v>256</v>
      </c>
      <c r="C23" s="20" t="s">
        <v>7041</v>
      </c>
      <c r="D23" s="24">
        <v>45658.0</v>
      </c>
      <c r="E23" s="24">
        <v>46022.0</v>
      </c>
      <c r="F23" s="20">
        <v>1.0</v>
      </c>
      <c r="G23" s="20">
        <v>1.0</v>
      </c>
      <c r="H23" s="24">
        <v>46023.0</v>
      </c>
      <c r="I23" s="24">
        <v>46387.0</v>
      </c>
      <c r="J23" s="20">
        <v>0.0</v>
      </c>
      <c r="K23" s="20">
        <v>1.0</v>
      </c>
      <c r="L23" s="24">
        <v>46388.0</v>
      </c>
      <c r="M23" s="24">
        <v>46752.0</v>
      </c>
      <c r="N23" s="20">
        <v>0.0</v>
      </c>
      <c r="O23" s="20">
        <v>1.0</v>
      </c>
      <c r="P23" s="24">
        <v>46753.0</v>
      </c>
      <c r="Q23" s="24">
        <v>47118.0</v>
      </c>
      <c r="R23" s="20">
        <v>0.0</v>
      </c>
      <c r="S23" s="20">
        <v>1.0</v>
      </c>
      <c r="T23" s="24">
        <v>47119.0</v>
      </c>
      <c r="U23" s="24">
        <v>47483.0</v>
      </c>
      <c r="V23" s="20">
        <v>0.0</v>
      </c>
      <c r="W23" s="20">
        <v>1.0</v>
      </c>
      <c r="X23" s="24">
        <v>47484.0</v>
      </c>
      <c r="Y23" s="24">
        <v>47848.0</v>
      </c>
      <c r="Z23" s="20">
        <v>0.0</v>
      </c>
      <c r="AA23" s="20">
        <v>1.0</v>
      </c>
      <c r="AB23" s="24"/>
      <c r="AC23" s="24"/>
    </row>
    <row r="24" ht="14.25" customHeight="1">
      <c r="A24" s="46" t="s">
        <v>1706</v>
      </c>
      <c r="B24" s="20" t="s">
        <v>1707</v>
      </c>
      <c r="C24" s="20" t="s">
        <v>7041</v>
      </c>
      <c r="D24" s="24">
        <v>45658.0</v>
      </c>
      <c r="E24" s="24">
        <v>46022.0</v>
      </c>
      <c r="F24" s="20">
        <v>1.0</v>
      </c>
      <c r="G24" s="20">
        <v>1.0</v>
      </c>
      <c r="H24" s="24">
        <v>46023.0</v>
      </c>
      <c r="I24" s="24">
        <v>46387.0</v>
      </c>
      <c r="J24" s="20">
        <v>0.0</v>
      </c>
      <c r="K24" s="20">
        <v>1.0</v>
      </c>
      <c r="L24" s="24">
        <v>46388.0</v>
      </c>
      <c r="M24" s="24">
        <v>46752.0</v>
      </c>
      <c r="N24" s="20">
        <v>0.0</v>
      </c>
      <c r="O24" s="20">
        <v>1.0</v>
      </c>
      <c r="P24" s="24">
        <v>46753.0</v>
      </c>
      <c r="Q24" s="24">
        <v>47118.0</v>
      </c>
      <c r="R24" s="20">
        <v>0.0</v>
      </c>
      <c r="S24" s="20">
        <v>1.0</v>
      </c>
      <c r="T24" s="24">
        <v>47119.0</v>
      </c>
      <c r="U24" s="24">
        <v>47483.0</v>
      </c>
      <c r="V24" s="20">
        <v>0.0</v>
      </c>
      <c r="W24" s="20">
        <v>1.0</v>
      </c>
      <c r="X24" s="24">
        <v>47484.0</v>
      </c>
      <c r="Y24" s="24">
        <v>47848.0</v>
      </c>
      <c r="Z24" s="20">
        <v>0.0</v>
      </c>
      <c r="AA24" s="20">
        <v>1.0</v>
      </c>
      <c r="AB24" s="24"/>
      <c r="AC24" s="24"/>
    </row>
    <row r="25" ht="14.25" customHeight="1">
      <c r="A25" s="46" t="s">
        <v>1833</v>
      </c>
      <c r="B25" s="20" t="s">
        <v>1834</v>
      </c>
      <c r="C25" s="20" t="s">
        <v>7041</v>
      </c>
      <c r="D25" s="24">
        <v>45658.0</v>
      </c>
      <c r="E25" s="24">
        <v>46022.0</v>
      </c>
      <c r="F25" s="20">
        <v>0.0</v>
      </c>
      <c r="G25" s="20">
        <v>1.0</v>
      </c>
      <c r="H25" s="24">
        <v>46023.0</v>
      </c>
      <c r="I25" s="24">
        <v>46387.0</v>
      </c>
      <c r="J25" s="20">
        <v>0.0</v>
      </c>
      <c r="K25" s="20">
        <v>1.0</v>
      </c>
      <c r="L25" s="24">
        <v>46388.0</v>
      </c>
      <c r="M25" s="24">
        <v>46752.0</v>
      </c>
      <c r="N25" s="20">
        <v>0.0</v>
      </c>
      <c r="O25" s="20">
        <v>1.0</v>
      </c>
      <c r="P25" s="24">
        <v>46753.0</v>
      </c>
      <c r="Q25" s="24">
        <v>47118.0</v>
      </c>
      <c r="R25" s="20">
        <v>0.0</v>
      </c>
      <c r="S25" s="20">
        <v>1.0</v>
      </c>
      <c r="T25" s="24">
        <v>47119.0</v>
      </c>
      <c r="U25" s="24">
        <v>47483.0</v>
      </c>
      <c r="V25" s="20">
        <v>0.0</v>
      </c>
      <c r="W25" s="20">
        <v>1.0</v>
      </c>
      <c r="X25" s="24">
        <v>47484.0</v>
      </c>
      <c r="Y25" s="24">
        <v>47848.0</v>
      </c>
      <c r="Z25" s="20">
        <v>0.0</v>
      </c>
      <c r="AA25" s="20">
        <v>1.0</v>
      </c>
      <c r="AB25" s="24"/>
      <c r="AC25" s="24"/>
    </row>
    <row r="26" ht="14.25" customHeight="1">
      <c r="A26" s="46" t="s">
        <v>3203</v>
      </c>
      <c r="B26" s="20" t="s">
        <v>3204</v>
      </c>
      <c r="C26" s="20" t="s">
        <v>7041</v>
      </c>
      <c r="D26" s="24">
        <v>45658.0</v>
      </c>
      <c r="E26" s="24">
        <v>46022.0</v>
      </c>
      <c r="F26" s="20">
        <v>0.0</v>
      </c>
      <c r="G26" s="20">
        <v>1.0</v>
      </c>
      <c r="H26" s="24">
        <v>46023.0</v>
      </c>
      <c r="I26" s="24">
        <v>46387.0</v>
      </c>
      <c r="J26" s="20">
        <v>0.0</v>
      </c>
      <c r="K26" s="20">
        <v>1.0</v>
      </c>
      <c r="L26" s="24">
        <v>46388.0</v>
      </c>
      <c r="M26" s="24">
        <v>46752.0</v>
      </c>
      <c r="N26" s="20">
        <v>0.0</v>
      </c>
      <c r="O26" s="20">
        <v>1.0</v>
      </c>
      <c r="P26" s="24">
        <v>46753.0</v>
      </c>
      <c r="Q26" s="24">
        <v>47118.0</v>
      </c>
      <c r="R26" s="20">
        <v>0.0</v>
      </c>
      <c r="S26" s="20">
        <v>1.0</v>
      </c>
      <c r="T26" s="24">
        <v>47119.0</v>
      </c>
      <c r="U26" s="24">
        <v>47483.0</v>
      </c>
      <c r="V26" s="20">
        <v>0.0</v>
      </c>
      <c r="W26" s="20">
        <v>1.0</v>
      </c>
      <c r="X26" s="24">
        <v>47484.0</v>
      </c>
      <c r="Y26" s="24">
        <v>47848.0</v>
      </c>
      <c r="Z26" s="20">
        <v>0.0</v>
      </c>
      <c r="AA26" s="20">
        <v>1.0</v>
      </c>
      <c r="AB26" s="24"/>
      <c r="AC26" s="24"/>
    </row>
    <row r="27" ht="14.25" customHeight="1">
      <c r="A27" s="46" t="s">
        <v>4505</v>
      </c>
      <c r="B27" s="20" t="s">
        <v>4506</v>
      </c>
      <c r="C27" s="20" t="s">
        <v>7041</v>
      </c>
      <c r="D27" s="24">
        <v>45658.0</v>
      </c>
      <c r="E27" s="24">
        <v>46022.0</v>
      </c>
      <c r="F27" s="20">
        <v>0.0</v>
      </c>
      <c r="G27" s="20">
        <v>1.0</v>
      </c>
      <c r="H27" s="24">
        <v>46023.0</v>
      </c>
      <c r="I27" s="24">
        <v>46387.0</v>
      </c>
      <c r="J27" s="20">
        <v>0.0</v>
      </c>
      <c r="K27" s="20">
        <v>1.0</v>
      </c>
      <c r="L27" s="24">
        <v>46388.0</v>
      </c>
      <c r="M27" s="24">
        <v>46752.0</v>
      </c>
      <c r="N27" s="20">
        <v>0.0</v>
      </c>
      <c r="O27" s="20">
        <v>1.0</v>
      </c>
      <c r="P27" s="24">
        <v>46753.0</v>
      </c>
      <c r="Q27" s="24">
        <v>47118.0</v>
      </c>
      <c r="R27" s="20">
        <v>0.0</v>
      </c>
      <c r="S27" s="20">
        <v>1.0</v>
      </c>
      <c r="T27" s="24">
        <v>47119.0</v>
      </c>
      <c r="U27" s="24">
        <v>47483.0</v>
      </c>
      <c r="V27" s="20">
        <v>0.0</v>
      </c>
      <c r="W27" s="20">
        <v>1.0</v>
      </c>
      <c r="X27" s="24">
        <v>47484.0</v>
      </c>
      <c r="Y27" s="24">
        <v>47848.0</v>
      </c>
      <c r="Z27" s="20">
        <v>0.0</v>
      </c>
      <c r="AA27" s="20">
        <v>1.0</v>
      </c>
      <c r="AB27" s="24"/>
      <c r="AC27" s="24"/>
    </row>
    <row r="28" ht="14.25" customHeight="1">
      <c r="A28" s="46" t="s">
        <v>5579</v>
      </c>
      <c r="B28" s="20" t="s">
        <v>5580</v>
      </c>
      <c r="C28" s="20" t="s">
        <v>7041</v>
      </c>
      <c r="D28" s="24">
        <v>45658.0</v>
      </c>
      <c r="E28" s="24">
        <v>46022.0</v>
      </c>
      <c r="F28" s="20">
        <v>1.0</v>
      </c>
      <c r="G28" s="20">
        <v>1.0</v>
      </c>
      <c r="H28" s="24">
        <v>46023.0</v>
      </c>
      <c r="I28" s="24">
        <v>46387.0</v>
      </c>
      <c r="J28" s="20">
        <v>0.0</v>
      </c>
      <c r="K28" s="20">
        <v>1.0</v>
      </c>
      <c r="L28" s="24">
        <v>46388.0</v>
      </c>
      <c r="M28" s="24">
        <v>46752.0</v>
      </c>
      <c r="N28" s="20">
        <v>0.0</v>
      </c>
      <c r="O28" s="20">
        <v>1.0</v>
      </c>
      <c r="P28" s="24">
        <v>46753.0</v>
      </c>
      <c r="Q28" s="24">
        <v>47118.0</v>
      </c>
      <c r="R28" s="20">
        <v>0.0</v>
      </c>
      <c r="S28" s="20">
        <v>1.0</v>
      </c>
      <c r="T28" s="24">
        <v>47119.0</v>
      </c>
      <c r="U28" s="24">
        <v>47483.0</v>
      </c>
      <c r="V28" s="20">
        <v>0.0</v>
      </c>
      <c r="W28" s="20">
        <v>1.0</v>
      </c>
      <c r="X28" s="24">
        <v>47484.0</v>
      </c>
      <c r="Y28" s="24">
        <v>47848.0</v>
      </c>
      <c r="Z28" s="20">
        <v>0.0</v>
      </c>
      <c r="AA28" s="20">
        <v>1.0</v>
      </c>
      <c r="AB28" s="24"/>
      <c r="AC28" s="24"/>
    </row>
    <row r="29" ht="14.25" customHeight="1">
      <c r="A29" s="46" t="s">
        <v>6657</v>
      </c>
      <c r="B29" s="20" t="s">
        <v>6658</v>
      </c>
      <c r="C29" s="20" t="s">
        <v>7041</v>
      </c>
      <c r="D29" s="24">
        <v>45658.0</v>
      </c>
      <c r="E29" s="24">
        <v>46022.0</v>
      </c>
      <c r="F29" s="20">
        <v>1.0</v>
      </c>
      <c r="G29" s="20">
        <v>1.0</v>
      </c>
      <c r="H29" s="24">
        <v>46023.0</v>
      </c>
      <c r="I29" s="24">
        <v>46387.0</v>
      </c>
      <c r="J29" s="20">
        <v>0.0</v>
      </c>
      <c r="K29" s="20">
        <v>1.0</v>
      </c>
      <c r="L29" s="24">
        <v>46388.0</v>
      </c>
      <c r="M29" s="24">
        <v>46752.0</v>
      </c>
      <c r="N29" s="20">
        <v>0.0</v>
      </c>
      <c r="O29" s="20">
        <v>1.0</v>
      </c>
      <c r="P29" s="24">
        <v>46753.0</v>
      </c>
      <c r="Q29" s="24">
        <v>47118.0</v>
      </c>
      <c r="R29" s="20">
        <v>0.0</v>
      </c>
      <c r="S29" s="20">
        <v>1.0</v>
      </c>
      <c r="T29" s="24">
        <v>47119.0</v>
      </c>
      <c r="U29" s="24">
        <v>47483.0</v>
      </c>
      <c r="V29" s="20">
        <v>0.0</v>
      </c>
      <c r="W29" s="20">
        <v>1.0</v>
      </c>
      <c r="X29" s="24">
        <v>47484.0</v>
      </c>
      <c r="Y29" s="24">
        <v>47848.0</v>
      </c>
      <c r="Z29" s="20">
        <v>0.0</v>
      </c>
      <c r="AA29" s="20">
        <v>1.0</v>
      </c>
      <c r="AB29" s="24"/>
      <c r="AC29" s="24"/>
    </row>
    <row r="30" ht="14.25" customHeight="1">
      <c r="A30" s="46" t="s">
        <v>6660</v>
      </c>
      <c r="B30" s="20" t="s">
        <v>6661</v>
      </c>
      <c r="C30" s="20" t="s">
        <v>7041</v>
      </c>
      <c r="D30" s="24">
        <v>45658.0</v>
      </c>
      <c r="E30" s="24">
        <v>46022.0</v>
      </c>
      <c r="F30" s="20">
        <v>0.0</v>
      </c>
      <c r="G30" s="20">
        <v>1.0</v>
      </c>
      <c r="H30" s="24">
        <v>46023.0</v>
      </c>
      <c r="I30" s="24">
        <v>46387.0</v>
      </c>
      <c r="J30" s="20">
        <v>0.0</v>
      </c>
      <c r="K30" s="20">
        <v>1.0</v>
      </c>
      <c r="L30" s="24">
        <v>46388.0</v>
      </c>
      <c r="M30" s="24">
        <v>46752.0</v>
      </c>
      <c r="N30" s="20">
        <v>0.0</v>
      </c>
      <c r="O30" s="20">
        <v>1.0</v>
      </c>
      <c r="P30" s="24">
        <v>46753.0</v>
      </c>
      <c r="Q30" s="24">
        <v>47118.0</v>
      </c>
      <c r="R30" s="20">
        <v>0.0</v>
      </c>
      <c r="S30" s="20">
        <v>1.0</v>
      </c>
      <c r="T30" s="24">
        <v>47119.0</v>
      </c>
      <c r="U30" s="24">
        <v>47483.0</v>
      </c>
      <c r="V30" s="20">
        <v>0.0</v>
      </c>
      <c r="W30" s="20">
        <v>1.0</v>
      </c>
      <c r="X30" s="24">
        <v>47484.0</v>
      </c>
      <c r="Y30" s="24">
        <v>47848.0</v>
      </c>
      <c r="Z30" s="20">
        <v>0.0</v>
      </c>
      <c r="AA30" s="20">
        <v>1.0</v>
      </c>
      <c r="AB30" s="24"/>
      <c r="AC30" s="24"/>
    </row>
    <row r="31" ht="14.25" customHeight="1">
      <c r="A31" s="46" t="s">
        <v>4788</v>
      </c>
      <c r="B31" s="20" t="s">
        <v>4789</v>
      </c>
      <c r="C31" s="20" t="s">
        <v>7041</v>
      </c>
      <c r="D31" s="24">
        <v>45658.0</v>
      </c>
      <c r="E31" s="24">
        <v>46022.0</v>
      </c>
      <c r="F31" s="20">
        <v>0.0</v>
      </c>
      <c r="G31" s="20">
        <v>1.0</v>
      </c>
      <c r="H31" s="24">
        <v>46023.0</v>
      </c>
      <c r="I31" s="24">
        <v>46387.0</v>
      </c>
      <c r="J31" s="20">
        <v>0.0</v>
      </c>
      <c r="K31" s="20">
        <v>1.0</v>
      </c>
      <c r="L31" s="24">
        <v>46388.0</v>
      </c>
      <c r="M31" s="24">
        <v>46752.0</v>
      </c>
      <c r="N31" s="20">
        <v>0.0</v>
      </c>
      <c r="O31" s="20">
        <v>1.0</v>
      </c>
      <c r="P31" s="24">
        <v>46753.0</v>
      </c>
      <c r="Q31" s="24">
        <v>47118.0</v>
      </c>
      <c r="R31" s="20">
        <v>0.0</v>
      </c>
      <c r="S31" s="20">
        <v>1.0</v>
      </c>
      <c r="T31" s="24">
        <v>47119.0</v>
      </c>
      <c r="U31" s="24">
        <v>47483.0</v>
      </c>
      <c r="V31" s="20">
        <v>0.0</v>
      </c>
      <c r="W31" s="20">
        <v>1.0</v>
      </c>
      <c r="X31" s="24">
        <v>47484.0</v>
      </c>
      <c r="Y31" s="24">
        <v>47848.0</v>
      </c>
      <c r="Z31" s="20">
        <v>0.0</v>
      </c>
      <c r="AA31" s="20">
        <v>1.0</v>
      </c>
      <c r="AB31" s="24"/>
      <c r="AC31" s="24"/>
    </row>
    <row r="32" ht="14.25" customHeight="1">
      <c r="A32" s="46" t="s">
        <v>4849</v>
      </c>
      <c r="B32" s="20" t="s">
        <v>4850</v>
      </c>
      <c r="C32" s="20" t="s">
        <v>7041</v>
      </c>
      <c r="D32" s="24">
        <v>45658.0</v>
      </c>
      <c r="E32" s="24">
        <v>46022.0</v>
      </c>
      <c r="F32" s="20">
        <v>0.0</v>
      </c>
      <c r="G32" s="20">
        <v>1.0</v>
      </c>
      <c r="H32" s="24">
        <v>46023.0</v>
      </c>
      <c r="I32" s="24">
        <v>46387.0</v>
      </c>
      <c r="J32" s="20">
        <v>0.0</v>
      </c>
      <c r="K32" s="20">
        <v>1.0</v>
      </c>
      <c r="L32" s="24">
        <v>46388.0</v>
      </c>
      <c r="M32" s="24">
        <v>46752.0</v>
      </c>
      <c r="N32" s="20">
        <v>0.0</v>
      </c>
      <c r="O32" s="20">
        <v>1.0</v>
      </c>
      <c r="P32" s="24">
        <v>46753.0</v>
      </c>
      <c r="Q32" s="24">
        <v>47118.0</v>
      </c>
      <c r="R32" s="20">
        <v>0.0</v>
      </c>
      <c r="S32" s="20">
        <v>1.0</v>
      </c>
      <c r="T32" s="24">
        <v>47119.0</v>
      </c>
      <c r="U32" s="24">
        <v>47483.0</v>
      </c>
      <c r="V32" s="20">
        <v>0.0</v>
      </c>
      <c r="W32" s="20">
        <v>1.0</v>
      </c>
      <c r="X32" s="24">
        <v>47484.0</v>
      </c>
      <c r="Y32" s="24">
        <v>47848.0</v>
      </c>
      <c r="Z32" s="20">
        <v>0.0</v>
      </c>
      <c r="AA32" s="20">
        <v>1.0</v>
      </c>
      <c r="AB32" s="24"/>
      <c r="AC32" s="24"/>
    </row>
    <row r="33" ht="14.25" customHeight="1">
      <c r="A33" s="46" t="s">
        <v>4845</v>
      </c>
      <c r="B33" s="20" t="s">
        <v>4846</v>
      </c>
      <c r="C33" s="20" t="s">
        <v>7041</v>
      </c>
      <c r="D33" s="24">
        <v>45658.0</v>
      </c>
      <c r="E33" s="24">
        <v>46022.0</v>
      </c>
      <c r="F33" s="20">
        <v>1.0</v>
      </c>
      <c r="G33" s="20">
        <v>1.0</v>
      </c>
      <c r="H33" s="24">
        <v>46023.0</v>
      </c>
      <c r="I33" s="24">
        <v>46387.0</v>
      </c>
      <c r="J33" s="20">
        <v>0.0</v>
      </c>
      <c r="K33" s="20">
        <v>1.0</v>
      </c>
      <c r="L33" s="24">
        <v>46388.0</v>
      </c>
      <c r="M33" s="24">
        <v>46752.0</v>
      </c>
      <c r="N33" s="20">
        <v>0.0</v>
      </c>
      <c r="O33" s="20">
        <v>1.0</v>
      </c>
      <c r="P33" s="24">
        <v>46753.0</v>
      </c>
      <c r="Q33" s="24">
        <v>47118.0</v>
      </c>
      <c r="R33" s="20">
        <v>0.0</v>
      </c>
      <c r="S33" s="20">
        <v>1.0</v>
      </c>
      <c r="T33" s="24">
        <v>47119.0</v>
      </c>
      <c r="U33" s="24">
        <v>47483.0</v>
      </c>
      <c r="V33" s="20">
        <v>0.0</v>
      </c>
      <c r="W33" s="20">
        <v>1.0</v>
      </c>
      <c r="X33" s="24">
        <v>47484.0</v>
      </c>
      <c r="Y33" s="24">
        <v>47848.0</v>
      </c>
      <c r="Z33" s="20">
        <v>0.0</v>
      </c>
      <c r="AA33" s="20">
        <v>1.0</v>
      </c>
      <c r="AB33" s="24"/>
      <c r="AC33" s="24"/>
    </row>
    <row r="34" ht="14.25" customHeight="1">
      <c r="A34" s="46" t="s">
        <v>4783</v>
      </c>
      <c r="B34" s="20" t="s">
        <v>4784</v>
      </c>
      <c r="C34" s="20" t="s">
        <v>7041</v>
      </c>
      <c r="D34" s="24">
        <v>45658.0</v>
      </c>
      <c r="E34" s="24">
        <v>46022.0</v>
      </c>
      <c r="F34" s="20">
        <v>1.0</v>
      </c>
      <c r="G34" s="20">
        <v>1.0</v>
      </c>
      <c r="H34" s="24">
        <v>46023.0</v>
      </c>
      <c r="I34" s="24">
        <v>46387.0</v>
      </c>
      <c r="J34" s="20">
        <v>0.0</v>
      </c>
      <c r="K34" s="20">
        <v>1.0</v>
      </c>
      <c r="L34" s="24">
        <v>46388.0</v>
      </c>
      <c r="M34" s="24">
        <v>46752.0</v>
      </c>
      <c r="N34" s="20">
        <v>0.0</v>
      </c>
      <c r="O34" s="20">
        <v>1.0</v>
      </c>
      <c r="P34" s="24">
        <v>46753.0</v>
      </c>
      <c r="Q34" s="24">
        <v>47118.0</v>
      </c>
      <c r="R34" s="20">
        <v>0.0</v>
      </c>
      <c r="S34" s="20">
        <v>1.0</v>
      </c>
      <c r="T34" s="24">
        <v>47119.0</v>
      </c>
      <c r="U34" s="24">
        <v>47483.0</v>
      </c>
      <c r="V34" s="20">
        <v>0.0</v>
      </c>
      <c r="W34" s="20">
        <v>1.0</v>
      </c>
      <c r="X34" s="24">
        <v>47484.0</v>
      </c>
      <c r="Y34" s="24">
        <v>47848.0</v>
      </c>
      <c r="Z34" s="20">
        <v>0.0</v>
      </c>
      <c r="AA34" s="20">
        <v>1.0</v>
      </c>
      <c r="AB34" s="24"/>
      <c r="AC34" s="24"/>
    </row>
    <row r="35" ht="14.25" customHeight="1">
      <c r="A35" s="46" t="s">
        <v>4838</v>
      </c>
      <c r="B35" s="20" t="s">
        <v>4839</v>
      </c>
      <c r="C35" s="20" t="s">
        <v>7041</v>
      </c>
      <c r="D35" s="24">
        <v>45658.0</v>
      </c>
      <c r="E35" s="24">
        <v>46022.0</v>
      </c>
      <c r="F35" s="20">
        <v>0.0</v>
      </c>
      <c r="G35" s="20">
        <v>1.0</v>
      </c>
      <c r="H35" s="24">
        <v>46023.0</v>
      </c>
      <c r="I35" s="24">
        <v>46387.0</v>
      </c>
      <c r="J35" s="20">
        <v>0.0</v>
      </c>
      <c r="K35" s="20">
        <v>1.0</v>
      </c>
      <c r="L35" s="24">
        <v>46388.0</v>
      </c>
      <c r="M35" s="24">
        <v>46752.0</v>
      </c>
      <c r="N35" s="20">
        <v>0.0</v>
      </c>
      <c r="O35" s="20">
        <v>1.0</v>
      </c>
      <c r="P35" s="24">
        <v>46753.0</v>
      </c>
      <c r="Q35" s="24">
        <v>47118.0</v>
      </c>
      <c r="R35" s="20">
        <v>0.0</v>
      </c>
      <c r="S35" s="20">
        <v>1.0</v>
      </c>
      <c r="T35" s="24">
        <v>47119.0</v>
      </c>
      <c r="U35" s="24">
        <v>47483.0</v>
      </c>
      <c r="V35" s="20">
        <v>0.0</v>
      </c>
      <c r="W35" s="20">
        <v>1.0</v>
      </c>
      <c r="X35" s="24">
        <v>47484.0</v>
      </c>
      <c r="Y35" s="24">
        <v>47848.0</v>
      </c>
      <c r="Z35" s="20">
        <v>0.0</v>
      </c>
      <c r="AA35" s="20">
        <v>1.0</v>
      </c>
      <c r="AB35" s="24"/>
      <c r="AC35" s="24"/>
    </row>
    <row r="36" ht="14.25" customHeight="1">
      <c r="A36" s="46" t="s">
        <v>1124</v>
      </c>
      <c r="B36" s="20" t="s">
        <v>1125</v>
      </c>
      <c r="C36" s="20" t="s">
        <v>7041</v>
      </c>
      <c r="D36" s="24">
        <v>45658.0</v>
      </c>
      <c r="E36" s="24">
        <v>46022.0</v>
      </c>
      <c r="F36" s="20">
        <v>1.0</v>
      </c>
      <c r="G36" s="20">
        <v>1.0</v>
      </c>
      <c r="H36" s="24">
        <v>46023.0</v>
      </c>
      <c r="I36" s="24">
        <v>46387.0</v>
      </c>
      <c r="J36" s="20">
        <v>0.0</v>
      </c>
      <c r="K36" s="20">
        <v>1.0</v>
      </c>
      <c r="L36" s="24">
        <v>46388.0</v>
      </c>
      <c r="M36" s="24">
        <v>46752.0</v>
      </c>
      <c r="N36" s="20">
        <v>0.0</v>
      </c>
      <c r="O36" s="20">
        <v>1.0</v>
      </c>
      <c r="P36" s="24">
        <v>46753.0</v>
      </c>
      <c r="Q36" s="24">
        <v>47118.0</v>
      </c>
      <c r="R36" s="20">
        <v>0.0</v>
      </c>
      <c r="S36" s="20">
        <v>1.0</v>
      </c>
      <c r="T36" s="24">
        <v>47119.0</v>
      </c>
      <c r="U36" s="24">
        <v>47483.0</v>
      </c>
      <c r="V36" s="20">
        <v>0.0</v>
      </c>
      <c r="W36" s="20">
        <v>1.0</v>
      </c>
      <c r="X36" s="24">
        <v>47484.0</v>
      </c>
      <c r="Y36" s="24">
        <v>47848.0</v>
      </c>
      <c r="Z36" s="20">
        <v>0.0</v>
      </c>
      <c r="AA36" s="20">
        <v>1.0</v>
      </c>
      <c r="AB36" s="24"/>
      <c r="AC36" s="24"/>
    </row>
    <row r="37" ht="14.25" customHeight="1">
      <c r="A37" s="46" t="s">
        <v>654</v>
      </c>
      <c r="B37" s="20" t="s">
        <v>655</v>
      </c>
      <c r="C37" s="20" t="s">
        <v>7041</v>
      </c>
      <c r="D37" s="24">
        <v>45658.0</v>
      </c>
      <c r="E37" s="24">
        <v>46022.0</v>
      </c>
      <c r="F37" s="20">
        <v>1.0</v>
      </c>
      <c r="G37" s="20">
        <v>1.0</v>
      </c>
      <c r="H37" s="24">
        <v>46023.0</v>
      </c>
      <c r="I37" s="24">
        <v>46387.0</v>
      </c>
      <c r="J37" s="20">
        <v>0.0</v>
      </c>
      <c r="K37" s="20">
        <v>1.0</v>
      </c>
      <c r="L37" s="24">
        <v>46388.0</v>
      </c>
      <c r="M37" s="24">
        <v>46752.0</v>
      </c>
      <c r="N37" s="20">
        <v>0.0</v>
      </c>
      <c r="O37" s="20">
        <v>1.0</v>
      </c>
      <c r="P37" s="24">
        <v>46753.0</v>
      </c>
      <c r="Q37" s="24">
        <v>47118.0</v>
      </c>
      <c r="R37" s="20">
        <v>0.0</v>
      </c>
      <c r="S37" s="20">
        <v>1.0</v>
      </c>
      <c r="T37" s="24">
        <v>47119.0</v>
      </c>
      <c r="U37" s="24">
        <v>47483.0</v>
      </c>
      <c r="V37" s="20">
        <v>0.0</v>
      </c>
      <c r="W37" s="20">
        <v>1.0</v>
      </c>
      <c r="X37" s="24">
        <v>47484.0</v>
      </c>
      <c r="Y37" s="24">
        <v>47848.0</v>
      </c>
      <c r="Z37" s="20">
        <v>0.0</v>
      </c>
      <c r="AA37" s="20">
        <v>1.0</v>
      </c>
      <c r="AB37" s="24"/>
      <c r="AC37" s="24"/>
    </row>
    <row r="38" ht="14.25" customHeight="1">
      <c r="A38" s="46" t="s">
        <v>1956</v>
      </c>
      <c r="B38" s="20" t="s">
        <v>1957</v>
      </c>
      <c r="C38" s="20" t="s">
        <v>7041</v>
      </c>
      <c r="D38" s="24">
        <v>45658.0</v>
      </c>
      <c r="E38" s="24">
        <v>46022.0</v>
      </c>
      <c r="F38" s="20">
        <v>0.0</v>
      </c>
      <c r="G38" s="20">
        <v>1.0</v>
      </c>
      <c r="H38" s="24">
        <v>46023.0</v>
      </c>
      <c r="I38" s="24">
        <v>46387.0</v>
      </c>
      <c r="J38" s="20">
        <v>0.0</v>
      </c>
      <c r="K38" s="20">
        <v>1.0</v>
      </c>
      <c r="L38" s="24">
        <v>46388.0</v>
      </c>
      <c r="M38" s="24">
        <v>46752.0</v>
      </c>
      <c r="N38" s="20">
        <v>0.0</v>
      </c>
      <c r="O38" s="20">
        <v>1.0</v>
      </c>
      <c r="P38" s="24">
        <v>46753.0</v>
      </c>
      <c r="Q38" s="24">
        <v>47118.0</v>
      </c>
      <c r="R38" s="20">
        <v>0.0</v>
      </c>
      <c r="S38" s="20">
        <v>1.0</v>
      </c>
      <c r="T38" s="24">
        <v>47119.0</v>
      </c>
      <c r="U38" s="24">
        <v>47483.0</v>
      </c>
      <c r="V38" s="20">
        <v>0.0</v>
      </c>
      <c r="W38" s="20">
        <v>1.0</v>
      </c>
      <c r="X38" s="24">
        <v>47484.0</v>
      </c>
      <c r="Y38" s="24">
        <v>47848.0</v>
      </c>
      <c r="Z38" s="20">
        <v>0.0</v>
      </c>
      <c r="AA38" s="20">
        <v>1.0</v>
      </c>
      <c r="AB38" s="24"/>
      <c r="AC38" s="24"/>
    </row>
    <row r="39" ht="14.25" customHeight="1">
      <c r="A39" s="46" t="s">
        <v>5513</v>
      </c>
      <c r="B39" s="20" t="s">
        <v>5514</v>
      </c>
      <c r="C39" s="20" t="s">
        <v>7041</v>
      </c>
      <c r="D39" s="24">
        <v>45658.0</v>
      </c>
      <c r="E39" s="24">
        <v>46022.0</v>
      </c>
      <c r="F39" s="20">
        <v>0.0</v>
      </c>
      <c r="G39" s="20">
        <v>1.0</v>
      </c>
      <c r="H39" s="24">
        <v>46023.0</v>
      </c>
      <c r="I39" s="24">
        <v>46387.0</v>
      </c>
      <c r="J39" s="20">
        <v>0.0</v>
      </c>
      <c r="K39" s="20">
        <v>1.0</v>
      </c>
      <c r="L39" s="24">
        <v>46388.0</v>
      </c>
      <c r="M39" s="24">
        <v>46752.0</v>
      </c>
      <c r="N39" s="20">
        <v>0.0</v>
      </c>
      <c r="O39" s="20">
        <v>1.0</v>
      </c>
      <c r="P39" s="24">
        <v>46753.0</v>
      </c>
      <c r="Q39" s="24">
        <v>47118.0</v>
      </c>
      <c r="R39" s="20">
        <v>0.0</v>
      </c>
      <c r="S39" s="20">
        <v>1.0</v>
      </c>
      <c r="T39" s="24">
        <v>47119.0</v>
      </c>
      <c r="U39" s="24">
        <v>47483.0</v>
      </c>
      <c r="V39" s="20">
        <v>0.0</v>
      </c>
      <c r="W39" s="20">
        <v>1.0</v>
      </c>
      <c r="X39" s="24">
        <v>47484.0</v>
      </c>
      <c r="Y39" s="24">
        <v>47848.0</v>
      </c>
      <c r="Z39" s="20">
        <v>0.0</v>
      </c>
      <c r="AA39" s="20">
        <v>1.0</v>
      </c>
      <c r="AB39" s="24"/>
      <c r="AC39" s="24"/>
    </row>
    <row r="40" ht="14.25" customHeight="1">
      <c r="A40" s="46" t="s">
        <v>2137</v>
      </c>
      <c r="B40" s="20" t="s">
        <v>2138</v>
      </c>
      <c r="C40" s="20" t="s">
        <v>7041</v>
      </c>
      <c r="D40" s="24">
        <v>45658.0</v>
      </c>
      <c r="E40" s="24">
        <v>46022.0</v>
      </c>
      <c r="F40" s="20">
        <v>1.0</v>
      </c>
      <c r="G40" s="20">
        <v>1.0</v>
      </c>
      <c r="H40" s="24">
        <v>46023.0</v>
      </c>
      <c r="I40" s="24">
        <v>46387.0</v>
      </c>
      <c r="J40" s="20">
        <v>0.0</v>
      </c>
      <c r="K40" s="20">
        <v>1.0</v>
      </c>
      <c r="L40" s="24">
        <v>46388.0</v>
      </c>
      <c r="M40" s="24">
        <v>46752.0</v>
      </c>
      <c r="N40" s="20">
        <v>0.0</v>
      </c>
      <c r="O40" s="20">
        <v>1.0</v>
      </c>
      <c r="P40" s="24">
        <v>46753.0</v>
      </c>
      <c r="Q40" s="24">
        <v>47118.0</v>
      </c>
      <c r="R40" s="20">
        <v>0.0</v>
      </c>
      <c r="S40" s="20">
        <v>1.0</v>
      </c>
      <c r="T40" s="24">
        <v>47119.0</v>
      </c>
      <c r="U40" s="24">
        <v>47483.0</v>
      </c>
      <c r="V40" s="20">
        <v>0.0</v>
      </c>
      <c r="W40" s="20">
        <v>1.0</v>
      </c>
      <c r="X40" s="24">
        <v>47484.0</v>
      </c>
      <c r="Y40" s="24">
        <v>47848.0</v>
      </c>
      <c r="Z40" s="20">
        <v>0.0</v>
      </c>
      <c r="AA40" s="20">
        <v>1.0</v>
      </c>
      <c r="AB40" s="24"/>
      <c r="AC40" s="24"/>
    </row>
    <row r="41" ht="14.25" customHeight="1">
      <c r="A41" s="46" t="s">
        <v>4981</v>
      </c>
      <c r="B41" s="20" t="s">
        <v>4982</v>
      </c>
      <c r="C41" s="20" t="s">
        <v>7041</v>
      </c>
      <c r="D41" s="24">
        <v>45658.0</v>
      </c>
      <c r="E41" s="24">
        <v>46022.0</v>
      </c>
      <c r="F41" s="20">
        <v>1.0</v>
      </c>
      <c r="G41" s="20">
        <v>1.0</v>
      </c>
      <c r="H41" s="24">
        <v>46023.0</v>
      </c>
      <c r="I41" s="24">
        <v>46387.0</v>
      </c>
      <c r="J41" s="20">
        <v>0.0</v>
      </c>
      <c r="K41" s="20">
        <v>1.0</v>
      </c>
      <c r="L41" s="24">
        <v>46388.0</v>
      </c>
      <c r="M41" s="24">
        <v>46752.0</v>
      </c>
      <c r="N41" s="20">
        <v>0.0</v>
      </c>
      <c r="O41" s="20">
        <v>1.0</v>
      </c>
      <c r="P41" s="24">
        <v>46753.0</v>
      </c>
      <c r="Q41" s="24">
        <v>47118.0</v>
      </c>
      <c r="R41" s="20">
        <v>0.0</v>
      </c>
      <c r="S41" s="20">
        <v>1.0</v>
      </c>
      <c r="T41" s="24">
        <v>47119.0</v>
      </c>
      <c r="U41" s="24">
        <v>47483.0</v>
      </c>
      <c r="V41" s="20">
        <v>0.0</v>
      </c>
      <c r="W41" s="20">
        <v>1.0</v>
      </c>
      <c r="X41" s="24">
        <v>47484.0</v>
      </c>
      <c r="Y41" s="24">
        <v>47848.0</v>
      </c>
      <c r="Z41" s="20">
        <v>0.0</v>
      </c>
      <c r="AA41" s="20">
        <v>1.0</v>
      </c>
      <c r="AB41" s="24"/>
      <c r="AC41" s="24"/>
    </row>
    <row r="42" ht="14.25" customHeight="1">
      <c r="A42" s="46" t="s">
        <v>6915</v>
      </c>
      <c r="B42" s="20" t="s">
        <v>6916</v>
      </c>
      <c r="C42" s="20" t="s">
        <v>7041</v>
      </c>
      <c r="D42" s="24">
        <v>45658.0</v>
      </c>
      <c r="E42" s="24">
        <v>46022.0</v>
      </c>
      <c r="F42" s="20">
        <v>1.0</v>
      </c>
      <c r="G42" s="20">
        <v>1.0</v>
      </c>
      <c r="H42" s="24">
        <v>46023.0</v>
      </c>
      <c r="I42" s="24">
        <v>46387.0</v>
      </c>
      <c r="J42" s="20">
        <v>0.0</v>
      </c>
      <c r="K42" s="20">
        <v>1.0</v>
      </c>
      <c r="L42" s="24">
        <v>46388.0</v>
      </c>
      <c r="M42" s="24">
        <v>46752.0</v>
      </c>
      <c r="N42" s="20">
        <v>0.0</v>
      </c>
      <c r="O42" s="20">
        <v>1.0</v>
      </c>
      <c r="P42" s="24">
        <v>46753.0</v>
      </c>
      <c r="Q42" s="24">
        <v>47118.0</v>
      </c>
      <c r="R42" s="20">
        <v>0.0</v>
      </c>
      <c r="S42" s="20">
        <v>1.0</v>
      </c>
      <c r="T42" s="24">
        <v>47119.0</v>
      </c>
      <c r="U42" s="24">
        <v>47483.0</v>
      </c>
      <c r="V42" s="20">
        <v>0.0</v>
      </c>
      <c r="W42" s="20">
        <v>1.0</v>
      </c>
      <c r="X42" s="24">
        <v>47484.0</v>
      </c>
      <c r="Y42" s="24">
        <v>47848.0</v>
      </c>
      <c r="Z42" s="20">
        <v>0.0</v>
      </c>
      <c r="AA42" s="20">
        <v>1.0</v>
      </c>
      <c r="AB42" s="24"/>
      <c r="AC42" s="24"/>
    </row>
    <row r="43" ht="14.25" customHeight="1">
      <c r="A43" s="46" t="s">
        <v>463</v>
      </c>
      <c r="B43" s="20" t="s">
        <v>464</v>
      </c>
      <c r="C43" s="20" t="s">
        <v>7041</v>
      </c>
      <c r="D43" s="24">
        <v>45658.0</v>
      </c>
      <c r="E43" s="24">
        <v>46022.0</v>
      </c>
      <c r="F43" s="20">
        <v>0.0</v>
      </c>
      <c r="G43" s="20">
        <v>1.0</v>
      </c>
      <c r="H43" s="24">
        <v>46023.0</v>
      </c>
      <c r="I43" s="24">
        <v>46387.0</v>
      </c>
      <c r="J43" s="20">
        <v>0.0</v>
      </c>
      <c r="K43" s="20">
        <v>1.0</v>
      </c>
      <c r="L43" s="24">
        <v>46388.0</v>
      </c>
      <c r="M43" s="24">
        <v>46752.0</v>
      </c>
      <c r="N43" s="20">
        <v>0.0</v>
      </c>
      <c r="O43" s="20">
        <v>1.0</v>
      </c>
      <c r="P43" s="24">
        <v>46753.0</v>
      </c>
      <c r="Q43" s="24">
        <v>47118.0</v>
      </c>
      <c r="R43" s="20">
        <v>0.0</v>
      </c>
      <c r="S43" s="20">
        <v>1.0</v>
      </c>
      <c r="T43" s="24">
        <v>47119.0</v>
      </c>
      <c r="U43" s="24">
        <v>47483.0</v>
      </c>
      <c r="V43" s="20">
        <v>0.0</v>
      </c>
      <c r="W43" s="20">
        <v>1.0</v>
      </c>
      <c r="X43" s="24">
        <v>47484.0</v>
      </c>
      <c r="Y43" s="24">
        <v>47848.0</v>
      </c>
      <c r="Z43" s="20">
        <v>0.0</v>
      </c>
      <c r="AA43" s="20">
        <v>1.0</v>
      </c>
      <c r="AB43" s="24"/>
      <c r="AC43" s="24"/>
    </row>
    <row r="44" ht="14.25" customHeight="1">
      <c r="A44" s="46" t="s">
        <v>4326</v>
      </c>
      <c r="B44" s="20" t="s">
        <v>4327</v>
      </c>
      <c r="C44" s="20" t="s">
        <v>7041</v>
      </c>
      <c r="D44" s="24">
        <v>45658.0</v>
      </c>
      <c r="E44" s="24">
        <v>46022.0</v>
      </c>
      <c r="F44" s="20">
        <v>0.0</v>
      </c>
      <c r="G44" s="20">
        <v>1.0</v>
      </c>
      <c r="H44" s="24">
        <v>46023.0</v>
      </c>
      <c r="I44" s="24">
        <v>46387.0</v>
      </c>
      <c r="J44" s="20">
        <v>0.0</v>
      </c>
      <c r="K44" s="20">
        <v>1.0</v>
      </c>
      <c r="L44" s="24">
        <v>46388.0</v>
      </c>
      <c r="M44" s="24">
        <v>46752.0</v>
      </c>
      <c r="N44" s="20">
        <v>0.0</v>
      </c>
      <c r="O44" s="20">
        <v>1.0</v>
      </c>
      <c r="P44" s="24">
        <v>46753.0</v>
      </c>
      <c r="Q44" s="24">
        <v>47118.0</v>
      </c>
      <c r="R44" s="20">
        <v>0.0</v>
      </c>
      <c r="S44" s="20">
        <v>1.0</v>
      </c>
      <c r="T44" s="24">
        <v>47119.0</v>
      </c>
      <c r="U44" s="24">
        <v>47483.0</v>
      </c>
      <c r="V44" s="20">
        <v>0.0</v>
      </c>
      <c r="W44" s="20">
        <v>1.0</v>
      </c>
      <c r="X44" s="24">
        <v>47484.0</v>
      </c>
      <c r="Y44" s="24">
        <v>47848.0</v>
      </c>
      <c r="Z44" s="20">
        <v>0.0</v>
      </c>
      <c r="AA44" s="20">
        <v>1.0</v>
      </c>
      <c r="AB44" s="24"/>
      <c r="AC44" s="24"/>
    </row>
    <row r="45" ht="14.25" customHeight="1">
      <c r="A45" s="46" t="s">
        <v>2853</v>
      </c>
      <c r="B45" s="20" t="s">
        <v>2854</v>
      </c>
      <c r="C45" s="20" t="s">
        <v>7041</v>
      </c>
      <c r="D45" s="24">
        <v>45658.0</v>
      </c>
      <c r="E45" s="24">
        <v>46022.0</v>
      </c>
      <c r="F45" s="20">
        <v>0.0</v>
      </c>
      <c r="G45" s="20">
        <v>1.0</v>
      </c>
      <c r="H45" s="24">
        <v>46023.0</v>
      </c>
      <c r="I45" s="24">
        <v>46387.0</v>
      </c>
      <c r="J45" s="20">
        <v>0.0</v>
      </c>
      <c r="K45" s="20">
        <v>1.0</v>
      </c>
      <c r="L45" s="24">
        <v>46388.0</v>
      </c>
      <c r="M45" s="24">
        <v>46752.0</v>
      </c>
      <c r="N45" s="20">
        <v>0.0</v>
      </c>
      <c r="O45" s="20">
        <v>1.0</v>
      </c>
      <c r="P45" s="24">
        <v>46753.0</v>
      </c>
      <c r="Q45" s="24">
        <v>47118.0</v>
      </c>
      <c r="R45" s="20">
        <v>0.0</v>
      </c>
      <c r="S45" s="20">
        <v>1.0</v>
      </c>
      <c r="T45" s="24">
        <v>47119.0</v>
      </c>
      <c r="U45" s="24">
        <v>47483.0</v>
      </c>
      <c r="V45" s="20">
        <v>0.0</v>
      </c>
      <c r="W45" s="20">
        <v>1.0</v>
      </c>
      <c r="X45" s="24">
        <v>47484.0</v>
      </c>
      <c r="Y45" s="24">
        <v>47848.0</v>
      </c>
      <c r="Z45" s="20">
        <v>0.0</v>
      </c>
      <c r="AA45" s="20">
        <v>1.0</v>
      </c>
      <c r="AB45" s="24"/>
      <c r="AC45" s="24"/>
    </row>
    <row r="46" ht="14.25" customHeight="1">
      <c r="A46" s="46" t="s">
        <v>2092</v>
      </c>
      <c r="B46" s="20" t="s">
        <v>2093</v>
      </c>
      <c r="C46" s="20" t="s">
        <v>7041</v>
      </c>
      <c r="D46" s="24">
        <v>45658.0</v>
      </c>
      <c r="E46" s="24">
        <v>46022.0</v>
      </c>
      <c r="F46" s="20">
        <v>0.0</v>
      </c>
      <c r="G46" s="20">
        <v>1.0</v>
      </c>
      <c r="H46" s="24">
        <v>46023.0</v>
      </c>
      <c r="I46" s="24">
        <v>46387.0</v>
      </c>
      <c r="J46" s="20">
        <v>0.0</v>
      </c>
      <c r="K46" s="20">
        <v>1.0</v>
      </c>
      <c r="L46" s="24">
        <v>46388.0</v>
      </c>
      <c r="M46" s="24">
        <v>46752.0</v>
      </c>
      <c r="N46" s="20">
        <v>0.0</v>
      </c>
      <c r="O46" s="20">
        <v>1.0</v>
      </c>
      <c r="P46" s="24">
        <v>46753.0</v>
      </c>
      <c r="Q46" s="24">
        <v>47118.0</v>
      </c>
      <c r="R46" s="20">
        <v>0.0</v>
      </c>
      <c r="S46" s="20">
        <v>1.0</v>
      </c>
      <c r="T46" s="24">
        <v>47119.0</v>
      </c>
      <c r="U46" s="24">
        <v>47483.0</v>
      </c>
      <c r="V46" s="20">
        <v>0.0</v>
      </c>
      <c r="W46" s="20">
        <v>1.0</v>
      </c>
      <c r="X46" s="24">
        <v>47484.0</v>
      </c>
      <c r="Y46" s="24">
        <v>47848.0</v>
      </c>
      <c r="Z46" s="20">
        <v>0.0</v>
      </c>
      <c r="AA46" s="20">
        <v>1.0</v>
      </c>
      <c r="AB46" s="24"/>
      <c r="AC46" s="24"/>
    </row>
    <row r="47" ht="14.25" customHeight="1">
      <c r="A47" s="46" t="s">
        <v>6898</v>
      </c>
      <c r="B47" s="20" t="s">
        <v>6899</v>
      </c>
      <c r="C47" s="20" t="s">
        <v>7041</v>
      </c>
      <c r="D47" s="24">
        <v>45658.0</v>
      </c>
      <c r="E47" s="24">
        <v>46022.0</v>
      </c>
      <c r="F47" s="20">
        <v>1.0</v>
      </c>
      <c r="G47" s="20">
        <v>1.0</v>
      </c>
      <c r="H47" s="24">
        <v>46023.0</v>
      </c>
      <c r="I47" s="24">
        <v>46387.0</v>
      </c>
      <c r="J47" s="20">
        <v>0.0</v>
      </c>
      <c r="K47" s="20">
        <v>1.0</v>
      </c>
      <c r="L47" s="24">
        <v>46388.0</v>
      </c>
      <c r="M47" s="24">
        <v>46752.0</v>
      </c>
      <c r="N47" s="20">
        <v>0.0</v>
      </c>
      <c r="O47" s="20">
        <v>1.0</v>
      </c>
      <c r="P47" s="24">
        <v>46753.0</v>
      </c>
      <c r="Q47" s="24">
        <v>47118.0</v>
      </c>
      <c r="R47" s="20">
        <v>0.0</v>
      </c>
      <c r="S47" s="20">
        <v>1.0</v>
      </c>
      <c r="T47" s="24">
        <v>47119.0</v>
      </c>
      <c r="U47" s="24">
        <v>47483.0</v>
      </c>
      <c r="V47" s="20">
        <v>0.0</v>
      </c>
      <c r="W47" s="20">
        <v>1.0</v>
      </c>
      <c r="X47" s="24">
        <v>47484.0</v>
      </c>
      <c r="Y47" s="24">
        <v>47848.0</v>
      </c>
      <c r="Z47" s="20">
        <v>0.0</v>
      </c>
      <c r="AA47" s="20">
        <v>1.0</v>
      </c>
      <c r="AB47" s="24"/>
      <c r="AC47" s="24"/>
    </row>
    <row r="48" ht="14.25" customHeight="1">
      <c r="A48" s="46" t="s">
        <v>4448</v>
      </c>
      <c r="B48" s="20" t="s">
        <v>4449</v>
      </c>
      <c r="C48" s="20" t="s">
        <v>7041</v>
      </c>
      <c r="D48" s="24">
        <v>45658.0</v>
      </c>
      <c r="E48" s="24">
        <v>46022.0</v>
      </c>
      <c r="F48" s="20">
        <v>0.0</v>
      </c>
      <c r="G48" s="20">
        <v>1.0</v>
      </c>
      <c r="H48" s="24">
        <v>46023.0</v>
      </c>
      <c r="I48" s="24">
        <v>46387.0</v>
      </c>
      <c r="J48" s="20">
        <v>0.0</v>
      </c>
      <c r="K48" s="20">
        <v>1.0</v>
      </c>
      <c r="L48" s="24">
        <v>46388.0</v>
      </c>
      <c r="M48" s="24">
        <v>46752.0</v>
      </c>
      <c r="N48" s="20">
        <v>0.0</v>
      </c>
      <c r="O48" s="20">
        <v>1.0</v>
      </c>
      <c r="P48" s="24">
        <v>46753.0</v>
      </c>
      <c r="Q48" s="24">
        <v>47118.0</v>
      </c>
      <c r="R48" s="20">
        <v>0.0</v>
      </c>
      <c r="S48" s="20">
        <v>1.0</v>
      </c>
      <c r="T48" s="24">
        <v>47119.0</v>
      </c>
      <c r="U48" s="24">
        <v>47483.0</v>
      </c>
      <c r="V48" s="20">
        <v>0.0</v>
      </c>
      <c r="W48" s="20">
        <v>1.0</v>
      </c>
      <c r="X48" s="24">
        <v>47484.0</v>
      </c>
      <c r="Y48" s="24">
        <v>47848.0</v>
      </c>
      <c r="Z48" s="20">
        <v>0.0</v>
      </c>
      <c r="AA48" s="20">
        <v>1.0</v>
      </c>
      <c r="AB48" s="24"/>
      <c r="AC48" s="24"/>
    </row>
    <row r="49" ht="14.25" customHeight="1">
      <c r="A49" s="46" t="s">
        <v>1156</v>
      </c>
      <c r="B49" s="20" t="s">
        <v>1157</v>
      </c>
      <c r="C49" s="20" t="s">
        <v>7041</v>
      </c>
      <c r="D49" s="24">
        <v>45658.0</v>
      </c>
      <c r="E49" s="24">
        <v>46022.0</v>
      </c>
      <c r="F49" s="20">
        <v>0.0</v>
      </c>
      <c r="G49" s="20">
        <v>1.0</v>
      </c>
      <c r="H49" s="24">
        <v>46023.0</v>
      </c>
      <c r="I49" s="24">
        <v>46387.0</v>
      </c>
      <c r="J49" s="20">
        <v>0.0</v>
      </c>
      <c r="K49" s="20">
        <v>1.0</v>
      </c>
      <c r="L49" s="24">
        <v>46388.0</v>
      </c>
      <c r="M49" s="24">
        <v>46752.0</v>
      </c>
      <c r="N49" s="20">
        <v>0.0</v>
      </c>
      <c r="O49" s="20">
        <v>1.0</v>
      </c>
      <c r="P49" s="24">
        <v>46753.0</v>
      </c>
      <c r="Q49" s="24">
        <v>47118.0</v>
      </c>
      <c r="R49" s="20">
        <v>0.0</v>
      </c>
      <c r="S49" s="20">
        <v>1.0</v>
      </c>
      <c r="T49" s="24">
        <v>47119.0</v>
      </c>
      <c r="U49" s="24">
        <v>47483.0</v>
      </c>
      <c r="V49" s="20">
        <v>0.0</v>
      </c>
      <c r="W49" s="20">
        <v>1.0</v>
      </c>
      <c r="X49" s="24">
        <v>47484.0</v>
      </c>
      <c r="Y49" s="24">
        <v>47848.0</v>
      </c>
      <c r="Z49" s="20">
        <v>0.0</v>
      </c>
      <c r="AA49" s="20">
        <v>1.0</v>
      </c>
      <c r="AB49" s="24"/>
      <c r="AC49" s="24"/>
    </row>
    <row r="50" ht="14.25" customHeight="1">
      <c r="A50" s="46" t="s">
        <v>1267</v>
      </c>
      <c r="B50" s="20" t="s">
        <v>1268</v>
      </c>
      <c r="C50" s="20" t="s">
        <v>7041</v>
      </c>
      <c r="D50" s="24">
        <v>45658.0</v>
      </c>
      <c r="E50" s="24">
        <v>46022.0</v>
      </c>
      <c r="F50" s="20">
        <v>0.0</v>
      </c>
      <c r="G50" s="20">
        <v>1.0</v>
      </c>
      <c r="H50" s="24">
        <v>46023.0</v>
      </c>
      <c r="I50" s="24">
        <v>46387.0</v>
      </c>
      <c r="J50" s="20">
        <v>0.0</v>
      </c>
      <c r="K50" s="20">
        <v>1.0</v>
      </c>
      <c r="L50" s="24">
        <v>46388.0</v>
      </c>
      <c r="M50" s="24">
        <v>46752.0</v>
      </c>
      <c r="N50" s="20">
        <v>0.0</v>
      </c>
      <c r="O50" s="20">
        <v>1.0</v>
      </c>
      <c r="P50" s="24">
        <v>46753.0</v>
      </c>
      <c r="Q50" s="24">
        <v>47118.0</v>
      </c>
      <c r="R50" s="20">
        <v>0.0</v>
      </c>
      <c r="S50" s="20">
        <v>1.0</v>
      </c>
      <c r="T50" s="24">
        <v>47119.0</v>
      </c>
      <c r="U50" s="24">
        <v>47483.0</v>
      </c>
      <c r="V50" s="20">
        <v>0.0</v>
      </c>
      <c r="W50" s="20">
        <v>1.0</v>
      </c>
      <c r="X50" s="24">
        <v>47484.0</v>
      </c>
      <c r="Y50" s="24">
        <v>47848.0</v>
      </c>
      <c r="Z50" s="20">
        <v>0.0</v>
      </c>
      <c r="AA50" s="20">
        <v>1.0</v>
      </c>
      <c r="AB50" s="24"/>
      <c r="AC50" s="24"/>
    </row>
    <row r="51" ht="14.25" customHeight="1">
      <c r="A51" s="46" t="s">
        <v>5825</v>
      </c>
      <c r="B51" s="20" t="s">
        <v>5826</v>
      </c>
      <c r="C51" s="20" t="s">
        <v>7041</v>
      </c>
      <c r="D51" s="24">
        <v>45658.0</v>
      </c>
      <c r="E51" s="24">
        <v>46022.0</v>
      </c>
      <c r="F51" s="20">
        <v>0.0</v>
      </c>
      <c r="G51" s="20">
        <v>1.0</v>
      </c>
      <c r="H51" s="24">
        <v>46023.0</v>
      </c>
      <c r="I51" s="24">
        <v>46387.0</v>
      </c>
      <c r="J51" s="20">
        <v>0.0</v>
      </c>
      <c r="K51" s="20">
        <v>1.0</v>
      </c>
      <c r="L51" s="24">
        <v>46388.0</v>
      </c>
      <c r="M51" s="24">
        <v>46752.0</v>
      </c>
      <c r="N51" s="20">
        <v>0.0</v>
      </c>
      <c r="O51" s="20">
        <v>1.0</v>
      </c>
      <c r="P51" s="24">
        <v>46753.0</v>
      </c>
      <c r="Q51" s="24">
        <v>47118.0</v>
      </c>
      <c r="R51" s="20">
        <v>0.0</v>
      </c>
      <c r="S51" s="20">
        <v>1.0</v>
      </c>
      <c r="T51" s="24">
        <v>47119.0</v>
      </c>
      <c r="U51" s="24">
        <v>47483.0</v>
      </c>
      <c r="V51" s="20">
        <v>0.0</v>
      </c>
      <c r="W51" s="20">
        <v>1.0</v>
      </c>
      <c r="X51" s="24">
        <v>47484.0</v>
      </c>
      <c r="Y51" s="24">
        <v>47848.0</v>
      </c>
      <c r="Z51" s="20">
        <v>0.0</v>
      </c>
      <c r="AA51" s="20">
        <v>1.0</v>
      </c>
      <c r="AB51" s="24"/>
      <c r="AC51" s="24"/>
    </row>
    <row r="52" ht="14.25" customHeight="1">
      <c r="A52" s="46" t="s">
        <v>1561</v>
      </c>
      <c r="B52" s="20" t="s">
        <v>1562</v>
      </c>
      <c r="C52" s="20" t="s">
        <v>7041</v>
      </c>
      <c r="D52" s="24">
        <v>45658.0</v>
      </c>
      <c r="E52" s="24">
        <v>46022.0</v>
      </c>
      <c r="F52" s="20">
        <v>0.0</v>
      </c>
      <c r="G52" s="20">
        <v>1.0</v>
      </c>
      <c r="H52" s="24">
        <v>46023.0</v>
      </c>
      <c r="I52" s="24">
        <v>46387.0</v>
      </c>
      <c r="J52" s="20">
        <v>0.0</v>
      </c>
      <c r="K52" s="20">
        <v>1.0</v>
      </c>
      <c r="L52" s="24">
        <v>46388.0</v>
      </c>
      <c r="M52" s="24">
        <v>46752.0</v>
      </c>
      <c r="N52" s="20">
        <v>0.0</v>
      </c>
      <c r="O52" s="20">
        <v>1.0</v>
      </c>
      <c r="P52" s="24">
        <v>46753.0</v>
      </c>
      <c r="Q52" s="24">
        <v>47118.0</v>
      </c>
      <c r="R52" s="20">
        <v>0.0</v>
      </c>
      <c r="S52" s="20">
        <v>1.0</v>
      </c>
      <c r="T52" s="24">
        <v>47119.0</v>
      </c>
      <c r="U52" s="24">
        <v>47483.0</v>
      </c>
      <c r="V52" s="20">
        <v>0.0</v>
      </c>
      <c r="W52" s="20">
        <v>1.0</v>
      </c>
      <c r="X52" s="24">
        <v>47484.0</v>
      </c>
      <c r="Y52" s="24">
        <v>47848.0</v>
      </c>
      <c r="Z52" s="20">
        <v>0.0</v>
      </c>
      <c r="AA52" s="20">
        <v>1.0</v>
      </c>
      <c r="AB52" s="24"/>
      <c r="AC52" s="24"/>
    </row>
    <row r="53" ht="14.25" customHeight="1">
      <c r="A53" s="46" t="s">
        <v>5036</v>
      </c>
      <c r="B53" s="20" t="s">
        <v>5037</v>
      </c>
      <c r="C53" s="20" t="s">
        <v>7041</v>
      </c>
      <c r="D53" s="24">
        <v>45658.0</v>
      </c>
      <c r="E53" s="24">
        <v>46022.0</v>
      </c>
      <c r="F53" s="20">
        <v>0.0</v>
      </c>
      <c r="G53" s="20">
        <v>1.0</v>
      </c>
      <c r="H53" s="24">
        <v>46023.0</v>
      </c>
      <c r="I53" s="24">
        <v>46387.0</v>
      </c>
      <c r="J53" s="20">
        <v>0.0</v>
      </c>
      <c r="K53" s="20">
        <v>1.0</v>
      </c>
      <c r="L53" s="24">
        <v>46388.0</v>
      </c>
      <c r="M53" s="24">
        <v>46752.0</v>
      </c>
      <c r="N53" s="20">
        <v>0.0</v>
      </c>
      <c r="O53" s="20">
        <v>1.0</v>
      </c>
      <c r="P53" s="24">
        <v>46753.0</v>
      </c>
      <c r="Q53" s="24">
        <v>47118.0</v>
      </c>
      <c r="R53" s="20">
        <v>0.0</v>
      </c>
      <c r="S53" s="20">
        <v>1.0</v>
      </c>
      <c r="T53" s="24">
        <v>47119.0</v>
      </c>
      <c r="U53" s="24">
        <v>47483.0</v>
      </c>
      <c r="V53" s="20">
        <v>0.0</v>
      </c>
      <c r="W53" s="20">
        <v>1.0</v>
      </c>
      <c r="X53" s="24">
        <v>47484.0</v>
      </c>
      <c r="Y53" s="24">
        <v>47848.0</v>
      </c>
      <c r="Z53" s="20">
        <v>0.0</v>
      </c>
      <c r="AA53" s="20">
        <v>1.0</v>
      </c>
      <c r="AB53" s="24"/>
      <c r="AC53" s="24"/>
    </row>
    <row r="54" ht="14.25" customHeight="1">
      <c r="A54" s="46" t="s">
        <v>4958</v>
      </c>
      <c r="B54" s="20" t="s">
        <v>4959</v>
      </c>
      <c r="C54" s="20" t="s">
        <v>7041</v>
      </c>
      <c r="D54" s="24">
        <v>45658.0</v>
      </c>
      <c r="E54" s="24">
        <v>46022.0</v>
      </c>
      <c r="F54" s="20">
        <v>1.0</v>
      </c>
      <c r="G54" s="20">
        <v>1.0</v>
      </c>
      <c r="H54" s="24">
        <v>46023.0</v>
      </c>
      <c r="I54" s="24">
        <v>46387.0</v>
      </c>
      <c r="J54" s="20">
        <v>0.0</v>
      </c>
      <c r="K54" s="20">
        <v>1.0</v>
      </c>
      <c r="L54" s="24">
        <v>46388.0</v>
      </c>
      <c r="M54" s="24">
        <v>46752.0</v>
      </c>
      <c r="N54" s="20">
        <v>0.0</v>
      </c>
      <c r="O54" s="20">
        <v>1.0</v>
      </c>
      <c r="P54" s="24">
        <v>46753.0</v>
      </c>
      <c r="Q54" s="24">
        <v>47118.0</v>
      </c>
      <c r="R54" s="20">
        <v>0.0</v>
      </c>
      <c r="S54" s="20">
        <v>1.0</v>
      </c>
      <c r="T54" s="24">
        <v>47119.0</v>
      </c>
      <c r="U54" s="24">
        <v>47483.0</v>
      </c>
      <c r="V54" s="20">
        <v>0.0</v>
      </c>
      <c r="W54" s="20">
        <v>1.0</v>
      </c>
      <c r="X54" s="24">
        <v>47484.0</v>
      </c>
      <c r="Y54" s="24">
        <v>47848.0</v>
      </c>
      <c r="Z54" s="20">
        <v>0.0</v>
      </c>
      <c r="AA54" s="20">
        <v>1.0</v>
      </c>
      <c r="AB54" s="24"/>
      <c r="AC54" s="24"/>
    </row>
    <row r="55" ht="14.25" customHeight="1">
      <c r="A55" s="46" t="s">
        <v>604</v>
      </c>
      <c r="B55" s="20" t="s">
        <v>605</v>
      </c>
      <c r="C55" s="20" t="s">
        <v>7041</v>
      </c>
      <c r="D55" s="24">
        <v>45658.0</v>
      </c>
      <c r="E55" s="24">
        <v>46022.0</v>
      </c>
      <c r="F55" s="20">
        <v>1.0</v>
      </c>
      <c r="G55" s="20">
        <v>1.0</v>
      </c>
      <c r="H55" s="24">
        <v>46023.0</v>
      </c>
      <c r="I55" s="24">
        <v>46387.0</v>
      </c>
      <c r="J55" s="20">
        <v>0.0</v>
      </c>
      <c r="K55" s="20">
        <v>1.0</v>
      </c>
      <c r="L55" s="24">
        <v>46388.0</v>
      </c>
      <c r="M55" s="24">
        <v>46752.0</v>
      </c>
      <c r="N55" s="20">
        <v>0.0</v>
      </c>
      <c r="O55" s="20">
        <v>1.0</v>
      </c>
      <c r="P55" s="24">
        <v>46753.0</v>
      </c>
      <c r="Q55" s="24">
        <v>47118.0</v>
      </c>
      <c r="R55" s="20">
        <v>0.0</v>
      </c>
      <c r="S55" s="20">
        <v>1.0</v>
      </c>
      <c r="T55" s="24">
        <v>47119.0</v>
      </c>
      <c r="U55" s="24">
        <v>47483.0</v>
      </c>
      <c r="V55" s="20">
        <v>0.0</v>
      </c>
      <c r="W55" s="20">
        <v>1.0</v>
      </c>
      <c r="X55" s="24">
        <v>47484.0</v>
      </c>
      <c r="Y55" s="24">
        <v>47848.0</v>
      </c>
      <c r="Z55" s="20">
        <v>0.0</v>
      </c>
      <c r="AA55" s="20">
        <v>1.0</v>
      </c>
      <c r="AB55" s="24"/>
      <c r="AC55" s="24"/>
    </row>
    <row r="56" ht="14.25" customHeight="1">
      <c r="A56" s="46" t="s">
        <v>1457</v>
      </c>
      <c r="B56" s="20" t="s">
        <v>1458</v>
      </c>
      <c r="C56" s="20" t="s">
        <v>7041</v>
      </c>
      <c r="D56" s="24">
        <v>45658.0</v>
      </c>
      <c r="E56" s="24">
        <v>46022.0</v>
      </c>
      <c r="F56" s="20">
        <v>1.0</v>
      </c>
      <c r="G56" s="20">
        <v>1.0</v>
      </c>
      <c r="H56" s="24">
        <v>46023.0</v>
      </c>
      <c r="I56" s="24">
        <v>46387.0</v>
      </c>
      <c r="J56" s="20">
        <v>0.0</v>
      </c>
      <c r="K56" s="20">
        <v>1.0</v>
      </c>
      <c r="L56" s="24">
        <v>46388.0</v>
      </c>
      <c r="M56" s="24">
        <v>46752.0</v>
      </c>
      <c r="N56" s="20">
        <v>0.0</v>
      </c>
      <c r="O56" s="20">
        <v>1.0</v>
      </c>
      <c r="P56" s="24">
        <v>46753.0</v>
      </c>
      <c r="Q56" s="24">
        <v>47118.0</v>
      </c>
      <c r="R56" s="20">
        <v>0.0</v>
      </c>
      <c r="S56" s="20">
        <v>1.0</v>
      </c>
      <c r="T56" s="24">
        <v>47119.0</v>
      </c>
      <c r="U56" s="24">
        <v>47483.0</v>
      </c>
      <c r="V56" s="20">
        <v>0.0</v>
      </c>
      <c r="W56" s="20">
        <v>1.0</v>
      </c>
      <c r="X56" s="24">
        <v>47484.0</v>
      </c>
      <c r="Y56" s="24">
        <v>47848.0</v>
      </c>
      <c r="Z56" s="20">
        <v>0.0</v>
      </c>
      <c r="AA56" s="20">
        <v>1.0</v>
      </c>
      <c r="AB56" s="24"/>
      <c r="AC56" s="24"/>
    </row>
    <row r="57" ht="14.25" customHeight="1">
      <c r="A57" s="46" t="s">
        <v>5024</v>
      </c>
      <c r="B57" s="20" t="s">
        <v>5025</v>
      </c>
      <c r="C57" s="20" t="s">
        <v>7041</v>
      </c>
      <c r="D57" s="24">
        <v>45658.0</v>
      </c>
      <c r="E57" s="24">
        <v>46022.0</v>
      </c>
      <c r="F57" s="20">
        <v>1.0</v>
      </c>
      <c r="G57" s="20">
        <v>1.0</v>
      </c>
      <c r="H57" s="24">
        <v>46023.0</v>
      </c>
      <c r="I57" s="24">
        <v>46387.0</v>
      </c>
      <c r="J57" s="20">
        <v>0.0</v>
      </c>
      <c r="K57" s="20">
        <v>1.0</v>
      </c>
      <c r="L57" s="24">
        <v>46388.0</v>
      </c>
      <c r="M57" s="24">
        <v>46752.0</v>
      </c>
      <c r="N57" s="20">
        <v>0.0</v>
      </c>
      <c r="O57" s="20">
        <v>1.0</v>
      </c>
      <c r="P57" s="24">
        <v>46753.0</v>
      </c>
      <c r="Q57" s="24">
        <v>47118.0</v>
      </c>
      <c r="R57" s="20">
        <v>0.0</v>
      </c>
      <c r="S57" s="20">
        <v>1.0</v>
      </c>
      <c r="T57" s="24">
        <v>47119.0</v>
      </c>
      <c r="U57" s="24">
        <v>47483.0</v>
      </c>
      <c r="V57" s="20">
        <v>0.0</v>
      </c>
      <c r="W57" s="20">
        <v>1.0</v>
      </c>
      <c r="X57" s="24">
        <v>47484.0</v>
      </c>
      <c r="Y57" s="24">
        <v>47848.0</v>
      </c>
      <c r="Z57" s="20">
        <v>0.0</v>
      </c>
      <c r="AA57" s="20">
        <v>1.0</v>
      </c>
      <c r="AB57" s="24"/>
      <c r="AC57" s="24"/>
    </row>
    <row r="58" ht="14.25" customHeight="1">
      <c r="A58" s="46" t="s">
        <v>4213</v>
      </c>
      <c r="B58" s="20" t="s">
        <v>4214</v>
      </c>
      <c r="C58" s="20" t="s">
        <v>7041</v>
      </c>
      <c r="D58" s="24">
        <v>45658.0</v>
      </c>
      <c r="E58" s="24">
        <v>46022.0</v>
      </c>
      <c r="F58" s="20">
        <v>1.0</v>
      </c>
      <c r="G58" s="20">
        <v>1.0</v>
      </c>
      <c r="H58" s="24">
        <v>46023.0</v>
      </c>
      <c r="I58" s="24">
        <v>46387.0</v>
      </c>
      <c r="J58" s="20">
        <v>0.0</v>
      </c>
      <c r="K58" s="20">
        <v>1.0</v>
      </c>
      <c r="L58" s="24">
        <v>46388.0</v>
      </c>
      <c r="M58" s="24">
        <v>46752.0</v>
      </c>
      <c r="N58" s="20">
        <v>0.0</v>
      </c>
      <c r="O58" s="20">
        <v>1.0</v>
      </c>
      <c r="P58" s="24">
        <v>46753.0</v>
      </c>
      <c r="Q58" s="24">
        <v>47118.0</v>
      </c>
      <c r="R58" s="20">
        <v>0.0</v>
      </c>
      <c r="S58" s="20">
        <v>1.0</v>
      </c>
      <c r="T58" s="24">
        <v>47119.0</v>
      </c>
      <c r="U58" s="24">
        <v>47483.0</v>
      </c>
      <c r="V58" s="20">
        <v>0.0</v>
      </c>
      <c r="W58" s="20">
        <v>1.0</v>
      </c>
      <c r="X58" s="24">
        <v>47484.0</v>
      </c>
      <c r="Y58" s="24">
        <v>47848.0</v>
      </c>
      <c r="Z58" s="20">
        <v>0.0</v>
      </c>
      <c r="AA58" s="20">
        <v>1.0</v>
      </c>
      <c r="AB58" s="24"/>
      <c r="AC58" s="24"/>
    </row>
    <row r="59" ht="14.25" customHeight="1">
      <c r="A59" s="46" t="s">
        <v>5129</v>
      </c>
      <c r="B59" s="20" t="s">
        <v>5130</v>
      </c>
      <c r="C59" s="20" t="s">
        <v>7041</v>
      </c>
      <c r="D59" s="24">
        <v>45658.0</v>
      </c>
      <c r="E59" s="24">
        <v>46022.0</v>
      </c>
      <c r="F59" s="20">
        <v>0.0</v>
      </c>
      <c r="G59" s="20">
        <v>1.0</v>
      </c>
      <c r="H59" s="24">
        <v>46023.0</v>
      </c>
      <c r="I59" s="24">
        <v>46387.0</v>
      </c>
      <c r="J59" s="20">
        <v>0.0</v>
      </c>
      <c r="K59" s="20">
        <v>1.0</v>
      </c>
      <c r="L59" s="24">
        <v>46388.0</v>
      </c>
      <c r="M59" s="24">
        <v>46752.0</v>
      </c>
      <c r="N59" s="20">
        <v>0.0</v>
      </c>
      <c r="O59" s="20">
        <v>1.0</v>
      </c>
      <c r="P59" s="24">
        <v>46753.0</v>
      </c>
      <c r="Q59" s="24">
        <v>47118.0</v>
      </c>
      <c r="R59" s="20">
        <v>0.0</v>
      </c>
      <c r="S59" s="20">
        <v>1.0</v>
      </c>
      <c r="T59" s="24">
        <v>47119.0</v>
      </c>
      <c r="U59" s="24">
        <v>47483.0</v>
      </c>
      <c r="V59" s="20">
        <v>0.0</v>
      </c>
      <c r="W59" s="20">
        <v>1.0</v>
      </c>
      <c r="X59" s="24">
        <v>47484.0</v>
      </c>
      <c r="Y59" s="24">
        <v>47848.0</v>
      </c>
      <c r="Z59" s="20">
        <v>0.0</v>
      </c>
      <c r="AA59" s="20">
        <v>1.0</v>
      </c>
      <c r="AB59" s="24"/>
      <c r="AC59" s="24"/>
    </row>
    <row r="60" ht="14.25" customHeight="1">
      <c r="A60" s="46" t="s">
        <v>5988</v>
      </c>
      <c r="B60" s="20" t="s">
        <v>5989</v>
      </c>
      <c r="C60" s="20" t="s">
        <v>7041</v>
      </c>
      <c r="D60" s="24">
        <v>45658.0</v>
      </c>
      <c r="E60" s="24">
        <v>46022.0</v>
      </c>
      <c r="F60" s="20">
        <v>1.0</v>
      </c>
      <c r="G60" s="20">
        <v>1.0</v>
      </c>
      <c r="H60" s="24">
        <v>46023.0</v>
      </c>
      <c r="I60" s="24">
        <v>46387.0</v>
      </c>
      <c r="J60" s="20">
        <v>0.0</v>
      </c>
      <c r="K60" s="20">
        <v>1.0</v>
      </c>
      <c r="L60" s="24">
        <v>46388.0</v>
      </c>
      <c r="M60" s="24">
        <v>46752.0</v>
      </c>
      <c r="N60" s="20">
        <v>0.0</v>
      </c>
      <c r="O60" s="20">
        <v>1.0</v>
      </c>
      <c r="P60" s="24">
        <v>46753.0</v>
      </c>
      <c r="Q60" s="24">
        <v>47118.0</v>
      </c>
      <c r="R60" s="20">
        <v>0.0</v>
      </c>
      <c r="S60" s="20">
        <v>1.0</v>
      </c>
      <c r="T60" s="24">
        <v>47119.0</v>
      </c>
      <c r="U60" s="24">
        <v>47483.0</v>
      </c>
      <c r="V60" s="20">
        <v>0.0</v>
      </c>
      <c r="W60" s="20">
        <v>1.0</v>
      </c>
      <c r="X60" s="24">
        <v>47484.0</v>
      </c>
      <c r="Y60" s="24">
        <v>47848.0</v>
      </c>
      <c r="Z60" s="20">
        <v>0.0</v>
      </c>
      <c r="AA60" s="20">
        <v>1.0</v>
      </c>
      <c r="AB60" s="24"/>
      <c r="AC60" s="24"/>
    </row>
    <row r="61" ht="14.25" customHeight="1">
      <c r="A61" s="46" t="s">
        <v>5757</v>
      </c>
      <c r="B61" s="20" t="s">
        <v>5758</v>
      </c>
      <c r="C61" s="20" t="s">
        <v>7041</v>
      </c>
      <c r="D61" s="24">
        <v>45658.0</v>
      </c>
      <c r="E61" s="24">
        <v>46022.0</v>
      </c>
      <c r="F61" s="20">
        <v>0.0</v>
      </c>
      <c r="G61" s="20">
        <v>1.0</v>
      </c>
      <c r="H61" s="24">
        <v>46023.0</v>
      </c>
      <c r="I61" s="24">
        <v>46387.0</v>
      </c>
      <c r="J61" s="20">
        <v>0.0</v>
      </c>
      <c r="K61" s="20">
        <v>1.0</v>
      </c>
      <c r="L61" s="24">
        <v>46388.0</v>
      </c>
      <c r="M61" s="24">
        <v>46752.0</v>
      </c>
      <c r="N61" s="20">
        <v>0.0</v>
      </c>
      <c r="O61" s="20">
        <v>1.0</v>
      </c>
      <c r="P61" s="24">
        <v>46753.0</v>
      </c>
      <c r="Q61" s="24">
        <v>47118.0</v>
      </c>
      <c r="R61" s="20">
        <v>0.0</v>
      </c>
      <c r="S61" s="20">
        <v>1.0</v>
      </c>
      <c r="T61" s="24">
        <v>47119.0</v>
      </c>
      <c r="U61" s="24">
        <v>47483.0</v>
      </c>
      <c r="V61" s="20">
        <v>0.0</v>
      </c>
      <c r="W61" s="20">
        <v>1.0</v>
      </c>
      <c r="X61" s="24">
        <v>47484.0</v>
      </c>
      <c r="Y61" s="24">
        <v>47848.0</v>
      </c>
      <c r="Z61" s="20">
        <v>0.0</v>
      </c>
      <c r="AA61" s="20">
        <v>1.0</v>
      </c>
      <c r="AB61" s="24"/>
      <c r="AC61" s="24"/>
    </row>
    <row r="62" ht="14.25" customHeight="1">
      <c r="A62" s="46" t="s">
        <v>3503</v>
      </c>
      <c r="B62" s="20" t="s">
        <v>3504</v>
      </c>
      <c r="C62" s="20" t="s">
        <v>7041</v>
      </c>
      <c r="D62" s="24">
        <v>45658.0</v>
      </c>
      <c r="E62" s="24">
        <v>46022.0</v>
      </c>
      <c r="F62" s="20">
        <v>1.0</v>
      </c>
      <c r="G62" s="20">
        <v>1.0</v>
      </c>
      <c r="H62" s="24">
        <v>46023.0</v>
      </c>
      <c r="I62" s="24">
        <v>46387.0</v>
      </c>
      <c r="J62" s="20">
        <v>0.0</v>
      </c>
      <c r="K62" s="20">
        <v>1.0</v>
      </c>
      <c r="L62" s="24">
        <v>46388.0</v>
      </c>
      <c r="M62" s="24">
        <v>46752.0</v>
      </c>
      <c r="N62" s="20">
        <v>0.0</v>
      </c>
      <c r="O62" s="20">
        <v>1.0</v>
      </c>
      <c r="P62" s="24">
        <v>46753.0</v>
      </c>
      <c r="Q62" s="24">
        <v>47118.0</v>
      </c>
      <c r="R62" s="20">
        <v>0.0</v>
      </c>
      <c r="S62" s="20">
        <v>1.0</v>
      </c>
      <c r="T62" s="24">
        <v>47119.0</v>
      </c>
      <c r="U62" s="24">
        <v>47483.0</v>
      </c>
      <c r="V62" s="20">
        <v>0.0</v>
      </c>
      <c r="W62" s="20">
        <v>1.0</v>
      </c>
      <c r="X62" s="24">
        <v>47484.0</v>
      </c>
      <c r="Y62" s="24">
        <v>47848.0</v>
      </c>
      <c r="Z62" s="20">
        <v>0.0</v>
      </c>
      <c r="AA62" s="20">
        <v>1.0</v>
      </c>
      <c r="AB62" s="24"/>
      <c r="AC62" s="24"/>
    </row>
    <row r="63" ht="14.25" customHeight="1">
      <c r="A63" s="46" t="s">
        <v>5498</v>
      </c>
      <c r="B63" s="20" t="s">
        <v>5499</v>
      </c>
      <c r="C63" s="20" t="s">
        <v>7041</v>
      </c>
      <c r="D63" s="24">
        <v>45658.0</v>
      </c>
      <c r="E63" s="24">
        <v>46022.0</v>
      </c>
      <c r="F63" s="20">
        <v>0.0</v>
      </c>
      <c r="G63" s="20">
        <v>1.0</v>
      </c>
      <c r="H63" s="24">
        <v>46023.0</v>
      </c>
      <c r="I63" s="24">
        <v>46387.0</v>
      </c>
      <c r="J63" s="20">
        <v>0.0</v>
      </c>
      <c r="K63" s="20">
        <v>1.0</v>
      </c>
      <c r="L63" s="24">
        <v>46388.0</v>
      </c>
      <c r="M63" s="24">
        <v>46752.0</v>
      </c>
      <c r="N63" s="20">
        <v>0.0</v>
      </c>
      <c r="O63" s="20">
        <v>1.0</v>
      </c>
      <c r="P63" s="24">
        <v>46753.0</v>
      </c>
      <c r="Q63" s="24">
        <v>47118.0</v>
      </c>
      <c r="R63" s="20">
        <v>0.0</v>
      </c>
      <c r="S63" s="20">
        <v>1.0</v>
      </c>
      <c r="T63" s="24">
        <v>47119.0</v>
      </c>
      <c r="U63" s="24">
        <v>47483.0</v>
      </c>
      <c r="V63" s="20">
        <v>0.0</v>
      </c>
      <c r="W63" s="20">
        <v>1.0</v>
      </c>
      <c r="X63" s="24">
        <v>47484.0</v>
      </c>
      <c r="Y63" s="24">
        <v>47848.0</v>
      </c>
      <c r="Z63" s="20">
        <v>0.0</v>
      </c>
      <c r="AA63" s="20">
        <v>1.0</v>
      </c>
      <c r="AB63" s="24"/>
      <c r="AC63" s="24"/>
    </row>
    <row r="64" ht="14.25" customHeight="1">
      <c r="A64" s="46" t="s">
        <v>2928</v>
      </c>
      <c r="B64" s="20" t="s">
        <v>2929</v>
      </c>
      <c r="C64" s="20" t="s">
        <v>7041</v>
      </c>
      <c r="D64" s="24">
        <v>45658.0</v>
      </c>
      <c r="E64" s="24">
        <v>46022.0</v>
      </c>
      <c r="F64" s="20">
        <v>1.0</v>
      </c>
      <c r="G64" s="20">
        <v>1.0</v>
      </c>
      <c r="H64" s="24">
        <v>46023.0</v>
      </c>
      <c r="I64" s="24">
        <v>46387.0</v>
      </c>
      <c r="J64" s="20">
        <v>0.0</v>
      </c>
      <c r="K64" s="20">
        <v>1.0</v>
      </c>
      <c r="L64" s="24">
        <v>46388.0</v>
      </c>
      <c r="M64" s="24">
        <v>46752.0</v>
      </c>
      <c r="N64" s="20">
        <v>0.0</v>
      </c>
      <c r="O64" s="20">
        <v>1.0</v>
      </c>
      <c r="P64" s="24">
        <v>46753.0</v>
      </c>
      <c r="Q64" s="24">
        <v>47118.0</v>
      </c>
      <c r="R64" s="20">
        <v>0.0</v>
      </c>
      <c r="S64" s="20">
        <v>1.0</v>
      </c>
      <c r="T64" s="24">
        <v>47119.0</v>
      </c>
      <c r="U64" s="24">
        <v>47483.0</v>
      </c>
      <c r="V64" s="20">
        <v>0.0</v>
      </c>
      <c r="W64" s="20">
        <v>1.0</v>
      </c>
      <c r="X64" s="24">
        <v>47484.0</v>
      </c>
      <c r="Y64" s="24">
        <v>47848.0</v>
      </c>
      <c r="Z64" s="20">
        <v>0.0</v>
      </c>
      <c r="AA64" s="20">
        <v>1.0</v>
      </c>
      <c r="AB64" s="24"/>
      <c r="AC64" s="24"/>
    </row>
    <row r="65" ht="14.25" customHeight="1">
      <c r="A65" s="46" t="s">
        <v>3443</v>
      </c>
      <c r="B65" s="20" t="s">
        <v>3444</v>
      </c>
      <c r="C65" s="20" t="s">
        <v>7041</v>
      </c>
      <c r="D65" s="24">
        <v>45658.0</v>
      </c>
      <c r="E65" s="24">
        <v>46022.0</v>
      </c>
      <c r="F65" s="20">
        <v>0.0</v>
      </c>
      <c r="G65" s="20">
        <v>1.0</v>
      </c>
      <c r="H65" s="24">
        <v>46023.0</v>
      </c>
      <c r="I65" s="24">
        <v>46387.0</v>
      </c>
      <c r="J65" s="20">
        <v>0.0</v>
      </c>
      <c r="K65" s="20">
        <v>1.0</v>
      </c>
      <c r="L65" s="24">
        <v>46388.0</v>
      </c>
      <c r="M65" s="24">
        <v>46752.0</v>
      </c>
      <c r="N65" s="20">
        <v>0.0</v>
      </c>
      <c r="O65" s="20">
        <v>1.0</v>
      </c>
      <c r="P65" s="24">
        <v>46753.0</v>
      </c>
      <c r="Q65" s="24">
        <v>47118.0</v>
      </c>
      <c r="R65" s="20">
        <v>0.0</v>
      </c>
      <c r="S65" s="20">
        <v>1.0</v>
      </c>
      <c r="T65" s="24">
        <v>47119.0</v>
      </c>
      <c r="U65" s="24">
        <v>47483.0</v>
      </c>
      <c r="V65" s="20">
        <v>0.0</v>
      </c>
      <c r="W65" s="20">
        <v>1.0</v>
      </c>
      <c r="X65" s="24">
        <v>47484.0</v>
      </c>
      <c r="Y65" s="24">
        <v>47848.0</v>
      </c>
      <c r="Z65" s="20">
        <v>0.0</v>
      </c>
      <c r="AA65" s="20">
        <v>1.0</v>
      </c>
      <c r="AB65" s="24"/>
      <c r="AC65" s="24"/>
    </row>
    <row r="66" ht="14.25" customHeight="1">
      <c r="A66" s="46" t="s">
        <v>1146</v>
      </c>
      <c r="B66" s="20" t="s">
        <v>1147</v>
      </c>
      <c r="C66" s="20" t="s">
        <v>7041</v>
      </c>
      <c r="D66" s="24">
        <v>45658.0</v>
      </c>
      <c r="E66" s="24">
        <v>46022.0</v>
      </c>
      <c r="F66" s="20">
        <v>1.0</v>
      </c>
      <c r="G66" s="20">
        <v>1.0</v>
      </c>
      <c r="H66" s="24">
        <v>46023.0</v>
      </c>
      <c r="I66" s="24">
        <v>46387.0</v>
      </c>
      <c r="J66" s="20">
        <v>0.0</v>
      </c>
      <c r="K66" s="20">
        <v>1.0</v>
      </c>
      <c r="L66" s="24">
        <v>46388.0</v>
      </c>
      <c r="M66" s="24">
        <v>46752.0</v>
      </c>
      <c r="N66" s="20">
        <v>0.0</v>
      </c>
      <c r="O66" s="20">
        <v>1.0</v>
      </c>
      <c r="P66" s="24">
        <v>46753.0</v>
      </c>
      <c r="Q66" s="24">
        <v>47118.0</v>
      </c>
      <c r="R66" s="20">
        <v>0.0</v>
      </c>
      <c r="S66" s="20">
        <v>1.0</v>
      </c>
      <c r="T66" s="24">
        <v>47119.0</v>
      </c>
      <c r="U66" s="24">
        <v>47483.0</v>
      </c>
      <c r="V66" s="20">
        <v>0.0</v>
      </c>
      <c r="W66" s="20">
        <v>1.0</v>
      </c>
      <c r="X66" s="24">
        <v>47484.0</v>
      </c>
      <c r="Y66" s="24">
        <v>47848.0</v>
      </c>
      <c r="Z66" s="20">
        <v>0.0</v>
      </c>
      <c r="AA66" s="20">
        <v>1.0</v>
      </c>
      <c r="AB66" s="24"/>
      <c r="AC66" s="24"/>
    </row>
    <row r="67" ht="14.25" customHeight="1">
      <c r="A67" s="46" t="s">
        <v>622</v>
      </c>
      <c r="B67" s="20" t="s">
        <v>623</v>
      </c>
      <c r="C67" s="20" t="s">
        <v>7041</v>
      </c>
      <c r="D67" s="24">
        <v>45658.0</v>
      </c>
      <c r="E67" s="24">
        <v>46022.0</v>
      </c>
      <c r="F67" s="20">
        <v>1.0</v>
      </c>
      <c r="G67" s="20">
        <v>1.0</v>
      </c>
      <c r="H67" s="24">
        <v>46023.0</v>
      </c>
      <c r="I67" s="24">
        <v>46387.0</v>
      </c>
      <c r="J67" s="20">
        <v>0.0</v>
      </c>
      <c r="K67" s="20">
        <v>1.0</v>
      </c>
      <c r="L67" s="24">
        <v>46388.0</v>
      </c>
      <c r="M67" s="24">
        <v>46752.0</v>
      </c>
      <c r="N67" s="20">
        <v>0.0</v>
      </c>
      <c r="O67" s="20">
        <v>1.0</v>
      </c>
      <c r="P67" s="24">
        <v>46753.0</v>
      </c>
      <c r="Q67" s="24">
        <v>47118.0</v>
      </c>
      <c r="R67" s="20">
        <v>0.0</v>
      </c>
      <c r="S67" s="20">
        <v>1.0</v>
      </c>
      <c r="T67" s="24">
        <v>47119.0</v>
      </c>
      <c r="U67" s="24">
        <v>47483.0</v>
      </c>
      <c r="V67" s="20">
        <v>0.0</v>
      </c>
      <c r="W67" s="20">
        <v>1.0</v>
      </c>
      <c r="X67" s="24">
        <v>47484.0</v>
      </c>
      <c r="Y67" s="24">
        <v>47848.0</v>
      </c>
      <c r="Z67" s="20">
        <v>0.0</v>
      </c>
      <c r="AA67" s="20">
        <v>1.0</v>
      </c>
      <c r="AB67" s="24"/>
      <c r="AC67" s="24"/>
    </row>
    <row r="68" ht="14.25" customHeight="1">
      <c r="A68" s="46" t="s">
        <v>811</v>
      </c>
      <c r="B68" s="20" t="s">
        <v>812</v>
      </c>
      <c r="C68" s="20" t="s">
        <v>7041</v>
      </c>
      <c r="D68" s="24">
        <v>45658.0</v>
      </c>
      <c r="E68" s="24">
        <v>46022.0</v>
      </c>
      <c r="F68" s="20">
        <v>1.0</v>
      </c>
      <c r="G68" s="20">
        <v>1.0</v>
      </c>
      <c r="H68" s="24">
        <v>46023.0</v>
      </c>
      <c r="I68" s="24">
        <v>46387.0</v>
      </c>
      <c r="J68" s="20">
        <v>0.0</v>
      </c>
      <c r="K68" s="20">
        <v>1.0</v>
      </c>
      <c r="L68" s="24">
        <v>46388.0</v>
      </c>
      <c r="M68" s="24">
        <v>46752.0</v>
      </c>
      <c r="N68" s="20">
        <v>0.0</v>
      </c>
      <c r="O68" s="20">
        <v>1.0</v>
      </c>
      <c r="P68" s="24">
        <v>46753.0</v>
      </c>
      <c r="Q68" s="24">
        <v>47118.0</v>
      </c>
      <c r="R68" s="20">
        <v>0.0</v>
      </c>
      <c r="S68" s="20">
        <v>1.0</v>
      </c>
      <c r="T68" s="24">
        <v>47119.0</v>
      </c>
      <c r="U68" s="24">
        <v>47483.0</v>
      </c>
      <c r="V68" s="20">
        <v>0.0</v>
      </c>
      <c r="W68" s="20">
        <v>1.0</v>
      </c>
      <c r="X68" s="24">
        <v>47484.0</v>
      </c>
      <c r="Y68" s="24">
        <v>47848.0</v>
      </c>
      <c r="Z68" s="20">
        <v>0.0</v>
      </c>
      <c r="AA68" s="20">
        <v>1.0</v>
      </c>
      <c r="AB68" s="24"/>
      <c r="AC68" s="24"/>
    </row>
    <row r="69" ht="14.25" customHeight="1">
      <c r="A69" s="46" t="s">
        <v>262</v>
      </c>
      <c r="B69" s="20" t="s">
        <v>263</v>
      </c>
      <c r="C69" s="20" t="s">
        <v>7041</v>
      </c>
      <c r="D69" s="24">
        <v>45658.0</v>
      </c>
      <c r="E69" s="24">
        <v>46022.0</v>
      </c>
      <c r="F69" s="20">
        <v>1.0</v>
      </c>
      <c r="G69" s="20">
        <v>1.0</v>
      </c>
      <c r="H69" s="24">
        <v>46023.0</v>
      </c>
      <c r="I69" s="24">
        <v>46387.0</v>
      </c>
      <c r="J69" s="20">
        <v>0.0</v>
      </c>
      <c r="K69" s="20">
        <v>1.0</v>
      </c>
      <c r="L69" s="24">
        <v>46388.0</v>
      </c>
      <c r="M69" s="24">
        <v>46752.0</v>
      </c>
      <c r="N69" s="20">
        <v>0.0</v>
      </c>
      <c r="O69" s="20">
        <v>1.0</v>
      </c>
      <c r="P69" s="24">
        <v>46753.0</v>
      </c>
      <c r="Q69" s="24">
        <v>47118.0</v>
      </c>
      <c r="R69" s="20">
        <v>0.0</v>
      </c>
      <c r="S69" s="20">
        <v>1.0</v>
      </c>
      <c r="T69" s="24">
        <v>47119.0</v>
      </c>
      <c r="U69" s="24">
        <v>47483.0</v>
      </c>
      <c r="V69" s="20">
        <v>0.0</v>
      </c>
      <c r="W69" s="20">
        <v>1.0</v>
      </c>
      <c r="X69" s="24">
        <v>47484.0</v>
      </c>
      <c r="Y69" s="24">
        <v>47848.0</v>
      </c>
      <c r="Z69" s="20">
        <v>0.0</v>
      </c>
      <c r="AA69" s="20">
        <v>1.0</v>
      </c>
      <c r="AB69" s="24"/>
      <c r="AC69" s="24"/>
    </row>
    <row r="70" ht="14.25" customHeight="1">
      <c r="A70" s="46" t="s">
        <v>6303</v>
      </c>
      <c r="B70" s="20" t="s">
        <v>6304</v>
      </c>
      <c r="C70" s="20" t="s">
        <v>7041</v>
      </c>
      <c r="D70" s="24">
        <v>45658.0</v>
      </c>
      <c r="E70" s="24">
        <v>46022.0</v>
      </c>
      <c r="F70" s="20">
        <v>0.0</v>
      </c>
      <c r="G70" s="20">
        <v>1.0</v>
      </c>
      <c r="H70" s="24">
        <v>46023.0</v>
      </c>
      <c r="I70" s="24">
        <v>46387.0</v>
      </c>
      <c r="J70" s="20">
        <v>0.0</v>
      </c>
      <c r="K70" s="20">
        <v>1.0</v>
      </c>
      <c r="L70" s="24">
        <v>46388.0</v>
      </c>
      <c r="M70" s="24">
        <v>46752.0</v>
      </c>
      <c r="N70" s="20">
        <v>0.0</v>
      </c>
      <c r="O70" s="20">
        <v>1.0</v>
      </c>
      <c r="P70" s="24">
        <v>46753.0</v>
      </c>
      <c r="Q70" s="24">
        <v>47118.0</v>
      </c>
      <c r="R70" s="20">
        <v>0.0</v>
      </c>
      <c r="S70" s="20">
        <v>1.0</v>
      </c>
      <c r="T70" s="24">
        <v>47119.0</v>
      </c>
      <c r="U70" s="24">
        <v>47483.0</v>
      </c>
      <c r="V70" s="20">
        <v>0.0</v>
      </c>
      <c r="W70" s="20">
        <v>1.0</v>
      </c>
      <c r="X70" s="24">
        <v>47484.0</v>
      </c>
      <c r="Y70" s="24">
        <v>47848.0</v>
      </c>
      <c r="Z70" s="20">
        <v>0.0</v>
      </c>
      <c r="AA70" s="20">
        <v>1.0</v>
      </c>
      <c r="AB70" s="24"/>
      <c r="AC70" s="24"/>
    </row>
    <row r="71" ht="14.25" customHeight="1">
      <c r="A71" s="46" t="s">
        <v>1674</v>
      </c>
      <c r="B71" s="20" t="s">
        <v>1675</v>
      </c>
      <c r="C71" s="20" t="s">
        <v>7041</v>
      </c>
      <c r="D71" s="24">
        <v>45658.0</v>
      </c>
      <c r="E71" s="24">
        <v>46022.0</v>
      </c>
      <c r="F71" s="20">
        <v>1.0</v>
      </c>
      <c r="G71" s="20">
        <v>1.0</v>
      </c>
      <c r="H71" s="24">
        <v>46023.0</v>
      </c>
      <c r="I71" s="24">
        <v>46387.0</v>
      </c>
      <c r="J71" s="20">
        <v>0.0</v>
      </c>
      <c r="K71" s="20">
        <v>1.0</v>
      </c>
      <c r="L71" s="24">
        <v>46388.0</v>
      </c>
      <c r="M71" s="24">
        <v>46752.0</v>
      </c>
      <c r="N71" s="20">
        <v>0.0</v>
      </c>
      <c r="O71" s="20">
        <v>1.0</v>
      </c>
      <c r="P71" s="24">
        <v>46753.0</v>
      </c>
      <c r="Q71" s="24">
        <v>47118.0</v>
      </c>
      <c r="R71" s="20">
        <v>0.0</v>
      </c>
      <c r="S71" s="20">
        <v>1.0</v>
      </c>
      <c r="T71" s="24">
        <v>47119.0</v>
      </c>
      <c r="U71" s="24">
        <v>47483.0</v>
      </c>
      <c r="V71" s="20">
        <v>0.0</v>
      </c>
      <c r="W71" s="20">
        <v>1.0</v>
      </c>
      <c r="X71" s="24">
        <v>47484.0</v>
      </c>
      <c r="Y71" s="24">
        <v>47848.0</v>
      </c>
      <c r="Z71" s="20">
        <v>0.0</v>
      </c>
      <c r="AA71" s="20">
        <v>1.0</v>
      </c>
      <c r="AB71" s="24"/>
      <c r="AC71" s="24"/>
    </row>
    <row r="72" ht="14.25" customHeight="1">
      <c r="A72" s="46" t="s">
        <v>6482</v>
      </c>
      <c r="B72" s="20" t="s">
        <v>6483</v>
      </c>
      <c r="C72" s="20" t="s">
        <v>7041</v>
      </c>
      <c r="D72" s="24">
        <v>45658.0</v>
      </c>
      <c r="E72" s="24">
        <v>46022.0</v>
      </c>
      <c r="F72" s="20">
        <v>1.0</v>
      </c>
      <c r="G72" s="20">
        <v>1.0</v>
      </c>
      <c r="H72" s="24">
        <v>46023.0</v>
      </c>
      <c r="I72" s="24">
        <v>46387.0</v>
      </c>
      <c r="J72" s="20">
        <v>0.0</v>
      </c>
      <c r="K72" s="20">
        <v>1.0</v>
      </c>
      <c r="L72" s="24">
        <v>46388.0</v>
      </c>
      <c r="M72" s="24">
        <v>46752.0</v>
      </c>
      <c r="N72" s="20">
        <v>0.0</v>
      </c>
      <c r="O72" s="20">
        <v>1.0</v>
      </c>
      <c r="P72" s="24">
        <v>46753.0</v>
      </c>
      <c r="Q72" s="24">
        <v>47118.0</v>
      </c>
      <c r="R72" s="20">
        <v>0.0</v>
      </c>
      <c r="S72" s="20">
        <v>1.0</v>
      </c>
      <c r="T72" s="24">
        <v>47119.0</v>
      </c>
      <c r="U72" s="24">
        <v>47483.0</v>
      </c>
      <c r="V72" s="20">
        <v>0.0</v>
      </c>
      <c r="W72" s="20">
        <v>1.0</v>
      </c>
      <c r="X72" s="24">
        <v>47484.0</v>
      </c>
      <c r="Y72" s="24">
        <v>47848.0</v>
      </c>
      <c r="Z72" s="20">
        <v>0.0</v>
      </c>
      <c r="AA72" s="20">
        <v>1.0</v>
      </c>
      <c r="AB72" s="24"/>
      <c r="AC72" s="24"/>
    </row>
    <row r="73" ht="14.25" customHeight="1">
      <c r="A73" s="46" t="s">
        <v>6217</v>
      </c>
      <c r="B73" s="20" t="s">
        <v>6218</v>
      </c>
      <c r="C73" s="20" t="s">
        <v>7041</v>
      </c>
      <c r="D73" s="24">
        <v>45658.0</v>
      </c>
      <c r="E73" s="24">
        <v>46022.0</v>
      </c>
      <c r="F73" s="20">
        <v>0.0</v>
      </c>
      <c r="G73" s="20">
        <v>1.0</v>
      </c>
      <c r="H73" s="24">
        <v>46023.0</v>
      </c>
      <c r="I73" s="24">
        <v>46387.0</v>
      </c>
      <c r="J73" s="20">
        <v>0.0</v>
      </c>
      <c r="K73" s="20">
        <v>1.0</v>
      </c>
      <c r="L73" s="24">
        <v>46388.0</v>
      </c>
      <c r="M73" s="24">
        <v>46752.0</v>
      </c>
      <c r="N73" s="20">
        <v>0.0</v>
      </c>
      <c r="O73" s="20">
        <v>1.0</v>
      </c>
      <c r="P73" s="24">
        <v>46753.0</v>
      </c>
      <c r="Q73" s="24">
        <v>47118.0</v>
      </c>
      <c r="R73" s="20">
        <v>0.0</v>
      </c>
      <c r="S73" s="20">
        <v>1.0</v>
      </c>
      <c r="T73" s="24">
        <v>47119.0</v>
      </c>
      <c r="U73" s="24">
        <v>47483.0</v>
      </c>
      <c r="V73" s="20">
        <v>0.0</v>
      </c>
      <c r="W73" s="20">
        <v>1.0</v>
      </c>
      <c r="X73" s="24">
        <v>47484.0</v>
      </c>
      <c r="Y73" s="24">
        <v>47848.0</v>
      </c>
      <c r="Z73" s="20">
        <v>0.0</v>
      </c>
      <c r="AA73" s="20">
        <v>1.0</v>
      </c>
      <c r="AB73" s="24"/>
      <c r="AC73" s="24"/>
    </row>
    <row r="74" ht="14.25" customHeight="1">
      <c r="A74" s="46" t="s">
        <v>6731</v>
      </c>
      <c r="B74" s="20" t="s">
        <v>6732</v>
      </c>
      <c r="C74" s="20" t="s">
        <v>7041</v>
      </c>
      <c r="D74" s="24">
        <v>45658.0</v>
      </c>
      <c r="E74" s="24">
        <v>46022.0</v>
      </c>
      <c r="F74" s="20">
        <v>1.0</v>
      </c>
      <c r="G74" s="20">
        <v>1.0</v>
      </c>
      <c r="H74" s="24">
        <v>46023.0</v>
      </c>
      <c r="I74" s="24">
        <v>46387.0</v>
      </c>
      <c r="J74" s="20">
        <v>0.0</v>
      </c>
      <c r="K74" s="20">
        <v>1.0</v>
      </c>
      <c r="L74" s="24">
        <v>46388.0</v>
      </c>
      <c r="M74" s="24">
        <v>46752.0</v>
      </c>
      <c r="N74" s="20">
        <v>0.0</v>
      </c>
      <c r="O74" s="20">
        <v>1.0</v>
      </c>
      <c r="P74" s="24">
        <v>46753.0</v>
      </c>
      <c r="Q74" s="24">
        <v>47118.0</v>
      </c>
      <c r="R74" s="20">
        <v>0.0</v>
      </c>
      <c r="S74" s="20">
        <v>1.0</v>
      </c>
      <c r="T74" s="24">
        <v>47119.0</v>
      </c>
      <c r="U74" s="24">
        <v>47483.0</v>
      </c>
      <c r="V74" s="20">
        <v>0.0</v>
      </c>
      <c r="W74" s="20">
        <v>1.0</v>
      </c>
      <c r="X74" s="24">
        <v>47484.0</v>
      </c>
      <c r="Y74" s="24">
        <v>47848.0</v>
      </c>
      <c r="Z74" s="20">
        <v>0.0</v>
      </c>
      <c r="AA74" s="20">
        <v>1.0</v>
      </c>
      <c r="AB74" s="24"/>
      <c r="AC74" s="24"/>
    </row>
    <row r="75" ht="14.25" customHeight="1">
      <c r="A75" s="46" t="s">
        <v>6141</v>
      </c>
      <c r="B75" s="20" t="s">
        <v>6142</v>
      </c>
      <c r="C75" s="20" t="s">
        <v>7041</v>
      </c>
      <c r="D75" s="24">
        <v>45658.0</v>
      </c>
      <c r="E75" s="24">
        <v>46022.0</v>
      </c>
      <c r="F75" s="20">
        <v>1.0</v>
      </c>
      <c r="G75" s="20">
        <v>1.0</v>
      </c>
      <c r="H75" s="24">
        <v>46023.0</v>
      </c>
      <c r="I75" s="24">
        <v>46387.0</v>
      </c>
      <c r="J75" s="20">
        <v>0.0</v>
      </c>
      <c r="K75" s="20">
        <v>1.0</v>
      </c>
      <c r="L75" s="24">
        <v>46388.0</v>
      </c>
      <c r="M75" s="24">
        <v>46752.0</v>
      </c>
      <c r="N75" s="20">
        <v>0.0</v>
      </c>
      <c r="O75" s="20">
        <v>1.0</v>
      </c>
      <c r="P75" s="24">
        <v>46753.0</v>
      </c>
      <c r="Q75" s="24">
        <v>47118.0</v>
      </c>
      <c r="R75" s="20">
        <v>0.0</v>
      </c>
      <c r="S75" s="20">
        <v>1.0</v>
      </c>
      <c r="T75" s="24">
        <v>47119.0</v>
      </c>
      <c r="U75" s="24">
        <v>47483.0</v>
      </c>
      <c r="V75" s="20">
        <v>0.0</v>
      </c>
      <c r="W75" s="20">
        <v>1.0</v>
      </c>
      <c r="X75" s="24">
        <v>47484.0</v>
      </c>
      <c r="Y75" s="24">
        <v>47848.0</v>
      </c>
      <c r="Z75" s="20">
        <v>0.0</v>
      </c>
      <c r="AA75" s="20">
        <v>1.0</v>
      </c>
      <c r="AB75" s="24"/>
      <c r="AC75" s="24"/>
    </row>
    <row r="76" ht="14.25" customHeight="1">
      <c r="A76" s="46" t="s">
        <v>4711</v>
      </c>
      <c r="B76" s="20" t="s">
        <v>4712</v>
      </c>
      <c r="C76" s="20" t="s">
        <v>7041</v>
      </c>
      <c r="D76" s="24">
        <v>45658.0</v>
      </c>
      <c r="E76" s="24">
        <v>46022.0</v>
      </c>
      <c r="F76" s="20">
        <v>0.0</v>
      </c>
      <c r="G76" s="20">
        <v>1.0</v>
      </c>
      <c r="H76" s="24">
        <v>46023.0</v>
      </c>
      <c r="I76" s="24">
        <v>46387.0</v>
      </c>
      <c r="J76" s="20">
        <v>0.0</v>
      </c>
      <c r="K76" s="20">
        <v>1.0</v>
      </c>
      <c r="L76" s="24">
        <v>46388.0</v>
      </c>
      <c r="M76" s="24">
        <v>46752.0</v>
      </c>
      <c r="N76" s="20">
        <v>0.0</v>
      </c>
      <c r="O76" s="20">
        <v>1.0</v>
      </c>
      <c r="P76" s="24">
        <v>46753.0</v>
      </c>
      <c r="Q76" s="24">
        <v>47118.0</v>
      </c>
      <c r="R76" s="20">
        <v>0.0</v>
      </c>
      <c r="S76" s="20">
        <v>1.0</v>
      </c>
      <c r="T76" s="24">
        <v>47119.0</v>
      </c>
      <c r="U76" s="24">
        <v>47483.0</v>
      </c>
      <c r="V76" s="20">
        <v>0.0</v>
      </c>
      <c r="W76" s="20">
        <v>1.0</v>
      </c>
      <c r="X76" s="24">
        <v>47484.0</v>
      </c>
      <c r="Y76" s="24">
        <v>47848.0</v>
      </c>
      <c r="Z76" s="20">
        <v>0.0</v>
      </c>
      <c r="AA76" s="20">
        <v>1.0</v>
      </c>
      <c r="AB76" s="24"/>
      <c r="AC76" s="24"/>
    </row>
    <row r="77" ht="14.25" customHeight="1">
      <c r="A77" s="46" t="s">
        <v>5367</v>
      </c>
      <c r="B77" s="20" t="s">
        <v>5368</v>
      </c>
      <c r="C77" s="20" t="s">
        <v>7041</v>
      </c>
      <c r="D77" s="24">
        <v>45658.0</v>
      </c>
      <c r="E77" s="24">
        <v>46022.0</v>
      </c>
      <c r="F77" s="20">
        <v>1.0</v>
      </c>
      <c r="G77" s="20">
        <v>1.0</v>
      </c>
      <c r="H77" s="24">
        <v>46023.0</v>
      </c>
      <c r="I77" s="24">
        <v>46387.0</v>
      </c>
      <c r="J77" s="20">
        <v>0.0</v>
      </c>
      <c r="K77" s="20">
        <v>1.0</v>
      </c>
      <c r="L77" s="24">
        <v>46388.0</v>
      </c>
      <c r="M77" s="24">
        <v>46752.0</v>
      </c>
      <c r="N77" s="20">
        <v>0.0</v>
      </c>
      <c r="O77" s="20">
        <v>1.0</v>
      </c>
      <c r="P77" s="24">
        <v>46753.0</v>
      </c>
      <c r="Q77" s="24">
        <v>47118.0</v>
      </c>
      <c r="R77" s="20">
        <v>0.0</v>
      </c>
      <c r="S77" s="20">
        <v>1.0</v>
      </c>
      <c r="T77" s="24">
        <v>47119.0</v>
      </c>
      <c r="U77" s="24">
        <v>47483.0</v>
      </c>
      <c r="V77" s="20">
        <v>0.0</v>
      </c>
      <c r="W77" s="20">
        <v>1.0</v>
      </c>
      <c r="X77" s="24">
        <v>47484.0</v>
      </c>
      <c r="Y77" s="24">
        <v>47848.0</v>
      </c>
      <c r="Z77" s="20">
        <v>0.0</v>
      </c>
      <c r="AA77" s="20">
        <v>1.0</v>
      </c>
      <c r="AB77" s="24"/>
      <c r="AC77" s="24"/>
    </row>
    <row r="78" ht="14.25" customHeight="1">
      <c r="A78" s="46" t="s">
        <v>5281</v>
      </c>
      <c r="B78" s="20" t="s">
        <v>5282</v>
      </c>
      <c r="C78" s="20" t="s">
        <v>7041</v>
      </c>
      <c r="D78" s="24">
        <v>45658.0</v>
      </c>
      <c r="E78" s="24">
        <v>46022.0</v>
      </c>
      <c r="F78" s="20">
        <v>0.0</v>
      </c>
      <c r="G78" s="20">
        <v>1.0</v>
      </c>
      <c r="H78" s="24">
        <v>46023.0</v>
      </c>
      <c r="I78" s="24">
        <v>46387.0</v>
      </c>
      <c r="J78" s="20">
        <v>0.0</v>
      </c>
      <c r="K78" s="20">
        <v>1.0</v>
      </c>
      <c r="L78" s="24">
        <v>46388.0</v>
      </c>
      <c r="M78" s="24">
        <v>46752.0</v>
      </c>
      <c r="N78" s="20">
        <v>0.0</v>
      </c>
      <c r="O78" s="20">
        <v>1.0</v>
      </c>
      <c r="P78" s="24">
        <v>46753.0</v>
      </c>
      <c r="Q78" s="24">
        <v>47118.0</v>
      </c>
      <c r="R78" s="20">
        <v>0.0</v>
      </c>
      <c r="S78" s="20">
        <v>1.0</v>
      </c>
      <c r="T78" s="24">
        <v>47119.0</v>
      </c>
      <c r="U78" s="24">
        <v>47483.0</v>
      </c>
      <c r="V78" s="20">
        <v>0.0</v>
      </c>
      <c r="W78" s="20">
        <v>1.0</v>
      </c>
      <c r="X78" s="24">
        <v>47484.0</v>
      </c>
      <c r="Y78" s="24">
        <v>47848.0</v>
      </c>
      <c r="Z78" s="20">
        <v>0.0</v>
      </c>
      <c r="AA78" s="20">
        <v>1.0</v>
      </c>
      <c r="AB78" s="24"/>
      <c r="AC78" s="24"/>
    </row>
    <row r="79" ht="14.25" customHeight="1">
      <c r="A79" s="46" t="s">
        <v>898</v>
      </c>
      <c r="B79" s="20" t="s">
        <v>899</v>
      </c>
      <c r="C79" s="20" t="s">
        <v>7041</v>
      </c>
      <c r="D79" s="24">
        <v>45658.0</v>
      </c>
      <c r="E79" s="24">
        <v>46022.0</v>
      </c>
      <c r="F79" s="20">
        <v>0.0</v>
      </c>
      <c r="G79" s="20">
        <v>1.0</v>
      </c>
      <c r="H79" s="24">
        <v>46023.0</v>
      </c>
      <c r="I79" s="24">
        <v>46387.0</v>
      </c>
      <c r="J79" s="20">
        <v>0.0</v>
      </c>
      <c r="K79" s="20">
        <v>1.0</v>
      </c>
      <c r="L79" s="24">
        <v>46388.0</v>
      </c>
      <c r="M79" s="24">
        <v>46752.0</v>
      </c>
      <c r="N79" s="20">
        <v>0.0</v>
      </c>
      <c r="O79" s="20">
        <v>1.0</v>
      </c>
      <c r="P79" s="24">
        <v>46753.0</v>
      </c>
      <c r="Q79" s="24">
        <v>47118.0</v>
      </c>
      <c r="R79" s="20">
        <v>0.0</v>
      </c>
      <c r="S79" s="20">
        <v>1.0</v>
      </c>
      <c r="T79" s="24">
        <v>47119.0</v>
      </c>
      <c r="U79" s="24">
        <v>47483.0</v>
      </c>
      <c r="V79" s="20">
        <v>0.0</v>
      </c>
      <c r="W79" s="20">
        <v>1.0</v>
      </c>
      <c r="X79" s="24">
        <v>47484.0</v>
      </c>
      <c r="Y79" s="24">
        <v>47848.0</v>
      </c>
      <c r="Z79" s="20">
        <v>0.0</v>
      </c>
      <c r="AA79" s="20">
        <v>1.0</v>
      </c>
      <c r="AB79" s="24"/>
      <c r="AC79" s="24"/>
    </row>
    <row r="80" ht="14.25" customHeight="1">
      <c r="A80" s="46" t="s">
        <v>1840</v>
      </c>
      <c r="B80" s="26" t="s">
        <v>1841</v>
      </c>
      <c r="C80" s="20" t="s">
        <v>7041</v>
      </c>
      <c r="D80" s="24">
        <v>45658.0</v>
      </c>
      <c r="E80" s="24">
        <v>46022.0</v>
      </c>
      <c r="F80" s="20">
        <v>1.0</v>
      </c>
      <c r="G80" s="20">
        <v>1.0</v>
      </c>
      <c r="H80" s="24">
        <v>46023.0</v>
      </c>
      <c r="I80" s="24">
        <v>46387.0</v>
      </c>
      <c r="J80" s="20">
        <v>0.0</v>
      </c>
      <c r="K80" s="20">
        <v>1.0</v>
      </c>
      <c r="L80" s="24">
        <v>46388.0</v>
      </c>
      <c r="M80" s="24">
        <v>46752.0</v>
      </c>
      <c r="N80" s="20">
        <v>0.0</v>
      </c>
      <c r="O80" s="20">
        <v>1.0</v>
      </c>
      <c r="P80" s="24">
        <v>46753.0</v>
      </c>
      <c r="Q80" s="24">
        <v>47118.0</v>
      </c>
      <c r="R80" s="20">
        <v>0.0</v>
      </c>
      <c r="S80" s="20">
        <v>1.0</v>
      </c>
      <c r="T80" s="24">
        <v>47119.0</v>
      </c>
      <c r="U80" s="24">
        <v>47483.0</v>
      </c>
      <c r="V80" s="20">
        <v>0.0</v>
      </c>
      <c r="W80" s="20">
        <v>1.0</v>
      </c>
      <c r="X80" s="24">
        <v>47484.0</v>
      </c>
      <c r="Y80" s="24">
        <v>47848.0</v>
      </c>
      <c r="Z80" s="20">
        <v>0.0</v>
      </c>
      <c r="AA80" s="20">
        <v>1.0</v>
      </c>
      <c r="AB80" s="24"/>
      <c r="AC80" s="24"/>
    </row>
    <row r="81" ht="14.25" customHeight="1">
      <c r="A81" s="46" t="s">
        <v>5008</v>
      </c>
      <c r="B81" s="20" t="s">
        <v>5009</v>
      </c>
      <c r="C81" s="20" t="s">
        <v>7041</v>
      </c>
      <c r="D81" s="24">
        <v>45658.0</v>
      </c>
      <c r="E81" s="24">
        <v>46022.0</v>
      </c>
      <c r="F81" s="20">
        <v>1.0</v>
      </c>
      <c r="G81" s="20">
        <v>1.0</v>
      </c>
      <c r="H81" s="24">
        <v>46023.0</v>
      </c>
      <c r="I81" s="24">
        <v>46387.0</v>
      </c>
      <c r="J81" s="20">
        <v>0.0</v>
      </c>
      <c r="K81" s="20">
        <v>1.0</v>
      </c>
      <c r="L81" s="24">
        <v>46388.0</v>
      </c>
      <c r="M81" s="24">
        <v>46752.0</v>
      </c>
      <c r="N81" s="20">
        <v>0.0</v>
      </c>
      <c r="O81" s="20">
        <v>1.0</v>
      </c>
      <c r="P81" s="24">
        <v>46753.0</v>
      </c>
      <c r="Q81" s="24">
        <v>47118.0</v>
      </c>
      <c r="R81" s="20">
        <v>0.0</v>
      </c>
      <c r="S81" s="20">
        <v>1.0</v>
      </c>
      <c r="T81" s="24">
        <v>47119.0</v>
      </c>
      <c r="U81" s="24">
        <v>47483.0</v>
      </c>
      <c r="V81" s="20">
        <v>0.0</v>
      </c>
      <c r="W81" s="20">
        <v>1.0</v>
      </c>
      <c r="X81" s="24">
        <v>47484.0</v>
      </c>
      <c r="Y81" s="24">
        <v>47848.0</v>
      </c>
      <c r="Z81" s="20">
        <v>0.0</v>
      </c>
      <c r="AA81" s="20">
        <v>1.0</v>
      </c>
      <c r="AB81" s="24"/>
      <c r="AC81" s="24"/>
    </row>
    <row r="82" ht="14.25" customHeight="1">
      <c r="A82" s="46" t="s">
        <v>3336</v>
      </c>
      <c r="B82" s="20" t="s">
        <v>3337</v>
      </c>
      <c r="C82" s="20" t="s">
        <v>7041</v>
      </c>
      <c r="D82" s="24">
        <v>45658.0</v>
      </c>
      <c r="E82" s="24">
        <v>46022.0</v>
      </c>
      <c r="F82" s="20">
        <v>1.0</v>
      </c>
      <c r="G82" s="20">
        <v>1.0</v>
      </c>
      <c r="H82" s="24">
        <v>46023.0</v>
      </c>
      <c r="I82" s="24">
        <v>46387.0</v>
      </c>
      <c r="J82" s="20">
        <v>0.0</v>
      </c>
      <c r="K82" s="20">
        <v>1.0</v>
      </c>
      <c r="L82" s="24">
        <v>46388.0</v>
      </c>
      <c r="M82" s="24">
        <v>46752.0</v>
      </c>
      <c r="N82" s="20">
        <v>0.0</v>
      </c>
      <c r="O82" s="20">
        <v>1.0</v>
      </c>
      <c r="P82" s="24">
        <v>46753.0</v>
      </c>
      <c r="Q82" s="24">
        <v>47118.0</v>
      </c>
      <c r="R82" s="20">
        <v>0.0</v>
      </c>
      <c r="S82" s="20">
        <v>1.0</v>
      </c>
      <c r="T82" s="24">
        <v>47119.0</v>
      </c>
      <c r="U82" s="24">
        <v>47483.0</v>
      </c>
      <c r="V82" s="20">
        <v>0.0</v>
      </c>
      <c r="W82" s="20">
        <v>1.0</v>
      </c>
      <c r="X82" s="24">
        <v>47484.0</v>
      </c>
      <c r="Y82" s="24">
        <v>47848.0</v>
      </c>
      <c r="Z82" s="20">
        <v>0.0</v>
      </c>
      <c r="AA82" s="20">
        <v>1.0</v>
      </c>
      <c r="AB82" s="24"/>
      <c r="AC82" s="24"/>
    </row>
    <row r="83" ht="14.25" customHeight="1">
      <c r="A83" s="46" t="s">
        <v>4961</v>
      </c>
      <c r="B83" s="20" t="s">
        <v>4962</v>
      </c>
      <c r="C83" s="20" t="s">
        <v>7041</v>
      </c>
      <c r="D83" s="24">
        <v>45658.0</v>
      </c>
      <c r="E83" s="24">
        <v>46022.0</v>
      </c>
      <c r="F83" s="20">
        <v>0.0</v>
      </c>
      <c r="G83" s="20">
        <v>1.0</v>
      </c>
      <c r="H83" s="24">
        <v>46023.0</v>
      </c>
      <c r="I83" s="24">
        <v>46387.0</v>
      </c>
      <c r="J83" s="20">
        <v>0.0</v>
      </c>
      <c r="K83" s="20">
        <v>1.0</v>
      </c>
      <c r="L83" s="24">
        <v>46388.0</v>
      </c>
      <c r="M83" s="24">
        <v>46752.0</v>
      </c>
      <c r="N83" s="20">
        <v>0.0</v>
      </c>
      <c r="O83" s="20">
        <v>1.0</v>
      </c>
      <c r="P83" s="24">
        <v>46753.0</v>
      </c>
      <c r="Q83" s="24">
        <v>47118.0</v>
      </c>
      <c r="R83" s="20">
        <v>0.0</v>
      </c>
      <c r="S83" s="20">
        <v>1.0</v>
      </c>
      <c r="T83" s="24">
        <v>47119.0</v>
      </c>
      <c r="U83" s="24">
        <v>47483.0</v>
      </c>
      <c r="V83" s="20">
        <v>0.0</v>
      </c>
      <c r="W83" s="20">
        <v>1.0</v>
      </c>
      <c r="X83" s="24">
        <v>47484.0</v>
      </c>
      <c r="Y83" s="24">
        <v>47848.0</v>
      </c>
      <c r="Z83" s="20">
        <v>0.0</v>
      </c>
      <c r="AA83" s="20">
        <v>1.0</v>
      </c>
      <c r="AB83" s="24"/>
      <c r="AC83" s="24"/>
    </row>
    <row r="84" ht="14.25" customHeight="1">
      <c r="A84" s="46" t="s">
        <v>3173</v>
      </c>
      <c r="B84" s="20" t="s">
        <v>3174</v>
      </c>
      <c r="C84" s="20" t="s">
        <v>7041</v>
      </c>
      <c r="D84" s="24">
        <v>45658.0</v>
      </c>
      <c r="E84" s="24">
        <v>46022.0</v>
      </c>
      <c r="F84" s="20">
        <v>1.0</v>
      </c>
      <c r="G84" s="20">
        <v>1.0</v>
      </c>
      <c r="H84" s="24">
        <v>46023.0</v>
      </c>
      <c r="I84" s="24">
        <v>46387.0</v>
      </c>
      <c r="J84" s="20">
        <v>0.0</v>
      </c>
      <c r="K84" s="20">
        <v>1.0</v>
      </c>
      <c r="L84" s="24">
        <v>46388.0</v>
      </c>
      <c r="M84" s="24">
        <v>46752.0</v>
      </c>
      <c r="N84" s="20">
        <v>0.0</v>
      </c>
      <c r="O84" s="20">
        <v>1.0</v>
      </c>
      <c r="P84" s="24">
        <v>46753.0</v>
      </c>
      <c r="Q84" s="24">
        <v>47118.0</v>
      </c>
      <c r="R84" s="20">
        <v>0.0</v>
      </c>
      <c r="S84" s="20">
        <v>1.0</v>
      </c>
      <c r="T84" s="24">
        <v>47119.0</v>
      </c>
      <c r="U84" s="24">
        <v>47483.0</v>
      </c>
      <c r="V84" s="20">
        <v>0.0</v>
      </c>
      <c r="W84" s="20">
        <v>1.0</v>
      </c>
      <c r="X84" s="24">
        <v>47484.0</v>
      </c>
      <c r="Y84" s="24">
        <v>47848.0</v>
      </c>
      <c r="Z84" s="20">
        <v>0.0</v>
      </c>
      <c r="AA84" s="20">
        <v>1.0</v>
      </c>
      <c r="AB84" s="24"/>
      <c r="AC84" s="24"/>
    </row>
    <row r="85" ht="14.25" customHeight="1">
      <c r="A85" s="46" t="s">
        <v>2741</v>
      </c>
      <c r="B85" s="20" t="s">
        <v>2742</v>
      </c>
      <c r="C85" s="20" t="s">
        <v>7041</v>
      </c>
      <c r="D85" s="24">
        <v>45658.0</v>
      </c>
      <c r="E85" s="24">
        <v>46022.0</v>
      </c>
      <c r="F85" s="20">
        <v>1.0</v>
      </c>
      <c r="G85" s="20">
        <v>1.0</v>
      </c>
      <c r="H85" s="24">
        <v>46023.0</v>
      </c>
      <c r="I85" s="24">
        <v>46387.0</v>
      </c>
      <c r="J85" s="20">
        <v>0.0</v>
      </c>
      <c r="K85" s="20">
        <v>1.0</v>
      </c>
      <c r="L85" s="24">
        <v>46388.0</v>
      </c>
      <c r="M85" s="24">
        <v>46752.0</v>
      </c>
      <c r="N85" s="20">
        <v>0.0</v>
      </c>
      <c r="O85" s="20">
        <v>1.0</v>
      </c>
      <c r="P85" s="24">
        <v>46753.0</v>
      </c>
      <c r="Q85" s="24">
        <v>47118.0</v>
      </c>
      <c r="R85" s="20">
        <v>0.0</v>
      </c>
      <c r="S85" s="20">
        <v>1.0</v>
      </c>
      <c r="T85" s="24">
        <v>47119.0</v>
      </c>
      <c r="U85" s="24">
        <v>47483.0</v>
      </c>
      <c r="V85" s="20">
        <v>0.0</v>
      </c>
      <c r="W85" s="20">
        <v>1.0</v>
      </c>
      <c r="X85" s="24">
        <v>47484.0</v>
      </c>
      <c r="Y85" s="24">
        <v>47848.0</v>
      </c>
      <c r="Z85" s="20">
        <v>0.0</v>
      </c>
      <c r="AA85" s="20">
        <v>1.0</v>
      </c>
      <c r="AB85" s="24"/>
      <c r="AC85" s="24"/>
    </row>
    <row r="86" ht="14.25" customHeight="1">
      <c r="A86" s="46" t="s">
        <v>6026</v>
      </c>
      <c r="B86" s="20" t="s">
        <v>6027</v>
      </c>
      <c r="C86" s="20" t="s">
        <v>7041</v>
      </c>
      <c r="D86" s="24">
        <v>45658.0</v>
      </c>
      <c r="E86" s="24">
        <v>46022.0</v>
      </c>
      <c r="F86" s="20">
        <v>0.0</v>
      </c>
      <c r="G86" s="20">
        <v>1.0</v>
      </c>
      <c r="H86" s="24">
        <v>46023.0</v>
      </c>
      <c r="I86" s="24">
        <v>46387.0</v>
      </c>
      <c r="J86" s="20">
        <v>0.0</v>
      </c>
      <c r="K86" s="20">
        <v>1.0</v>
      </c>
      <c r="L86" s="24">
        <v>46388.0</v>
      </c>
      <c r="M86" s="24">
        <v>46752.0</v>
      </c>
      <c r="N86" s="20">
        <v>0.0</v>
      </c>
      <c r="O86" s="20">
        <v>1.0</v>
      </c>
      <c r="P86" s="24">
        <v>46753.0</v>
      </c>
      <c r="Q86" s="24">
        <v>47118.0</v>
      </c>
      <c r="R86" s="20">
        <v>0.0</v>
      </c>
      <c r="S86" s="20">
        <v>1.0</v>
      </c>
      <c r="T86" s="24">
        <v>47119.0</v>
      </c>
      <c r="U86" s="24">
        <v>47483.0</v>
      </c>
      <c r="V86" s="20">
        <v>0.0</v>
      </c>
      <c r="W86" s="20">
        <v>1.0</v>
      </c>
      <c r="X86" s="24">
        <v>47484.0</v>
      </c>
      <c r="Y86" s="24">
        <v>47848.0</v>
      </c>
      <c r="Z86" s="20">
        <v>0.0</v>
      </c>
      <c r="AA86" s="20">
        <v>1.0</v>
      </c>
      <c r="AB86" s="24"/>
      <c r="AC86" s="24"/>
    </row>
    <row r="87" ht="14.25" customHeight="1">
      <c r="A87" s="46" t="s">
        <v>3893</v>
      </c>
      <c r="B87" s="20" t="s">
        <v>3894</v>
      </c>
      <c r="C87" s="20" t="s">
        <v>7041</v>
      </c>
      <c r="D87" s="24">
        <v>45658.0</v>
      </c>
      <c r="E87" s="24">
        <v>46022.0</v>
      </c>
      <c r="F87" s="20">
        <v>1.0</v>
      </c>
      <c r="G87" s="20">
        <v>1.0</v>
      </c>
      <c r="H87" s="24">
        <v>46023.0</v>
      </c>
      <c r="I87" s="24">
        <v>46387.0</v>
      </c>
      <c r="J87" s="20">
        <v>0.0</v>
      </c>
      <c r="K87" s="20">
        <v>1.0</v>
      </c>
      <c r="L87" s="24">
        <v>46388.0</v>
      </c>
      <c r="M87" s="24">
        <v>46752.0</v>
      </c>
      <c r="N87" s="20">
        <v>0.0</v>
      </c>
      <c r="O87" s="20">
        <v>1.0</v>
      </c>
      <c r="P87" s="24">
        <v>46753.0</v>
      </c>
      <c r="Q87" s="24">
        <v>47118.0</v>
      </c>
      <c r="R87" s="20">
        <v>0.0</v>
      </c>
      <c r="S87" s="20">
        <v>1.0</v>
      </c>
      <c r="T87" s="24">
        <v>47119.0</v>
      </c>
      <c r="U87" s="24">
        <v>47483.0</v>
      </c>
      <c r="V87" s="20">
        <v>0.0</v>
      </c>
      <c r="W87" s="20">
        <v>1.0</v>
      </c>
      <c r="X87" s="24">
        <v>47484.0</v>
      </c>
      <c r="Y87" s="24">
        <v>47848.0</v>
      </c>
      <c r="Z87" s="20">
        <v>0.0</v>
      </c>
      <c r="AA87" s="20">
        <v>1.0</v>
      </c>
      <c r="AB87" s="24"/>
      <c r="AC87" s="24"/>
    </row>
    <row r="88" ht="14.25" customHeight="1">
      <c r="A88" s="46" t="s">
        <v>1366</v>
      </c>
      <c r="B88" s="20" t="s">
        <v>1367</v>
      </c>
      <c r="C88" s="20" t="s">
        <v>7041</v>
      </c>
      <c r="D88" s="24">
        <v>45658.0</v>
      </c>
      <c r="E88" s="24">
        <v>46022.0</v>
      </c>
      <c r="F88" s="20">
        <v>1.0</v>
      </c>
      <c r="G88" s="20">
        <v>1.0</v>
      </c>
      <c r="H88" s="24">
        <v>46023.0</v>
      </c>
      <c r="I88" s="24">
        <v>46387.0</v>
      </c>
      <c r="J88" s="20">
        <v>0.0</v>
      </c>
      <c r="K88" s="20">
        <v>1.0</v>
      </c>
      <c r="L88" s="24">
        <v>46388.0</v>
      </c>
      <c r="M88" s="24">
        <v>46752.0</v>
      </c>
      <c r="N88" s="20">
        <v>0.0</v>
      </c>
      <c r="O88" s="20">
        <v>1.0</v>
      </c>
      <c r="P88" s="24">
        <v>46753.0</v>
      </c>
      <c r="Q88" s="24">
        <v>47118.0</v>
      </c>
      <c r="R88" s="20">
        <v>0.0</v>
      </c>
      <c r="S88" s="20">
        <v>1.0</v>
      </c>
      <c r="T88" s="24">
        <v>47119.0</v>
      </c>
      <c r="U88" s="24">
        <v>47483.0</v>
      </c>
      <c r="V88" s="20">
        <v>0.0</v>
      </c>
      <c r="W88" s="20">
        <v>1.0</v>
      </c>
      <c r="X88" s="24">
        <v>47484.0</v>
      </c>
      <c r="Y88" s="24">
        <v>47848.0</v>
      </c>
      <c r="Z88" s="20">
        <v>0.0</v>
      </c>
      <c r="AA88" s="20">
        <v>1.0</v>
      </c>
      <c r="AB88" s="24"/>
      <c r="AC88" s="24"/>
    </row>
    <row r="89" ht="14.25" customHeight="1">
      <c r="A89" s="46" t="s">
        <v>6495</v>
      </c>
      <c r="B89" s="20" t="s">
        <v>6496</v>
      </c>
      <c r="C89" s="20" t="s">
        <v>7041</v>
      </c>
      <c r="D89" s="24">
        <v>45658.0</v>
      </c>
      <c r="E89" s="24">
        <v>46022.0</v>
      </c>
      <c r="F89" s="20">
        <v>0.0</v>
      </c>
      <c r="G89" s="20">
        <v>1.0</v>
      </c>
      <c r="H89" s="24">
        <v>46023.0</v>
      </c>
      <c r="I89" s="24">
        <v>46387.0</v>
      </c>
      <c r="J89" s="20">
        <v>0.0</v>
      </c>
      <c r="K89" s="20">
        <v>1.0</v>
      </c>
      <c r="L89" s="24">
        <v>46388.0</v>
      </c>
      <c r="M89" s="24">
        <v>46752.0</v>
      </c>
      <c r="N89" s="20">
        <v>0.0</v>
      </c>
      <c r="O89" s="20">
        <v>1.0</v>
      </c>
      <c r="P89" s="24">
        <v>46753.0</v>
      </c>
      <c r="Q89" s="24">
        <v>47118.0</v>
      </c>
      <c r="R89" s="20">
        <v>0.0</v>
      </c>
      <c r="S89" s="20">
        <v>1.0</v>
      </c>
      <c r="T89" s="24">
        <v>47119.0</v>
      </c>
      <c r="U89" s="24">
        <v>47483.0</v>
      </c>
      <c r="V89" s="20">
        <v>0.0</v>
      </c>
      <c r="W89" s="20">
        <v>1.0</v>
      </c>
      <c r="X89" s="24">
        <v>47484.0</v>
      </c>
      <c r="Y89" s="24">
        <v>47848.0</v>
      </c>
      <c r="Z89" s="20">
        <v>0.0</v>
      </c>
      <c r="AA89" s="20">
        <v>1.0</v>
      </c>
      <c r="AB89" s="24"/>
      <c r="AC89" s="24"/>
    </row>
    <row r="90" ht="14.25" customHeight="1">
      <c r="A90" s="46" t="s">
        <v>1873</v>
      </c>
      <c r="B90" s="20" t="s">
        <v>1874</v>
      </c>
      <c r="C90" s="20" t="s">
        <v>7041</v>
      </c>
      <c r="D90" s="24">
        <v>45658.0</v>
      </c>
      <c r="E90" s="24">
        <v>46022.0</v>
      </c>
      <c r="F90" s="20">
        <v>1.0</v>
      </c>
      <c r="G90" s="20">
        <v>1.0</v>
      </c>
      <c r="H90" s="24">
        <v>46023.0</v>
      </c>
      <c r="I90" s="24">
        <v>46387.0</v>
      </c>
      <c r="J90" s="20">
        <v>0.0</v>
      </c>
      <c r="K90" s="20">
        <v>1.0</v>
      </c>
      <c r="L90" s="24">
        <v>46388.0</v>
      </c>
      <c r="M90" s="24">
        <v>46752.0</v>
      </c>
      <c r="N90" s="20">
        <v>0.0</v>
      </c>
      <c r="O90" s="20">
        <v>1.0</v>
      </c>
      <c r="P90" s="24">
        <v>46753.0</v>
      </c>
      <c r="Q90" s="24">
        <v>47118.0</v>
      </c>
      <c r="R90" s="20">
        <v>0.0</v>
      </c>
      <c r="S90" s="20">
        <v>1.0</v>
      </c>
      <c r="T90" s="24">
        <v>47119.0</v>
      </c>
      <c r="U90" s="24">
        <v>47483.0</v>
      </c>
      <c r="V90" s="20">
        <v>0.0</v>
      </c>
      <c r="W90" s="20">
        <v>1.0</v>
      </c>
      <c r="X90" s="24">
        <v>47484.0</v>
      </c>
      <c r="Y90" s="24">
        <v>47848.0</v>
      </c>
      <c r="Z90" s="20">
        <v>0.0</v>
      </c>
      <c r="AA90" s="20">
        <v>1.0</v>
      </c>
      <c r="AB90" s="24"/>
      <c r="AC90" s="24"/>
    </row>
    <row r="91" ht="14.25" customHeight="1">
      <c r="A91" s="46" t="s">
        <v>1667</v>
      </c>
      <c r="B91" s="20" t="s">
        <v>1668</v>
      </c>
      <c r="C91" s="20" t="s">
        <v>7041</v>
      </c>
      <c r="D91" s="24">
        <v>45658.0</v>
      </c>
      <c r="E91" s="24">
        <v>46022.0</v>
      </c>
      <c r="F91" s="20">
        <v>1.0</v>
      </c>
      <c r="G91" s="20">
        <v>1.0</v>
      </c>
      <c r="H91" s="24">
        <v>46023.0</v>
      </c>
      <c r="I91" s="24">
        <v>46387.0</v>
      </c>
      <c r="J91" s="20">
        <v>0.0</v>
      </c>
      <c r="K91" s="20">
        <v>1.0</v>
      </c>
      <c r="L91" s="24">
        <v>46388.0</v>
      </c>
      <c r="M91" s="24">
        <v>46752.0</v>
      </c>
      <c r="N91" s="20">
        <v>0.0</v>
      </c>
      <c r="O91" s="20">
        <v>1.0</v>
      </c>
      <c r="P91" s="24">
        <v>46753.0</v>
      </c>
      <c r="Q91" s="24">
        <v>47118.0</v>
      </c>
      <c r="R91" s="20">
        <v>0.0</v>
      </c>
      <c r="S91" s="20">
        <v>1.0</v>
      </c>
      <c r="T91" s="24">
        <v>47119.0</v>
      </c>
      <c r="U91" s="24">
        <v>47483.0</v>
      </c>
      <c r="V91" s="20">
        <v>0.0</v>
      </c>
      <c r="W91" s="20">
        <v>1.0</v>
      </c>
      <c r="X91" s="24">
        <v>47484.0</v>
      </c>
      <c r="Y91" s="24">
        <v>47848.0</v>
      </c>
      <c r="Z91" s="20">
        <v>0.0</v>
      </c>
      <c r="AA91" s="20">
        <v>1.0</v>
      </c>
      <c r="AB91" s="24"/>
      <c r="AC91" s="24"/>
    </row>
    <row r="92" ht="14.25" customHeight="1">
      <c r="A92" s="46" t="s">
        <v>6018</v>
      </c>
      <c r="B92" s="20" t="s">
        <v>6019</v>
      </c>
      <c r="C92" s="20" t="s">
        <v>7041</v>
      </c>
      <c r="D92" s="24">
        <v>45658.0</v>
      </c>
      <c r="E92" s="24">
        <v>46022.0</v>
      </c>
      <c r="F92" s="20">
        <v>1.0</v>
      </c>
      <c r="G92" s="20">
        <v>1.0</v>
      </c>
      <c r="H92" s="24">
        <v>46023.0</v>
      </c>
      <c r="I92" s="24">
        <v>46387.0</v>
      </c>
      <c r="J92" s="20">
        <v>0.0</v>
      </c>
      <c r="K92" s="20">
        <v>1.0</v>
      </c>
      <c r="L92" s="24">
        <v>46388.0</v>
      </c>
      <c r="M92" s="24">
        <v>46752.0</v>
      </c>
      <c r="N92" s="20">
        <v>0.0</v>
      </c>
      <c r="O92" s="20">
        <v>1.0</v>
      </c>
      <c r="P92" s="24">
        <v>46753.0</v>
      </c>
      <c r="Q92" s="24">
        <v>47118.0</v>
      </c>
      <c r="R92" s="20">
        <v>0.0</v>
      </c>
      <c r="S92" s="20">
        <v>1.0</v>
      </c>
      <c r="T92" s="24">
        <v>47119.0</v>
      </c>
      <c r="U92" s="24">
        <v>47483.0</v>
      </c>
      <c r="V92" s="20">
        <v>0.0</v>
      </c>
      <c r="W92" s="20">
        <v>1.0</v>
      </c>
      <c r="X92" s="24">
        <v>47484.0</v>
      </c>
      <c r="Y92" s="24">
        <v>47848.0</v>
      </c>
      <c r="Z92" s="20">
        <v>0.0</v>
      </c>
      <c r="AA92" s="20">
        <v>1.0</v>
      </c>
      <c r="AB92" s="24"/>
      <c r="AC92" s="24"/>
    </row>
    <row r="93" ht="14.25" customHeight="1">
      <c r="A93" s="46" t="s">
        <v>3155</v>
      </c>
      <c r="B93" s="20" t="s">
        <v>3156</v>
      </c>
      <c r="C93" s="20" t="s">
        <v>7041</v>
      </c>
      <c r="D93" s="24">
        <v>45658.0</v>
      </c>
      <c r="E93" s="24">
        <v>46022.0</v>
      </c>
      <c r="F93" s="20">
        <v>1.0</v>
      </c>
      <c r="G93" s="20">
        <v>1.0</v>
      </c>
      <c r="H93" s="24">
        <v>46023.0</v>
      </c>
      <c r="I93" s="24">
        <v>46387.0</v>
      </c>
      <c r="J93" s="20">
        <v>0.0</v>
      </c>
      <c r="K93" s="20">
        <v>1.0</v>
      </c>
      <c r="L93" s="24">
        <v>46388.0</v>
      </c>
      <c r="M93" s="24">
        <v>46752.0</v>
      </c>
      <c r="N93" s="20">
        <v>0.0</v>
      </c>
      <c r="O93" s="20">
        <v>1.0</v>
      </c>
      <c r="P93" s="24">
        <v>46753.0</v>
      </c>
      <c r="Q93" s="24">
        <v>47118.0</v>
      </c>
      <c r="R93" s="20">
        <v>0.0</v>
      </c>
      <c r="S93" s="20">
        <v>1.0</v>
      </c>
      <c r="T93" s="24">
        <v>47119.0</v>
      </c>
      <c r="U93" s="24">
        <v>47483.0</v>
      </c>
      <c r="V93" s="20">
        <v>0.0</v>
      </c>
      <c r="W93" s="20">
        <v>1.0</v>
      </c>
      <c r="X93" s="24">
        <v>47484.0</v>
      </c>
      <c r="Y93" s="24">
        <v>47848.0</v>
      </c>
      <c r="Z93" s="20">
        <v>0.0</v>
      </c>
      <c r="AA93" s="20">
        <v>1.0</v>
      </c>
      <c r="AB93" s="24"/>
      <c r="AC93" s="24"/>
    </row>
    <row r="94" ht="14.25" customHeight="1">
      <c r="A94" s="46" t="s">
        <v>6464</v>
      </c>
      <c r="B94" s="20" t="s">
        <v>6465</v>
      </c>
      <c r="C94" s="20" t="s">
        <v>7041</v>
      </c>
      <c r="D94" s="24">
        <v>45658.0</v>
      </c>
      <c r="E94" s="24">
        <v>46022.0</v>
      </c>
      <c r="F94" s="20">
        <v>1.0</v>
      </c>
      <c r="G94" s="20">
        <v>1.0</v>
      </c>
      <c r="H94" s="24">
        <v>46023.0</v>
      </c>
      <c r="I94" s="24">
        <v>46387.0</v>
      </c>
      <c r="J94" s="20">
        <v>0.0</v>
      </c>
      <c r="K94" s="20">
        <v>1.0</v>
      </c>
      <c r="L94" s="24">
        <v>46388.0</v>
      </c>
      <c r="M94" s="24">
        <v>46752.0</v>
      </c>
      <c r="N94" s="20">
        <v>0.0</v>
      </c>
      <c r="O94" s="20">
        <v>1.0</v>
      </c>
      <c r="P94" s="24">
        <v>46753.0</v>
      </c>
      <c r="Q94" s="24">
        <v>47118.0</v>
      </c>
      <c r="R94" s="20">
        <v>0.0</v>
      </c>
      <c r="S94" s="20">
        <v>1.0</v>
      </c>
      <c r="T94" s="24">
        <v>47119.0</v>
      </c>
      <c r="U94" s="24">
        <v>47483.0</v>
      </c>
      <c r="V94" s="20">
        <v>0.0</v>
      </c>
      <c r="W94" s="20">
        <v>1.0</v>
      </c>
      <c r="X94" s="24">
        <v>47484.0</v>
      </c>
      <c r="Y94" s="24">
        <v>47848.0</v>
      </c>
      <c r="Z94" s="20">
        <v>0.0</v>
      </c>
      <c r="AA94" s="20">
        <v>1.0</v>
      </c>
      <c r="AB94" s="24"/>
      <c r="AC94" s="24"/>
    </row>
    <row r="95" ht="14.25" customHeight="1">
      <c r="A95" s="46" t="s">
        <v>6461</v>
      </c>
      <c r="B95" s="20" t="s">
        <v>6462</v>
      </c>
      <c r="C95" s="20" t="s">
        <v>7041</v>
      </c>
      <c r="D95" s="24">
        <v>45658.0</v>
      </c>
      <c r="E95" s="24">
        <v>46022.0</v>
      </c>
      <c r="F95" s="20">
        <v>1.0</v>
      </c>
      <c r="G95" s="20">
        <v>1.0</v>
      </c>
      <c r="H95" s="24">
        <v>46023.0</v>
      </c>
      <c r="I95" s="24">
        <v>46387.0</v>
      </c>
      <c r="J95" s="20">
        <v>0.0</v>
      </c>
      <c r="K95" s="20">
        <v>1.0</v>
      </c>
      <c r="L95" s="24">
        <v>46388.0</v>
      </c>
      <c r="M95" s="24">
        <v>46752.0</v>
      </c>
      <c r="N95" s="20">
        <v>0.0</v>
      </c>
      <c r="O95" s="20">
        <v>1.0</v>
      </c>
      <c r="P95" s="24">
        <v>46753.0</v>
      </c>
      <c r="Q95" s="24">
        <v>47118.0</v>
      </c>
      <c r="R95" s="20">
        <v>0.0</v>
      </c>
      <c r="S95" s="20">
        <v>1.0</v>
      </c>
      <c r="T95" s="24">
        <v>47119.0</v>
      </c>
      <c r="U95" s="24">
        <v>47483.0</v>
      </c>
      <c r="V95" s="20">
        <v>0.0</v>
      </c>
      <c r="W95" s="20">
        <v>1.0</v>
      </c>
      <c r="X95" s="24">
        <v>47484.0</v>
      </c>
      <c r="Y95" s="24">
        <v>47848.0</v>
      </c>
      <c r="Z95" s="20">
        <v>0.0</v>
      </c>
      <c r="AA95" s="20">
        <v>1.0</v>
      </c>
      <c r="AB95" s="24"/>
      <c r="AC95" s="24"/>
    </row>
    <row r="96" ht="14.25" customHeight="1">
      <c r="A96" s="46" t="s">
        <v>3234</v>
      </c>
      <c r="B96" s="20" t="s">
        <v>3235</v>
      </c>
      <c r="C96" s="20" t="s">
        <v>7041</v>
      </c>
      <c r="D96" s="24">
        <v>45658.0</v>
      </c>
      <c r="E96" s="24">
        <v>46022.0</v>
      </c>
      <c r="F96" s="20">
        <v>1.0</v>
      </c>
      <c r="G96" s="20">
        <v>1.0</v>
      </c>
      <c r="H96" s="24">
        <v>46023.0</v>
      </c>
      <c r="I96" s="24">
        <v>46387.0</v>
      </c>
      <c r="J96" s="20">
        <v>0.0</v>
      </c>
      <c r="K96" s="20">
        <v>1.0</v>
      </c>
      <c r="L96" s="24">
        <v>46388.0</v>
      </c>
      <c r="M96" s="24">
        <v>46752.0</v>
      </c>
      <c r="N96" s="20">
        <v>0.0</v>
      </c>
      <c r="O96" s="20">
        <v>1.0</v>
      </c>
      <c r="P96" s="24">
        <v>46753.0</v>
      </c>
      <c r="Q96" s="24">
        <v>47118.0</v>
      </c>
      <c r="R96" s="20">
        <v>0.0</v>
      </c>
      <c r="S96" s="20">
        <v>1.0</v>
      </c>
      <c r="T96" s="24">
        <v>47119.0</v>
      </c>
      <c r="U96" s="24">
        <v>47483.0</v>
      </c>
      <c r="V96" s="20">
        <v>0.0</v>
      </c>
      <c r="W96" s="20">
        <v>1.0</v>
      </c>
      <c r="X96" s="24">
        <v>47484.0</v>
      </c>
      <c r="Y96" s="24">
        <v>47848.0</v>
      </c>
      <c r="Z96" s="20">
        <v>0.0</v>
      </c>
      <c r="AA96" s="20">
        <v>1.0</v>
      </c>
      <c r="AB96" s="24"/>
      <c r="AC96" s="24"/>
    </row>
    <row r="97" ht="14.25" customHeight="1">
      <c r="A97" s="46" t="s">
        <v>2105</v>
      </c>
      <c r="B97" s="20" t="s">
        <v>2106</v>
      </c>
      <c r="C97" s="20" t="s">
        <v>7041</v>
      </c>
      <c r="D97" s="24">
        <v>45658.0</v>
      </c>
      <c r="E97" s="24">
        <v>46022.0</v>
      </c>
      <c r="F97" s="20">
        <v>0.0</v>
      </c>
      <c r="G97" s="20">
        <v>1.0</v>
      </c>
      <c r="H97" s="24">
        <v>46023.0</v>
      </c>
      <c r="I97" s="24">
        <v>46387.0</v>
      </c>
      <c r="J97" s="20">
        <v>0.0</v>
      </c>
      <c r="K97" s="20">
        <v>1.0</v>
      </c>
      <c r="L97" s="24">
        <v>46388.0</v>
      </c>
      <c r="M97" s="24">
        <v>46752.0</v>
      </c>
      <c r="N97" s="20">
        <v>0.0</v>
      </c>
      <c r="O97" s="20">
        <v>1.0</v>
      </c>
      <c r="P97" s="24">
        <v>46753.0</v>
      </c>
      <c r="Q97" s="24">
        <v>47118.0</v>
      </c>
      <c r="R97" s="20">
        <v>0.0</v>
      </c>
      <c r="S97" s="20">
        <v>1.0</v>
      </c>
      <c r="T97" s="24">
        <v>47119.0</v>
      </c>
      <c r="U97" s="24">
        <v>47483.0</v>
      </c>
      <c r="V97" s="20">
        <v>0.0</v>
      </c>
      <c r="W97" s="20">
        <v>1.0</v>
      </c>
      <c r="X97" s="24">
        <v>47484.0</v>
      </c>
      <c r="Y97" s="24">
        <v>47848.0</v>
      </c>
      <c r="Z97" s="20">
        <v>0.0</v>
      </c>
      <c r="AA97" s="20">
        <v>1.0</v>
      </c>
      <c r="AB97" s="24"/>
      <c r="AC97" s="24"/>
    </row>
    <row r="98" ht="14.25" customHeight="1">
      <c r="A98" s="46" t="s">
        <v>5272</v>
      </c>
      <c r="B98" s="20" t="s">
        <v>5273</v>
      </c>
      <c r="C98" s="20" t="s">
        <v>7041</v>
      </c>
      <c r="D98" s="24">
        <v>45658.0</v>
      </c>
      <c r="E98" s="24">
        <v>46022.0</v>
      </c>
      <c r="F98" s="20">
        <v>1.0</v>
      </c>
      <c r="G98" s="20">
        <v>1.0</v>
      </c>
      <c r="H98" s="24">
        <v>46023.0</v>
      </c>
      <c r="I98" s="24">
        <v>46387.0</v>
      </c>
      <c r="J98" s="20">
        <v>0.0</v>
      </c>
      <c r="K98" s="20">
        <v>1.0</v>
      </c>
      <c r="L98" s="24">
        <v>46388.0</v>
      </c>
      <c r="M98" s="24">
        <v>46752.0</v>
      </c>
      <c r="N98" s="20">
        <v>0.0</v>
      </c>
      <c r="O98" s="20">
        <v>1.0</v>
      </c>
      <c r="P98" s="24">
        <v>46753.0</v>
      </c>
      <c r="Q98" s="24">
        <v>47118.0</v>
      </c>
      <c r="R98" s="20">
        <v>0.0</v>
      </c>
      <c r="S98" s="20">
        <v>1.0</v>
      </c>
      <c r="T98" s="24">
        <v>47119.0</v>
      </c>
      <c r="U98" s="24">
        <v>47483.0</v>
      </c>
      <c r="V98" s="20">
        <v>0.0</v>
      </c>
      <c r="W98" s="20">
        <v>1.0</v>
      </c>
      <c r="X98" s="24">
        <v>47484.0</v>
      </c>
      <c r="Y98" s="24">
        <v>47848.0</v>
      </c>
      <c r="Z98" s="20">
        <v>0.0</v>
      </c>
      <c r="AA98" s="20">
        <v>1.0</v>
      </c>
      <c r="AB98" s="24"/>
      <c r="AC98" s="24"/>
    </row>
    <row r="99" ht="14.25" customHeight="1">
      <c r="A99" s="46" t="s">
        <v>6300</v>
      </c>
      <c r="B99" s="20" t="s">
        <v>6301</v>
      </c>
      <c r="C99" s="20" t="s">
        <v>7041</v>
      </c>
      <c r="D99" s="24">
        <v>45658.0</v>
      </c>
      <c r="E99" s="24">
        <v>46022.0</v>
      </c>
      <c r="F99" s="20">
        <v>1.0</v>
      </c>
      <c r="G99" s="20">
        <v>1.0</v>
      </c>
      <c r="H99" s="24">
        <v>46023.0</v>
      </c>
      <c r="I99" s="24">
        <v>46387.0</v>
      </c>
      <c r="J99" s="20">
        <v>0.0</v>
      </c>
      <c r="K99" s="20">
        <v>1.0</v>
      </c>
      <c r="L99" s="24">
        <v>46388.0</v>
      </c>
      <c r="M99" s="24">
        <v>46752.0</v>
      </c>
      <c r="N99" s="20">
        <v>0.0</v>
      </c>
      <c r="O99" s="20">
        <v>1.0</v>
      </c>
      <c r="P99" s="24">
        <v>46753.0</v>
      </c>
      <c r="Q99" s="24">
        <v>47118.0</v>
      </c>
      <c r="R99" s="20">
        <v>0.0</v>
      </c>
      <c r="S99" s="20">
        <v>1.0</v>
      </c>
      <c r="T99" s="24">
        <v>47119.0</v>
      </c>
      <c r="U99" s="24">
        <v>47483.0</v>
      </c>
      <c r="V99" s="20">
        <v>0.0</v>
      </c>
      <c r="W99" s="20">
        <v>1.0</v>
      </c>
      <c r="X99" s="24">
        <v>47484.0</v>
      </c>
      <c r="Y99" s="24">
        <v>47848.0</v>
      </c>
      <c r="Z99" s="20">
        <v>0.0</v>
      </c>
      <c r="AA99" s="20">
        <v>1.0</v>
      </c>
      <c r="AB99" s="24"/>
      <c r="AC99" s="24"/>
    </row>
    <row r="100" ht="14.25" customHeight="1">
      <c r="A100" s="46" t="s">
        <v>5450</v>
      </c>
      <c r="B100" s="20" t="s">
        <v>5451</v>
      </c>
      <c r="C100" s="20" t="s">
        <v>7041</v>
      </c>
      <c r="D100" s="24">
        <v>45658.0</v>
      </c>
      <c r="E100" s="24">
        <v>46022.0</v>
      </c>
      <c r="F100" s="20">
        <v>0.0</v>
      </c>
      <c r="G100" s="20">
        <v>1.0</v>
      </c>
      <c r="H100" s="24">
        <v>46023.0</v>
      </c>
      <c r="I100" s="24">
        <v>46387.0</v>
      </c>
      <c r="J100" s="20">
        <v>0.0</v>
      </c>
      <c r="K100" s="20">
        <v>1.0</v>
      </c>
      <c r="L100" s="24">
        <v>46388.0</v>
      </c>
      <c r="M100" s="24">
        <v>46752.0</v>
      </c>
      <c r="N100" s="20">
        <v>0.0</v>
      </c>
      <c r="O100" s="20">
        <v>1.0</v>
      </c>
      <c r="P100" s="24">
        <v>46753.0</v>
      </c>
      <c r="Q100" s="24">
        <v>47118.0</v>
      </c>
      <c r="R100" s="20">
        <v>0.0</v>
      </c>
      <c r="S100" s="20">
        <v>1.0</v>
      </c>
      <c r="T100" s="24">
        <v>47119.0</v>
      </c>
      <c r="U100" s="24">
        <v>47483.0</v>
      </c>
      <c r="V100" s="20">
        <v>0.0</v>
      </c>
      <c r="W100" s="20">
        <v>1.0</v>
      </c>
      <c r="X100" s="24">
        <v>47484.0</v>
      </c>
      <c r="Y100" s="24">
        <v>47848.0</v>
      </c>
      <c r="Z100" s="20">
        <v>0.0</v>
      </c>
      <c r="AA100" s="20">
        <v>1.0</v>
      </c>
      <c r="AB100" s="24"/>
      <c r="AC100" s="24"/>
    </row>
    <row r="101" ht="14.25" customHeight="1">
      <c r="A101" s="46" t="s">
        <v>2608</v>
      </c>
      <c r="B101" s="20" t="s">
        <v>2609</v>
      </c>
      <c r="C101" s="20" t="s">
        <v>7041</v>
      </c>
      <c r="D101" s="24">
        <v>45658.0</v>
      </c>
      <c r="E101" s="24">
        <v>46022.0</v>
      </c>
      <c r="F101" s="20">
        <v>1.0</v>
      </c>
      <c r="G101" s="20">
        <v>1.0</v>
      </c>
      <c r="H101" s="24">
        <v>46023.0</v>
      </c>
      <c r="I101" s="24">
        <v>46387.0</v>
      </c>
      <c r="J101" s="20">
        <v>0.0</v>
      </c>
      <c r="K101" s="20">
        <v>1.0</v>
      </c>
      <c r="L101" s="24">
        <v>46388.0</v>
      </c>
      <c r="M101" s="24">
        <v>46752.0</v>
      </c>
      <c r="N101" s="20">
        <v>0.0</v>
      </c>
      <c r="O101" s="20">
        <v>1.0</v>
      </c>
      <c r="P101" s="24">
        <v>46753.0</v>
      </c>
      <c r="Q101" s="24">
        <v>47118.0</v>
      </c>
      <c r="R101" s="20">
        <v>0.0</v>
      </c>
      <c r="S101" s="20">
        <v>1.0</v>
      </c>
      <c r="T101" s="24">
        <v>47119.0</v>
      </c>
      <c r="U101" s="24">
        <v>47483.0</v>
      </c>
      <c r="V101" s="20">
        <v>0.0</v>
      </c>
      <c r="W101" s="20">
        <v>1.0</v>
      </c>
      <c r="X101" s="24">
        <v>47484.0</v>
      </c>
      <c r="Y101" s="24">
        <v>47848.0</v>
      </c>
      <c r="Z101" s="20">
        <v>0.0</v>
      </c>
      <c r="AA101" s="20">
        <v>1.0</v>
      </c>
      <c r="AB101" s="24"/>
      <c r="AC101" s="24"/>
    </row>
    <row r="102" ht="14.25" customHeight="1">
      <c r="A102" s="46" t="s">
        <v>6089</v>
      </c>
      <c r="B102" s="20" t="s">
        <v>6090</v>
      </c>
      <c r="C102" s="20" t="s">
        <v>7041</v>
      </c>
      <c r="D102" s="24">
        <v>45658.0</v>
      </c>
      <c r="E102" s="24">
        <v>46022.0</v>
      </c>
      <c r="F102" s="20">
        <v>0.0</v>
      </c>
      <c r="G102" s="20">
        <v>1.0</v>
      </c>
      <c r="H102" s="24">
        <v>46023.0</v>
      </c>
      <c r="I102" s="24">
        <v>46387.0</v>
      </c>
      <c r="J102" s="20">
        <v>0.0</v>
      </c>
      <c r="K102" s="20">
        <v>1.0</v>
      </c>
      <c r="L102" s="24">
        <v>46388.0</v>
      </c>
      <c r="M102" s="24">
        <v>46752.0</v>
      </c>
      <c r="N102" s="20">
        <v>0.0</v>
      </c>
      <c r="O102" s="20">
        <v>1.0</v>
      </c>
      <c r="P102" s="24">
        <v>46753.0</v>
      </c>
      <c r="Q102" s="24">
        <v>47118.0</v>
      </c>
      <c r="R102" s="20">
        <v>0.0</v>
      </c>
      <c r="S102" s="20">
        <v>1.0</v>
      </c>
      <c r="T102" s="24">
        <v>47119.0</v>
      </c>
      <c r="U102" s="24">
        <v>47483.0</v>
      </c>
      <c r="V102" s="20">
        <v>0.0</v>
      </c>
      <c r="W102" s="20">
        <v>1.0</v>
      </c>
      <c r="X102" s="24">
        <v>47484.0</v>
      </c>
      <c r="Y102" s="24">
        <v>47848.0</v>
      </c>
      <c r="Z102" s="20">
        <v>0.0</v>
      </c>
      <c r="AA102" s="20">
        <v>1.0</v>
      </c>
      <c r="AB102" s="24"/>
      <c r="AC102" s="24"/>
    </row>
    <row r="103" ht="14.25" customHeight="1">
      <c r="A103" s="46" t="s">
        <v>6583</v>
      </c>
      <c r="B103" s="20" t="s">
        <v>6584</v>
      </c>
      <c r="C103" s="20" t="s">
        <v>7041</v>
      </c>
      <c r="D103" s="24">
        <v>45658.0</v>
      </c>
      <c r="E103" s="24">
        <v>46022.0</v>
      </c>
      <c r="F103" s="20">
        <v>0.0</v>
      </c>
      <c r="G103" s="20">
        <v>1.0</v>
      </c>
      <c r="H103" s="24">
        <v>46023.0</v>
      </c>
      <c r="I103" s="24">
        <v>46387.0</v>
      </c>
      <c r="J103" s="20">
        <v>0.0</v>
      </c>
      <c r="K103" s="20">
        <v>1.0</v>
      </c>
      <c r="L103" s="24">
        <v>46388.0</v>
      </c>
      <c r="M103" s="24">
        <v>46752.0</v>
      </c>
      <c r="N103" s="20">
        <v>0.0</v>
      </c>
      <c r="O103" s="20">
        <v>1.0</v>
      </c>
      <c r="P103" s="24">
        <v>46753.0</v>
      </c>
      <c r="Q103" s="24">
        <v>47118.0</v>
      </c>
      <c r="R103" s="20">
        <v>0.0</v>
      </c>
      <c r="S103" s="20">
        <v>1.0</v>
      </c>
      <c r="T103" s="24">
        <v>47119.0</v>
      </c>
      <c r="U103" s="24">
        <v>47483.0</v>
      </c>
      <c r="V103" s="20">
        <v>0.0</v>
      </c>
      <c r="W103" s="20">
        <v>1.0</v>
      </c>
      <c r="X103" s="24">
        <v>47484.0</v>
      </c>
      <c r="Y103" s="24">
        <v>47848.0</v>
      </c>
      <c r="Z103" s="20">
        <v>0.0</v>
      </c>
      <c r="AA103" s="20">
        <v>1.0</v>
      </c>
      <c r="AB103" s="24"/>
      <c r="AC103" s="24"/>
    </row>
    <row r="104" ht="14.25" customHeight="1">
      <c r="A104" s="46" t="s">
        <v>2234</v>
      </c>
      <c r="B104" s="20" t="s">
        <v>2235</v>
      </c>
      <c r="C104" s="20" t="s">
        <v>7041</v>
      </c>
      <c r="D104" s="24">
        <v>45658.0</v>
      </c>
      <c r="E104" s="24">
        <v>46022.0</v>
      </c>
      <c r="F104" s="20">
        <v>1.0</v>
      </c>
      <c r="G104" s="20">
        <v>1.0</v>
      </c>
      <c r="H104" s="24">
        <v>46023.0</v>
      </c>
      <c r="I104" s="24">
        <v>46387.0</v>
      </c>
      <c r="J104" s="20">
        <v>0.0</v>
      </c>
      <c r="K104" s="20">
        <v>1.0</v>
      </c>
      <c r="L104" s="24">
        <v>46388.0</v>
      </c>
      <c r="M104" s="24">
        <v>46752.0</v>
      </c>
      <c r="N104" s="20">
        <v>0.0</v>
      </c>
      <c r="O104" s="20">
        <v>1.0</v>
      </c>
      <c r="P104" s="24">
        <v>46753.0</v>
      </c>
      <c r="Q104" s="24">
        <v>47118.0</v>
      </c>
      <c r="R104" s="20">
        <v>0.0</v>
      </c>
      <c r="S104" s="20">
        <v>1.0</v>
      </c>
      <c r="T104" s="24">
        <v>47119.0</v>
      </c>
      <c r="U104" s="24">
        <v>47483.0</v>
      </c>
      <c r="V104" s="20">
        <v>0.0</v>
      </c>
      <c r="W104" s="20">
        <v>1.0</v>
      </c>
      <c r="X104" s="24">
        <v>47484.0</v>
      </c>
      <c r="Y104" s="24">
        <v>47848.0</v>
      </c>
      <c r="Z104" s="20">
        <v>0.0</v>
      </c>
      <c r="AA104" s="20">
        <v>1.0</v>
      </c>
      <c r="AB104" s="24"/>
      <c r="AC104" s="24"/>
    </row>
    <row r="105" ht="14.25" customHeight="1">
      <c r="A105" s="46" t="s">
        <v>2894</v>
      </c>
      <c r="B105" s="20" t="s">
        <v>2895</v>
      </c>
      <c r="C105" s="20" t="s">
        <v>7041</v>
      </c>
      <c r="D105" s="24">
        <v>45658.0</v>
      </c>
      <c r="E105" s="24">
        <v>46022.0</v>
      </c>
      <c r="F105" s="20">
        <v>1.0</v>
      </c>
      <c r="G105" s="20">
        <v>1.0</v>
      </c>
      <c r="H105" s="24">
        <v>46023.0</v>
      </c>
      <c r="I105" s="24">
        <v>46387.0</v>
      </c>
      <c r="J105" s="20">
        <v>0.0</v>
      </c>
      <c r="K105" s="20">
        <v>1.0</v>
      </c>
      <c r="L105" s="24">
        <v>46388.0</v>
      </c>
      <c r="M105" s="24">
        <v>46752.0</v>
      </c>
      <c r="N105" s="20">
        <v>0.0</v>
      </c>
      <c r="O105" s="20">
        <v>1.0</v>
      </c>
      <c r="P105" s="24">
        <v>46753.0</v>
      </c>
      <c r="Q105" s="24">
        <v>47118.0</v>
      </c>
      <c r="R105" s="20">
        <v>0.0</v>
      </c>
      <c r="S105" s="20">
        <v>1.0</v>
      </c>
      <c r="T105" s="24">
        <v>47119.0</v>
      </c>
      <c r="U105" s="24">
        <v>47483.0</v>
      </c>
      <c r="V105" s="20">
        <v>0.0</v>
      </c>
      <c r="W105" s="20">
        <v>1.0</v>
      </c>
      <c r="X105" s="24">
        <v>47484.0</v>
      </c>
      <c r="Y105" s="24">
        <v>47848.0</v>
      </c>
      <c r="Z105" s="20">
        <v>0.0</v>
      </c>
      <c r="AA105" s="20">
        <v>1.0</v>
      </c>
      <c r="AB105" s="24"/>
      <c r="AC105" s="24"/>
    </row>
    <row r="106" ht="14.25" customHeight="1">
      <c r="A106" s="46" t="s">
        <v>3881</v>
      </c>
      <c r="B106" s="20" t="s">
        <v>3882</v>
      </c>
      <c r="C106" s="20" t="s">
        <v>7041</v>
      </c>
      <c r="D106" s="24">
        <v>45658.0</v>
      </c>
      <c r="E106" s="24">
        <v>46022.0</v>
      </c>
      <c r="F106" s="20">
        <v>0.0</v>
      </c>
      <c r="G106" s="20">
        <v>1.0</v>
      </c>
      <c r="H106" s="24">
        <v>46023.0</v>
      </c>
      <c r="I106" s="24">
        <v>46387.0</v>
      </c>
      <c r="J106" s="20">
        <v>0.0</v>
      </c>
      <c r="K106" s="20">
        <v>1.0</v>
      </c>
      <c r="L106" s="24">
        <v>46388.0</v>
      </c>
      <c r="M106" s="24">
        <v>46752.0</v>
      </c>
      <c r="N106" s="20">
        <v>0.0</v>
      </c>
      <c r="O106" s="20">
        <v>1.0</v>
      </c>
      <c r="P106" s="24">
        <v>46753.0</v>
      </c>
      <c r="Q106" s="24">
        <v>47118.0</v>
      </c>
      <c r="R106" s="20">
        <v>0.0</v>
      </c>
      <c r="S106" s="20">
        <v>1.0</v>
      </c>
      <c r="T106" s="24">
        <v>47119.0</v>
      </c>
      <c r="U106" s="24">
        <v>47483.0</v>
      </c>
      <c r="V106" s="20">
        <v>0.0</v>
      </c>
      <c r="W106" s="20">
        <v>1.0</v>
      </c>
      <c r="X106" s="24">
        <v>47484.0</v>
      </c>
      <c r="Y106" s="24">
        <v>47848.0</v>
      </c>
      <c r="Z106" s="20">
        <v>0.0</v>
      </c>
      <c r="AA106" s="20">
        <v>1.0</v>
      </c>
      <c r="AB106" s="24"/>
      <c r="AC106" s="24"/>
    </row>
    <row r="107" ht="14.25" customHeight="1">
      <c r="A107" s="46" t="s">
        <v>5787</v>
      </c>
      <c r="B107" s="20" t="s">
        <v>5788</v>
      </c>
      <c r="C107" s="20" t="s">
        <v>7041</v>
      </c>
      <c r="D107" s="24">
        <v>45658.0</v>
      </c>
      <c r="E107" s="24">
        <v>46022.0</v>
      </c>
      <c r="F107" s="20">
        <v>0.0</v>
      </c>
      <c r="G107" s="20">
        <v>1.0</v>
      </c>
      <c r="H107" s="24">
        <v>46023.0</v>
      </c>
      <c r="I107" s="24">
        <v>46387.0</v>
      </c>
      <c r="J107" s="20">
        <v>0.0</v>
      </c>
      <c r="K107" s="20">
        <v>1.0</v>
      </c>
      <c r="L107" s="24">
        <v>46388.0</v>
      </c>
      <c r="M107" s="24">
        <v>46752.0</v>
      </c>
      <c r="N107" s="20">
        <v>0.0</v>
      </c>
      <c r="O107" s="20">
        <v>1.0</v>
      </c>
      <c r="P107" s="24">
        <v>46753.0</v>
      </c>
      <c r="Q107" s="24">
        <v>47118.0</v>
      </c>
      <c r="R107" s="20">
        <v>0.0</v>
      </c>
      <c r="S107" s="20">
        <v>1.0</v>
      </c>
      <c r="T107" s="24">
        <v>47119.0</v>
      </c>
      <c r="U107" s="24">
        <v>47483.0</v>
      </c>
      <c r="V107" s="20">
        <v>0.0</v>
      </c>
      <c r="W107" s="20">
        <v>1.0</v>
      </c>
      <c r="X107" s="24">
        <v>47484.0</v>
      </c>
      <c r="Y107" s="24">
        <v>47848.0</v>
      </c>
      <c r="Z107" s="20">
        <v>0.0</v>
      </c>
      <c r="AA107" s="20">
        <v>1.0</v>
      </c>
      <c r="AB107" s="24"/>
      <c r="AC107" s="24"/>
    </row>
    <row r="108" ht="14.25" customHeight="1">
      <c r="A108" s="46" t="s">
        <v>3459</v>
      </c>
      <c r="B108" s="20" t="s">
        <v>3460</v>
      </c>
      <c r="C108" s="20" t="s">
        <v>7041</v>
      </c>
      <c r="D108" s="24">
        <v>45658.0</v>
      </c>
      <c r="E108" s="24">
        <v>46022.0</v>
      </c>
      <c r="F108" s="20">
        <v>0.0</v>
      </c>
      <c r="G108" s="20">
        <v>1.0</v>
      </c>
      <c r="H108" s="24">
        <v>46023.0</v>
      </c>
      <c r="I108" s="24">
        <v>46387.0</v>
      </c>
      <c r="J108" s="20">
        <v>0.0</v>
      </c>
      <c r="K108" s="20">
        <v>1.0</v>
      </c>
      <c r="L108" s="24">
        <v>46388.0</v>
      </c>
      <c r="M108" s="24">
        <v>46752.0</v>
      </c>
      <c r="N108" s="20">
        <v>0.0</v>
      </c>
      <c r="O108" s="20">
        <v>1.0</v>
      </c>
      <c r="P108" s="24">
        <v>46753.0</v>
      </c>
      <c r="Q108" s="24">
        <v>47118.0</v>
      </c>
      <c r="R108" s="20">
        <v>0.0</v>
      </c>
      <c r="S108" s="20">
        <v>1.0</v>
      </c>
      <c r="T108" s="24">
        <v>47119.0</v>
      </c>
      <c r="U108" s="24">
        <v>47483.0</v>
      </c>
      <c r="V108" s="20">
        <v>0.0</v>
      </c>
      <c r="W108" s="20">
        <v>1.0</v>
      </c>
      <c r="X108" s="24">
        <v>47484.0</v>
      </c>
      <c r="Y108" s="24">
        <v>47848.0</v>
      </c>
      <c r="Z108" s="20">
        <v>0.0</v>
      </c>
      <c r="AA108" s="20">
        <v>1.0</v>
      </c>
      <c r="AB108" s="24"/>
      <c r="AC108" s="24"/>
    </row>
    <row r="109" ht="14.25" customHeight="1">
      <c r="A109" s="46" t="s">
        <v>948</v>
      </c>
      <c r="B109" s="20" t="s">
        <v>949</v>
      </c>
      <c r="C109" s="20" t="s">
        <v>7041</v>
      </c>
      <c r="D109" s="24">
        <v>45658.0</v>
      </c>
      <c r="E109" s="24">
        <v>46022.0</v>
      </c>
      <c r="F109" s="20">
        <v>1.0</v>
      </c>
      <c r="G109" s="20">
        <v>1.0</v>
      </c>
      <c r="H109" s="24">
        <v>46023.0</v>
      </c>
      <c r="I109" s="24">
        <v>46387.0</v>
      </c>
      <c r="J109" s="20">
        <v>0.0</v>
      </c>
      <c r="K109" s="20">
        <v>1.0</v>
      </c>
      <c r="L109" s="24">
        <v>46388.0</v>
      </c>
      <c r="M109" s="24">
        <v>46752.0</v>
      </c>
      <c r="N109" s="20">
        <v>0.0</v>
      </c>
      <c r="O109" s="20">
        <v>1.0</v>
      </c>
      <c r="P109" s="24">
        <v>46753.0</v>
      </c>
      <c r="Q109" s="24">
        <v>47118.0</v>
      </c>
      <c r="R109" s="20">
        <v>0.0</v>
      </c>
      <c r="S109" s="20">
        <v>1.0</v>
      </c>
      <c r="T109" s="24">
        <v>47119.0</v>
      </c>
      <c r="U109" s="24">
        <v>47483.0</v>
      </c>
      <c r="V109" s="20">
        <v>0.0</v>
      </c>
      <c r="W109" s="20">
        <v>1.0</v>
      </c>
      <c r="X109" s="24">
        <v>47484.0</v>
      </c>
      <c r="Y109" s="24">
        <v>47848.0</v>
      </c>
      <c r="Z109" s="20">
        <v>0.0</v>
      </c>
      <c r="AA109" s="20">
        <v>1.0</v>
      </c>
      <c r="AB109" s="24"/>
      <c r="AC109" s="24"/>
    </row>
    <row r="110" ht="14.25" customHeight="1">
      <c r="A110" s="46" t="s">
        <v>3684</v>
      </c>
      <c r="B110" s="20" t="s">
        <v>3685</v>
      </c>
      <c r="C110" s="20" t="s">
        <v>7041</v>
      </c>
      <c r="D110" s="24">
        <v>45658.0</v>
      </c>
      <c r="E110" s="24">
        <v>46022.0</v>
      </c>
      <c r="F110" s="20">
        <v>1.0</v>
      </c>
      <c r="G110" s="20">
        <v>1.0</v>
      </c>
      <c r="H110" s="24">
        <v>46023.0</v>
      </c>
      <c r="I110" s="24">
        <v>46387.0</v>
      </c>
      <c r="J110" s="20">
        <v>0.0</v>
      </c>
      <c r="K110" s="20">
        <v>1.0</v>
      </c>
      <c r="L110" s="24">
        <v>46388.0</v>
      </c>
      <c r="M110" s="24">
        <v>46752.0</v>
      </c>
      <c r="N110" s="20">
        <v>0.0</v>
      </c>
      <c r="O110" s="20">
        <v>1.0</v>
      </c>
      <c r="P110" s="24">
        <v>46753.0</v>
      </c>
      <c r="Q110" s="24">
        <v>47118.0</v>
      </c>
      <c r="R110" s="20">
        <v>0.0</v>
      </c>
      <c r="S110" s="20">
        <v>1.0</v>
      </c>
      <c r="T110" s="24">
        <v>47119.0</v>
      </c>
      <c r="U110" s="24">
        <v>47483.0</v>
      </c>
      <c r="V110" s="20">
        <v>0.0</v>
      </c>
      <c r="W110" s="20">
        <v>1.0</v>
      </c>
      <c r="X110" s="24">
        <v>47484.0</v>
      </c>
      <c r="Y110" s="24">
        <v>47848.0</v>
      </c>
      <c r="Z110" s="20">
        <v>0.0</v>
      </c>
      <c r="AA110" s="20">
        <v>1.0</v>
      </c>
      <c r="AB110" s="24"/>
      <c r="AC110" s="24"/>
    </row>
    <row r="111" ht="14.25" customHeight="1">
      <c r="A111" s="46" t="s">
        <v>4125</v>
      </c>
      <c r="B111" s="20" t="s">
        <v>4126</v>
      </c>
      <c r="C111" s="20" t="s">
        <v>7041</v>
      </c>
      <c r="D111" s="24">
        <v>45658.0</v>
      </c>
      <c r="E111" s="24">
        <v>46022.0</v>
      </c>
      <c r="F111" s="20">
        <v>1.0</v>
      </c>
      <c r="G111" s="20">
        <v>1.0</v>
      </c>
      <c r="H111" s="24">
        <v>46023.0</v>
      </c>
      <c r="I111" s="24">
        <v>46387.0</v>
      </c>
      <c r="J111" s="20">
        <v>0.0</v>
      </c>
      <c r="K111" s="20">
        <v>1.0</v>
      </c>
      <c r="L111" s="24">
        <v>46388.0</v>
      </c>
      <c r="M111" s="24">
        <v>46752.0</v>
      </c>
      <c r="N111" s="20">
        <v>0.0</v>
      </c>
      <c r="O111" s="20">
        <v>1.0</v>
      </c>
      <c r="P111" s="24">
        <v>46753.0</v>
      </c>
      <c r="Q111" s="24">
        <v>47118.0</v>
      </c>
      <c r="R111" s="20">
        <v>0.0</v>
      </c>
      <c r="S111" s="20">
        <v>1.0</v>
      </c>
      <c r="T111" s="24">
        <v>47119.0</v>
      </c>
      <c r="U111" s="24">
        <v>47483.0</v>
      </c>
      <c r="V111" s="20">
        <v>0.0</v>
      </c>
      <c r="W111" s="20">
        <v>1.0</v>
      </c>
      <c r="X111" s="24">
        <v>47484.0</v>
      </c>
      <c r="Y111" s="24">
        <v>47848.0</v>
      </c>
      <c r="Z111" s="20">
        <v>0.0</v>
      </c>
      <c r="AA111" s="20">
        <v>1.0</v>
      </c>
      <c r="AB111" s="24"/>
      <c r="AC111" s="24"/>
    </row>
    <row r="112" ht="14.25" customHeight="1">
      <c r="A112" s="46" t="s">
        <v>5960</v>
      </c>
      <c r="B112" s="20" t="s">
        <v>5961</v>
      </c>
      <c r="C112" s="20" t="s">
        <v>7041</v>
      </c>
      <c r="D112" s="24">
        <v>45658.0</v>
      </c>
      <c r="E112" s="24">
        <v>46022.0</v>
      </c>
      <c r="F112" s="20">
        <v>0.0</v>
      </c>
      <c r="G112" s="20">
        <v>1.0</v>
      </c>
      <c r="H112" s="24">
        <v>46023.0</v>
      </c>
      <c r="I112" s="24">
        <v>46387.0</v>
      </c>
      <c r="J112" s="20">
        <v>0.0</v>
      </c>
      <c r="K112" s="20">
        <v>1.0</v>
      </c>
      <c r="L112" s="24">
        <v>46388.0</v>
      </c>
      <c r="M112" s="24">
        <v>46752.0</v>
      </c>
      <c r="N112" s="20">
        <v>0.0</v>
      </c>
      <c r="O112" s="20">
        <v>1.0</v>
      </c>
      <c r="P112" s="24">
        <v>46753.0</v>
      </c>
      <c r="Q112" s="24">
        <v>47118.0</v>
      </c>
      <c r="R112" s="20">
        <v>0.0</v>
      </c>
      <c r="S112" s="20">
        <v>1.0</v>
      </c>
      <c r="T112" s="24">
        <v>47119.0</v>
      </c>
      <c r="U112" s="24">
        <v>47483.0</v>
      </c>
      <c r="V112" s="20">
        <v>0.0</v>
      </c>
      <c r="W112" s="20">
        <v>1.0</v>
      </c>
      <c r="X112" s="24">
        <v>47484.0</v>
      </c>
      <c r="Y112" s="24">
        <v>47848.0</v>
      </c>
      <c r="Z112" s="20">
        <v>0.0</v>
      </c>
      <c r="AA112" s="20">
        <v>1.0</v>
      </c>
      <c r="AB112" s="24"/>
      <c r="AC112" s="24"/>
    </row>
    <row r="113" ht="14.25" customHeight="1">
      <c r="A113" s="46" t="s">
        <v>6242</v>
      </c>
      <c r="B113" s="20" t="s">
        <v>6243</v>
      </c>
      <c r="C113" s="20" t="s">
        <v>7041</v>
      </c>
      <c r="D113" s="24">
        <v>45658.0</v>
      </c>
      <c r="E113" s="24">
        <v>46022.0</v>
      </c>
      <c r="F113" s="20">
        <v>0.0</v>
      </c>
      <c r="G113" s="20">
        <v>1.0</v>
      </c>
      <c r="H113" s="24">
        <v>46023.0</v>
      </c>
      <c r="I113" s="24">
        <v>46387.0</v>
      </c>
      <c r="J113" s="20">
        <v>0.0</v>
      </c>
      <c r="K113" s="20">
        <v>1.0</v>
      </c>
      <c r="L113" s="24">
        <v>46388.0</v>
      </c>
      <c r="M113" s="24">
        <v>46752.0</v>
      </c>
      <c r="N113" s="20">
        <v>0.0</v>
      </c>
      <c r="O113" s="20">
        <v>1.0</v>
      </c>
      <c r="P113" s="24">
        <v>46753.0</v>
      </c>
      <c r="Q113" s="24">
        <v>47118.0</v>
      </c>
      <c r="R113" s="20">
        <v>0.0</v>
      </c>
      <c r="S113" s="20">
        <v>1.0</v>
      </c>
      <c r="T113" s="24">
        <v>47119.0</v>
      </c>
      <c r="U113" s="24">
        <v>47483.0</v>
      </c>
      <c r="V113" s="20">
        <v>0.0</v>
      </c>
      <c r="W113" s="20">
        <v>1.0</v>
      </c>
      <c r="X113" s="24">
        <v>47484.0</v>
      </c>
      <c r="Y113" s="24">
        <v>47848.0</v>
      </c>
      <c r="Z113" s="20">
        <v>0.0</v>
      </c>
      <c r="AA113" s="20">
        <v>1.0</v>
      </c>
      <c r="AB113" s="24"/>
      <c r="AC113" s="24"/>
    </row>
    <row r="114" ht="14.25" customHeight="1">
      <c r="A114" s="46" t="s">
        <v>904</v>
      </c>
      <c r="B114" s="20" t="s">
        <v>905</v>
      </c>
      <c r="C114" s="20" t="s">
        <v>7041</v>
      </c>
      <c r="D114" s="24">
        <v>45658.0</v>
      </c>
      <c r="E114" s="24">
        <v>46022.0</v>
      </c>
      <c r="F114" s="20">
        <v>1.0</v>
      </c>
      <c r="G114" s="20">
        <v>1.0</v>
      </c>
      <c r="H114" s="24">
        <v>46023.0</v>
      </c>
      <c r="I114" s="24">
        <v>46387.0</v>
      </c>
      <c r="J114" s="20">
        <v>0.0</v>
      </c>
      <c r="K114" s="20">
        <v>1.0</v>
      </c>
      <c r="L114" s="24">
        <v>46388.0</v>
      </c>
      <c r="M114" s="24">
        <v>46752.0</v>
      </c>
      <c r="N114" s="20">
        <v>0.0</v>
      </c>
      <c r="O114" s="20">
        <v>1.0</v>
      </c>
      <c r="P114" s="24">
        <v>46753.0</v>
      </c>
      <c r="Q114" s="24">
        <v>47118.0</v>
      </c>
      <c r="R114" s="20">
        <v>0.0</v>
      </c>
      <c r="S114" s="20">
        <v>1.0</v>
      </c>
      <c r="T114" s="24">
        <v>47119.0</v>
      </c>
      <c r="U114" s="24">
        <v>47483.0</v>
      </c>
      <c r="V114" s="20">
        <v>0.0</v>
      </c>
      <c r="W114" s="20">
        <v>1.0</v>
      </c>
      <c r="X114" s="24">
        <v>47484.0</v>
      </c>
      <c r="Y114" s="24">
        <v>47848.0</v>
      </c>
      <c r="Z114" s="20">
        <v>0.0</v>
      </c>
      <c r="AA114" s="20">
        <v>1.0</v>
      </c>
      <c r="AB114" s="24"/>
      <c r="AC114" s="24"/>
    </row>
    <row r="115" ht="14.25" customHeight="1">
      <c r="A115" s="46" t="s">
        <v>2654</v>
      </c>
      <c r="B115" s="20" t="s">
        <v>2655</v>
      </c>
      <c r="C115" s="20" t="s">
        <v>7041</v>
      </c>
      <c r="D115" s="24">
        <v>45658.0</v>
      </c>
      <c r="E115" s="24">
        <v>46022.0</v>
      </c>
      <c r="F115" s="20">
        <v>1.0</v>
      </c>
      <c r="G115" s="20">
        <v>1.0</v>
      </c>
      <c r="H115" s="24">
        <v>46023.0</v>
      </c>
      <c r="I115" s="24">
        <v>46387.0</v>
      </c>
      <c r="J115" s="20">
        <v>0.0</v>
      </c>
      <c r="K115" s="20">
        <v>1.0</v>
      </c>
      <c r="L115" s="24">
        <v>46388.0</v>
      </c>
      <c r="M115" s="24">
        <v>46752.0</v>
      </c>
      <c r="N115" s="20">
        <v>0.0</v>
      </c>
      <c r="O115" s="20">
        <v>1.0</v>
      </c>
      <c r="P115" s="24">
        <v>46753.0</v>
      </c>
      <c r="Q115" s="24">
        <v>47118.0</v>
      </c>
      <c r="R115" s="20">
        <v>0.0</v>
      </c>
      <c r="S115" s="20">
        <v>1.0</v>
      </c>
      <c r="T115" s="24">
        <v>47119.0</v>
      </c>
      <c r="U115" s="24">
        <v>47483.0</v>
      </c>
      <c r="V115" s="20">
        <v>0.0</v>
      </c>
      <c r="W115" s="20">
        <v>1.0</v>
      </c>
      <c r="X115" s="24">
        <v>47484.0</v>
      </c>
      <c r="Y115" s="24">
        <v>47848.0</v>
      </c>
      <c r="Z115" s="20">
        <v>0.0</v>
      </c>
      <c r="AA115" s="20">
        <v>1.0</v>
      </c>
      <c r="AB115" s="24"/>
      <c r="AC115" s="24"/>
    </row>
    <row r="116" ht="14.25" customHeight="1">
      <c r="A116" s="46" t="s">
        <v>3658</v>
      </c>
      <c r="B116" s="20" t="s">
        <v>3659</v>
      </c>
      <c r="C116" s="20" t="s">
        <v>7041</v>
      </c>
      <c r="D116" s="24">
        <v>45658.0</v>
      </c>
      <c r="E116" s="24">
        <v>46022.0</v>
      </c>
      <c r="F116" s="20">
        <v>1.0</v>
      </c>
      <c r="G116" s="20">
        <v>1.0</v>
      </c>
      <c r="H116" s="24">
        <v>46023.0</v>
      </c>
      <c r="I116" s="24">
        <v>46387.0</v>
      </c>
      <c r="J116" s="20">
        <v>0.0</v>
      </c>
      <c r="K116" s="20">
        <v>1.0</v>
      </c>
      <c r="L116" s="24">
        <v>46388.0</v>
      </c>
      <c r="M116" s="24">
        <v>46752.0</v>
      </c>
      <c r="N116" s="20">
        <v>0.0</v>
      </c>
      <c r="O116" s="20">
        <v>1.0</v>
      </c>
      <c r="P116" s="24">
        <v>46753.0</v>
      </c>
      <c r="Q116" s="24">
        <v>47118.0</v>
      </c>
      <c r="R116" s="20">
        <v>0.0</v>
      </c>
      <c r="S116" s="20">
        <v>1.0</v>
      </c>
      <c r="T116" s="24">
        <v>47119.0</v>
      </c>
      <c r="U116" s="24">
        <v>47483.0</v>
      </c>
      <c r="V116" s="20">
        <v>0.0</v>
      </c>
      <c r="W116" s="20">
        <v>1.0</v>
      </c>
      <c r="X116" s="24">
        <v>47484.0</v>
      </c>
      <c r="Y116" s="24">
        <v>47848.0</v>
      </c>
      <c r="Z116" s="20">
        <v>0.0</v>
      </c>
      <c r="AA116" s="20">
        <v>1.0</v>
      </c>
      <c r="AB116" s="24"/>
      <c r="AC116" s="24"/>
    </row>
    <row r="117" ht="14.25" customHeight="1">
      <c r="A117" s="46" t="s">
        <v>608</v>
      </c>
      <c r="B117" s="20" t="s">
        <v>609</v>
      </c>
      <c r="C117" s="20" t="s">
        <v>7041</v>
      </c>
      <c r="D117" s="24">
        <v>45658.0</v>
      </c>
      <c r="E117" s="24">
        <v>46022.0</v>
      </c>
      <c r="F117" s="20">
        <v>0.0</v>
      </c>
      <c r="G117" s="20">
        <v>1.0</v>
      </c>
      <c r="H117" s="24">
        <v>46023.0</v>
      </c>
      <c r="I117" s="24">
        <v>46387.0</v>
      </c>
      <c r="J117" s="20">
        <v>0.0</v>
      </c>
      <c r="K117" s="20">
        <v>1.0</v>
      </c>
      <c r="L117" s="24">
        <v>46388.0</v>
      </c>
      <c r="M117" s="24">
        <v>46752.0</v>
      </c>
      <c r="N117" s="20">
        <v>0.0</v>
      </c>
      <c r="O117" s="20">
        <v>1.0</v>
      </c>
      <c r="P117" s="24">
        <v>46753.0</v>
      </c>
      <c r="Q117" s="24">
        <v>47118.0</v>
      </c>
      <c r="R117" s="20">
        <v>0.0</v>
      </c>
      <c r="S117" s="20">
        <v>1.0</v>
      </c>
      <c r="T117" s="24">
        <v>47119.0</v>
      </c>
      <c r="U117" s="24">
        <v>47483.0</v>
      </c>
      <c r="V117" s="20">
        <v>0.0</v>
      </c>
      <c r="W117" s="20">
        <v>1.0</v>
      </c>
      <c r="X117" s="24">
        <v>47484.0</v>
      </c>
      <c r="Y117" s="24">
        <v>47848.0</v>
      </c>
      <c r="Z117" s="20">
        <v>0.0</v>
      </c>
      <c r="AA117" s="20">
        <v>1.0</v>
      </c>
      <c r="AB117" s="24"/>
      <c r="AC117" s="24"/>
    </row>
    <row r="118" ht="14.25" customHeight="1">
      <c r="A118" s="46" t="s">
        <v>733</v>
      </c>
      <c r="B118" s="20" t="s">
        <v>734</v>
      </c>
      <c r="C118" s="20" t="s">
        <v>7041</v>
      </c>
      <c r="D118" s="24">
        <v>45658.0</v>
      </c>
      <c r="E118" s="24">
        <v>46022.0</v>
      </c>
      <c r="F118" s="20">
        <v>1.0</v>
      </c>
      <c r="G118" s="20">
        <v>1.0</v>
      </c>
      <c r="H118" s="24">
        <v>46023.0</v>
      </c>
      <c r="I118" s="24">
        <v>46387.0</v>
      </c>
      <c r="J118" s="20">
        <v>0.0</v>
      </c>
      <c r="K118" s="20">
        <v>1.0</v>
      </c>
      <c r="L118" s="24">
        <v>46388.0</v>
      </c>
      <c r="M118" s="24">
        <v>46752.0</v>
      </c>
      <c r="N118" s="20">
        <v>0.0</v>
      </c>
      <c r="O118" s="20">
        <v>1.0</v>
      </c>
      <c r="P118" s="24">
        <v>46753.0</v>
      </c>
      <c r="Q118" s="24">
        <v>47118.0</v>
      </c>
      <c r="R118" s="20">
        <v>0.0</v>
      </c>
      <c r="S118" s="20">
        <v>1.0</v>
      </c>
      <c r="T118" s="24">
        <v>47119.0</v>
      </c>
      <c r="U118" s="24">
        <v>47483.0</v>
      </c>
      <c r="V118" s="20">
        <v>0.0</v>
      </c>
      <c r="W118" s="20">
        <v>1.0</v>
      </c>
      <c r="X118" s="24">
        <v>47484.0</v>
      </c>
      <c r="Y118" s="24">
        <v>47848.0</v>
      </c>
      <c r="Z118" s="20">
        <v>0.0</v>
      </c>
      <c r="AA118" s="20">
        <v>1.0</v>
      </c>
      <c r="AB118" s="24"/>
      <c r="AC118" s="24"/>
    </row>
    <row r="119" ht="14.25" customHeight="1">
      <c r="A119" s="46" t="s">
        <v>367</v>
      </c>
      <c r="B119" s="20" t="s">
        <v>368</v>
      </c>
      <c r="C119" s="20" t="s">
        <v>7041</v>
      </c>
      <c r="D119" s="24">
        <v>45658.0</v>
      </c>
      <c r="E119" s="24">
        <v>46022.0</v>
      </c>
      <c r="F119" s="20">
        <v>1.0</v>
      </c>
      <c r="G119" s="20">
        <v>1.0</v>
      </c>
      <c r="H119" s="24">
        <v>46023.0</v>
      </c>
      <c r="I119" s="24">
        <v>46387.0</v>
      </c>
      <c r="J119" s="20">
        <v>0.0</v>
      </c>
      <c r="K119" s="20">
        <v>1.0</v>
      </c>
      <c r="L119" s="24">
        <v>46388.0</v>
      </c>
      <c r="M119" s="24">
        <v>46752.0</v>
      </c>
      <c r="N119" s="20">
        <v>0.0</v>
      </c>
      <c r="O119" s="20">
        <v>1.0</v>
      </c>
      <c r="P119" s="24">
        <v>46753.0</v>
      </c>
      <c r="Q119" s="24">
        <v>47118.0</v>
      </c>
      <c r="R119" s="20">
        <v>0.0</v>
      </c>
      <c r="S119" s="20">
        <v>1.0</v>
      </c>
      <c r="T119" s="24">
        <v>47119.0</v>
      </c>
      <c r="U119" s="24">
        <v>47483.0</v>
      </c>
      <c r="V119" s="20">
        <v>0.0</v>
      </c>
      <c r="W119" s="20">
        <v>1.0</v>
      </c>
      <c r="X119" s="24">
        <v>47484.0</v>
      </c>
      <c r="Y119" s="24">
        <v>47848.0</v>
      </c>
      <c r="Z119" s="20">
        <v>0.0</v>
      </c>
      <c r="AA119" s="20">
        <v>1.0</v>
      </c>
      <c r="AB119" s="24"/>
      <c r="AC119" s="24"/>
    </row>
    <row r="120" ht="14.25" customHeight="1">
      <c r="A120" s="46" t="s">
        <v>4002</v>
      </c>
      <c r="B120" s="20" t="s">
        <v>4003</v>
      </c>
      <c r="C120" s="20" t="s">
        <v>7041</v>
      </c>
      <c r="D120" s="24">
        <v>45658.0</v>
      </c>
      <c r="E120" s="24">
        <v>46022.0</v>
      </c>
      <c r="F120" s="20">
        <v>1.0</v>
      </c>
      <c r="G120" s="20">
        <v>1.0</v>
      </c>
      <c r="H120" s="24">
        <v>46023.0</v>
      </c>
      <c r="I120" s="24">
        <v>46387.0</v>
      </c>
      <c r="J120" s="20">
        <v>0.0</v>
      </c>
      <c r="K120" s="20">
        <v>1.0</v>
      </c>
      <c r="L120" s="24">
        <v>46388.0</v>
      </c>
      <c r="M120" s="24">
        <v>46752.0</v>
      </c>
      <c r="N120" s="20">
        <v>0.0</v>
      </c>
      <c r="O120" s="20">
        <v>1.0</v>
      </c>
      <c r="P120" s="24">
        <v>46753.0</v>
      </c>
      <c r="Q120" s="24">
        <v>47118.0</v>
      </c>
      <c r="R120" s="20">
        <v>0.0</v>
      </c>
      <c r="S120" s="20">
        <v>1.0</v>
      </c>
      <c r="T120" s="24">
        <v>47119.0</v>
      </c>
      <c r="U120" s="24">
        <v>47483.0</v>
      </c>
      <c r="V120" s="20">
        <v>0.0</v>
      </c>
      <c r="W120" s="20">
        <v>1.0</v>
      </c>
      <c r="X120" s="24">
        <v>47484.0</v>
      </c>
      <c r="Y120" s="24">
        <v>47848.0</v>
      </c>
      <c r="Z120" s="20">
        <v>0.0</v>
      </c>
      <c r="AA120" s="20">
        <v>1.0</v>
      </c>
      <c r="AB120" s="24"/>
      <c r="AC120" s="24"/>
    </row>
    <row r="121" ht="14.25" customHeight="1">
      <c r="A121" s="46" t="s">
        <v>6269</v>
      </c>
      <c r="B121" s="20" t="s">
        <v>6270</v>
      </c>
      <c r="C121" s="20" t="s">
        <v>7041</v>
      </c>
      <c r="D121" s="24">
        <v>45658.0</v>
      </c>
      <c r="E121" s="24">
        <v>46022.0</v>
      </c>
      <c r="F121" s="20">
        <v>1.0</v>
      </c>
      <c r="G121" s="20">
        <v>1.0</v>
      </c>
      <c r="H121" s="24">
        <v>46023.0</v>
      </c>
      <c r="I121" s="24">
        <v>46387.0</v>
      </c>
      <c r="J121" s="20">
        <v>0.0</v>
      </c>
      <c r="K121" s="20">
        <v>1.0</v>
      </c>
      <c r="L121" s="24">
        <v>46388.0</v>
      </c>
      <c r="M121" s="24">
        <v>46752.0</v>
      </c>
      <c r="N121" s="20">
        <v>0.0</v>
      </c>
      <c r="O121" s="20">
        <v>1.0</v>
      </c>
      <c r="P121" s="24">
        <v>46753.0</v>
      </c>
      <c r="Q121" s="24">
        <v>47118.0</v>
      </c>
      <c r="R121" s="20">
        <v>0.0</v>
      </c>
      <c r="S121" s="20">
        <v>1.0</v>
      </c>
      <c r="T121" s="24">
        <v>47119.0</v>
      </c>
      <c r="U121" s="24">
        <v>47483.0</v>
      </c>
      <c r="V121" s="20">
        <v>0.0</v>
      </c>
      <c r="W121" s="20">
        <v>1.0</v>
      </c>
      <c r="X121" s="24">
        <v>47484.0</v>
      </c>
      <c r="Y121" s="24">
        <v>47848.0</v>
      </c>
      <c r="Z121" s="20">
        <v>0.0</v>
      </c>
      <c r="AA121" s="20">
        <v>1.0</v>
      </c>
      <c r="AB121" s="24"/>
      <c r="AC121" s="24"/>
    </row>
    <row r="122" ht="14.25" customHeight="1">
      <c r="A122" s="46" t="s">
        <v>702</v>
      </c>
      <c r="B122" s="20" t="s">
        <v>703</v>
      </c>
      <c r="C122" s="20" t="s">
        <v>7041</v>
      </c>
      <c r="D122" s="24">
        <v>45658.0</v>
      </c>
      <c r="E122" s="24">
        <v>46022.0</v>
      </c>
      <c r="F122" s="20">
        <v>1.0</v>
      </c>
      <c r="G122" s="20">
        <v>1.0</v>
      </c>
      <c r="H122" s="24">
        <v>46023.0</v>
      </c>
      <c r="I122" s="24">
        <v>46387.0</v>
      </c>
      <c r="J122" s="20">
        <v>0.0</v>
      </c>
      <c r="K122" s="20">
        <v>1.0</v>
      </c>
      <c r="L122" s="24">
        <v>46388.0</v>
      </c>
      <c r="M122" s="24">
        <v>46752.0</v>
      </c>
      <c r="N122" s="20">
        <v>0.0</v>
      </c>
      <c r="O122" s="20">
        <v>1.0</v>
      </c>
      <c r="P122" s="24">
        <v>46753.0</v>
      </c>
      <c r="Q122" s="24">
        <v>47118.0</v>
      </c>
      <c r="R122" s="20">
        <v>0.0</v>
      </c>
      <c r="S122" s="20">
        <v>1.0</v>
      </c>
      <c r="T122" s="24">
        <v>47119.0</v>
      </c>
      <c r="U122" s="24">
        <v>47483.0</v>
      </c>
      <c r="V122" s="20">
        <v>0.0</v>
      </c>
      <c r="W122" s="20">
        <v>1.0</v>
      </c>
      <c r="X122" s="24">
        <v>47484.0</v>
      </c>
      <c r="Y122" s="24">
        <v>47848.0</v>
      </c>
      <c r="Z122" s="20">
        <v>0.0</v>
      </c>
      <c r="AA122" s="20">
        <v>1.0</v>
      </c>
      <c r="AB122" s="24"/>
      <c r="AC122" s="24"/>
    </row>
    <row r="123" ht="14.25" customHeight="1">
      <c r="A123" s="46" t="s">
        <v>3272</v>
      </c>
      <c r="B123" s="20" t="s">
        <v>3273</v>
      </c>
      <c r="C123" s="20" t="s">
        <v>7041</v>
      </c>
      <c r="D123" s="24">
        <v>45658.0</v>
      </c>
      <c r="E123" s="24">
        <v>46022.0</v>
      </c>
      <c r="F123" s="20">
        <v>0.0</v>
      </c>
      <c r="G123" s="20">
        <v>1.0</v>
      </c>
      <c r="H123" s="24">
        <v>46023.0</v>
      </c>
      <c r="I123" s="24">
        <v>46387.0</v>
      </c>
      <c r="J123" s="20">
        <v>0.0</v>
      </c>
      <c r="K123" s="20">
        <v>1.0</v>
      </c>
      <c r="L123" s="24">
        <v>46388.0</v>
      </c>
      <c r="M123" s="24">
        <v>46752.0</v>
      </c>
      <c r="N123" s="20">
        <v>0.0</v>
      </c>
      <c r="O123" s="20">
        <v>1.0</v>
      </c>
      <c r="P123" s="24">
        <v>46753.0</v>
      </c>
      <c r="Q123" s="24">
        <v>47118.0</v>
      </c>
      <c r="R123" s="20">
        <v>0.0</v>
      </c>
      <c r="S123" s="20">
        <v>1.0</v>
      </c>
      <c r="T123" s="24">
        <v>47119.0</v>
      </c>
      <c r="U123" s="24">
        <v>47483.0</v>
      </c>
      <c r="V123" s="20">
        <v>0.0</v>
      </c>
      <c r="W123" s="20">
        <v>1.0</v>
      </c>
      <c r="X123" s="24">
        <v>47484.0</v>
      </c>
      <c r="Y123" s="24">
        <v>47848.0</v>
      </c>
      <c r="Z123" s="20">
        <v>0.0</v>
      </c>
      <c r="AA123" s="20">
        <v>1.0</v>
      </c>
      <c r="AB123" s="24"/>
      <c r="AC123" s="24"/>
    </row>
    <row r="124" ht="14.25" customHeight="1">
      <c r="A124" s="46" t="s">
        <v>3916</v>
      </c>
      <c r="B124" s="20" t="s">
        <v>3917</v>
      </c>
      <c r="C124" s="20" t="s">
        <v>7041</v>
      </c>
      <c r="D124" s="24">
        <v>45658.0</v>
      </c>
      <c r="E124" s="24">
        <v>46022.0</v>
      </c>
      <c r="F124" s="20">
        <v>1.0</v>
      </c>
      <c r="G124" s="20">
        <v>1.0</v>
      </c>
      <c r="H124" s="24">
        <v>46023.0</v>
      </c>
      <c r="I124" s="24">
        <v>46387.0</v>
      </c>
      <c r="J124" s="20">
        <v>0.0</v>
      </c>
      <c r="K124" s="20">
        <v>1.0</v>
      </c>
      <c r="L124" s="24">
        <v>46388.0</v>
      </c>
      <c r="M124" s="24">
        <v>46752.0</v>
      </c>
      <c r="N124" s="20">
        <v>0.0</v>
      </c>
      <c r="O124" s="20">
        <v>1.0</v>
      </c>
      <c r="P124" s="24">
        <v>46753.0</v>
      </c>
      <c r="Q124" s="24">
        <v>47118.0</v>
      </c>
      <c r="R124" s="20">
        <v>0.0</v>
      </c>
      <c r="S124" s="20">
        <v>1.0</v>
      </c>
      <c r="T124" s="24">
        <v>47119.0</v>
      </c>
      <c r="U124" s="24">
        <v>47483.0</v>
      </c>
      <c r="V124" s="20">
        <v>0.0</v>
      </c>
      <c r="W124" s="20">
        <v>1.0</v>
      </c>
      <c r="X124" s="24">
        <v>47484.0</v>
      </c>
      <c r="Y124" s="24">
        <v>47848.0</v>
      </c>
      <c r="Z124" s="20">
        <v>0.0</v>
      </c>
      <c r="AA124" s="20">
        <v>1.0</v>
      </c>
      <c r="AB124" s="24"/>
      <c r="AC124" s="24"/>
    </row>
    <row r="125" ht="14.25" customHeight="1">
      <c r="A125" s="46" t="s">
        <v>2633</v>
      </c>
      <c r="B125" s="20" t="s">
        <v>2634</v>
      </c>
      <c r="C125" s="20" t="s">
        <v>7041</v>
      </c>
      <c r="D125" s="24">
        <v>45658.0</v>
      </c>
      <c r="E125" s="24">
        <v>46022.0</v>
      </c>
      <c r="F125" s="20">
        <v>0.0</v>
      </c>
      <c r="G125" s="20">
        <v>1.0</v>
      </c>
      <c r="H125" s="24">
        <v>46023.0</v>
      </c>
      <c r="I125" s="24">
        <v>46387.0</v>
      </c>
      <c r="J125" s="20">
        <v>0.0</v>
      </c>
      <c r="K125" s="20">
        <v>1.0</v>
      </c>
      <c r="L125" s="24">
        <v>46388.0</v>
      </c>
      <c r="M125" s="24">
        <v>46752.0</v>
      </c>
      <c r="N125" s="20">
        <v>0.0</v>
      </c>
      <c r="O125" s="20">
        <v>1.0</v>
      </c>
      <c r="P125" s="24">
        <v>46753.0</v>
      </c>
      <c r="Q125" s="24">
        <v>47118.0</v>
      </c>
      <c r="R125" s="20">
        <v>0.0</v>
      </c>
      <c r="S125" s="20">
        <v>1.0</v>
      </c>
      <c r="T125" s="24">
        <v>47119.0</v>
      </c>
      <c r="U125" s="24">
        <v>47483.0</v>
      </c>
      <c r="V125" s="20">
        <v>0.0</v>
      </c>
      <c r="W125" s="20">
        <v>1.0</v>
      </c>
      <c r="X125" s="24">
        <v>47484.0</v>
      </c>
      <c r="Y125" s="24">
        <v>47848.0</v>
      </c>
      <c r="Z125" s="20">
        <v>0.0</v>
      </c>
      <c r="AA125" s="20">
        <v>1.0</v>
      </c>
      <c r="AB125" s="24"/>
      <c r="AC125" s="24"/>
    </row>
    <row r="126" ht="14.25" customHeight="1">
      <c r="A126" s="46" t="s">
        <v>3672</v>
      </c>
      <c r="B126" s="20" t="s">
        <v>3673</v>
      </c>
      <c r="C126" s="20" t="s">
        <v>7041</v>
      </c>
      <c r="D126" s="24">
        <v>45658.0</v>
      </c>
      <c r="E126" s="24">
        <v>46022.0</v>
      </c>
      <c r="F126" s="20">
        <v>0.0</v>
      </c>
      <c r="G126" s="20">
        <v>1.0</v>
      </c>
      <c r="H126" s="24">
        <v>46023.0</v>
      </c>
      <c r="I126" s="24">
        <v>46387.0</v>
      </c>
      <c r="J126" s="20">
        <v>0.0</v>
      </c>
      <c r="K126" s="20">
        <v>1.0</v>
      </c>
      <c r="L126" s="24">
        <v>46388.0</v>
      </c>
      <c r="M126" s="24">
        <v>46752.0</v>
      </c>
      <c r="N126" s="20">
        <v>0.0</v>
      </c>
      <c r="O126" s="20">
        <v>1.0</v>
      </c>
      <c r="P126" s="24">
        <v>46753.0</v>
      </c>
      <c r="Q126" s="24">
        <v>47118.0</v>
      </c>
      <c r="R126" s="20">
        <v>0.0</v>
      </c>
      <c r="S126" s="20">
        <v>1.0</v>
      </c>
      <c r="T126" s="24">
        <v>47119.0</v>
      </c>
      <c r="U126" s="24">
        <v>47483.0</v>
      </c>
      <c r="V126" s="20">
        <v>0.0</v>
      </c>
      <c r="W126" s="20">
        <v>1.0</v>
      </c>
      <c r="X126" s="24">
        <v>47484.0</v>
      </c>
      <c r="Y126" s="24">
        <v>47848.0</v>
      </c>
      <c r="Z126" s="20">
        <v>0.0</v>
      </c>
      <c r="AA126" s="20">
        <v>1.0</v>
      </c>
      <c r="AB126" s="24"/>
      <c r="AC126" s="24"/>
    </row>
    <row r="127" ht="14.25" customHeight="1">
      <c r="A127" s="46" t="s">
        <v>4868</v>
      </c>
      <c r="B127" s="20" t="s">
        <v>4869</v>
      </c>
      <c r="C127" s="20" t="s">
        <v>7041</v>
      </c>
      <c r="D127" s="24">
        <v>45658.0</v>
      </c>
      <c r="E127" s="24">
        <v>46022.0</v>
      </c>
      <c r="F127" s="20">
        <v>1.0</v>
      </c>
      <c r="G127" s="20">
        <v>1.0</v>
      </c>
      <c r="H127" s="24">
        <v>46023.0</v>
      </c>
      <c r="I127" s="24">
        <v>46387.0</v>
      </c>
      <c r="J127" s="20">
        <v>0.0</v>
      </c>
      <c r="K127" s="20">
        <v>1.0</v>
      </c>
      <c r="L127" s="24">
        <v>46388.0</v>
      </c>
      <c r="M127" s="24">
        <v>46752.0</v>
      </c>
      <c r="N127" s="20">
        <v>0.0</v>
      </c>
      <c r="O127" s="20">
        <v>1.0</v>
      </c>
      <c r="P127" s="24">
        <v>46753.0</v>
      </c>
      <c r="Q127" s="24">
        <v>47118.0</v>
      </c>
      <c r="R127" s="20">
        <v>0.0</v>
      </c>
      <c r="S127" s="20">
        <v>1.0</v>
      </c>
      <c r="T127" s="24">
        <v>47119.0</v>
      </c>
      <c r="U127" s="24">
        <v>47483.0</v>
      </c>
      <c r="V127" s="20">
        <v>0.0</v>
      </c>
      <c r="W127" s="20">
        <v>1.0</v>
      </c>
      <c r="X127" s="24">
        <v>47484.0</v>
      </c>
      <c r="Y127" s="24">
        <v>47848.0</v>
      </c>
      <c r="Z127" s="20">
        <v>0.0</v>
      </c>
      <c r="AA127" s="20">
        <v>1.0</v>
      </c>
      <c r="AB127" s="24"/>
      <c r="AC127" s="24"/>
    </row>
    <row r="128" ht="14.25" customHeight="1">
      <c r="A128" s="46" t="s">
        <v>2390</v>
      </c>
      <c r="B128" s="20" t="s">
        <v>2391</v>
      </c>
      <c r="C128" s="20" t="s">
        <v>7041</v>
      </c>
      <c r="D128" s="24">
        <v>45658.0</v>
      </c>
      <c r="E128" s="24">
        <v>46022.0</v>
      </c>
      <c r="F128" s="20">
        <v>0.0</v>
      </c>
      <c r="G128" s="20">
        <v>1.0</v>
      </c>
      <c r="H128" s="24">
        <v>46023.0</v>
      </c>
      <c r="I128" s="24">
        <v>46387.0</v>
      </c>
      <c r="J128" s="20">
        <v>0.0</v>
      </c>
      <c r="K128" s="20">
        <v>1.0</v>
      </c>
      <c r="L128" s="24">
        <v>46388.0</v>
      </c>
      <c r="M128" s="24">
        <v>46752.0</v>
      </c>
      <c r="N128" s="20">
        <v>0.0</v>
      </c>
      <c r="O128" s="20">
        <v>1.0</v>
      </c>
      <c r="P128" s="24">
        <v>46753.0</v>
      </c>
      <c r="Q128" s="24">
        <v>47118.0</v>
      </c>
      <c r="R128" s="20">
        <v>0.0</v>
      </c>
      <c r="S128" s="20">
        <v>1.0</v>
      </c>
      <c r="T128" s="24">
        <v>47119.0</v>
      </c>
      <c r="U128" s="24">
        <v>47483.0</v>
      </c>
      <c r="V128" s="20">
        <v>0.0</v>
      </c>
      <c r="W128" s="20">
        <v>1.0</v>
      </c>
      <c r="X128" s="24">
        <v>47484.0</v>
      </c>
      <c r="Y128" s="24">
        <v>47848.0</v>
      </c>
      <c r="Z128" s="20">
        <v>0.0</v>
      </c>
      <c r="AA128" s="20">
        <v>1.0</v>
      </c>
      <c r="AB128" s="24"/>
      <c r="AC128" s="24"/>
    </row>
    <row r="129" ht="14.25" customHeight="1">
      <c r="A129" s="46" t="s">
        <v>316</v>
      </c>
      <c r="B129" s="20" t="s">
        <v>317</v>
      </c>
      <c r="C129" s="20" t="s">
        <v>7041</v>
      </c>
      <c r="D129" s="24">
        <v>45658.0</v>
      </c>
      <c r="E129" s="24">
        <v>46022.0</v>
      </c>
      <c r="F129" s="20">
        <v>0.0</v>
      </c>
      <c r="G129" s="20">
        <v>1.0</v>
      </c>
      <c r="H129" s="24">
        <v>46023.0</v>
      </c>
      <c r="I129" s="24">
        <v>46387.0</v>
      </c>
      <c r="J129" s="20">
        <v>0.0</v>
      </c>
      <c r="K129" s="20">
        <v>1.0</v>
      </c>
      <c r="L129" s="24">
        <v>46388.0</v>
      </c>
      <c r="M129" s="24">
        <v>46752.0</v>
      </c>
      <c r="N129" s="20">
        <v>0.0</v>
      </c>
      <c r="O129" s="20">
        <v>1.0</v>
      </c>
      <c r="P129" s="24">
        <v>46753.0</v>
      </c>
      <c r="Q129" s="24">
        <v>47118.0</v>
      </c>
      <c r="R129" s="20">
        <v>0.0</v>
      </c>
      <c r="S129" s="20">
        <v>1.0</v>
      </c>
      <c r="T129" s="24">
        <v>47119.0</v>
      </c>
      <c r="U129" s="24">
        <v>47483.0</v>
      </c>
      <c r="V129" s="20">
        <v>0.0</v>
      </c>
      <c r="W129" s="20">
        <v>1.0</v>
      </c>
      <c r="X129" s="24">
        <v>47484.0</v>
      </c>
      <c r="Y129" s="24">
        <v>47848.0</v>
      </c>
      <c r="Z129" s="20">
        <v>0.0</v>
      </c>
      <c r="AA129" s="20">
        <v>1.0</v>
      </c>
      <c r="AB129" s="24"/>
      <c r="AC129" s="24"/>
    </row>
    <row r="130" ht="14.25" customHeight="1">
      <c r="A130" s="46" t="s">
        <v>585</v>
      </c>
      <c r="B130" s="20" t="s">
        <v>586</v>
      </c>
      <c r="C130" s="20" t="s">
        <v>7041</v>
      </c>
      <c r="D130" s="24">
        <v>45658.0</v>
      </c>
      <c r="E130" s="24">
        <v>46022.0</v>
      </c>
      <c r="F130" s="20">
        <v>0.0</v>
      </c>
      <c r="G130" s="20">
        <v>1.0</v>
      </c>
      <c r="H130" s="24">
        <v>46023.0</v>
      </c>
      <c r="I130" s="24">
        <v>46387.0</v>
      </c>
      <c r="J130" s="20">
        <v>0.0</v>
      </c>
      <c r="K130" s="20">
        <v>1.0</v>
      </c>
      <c r="L130" s="24">
        <v>46388.0</v>
      </c>
      <c r="M130" s="24">
        <v>46752.0</v>
      </c>
      <c r="N130" s="20">
        <v>0.0</v>
      </c>
      <c r="O130" s="20">
        <v>1.0</v>
      </c>
      <c r="P130" s="24">
        <v>46753.0</v>
      </c>
      <c r="Q130" s="24">
        <v>47118.0</v>
      </c>
      <c r="R130" s="20">
        <v>0.0</v>
      </c>
      <c r="S130" s="20">
        <v>1.0</v>
      </c>
      <c r="T130" s="24">
        <v>47119.0</v>
      </c>
      <c r="U130" s="24">
        <v>47483.0</v>
      </c>
      <c r="V130" s="20">
        <v>0.0</v>
      </c>
      <c r="W130" s="20">
        <v>1.0</v>
      </c>
      <c r="X130" s="24">
        <v>47484.0</v>
      </c>
      <c r="Y130" s="24">
        <v>47848.0</v>
      </c>
      <c r="Z130" s="20">
        <v>0.0</v>
      </c>
      <c r="AA130" s="20">
        <v>1.0</v>
      </c>
      <c r="AB130" s="24"/>
      <c r="AC130" s="24"/>
    </row>
    <row r="131" ht="14.25" customHeight="1">
      <c r="A131" s="46" t="s">
        <v>737</v>
      </c>
      <c r="B131" s="20" t="s">
        <v>738</v>
      </c>
      <c r="C131" s="20" t="s">
        <v>7041</v>
      </c>
      <c r="D131" s="24">
        <v>45658.0</v>
      </c>
      <c r="E131" s="24">
        <v>46022.0</v>
      </c>
      <c r="F131" s="20">
        <v>0.0</v>
      </c>
      <c r="G131" s="20">
        <v>1.0</v>
      </c>
      <c r="H131" s="24">
        <v>46023.0</v>
      </c>
      <c r="I131" s="24">
        <v>46387.0</v>
      </c>
      <c r="J131" s="20">
        <v>0.0</v>
      </c>
      <c r="K131" s="20">
        <v>1.0</v>
      </c>
      <c r="L131" s="24">
        <v>46388.0</v>
      </c>
      <c r="M131" s="24">
        <v>46752.0</v>
      </c>
      <c r="N131" s="20">
        <v>0.0</v>
      </c>
      <c r="O131" s="20">
        <v>1.0</v>
      </c>
      <c r="P131" s="24">
        <v>46753.0</v>
      </c>
      <c r="Q131" s="24">
        <v>47118.0</v>
      </c>
      <c r="R131" s="20">
        <v>0.0</v>
      </c>
      <c r="S131" s="20">
        <v>1.0</v>
      </c>
      <c r="T131" s="24">
        <v>47119.0</v>
      </c>
      <c r="U131" s="24">
        <v>47483.0</v>
      </c>
      <c r="V131" s="20">
        <v>0.0</v>
      </c>
      <c r="W131" s="20">
        <v>1.0</v>
      </c>
      <c r="X131" s="24">
        <v>47484.0</v>
      </c>
      <c r="Y131" s="24">
        <v>47848.0</v>
      </c>
      <c r="Z131" s="20">
        <v>0.0</v>
      </c>
      <c r="AA131" s="20">
        <v>1.0</v>
      </c>
      <c r="AB131" s="24"/>
      <c r="AC131" s="24"/>
    </row>
    <row r="132" ht="14.25" customHeight="1">
      <c r="A132" s="46" t="s">
        <v>827</v>
      </c>
      <c r="B132" s="20" t="s">
        <v>828</v>
      </c>
      <c r="C132" s="20" t="s">
        <v>7041</v>
      </c>
      <c r="D132" s="24">
        <v>45658.0</v>
      </c>
      <c r="E132" s="24">
        <v>46022.0</v>
      </c>
      <c r="F132" s="20">
        <v>0.0</v>
      </c>
      <c r="G132" s="20">
        <v>1.0</v>
      </c>
      <c r="H132" s="24">
        <v>46023.0</v>
      </c>
      <c r="I132" s="24">
        <v>46387.0</v>
      </c>
      <c r="J132" s="20">
        <v>0.0</v>
      </c>
      <c r="K132" s="20">
        <v>1.0</v>
      </c>
      <c r="L132" s="24">
        <v>46388.0</v>
      </c>
      <c r="M132" s="24">
        <v>46752.0</v>
      </c>
      <c r="N132" s="20">
        <v>0.0</v>
      </c>
      <c r="O132" s="20">
        <v>1.0</v>
      </c>
      <c r="P132" s="24">
        <v>46753.0</v>
      </c>
      <c r="Q132" s="24">
        <v>47118.0</v>
      </c>
      <c r="R132" s="20">
        <v>0.0</v>
      </c>
      <c r="S132" s="20">
        <v>1.0</v>
      </c>
      <c r="T132" s="24">
        <v>47119.0</v>
      </c>
      <c r="U132" s="24">
        <v>47483.0</v>
      </c>
      <c r="V132" s="20">
        <v>0.0</v>
      </c>
      <c r="W132" s="20">
        <v>1.0</v>
      </c>
      <c r="X132" s="24">
        <v>47484.0</v>
      </c>
      <c r="Y132" s="24">
        <v>47848.0</v>
      </c>
      <c r="Z132" s="20">
        <v>0.0</v>
      </c>
      <c r="AA132" s="20">
        <v>1.0</v>
      </c>
      <c r="AB132" s="24"/>
      <c r="AC132" s="24"/>
    </row>
    <row r="133" ht="14.25" customHeight="1">
      <c r="A133" s="46" t="s">
        <v>941</v>
      </c>
      <c r="B133" s="20" t="s">
        <v>942</v>
      </c>
      <c r="C133" s="20" t="s">
        <v>7041</v>
      </c>
      <c r="D133" s="24">
        <v>45658.0</v>
      </c>
      <c r="E133" s="24">
        <v>46022.0</v>
      </c>
      <c r="F133" s="20">
        <v>0.0</v>
      </c>
      <c r="G133" s="20">
        <v>1.0</v>
      </c>
      <c r="H133" s="24">
        <v>46023.0</v>
      </c>
      <c r="I133" s="24">
        <v>46387.0</v>
      </c>
      <c r="J133" s="20">
        <v>0.0</v>
      </c>
      <c r="K133" s="20">
        <v>1.0</v>
      </c>
      <c r="L133" s="24">
        <v>46388.0</v>
      </c>
      <c r="M133" s="24">
        <v>46752.0</v>
      </c>
      <c r="N133" s="20">
        <v>0.0</v>
      </c>
      <c r="O133" s="20">
        <v>1.0</v>
      </c>
      <c r="P133" s="24">
        <v>46753.0</v>
      </c>
      <c r="Q133" s="24">
        <v>47118.0</v>
      </c>
      <c r="R133" s="20">
        <v>0.0</v>
      </c>
      <c r="S133" s="20">
        <v>1.0</v>
      </c>
      <c r="T133" s="24">
        <v>47119.0</v>
      </c>
      <c r="U133" s="24">
        <v>47483.0</v>
      </c>
      <c r="V133" s="20">
        <v>0.0</v>
      </c>
      <c r="W133" s="20">
        <v>1.0</v>
      </c>
      <c r="X133" s="24">
        <v>47484.0</v>
      </c>
      <c r="Y133" s="24">
        <v>47848.0</v>
      </c>
      <c r="Z133" s="20">
        <v>0.0</v>
      </c>
      <c r="AA133" s="20">
        <v>1.0</v>
      </c>
      <c r="AB133" s="24"/>
      <c r="AC133" s="24"/>
    </row>
    <row r="134" ht="14.25" customHeight="1">
      <c r="A134" s="46" t="s">
        <v>1036</v>
      </c>
      <c r="B134" s="20" t="s">
        <v>1037</v>
      </c>
      <c r="C134" s="20" t="s">
        <v>7041</v>
      </c>
      <c r="D134" s="24">
        <v>45658.0</v>
      </c>
      <c r="E134" s="24">
        <v>46022.0</v>
      </c>
      <c r="F134" s="20">
        <v>0.0</v>
      </c>
      <c r="G134" s="20">
        <v>1.0</v>
      </c>
      <c r="H134" s="24">
        <v>46023.0</v>
      </c>
      <c r="I134" s="24">
        <v>46387.0</v>
      </c>
      <c r="J134" s="20">
        <v>0.0</v>
      </c>
      <c r="K134" s="20">
        <v>1.0</v>
      </c>
      <c r="L134" s="24">
        <v>46388.0</v>
      </c>
      <c r="M134" s="24">
        <v>46752.0</v>
      </c>
      <c r="N134" s="20">
        <v>0.0</v>
      </c>
      <c r="O134" s="20">
        <v>1.0</v>
      </c>
      <c r="P134" s="24">
        <v>46753.0</v>
      </c>
      <c r="Q134" s="24">
        <v>47118.0</v>
      </c>
      <c r="R134" s="20">
        <v>0.0</v>
      </c>
      <c r="S134" s="20">
        <v>1.0</v>
      </c>
      <c r="T134" s="24">
        <v>47119.0</v>
      </c>
      <c r="U134" s="24">
        <v>47483.0</v>
      </c>
      <c r="V134" s="20">
        <v>0.0</v>
      </c>
      <c r="W134" s="20">
        <v>1.0</v>
      </c>
      <c r="X134" s="24">
        <v>47484.0</v>
      </c>
      <c r="Y134" s="24">
        <v>47848.0</v>
      </c>
      <c r="Z134" s="20">
        <v>0.0</v>
      </c>
      <c r="AA134" s="20">
        <v>1.0</v>
      </c>
      <c r="AB134" s="24"/>
      <c r="AC134" s="24"/>
    </row>
    <row r="135" ht="14.25" customHeight="1">
      <c r="A135" s="46" t="s">
        <v>1057</v>
      </c>
      <c r="B135" s="20" t="s">
        <v>1058</v>
      </c>
      <c r="C135" s="20" t="s">
        <v>7041</v>
      </c>
      <c r="D135" s="24">
        <v>45658.0</v>
      </c>
      <c r="E135" s="24">
        <v>46022.0</v>
      </c>
      <c r="F135" s="20">
        <v>0.0</v>
      </c>
      <c r="G135" s="20">
        <v>1.0</v>
      </c>
      <c r="H135" s="24">
        <v>46023.0</v>
      </c>
      <c r="I135" s="24">
        <v>46387.0</v>
      </c>
      <c r="J135" s="20">
        <v>0.0</v>
      </c>
      <c r="K135" s="20">
        <v>1.0</v>
      </c>
      <c r="L135" s="24">
        <v>46388.0</v>
      </c>
      <c r="M135" s="24">
        <v>46752.0</v>
      </c>
      <c r="N135" s="20">
        <v>0.0</v>
      </c>
      <c r="O135" s="20">
        <v>1.0</v>
      </c>
      <c r="P135" s="24">
        <v>46753.0</v>
      </c>
      <c r="Q135" s="24">
        <v>47118.0</v>
      </c>
      <c r="R135" s="20">
        <v>0.0</v>
      </c>
      <c r="S135" s="20">
        <v>1.0</v>
      </c>
      <c r="T135" s="24">
        <v>47119.0</v>
      </c>
      <c r="U135" s="24">
        <v>47483.0</v>
      </c>
      <c r="V135" s="20">
        <v>0.0</v>
      </c>
      <c r="W135" s="20">
        <v>1.0</v>
      </c>
      <c r="X135" s="24">
        <v>47484.0</v>
      </c>
      <c r="Y135" s="24">
        <v>47848.0</v>
      </c>
      <c r="Z135" s="20">
        <v>0.0</v>
      </c>
      <c r="AA135" s="20">
        <v>1.0</v>
      </c>
      <c r="AB135" s="24"/>
      <c r="AC135" s="24"/>
    </row>
    <row r="136" ht="14.25" customHeight="1">
      <c r="A136" s="46" t="s">
        <v>1109</v>
      </c>
      <c r="B136" s="20" t="s">
        <v>1110</v>
      </c>
      <c r="C136" s="20" t="s">
        <v>7041</v>
      </c>
      <c r="D136" s="24">
        <v>45658.0</v>
      </c>
      <c r="E136" s="24">
        <v>46022.0</v>
      </c>
      <c r="F136" s="20">
        <v>0.0</v>
      </c>
      <c r="G136" s="20">
        <v>1.0</v>
      </c>
      <c r="H136" s="24">
        <v>46023.0</v>
      </c>
      <c r="I136" s="24">
        <v>46387.0</v>
      </c>
      <c r="J136" s="20">
        <v>0.0</v>
      </c>
      <c r="K136" s="20">
        <v>1.0</v>
      </c>
      <c r="L136" s="24">
        <v>46388.0</v>
      </c>
      <c r="M136" s="24">
        <v>46752.0</v>
      </c>
      <c r="N136" s="20">
        <v>0.0</v>
      </c>
      <c r="O136" s="20">
        <v>1.0</v>
      </c>
      <c r="P136" s="24">
        <v>46753.0</v>
      </c>
      <c r="Q136" s="24">
        <v>47118.0</v>
      </c>
      <c r="R136" s="20">
        <v>0.0</v>
      </c>
      <c r="S136" s="20">
        <v>1.0</v>
      </c>
      <c r="T136" s="24">
        <v>47119.0</v>
      </c>
      <c r="U136" s="24">
        <v>47483.0</v>
      </c>
      <c r="V136" s="20">
        <v>0.0</v>
      </c>
      <c r="W136" s="20">
        <v>1.0</v>
      </c>
      <c r="X136" s="24">
        <v>47484.0</v>
      </c>
      <c r="Y136" s="24">
        <v>47848.0</v>
      </c>
      <c r="Z136" s="20">
        <v>0.0</v>
      </c>
      <c r="AA136" s="20">
        <v>1.0</v>
      </c>
      <c r="AB136" s="24"/>
      <c r="AC136" s="24"/>
    </row>
    <row r="137" ht="14.25" customHeight="1">
      <c r="A137" s="46" t="s">
        <v>1174</v>
      </c>
      <c r="B137" s="20" t="s">
        <v>1175</v>
      </c>
      <c r="C137" s="20" t="s">
        <v>7041</v>
      </c>
      <c r="D137" s="24">
        <v>45658.0</v>
      </c>
      <c r="E137" s="24">
        <v>46022.0</v>
      </c>
      <c r="F137" s="20">
        <v>0.0</v>
      </c>
      <c r="G137" s="20">
        <v>1.0</v>
      </c>
      <c r="H137" s="24">
        <v>46023.0</v>
      </c>
      <c r="I137" s="24">
        <v>46387.0</v>
      </c>
      <c r="J137" s="20">
        <v>0.0</v>
      </c>
      <c r="K137" s="20">
        <v>1.0</v>
      </c>
      <c r="L137" s="24">
        <v>46388.0</v>
      </c>
      <c r="M137" s="24">
        <v>46752.0</v>
      </c>
      <c r="N137" s="20">
        <v>0.0</v>
      </c>
      <c r="O137" s="20">
        <v>1.0</v>
      </c>
      <c r="P137" s="24">
        <v>46753.0</v>
      </c>
      <c r="Q137" s="24">
        <v>47118.0</v>
      </c>
      <c r="R137" s="20">
        <v>0.0</v>
      </c>
      <c r="S137" s="20">
        <v>1.0</v>
      </c>
      <c r="T137" s="24">
        <v>47119.0</v>
      </c>
      <c r="U137" s="24">
        <v>47483.0</v>
      </c>
      <c r="V137" s="20">
        <v>0.0</v>
      </c>
      <c r="W137" s="20">
        <v>1.0</v>
      </c>
      <c r="X137" s="24">
        <v>47484.0</v>
      </c>
      <c r="Y137" s="24">
        <v>47848.0</v>
      </c>
      <c r="Z137" s="20">
        <v>0.0</v>
      </c>
      <c r="AA137" s="20">
        <v>1.0</v>
      </c>
      <c r="AB137" s="24"/>
      <c r="AC137" s="24"/>
    </row>
    <row r="138" ht="14.25" customHeight="1">
      <c r="A138" s="46" t="s">
        <v>1279</v>
      </c>
      <c r="B138" s="20" t="s">
        <v>1280</v>
      </c>
      <c r="C138" s="20" t="s">
        <v>7041</v>
      </c>
      <c r="D138" s="24">
        <v>45658.0</v>
      </c>
      <c r="E138" s="24">
        <v>46022.0</v>
      </c>
      <c r="F138" s="20">
        <v>0.0</v>
      </c>
      <c r="G138" s="20">
        <v>1.0</v>
      </c>
      <c r="H138" s="24">
        <v>46023.0</v>
      </c>
      <c r="I138" s="24">
        <v>46387.0</v>
      </c>
      <c r="J138" s="20">
        <v>0.0</v>
      </c>
      <c r="K138" s="20">
        <v>1.0</v>
      </c>
      <c r="L138" s="24">
        <v>46388.0</v>
      </c>
      <c r="M138" s="24">
        <v>46752.0</v>
      </c>
      <c r="N138" s="20">
        <v>0.0</v>
      </c>
      <c r="O138" s="20">
        <v>1.0</v>
      </c>
      <c r="P138" s="24">
        <v>46753.0</v>
      </c>
      <c r="Q138" s="24">
        <v>47118.0</v>
      </c>
      <c r="R138" s="20">
        <v>0.0</v>
      </c>
      <c r="S138" s="20">
        <v>1.0</v>
      </c>
      <c r="T138" s="24">
        <v>47119.0</v>
      </c>
      <c r="U138" s="24">
        <v>47483.0</v>
      </c>
      <c r="V138" s="20">
        <v>0.0</v>
      </c>
      <c r="W138" s="20">
        <v>1.0</v>
      </c>
      <c r="X138" s="24">
        <v>47484.0</v>
      </c>
      <c r="Y138" s="24">
        <v>47848.0</v>
      </c>
      <c r="Z138" s="20">
        <v>0.0</v>
      </c>
      <c r="AA138" s="20">
        <v>1.0</v>
      </c>
      <c r="AB138" s="24"/>
      <c r="AC138" s="24"/>
    </row>
    <row r="139" ht="14.25" customHeight="1">
      <c r="A139" s="46" t="s">
        <v>1288</v>
      </c>
      <c r="B139" s="20" t="s">
        <v>1289</v>
      </c>
      <c r="C139" s="20" t="s">
        <v>7041</v>
      </c>
      <c r="D139" s="24">
        <v>45658.0</v>
      </c>
      <c r="E139" s="24">
        <v>46022.0</v>
      </c>
      <c r="F139" s="20">
        <v>0.0</v>
      </c>
      <c r="G139" s="20">
        <v>1.0</v>
      </c>
      <c r="H139" s="24">
        <v>46023.0</v>
      </c>
      <c r="I139" s="24">
        <v>46387.0</v>
      </c>
      <c r="J139" s="20">
        <v>0.0</v>
      </c>
      <c r="K139" s="20">
        <v>1.0</v>
      </c>
      <c r="L139" s="24">
        <v>46388.0</v>
      </c>
      <c r="M139" s="24">
        <v>46752.0</v>
      </c>
      <c r="N139" s="20">
        <v>0.0</v>
      </c>
      <c r="O139" s="20">
        <v>1.0</v>
      </c>
      <c r="P139" s="24">
        <v>46753.0</v>
      </c>
      <c r="Q139" s="24">
        <v>47118.0</v>
      </c>
      <c r="R139" s="20">
        <v>0.0</v>
      </c>
      <c r="S139" s="20">
        <v>1.0</v>
      </c>
      <c r="T139" s="24">
        <v>47119.0</v>
      </c>
      <c r="U139" s="24">
        <v>47483.0</v>
      </c>
      <c r="V139" s="20">
        <v>0.0</v>
      </c>
      <c r="W139" s="20">
        <v>1.0</v>
      </c>
      <c r="X139" s="24">
        <v>47484.0</v>
      </c>
      <c r="Y139" s="24">
        <v>47848.0</v>
      </c>
      <c r="Z139" s="20">
        <v>0.0</v>
      </c>
      <c r="AA139" s="20">
        <v>1.0</v>
      </c>
      <c r="AB139" s="24"/>
      <c r="AC139" s="24"/>
    </row>
    <row r="140" ht="14.25" customHeight="1">
      <c r="A140" s="46" t="s">
        <v>1320</v>
      </c>
      <c r="B140" s="20" t="s">
        <v>1321</v>
      </c>
      <c r="C140" s="20" t="s">
        <v>7041</v>
      </c>
      <c r="D140" s="24">
        <v>45658.0</v>
      </c>
      <c r="E140" s="24">
        <v>46022.0</v>
      </c>
      <c r="F140" s="20">
        <v>0.0</v>
      </c>
      <c r="G140" s="20">
        <v>1.0</v>
      </c>
      <c r="H140" s="24">
        <v>46023.0</v>
      </c>
      <c r="I140" s="24">
        <v>46387.0</v>
      </c>
      <c r="J140" s="20">
        <v>0.0</v>
      </c>
      <c r="K140" s="20">
        <v>1.0</v>
      </c>
      <c r="L140" s="24">
        <v>46388.0</v>
      </c>
      <c r="M140" s="24">
        <v>46752.0</v>
      </c>
      <c r="N140" s="20">
        <v>0.0</v>
      </c>
      <c r="O140" s="20">
        <v>1.0</v>
      </c>
      <c r="P140" s="24">
        <v>46753.0</v>
      </c>
      <c r="Q140" s="24">
        <v>47118.0</v>
      </c>
      <c r="R140" s="20">
        <v>0.0</v>
      </c>
      <c r="S140" s="20">
        <v>1.0</v>
      </c>
      <c r="T140" s="24">
        <v>47119.0</v>
      </c>
      <c r="U140" s="24">
        <v>47483.0</v>
      </c>
      <c r="V140" s="20">
        <v>0.0</v>
      </c>
      <c r="W140" s="20">
        <v>1.0</v>
      </c>
      <c r="X140" s="24">
        <v>47484.0</v>
      </c>
      <c r="Y140" s="24">
        <v>47848.0</v>
      </c>
      <c r="Z140" s="20">
        <v>0.0</v>
      </c>
      <c r="AA140" s="20">
        <v>1.0</v>
      </c>
      <c r="AB140" s="24"/>
      <c r="AC140" s="24"/>
    </row>
    <row r="141" ht="14.25" customHeight="1">
      <c r="A141" s="46" t="s">
        <v>1447</v>
      </c>
      <c r="B141" s="20" t="s">
        <v>1448</v>
      </c>
      <c r="C141" s="20" t="s">
        <v>7041</v>
      </c>
      <c r="D141" s="24">
        <v>45658.0</v>
      </c>
      <c r="E141" s="24">
        <v>46022.0</v>
      </c>
      <c r="F141" s="20">
        <v>1.0</v>
      </c>
      <c r="G141" s="20">
        <v>1.0</v>
      </c>
      <c r="H141" s="24">
        <v>46023.0</v>
      </c>
      <c r="I141" s="24">
        <v>46387.0</v>
      </c>
      <c r="J141" s="20">
        <v>0.0</v>
      </c>
      <c r="K141" s="20">
        <v>1.0</v>
      </c>
      <c r="L141" s="24">
        <v>46388.0</v>
      </c>
      <c r="M141" s="24">
        <v>46752.0</v>
      </c>
      <c r="N141" s="20">
        <v>0.0</v>
      </c>
      <c r="O141" s="20">
        <v>1.0</v>
      </c>
      <c r="P141" s="24">
        <v>46753.0</v>
      </c>
      <c r="Q141" s="24">
        <v>47118.0</v>
      </c>
      <c r="R141" s="20">
        <v>0.0</v>
      </c>
      <c r="S141" s="20">
        <v>1.0</v>
      </c>
      <c r="T141" s="24">
        <v>47119.0</v>
      </c>
      <c r="U141" s="24">
        <v>47483.0</v>
      </c>
      <c r="V141" s="20">
        <v>0.0</v>
      </c>
      <c r="W141" s="20">
        <v>1.0</v>
      </c>
      <c r="X141" s="24">
        <v>47484.0</v>
      </c>
      <c r="Y141" s="24">
        <v>47848.0</v>
      </c>
      <c r="Z141" s="20">
        <v>0.0</v>
      </c>
      <c r="AA141" s="20">
        <v>1.0</v>
      </c>
      <c r="AB141" s="24"/>
      <c r="AC141" s="24"/>
    </row>
    <row r="142" ht="14.25" customHeight="1">
      <c r="A142" s="46" t="s">
        <v>1571</v>
      </c>
      <c r="B142" s="20" t="s">
        <v>1572</v>
      </c>
      <c r="C142" s="20" t="s">
        <v>7041</v>
      </c>
      <c r="D142" s="24">
        <v>45658.0</v>
      </c>
      <c r="E142" s="24">
        <v>46022.0</v>
      </c>
      <c r="F142" s="20">
        <v>0.0</v>
      </c>
      <c r="G142" s="20">
        <v>1.0</v>
      </c>
      <c r="H142" s="24">
        <v>46023.0</v>
      </c>
      <c r="I142" s="24">
        <v>46387.0</v>
      </c>
      <c r="J142" s="20">
        <v>0.0</v>
      </c>
      <c r="K142" s="20">
        <v>1.0</v>
      </c>
      <c r="L142" s="24">
        <v>46388.0</v>
      </c>
      <c r="M142" s="24">
        <v>46752.0</v>
      </c>
      <c r="N142" s="20">
        <v>0.0</v>
      </c>
      <c r="O142" s="20">
        <v>1.0</v>
      </c>
      <c r="P142" s="24">
        <v>46753.0</v>
      </c>
      <c r="Q142" s="24">
        <v>47118.0</v>
      </c>
      <c r="R142" s="20">
        <v>0.0</v>
      </c>
      <c r="S142" s="20">
        <v>1.0</v>
      </c>
      <c r="T142" s="24">
        <v>47119.0</v>
      </c>
      <c r="U142" s="24">
        <v>47483.0</v>
      </c>
      <c r="V142" s="20">
        <v>0.0</v>
      </c>
      <c r="W142" s="20">
        <v>1.0</v>
      </c>
      <c r="X142" s="24">
        <v>47484.0</v>
      </c>
      <c r="Y142" s="24">
        <v>47848.0</v>
      </c>
      <c r="Z142" s="20">
        <v>0.0</v>
      </c>
      <c r="AA142" s="20">
        <v>1.0</v>
      </c>
      <c r="AB142" s="24"/>
      <c r="AC142" s="24"/>
    </row>
    <row r="143" ht="14.25" customHeight="1">
      <c r="A143" s="46" t="s">
        <v>1605</v>
      </c>
      <c r="B143" s="20" t="s">
        <v>1606</v>
      </c>
      <c r="C143" s="20" t="s">
        <v>7041</v>
      </c>
      <c r="D143" s="24">
        <v>45658.0</v>
      </c>
      <c r="E143" s="24">
        <v>46022.0</v>
      </c>
      <c r="F143" s="20">
        <v>0.0</v>
      </c>
      <c r="G143" s="20">
        <v>1.0</v>
      </c>
      <c r="H143" s="24">
        <v>46023.0</v>
      </c>
      <c r="I143" s="24">
        <v>46387.0</v>
      </c>
      <c r="J143" s="20">
        <v>0.0</v>
      </c>
      <c r="K143" s="20">
        <v>1.0</v>
      </c>
      <c r="L143" s="24">
        <v>46388.0</v>
      </c>
      <c r="M143" s="24">
        <v>46752.0</v>
      </c>
      <c r="N143" s="20">
        <v>0.0</v>
      </c>
      <c r="O143" s="20">
        <v>1.0</v>
      </c>
      <c r="P143" s="24">
        <v>46753.0</v>
      </c>
      <c r="Q143" s="24">
        <v>47118.0</v>
      </c>
      <c r="R143" s="20">
        <v>0.0</v>
      </c>
      <c r="S143" s="20">
        <v>1.0</v>
      </c>
      <c r="T143" s="24">
        <v>47119.0</v>
      </c>
      <c r="U143" s="24">
        <v>47483.0</v>
      </c>
      <c r="V143" s="20">
        <v>0.0</v>
      </c>
      <c r="W143" s="20">
        <v>1.0</v>
      </c>
      <c r="X143" s="24">
        <v>47484.0</v>
      </c>
      <c r="Y143" s="24">
        <v>47848.0</v>
      </c>
      <c r="Z143" s="20">
        <v>0.0</v>
      </c>
      <c r="AA143" s="20">
        <v>1.0</v>
      </c>
      <c r="AB143" s="24"/>
      <c r="AC143" s="24"/>
    </row>
    <row r="144" ht="14.25" customHeight="1">
      <c r="A144" s="46" t="s">
        <v>1850</v>
      </c>
      <c r="B144" s="20" t="s">
        <v>1851</v>
      </c>
      <c r="C144" s="20" t="s">
        <v>7041</v>
      </c>
      <c r="D144" s="24">
        <v>45658.0</v>
      </c>
      <c r="E144" s="24">
        <v>46022.0</v>
      </c>
      <c r="F144" s="20">
        <v>0.0</v>
      </c>
      <c r="G144" s="20">
        <v>1.0</v>
      </c>
      <c r="H144" s="24">
        <v>46023.0</v>
      </c>
      <c r="I144" s="24">
        <v>46387.0</v>
      </c>
      <c r="J144" s="20">
        <v>0.0</v>
      </c>
      <c r="K144" s="20">
        <v>1.0</v>
      </c>
      <c r="L144" s="24">
        <v>46388.0</v>
      </c>
      <c r="M144" s="24">
        <v>46752.0</v>
      </c>
      <c r="N144" s="20">
        <v>0.0</v>
      </c>
      <c r="O144" s="20">
        <v>1.0</v>
      </c>
      <c r="P144" s="24">
        <v>46753.0</v>
      </c>
      <c r="Q144" s="24">
        <v>47118.0</v>
      </c>
      <c r="R144" s="20">
        <v>0.0</v>
      </c>
      <c r="S144" s="20">
        <v>1.0</v>
      </c>
      <c r="T144" s="24">
        <v>47119.0</v>
      </c>
      <c r="U144" s="24">
        <v>47483.0</v>
      </c>
      <c r="V144" s="20">
        <v>0.0</v>
      </c>
      <c r="W144" s="20">
        <v>1.0</v>
      </c>
      <c r="X144" s="24">
        <v>47484.0</v>
      </c>
      <c r="Y144" s="24">
        <v>47848.0</v>
      </c>
      <c r="Z144" s="20">
        <v>0.0</v>
      </c>
      <c r="AA144" s="20">
        <v>1.0</v>
      </c>
      <c r="AB144" s="24"/>
      <c r="AC144" s="24"/>
    </row>
    <row r="145" ht="14.25" customHeight="1">
      <c r="A145" s="46" t="s">
        <v>1928</v>
      </c>
      <c r="B145" s="20" t="s">
        <v>1929</v>
      </c>
      <c r="C145" s="20" t="s">
        <v>7041</v>
      </c>
      <c r="D145" s="24">
        <v>45658.0</v>
      </c>
      <c r="E145" s="24">
        <v>46022.0</v>
      </c>
      <c r="F145" s="20">
        <v>0.0</v>
      </c>
      <c r="G145" s="20">
        <v>1.0</v>
      </c>
      <c r="H145" s="24">
        <v>46023.0</v>
      </c>
      <c r="I145" s="24">
        <v>46387.0</v>
      </c>
      <c r="J145" s="20">
        <v>0.0</v>
      </c>
      <c r="K145" s="20">
        <v>1.0</v>
      </c>
      <c r="L145" s="24">
        <v>46388.0</v>
      </c>
      <c r="M145" s="24">
        <v>46752.0</v>
      </c>
      <c r="N145" s="20">
        <v>0.0</v>
      </c>
      <c r="O145" s="20">
        <v>1.0</v>
      </c>
      <c r="P145" s="24">
        <v>46753.0</v>
      </c>
      <c r="Q145" s="24">
        <v>47118.0</v>
      </c>
      <c r="R145" s="20">
        <v>0.0</v>
      </c>
      <c r="S145" s="20">
        <v>1.0</v>
      </c>
      <c r="T145" s="24">
        <v>47119.0</v>
      </c>
      <c r="U145" s="24">
        <v>47483.0</v>
      </c>
      <c r="V145" s="20">
        <v>0.0</v>
      </c>
      <c r="W145" s="20">
        <v>1.0</v>
      </c>
      <c r="X145" s="24">
        <v>47484.0</v>
      </c>
      <c r="Y145" s="24">
        <v>47848.0</v>
      </c>
      <c r="Z145" s="20">
        <v>0.0</v>
      </c>
      <c r="AA145" s="20">
        <v>1.0</v>
      </c>
      <c r="AB145" s="24"/>
      <c r="AC145" s="24"/>
    </row>
    <row r="146" ht="14.25" customHeight="1">
      <c r="A146" s="46" t="s">
        <v>1979</v>
      </c>
      <c r="B146" s="20" t="s">
        <v>1980</v>
      </c>
      <c r="C146" s="20" t="s">
        <v>7041</v>
      </c>
      <c r="D146" s="24">
        <v>45658.0</v>
      </c>
      <c r="E146" s="24">
        <v>46022.0</v>
      </c>
      <c r="F146" s="20">
        <v>0.0</v>
      </c>
      <c r="G146" s="20">
        <v>1.0</v>
      </c>
      <c r="H146" s="24">
        <v>46023.0</v>
      </c>
      <c r="I146" s="24">
        <v>46387.0</v>
      </c>
      <c r="J146" s="20">
        <v>0.0</v>
      </c>
      <c r="K146" s="20">
        <v>1.0</v>
      </c>
      <c r="L146" s="24">
        <v>46388.0</v>
      </c>
      <c r="M146" s="24">
        <v>46752.0</v>
      </c>
      <c r="N146" s="20">
        <v>0.0</v>
      </c>
      <c r="O146" s="20">
        <v>1.0</v>
      </c>
      <c r="P146" s="24">
        <v>46753.0</v>
      </c>
      <c r="Q146" s="24">
        <v>47118.0</v>
      </c>
      <c r="R146" s="20">
        <v>0.0</v>
      </c>
      <c r="S146" s="20">
        <v>1.0</v>
      </c>
      <c r="T146" s="24">
        <v>47119.0</v>
      </c>
      <c r="U146" s="24">
        <v>47483.0</v>
      </c>
      <c r="V146" s="20">
        <v>0.0</v>
      </c>
      <c r="W146" s="20">
        <v>1.0</v>
      </c>
      <c r="X146" s="24">
        <v>47484.0</v>
      </c>
      <c r="Y146" s="24">
        <v>47848.0</v>
      </c>
      <c r="Z146" s="20">
        <v>0.0</v>
      </c>
      <c r="AA146" s="20">
        <v>1.0</v>
      </c>
      <c r="AB146" s="24"/>
      <c r="AC146" s="24"/>
    </row>
    <row r="147" ht="14.25" customHeight="1">
      <c r="A147" s="46" t="s">
        <v>2158</v>
      </c>
      <c r="B147" s="20" t="s">
        <v>2159</v>
      </c>
      <c r="C147" s="20" t="s">
        <v>7041</v>
      </c>
      <c r="D147" s="24">
        <v>45658.0</v>
      </c>
      <c r="E147" s="24">
        <v>46022.0</v>
      </c>
      <c r="F147" s="20">
        <v>1.0</v>
      </c>
      <c r="G147" s="20">
        <v>1.0</v>
      </c>
      <c r="H147" s="24">
        <v>46023.0</v>
      </c>
      <c r="I147" s="24">
        <v>46387.0</v>
      </c>
      <c r="J147" s="20">
        <v>0.0</v>
      </c>
      <c r="K147" s="20">
        <v>1.0</v>
      </c>
      <c r="L147" s="24">
        <v>46388.0</v>
      </c>
      <c r="M147" s="24">
        <v>46752.0</v>
      </c>
      <c r="N147" s="20">
        <v>0.0</v>
      </c>
      <c r="O147" s="20">
        <v>1.0</v>
      </c>
      <c r="P147" s="24">
        <v>46753.0</v>
      </c>
      <c r="Q147" s="24">
        <v>47118.0</v>
      </c>
      <c r="R147" s="20">
        <v>0.0</v>
      </c>
      <c r="S147" s="20">
        <v>1.0</v>
      </c>
      <c r="T147" s="24">
        <v>47119.0</v>
      </c>
      <c r="U147" s="24">
        <v>47483.0</v>
      </c>
      <c r="V147" s="20">
        <v>0.0</v>
      </c>
      <c r="W147" s="20">
        <v>1.0</v>
      </c>
      <c r="X147" s="24">
        <v>47484.0</v>
      </c>
      <c r="Y147" s="24">
        <v>47848.0</v>
      </c>
      <c r="Z147" s="20">
        <v>0.0</v>
      </c>
      <c r="AA147" s="20">
        <v>1.0</v>
      </c>
      <c r="AB147" s="24"/>
      <c r="AC147" s="24"/>
    </row>
    <row r="148" ht="14.25" customHeight="1">
      <c r="A148" s="46" t="s">
        <v>2163</v>
      </c>
      <c r="B148" s="20" t="s">
        <v>2164</v>
      </c>
      <c r="C148" s="20" t="s">
        <v>7041</v>
      </c>
      <c r="D148" s="24">
        <v>45658.0</v>
      </c>
      <c r="E148" s="24">
        <v>46022.0</v>
      </c>
      <c r="F148" s="20">
        <v>0.0</v>
      </c>
      <c r="G148" s="20">
        <v>1.0</v>
      </c>
      <c r="H148" s="24">
        <v>46023.0</v>
      </c>
      <c r="I148" s="24">
        <v>46387.0</v>
      </c>
      <c r="J148" s="20">
        <v>0.0</v>
      </c>
      <c r="K148" s="20">
        <v>1.0</v>
      </c>
      <c r="L148" s="24">
        <v>46388.0</v>
      </c>
      <c r="M148" s="24">
        <v>46752.0</v>
      </c>
      <c r="N148" s="20">
        <v>0.0</v>
      </c>
      <c r="O148" s="20">
        <v>1.0</v>
      </c>
      <c r="P148" s="24">
        <v>46753.0</v>
      </c>
      <c r="Q148" s="24">
        <v>47118.0</v>
      </c>
      <c r="R148" s="20">
        <v>0.0</v>
      </c>
      <c r="S148" s="20">
        <v>1.0</v>
      </c>
      <c r="T148" s="24">
        <v>47119.0</v>
      </c>
      <c r="U148" s="24">
        <v>47483.0</v>
      </c>
      <c r="V148" s="20">
        <v>0.0</v>
      </c>
      <c r="W148" s="20">
        <v>1.0</v>
      </c>
      <c r="X148" s="24">
        <v>47484.0</v>
      </c>
      <c r="Y148" s="24">
        <v>47848.0</v>
      </c>
      <c r="Z148" s="20">
        <v>0.0</v>
      </c>
      <c r="AA148" s="20">
        <v>1.0</v>
      </c>
      <c r="AB148" s="24"/>
      <c r="AC148" s="24"/>
    </row>
    <row r="149" ht="14.25" customHeight="1">
      <c r="A149" s="46" t="s">
        <v>2167</v>
      </c>
      <c r="B149" s="20" t="s">
        <v>2168</v>
      </c>
      <c r="C149" s="20" t="s">
        <v>7041</v>
      </c>
      <c r="D149" s="24">
        <v>45658.0</v>
      </c>
      <c r="E149" s="24">
        <v>46022.0</v>
      </c>
      <c r="F149" s="20">
        <v>0.0</v>
      </c>
      <c r="G149" s="20">
        <v>1.0</v>
      </c>
      <c r="H149" s="24">
        <v>46023.0</v>
      </c>
      <c r="I149" s="24">
        <v>46387.0</v>
      </c>
      <c r="J149" s="20">
        <v>0.0</v>
      </c>
      <c r="K149" s="20">
        <v>1.0</v>
      </c>
      <c r="L149" s="24">
        <v>46388.0</v>
      </c>
      <c r="M149" s="24">
        <v>46752.0</v>
      </c>
      <c r="N149" s="20">
        <v>0.0</v>
      </c>
      <c r="O149" s="20">
        <v>1.0</v>
      </c>
      <c r="P149" s="24">
        <v>46753.0</v>
      </c>
      <c r="Q149" s="24">
        <v>47118.0</v>
      </c>
      <c r="R149" s="20">
        <v>0.0</v>
      </c>
      <c r="S149" s="20">
        <v>1.0</v>
      </c>
      <c r="T149" s="24">
        <v>47119.0</v>
      </c>
      <c r="U149" s="24">
        <v>47483.0</v>
      </c>
      <c r="V149" s="20">
        <v>0.0</v>
      </c>
      <c r="W149" s="20">
        <v>1.0</v>
      </c>
      <c r="X149" s="24">
        <v>47484.0</v>
      </c>
      <c r="Y149" s="24">
        <v>47848.0</v>
      </c>
      <c r="Z149" s="20">
        <v>0.0</v>
      </c>
      <c r="AA149" s="20">
        <v>1.0</v>
      </c>
      <c r="AB149" s="24"/>
      <c r="AC149" s="24"/>
    </row>
    <row r="150" ht="14.25" customHeight="1">
      <c r="A150" s="46" t="s">
        <v>2380</v>
      </c>
      <c r="B150" s="20" t="s">
        <v>2381</v>
      </c>
      <c r="C150" s="20" t="s">
        <v>7041</v>
      </c>
      <c r="D150" s="24">
        <v>45658.0</v>
      </c>
      <c r="E150" s="24">
        <v>46022.0</v>
      </c>
      <c r="F150" s="20">
        <v>0.0</v>
      </c>
      <c r="G150" s="20">
        <v>1.0</v>
      </c>
      <c r="H150" s="24">
        <v>46023.0</v>
      </c>
      <c r="I150" s="24">
        <v>46387.0</v>
      </c>
      <c r="J150" s="20">
        <v>0.0</v>
      </c>
      <c r="K150" s="20">
        <v>1.0</v>
      </c>
      <c r="L150" s="24">
        <v>46388.0</v>
      </c>
      <c r="M150" s="24">
        <v>46752.0</v>
      </c>
      <c r="N150" s="20">
        <v>0.0</v>
      </c>
      <c r="O150" s="20">
        <v>1.0</v>
      </c>
      <c r="P150" s="24">
        <v>46753.0</v>
      </c>
      <c r="Q150" s="24">
        <v>47118.0</v>
      </c>
      <c r="R150" s="20">
        <v>0.0</v>
      </c>
      <c r="S150" s="20">
        <v>1.0</v>
      </c>
      <c r="T150" s="24">
        <v>47119.0</v>
      </c>
      <c r="U150" s="24">
        <v>47483.0</v>
      </c>
      <c r="V150" s="20">
        <v>0.0</v>
      </c>
      <c r="W150" s="20">
        <v>1.0</v>
      </c>
      <c r="X150" s="24">
        <v>47484.0</v>
      </c>
      <c r="Y150" s="24">
        <v>47848.0</v>
      </c>
      <c r="Z150" s="20">
        <v>0.0</v>
      </c>
      <c r="AA150" s="20">
        <v>1.0</v>
      </c>
      <c r="AB150" s="24"/>
      <c r="AC150" s="24"/>
    </row>
    <row r="151" ht="14.25" customHeight="1">
      <c r="A151" s="46" t="s">
        <v>2423</v>
      </c>
      <c r="B151" s="20" t="s">
        <v>2424</v>
      </c>
      <c r="C151" s="20" t="s">
        <v>7041</v>
      </c>
      <c r="D151" s="24">
        <v>45658.0</v>
      </c>
      <c r="E151" s="24">
        <v>46022.0</v>
      </c>
      <c r="F151" s="20">
        <v>0.0</v>
      </c>
      <c r="G151" s="20">
        <v>1.0</v>
      </c>
      <c r="H151" s="24">
        <v>46023.0</v>
      </c>
      <c r="I151" s="24">
        <v>46387.0</v>
      </c>
      <c r="J151" s="20">
        <v>0.0</v>
      </c>
      <c r="K151" s="20">
        <v>1.0</v>
      </c>
      <c r="L151" s="24">
        <v>46388.0</v>
      </c>
      <c r="M151" s="24">
        <v>46752.0</v>
      </c>
      <c r="N151" s="20">
        <v>0.0</v>
      </c>
      <c r="O151" s="20">
        <v>1.0</v>
      </c>
      <c r="P151" s="24">
        <v>46753.0</v>
      </c>
      <c r="Q151" s="24">
        <v>47118.0</v>
      </c>
      <c r="R151" s="20">
        <v>0.0</v>
      </c>
      <c r="S151" s="20">
        <v>1.0</v>
      </c>
      <c r="T151" s="24">
        <v>47119.0</v>
      </c>
      <c r="U151" s="24">
        <v>47483.0</v>
      </c>
      <c r="V151" s="20">
        <v>0.0</v>
      </c>
      <c r="W151" s="20">
        <v>1.0</v>
      </c>
      <c r="X151" s="24">
        <v>47484.0</v>
      </c>
      <c r="Y151" s="24">
        <v>47848.0</v>
      </c>
      <c r="Z151" s="20">
        <v>0.0</v>
      </c>
      <c r="AA151" s="20">
        <v>1.0</v>
      </c>
      <c r="AB151" s="24"/>
      <c r="AC151" s="24"/>
    </row>
    <row r="152" ht="14.25" customHeight="1">
      <c r="A152" s="46" t="s">
        <v>2474</v>
      </c>
      <c r="B152" s="20" t="s">
        <v>2475</v>
      </c>
      <c r="C152" s="20" t="s">
        <v>7041</v>
      </c>
      <c r="D152" s="24">
        <v>45658.0</v>
      </c>
      <c r="E152" s="24">
        <v>46022.0</v>
      </c>
      <c r="F152" s="20">
        <v>0.0</v>
      </c>
      <c r="G152" s="20">
        <v>1.0</v>
      </c>
      <c r="H152" s="24">
        <v>46023.0</v>
      </c>
      <c r="I152" s="24">
        <v>46387.0</v>
      </c>
      <c r="J152" s="20">
        <v>0.0</v>
      </c>
      <c r="K152" s="20">
        <v>1.0</v>
      </c>
      <c r="L152" s="24">
        <v>46388.0</v>
      </c>
      <c r="M152" s="24">
        <v>46752.0</v>
      </c>
      <c r="N152" s="20">
        <v>0.0</v>
      </c>
      <c r="O152" s="20">
        <v>1.0</v>
      </c>
      <c r="P152" s="24">
        <v>46753.0</v>
      </c>
      <c r="Q152" s="24">
        <v>47118.0</v>
      </c>
      <c r="R152" s="20">
        <v>0.0</v>
      </c>
      <c r="S152" s="20">
        <v>1.0</v>
      </c>
      <c r="T152" s="24">
        <v>47119.0</v>
      </c>
      <c r="U152" s="24">
        <v>47483.0</v>
      </c>
      <c r="V152" s="20">
        <v>0.0</v>
      </c>
      <c r="W152" s="20">
        <v>1.0</v>
      </c>
      <c r="X152" s="24">
        <v>47484.0</v>
      </c>
      <c r="Y152" s="24">
        <v>47848.0</v>
      </c>
      <c r="Z152" s="20">
        <v>0.0</v>
      </c>
      <c r="AA152" s="20">
        <v>1.0</v>
      </c>
      <c r="AB152" s="24"/>
      <c r="AC152" s="24"/>
    </row>
    <row r="153" ht="14.25" customHeight="1">
      <c r="A153" s="46" t="s">
        <v>2492</v>
      </c>
      <c r="B153" s="20" t="s">
        <v>2493</v>
      </c>
      <c r="C153" s="20" t="s">
        <v>7041</v>
      </c>
      <c r="D153" s="24">
        <v>45658.0</v>
      </c>
      <c r="E153" s="24">
        <v>46022.0</v>
      </c>
      <c r="F153" s="20">
        <v>0.0</v>
      </c>
      <c r="G153" s="20">
        <v>1.0</v>
      </c>
      <c r="H153" s="24">
        <v>46023.0</v>
      </c>
      <c r="I153" s="24">
        <v>46387.0</v>
      </c>
      <c r="J153" s="20">
        <v>0.0</v>
      </c>
      <c r="K153" s="20">
        <v>1.0</v>
      </c>
      <c r="L153" s="24">
        <v>46388.0</v>
      </c>
      <c r="M153" s="24">
        <v>46752.0</v>
      </c>
      <c r="N153" s="20">
        <v>0.0</v>
      </c>
      <c r="O153" s="20">
        <v>1.0</v>
      </c>
      <c r="P153" s="24">
        <v>46753.0</v>
      </c>
      <c r="Q153" s="24">
        <v>47118.0</v>
      </c>
      <c r="R153" s="20">
        <v>0.0</v>
      </c>
      <c r="S153" s="20">
        <v>1.0</v>
      </c>
      <c r="T153" s="24">
        <v>47119.0</v>
      </c>
      <c r="U153" s="24">
        <v>47483.0</v>
      </c>
      <c r="V153" s="20">
        <v>0.0</v>
      </c>
      <c r="W153" s="20">
        <v>1.0</v>
      </c>
      <c r="X153" s="24">
        <v>47484.0</v>
      </c>
      <c r="Y153" s="24">
        <v>47848.0</v>
      </c>
      <c r="Z153" s="20">
        <v>0.0</v>
      </c>
      <c r="AA153" s="20">
        <v>1.0</v>
      </c>
      <c r="AB153" s="24"/>
      <c r="AC153" s="24"/>
    </row>
    <row r="154" ht="14.25" customHeight="1">
      <c r="A154" s="46" t="s">
        <v>2526</v>
      </c>
      <c r="B154" s="20" t="s">
        <v>2527</v>
      </c>
      <c r="C154" s="20" t="s">
        <v>7041</v>
      </c>
      <c r="D154" s="24">
        <v>45658.0</v>
      </c>
      <c r="E154" s="24">
        <v>46022.0</v>
      </c>
      <c r="F154" s="20">
        <v>1.0</v>
      </c>
      <c r="G154" s="20">
        <v>1.0</v>
      </c>
      <c r="H154" s="24">
        <v>46023.0</v>
      </c>
      <c r="I154" s="24">
        <v>46387.0</v>
      </c>
      <c r="J154" s="20">
        <v>0.0</v>
      </c>
      <c r="K154" s="20">
        <v>1.0</v>
      </c>
      <c r="L154" s="24">
        <v>46388.0</v>
      </c>
      <c r="M154" s="24">
        <v>46752.0</v>
      </c>
      <c r="N154" s="20">
        <v>0.0</v>
      </c>
      <c r="O154" s="20">
        <v>1.0</v>
      </c>
      <c r="P154" s="24">
        <v>46753.0</v>
      </c>
      <c r="Q154" s="24">
        <v>47118.0</v>
      </c>
      <c r="R154" s="20">
        <v>0.0</v>
      </c>
      <c r="S154" s="20">
        <v>1.0</v>
      </c>
      <c r="T154" s="24">
        <v>47119.0</v>
      </c>
      <c r="U154" s="24">
        <v>47483.0</v>
      </c>
      <c r="V154" s="20">
        <v>0.0</v>
      </c>
      <c r="W154" s="20">
        <v>1.0</v>
      </c>
      <c r="X154" s="24">
        <v>47484.0</v>
      </c>
      <c r="Y154" s="24">
        <v>47848.0</v>
      </c>
      <c r="Z154" s="20">
        <v>0.0</v>
      </c>
      <c r="AA154" s="20">
        <v>1.0</v>
      </c>
      <c r="AB154" s="24"/>
      <c r="AC154" s="24"/>
    </row>
    <row r="155" ht="14.25" customHeight="1">
      <c r="A155" s="46" t="s">
        <v>2636</v>
      </c>
      <c r="B155" s="20" t="s">
        <v>2637</v>
      </c>
      <c r="C155" s="20" t="s">
        <v>7041</v>
      </c>
      <c r="D155" s="24">
        <v>45658.0</v>
      </c>
      <c r="E155" s="24">
        <v>46022.0</v>
      </c>
      <c r="F155" s="20">
        <v>0.0</v>
      </c>
      <c r="G155" s="20">
        <v>1.0</v>
      </c>
      <c r="H155" s="24">
        <v>46023.0</v>
      </c>
      <c r="I155" s="24">
        <v>46387.0</v>
      </c>
      <c r="J155" s="20">
        <v>0.0</v>
      </c>
      <c r="K155" s="20">
        <v>1.0</v>
      </c>
      <c r="L155" s="24">
        <v>46388.0</v>
      </c>
      <c r="M155" s="24">
        <v>46752.0</v>
      </c>
      <c r="N155" s="20">
        <v>0.0</v>
      </c>
      <c r="O155" s="20">
        <v>1.0</v>
      </c>
      <c r="P155" s="24">
        <v>46753.0</v>
      </c>
      <c r="Q155" s="24">
        <v>47118.0</v>
      </c>
      <c r="R155" s="20">
        <v>0.0</v>
      </c>
      <c r="S155" s="20">
        <v>1.0</v>
      </c>
      <c r="T155" s="24">
        <v>47119.0</v>
      </c>
      <c r="U155" s="24">
        <v>47483.0</v>
      </c>
      <c r="V155" s="20">
        <v>0.0</v>
      </c>
      <c r="W155" s="20">
        <v>1.0</v>
      </c>
      <c r="X155" s="24">
        <v>47484.0</v>
      </c>
      <c r="Y155" s="24">
        <v>47848.0</v>
      </c>
      <c r="Z155" s="20">
        <v>0.0</v>
      </c>
      <c r="AA155" s="20">
        <v>1.0</v>
      </c>
      <c r="AB155" s="24"/>
      <c r="AC155" s="24"/>
    </row>
    <row r="156" ht="14.25" customHeight="1">
      <c r="A156" s="46" t="s">
        <v>2776</v>
      </c>
      <c r="B156" s="20" t="s">
        <v>2777</v>
      </c>
      <c r="C156" s="20" t="s">
        <v>7041</v>
      </c>
      <c r="D156" s="24">
        <v>45658.0</v>
      </c>
      <c r="E156" s="24">
        <v>46022.0</v>
      </c>
      <c r="F156" s="20">
        <v>0.0</v>
      </c>
      <c r="G156" s="20">
        <v>1.0</v>
      </c>
      <c r="H156" s="24">
        <v>46023.0</v>
      </c>
      <c r="I156" s="24">
        <v>46387.0</v>
      </c>
      <c r="J156" s="20">
        <v>0.0</v>
      </c>
      <c r="K156" s="20">
        <v>1.0</v>
      </c>
      <c r="L156" s="24">
        <v>46388.0</v>
      </c>
      <c r="M156" s="24">
        <v>46752.0</v>
      </c>
      <c r="N156" s="20">
        <v>0.0</v>
      </c>
      <c r="O156" s="20">
        <v>1.0</v>
      </c>
      <c r="P156" s="24">
        <v>46753.0</v>
      </c>
      <c r="Q156" s="24">
        <v>47118.0</v>
      </c>
      <c r="R156" s="20">
        <v>0.0</v>
      </c>
      <c r="S156" s="20">
        <v>1.0</v>
      </c>
      <c r="T156" s="24">
        <v>47119.0</v>
      </c>
      <c r="U156" s="24">
        <v>47483.0</v>
      </c>
      <c r="V156" s="20">
        <v>0.0</v>
      </c>
      <c r="W156" s="20">
        <v>1.0</v>
      </c>
      <c r="X156" s="24">
        <v>47484.0</v>
      </c>
      <c r="Y156" s="24">
        <v>47848.0</v>
      </c>
      <c r="Z156" s="20">
        <v>0.0</v>
      </c>
      <c r="AA156" s="20">
        <v>1.0</v>
      </c>
      <c r="AB156" s="24"/>
      <c r="AC156" s="24"/>
    </row>
    <row r="157" ht="14.25" customHeight="1">
      <c r="A157" s="46" t="s">
        <v>2794</v>
      </c>
      <c r="B157" s="20" t="s">
        <v>2795</v>
      </c>
      <c r="C157" s="20" t="s">
        <v>7041</v>
      </c>
      <c r="D157" s="24">
        <v>45658.0</v>
      </c>
      <c r="E157" s="24">
        <v>46022.0</v>
      </c>
      <c r="F157" s="20">
        <v>0.0</v>
      </c>
      <c r="G157" s="20">
        <v>1.0</v>
      </c>
      <c r="H157" s="24">
        <v>46023.0</v>
      </c>
      <c r="I157" s="24">
        <v>46387.0</v>
      </c>
      <c r="J157" s="20">
        <v>0.0</v>
      </c>
      <c r="K157" s="20">
        <v>1.0</v>
      </c>
      <c r="L157" s="24">
        <v>46388.0</v>
      </c>
      <c r="M157" s="24">
        <v>46752.0</v>
      </c>
      <c r="N157" s="20">
        <v>0.0</v>
      </c>
      <c r="O157" s="20">
        <v>1.0</v>
      </c>
      <c r="P157" s="24">
        <v>46753.0</v>
      </c>
      <c r="Q157" s="24">
        <v>47118.0</v>
      </c>
      <c r="R157" s="20">
        <v>0.0</v>
      </c>
      <c r="S157" s="20">
        <v>1.0</v>
      </c>
      <c r="T157" s="24">
        <v>47119.0</v>
      </c>
      <c r="U157" s="24">
        <v>47483.0</v>
      </c>
      <c r="V157" s="20">
        <v>0.0</v>
      </c>
      <c r="W157" s="20">
        <v>1.0</v>
      </c>
      <c r="X157" s="24">
        <v>47484.0</v>
      </c>
      <c r="Y157" s="24">
        <v>47848.0</v>
      </c>
      <c r="Z157" s="20">
        <v>0.0</v>
      </c>
      <c r="AA157" s="20">
        <v>1.0</v>
      </c>
      <c r="AB157" s="24"/>
      <c r="AC157" s="24"/>
    </row>
    <row r="158" ht="14.25" customHeight="1">
      <c r="A158" s="46" t="s">
        <v>2975</v>
      </c>
      <c r="B158" s="20" t="s">
        <v>2976</v>
      </c>
      <c r="C158" s="20" t="s">
        <v>7041</v>
      </c>
      <c r="D158" s="24">
        <v>45658.0</v>
      </c>
      <c r="E158" s="24">
        <v>46022.0</v>
      </c>
      <c r="F158" s="20">
        <v>0.0</v>
      </c>
      <c r="G158" s="20">
        <v>1.0</v>
      </c>
      <c r="H158" s="24">
        <v>46023.0</v>
      </c>
      <c r="I158" s="24">
        <v>46387.0</v>
      </c>
      <c r="J158" s="20">
        <v>0.0</v>
      </c>
      <c r="K158" s="20">
        <v>1.0</v>
      </c>
      <c r="L158" s="24">
        <v>46388.0</v>
      </c>
      <c r="M158" s="24">
        <v>46752.0</v>
      </c>
      <c r="N158" s="20">
        <v>0.0</v>
      </c>
      <c r="O158" s="20">
        <v>1.0</v>
      </c>
      <c r="P158" s="24">
        <v>46753.0</v>
      </c>
      <c r="Q158" s="24">
        <v>47118.0</v>
      </c>
      <c r="R158" s="20">
        <v>0.0</v>
      </c>
      <c r="S158" s="20">
        <v>1.0</v>
      </c>
      <c r="T158" s="24">
        <v>47119.0</v>
      </c>
      <c r="U158" s="24">
        <v>47483.0</v>
      </c>
      <c r="V158" s="20">
        <v>0.0</v>
      </c>
      <c r="W158" s="20">
        <v>1.0</v>
      </c>
      <c r="X158" s="24">
        <v>47484.0</v>
      </c>
      <c r="Y158" s="24">
        <v>47848.0</v>
      </c>
      <c r="Z158" s="20">
        <v>0.0</v>
      </c>
      <c r="AA158" s="20">
        <v>1.0</v>
      </c>
      <c r="AB158" s="24"/>
      <c r="AC158" s="24"/>
    </row>
    <row r="159" ht="14.25" customHeight="1">
      <c r="A159" s="46" t="s">
        <v>2978</v>
      </c>
      <c r="B159" s="20" t="s">
        <v>2979</v>
      </c>
      <c r="C159" s="20" t="s">
        <v>7041</v>
      </c>
      <c r="D159" s="24">
        <v>45658.0</v>
      </c>
      <c r="E159" s="24">
        <v>46022.0</v>
      </c>
      <c r="F159" s="20">
        <v>0.0</v>
      </c>
      <c r="G159" s="20">
        <v>1.0</v>
      </c>
      <c r="H159" s="24">
        <v>46023.0</v>
      </c>
      <c r="I159" s="24">
        <v>46387.0</v>
      </c>
      <c r="J159" s="20">
        <v>0.0</v>
      </c>
      <c r="K159" s="20">
        <v>1.0</v>
      </c>
      <c r="L159" s="24">
        <v>46388.0</v>
      </c>
      <c r="M159" s="24">
        <v>46752.0</v>
      </c>
      <c r="N159" s="20">
        <v>0.0</v>
      </c>
      <c r="O159" s="20">
        <v>1.0</v>
      </c>
      <c r="P159" s="24">
        <v>46753.0</v>
      </c>
      <c r="Q159" s="24">
        <v>47118.0</v>
      </c>
      <c r="R159" s="20">
        <v>0.0</v>
      </c>
      <c r="S159" s="20">
        <v>1.0</v>
      </c>
      <c r="T159" s="24">
        <v>47119.0</v>
      </c>
      <c r="U159" s="24">
        <v>47483.0</v>
      </c>
      <c r="V159" s="20">
        <v>0.0</v>
      </c>
      <c r="W159" s="20">
        <v>1.0</v>
      </c>
      <c r="X159" s="24">
        <v>47484.0</v>
      </c>
      <c r="Y159" s="24">
        <v>47848.0</v>
      </c>
      <c r="Z159" s="20">
        <v>0.0</v>
      </c>
      <c r="AA159" s="20">
        <v>1.0</v>
      </c>
      <c r="AB159" s="24"/>
      <c r="AC159" s="24"/>
    </row>
    <row r="160" ht="14.25" customHeight="1">
      <c r="A160" s="46" t="s">
        <v>2982</v>
      </c>
      <c r="B160" s="20" t="s">
        <v>2983</v>
      </c>
      <c r="C160" s="20" t="s">
        <v>7041</v>
      </c>
      <c r="D160" s="24">
        <v>45658.0</v>
      </c>
      <c r="E160" s="24">
        <v>46022.0</v>
      </c>
      <c r="F160" s="20">
        <v>0.0</v>
      </c>
      <c r="G160" s="20">
        <v>1.0</v>
      </c>
      <c r="H160" s="24">
        <v>46023.0</v>
      </c>
      <c r="I160" s="24">
        <v>46387.0</v>
      </c>
      <c r="J160" s="20">
        <v>0.0</v>
      </c>
      <c r="K160" s="20">
        <v>1.0</v>
      </c>
      <c r="L160" s="24">
        <v>46388.0</v>
      </c>
      <c r="M160" s="24">
        <v>46752.0</v>
      </c>
      <c r="N160" s="20">
        <v>0.0</v>
      </c>
      <c r="O160" s="20">
        <v>1.0</v>
      </c>
      <c r="P160" s="24">
        <v>46753.0</v>
      </c>
      <c r="Q160" s="24">
        <v>47118.0</v>
      </c>
      <c r="R160" s="20">
        <v>0.0</v>
      </c>
      <c r="S160" s="20">
        <v>1.0</v>
      </c>
      <c r="T160" s="24">
        <v>47119.0</v>
      </c>
      <c r="U160" s="24">
        <v>47483.0</v>
      </c>
      <c r="V160" s="20">
        <v>0.0</v>
      </c>
      <c r="W160" s="20">
        <v>1.0</v>
      </c>
      <c r="X160" s="24">
        <v>47484.0</v>
      </c>
      <c r="Y160" s="24">
        <v>47848.0</v>
      </c>
      <c r="Z160" s="20">
        <v>0.0</v>
      </c>
      <c r="AA160" s="20">
        <v>1.0</v>
      </c>
      <c r="AB160" s="24"/>
      <c r="AC160" s="24"/>
    </row>
    <row r="161" ht="14.25" customHeight="1">
      <c r="A161" s="46" t="s">
        <v>3112</v>
      </c>
      <c r="B161" s="20" t="s">
        <v>3113</v>
      </c>
      <c r="C161" s="20" t="s">
        <v>7041</v>
      </c>
      <c r="D161" s="24">
        <v>45658.0</v>
      </c>
      <c r="E161" s="24">
        <v>46022.0</v>
      </c>
      <c r="F161" s="20">
        <v>0.0</v>
      </c>
      <c r="G161" s="20">
        <v>1.0</v>
      </c>
      <c r="H161" s="24">
        <v>46023.0</v>
      </c>
      <c r="I161" s="24">
        <v>46387.0</v>
      </c>
      <c r="J161" s="20">
        <v>0.0</v>
      </c>
      <c r="K161" s="20">
        <v>1.0</v>
      </c>
      <c r="L161" s="24">
        <v>46388.0</v>
      </c>
      <c r="M161" s="24">
        <v>46752.0</v>
      </c>
      <c r="N161" s="20">
        <v>0.0</v>
      </c>
      <c r="O161" s="20">
        <v>1.0</v>
      </c>
      <c r="P161" s="24">
        <v>46753.0</v>
      </c>
      <c r="Q161" s="24">
        <v>47118.0</v>
      </c>
      <c r="R161" s="20">
        <v>0.0</v>
      </c>
      <c r="S161" s="20">
        <v>1.0</v>
      </c>
      <c r="T161" s="24">
        <v>47119.0</v>
      </c>
      <c r="U161" s="24">
        <v>47483.0</v>
      </c>
      <c r="V161" s="20">
        <v>0.0</v>
      </c>
      <c r="W161" s="20">
        <v>1.0</v>
      </c>
      <c r="X161" s="24">
        <v>47484.0</v>
      </c>
      <c r="Y161" s="24">
        <v>47848.0</v>
      </c>
      <c r="Z161" s="20">
        <v>0.0</v>
      </c>
      <c r="AA161" s="20">
        <v>1.0</v>
      </c>
      <c r="AB161" s="24"/>
      <c r="AC161" s="24"/>
    </row>
    <row r="162" ht="14.25" customHeight="1">
      <c r="A162" s="46" t="s">
        <v>3141</v>
      </c>
      <c r="B162" s="20" t="s">
        <v>3142</v>
      </c>
      <c r="C162" s="20" t="s">
        <v>7041</v>
      </c>
      <c r="D162" s="24">
        <v>45658.0</v>
      </c>
      <c r="E162" s="24">
        <v>46022.0</v>
      </c>
      <c r="F162" s="20">
        <v>0.0</v>
      </c>
      <c r="G162" s="20">
        <v>1.0</v>
      </c>
      <c r="H162" s="24">
        <v>46023.0</v>
      </c>
      <c r="I162" s="24">
        <v>46387.0</v>
      </c>
      <c r="J162" s="20">
        <v>0.0</v>
      </c>
      <c r="K162" s="20">
        <v>1.0</v>
      </c>
      <c r="L162" s="24">
        <v>46388.0</v>
      </c>
      <c r="M162" s="24">
        <v>46752.0</v>
      </c>
      <c r="N162" s="20">
        <v>0.0</v>
      </c>
      <c r="O162" s="20">
        <v>1.0</v>
      </c>
      <c r="P162" s="24">
        <v>46753.0</v>
      </c>
      <c r="Q162" s="24">
        <v>47118.0</v>
      </c>
      <c r="R162" s="20">
        <v>0.0</v>
      </c>
      <c r="S162" s="20">
        <v>1.0</v>
      </c>
      <c r="T162" s="24">
        <v>47119.0</v>
      </c>
      <c r="U162" s="24">
        <v>47483.0</v>
      </c>
      <c r="V162" s="20">
        <v>0.0</v>
      </c>
      <c r="W162" s="20">
        <v>1.0</v>
      </c>
      <c r="X162" s="24">
        <v>47484.0</v>
      </c>
      <c r="Y162" s="24">
        <v>47848.0</v>
      </c>
      <c r="Z162" s="20">
        <v>0.0</v>
      </c>
      <c r="AA162" s="20">
        <v>1.0</v>
      </c>
      <c r="AB162" s="24"/>
      <c r="AC162" s="24"/>
    </row>
    <row r="163" ht="14.25" customHeight="1">
      <c r="A163" s="46" t="s">
        <v>3163</v>
      </c>
      <c r="B163" s="20" t="s">
        <v>3164</v>
      </c>
      <c r="C163" s="20" t="s">
        <v>7041</v>
      </c>
      <c r="D163" s="24">
        <v>45658.0</v>
      </c>
      <c r="E163" s="24">
        <v>46022.0</v>
      </c>
      <c r="F163" s="20">
        <v>0.0</v>
      </c>
      <c r="G163" s="20">
        <v>1.0</v>
      </c>
      <c r="H163" s="24">
        <v>46023.0</v>
      </c>
      <c r="I163" s="24">
        <v>46387.0</v>
      </c>
      <c r="J163" s="20">
        <v>0.0</v>
      </c>
      <c r="K163" s="20">
        <v>1.0</v>
      </c>
      <c r="L163" s="24">
        <v>46388.0</v>
      </c>
      <c r="M163" s="24">
        <v>46752.0</v>
      </c>
      <c r="N163" s="20">
        <v>0.0</v>
      </c>
      <c r="O163" s="20">
        <v>1.0</v>
      </c>
      <c r="P163" s="24">
        <v>46753.0</v>
      </c>
      <c r="Q163" s="24">
        <v>47118.0</v>
      </c>
      <c r="R163" s="20">
        <v>0.0</v>
      </c>
      <c r="S163" s="20">
        <v>1.0</v>
      </c>
      <c r="T163" s="24">
        <v>47119.0</v>
      </c>
      <c r="U163" s="24">
        <v>47483.0</v>
      </c>
      <c r="V163" s="20">
        <v>0.0</v>
      </c>
      <c r="W163" s="20">
        <v>1.0</v>
      </c>
      <c r="X163" s="24">
        <v>47484.0</v>
      </c>
      <c r="Y163" s="24">
        <v>47848.0</v>
      </c>
      <c r="Z163" s="20">
        <v>0.0</v>
      </c>
      <c r="AA163" s="20">
        <v>1.0</v>
      </c>
      <c r="AB163" s="24"/>
      <c r="AC163" s="24"/>
    </row>
    <row r="164" ht="14.25" customHeight="1">
      <c r="A164" s="46" t="s">
        <v>3176</v>
      </c>
      <c r="B164" s="20" t="s">
        <v>3177</v>
      </c>
      <c r="C164" s="20" t="s">
        <v>7041</v>
      </c>
      <c r="D164" s="24">
        <v>45658.0</v>
      </c>
      <c r="E164" s="24">
        <v>46022.0</v>
      </c>
      <c r="F164" s="20">
        <v>0.0</v>
      </c>
      <c r="G164" s="20">
        <v>1.0</v>
      </c>
      <c r="H164" s="24">
        <v>46023.0</v>
      </c>
      <c r="I164" s="24">
        <v>46387.0</v>
      </c>
      <c r="J164" s="20">
        <v>0.0</v>
      </c>
      <c r="K164" s="20">
        <v>1.0</v>
      </c>
      <c r="L164" s="24">
        <v>46388.0</v>
      </c>
      <c r="M164" s="24">
        <v>46752.0</v>
      </c>
      <c r="N164" s="20">
        <v>0.0</v>
      </c>
      <c r="O164" s="20">
        <v>1.0</v>
      </c>
      <c r="P164" s="24">
        <v>46753.0</v>
      </c>
      <c r="Q164" s="24">
        <v>47118.0</v>
      </c>
      <c r="R164" s="20">
        <v>0.0</v>
      </c>
      <c r="S164" s="20">
        <v>1.0</v>
      </c>
      <c r="T164" s="24">
        <v>47119.0</v>
      </c>
      <c r="U164" s="24">
        <v>47483.0</v>
      </c>
      <c r="V164" s="20">
        <v>0.0</v>
      </c>
      <c r="W164" s="20">
        <v>1.0</v>
      </c>
      <c r="X164" s="24">
        <v>47484.0</v>
      </c>
      <c r="Y164" s="24">
        <v>47848.0</v>
      </c>
      <c r="Z164" s="20">
        <v>0.0</v>
      </c>
      <c r="AA164" s="20">
        <v>1.0</v>
      </c>
      <c r="AB164" s="24"/>
      <c r="AC164" s="24"/>
    </row>
    <row r="165" ht="14.25" customHeight="1">
      <c r="A165" s="46" t="s">
        <v>3268</v>
      </c>
      <c r="B165" s="20" t="s">
        <v>3269</v>
      </c>
      <c r="C165" s="20" t="s">
        <v>7041</v>
      </c>
      <c r="D165" s="24">
        <v>45658.0</v>
      </c>
      <c r="E165" s="24">
        <v>46022.0</v>
      </c>
      <c r="F165" s="20">
        <v>0.0</v>
      </c>
      <c r="G165" s="20">
        <v>1.0</v>
      </c>
      <c r="H165" s="24">
        <v>46023.0</v>
      </c>
      <c r="I165" s="24">
        <v>46387.0</v>
      </c>
      <c r="J165" s="20">
        <v>0.0</v>
      </c>
      <c r="K165" s="20">
        <v>1.0</v>
      </c>
      <c r="L165" s="24">
        <v>46388.0</v>
      </c>
      <c r="M165" s="24">
        <v>46752.0</v>
      </c>
      <c r="N165" s="20">
        <v>0.0</v>
      </c>
      <c r="O165" s="20">
        <v>1.0</v>
      </c>
      <c r="P165" s="24">
        <v>46753.0</v>
      </c>
      <c r="Q165" s="24">
        <v>47118.0</v>
      </c>
      <c r="R165" s="20">
        <v>0.0</v>
      </c>
      <c r="S165" s="20">
        <v>1.0</v>
      </c>
      <c r="T165" s="24">
        <v>47119.0</v>
      </c>
      <c r="U165" s="24">
        <v>47483.0</v>
      </c>
      <c r="V165" s="20">
        <v>0.0</v>
      </c>
      <c r="W165" s="20">
        <v>1.0</v>
      </c>
      <c r="X165" s="24">
        <v>47484.0</v>
      </c>
      <c r="Y165" s="24">
        <v>47848.0</v>
      </c>
      <c r="Z165" s="20">
        <v>0.0</v>
      </c>
      <c r="AA165" s="20">
        <v>1.0</v>
      </c>
      <c r="AB165" s="24"/>
      <c r="AC165" s="24"/>
    </row>
    <row r="166" ht="14.25" customHeight="1">
      <c r="A166" s="46" t="s">
        <v>3357</v>
      </c>
      <c r="B166" s="20" t="s">
        <v>3358</v>
      </c>
      <c r="C166" s="20" t="s">
        <v>7041</v>
      </c>
      <c r="D166" s="24">
        <v>45658.0</v>
      </c>
      <c r="E166" s="24">
        <v>46022.0</v>
      </c>
      <c r="F166" s="20">
        <v>0.0</v>
      </c>
      <c r="G166" s="20">
        <v>1.0</v>
      </c>
      <c r="H166" s="24">
        <v>46023.0</v>
      </c>
      <c r="I166" s="24">
        <v>46387.0</v>
      </c>
      <c r="J166" s="20">
        <v>0.0</v>
      </c>
      <c r="K166" s="20">
        <v>1.0</v>
      </c>
      <c r="L166" s="24">
        <v>46388.0</v>
      </c>
      <c r="M166" s="24">
        <v>46752.0</v>
      </c>
      <c r="N166" s="20">
        <v>0.0</v>
      </c>
      <c r="O166" s="20">
        <v>1.0</v>
      </c>
      <c r="P166" s="24">
        <v>46753.0</v>
      </c>
      <c r="Q166" s="24">
        <v>47118.0</v>
      </c>
      <c r="R166" s="20">
        <v>0.0</v>
      </c>
      <c r="S166" s="20">
        <v>1.0</v>
      </c>
      <c r="T166" s="24">
        <v>47119.0</v>
      </c>
      <c r="U166" s="24">
        <v>47483.0</v>
      </c>
      <c r="V166" s="20">
        <v>0.0</v>
      </c>
      <c r="W166" s="20">
        <v>1.0</v>
      </c>
      <c r="X166" s="24">
        <v>47484.0</v>
      </c>
      <c r="Y166" s="24">
        <v>47848.0</v>
      </c>
      <c r="Z166" s="20">
        <v>0.0</v>
      </c>
      <c r="AA166" s="20">
        <v>1.0</v>
      </c>
      <c r="AB166" s="24"/>
      <c r="AC166" s="24"/>
    </row>
    <row r="167" ht="14.25" customHeight="1">
      <c r="A167" s="46" t="s">
        <v>3392</v>
      </c>
      <c r="B167" s="20" t="s">
        <v>3393</v>
      </c>
      <c r="C167" s="20" t="s">
        <v>7041</v>
      </c>
      <c r="D167" s="24">
        <v>45658.0</v>
      </c>
      <c r="E167" s="24">
        <v>46022.0</v>
      </c>
      <c r="F167" s="20">
        <v>0.0</v>
      </c>
      <c r="G167" s="20">
        <v>1.0</v>
      </c>
      <c r="H167" s="24">
        <v>46023.0</v>
      </c>
      <c r="I167" s="24">
        <v>46387.0</v>
      </c>
      <c r="J167" s="20">
        <v>0.0</v>
      </c>
      <c r="K167" s="20">
        <v>1.0</v>
      </c>
      <c r="L167" s="24">
        <v>46388.0</v>
      </c>
      <c r="M167" s="24">
        <v>46752.0</v>
      </c>
      <c r="N167" s="20">
        <v>0.0</v>
      </c>
      <c r="O167" s="20">
        <v>1.0</v>
      </c>
      <c r="P167" s="24">
        <v>46753.0</v>
      </c>
      <c r="Q167" s="24">
        <v>47118.0</v>
      </c>
      <c r="R167" s="20">
        <v>0.0</v>
      </c>
      <c r="S167" s="20">
        <v>1.0</v>
      </c>
      <c r="T167" s="24">
        <v>47119.0</v>
      </c>
      <c r="U167" s="24">
        <v>47483.0</v>
      </c>
      <c r="V167" s="20">
        <v>0.0</v>
      </c>
      <c r="W167" s="20">
        <v>1.0</v>
      </c>
      <c r="X167" s="24">
        <v>47484.0</v>
      </c>
      <c r="Y167" s="24">
        <v>47848.0</v>
      </c>
      <c r="Z167" s="20">
        <v>0.0</v>
      </c>
      <c r="AA167" s="20">
        <v>1.0</v>
      </c>
      <c r="AB167" s="24"/>
      <c r="AC167" s="24"/>
    </row>
    <row r="168" ht="14.25" customHeight="1">
      <c r="A168" s="46" t="s">
        <v>3413</v>
      </c>
      <c r="B168" s="20" t="s">
        <v>3414</v>
      </c>
      <c r="C168" s="20" t="s">
        <v>7041</v>
      </c>
      <c r="D168" s="24">
        <v>45658.0</v>
      </c>
      <c r="E168" s="24">
        <v>46022.0</v>
      </c>
      <c r="F168" s="20">
        <v>0.0</v>
      </c>
      <c r="G168" s="20">
        <v>1.0</v>
      </c>
      <c r="H168" s="24">
        <v>46023.0</v>
      </c>
      <c r="I168" s="24">
        <v>46387.0</v>
      </c>
      <c r="J168" s="20">
        <v>0.0</v>
      </c>
      <c r="K168" s="20">
        <v>1.0</v>
      </c>
      <c r="L168" s="24">
        <v>46388.0</v>
      </c>
      <c r="M168" s="24">
        <v>46752.0</v>
      </c>
      <c r="N168" s="20">
        <v>0.0</v>
      </c>
      <c r="O168" s="20">
        <v>1.0</v>
      </c>
      <c r="P168" s="24">
        <v>46753.0</v>
      </c>
      <c r="Q168" s="24">
        <v>47118.0</v>
      </c>
      <c r="R168" s="20">
        <v>0.0</v>
      </c>
      <c r="S168" s="20">
        <v>1.0</v>
      </c>
      <c r="T168" s="24">
        <v>47119.0</v>
      </c>
      <c r="U168" s="24">
        <v>47483.0</v>
      </c>
      <c r="V168" s="20">
        <v>0.0</v>
      </c>
      <c r="W168" s="20">
        <v>1.0</v>
      </c>
      <c r="X168" s="24">
        <v>47484.0</v>
      </c>
      <c r="Y168" s="24">
        <v>47848.0</v>
      </c>
      <c r="Z168" s="20">
        <v>0.0</v>
      </c>
      <c r="AA168" s="20">
        <v>1.0</v>
      </c>
      <c r="AB168" s="24"/>
      <c r="AC168" s="24"/>
    </row>
    <row r="169" ht="14.25" customHeight="1">
      <c r="A169" s="46" t="s">
        <v>3564</v>
      </c>
      <c r="B169" s="20" t="s">
        <v>3565</v>
      </c>
      <c r="C169" s="20" t="s">
        <v>7044</v>
      </c>
      <c r="D169" s="24">
        <v>45658.0</v>
      </c>
      <c r="E169" s="24">
        <v>46022.0</v>
      </c>
      <c r="F169" s="20">
        <v>0.0</v>
      </c>
      <c r="G169" s="20">
        <v>1.0</v>
      </c>
      <c r="H169" s="24">
        <v>46023.0</v>
      </c>
      <c r="I169" s="24">
        <v>46387.0</v>
      </c>
      <c r="J169" s="20">
        <v>0.0</v>
      </c>
      <c r="K169" s="20">
        <v>1.0</v>
      </c>
      <c r="L169" s="24">
        <v>46388.0</v>
      </c>
      <c r="M169" s="24">
        <v>46752.0</v>
      </c>
      <c r="N169" s="20">
        <v>0.0</v>
      </c>
      <c r="O169" s="20">
        <v>1.0</v>
      </c>
      <c r="P169" s="24">
        <v>46753.0</v>
      </c>
      <c r="Q169" s="24">
        <v>47118.0</v>
      </c>
      <c r="R169" s="20">
        <v>0.0</v>
      </c>
      <c r="S169" s="20">
        <v>1.0</v>
      </c>
      <c r="T169" s="24">
        <v>47119.0</v>
      </c>
      <c r="U169" s="24">
        <v>47483.0</v>
      </c>
      <c r="V169" s="20">
        <v>0.0</v>
      </c>
      <c r="W169" s="20">
        <v>1.0</v>
      </c>
      <c r="X169" s="24">
        <v>47484.0</v>
      </c>
      <c r="Y169" s="24">
        <v>47848.0</v>
      </c>
      <c r="Z169" s="20">
        <v>0.0</v>
      </c>
      <c r="AA169" s="20">
        <v>1.0</v>
      </c>
      <c r="AB169" s="24"/>
      <c r="AC169" s="24"/>
    </row>
    <row r="170" ht="14.25" customHeight="1">
      <c r="A170" s="46" t="s">
        <v>3603</v>
      </c>
      <c r="B170" s="20" t="s">
        <v>3604</v>
      </c>
      <c r="C170" s="20" t="s">
        <v>7041</v>
      </c>
      <c r="D170" s="24">
        <v>45658.0</v>
      </c>
      <c r="E170" s="24">
        <v>46022.0</v>
      </c>
      <c r="F170" s="20">
        <v>1.0</v>
      </c>
      <c r="G170" s="20">
        <v>1.0</v>
      </c>
      <c r="H170" s="24">
        <v>46023.0</v>
      </c>
      <c r="I170" s="24">
        <v>46387.0</v>
      </c>
      <c r="J170" s="20">
        <v>0.0</v>
      </c>
      <c r="K170" s="20">
        <v>1.0</v>
      </c>
      <c r="L170" s="24">
        <v>46388.0</v>
      </c>
      <c r="M170" s="24">
        <v>46752.0</v>
      </c>
      <c r="N170" s="20">
        <v>0.0</v>
      </c>
      <c r="O170" s="20">
        <v>1.0</v>
      </c>
      <c r="P170" s="24">
        <v>46753.0</v>
      </c>
      <c r="Q170" s="24">
        <v>47118.0</v>
      </c>
      <c r="R170" s="20">
        <v>0.0</v>
      </c>
      <c r="S170" s="20">
        <v>1.0</v>
      </c>
      <c r="T170" s="24">
        <v>47119.0</v>
      </c>
      <c r="U170" s="24">
        <v>47483.0</v>
      </c>
      <c r="V170" s="20">
        <v>0.0</v>
      </c>
      <c r="W170" s="20">
        <v>1.0</v>
      </c>
      <c r="X170" s="24">
        <v>47484.0</v>
      </c>
      <c r="Y170" s="24">
        <v>47848.0</v>
      </c>
      <c r="Z170" s="20">
        <v>0.0</v>
      </c>
      <c r="AA170" s="20">
        <v>1.0</v>
      </c>
      <c r="AB170" s="24"/>
      <c r="AC170" s="24"/>
    </row>
    <row r="171" ht="14.25" customHeight="1">
      <c r="A171" s="46" t="s">
        <v>3877</v>
      </c>
      <c r="B171" s="20" t="s">
        <v>3878</v>
      </c>
      <c r="C171" s="20" t="s">
        <v>7041</v>
      </c>
      <c r="D171" s="24">
        <v>45658.0</v>
      </c>
      <c r="E171" s="24">
        <v>46022.0</v>
      </c>
      <c r="F171" s="20">
        <v>0.0</v>
      </c>
      <c r="G171" s="20">
        <v>1.0</v>
      </c>
      <c r="H171" s="24">
        <v>46023.0</v>
      </c>
      <c r="I171" s="24">
        <v>46387.0</v>
      </c>
      <c r="J171" s="20">
        <v>0.0</v>
      </c>
      <c r="K171" s="20">
        <v>1.0</v>
      </c>
      <c r="L171" s="24">
        <v>46388.0</v>
      </c>
      <c r="M171" s="24">
        <v>46752.0</v>
      </c>
      <c r="N171" s="20">
        <v>0.0</v>
      </c>
      <c r="O171" s="20">
        <v>1.0</v>
      </c>
      <c r="P171" s="24">
        <v>46753.0</v>
      </c>
      <c r="Q171" s="24">
        <v>47118.0</v>
      </c>
      <c r="R171" s="20">
        <v>0.0</v>
      </c>
      <c r="S171" s="20">
        <v>1.0</v>
      </c>
      <c r="T171" s="24">
        <v>47119.0</v>
      </c>
      <c r="U171" s="24">
        <v>47483.0</v>
      </c>
      <c r="V171" s="20">
        <v>0.0</v>
      </c>
      <c r="W171" s="20">
        <v>1.0</v>
      </c>
      <c r="X171" s="24">
        <v>47484.0</v>
      </c>
      <c r="Y171" s="24">
        <v>47848.0</v>
      </c>
      <c r="Z171" s="20">
        <v>0.0</v>
      </c>
      <c r="AA171" s="20">
        <v>1.0</v>
      </c>
      <c r="AB171" s="24"/>
      <c r="AC171" s="24"/>
    </row>
    <row r="172" ht="14.25" customHeight="1">
      <c r="A172" s="46" t="s">
        <v>3943</v>
      </c>
      <c r="B172" s="26" t="s">
        <v>3944</v>
      </c>
      <c r="C172" s="20" t="s">
        <v>7041</v>
      </c>
      <c r="D172" s="24">
        <v>45658.0</v>
      </c>
      <c r="E172" s="24">
        <v>46022.0</v>
      </c>
      <c r="F172" s="20">
        <v>0.0</v>
      </c>
      <c r="G172" s="20">
        <v>1.0</v>
      </c>
      <c r="H172" s="24">
        <v>46023.0</v>
      </c>
      <c r="I172" s="24">
        <v>46387.0</v>
      </c>
      <c r="J172" s="20">
        <v>0.0</v>
      </c>
      <c r="K172" s="20">
        <v>1.0</v>
      </c>
      <c r="L172" s="24">
        <v>46388.0</v>
      </c>
      <c r="M172" s="24">
        <v>46752.0</v>
      </c>
      <c r="N172" s="20">
        <v>0.0</v>
      </c>
      <c r="O172" s="20">
        <v>1.0</v>
      </c>
      <c r="P172" s="24">
        <v>46753.0</v>
      </c>
      <c r="Q172" s="24">
        <v>47118.0</v>
      </c>
      <c r="R172" s="20">
        <v>0.0</v>
      </c>
      <c r="S172" s="20">
        <v>1.0</v>
      </c>
      <c r="T172" s="24">
        <v>47119.0</v>
      </c>
      <c r="U172" s="24">
        <v>47483.0</v>
      </c>
      <c r="V172" s="20">
        <v>0.0</v>
      </c>
      <c r="W172" s="20">
        <v>1.0</v>
      </c>
      <c r="X172" s="24">
        <v>47484.0</v>
      </c>
      <c r="Y172" s="24">
        <v>47848.0</v>
      </c>
      <c r="Z172" s="20">
        <v>0.0</v>
      </c>
      <c r="AA172" s="20">
        <v>1.0</v>
      </c>
      <c r="AB172" s="24"/>
      <c r="AC172" s="24"/>
    </row>
    <row r="173" ht="14.25" customHeight="1">
      <c r="A173" s="46" t="s">
        <v>4011</v>
      </c>
      <c r="B173" s="20" t="s">
        <v>4012</v>
      </c>
      <c r="C173" s="20" t="s">
        <v>7041</v>
      </c>
      <c r="D173" s="24">
        <v>45658.0</v>
      </c>
      <c r="E173" s="24">
        <v>46022.0</v>
      </c>
      <c r="F173" s="20">
        <v>1.0</v>
      </c>
      <c r="G173" s="20">
        <v>1.0</v>
      </c>
      <c r="H173" s="24">
        <v>46023.0</v>
      </c>
      <c r="I173" s="24">
        <v>46387.0</v>
      </c>
      <c r="J173" s="20">
        <v>0.0</v>
      </c>
      <c r="K173" s="20">
        <v>1.0</v>
      </c>
      <c r="L173" s="24">
        <v>46388.0</v>
      </c>
      <c r="M173" s="24">
        <v>46752.0</v>
      </c>
      <c r="N173" s="20">
        <v>0.0</v>
      </c>
      <c r="O173" s="20">
        <v>1.0</v>
      </c>
      <c r="P173" s="24">
        <v>46753.0</v>
      </c>
      <c r="Q173" s="24">
        <v>47118.0</v>
      </c>
      <c r="R173" s="20">
        <v>0.0</v>
      </c>
      <c r="S173" s="20">
        <v>1.0</v>
      </c>
      <c r="T173" s="24">
        <v>47119.0</v>
      </c>
      <c r="U173" s="24">
        <v>47483.0</v>
      </c>
      <c r="V173" s="20">
        <v>0.0</v>
      </c>
      <c r="W173" s="20">
        <v>1.0</v>
      </c>
      <c r="X173" s="24">
        <v>47484.0</v>
      </c>
      <c r="Y173" s="24">
        <v>47848.0</v>
      </c>
      <c r="Z173" s="20">
        <v>0.0</v>
      </c>
      <c r="AA173" s="20">
        <v>1.0</v>
      </c>
      <c r="AB173" s="24"/>
      <c r="AC173" s="24"/>
    </row>
    <row r="174" ht="14.25" customHeight="1">
      <c r="A174" s="46" t="s">
        <v>4140</v>
      </c>
      <c r="B174" s="20" t="s">
        <v>4141</v>
      </c>
      <c r="C174" s="20" t="s">
        <v>7041</v>
      </c>
      <c r="D174" s="24">
        <v>45658.0</v>
      </c>
      <c r="E174" s="24">
        <v>46022.0</v>
      </c>
      <c r="F174" s="20">
        <v>0.0</v>
      </c>
      <c r="G174" s="20">
        <v>1.0</v>
      </c>
      <c r="H174" s="24">
        <v>46023.0</v>
      </c>
      <c r="I174" s="24">
        <v>46387.0</v>
      </c>
      <c r="J174" s="20">
        <v>0.0</v>
      </c>
      <c r="K174" s="20">
        <v>1.0</v>
      </c>
      <c r="L174" s="24">
        <v>46388.0</v>
      </c>
      <c r="M174" s="24">
        <v>46752.0</v>
      </c>
      <c r="N174" s="20">
        <v>0.0</v>
      </c>
      <c r="O174" s="20">
        <v>1.0</v>
      </c>
      <c r="P174" s="24">
        <v>46753.0</v>
      </c>
      <c r="Q174" s="24">
        <v>47118.0</v>
      </c>
      <c r="R174" s="20">
        <v>0.0</v>
      </c>
      <c r="S174" s="20">
        <v>1.0</v>
      </c>
      <c r="T174" s="24">
        <v>47119.0</v>
      </c>
      <c r="U174" s="24">
        <v>47483.0</v>
      </c>
      <c r="V174" s="20">
        <v>0.0</v>
      </c>
      <c r="W174" s="20">
        <v>1.0</v>
      </c>
      <c r="X174" s="24">
        <v>47484.0</v>
      </c>
      <c r="Y174" s="24">
        <v>47848.0</v>
      </c>
      <c r="Z174" s="20">
        <v>0.0</v>
      </c>
      <c r="AA174" s="20">
        <v>1.0</v>
      </c>
      <c r="AB174" s="24"/>
      <c r="AC174" s="24"/>
    </row>
    <row r="175" ht="14.25" customHeight="1">
      <c r="A175" s="46" t="s">
        <v>4197</v>
      </c>
      <c r="B175" s="20" t="s">
        <v>4198</v>
      </c>
      <c r="C175" s="20" t="s">
        <v>7041</v>
      </c>
      <c r="D175" s="24">
        <v>45658.0</v>
      </c>
      <c r="E175" s="24">
        <v>46022.0</v>
      </c>
      <c r="F175" s="20">
        <v>0.0</v>
      </c>
      <c r="G175" s="20">
        <v>1.0</v>
      </c>
      <c r="H175" s="24">
        <v>46023.0</v>
      </c>
      <c r="I175" s="24">
        <v>46387.0</v>
      </c>
      <c r="J175" s="20">
        <v>0.0</v>
      </c>
      <c r="K175" s="20">
        <v>1.0</v>
      </c>
      <c r="L175" s="24">
        <v>46388.0</v>
      </c>
      <c r="M175" s="24">
        <v>46752.0</v>
      </c>
      <c r="N175" s="20">
        <v>0.0</v>
      </c>
      <c r="O175" s="20">
        <v>1.0</v>
      </c>
      <c r="P175" s="24">
        <v>46753.0</v>
      </c>
      <c r="Q175" s="24">
        <v>47118.0</v>
      </c>
      <c r="R175" s="20">
        <v>0.0</v>
      </c>
      <c r="S175" s="20">
        <v>1.0</v>
      </c>
      <c r="T175" s="24">
        <v>47119.0</v>
      </c>
      <c r="U175" s="24">
        <v>47483.0</v>
      </c>
      <c r="V175" s="20">
        <v>0.0</v>
      </c>
      <c r="W175" s="20">
        <v>1.0</v>
      </c>
      <c r="X175" s="24">
        <v>47484.0</v>
      </c>
      <c r="Y175" s="24">
        <v>47848.0</v>
      </c>
      <c r="Z175" s="20">
        <v>0.0</v>
      </c>
      <c r="AA175" s="20">
        <v>1.0</v>
      </c>
      <c r="AB175" s="24"/>
      <c r="AC175" s="24"/>
    </row>
    <row r="176" ht="14.25" customHeight="1">
      <c r="A176" s="46" t="s">
        <v>4894</v>
      </c>
      <c r="B176" s="20" t="s">
        <v>4895</v>
      </c>
      <c r="C176" s="20" t="s">
        <v>7041</v>
      </c>
      <c r="D176" s="24">
        <v>45658.0</v>
      </c>
      <c r="E176" s="24">
        <v>46022.0</v>
      </c>
      <c r="F176" s="20">
        <v>0.0</v>
      </c>
      <c r="G176" s="20">
        <v>1.0</v>
      </c>
      <c r="H176" s="24">
        <v>46023.0</v>
      </c>
      <c r="I176" s="24">
        <v>46387.0</v>
      </c>
      <c r="J176" s="20">
        <v>0.0</v>
      </c>
      <c r="K176" s="20">
        <v>1.0</v>
      </c>
      <c r="L176" s="24">
        <v>46388.0</v>
      </c>
      <c r="M176" s="24">
        <v>46752.0</v>
      </c>
      <c r="N176" s="20">
        <v>0.0</v>
      </c>
      <c r="O176" s="20">
        <v>1.0</v>
      </c>
      <c r="P176" s="24">
        <v>46753.0</v>
      </c>
      <c r="Q176" s="24">
        <v>47118.0</v>
      </c>
      <c r="R176" s="20">
        <v>0.0</v>
      </c>
      <c r="S176" s="20">
        <v>1.0</v>
      </c>
      <c r="T176" s="24">
        <v>47119.0</v>
      </c>
      <c r="U176" s="24">
        <v>47483.0</v>
      </c>
      <c r="V176" s="20">
        <v>0.0</v>
      </c>
      <c r="W176" s="20">
        <v>1.0</v>
      </c>
      <c r="X176" s="24">
        <v>47484.0</v>
      </c>
      <c r="Y176" s="24">
        <v>47848.0</v>
      </c>
      <c r="Z176" s="20">
        <v>0.0</v>
      </c>
      <c r="AA176" s="20">
        <v>1.0</v>
      </c>
      <c r="AB176" s="24"/>
      <c r="AC176" s="24"/>
    </row>
    <row r="177" ht="14.25" customHeight="1">
      <c r="A177" s="46" t="s">
        <v>4904</v>
      </c>
      <c r="B177" s="20" t="s">
        <v>4905</v>
      </c>
      <c r="C177" s="20" t="s">
        <v>7041</v>
      </c>
      <c r="D177" s="24">
        <v>45658.0</v>
      </c>
      <c r="E177" s="24">
        <v>46022.0</v>
      </c>
      <c r="F177" s="20">
        <v>0.0</v>
      </c>
      <c r="G177" s="20">
        <v>1.0</v>
      </c>
      <c r="H177" s="24">
        <v>46023.0</v>
      </c>
      <c r="I177" s="24">
        <v>46387.0</v>
      </c>
      <c r="J177" s="20">
        <v>0.0</v>
      </c>
      <c r="K177" s="20">
        <v>1.0</v>
      </c>
      <c r="L177" s="24">
        <v>46388.0</v>
      </c>
      <c r="M177" s="24">
        <v>46752.0</v>
      </c>
      <c r="N177" s="20">
        <v>0.0</v>
      </c>
      <c r="O177" s="20">
        <v>1.0</v>
      </c>
      <c r="P177" s="24">
        <v>46753.0</v>
      </c>
      <c r="Q177" s="24">
        <v>47118.0</v>
      </c>
      <c r="R177" s="20">
        <v>0.0</v>
      </c>
      <c r="S177" s="20">
        <v>1.0</v>
      </c>
      <c r="T177" s="24">
        <v>47119.0</v>
      </c>
      <c r="U177" s="24">
        <v>47483.0</v>
      </c>
      <c r="V177" s="20">
        <v>0.0</v>
      </c>
      <c r="W177" s="20">
        <v>1.0</v>
      </c>
      <c r="X177" s="24">
        <v>47484.0</v>
      </c>
      <c r="Y177" s="24">
        <v>47848.0</v>
      </c>
      <c r="Z177" s="20">
        <v>0.0</v>
      </c>
      <c r="AA177" s="20">
        <v>1.0</v>
      </c>
      <c r="AB177" s="24"/>
      <c r="AC177" s="24"/>
    </row>
    <row r="178" ht="14.25" customHeight="1">
      <c r="A178" s="46" t="s">
        <v>5041</v>
      </c>
      <c r="B178" s="20" t="s">
        <v>5042</v>
      </c>
      <c r="C178" s="20" t="s">
        <v>7041</v>
      </c>
      <c r="D178" s="24">
        <v>45658.0</v>
      </c>
      <c r="E178" s="24">
        <v>46022.0</v>
      </c>
      <c r="F178" s="20">
        <v>0.0</v>
      </c>
      <c r="G178" s="20">
        <v>1.0</v>
      </c>
      <c r="H178" s="24">
        <v>46023.0</v>
      </c>
      <c r="I178" s="24">
        <v>46387.0</v>
      </c>
      <c r="J178" s="20">
        <v>0.0</v>
      </c>
      <c r="K178" s="20">
        <v>1.0</v>
      </c>
      <c r="L178" s="24">
        <v>46388.0</v>
      </c>
      <c r="M178" s="24">
        <v>46752.0</v>
      </c>
      <c r="N178" s="20">
        <v>0.0</v>
      </c>
      <c r="O178" s="20">
        <v>1.0</v>
      </c>
      <c r="P178" s="24">
        <v>46753.0</v>
      </c>
      <c r="Q178" s="24">
        <v>47118.0</v>
      </c>
      <c r="R178" s="20">
        <v>0.0</v>
      </c>
      <c r="S178" s="20">
        <v>1.0</v>
      </c>
      <c r="T178" s="24">
        <v>47119.0</v>
      </c>
      <c r="U178" s="24">
        <v>47483.0</v>
      </c>
      <c r="V178" s="20">
        <v>0.0</v>
      </c>
      <c r="W178" s="20">
        <v>1.0</v>
      </c>
      <c r="X178" s="24">
        <v>47484.0</v>
      </c>
      <c r="Y178" s="24">
        <v>47848.0</v>
      </c>
      <c r="Z178" s="20">
        <v>0.0</v>
      </c>
      <c r="AA178" s="20">
        <v>1.0</v>
      </c>
      <c r="AB178" s="24"/>
      <c r="AC178" s="24"/>
    </row>
    <row r="179" ht="14.25" customHeight="1">
      <c r="A179" s="46" t="s">
        <v>5052</v>
      </c>
      <c r="B179" s="20" t="s">
        <v>5053</v>
      </c>
      <c r="C179" s="20" t="s">
        <v>7041</v>
      </c>
      <c r="D179" s="24">
        <v>45658.0</v>
      </c>
      <c r="E179" s="24">
        <v>46022.0</v>
      </c>
      <c r="F179" s="20">
        <v>0.0</v>
      </c>
      <c r="G179" s="20">
        <v>1.0</v>
      </c>
      <c r="H179" s="24">
        <v>46023.0</v>
      </c>
      <c r="I179" s="24">
        <v>46387.0</v>
      </c>
      <c r="J179" s="20">
        <v>0.0</v>
      </c>
      <c r="K179" s="20">
        <v>1.0</v>
      </c>
      <c r="L179" s="24">
        <v>46388.0</v>
      </c>
      <c r="M179" s="24">
        <v>46752.0</v>
      </c>
      <c r="N179" s="20">
        <v>0.0</v>
      </c>
      <c r="O179" s="20">
        <v>1.0</v>
      </c>
      <c r="P179" s="24">
        <v>46753.0</v>
      </c>
      <c r="Q179" s="24">
        <v>47118.0</v>
      </c>
      <c r="R179" s="20">
        <v>0.0</v>
      </c>
      <c r="S179" s="20">
        <v>1.0</v>
      </c>
      <c r="T179" s="24">
        <v>47119.0</v>
      </c>
      <c r="U179" s="24">
        <v>47483.0</v>
      </c>
      <c r="V179" s="20">
        <v>0.0</v>
      </c>
      <c r="W179" s="20">
        <v>1.0</v>
      </c>
      <c r="X179" s="24">
        <v>47484.0</v>
      </c>
      <c r="Y179" s="24">
        <v>47848.0</v>
      </c>
      <c r="Z179" s="20">
        <v>0.0</v>
      </c>
      <c r="AA179" s="20">
        <v>1.0</v>
      </c>
      <c r="AB179" s="24"/>
      <c r="AC179" s="24"/>
    </row>
    <row r="180" ht="14.25" customHeight="1">
      <c r="A180" s="46" t="s">
        <v>5112</v>
      </c>
      <c r="B180" s="20" t="s">
        <v>5113</v>
      </c>
      <c r="C180" s="20" t="s">
        <v>7041</v>
      </c>
      <c r="D180" s="24">
        <v>45658.0</v>
      </c>
      <c r="E180" s="24">
        <v>46022.0</v>
      </c>
      <c r="F180" s="20">
        <v>0.0</v>
      </c>
      <c r="G180" s="20">
        <v>1.0</v>
      </c>
      <c r="H180" s="24">
        <v>46023.0</v>
      </c>
      <c r="I180" s="24">
        <v>46387.0</v>
      </c>
      <c r="J180" s="20">
        <v>0.0</v>
      </c>
      <c r="K180" s="20">
        <v>1.0</v>
      </c>
      <c r="L180" s="24">
        <v>46388.0</v>
      </c>
      <c r="M180" s="24">
        <v>46752.0</v>
      </c>
      <c r="N180" s="20">
        <v>0.0</v>
      </c>
      <c r="O180" s="20">
        <v>1.0</v>
      </c>
      <c r="P180" s="24">
        <v>46753.0</v>
      </c>
      <c r="Q180" s="24">
        <v>47118.0</v>
      </c>
      <c r="R180" s="20">
        <v>0.0</v>
      </c>
      <c r="S180" s="20">
        <v>1.0</v>
      </c>
      <c r="T180" s="24">
        <v>47119.0</v>
      </c>
      <c r="U180" s="24">
        <v>47483.0</v>
      </c>
      <c r="V180" s="20">
        <v>0.0</v>
      </c>
      <c r="W180" s="20">
        <v>1.0</v>
      </c>
      <c r="X180" s="24">
        <v>47484.0</v>
      </c>
      <c r="Y180" s="24">
        <v>47848.0</v>
      </c>
      <c r="Z180" s="20">
        <v>0.0</v>
      </c>
      <c r="AA180" s="20">
        <v>1.0</v>
      </c>
      <c r="AB180" s="24"/>
      <c r="AC180" s="24"/>
    </row>
    <row r="181" ht="14.25" customHeight="1">
      <c r="A181" s="46" t="s">
        <v>5163</v>
      </c>
      <c r="B181" s="20" t="s">
        <v>5164</v>
      </c>
      <c r="C181" s="20" t="s">
        <v>7041</v>
      </c>
      <c r="D181" s="24">
        <v>45658.0</v>
      </c>
      <c r="E181" s="24">
        <v>46022.0</v>
      </c>
      <c r="F181" s="20">
        <v>0.0</v>
      </c>
      <c r="G181" s="20">
        <v>1.0</v>
      </c>
      <c r="H181" s="24">
        <v>46023.0</v>
      </c>
      <c r="I181" s="24">
        <v>46387.0</v>
      </c>
      <c r="J181" s="20">
        <v>0.0</v>
      </c>
      <c r="K181" s="20">
        <v>1.0</v>
      </c>
      <c r="L181" s="24">
        <v>46388.0</v>
      </c>
      <c r="M181" s="24">
        <v>46752.0</v>
      </c>
      <c r="N181" s="20">
        <v>0.0</v>
      </c>
      <c r="O181" s="20">
        <v>1.0</v>
      </c>
      <c r="P181" s="24">
        <v>46753.0</v>
      </c>
      <c r="Q181" s="24">
        <v>47118.0</v>
      </c>
      <c r="R181" s="20">
        <v>0.0</v>
      </c>
      <c r="S181" s="20">
        <v>1.0</v>
      </c>
      <c r="T181" s="24">
        <v>47119.0</v>
      </c>
      <c r="U181" s="24">
        <v>47483.0</v>
      </c>
      <c r="V181" s="20">
        <v>0.0</v>
      </c>
      <c r="W181" s="20">
        <v>1.0</v>
      </c>
      <c r="X181" s="24">
        <v>47484.0</v>
      </c>
      <c r="Y181" s="24">
        <v>47848.0</v>
      </c>
      <c r="Z181" s="20">
        <v>0.0</v>
      </c>
      <c r="AA181" s="20">
        <v>1.0</v>
      </c>
      <c r="AB181" s="24"/>
      <c r="AC181" s="24"/>
    </row>
    <row r="182" ht="14.25" customHeight="1">
      <c r="A182" s="46" t="s">
        <v>5166</v>
      </c>
      <c r="B182" s="20" t="s">
        <v>5167</v>
      </c>
      <c r="C182" s="20" t="s">
        <v>7041</v>
      </c>
      <c r="D182" s="24">
        <v>45658.0</v>
      </c>
      <c r="E182" s="24">
        <v>46022.0</v>
      </c>
      <c r="F182" s="20">
        <v>1.0</v>
      </c>
      <c r="G182" s="20">
        <v>1.0</v>
      </c>
      <c r="H182" s="24">
        <v>46023.0</v>
      </c>
      <c r="I182" s="24">
        <v>46387.0</v>
      </c>
      <c r="J182" s="20">
        <v>0.0</v>
      </c>
      <c r="K182" s="20">
        <v>1.0</v>
      </c>
      <c r="L182" s="24">
        <v>46388.0</v>
      </c>
      <c r="M182" s="24">
        <v>46752.0</v>
      </c>
      <c r="N182" s="20">
        <v>0.0</v>
      </c>
      <c r="O182" s="20">
        <v>1.0</v>
      </c>
      <c r="P182" s="24">
        <v>46753.0</v>
      </c>
      <c r="Q182" s="24">
        <v>47118.0</v>
      </c>
      <c r="R182" s="20">
        <v>0.0</v>
      </c>
      <c r="S182" s="20">
        <v>1.0</v>
      </c>
      <c r="T182" s="24">
        <v>47119.0</v>
      </c>
      <c r="U182" s="24">
        <v>47483.0</v>
      </c>
      <c r="V182" s="20">
        <v>0.0</v>
      </c>
      <c r="W182" s="20">
        <v>1.0</v>
      </c>
      <c r="X182" s="24">
        <v>47484.0</v>
      </c>
      <c r="Y182" s="24">
        <v>47848.0</v>
      </c>
      <c r="Z182" s="20">
        <v>0.0</v>
      </c>
      <c r="AA182" s="20">
        <v>1.0</v>
      </c>
      <c r="AB182" s="24"/>
      <c r="AC182" s="24"/>
    </row>
    <row r="183" ht="14.25" customHeight="1">
      <c r="A183" s="46" t="s">
        <v>5177</v>
      </c>
      <c r="B183" s="20" t="s">
        <v>5178</v>
      </c>
      <c r="C183" s="20" t="s">
        <v>7041</v>
      </c>
      <c r="D183" s="24">
        <v>45658.0</v>
      </c>
      <c r="E183" s="24">
        <v>46022.0</v>
      </c>
      <c r="F183" s="20">
        <v>1.0</v>
      </c>
      <c r="G183" s="20">
        <v>1.0</v>
      </c>
      <c r="H183" s="24">
        <v>46023.0</v>
      </c>
      <c r="I183" s="24">
        <v>46387.0</v>
      </c>
      <c r="J183" s="20">
        <v>0.0</v>
      </c>
      <c r="K183" s="20">
        <v>1.0</v>
      </c>
      <c r="L183" s="24">
        <v>46388.0</v>
      </c>
      <c r="M183" s="24">
        <v>46752.0</v>
      </c>
      <c r="N183" s="20">
        <v>0.0</v>
      </c>
      <c r="O183" s="20">
        <v>1.0</v>
      </c>
      <c r="P183" s="24">
        <v>46753.0</v>
      </c>
      <c r="Q183" s="24">
        <v>47118.0</v>
      </c>
      <c r="R183" s="20">
        <v>0.0</v>
      </c>
      <c r="S183" s="20">
        <v>1.0</v>
      </c>
      <c r="T183" s="24">
        <v>47119.0</v>
      </c>
      <c r="U183" s="24">
        <v>47483.0</v>
      </c>
      <c r="V183" s="20">
        <v>0.0</v>
      </c>
      <c r="W183" s="20">
        <v>1.0</v>
      </c>
      <c r="X183" s="24">
        <v>47484.0</v>
      </c>
      <c r="Y183" s="24">
        <v>47848.0</v>
      </c>
      <c r="Z183" s="20">
        <v>0.0</v>
      </c>
      <c r="AA183" s="20">
        <v>1.0</v>
      </c>
      <c r="AB183" s="24"/>
      <c r="AC183" s="24"/>
    </row>
    <row r="184" ht="14.25" customHeight="1">
      <c r="A184" s="46" t="s">
        <v>5249</v>
      </c>
      <c r="B184" s="20" t="s">
        <v>5250</v>
      </c>
      <c r="C184" s="20" t="s">
        <v>7041</v>
      </c>
      <c r="D184" s="24">
        <v>45658.0</v>
      </c>
      <c r="E184" s="24">
        <v>46022.0</v>
      </c>
      <c r="F184" s="20">
        <v>0.0</v>
      </c>
      <c r="G184" s="20">
        <v>1.0</v>
      </c>
      <c r="H184" s="24">
        <v>46023.0</v>
      </c>
      <c r="I184" s="24">
        <v>46387.0</v>
      </c>
      <c r="J184" s="20">
        <v>0.0</v>
      </c>
      <c r="K184" s="20">
        <v>1.0</v>
      </c>
      <c r="L184" s="24">
        <v>46388.0</v>
      </c>
      <c r="M184" s="24">
        <v>46752.0</v>
      </c>
      <c r="N184" s="20">
        <v>0.0</v>
      </c>
      <c r="O184" s="20">
        <v>1.0</v>
      </c>
      <c r="P184" s="24">
        <v>46753.0</v>
      </c>
      <c r="Q184" s="24">
        <v>47118.0</v>
      </c>
      <c r="R184" s="20">
        <v>0.0</v>
      </c>
      <c r="S184" s="20">
        <v>1.0</v>
      </c>
      <c r="T184" s="24">
        <v>47119.0</v>
      </c>
      <c r="U184" s="24">
        <v>47483.0</v>
      </c>
      <c r="V184" s="20">
        <v>0.0</v>
      </c>
      <c r="W184" s="20">
        <v>1.0</v>
      </c>
      <c r="X184" s="24">
        <v>47484.0</v>
      </c>
      <c r="Y184" s="24">
        <v>47848.0</v>
      </c>
      <c r="Z184" s="20">
        <v>0.0</v>
      </c>
      <c r="AA184" s="20">
        <v>1.0</v>
      </c>
      <c r="AB184" s="24"/>
      <c r="AC184" s="24"/>
    </row>
    <row r="185" ht="14.25" customHeight="1">
      <c r="A185" s="46" t="s">
        <v>5309</v>
      </c>
      <c r="B185" s="20" t="s">
        <v>5310</v>
      </c>
      <c r="C185" s="20" t="s">
        <v>7041</v>
      </c>
      <c r="D185" s="24">
        <v>45658.0</v>
      </c>
      <c r="E185" s="24">
        <v>46022.0</v>
      </c>
      <c r="F185" s="20">
        <v>0.0</v>
      </c>
      <c r="G185" s="20">
        <v>1.0</v>
      </c>
      <c r="H185" s="24">
        <v>46023.0</v>
      </c>
      <c r="I185" s="24">
        <v>46387.0</v>
      </c>
      <c r="J185" s="20">
        <v>0.0</v>
      </c>
      <c r="K185" s="20">
        <v>1.0</v>
      </c>
      <c r="L185" s="24">
        <v>46388.0</v>
      </c>
      <c r="M185" s="24">
        <v>46752.0</v>
      </c>
      <c r="N185" s="20">
        <v>0.0</v>
      </c>
      <c r="O185" s="20">
        <v>1.0</v>
      </c>
      <c r="P185" s="24">
        <v>46753.0</v>
      </c>
      <c r="Q185" s="24">
        <v>47118.0</v>
      </c>
      <c r="R185" s="20">
        <v>0.0</v>
      </c>
      <c r="S185" s="20">
        <v>1.0</v>
      </c>
      <c r="T185" s="24">
        <v>47119.0</v>
      </c>
      <c r="U185" s="24">
        <v>47483.0</v>
      </c>
      <c r="V185" s="20">
        <v>0.0</v>
      </c>
      <c r="W185" s="20">
        <v>1.0</v>
      </c>
      <c r="X185" s="24">
        <v>47484.0</v>
      </c>
      <c r="Y185" s="24">
        <v>47848.0</v>
      </c>
      <c r="Z185" s="20">
        <v>0.0</v>
      </c>
      <c r="AA185" s="20">
        <v>1.0</v>
      </c>
      <c r="AB185" s="24"/>
      <c r="AC185" s="24"/>
    </row>
    <row r="186" ht="14.25" customHeight="1">
      <c r="A186" s="46" t="s">
        <v>5341</v>
      </c>
      <c r="B186" s="20" t="s">
        <v>5342</v>
      </c>
      <c r="C186" s="20" t="s">
        <v>7041</v>
      </c>
      <c r="D186" s="24">
        <v>45658.0</v>
      </c>
      <c r="E186" s="24">
        <v>46022.0</v>
      </c>
      <c r="F186" s="20">
        <v>1.0</v>
      </c>
      <c r="G186" s="20">
        <v>1.0</v>
      </c>
      <c r="H186" s="24">
        <v>46023.0</v>
      </c>
      <c r="I186" s="24">
        <v>46387.0</v>
      </c>
      <c r="J186" s="20">
        <v>0.0</v>
      </c>
      <c r="K186" s="20">
        <v>1.0</v>
      </c>
      <c r="L186" s="24">
        <v>46388.0</v>
      </c>
      <c r="M186" s="24">
        <v>46752.0</v>
      </c>
      <c r="N186" s="20">
        <v>0.0</v>
      </c>
      <c r="O186" s="20">
        <v>1.0</v>
      </c>
      <c r="P186" s="24">
        <v>46753.0</v>
      </c>
      <c r="Q186" s="24">
        <v>47118.0</v>
      </c>
      <c r="R186" s="20">
        <v>0.0</v>
      </c>
      <c r="S186" s="20">
        <v>1.0</v>
      </c>
      <c r="T186" s="24">
        <v>47119.0</v>
      </c>
      <c r="U186" s="24">
        <v>47483.0</v>
      </c>
      <c r="V186" s="20">
        <v>0.0</v>
      </c>
      <c r="W186" s="20">
        <v>1.0</v>
      </c>
      <c r="X186" s="24">
        <v>47484.0</v>
      </c>
      <c r="Y186" s="24">
        <v>47848.0</v>
      </c>
      <c r="Z186" s="20">
        <v>0.0</v>
      </c>
      <c r="AA186" s="20">
        <v>1.0</v>
      </c>
      <c r="AB186" s="24"/>
      <c r="AC186" s="24"/>
    </row>
    <row r="187" ht="14.25" customHeight="1">
      <c r="A187" s="46" t="s">
        <v>5417</v>
      </c>
      <c r="B187" s="20" t="s">
        <v>5418</v>
      </c>
      <c r="C187" s="20" t="s">
        <v>7041</v>
      </c>
      <c r="D187" s="24">
        <v>45658.0</v>
      </c>
      <c r="E187" s="24">
        <v>46022.0</v>
      </c>
      <c r="F187" s="20">
        <v>0.0</v>
      </c>
      <c r="G187" s="20">
        <v>1.0</v>
      </c>
      <c r="H187" s="24">
        <v>46023.0</v>
      </c>
      <c r="I187" s="24">
        <v>46387.0</v>
      </c>
      <c r="J187" s="20">
        <v>0.0</v>
      </c>
      <c r="K187" s="20">
        <v>1.0</v>
      </c>
      <c r="L187" s="24">
        <v>46388.0</v>
      </c>
      <c r="M187" s="24">
        <v>46752.0</v>
      </c>
      <c r="N187" s="20">
        <v>0.0</v>
      </c>
      <c r="O187" s="20">
        <v>1.0</v>
      </c>
      <c r="P187" s="24">
        <v>46753.0</v>
      </c>
      <c r="Q187" s="24">
        <v>47118.0</v>
      </c>
      <c r="R187" s="20">
        <v>0.0</v>
      </c>
      <c r="S187" s="20">
        <v>1.0</v>
      </c>
      <c r="T187" s="24">
        <v>47119.0</v>
      </c>
      <c r="U187" s="24">
        <v>47483.0</v>
      </c>
      <c r="V187" s="20">
        <v>0.0</v>
      </c>
      <c r="W187" s="20">
        <v>1.0</v>
      </c>
      <c r="X187" s="24">
        <v>47484.0</v>
      </c>
      <c r="Y187" s="24">
        <v>47848.0</v>
      </c>
      <c r="Z187" s="20">
        <v>0.0</v>
      </c>
      <c r="AA187" s="20">
        <v>1.0</v>
      </c>
      <c r="AB187" s="24"/>
      <c r="AC187" s="24"/>
    </row>
    <row r="188" ht="14.25" customHeight="1">
      <c r="A188" s="46" t="s">
        <v>5592</v>
      </c>
      <c r="B188" s="20" t="s">
        <v>5593</v>
      </c>
      <c r="C188" s="20" t="s">
        <v>7041</v>
      </c>
      <c r="D188" s="24">
        <v>45658.0</v>
      </c>
      <c r="E188" s="24">
        <v>46022.0</v>
      </c>
      <c r="F188" s="20">
        <v>0.0</v>
      </c>
      <c r="G188" s="20">
        <v>1.0</v>
      </c>
      <c r="H188" s="24">
        <v>46023.0</v>
      </c>
      <c r="I188" s="24">
        <v>46387.0</v>
      </c>
      <c r="J188" s="20">
        <v>0.0</v>
      </c>
      <c r="K188" s="20">
        <v>1.0</v>
      </c>
      <c r="L188" s="24">
        <v>46388.0</v>
      </c>
      <c r="M188" s="24">
        <v>46752.0</v>
      </c>
      <c r="N188" s="20">
        <v>0.0</v>
      </c>
      <c r="O188" s="20">
        <v>1.0</v>
      </c>
      <c r="P188" s="24">
        <v>46753.0</v>
      </c>
      <c r="Q188" s="24">
        <v>47118.0</v>
      </c>
      <c r="R188" s="20">
        <v>0.0</v>
      </c>
      <c r="S188" s="20">
        <v>1.0</v>
      </c>
      <c r="T188" s="24">
        <v>47119.0</v>
      </c>
      <c r="U188" s="24">
        <v>47483.0</v>
      </c>
      <c r="V188" s="20">
        <v>0.0</v>
      </c>
      <c r="W188" s="20">
        <v>1.0</v>
      </c>
      <c r="X188" s="24">
        <v>47484.0</v>
      </c>
      <c r="Y188" s="24">
        <v>47848.0</v>
      </c>
      <c r="Z188" s="20">
        <v>0.0</v>
      </c>
      <c r="AA188" s="20">
        <v>1.0</v>
      </c>
      <c r="AB188" s="24"/>
      <c r="AC188" s="24"/>
    </row>
    <row r="189" ht="14.25" customHeight="1">
      <c r="A189" s="46" t="s">
        <v>5650</v>
      </c>
      <c r="B189" s="20" t="s">
        <v>5651</v>
      </c>
      <c r="C189" s="20" t="s">
        <v>7041</v>
      </c>
      <c r="D189" s="24">
        <v>45658.0</v>
      </c>
      <c r="E189" s="24">
        <v>46022.0</v>
      </c>
      <c r="F189" s="20">
        <v>0.0</v>
      </c>
      <c r="G189" s="20">
        <v>1.0</v>
      </c>
      <c r="H189" s="24">
        <v>46023.0</v>
      </c>
      <c r="I189" s="24">
        <v>46387.0</v>
      </c>
      <c r="J189" s="20">
        <v>0.0</v>
      </c>
      <c r="K189" s="20">
        <v>1.0</v>
      </c>
      <c r="L189" s="24">
        <v>46388.0</v>
      </c>
      <c r="M189" s="24">
        <v>46752.0</v>
      </c>
      <c r="N189" s="20">
        <v>0.0</v>
      </c>
      <c r="O189" s="20">
        <v>1.0</v>
      </c>
      <c r="P189" s="24">
        <v>46753.0</v>
      </c>
      <c r="Q189" s="24">
        <v>47118.0</v>
      </c>
      <c r="R189" s="20">
        <v>0.0</v>
      </c>
      <c r="S189" s="20">
        <v>1.0</v>
      </c>
      <c r="T189" s="24">
        <v>47119.0</v>
      </c>
      <c r="U189" s="24">
        <v>47483.0</v>
      </c>
      <c r="V189" s="20">
        <v>0.0</v>
      </c>
      <c r="W189" s="20">
        <v>1.0</v>
      </c>
      <c r="X189" s="24">
        <v>47484.0</v>
      </c>
      <c r="Y189" s="24">
        <v>47848.0</v>
      </c>
      <c r="Z189" s="20">
        <v>0.0</v>
      </c>
      <c r="AA189" s="20">
        <v>1.0</v>
      </c>
      <c r="AB189" s="24"/>
      <c r="AC189" s="24"/>
    </row>
    <row r="190" ht="14.25" customHeight="1">
      <c r="A190" s="46" t="s">
        <v>5695</v>
      </c>
      <c r="B190" s="20" t="s">
        <v>5696</v>
      </c>
      <c r="C190" s="20" t="s">
        <v>7041</v>
      </c>
      <c r="D190" s="24">
        <v>45658.0</v>
      </c>
      <c r="E190" s="24">
        <v>46022.0</v>
      </c>
      <c r="F190" s="20">
        <v>0.0</v>
      </c>
      <c r="G190" s="20">
        <v>1.0</v>
      </c>
      <c r="H190" s="24">
        <v>46023.0</v>
      </c>
      <c r="I190" s="24">
        <v>46387.0</v>
      </c>
      <c r="J190" s="20">
        <v>0.0</v>
      </c>
      <c r="K190" s="20">
        <v>1.0</v>
      </c>
      <c r="L190" s="24">
        <v>46388.0</v>
      </c>
      <c r="M190" s="24">
        <v>46752.0</v>
      </c>
      <c r="N190" s="20">
        <v>0.0</v>
      </c>
      <c r="O190" s="20">
        <v>1.0</v>
      </c>
      <c r="P190" s="24">
        <v>46753.0</v>
      </c>
      <c r="Q190" s="24">
        <v>47118.0</v>
      </c>
      <c r="R190" s="20">
        <v>0.0</v>
      </c>
      <c r="S190" s="20">
        <v>1.0</v>
      </c>
      <c r="T190" s="24">
        <v>47119.0</v>
      </c>
      <c r="U190" s="24">
        <v>47483.0</v>
      </c>
      <c r="V190" s="20">
        <v>0.0</v>
      </c>
      <c r="W190" s="20">
        <v>1.0</v>
      </c>
      <c r="X190" s="24">
        <v>47484.0</v>
      </c>
      <c r="Y190" s="24">
        <v>47848.0</v>
      </c>
      <c r="Z190" s="20">
        <v>0.0</v>
      </c>
      <c r="AA190" s="20">
        <v>1.0</v>
      </c>
      <c r="AB190" s="24"/>
      <c r="AC190" s="24"/>
    </row>
    <row r="191" ht="14.25" customHeight="1">
      <c r="A191" s="46" t="s">
        <v>5702</v>
      </c>
      <c r="B191" s="20" t="s">
        <v>5703</v>
      </c>
      <c r="C191" s="20" t="s">
        <v>7041</v>
      </c>
      <c r="D191" s="24">
        <v>45658.0</v>
      </c>
      <c r="E191" s="24">
        <v>46022.0</v>
      </c>
      <c r="F191" s="20">
        <v>0.0</v>
      </c>
      <c r="G191" s="20">
        <v>1.0</v>
      </c>
      <c r="H191" s="24">
        <v>46023.0</v>
      </c>
      <c r="I191" s="24">
        <v>46387.0</v>
      </c>
      <c r="J191" s="20">
        <v>0.0</v>
      </c>
      <c r="K191" s="20">
        <v>1.0</v>
      </c>
      <c r="L191" s="24">
        <v>46388.0</v>
      </c>
      <c r="M191" s="24">
        <v>46752.0</v>
      </c>
      <c r="N191" s="20">
        <v>0.0</v>
      </c>
      <c r="O191" s="20">
        <v>1.0</v>
      </c>
      <c r="P191" s="24">
        <v>46753.0</v>
      </c>
      <c r="Q191" s="24">
        <v>47118.0</v>
      </c>
      <c r="R191" s="20">
        <v>0.0</v>
      </c>
      <c r="S191" s="20">
        <v>1.0</v>
      </c>
      <c r="T191" s="24">
        <v>47119.0</v>
      </c>
      <c r="U191" s="24">
        <v>47483.0</v>
      </c>
      <c r="V191" s="20">
        <v>0.0</v>
      </c>
      <c r="W191" s="20">
        <v>1.0</v>
      </c>
      <c r="X191" s="24">
        <v>47484.0</v>
      </c>
      <c r="Y191" s="24">
        <v>47848.0</v>
      </c>
      <c r="Z191" s="20">
        <v>0.0</v>
      </c>
      <c r="AA191" s="20">
        <v>1.0</v>
      </c>
      <c r="AB191" s="24"/>
      <c r="AC191" s="24"/>
    </row>
    <row r="192" ht="14.25" customHeight="1">
      <c r="A192" s="46" t="s">
        <v>5915</v>
      </c>
      <c r="B192" s="20" t="s">
        <v>5916</v>
      </c>
      <c r="C192" s="20" t="s">
        <v>7041</v>
      </c>
      <c r="D192" s="24">
        <v>45658.0</v>
      </c>
      <c r="E192" s="24">
        <v>46022.0</v>
      </c>
      <c r="F192" s="20">
        <v>0.0</v>
      </c>
      <c r="G192" s="20">
        <v>1.0</v>
      </c>
      <c r="H192" s="24">
        <v>46023.0</v>
      </c>
      <c r="I192" s="24">
        <v>46387.0</v>
      </c>
      <c r="J192" s="20">
        <v>0.0</v>
      </c>
      <c r="K192" s="20">
        <v>1.0</v>
      </c>
      <c r="L192" s="24">
        <v>46388.0</v>
      </c>
      <c r="M192" s="24">
        <v>46752.0</v>
      </c>
      <c r="N192" s="20">
        <v>0.0</v>
      </c>
      <c r="O192" s="20">
        <v>1.0</v>
      </c>
      <c r="P192" s="24">
        <v>46753.0</v>
      </c>
      <c r="Q192" s="24">
        <v>47118.0</v>
      </c>
      <c r="R192" s="20">
        <v>0.0</v>
      </c>
      <c r="S192" s="20">
        <v>1.0</v>
      </c>
      <c r="T192" s="24">
        <v>47119.0</v>
      </c>
      <c r="U192" s="24">
        <v>47483.0</v>
      </c>
      <c r="V192" s="20">
        <v>0.0</v>
      </c>
      <c r="W192" s="20">
        <v>1.0</v>
      </c>
      <c r="X192" s="24">
        <v>47484.0</v>
      </c>
      <c r="Y192" s="24">
        <v>47848.0</v>
      </c>
      <c r="Z192" s="20">
        <v>0.0</v>
      </c>
      <c r="AA192" s="20">
        <v>1.0</v>
      </c>
      <c r="AB192" s="24"/>
      <c r="AC192" s="24"/>
    </row>
    <row r="193" ht="14.25" customHeight="1">
      <c r="A193" s="46" t="s">
        <v>5995</v>
      </c>
      <c r="B193" s="20" t="s">
        <v>5996</v>
      </c>
      <c r="C193" s="20" t="s">
        <v>7041</v>
      </c>
      <c r="D193" s="24">
        <v>45658.0</v>
      </c>
      <c r="E193" s="24">
        <v>46022.0</v>
      </c>
      <c r="F193" s="20">
        <v>0.0</v>
      </c>
      <c r="G193" s="20">
        <v>1.0</v>
      </c>
      <c r="H193" s="24">
        <v>46023.0</v>
      </c>
      <c r="I193" s="24">
        <v>46387.0</v>
      </c>
      <c r="J193" s="20">
        <v>0.0</v>
      </c>
      <c r="K193" s="20">
        <v>1.0</v>
      </c>
      <c r="L193" s="24">
        <v>46388.0</v>
      </c>
      <c r="M193" s="24">
        <v>46752.0</v>
      </c>
      <c r="N193" s="20">
        <v>0.0</v>
      </c>
      <c r="O193" s="20">
        <v>1.0</v>
      </c>
      <c r="P193" s="24">
        <v>46753.0</v>
      </c>
      <c r="Q193" s="24">
        <v>47118.0</v>
      </c>
      <c r="R193" s="20">
        <v>0.0</v>
      </c>
      <c r="S193" s="20">
        <v>1.0</v>
      </c>
      <c r="T193" s="24">
        <v>47119.0</v>
      </c>
      <c r="U193" s="24">
        <v>47483.0</v>
      </c>
      <c r="V193" s="20">
        <v>0.0</v>
      </c>
      <c r="W193" s="20">
        <v>1.0</v>
      </c>
      <c r="X193" s="24">
        <v>47484.0</v>
      </c>
      <c r="Y193" s="24">
        <v>47848.0</v>
      </c>
      <c r="Z193" s="20">
        <v>0.0</v>
      </c>
      <c r="AA193" s="20">
        <v>1.0</v>
      </c>
      <c r="AB193" s="24"/>
      <c r="AC193" s="24"/>
    </row>
    <row r="194" ht="14.25" customHeight="1">
      <c r="A194" s="46" t="s">
        <v>6199</v>
      </c>
      <c r="B194" s="20" t="s">
        <v>6200</v>
      </c>
      <c r="C194" s="20" t="s">
        <v>7041</v>
      </c>
      <c r="D194" s="24">
        <v>45658.0</v>
      </c>
      <c r="E194" s="24">
        <v>46022.0</v>
      </c>
      <c r="F194" s="20">
        <v>0.0</v>
      </c>
      <c r="G194" s="20">
        <v>1.0</v>
      </c>
      <c r="H194" s="24">
        <v>46023.0</v>
      </c>
      <c r="I194" s="24">
        <v>46387.0</v>
      </c>
      <c r="J194" s="20">
        <v>0.0</v>
      </c>
      <c r="K194" s="20">
        <v>1.0</v>
      </c>
      <c r="L194" s="24">
        <v>46388.0</v>
      </c>
      <c r="M194" s="24">
        <v>46752.0</v>
      </c>
      <c r="N194" s="20">
        <v>0.0</v>
      </c>
      <c r="O194" s="20">
        <v>1.0</v>
      </c>
      <c r="P194" s="24">
        <v>46753.0</v>
      </c>
      <c r="Q194" s="24">
        <v>47118.0</v>
      </c>
      <c r="R194" s="20">
        <v>0.0</v>
      </c>
      <c r="S194" s="20">
        <v>1.0</v>
      </c>
      <c r="T194" s="24">
        <v>47119.0</v>
      </c>
      <c r="U194" s="24">
        <v>47483.0</v>
      </c>
      <c r="V194" s="20">
        <v>0.0</v>
      </c>
      <c r="W194" s="20">
        <v>1.0</v>
      </c>
      <c r="X194" s="24">
        <v>47484.0</v>
      </c>
      <c r="Y194" s="24">
        <v>47848.0</v>
      </c>
      <c r="Z194" s="20">
        <v>0.0</v>
      </c>
      <c r="AA194" s="20">
        <v>1.0</v>
      </c>
      <c r="AB194" s="24"/>
      <c r="AC194" s="24"/>
    </row>
    <row r="195" ht="14.25" customHeight="1">
      <c r="A195" s="46" t="s">
        <v>6238</v>
      </c>
      <c r="B195" s="20" t="s">
        <v>6239</v>
      </c>
      <c r="C195" s="20" t="s">
        <v>7041</v>
      </c>
      <c r="D195" s="24">
        <v>45658.0</v>
      </c>
      <c r="E195" s="24">
        <v>46022.0</v>
      </c>
      <c r="F195" s="20">
        <v>0.0</v>
      </c>
      <c r="G195" s="20">
        <v>1.0</v>
      </c>
      <c r="H195" s="24">
        <v>46023.0</v>
      </c>
      <c r="I195" s="24">
        <v>46387.0</v>
      </c>
      <c r="J195" s="20">
        <v>0.0</v>
      </c>
      <c r="K195" s="20">
        <v>1.0</v>
      </c>
      <c r="L195" s="24">
        <v>46388.0</v>
      </c>
      <c r="M195" s="24">
        <v>46752.0</v>
      </c>
      <c r="N195" s="20">
        <v>0.0</v>
      </c>
      <c r="O195" s="20">
        <v>1.0</v>
      </c>
      <c r="P195" s="24">
        <v>46753.0</v>
      </c>
      <c r="Q195" s="24">
        <v>47118.0</v>
      </c>
      <c r="R195" s="20">
        <v>0.0</v>
      </c>
      <c r="S195" s="20">
        <v>1.0</v>
      </c>
      <c r="T195" s="24">
        <v>47119.0</v>
      </c>
      <c r="U195" s="24">
        <v>47483.0</v>
      </c>
      <c r="V195" s="20">
        <v>0.0</v>
      </c>
      <c r="W195" s="20">
        <v>1.0</v>
      </c>
      <c r="X195" s="24">
        <v>47484.0</v>
      </c>
      <c r="Y195" s="24">
        <v>47848.0</v>
      </c>
      <c r="Z195" s="20">
        <v>0.0</v>
      </c>
      <c r="AA195" s="20">
        <v>1.0</v>
      </c>
      <c r="AB195" s="24"/>
      <c r="AC195" s="24"/>
    </row>
    <row r="196" ht="14.25" customHeight="1">
      <c r="A196" s="46" t="s">
        <v>6248</v>
      </c>
      <c r="B196" s="20" t="s">
        <v>6249</v>
      </c>
      <c r="C196" s="20" t="s">
        <v>7041</v>
      </c>
      <c r="D196" s="24">
        <v>45658.0</v>
      </c>
      <c r="E196" s="24">
        <v>46022.0</v>
      </c>
      <c r="F196" s="20">
        <v>0.0</v>
      </c>
      <c r="G196" s="20">
        <v>1.0</v>
      </c>
      <c r="H196" s="24">
        <v>46023.0</v>
      </c>
      <c r="I196" s="24">
        <v>46387.0</v>
      </c>
      <c r="J196" s="20">
        <v>0.0</v>
      </c>
      <c r="K196" s="20">
        <v>1.0</v>
      </c>
      <c r="L196" s="24">
        <v>46388.0</v>
      </c>
      <c r="M196" s="24">
        <v>46752.0</v>
      </c>
      <c r="N196" s="20">
        <v>0.0</v>
      </c>
      <c r="O196" s="20">
        <v>1.0</v>
      </c>
      <c r="P196" s="24">
        <v>46753.0</v>
      </c>
      <c r="Q196" s="24">
        <v>47118.0</v>
      </c>
      <c r="R196" s="20">
        <v>0.0</v>
      </c>
      <c r="S196" s="20">
        <v>1.0</v>
      </c>
      <c r="T196" s="24">
        <v>47119.0</v>
      </c>
      <c r="U196" s="24">
        <v>47483.0</v>
      </c>
      <c r="V196" s="20">
        <v>0.0</v>
      </c>
      <c r="W196" s="20">
        <v>1.0</v>
      </c>
      <c r="X196" s="24">
        <v>47484.0</v>
      </c>
      <c r="Y196" s="24">
        <v>47848.0</v>
      </c>
      <c r="Z196" s="20">
        <v>0.0</v>
      </c>
      <c r="AA196" s="20">
        <v>1.0</v>
      </c>
      <c r="AB196" s="24"/>
      <c r="AC196" s="24"/>
    </row>
    <row r="197" ht="14.25" customHeight="1">
      <c r="A197" s="46" t="s">
        <v>6435</v>
      </c>
      <c r="B197" s="20" t="s">
        <v>6436</v>
      </c>
      <c r="C197" s="20" t="s">
        <v>7041</v>
      </c>
      <c r="D197" s="24">
        <v>45658.0</v>
      </c>
      <c r="E197" s="24">
        <v>46022.0</v>
      </c>
      <c r="F197" s="20">
        <v>0.0</v>
      </c>
      <c r="G197" s="20">
        <v>1.0</v>
      </c>
      <c r="H197" s="24">
        <v>46023.0</v>
      </c>
      <c r="I197" s="24">
        <v>46387.0</v>
      </c>
      <c r="J197" s="20">
        <v>0.0</v>
      </c>
      <c r="K197" s="20">
        <v>1.0</v>
      </c>
      <c r="L197" s="24">
        <v>46388.0</v>
      </c>
      <c r="M197" s="24">
        <v>46752.0</v>
      </c>
      <c r="N197" s="20">
        <v>0.0</v>
      </c>
      <c r="O197" s="20">
        <v>1.0</v>
      </c>
      <c r="P197" s="24">
        <v>46753.0</v>
      </c>
      <c r="Q197" s="24">
        <v>47118.0</v>
      </c>
      <c r="R197" s="20">
        <v>0.0</v>
      </c>
      <c r="S197" s="20">
        <v>1.0</v>
      </c>
      <c r="T197" s="24">
        <v>47119.0</v>
      </c>
      <c r="U197" s="24">
        <v>47483.0</v>
      </c>
      <c r="V197" s="20">
        <v>0.0</v>
      </c>
      <c r="W197" s="20">
        <v>1.0</v>
      </c>
      <c r="X197" s="24">
        <v>47484.0</v>
      </c>
      <c r="Y197" s="24">
        <v>47848.0</v>
      </c>
      <c r="Z197" s="20">
        <v>0.0</v>
      </c>
      <c r="AA197" s="20">
        <v>1.0</v>
      </c>
      <c r="AB197" s="24"/>
      <c r="AC197" s="24"/>
    </row>
    <row r="198" ht="14.25" customHeight="1">
      <c r="A198" s="46" t="s">
        <v>6693</v>
      </c>
      <c r="B198" s="20" t="s">
        <v>6694</v>
      </c>
      <c r="C198" s="20" t="s">
        <v>7041</v>
      </c>
      <c r="D198" s="24">
        <v>45658.0</v>
      </c>
      <c r="E198" s="24">
        <v>46022.0</v>
      </c>
      <c r="F198" s="20">
        <v>1.0</v>
      </c>
      <c r="G198" s="20">
        <v>1.0</v>
      </c>
      <c r="H198" s="24">
        <v>46023.0</v>
      </c>
      <c r="I198" s="24">
        <v>46387.0</v>
      </c>
      <c r="J198" s="20">
        <v>0.0</v>
      </c>
      <c r="K198" s="20">
        <v>1.0</v>
      </c>
      <c r="L198" s="24">
        <v>46388.0</v>
      </c>
      <c r="M198" s="24">
        <v>46752.0</v>
      </c>
      <c r="N198" s="20">
        <v>0.0</v>
      </c>
      <c r="O198" s="20">
        <v>1.0</v>
      </c>
      <c r="P198" s="24">
        <v>46753.0</v>
      </c>
      <c r="Q198" s="24">
        <v>47118.0</v>
      </c>
      <c r="R198" s="20">
        <v>0.0</v>
      </c>
      <c r="S198" s="20">
        <v>1.0</v>
      </c>
      <c r="T198" s="24">
        <v>47119.0</v>
      </c>
      <c r="U198" s="24">
        <v>47483.0</v>
      </c>
      <c r="V198" s="20">
        <v>0.0</v>
      </c>
      <c r="W198" s="20">
        <v>1.0</v>
      </c>
      <c r="X198" s="24">
        <v>47484.0</v>
      </c>
      <c r="Y198" s="24">
        <v>47848.0</v>
      </c>
      <c r="Z198" s="20">
        <v>0.0</v>
      </c>
      <c r="AA198" s="20">
        <v>1.0</v>
      </c>
      <c r="AB198" s="24"/>
      <c r="AC198" s="24"/>
    </row>
    <row r="199" ht="14.25" customHeight="1">
      <c r="A199" s="46" t="s">
        <v>6716</v>
      </c>
      <c r="B199" s="20" t="s">
        <v>6717</v>
      </c>
      <c r="C199" s="20" t="s">
        <v>7041</v>
      </c>
      <c r="D199" s="24">
        <v>45658.0</v>
      </c>
      <c r="E199" s="24">
        <v>46022.0</v>
      </c>
      <c r="F199" s="20">
        <v>0.0</v>
      </c>
      <c r="G199" s="20">
        <v>1.0</v>
      </c>
      <c r="H199" s="24">
        <v>46023.0</v>
      </c>
      <c r="I199" s="24">
        <v>46387.0</v>
      </c>
      <c r="J199" s="20">
        <v>0.0</v>
      </c>
      <c r="K199" s="20">
        <v>1.0</v>
      </c>
      <c r="L199" s="24">
        <v>46388.0</v>
      </c>
      <c r="M199" s="24">
        <v>46752.0</v>
      </c>
      <c r="N199" s="20">
        <v>0.0</v>
      </c>
      <c r="O199" s="20">
        <v>1.0</v>
      </c>
      <c r="P199" s="24">
        <v>46753.0</v>
      </c>
      <c r="Q199" s="24">
        <v>47118.0</v>
      </c>
      <c r="R199" s="20">
        <v>0.0</v>
      </c>
      <c r="S199" s="20">
        <v>1.0</v>
      </c>
      <c r="T199" s="24">
        <v>47119.0</v>
      </c>
      <c r="U199" s="24">
        <v>47483.0</v>
      </c>
      <c r="V199" s="20">
        <v>0.0</v>
      </c>
      <c r="W199" s="20">
        <v>1.0</v>
      </c>
      <c r="X199" s="24">
        <v>47484.0</v>
      </c>
      <c r="Y199" s="24">
        <v>47848.0</v>
      </c>
      <c r="Z199" s="20">
        <v>0.0</v>
      </c>
      <c r="AA199" s="20">
        <v>1.0</v>
      </c>
      <c r="AB199" s="24"/>
      <c r="AC199" s="24"/>
    </row>
    <row r="200" ht="14.25" customHeight="1">
      <c r="A200" s="46" t="s">
        <v>6943</v>
      </c>
      <c r="B200" s="20" t="s">
        <v>6944</v>
      </c>
      <c r="C200" s="20" t="s">
        <v>7041</v>
      </c>
      <c r="D200" s="24">
        <v>45658.0</v>
      </c>
      <c r="E200" s="24">
        <v>46022.0</v>
      </c>
      <c r="F200" s="20">
        <v>0.0</v>
      </c>
      <c r="G200" s="20">
        <v>1.0</v>
      </c>
      <c r="H200" s="24">
        <v>46023.0</v>
      </c>
      <c r="I200" s="24">
        <v>46387.0</v>
      </c>
      <c r="J200" s="20">
        <v>0.0</v>
      </c>
      <c r="K200" s="20">
        <v>1.0</v>
      </c>
      <c r="L200" s="24">
        <v>46388.0</v>
      </c>
      <c r="M200" s="24">
        <v>46752.0</v>
      </c>
      <c r="N200" s="20">
        <v>0.0</v>
      </c>
      <c r="O200" s="20">
        <v>1.0</v>
      </c>
      <c r="P200" s="24">
        <v>46753.0</v>
      </c>
      <c r="Q200" s="24">
        <v>47118.0</v>
      </c>
      <c r="R200" s="20">
        <v>0.0</v>
      </c>
      <c r="S200" s="20">
        <v>1.0</v>
      </c>
      <c r="T200" s="24">
        <v>47119.0</v>
      </c>
      <c r="U200" s="24">
        <v>47483.0</v>
      </c>
      <c r="V200" s="20">
        <v>0.0</v>
      </c>
      <c r="W200" s="20">
        <v>1.0</v>
      </c>
      <c r="X200" s="24">
        <v>47484.0</v>
      </c>
      <c r="Y200" s="24">
        <v>47848.0</v>
      </c>
      <c r="Z200" s="20">
        <v>0.0</v>
      </c>
      <c r="AA200" s="20">
        <v>1.0</v>
      </c>
      <c r="AB200" s="24"/>
      <c r="AC200" s="24"/>
    </row>
    <row r="201" ht="14.25" customHeight="1">
      <c r="A201" s="46" t="s">
        <v>7002</v>
      </c>
      <c r="B201" s="20" t="s">
        <v>7003</v>
      </c>
      <c r="C201" s="20" t="s">
        <v>7041</v>
      </c>
      <c r="D201" s="24">
        <v>45658.0</v>
      </c>
      <c r="E201" s="24">
        <v>46022.0</v>
      </c>
      <c r="F201" s="20">
        <v>0.0</v>
      </c>
      <c r="G201" s="20">
        <v>1.0</v>
      </c>
      <c r="H201" s="24">
        <v>46023.0</v>
      </c>
      <c r="I201" s="24">
        <v>46387.0</v>
      </c>
      <c r="J201" s="20">
        <v>0.0</v>
      </c>
      <c r="K201" s="20">
        <v>1.0</v>
      </c>
      <c r="L201" s="24">
        <v>46388.0</v>
      </c>
      <c r="M201" s="24">
        <v>46752.0</v>
      </c>
      <c r="N201" s="20">
        <v>0.0</v>
      </c>
      <c r="O201" s="20">
        <v>1.0</v>
      </c>
      <c r="P201" s="24">
        <v>46753.0</v>
      </c>
      <c r="Q201" s="24">
        <v>47118.0</v>
      </c>
      <c r="R201" s="20">
        <v>0.0</v>
      </c>
      <c r="S201" s="20">
        <v>1.0</v>
      </c>
      <c r="T201" s="24">
        <v>47119.0</v>
      </c>
      <c r="U201" s="24">
        <v>47483.0</v>
      </c>
      <c r="V201" s="20">
        <v>0.0</v>
      </c>
      <c r="W201" s="20">
        <v>1.0</v>
      </c>
      <c r="X201" s="24">
        <v>47484.0</v>
      </c>
      <c r="Y201" s="24">
        <v>47848.0</v>
      </c>
      <c r="Z201" s="20">
        <v>0.0</v>
      </c>
      <c r="AA201" s="20">
        <v>1.0</v>
      </c>
      <c r="AB201" s="24"/>
      <c r="AC201" s="24"/>
    </row>
    <row r="202" ht="14.25" customHeight="1">
      <c r="A202" s="46" t="s">
        <v>7027</v>
      </c>
      <c r="B202" s="20" t="s">
        <v>7028</v>
      </c>
      <c r="C202" s="20" t="s">
        <v>7041</v>
      </c>
      <c r="D202" s="24">
        <v>45658.0</v>
      </c>
      <c r="E202" s="24">
        <v>46022.0</v>
      </c>
      <c r="F202" s="20">
        <v>0.0</v>
      </c>
      <c r="G202" s="20">
        <v>1.0</v>
      </c>
      <c r="H202" s="24">
        <v>46023.0</v>
      </c>
      <c r="I202" s="24">
        <v>46387.0</v>
      </c>
      <c r="J202" s="20">
        <v>0.0</v>
      </c>
      <c r="K202" s="20">
        <v>1.0</v>
      </c>
      <c r="L202" s="24">
        <v>46388.0</v>
      </c>
      <c r="M202" s="24">
        <v>46752.0</v>
      </c>
      <c r="N202" s="20">
        <v>0.0</v>
      </c>
      <c r="O202" s="20">
        <v>1.0</v>
      </c>
      <c r="P202" s="24">
        <v>46753.0</v>
      </c>
      <c r="Q202" s="24">
        <v>47118.0</v>
      </c>
      <c r="R202" s="20">
        <v>0.0</v>
      </c>
      <c r="S202" s="20">
        <v>1.0</v>
      </c>
      <c r="T202" s="24">
        <v>47119.0</v>
      </c>
      <c r="U202" s="24">
        <v>47483.0</v>
      </c>
      <c r="V202" s="20">
        <v>0.0</v>
      </c>
      <c r="W202" s="20">
        <v>1.0</v>
      </c>
      <c r="X202" s="24">
        <v>47484.0</v>
      </c>
      <c r="Y202" s="24">
        <v>47848.0</v>
      </c>
      <c r="Z202" s="20">
        <v>0.0</v>
      </c>
      <c r="AA202" s="20">
        <v>1.0</v>
      </c>
      <c r="AB202" s="24"/>
      <c r="AC202" s="24"/>
    </row>
    <row r="203" ht="14.25" customHeight="1">
      <c r="A203" s="46" t="s">
        <v>6681</v>
      </c>
      <c r="B203" s="20" t="s">
        <v>6682</v>
      </c>
      <c r="C203" s="20" t="s">
        <v>7041</v>
      </c>
      <c r="D203" s="24">
        <v>45658.0</v>
      </c>
      <c r="E203" s="24">
        <v>46022.0</v>
      </c>
      <c r="F203" s="20">
        <v>1.0</v>
      </c>
      <c r="G203" s="20">
        <v>1.0</v>
      </c>
      <c r="H203" s="24">
        <v>46023.0</v>
      </c>
      <c r="I203" s="24">
        <v>46387.0</v>
      </c>
      <c r="J203" s="20">
        <v>0.0</v>
      </c>
      <c r="K203" s="20">
        <v>1.0</v>
      </c>
      <c r="L203" s="24">
        <v>46388.0</v>
      </c>
      <c r="M203" s="24">
        <v>46752.0</v>
      </c>
      <c r="N203" s="20">
        <v>0.0</v>
      </c>
      <c r="O203" s="20">
        <v>1.0</v>
      </c>
      <c r="P203" s="24">
        <v>46753.0</v>
      </c>
      <c r="Q203" s="24">
        <v>47118.0</v>
      </c>
      <c r="R203" s="20">
        <v>0.0</v>
      </c>
      <c r="S203" s="20">
        <v>1.0</v>
      </c>
      <c r="T203" s="24">
        <v>47119.0</v>
      </c>
      <c r="U203" s="24">
        <v>47483.0</v>
      </c>
      <c r="V203" s="20">
        <v>0.0</v>
      </c>
      <c r="W203" s="20">
        <v>1.0</v>
      </c>
      <c r="X203" s="24">
        <v>47484.0</v>
      </c>
      <c r="Y203" s="24">
        <v>47848.0</v>
      </c>
      <c r="Z203" s="20">
        <v>0.0</v>
      </c>
      <c r="AA203" s="20">
        <v>1.0</v>
      </c>
      <c r="AB203" s="24"/>
      <c r="AC203" s="24"/>
    </row>
    <row r="204" ht="14.25" customHeight="1">
      <c r="A204" s="46" t="s">
        <v>6492</v>
      </c>
      <c r="B204" s="20" t="s">
        <v>6493</v>
      </c>
      <c r="C204" s="20" t="s">
        <v>7041</v>
      </c>
      <c r="D204" s="24">
        <v>45658.0</v>
      </c>
      <c r="E204" s="24">
        <v>46022.0</v>
      </c>
      <c r="F204" s="20">
        <v>1.0</v>
      </c>
      <c r="G204" s="20">
        <v>1.0</v>
      </c>
      <c r="H204" s="24">
        <v>46023.0</v>
      </c>
      <c r="I204" s="24">
        <v>46387.0</v>
      </c>
      <c r="J204" s="20">
        <v>0.0</v>
      </c>
      <c r="K204" s="20">
        <v>1.0</v>
      </c>
      <c r="L204" s="24">
        <v>46388.0</v>
      </c>
      <c r="M204" s="24">
        <v>46752.0</v>
      </c>
      <c r="N204" s="20">
        <v>0.0</v>
      </c>
      <c r="O204" s="20">
        <v>1.0</v>
      </c>
      <c r="P204" s="24">
        <v>46753.0</v>
      </c>
      <c r="Q204" s="24">
        <v>47118.0</v>
      </c>
      <c r="R204" s="20">
        <v>0.0</v>
      </c>
      <c r="S204" s="20">
        <v>1.0</v>
      </c>
      <c r="T204" s="24">
        <v>47119.0</v>
      </c>
      <c r="U204" s="24">
        <v>47483.0</v>
      </c>
      <c r="V204" s="20">
        <v>0.0</v>
      </c>
      <c r="W204" s="20">
        <v>1.0</v>
      </c>
      <c r="X204" s="24">
        <v>47484.0</v>
      </c>
      <c r="Y204" s="24">
        <v>47848.0</v>
      </c>
      <c r="Z204" s="20">
        <v>0.0</v>
      </c>
      <c r="AA204" s="20">
        <v>1.0</v>
      </c>
      <c r="AB204" s="24"/>
      <c r="AC204" s="24"/>
    </row>
    <row r="205" ht="14.25" customHeight="1">
      <c r="A205" s="46" t="s">
        <v>5379</v>
      </c>
      <c r="B205" s="20" t="s">
        <v>5380</v>
      </c>
      <c r="C205" s="20" t="s">
        <v>7041</v>
      </c>
      <c r="D205" s="24">
        <v>45658.0</v>
      </c>
      <c r="E205" s="24">
        <v>46022.0</v>
      </c>
      <c r="F205" s="20">
        <v>0.0</v>
      </c>
      <c r="G205" s="20">
        <v>1.0</v>
      </c>
      <c r="H205" s="24">
        <v>46023.0</v>
      </c>
      <c r="I205" s="24">
        <v>46387.0</v>
      </c>
      <c r="J205" s="20">
        <v>0.0</v>
      </c>
      <c r="K205" s="20">
        <v>1.0</v>
      </c>
      <c r="L205" s="24">
        <v>46388.0</v>
      </c>
      <c r="M205" s="24">
        <v>46752.0</v>
      </c>
      <c r="N205" s="20">
        <v>0.0</v>
      </c>
      <c r="O205" s="20">
        <v>1.0</v>
      </c>
      <c r="P205" s="24">
        <v>46753.0</v>
      </c>
      <c r="Q205" s="24">
        <v>47118.0</v>
      </c>
      <c r="R205" s="20">
        <v>0.0</v>
      </c>
      <c r="S205" s="20">
        <v>1.0</v>
      </c>
      <c r="T205" s="24">
        <v>47119.0</v>
      </c>
      <c r="U205" s="24">
        <v>47483.0</v>
      </c>
      <c r="V205" s="20">
        <v>0.0</v>
      </c>
      <c r="W205" s="20">
        <v>1.0</v>
      </c>
      <c r="X205" s="24">
        <v>47484.0</v>
      </c>
      <c r="Y205" s="24">
        <v>47848.0</v>
      </c>
      <c r="Z205" s="20">
        <v>0.0</v>
      </c>
      <c r="AA205" s="20">
        <v>1.0</v>
      </c>
      <c r="AB205" s="24"/>
      <c r="AC205" s="24"/>
    </row>
    <row r="206" ht="14.25" customHeight="1">
      <c r="A206" s="46" t="s">
        <v>2317</v>
      </c>
      <c r="B206" s="20" t="s">
        <v>2318</v>
      </c>
      <c r="C206" s="20" t="s">
        <v>7041</v>
      </c>
      <c r="D206" s="24">
        <v>45658.0</v>
      </c>
      <c r="E206" s="24">
        <v>46022.0</v>
      </c>
      <c r="F206" s="20">
        <v>0.0</v>
      </c>
      <c r="G206" s="20">
        <v>1.0</v>
      </c>
      <c r="H206" s="24">
        <v>46023.0</v>
      </c>
      <c r="I206" s="24">
        <v>46387.0</v>
      </c>
      <c r="J206" s="20">
        <v>0.0</v>
      </c>
      <c r="K206" s="20">
        <v>1.0</v>
      </c>
      <c r="L206" s="24">
        <v>46388.0</v>
      </c>
      <c r="M206" s="24">
        <v>46752.0</v>
      </c>
      <c r="N206" s="20">
        <v>0.0</v>
      </c>
      <c r="O206" s="20">
        <v>1.0</v>
      </c>
      <c r="P206" s="24">
        <v>46753.0</v>
      </c>
      <c r="Q206" s="24">
        <v>47118.0</v>
      </c>
      <c r="R206" s="20">
        <v>0.0</v>
      </c>
      <c r="S206" s="20">
        <v>1.0</v>
      </c>
      <c r="T206" s="24">
        <v>47119.0</v>
      </c>
      <c r="U206" s="24">
        <v>47483.0</v>
      </c>
      <c r="V206" s="20">
        <v>0.0</v>
      </c>
      <c r="W206" s="20">
        <v>1.0</v>
      </c>
      <c r="X206" s="24">
        <v>47484.0</v>
      </c>
      <c r="Y206" s="24">
        <v>47848.0</v>
      </c>
      <c r="Z206" s="20">
        <v>0.0</v>
      </c>
      <c r="AA206" s="20">
        <v>1.0</v>
      </c>
      <c r="AB206" s="24"/>
      <c r="AC206" s="24"/>
    </row>
    <row r="207" ht="14.25" customHeight="1">
      <c r="A207" s="46" t="s">
        <v>5619</v>
      </c>
      <c r="B207" s="20" t="s">
        <v>5620</v>
      </c>
      <c r="C207" s="20" t="s">
        <v>7041</v>
      </c>
      <c r="D207" s="24">
        <v>45658.0</v>
      </c>
      <c r="E207" s="24">
        <v>46022.0</v>
      </c>
      <c r="F207" s="20">
        <v>1.0</v>
      </c>
      <c r="G207" s="20">
        <v>1.0</v>
      </c>
      <c r="H207" s="24">
        <v>46023.0</v>
      </c>
      <c r="I207" s="24">
        <v>46387.0</v>
      </c>
      <c r="J207" s="20">
        <v>0.0</v>
      </c>
      <c r="K207" s="20">
        <v>1.0</v>
      </c>
      <c r="L207" s="24">
        <v>46388.0</v>
      </c>
      <c r="M207" s="24">
        <v>46752.0</v>
      </c>
      <c r="N207" s="20">
        <v>0.0</v>
      </c>
      <c r="O207" s="20">
        <v>1.0</v>
      </c>
      <c r="P207" s="24">
        <v>46753.0</v>
      </c>
      <c r="Q207" s="24">
        <v>47118.0</v>
      </c>
      <c r="R207" s="20">
        <v>0.0</v>
      </c>
      <c r="S207" s="20">
        <v>1.0</v>
      </c>
      <c r="T207" s="24">
        <v>47119.0</v>
      </c>
      <c r="U207" s="24">
        <v>47483.0</v>
      </c>
      <c r="V207" s="20">
        <v>0.0</v>
      </c>
      <c r="W207" s="20">
        <v>1.0</v>
      </c>
      <c r="X207" s="24">
        <v>47484.0</v>
      </c>
      <c r="Y207" s="24">
        <v>47848.0</v>
      </c>
      <c r="Z207" s="20">
        <v>0.0</v>
      </c>
      <c r="AA207" s="20">
        <v>1.0</v>
      </c>
      <c r="AB207" s="24"/>
      <c r="AC207" s="24"/>
    </row>
    <row r="208" ht="14.25" customHeight="1">
      <c r="A208" s="46" t="s">
        <v>3904</v>
      </c>
      <c r="B208" s="20" t="s">
        <v>3905</v>
      </c>
      <c r="C208" s="20" t="s">
        <v>7041</v>
      </c>
      <c r="D208" s="24">
        <v>45658.0</v>
      </c>
      <c r="E208" s="24">
        <v>46022.0</v>
      </c>
      <c r="F208" s="20">
        <v>1.0</v>
      </c>
      <c r="G208" s="20">
        <v>1.0</v>
      </c>
      <c r="H208" s="24">
        <v>46023.0</v>
      </c>
      <c r="I208" s="24">
        <v>46387.0</v>
      </c>
      <c r="J208" s="20">
        <v>0.0</v>
      </c>
      <c r="K208" s="20">
        <v>1.0</v>
      </c>
      <c r="L208" s="24">
        <v>46388.0</v>
      </c>
      <c r="M208" s="24">
        <v>46752.0</v>
      </c>
      <c r="N208" s="20">
        <v>0.0</v>
      </c>
      <c r="O208" s="20">
        <v>1.0</v>
      </c>
      <c r="P208" s="24">
        <v>46753.0</v>
      </c>
      <c r="Q208" s="24">
        <v>47118.0</v>
      </c>
      <c r="R208" s="20">
        <v>0.0</v>
      </c>
      <c r="S208" s="20">
        <v>1.0</v>
      </c>
      <c r="T208" s="24">
        <v>47119.0</v>
      </c>
      <c r="U208" s="24">
        <v>47483.0</v>
      </c>
      <c r="V208" s="20">
        <v>0.0</v>
      </c>
      <c r="W208" s="20">
        <v>1.0</v>
      </c>
      <c r="X208" s="24">
        <v>47484.0</v>
      </c>
      <c r="Y208" s="24">
        <v>47848.0</v>
      </c>
      <c r="Z208" s="20">
        <v>0.0</v>
      </c>
      <c r="AA208" s="20">
        <v>1.0</v>
      </c>
      <c r="AB208" s="24"/>
      <c r="AC208" s="24"/>
    </row>
    <row r="209" ht="14.25" customHeight="1">
      <c r="A209" s="46" t="s">
        <v>6620</v>
      </c>
      <c r="B209" s="20" t="s">
        <v>6621</v>
      </c>
      <c r="C209" s="20" t="s">
        <v>7041</v>
      </c>
      <c r="D209" s="24">
        <v>45658.0</v>
      </c>
      <c r="E209" s="24">
        <v>46022.0</v>
      </c>
      <c r="F209" s="20">
        <v>1.0</v>
      </c>
      <c r="G209" s="20">
        <v>1.0</v>
      </c>
      <c r="H209" s="24">
        <v>46023.0</v>
      </c>
      <c r="I209" s="24">
        <v>46387.0</v>
      </c>
      <c r="J209" s="20">
        <v>0.0</v>
      </c>
      <c r="K209" s="20">
        <v>1.0</v>
      </c>
      <c r="L209" s="24">
        <v>46388.0</v>
      </c>
      <c r="M209" s="24">
        <v>46752.0</v>
      </c>
      <c r="N209" s="20">
        <v>0.0</v>
      </c>
      <c r="O209" s="20">
        <v>1.0</v>
      </c>
      <c r="P209" s="24">
        <v>46753.0</v>
      </c>
      <c r="Q209" s="24">
        <v>47118.0</v>
      </c>
      <c r="R209" s="20">
        <v>0.0</v>
      </c>
      <c r="S209" s="20">
        <v>1.0</v>
      </c>
      <c r="T209" s="24">
        <v>47119.0</v>
      </c>
      <c r="U209" s="24">
        <v>47483.0</v>
      </c>
      <c r="V209" s="20">
        <v>0.0</v>
      </c>
      <c r="W209" s="20">
        <v>1.0</v>
      </c>
      <c r="X209" s="24">
        <v>47484.0</v>
      </c>
      <c r="Y209" s="24">
        <v>47848.0</v>
      </c>
      <c r="Z209" s="20">
        <v>0.0</v>
      </c>
      <c r="AA209" s="20">
        <v>1.0</v>
      </c>
      <c r="AB209" s="24"/>
      <c r="AC209" s="24"/>
    </row>
    <row r="210" ht="14.25" customHeight="1">
      <c r="A210" s="46" t="s">
        <v>6479</v>
      </c>
      <c r="B210" s="20" t="s">
        <v>6480</v>
      </c>
      <c r="C210" s="20" t="s">
        <v>7041</v>
      </c>
      <c r="D210" s="24">
        <v>45658.0</v>
      </c>
      <c r="E210" s="24">
        <v>46022.0</v>
      </c>
      <c r="F210" s="20">
        <v>0.0</v>
      </c>
      <c r="G210" s="20">
        <v>1.0</v>
      </c>
      <c r="H210" s="24">
        <v>46023.0</v>
      </c>
      <c r="I210" s="24">
        <v>46387.0</v>
      </c>
      <c r="J210" s="20">
        <v>0.0</v>
      </c>
      <c r="K210" s="20">
        <v>1.0</v>
      </c>
      <c r="L210" s="24">
        <v>46388.0</v>
      </c>
      <c r="M210" s="24">
        <v>46752.0</v>
      </c>
      <c r="N210" s="20">
        <v>0.0</v>
      </c>
      <c r="O210" s="20">
        <v>1.0</v>
      </c>
      <c r="P210" s="24">
        <v>46753.0</v>
      </c>
      <c r="Q210" s="24">
        <v>47118.0</v>
      </c>
      <c r="R210" s="20">
        <v>0.0</v>
      </c>
      <c r="S210" s="20">
        <v>1.0</v>
      </c>
      <c r="T210" s="24">
        <v>47119.0</v>
      </c>
      <c r="U210" s="24">
        <v>47483.0</v>
      </c>
      <c r="V210" s="20">
        <v>0.0</v>
      </c>
      <c r="W210" s="20">
        <v>1.0</v>
      </c>
      <c r="X210" s="24">
        <v>47484.0</v>
      </c>
      <c r="Y210" s="24">
        <v>47848.0</v>
      </c>
      <c r="Z210" s="20">
        <v>0.0</v>
      </c>
      <c r="AA210" s="20">
        <v>1.0</v>
      </c>
      <c r="AB210" s="24"/>
      <c r="AC210" s="24"/>
    </row>
    <row r="211" ht="14.25" customHeight="1">
      <c r="A211" s="46" t="s">
        <v>3264</v>
      </c>
      <c r="B211" s="20" t="s">
        <v>3265</v>
      </c>
      <c r="C211" s="20" t="s">
        <v>7041</v>
      </c>
      <c r="D211" s="24">
        <v>45658.0</v>
      </c>
      <c r="E211" s="24">
        <v>46022.0</v>
      </c>
      <c r="F211" s="20">
        <v>1.0</v>
      </c>
      <c r="G211" s="20">
        <v>1.0</v>
      </c>
      <c r="H211" s="24">
        <v>46023.0</v>
      </c>
      <c r="I211" s="24">
        <v>46387.0</v>
      </c>
      <c r="J211" s="20">
        <v>0.0</v>
      </c>
      <c r="K211" s="20">
        <v>1.0</v>
      </c>
      <c r="L211" s="24">
        <v>46388.0</v>
      </c>
      <c r="M211" s="24">
        <v>46752.0</v>
      </c>
      <c r="N211" s="20">
        <v>0.0</v>
      </c>
      <c r="O211" s="20">
        <v>1.0</v>
      </c>
      <c r="P211" s="24">
        <v>46753.0</v>
      </c>
      <c r="Q211" s="24">
        <v>47118.0</v>
      </c>
      <c r="R211" s="20">
        <v>0.0</v>
      </c>
      <c r="S211" s="20">
        <v>1.0</v>
      </c>
      <c r="T211" s="24">
        <v>47119.0</v>
      </c>
      <c r="U211" s="24">
        <v>47483.0</v>
      </c>
      <c r="V211" s="20">
        <v>0.0</v>
      </c>
      <c r="W211" s="20">
        <v>1.0</v>
      </c>
      <c r="X211" s="24">
        <v>47484.0</v>
      </c>
      <c r="Y211" s="24">
        <v>47848.0</v>
      </c>
      <c r="Z211" s="20">
        <v>0.0</v>
      </c>
      <c r="AA211" s="20">
        <v>1.0</v>
      </c>
      <c r="AB211" s="24"/>
      <c r="AC211" s="24"/>
    </row>
    <row r="212" ht="14.25" customHeight="1">
      <c r="A212" s="46" t="s">
        <v>3907</v>
      </c>
      <c r="B212" s="20" t="s">
        <v>3908</v>
      </c>
      <c r="C212" s="20" t="s">
        <v>7041</v>
      </c>
      <c r="D212" s="24">
        <v>45658.0</v>
      </c>
      <c r="E212" s="24">
        <v>46022.0</v>
      </c>
      <c r="F212" s="20">
        <v>0.0</v>
      </c>
      <c r="G212" s="20">
        <v>1.0</v>
      </c>
      <c r="H212" s="24">
        <v>46023.0</v>
      </c>
      <c r="I212" s="24">
        <v>46387.0</v>
      </c>
      <c r="J212" s="20">
        <v>0.0</v>
      </c>
      <c r="K212" s="20">
        <v>1.0</v>
      </c>
      <c r="L212" s="24">
        <v>46388.0</v>
      </c>
      <c r="M212" s="24">
        <v>46752.0</v>
      </c>
      <c r="N212" s="20">
        <v>0.0</v>
      </c>
      <c r="O212" s="20">
        <v>1.0</v>
      </c>
      <c r="P212" s="24">
        <v>46753.0</v>
      </c>
      <c r="Q212" s="24">
        <v>47118.0</v>
      </c>
      <c r="R212" s="20">
        <v>0.0</v>
      </c>
      <c r="S212" s="20">
        <v>1.0</v>
      </c>
      <c r="T212" s="24">
        <v>47119.0</v>
      </c>
      <c r="U212" s="24">
        <v>47483.0</v>
      </c>
      <c r="V212" s="20">
        <v>0.0</v>
      </c>
      <c r="W212" s="20">
        <v>1.0</v>
      </c>
      <c r="X212" s="24">
        <v>47484.0</v>
      </c>
      <c r="Y212" s="24">
        <v>47848.0</v>
      </c>
      <c r="Z212" s="20">
        <v>0.0</v>
      </c>
      <c r="AA212" s="20">
        <v>1.0</v>
      </c>
      <c r="AB212" s="24"/>
      <c r="AC212" s="24"/>
    </row>
    <row r="213" ht="14.25" customHeight="1">
      <c r="A213" s="46" t="s">
        <v>504</v>
      </c>
      <c r="B213" s="20" t="s">
        <v>505</v>
      </c>
      <c r="C213" s="20" t="s">
        <v>7041</v>
      </c>
      <c r="D213" s="24">
        <v>45658.0</v>
      </c>
      <c r="E213" s="24">
        <v>46022.0</v>
      </c>
      <c r="F213" s="20">
        <v>1.0</v>
      </c>
      <c r="G213" s="20">
        <v>1.0</v>
      </c>
      <c r="H213" s="24">
        <v>46023.0</v>
      </c>
      <c r="I213" s="24">
        <v>46387.0</v>
      </c>
      <c r="J213" s="20">
        <v>0.0</v>
      </c>
      <c r="K213" s="20">
        <v>1.0</v>
      </c>
      <c r="L213" s="24">
        <v>46388.0</v>
      </c>
      <c r="M213" s="24">
        <v>46752.0</v>
      </c>
      <c r="N213" s="20">
        <v>0.0</v>
      </c>
      <c r="O213" s="20">
        <v>1.0</v>
      </c>
      <c r="P213" s="24">
        <v>46753.0</v>
      </c>
      <c r="Q213" s="24">
        <v>47118.0</v>
      </c>
      <c r="R213" s="20">
        <v>0.0</v>
      </c>
      <c r="S213" s="20">
        <v>1.0</v>
      </c>
      <c r="T213" s="24">
        <v>47119.0</v>
      </c>
      <c r="U213" s="24">
        <v>47483.0</v>
      </c>
      <c r="V213" s="20">
        <v>0.0</v>
      </c>
      <c r="W213" s="20">
        <v>1.0</v>
      </c>
      <c r="X213" s="24">
        <v>47484.0</v>
      </c>
      <c r="Y213" s="24">
        <v>47848.0</v>
      </c>
      <c r="Z213" s="20">
        <v>0.0</v>
      </c>
      <c r="AA213" s="20">
        <v>1.0</v>
      </c>
      <c r="AB213" s="24"/>
      <c r="AC213" s="24"/>
    </row>
    <row r="214" ht="14.25" customHeight="1">
      <c r="A214" s="46" t="s">
        <v>507</v>
      </c>
      <c r="B214" s="20" t="s">
        <v>508</v>
      </c>
      <c r="C214" s="20" t="s">
        <v>7041</v>
      </c>
      <c r="D214" s="24">
        <v>45658.0</v>
      </c>
      <c r="E214" s="24">
        <v>46022.0</v>
      </c>
      <c r="F214" s="20">
        <v>0.0</v>
      </c>
      <c r="G214" s="20">
        <v>1.0</v>
      </c>
      <c r="H214" s="24">
        <v>46023.0</v>
      </c>
      <c r="I214" s="24">
        <v>46387.0</v>
      </c>
      <c r="J214" s="20">
        <v>0.0</v>
      </c>
      <c r="K214" s="20">
        <v>1.0</v>
      </c>
      <c r="L214" s="24">
        <v>46388.0</v>
      </c>
      <c r="M214" s="24">
        <v>46752.0</v>
      </c>
      <c r="N214" s="20">
        <v>0.0</v>
      </c>
      <c r="O214" s="20">
        <v>1.0</v>
      </c>
      <c r="P214" s="24">
        <v>46753.0</v>
      </c>
      <c r="Q214" s="24">
        <v>47118.0</v>
      </c>
      <c r="R214" s="20">
        <v>0.0</v>
      </c>
      <c r="S214" s="20">
        <v>1.0</v>
      </c>
      <c r="T214" s="24">
        <v>47119.0</v>
      </c>
      <c r="U214" s="24">
        <v>47483.0</v>
      </c>
      <c r="V214" s="20">
        <v>0.0</v>
      </c>
      <c r="W214" s="20">
        <v>1.0</v>
      </c>
      <c r="X214" s="24">
        <v>47484.0</v>
      </c>
      <c r="Y214" s="24">
        <v>47848.0</v>
      </c>
      <c r="Z214" s="20">
        <v>0.0</v>
      </c>
      <c r="AA214" s="20">
        <v>1.0</v>
      </c>
      <c r="AB214" s="24"/>
      <c r="AC214" s="24"/>
    </row>
    <row r="215" ht="14.25" customHeight="1">
      <c r="A215" s="46" t="s">
        <v>718</v>
      </c>
      <c r="B215" s="20" t="s">
        <v>719</v>
      </c>
      <c r="C215" s="20" t="s">
        <v>7041</v>
      </c>
      <c r="D215" s="24">
        <v>45658.0</v>
      </c>
      <c r="E215" s="24">
        <v>46022.0</v>
      </c>
      <c r="F215" s="20">
        <v>1.0</v>
      </c>
      <c r="G215" s="20">
        <v>1.0</v>
      </c>
      <c r="H215" s="24">
        <v>46023.0</v>
      </c>
      <c r="I215" s="24">
        <v>46387.0</v>
      </c>
      <c r="J215" s="20">
        <v>0.0</v>
      </c>
      <c r="K215" s="20">
        <v>1.0</v>
      </c>
      <c r="L215" s="24">
        <v>46388.0</v>
      </c>
      <c r="M215" s="24">
        <v>46752.0</v>
      </c>
      <c r="N215" s="20">
        <v>0.0</v>
      </c>
      <c r="O215" s="20">
        <v>1.0</v>
      </c>
      <c r="P215" s="24">
        <v>46753.0</v>
      </c>
      <c r="Q215" s="24">
        <v>47118.0</v>
      </c>
      <c r="R215" s="20">
        <v>0.0</v>
      </c>
      <c r="S215" s="20">
        <v>1.0</v>
      </c>
      <c r="T215" s="24">
        <v>47119.0</v>
      </c>
      <c r="U215" s="24">
        <v>47483.0</v>
      </c>
      <c r="V215" s="20">
        <v>0.0</v>
      </c>
      <c r="W215" s="20">
        <v>1.0</v>
      </c>
      <c r="X215" s="24">
        <v>47484.0</v>
      </c>
      <c r="Y215" s="24">
        <v>47848.0</v>
      </c>
      <c r="Z215" s="20">
        <v>0.0</v>
      </c>
      <c r="AA215" s="20">
        <v>1.0</v>
      </c>
      <c r="AB215" s="24"/>
      <c r="AC215" s="24"/>
    </row>
    <row r="216" ht="14.25" customHeight="1">
      <c r="A216" s="46" t="s">
        <v>759</v>
      </c>
      <c r="B216" s="20" t="s">
        <v>760</v>
      </c>
      <c r="C216" s="20" t="s">
        <v>7041</v>
      </c>
      <c r="D216" s="24">
        <v>45658.0</v>
      </c>
      <c r="E216" s="24">
        <v>46022.0</v>
      </c>
      <c r="F216" s="20">
        <v>1.0</v>
      </c>
      <c r="G216" s="20">
        <v>1.0</v>
      </c>
      <c r="H216" s="24">
        <v>46023.0</v>
      </c>
      <c r="I216" s="24">
        <v>46387.0</v>
      </c>
      <c r="J216" s="20">
        <v>0.0</v>
      </c>
      <c r="K216" s="20">
        <v>1.0</v>
      </c>
      <c r="L216" s="24">
        <v>46388.0</v>
      </c>
      <c r="M216" s="24">
        <v>46752.0</v>
      </c>
      <c r="N216" s="20">
        <v>0.0</v>
      </c>
      <c r="O216" s="20">
        <v>1.0</v>
      </c>
      <c r="P216" s="24">
        <v>46753.0</v>
      </c>
      <c r="Q216" s="24">
        <v>47118.0</v>
      </c>
      <c r="R216" s="20">
        <v>0.0</v>
      </c>
      <c r="S216" s="20">
        <v>1.0</v>
      </c>
      <c r="T216" s="24">
        <v>47119.0</v>
      </c>
      <c r="U216" s="24">
        <v>47483.0</v>
      </c>
      <c r="V216" s="20">
        <v>0.0</v>
      </c>
      <c r="W216" s="20">
        <v>1.0</v>
      </c>
      <c r="X216" s="24">
        <v>47484.0</v>
      </c>
      <c r="Y216" s="24">
        <v>47848.0</v>
      </c>
      <c r="Z216" s="20">
        <v>0.0</v>
      </c>
      <c r="AA216" s="20">
        <v>1.0</v>
      </c>
      <c r="AB216" s="24"/>
      <c r="AC216" s="24"/>
    </row>
    <row r="217" ht="14.25" customHeight="1">
      <c r="A217" s="46" t="s">
        <v>1271</v>
      </c>
      <c r="B217" s="20" t="s">
        <v>1272</v>
      </c>
      <c r="C217" s="20" t="s">
        <v>7041</v>
      </c>
      <c r="D217" s="24">
        <v>45658.0</v>
      </c>
      <c r="E217" s="24">
        <v>46022.0</v>
      </c>
      <c r="F217" s="20">
        <v>1.0</v>
      </c>
      <c r="G217" s="20">
        <v>1.0</v>
      </c>
      <c r="H217" s="24">
        <v>46023.0</v>
      </c>
      <c r="I217" s="24">
        <v>46387.0</v>
      </c>
      <c r="J217" s="20">
        <v>0.0</v>
      </c>
      <c r="K217" s="20">
        <v>1.0</v>
      </c>
      <c r="L217" s="24">
        <v>46388.0</v>
      </c>
      <c r="M217" s="24">
        <v>46752.0</v>
      </c>
      <c r="N217" s="20">
        <v>0.0</v>
      </c>
      <c r="O217" s="20">
        <v>1.0</v>
      </c>
      <c r="P217" s="24">
        <v>46753.0</v>
      </c>
      <c r="Q217" s="24">
        <v>47118.0</v>
      </c>
      <c r="R217" s="20">
        <v>0.0</v>
      </c>
      <c r="S217" s="20">
        <v>1.0</v>
      </c>
      <c r="T217" s="24">
        <v>47119.0</v>
      </c>
      <c r="U217" s="24">
        <v>47483.0</v>
      </c>
      <c r="V217" s="20">
        <v>0.0</v>
      </c>
      <c r="W217" s="20">
        <v>1.0</v>
      </c>
      <c r="X217" s="24">
        <v>47484.0</v>
      </c>
      <c r="Y217" s="24">
        <v>47848.0</v>
      </c>
      <c r="Z217" s="20">
        <v>0.0</v>
      </c>
      <c r="AA217" s="20">
        <v>1.0</v>
      </c>
      <c r="AB217" s="24"/>
      <c r="AC217" s="24"/>
    </row>
    <row r="218" ht="14.25" customHeight="1">
      <c r="A218" s="46" t="s">
        <v>1328</v>
      </c>
      <c r="B218" s="20" t="s">
        <v>1329</v>
      </c>
      <c r="C218" s="20" t="s">
        <v>7041</v>
      </c>
      <c r="D218" s="24">
        <v>45658.0</v>
      </c>
      <c r="E218" s="24">
        <v>46022.0</v>
      </c>
      <c r="F218" s="20">
        <v>0.0</v>
      </c>
      <c r="G218" s="20">
        <v>1.0</v>
      </c>
      <c r="H218" s="24">
        <v>46023.0</v>
      </c>
      <c r="I218" s="24">
        <v>46387.0</v>
      </c>
      <c r="J218" s="20">
        <v>0.0</v>
      </c>
      <c r="K218" s="20">
        <v>1.0</v>
      </c>
      <c r="L218" s="24">
        <v>46388.0</v>
      </c>
      <c r="M218" s="24">
        <v>46752.0</v>
      </c>
      <c r="N218" s="20">
        <v>0.0</v>
      </c>
      <c r="O218" s="20">
        <v>1.0</v>
      </c>
      <c r="P218" s="24">
        <v>46753.0</v>
      </c>
      <c r="Q218" s="24">
        <v>47118.0</v>
      </c>
      <c r="R218" s="20">
        <v>0.0</v>
      </c>
      <c r="S218" s="20">
        <v>1.0</v>
      </c>
      <c r="T218" s="24">
        <v>47119.0</v>
      </c>
      <c r="U218" s="24">
        <v>47483.0</v>
      </c>
      <c r="V218" s="20">
        <v>0.0</v>
      </c>
      <c r="W218" s="20">
        <v>1.0</v>
      </c>
      <c r="X218" s="24">
        <v>47484.0</v>
      </c>
      <c r="Y218" s="24">
        <v>47848.0</v>
      </c>
      <c r="Z218" s="20">
        <v>0.0</v>
      </c>
      <c r="AA218" s="20">
        <v>1.0</v>
      </c>
      <c r="AB218" s="24"/>
      <c r="AC218" s="24"/>
    </row>
    <row r="219" ht="14.25" customHeight="1">
      <c r="A219" s="46" t="s">
        <v>1437</v>
      </c>
      <c r="B219" s="20" t="s">
        <v>1438</v>
      </c>
      <c r="C219" s="20" t="s">
        <v>7041</v>
      </c>
      <c r="D219" s="24">
        <v>45658.0</v>
      </c>
      <c r="E219" s="24">
        <v>46022.0</v>
      </c>
      <c r="F219" s="20">
        <v>1.0</v>
      </c>
      <c r="G219" s="20">
        <v>1.0</v>
      </c>
      <c r="H219" s="24">
        <v>46023.0</v>
      </c>
      <c r="I219" s="24">
        <v>46387.0</v>
      </c>
      <c r="J219" s="20">
        <v>0.0</v>
      </c>
      <c r="K219" s="20">
        <v>1.0</v>
      </c>
      <c r="L219" s="24">
        <v>46388.0</v>
      </c>
      <c r="M219" s="24">
        <v>46752.0</v>
      </c>
      <c r="N219" s="20">
        <v>0.0</v>
      </c>
      <c r="O219" s="20">
        <v>1.0</v>
      </c>
      <c r="P219" s="24">
        <v>46753.0</v>
      </c>
      <c r="Q219" s="24">
        <v>47118.0</v>
      </c>
      <c r="R219" s="20">
        <v>0.0</v>
      </c>
      <c r="S219" s="20">
        <v>1.0</v>
      </c>
      <c r="T219" s="24">
        <v>47119.0</v>
      </c>
      <c r="U219" s="24">
        <v>47483.0</v>
      </c>
      <c r="V219" s="20">
        <v>0.0</v>
      </c>
      <c r="W219" s="20">
        <v>1.0</v>
      </c>
      <c r="X219" s="24">
        <v>47484.0</v>
      </c>
      <c r="Y219" s="24">
        <v>47848.0</v>
      </c>
      <c r="Z219" s="20">
        <v>0.0</v>
      </c>
      <c r="AA219" s="20">
        <v>1.0</v>
      </c>
      <c r="AB219" s="24"/>
      <c r="AC219" s="24"/>
    </row>
    <row r="220" ht="14.25" customHeight="1">
      <c r="A220" s="46" t="s">
        <v>1451</v>
      </c>
      <c r="B220" s="20" t="s">
        <v>1452</v>
      </c>
      <c r="C220" s="20" t="s">
        <v>7041</v>
      </c>
      <c r="D220" s="24">
        <v>45658.0</v>
      </c>
      <c r="E220" s="24">
        <v>46022.0</v>
      </c>
      <c r="F220" s="20">
        <v>0.0</v>
      </c>
      <c r="G220" s="20">
        <v>1.0</v>
      </c>
      <c r="H220" s="24">
        <v>46023.0</v>
      </c>
      <c r="I220" s="24">
        <v>46387.0</v>
      </c>
      <c r="J220" s="20">
        <v>0.0</v>
      </c>
      <c r="K220" s="20">
        <v>1.0</v>
      </c>
      <c r="L220" s="24">
        <v>46388.0</v>
      </c>
      <c r="M220" s="24">
        <v>46752.0</v>
      </c>
      <c r="N220" s="20">
        <v>0.0</v>
      </c>
      <c r="O220" s="20">
        <v>1.0</v>
      </c>
      <c r="P220" s="24">
        <v>46753.0</v>
      </c>
      <c r="Q220" s="24">
        <v>47118.0</v>
      </c>
      <c r="R220" s="20">
        <v>0.0</v>
      </c>
      <c r="S220" s="20">
        <v>1.0</v>
      </c>
      <c r="T220" s="24">
        <v>47119.0</v>
      </c>
      <c r="U220" s="24">
        <v>47483.0</v>
      </c>
      <c r="V220" s="20">
        <v>0.0</v>
      </c>
      <c r="W220" s="20">
        <v>1.0</v>
      </c>
      <c r="X220" s="24">
        <v>47484.0</v>
      </c>
      <c r="Y220" s="24">
        <v>47848.0</v>
      </c>
      <c r="Z220" s="20">
        <v>0.0</v>
      </c>
      <c r="AA220" s="20">
        <v>1.0</v>
      </c>
      <c r="AB220" s="24"/>
      <c r="AC220" s="24"/>
    </row>
    <row r="221" ht="14.25" customHeight="1">
      <c r="A221" s="46" t="s">
        <v>2262</v>
      </c>
      <c r="B221" s="20" t="s">
        <v>2263</v>
      </c>
      <c r="C221" s="20" t="s">
        <v>7041</v>
      </c>
      <c r="D221" s="24">
        <v>45658.0</v>
      </c>
      <c r="E221" s="24">
        <v>46022.0</v>
      </c>
      <c r="F221" s="20">
        <v>1.0</v>
      </c>
      <c r="G221" s="20">
        <v>1.0</v>
      </c>
      <c r="H221" s="24">
        <v>46023.0</v>
      </c>
      <c r="I221" s="24">
        <v>46387.0</v>
      </c>
      <c r="J221" s="20">
        <v>0.0</v>
      </c>
      <c r="K221" s="20">
        <v>1.0</v>
      </c>
      <c r="L221" s="24">
        <v>46388.0</v>
      </c>
      <c r="M221" s="24">
        <v>46752.0</v>
      </c>
      <c r="N221" s="20">
        <v>0.0</v>
      </c>
      <c r="O221" s="20">
        <v>1.0</v>
      </c>
      <c r="P221" s="24">
        <v>46753.0</v>
      </c>
      <c r="Q221" s="24">
        <v>47118.0</v>
      </c>
      <c r="R221" s="20">
        <v>0.0</v>
      </c>
      <c r="S221" s="20">
        <v>1.0</v>
      </c>
      <c r="T221" s="24">
        <v>47119.0</v>
      </c>
      <c r="U221" s="24">
        <v>47483.0</v>
      </c>
      <c r="V221" s="20">
        <v>0.0</v>
      </c>
      <c r="W221" s="20">
        <v>1.0</v>
      </c>
      <c r="X221" s="24">
        <v>47484.0</v>
      </c>
      <c r="Y221" s="24">
        <v>47848.0</v>
      </c>
      <c r="Z221" s="20">
        <v>0.0</v>
      </c>
      <c r="AA221" s="20">
        <v>1.0</v>
      </c>
      <c r="AB221" s="24"/>
      <c r="AC221" s="24"/>
    </row>
    <row r="222" ht="14.25" customHeight="1">
      <c r="A222" s="46" t="s">
        <v>2341</v>
      </c>
      <c r="B222" s="20" t="s">
        <v>2342</v>
      </c>
      <c r="C222" s="20" t="s">
        <v>7041</v>
      </c>
      <c r="D222" s="24">
        <v>45658.0</v>
      </c>
      <c r="E222" s="24">
        <v>46022.0</v>
      </c>
      <c r="F222" s="20">
        <v>1.0</v>
      </c>
      <c r="G222" s="20">
        <v>1.0</v>
      </c>
      <c r="H222" s="24">
        <v>46023.0</v>
      </c>
      <c r="I222" s="24">
        <v>46387.0</v>
      </c>
      <c r="J222" s="20">
        <v>0.0</v>
      </c>
      <c r="K222" s="20">
        <v>1.0</v>
      </c>
      <c r="L222" s="24">
        <v>46388.0</v>
      </c>
      <c r="M222" s="24">
        <v>46752.0</v>
      </c>
      <c r="N222" s="20">
        <v>0.0</v>
      </c>
      <c r="O222" s="20">
        <v>1.0</v>
      </c>
      <c r="P222" s="24">
        <v>46753.0</v>
      </c>
      <c r="Q222" s="24">
        <v>47118.0</v>
      </c>
      <c r="R222" s="20">
        <v>0.0</v>
      </c>
      <c r="S222" s="20">
        <v>1.0</v>
      </c>
      <c r="T222" s="24">
        <v>47119.0</v>
      </c>
      <c r="U222" s="24">
        <v>47483.0</v>
      </c>
      <c r="V222" s="20">
        <v>0.0</v>
      </c>
      <c r="W222" s="20">
        <v>1.0</v>
      </c>
      <c r="X222" s="24">
        <v>47484.0</v>
      </c>
      <c r="Y222" s="24">
        <v>47848.0</v>
      </c>
      <c r="Z222" s="20">
        <v>0.0</v>
      </c>
      <c r="AA222" s="20">
        <v>1.0</v>
      </c>
      <c r="AB222" s="24"/>
      <c r="AC222" s="24"/>
    </row>
    <row r="223" ht="14.25" customHeight="1">
      <c r="A223" s="46" t="s">
        <v>6790</v>
      </c>
      <c r="B223" s="20" t="s">
        <v>6791</v>
      </c>
      <c r="C223" s="20" t="s">
        <v>7041</v>
      </c>
      <c r="D223" s="24">
        <v>45658.0</v>
      </c>
      <c r="E223" s="24">
        <v>46022.0</v>
      </c>
      <c r="F223" s="20">
        <v>0.0</v>
      </c>
      <c r="G223" s="20">
        <v>1.0</v>
      </c>
      <c r="H223" s="24">
        <v>46023.0</v>
      </c>
      <c r="I223" s="24">
        <v>46387.0</v>
      </c>
      <c r="J223" s="20">
        <v>0.0</v>
      </c>
      <c r="K223" s="20">
        <v>1.0</v>
      </c>
      <c r="L223" s="24">
        <v>46388.0</v>
      </c>
      <c r="M223" s="24">
        <v>46752.0</v>
      </c>
      <c r="N223" s="20">
        <v>0.0</v>
      </c>
      <c r="O223" s="20">
        <v>1.0</v>
      </c>
      <c r="P223" s="24">
        <v>46753.0</v>
      </c>
      <c r="Q223" s="24">
        <v>47118.0</v>
      </c>
      <c r="R223" s="20">
        <v>0.0</v>
      </c>
      <c r="S223" s="20">
        <v>1.0</v>
      </c>
      <c r="T223" s="24">
        <v>47119.0</v>
      </c>
      <c r="U223" s="24">
        <v>47483.0</v>
      </c>
      <c r="V223" s="20">
        <v>0.0</v>
      </c>
      <c r="W223" s="20">
        <v>1.0</v>
      </c>
      <c r="X223" s="24">
        <v>47484.0</v>
      </c>
      <c r="Y223" s="24">
        <v>47848.0</v>
      </c>
      <c r="Z223" s="20">
        <v>0.0</v>
      </c>
      <c r="AA223" s="20">
        <v>1.0</v>
      </c>
      <c r="AB223" s="24"/>
      <c r="AC223" s="24"/>
    </row>
    <row r="224" ht="14.25" customHeight="1">
      <c r="A224" s="46" t="s">
        <v>2623</v>
      </c>
      <c r="B224" s="20" t="s">
        <v>2624</v>
      </c>
      <c r="C224" s="20" t="s">
        <v>7041</v>
      </c>
      <c r="D224" s="24">
        <v>45658.0</v>
      </c>
      <c r="E224" s="24">
        <v>46022.0</v>
      </c>
      <c r="F224" s="20">
        <v>1.0</v>
      </c>
      <c r="G224" s="20">
        <v>1.0</v>
      </c>
      <c r="H224" s="24">
        <v>46023.0</v>
      </c>
      <c r="I224" s="24">
        <v>46387.0</v>
      </c>
      <c r="J224" s="20">
        <v>0.0</v>
      </c>
      <c r="K224" s="20">
        <v>1.0</v>
      </c>
      <c r="L224" s="24">
        <v>46388.0</v>
      </c>
      <c r="M224" s="24">
        <v>46752.0</v>
      </c>
      <c r="N224" s="20">
        <v>0.0</v>
      </c>
      <c r="O224" s="20">
        <v>1.0</v>
      </c>
      <c r="P224" s="24">
        <v>46753.0</v>
      </c>
      <c r="Q224" s="24">
        <v>47118.0</v>
      </c>
      <c r="R224" s="20">
        <v>0.0</v>
      </c>
      <c r="S224" s="20">
        <v>1.0</v>
      </c>
      <c r="T224" s="24">
        <v>47119.0</v>
      </c>
      <c r="U224" s="24">
        <v>47483.0</v>
      </c>
      <c r="V224" s="20">
        <v>0.0</v>
      </c>
      <c r="W224" s="20">
        <v>1.0</v>
      </c>
      <c r="X224" s="24">
        <v>47484.0</v>
      </c>
      <c r="Y224" s="24">
        <v>47848.0</v>
      </c>
      <c r="Z224" s="20">
        <v>0.0</v>
      </c>
      <c r="AA224" s="20">
        <v>1.0</v>
      </c>
      <c r="AB224" s="24"/>
      <c r="AC224" s="24"/>
    </row>
    <row r="225" ht="14.25" customHeight="1">
      <c r="A225" s="46" t="s">
        <v>3762</v>
      </c>
      <c r="B225" s="20" t="s">
        <v>3763</v>
      </c>
      <c r="C225" s="20" t="s">
        <v>7041</v>
      </c>
      <c r="D225" s="24">
        <v>45658.0</v>
      </c>
      <c r="E225" s="24">
        <v>46022.0</v>
      </c>
      <c r="F225" s="20">
        <v>1.0</v>
      </c>
      <c r="G225" s="20">
        <v>1.0</v>
      </c>
      <c r="H225" s="24">
        <v>46023.0</v>
      </c>
      <c r="I225" s="24">
        <v>46387.0</v>
      </c>
      <c r="J225" s="20">
        <v>0.0</v>
      </c>
      <c r="K225" s="20">
        <v>1.0</v>
      </c>
      <c r="L225" s="24">
        <v>46388.0</v>
      </c>
      <c r="M225" s="24">
        <v>46752.0</v>
      </c>
      <c r="N225" s="20">
        <v>0.0</v>
      </c>
      <c r="O225" s="20">
        <v>1.0</v>
      </c>
      <c r="P225" s="24">
        <v>46753.0</v>
      </c>
      <c r="Q225" s="24">
        <v>47118.0</v>
      </c>
      <c r="R225" s="20">
        <v>0.0</v>
      </c>
      <c r="S225" s="20">
        <v>1.0</v>
      </c>
      <c r="T225" s="24">
        <v>47119.0</v>
      </c>
      <c r="U225" s="24">
        <v>47483.0</v>
      </c>
      <c r="V225" s="20">
        <v>0.0</v>
      </c>
      <c r="W225" s="20">
        <v>1.0</v>
      </c>
      <c r="X225" s="24">
        <v>47484.0</v>
      </c>
      <c r="Y225" s="24">
        <v>47848.0</v>
      </c>
      <c r="Z225" s="20">
        <v>0.0</v>
      </c>
      <c r="AA225" s="20">
        <v>1.0</v>
      </c>
      <c r="AB225" s="24"/>
      <c r="AC225" s="24"/>
    </row>
    <row r="226" ht="14.25" customHeight="1">
      <c r="A226" s="46" t="s">
        <v>4041</v>
      </c>
      <c r="B226" s="20" t="s">
        <v>4042</v>
      </c>
      <c r="C226" s="20" t="s">
        <v>7041</v>
      </c>
      <c r="D226" s="24">
        <v>45658.0</v>
      </c>
      <c r="E226" s="24">
        <v>46022.0</v>
      </c>
      <c r="F226" s="20">
        <v>0.0</v>
      </c>
      <c r="G226" s="20">
        <v>1.0</v>
      </c>
      <c r="H226" s="24">
        <v>46023.0</v>
      </c>
      <c r="I226" s="24">
        <v>46387.0</v>
      </c>
      <c r="J226" s="20">
        <v>0.0</v>
      </c>
      <c r="K226" s="20">
        <v>1.0</v>
      </c>
      <c r="L226" s="24">
        <v>46388.0</v>
      </c>
      <c r="M226" s="24">
        <v>46752.0</v>
      </c>
      <c r="N226" s="20">
        <v>0.0</v>
      </c>
      <c r="O226" s="20">
        <v>1.0</v>
      </c>
      <c r="P226" s="24">
        <v>46753.0</v>
      </c>
      <c r="Q226" s="24">
        <v>47118.0</v>
      </c>
      <c r="R226" s="20">
        <v>0.0</v>
      </c>
      <c r="S226" s="20">
        <v>1.0</v>
      </c>
      <c r="T226" s="24">
        <v>47119.0</v>
      </c>
      <c r="U226" s="24">
        <v>47483.0</v>
      </c>
      <c r="V226" s="20">
        <v>0.0</v>
      </c>
      <c r="W226" s="20">
        <v>1.0</v>
      </c>
      <c r="X226" s="24">
        <v>47484.0</v>
      </c>
      <c r="Y226" s="24">
        <v>47848.0</v>
      </c>
      <c r="Z226" s="20">
        <v>0.0</v>
      </c>
      <c r="AA226" s="20">
        <v>1.0</v>
      </c>
      <c r="AB226" s="24"/>
      <c r="AC226" s="24"/>
    </row>
    <row r="227" ht="14.25" customHeight="1">
      <c r="A227" s="46" t="s">
        <v>4397</v>
      </c>
      <c r="B227" s="20" t="s">
        <v>4398</v>
      </c>
      <c r="C227" s="20" t="s">
        <v>7041</v>
      </c>
      <c r="D227" s="24">
        <v>45658.0</v>
      </c>
      <c r="E227" s="24">
        <v>46022.0</v>
      </c>
      <c r="F227" s="20">
        <v>1.0</v>
      </c>
      <c r="G227" s="20">
        <v>1.0</v>
      </c>
      <c r="H227" s="24">
        <v>46023.0</v>
      </c>
      <c r="I227" s="24">
        <v>46387.0</v>
      </c>
      <c r="J227" s="20">
        <v>0.0</v>
      </c>
      <c r="K227" s="20">
        <v>1.0</v>
      </c>
      <c r="L227" s="24">
        <v>46388.0</v>
      </c>
      <c r="M227" s="24">
        <v>46752.0</v>
      </c>
      <c r="N227" s="20">
        <v>0.0</v>
      </c>
      <c r="O227" s="20">
        <v>1.0</v>
      </c>
      <c r="P227" s="24">
        <v>46753.0</v>
      </c>
      <c r="Q227" s="24">
        <v>47118.0</v>
      </c>
      <c r="R227" s="20">
        <v>0.0</v>
      </c>
      <c r="S227" s="20">
        <v>1.0</v>
      </c>
      <c r="T227" s="24">
        <v>47119.0</v>
      </c>
      <c r="U227" s="24">
        <v>47483.0</v>
      </c>
      <c r="V227" s="20">
        <v>0.0</v>
      </c>
      <c r="W227" s="20">
        <v>1.0</v>
      </c>
      <c r="X227" s="24">
        <v>47484.0</v>
      </c>
      <c r="Y227" s="24">
        <v>47848.0</v>
      </c>
      <c r="Z227" s="20">
        <v>0.0</v>
      </c>
      <c r="AA227" s="20">
        <v>1.0</v>
      </c>
      <c r="AB227" s="24"/>
      <c r="AC227" s="24"/>
    </row>
    <row r="228" ht="14.25" customHeight="1">
      <c r="A228" s="46" t="s">
        <v>4416</v>
      </c>
      <c r="B228" s="20" t="s">
        <v>4417</v>
      </c>
      <c r="C228" s="20" t="s">
        <v>7041</v>
      </c>
      <c r="D228" s="24">
        <v>45658.0</v>
      </c>
      <c r="E228" s="24">
        <v>46022.0</v>
      </c>
      <c r="F228" s="20">
        <v>0.0</v>
      </c>
      <c r="G228" s="20">
        <v>1.0</v>
      </c>
      <c r="H228" s="24">
        <v>46023.0</v>
      </c>
      <c r="I228" s="24">
        <v>46387.0</v>
      </c>
      <c r="J228" s="20">
        <v>0.0</v>
      </c>
      <c r="K228" s="20">
        <v>1.0</v>
      </c>
      <c r="L228" s="24">
        <v>46388.0</v>
      </c>
      <c r="M228" s="24">
        <v>46752.0</v>
      </c>
      <c r="N228" s="20">
        <v>0.0</v>
      </c>
      <c r="O228" s="20">
        <v>1.0</v>
      </c>
      <c r="P228" s="24">
        <v>46753.0</v>
      </c>
      <c r="Q228" s="24">
        <v>47118.0</v>
      </c>
      <c r="R228" s="20">
        <v>0.0</v>
      </c>
      <c r="S228" s="20">
        <v>1.0</v>
      </c>
      <c r="T228" s="24">
        <v>47119.0</v>
      </c>
      <c r="U228" s="24">
        <v>47483.0</v>
      </c>
      <c r="V228" s="20">
        <v>0.0</v>
      </c>
      <c r="W228" s="20">
        <v>1.0</v>
      </c>
      <c r="X228" s="24">
        <v>47484.0</v>
      </c>
      <c r="Y228" s="24">
        <v>47848.0</v>
      </c>
      <c r="Z228" s="20">
        <v>0.0</v>
      </c>
      <c r="AA228" s="20">
        <v>1.0</v>
      </c>
      <c r="AB228" s="24"/>
      <c r="AC228" s="24"/>
    </row>
    <row r="229" ht="14.25" customHeight="1">
      <c r="A229" s="46" t="s">
        <v>5004</v>
      </c>
      <c r="B229" s="20" t="s">
        <v>5005</v>
      </c>
      <c r="C229" s="20" t="s">
        <v>7041</v>
      </c>
      <c r="D229" s="24">
        <v>45658.0</v>
      </c>
      <c r="E229" s="24">
        <v>46022.0</v>
      </c>
      <c r="F229" s="20">
        <v>0.0</v>
      </c>
      <c r="G229" s="20">
        <v>1.0</v>
      </c>
      <c r="H229" s="24">
        <v>46023.0</v>
      </c>
      <c r="I229" s="24">
        <v>46387.0</v>
      </c>
      <c r="J229" s="20">
        <v>0.0</v>
      </c>
      <c r="K229" s="20">
        <v>1.0</v>
      </c>
      <c r="L229" s="24">
        <v>46388.0</v>
      </c>
      <c r="M229" s="24">
        <v>46752.0</v>
      </c>
      <c r="N229" s="20">
        <v>0.0</v>
      </c>
      <c r="O229" s="20">
        <v>1.0</v>
      </c>
      <c r="P229" s="24">
        <v>46753.0</v>
      </c>
      <c r="Q229" s="24">
        <v>47118.0</v>
      </c>
      <c r="R229" s="20">
        <v>0.0</v>
      </c>
      <c r="S229" s="20">
        <v>1.0</v>
      </c>
      <c r="T229" s="24">
        <v>47119.0</v>
      </c>
      <c r="U229" s="24">
        <v>47483.0</v>
      </c>
      <c r="V229" s="20">
        <v>0.0</v>
      </c>
      <c r="W229" s="20">
        <v>1.0</v>
      </c>
      <c r="X229" s="24">
        <v>47484.0</v>
      </c>
      <c r="Y229" s="24">
        <v>47848.0</v>
      </c>
      <c r="Z229" s="20">
        <v>0.0</v>
      </c>
      <c r="AA229" s="20">
        <v>1.0</v>
      </c>
      <c r="AB229" s="24"/>
      <c r="AC229" s="24"/>
    </row>
    <row r="230" ht="14.25" customHeight="1">
      <c r="A230" s="46" t="s">
        <v>5060</v>
      </c>
      <c r="B230" s="20" t="s">
        <v>5061</v>
      </c>
      <c r="C230" s="20" t="s">
        <v>7041</v>
      </c>
      <c r="D230" s="24">
        <v>45658.0</v>
      </c>
      <c r="E230" s="24">
        <v>46022.0</v>
      </c>
      <c r="F230" s="20">
        <v>0.0</v>
      </c>
      <c r="G230" s="20">
        <v>1.0</v>
      </c>
      <c r="H230" s="24">
        <v>46023.0</v>
      </c>
      <c r="I230" s="24">
        <v>46387.0</v>
      </c>
      <c r="J230" s="20">
        <v>0.0</v>
      </c>
      <c r="K230" s="20">
        <v>1.0</v>
      </c>
      <c r="L230" s="24">
        <v>46388.0</v>
      </c>
      <c r="M230" s="24">
        <v>46752.0</v>
      </c>
      <c r="N230" s="20">
        <v>0.0</v>
      </c>
      <c r="O230" s="20">
        <v>1.0</v>
      </c>
      <c r="P230" s="24">
        <v>46753.0</v>
      </c>
      <c r="Q230" s="24">
        <v>47118.0</v>
      </c>
      <c r="R230" s="20">
        <v>0.0</v>
      </c>
      <c r="S230" s="20">
        <v>1.0</v>
      </c>
      <c r="T230" s="24">
        <v>47119.0</v>
      </c>
      <c r="U230" s="24">
        <v>47483.0</v>
      </c>
      <c r="V230" s="20">
        <v>0.0</v>
      </c>
      <c r="W230" s="20">
        <v>1.0</v>
      </c>
      <c r="X230" s="24">
        <v>47484.0</v>
      </c>
      <c r="Y230" s="24">
        <v>47848.0</v>
      </c>
      <c r="Z230" s="20">
        <v>0.0</v>
      </c>
      <c r="AA230" s="20">
        <v>1.0</v>
      </c>
      <c r="AB230" s="24"/>
      <c r="AC230" s="24"/>
    </row>
    <row r="231" ht="14.25" customHeight="1">
      <c r="A231" s="46" t="s">
        <v>5116</v>
      </c>
      <c r="B231" s="20" t="s">
        <v>5117</v>
      </c>
      <c r="C231" s="20" t="s">
        <v>7041</v>
      </c>
      <c r="D231" s="24">
        <v>45658.0</v>
      </c>
      <c r="E231" s="24">
        <v>46022.0</v>
      </c>
      <c r="F231" s="20">
        <v>1.0</v>
      </c>
      <c r="G231" s="20">
        <v>1.0</v>
      </c>
      <c r="H231" s="24">
        <v>46023.0</v>
      </c>
      <c r="I231" s="24">
        <v>46387.0</v>
      </c>
      <c r="J231" s="20">
        <v>0.0</v>
      </c>
      <c r="K231" s="20">
        <v>1.0</v>
      </c>
      <c r="L231" s="24">
        <v>46388.0</v>
      </c>
      <c r="M231" s="24">
        <v>46752.0</v>
      </c>
      <c r="N231" s="20">
        <v>0.0</v>
      </c>
      <c r="O231" s="20">
        <v>1.0</v>
      </c>
      <c r="P231" s="24">
        <v>46753.0</v>
      </c>
      <c r="Q231" s="24">
        <v>47118.0</v>
      </c>
      <c r="R231" s="20">
        <v>0.0</v>
      </c>
      <c r="S231" s="20">
        <v>1.0</v>
      </c>
      <c r="T231" s="24">
        <v>47119.0</v>
      </c>
      <c r="U231" s="24">
        <v>47483.0</v>
      </c>
      <c r="V231" s="20">
        <v>0.0</v>
      </c>
      <c r="W231" s="20">
        <v>1.0</v>
      </c>
      <c r="X231" s="24">
        <v>47484.0</v>
      </c>
      <c r="Y231" s="24">
        <v>47848.0</v>
      </c>
      <c r="Z231" s="20">
        <v>0.0</v>
      </c>
      <c r="AA231" s="20">
        <v>1.0</v>
      </c>
      <c r="AB231" s="24"/>
      <c r="AC231" s="24"/>
    </row>
    <row r="232" ht="14.25" customHeight="1">
      <c r="A232" s="46" t="s">
        <v>5157</v>
      </c>
      <c r="B232" s="20" t="s">
        <v>5158</v>
      </c>
      <c r="C232" s="20" t="s">
        <v>7041</v>
      </c>
      <c r="D232" s="24">
        <v>45658.0</v>
      </c>
      <c r="E232" s="24">
        <v>46022.0</v>
      </c>
      <c r="F232" s="20">
        <v>1.0</v>
      </c>
      <c r="G232" s="20">
        <v>1.0</v>
      </c>
      <c r="H232" s="24">
        <v>46023.0</v>
      </c>
      <c r="I232" s="24">
        <v>46387.0</v>
      </c>
      <c r="J232" s="20">
        <v>0.0</v>
      </c>
      <c r="K232" s="20">
        <v>1.0</v>
      </c>
      <c r="L232" s="24">
        <v>46388.0</v>
      </c>
      <c r="M232" s="24">
        <v>46752.0</v>
      </c>
      <c r="N232" s="20">
        <v>0.0</v>
      </c>
      <c r="O232" s="20">
        <v>1.0</v>
      </c>
      <c r="P232" s="24">
        <v>46753.0</v>
      </c>
      <c r="Q232" s="24">
        <v>47118.0</v>
      </c>
      <c r="R232" s="20">
        <v>0.0</v>
      </c>
      <c r="S232" s="20">
        <v>1.0</v>
      </c>
      <c r="T232" s="24">
        <v>47119.0</v>
      </c>
      <c r="U232" s="24">
        <v>47483.0</v>
      </c>
      <c r="V232" s="20">
        <v>0.0</v>
      </c>
      <c r="W232" s="20">
        <v>1.0</v>
      </c>
      <c r="X232" s="24">
        <v>47484.0</v>
      </c>
      <c r="Y232" s="24">
        <v>47848.0</v>
      </c>
      <c r="Z232" s="20">
        <v>0.0</v>
      </c>
      <c r="AA232" s="20">
        <v>1.0</v>
      </c>
      <c r="AB232" s="24"/>
      <c r="AC232" s="24"/>
    </row>
    <row r="233" ht="14.25" customHeight="1">
      <c r="A233" s="46" t="s">
        <v>5717</v>
      </c>
      <c r="B233" s="20" t="s">
        <v>5718</v>
      </c>
      <c r="C233" s="20" t="s">
        <v>7041</v>
      </c>
      <c r="D233" s="24">
        <v>45658.0</v>
      </c>
      <c r="E233" s="24">
        <v>46022.0</v>
      </c>
      <c r="F233" s="20">
        <v>0.0</v>
      </c>
      <c r="G233" s="20">
        <v>1.0</v>
      </c>
      <c r="H233" s="24">
        <v>46023.0</v>
      </c>
      <c r="I233" s="24">
        <v>46387.0</v>
      </c>
      <c r="J233" s="20">
        <v>0.0</v>
      </c>
      <c r="K233" s="20">
        <v>1.0</v>
      </c>
      <c r="L233" s="24">
        <v>46388.0</v>
      </c>
      <c r="M233" s="24">
        <v>46752.0</v>
      </c>
      <c r="N233" s="20">
        <v>0.0</v>
      </c>
      <c r="O233" s="20">
        <v>1.0</v>
      </c>
      <c r="P233" s="24">
        <v>46753.0</v>
      </c>
      <c r="Q233" s="24">
        <v>47118.0</v>
      </c>
      <c r="R233" s="20">
        <v>0.0</v>
      </c>
      <c r="S233" s="20">
        <v>1.0</v>
      </c>
      <c r="T233" s="24">
        <v>47119.0</v>
      </c>
      <c r="U233" s="24">
        <v>47483.0</v>
      </c>
      <c r="V233" s="20">
        <v>0.0</v>
      </c>
      <c r="W233" s="20">
        <v>1.0</v>
      </c>
      <c r="X233" s="24">
        <v>47484.0</v>
      </c>
      <c r="Y233" s="24">
        <v>47848.0</v>
      </c>
      <c r="Z233" s="20">
        <v>0.0</v>
      </c>
      <c r="AA233" s="20">
        <v>1.0</v>
      </c>
      <c r="AB233" s="24"/>
      <c r="AC233" s="24"/>
    </row>
    <row r="234" ht="14.25" customHeight="1">
      <c r="A234" s="46" t="s">
        <v>6261</v>
      </c>
      <c r="B234" s="20" t="s">
        <v>6262</v>
      </c>
      <c r="C234" s="20" t="s">
        <v>7041</v>
      </c>
      <c r="D234" s="24">
        <v>45658.0</v>
      </c>
      <c r="E234" s="24">
        <v>46022.0</v>
      </c>
      <c r="F234" s="20">
        <v>0.0</v>
      </c>
      <c r="G234" s="20">
        <v>1.0</v>
      </c>
      <c r="H234" s="24">
        <v>46023.0</v>
      </c>
      <c r="I234" s="24">
        <v>46387.0</v>
      </c>
      <c r="J234" s="20">
        <v>0.0</v>
      </c>
      <c r="K234" s="20">
        <v>1.0</v>
      </c>
      <c r="L234" s="24">
        <v>46388.0</v>
      </c>
      <c r="M234" s="24">
        <v>46752.0</v>
      </c>
      <c r="N234" s="20">
        <v>0.0</v>
      </c>
      <c r="O234" s="20">
        <v>1.0</v>
      </c>
      <c r="P234" s="24">
        <v>46753.0</v>
      </c>
      <c r="Q234" s="24">
        <v>47118.0</v>
      </c>
      <c r="R234" s="20">
        <v>0.0</v>
      </c>
      <c r="S234" s="20">
        <v>1.0</v>
      </c>
      <c r="T234" s="24">
        <v>47119.0</v>
      </c>
      <c r="U234" s="24">
        <v>47483.0</v>
      </c>
      <c r="V234" s="20">
        <v>0.0</v>
      </c>
      <c r="W234" s="20">
        <v>1.0</v>
      </c>
      <c r="X234" s="24">
        <v>47484.0</v>
      </c>
      <c r="Y234" s="24">
        <v>47848.0</v>
      </c>
      <c r="Z234" s="20">
        <v>0.0</v>
      </c>
      <c r="AA234" s="20">
        <v>1.0</v>
      </c>
      <c r="AB234" s="24"/>
      <c r="AC234" s="24"/>
    </row>
    <row r="235" ht="14.25" customHeight="1">
      <c r="A235" s="46" t="s">
        <v>2471</v>
      </c>
      <c r="B235" s="20" t="s">
        <v>2472</v>
      </c>
      <c r="C235" s="20" t="s">
        <v>7041</v>
      </c>
      <c r="D235" s="24">
        <v>45658.0</v>
      </c>
      <c r="E235" s="24">
        <v>46022.0</v>
      </c>
      <c r="F235" s="20">
        <v>1.0</v>
      </c>
      <c r="G235" s="20">
        <v>1.0</v>
      </c>
      <c r="H235" s="24">
        <v>46023.0</v>
      </c>
      <c r="I235" s="24">
        <v>46387.0</v>
      </c>
      <c r="J235" s="20">
        <v>0.0</v>
      </c>
      <c r="K235" s="20">
        <v>1.0</v>
      </c>
      <c r="L235" s="24">
        <v>46388.0</v>
      </c>
      <c r="M235" s="24">
        <v>46752.0</v>
      </c>
      <c r="N235" s="20">
        <v>0.0</v>
      </c>
      <c r="O235" s="20">
        <v>1.0</v>
      </c>
      <c r="P235" s="24">
        <v>46753.0</v>
      </c>
      <c r="Q235" s="24">
        <v>47118.0</v>
      </c>
      <c r="R235" s="20">
        <v>0.0</v>
      </c>
      <c r="S235" s="20">
        <v>1.0</v>
      </c>
      <c r="T235" s="24">
        <v>47119.0</v>
      </c>
      <c r="U235" s="24">
        <v>47483.0</v>
      </c>
      <c r="V235" s="20">
        <v>0.0</v>
      </c>
      <c r="W235" s="20">
        <v>1.0</v>
      </c>
      <c r="X235" s="24">
        <v>47484.0</v>
      </c>
      <c r="Y235" s="24">
        <v>47848.0</v>
      </c>
      <c r="Z235" s="20">
        <v>0.0</v>
      </c>
      <c r="AA235" s="20">
        <v>1.0</v>
      </c>
      <c r="AB235" s="24"/>
      <c r="AC235" s="24"/>
    </row>
    <row r="236" ht="14.25" customHeight="1">
      <c r="A236" s="46" t="s">
        <v>1188</v>
      </c>
      <c r="B236" s="20" t="s">
        <v>1189</v>
      </c>
      <c r="C236" s="20" t="s">
        <v>7041</v>
      </c>
      <c r="D236" s="24">
        <v>45658.0</v>
      </c>
      <c r="E236" s="24">
        <v>46022.0</v>
      </c>
      <c r="F236" s="20">
        <v>0.0</v>
      </c>
      <c r="G236" s="20">
        <v>1.0</v>
      </c>
      <c r="H236" s="24">
        <v>46023.0</v>
      </c>
      <c r="I236" s="24">
        <v>46387.0</v>
      </c>
      <c r="J236" s="20">
        <v>0.0</v>
      </c>
      <c r="K236" s="20">
        <v>1.0</v>
      </c>
      <c r="L236" s="24">
        <v>46388.0</v>
      </c>
      <c r="M236" s="24">
        <v>46752.0</v>
      </c>
      <c r="N236" s="20">
        <v>0.0</v>
      </c>
      <c r="O236" s="20">
        <v>1.0</v>
      </c>
      <c r="P236" s="24">
        <v>46753.0</v>
      </c>
      <c r="Q236" s="24">
        <v>47118.0</v>
      </c>
      <c r="R236" s="20">
        <v>0.0</v>
      </c>
      <c r="S236" s="20">
        <v>1.0</v>
      </c>
      <c r="T236" s="24">
        <v>47119.0</v>
      </c>
      <c r="U236" s="24">
        <v>47483.0</v>
      </c>
      <c r="V236" s="20">
        <v>0.0</v>
      </c>
      <c r="W236" s="20">
        <v>1.0</v>
      </c>
      <c r="X236" s="24">
        <v>47484.0</v>
      </c>
      <c r="Y236" s="24">
        <v>47848.0</v>
      </c>
      <c r="Z236" s="20">
        <v>0.0</v>
      </c>
      <c r="AA236" s="20">
        <v>1.0</v>
      </c>
      <c r="AB236" s="24"/>
      <c r="AC236" s="24"/>
    </row>
    <row r="237" ht="14.25" customHeight="1">
      <c r="A237" s="46" t="s">
        <v>208</v>
      </c>
      <c r="B237" s="20" t="s">
        <v>209</v>
      </c>
      <c r="C237" s="20" t="s">
        <v>7041</v>
      </c>
      <c r="D237" s="24">
        <v>45658.0</v>
      </c>
      <c r="E237" s="24">
        <v>46022.0</v>
      </c>
      <c r="F237" s="20">
        <v>0.0</v>
      </c>
      <c r="G237" s="20">
        <v>1.0</v>
      </c>
      <c r="H237" s="24">
        <v>46023.0</v>
      </c>
      <c r="I237" s="24">
        <v>46387.0</v>
      </c>
      <c r="J237" s="20">
        <v>0.0</v>
      </c>
      <c r="K237" s="20">
        <v>1.0</v>
      </c>
      <c r="L237" s="24">
        <v>46388.0</v>
      </c>
      <c r="M237" s="24">
        <v>46752.0</v>
      </c>
      <c r="N237" s="20">
        <v>0.0</v>
      </c>
      <c r="O237" s="20">
        <v>1.0</v>
      </c>
      <c r="P237" s="24">
        <v>46753.0</v>
      </c>
      <c r="Q237" s="24">
        <v>47118.0</v>
      </c>
      <c r="R237" s="20">
        <v>0.0</v>
      </c>
      <c r="S237" s="20">
        <v>1.0</v>
      </c>
      <c r="T237" s="24">
        <v>47119.0</v>
      </c>
      <c r="U237" s="24">
        <v>47483.0</v>
      </c>
      <c r="V237" s="20">
        <v>0.0</v>
      </c>
      <c r="W237" s="20">
        <v>1.0</v>
      </c>
      <c r="X237" s="24">
        <v>47484.0</v>
      </c>
      <c r="Y237" s="24">
        <v>47848.0</v>
      </c>
      <c r="Z237" s="20">
        <v>0.0</v>
      </c>
      <c r="AA237" s="20">
        <v>1.0</v>
      </c>
      <c r="AB237" s="24"/>
      <c r="AC237" s="24"/>
    </row>
    <row r="238" ht="14.25" customHeight="1">
      <c r="A238" s="46" t="s">
        <v>237</v>
      </c>
      <c r="B238" s="20" t="s">
        <v>238</v>
      </c>
      <c r="C238" s="20" t="s">
        <v>7041</v>
      </c>
      <c r="D238" s="24">
        <v>45658.0</v>
      </c>
      <c r="E238" s="24">
        <v>46022.0</v>
      </c>
      <c r="F238" s="20">
        <v>0.0</v>
      </c>
      <c r="G238" s="20">
        <v>1.0</v>
      </c>
      <c r="H238" s="24">
        <v>46023.0</v>
      </c>
      <c r="I238" s="24">
        <v>46387.0</v>
      </c>
      <c r="J238" s="20">
        <v>0.0</v>
      </c>
      <c r="K238" s="20">
        <v>1.0</v>
      </c>
      <c r="L238" s="24">
        <v>46388.0</v>
      </c>
      <c r="M238" s="24">
        <v>46752.0</v>
      </c>
      <c r="N238" s="20">
        <v>0.0</v>
      </c>
      <c r="O238" s="20">
        <v>1.0</v>
      </c>
      <c r="P238" s="24">
        <v>46753.0</v>
      </c>
      <c r="Q238" s="24">
        <v>47118.0</v>
      </c>
      <c r="R238" s="20">
        <v>0.0</v>
      </c>
      <c r="S238" s="20">
        <v>1.0</v>
      </c>
      <c r="T238" s="24">
        <v>47119.0</v>
      </c>
      <c r="U238" s="24">
        <v>47483.0</v>
      </c>
      <c r="V238" s="20">
        <v>0.0</v>
      </c>
      <c r="W238" s="20">
        <v>1.0</v>
      </c>
      <c r="X238" s="24">
        <v>47484.0</v>
      </c>
      <c r="Y238" s="24">
        <v>47848.0</v>
      </c>
      <c r="Z238" s="20">
        <v>0.0</v>
      </c>
      <c r="AA238" s="20">
        <v>1.0</v>
      </c>
      <c r="AB238" s="24"/>
      <c r="AC238" s="24"/>
    </row>
    <row r="239" ht="14.25" customHeight="1">
      <c r="A239" s="46" t="s">
        <v>311</v>
      </c>
      <c r="B239" s="20" t="s">
        <v>312</v>
      </c>
      <c r="C239" s="20" t="s">
        <v>7041</v>
      </c>
      <c r="D239" s="24">
        <v>45658.0</v>
      </c>
      <c r="E239" s="24">
        <v>46022.0</v>
      </c>
      <c r="F239" s="20">
        <v>0.0</v>
      </c>
      <c r="G239" s="20">
        <v>1.0</v>
      </c>
      <c r="H239" s="24">
        <v>46023.0</v>
      </c>
      <c r="I239" s="24">
        <v>46387.0</v>
      </c>
      <c r="J239" s="20">
        <v>0.0</v>
      </c>
      <c r="K239" s="20">
        <v>1.0</v>
      </c>
      <c r="L239" s="24">
        <v>46388.0</v>
      </c>
      <c r="M239" s="24">
        <v>46752.0</v>
      </c>
      <c r="N239" s="20">
        <v>0.0</v>
      </c>
      <c r="O239" s="20">
        <v>1.0</v>
      </c>
      <c r="P239" s="24">
        <v>46753.0</v>
      </c>
      <c r="Q239" s="24">
        <v>47118.0</v>
      </c>
      <c r="R239" s="20">
        <v>0.0</v>
      </c>
      <c r="S239" s="20">
        <v>1.0</v>
      </c>
      <c r="T239" s="24">
        <v>47119.0</v>
      </c>
      <c r="U239" s="24">
        <v>47483.0</v>
      </c>
      <c r="V239" s="20">
        <v>0.0</v>
      </c>
      <c r="W239" s="20">
        <v>1.0</v>
      </c>
      <c r="X239" s="24">
        <v>47484.0</v>
      </c>
      <c r="Y239" s="24">
        <v>47848.0</v>
      </c>
      <c r="Z239" s="20">
        <v>0.0</v>
      </c>
      <c r="AA239" s="20">
        <v>1.0</v>
      </c>
      <c r="AB239" s="24"/>
      <c r="AC239" s="24"/>
    </row>
    <row r="240" ht="14.25" customHeight="1">
      <c r="A240" s="46" t="s">
        <v>283</v>
      </c>
      <c r="B240" s="20" t="s">
        <v>284</v>
      </c>
      <c r="C240" s="20" t="s">
        <v>7041</v>
      </c>
      <c r="D240" s="24">
        <v>45658.0</v>
      </c>
      <c r="E240" s="24">
        <v>46022.0</v>
      </c>
      <c r="F240" s="20">
        <v>0.0</v>
      </c>
      <c r="G240" s="20">
        <v>1.0</v>
      </c>
      <c r="H240" s="24">
        <v>46023.0</v>
      </c>
      <c r="I240" s="24">
        <v>46387.0</v>
      </c>
      <c r="J240" s="20">
        <v>0.0</v>
      </c>
      <c r="K240" s="20">
        <v>1.0</v>
      </c>
      <c r="L240" s="24">
        <v>46388.0</v>
      </c>
      <c r="M240" s="24">
        <v>46752.0</v>
      </c>
      <c r="N240" s="20">
        <v>0.0</v>
      </c>
      <c r="O240" s="20">
        <v>1.0</v>
      </c>
      <c r="P240" s="24">
        <v>46753.0</v>
      </c>
      <c r="Q240" s="24">
        <v>47118.0</v>
      </c>
      <c r="R240" s="20">
        <v>0.0</v>
      </c>
      <c r="S240" s="20">
        <v>1.0</v>
      </c>
      <c r="T240" s="24">
        <v>47119.0</v>
      </c>
      <c r="U240" s="24">
        <v>47483.0</v>
      </c>
      <c r="V240" s="20">
        <v>0.0</v>
      </c>
      <c r="W240" s="20">
        <v>1.0</v>
      </c>
      <c r="X240" s="24">
        <v>47484.0</v>
      </c>
      <c r="Y240" s="24">
        <v>47848.0</v>
      </c>
      <c r="Z240" s="20">
        <v>0.0</v>
      </c>
      <c r="AA240" s="20">
        <v>1.0</v>
      </c>
      <c r="AB240" s="24"/>
      <c r="AC240" s="24"/>
    </row>
    <row r="241" ht="14.25" customHeight="1">
      <c r="A241" s="46" t="s">
        <v>324</v>
      </c>
      <c r="B241" s="20" t="s">
        <v>325</v>
      </c>
      <c r="C241" s="20" t="s">
        <v>7041</v>
      </c>
      <c r="D241" s="24">
        <v>45658.0</v>
      </c>
      <c r="E241" s="24">
        <v>46022.0</v>
      </c>
      <c r="F241" s="20">
        <v>0.0</v>
      </c>
      <c r="G241" s="20">
        <v>1.0</v>
      </c>
      <c r="H241" s="24">
        <v>46023.0</v>
      </c>
      <c r="I241" s="24">
        <v>46387.0</v>
      </c>
      <c r="J241" s="20">
        <v>0.0</v>
      </c>
      <c r="K241" s="20">
        <v>1.0</v>
      </c>
      <c r="L241" s="24">
        <v>46388.0</v>
      </c>
      <c r="M241" s="24">
        <v>46752.0</v>
      </c>
      <c r="N241" s="20">
        <v>0.0</v>
      </c>
      <c r="O241" s="20">
        <v>1.0</v>
      </c>
      <c r="P241" s="24">
        <v>46753.0</v>
      </c>
      <c r="Q241" s="24">
        <v>47118.0</v>
      </c>
      <c r="R241" s="20">
        <v>0.0</v>
      </c>
      <c r="S241" s="20">
        <v>1.0</v>
      </c>
      <c r="T241" s="24">
        <v>47119.0</v>
      </c>
      <c r="U241" s="24">
        <v>47483.0</v>
      </c>
      <c r="V241" s="20">
        <v>0.0</v>
      </c>
      <c r="W241" s="20">
        <v>1.0</v>
      </c>
      <c r="X241" s="24">
        <v>47484.0</v>
      </c>
      <c r="Y241" s="24">
        <v>47848.0</v>
      </c>
      <c r="Z241" s="20">
        <v>0.0</v>
      </c>
      <c r="AA241" s="20">
        <v>1.0</v>
      </c>
      <c r="AB241" s="24"/>
      <c r="AC241" s="24"/>
    </row>
    <row r="242" ht="14.25" customHeight="1">
      <c r="A242" s="46" t="s">
        <v>335</v>
      </c>
      <c r="B242" s="20" t="s">
        <v>336</v>
      </c>
      <c r="C242" s="20" t="s">
        <v>7041</v>
      </c>
      <c r="D242" s="24">
        <v>45658.0</v>
      </c>
      <c r="E242" s="24">
        <v>46022.0</v>
      </c>
      <c r="F242" s="20">
        <v>1.0</v>
      </c>
      <c r="G242" s="20">
        <v>1.0</v>
      </c>
      <c r="H242" s="24">
        <v>46023.0</v>
      </c>
      <c r="I242" s="24">
        <v>46387.0</v>
      </c>
      <c r="J242" s="20">
        <v>0.0</v>
      </c>
      <c r="K242" s="20">
        <v>1.0</v>
      </c>
      <c r="L242" s="24">
        <v>46388.0</v>
      </c>
      <c r="M242" s="24">
        <v>46752.0</v>
      </c>
      <c r="N242" s="20">
        <v>0.0</v>
      </c>
      <c r="O242" s="20">
        <v>1.0</v>
      </c>
      <c r="P242" s="24">
        <v>46753.0</v>
      </c>
      <c r="Q242" s="24">
        <v>47118.0</v>
      </c>
      <c r="R242" s="20">
        <v>0.0</v>
      </c>
      <c r="S242" s="20">
        <v>1.0</v>
      </c>
      <c r="T242" s="24">
        <v>47119.0</v>
      </c>
      <c r="U242" s="24">
        <v>47483.0</v>
      </c>
      <c r="V242" s="20">
        <v>0.0</v>
      </c>
      <c r="W242" s="20">
        <v>1.0</v>
      </c>
      <c r="X242" s="24">
        <v>47484.0</v>
      </c>
      <c r="Y242" s="24">
        <v>47848.0</v>
      </c>
      <c r="Z242" s="20">
        <v>0.0</v>
      </c>
      <c r="AA242" s="20">
        <v>1.0</v>
      </c>
      <c r="AB242" s="24"/>
      <c r="AC242" s="24"/>
    </row>
    <row r="243" ht="14.25" customHeight="1">
      <c r="A243" s="46" t="s">
        <v>434</v>
      </c>
      <c r="B243" s="20" t="s">
        <v>435</v>
      </c>
      <c r="C243" s="20" t="s">
        <v>7041</v>
      </c>
      <c r="D243" s="24">
        <v>45658.0</v>
      </c>
      <c r="E243" s="24">
        <v>46022.0</v>
      </c>
      <c r="F243" s="20">
        <v>0.0</v>
      </c>
      <c r="G243" s="20">
        <v>1.0</v>
      </c>
      <c r="H243" s="24">
        <v>46023.0</v>
      </c>
      <c r="I243" s="24">
        <v>46387.0</v>
      </c>
      <c r="J243" s="20">
        <v>0.0</v>
      </c>
      <c r="K243" s="20">
        <v>1.0</v>
      </c>
      <c r="L243" s="24">
        <v>46388.0</v>
      </c>
      <c r="M243" s="24">
        <v>46752.0</v>
      </c>
      <c r="N243" s="20">
        <v>0.0</v>
      </c>
      <c r="O243" s="20">
        <v>1.0</v>
      </c>
      <c r="P243" s="24">
        <v>46753.0</v>
      </c>
      <c r="Q243" s="24">
        <v>47118.0</v>
      </c>
      <c r="R243" s="20">
        <v>0.0</v>
      </c>
      <c r="S243" s="20">
        <v>1.0</v>
      </c>
      <c r="T243" s="24">
        <v>47119.0</v>
      </c>
      <c r="U243" s="24">
        <v>47483.0</v>
      </c>
      <c r="V243" s="20">
        <v>0.0</v>
      </c>
      <c r="W243" s="20">
        <v>1.0</v>
      </c>
      <c r="X243" s="24">
        <v>47484.0</v>
      </c>
      <c r="Y243" s="24">
        <v>47848.0</v>
      </c>
      <c r="Z243" s="20">
        <v>0.0</v>
      </c>
      <c r="AA243" s="20">
        <v>1.0</v>
      </c>
      <c r="AB243" s="24"/>
      <c r="AC243" s="24"/>
    </row>
    <row r="244" ht="14.25" customHeight="1">
      <c r="A244" s="46" t="s">
        <v>499</v>
      </c>
      <c r="B244" s="20" t="s">
        <v>500</v>
      </c>
      <c r="C244" s="20" t="s">
        <v>7041</v>
      </c>
      <c r="D244" s="24">
        <v>45658.0</v>
      </c>
      <c r="E244" s="24">
        <v>46022.0</v>
      </c>
      <c r="F244" s="20">
        <v>0.0</v>
      </c>
      <c r="G244" s="20">
        <v>1.0</v>
      </c>
      <c r="H244" s="24">
        <v>46023.0</v>
      </c>
      <c r="I244" s="24">
        <v>46387.0</v>
      </c>
      <c r="J244" s="20">
        <v>0.0</v>
      </c>
      <c r="K244" s="20">
        <v>1.0</v>
      </c>
      <c r="L244" s="24">
        <v>46388.0</v>
      </c>
      <c r="M244" s="24">
        <v>46752.0</v>
      </c>
      <c r="N244" s="20">
        <v>0.0</v>
      </c>
      <c r="O244" s="20">
        <v>1.0</v>
      </c>
      <c r="P244" s="24">
        <v>46753.0</v>
      </c>
      <c r="Q244" s="24">
        <v>47118.0</v>
      </c>
      <c r="R244" s="20">
        <v>0.0</v>
      </c>
      <c r="S244" s="20">
        <v>1.0</v>
      </c>
      <c r="T244" s="24">
        <v>47119.0</v>
      </c>
      <c r="U244" s="24">
        <v>47483.0</v>
      </c>
      <c r="V244" s="20">
        <v>0.0</v>
      </c>
      <c r="W244" s="20">
        <v>1.0</v>
      </c>
      <c r="X244" s="24">
        <v>47484.0</v>
      </c>
      <c r="Y244" s="24">
        <v>47848.0</v>
      </c>
      <c r="Z244" s="20">
        <v>0.0</v>
      </c>
      <c r="AA244" s="20">
        <v>1.0</v>
      </c>
      <c r="AB244" s="24"/>
      <c r="AC244" s="24"/>
    </row>
    <row r="245" ht="14.25" customHeight="1">
      <c r="A245" s="46" t="s">
        <v>515</v>
      </c>
      <c r="B245" s="20" t="s">
        <v>516</v>
      </c>
      <c r="C245" s="20" t="s">
        <v>7041</v>
      </c>
      <c r="D245" s="24">
        <v>45658.0</v>
      </c>
      <c r="E245" s="24">
        <v>46022.0</v>
      </c>
      <c r="F245" s="20">
        <v>0.0</v>
      </c>
      <c r="G245" s="20">
        <v>1.0</v>
      </c>
      <c r="H245" s="24">
        <v>46023.0</v>
      </c>
      <c r="I245" s="24">
        <v>46387.0</v>
      </c>
      <c r="J245" s="20">
        <v>0.0</v>
      </c>
      <c r="K245" s="20">
        <v>1.0</v>
      </c>
      <c r="L245" s="24">
        <v>46388.0</v>
      </c>
      <c r="M245" s="24">
        <v>46752.0</v>
      </c>
      <c r="N245" s="20">
        <v>0.0</v>
      </c>
      <c r="O245" s="20">
        <v>1.0</v>
      </c>
      <c r="P245" s="24">
        <v>46753.0</v>
      </c>
      <c r="Q245" s="24">
        <v>47118.0</v>
      </c>
      <c r="R245" s="20">
        <v>0.0</v>
      </c>
      <c r="S245" s="20">
        <v>1.0</v>
      </c>
      <c r="T245" s="24">
        <v>47119.0</v>
      </c>
      <c r="U245" s="24">
        <v>47483.0</v>
      </c>
      <c r="V245" s="20">
        <v>0.0</v>
      </c>
      <c r="W245" s="20">
        <v>1.0</v>
      </c>
      <c r="X245" s="24">
        <v>47484.0</v>
      </c>
      <c r="Y245" s="24">
        <v>47848.0</v>
      </c>
      <c r="Z245" s="20">
        <v>0.0</v>
      </c>
      <c r="AA245" s="20">
        <v>1.0</v>
      </c>
      <c r="AB245" s="24"/>
      <c r="AC245" s="24"/>
    </row>
    <row r="246" ht="14.25" customHeight="1">
      <c r="A246" s="46" t="s">
        <v>626</v>
      </c>
      <c r="B246" s="20" t="s">
        <v>627</v>
      </c>
      <c r="C246" s="20" t="s">
        <v>7041</v>
      </c>
      <c r="D246" s="24">
        <v>45658.0</v>
      </c>
      <c r="E246" s="24">
        <v>46022.0</v>
      </c>
      <c r="F246" s="20">
        <v>1.0</v>
      </c>
      <c r="G246" s="20">
        <v>1.0</v>
      </c>
      <c r="H246" s="24">
        <v>46023.0</v>
      </c>
      <c r="I246" s="24">
        <v>46387.0</v>
      </c>
      <c r="J246" s="20">
        <v>0.0</v>
      </c>
      <c r="K246" s="20">
        <v>1.0</v>
      </c>
      <c r="L246" s="24">
        <v>46388.0</v>
      </c>
      <c r="M246" s="24">
        <v>46752.0</v>
      </c>
      <c r="N246" s="20">
        <v>0.0</v>
      </c>
      <c r="O246" s="20">
        <v>1.0</v>
      </c>
      <c r="P246" s="24">
        <v>46753.0</v>
      </c>
      <c r="Q246" s="24">
        <v>47118.0</v>
      </c>
      <c r="R246" s="20">
        <v>0.0</v>
      </c>
      <c r="S246" s="20">
        <v>1.0</v>
      </c>
      <c r="T246" s="24">
        <v>47119.0</v>
      </c>
      <c r="U246" s="24">
        <v>47483.0</v>
      </c>
      <c r="V246" s="20">
        <v>0.0</v>
      </c>
      <c r="W246" s="20">
        <v>1.0</v>
      </c>
      <c r="X246" s="24">
        <v>47484.0</v>
      </c>
      <c r="Y246" s="24">
        <v>47848.0</v>
      </c>
      <c r="Z246" s="20">
        <v>0.0</v>
      </c>
      <c r="AA246" s="20">
        <v>1.0</v>
      </c>
      <c r="AB246" s="24"/>
      <c r="AC246" s="24"/>
    </row>
    <row r="247" ht="14.25" customHeight="1">
      <c r="A247" s="46" t="s">
        <v>631</v>
      </c>
      <c r="B247" s="20" t="s">
        <v>632</v>
      </c>
      <c r="C247" s="20" t="s">
        <v>7041</v>
      </c>
      <c r="D247" s="24">
        <v>45658.0</v>
      </c>
      <c r="E247" s="24">
        <v>46022.0</v>
      </c>
      <c r="F247" s="20">
        <v>0.0</v>
      </c>
      <c r="G247" s="20">
        <v>1.0</v>
      </c>
      <c r="H247" s="24">
        <v>46023.0</v>
      </c>
      <c r="I247" s="24">
        <v>46387.0</v>
      </c>
      <c r="J247" s="20">
        <v>0.0</v>
      </c>
      <c r="K247" s="20">
        <v>1.0</v>
      </c>
      <c r="L247" s="24">
        <v>46388.0</v>
      </c>
      <c r="M247" s="24">
        <v>46752.0</v>
      </c>
      <c r="N247" s="20">
        <v>0.0</v>
      </c>
      <c r="O247" s="20">
        <v>1.0</v>
      </c>
      <c r="P247" s="24">
        <v>46753.0</v>
      </c>
      <c r="Q247" s="24">
        <v>47118.0</v>
      </c>
      <c r="R247" s="20">
        <v>0.0</v>
      </c>
      <c r="S247" s="20">
        <v>1.0</v>
      </c>
      <c r="T247" s="24">
        <v>47119.0</v>
      </c>
      <c r="U247" s="24">
        <v>47483.0</v>
      </c>
      <c r="V247" s="20">
        <v>0.0</v>
      </c>
      <c r="W247" s="20">
        <v>1.0</v>
      </c>
      <c r="X247" s="24">
        <v>47484.0</v>
      </c>
      <c r="Y247" s="24">
        <v>47848.0</v>
      </c>
      <c r="Z247" s="20">
        <v>0.0</v>
      </c>
      <c r="AA247" s="20">
        <v>1.0</v>
      </c>
      <c r="AB247" s="24"/>
      <c r="AC247" s="24"/>
    </row>
    <row r="248" ht="14.25" customHeight="1">
      <c r="A248" s="46" t="s">
        <v>635</v>
      </c>
      <c r="B248" s="20" t="s">
        <v>636</v>
      </c>
      <c r="C248" s="20" t="s">
        <v>7041</v>
      </c>
      <c r="D248" s="24">
        <v>45658.0</v>
      </c>
      <c r="E248" s="24">
        <v>46022.0</v>
      </c>
      <c r="F248" s="20">
        <v>0.0</v>
      </c>
      <c r="G248" s="20">
        <v>1.0</v>
      </c>
      <c r="H248" s="24">
        <v>46023.0</v>
      </c>
      <c r="I248" s="24">
        <v>46387.0</v>
      </c>
      <c r="J248" s="20">
        <v>0.0</v>
      </c>
      <c r="K248" s="20">
        <v>1.0</v>
      </c>
      <c r="L248" s="24">
        <v>46388.0</v>
      </c>
      <c r="M248" s="24">
        <v>46752.0</v>
      </c>
      <c r="N248" s="20">
        <v>0.0</v>
      </c>
      <c r="O248" s="20">
        <v>1.0</v>
      </c>
      <c r="P248" s="24">
        <v>46753.0</v>
      </c>
      <c r="Q248" s="24">
        <v>47118.0</v>
      </c>
      <c r="R248" s="20">
        <v>0.0</v>
      </c>
      <c r="S248" s="20">
        <v>1.0</v>
      </c>
      <c r="T248" s="24">
        <v>47119.0</v>
      </c>
      <c r="U248" s="24">
        <v>47483.0</v>
      </c>
      <c r="V248" s="20">
        <v>0.0</v>
      </c>
      <c r="W248" s="20">
        <v>1.0</v>
      </c>
      <c r="X248" s="24">
        <v>47484.0</v>
      </c>
      <c r="Y248" s="24">
        <v>47848.0</v>
      </c>
      <c r="Z248" s="20">
        <v>0.0</v>
      </c>
      <c r="AA248" s="20">
        <v>1.0</v>
      </c>
      <c r="AB248" s="24"/>
      <c r="AC248" s="24"/>
    </row>
    <row r="249" ht="14.25" customHeight="1">
      <c r="A249" s="46" t="s">
        <v>641</v>
      </c>
      <c r="B249" s="20" t="s">
        <v>642</v>
      </c>
      <c r="C249" s="20" t="s">
        <v>7041</v>
      </c>
      <c r="D249" s="24">
        <v>45658.0</v>
      </c>
      <c r="E249" s="24">
        <v>46022.0</v>
      </c>
      <c r="F249" s="20">
        <v>1.0</v>
      </c>
      <c r="G249" s="20">
        <v>1.0</v>
      </c>
      <c r="H249" s="24">
        <v>46023.0</v>
      </c>
      <c r="I249" s="24">
        <v>46387.0</v>
      </c>
      <c r="J249" s="20">
        <v>0.0</v>
      </c>
      <c r="K249" s="20">
        <v>1.0</v>
      </c>
      <c r="L249" s="24">
        <v>46388.0</v>
      </c>
      <c r="M249" s="24">
        <v>46752.0</v>
      </c>
      <c r="N249" s="20">
        <v>0.0</v>
      </c>
      <c r="O249" s="20">
        <v>1.0</v>
      </c>
      <c r="P249" s="24">
        <v>46753.0</v>
      </c>
      <c r="Q249" s="24">
        <v>47118.0</v>
      </c>
      <c r="R249" s="20">
        <v>0.0</v>
      </c>
      <c r="S249" s="20">
        <v>1.0</v>
      </c>
      <c r="T249" s="24">
        <v>47119.0</v>
      </c>
      <c r="U249" s="24">
        <v>47483.0</v>
      </c>
      <c r="V249" s="20">
        <v>0.0</v>
      </c>
      <c r="W249" s="20">
        <v>1.0</v>
      </c>
      <c r="X249" s="24">
        <v>47484.0</v>
      </c>
      <c r="Y249" s="24">
        <v>47848.0</v>
      </c>
      <c r="Z249" s="20">
        <v>0.0</v>
      </c>
      <c r="AA249" s="20">
        <v>1.0</v>
      </c>
      <c r="AB249" s="24"/>
      <c r="AC249" s="24"/>
    </row>
    <row r="250" ht="14.25" customHeight="1">
      <c r="A250" s="46" t="s">
        <v>649</v>
      </c>
      <c r="B250" s="20" t="s">
        <v>650</v>
      </c>
      <c r="C250" s="20" t="s">
        <v>7041</v>
      </c>
      <c r="D250" s="24">
        <v>45658.0</v>
      </c>
      <c r="E250" s="24">
        <v>46022.0</v>
      </c>
      <c r="F250" s="20">
        <v>1.0</v>
      </c>
      <c r="G250" s="20">
        <v>1.0</v>
      </c>
      <c r="H250" s="24">
        <v>46023.0</v>
      </c>
      <c r="I250" s="24">
        <v>46387.0</v>
      </c>
      <c r="J250" s="20">
        <v>0.0</v>
      </c>
      <c r="K250" s="20">
        <v>1.0</v>
      </c>
      <c r="L250" s="24">
        <v>46388.0</v>
      </c>
      <c r="M250" s="24">
        <v>46752.0</v>
      </c>
      <c r="N250" s="20">
        <v>0.0</v>
      </c>
      <c r="O250" s="20">
        <v>1.0</v>
      </c>
      <c r="P250" s="24">
        <v>46753.0</v>
      </c>
      <c r="Q250" s="24">
        <v>47118.0</v>
      </c>
      <c r="R250" s="20">
        <v>0.0</v>
      </c>
      <c r="S250" s="20">
        <v>1.0</v>
      </c>
      <c r="T250" s="24">
        <v>47119.0</v>
      </c>
      <c r="U250" s="24">
        <v>47483.0</v>
      </c>
      <c r="V250" s="20">
        <v>0.0</v>
      </c>
      <c r="W250" s="20">
        <v>1.0</v>
      </c>
      <c r="X250" s="24">
        <v>47484.0</v>
      </c>
      <c r="Y250" s="24">
        <v>47848.0</v>
      </c>
      <c r="Z250" s="20">
        <v>0.0</v>
      </c>
      <c r="AA250" s="20">
        <v>1.0</v>
      </c>
      <c r="AB250" s="24"/>
      <c r="AC250" s="24"/>
    </row>
    <row r="251" ht="14.25" customHeight="1">
      <c r="A251" s="46" t="s">
        <v>767</v>
      </c>
      <c r="B251" s="20" t="s">
        <v>768</v>
      </c>
      <c r="C251" s="20" t="s">
        <v>7041</v>
      </c>
      <c r="D251" s="24">
        <v>45658.0</v>
      </c>
      <c r="E251" s="24">
        <v>46022.0</v>
      </c>
      <c r="F251" s="20">
        <v>1.0</v>
      </c>
      <c r="G251" s="20">
        <v>1.0</v>
      </c>
      <c r="H251" s="24">
        <v>46023.0</v>
      </c>
      <c r="I251" s="24">
        <v>46387.0</v>
      </c>
      <c r="J251" s="20">
        <v>0.0</v>
      </c>
      <c r="K251" s="20">
        <v>1.0</v>
      </c>
      <c r="L251" s="24">
        <v>46388.0</v>
      </c>
      <c r="M251" s="24">
        <v>46752.0</v>
      </c>
      <c r="N251" s="20">
        <v>0.0</v>
      </c>
      <c r="O251" s="20">
        <v>1.0</v>
      </c>
      <c r="P251" s="24">
        <v>46753.0</v>
      </c>
      <c r="Q251" s="24">
        <v>47118.0</v>
      </c>
      <c r="R251" s="20">
        <v>0.0</v>
      </c>
      <c r="S251" s="20">
        <v>1.0</v>
      </c>
      <c r="T251" s="24">
        <v>47119.0</v>
      </c>
      <c r="U251" s="24">
        <v>47483.0</v>
      </c>
      <c r="V251" s="20">
        <v>0.0</v>
      </c>
      <c r="W251" s="20">
        <v>1.0</v>
      </c>
      <c r="X251" s="24">
        <v>47484.0</v>
      </c>
      <c r="Y251" s="24">
        <v>47848.0</v>
      </c>
      <c r="Z251" s="20">
        <v>0.0</v>
      </c>
      <c r="AA251" s="20">
        <v>1.0</v>
      </c>
      <c r="AB251" s="24"/>
      <c r="AC251" s="24"/>
    </row>
    <row r="252" ht="14.25" customHeight="1">
      <c r="A252" s="46" t="s">
        <v>791</v>
      </c>
      <c r="B252" s="20" t="s">
        <v>792</v>
      </c>
      <c r="C252" s="20" t="s">
        <v>7041</v>
      </c>
      <c r="D252" s="24">
        <v>45658.0</v>
      </c>
      <c r="E252" s="24">
        <v>46022.0</v>
      </c>
      <c r="F252" s="20">
        <v>0.0</v>
      </c>
      <c r="G252" s="20">
        <v>1.0</v>
      </c>
      <c r="H252" s="24">
        <v>46023.0</v>
      </c>
      <c r="I252" s="24">
        <v>46387.0</v>
      </c>
      <c r="J252" s="20">
        <v>0.0</v>
      </c>
      <c r="K252" s="20">
        <v>1.0</v>
      </c>
      <c r="L252" s="24">
        <v>46388.0</v>
      </c>
      <c r="M252" s="24">
        <v>46752.0</v>
      </c>
      <c r="N252" s="20">
        <v>0.0</v>
      </c>
      <c r="O252" s="20">
        <v>1.0</v>
      </c>
      <c r="P252" s="24">
        <v>46753.0</v>
      </c>
      <c r="Q252" s="24">
        <v>47118.0</v>
      </c>
      <c r="R252" s="20">
        <v>0.0</v>
      </c>
      <c r="S252" s="20">
        <v>1.0</v>
      </c>
      <c r="T252" s="24">
        <v>47119.0</v>
      </c>
      <c r="U252" s="24">
        <v>47483.0</v>
      </c>
      <c r="V252" s="20">
        <v>0.0</v>
      </c>
      <c r="W252" s="20">
        <v>1.0</v>
      </c>
      <c r="X252" s="24">
        <v>47484.0</v>
      </c>
      <c r="Y252" s="24">
        <v>47848.0</v>
      </c>
      <c r="Z252" s="20">
        <v>0.0</v>
      </c>
      <c r="AA252" s="20">
        <v>1.0</v>
      </c>
      <c r="AB252" s="24"/>
      <c r="AC252" s="24"/>
    </row>
    <row r="253" ht="14.25" customHeight="1">
      <c r="A253" s="46" t="s">
        <v>857</v>
      </c>
      <c r="B253" s="20" t="s">
        <v>858</v>
      </c>
      <c r="C253" s="20" t="s">
        <v>7041</v>
      </c>
      <c r="D253" s="24">
        <v>45658.0</v>
      </c>
      <c r="E253" s="24">
        <v>46022.0</v>
      </c>
      <c r="F253" s="20">
        <v>1.0</v>
      </c>
      <c r="G253" s="20">
        <v>1.0</v>
      </c>
      <c r="H253" s="24">
        <v>46023.0</v>
      </c>
      <c r="I253" s="24">
        <v>46387.0</v>
      </c>
      <c r="J253" s="20">
        <v>0.0</v>
      </c>
      <c r="K253" s="20">
        <v>1.0</v>
      </c>
      <c r="L253" s="24">
        <v>46388.0</v>
      </c>
      <c r="M253" s="24">
        <v>46752.0</v>
      </c>
      <c r="N253" s="20">
        <v>0.0</v>
      </c>
      <c r="O253" s="20">
        <v>1.0</v>
      </c>
      <c r="P253" s="24">
        <v>46753.0</v>
      </c>
      <c r="Q253" s="24">
        <v>47118.0</v>
      </c>
      <c r="R253" s="20">
        <v>0.0</v>
      </c>
      <c r="S253" s="20">
        <v>1.0</v>
      </c>
      <c r="T253" s="24">
        <v>47119.0</v>
      </c>
      <c r="U253" s="24">
        <v>47483.0</v>
      </c>
      <c r="V253" s="20">
        <v>0.0</v>
      </c>
      <c r="W253" s="20">
        <v>1.0</v>
      </c>
      <c r="X253" s="24">
        <v>47484.0</v>
      </c>
      <c r="Y253" s="24">
        <v>47848.0</v>
      </c>
      <c r="Z253" s="20">
        <v>0.0</v>
      </c>
      <c r="AA253" s="20">
        <v>1.0</v>
      </c>
      <c r="AB253" s="24"/>
      <c r="AC253" s="24"/>
    </row>
    <row r="254" ht="14.25" customHeight="1">
      <c r="A254" s="46" t="s">
        <v>936</v>
      </c>
      <c r="B254" s="20" t="s">
        <v>937</v>
      </c>
      <c r="C254" s="20" t="s">
        <v>7041</v>
      </c>
      <c r="D254" s="24">
        <v>45658.0</v>
      </c>
      <c r="E254" s="24">
        <v>46022.0</v>
      </c>
      <c r="F254" s="20">
        <v>1.0</v>
      </c>
      <c r="G254" s="20">
        <v>1.0</v>
      </c>
      <c r="H254" s="24">
        <v>46023.0</v>
      </c>
      <c r="I254" s="24">
        <v>46387.0</v>
      </c>
      <c r="J254" s="20">
        <v>0.0</v>
      </c>
      <c r="K254" s="20">
        <v>1.0</v>
      </c>
      <c r="L254" s="24">
        <v>46388.0</v>
      </c>
      <c r="M254" s="24">
        <v>46752.0</v>
      </c>
      <c r="N254" s="20">
        <v>0.0</v>
      </c>
      <c r="O254" s="20">
        <v>1.0</v>
      </c>
      <c r="P254" s="24">
        <v>46753.0</v>
      </c>
      <c r="Q254" s="24">
        <v>47118.0</v>
      </c>
      <c r="R254" s="20">
        <v>0.0</v>
      </c>
      <c r="S254" s="20">
        <v>1.0</v>
      </c>
      <c r="T254" s="24">
        <v>47119.0</v>
      </c>
      <c r="U254" s="24">
        <v>47483.0</v>
      </c>
      <c r="V254" s="20">
        <v>0.0</v>
      </c>
      <c r="W254" s="20">
        <v>1.0</v>
      </c>
      <c r="X254" s="24">
        <v>47484.0</v>
      </c>
      <c r="Y254" s="24">
        <v>47848.0</v>
      </c>
      <c r="Z254" s="20">
        <v>0.0</v>
      </c>
      <c r="AA254" s="20">
        <v>1.0</v>
      </c>
      <c r="AB254" s="24"/>
      <c r="AC254" s="24"/>
    </row>
    <row r="255" ht="14.25" customHeight="1">
      <c r="A255" s="46" t="s">
        <v>988</v>
      </c>
      <c r="B255" s="20" t="s">
        <v>989</v>
      </c>
      <c r="C255" s="20" t="s">
        <v>7041</v>
      </c>
      <c r="D255" s="24">
        <v>45658.0</v>
      </c>
      <c r="E255" s="24">
        <v>46022.0</v>
      </c>
      <c r="F255" s="20">
        <v>0.0</v>
      </c>
      <c r="G255" s="20">
        <v>1.0</v>
      </c>
      <c r="H255" s="24">
        <v>46023.0</v>
      </c>
      <c r="I255" s="24">
        <v>46387.0</v>
      </c>
      <c r="J255" s="20">
        <v>0.0</v>
      </c>
      <c r="K255" s="20">
        <v>1.0</v>
      </c>
      <c r="L255" s="24">
        <v>46388.0</v>
      </c>
      <c r="M255" s="24">
        <v>46752.0</v>
      </c>
      <c r="N255" s="20">
        <v>0.0</v>
      </c>
      <c r="O255" s="20">
        <v>1.0</v>
      </c>
      <c r="P255" s="24">
        <v>46753.0</v>
      </c>
      <c r="Q255" s="24">
        <v>47118.0</v>
      </c>
      <c r="R255" s="20">
        <v>0.0</v>
      </c>
      <c r="S255" s="20">
        <v>1.0</v>
      </c>
      <c r="T255" s="24">
        <v>47119.0</v>
      </c>
      <c r="U255" s="24">
        <v>47483.0</v>
      </c>
      <c r="V255" s="20">
        <v>0.0</v>
      </c>
      <c r="W255" s="20">
        <v>1.0</v>
      </c>
      <c r="X255" s="24">
        <v>47484.0</v>
      </c>
      <c r="Y255" s="24">
        <v>47848.0</v>
      </c>
      <c r="Z255" s="20">
        <v>0.0</v>
      </c>
      <c r="AA255" s="20">
        <v>1.0</v>
      </c>
      <c r="AB255" s="24"/>
      <c r="AC255" s="24"/>
    </row>
    <row r="256" ht="14.25" customHeight="1">
      <c r="A256" s="46" t="s">
        <v>1031</v>
      </c>
      <c r="B256" s="20" t="s">
        <v>1032</v>
      </c>
      <c r="C256" s="20" t="s">
        <v>7041</v>
      </c>
      <c r="D256" s="24">
        <v>45658.0</v>
      </c>
      <c r="E256" s="24">
        <v>46022.0</v>
      </c>
      <c r="F256" s="20">
        <v>1.0</v>
      </c>
      <c r="G256" s="20">
        <v>1.0</v>
      </c>
      <c r="H256" s="24">
        <v>46023.0</v>
      </c>
      <c r="I256" s="24">
        <v>46387.0</v>
      </c>
      <c r="J256" s="20">
        <v>0.0</v>
      </c>
      <c r="K256" s="20">
        <v>1.0</v>
      </c>
      <c r="L256" s="24">
        <v>46388.0</v>
      </c>
      <c r="M256" s="24">
        <v>46752.0</v>
      </c>
      <c r="N256" s="20">
        <v>0.0</v>
      </c>
      <c r="O256" s="20">
        <v>1.0</v>
      </c>
      <c r="P256" s="24">
        <v>46753.0</v>
      </c>
      <c r="Q256" s="24">
        <v>47118.0</v>
      </c>
      <c r="R256" s="20">
        <v>0.0</v>
      </c>
      <c r="S256" s="20">
        <v>1.0</v>
      </c>
      <c r="T256" s="24">
        <v>47119.0</v>
      </c>
      <c r="U256" s="24">
        <v>47483.0</v>
      </c>
      <c r="V256" s="20">
        <v>0.0</v>
      </c>
      <c r="W256" s="20">
        <v>1.0</v>
      </c>
      <c r="X256" s="24">
        <v>47484.0</v>
      </c>
      <c r="Y256" s="24">
        <v>47848.0</v>
      </c>
      <c r="Z256" s="20">
        <v>0.0</v>
      </c>
      <c r="AA256" s="20">
        <v>1.0</v>
      </c>
      <c r="AB256" s="24"/>
      <c r="AC256" s="24"/>
    </row>
    <row r="257" ht="14.25" customHeight="1">
      <c r="A257" s="46" t="s">
        <v>1094</v>
      </c>
      <c r="B257" s="20" t="s">
        <v>1095</v>
      </c>
      <c r="C257" s="20" t="s">
        <v>7041</v>
      </c>
      <c r="D257" s="24">
        <v>45658.0</v>
      </c>
      <c r="E257" s="24">
        <v>46022.0</v>
      </c>
      <c r="F257" s="20">
        <v>1.0</v>
      </c>
      <c r="G257" s="20">
        <v>1.0</v>
      </c>
      <c r="H257" s="24">
        <v>46023.0</v>
      </c>
      <c r="I257" s="24">
        <v>46387.0</v>
      </c>
      <c r="J257" s="20">
        <v>0.0</v>
      </c>
      <c r="K257" s="20">
        <v>1.0</v>
      </c>
      <c r="L257" s="24">
        <v>46388.0</v>
      </c>
      <c r="M257" s="24">
        <v>46752.0</v>
      </c>
      <c r="N257" s="20">
        <v>0.0</v>
      </c>
      <c r="O257" s="20">
        <v>1.0</v>
      </c>
      <c r="P257" s="24">
        <v>46753.0</v>
      </c>
      <c r="Q257" s="24">
        <v>47118.0</v>
      </c>
      <c r="R257" s="20">
        <v>0.0</v>
      </c>
      <c r="S257" s="20">
        <v>1.0</v>
      </c>
      <c r="T257" s="24">
        <v>47119.0</v>
      </c>
      <c r="U257" s="24">
        <v>47483.0</v>
      </c>
      <c r="V257" s="20">
        <v>0.0</v>
      </c>
      <c r="W257" s="20">
        <v>1.0</v>
      </c>
      <c r="X257" s="24">
        <v>47484.0</v>
      </c>
      <c r="Y257" s="24">
        <v>47848.0</v>
      </c>
      <c r="Z257" s="20">
        <v>0.0</v>
      </c>
      <c r="AA257" s="20">
        <v>1.0</v>
      </c>
      <c r="AB257" s="24"/>
      <c r="AC257" s="24"/>
    </row>
    <row r="258" ht="14.25" customHeight="1">
      <c r="A258" s="46" t="s">
        <v>1253</v>
      </c>
      <c r="B258" s="20" t="s">
        <v>1254</v>
      </c>
      <c r="C258" s="20" t="s">
        <v>7041</v>
      </c>
      <c r="D258" s="24">
        <v>45658.0</v>
      </c>
      <c r="E258" s="24">
        <v>46022.0</v>
      </c>
      <c r="F258" s="20">
        <v>1.0</v>
      </c>
      <c r="G258" s="20">
        <v>1.0</v>
      </c>
      <c r="H258" s="24">
        <v>46023.0</v>
      </c>
      <c r="I258" s="24">
        <v>46387.0</v>
      </c>
      <c r="J258" s="20">
        <v>0.0</v>
      </c>
      <c r="K258" s="20">
        <v>1.0</v>
      </c>
      <c r="L258" s="24">
        <v>46388.0</v>
      </c>
      <c r="M258" s="24">
        <v>46752.0</v>
      </c>
      <c r="N258" s="20">
        <v>0.0</v>
      </c>
      <c r="O258" s="20">
        <v>1.0</v>
      </c>
      <c r="P258" s="24">
        <v>46753.0</v>
      </c>
      <c r="Q258" s="24">
        <v>47118.0</v>
      </c>
      <c r="R258" s="20">
        <v>0.0</v>
      </c>
      <c r="S258" s="20">
        <v>1.0</v>
      </c>
      <c r="T258" s="24">
        <v>47119.0</v>
      </c>
      <c r="U258" s="24">
        <v>47483.0</v>
      </c>
      <c r="V258" s="20">
        <v>0.0</v>
      </c>
      <c r="W258" s="20">
        <v>1.0</v>
      </c>
      <c r="X258" s="24">
        <v>47484.0</v>
      </c>
      <c r="Y258" s="24">
        <v>47848.0</v>
      </c>
      <c r="Z258" s="20">
        <v>0.0</v>
      </c>
      <c r="AA258" s="20">
        <v>1.0</v>
      </c>
      <c r="AB258" s="24"/>
      <c r="AC258" s="24"/>
    </row>
    <row r="259" ht="14.25" customHeight="1">
      <c r="A259" s="46" t="s">
        <v>1312</v>
      </c>
      <c r="B259" s="20" t="s">
        <v>1313</v>
      </c>
      <c r="C259" s="20" t="s">
        <v>7041</v>
      </c>
      <c r="D259" s="24">
        <v>45658.0</v>
      </c>
      <c r="E259" s="24">
        <v>46022.0</v>
      </c>
      <c r="F259" s="20">
        <v>0.0</v>
      </c>
      <c r="G259" s="20">
        <v>1.0</v>
      </c>
      <c r="H259" s="24">
        <v>46023.0</v>
      </c>
      <c r="I259" s="24">
        <v>46387.0</v>
      </c>
      <c r="J259" s="20">
        <v>0.0</v>
      </c>
      <c r="K259" s="20">
        <v>1.0</v>
      </c>
      <c r="L259" s="24">
        <v>46388.0</v>
      </c>
      <c r="M259" s="24">
        <v>46752.0</v>
      </c>
      <c r="N259" s="20">
        <v>0.0</v>
      </c>
      <c r="O259" s="20">
        <v>1.0</v>
      </c>
      <c r="P259" s="24">
        <v>46753.0</v>
      </c>
      <c r="Q259" s="24">
        <v>47118.0</v>
      </c>
      <c r="R259" s="20">
        <v>0.0</v>
      </c>
      <c r="S259" s="20">
        <v>1.0</v>
      </c>
      <c r="T259" s="24">
        <v>47119.0</v>
      </c>
      <c r="U259" s="24">
        <v>47483.0</v>
      </c>
      <c r="V259" s="20">
        <v>0.0</v>
      </c>
      <c r="W259" s="20">
        <v>1.0</v>
      </c>
      <c r="X259" s="24">
        <v>47484.0</v>
      </c>
      <c r="Y259" s="24">
        <v>47848.0</v>
      </c>
      <c r="Z259" s="20">
        <v>0.0</v>
      </c>
      <c r="AA259" s="20">
        <v>1.0</v>
      </c>
      <c r="AB259" s="24"/>
      <c r="AC259" s="24"/>
    </row>
    <row r="260" ht="14.25" customHeight="1">
      <c r="A260" s="46" t="s">
        <v>1353</v>
      </c>
      <c r="B260" s="20" t="s">
        <v>1354</v>
      </c>
      <c r="C260" s="20" t="s">
        <v>7041</v>
      </c>
      <c r="D260" s="24">
        <v>45658.0</v>
      </c>
      <c r="E260" s="24">
        <v>46022.0</v>
      </c>
      <c r="F260" s="20">
        <v>1.0</v>
      </c>
      <c r="G260" s="20">
        <v>1.0</v>
      </c>
      <c r="H260" s="24">
        <v>46023.0</v>
      </c>
      <c r="I260" s="24">
        <v>46387.0</v>
      </c>
      <c r="J260" s="20">
        <v>0.0</v>
      </c>
      <c r="K260" s="20">
        <v>1.0</v>
      </c>
      <c r="L260" s="24">
        <v>46388.0</v>
      </c>
      <c r="M260" s="24">
        <v>46752.0</v>
      </c>
      <c r="N260" s="20">
        <v>0.0</v>
      </c>
      <c r="O260" s="20">
        <v>1.0</v>
      </c>
      <c r="P260" s="24">
        <v>46753.0</v>
      </c>
      <c r="Q260" s="24">
        <v>47118.0</v>
      </c>
      <c r="R260" s="20">
        <v>0.0</v>
      </c>
      <c r="S260" s="20">
        <v>1.0</v>
      </c>
      <c r="T260" s="24">
        <v>47119.0</v>
      </c>
      <c r="U260" s="24">
        <v>47483.0</v>
      </c>
      <c r="V260" s="20">
        <v>0.0</v>
      </c>
      <c r="W260" s="20">
        <v>1.0</v>
      </c>
      <c r="X260" s="24">
        <v>47484.0</v>
      </c>
      <c r="Y260" s="24">
        <v>47848.0</v>
      </c>
      <c r="Z260" s="20">
        <v>0.0</v>
      </c>
      <c r="AA260" s="20">
        <v>1.0</v>
      </c>
      <c r="AB260" s="24"/>
      <c r="AC260" s="24"/>
    </row>
    <row r="261" ht="14.25" customHeight="1">
      <c r="A261" s="46" t="s">
        <v>1414</v>
      </c>
      <c r="B261" s="20" t="s">
        <v>1415</v>
      </c>
      <c r="C261" s="20" t="s">
        <v>7041</v>
      </c>
      <c r="D261" s="24">
        <v>45658.0</v>
      </c>
      <c r="E261" s="24">
        <v>46022.0</v>
      </c>
      <c r="F261" s="20">
        <v>1.0</v>
      </c>
      <c r="G261" s="20">
        <v>1.0</v>
      </c>
      <c r="H261" s="24">
        <v>46023.0</v>
      </c>
      <c r="I261" s="24">
        <v>46387.0</v>
      </c>
      <c r="J261" s="20">
        <v>0.0</v>
      </c>
      <c r="K261" s="20">
        <v>1.0</v>
      </c>
      <c r="L261" s="24">
        <v>46388.0</v>
      </c>
      <c r="M261" s="24">
        <v>46752.0</v>
      </c>
      <c r="N261" s="20">
        <v>0.0</v>
      </c>
      <c r="O261" s="20">
        <v>1.0</v>
      </c>
      <c r="P261" s="24">
        <v>46753.0</v>
      </c>
      <c r="Q261" s="24">
        <v>47118.0</v>
      </c>
      <c r="R261" s="20">
        <v>0.0</v>
      </c>
      <c r="S261" s="20">
        <v>1.0</v>
      </c>
      <c r="T261" s="24">
        <v>47119.0</v>
      </c>
      <c r="U261" s="24">
        <v>47483.0</v>
      </c>
      <c r="V261" s="20">
        <v>0.0</v>
      </c>
      <c r="W261" s="20">
        <v>1.0</v>
      </c>
      <c r="X261" s="24">
        <v>47484.0</v>
      </c>
      <c r="Y261" s="24">
        <v>47848.0</v>
      </c>
      <c r="Z261" s="20">
        <v>0.0</v>
      </c>
      <c r="AA261" s="20">
        <v>1.0</v>
      </c>
      <c r="AB261" s="24"/>
      <c r="AC261" s="24"/>
    </row>
    <row r="262" ht="14.25" customHeight="1">
      <c r="A262" s="46" t="s">
        <v>1418</v>
      </c>
      <c r="B262" s="20" t="s">
        <v>1419</v>
      </c>
      <c r="C262" s="20" t="s">
        <v>7041</v>
      </c>
      <c r="D262" s="24">
        <v>45658.0</v>
      </c>
      <c r="E262" s="24">
        <v>46022.0</v>
      </c>
      <c r="F262" s="20">
        <v>1.0</v>
      </c>
      <c r="G262" s="20">
        <v>1.0</v>
      </c>
      <c r="H262" s="24">
        <v>46023.0</v>
      </c>
      <c r="I262" s="24">
        <v>46387.0</v>
      </c>
      <c r="J262" s="20">
        <v>0.0</v>
      </c>
      <c r="K262" s="20">
        <v>1.0</v>
      </c>
      <c r="L262" s="24">
        <v>46388.0</v>
      </c>
      <c r="M262" s="24">
        <v>46752.0</v>
      </c>
      <c r="N262" s="20">
        <v>0.0</v>
      </c>
      <c r="O262" s="20">
        <v>1.0</v>
      </c>
      <c r="P262" s="24">
        <v>46753.0</v>
      </c>
      <c r="Q262" s="24">
        <v>47118.0</v>
      </c>
      <c r="R262" s="20">
        <v>0.0</v>
      </c>
      <c r="S262" s="20">
        <v>1.0</v>
      </c>
      <c r="T262" s="24">
        <v>47119.0</v>
      </c>
      <c r="U262" s="24">
        <v>47483.0</v>
      </c>
      <c r="V262" s="20">
        <v>0.0</v>
      </c>
      <c r="W262" s="20">
        <v>1.0</v>
      </c>
      <c r="X262" s="24">
        <v>47484.0</v>
      </c>
      <c r="Y262" s="24">
        <v>47848.0</v>
      </c>
      <c r="Z262" s="20">
        <v>0.0</v>
      </c>
      <c r="AA262" s="20">
        <v>1.0</v>
      </c>
      <c r="AB262" s="24"/>
      <c r="AC262" s="24"/>
    </row>
    <row r="263" ht="14.25" customHeight="1">
      <c r="A263" s="46" t="s">
        <v>1422</v>
      </c>
      <c r="B263" s="20" t="s">
        <v>1423</v>
      </c>
      <c r="C263" s="20" t="s">
        <v>7041</v>
      </c>
      <c r="D263" s="24">
        <v>45658.0</v>
      </c>
      <c r="E263" s="24">
        <v>46022.0</v>
      </c>
      <c r="F263" s="20">
        <v>0.0</v>
      </c>
      <c r="G263" s="20">
        <v>1.0</v>
      </c>
      <c r="H263" s="24">
        <v>46023.0</v>
      </c>
      <c r="I263" s="24">
        <v>46387.0</v>
      </c>
      <c r="J263" s="20">
        <v>0.0</v>
      </c>
      <c r="K263" s="20">
        <v>1.0</v>
      </c>
      <c r="L263" s="24">
        <v>46388.0</v>
      </c>
      <c r="M263" s="24">
        <v>46752.0</v>
      </c>
      <c r="N263" s="20">
        <v>0.0</v>
      </c>
      <c r="O263" s="20">
        <v>1.0</v>
      </c>
      <c r="P263" s="24">
        <v>46753.0</v>
      </c>
      <c r="Q263" s="24">
        <v>47118.0</v>
      </c>
      <c r="R263" s="20">
        <v>0.0</v>
      </c>
      <c r="S263" s="20">
        <v>1.0</v>
      </c>
      <c r="T263" s="24">
        <v>47119.0</v>
      </c>
      <c r="U263" s="24">
        <v>47483.0</v>
      </c>
      <c r="V263" s="20">
        <v>0.0</v>
      </c>
      <c r="W263" s="20">
        <v>1.0</v>
      </c>
      <c r="X263" s="24">
        <v>47484.0</v>
      </c>
      <c r="Y263" s="24">
        <v>47848.0</v>
      </c>
      <c r="Z263" s="20">
        <v>0.0</v>
      </c>
      <c r="AA263" s="20">
        <v>1.0</v>
      </c>
      <c r="AB263" s="24"/>
      <c r="AC263" s="24"/>
    </row>
    <row r="264" ht="14.25" customHeight="1">
      <c r="A264" s="46" t="s">
        <v>1425</v>
      </c>
      <c r="B264" s="20" t="s">
        <v>1426</v>
      </c>
      <c r="C264" s="20" t="s">
        <v>7041</v>
      </c>
      <c r="D264" s="24">
        <v>45658.0</v>
      </c>
      <c r="E264" s="24">
        <v>46022.0</v>
      </c>
      <c r="F264" s="20">
        <v>0.0</v>
      </c>
      <c r="G264" s="20">
        <v>1.0</v>
      </c>
      <c r="H264" s="24">
        <v>46023.0</v>
      </c>
      <c r="I264" s="24">
        <v>46387.0</v>
      </c>
      <c r="J264" s="20">
        <v>0.0</v>
      </c>
      <c r="K264" s="20">
        <v>1.0</v>
      </c>
      <c r="L264" s="24">
        <v>46388.0</v>
      </c>
      <c r="M264" s="24">
        <v>46752.0</v>
      </c>
      <c r="N264" s="20">
        <v>0.0</v>
      </c>
      <c r="O264" s="20">
        <v>1.0</v>
      </c>
      <c r="P264" s="24">
        <v>46753.0</v>
      </c>
      <c r="Q264" s="24">
        <v>47118.0</v>
      </c>
      <c r="R264" s="20">
        <v>0.0</v>
      </c>
      <c r="S264" s="20">
        <v>1.0</v>
      </c>
      <c r="T264" s="24">
        <v>47119.0</v>
      </c>
      <c r="U264" s="24">
        <v>47483.0</v>
      </c>
      <c r="V264" s="20">
        <v>0.0</v>
      </c>
      <c r="W264" s="20">
        <v>1.0</v>
      </c>
      <c r="X264" s="24">
        <v>47484.0</v>
      </c>
      <c r="Y264" s="24">
        <v>47848.0</v>
      </c>
      <c r="Z264" s="20">
        <v>0.0</v>
      </c>
      <c r="AA264" s="20">
        <v>1.0</v>
      </c>
      <c r="AB264" s="24"/>
      <c r="AC264" s="24"/>
    </row>
    <row r="265" ht="14.25" customHeight="1">
      <c r="A265" s="46" t="s">
        <v>1428</v>
      </c>
      <c r="B265" s="20" t="s">
        <v>1429</v>
      </c>
      <c r="C265" s="20" t="s">
        <v>7041</v>
      </c>
      <c r="D265" s="24">
        <v>45658.0</v>
      </c>
      <c r="E265" s="24">
        <v>46022.0</v>
      </c>
      <c r="F265" s="20">
        <v>0.0</v>
      </c>
      <c r="G265" s="20">
        <v>1.0</v>
      </c>
      <c r="H265" s="24">
        <v>46023.0</v>
      </c>
      <c r="I265" s="24">
        <v>46387.0</v>
      </c>
      <c r="J265" s="20">
        <v>0.0</v>
      </c>
      <c r="K265" s="20">
        <v>1.0</v>
      </c>
      <c r="L265" s="24">
        <v>46388.0</v>
      </c>
      <c r="M265" s="24">
        <v>46752.0</v>
      </c>
      <c r="N265" s="20">
        <v>0.0</v>
      </c>
      <c r="O265" s="20">
        <v>1.0</v>
      </c>
      <c r="P265" s="24">
        <v>46753.0</v>
      </c>
      <c r="Q265" s="24">
        <v>47118.0</v>
      </c>
      <c r="R265" s="20">
        <v>0.0</v>
      </c>
      <c r="S265" s="20">
        <v>1.0</v>
      </c>
      <c r="T265" s="24">
        <v>47119.0</v>
      </c>
      <c r="U265" s="24">
        <v>47483.0</v>
      </c>
      <c r="V265" s="20">
        <v>0.0</v>
      </c>
      <c r="W265" s="20">
        <v>1.0</v>
      </c>
      <c r="X265" s="24">
        <v>47484.0</v>
      </c>
      <c r="Y265" s="24">
        <v>47848.0</v>
      </c>
      <c r="Z265" s="20">
        <v>0.0</v>
      </c>
      <c r="AA265" s="20">
        <v>1.0</v>
      </c>
      <c r="AB265" s="24"/>
      <c r="AC265" s="24"/>
    </row>
    <row r="266" ht="14.25" customHeight="1">
      <c r="A266" s="46" t="s">
        <v>1480</v>
      </c>
      <c r="B266" s="20" t="s">
        <v>1481</v>
      </c>
      <c r="C266" s="20" t="s">
        <v>7041</v>
      </c>
      <c r="D266" s="24">
        <v>45658.0</v>
      </c>
      <c r="E266" s="24">
        <v>46022.0</v>
      </c>
      <c r="F266" s="20">
        <v>1.0</v>
      </c>
      <c r="G266" s="20">
        <v>1.0</v>
      </c>
      <c r="H266" s="24">
        <v>46023.0</v>
      </c>
      <c r="I266" s="24">
        <v>46387.0</v>
      </c>
      <c r="J266" s="20">
        <v>0.0</v>
      </c>
      <c r="K266" s="20">
        <v>1.0</v>
      </c>
      <c r="L266" s="24">
        <v>46388.0</v>
      </c>
      <c r="M266" s="24">
        <v>46752.0</v>
      </c>
      <c r="N266" s="20">
        <v>0.0</v>
      </c>
      <c r="O266" s="20">
        <v>1.0</v>
      </c>
      <c r="P266" s="24">
        <v>46753.0</v>
      </c>
      <c r="Q266" s="24">
        <v>47118.0</v>
      </c>
      <c r="R266" s="20">
        <v>0.0</v>
      </c>
      <c r="S266" s="20">
        <v>1.0</v>
      </c>
      <c r="T266" s="24">
        <v>47119.0</v>
      </c>
      <c r="U266" s="24">
        <v>47483.0</v>
      </c>
      <c r="V266" s="20">
        <v>0.0</v>
      </c>
      <c r="W266" s="20">
        <v>1.0</v>
      </c>
      <c r="X266" s="24">
        <v>47484.0</v>
      </c>
      <c r="Y266" s="24">
        <v>47848.0</v>
      </c>
      <c r="Z266" s="20">
        <v>0.0</v>
      </c>
      <c r="AA266" s="20">
        <v>1.0</v>
      </c>
      <c r="AB266" s="24"/>
      <c r="AC266" s="24"/>
    </row>
    <row r="267" ht="14.25" customHeight="1">
      <c r="A267" s="46" t="s">
        <v>1602</v>
      </c>
      <c r="B267" s="20" t="s">
        <v>1603</v>
      </c>
      <c r="C267" s="20" t="s">
        <v>7041</v>
      </c>
      <c r="D267" s="24">
        <v>45658.0</v>
      </c>
      <c r="E267" s="24">
        <v>46022.0</v>
      </c>
      <c r="F267" s="20">
        <v>1.0</v>
      </c>
      <c r="G267" s="20">
        <v>1.0</v>
      </c>
      <c r="H267" s="24">
        <v>46023.0</v>
      </c>
      <c r="I267" s="24">
        <v>46387.0</v>
      </c>
      <c r="J267" s="20">
        <v>0.0</v>
      </c>
      <c r="K267" s="20">
        <v>1.0</v>
      </c>
      <c r="L267" s="24">
        <v>46388.0</v>
      </c>
      <c r="M267" s="24">
        <v>46752.0</v>
      </c>
      <c r="N267" s="20">
        <v>0.0</v>
      </c>
      <c r="O267" s="20">
        <v>1.0</v>
      </c>
      <c r="P267" s="24">
        <v>46753.0</v>
      </c>
      <c r="Q267" s="24">
        <v>47118.0</v>
      </c>
      <c r="R267" s="20">
        <v>0.0</v>
      </c>
      <c r="S267" s="20">
        <v>1.0</v>
      </c>
      <c r="T267" s="24">
        <v>47119.0</v>
      </c>
      <c r="U267" s="24">
        <v>47483.0</v>
      </c>
      <c r="V267" s="20">
        <v>0.0</v>
      </c>
      <c r="W267" s="20">
        <v>1.0</v>
      </c>
      <c r="X267" s="24">
        <v>47484.0</v>
      </c>
      <c r="Y267" s="24">
        <v>47848.0</v>
      </c>
      <c r="Z267" s="20">
        <v>0.0</v>
      </c>
      <c r="AA267" s="20">
        <v>1.0</v>
      </c>
      <c r="AB267" s="24"/>
      <c r="AC267" s="24"/>
    </row>
    <row r="268" ht="14.25" customHeight="1">
      <c r="A268" s="46" t="s">
        <v>1689</v>
      </c>
      <c r="B268" s="20" t="s">
        <v>1690</v>
      </c>
      <c r="C268" s="20" t="s">
        <v>7041</v>
      </c>
      <c r="D268" s="24">
        <v>45658.0</v>
      </c>
      <c r="E268" s="24">
        <v>46022.0</v>
      </c>
      <c r="F268" s="20">
        <v>0.0</v>
      </c>
      <c r="G268" s="20">
        <v>1.0</v>
      </c>
      <c r="H268" s="24">
        <v>46023.0</v>
      </c>
      <c r="I268" s="24">
        <v>46387.0</v>
      </c>
      <c r="J268" s="20">
        <v>0.0</v>
      </c>
      <c r="K268" s="20">
        <v>1.0</v>
      </c>
      <c r="L268" s="24">
        <v>46388.0</v>
      </c>
      <c r="M268" s="24">
        <v>46752.0</v>
      </c>
      <c r="N268" s="20">
        <v>0.0</v>
      </c>
      <c r="O268" s="20">
        <v>1.0</v>
      </c>
      <c r="P268" s="24">
        <v>46753.0</v>
      </c>
      <c r="Q268" s="24">
        <v>47118.0</v>
      </c>
      <c r="R268" s="20">
        <v>0.0</v>
      </c>
      <c r="S268" s="20">
        <v>1.0</v>
      </c>
      <c r="T268" s="24">
        <v>47119.0</v>
      </c>
      <c r="U268" s="24">
        <v>47483.0</v>
      </c>
      <c r="V268" s="20">
        <v>0.0</v>
      </c>
      <c r="W268" s="20">
        <v>1.0</v>
      </c>
      <c r="X268" s="24">
        <v>47484.0</v>
      </c>
      <c r="Y268" s="24">
        <v>47848.0</v>
      </c>
      <c r="Z268" s="20">
        <v>0.0</v>
      </c>
      <c r="AA268" s="20">
        <v>1.0</v>
      </c>
      <c r="AB268" s="24"/>
      <c r="AC268" s="24"/>
    </row>
    <row r="269" ht="14.25" customHeight="1">
      <c r="A269" s="46" t="s">
        <v>1699</v>
      </c>
      <c r="B269" s="20" t="s">
        <v>1700</v>
      </c>
      <c r="C269" s="20" t="s">
        <v>7041</v>
      </c>
      <c r="D269" s="24">
        <v>45658.0</v>
      </c>
      <c r="E269" s="24">
        <v>46022.0</v>
      </c>
      <c r="F269" s="20">
        <v>0.0</v>
      </c>
      <c r="G269" s="20">
        <v>1.0</v>
      </c>
      <c r="H269" s="24">
        <v>46023.0</v>
      </c>
      <c r="I269" s="24">
        <v>46387.0</v>
      </c>
      <c r="J269" s="20">
        <v>0.0</v>
      </c>
      <c r="K269" s="20">
        <v>1.0</v>
      </c>
      <c r="L269" s="24">
        <v>46388.0</v>
      </c>
      <c r="M269" s="24">
        <v>46752.0</v>
      </c>
      <c r="N269" s="20">
        <v>0.0</v>
      </c>
      <c r="O269" s="20">
        <v>1.0</v>
      </c>
      <c r="P269" s="24">
        <v>46753.0</v>
      </c>
      <c r="Q269" s="24">
        <v>47118.0</v>
      </c>
      <c r="R269" s="20">
        <v>0.0</v>
      </c>
      <c r="S269" s="20">
        <v>1.0</v>
      </c>
      <c r="T269" s="24">
        <v>47119.0</v>
      </c>
      <c r="U269" s="24">
        <v>47483.0</v>
      </c>
      <c r="V269" s="20">
        <v>0.0</v>
      </c>
      <c r="W269" s="20">
        <v>1.0</v>
      </c>
      <c r="X269" s="24">
        <v>47484.0</v>
      </c>
      <c r="Y269" s="24">
        <v>47848.0</v>
      </c>
      <c r="Z269" s="20">
        <v>0.0</v>
      </c>
      <c r="AA269" s="20">
        <v>1.0</v>
      </c>
      <c r="AB269" s="24"/>
      <c r="AC269" s="24"/>
    </row>
    <row r="270" ht="14.25" customHeight="1">
      <c r="A270" s="46" t="s">
        <v>1751</v>
      </c>
      <c r="B270" s="20" t="s">
        <v>1752</v>
      </c>
      <c r="C270" s="20" t="s">
        <v>7041</v>
      </c>
      <c r="D270" s="24">
        <v>45658.0</v>
      </c>
      <c r="E270" s="24">
        <v>46022.0</v>
      </c>
      <c r="F270" s="20">
        <v>0.0</v>
      </c>
      <c r="G270" s="20">
        <v>1.0</v>
      </c>
      <c r="H270" s="24">
        <v>46023.0</v>
      </c>
      <c r="I270" s="24">
        <v>46387.0</v>
      </c>
      <c r="J270" s="20">
        <v>0.0</v>
      </c>
      <c r="K270" s="20">
        <v>1.0</v>
      </c>
      <c r="L270" s="24">
        <v>46388.0</v>
      </c>
      <c r="M270" s="24">
        <v>46752.0</v>
      </c>
      <c r="N270" s="20">
        <v>0.0</v>
      </c>
      <c r="O270" s="20">
        <v>1.0</v>
      </c>
      <c r="P270" s="24">
        <v>46753.0</v>
      </c>
      <c r="Q270" s="24">
        <v>47118.0</v>
      </c>
      <c r="R270" s="20">
        <v>0.0</v>
      </c>
      <c r="S270" s="20">
        <v>1.0</v>
      </c>
      <c r="T270" s="24">
        <v>47119.0</v>
      </c>
      <c r="U270" s="24">
        <v>47483.0</v>
      </c>
      <c r="V270" s="20">
        <v>0.0</v>
      </c>
      <c r="W270" s="20">
        <v>1.0</v>
      </c>
      <c r="X270" s="24">
        <v>47484.0</v>
      </c>
      <c r="Y270" s="24">
        <v>47848.0</v>
      </c>
      <c r="Z270" s="20">
        <v>0.0</v>
      </c>
      <c r="AA270" s="20">
        <v>1.0</v>
      </c>
      <c r="AB270" s="24"/>
      <c r="AC270" s="24"/>
    </row>
    <row r="271" ht="14.25" customHeight="1">
      <c r="A271" s="46" t="s">
        <v>1792</v>
      </c>
      <c r="B271" s="20" t="s">
        <v>1793</v>
      </c>
      <c r="C271" s="20" t="s">
        <v>7041</v>
      </c>
      <c r="D271" s="24">
        <v>45658.0</v>
      </c>
      <c r="E271" s="24">
        <v>46022.0</v>
      </c>
      <c r="F271" s="20">
        <v>1.0</v>
      </c>
      <c r="G271" s="20">
        <v>1.0</v>
      </c>
      <c r="H271" s="24">
        <v>46023.0</v>
      </c>
      <c r="I271" s="24">
        <v>46387.0</v>
      </c>
      <c r="J271" s="20">
        <v>0.0</v>
      </c>
      <c r="K271" s="20">
        <v>1.0</v>
      </c>
      <c r="L271" s="24">
        <v>46388.0</v>
      </c>
      <c r="M271" s="24">
        <v>46752.0</v>
      </c>
      <c r="N271" s="20">
        <v>0.0</v>
      </c>
      <c r="O271" s="20">
        <v>1.0</v>
      </c>
      <c r="P271" s="24">
        <v>46753.0</v>
      </c>
      <c r="Q271" s="24">
        <v>47118.0</v>
      </c>
      <c r="R271" s="20">
        <v>0.0</v>
      </c>
      <c r="S271" s="20">
        <v>1.0</v>
      </c>
      <c r="T271" s="24">
        <v>47119.0</v>
      </c>
      <c r="U271" s="24">
        <v>47483.0</v>
      </c>
      <c r="V271" s="20">
        <v>0.0</v>
      </c>
      <c r="W271" s="20">
        <v>1.0</v>
      </c>
      <c r="X271" s="24">
        <v>47484.0</v>
      </c>
      <c r="Y271" s="24">
        <v>47848.0</v>
      </c>
      <c r="Z271" s="20">
        <v>0.0</v>
      </c>
      <c r="AA271" s="20">
        <v>1.0</v>
      </c>
      <c r="AB271" s="24"/>
      <c r="AC271" s="24"/>
    </row>
    <row r="272" ht="14.25" customHeight="1">
      <c r="A272" s="46" t="s">
        <v>1811</v>
      </c>
      <c r="B272" s="20" t="s">
        <v>1812</v>
      </c>
      <c r="C272" s="20" t="s">
        <v>7041</v>
      </c>
      <c r="D272" s="24">
        <v>45658.0</v>
      </c>
      <c r="E272" s="24">
        <v>46022.0</v>
      </c>
      <c r="F272" s="20">
        <v>1.0</v>
      </c>
      <c r="G272" s="20">
        <v>1.0</v>
      </c>
      <c r="H272" s="24">
        <v>46023.0</v>
      </c>
      <c r="I272" s="24">
        <v>46387.0</v>
      </c>
      <c r="J272" s="20">
        <v>0.0</v>
      </c>
      <c r="K272" s="20">
        <v>1.0</v>
      </c>
      <c r="L272" s="24">
        <v>46388.0</v>
      </c>
      <c r="M272" s="24">
        <v>46752.0</v>
      </c>
      <c r="N272" s="20">
        <v>0.0</v>
      </c>
      <c r="O272" s="20">
        <v>1.0</v>
      </c>
      <c r="P272" s="24">
        <v>46753.0</v>
      </c>
      <c r="Q272" s="24">
        <v>47118.0</v>
      </c>
      <c r="R272" s="20">
        <v>0.0</v>
      </c>
      <c r="S272" s="20">
        <v>1.0</v>
      </c>
      <c r="T272" s="24">
        <v>47119.0</v>
      </c>
      <c r="U272" s="24">
        <v>47483.0</v>
      </c>
      <c r="V272" s="20">
        <v>0.0</v>
      </c>
      <c r="W272" s="20">
        <v>1.0</v>
      </c>
      <c r="X272" s="24">
        <v>47484.0</v>
      </c>
      <c r="Y272" s="24">
        <v>47848.0</v>
      </c>
      <c r="Z272" s="20">
        <v>0.0</v>
      </c>
      <c r="AA272" s="20">
        <v>1.0</v>
      </c>
      <c r="AB272" s="24"/>
      <c r="AC272" s="24"/>
    </row>
    <row r="273" ht="14.25" customHeight="1">
      <c r="A273" s="46" t="s">
        <v>1899</v>
      </c>
      <c r="B273" s="20" t="s">
        <v>1900</v>
      </c>
      <c r="C273" s="20" t="s">
        <v>7041</v>
      </c>
      <c r="D273" s="24">
        <v>45658.0</v>
      </c>
      <c r="E273" s="24">
        <v>46022.0</v>
      </c>
      <c r="F273" s="20">
        <v>0.0</v>
      </c>
      <c r="G273" s="20">
        <v>1.0</v>
      </c>
      <c r="H273" s="24">
        <v>46023.0</v>
      </c>
      <c r="I273" s="24">
        <v>46387.0</v>
      </c>
      <c r="J273" s="20">
        <v>0.0</v>
      </c>
      <c r="K273" s="20">
        <v>1.0</v>
      </c>
      <c r="L273" s="24">
        <v>46388.0</v>
      </c>
      <c r="M273" s="24">
        <v>46752.0</v>
      </c>
      <c r="N273" s="20">
        <v>0.0</v>
      </c>
      <c r="O273" s="20">
        <v>1.0</v>
      </c>
      <c r="P273" s="24">
        <v>46753.0</v>
      </c>
      <c r="Q273" s="24">
        <v>47118.0</v>
      </c>
      <c r="R273" s="20">
        <v>0.0</v>
      </c>
      <c r="S273" s="20">
        <v>1.0</v>
      </c>
      <c r="T273" s="24">
        <v>47119.0</v>
      </c>
      <c r="U273" s="24">
        <v>47483.0</v>
      </c>
      <c r="V273" s="20">
        <v>0.0</v>
      </c>
      <c r="W273" s="20">
        <v>1.0</v>
      </c>
      <c r="X273" s="24">
        <v>47484.0</v>
      </c>
      <c r="Y273" s="24">
        <v>47848.0</v>
      </c>
      <c r="Z273" s="20">
        <v>0.0</v>
      </c>
      <c r="AA273" s="20">
        <v>1.0</v>
      </c>
      <c r="AB273" s="24"/>
      <c r="AC273" s="24"/>
    </row>
    <row r="274" ht="14.25" customHeight="1">
      <c r="A274" s="46" t="s">
        <v>1933</v>
      </c>
      <c r="B274" s="20" t="s">
        <v>1934</v>
      </c>
      <c r="C274" s="20" t="s">
        <v>7041</v>
      </c>
      <c r="D274" s="24">
        <v>45658.0</v>
      </c>
      <c r="E274" s="24">
        <v>46022.0</v>
      </c>
      <c r="F274" s="20">
        <v>1.0</v>
      </c>
      <c r="G274" s="20">
        <v>1.0</v>
      </c>
      <c r="H274" s="24">
        <v>46023.0</v>
      </c>
      <c r="I274" s="24">
        <v>46387.0</v>
      </c>
      <c r="J274" s="20">
        <v>0.0</v>
      </c>
      <c r="K274" s="20">
        <v>1.0</v>
      </c>
      <c r="L274" s="24">
        <v>46388.0</v>
      </c>
      <c r="M274" s="24">
        <v>46752.0</v>
      </c>
      <c r="N274" s="20">
        <v>0.0</v>
      </c>
      <c r="O274" s="20">
        <v>1.0</v>
      </c>
      <c r="P274" s="24">
        <v>46753.0</v>
      </c>
      <c r="Q274" s="24">
        <v>47118.0</v>
      </c>
      <c r="R274" s="20">
        <v>0.0</v>
      </c>
      <c r="S274" s="20">
        <v>1.0</v>
      </c>
      <c r="T274" s="24">
        <v>47119.0</v>
      </c>
      <c r="U274" s="24">
        <v>47483.0</v>
      </c>
      <c r="V274" s="20">
        <v>0.0</v>
      </c>
      <c r="W274" s="20">
        <v>1.0</v>
      </c>
      <c r="X274" s="24">
        <v>47484.0</v>
      </c>
      <c r="Y274" s="24">
        <v>47848.0</v>
      </c>
      <c r="Z274" s="20">
        <v>0.0</v>
      </c>
      <c r="AA274" s="20">
        <v>1.0</v>
      </c>
      <c r="AB274" s="24"/>
      <c r="AC274" s="24"/>
    </row>
    <row r="275" ht="14.25" customHeight="1">
      <c r="A275" s="46" t="s">
        <v>1987</v>
      </c>
      <c r="B275" s="20" t="s">
        <v>1988</v>
      </c>
      <c r="C275" s="20" t="s">
        <v>7041</v>
      </c>
      <c r="D275" s="24">
        <v>45658.0</v>
      </c>
      <c r="E275" s="24">
        <v>46022.0</v>
      </c>
      <c r="F275" s="20">
        <v>0.0</v>
      </c>
      <c r="G275" s="20">
        <v>1.0</v>
      </c>
      <c r="H275" s="24">
        <v>46023.0</v>
      </c>
      <c r="I275" s="24">
        <v>46387.0</v>
      </c>
      <c r="J275" s="20">
        <v>0.0</v>
      </c>
      <c r="K275" s="20">
        <v>1.0</v>
      </c>
      <c r="L275" s="24">
        <v>46388.0</v>
      </c>
      <c r="M275" s="24">
        <v>46752.0</v>
      </c>
      <c r="N275" s="20">
        <v>0.0</v>
      </c>
      <c r="O275" s="20">
        <v>1.0</v>
      </c>
      <c r="P275" s="24">
        <v>46753.0</v>
      </c>
      <c r="Q275" s="24">
        <v>47118.0</v>
      </c>
      <c r="R275" s="20">
        <v>0.0</v>
      </c>
      <c r="S275" s="20">
        <v>1.0</v>
      </c>
      <c r="T275" s="24">
        <v>47119.0</v>
      </c>
      <c r="U275" s="24">
        <v>47483.0</v>
      </c>
      <c r="V275" s="20">
        <v>0.0</v>
      </c>
      <c r="W275" s="20">
        <v>1.0</v>
      </c>
      <c r="X275" s="24">
        <v>47484.0</v>
      </c>
      <c r="Y275" s="24">
        <v>47848.0</v>
      </c>
      <c r="Z275" s="20">
        <v>0.0</v>
      </c>
      <c r="AA275" s="20">
        <v>1.0</v>
      </c>
      <c r="AB275" s="24"/>
      <c r="AC275" s="24"/>
    </row>
    <row r="276" ht="14.25" customHeight="1">
      <c r="A276" s="46" t="s">
        <v>2089</v>
      </c>
      <c r="B276" s="20" t="s">
        <v>2090</v>
      </c>
      <c r="C276" s="20" t="s">
        <v>7041</v>
      </c>
      <c r="D276" s="24">
        <v>45658.0</v>
      </c>
      <c r="E276" s="24">
        <v>46022.0</v>
      </c>
      <c r="F276" s="20">
        <v>1.0</v>
      </c>
      <c r="G276" s="20">
        <v>1.0</v>
      </c>
      <c r="H276" s="24">
        <v>46023.0</v>
      </c>
      <c r="I276" s="24">
        <v>46387.0</v>
      </c>
      <c r="J276" s="20">
        <v>0.0</v>
      </c>
      <c r="K276" s="20">
        <v>1.0</v>
      </c>
      <c r="L276" s="24">
        <v>46388.0</v>
      </c>
      <c r="M276" s="24">
        <v>46752.0</v>
      </c>
      <c r="N276" s="20">
        <v>0.0</v>
      </c>
      <c r="O276" s="20">
        <v>1.0</v>
      </c>
      <c r="P276" s="24">
        <v>46753.0</v>
      </c>
      <c r="Q276" s="24">
        <v>47118.0</v>
      </c>
      <c r="R276" s="20">
        <v>0.0</v>
      </c>
      <c r="S276" s="20">
        <v>1.0</v>
      </c>
      <c r="T276" s="24">
        <v>47119.0</v>
      </c>
      <c r="U276" s="24">
        <v>47483.0</v>
      </c>
      <c r="V276" s="20">
        <v>0.0</v>
      </c>
      <c r="W276" s="20">
        <v>1.0</v>
      </c>
      <c r="X276" s="24">
        <v>47484.0</v>
      </c>
      <c r="Y276" s="24">
        <v>47848.0</v>
      </c>
      <c r="Z276" s="20">
        <v>0.0</v>
      </c>
      <c r="AA276" s="20">
        <v>1.0</v>
      </c>
      <c r="AB276" s="24"/>
      <c r="AC276" s="24"/>
    </row>
    <row r="277" ht="14.25" customHeight="1">
      <c r="A277" s="46" t="s">
        <v>2173</v>
      </c>
      <c r="B277" s="20" t="s">
        <v>2174</v>
      </c>
      <c r="C277" s="20" t="s">
        <v>7041</v>
      </c>
      <c r="D277" s="24">
        <v>45658.0</v>
      </c>
      <c r="E277" s="24">
        <v>46022.0</v>
      </c>
      <c r="F277" s="20">
        <v>0.0</v>
      </c>
      <c r="G277" s="20">
        <v>1.0</v>
      </c>
      <c r="H277" s="24">
        <v>46023.0</v>
      </c>
      <c r="I277" s="24">
        <v>46387.0</v>
      </c>
      <c r="J277" s="20">
        <v>0.0</v>
      </c>
      <c r="K277" s="20">
        <v>1.0</v>
      </c>
      <c r="L277" s="24">
        <v>46388.0</v>
      </c>
      <c r="M277" s="24">
        <v>46752.0</v>
      </c>
      <c r="N277" s="20">
        <v>0.0</v>
      </c>
      <c r="O277" s="20">
        <v>1.0</v>
      </c>
      <c r="P277" s="24">
        <v>46753.0</v>
      </c>
      <c r="Q277" s="24">
        <v>47118.0</v>
      </c>
      <c r="R277" s="20">
        <v>0.0</v>
      </c>
      <c r="S277" s="20">
        <v>1.0</v>
      </c>
      <c r="T277" s="24">
        <v>47119.0</v>
      </c>
      <c r="U277" s="24">
        <v>47483.0</v>
      </c>
      <c r="V277" s="20">
        <v>0.0</v>
      </c>
      <c r="W277" s="20">
        <v>1.0</v>
      </c>
      <c r="X277" s="24">
        <v>47484.0</v>
      </c>
      <c r="Y277" s="24">
        <v>47848.0</v>
      </c>
      <c r="Z277" s="20">
        <v>0.0</v>
      </c>
      <c r="AA277" s="20">
        <v>1.0</v>
      </c>
      <c r="AB277" s="24"/>
      <c r="AC277" s="24"/>
    </row>
    <row r="278" ht="14.25" customHeight="1">
      <c r="A278" s="46" t="s">
        <v>2256</v>
      </c>
      <c r="B278" s="20" t="s">
        <v>2257</v>
      </c>
      <c r="C278" s="20" t="s">
        <v>7041</v>
      </c>
      <c r="D278" s="24">
        <v>45658.0</v>
      </c>
      <c r="E278" s="24">
        <v>46022.0</v>
      </c>
      <c r="F278" s="20">
        <v>1.0</v>
      </c>
      <c r="G278" s="20">
        <v>1.0</v>
      </c>
      <c r="H278" s="24">
        <v>46023.0</v>
      </c>
      <c r="I278" s="24">
        <v>46387.0</v>
      </c>
      <c r="J278" s="20">
        <v>0.0</v>
      </c>
      <c r="K278" s="20">
        <v>1.0</v>
      </c>
      <c r="L278" s="24">
        <v>46388.0</v>
      </c>
      <c r="M278" s="24">
        <v>46752.0</v>
      </c>
      <c r="N278" s="20">
        <v>0.0</v>
      </c>
      <c r="O278" s="20">
        <v>1.0</v>
      </c>
      <c r="P278" s="24">
        <v>46753.0</v>
      </c>
      <c r="Q278" s="24">
        <v>47118.0</v>
      </c>
      <c r="R278" s="20">
        <v>0.0</v>
      </c>
      <c r="S278" s="20">
        <v>1.0</v>
      </c>
      <c r="T278" s="24">
        <v>47119.0</v>
      </c>
      <c r="U278" s="24">
        <v>47483.0</v>
      </c>
      <c r="V278" s="20">
        <v>0.0</v>
      </c>
      <c r="W278" s="20">
        <v>1.0</v>
      </c>
      <c r="X278" s="24">
        <v>47484.0</v>
      </c>
      <c r="Y278" s="24">
        <v>47848.0</v>
      </c>
      <c r="Z278" s="20">
        <v>0.0</v>
      </c>
      <c r="AA278" s="20">
        <v>1.0</v>
      </c>
      <c r="AB278" s="24"/>
      <c r="AC278" s="24"/>
    </row>
    <row r="279" ht="14.25" customHeight="1">
      <c r="A279" s="46" t="s">
        <v>2265</v>
      </c>
      <c r="B279" s="20" t="s">
        <v>2266</v>
      </c>
      <c r="C279" s="20" t="s">
        <v>7041</v>
      </c>
      <c r="D279" s="24">
        <v>45658.0</v>
      </c>
      <c r="E279" s="24">
        <v>46022.0</v>
      </c>
      <c r="F279" s="20">
        <v>0.0</v>
      </c>
      <c r="G279" s="20">
        <v>1.0</v>
      </c>
      <c r="H279" s="24">
        <v>46023.0</v>
      </c>
      <c r="I279" s="24">
        <v>46387.0</v>
      </c>
      <c r="J279" s="20">
        <v>0.0</v>
      </c>
      <c r="K279" s="20">
        <v>1.0</v>
      </c>
      <c r="L279" s="24">
        <v>46388.0</v>
      </c>
      <c r="M279" s="24">
        <v>46752.0</v>
      </c>
      <c r="N279" s="20">
        <v>0.0</v>
      </c>
      <c r="O279" s="20">
        <v>1.0</v>
      </c>
      <c r="P279" s="24">
        <v>46753.0</v>
      </c>
      <c r="Q279" s="24">
        <v>47118.0</v>
      </c>
      <c r="R279" s="20">
        <v>0.0</v>
      </c>
      <c r="S279" s="20">
        <v>1.0</v>
      </c>
      <c r="T279" s="24">
        <v>47119.0</v>
      </c>
      <c r="U279" s="24">
        <v>47483.0</v>
      </c>
      <c r="V279" s="20">
        <v>0.0</v>
      </c>
      <c r="W279" s="20">
        <v>1.0</v>
      </c>
      <c r="X279" s="24">
        <v>47484.0</v>
      </c>
      <c r="Y279" s="24">
        <v>47848.0</v>
      </c>
      <c r="Z279" s="20">
        <v>0.0</v>
      </c>
      <c r="AA279" s="20">
        <v>1.0</v>
      </c>
      <c r="AB279" s="24"/>
      <c r="AC279" s="24"/>
    </row>
    <row r="280" ht="14.25" customHeight="1">
      <c r="A280" s="46" t="s">
        <v>2523</v>
      </c>
      <c r="B280" s="20" t="s">
        <v>2524</v>
      </c>
      <c r="C280" s="20" t="s">
        <v>7041</v>
      </c>
      <c r="D280" s="24">
        <v>45658.0</v>
      </c>
      <c r="E280" s="24">
        <v>46022.0</v>
      </c>
      <c r="F280" s="20">
        <v>0.0</v>
      </c>
      <c r="G280" s="20">
        <v>1.0</v>
      </c>
      <c r="H280" s="24">
        <v>46023.0</v>
      </c>
      <c r="I280" s="24">
        <v>46387.0</v>
      </c>
      <c r="J280" s="20">
        <v>0.0</v>
      </c>
      <c r="K280" s="20">
        <v>1.0</v>
      </c>
      <c r="L280" s="24">
        <v>46388.0</v>
      </c>
      <c r="M280" s="24">
        <v>46752.0</v>
      </c>
      <c r="N280" s="20">
        <v>0.0</v>
      </c>
      <c r="O280" s="20">
        <v>1.0</v>
      </c>
      <c r="P280" s="24">
        <v>46753.0</v>
      </c>
      <c r="Q280" s="24">
        <v>47118.0</v>
      </c>
      <c r="R280" s="20">
        <v>0.0</v>
      </c>
      <c r="S280" s="20">
        <v>1.0</v>
      </c>
      <c r="T280" s="24">
        <v>47119.0</v>
      </c>
      <c r="U280" s="24">
        <v>47483.0</v>
      </c>
      <c r="V280" s="20">
        <v>0.0</v>
      </c>
      <c r="W280" s="20">
        <v>1.0</v>
      </c>
      <c r="X280" s="24">
        <v>47484.0</v>
      </c>
      <c r="Y280" s="24">
        <v>47848.0</v>
      </c>
      <c r="Z280" s="20">
        <v>0.0</v>
      </c>
      <c r="AA280" s="20">
        <v>1.0</v>
      </c>
      <c r="AB280" s="24"/>
      <c r="AC280" s="24"/>
    </row>
    <row r="281" ht="14.25" customHeight="1">
      <c r="A281" s="46" t="s">
        <v>2541</v>
      </c>
      <c r="B281" s="20" t="s">
        <v>2542</v>
      </c>
      <c r="C281" s="20" t="s">
        <v>7041</v>
      </c>
      <c r="D281" s="24">
        <v>45658.0</v>
      </c>
      <c r="E281" s="24">
        <v>46022.0</v>
      </c>
      <c r="F281" s="20">
        <v>1.0</v>
      </c>
      <c r="G281" s="20">
        <v>1.0</v>
      </c>
      <c r="H281" s="24">
        <v>46023.0</v>
      </c>
      <c r="I281" s="24">
        <v>46387.0</v>
      </c>
      <c r="J281" s="20">
        <v>0.0</v>
      </c>
      <c r="K281" s="20">
        <v>1.0</v>
      </c>
      <c r="L281" s="24">
        <v>46388.0</v>
      </c>
      <c r="M281" s="24">
        <v>46752.0</v>
      </c>
      <c r="N281" s="20">
        <v>0.0</v>
      </c>
      <c r="O281" s="20">
        <v>1.0</v>
      </c>
      <c r="P281" s="24">
        <v>46753.0</v>
      </c>
      <c r="Q281" s="24">
        <v>47118.0</v>
      </c>
      <c r="R281" s="20">
        <v>0.0</v>
      </c>
      <c r="S281" s="20">
        <v>1.0</v>
      </c>
      <c r="T281" s="24">
        <v>47119.0</v>
      </c>
      <c r="U281" s="24">
        <v>47483.0</v>
      </c>
      <c r="V281" s="20">
        <v>0.0</v>
      </c>
      <c r="W281" s="20">
        <v>1.0</v>
      </c>
      <c r="X281" s="24">
        <v>47484.0</v>
      </c>
      <c r="Y281" s="24">
        <v>47848.0</v>
      </c>
      <c r="Z281" s="20">
        <v>0.0</v>
      </c>
      <c r="AA281" s="20">
        <v>1.0</v>
      </c>
      <c r="AB281" s="24"/>
      <c r="AC281" s="24"/>
    </row>
    <row r="282" ht="14.25" customHeight="1">
      <c r="A282" s="46" t="s">
        <v>2553</v>
      </c>
      <c r="B282" s="20" t="s">
        <v>2554</v>
      </c>
      <c r="C282" s="20" t="s">
        <v>7041</v>
      </c>
      <c r="D282" s="24">
        <v>45658.0</v>
      </c>
      <c r="E282" s="24">
        <v>46022.0</v>
      </c>
      <c r="F282" s="20">
        <v>1.0</v>
      </c>
      <c r="G282" s="20">
        <v>1.0</v>
      </c>
      <c r="H282" s="24">
        <v>46023.0</v>
      </c>
      <c r="I282" s="24">
        <v>46387.0</v>
      </c>
      <c r="J282" s="20">
        <v>0.0</v>
      </c>
      <c r="K282" s="20">
        <v>1.0</v>
      </c>
      <c r="L282" s="24">
        <v>46388.0</v>
      </c>
      <c r="M282" s="24">
        <v>46752.0</v>
      </c>
      <c r="N282" s="20">
        <v>0.0</v>
      </c>
      <c r="O282" s="20">
        <v>1.0</v>
      </c>
      <c r="P282" s="24">
        <v>46753.0</v>
      </c>
      <c r="Q282" s="24">
        <v>47118.0</v>
      </c>
      <c r="R282" s="20">
        <v>0.0</v>
      </c>
      <c r="S282" s="20">
        <v>1.0</v>
      </c>
      <c r="T282" s="24">
        <v>47119.0</v>
      </c>
      <c r="U282" s="24">
        <v>47483.0</v>
      </c>
      <c r="V282" s="20">
        <v>0.0</v>
      </c>
      <c r="W282" s="20">
        <v>1.0</v>
      </c>
      <c r="X282" s="24">
        <v>47484.0</v>
      </c>
      <c r="Y282" s="24">
        <v>47848.0</v>
      </c>
      <c r="Z282" s="20">
        <v>0.0</v>
      </c>
      <c r="AA282" s="20">
        <v>1.0</v>
      </c>
      <c r="AB282" s="24"/>
      <c r="AC282" s="24"/>
    </row>
    <row r="283" ht="14.25" customHeight="1">
      <c r="A283" s="46" t="s">
        <v>2574</v>
      </c>
      <c r="B283" s="20" t="s">
        <v>2575</v>
      </c>
      <c r="C283" s="20" t="s">
        <v>7041</v>
      </c>
      <c r="D283" s="24">
        <v>45658.0</v>
      </c>
      <c r="E283" s="24">
        <v>46022.0</v>
      </c>
      <c r="F283" s="20">
        <v>1.0</v>
      </c>
      <c r="G283" s="20">
        <v>1.0</v>
      </c>
      <c r="H283" s="24">
        <v>46023.0</v>
      </c>
      <c r="I283" s="24">
        <v>46387.0</v>
      </c>
      <c r="J283" s="20">
        <v>0.0</v>
      </c>
      <c r="K283" s="20">
        <v>1.0</v>
      </c>
      <c r="L283" s="24">
        <v>46388.0</v>
      </c>
      <c r="M283" s="24">
        <v>46752.0</v>
      </c>
      <c r="N283" s="20">
        <v>0.0</v>
      </c>
      <c r="O283" s="20">
        <v>1.0</v>
      </c>
      <c r="P283" s="24">
        <v>46753.0</v>
      </c>
      <c r="Q283" s="24">
        <v>47118.0</v>
      </c>
      <c r="R283" s="20">
        <v>0.0</v>
      </c>
      <c r="S283" s="20">
        <v>1.0</v>
      </c>
      <c r="T283" s="24">
        <v>47119.0</v>
      </c>
      <c r="U283" s="24">
        <v>47483.0</v>
      </c>
      <c r="V283" s="20">
        <v>0.0</v>
      </c>
      <c r="W283" s="20">
        <v>1.0</v>
      </c>
      <c r="X283" s="24">
        <v>47484.0</v>
      </c>
      <c r="Y283" s="24">
        <v>47848.0</v>
      </c>
      <c r="Z283" s="20">
        <v>0.0</v>
      </c>
      <c r="AA283" s="20">
        <v>1.0</v>
      </c>
      <c r="AB283" s="24"/>
      <c r="AC283" s="24"/>
    </row>
    <row r="284" ht="14.25" customHeight="1">
      <c r="A284" s="46" t="s">
        <v>2592</v>
      </c>
      <c r="B284" s="20" t="s">
        <v>2593</v>
      </c>
      <c r="C284" s="20" t="s">
        <v>7041</v>
      </c>
      <c r="D284" s="24">
        <v>45658.0</v>
      </c>
      <c r="E284" s="24">
        <v>46022.0</v>
      </c>
      <c r="F284" s="20">
        <v>1.0</v>
      </c>
      <c r="G284" s="20">
        <v>1.0</v>
      </c>
      <c r="H284" s="24">
        <v>46023.0</v>
      </c>
      <c r="I284" s="24">
        <v>46387.0</v>
      </c>
      <c r="J284" s="20">
        <v>0.0</v>
      </c>
      <c r="K284" s="20">
        <v>1.0</v>
      </c>
      <c r="L284" s="24">
        <v>46388.0</v>
      </c>
      <c r="M284" s="24">
        <v>46752.0</v>
      </c>
      <c r="N284" s="20">
        <v>0.0</v>
      </c>
      <c r="O284" s="20">
        <v>1.0</v>
      </c>
      <c r="P284" s="24">
        <v>46753.0</v>
      </c>
      <c r="Q284" s="24">
        <v>47118.0</v>
      </c>
      <c r="R284" s="20">
        <v>0.0</v>
      </c>
      <c r="S284" s="20">
        <v>1.0</v>
      </c>
      <c r="T284" s="24">
        <v>47119.0</v>
      </c>
      <c r="U284" s="24">
        <v>47483.0</v>
      </c>
      <c r="V284" s="20">
        <v>0.0</v>
      </c>
      <c r="W284" s="20">
        <v>1.0</v>
      </c>
      <c r="X284" s="24">
        <v>47484.0</v>
      </c>
      <c r="Y284" s="24">
        <v>47848.0</v>
      </c>
      <c r="Z284" s="20">
        <v>0.0</v>
      </c>
      <c r="AA284" s="20">
        <v>1.0</v>
      </c>
      <c r="AB284" s="24"/>
      <c r="AC284" s="24"/>
    </row>
    <row r="285" ht="14.25" customHeight="1">
      <c r="A285" s="46" t="s">
        <v>2595</v>
      </c>
      <c r="B285" s="20" t="s">
        <v>2596</v>
      </c>
      <c r="C285" s="20" t="s">
        <v>7041</v>
      </c>
      <c r="D285" s="24">
        <v>45658.0</v>
      </c>
      <c r="E285" s="24">
        <v>46022.0</v>
      </c>
      <c r="F285" s="20">
        <v>1.0</v>
      </c>
      <c r="G285" s="20">
        <v>1.0</v>
      </c>
      <c r="H285" s="24">
        <v>46023.0</v>
      </c>
      <c r="I285" s="24">
        <v>46387.0</v>
      </c>
      <c r="J285" s="20">
        <v>0.0</v>
      </c>
      <c r="K285" s="20">
        <v>1.0</v>
      </c>
      <c r="L285" s="24">
        <v>46388.0</v>
      </c>
      <c r="M285" s="24">
        <v>46752.0</v>
      </c>
      <c r="N285" s="20">
        <v>0.0</v>
      </c>
      <c r="O285" s="20">
        <v>1.0</v>
      </c>
      <c r="P285" s="24">
        <v>46753.0</v>
      </c>
      <c r="Q285" s="24">
        <v>47118.0</v>
      </c>
      <c r="R285" s="20">
        <v>0.0</v>
      </c>
      <c r="S285" s="20">
        <v>1.0</v>
      </c>
      <c r="T285" s="24">
        <v>47119.0</v>
      </c>
      <c r="U285" s="24">
        <v>47483.0</v>
      </c>
      <c r="V285" s="20">
        <v>0.0</v>
      </c>
      <c r="W285" s="20">
        <v>1.0</v>
      </c>
      <c r="X285" s="24">
        <v>47484.0</v>
      </c>
      <c r="Y285" s="24">
        <v>47848.0</v>
      </c>
      <c r="Z285" s="20">
        <v>0.0</v>
      </c>
      <c r="AA285" s="20">
        <v>1.0</v>
      </c>
      <c r="AB285" s="24"/>
      <c r="AC285" s="24"/>
    </row>
    <row r="286" ht="14.25" customHeight="1">
      <c r="A286" s="46" t="s">
        <v>2620</v>
      </c>
      <c r="B286" s="20" t="s">
        <v>2621</v>
      </c>
      <c r="C286" s="20" t="s">
        <v>7041</v>
      </c>
      <c r="D286" s="24">
        <v>45658.0</v>
      </c>
      <c r="E286" s="24">
        <v>46022.0</v>
      </c>
      <c r="F286" s="20">
        <v>0.0</v>
      </c>
      <c r="G286" s="20">
        <v>1.0</v>
      </c>
      <c r="H286" s="24">
        <v>46023.0</v>
      </c>
      <c r="I286" s="24">
        <v>46387.0</v>
      </c>
      <c r="J286" s="20">
        <v>0.0</v>
      </c>
      <c r="K286" s="20">
        <v>1.0</v>
      </c>
      <c r="L286" s="24">
        <v>46388.0</v>
      </c>
      <c r="M286" s="24">
        <v>46752.0</v>
      </c>
      <c r="N286" s="20">
        <v>0.0</v>
      </c>
      <c r="O286" s="20">
        <v>1.0</v>
      </c>
      <c r="P286" s="24">
        <v>46753.0</v>
      </c>
      <c r="Q286" s="24">
        <v>47118.0</v>
      </c>
      <c r="R286" s="20">
        <v>0.0</v>
      </c>
      <c r="S286" s="20">
        <v>1.0</v>
      </c>
      <c r="T286" s="24">
        <v>47119.0</v>
      </c>
      <c r="U286" s="24">
        <v>47483.0</v>
      </c>
      <c r="V286" s="20">
        <v>0.0</v>
      </c>
      <c r="W286" s="20">
        <v>1.0</v>
      </c>
      <c r="X286" s="24">
        <v>47484.0</v>
      </c>
      <c r="Y286" s="24">
        <v>47848.0</v>
      </c>
      <c r="Z286" s="20">
        <v>0.0</v>
      </c>
      <c r="AA286" s="20">
        <v>1.0</v>
      </c>
      <c r="AB286" s="24"/>
      <c r="AC286" s="24"/>
    </row>
    <row r="287" ht="14.25" customHeight="1">
      <c r="A287" s="46" t="s">
        <v>2709</v>
      </c>
      <c r="B287" s="20" t="s">
        <v>2710</v>
      </c>
      <c r="C287" s="20" t="s">
        <v>7041</v>
      </c>
      <c r="D287" s="24">
        <v>45658.0</v>
      </c>
      <c r="E287" s="24">
        <v>46022.0</v>
      </c>
      <c r="F287" s="20">
        <v>0.0</v>
      </c>
      <c r="G287" s="20">
        <v>1.0</v>
      </c>
      <c r="H287" s="24">
        <v>46023.0</v>
      </c>
      <c r="I287" s="24">
        <v>46387.0</v>
      </c>
      <c r="J287" s="20">
        <v>0.0</v>
      </c>
      <c r="K287" s="20">
        <v>1.0</v>
      </c>
      <c r="L287" s="24">
        <v>46388.0</v>
      </c>
      <c r="M287" s="24">
        <v>46752.0</v>
      </c>
      <c r="N287" s="20">
        <v>0.0</v>
      </c>
      <c r="O287" s="20">
        <v>1.0</v>
      </c>
      <c r="P287" s="24">
        <v>46753.0</v>
      </c>
      <c r="Q287" s="24">
        <v>47118.0</v>
      </c>
      <c r="R287" s="20">
        <v>0.0</v>
      </c>
      <c r="S287" s="20">
        <v>1.0</v>
      </c>
      <c r="T287" s="24">
        <v>47119.0</v>
      </c>
      <c r="U287" s="24">
        <v>47483.0</v>
      </c>
      <c r="V287" s="20">
        <v>0.0</v>
      </c>
      <c r="W287" s="20">
        <v>1.0</v>
      </c>
      <c r="X287" s="24">
        <v>47484.0</v>
      </c>
      <c r="Y287" s="24">
        <v>47848.0</v>
      </c>
      <c r="Z287" s="20">
        <v>0.0</v>
      </c>
      <c r="AA287" s="20">
        <v>1.0</v>
      </c>
      <c r="AB287" s="24"/>
      <c r="AC287" s="24"/>
    </row>
    <row r="288" ht="14.25" customHeight="1">
      <c r="A288" s="46" t="s">
        <v>2781</v>
      </c>
      <c r="B288" s="20" t="s">
        <v>2782</v>
      </c>
      <c r="C288" s="20" t="s">
        <v>7041</v>
      </c>
      <c r="D288" s="24">
        <v>45658.0</v>
      </c>
      <c r="E288" s="24">
        <v>46022.0</v>
      </c>
      <c r="F288" s="20">
        <v>1.0</v>
      </c>
      <c r="G288" s="20">
        <v>1.0</v>
      </c>
      <c r="H288" s="24">
        <v>46023.0</v>
      </c>
      <c r="I288" s="24">
        <v>46387.0</v>
      </c>
      <c r="J288" s="20">
        <v>0.0</v>
      </c>
      <c r="K288" s="20">
        <v>1.0</v>
      </c>
      <c r="L288" s="24">
        <v>46388.0</v>
      </c>
      <c r="M288" s="24">
        <v>46752.0</v>
      </c>
      <c r="N288" s="20">
        <v>0.0</v>
      </c>
      <c r="O288" s="20">
        <v>1.0</v>
      </c>
      <c r="P288" s="24">
        <v>46753.0</v>
      </c>
      <c r="Q288" s="24">
        <v>47118.0</v>
      </c>
      <c r="R288" s="20">
        <v>0.0</v>
      </c>
      <c r="S288" s="20">
        <v>1.0</v>
      </c>
      <c r="T288" s="24">
        <v>47119.0</v>
      </c>
      <c r="U288" s="24">
        <v>47483.0</v>
      </c>
      <c r="V288" s="20">
        <v>0.0</v>
      </c>
      <c r="W288" s="20">
        <v>1.0</v>
      </c>
      <c r="X288" s="24">
        <v>47484.0</v>
      </c>
      <c r="Y288" s="24">
        <v>47848.0</v>
      </c>
      <c r="Z288" s="20">
        <v>0.0</v>
      </c>
      <c r="AA288" s="20">
        <v>1.0</v>
      </c>
      <c r="AB288" s="24"/>
      <c r="AC288" s="24"/>
    </row>
    <row r="289" ht="14.25" customHeight="1">
      <c r="A289" s="46" t="s">
        <v>2948</v>
      </c>
      <c r="B289" s="20" t="s">
        <v>2949</v>
      </c>
      <c r="C289" s="20" t="s">
        <v>7041</v>
      </c>
      <c r="D289" s="24">
        <v>45658.0</v>
      </c>
      <c r="E289" s="24">
        <v>46022.0</v>
      </c>
      <c r="F289" s="20">
        <v>0.0</v>
      </c>
      <c r="G289" s="20">
        <v>1.0</v>
      </c>
      <c r="H289" s="24">
        <v>46023.0</v>
      </c>
      <c r="I289" s="24">
        <v>46387.0</v>
      </c>
      <c r="J289" s="20">
        <v>0.0</v>
      </c>
      <c r="K289" s="20">
        <v>1.0</v>
      </c>
      <c r="L289" s="24">
        <v>46388.0</v>
      </c>
      <c r="M289" s="24">
        <v>46752.0</v>
      </c>
      <c r="N289" s="20">
        <v>0.0</v>
      </c>
      <c r="O289" s="20">
        <v>1.0</v>
      </c>
      <c r="P289" s="24">
        <v>46753.0</v>
      </c>
      <c r="Q289" s="24">
        <v>47118.0</v>
      </c>
      <c r="R289" s="20">
        <v>0.0</v>
      </c>
      <c r="S289" s="20">
        <v>1.0</v>
      </c>
      <c r="T289" s="24">
        <v>47119.0</v>
      </c>
      <c r="U289" s="24">
        <v>47483.0</v>
      </c>
      <c r="V289" s="20">
        <v>0.0</v>
      </c>
      <c r="W289" s="20">
        <v>1.0</v>
      </c>
      <c r="X289" s="24">
        <v>47484.0</v>
      </c>
      <c r="Y289" s="24">
        <v>47848.0</v>
      </c>
      <c r="Z289" s="20">
        <v>0.0</v>
      </c>
      <c r="AA289" s="20">
        <v>1.0</v>
      </c>
      <c r="AB289" s="24"/>
      <c r="AC289" s="24"/>
    </row>
    <row r="290" ht="14.25" customHeight="1">
      <c r="A290" s="46" t="s">
        <v>2957</v>
      </c>
      <c r="B290" s="20" t="s">
        <v>2958</v>
      </c>
      <c r="C290" s="20" t="s">
        <v>7041</v>
      </c>
      <c r="D290" s="24">
        <v>45658.0</v>
      </c>
      <c r="E290" s="24">
        <v>46022.0</v>
      </c>
      <c r="F290" s="20">
        <v>1.0</v>
      </c>
      <c r="G290" s="20">
        <v>1.0</v>
      </c>
      <c r="H290" s="24">
        <v>46023.0</v>
      </c>
      <c r="I290" s="24">
        <v>46387.0</v>
      </c>
      <c r="J290" s="20">
        <v>0.0</v>
      </c>
      <c r="K290" s="20">
        <v>1.0</v>
      </c>
      <c r="L290" s="24">
        <v>46388.0</v>
      </c>
      <c r="M290" s="24">
        <v>46752.0</v>
      </c>
      <c r="N290" s="20">
        <v>0.0</v>
      </c>
      <c r="O290" s="20">
        <v>1.0</v>
      </c>
      <c r="P290" s="24">
        <v>46753.0</v>
      </c>
      <c r="Q290" s="24">
        <v>47118.0</v>
      </c>
      <c r="R290" s="20">
        <v>0.0</v>
      </c>
      <c r="S290" s="20">
        <v>1.0</v>
      </c>
      <c r="T290" s="24">
        <v>47119.0</v>
      </c>
      <c r="U290" s="24">
        <v>47483.0</v>
      </c>
      <c r="V290" s="20">
        <v>0.0</v>
      </c>
      <c r="W290" s="20">
        <v>1.0</v>
      </c>
      <c r="X290" s="24">
        <v>47484.0</v>
      </c>
      <c r="Y290" s="24">
        <v>47848.0</v>
      </c>
      <c r="Z290" s="20">
        <v>0.0</v>
      </c>
      <c r="AA290" s="20">
        <v>1.0</v>
      </c>
      <c r="AB290" s="24"/>
      <c r="AC290" s="24"/>
    </row>
    <row r="291" ht="14.25" customHeight="1">
      <c r="A291" s="46" t="s">
        <v>3189</v>
      </c>
      <c r="B291" s="20" t="s">
        <v>3190</v>
      </c>
      <c r="C291" s="20" t="s">
        <v>7041</v>
      </c>
      <c r="D291" s="24">
        <v>45658.0</v>
      </c>
      <c r="E291" s="24">
        <v>46022.0</v>
      </c>
      <c r="F291" s="20">
        <v>1.0</v>
      </c>
      <c r="G291" s="20">
        <v>1.0</v>
      </c>
      <c r="H291" s="24">
        <v>46023.0</v>
      </c>
      <c r="I291" s="24">
        <v>46387.0</v>
      </c>
      <c r="J291" s="20">
        <v>0.0</v>
      </c>
      <c r="K291" s="20">
        <v>1.0</v>
      </c>
      <c r="L291" s="24">
        <v>46388.0</v>
      </c>
      <c r="M291" s="24">
        <v>46752.0</v>
      </c>
      <c r="N291" s="20">
        <v>0.0</v>
      </c>
      <c r="O291" s="20">
        <v>1.0</v>
      </c>
      <c r="P291" s="24">
        <v>46753.0</v>
      </c>
      <c r="Q291" s="24">
        <v>47118.0</v>
      </c>
      <c r="R291" s="20">
        <v>0.0</v>
      </c>
      <c r="S291" s="20">
        <v>1.0</v>
      </c>
      <c r="T291" s="24">
        <v>47119.0</v>
      </c>
      <c r="U291" s="24">
        <v>47483.0</v>
      </c>
      <c r="V291" s="20">
        <v>0.0</v>
      </c>
      <c r="W291" s="20">
        <v>1.0</v>
      </c>
      <c r="X291" s="24">
        <v>47484.0</v>
      </c>
      <c r="Y291" s="24">
        <v>47848.0</v>
      </c>
      <c r="Z291" s="20">
        <v>0.0</v>
      </c>
      <c r="AA291" s="20">
        <v>1.0</v>
      </c>
      <c r="AB291" s="24"/>
      <c r="AC291" s="24"/>
    </row>
    <row r="292" ht="14.25" customHeight="1">
      <c r="A292" s="46" t="s">
        <v>3291</v>
      </c>
      <c r="B292" s="20" t="s">
        <v>3292</v>
      </c>
      <c r="C292" s="20" t="s">
        <v>7041</v>
      </c>
      <c r="D292" s="24">
        <v>45658.0</v>
      </c>
      <c r="E292" s="24">
        <v>46022.0</v>
      </c>
      <c r="F292" s="20">
        <v>1.0</v>
      </c>
      <c r="G292" s="20">
        <v>1.0</v>
      </c>
      <c r="H292" s="24">
        <v>46023.0</v>
      </c>
      <c r="I292" s="24">
        <v>46387.0</v>
      </c>
      <c r="J292" s="20">
        <v>0.0</v>
      </c>
      <c r="K292" s="20">
        <v>1.0</v>
      </c>
      <c r="L292" s="24">
        <v>46388.0</v>
      </c>
      <c r="M292" s="24">
        <v>46752.0</v>
      </c>
      <c r="N292" s="20">
        <v>0.0</v>
      </c>
      <c r="O292" s="20">
        <v>1.0</v>
      </c>
      <c r="P292" s="24">
        <v>46753.0</v>
      </c>
      <c r="Q292" s="24">
        <v>47118.0</v>
      </c>
      <c r="R292" s="20">
        <v>0.0</v>
      </c>
      <c r="S292" s="20">
        <v>1.0</v>
      </c>
      <c r="T292" s="24">
        <v>47119.0</v>
      </c>
      <c r="U292" s="24">
        <v>47483.0</v>
      </c>
      <c r="V292" s="20">
        <v>0.0</v>
      </c>
      <c r="W292" s="20">
        <v>1.0</v>
      </c>
      <c r="X292" s="24">
        <v>47484.0</v>
      </c>
      <c r="Y292" s="24">
        <v>47848.0</v>
      </c>
      <c r="Z292" s="20">
        <v>0.0</v>
      </c>
      <c r="AA292" s="20">
        <v>1.0</v>
      </c>
      <c r="AB292" s="24"/>
      <c r="AC292" s="24"/>
    </row>
    <row r="293" ht="14.25" customHeight="1">
      <c r="A293" s="46" t="s">
        <v>3326</v>
      </c>
      <c r="B293" s="20" t="s">
        <v>3327</v>
      </c>
      <c r="C293" s="20" t="s">
        <v>7041</v>
      </c>
      <c r="D293" s="24">
        <v>45658.0</v>
      </c>
      <c r="E293" s="24">
        <v>46022.0</v>
      </c>
      <c r="F293" s="20">
        <v>0.0</v>
      </c>
      <c r="G293" s="20">
        <v>1.0</v>
      </c>
      <c r="H293" s="24">
        <v>46023.0</v>
      </c>
      <c r="I293" s="24">
        <v>46387.0</v>
      </c>
      <c r="J293" s="20">
        <v>0.0</v>
      </c>
      <c r="K293" s="20">
        <v>1.0</v>
      </c>
      <c r="L293" s="24">
        <v>46388.0</v>
      </c>
      <c r="M293" s="24">
        <v>46752.0</v>
      </c>
      <c r="N293" s="20">
        <v>0.0</v>
      </c>
      <c r="O293" s="20">
        <v>1.0</v>
      </c>
      <c r="P293" s="24">
        <v>46753.0</v>
      </c>
      <c r="Q293" s="24">
        <v>47118.0</v>
      </c>
      <c r="R293" s="20">
        <v>0.0</v>
      </c>
      <c r="S293" s="20">
        <v>1.0</v>
      </c>
      <c r="T293" s="24">
        <v>47119.0</v>
      </c>
      <c r="U293" s="24">
        <v>47483.0</v>
      </c>
      <c r="V293" s="20">
        <v>0.0</v>
      </c>
      <c r="W293" s="20">
        <v>1.0</v>
      </c>
      <c r="X293" s="24">
        <v>47484.0</v>
      </c>
      <c r="Y293" s="24">
        <v>47848.0</v>
      </c>
      <c r="Z293" s="20">
        <v>0.0</v>
      </c>
      <c r="AA293" s="20">
        <v>1.0</v>
      </c>
      <c r="AB293" s="24"/>
      <c r="AC293" s="24"/>
    </row>
    <row r="294" ht="14.25" customHeight="1">
      <c r="A294" s="46" t="s">
        <v>3396</v>
      </c>
      <c r="B294" s="20" t="s">
        <v>3397</v>
      </c>
      <c r="C294" s="20" t="s">
        <v>7041</v>
      </c>
      <c r="D294" s="24">
        <v>45658.0</v>
      </c>
      <c r="E294" s="24">
        <v>46022.0</v>
      </c>
      <c r="F294" s="20">
        <v>0.0</v>
      </c>
      <c r="G294" s="20">
        <v>1.0</v>
      </c>
      <c r="H294" s="24">
        <v>46023.0</v>
      </c>
      <c r="I294" s="24">
        <v>46387.0</v>
      </c>
      <c r="J294" s="20">
        <v>0.0</v>
      </c>
      <c r="K294" s="20">
        <v>1.0</v>
      </c>
      <c r="L294" s="24">
        <v>46388.0</v>
      </c>
      <c r="M294" s="24">
        <v>46752.0</v>
      </c>
      <c r="N294" s="20">
        <v>0.0</v>
      </c>
      <c r="O294" s="20">
        <v>1.0</v>
      </c>
      <c r="P294" s="24">
        <v>46753.0</v>
      </c>
      <c r="Q294" s="24">
        <v>47118.0</v>
      </c>
      <c r="R294" s="20">
        <v>0.0</v>
      </c>
      <c r="S294" s="20">
        <v>1.0</v>
      </c>
      <c r="T294" s="24">
        <v>47119.0</v>
      </c>
      <c r="U294" s="24">
        <v>47483.0</v>
      </c>
      <c r="V294" s="20">
        <v>0.0</v>
      </c>
      <c r="W294" s="20">
        <v>1.0</v>
      </c>
      <c r="X294" s="24">
        <v>47484.0</v>
      </c>
      <c r="Y294" s="24">
        <v>47848.0</v>
      </c>
      <c r="Z294" s="20">
        <v>0.0</v>
      </c>
      <c r="AA294" s="20">
        <v>1.0</v>
      </c>
      <c r="AB294" s="24"/>
      <c r="AC294" s="24"/>
    </row>
    <row r="295" ht="14.25" customHeight="1">
      <c r="A295" s="46" t="s">
        <v>3403</v>
      </c>
      <c r="B295" s="20" t="s">
        <v>3404</v>
      </c>
      <c r="C295" s="20" t="s">
        <v>7041</v>
      </c>
      <c r="D295" s="24">
        <v>45658.0</v>
      </c>
      <c r="E295" s="24">
        <v>46022.0</v>
      </c>
      <c r="F295" s="20">
        <v>0.0</v>
      </c>
      <c r="G295" s="20">
        <v>1.0</v>
      </c>
      <c r="H295" s="24">
        <v>46023.0</v>
      </c>
      <c r="I295" s="24">
        <v>46387.0</v>
      </c>
      <c r="J295" s="20">
        <v>0.0</v>
      </c>
      <c r="K295" s="20">
        <v>1.0</v>
      </c>
      <c r="L295" s="24">
        <v>46388.0</v>
      </c>
      <c r="M295" s="24">
        <v>46752.0</v>
      </c>
      <c r="N295" s="20">
        <v>0.0</v>
      </c>
      <c r="O295" s="20">
        <v>1.0</v>
      </c>
      <c r="P295" s="24">
        <v>46753.0</v>
      </c>
      <c r="Q295" s="24">
        <v>47118.0</v>
      </c>
      <c r="R295" s="20">
        <v>0.0</v>
      </c>
      <c r="S295" s="20">
        <v>1.0</v>
      </c>
      <c r="T295" s="24">
        <v>47119.0</v>
      </c>
      <c r="U295" s="24">
        <v>47483.0</v>
      </c>
      <c r="V295" s="20">
        <v>0.0</v>
      </c>
      <c r="W295" s="20">
        <v>1.0</v>
      </c>
      <c r="X295" s="24">
        <v>47484.0</v>
      </c>
      <c r="Y295" s="24">
        <v>47848.0</v>
      </c>
      <c r="Z295" s="20">
        <v>0.0</v>
      </c>
      <c r="AA295" s="20">
        <v>1.0</v>
      </c>
      <c r="AB295" s="24"/>
      <c r="AC295" s="24"/>
    </row>
    <row r="296" ht="14.25" customHeight="1">
      <c r="A296" s="46" t="s">
        <v>3469</v>
      </c>
      <c r="B296" s="20" t="s">
        <v>3470</v>
      </c>
      <c r="C296" s="20" t="s">
        <v>7041</v>
      </c>
      <c r="D296" s="24">
        <v>45658.0</v>
      </c>
      <c r="E296" s="24">
        <v>46022.0</v>
      </c>
      <c r="F296" s="20">
        <v>0.0</v>
      </c>
      <c r="G296" s="20">
        <v>1.0</v>
      </c>
      <c r="H296" s="24">
        <v>46023.0</v>
      </c>
      <c r="I296" s="24">
        <v>46387.0</v>
      </c>
      <c r="J296" s="20">
        <v>0.0</v>
      </c>
      <c r="K296" s="20">
        <v>1.0</v>
      </c>
      <c r="L296" s="24">
        <v>46388.0</v>
      </c>
      <c r="M296" s="24">
        <v>46752.0</v>
      </c>
      <c r="N296" s="20">
        <v>0.0</v>
      </c>
      <c r="O296" s="20">
        <v>1.0</v>
      </c>
      <c r="P296" s="24">
        <v>46753.0</v>
      </c>
      <c r="Q296" s="24">
        <v>47118.0</v>
      </c>
      <c r="R296" s="20">
        <v>0.0</v>
      </c>
      <c r="S296" s="20">
        <v>1.0</v>
      </c>
      <c r="T296" s="24">
        <v>47119.0</v>
      </c>
      <c r="U296" s="24">
        <v>47483.0</v>
      </c>
      <c r="V296" s="20">
        <v>0.0</v>
      </c>
      <c r="W296" s="20">
        <v>1.0</v>
      </c>
      <c r="X296" s="24">
        <v>47484.0</v>
      </c>
      <c r="Y296" s="24">
        <v>47848.0</v>
      </c>
      <c r="Z296" s="20">
        <v>0.0</v>
      </c>
      <c r="AA296" s="20">
        <v>1.0</v>
      </c>
      <c r="AB296" s="24"/>
      <c r="AC296" s="24"/>
    </row>
    <row r="297" ht="14.25" customHeight="1">
      <c r="A297" s="46" t="s">
        <v>3543</v>
      </c>
      <c r="B297" s="20" t="s">
        <v>3544</v>
      </c>
      <c r="C297" s="20" t="s">
        <v>7041</v>
      </c>
      <c r="D297" s="24">
        <v>45658.0</v>
      </c>
      <c r="E297" s="24">
        <v>46022.0</v>
      </c>
      <c r="F297" s="20">
        <v>0.0</v>
      </c>
      <c r="G297" s="20">
        <v>1.0</v>
      </c>
      <c r="H297" s="24">
        <v>46023.0</v>
      </c>
      <c r="I297" s="24">
        <v>46387.0</v>
      </c>
      <c r="J297" s="20">
        <v>0.0</v>
      </c>
      <c r="K297" s="20">
        <v>1.0</v>
      </c>
      <c r="L297" s="24">
        <v>46388.0</v>
      </c>
      <c r="M297" s="24">
        <v>46752.0</v>
      </c>
      <c r="N297" s="20">
        <v>0.0</v>
      </c>
      <c r="O297" s="20">
        <v>1.0</v>
      </c>
      <c r="P297" s="24">
        <v>46753.0</v>
      </c>
      <c r="Q297" s="24">
        <v>47118.0</v>
      </c>
      <c r="R297" s="20">
        <v>0.0</v>
      </c>
      <c r="S297" s="20">
        <v>1.0</v>
      </c>
      <c r="T297" s="24">
        <v>47119.0</v>
      </c>
      <c r="U297" s="24">
        <v>47483.0</v>
      </c>
      <c r="V297" s="20">
        <v>0.0</v>
      </c>
      <c r="W297" s="20">
        <v>1.0</v>
      </c>
      <c r="X297" s="24">
        <v>47484.0</v>
      </c>
      <c r="Y297" s="24">
        <v>47848.0</v>
      </c>
      <c r="Z297" s="20">
        <v>0.0</v>
      </c>
      <c r="AA297" s="20">
        <v>1.0</v>
      </c>
      <c r="AB297" s="24"/>
      <c r="AC297" s="24"/>
    </row>
    <row r="298" ht="14.25" customHeight="1">
      <c r="A298" s="46" t="s">
        <v>3555</v>
      </c>
      <c r="B298" s="20" t="s">
        <v>3556</v>
      </c>
      <c r="C298" s="20" t="s">
        <v>7041</v>
      </c>
      <c r="D298" s="24">
        <v>45658.0</v>
      </c>
      <c r="E298" s="24">
        <v>46022.0</v>
      </c>
      <c r="F298" s="20">
        <v>1.0</v>
      </c>
      <c r="G298" s="20">
        <v>1.0</v>
      </c>
      <c r="H298" s="24">
        <v>46023.0</v>
      </c>
      <c r="I298" s="24">
        <v>46387.0</v>
      </c>
      <c r="J298" s="20">
        <v>0.0</v>
      </c>
      <c r="K298" s="20">
        <v>1.0</v>
      </c>
      <c r="L298" s="24">
        <v>46388.0</v>
      </c>
      <c r="M298" s="24">
        <v>46752.0</v>
      </c>
      <c r="N298" s="20">
        <v>0.0</v>
      </c>
      <c r="O298" s="20">
        <v>1.0</v>
      </c>
      <c r="P298" s="24">
        <v>46753.0</v>
      </c>
      <c r="Q298" s="24">
        <v>47118.0</v>
      </c>
      <c r="R298" s="20">
        <v>0.0</v>
      </c>
      <c r="S298" s="20">
        <v>1.0</v>
      </c>
      <c r="T298" s="24">
        <v>47119.0</v>
      </c>
      <c r="U298" s="24">
        <v>47483.0</v>
      </c>
      <c r="V298" s="20">
        <v>0.0</v>
      </c>
      <c r="W298" s="20">
        <v>1.0</v>
      </c>
      <c r="X298" s="24">
        <v>47484.0</v>
      </c>
      <c r="Y298" s="24">
        <v>47848.0</v>
      </c>
      <c r="Z298" s="20">
        <v>0.0</v>
      </c>
      <c r="AA298" s="20">
        <v>1.0</v>
      </c>
      <c r="AB298" s="24"/>
      <c r="AC298" s="24"/>
    </row>
    <row r="299" ht="14.25" customHeight="1">
      <c r="A299" s="46" t="s">
        <v>3572</v>
      </c>
      <c r="B299" s="20" t="s">
        <v>3573</v>
      </c>
      <c r="C299" s="20" t="s">
        <v>7041</v>
      </c>
      <c r="D299" s="24">
        <v>45658.0</v>
      </c>
      <c r="E299" s="24">
        <v>46022.0</v>
      </c>
      <c r="F299" s="20">
        <v>1.0</v>
      </c>
      <c r="G299" s="20">
        <v>1.0</v>
      </c>
      <c r="H299" s="24">
        <v>46023.0</v>
      </c>
      <c r="I299" s="24">
        <v>46387.0</v>
      </c>
      <c r="J299" s="20">
        <v>0.0</v>
      </c>
      <c r="K299" s="20">
        <v>1.0</v>
      </c>
      <c r="L299" s="24">
        <v>46388.0</v>
      </c>
      <c r="M299" s="24">
        <v>46752.0</v>
      </c>
      <c r="N299" s="20">
        <v>0.0</v>
      </c>
      <c r="O299" s="20">
        <v>1.0</v>
      </c>
      <c r="P299" s="24">
        <v>46753.0</v>
      </c>
      <c r="Q299" s="24">
        <v>47118.0</v>
      </c>
      <c r="R299" s="20">
        <v>0.0</v>
      </c>
      <c r="S299" s="20">
        <v>1.0</v>
      </c>
      <c r="T299" s="24">
        <v>47119.0</v>
      </c>
      <c r="U299" s="24">
        <v>47483.0</v>
      </c>
      <c r="V299" s="20">
        <v>0.0</v>
      </c>
      <c r="W299" s="20">
        <v>1.0</v>
      </c>
      <c r="X299" s="24">
        <v>47484.0</v>
      </c>
      <c r="Y299" s="24">
        <v>47848.0</v>
      </c>
      <c r="Z299" s="20">
        <v>0.0</v>
      </c>
      <c r="AA299" s="20">
        <v>1.0</v>
      </c>
      <c r="AB299" s="24"/>
      <c r="AC299" s="24"/>
    </row>
    <row r="300" ht="14.25" customHeight="1">
      <c r="A300" s="46" t="s">
        <v>3618</v>
      </c>
      <c r="B300" s="20" t="s">
        <v>3619</v>
      </c>
      <c r="C300" s="20" t="s">
        <v>7041</v>
      </c>
      <c r="D300" s="24">
        <v>45658.0</v>
      </c>
      <c r="E300" s="24">
        <v>46022.0</v>
      </c>
      <c r="F300" s="20">
        <v>0.0</v>
      </c>
      <c r="G300" s="20">
        <v>1.0</v>
      </c>
      <c r="H300" s="24">
        <v>46023.0</v>
      </c>
      <c r="I300" s="24">
        <v>46387.0</v>
      </c>
      <c r="J300" s="20">
        <v>0.0</v>
      </c>
      <c r="K300" s="20">
        <v>1.0</v>
      </c>
      <c r="L300" s="24">
        <v>46388.0</v>
      </c>
      <c r="M300" s="24">
        <v>46752.0</v>
      </c>
      <c r="N300" s="20">
        <v>0.0</v>
      </c>
      <c r="O300" s="20">
        <v>1.0</v>
      </c>
      <c r="P300" s="24">
        <v>46753.0</v>
      </c>
      <c r="Q300" s="24">
        <v>47118.0</v>
      </c>
      <c r="R300" s="20">
        <v>0.0</v>
      </c>
      <c r="S300" s="20">
        <v>1.0</v>
      </c>
      <c r="T300" s="24">
        <v>47119.0</v>
      </c>
      <c r="U300" s="24">
        <v>47483.0</v>
      </c>
      <c r="V300" s="20">
        <v>0.0</v>
      </c>
      <c r="W300" s="20">
        <v>1.0</v>
      </c>
      <c r="X300" s="24">
        <v>47484.0</v>
      </c>
      <c r="Y300" s="24">
        <v>47848.0</v>
      </c>
      <c r="Z300" s="20">
        <v>0.0</v>
      </c>
      <c r="AA300" s="20">
        <v>1.0</v>
      </c>
      <c r="AB300" s="24"/>
      <c r="AC300" s="24"/>
    </row>
    <row r="301" ht="14.25" customHeight="1">
      <c r="A301" s="46" t="s">
        <v>3637</v>
      </c>
      <c r="B301" s="20" t="s">
        <v>3638</v>
      </c>
      <c r="C301" s="20" t="s">
        <v>7041</v>
      </c>
      <c r="D301" s="24">
        <v>45658.0</v>
      </c>
      <c r="E301" s="24">
        <v>46022.0</v>
      </c>
      <c r="F301" s="20">
        <v>0.0</v>
      </c>
      <c r="G301" s="20">
        <v>1.0</v>
      </c>
      <c r="H301" s="24">
        <v>46023.0</v>
      </c>
      <c r="I301" s="24">
        <v>46387.0</v>
      </c>
      <c r="J301" s="20">
        <v>0.0</v>
      </c>
      <c r="K301" s="20">
        <v>1.0</v>
      </c>
      <c r="L301" s="24">
        <v>46388.0</v>
      </c>
      <c r="M301" s="24">
        <v>46752.0</v>
      </c>
      <c r="N301" s="20">
        <v>0.0</v>
      </c>
      <c r="O301" s="20">
        <v>1.0</v>
      </c>
      <c r="P301" s="24">
        <v>46753.0</v>
      </c>
      <c r="Q301" s="24">
        <v>47118.0</v>
      </c>
      <c r="R301" s="20">
        <v>0.0</v>
      </c>
      <c r="S301" s="20">
        <v>1.0</v>
      </c>
      <c r="T301" s="24">
        <v>47119.0</v>
      </c>
      <c r="U301" s="24">
        <v>47483.0</v>
      </c>
      <c r="V301" s="20">
        <v>0.0</v>
      </c>
      <c r="W301" s="20">
        <v>1.0</v>
      </c>
      <c r="X301" s="24">
        <v>47484.0</v>
      </c>
      <c r="Y301" s="24">
        <v>47848.0</v>
      </c>
      <c r="Z301" s="20">
        <v>0.0</v>
      </c>
      <c r="AA301" s="20">
        <v>1.0</v>
      </c>
      <c r="AB301" s="24"/>
      <c r="AC301" s="24"/>
    </row>
    <row r="302" ht="14.25" customHeight="1">
      <c r="A302" s="46" t="s">
        <v>3703</v>
      </c>
      <c r="B302" s="20" t="s">
        <v>3704</v>
      </c>
      <c r="C302" s="20" t="s">
        <v>7041</v>
      </c>
      <c r="D302" s="24">
        <v>45658.0</v>
      </c>
      <c r="E302" s="24">
        <v>46022.0</v>
      </c>
      <c r="F302" s="20">
        <v>0.0</v>
      </c>
      <c r="G302" s="20">
        <v>1.0</v>
      </c>
      <c r="H302" s="24">
        <v>46023.0</v>
      </c>
      <c r="I302" s="24">
        <v>46387.0</v>
      </c>
      <c r="J302" s="20">
        <v>0.0</v>
      </c>
      <c r="K302" s="20">
        <v>1.0</v>
      </c>
      <c r="L302" s="24">
        <v>46388.0</v>
      </c>
      <c r="M302" s="24">
        <v>46752.0</v>
      </c>
      <c r="N302" s="20">
        <v>0.0</v>
      </c>
      <c r="O302" s="20">
        <v>1.0</v>
      </c>
      <c r="P302" s="24">
        <v>46753.0</v>
      </c>
      <c r="Q302" s="24">
        <v>47118.0</v>
      </c>
      <c r="R302" s="20">
        <v>0.0</v>
      </c>
      <c r="S302" s="20">
        <v>1.0</v>
      </c>
      <c r="T302" s="24">
        <v>47119.0</v>
      </c>
      <c r="U302" s="24">
        <v>47483.0</v>
      </c>
      <c r="V302" s="20">
        <v>0.0</v>
      </c>
      <c r="W302" s="20">
        <v>1.0</v>
      </c>
      <c r="X302" s="24">
        <v>47484.0</v>
      </c>
      <c r="Y302" s="24">
        <v>47848.0</v>
      </c>
      <c r="Z302" s="20">
        <v>0.0</v>
      </c>
      <c r="AA302" s="20">
        <v>1.0</v>
      </c>
      <c r="AB302" s="24"/>
      <c r="AC302" s="24"/>
    </row>
    <row r="303" ht="14.25" customHeight="1">
      <c r="A303" s="46" t="s">
        <v>3709</v>
      </c>
      <c r="B303" s="20" t="s">
        <v>3710</v>
      </c>
      <c r="C303" s="20" t="s">
        <v>7041</v>
      </c>
      <c r="D303" s="24">
        <v>45658.0</v>
      </c>
      <c r="E303" s="24">
        <v>46022.0</v>
      </c>
      <c r="F303" s="20">
        <v>0.0</v>
      </c>
      <c r="G303" s="20">
        <v>1.0</v>
      </c>
      <c r="H303" s="24">
        <v>46023.0</v>
      </c>
      <c r="I303" s="24">
        <v>46387.0</v>
      </c>
      <c r="J303" s="20">
        <v>0.0</v>
      </c>
      <c r="K303" s="20">
        <v>1.0</v>
      </c>
      <c r="L303" s="24">
        <v>46388.0</v>
      </c>
      <c r="M303" s="24">
        <v>46752.0</v>
      </c>
      <c r="N303" s="20">
        <v>0.0</v>
      </c>
      <c r="O303" s="20">
        <v>1.0</v>
      </c>
      <c r="P303" s="24">
        <v>46753.0</v>
      </c>
      <c r="Q303" s="24">
        <v>47118.0</v>
      </c>
      <c r="R303" s="20">
        <v>0.0</v>
      </c>
      <c r="S303" s="20">
        <v>1.0</v>
      </c>
      <c r="T303" s="24">
        <v>47119.0</v>
      </c>
      <c r="U303" s="24">
        <v>47483.0</v>
      </c>
      <c r="V303" s="20">
        <v>0.0</v>
      </c>
      <c r="W303" s="20">
        <v>1.0</v>
      </c>
      <c r="X303" s="24">
        <v>47484.0</v>
      </c>
      <c r="Y303" s="24">
        <v>47848.0</v>
      </c>
      <c r="Z303" s="20">
        <v>0.0</v>
      </c>
      <c r="AA303" s="20">
        <v>1.0</v>
      </c>
      <c r="AB303" s="24"/>
      <c r="AC303" s="24"/>
    </row>
    <row r="304" ht="14.25" customHeight="1">
      <c r="A304" s="46" t="s">
        <v>3730</v>
      </c>
      <c r="B304" s="20" t="s">
        <v>3731</v>
      </c>
      <c r="C304" s="20" t="s">
        <v>7041</v>
      </c>
      <c r="D304" s="24">
        <v>45658.0</v>
      </c>
      <c r="E304" s="24">
        <v>46022.0</v>
      </c>
      <c r="F304" s="20">
        <v>1.0</v>
      </c>
      <c r="G304" s="20">
        <v>1.0</v>
      </c>
      <c r="H304" s="24">
        <v>46023.0</v>
      </c>
      <c r="I304" s="24">
        <v>46387.0</v>
      </c>
      <c r="J304" s="20">
        <v>0.0</v>
      </c>
      <c r="K304" s="20">
        <v>1.0</v>
      </c>
      <c r="L304" s="24">
        <v>46388.0</v>
      </c>
      <c r="M304" s="24">
        <v>46752.0</v>
      </c>
      <c r="N304" s="20">
        <v>0.0</v>
      </c>
      <c r="O304" s="20">
        <v>1.0</v>
      </c>
      <c r="P304" s="24">
        <v>46753.0</v>
      </c>
      <c r="Q304" s="24">
        <v>47118.0</v>
      </c>
      <c r="R304" s="20">
        <v>0.0</v>
      </c>
      <c r="S304" s="20">
        <v>1.0</v>
      </c>
      <c r="T304" s="24">
        <v>47119.0</v>
      </c>
      <c r="U304" s="24">
        <v>47483.0</v>
      </c>
      <c r="V304" s="20">
        <v>0.0</v>
      </c>
      <c r="W304" s="20">
        <v>1.0</v>
      </c>
      <c r="X304" s="24">
        <v>47484.0</v>
      </c>
      <c r="Y304" s="24">
        <v>47848.0</v>
      </c>
      <c r="Z304" s="20">
        <v>0.0</v>
      </c>
      <c r="AA304" s="20">
        <v>1.0</v>
      </c>
      <c r="AB304" s="24"/>
      <c r="AC304" s="24"/>
    </row>
    <row r="305" ht="14.25" customHeight="1">
      <c r="A305" s="46" t="s">
        <v>3733</v>
      </c>
      <c r="B305" s="20" t="s">
        <v>3734</v>
      </c>
      <c r="C305" s="20" t="s">
        <v>7041</v>
      </c>
      <c r="D305" s="24">
        <v>45658.0</v>
      </c>
      <c r="E305" s="24">
        <v>46022.0</v>
      </c>
      <c r="F305" s="20">
        <v>1.0</v>
      </c>
      <c r="G305" s="20">
        <v>1.0</v>
      </c>
      <c r="H305" s="24">
        <v>46023.0</v>
      </c>
      <c r="I305" s="24">
        <v>46387.0</v>
      </c>
      <c r="J305" s="20">
        <v>0.0</v>
      </c>
      <c r="K305" s="20">
        <v>1.0</v>
      </c>
      <c r="L305" s="24">
        <v>46388.0</v>
      </c>
      <c r="M305" s="24">
        <v>46752.0</v>
      </c>
      <c r="N305" s="20">
        <v>0.0</v>
      </c>
      <c r="O305" s="20">
        <v>1.0</v>
      </c>
      <c r="P305" s="24">
        <v>46753.0</v>
      </c>
      <c r="Q305" s="24">
        <v>47118.0</v>
      </c>
      <c r="R305" s="20">
        <v>0.0</v>
      </c>
      <c r="S305" s="20">
        <v>1.0</v>
      </c>
      <c r="T305" s="24">
        <v>47119.0</v>
      </c>
      <c r="U305" s="24">
        <v>47483.0</v>
      </c>
      <c r="V305" s="20">
        <v>0.0</v>
      </c>
      <c r="W305" s="20">
        <v>1.0</v>
      </c>
      <c r="X305" s="24">
        <v>47484.0</v>
      </c>
      <c r="Y305" s="24">
        <v>47848.0</v>
      </c>
      <c r="Z305" s="20">
        <v>0.0</v>
      </c>
      <c r="AA305" s="20">
        <v>1.0</v>
      </c>
      <c r="AB305" s="24"/>
      <c r="AC305" s="24"/>
    </row>
    <row r="306" ht="14.25" customHeight="1">
      <c r="A306" s="46" t="s">
        <v>3746</v>
      </c>
      <c r="B306" s="20" t="s">
        <v>3747</v>
      </c>
      <c r="C306" s="20" t="s">
        <v>7041</v>
      </c>
      <c r="D306" s="24">
        <v>45658.0</v>
      </c>
      <c r="E306" s="24">
        <v>46022.0</v>
      </c>
      <c r="F306" s="20">
        <v>0.0</v>
      </c>
      <c r="G306" s="20">
        <v>1.0</v>
      </c>
      <c r="H306" s="24">
        <v>46023.0</v>
      </c>
      <c r="I306" s="24">
        <v>46387.0</v>
      </c>
      <c r="J306" s="20">
        <v>0.0</v>
      </c>
      <c r="K306" s="20">
        <v>1.0</v>
      </c>
      <c r="L306" s="24">
        <v>46388.0</v>
      </c>
      <c r="M306" s="24">
        <v>46752.0</v>
      </c>
      <c r="N306" s="20">
        <v>0.0</v>
      </c>
      <c r="O306" s="20">
        <v>1.0</v>
      </c>
      <c r="P306" s="24">
        <v>46753.0</v>
      </c>
      <c r="Q306" s="24">
        <v>47118.0</v>
      </c>
      <c r="R306" s="20">
        <v>0.0</v>
      </c>
      <c r="S306" s="20">
        <v>1.0</v>
      </c>
      <c r="T306" s="24">
        <v>47119.0</v>
      </c>
      <c r="U306" s="24">
        <v>47483.0</v>
      </c>
      <c r="V306" s="20">
        <v>0.0</v>
      </c>
      <c r="W306" s="20">
        <v>1.0</v>
      </c>
      <c r="X306" s="24">
        <v>47484.0</v>
      </c>
      <c r="Y306" s="24">
        <v>47848.0</v>
      </c>
      <c r="Z306" s="20">
        <v>0.0</v>
      </c>
      <c r="AA306" s="20">
        <v>1.0</v>
      </c>
      <c r="AB306" s="24"/>
      <c r="AC306" s="24"/>
    </row>
    <row r="307" ht="14.25" customHeight="1">
      <c r="A307" s="46" t="s">
        <v>3765</v>
      </c>
      <c r="B307" s="20" t="s">
        <v>3766</v>
      </c>
      <c r="C307" s="20" t="s">
        <v>7041</v>
      </c>
      <c r="D307" s="24">
        <v>45658.0</v>
      </c>
      <c r="E307" s="24">
        <v>46022.0</v>
      </c>
      <c r="F307" s="20">
        <v>0.0</v>
      </c>
      <c r="G307" s="20">
        <v>1.0</v>
      </c>
      <c r="H307" s="24">
        <v>46023.0</v>
      </c>
      <c r="I307" s="24">
        <v>46387.0</v>
      </c>
      <c r="J307" s="20">
        <v>0.0</v>
      </c>
      <c r="K307" s="20">
        <v>1.0</v>
      </c>
      <c r="L307" s="24">
        <v>46388.0</v>
      </c>
      <c r="M307" s="24">
        <v>46752.0</v>
      </c>
      <c r="N307" s="20">
        <v>0.0</v>
      </c>
      <c r="O307" s="20">
        <v>1.0</v>
      </c>
      <c r="P307" s="24">
        <v>46753.0</v>
      </c>
      <c r="Q307" s="24">
        <v>47118.0</v>
      </c>
      <c r="R307" s="20">
        <v>0.0</v>
      </c>
      <c r="S307" s="20">
        <v>1.0</v>
      </c>
      <c r="T307" s="24">
        <v>47119.0</v>
      </c>
      <c r="U307" s="24">
        <v>47483.0</v>
      </c>
      <c r="V307" s="20">
        <v>0.0</v>
      </c>
      <c r="W307" s="20">
        <v>1.0</v>
      </c>
      <c r="X307" s="24">
        <v>47484.0</v>
      </c>
      <c r="Y307" s="24">
        <v>47848.0</v>
      </c>
      <c r="Z307" s="20">
        <v>0.0</v>
      </c>
      <c r="AA307" s="20">
        <v>1.0</v>
      </c>
      <c r="AB307" s="24"/>
      <c r="AC307" s="24"/>
    </row>
    <row r="308" ht="14.25" customHeight="1">
      <c r="A308" s="46" t="s">
        <v>3768</v>
      </c>
      <c r="B308" s="20" t="s">
        <v>3769</v>
      </c>
      <c r="C308" s="20" t="s">
        <v>7041</v>
      </c>
      <c r="D308" s="24">
        <v>45658.0</v>
      </c>
      <c r="E308" s="24">
        <v>46022.0</v>
      </c>
      <c r="F308" s="20">
        <v>0.0</v>
      </c>
      <c r="G308" s="20">
        <v>1.0</v>
      </c>
      <c r="H308" s="24">
        <v>46023.0</v>
      </c>
      <c r="I308" s="24">
        <v>46387.0</v>
      </c>
      <c r="J308" s="20">
        <v>0.0</v>
      </c>
      <c r="K308" s="20">
        <v>1.0</v>
      </c>
      <c r="L308" s="24">
        <v>46388.0</v>
      </c>
      <c r="M308" s="24">
        <v>46752.0</v>
      </c>
      <c r="N308" s="20">
        <v>0.0</v>
      </c>
      <c r="O308" s="20">
        <v>1.0</v>
      </c>
      <c r="P308" s="24">
        <v>46753.0</v>
      </c>
      <c r="Q308" s="24">
        <v>47118.0</v>
      </c>
      <c r="R308" s="20">
        <v>0.0</v>
      </c>
      <c r="S308" s="20">
        <v>1.0</v>
      </c>
      <c r="T308" s="24">
        <v>47119.0</v>
      </c>
      <c r="U308" s="24">
        <v>47483.0</v>
      </c>
      <c r="V308" s="20">
        <v>0.0</v>
      </c>
      <c r="W308" s="20">
        <v>1.0</v>
      </c>
      <c r="X308" s="24">
        <v>47484.0</v>
      </c>
      <c r="Y308" s="24">
        <v>47848.0</v>
      </c>
      <c r="Z308" s="20">
        <v>0.0</v>
      </c>
      <c r="AA308" s="20">
        <v>1.0</v>
      </c>
      <c r="AB308" s="24"/>
      <c r="AC308" s="24"/>
    </row>
    <row r="309" ht="14.25" customHeight="1">
      <c r="A309" s="46" t="s">
        <v>3890</v>
      </c>
      <c r="B309" s="20" t="s">
        <v>3891</v>
      </c>
      <c r="C309" s="20" t="s">
        <v>7041</v>
      </c>
      <c r="D309" s="24">
        <v>45658.0</v>
      </c>
      <c r="E309" s="24">
        <v>46022.0</v>
      </c>
      <c r="F309" s="20">
        <v>1.0</v>
      </c>
      <c r="G309" s="20">
        <v>1.0</v>
      </c>
      <c r="H309" s="24">
        <v>46023.0</v>
      </c>
      <c r="I309" s="24">
        <v>46387.0</v>
      </c>
      <c r="J309" s="20">
        <v>0.0</v>
      </c>
      <c r="K309" s="20">
        <v>1.0</v>
      </c>
      <c r="L309" s="24">
        <v>46388.0</v>
      </c>
      <c r="M309" s="24">
        <v>46752.0</v>
      </c>
      <c r="N309" s="20">
        <v>0.0</v>
      </c>
      <c r="O309" s="20">
        <v>1.0</v>
      </c>
      <c r="P309" s="24">
        <v>46753.0</v>
      </c>
      <c r="Q309" s="24">
        <v>47118.0</v>
      </c>
      <c r="R309" s="20">
        <v>0.0</v>
      </c>
      <c r="S309" s="20">
        <v>1.0</v>
      </c>
      <c r="T309" s="24">
        <v>47119.0</v>
      </c>
      <c r="U309" s="24">
        <v>47483.0</v>
      </c>
      <c r="V309" s="20">
        <v>0.0</v>
      </c>
      <c r="W309" s="20">
        <v>1.0</v>
      </c>
      <c r="X309" s="24">
        <v>47484.0</v>
      </c>
      <c r="Y309" s="24">
        <v>47848.0</v>
      </c>
      <c r="Z309" s="20">
        <v>0.0</v>
      </c>
      <c r="AA309" s="20">
        <v>1.0</v>
      </c>
      <c r="AB309" s="24"/>
      <c r="AC309" s="24"/>
    </row>
    <row r="310" ht="14.25" customHeight="1">
      <c r="A310" s="46" t="s">
        <v>3920</v>
      </c>
      <c r="B310" s="20" t="s">
        <v>3921</v>
      </c>
      <c r="C310" s="20" t="s">
        <v>7041</v>
      </c>
      <c r="D310" s="24">
        <v>45658.0</v>
      </c>
      <c r="E310" s="24">
        <v>46022.0</v>
      </c>
      <c r="F310" s="20">
        <v>0.0</v>
      </c>
      <c r="G310" s="20">
        <v>1.0</v>
      </c>
      <c r="H310" s="24">
        <v>46023.0</v>
      </c>
      <c r="I310" s="24">
        <v>46387.0</v>
      </c>
      <c r="J310" s="20">
        <v>0.0</v>
      </c>
      <c r="K310" s="20">
        <v>1.0</v>
      </c>
      <c r="L310" s="24">
        <v>46388.0</v>
      </c>
      <c r="M310" s="24">
        <v>46752.0</v>
      </c>
      <c r="N310" s="20">
        <v>0.0</v>
      </c>
      <c r="O310" s="20">
        <v>1.0</v>
      </c>
      <c r="P310" s="24">
        <v>46753.0</v>
      </c>
      <c r="Q310" s="24">
        <v>47118.0</v>
      </c>
      <c r="R310" s="20">
        <v>0.0</v>
      </c>
      <c r="S310" s="20">
        <v>1.0</v>
      </c>
      <c r="T310" s="24">
        <v>47119.0</v>
      </c>
      <c r="U310" s="24">
        <v>47483.0</v>
      </c>
      <c r="V310" s="20">
        <v>0.0</v>
      </c>
      <c r="W310" s="20">
        <v>1.0</v>
      </c>
      <c r="X310" s="24">
        <v>47484.0</v>
      </c>
      <c r="Y310" s="24">
        <v>47848.0</v>
      </c>
      <c r="Z310" s="20">
        <v>0.0</v>
      </c>
      <c r="AA310" s="20">
        <v>1.0</v>
      </c>
      <c r="AB310" s="24"/>
      <c r="AC310" s="24"/>
    </row>
    <row r="311" ht="14.25" customHeight="1">
      <c r="A311" s="46" t="s">
        <v>4045</v>
      </c>
      <c r="B311" s="20" t="s">
        <v>4046</v>
      </c>
      <c r="C311" s="20" t="s">
        <v>7041</v>
      </c>
      <c r="D311" s="24">
        <v>45658.0</v>
      </c>
      <c r="E311" s="24">
        <v>46022.0</v>
      </c>
      <c r="F311" s="20">
        <v>1.0</v>
      </c>
      <c r="G311" s="20">
        <v>1.0</v>
      </c>
      <c r="H311" s="24">
        <v>46023.0</v>
      </c>
      <c r="I311" s="24">
        <v>46387.0</v>
      </c>
      <c r="J311" s="20">
        <v>0.0</v>
      </c>
      <c r="K311" s="20">
        <v>1.0</v>
      </c>
      <c r="L311" s="24">
        <v>46388.0</v>
      </c>
      <c r="M311" s="24">
        <v>46752.0</v>
      </c>
      <c r="N311" s="20">
        <v>0.0</v>
      </c>
      <c r="O311" s="20">
        <v>1.0</v>
      </c>
      <c r="P311" s="24">
        <v>46753.0</v>
      </c>
      <c r="Q311" s="24">
        <v>47118.0</v>
      </c>
      <c r="R311" s="20">
        <v>0.0</v>
      </c>
      <c r="S311" s="20">
        <v>1.0</v>
      </c>
      <c r="T311" s="24">
        <v>47119.0</v>
      </c>
      <c r="U311" s="24">
        <v>47483.0</v>
      </c>
      <c r="V311" s="20">
        <v>0.0</v>
      </c>
      <c r="W311" s="20">
        <v>1.0</v>
      </c>
      <c r="X311" s="24">
        <v>47484.0</v>
      </c>
      <c r="Y311" s="24">
        <v>47848.0</v>
      </c>
      <c r="Z311" s="20">
        <v>0.0</v>
      </c>
      <c r="AA311" s="20">
        <v>1.0</v>
      </c>
      <c r="AB311" s="24"/>
      <c r="AC311" s="24"/>
    </row>
    <row r="312" ht="14.25" customHeight="1">
      <c r="A312" s="46" t="s">
        <v>3979</v>
      </c>
      <c r="B312" s="20" t="s">
        <v>3980</v>
      </c>
      <c r="C312" s="20" t="s">
        <v>7041</v>
      </c>
      <c r="D312" s="24">
        <v>45658.0</v>
      </c>
      <c r="E312" s="24">
        <v>46022.0</v>
      </c>
      <c r="F312" s="20">
        <v>0.0</v>
      </c>
      <c r="G312" s="20">
        <v>1.0</v>
      </c>
      <c r="H312" s="24">
        <v>46023.0</v>
      </c>
      <c r="I312" s="24">
        <v>46387.0</v>
      </c>
      <c r="J312" s="20">
        <v>0.0</v>
      </c>
      <c r="K312" s="20">
        <v>1.0</v>
      </c>
      <c r="L312" s="24">
        <v>46388.0</v>
      </c>
      <c r="M312" s="24">
        <v>46752.0</v>
      </c>
      <c r="N312" s="20">
        <v>0.0</v>
      </c>
      <c r="O312" s="20">
        <v>1.0</v>
      </c>
      <c r="P312" s="24">
        <v>46753.0</v>
      </c>
      <c r="Q312" s="24">
        <v>47118.0</v>
      </c>
      <c r="R312" s="20">
        <v>0.0</v>
      </c>
      <c r="S312" s="20">
        <v>1.0</v>
      </c>
      <c r="T312" s="24">
        <v>47119.0</v>
      </c>
      <c r="U312" s="24">
        <v>47483.0</v>
      </c>
      <c r="V312" s="20">
        <v>0.0</v>
      </c>
      <c r="W312" s="20">
        <v>1.0</v>
      </c>
      <c r="X312" s="24">
        <v>47484.0</v>
      </c>
      <c r="Y312" s="24">
        <v>47848.0</v>
      </c>
      <c r="Z312" s="20">
        <v>0.0</v>
      </c>
      <c r="AA312" s="20">
        <v>1.0</v>
      </c>
      <c r="AB312" s="24"/>
      <c r="AC312" s="24"/>
    </row>
    <row r="313" ht="14.25" customHeight="1">
      <c r="A313" s="46" t="s">
        <v>4019</v>
      </c>
      <c r="B313" s="20" t="s">
        <v>4020</v>
      </c>
      <c r="C313" s="20" t="s">
        <v>7041</v>
      </c>
      <c r="D313" s="24">
        <v>45658.0</v>
      </c>
      <c r="E313" s="24">
        <v>46022.0</v>
      </c>
      <c r="F313" s="20">
        <v>0.0</v>
      </c>
      <c r="G313" s="20">
        <v>1.0</v>
      </c>
      <c r="H313" s="24">
        <v>46023.0</v>
      </c>
      <c r="I313" s="24">
        <v>46387.0</v>
      </c>
      <c r="J313" s="20">
        <v>0.0</v>
      </c>
      <c r="K313" s="20">
        <v>1.0</v>
      </c>
      <c r="L313" s="24">
        <v>46388.0</v>
      </c>
      <c r="M313" s="24">
        <v>46752.0</v>
      </c>
      <c r="N313" s="20">
        <v>0.0</v>
      </c>
      <c r="O313" s="20">
        <v>1.0</v>
      </c>
      <c r="P313" s="24">
        <v>46753.0</v>
      </c>
      <c r="Q313" s="24">
        <v>47118.0</v>
      </c>
      <c r="R313" s="20">
        <v>0.0</v>
      </c>
      <c r="S313" s="20">
        <v>1.0</v>
      </c>
      <c r="T313" s="24">
        <v>47119.0</v>
      </c>
      <c r="U313" s="24">
        <v>47483.0</v>
      </c>
      <c r="V313" s="20">
        <v>0.0</v>
      </c>
      <c r="W313" s="20">
        <v>1.0</v>
      </c>
      <c r="X313" s="24">
        <v>47484.0</v>
      </c>
      <c r="Y313" s="24">
        <v>47848.0</v>
      </c>
      <c r="Z313" s="20">
        <v>0.0</v>
      </c>
      <c r="AA313" s="20">
        <v>1.0</v>
      </c>
      <c r="AB313" s="24"/>
      <c r="AC313" s="24"/>
    </row>
    <row r="314" ht="14.25" customHeight="1">
      <c r="A314" s="46" t="s">
        <v>4101</v>
      </c>
      <c r="B314" s="20" t="s">
        <v>4102</v>
      </c>
      <c r="C314" s="20" t="s">
        <v>7041</v>
      </c>
      <c r="D314" s="24">
        <v>45658.0</v>
      </c>
      <c r="E314" s="24">
        <v>46022.0</v>
      </c>
      <c r="F314" s="20">
        <v>0.0</v>
      </c>
      <c r="G314" s="20">
        <v>1.0</v>
      </c>
      <c r="H314" s="24">
        <v>46023.0</v>
      </c>
      <c r="I314" s="24">
        <v>46387.0</v>
      </c>
      <c r="J314" s="20">
        <v>0.0</v>
      </c>
      <c r="K314" s="20">
        <v>1.0</v>
      </c>
      <c r="L314" s="24">
        <v>46388.0</v>
      </c>
      <c r="M314" s="24">
        <v>46752.0</v>
      </c>
      <c r="N314" s="20">
        <v>0.0</v>
      </c>
      <c r="O314" s="20">
        <v>1.0</v>
      </c>
      <c r="P314" s="24">
        <v>46753.0</v>
      </c>
      <c r="Q314" s="24">
        <v>47118.0</v>
      </c>
      <c r="R314" s="20">
        <v>0.0</v>
      </c>
      <c r="S314" s="20">
        <v>1.0</v>
      </c>
      <c r="T314" s="24">
        <v>47119.0</v>
      </c>
      <c r="U314" s="24">
        <v>47483.0</v>
      </c>
      <c r="V314" s="20">
        <v>0.0</v>
      </c>
      <c r="W314" s="20">
        <v>1.0</v>
      </c>
      <c r="X314" s="24">
        <v>47484.0</v>
      </c>
      <c r="Y314" s="24">
        <v>47848.0</v>
      </c>
      <c r="Z314" s="20">
        <v>0.0</v>
      </c>
      <c r="AA314" s="20">
        <v>1.0</v>
      </c>
      <c r="AB314" s="24"/>
      <c r="AC314" s="24"/>
    </row>
    <row r="315" ht="14.25" customHeight="1">
      <c r="A315" s="46" t="s">
        <v>4184</v>
      </c>
      <c r="B315" s="20" t="s">
        <v>4185</v>
      </c>
      <c r="C315" s="20" t="s">
        <v>7041</v>
      </c>
      <c r="D315" s="24">
        <v>45658.0</v>
      </c>
      <c r="E315" s="24">
        <v>46022.0</v>
      </c>
      <c r="F315" s="20">
        <v>1.0</v>
      </c>
      <c r="G315" s="20">
        <v>1.0</v>
      </c>
      <c r="H315" s="24">
        <v>46023.0</v>
      </c>
      <c r="I315" s="24">
        <v>46387.0</v>
      </c>
      <c r="J315" s="20">
        <v>0.0</v>
      </c>
      <c r="K315" s="20">
        <v>1.0</v>
      </c>
      <c r="L315" s="24">
        <v>46388.0</v>
      </c>
      <c r="M315" s="24">
        <v>46752.0</v>
      </c>
      <c r="N315" s="20">
        <v>0.0</v>
      </c>
      <c r="O315" s="20">
        <v>1.0</v>
      </c>
      <c r="P315" s="24">
        <v>46753.0</v>
      </c>
      <c r="Q315" s="24">
        <v>47118.0</v>
      </c>
      <c r="R315" s="20">
        <v>0.0</v>
      </c>
      <c r="S315" s="20">
        <v>1.0</v>
      </c>
      <c r="T315" s="24">
        <v>47119.0</v>
      </c>
      <c r="U315" s="24">
        <v>47483.0</v>
      </c>
      <c r="V315" s="20">
        <v>0.0</v>
      </c>
      <c r="W315" s="20">
        <v>1.0</v>
      </c>
      <c r="X315" s="24">
        <v>47484.0</v>
      </c>
      <c r="Y315" s="24">
        <v>47848.0</v>
      </c>
      <c r="Z315" s="20">
        <v>0.0</v>
      </c>
      <c r="AA315" s="20">
        <v>1.0</v>
      </c>
      <c r="AB315" s="24"/>
      <c r="AC315" s="24"/>
    </row>
    <row r="316" ht="14.25" customHeight="1">
      <c r="A316" s="46" t="s">
        <v>4201</v>
      </c>
      <c r="B316" s="20" t="s">
        <v>4202</v>
      </c>
      <c r="C316" s="20" t="s">
        <v>7041</v>
      </c>
      <c r="D316" s="24">
        <v>45658.0</v>
      </c>
      <c r="E316" s="24">
        <v>46022.0</v>
      </c>
      <c r="F316" s="20">
        <v>1.0</v>
      </c>
      <c r="G316" s="20">
        <v>1.0</v>
      </c>
      <c r="H316" s="24">
        <v>46023.0</v>
      </c>
      <c r="I316" s="24">
        <v>46387.0</v>
      </c>
      <c r="J316" s="20">
        <v>0.0</v>
      </c>
      <c r="K316" s="20">
        <v>1.0</v>
      </c>
      <c r="L316" s="24">
        <v>46388.0</v>
      </c>
      <c r="M316" s="24">
        <v>46752.0</v>
      </c>
      <c r="N316" s="20">
        <v>0.0</v>
      </c>
      <c r="O316" s="20">
        <v>1.0</v>
      </c>
      <c r="P316" s="24">
        <v>46753.0</v>
      </c>
      <c r="Q316" s="24">
        <v>47118.0</v>
      </c>
      <c r="R316" s="20">
        <v>0.0</v>
      </c>
      <c r="S316" s="20">
        <v>1.0</v>
      </c>
      <c r="T316" s="24">
        <v>47119.0</v>
      </c>
      <c r="U316" s="24">
        <v>47483.0</v>
      </c>
      <c r="V316" s="20">
        <v>0.0</v>
      </c>
      <c r="W316" s="20">
        <v>1.0</v>
      </c>
      <c r="X316" s="24">
        <v>47484.0</v>
      </c>
      <c r="Y316" s="24">
        <v>47848.0</v>
      </c>
      <c r="Z316" s="20">
        <v>0.0</v>
      </c>
      <c r="AA316" s="20">
        <v>1.0</v>
      </c>
      <c r="AB316" s="24"/>
      <c r="AC316" s="24"/>
    </row>
    <row r="317" ht="14.25" customHeight="1">
      <c r="A317" s="46" t="s">
        <v>4259</v>
      </c>
      <c r="B317" s="20" t="s">
        <v>4260</v>
      </c>
      <c r="C317" s="20" t="s">
        <v>7041</v>
      </c>
      <c r="D317" s="24">
        <v>45658.0</v>
      </c>
      <c r="E317" s="24">
        <v>46022.0</v>
      </c>
      <c r="F317" s="20">
        <v>0.0</v>
      </c>
      <c r="G317" s="20">
        <v>1.0</v>
      </c>
      <c r="H317" s="24">
        <v>46023.0</v>
      </c>
      <c r="I317" s="24">
        <v>46387.0</v>
      </c>
      <c r="J317" s="20">
        <v>0.0</v>
      </c>
      <c r="K317" s="20">
        <v>1.0</v>
      </c>
      <c r="L317" s="24">
        <v>46388.0</v>
      </c>
      <c r="M317" s="24">
        <v>46752.0</v>
      </c>
      <c r="N317" s="20">
        <v>0.0</v>
      </c>
      <c r="O317" s="20">
        <v>1.0</v>
      </c>
      <c r="P317" s="24">
        <v>46753.0</v>
      </c>
      <c r="Q317" s="24">
        <v>47118.0</v>
      </c>
      <c r="R317" s="20">
        <v>0.0</v>
      </c>
      <c r="S317" s="20">
        <v>1.0</v>
      </c>
      <c r="T317" s="24">
        <v>47119.0</v>
      </c>
      <c r="U317" s="24">
        <v>47483.0</v>
      </c>
      <c r="V317" s="20">
        <v>0.0</v>
      </c>
      <c r="W317" s="20">
        <v>1.0</v>
      </c>
      <c r="X317" s="24">
        <v>47484.0</v>
      </c>
      <c r="Y317" s="24">
        <v>47848.0</v>
      </c>
      <c r="Z317" s="20">
        <v>0.0</v>
      </c>
      <c r="AA317" s="20">
        <v>1.0</v>
      </c>
      <c r="AB317" s="24"/>
      <c r="AC317" s="24"/>
    </row>
    <row r="318" ht="14.25" customHeight="1">
      <c r="A318" s="46" t="s">
        <v>4390</v>
      </c>
      <c r="B318" s="20" t="s">
        <v>4391</v>
      </c>
      <c r="C318" s="20" t="s">
        <v>7041</v>
      </c>
      <c r="D318" s="24">
        <v>45658.0</v>
      </c>
      <c r="E318" s="24">
        <v>46022.0</v>
      </c>
      <c r="F318" s="20">
        <v>0.0</v>
      </c>
      <c r="G318" s="20">
        <v>1.0</v>
      </c>
      <c r="H318" s="24">
        <v>46023.0</v>
      </c>
      <c r="I318" s="24">
        <v>46387.0</v>
      </c>
      <c r="J318" s="20">
        <v>0.0</v>
      </c>
      <c r="K318" s="20">
        <v>1.0</v>
      </c>
      <c r="L318" s="24">
        <v>46388.0</v>
      </c>
      <c r="M318" s="24">
        <v>46752.0</v>
      </c>
      <c r="N318" s="20">
        <v>0.0</v>
      </c>
      <c r="O318" s="20">
        <v>1.0</v>
      </c>
      <c r="P318" s="24">
        <v>46753.0</v>
      </c>
      <c r="Q318" s="24">
        <v>47118.0</v>
      </c>
      <c r="R318" s="20">
        <v>0.0</v>
      </c>
      <c r="S318" s="20">
        <v>1.0</v>
      </c>
      <c r="T318" s="24">
        <v>47119.0</v>
      </c>
      <c r="U318" s="24">
        <v>47483.0</v>
      </c>
      <c r="V318" s="20">
        <v>0.0</v>
      </c>
      <c r="W318" s="20">
        <v>1.0</v>
      </c>
      <c r="X318" s="24">
        <v>47484.0</v>
      </c>
      <c r="Y318" s="24">
        <v>47848.0</v>
      </c>
      <c r="Z318" s="20">
        <v>0.0</v>
      </c>
      <c r="AA318" s="20">
        <v>1.0</v>
      </c>
      <c r="AB318" s="24"/>
      <c r="AC318" s="24"/>
    </row>
    <row r="319" ht="14.25" customHeight="1">
      <c r="A319" s="46" t="s">
        <v>4404</v>
      </c>
      <c r="B319" s="20" t="s">
        <v>4405</v>
      </c>
      <c r="C319" s="20" t="s">
        <v>7041</v>
      </c>
      <c r="D319" s="24">
        <v>45658.0</v>
      </c>
      <c r="E319" s="24">
        <v>46022.0</v>
      </c>
      <c r="F319" s="20">
        <v>1.0</v>
      </c>
      <c r="G319" s="20">
        <v>1.0</v>
      </c>
      <c r="H319" s="24">
        <v>46023.0</v>
      </c>
      <c r="I319" s="24">
        <v>46387.0</v>
      </c>
      <c r="J319" s="20">
        <v>0.0</v>
      </c>
      <c r="K319" s="20">
        <v>1.0</v>
      </c>
      <c r="L319" s="24">
        <v>46388.0</v>
      </c>
      <c r="M319" s="24">
        <v>46752.0</v>
      </c>
      <c r="N319" s="20">
        <v>0.0</v>
      </c>
      <c r="O319" s="20">
        <v>1.0</v>
      </c>
      <c r="P319" s="24">
        <v>46753.0</v>
      </c>
      <c r="Q319" s="24">
        <v>47118.0</v>
      </c>
      <c r="R319" s="20">
        <v>0.0</v>
      </c>
      <c r="S319" s="20">
        <v>1.0</v>
      </c>
      <c r="T319" s="24">
        <v>47119.0</v>
      </c>
      <c r="U319" s="24">
        <v>47483.0</v>
      </c>
      <c r="V319" s="20">
        <v>0.0</v>
      </c>
      <c r="W319" s="20">
        <v>1.0</v>
      </c>
      <c r="X319" s="24">
        <v>47484.0</v>
      </c>
      <c r="Y319" s="24">
        <v>47848.0</v>
      </c>
      <c r="Z319" s="20">
        <v>0.0</v>
      </c>
      <c r="AA319" s="20">
        <v>1.0</v>
      </c>
      <c r="AB319" s="24"/>
      <c r="AC319" s="24"/>
    </row>
    <row r="320" ht="14.25" customHeight="1">
      <c r="A320" s="46" t="s">
        <v>4419</v>
      </c>
      <c r="B320" s="20" t="s">
        <v>4420</v>
      </c>
      <c r="C320" s="20" t="s">
        <v>7041</v>
      </c>
      <c r="D320" s="24">
        <v>45658.0</v>
      </c>
      <c r="E320" s="24">
        <v>46022.0</v>
      </c>
      <c r="F320" s="20">
        <v>0.0</v>
      </c>
      <c r="G320" s="20">
        <v>1.0</v>
      </c>
      <c r="H320" s="24">
        <v>46023.0</v>
      </c>
      <c r="I320" s="24">
        <v>46387.0</v>
      </c>
      <c r="J320" s="20">
        <v>0.0</v>
      </c>
      <c r="K320" s="20">
        <v>1.0</v>
      </c>
      <c r="L320" s="24">
        <v>46388.0</v>
      </c>
      <c r="M320" s="24">
        <v>46752.0</v>
      </c>
      <c r="N320" s="20">
        <v>0.0</v>
      </c>
      <c r="O320" s="20">
        <v>1.0</v>
      </c>
      <c r="P320" s="24">
        <v>46753.0</v>
      </c>
      <c r="Q320" s="24">
        <v>47118.0</v>
      </c>
      <c r="R320" s="20">
        <v>0.0</v>
      </c>
      <c r="S320" s="20">
        <v>1.0</v>
      </c>
      <c r="T320" s="24">
        <v>47119.0</v>
      </c>
      <c r="U320" s="24">
        <v>47483.0</v>
      </c>
      <c r="V320" s="20">
        <v>0.0</v>
      </c>
      <c r="W320" s="20">
        <v>1.0</v>
      </c>
      <c r="X320" s="24">
        <v>47484.0</v>
      </c>
      <c r="Y320" s="24">
        <v>47848.0</v>
      </c>
      <c r="Z320" s="20">
        <v>0.0</v>
      </c>
      <c r="AA320" s="20">
        <v>1.0</v>
      </c>
      <c r="AB320" s="24"/>
      <c r="AC320" s="24"/>
    </row>
    <row r="321" ht="14.25" customHeight="1">
      <c r="A321" s="46" t="s">
        <v>4423</v>
      </c>
      <c r="B321" s="20" t="s">
        <v>4424</v>
      </c>
      <c r="C321" s="20" t="s">
        <v>7041</v>
      </c>
      <c r="D321" s="24">
        <v>45658.0</v>
      </c>
      <c r="E321" s="24">
        <v>46022.0</v>
      </c>
      <c r="F321" s="20">
        <v>0.0</v>
      </c>
      <c r="G321" s="20">
        <v>1.0</v>
      </c>
      <c r="H321" s="24">
        <v>46023.0</v>
      </c>
      <c r="I321" s="24">
        <v>46387.0</v>
      </c>
      <c r="J321" s="20">
        <v>0.0</v>
      </c>
      <c r="K321" s="20">
        <v>1.0</v>
      </c>
      <c r="L321" s="24">
        <v>46388.0</v>
      </c>
      <c r="M321" s="24">
        <v>46752.0</v>
      </c>
      <c r="N321" s="20">
        <v>0.0</v>
      </c>
      <c r="O321" s="20">
        <v>1.0</v>
      </c>
      <c r="P321" s="24">
        <v>46753.0</v>
      </c>
      <c r="Q321" s="24">
        <v>47118.0</v>
      </c>
      <c r="R321" s="20">
        <v>0.0</v>
      </c>
      <c r="S321" s="20">
        <v>1.0</v>
      </c>
      <c r="T321" s="24">
        <v>47119.0</v>
      </c>
      <c r="U321" s="24">
        <v>47483.0</v>
      </c>
      <c r="V321" s="20">
        <v>0.0</v>
      </c>
      <c r="W321" s="20">
        <v>1.0</v>
      </c>
      <c r="X321" s="24">
        <v>47484.0</v>
      </c>
      <c r="Y321" s="24">
        <v>47848.0</v>
      </c>
      <c r="Z321" s="20">
        <v>0.0</v>
      </c>
      <c r="AA321" s="20">
        <v>1.0</v>
      </c>
      <c r="AB321" s="24"/>
      <c r="AC321" s="24"/>
    </row>
    <row r="322" ht="14.25" customHeight="1">
      <c r="A322" s="46" t="s">
        <v>4435</v>
      </c>
      <c r="B322" s="20" t="s">
        <v>4436</v>
      </c>
      <c r="C322" s="20" t="s">
        <v>7041</v>
      </c>
      <c r="D322" s="24">
        <v>45658.0</v>
      </c>
      <c r="E322" s="24">
        <v>46022.0</v>
      </c>
      <c r="F322" s="20">
        <v>0.0</v>
      </c>
      <c r="G322" s="20">
        <v>1.0</v>
      </c>
      <c r="H322" s="24">
        <v>46023.0</v>
      </c>
      <c r="I322" s="24">
        <v>46387.0</v>
      </c>
      <c r="J322" s="20">
        <v>0.0</v>
      </c>
      <c r="K322" s="20">
        <v>1.0</v>
      </c>
      <c r="L322" s="24">
        <v>46388.0</v>
      </c>
      <c r="M322" s="24">
        <v>46752.0</v>
      </c>
      <c r="N322" s="20">
        <v>0.0</v>
      </c>
      <c r="O322" s="20">
        <v>1.0</v>
      </c>
      <c r="P322" s="24">
        <v>46753.0</v>
      </c>
      <c r="Q322" s="24">
        <v>47118.0</v>
      </c>
      <c r="R322" s="20">
        <v>0.0</v>
      </c>
      <c r="S322" s="20">
        <v>1.0</v>
      </c>
      <c r="T322" s="24">
        <v>47119.0</v>
      </c>
      <c r="U322" s="24">
        <v>47483.0</v>
      </c>
      <c r="V322" s="20">
        <v>0.0</v>
      </c>
      <c r="W322" s="20">
        <v>1.0</v>
      </c>
      <c r="X322" s="24">
        <v>47484.0</v>
      </c>
      <c r="Y322" s="24">
        <v>47848.0</v>
      </c>
      <c r="Z322" s="20">
        <v>0.0</v>
      </c>
      <c r="AA322" s="20">
        <v>1.0</v>
      </c>
      <c r="AB322" s="24"/>
      <c r="AC322" s="24"/>
    </row>
    <row r="323" ht="14.25" customHeight="1">
      <c r="A323" s="46" t="s">
        <v>4470</v>
      </c>
      <c r="B323" s="20" t="s">
        <v>4471</v>
      </c>
      <c r="C323" s="20" t="s">
        <v>7041</v>
      </c>
      <c r="D323" s="24">
        <v>45658.0</v>
      </c>
      <c r="E323" s="24">
        <v>46022.0</v>
      </c>
      <c r="F323" s="20">
        <v>1.0</v>
      </c>
      <c r="G323" s="20">
        <v>1.0</v>
      </c>
      <c r="H323" s="24">
        <v>46023.0</v>
      </c>
      <c r="I323" s="24">
        <v>46387.0</v>
      </c>
      <c r="J323" s="20">
        <v>0.0</v>
      </c>
      <c r="K323" s="20">
        <v>1.0</v>
      </c>
      <c r="L323" s="24">
        <v>46388.0</v>
      </c>
      <c r="M323" s="24">
        <v>46752.0</v>
      </c>
      <c r="N323" s="20">
        <v>0.0</v>
      </c>
      <c r="O323" s="20">
        <v>1.0</v>
      </c>
      <c r="P323" s="24">
        <v>46753.0</v>
      </c>
      <c r="Q323" s="24">
        <v>47118.0</v>
      </c>
      <c r="R323" s="20">
        <v>0.0</v>
      </c>
      <c r="S323" s="20">
        <v>1.0</v>
      </c>
      <c r="T323" s="24">
        <v>47119.0</v>
      </c>
      <c r="U323" s="24">
        <v>47483.0</v>
      </c>
      <c r="V323" s="20">
        <v>0.0</v>
      </c>
      <c r="W323" s="20">
        <v>1.0</v>
      </c>
      <c r="X323" s="24">
        <v>47484.0</v>
      </c>
      <c r="Y323" s="24">
        <v>47848.0</v>
      </c>
      <c r="Z323" s="20">
        <v>0.0</v>
      </c>
      <c r="AA323" s="20">
        <v>1.0</v>
      </c>
      <c r="AB323" s="24"/>
      <c r="AC323" s="24"/>
    </row>
    <row r="324" ht="14.25" customHeight="1">
      <c r="A324" s="46" t="s">
        <v>4474</v>
      </c>
      <c r="B324" s="20" t="s">
        <v>4475</v>
      </c>
      <c r="C324" s="20" t="s">
        <v>7041</v>
      </c>
      <c r="D324" s="24">
        <v>45658.0</v>
      </c>
      <c r="E324" s="24">
        <v>46022.0</v>
      </c>
      <c r="F324" s="20">
        <v>0.0</v>
      </c>
      <c r="G324" s="20">
        <v>1.0</v>
      </c>
      <c r="H324" s="24">
        <v>46023.0</v>
      </c>
      <c r="I324" s="24">
        <v>46387.0</v>
      </c>
      <c r="J324" s="20">
        <v>0.0</v>
      </c>
      <c r="K324" s="20">
        <v>1.0</v>
      </c>
      <c r="L324" s="24">
        <v>46388.0</v>
      </c>
      <c r="M324" s="24">
        <v>46752.0</v>
      </c>
      <c r="N324" s="20">
        <v>0.0</v>
      </c>
      <c r="O324" s="20">
        <v>1.0</v>
      </c>
      <c r="P324" s="24">
        <v>46753.0</v>
      </c>
      <c r="Q324" s="24">
        <v>47118.0</v>
      </c>
      <c r="R324" s="20">
        <v>0.0</v>
      </c>
      <c r="S324" s="20">
        <v>1.0</v>
      </c>
      <c r="T324" s="24">
        <v>47119.0</v>
      </c>
      <c r="U324" s="24">
        <v>47483.0</v>
      </c>
      <c r="V324" s="20">
        <v>0.0</v>
      </c>
      <c r="W324" s="20">
        <v>1.0</v>
      </c>
      <c r="X324" s="24">
        <v>47484.0</v>
      </c>
      <c r="Y324" s="24">
        <v>47848.0</v>
      </c>
      <c r="Z324" s="20">
        <v>0.0</v>
      </c>
      <c r="AA324" s="20">
        <v>1.0</v>
      </c>
      <c r="AB324" s="24"/>
      <c r="AC324" s="24"/>
    </row>
    <row r="325" ht="14.25" customHeight="1">
      <c r="A325" s="46" t="s">
        <v>4705</v>
      </c>
      <c r="B325" s="20" t="s">
        <v>4706</v>
      </c>
      <c r="C325" s="20" t="s">
        <v>7041</v>
      </c>
      <c r="D325" s="24">
        <v>45658.0</v>
      </c>
      <c r="E325" s="24">
        <v>46022.0</v>
      </c>
      <c r="F325" s="20">
        <v>0.0</v>
      </c>
      <c r="G325" s="20">
        <v>1.0</v>
      </c>
      <c r="H325" s="24">
        <v>46023.0</v>
      </c>
      <c r="I325" s="24">
        <v>46387.0</v>
      </c>
      <c r="J325" s="20">
        <v>0.0</v>
      </c>
      <c r="K325" s="20">
        <v>1.0</v>
      </c>
      <c r="L325" s="24">
        <v>46388.0</v>
      </c>
      <c r="M325" s="24">
        <v>46752.0</v>
      </c>
      <c r="N325" s="20">
        <v>0.0</v>
      </c>
      <c r="O325" s="20">
        <v>1.0</v>
      </c>
      <c r="P325" s="24">
        <v>46753.0</v>
      </c>
      <c r="Q325" s="24">
        <v>47118.0</v>
      </c>
      <c r="R325" s="20">
        <v>0.0</v>
      </c>
      <c r="S325" s="20">
        <v>1.0</v>
      </c>
      <c r="T325" s="24">
        <v>47119.0</v>
      </c>
      <c r="U325" s="24">
        <v>47483.0</v>
      </c>
      <c r="V325" s="20">
        <v>0.0</v>
      </c>
      <c r="W325" s="20">
        <v>1.0</v>
      </c>
      <c r="X325" s="24">
        <v>47484.0</v>
      </c>
      <c r="Y325" s="24">
        <v>47848.0</v>
      </c>
      <c r="Z325" s="20">
        <v>0.0</v>
      </c>
      <c r="AA325" s="20">
        <v>1.0</v>
      </c>
      <c r="AB325" s="24"/>
      <c r="AC325" s="24"/>
    </row>
    <row r="326" ht="14.25" customHeight="1">
      <c r="A326" s="46" t="s">
        <v>4806</v>
      </c>
      <c r="B326" s="20" t="s">
        <v>4807</v>
      </c>
      <c r="C326" s="20" t="s">
        <v>7041</v>
      </c>
      <c r="D326" s="24">
        <v>45658.0</v>
      </c>
      <c r="E326" s="24">
        <v>46022.0</v>
      </c>
      <c r="F326" s="20">
        <v>0.0</v>
      </c>
      <c r="G326" s="20">
        <v>1.0</v>
      </c>
      <c r="H326" s="24">
        <v>46023.0</v>
      </c>
      <c r="I326" s="24">
        <v>46387.0</v>
      </c>
      <c r="J326" s="20">
        <v>0.0</v>
      </c>
      <c r="K326" s="20">
        <v>1.0</v>
      </c>
      <c r="L326" s="24">
        <v>46388.0</v>
      </c>
      <c r="M326" s="24">
        <v>46752.0</v>
      </c>
      <c r="N326" s="20">
        <v>0.0</v>
      </c>
      <c r="O326" s="20">
        <v>1.0</v>
      </c>
      <c r="P326" s="24">
        <v>46753.0</v>
      </c>
      <c r="Q326" s="24">
        <v>47118.0</v>
      </c>
      <c r="R326" s="20">
        <v>0.0</v>
      </c>
      <c r="S326" s="20">
        <v>1.0</v>
      </c>
      <c r="T326" s="24">
        <v>47119.0</v>
      </c>
      <c r="U326" s="24">
        <v>47483.0</v>
      </c>
      <c r="V326" s="20">
        <v>0.0</v>
      </c>
      <c r="W326" s="20">
        <v>1.0</v>
      </c>
      <c r="X326" s="24">
        <v>47484.0</v>
      </c>
      <c r="Y326" s="24">
        <v>47848.0</v>
      </c>
      <c r="Z326" s="20">
        <v>0.0</v>
      </c>
      <c r="AA326" s="20">
        <v>1.0</v>
      </c>
      <c r="AB326" s="24"/>
      <c r="AC326" s="24"/>
    </row>
    <row r="327" ht="14.25" customHeight="1">
      <c r="A327" s="46" t="s">
        <v>4841</v>
      </c>
      <c r="B327" s="20" t="s">
        <v>4842</v>
      </c>
      <c r="C327" s="20" t="s">
        <v>7041</v>
      </c>
      <c r="D327" s="24">
        <v>45658.0</v>
      </c>
      <c r="E327" s="24">
        <v>46022.0</v>
      </c>
      <c r="F327" s="20">
        <v>1.0</v>
      </c>
      <c r="G327" s="20">
        <v>1.0</v>
      </c>
      <c r="H327" s="24">
        <v>46023.0</v>
      </c>
      <c r="I327" s="24">
        <v>46387.0</v>
      </c>
      <c r="J327" s="20">
        <v>0.0</v>
      </c>
      <c r="K327" s="20">
        <v>1.0</v>
      </c>
      <c r="L327" s="24">
        <v>46388.0</v>
      </c>
      <c r="M327" s="24">
        <v>46752.0</v>
      </c>
      <c r="N327" s="20">
        <v>0.0</v>
      </c>
      <c r="O327" s="20">
        <v>1.0</v>
      </c>
      <c r="P327" s="24">
        <v>46753.0</v>
      </c>
      <c r="Q327" s="24">
        <v>47118.0</v>
      </c>
      <c r="R327" s="20">
        <v>0.0</v>
      </c>
      <c r="S327" s="20">
        <v>1.0</v>
      </c>
      <c r="T327" s="24">
        <v>47119.0</v>
      </c>
      <c r="U327" s="24">
        <v>47483.0</v>
      </c>
      <c r="V327" s="20">
        <v>0.0</v>
      </c>
      <c r="W327" s="20">
        <v>1.0</v>
      </c>
      <c r="X327" s="24">
        <v>47484.0</v>
      </c>
      <c r="Y327" s="24">
        <v>47848.0</v>
      </c>
      <c r="Z327" s="20">
        <v>0.0</v>
      </c>
      <c r="AA327" s="20">
        <v>1.0</v>
      </c>
      <c r="AB327" s="24"/>
      <c r="AC327" s="24"/>
    </row>
    <row r="328" ht="14.25" customHeight="1">
      <c r="A328" s="46" t="s">
        <v>4916</v>
      </c>
      <c r="B328" s="20" t="s">
        <v>4917</v>
      </c>
      <c r="C328" s="20" t="s">
        <v>7041</v>
      </c>
      <c r="D328" s="24">
        <v>45658.0</v>
      </c>
      <c r="E328" s="24">
        <v>46022.0</v>
      </c>
      <c r="F328" s="20">
        <v>1.0</v>
      </c>
      <c r="G328" s="20">
        <v>1.0</v>
      </c>
      <c r="H328" s="24">
        <v>46023.0</v>
      </c>
      <c r="I328" s="24">
        <v>46387.0</v>
      </c>
      <c r="J328" s="20">
        <v>0.0</v>
      </c>
      <c r="K328" s="20">
        <v>1.0</v>
      </c>
      <c r="L328" s="24">
        <v>46388.0</v>
      </c>
      <c r="M328" s="24">
        <v>46752.0</v>
      </c>
      <c r="N328" s="20">
        <v>0.0</v>
      </c>
      <c r="O328" s="20">
        <v>1.0</v>
      </c>
      <c r="P328" s="24">
        <v>46753.0</v>
      </c>
      <c r="Q328" s="24">
        <v>47118.0</v>
      </c>
      <c r="R328" s="20">
        <v>0.0</v>
      </c>
      <c r="S328" s="20">
        <v>1.0</v>
      </c>
      <c r="T328" s="24">
        <v>47119.0</v>
      </c>
      <c r="U328" s="24">
        <v>47483.0</v>
      </c>
      <c r="V328" s="20">
        <v>0.0</v>
      </c>
      <c r="W328" s="20">
        <v>1.0</v>
      </c>
      <c r="X328" s="24">
        <v>47484.0</v>
      </c>
      <c r="Y328" s="24">
        <v>47848.0</v>
      </c>
      <c r="Z328" s="20">
        <v>0.0</v>
      </c>
      <c r="AA328" s="20">
        <v>1.0</v>
      </c>
      <c r="AB328" s="24"/>
      <c r="AC328" s="24"/>
    </row>
    <row r="329" ht="14.25" customHeight="1">
      <c r="A329" s="46" t="s">
        <v>4925</v>
      </c>
      <c r="B329" s="20" t="s">
        <v>4926</v>
      </c>
      <c r="C329" s="20" t="s">
        <v>7041</v>
      </c>
      <c r="D329" s="24">
        <v>45658.0</v>
      </c>
      <c r="E329" s="24">
        <v>46022.0</v>
      </c>
      <c r="F329" s="20">
        <v>1.0</v>
      </c>
      <c r="G329" s="20">
        <v>1.0</v>
      </c>
      <c r="H329" s="24">
        <v>46023.0</v>
      </c>
      <c r="I329" s="24">
        <v>46387.0</v>
      </c>
      <c r="J329" s="20">
        <v>0.0</v>
      </c>
      <c r="K329" s="20">
        <v>1.0</v>
      </c>
      <c r="L329" s="24">
        <v>46388.0</v>
      </c>
      <c r="M329" s="24">
        <v>46752.0</v>
      </c>
      <c r="N329" s="20">
        <v>0.0</v>
      </c>
      <c r="O329" s="20">
        <v>1.0</v>
      </c>
      <c r="P329" s="24">
        <v>46753.0</v>
      </c>
      <c r="Q329" s="24">
        <v>47118.0</v>
      </c>
      <c r="R329" s="20">
        <v>0.0</v>
      </c>
      <c r="S329" s="20">
        <v>1.0</v>
      </c>
      <c r="T329" s="24">
        <v>47119.0</v>
      </c>
      <c r="U329" s="24">
        <v>47483.0</v>
      </c>
      <c r="V329" s="20">
        <v>0.0</v>
      </c>
      <c r="W329" s="20">
        <v>1.0</v>
      </c>
      <c r="X329" s="24">
        <v>47484.0</v>
      </c>
      <c r="Y329" s="24">
        <v>47848.0</v>
      </c>
      <c r="Z329" s="20">
        <v>0.0</v>
      </c>
      <c r="AA329" s="20">
        <v>1.0</v>
      </c>
      <c r="AB329" s="24"/>
      <c r="AC329" s="24"/>
    </row>
    <row r="330" ht="14.25" customHeight="1">
      <c r="A330" s="46" t="s">
        <v>5057</v>
      </c>
      <c r="B330" s="20" t="s">
        <v>5058</v>
      </c>
      <c r="C330" s="20" t="s">
        <v>7041</v>
      </c>
      <c r="D330" s="24">
        <v>45658.0</v>
      </c>
      <c r="E330" s="24">
        <v>46022.0</v>
      </c>
      <c r="F330" s="20">
        <v>0.0</v>
      </c>
      <c r="G330" s="20">
        <v>1.0</v>
      </c>
      <c r="H330" s="24">
        <v>46023.0</v>
      </c>
      <c r="I330" s="24">
        <v>46387.0</v>
      </c>
      <c r="J330" s="20">
        <v>0.0</v>
      </c>
      <c r="K330" s="20">
        <v>1.0</v>
      </c>
      <c r="L330" s="24">
        <v>46388.0</v>
      </c>
      <c r="M330" s="24">
        <v>46752.0</v>
      </c>
      <c r="N330" s="20">
        <v>0.0</v>
      </c>
      <c r="O330" s="20">
        <v>1.0</v>
      </c>
      <c r="P330" s="24">
        <v>46753.0</v>
      </c>
      <c r="Q330" s="24">
        <v>47118.0</v>
      </c>
      <c r="R330" s="20">
        <v>0.0</v>
      </c>
      <c r="S330" s="20">
        <v>1.0</v>
      </c>
      <c r="T330" s="24">
        <v>47119.0</v>
      </c>
      <c r="U330" s="24">
        <v>47483.0</v>
      </c>
      <c r="V330" s="20">
        <v>0.0</v>
      </c>
      <c r="W330" s="20">
        <v>1.0</v>
      </c>
      <c r="X330" s="24">
        <v>47484.0</v>
      </c>
      <c r="Y330" s="24">
        <v>47848.0</v>
      </c>
      <c r="Z330" s="20">
        <v>0.0</v>
      </c>
      <c r="AA330" s="20">
        <v>1.0</v>
      </c>
      <c r="AB330" s="24"/>
      <c r="AC330" s="24"/>
    </row>
    <row r="331" ht="14.25" customHeight="1">
      <c r="A331" s="46" t="s">
        <v>5079</v>
      </c>
      <c r="B331" s="20" t="s">
        <v>5080</v>
      </c>
      <c r="C331" s="20" t="s">
        <v>7041</v>
      </c>
      <c r="D331" s="24">
        <v>45658.0</v>
      </c>
      <c r="E331" s="24">
        <v>46022.0</v>
      </c>
      <c r="F331" s="20">
        <v>0.0</v>
      </c>
      <c r="G331" s="20">
        <v>1.0</v>
      </c>
      <c r="H331" s="24">
        <v>46023.0</v>
      </c>
      <c r="I331" s="24">
        <v>46387.0</v>
      </c>
      <c r="J331" s="20">
        <v>0.0</v>
      </c>
      <c r="K331" s="20">
        <v>1.0</v>
      </c>
      <c r="L331" s="24">
        <v>46388.0</v>
      </c>
      <c r="M331" s="24">
        <v>46752.0</v>
      </c>
      <c r="N331" s="20">
        <v>0.0</v>
      </c>
      <c r="O331" s="20">
        <v>1.0</v>
      </c>
      <c r="P331" s="24">
        <v>46753.0</v>
      </c>
      <c r="Q331" s="24">
        <v>47118.0</v>
      </c>
      <c r="R331" s="20">
        <v>0.0</v>
      </c>
      <c r="S331" s="20">
        <v>1.0</v>
      </c>
      <c r="T331" s="24">
        <v>47119.0</v>
      </c>
      <c r="U331" s="24">
        <v>47483.0</v>
      </c>
      <c r="V331" s="20">
        <v>0.0</v>
      </c>
      <c r="W331" s="20">
        <v>1.0</v>
      </c>
      <c r="X331" s="24">
        <v>47484.0</v>
      </c>
      <c r="Y331" s="24">
        <v>47848.0</v>
      </c>
      <c r="Z331" s="20">
        <v>0.0</v>
      </c>
      <c r="AA331" s="20">
        <v>1.0</v>
      </c>
      <c r="AB331" s="24"/>
      <c r="AC331" s="24"/>
    </row>
    <row r="332" ht="14.25" customHeight="1">
      <c r="A332" s="46" t="s">
        <v>5182</v>
      </c>
      <c r="B332" s="20" t="s">
        <v>5183</v>
      </c>
      <c r="C332" s="20" t="s">
        <v>7041</v>
      </c>
      <c r="D332" s="24">
        <v>45658.0</v>
      </c>
      <c r="E332" s="24">
        <v>46022.0</v>
      </c>
      <c r="F332" s="20">
        <v>0.0</v>
      </c>
      <c r="G332" s="20">
        <v>1.0</v>
      </c>
      <c r="H332" s="24">
        <v>46023.0</v>
      </c>
      <c r="I332" s="24">
        <v>46387.0</v>
      </c>
      <c r="J332" s="20">
        <v>0.0</v>
      </c>
      <c r="K332" s="20">
        <v>1.0</v>
      </c>
      <c r="L332" s="24">
        <v>46388.0</v>
      </c>
      <c r="M332" s="24">
        <v>46752.0</v>
      </c>
      <c r="N332" s="20">
        <v>0.0</v>
      </c>
      <c r="O332" s="20">
        <v>1.0</v>
      </c>
      <c r="P332" s="24">
        <v>46753.0</v>
      </c>
      <c r="Q332" s="24">
        <v>47118.0</v>
      </c>
      <c r="R332" s="20">
        <v>0.0</v>
      </c>
      <c r="S332" s="20">
        <v>1.0</v>
      </c>
      <c r="T332" s="24">
        <v>47119.0</v>
      </c>
      <c r="U332" s="24">
        <v>47483.0</v>
      </c>
      <c r="V332" s="20">
        <v>0.0</v>
      </c>
      <c r="W332" s="20">
        <v>1.0</v>
      </c>
      <c r="X332" s="24">
        <v>47484.0</v>
      </c>
      <c r="Y332" s="24">
        <v>47848.0</v>
      </c>
      <c r="Z332" s="20">
        <v>0.0</v>
      </c>
      <c r="AA332" s="20">
        <v>1.0</v>
      </c>
      <c r="AB332" s="24"/>
      <c r="AC332" s="24"/>
    </row>
    <row r="333" ht="14.25" customHeight="1">
      <c r="A333" s="46" t="s">
        <v>5215</v>
      </c>
      <c r="B333" s="20" t="s">
        <v>5216</v>
      </c>
      <c r="C333" s="20" t="s">
        <v>7041</v>
      </c>
      <c r="D333" s="24">
        <v>45658.0</v>
      </c>
      <c r="E333" s="24">
        <v>46022.0</v>
      </c>
      <c r="F333" s="20">
        <v>1.0</v>
      </c>
      <c r="G333" s="20">
        <v>1.0</v>
      </c>
      <c r="H333" s="24">
        <v>46023.0</v>
      </c>
      <c r="I333" s="24">
        <v>46387.0</v>
      </c>
      <c r="J333" s="20">
        <v>0.0</v>
      </c>
      <c r="K333" s="20">
        <v>1.0</v>
      </c>
      <c r="L333" s="24">
        <v>46388.0</v>
      </c>
      <c r="M333" s="24">
        <v>46752.0</v>
      </c>
      <c r="N333" s="20">
        <v>0.0</v>
      </c>
      <c r="O333" s="20">
        <v>1.0</v>
      </c>
      <c r="P333" s="24">
        <v>46753.0</v>
      </c>
      <c r="Q333" s="24">
        <v>47118.0</v>
      </c>
      <c r="R333" s="20">
        <v>0.0</v>
      </c>
      <c r="S333" s="20">
        <v>1.0</v>
      </c>
      <c r="T333" s="24">
        <v>47119.0</v>
      </c>
      <c r="U333" s="24">
        <v>47483.0</v>
      </c>
      <c r="V333" s="20">
        <v>0.0</v>
      </c>
      <c r="W333" s="20">
        <v>1.0</v>
      </c>
      <c r="X333" s="24">
        <v>47484.0</v>
      </c>
      <c r="Y333" s="24">
        <v>47848.0</v>
      </c>
      <c r="Z333" s="20">
        <v>0.0</v>
      </c>
      <c r="AA333" s="20">
        <v>1.0</v>
      </c>
      <c r="AB333" s="24"/>
      <c r="AC333" s="24"/>
    </row>
    <row r="334" ht="14.25" customHeight="1">
      <c r="A334" s="46" t="s">
        <v>5348</v>
      </c>
      <c r="B334" s="20" t="s">
        <v>5349</v>
      </c>
      <c r="C334" s="20" t="s">
        <v>7041</v>
      </c>
      <c r="D334" s="24">
        <v>45658.0</v>
      </c>
      <c r="E334" s="24">
        <v>46022.0</v>
      </c>
      <c r="F334" s="20">
        <v>1.0</v>
      </c>
      <c r="G334" s="20">
        <v>1.0</v>
      </c>
      <c r="H334" s="24">
        <v>46023.0</v>
      </c>
      <c r="I334" s="24">
        <v>46387.0</v>
      </c>
      <c r="J334" s="20">
        <v>0.0</v>
      </c>
      <c r="K334" s="20">
        <v>1.0</v>
      </c>
      <c r="L334" s="24">
        <v>46388.0</v>
      </c>
      <c r="M334" s="24">
        <v>46752.0</v>
      </c>
      <c r="N334" s="20">
        <v>0.0</v>
      </c>
      <c r="O334" s="20">
        <v>1.0</v>
      </c>
      <c r="P334" s="24">
        <v>46753.0</v>
      </c>
      <c r="Q334" s="24">
        <v>47118.0</v>
      </c>
      <c r="R334" s="20">
        <v>0.0</v>
      </c>
      <c r="S334" s="20">
        <v>1.0</v>
      </c>
      <c r="T334" s="24">
        <v>47119.0</v>
      </c>
      <c r="U334" s="24">
        <v>47483.0</v>
      </c>
      <c r="V334" s="20">
        <v>0.0</v>
      </c>
      <c r="W334" s="20">
        <v>1.0</v>
      </c>
      <c r="X334" s="24">
        <v>47484.0</v>
      </c>
      <c r="Y334" s="24">
        <v>47848.0</v>
      </c>
      <c r="Z334" s="20">
        <v>0.0</v>
      </c>
      <c r="AA334" s="20">
        <v>1.0</v>
      </c>
      <c r="AB334" s="24"/>
      <c r="AC334" s="24"/>
    </row>
    <row r="335" ht="14.25" customHeight="1">
      <c r="A335" s="46" t="s">
        <v>5357</v>
      </c>
      <c r="B335" s="20" t="s">
        <v>5358</v>
      </c>
      <c r="C335" s="20" t="s">
        <v>7044</v>
      </c>
      <c r="D335" s="24">
        <v>45658.0</v>
      </c>
      <c r="E335" s="24">
        <v>46022.0</v>
      </c>
      <c r="F335" s="20">
        <v>0.0</v>
      </c>
      <c r="G335" s="20">
        <v>1.0</v>
      </c>
      <c r="H335" s="24">
        <v>46023.0</v>
      </c>
      <c r="I335" s="24">
        <v>46387.0</v>
      </c>
      <c r="J335" s="20">
        <v>0.0</v>
      </c>
      <c r="K335" s="20">
        <v>1.0</v>
      </c>
      <c r="L335" s="24">
        <v>46388.0</v>
      </c>
      <c r="M335" s="24">
        <v>46752.0</v>
      </c>
      <c r="N335" s="20">
        <v>0.0</v>
      </c>
      <c r="O335" s="20">
        <v>1.0</v>
      </c>
      <c r="P335" s="24">
        <v>46753.0</v>
      </c>
      <c r="Q335" s="24">
        <v>47118.0</v>
      </c>
      <c r="R335" s="20">
        <v>0.0</v>
      </c>
      <c r="S335" s="20">
        <v>1.0</v>
      </c>
      <c r="T335" s="24">
        <v>47119.0</v>
      </c>
      <c r="U335" s="24">
        <v>47483.0</v>
      </c>
      <c r="V335" s="20">
        <v>0.0</v>
      </c>
      <c r="W335" s="20">
        <v>1.0</v>
      </c>
      <c r="X335" s="24">
        <v>47484.0</v>
      </c>
      <c r="Y335" s="24">
        <v>47848.0</v>
      </c>
      <c r="Z335" s="20">
        <v>0.0</v>
      </c>
      <c r="AA335" s="20">
        <v>1.0</v>
      </c>
      <c r="AB335" s="24"/>
      <c r="AC335" s="24"/>
    </row>
    <row r="336" ht="14.25" customHeight="1">
      <c r="A336" s="46" t="s">
        <v>5399</v>
      </c>
      <c r="B336" s="20" t="s">
        <v>5400</v>
      </c>
      <c r="C336" s="20" t="s">
        <v>7041</v>
      </c>
      <c r="D336" s="24">
        <v>45658.0</v>
      </c>
      <c r="E336" s="24">
        <v>46022.0</v>
      </c>
      <c r="F336" s="20">
        <v>1.0</v>
      </c>
      <c r="G336" s="20">
        <v>1.0</v>
      </c>
      <c r="H336" s="24">
        <v>46023.0</v>
      </c>
      <c r="I336" s="24">
        <v>46387.0</v>
      </c>
      <c r="J336" s="20">
        <v>0.0</v>
      </c>
      <c r="K336" s="20">
        <v>1.0</v>
      </c>
      <c r="L336" s="24">
        <v>46388.0</v>
      </c>
      <c r="M336" s="24">
        <v>46752.0</v>
      </c>
      <c r="N336" s="20">
        <v>0.0</v>
      </c>
      <c r="O336" s="20">
        <v>1.0</v>
      </c>
      <c r="P336" s="24">
        <v>46753.0</v>
      </c>
      <c r="Q336" s="24">
        <v>47118.0</v>
      </c>
      <c r="R336" s="20">
        <v>0.0</v>
      </c>
      <c r="S336" s="20">
        <v>1.0</v>
      </c>
      <c r="T336" s="24">
        <v>47119.0</v>
      </c>
      <c r="U336" s="24">
        <v>47483.0</v>
      </c>
      <c r="V336" s="20">
        <v>0.0</v>
      </c>
      <c r="W336" s="20">
        <v>1.0</v>
      </c>
      <c r="X336" s="24">
        <v>47484.0</v>
      </c>
      <c r="Y336" s="24">
        <v>47848.0</v>
      </c>
      <c r="Z336" s="20">
        <v>0.0</v>
      </c>
      <c r="AA336" s="20">
        <v>1.0</v>
      </c>
      <c r="AB336" s="24"/>
      <c r="AC336" s="24"/>
    </row>
    <row r="337" ht="14.25" customHeight="1">
      <c r="A337" s="46" t="s">
        <v>5454</v>
      </c>
      <c r="B337" s="20" t="s">
        <v>5455</v>
      </c>
      <c r="C337" s="20" t="s">
        <v>7041</v>
      </c>
      <c r="D337" s="24">
        <v>45658.0</v>
      </c>
      <c r="E337" s="24">
        <v>46022.0</v>
      </c>
      <c r="F337" s="20">
        <v>0.0</v>
      </c>
      <c r="G337" s="20">
        <v>1.0</v>
      </c>
      <c r="H337" s="24">
        <v>46023.0</v>
      </c>
      <c r="I337" s="24">
        <v>46387.0</v>
      </c>
      <c r="J337" s="20">
        <v>0.0</v>
      </c>
      <c r="K337" s="20">
        <v>1.0</v>
      </c>
      <c r="L337" s="24">
        <v>46388.0</v>
      </c>
      <c r="M337" s="24">
        <v>46752.0</v>
      </c>
      <c r="N337" s="20">
        <v>0.0</v>
      </c>
      <c r="O337" s="20">
        <v>1.0</v>
      </c>
      <c r="P337" s="24">
        <v>46753.0</v>
      </c>
      <c r="Q337" s="24">
        <v>47118.0</v>
      </c>
      <c r="R337" s="20">
        <v>0.0</v>
      </c>
      <c r="S337" s="20">
        <v>1.0</v>
      </c>
      <c r="T337" s="24">
        <v>47119.0</v>
      </c>
      <c r="U337" s="24">
        <v>47483.0</v>
      </c>
      <c r="V337" s="20">
        <v>0.0</v>
      </c>
      <c r="W337" s="20">
        <v>1.0</v>
      </c>
      <c r="X337" s="24">
        <v>47484.0</v>
      </c>
      <c r="Y337" s="24">
        <v>47848.0</v>
      </c>
      <c r="Z337" s="20">
        <v>0.0</v>
      </c>
      <c r="AA337" s="20">
        <v>1.0</v>
      </c>
      <c r="AB337" s="24"/>
      <c r="AC337" s="24"/>
    </row>
    <row r="338" ht="14.25" customHeight="1">
      <c r="A338" s="46" t="s">
        <v>5504</v>
      </c>
      <c r="B338" s="20" t="s">
        <v>5505</v>
      </c>
      <c r="C338" s="20" t="s">
        <v>7041</v>
      </c>
      <c r="D338" s="24">
        <v>45658.0</v>
      </c>
      <c r="E338" s="24">
        <v>46022.0</v>
      </c>
      <c r="F338" s="20">
        <v>1.0</v>
      </c>
      <c r="G338" s="20">
        <v>1.0</v>
      </c>
      <c r="H338" s="24">
        <v>46023.0</v>
      </c>
      <c r="I338" s="24">
        <v>46387.0</v>
      </c>
      <c r="J338" s="20">
        <v>0.0</v>
      </c>
      <c r="K338" s="20">
        <v>1.0</v>
      </c>
      <c r="L338" s="24">
        <v>46388.0</v>
      </c>
      <c r="M338" s="24">
        <v>46752.0</v>
      </c>
      <c r="N338" s="20">
        <v>0.0</v>
      </c>
      <c r="O338" s="20">
        <v>1.0</v>
      </c>
      <c r="P338" s="24">
        <v>46753.0</v>
      </c>
      <c r="Q338" s="24">
        <v>47118.0</v>
      </c>
      <c r="R338" s="20">
        <v>0.0</v>
      </c>
      <c r="S338" s="20">
        <v>1.0</v>
      </c>
      <c r="T338" s="24">
        <v>47119.0</v>
      </c>
      <c r="U338" s="24">
        <v>47483.0</v>
      </c>
      <c r="V338" s="20">
        <v>0.0</v>
      </c>
      <c r="W338" s="20">
        <v>1.0</v>
      </c>
      <c r="X338" s="24">
        <v>47484.0</v>
      </c>
      <c r="Y338" s="24">
        <v>47848.0</v>
      </c>
      <c r="Z338" s="20">
        <v>0.0</v>
      </c>
      <c r="AA338" s="20">
        <v>1.0</v>
      </c>
      <c r="AB338" s="24"/>
      <c r="AC338" s="24"/>
    </row>
    <row r="339" ht="14.25" customHeight="1">
      <c r="A339" s="46" t="s">
        <v>5569</v>
      </c>
      <c r="B339" s="20" t="s">
        <v>5570</v>
      </c>
      <c r="C339" s="20" t="s">
        <v>7041</v>
      </c>
      <c r="D339" s="24">
        <v>45658.0</v>
      </c>
      <c r="E339" s="24">
        <v>46022.0</v>
      </c>
      <c r="F339" s="20">
        <v>0.0</v>
      </c>
      <c r="G339" s="20">
        <v>1.0</v>
      </c>
      <c r="H339" s="24">
        <v>46023.0</v>
      </c>
      <c r="I339" s="24">
        <v>46387.0</v>
      </c>
      <c r="J339" s="20">
        <v>0.0</v>
      </c>
      <c r="K339" s="20">
        <v>1.0</v>
      </c>
      <c r="L339" s="24">
        <v>46388.0</v>
      </c>
      <c r="M339" s="24">
        <v>46752.0</v>
      </c>
      <c r="N339" s="20">
        <v>0.0</v>
      </c>
      <c r="O339" s="20">
        <v>1.0</v>
      </c>
      <c r="P339" s="24">
        <v>46753.0</v>
      </c>
      <c r="Q339" s="24">
        <v>47118.0</v>
      </c>
      <c r="R339" s="20">
        <v>0.0</v>
      </c>
      <c r="S339" s="20">
        <v>1.0</v>
      </c>
      <c r="T339" s="24">
        <v>47119.0</v>
      </c>
      <c r="U339" s="24">
        <v>47483.0</v>
      </c>
      <c r="V339" s="20">
        <v>0.0</v>
      </c>
      <c r="W339" s="20">
        <v>1.0</v>
      </c>
      <c r="X339" s="24">
        <v>47484.0</v>
      </c>
      <c r="Y339" s="24">
        <v>47848.0</v>
      </c>
      <c r="Z339" s="20">
        <v>0.0</v>
      </c>
      <c r="AA339" s="20">
        <v>1.0</v>
      </c>
      <c r="AB339" s="24"/>
      <c r="AC339" s="24"/>
    </row>
    <row r="340" ht="14.25" customHeight="1">
      <c r="A340" s="46" t="s">
        <v>5616</v>
      </c>
      <c r="B340" s="20" t="s">
        <v>5617</v>
      </c>
      <c r="C340" s="20" t="s">
        <v>7041</v>
      </c>
      <c r="D340" s="24">
        <v>45658.0</v>
      </c>
      <c r="E340" s="24">
        <v>46022.0</v>
      </c>
      <c r="F340" s="20">
        <v>1.0</v>
      </c>
      <c r="G340" s="20">
        <v>1.0</v>
      </c>
      <c r="H340" s="24">
        <v>46023.0</v>
      </c>
      <c r="I340" s="24">
        <v>46387.0</v>
      </c>
      <c r="J340" s="20">
        <v>0.0</v>
      </c>
      <c r="K340" s="20">
        <v>1.0</v>
      </c>
      <c r="L340" s="24">
        <v>46388.0</v>
      </c>
      <c r="M340" s="24">
        <v>46752.0</v>
      </c>
      <c r="N340" s="20">
        <v>0.0</v>
      </c>
      <c r="O340" s="20">
        <v>1.0</v>
      </c>
      <c r="P340" s="24">
        <v>46753.0</v>
      </c>
      <c r="Q340" s="24">
        <v>47118.0</v>
      </c>
      <c r="R340" s="20">
        <v>0.0</v>
      </c>
      <c r="S340" s="20">
        <v>1.0</v>
      </c>
      <c r="T340" s="24">
        <v>47119.0</v>
      </c>
      <c r="U340" s="24">
        <v>47483.0</v>
      </c>
      <c r="V340" s="20">
        <v>0.0</v>
      </c>
      <c r="W340" s="20">
        <v>1.0</v>
      </c>
      <c r="X340" s="24">
        <v>47484.0</v>
      </c>
      <c r="Y340" s="24">
        <v>47848.0</v>
      </c>
      <c r="Z340" s="20">
        <v>0.0</v>
      </c>
      <c r="AA340" s="20">
        <v>1.0</v>
      </c>
      <c r="AB340" s="24"/>
      <c r="AC340" s="24"/>
    </row>
    <row r="341" ht="14.25" customHeight="1">
      <c r="A341" s="46" t="s">
        <v>1884</v>
      </c>
      <c r="B341" s="20" t="s">
        <v>1885</v>
      </c>
      <c r="C341" s="20" t="s">
        <v>7041</v>
      </c>
      <c r="D341" s="24">
        <v>45658.0</v>
      </c>
      <c r="E341" s="24">
        <v>46022.0</v>
      </c>
      <c r="F341" s="20">
        <v>0.0</v>
      </c>
      <c r="G341" s="20">
        <v>1.0</v>
      </c>
      <c r="H341" s="24">
        <v>46023.0</v>
      </c>
      <c r="I341" s="24">
        <v>46387.0</v>
      </c>
      <c r="J341" s="20">
        <v>0.0</v>
      </c>
      <c r="K341" s="20">
        <v>1.0</v>
      </c>
      <c r="L341" s="24">
        <v>46388.0</v>
      </c>
      <c r="M341" s="24">
        <v>46752.0</v>
      </c>
      <c r="N341" s="20">
        <v>0.0</v>
      </c>
      <c r="O341" s="20">
        <v>1.0</v>
      </c>
      <c r="P341" s="24">
        <v>46753.0</v>
      </c>
      <c r="Q341" s="24">
        <v>47118.0</v>
      </c>
      <c r="R341" s="20">
        <v>0.0</v>
      </c>
      <c r="S341" s="20">
        <v>1.0</v>
      </c>
      <c r="T341" s="24">
        <v>47119.0</v>
      </c>
      <c r="U341" s="24">
        <v>47483.0</v>
      </c>
      <c r="V341" s="20">
        <v>0.0</v>
      </c>
      <c r="W341" s="20">
        <v>1.0</v>
      </c>
      <c r="X341" s="24">
        <v>47484.0</v>
      </c>
      <c r="Y341" s="24">
        <v>47848.0</v>
      </c>
      <c r="Z341" s="20">
        <v>0.0</v>
      </c>
      <c r="AA341" s="20">
        <v>1.0</v>
      </c>
      <c r="AB341" s="24"/>
      <c r="AC341" s="24"/>
    </row>
    <row r="342" ht="14.25" customHeight="1">
      <c r="A342" s="46" t="s">
        <v>5729</v>
      </c>
      <c r="B342" s="20" t="s">
        <v>5730</v>
      </c>
      <c r="C342" s="20" t="s">
        <v>7041</v>
      </c>
      <c r="D342" s="24">
        <v>45658.0</v>
      </c>
      <c r="E342" s="24">
        <v>46022.0</v>
      </c>
      <c r="F342" s="20">
        <v>0.0</v>
      </c>
      <c r="G342" s="20">
        <v>1.0</v>
      </c>
      <c r="H342" s="24">
        <v>46023.0</v>
      </c>
      <c r="I342" s="24">
        <v>46387.0</v>
      </c>
      <c r="J342" s="20">
        <v>0.0</v>
      </c>
      <c r="K342" s="20">
        <v>1.0</v>
      </c>
      <c r="L342" s="24">
        <v>46388.0</v>
      </c>
      <c r="M342" s="24">
        <v>46752.0</v>
      </c>
      <c r="N342" s="20">
        <v>0.0</v>
      </c>
      <c r="O342" s="20">
        <v>1.0</v>
      </c>
      <c r="P342" s="24">
        <v>46753.0</v>
      </c>
      <c r="Q342" s="24">
        <v>47118.0</v>
      </c>
      <c r="R342" s="20">
        <v>0.0</v>
      </c>
      <c r="S342" s="20">
        <v>1.0</v>
      </c>
      <c r="T342" s="24">
        <v>47119.0</v>
      </c>
      <c r="U342" s="24">
        <v>47483.0</v>
      </c>
      <c r="V342" s="20">
        <v>0.0</v>
      </c>
      <c r="W342" s="20">
        <v>1.0</v>
      </c>
      <c r="X342" s="24">
        <v>47484.0</v>
      </c>
      <c r="Y342" s="24">
        <v>47848.0</v>
      </c>
      <c r="Z342" s="20">
        <v>0.0</v>
      </c>
      <c r="AA342" s="20">
        <v>1.0</v>
      </c>
      <c r="AB342" s="24"/>
      <c r="AC342" s="24"/>
    </row>
    <row r="343" ht="14.25" customHeight="1">
      <c r="A343" s="46" t="s">
        <v>5767</v>
      </c>
      <c r="B343" s="20" t="s">
        <v>5768</v>
      </c>
      <c r="C343" s="20" t="s">
        <v>7041</v>
      </c>
      <c r="D343" s="24">
        <v>45658.0</v>
      </c>
      <c r="E343" s="24">
        <v>46022.0</v>
      </c>
      <c r="F343" s="20">
        <v>0.0</v>
      </c>
      <c r="G343" s="20">
        <v>1.0</v>
      </c>
      <c r="H343" s="24">
        <v>46023.0</v>
      </c>
      <c r="I343" s="24">
        <v>46387.0</v>
      </c>
      <c r="J343" s="20">
        <v>0.0</v>
      </c>
      <c r="K343" s="20">
        <v>1.0</v>
      </c>
      <c r="L343" s="24">
        <v>46388.0</v>
      </c>
      <c r="M343" s="24">
        <v>46752.0</v>
      </c>
      <c r="N343" s="20">
        <v>0.0</v>
      </c>
      <c r="O343" s="20">
        <v>1.0</v>
      </c>
      <c r="P343" s="24">
        <v>46753.0</v>
      </c>
      <c r="Q343" s="24">
        <v>47118.0</v>
      </c>
      <c r="R343" s="20">
        <v>0.0</v>
      </c>
      <c r="S343" s="20">
        <v>1.0</v>
      </c>
      <c r="T343" s="24">
        <v>47119.0</v>
      </c>
      <c r="U343" s="24">
        <v>47483.0</v>
      </c>
      <c r="V343" s="20">
        <v>0.0</v>
      </c>
      <c r="W343" s="20">
        <v>1.0</v>
      </c>
      <c r="X343" s="24">
        <v>47484.0</v>
      </c>
      <c r="Y343" s="24">
        <v>47848.0</v>
      </c>
      <c r="Z343" s="20">
        <v>0.0</v>
      </c>
      <c r="AA343" s="20">
        <v>1.0</v>
      </c>
      <c r="AB343" s="24"/>
      <c r="AC343" s="24"/>
    </row>
    <row r="344" ht="14.25" customHeight="1">
      <c r="A344" s="46" t="s">
        <v>5783</v>
      </c>
      <c r="B344" s="20" t="s">
        <v>5784</v>
      </c>
      <c r="C344" s="20" t="s">
        <v>7041</v>
      </c>
      <c r="D344" s="24">
        <v>45658.0</v>
      </c>
      <c r="E344" s="24">
        <v>46022.0</v>
      </c>
      <c r="F344" s="20">
        <v>0.0</v>
      </c>
      <c r="G344" s="20">
        <v>1.0</v>
      </c>
      <c r="H344" s="24">
        <v>46023.0</v>
      </c>
      <c r="I344" s="24">
        <v>46387.0</v>
      </c>
      <c r="J344" s="20">
        <v>0.0</v>
      </c>
      <c r="K344" s="20">
        <v>1.0</v>
      </c>
      <c r="L344" s="24">
        <v>46388.0</v>
      </c>
      <c r="M344" s="24">
        <v>46752.0</v>
      </c>
      <c r="N344" s="20">
        <v>0.0</v>
      </c>
      <c r="O344" s="20">
        <v>1.0</v>
      </c>
      <c r="P344" s="24">
        <v>46753.0</v>
      </c>
      <c r="Q344" s="24">
        <v>47118.0</v>
      </c>
      <c r="R344" s="20">
        <v>0.0</v>
      </c>
      <c r="S344" s="20">
        <v>1.0</v>
      </c>
      <c r="T344" s="24">
        <v>47119.0</v>
      </c>
      <c r="U344" s="24">
        <v>47483.0</v>
      </c>
      <c r="V344" s="20">
        <v>0.0</v>
      </c>
      <c r="W344" s="20">
        <v>1.0</v>
      </c>
      <c r="X344" s="24">
        <v>47484.0</v>
      </c>
      <c r="Y344" s="24">
        <v>47848.0</v>
      </c>
      <c r="Z344" s="20">
        <v>0.0</v>
      </c>
      <c r="AA344" s="20">
        <v>1.0</v>
      </c>
      <c r="AB344" s="24"/>
      <c r="AC344" s="24"/>
    </row>
    <row r="345" ht="14.25" customHeight="1">
      <c r="A345" s="46" t="s">
        <v>5802</v>
      </c>
      <c r="B345" s="20" t="s">
        <v>5803</v>
      </c>
      <c r="C345" s="20" t="s">
        <v>7041</v>
      </c>
      <c r="D345" s="24">
        <v>45658.0</v>
      </c>
      <c r="E345" s="24">
        <v>46022.0</v>
      </c>
      <c r="F345" s="20">
        <v>0.0</v>
      </c>
      <c r="G345" s="20">
        <v>1.0</v>
      </c>
      <c r="H345" s="24">
        <v>46023.0</v>
      </c>
      <c r="I345" s="24">
        <v>46387.0</v>
      </c>
      <c r="J345" s="20">
        <v>0.0</v>
      </c>
      <c r="K345" s="20">
        <v>1.0</v>
      </c>
      <c r="L345" s="24">
        <v>46388.0</v>
      </c>
      <c r="M345" s="24">
        <v>46752.0</v>
      </c>
      <c r="N345" s="20">
        <v>0.0</v>
      </c>
      <c r="O345" s="20">
        <v>1.0</v>
      </c>
      <c r="P345" s="24">
        <v>46753.0</v>
      </c>
      <c r="Q345" s="24">
        <v>47118.0</v>
      </c>
      <c r="R345" s="20">
        <v>0.0</v>
      </c>
      <c r="S345" s="20">
        <v>1.0</v>
      </c>
      <c r="T345" s="24">
        <v>47119.0</v>
      </c>
      <c r="U345" s="24">
        <v>47483.0</v>
      </c>
      <c r="V345" s="20">
        <v>0.0</v>
      </c>
      <c r="W345" s="20">
        <v>1.0</v>
      </c>
      <c r="X345" s="24">
        <v>47484.0</v>
      </c>
      <c r="Y345" s="24">
        <v>47848.0</v>
      </c>
      <c r="Z345" s="20">
        <v>0.0</v>
      </c>
      <c r="AA345" s="20">
        <v>1.0</v>
      </c>
      <c r="AB345" s="24"/>
      <c r="AC345" s="24"/>
    </row>
    <row r="346" ht="14.25" customHeight="1">
      <c r="A346" s="46" t="s">
        <v>5813</v>
      </c>
      <c r="B346" s="20" t="s">
        <v>5814</v>
      </c>
      <c r="C346" s="20" t="s">
        <v>7044</v>
      </c>
      <c r="D346" s="24">
        <v>45658.0</v>
      </c>
      <c r="E346" s="24">
        <v>46022.0</v>
      </c>
      <c r="F346" s="20">
        <v>1.0</v>
      </c>
      <c r="G346" s="20">
        <v>1.0</v>
      </c>
      <c r="H346" s="24">
        <v>46023.0</v>
      </c>
      <c r="I346" s="24">
        <v>46387.0</v>
      </c>
      <c r="J346" s="20">
        <v>0.0</v>
      </c>
      <c r="K346" s="20">
        <v>1.0</v>
      </c>
      <c r="L346" s="24">
        <v>46388.0</v>
      </c>
      <c r="M346" s="24">
        <v>46752.0</v>
      </c>
      <c r="N346" s="20">
        <v>0.0</v>
      </c>
      <c r="O346" s="20">
        <v>1.0</v>
      </c>
      <c r="P346" s="24">
        <v>46753.0</v>
      </c>
      <c r="Q346" s="24">
        <v>47118.0</v>
      </c>
      <c r="R346" s="20">
        <v>0.0</v>
      </c>
      <c r="S346" s="20">
        <v>1.0</v>
      </c>
      <c r="T346" s="24">
        <v>47119.0</v>
      </c>
      <c r="U346" s="24">
        <v>47483.0</v>
      </c>
      <c r="V346" s="20">
        <v>0.0</v>
      </c>
      <c r="W346" s="20">
        <v>1.0</v>
      </c>
      <c r="X346" s="24">
        <v>47484.0</v>
      </c>
      <c r="Y346" s="24">
        <v>47848.0</v>
      </c>
      <c r="Z346" s="20">
        <v>0.0</v>
      </c>
      <c r="AA346" s="20">
        <v>1.0</v>
      </c>
      <c r="AB346" s="24"/>
      <c r="AC346" s="24"/>
    </row>
    <row r="347" ht="14.25" customHeight="1">
      <c r="A347" s="46" t="s">
        <v>5838</v>
      </c>
      <c r="B347" s="20" t="s">
        <v>5839</v>
      </c>
      <c r="C347" s="20" t="s">
        <v>7041</v>
      </c>
      <c r="D347" s="24">
        <v>45658.0</v>
      </c>
      <c r="E347" s="24">
        <v>46022.0</v>
      </c>
      <c r="F347" s="20">
        <v>1.0</v>
      </c>
      <c r="G347" s="20">
        <v>1.0</v>
      </c>
      <c r="H347" s="24">
        <v>46023.0</v>
      </c>
      <c r="I347" s="24">
        <v>46387.0</v>
      </c>
      <c r="J347" s="20">
        <v>0.0</v>
      </c>
      <c r="K347" s="20">
        <v>1.0</v>
      </c>
      <c r="L347" s="24">
        <v>46388.0</v>
      </c>
      <c r="M347" s="24">
        <v>46752.0</v>
      </c>
      <c r="N347" s="20">
        <v>0.0</v>
      </c>
      <c r="O347" s="20">
        <v>1.0</v>
      </c>
      <c r="P347" s="24">
        <v>46753.0</v>
      </c>
      <c r="Q347" s="24">
        <v>47118.0</v>
      </c>
      <c r="R347" s="20">
        <v>0.0</v>
      </c>
      <c r="S347" s="20">
        <v>1.0</v>
      </c>
      <c r="T347" s="24">
        <v>47119.0</v>
      </c>
      <c r="U347" s="24">
        <v>47483.0</v>
      </c>
      <c r="V347" s="20">
        <v>0.0</v>
      </c>
      <c r="W347" s="20">
        <v>1.0</v>
      </c>
      <c r="X347" s="24">
        <v>47484.0</v>
      </c>
      <c r="Y347" s="24">
        <v>47848.0</v>
      </c>
      <c r="Z347" s="20">
        <v>0.0</v>
      </c>
      <c r="AA347" s="20">
        <v>1.0</v>
      </c>
      <c r="AB347" s="24"/>
      <c r="AC347" s="24"/>
    </row>
    <row r="348" ht="14.25" customHeight="1">
      <c r="A348" s="46" t="s">
        <v>5880</v>
      </c>
      <c r="B348" s="20" t="s">
        <v>5881</v>
      </c>
      <c r="C348" s="20" t="s">
        <v>7041</v>
      </c>
      <c r="D348" s="24">
        <v>45658.0</v>
      </c>
      <c r="E348" s="24">
        <v>46022.0</v>
      </c>
      <c r="F348" s="20">
        <v>1.0</v>
      </c>
      <c r="G348" s="20">
        <v>1.0</v>
      </c>
      <c r="H348" s="24">
        <v>46023.0</v>
      </c>
      <c r="I348" s="24">
        <v>46387.0</v>
      </c>
      <c r="J348" s="20">
        <v>0.0</v>
      </c>
      <c r="K348" s="20">
        <v>1.0</v>
      </c>
      <c r="L348" s="24">
        <v>46388.0</v>
      </c>
      <c r="M348" s="24">
        <v>46752.0</v>
      </c>
      <c r="N348" s="20">
        <v>0.0</v>
      </c>
      <c r="O348" s="20">
        <v>1.0</v>
      </c>
      <c r="P348" s="24">
        <v>46753.0</v>
      </c>
      <c r="Q348" s="24">
        <v>47118.0</v>
      </c>
      <c r="R348" s="20">
        <v>0.0</v>
      </c>
      <c r="S348" s="20">
        <v>1.0</v>
      </c>
      <c r="T348" s="24">
        <v>47119.0</v>
      </c>
      <c r="U348" s="24">
        <v>47483.0</v>
      </c>
      <c r="V348" s="20">
        <v>0.0</v>
      </c>
      <c r="W348" s="20">
        <v>1.0</v>
      </c>
      <c r="X348" s="24">
        <v>47484.0</v>
      </c>
      <c r="Y348" s="24">
        <v>47848.0</v>
      </c>
      <c r="Z348" s="20">
        <v>0.0</v>
      </c>
      <c r="AA348" s="20">
        <v>1.0</v>
      </c>
      <c r="AB348" s="24"/>
      <c r="AC348" s="24"/>
    </row>
    <row r="349" ht="14.25" customHeight="1">
      <c r="A349" s="46" t="s">
        <v>5893</v>
      </c>
      <c r="B349" s="20" t="s">
        <v>5894</v>
      </c>
      <c r="C349" s="20" t="s">
        <v>7041</v>
      </c>
      <c r="D349" s="24">
        <v>45658.0</v>
      </c>
      <c r="E349" s="24">
        <v>46022.0</v>
      </c>
      <c r="F349" s="20">
        <v>0.0</v>
      </c>
      <c r="G349" s="20">
        <v>1.0</v>
      </c>
      <c r="H349" s="24">
        <v>46023.0</v>
      </c>
      <c r="I349" s="24">
        <v>46387.0</v>
      </c>
      <c r="J349" s="20">
        <v>0.0</v>
      </c>
      <c r="K349" s="20">
        <v>1.0</v>
      </c>
      <c r="L349" s="24">
        <v>46388.0</v>
      </c>
      <c r="M349" s="24">
        <v>46752.0</v>
      </c>
      <c r="N349" s="20">
        <v>0.0</v>
      </c>
      <c r="O349" s="20">
        <v>1.0</v>
      </c>
      <c r="P349" s="24">
        <v>46753.0</v>
      </c>
      <c r="Q349" s="24">
        <v>47118.0</v>
      </c>
      <c r="R349" s="20">
        <v>0.0</v>
      </c>
      <c r="S349" s="20">
        <v>1.0</v>
      </c>
      <c r="T349" s="24">
        <v>47119.0</v>
      </c>
      <c r="U349" s="24">
        <v>47483.0</v>
      </c>
      <c r="V349" s="20">
        <v>0.0</v>
      </c>
      <c r="W349" s="20">
        <v>1.0</v>
      </c>
      <c r="X349" s="24">
        <v>47484.0</v>
      </c>
      <c r="Y349" s="24">
        <v>47848.0</v>
      </c>
      <c r="Z349" s="20">
        <v>0.0</v>
      </c>
      <c r="AA349" s="20">
        <v>1.0</v>
      </c>
      <c r="AB349" s="24"/>
      <c r="AC349" s="24"/>
    </row>
    <row r="350" ht="14.25" customHeight="1">
      <c r="A350" s="46" t="s">
        <v>6006</v>
      </c>
      <c r="B350" s="20" t="s">
        <v>6007</v>
      </c>
      <c r="C350" s="20" t="s">
        <v>7041</v>
      </c>
      <c r="D350" s="24">
        <v>45658.0</v>
      </c>
      <c r="E350" s="24">
        <v>46022.0</v>
      </c>
      <c r="F350" s="20">
        <v>0.0</v>
      </c>
      <c r="G350" s="20">
        <v>1.0</v>
      </c>
      <c r="H350" s="24">
        <v>46023.0</v>
      </c>
      <c r="I350" s="24">
        <v>46387.0</v>
      </c>
      <c r="J350" s="20">
        <v>0.0</v>
      </c>
      <c r="K350" s="20">
        <v>1.0</v>
      </c>
      <c r="L350" s="24">
        <v>46388.0</v>
      </c>
      <c r="M350" s="24">
        <v>46752.0</v>
      </c>
      <c r="N350" s="20">
        <v>0.0</v>
      </c>
      <c r="O350" s="20">
        <v>1.0</v>
      </c>
      <c r="P350" s="24">
        <v>46753.0</v>
      </c>
      <c r="Q350" s="24">
        <v>47118.0</v>
      </c>
      <c r="R350" s="20">
        <v>0.0</v>
      </c>
      <c r="S350" s="20">
        <v>1.0</v>
      </c>
      <c r="T350" s="24">
        <v>47119.0</v>
      </c>
      <c r="U350" s="24">
        <v>47483.0</v>
      </c>
      <c r="V350" s="20">
        <v>0.0</v>
      </c>
      <c r="W350" s="20">
        <v>1.0</v>
      </c>
      <c r="X350" s="24">
        <v>47484.0</v>
      </c>
      <c r="Y350" s="24">
        <v>47848.0</v>
      </c>
      <c r="Z350" s="20">
        <v>0.0</v>
      </c>
      <c r="AA350" s="20">
        <v>1.0</v>
      </c>
      <c r="AB350" s="24"/>
      <c r="AC350" s="24"/>
    </row>
    <row r="351" ht="14.25" customHeight="1">
      <c r="A351" s="46" t="s">
        <v>6035</v>
      </c>
      <c r="B351" s="20" t="s">
        <v>6036</v>
      </c>
      <c r="C351" s="20" t="s">
        <v>7041</v>
      </c>
      <c r="D351" s="24">
        <v>45658.0</v>
      </c>
      <c r="E351" s="24">
        <v>46022.0</v>
      </c>
      <c r="F351" s="20">
        <v>1.0</v>
      </c>
      <c r="G351" s="20">
        <v>1.0</v>
      </c>
      <c r="H351" s="24">
        <v>46023.0</v>
      </c>
      <c r="I351" s="24">
        <v>46387.0</v>
      </c>
      <c r="J351" s="20">
        <v>0.0</v>
      </c>
      <c r="K351" s="20">
        <v>1.0</v>
      </c>
      <c r="L351" s="24">
        <v>46388.0</v>
      </c>
      <c r="M351" s="24">
        <v>46752.0</v>
      </c>
      <c r="N351" s="20">
        <v>0.0</v>
      </c>
      <c r="O351" s="20">
        <v>1.0</v>
      </c>
      <c r="P351" s="24">
        <v>46753.0</v>
      </c>
      <c r="Q351" s="24">
        <v>47118.0</v>
      </c>
      <c r="R351" s="20">
        <v>0.0</v>
      </c>
      <c r="S351" s="20">
        <v>1.0</v>
      </c>
      <c r="T351" s="24">
        <v>47119.0</v>
      </c>
      <c r="U351" s="24">
        <v>47483.0</v>
      </c>
      <c r="V351" s="20">
        <v>0.0</v>
      </c>
      <c r="W351" s="20">
        <v>1.0</v>
      </c>
      <c r="X351" s="24">
        <v>47484.0</v>
      </c>
      <c r="Y351" s="24">
        <v>47848.0</v>
      </c>
      <c r="Z351" s="20">
        <v>0.0</v>
      </c>
      <c r="AA351" s="20">
        <v>1.0</v>
      </c>
      <c r="AB351" s="24"/>
      <c r="AC351" s="24"/>
    </row>
    <row r="352" ht="14.25" customHeight="1">
      <c r="A352" s="46" t="s">
        <v>6068</v>
      </c>
      <c r="B352" s="20" t="s">
        <v>6069</v>
      </c>
      <c r="C352" s="20" t="s">
        <v>7041</v>
      </c>
      <c r="D352" s="24">
        <v>45658.0</v>
      </c>
      <c r="E352" s="24">
        <v>46022.0</v>
      </c>
      <c r="F352" s="20">
        <v>1.0</v>
      </c>
      <c r="G352" s="20">
        <v>1.0</v>
      </c>
      <c r="H352" s="24">
        <v>46023.0</v>
      </c>
      <c r="I352" s="24">
        <v>46387.0</v>
      </c>
      <c r="J352" s="20">
        <v>0.0</v>
      </c>
      <c r="K352" s="20">
        <v>1.0</v>
      </c>
      <c r="L352" s="24">
        <v>46388.0</v>
      </c>
      <c r="M352" s="24">
        <v>46752.0</v>
      </c>
      <c r="N352" s="20">
        <v>0.0</v>
      </c>
      <c r="O352" s="20">
        <v>1.0</v>
      </c>
      <c r="P352" s="24">
        <v>46753.0</v>
      </c>
      <c r="Q352" s="24">
        <v>47118.0</v>
      </c>
      <c r="R352" s="20">
        <v>0.0</v>
      </c>
      <c r="S352" s="20">
        <v>1.0</v>
      </c>
      <c r="T352" s="24">
        <v>47119.0</v>
      </c>
      <c r="U352" s="24">
        <v>47483.0</v>
      </c>
      <c r="V352" s="20">
        <v>0.0</v>
      </c>
      <c r="W352" s="20">
        <v>1.0</v>
      </c>
      <c r="X352" s="24">
        <v>47484.0</v>
      </c>
      <c r="Y352" s="24">
        <v>47848.0</v>
      </c>
      <c r="Z352" s="20">
        <v>0.0</v>
      </c>
      <c r="AA352" s="20">
        <v>1.0</v>
      </c>
      <c r="AB352" s="24"/>
      <c r="AC352" s="24"/>
    </row>
    <row r="353" ht="14.25" customHeight="1">
      <c r="A353" s="46" t="s">
        <v>6125</v>
      </c>
      <c r="B353" s="20" t="s">
        <v>6126</v>
      </c>
      <c r="C353" s="20" t="s">
        <v>7041</v>
      </c>
      <c r="D353" s="24">
        <v>45658.0</v>
      </c>
      <c r="E353" s="24">
        <v>46022.0</v>
      </c>
      <c r="F353" s="20">
        <v>1.0</v>
      </c>
      <c r="G353" s="20">
        <v>1.0</v>
      </c>
      <c r="H353" s="24">
        <v>46023.0</v>
      </c>
      <c r="I353" s="24">
        <v>46387.0</v>
      </c>
      <c r="J353" s="20">
        <v>0.0</v>
      </c>
      <c r="K353" s="20">
        <v>1.0</v>
      </c>
      <c r="L353" s="24">
        <v>46388.0</v>
      </c>
      <c r="M353" s="24">
        <v>46752.0</v>
      </c>
      <c r="N353" s="20">
        <v>0.0</v>
      </c>
      <c r="O353" s="20">
        <v>1.0</v>
      </c>
      <c r="P353" s="24">
        <v>46753.0</v>
      </c>
      <c r="Q353" s="24">
        <v>47118.0</v>
      </c>
      <c r="R353" s="20">
        <v>0.0</v>
      </c>
      <c r="S353" s="20">
        <v>1.0</v>
      </c>
      <c r="T353" s="24">
        <v>47119.0</v>
      </c>
      <c r="U353" s="24">
        <v>47483.0</v>
      </c>
      <c r="V353" s="20">
        <v>0.0</v>
      </c>
      <c r="W353" s="20">
        <v>1.0</v>
      </c>
      <c r="X353" s="24">
        <v>47484.0</v>
      </c>
      <c r="Y353" s="24">
        <v>47848.0</v>
      </c>
      <c r="Z353" s="20">
        <v>0.0</v>
      </c>
      <c r="AA353" s="20">
        <v>1.0</v>
      </c>
      <c r="AB353" s="24"/>
      <c r="AC353" s="24"/>
    </row>
    <row r="354" ht="14.25" customHeight="1">
      <c r="A354" s="46" t="s">
        <v>6184</v>
      </c>
      <c r="B354" s="20" t="s">
        <v>6185</v>
      </c>
      <c r="C354" s="20" t="s">
        <v>7041</v>
      </c>
      <c r="D354" s="24">
        <v>45658.0</v>
      </c>
      <c r="E354" s="24">
        <v>46022.0</v>
      </c>
      <c r="F354" s="20">
        <v>0.0</v>
      </c>
      <c r="G354" s="20">
        <v>1.0</v>
      </c>
      <c r="H354" s="24">
        <v>46023.0</v>
      </c>
      <c r="I354" s="24">
        <v>46387.0</v>
      </c>
      <c r="J354" s="20">
        <v>0.0</v>
      </c>
      <c r="K354" s="20">
        <v>1.0</v>
      </c>
      <c r="L354" s="24">
        <v>46388.0</v>
      </c>
      <c r="M354" s="24">
        <v>46752.0</v>
      </c>
      <c r="N354" s="20">
        <v>0.0</v>
      </c>
      <c r="O354" s="20">
        <v>1.0</v>
      </c>
      <c r="P354" s="24">
        <v>46753.0</v>
      </c>
      <c r="Q354" s="24">
        <v>47118.0</v>
      </c>
      <c r="R354" s="20">
        <v>0.0</v>
      </c>
      <c r="S354" s="20">
        <v>1.0</v>
      </c>
      <c r="T354" s="24">
        <v>47119.0</v>
      </c>
      <c r="U354" s="24">
        <v>47483.0</v>
      </c>
      <c r="V354" s="20">
        <v>0.0</v>
      </c>
      <c r="W354" s="20">
        <v>1.0</v>
      </c>
      <c r="X354" s="24">
        <v>47484.0</v>
      </c>
      <c r="Y354" s="24">
        <v>47848.0</v>
      </c>
      <c r="Z354" s="20">
        <v>0.0</v>
      </c>
      <c r="AA354" s="20">
        <v>1.0</v>
      </c>
      <c r="AB354" s="24"/>
      <c r="AC354" s="24"/>
    </row>
    <row r="355" ht="14.25" customHeight="1">
      <c r="A355" s="46" t="s">
        <v>6251</v>
      </c>
      <c r="B355" s="20" t="s">
        <v>6252</v>
      </c>
      <c r="C355" s="20" t="s">
        <v>7041</v>
      </c>
      <c r="D355" s="24">
        <v>45658.0</v>
      </c>
      <c r="E355" s="24">
        <v>46022.0</v>
      </c>
      <c r="F355" s="20">
        <v>1.0</v>
      </c>
      <c r="G355" s="20">
        <v>1.0</v>
      </c>
      <c r="H355" s="24">
        <v>46023.0</v>
      </c>
      <c r="I355" s="24">
        <v>46387.0</v>
      </c>
      <c r="J355" s="20">
        <v>0.0</v>
      </c>
      <c r="K355" s="20">
        <v>1.0</v>
      </c>
      <c r="L355" s="24">
        <v>46388.0</v>
      </c>
      <c r="M355" s="24">
        <v>46752.0</v>
      </c>
      <c r="N355" s="20">
        <v>0.0</v>
      </c>
      <c r="O355" s="20">
        <v>1.0</v>
      </c>
      <c r="P355" s="24">
        <v>46753.0</v>
      </c>
      <c r="Q355" s="24">
        <v>47118.0</v>
      </c>
      <c r="R355" s="20">
        <v>0.0</v>
      </c>
      <c r="S355" s="20">
        <v>1.0</v>
      </c>
      <c r="T355" s="24">
        <v>47119.0</v>
      </c>
      <c r="U355" s="24">
        <v>47483.0</v>
      </c>
      <c r="V355" s="20">
        <v>0.0</v>
      </c>
      <c r="W355" s="20">
        <v>1.0</v>
      </c>
      <c r="X355" s="24">
        <v>47484.0</v>
      </c>
      <c r="Y355" s="24">
        <v>47848.0</v>
      </c>
      <c r="Z355" s="20">
        <v>0.0</v>
      </c>
      <c r="AA355" s="20">
        <v>1.0</v>
      </c>
      <c r="AB355" s="24"/>
      <c r="AC355" s="24"/>
    </row>
    <row r="356" ht="14.25" customHeight="1">
      <c r="A356" s="46" t="s">
        <v>6254</v>
      </c>
      <c r="B356" s="20" t="s">
        <v>6255</v>
      </c>
      <c r="C356" s="20" t="s">
        <v>7041</v>
      </c>
      <c r="D356" s="24">
        <v>45658.0</v>
      </c>
      <c r="E356" s="24">
        <v>46022.0</v>
      </c>
      <c r="F356" s="20">
        <v>0.0</v>
      </c>
      <c r="G356" s="20">
        <v>1.0</v>
      </c>
      <c r="H356" s="24">
        <v>46023.0</v>
      </c>
      <c r="I356" s="24">
        <v>46387.0</v>
      </c>
      <c r="J356" s="20">
        <v>0.0</v>
      </c>
      <c r="K356" s="20">
        <v>1.0</v>
      </c>
      <c r="L356" s="24">
        <v>46388.0</v>
      </c>
      <c r="M356" s="24">
        <v>46752.0</v>
      </c>
      <c r="N356" s="20">
        <v>0.0</v>
      </c>
      <c r="O356" s="20">
        <v>1.0</v>
      </c>
      <c r="P356" s="24">
        <v>46753.0</v>
      </c>
      <c r="Q356" s="24">
        <v>47118.0</v>
      </c>
      <c r="R356" s="20">
        <v>0.0</v>
      </c>
      <c r="S356" s="20">
        <v>1.0</v>
      </c>
      <c r="T356" s="24">
        <v>47119.0</v>
      </c>
      <c r="U356" s="24">
        <v>47483.0</v>
      </c>
      <c r="V356" s="20">
        <v>0.0</v>
      </c>
      <c r="W356" s="20">
        <v>1.0</v>
      </c>
      <c r="X356" s="24">
        <v>47484.0</v>
      </c>
      <c r="Y356" s="24">
        <v>47848.0</v>
      </c>
      <c r="Z356" s="20">
        <v>0.0</v>
      </c>
      <c r="AA356" s="20">
        <v>1.0</v>
      </c>
      <c r="AB356" s="24"/>
      <c r="AC356" s="24"/>
    </row>
    <row r="357" ht="14.25" customHeight="1">
      <c r="A357" s="46" t="s">
        <v>6257</v>
      </c>
      <c r="B357" s="20" t="s">
        <v>6258</v>
      </c>
      <c r="C357" s="20" t="s">
        <v>7041</v>
      </c>
      <c r="D357" s="24">
        <v>45658.0</v>
      </c>
      <c r="E357" s="24">
        <v>46022.0</v>
      </c>
      <c r="F357" s="20">
        <v>0.0</v>
      </c>
      <c r="G357" s="20">
        <v>1.0</v>
      </c>
      <c r="H357" s="24">
        <v>46023.0</v>
      </c>
      <c r="I357" s="24">
        <v>46387.0</v>
      </c>
      <c r="J357" s="20">
        <v>0.0</v>
      </c>
      <c r="K357" s="20">
        <v>1.0</v>
      </c>
      <c r="L357" s="24">
        <v>46388.0</v>
      </c>
      <c r="M357" s="24">
        <v>46752.0</v>
      </c>
      <c r="N357" s="20">
        <v>0.0</v>
      </c>
      <c r="O357" s="20">
        <v>1.0</v>
      </c>
      <c r="P357" s="24">
        <v>46753.0</v>
      </c>
      <c r="Q357" s="24">
        <v>47118.0</v>
      </c>
      <c r="R357" s="20">
        <v>0.0</v>
      </c>
      <c r="S357" s="20">
        <v>1.0</v>
      </c>
      <c r="T357" s="24">
        <v>47119.0</v>
      </c>
      <c r="U357" s="24">
        <v>47483.0</v>
      </c>
      <c r="V357" s="20">
        <v>0.0</v>
      </c>
      <c r="W357" s="20">
        <v>1.0</v>
      </c>
      <c r="X357" s="24">
        <v>47484.0</v>
      </c>
      <c r="Y357" s="24">
        <v>47848.0</v>
      </c>
      <c r="Z357" s="20">
        <v>0.0</v>
      </c>
      <c r="AA357" s="20">
        <v>1.0</v>
      </c>
      <c r="AB357" s="24"/>
      <c r="AC357" s="24"/>
    </row>
    <row r="358" ht="14.25" customHeight="1">
      <c r="A358" s="46" t="s">
        <v>6264</v>
      </c>
      <c r="B358" s="20" t="s">
        <v>6265</v>
      </c>
      <c r="C358" s="20" t="s">
        <v>7041</v>
      </c>
      <c r="D358" s="24">
        <v>45658.0</v>
      </c>
      <c r="E358" s="24">
        <v>46022.0</v>
      </c>
      <c r="F358" s="20">
        <v>0.0</v>
      </c>
      <c r="G358" s="20">
        <v>1.0</v>
      </c>
      <c r="H358" s="24">
        <v>46023.0</v>
      </c>
      <c r="I358" s="24">
        <v>46387.0</v>
      </c>
      <c r="J358" s="20">
        <v>0.0</v>
      </c>
      <c r="K358" s="20">
        <v>1.0</v>
      </c>
      <c r="L358" s="24">
        <v>46388.0</v>
      </c>
      <c r="M358" s="24">
        <v>46752.0</v>
      </c>
      <c r="N358" s="20">
        <v>0.0</v>
      </c>
      <c r="O358" s="20">
        <v>1.0</v>
      </c>
      <c r="P358" s="24">
        <v>46753.0</v>
      </c>
      <c r="Q358" s="24">
        <v>47118.0</v>
      </c>
      <c r="R358" s="20">
        <v>0.0</v>
      </c>
      <c r="S358" s="20">
        <v>1.0</v>
      </c>
      <c r="T358" s="24">
        <v>47119.0</v>
      </c>
      <c r="U358" s="24">
        <v>47483.0</v>
      </c>
      <c r="V358" s="20">
        <v>0.0</v>
      </c>
      <c r="W358" s="20">
        <v>1.0</v>
      </c>
      <c r="X358" s="24">
        <v>47484.0</v>
      </c>
      <c r="Y358" s="24">
        <v>47848.0</v>
      </c>
      <c r="Z358" s="20">
        <v>0.0</v>
      </c>
      <c r="AA358" s="20">
        <v>1.0</v>
      </c>
      <c r="AB358" s="24"/>
      <c r="AC358" s="24"/>
    </row>
    <row r="359" ht="14.25" customHeight="1">
      <c r="A359" s="46" t="s">
        <v>6288</v>
      </c>
      <c r="B359" s="20" t="s">
        <v>6289</v>
      </c>
      <c r="C359" s="20" t="s">
        <v>7041</v>
      </c>
      <c r="D359" s="24">
        <v>45658.0</v>
      </c>
      <c r="E359" s="24">
        <v>46022.0</v>
      </c>
      <c r="F359" s="20">
        <v>0.0</v>
      </c>
      <c r="G359" s="20">
        <v>1.0</v>
      </c>
      <c r="H359" s="24">
        <v>46023.0</v>
      </c>
      <c r="I359" s="24">
        <v>46387.0</v>
      </c>
      <c r="J359" s="20">
        <v>0.0</v>
      </c>
      <c r="K359" s="20">
        <v>1.0</v>
      </c>
      <c r="L359" s="24">
        <v>46388.0</v>
      </c>
      <c r="M359" s="24">
        <v>46752.0</v>
      </c>
      <c r="N359" s="20">
        <v>0.0</v>
      </c>
      <c r="O359" s="20">
        <v>1.0</v>
      </c>
      <c r="P359" s="24">
        <v>46753.0</v>
      </c>
      <c r="Q359" s="24">
        <v>47118.0</v>
      </c>
      <c r="R359" s="20">
        <v>0.0</v>
      </c>
      <c r="S359" s="20">
        <v>1.0</v>
      </c>
      <c r="T359" s="24">
        <v>47119.0</v>
      </c>
      <c r="U359" s="24">
        <v>47483.0</v>
      </c>
      <c r="V359" s="20">
        <v>0.0</v>
      </c>
      <c r="W359" s="20">
        <v>1.0</v>
      </c>
      <c r="X359" s="24">
        <v>47484.0</v>
      </c>
      <c r="Y359" s="24">
        <v>47848.0</v>
      </c>
      <c r="Z359" s="20">
        <v>0.0</v>
      </c>
      <c r="AA359" s="20">
        <v>1.0</v>
      </c>
      <c r="AB359" s="24"/>
      <c r="AC359" s="24"/>
    </row>
    <row r="360" ht="14.25" customHeight="1">
      <c r="A360" s="46" t="s">
        <v>6370</v>
      </c>
      <c r="B360" s="20" t="s">
        <v>6371</v>
      </c>
      <c r="C360" s="20" t="s">
        <v>7041</v>
      </c>
      <c r="D360" s="24">
        <v>45658.0</v>
      </c>
      <c r="E360" s="24">
        <v>46022.0</v>
      </c>
      <c r="F360" s="20">
        <v>1.0</v>
      </c>
      <c r="G360" s="20">
        <v>1.0</v>
      </c>
      <c r="H360" s="24">
        <v>46023.0</v>
      </c>
      <c r="I360" s="24">
        <v>46387.0</v>
      </c>
      <c r="J360" s="20">
        <v>0.0</v>
      </c>
      <c r="K360" s="20">
        <v>1.0</v>
      </c>
      <c r="L360" s="24">
        <v>46388.0</v>
      </c>
      <c r="M360" s="24">
        <v>46752.0</v>
      </c>
      <c r="N360" s="20">
        <v>0.0</v>
      </c>
      <c r="O360" s="20">
        <v>1.0</v>
      </c>
      <c r="P360" s="24">
        <v>46753.0</v>
      </c>
      <c r="Q360" s="24">
        <v>47118.0</v>
      </c>
      <c r="R360" s="20">
        <v>0.0</v>
      </c>
      <c r="S360" s="20">
        <v>1.0</v>
      </c>
      <c r="T360" s="24">
        <v>47119.0</v>
      </c>
      <c r="U360" s="24">
        <v>47483.0</v>
      </c>
      <c r="V360" s="20">
        <v>0.0</v>
      </c>
      <c r="W360" s="20">
        <v>1.0</v>
      </c>
      <c r="X360" s="24">
        <v>47484.0</v>
      </c>
      <c r="Y360" s="24">
        <v>47848.0</v>
      </c>
      <c r="Z360" s="20">
        <v>0.0</v>
      </c>
      <c r="AA360" s="20">
        <v>1.0</v>
      </c>
      <c r="AB360" s="24"/>
      <c r="AC360" s="24"/>
    </row>
    <row r="361" ht="14.25" customHeight="1">
      <c r="A361" s="46" t="s">
        <v>6425</v>
      </c>
      <c r="B361" s="20" t="s">
        <v>6426</v>
      </c>
      <c r="C361" s="20" t="s">
        <v>7041</v>
      </c>
      <c r="D361" s="24">
        <v>45658.0</v>
      </c>
      <c r="E361" s="24">
        <v>46022.0</v>
      </c>
      <c r="F361" s="20">
        <v>0.0</v>
      </c>
      <c r="G361" s="20">
        <v>1.0</v>
      </c>
      <c r="H361" s="24">
        <v>46023.0</v>
      </c>
      <c r="I361" s="24">
        <v>46387.0</v>
      </c>
      <c r="J361" s="20">
        <v>0.0</v>
      </c>
      <c r="K361" s="20">
        <v>1.0</v>
      </c>
      <c r="L361" s="24">
        <v>46388.0</v>
      </c>
      <c r="M361" s="24">
        <v>46752.0</v>
      </c>
      <c r="N361" s="20">
        <v>0.0</v>
      </c>
      <c r="O361" s="20">
        <v>1.0</v>
      </c>
      <c r="P361" s="24">
        <v>46753.0</v>
      </c>
      <c r="Q361" s="24">
        <v>47118.0</v>
      </c>
      <c r="R361" s="20">
        <v>0.0</v>
      </c>
      <c r="S361" s="20">
        <v>1.0</v>
      </c>
      <c r="T361" s="24">
        <v>47119.0</v>
      </c>
      <c r="U361" s="24">
        <v>47483.0</v>
      </c>
      <c r="V361" s="20">
        <v>0.0</v>
      </c>
      <c r="W361" s="20">
        <v>1.0</v>
      </c>
      <c r="X361" s="24">
        <v>47484.0</v>
      </c>
      <c r="Y361" s="24">
        <v>47848.0</v>
      </c>
      <c r="Z361" s="20">
        <v>0.0</v>
      </c>
      <c r="AA361" s="20">
        <v>1.0</v>
      </c>
      <c r="AB361" s="24"/>
      <c r="AC361" s="24"/>
    </row>
    <row r="362" ht="14.25" customHeight="1">
      <c r="A362" s="46" t="s">
        <v>6454</v>
      </c>
      <c r="B362" s="20" t="s">
        <v>6455</v>
      </c>
      <c r="C362" s="20" t="s">
        <v>7041</v>
      </c>
      <c r="D362" s="24">
        <v>45658.0</v>
      </c>
      <c r="E362" s="24">
        <v>46022.0</v>
      </c>
      <c r="F362" s="20">
        <v>0.0</v>
      </c>
      <c r="G362" s="20">
        <v>1.0</v>
      </c>
      <c r="H362" s="24">
        <v>46023.0</v>
      </c>
      <c r="I362" s="24">
        <v>46387.0</v>
      </c>
      <c r="J362" s="20">
        <v>0.0</v>
      </c>
      <c r="K362" s="20">
        <v>1.0</v>
      </c>
      <c r="L362" s="24">
        <v>46388.0</v>
      </c>
      <c r="M362" s="24">
        <v>46752.0</v>
      </c>
      <c r="N362" s="20">
        <v>0.0</v>
      </c>
      <c r="O362" s="20">
        <v>1.0</v>
      </c>
      <c r="P362" s="24">
        <v>46753.0</v>
      </c>
      <c r="Q362" s="24">
        <v>47118.0</v>
      </c>
      <c r="R362" s="20">
        <v>0.0</v>
      </c>
      <c r="S362" s="20">
        <v>1.0</v>
      </c>
      <c r="T362" s="24">
        <v>47119.0</v>
      </c>
      <c r="U362" s="24">
        <v>47483.0</v>
      </c>
      <c r="V362" s="20">
        <v>0.0</v>
      </c>
      <c r="W362" s="20">
        <v>1.0</v>
      </c>
      <c r="X362" s="24">
        <v>47484.0</v>
      </c>
      <c r="Y362" s="24">
        <v>47848.0</v>
      </c>
      <c r="Z362" s="20">
        <v>0.0</v>
      </c>
      <c r="AA362" s="20">
        <v>1.0</v>
      </c>
      <c r="AB362" s="24"/>
      <c r="AC362" s="24"/>
    </row>
    <row r="363" ht="14.25" customHeight="1">
      <c r="A363" s="46" t="s">
        <v>6467</v>
      </c>
      <c r="B363" s="20" t="s">
        <v>6468</v>
      </c>
      <c r="C363" s="20" t="s">
        <v>7041</v>
      </c>
      <c r="D363" s="24">
        <v>45658.0</v>
      </c>
      <c r="E363" s="24">
        <v>46022.0</v>
      </c>
      <c r="F363" s="20">
        <v>0.0</v>
      </c>
      <c r="G363" s="20">
        <v>1.0</v>
      </c>
      <c r="H363" s="24">
        <v>46023.0</v>
      </c>
      <c r="I363" s="24">
        <v>46387.0</v>
      </c>
      <c r="J363" s="20">
        <v>0.0</v>
      </c>
      <c r="K363" s="20">
        <v>1.0</v>
      </c>
      <c r="L363" s="24">
        <v>46388.0</v>
      </c>
      <c r="M363" s="24">
        <v>46752.0</v>
      </c>
      <c r="N363" s="20">
        <v>0.0</v>
      </c>
      <c r="O363" s="20">
        <v>1.0</v>
      </c>
      <c r="P363" s="24">
        <v>46753.0</v>
      </c>
      <c r="Q363" s="24">
        <v>47118.0</v>
      </c>
      <c r="R363" s="20">
        <v>0.0</v>
      </c>
      <c r="S363" s="20">
        <v>1.0</v>
      </c>
      <c r="T363" s="24">
        <v>47119.0</v>
      </c>
      <c r="U363" s="24">
        <v>47483.0</v>
      </c>
      <c r="V363" s="20">
        <v>0.0</v>
      </c>
      <c r="W363" s="20">
        <v>1.0</v>
      </c>
      <c r="X363" s="24">
        <v>47484.0</v>
      </c>
      <c r="Y363" s="24">
        <v>47848.0</v>
      </c>
      <c r="Z363" s="20">
        <v>0.0</v>
      </c>
      <c r="AA363" s="20">
        <v>1.0</v>
      </c>
      <c r="AB363" s="24"/>
      <c r="AC363" s="24"/>
    </row>
    <row r="364" ht="14.25" customHeight="1">
      <c r="A364" s="46" t="s">
        <v>6486</v>
      </c>
      <c r="B364" s="20" t="s">
        <v>6487</v>
      </c>
      <c r="C364" s="20" t="s">
        <v>7041</v>
      </c>
      <c r="D364" s="24">
        <v>45658.0</v>
      </c>
      <c r="E364" s="24">
        <v>46022.0</v>
      </c>
      <c r="F364" s="20">
        <v>1.0</v>
      </c>
      <c r="G364" s="20">
        <v>1.0</v>
      </c>
      <c r="H364" s="24">
        <v>46023.0</v>
      </c>
      <c r="I364" s="24">
        <v>46387.0</v>
      </c>
      <c r="J364" s="20">
        <v>0.0</v>
      </c>
      <c r="K364" s="20">
        <v>1.0</v>
      </c>
      <c r="L364" s="24">
        <v>46388.0</v>
      </c>
      <c r="M364" s="24">
        <v>46752.0</v>
      </c>
      <c r="N364" s="20">
        <v>0.0</v>
      </c>
      <c r="O364" s="20">
        <v>1.0</v>
      </c>
      <c r="P364" s="24">
        <v>46753.0</v>
      </c>
      <c r="Q364" s="24">
        <v>47118.0</v>
      </c>
      <c r="R364" s="20">
        <v>0.0</v>
      </c>
      <c r="S364" s="20">
        <v>1.0</v>
      </c>
      <c r="T364" s="24">
        <v>47119.0</v>
      </c>
      <c r="U364" s="24">
        <v>47483.0</v>
      </c>
      <c r="V364" s="20">
        <v>0.0</v>
      </c>
      <c r="W364" s="20">
        <v>1.0</v>
      </c>
      <c r="X364" s="24">
        <v>47484.0</v>
      </c>
      <c r="Y364" s="24">
        <v>47848.0</v>
      </c>
      <c r="Z364" s="20">
        <v>0.0</v>
      </c>
      <c r="AA364" s="20">
        <v>1.0</v>
      </c>
      <c r="AB364" s="24"/>
      <c r="AC364" s="24"/>
    </row>
    <row r="365" ht="14.25" customHeight="1">
      <c r="A365" s="46" t="s">
        <v>6586</v>
      </c>
      <c r="B365" s="20" t="s">
        <v>6587</v>
      </c>
      <c r="C365" s="20" t="s">
        <v>7041</v>
      </c>
      <c r="D365" s="24">
        <v>45658.0</v>
      </c>
      <c r="E365" s="24">
        <v>46022.0</v>
      </c>
      <c r="F365" s="20">
        <v>1.0</v>
      </c>
      <c r="G365" s="20">
        <v>1.0</v>
      </c>
      <c r="H365" s="24">
        <v>46023.0</v>
      </c>
      <c r="I365" s="24">
        <v>46387.0</v>
      </c>
      <c r="J365" s="20">
        <v>0.0</v>
      </c>
      <c r="K365" s="20">
        <v>1.0</v>
      </c>
      <c r="L365" s="24">
        <v>46388.0</v>
      </c>
      <c r="M365" s="24">
        <v>46752.0</v>
      </c>
      <c r="N365" s="20">
        <v>0.0</v>
      </c>
      <c r="O365" s="20">
        <v>1.0</v>
      </c>
      <c r="P365" s="24">
        <v>46753.0</v>
      </c>
      <c r="Q365" s="24">
        <v>47118.0</v>
      </c>
      <c r="R365" s="20">
        <v>0.0</v>
      </c>
      <c r="S365" s="20">
        <v>1.0</v>
      </c>
      <c r="T365" s="24">
        <v>47119.0</v>
      </c>
      <c r="U365" s="24">
        <v>47483.0</v>
      </c>
      <c r="V365" s="20">
        <v>0.0</v>
      </c>
      <c r="W365" s="20">
        <v>1.0</v>
      </c>
      <c r="X365" s="24">
        <v>47484.0</v>
      </c>
      <c r="Y365" s="24">
        <v>47848.0</v>
      </c>
      <c r="Z365" s="20">
        <v>0.0</v>
      </c>
      <c r="AA365" s="20">
        <v>1.0</v>
      </c>
      <c r="AB365" s="24"/>
      <c r="AC365" s="24"/>
    </row>
    <row r="366" ht="14.25" customHeight="1">
      <c r="A366" s="46" t="s">
        <v>6601</v>
      </c>
      <c r="B366" s="20" t="s">
        <v>6602</v>
      </c>
      <c r="C366" s="20" t="s">
        <v>7041</v>
      </c>
      <c r="D366" s="24">
        <v>45658.0</v>
      </c>
      <c r="E366" s="24">
        <v>46022.0</v>
      </c>
      <c r="F366" s="20">
        <v>0.0</v>
      </c>
      <c r="G366" s="20">
        <v>1.0</v>
      </c>
      <c r="H366" s="24">
        <v>46023.0</v>
      </c>
      <c r="I366" s="24">
        <v>46387.0</v>
      </c>
      <c r="J366" s="20">
        <v>0.0</v>
      </c>
      <c r="K366" s="20">
        <v>1.0</v>
      </c>
      <c r="L366" s="24">
        <v>46388.0</v>
      </c>
      <c r="M366" s="24">
        <v>46752.0</v>
      </c>
      <c r="N366" s="20">
        <v>0.0</v>
      </c>
      <c r="O366" s="20">
        <v>1.0</v>
      </c>
      <c r="P366" s="24">
        <v>46753.0</v>
      </c>
      <c r="Q366" s="24">
        <v>47118.0</v>
      </c>
      <c r="R366" s="20">
        <v>0.0</v>
      </c>
      <c r="S366" s="20">
        <v>1.0</v>
      </c>
      <c r="T366" s="24">
        <v>47119.0</v>
      </c>
      <c r="U366" s="24">
        <v>47483.0</v>
      </c>
      <c r="V366" s="20">
        <v>0.0</v>
      </c>
      <c r="W366" s="20">
        <v>1.0</v>
      </c>
      <c r="X366" s="24">
        <v>47484.0</v>
      </c>
      <c r="Y366" s="24">
        <v>47848.0</v>
      </c>
      <c r="Z366" s="20">
        <v>0.0</v>
      </c>
      <c r="AA366" s="20">
        <v>1.0</v>
      </c>
      <c r="AB366" s="24"/>
      <c r="AC366" s="24"/>
    </row>
    <row r="367" ht="14.25" customHeight="1">
      <c r="A367" s="46" t="s">
        <v>6669</v>
      </c>
      <c r="B367" s="20" t="s">
        <v>6670</v>
      </c>
      <c r="C367" s="20" t="s">
        <v>7041</v>
      </c>
      <c r="D367" s="24">
        <v>45658.0</v>
      </c>
      <c r="E367" s="24">
        <v>46022.0</v>
      </c>
      <c r="F367" s="20">
        <v>1.0</v>
      </c>
      <c r="G367" s="20">
        <v>1.0</v>
      </c>
      <c r="H367" s="24">
        <v>46023.0</v>
      </c>
      <c r="I367" s="24">
        <v>46387.0</v>
      </c>
      <c r="J367" s="20">
        <v>0.0</v>
      </c>
      <c r="K367" s="20">
        <v>1.0</v>
      </c>
      <c r="L367" s="24">
        <v>46388.0</v>
      </c>
      <c r="M367" s="24">
        <v>46752.0</v>
      </c>
      <c r="N367" s="20">
        <v>0.0</v>
      </c>
      <c r="O367" s="20">
        <v>1.0</v>
      </c>
      <c r="P367" s="24">
        <v>46753.0</v>
      </c>
      <c r="Q367" s="24">
        <v>47118.0</v>
      </c>
      <c r="R367" s="20">
        <v>0.0</v>
      </c>
      <c r="S367" s="20">
        <v>1.0</v>
      </c>
      <c r="T367" s="24">
        <v>47119.0</v>
      </c>
      <c r="U367" s="24">
        <v>47483.0</v>
      </c>
      <c r="V367" s="20">
        <v>0.0</v>
      </c>
      <c r="W367" s="20">
        <v>1.0</v>
      </c>
      <c r="X367" s="24">
        <v>47484.0</v>
      </c>
      <c r="Y367" s="24">
        <v>47848.0</v>
      </c>
      <c r="Z367" s="20">
        <v>0.0</v>
      </c>
      <c r="AA367" s="20">
        <v>1.0</v>
      </c>
      <c r="AB367" s="24"/>
      <c r="AC367" s="24"/>
    </row>
    <row r="368" ht="14.25" customHeight="1">
      <c r="A368" s="46" t="s">
        <v>6707</v>
      </c>
      <c r="B368" s="20" t="s">
        <v>6708</v>
      </c>
      <c r="C368" s="20" t="s">
        <v>7041</v>
      </c>
      <c r="D368" s="24">
        <v>45658.0</v>
      </c>
      <c r="E368" s="24">
        <v>46022.0</v>
      </c>
      <c r="F368" s="20">
        <v>0.0</v>
      </c>
      <c r="G368" s="20">
        <v>1.0</v>
      </c>
      <c r="H368" s="24">
        <v>46023.0</v>
      </c>
      <c r="I368" s="24">
        <v>46387.0</v>
      </c>
      <c r="J368" s="20">
        <v>0.0</v>
      </c>
      <c r="K368" s="20">
        <v>1.0</v>
      </c>
      <c r="L368" s="24">
        <v>46388.0</v>
      </c>
      <c r="M368" s="24">
        <v>46752.0</v>
      </c>
      <c r="N368" s="20">
        <v>0.0</v>
      </c>
      <c r="O368" s="20">
        <v>1.0</v>
      </c>
      <c r="P368" s="24">
        <v>46753.0</v>
      </c>
      <c r="Q368" s="24">
        <v>47118.0</v>
      </c>
      <c r="R368" s="20">
        <v>0.0</v>
      </c>
      <c r="S368" s="20">
        <v>1.0</v>
      </c>
      <c r="T368" s="24">
        <v>47119.0</v>
      </c>
      <c r="U368" s="24">
        <v>47483.0</v>
      </c>
      <c r="V368" s="20">
        <v>0.0</v>
      </c>
      <c r="W368" s="20">
        <v>1.0</v>
      </c>
      <c r="X368" s="24">
        <v>47484.0</v>
      </c>
      <c r="Y368" s="24">
        <v>47848.0</v>
      </c>
      <c r="Z368" s="20">
        <v>0.0</v>
      </c>
      <c r="AA368" s="20">
        <v>1.0</v>
      </c>
      <c r="AB368" s="24"/>
      <c r="AC368" s="24"/>
    </row>
    <row r="369" ht="14.25" customHeight="1">
      <c r="A369" s="46" t="s">
        <v>6768</v>
      </c>
      <c r="B369" s="20" t="s">
        <v>6769</v>
      </c>
      <c r="C369" s="20" t="s">
        <v>7041</v>
      </c>
      <c r="D369" s="24">
        <v>45658.0</v>
      </c>
      <c r="E369" s="24">
        <v>46022.0</v>
      </c>
      <c r="F369" s="20">
        <v>1.0</v>
      </c>
      <c r="G369" s="20">
        <v>1.0</v>
      </c>
      <c r="H369" s="24">
        <v>46023.0</v>
      </c>
      <c r="I369" s="24">
        <v>46387.0</v>
      </c>
      <c r="J369" s="20">
        <v>0.0</v>
      </c>
      <c r="K369" s="20">
        <v>1.0</v>
      </c>
      <c r="L369" s="24">
        <v>46388.0</v>
      </c>
      <c r="M369" s="24">
        <v>46752.0</v>
      </c>
      <c r="N369" s="20">
        <v>0.0</v>
      </c>
      <c r="O369" s="20">
        <v>1.0</v>
      </c>
      <c r="P369" s="24">
        <v>46753.0</v>
      </c>
      <c r="Q369" s="24">
        <v>47118.0</v>
      </c>
      <c r="R369" s="20">
        <v>0.0</v>
      </c>
      <c r="S369" s="20">
        <v>1.0</v>
      </c>
      <c r="T369" s="24">
        <v>47119.0</v>
      </c>
      <c r="U369" s="24">
        <v>47483.0</v>
      </c>
      <c r="V369" s="20">
        <v>0.0</v>
      </c>
      <c r="W369" s="20">
        <v>1.0</v>
      </c>
      <c r="X369" s="24">
        <v>47484.0</v>
      </c>
      <c r="Y369" s="24">
        <v>47848.0</v>
      </c>
      <c r="Z369" s="20">
        <v>0.0</v>
      </c>
      <c r="AA369" s="20">
        <v>1.0</v>
      </c>
      <c r="AB369" s="24"/>
      <c r="AC369" s="24"/>
    </row>
    <row r="370" ht="14.25" customHeight="1">
      <c r="A370" s="46" t="s">
        <v>6835</v>
      </c>
      <c r="B370" s="20" t="s">
        <v>6836</v>
      </c>
      <c r="C370" s="20" t="s">
        <v>7041</v>
      </c>
      <c r="D370" s="24">
        <v>45658.0</v>
      </c>
      <c r="E370" s="24">
        <v>46022.0</v>
      </c>
      <c r="F370" s="20">
        <v>1.0</v>
      </c>
      <c r="G370" s="20">
        <v>1.0</v>
      </c>
      <c r="H370" s="24">
        <v>46023.0</v>
      </c>
      <c r="I370" s="24">
        <v>46387.0</v>
      </c>
      <c r="J370" s="20">
        <v>0.0</v>
      </c>
      <c r="K370" s="20">
        <v>1.0</v>
      </c>
      <c r="L370" s="24">
        <v>46388.0</v>
      </c>
      <c r="M370" s="24">
        <v>46752.0</v>
      </c>
      <c r="N370" s="20">
        <v>0.0</v>
      </c>
      <c r="O370" s="20">
        <v>1.0</v>
      </c>
      <c r="P370" s="24">
        <v>46753.0</v>
      </c>
      <c r="Q370" s="24">
        <v>47118.0</v>
      </c>
      <c r="R370" s="20">
        <v>0.0</v>
      </c>
      <c r="S370" s="20">
        <v>1.0</v>
      </c>
      <c r="T370" s="24">
        <v>47119.0</v>
      </c>
      <c r="U370" s="24">
        <v>47483.0</v>
      </c>
      <c r="V370" s="20">
        <v>0.0</v>
      </c>
      <c r="W370" s="20">
        <v>1.0</v>
      </c>
      <c r="X370" s="24">
        <v>47484.0</v>
      </c>
      <c r="Y370" s="24">
        <v>47848.0</v>
      </c>
      <c r="Z370" s="20">
        <v>0.0</v>
      </c>
      <c r="AA370" s="20">
        <v>1.0</v>
      </c>
      <c r="AB370" s="24"/>
      <c r="AC370" s="24"/>
    </row>
    <row r="371" ht="14.25" customHeight="1">
      <c r="A371" s="46" t="s">
        <v>6892</v>
      </c>
      <c r="B371" s="20" t="s">
        <v>6893</v>
      </c>
      <c r="C371" s="20" t="s">
        <v>7041</v>
      </c>
      <c r="D371" s="24">
        <v>45658.0</v>
      </c>
      <c r="E371" s="24">
        <v>46022.0</v>
      </c>
      <c r="F371" s="20">
        <v>0.0</v>
      </c>
      <c r="G371" s="20">
        <v>1.0</v>
      </c>
      <c r="H371" s="24">
        <v>46023.0</v>
      </c>
      <c r="I371" s="24">
        <v>46387.0</v>
      </c>
      <c r="J371" s="20">
        <v>0.0</v>
      </c>
      <c r="K371" s="20">
        <v>1.0</v>
      </c>
      <c r="L371" s="24">
        <v>46388.0</v>
      </c>
      <c r="M371" s="24">
        <v>46752.0</v>
      </c>
      <c r="N371" s="20">
        <v>0.0</v>
      </c>
      <c r="O371" s="20">
        <v>1.0</v>
      </c>
      <c r="P371" s="24">
        <v>46753.0</v>
      </c>
      <c r="Q371" s="24">
        <v>47118.0</v>
      </c>
      <c r="R371" s="20">
        <v>0.0</v>
      </c>
      <c r="S371" s="20">
        <v>1.0</v>
      </c>
      <c r="T371" s="24">
        <v>47119.0</v>
      </c>
      <c r="U371" s="24">
        <v>47483.0</v>
      </c>
      <c r="V371" s="20">
        <v>0.0</v>
      </c>
      <c r="W371" s="20">
        <v>1.0</v>
      </c>
      <c r="X371" s="24">
        <v>47484.0</v>
      </c>
      <c r="Y371" s="24">
        <v>47848.0</v>
      </c>
      <c r="Z371" s="20">
        <v>0.0</v>
      </c>
      <c r="AA371" s="20">
        <v>1.0</v>
      </c>
      <c r="AB371" s="24"/>
      <c r="AC371" s="24"/>
    </row>
    <row r="372" ht="14.25" customHeight="1">
      <c r="A372" s="46" t="s">
        <v>6895</v>
      </c>
      <c r="B372" s="20" t="s">
        <v>6896</v>
      </c>
      <c r="C372" s="20" t="s">
        <v>7041</v>
      </c>
      <c r="D372" s="24">
        <v>45658.0</v>
      </c>
      <c r="E372" s="24">
        <v>46022.0</v>
      </c>
      <c r="F372" s="20">
        <v>1.0</v>
      </c>
      <c r="G372" s="20">
        <v>1.0</v>
      </c>
      <c r="H372" s="24">
        <v>46023.0</v>
      </c>
      <c r="I372" s="24">
        <v>46387.0</v>
      </c>
      <c r="J372" s="20">
        <v>0.0</v>
      </c>
      <c r="K372" s="20">
        <v>1.0</v>
      </c>
      <c r="L372" s="24">
        <v>46388.0</v>
      </c>
      <c r="M372" s="24">
        <v>46752.0</v>
      </c>
      <c r="N372" s="20">
        <v>0.0</v>
      </c>
      <c r="O372" s="20">
        <v>1.0</v>
      </c>
      <c r="P372" s="24">
        <v>46753.0</v>
      </c>
      <c r="Q372" s="24">
        <v>47118.0</v>
      </c>
      <c r="R372" s="20">
        <v>0.0</v>
      </c>
      <c r="S372" s="20">
        <v>1.0</v>
      </c>
      <c r="T372" s="24">
        <v>47119.0</v>
      </c>
      <c r="U372" s="24">
        <v>47483.0</v>
      </c>
      <c r="V372" s="20">
        <v>0.0</v>
      </c>
      <c r="W372" s="20">
        <v>1.0</v>
      </c>
      <c r="X372" s="24">
        <v>47484.0</v>
      </c>
      <c r="Y372" s="24">
        <v>47848.0</v>
      </c>
      <c r="Z372" s="20">
        <v>0.0</v>
      </c>
      <c r="AA372" s="20">
        <v>1.0</v>
      </c>
      <c r="AB372" s="24"/>
      <c r="AC372" s="24"/>
    </row>
    <row r="373" ht="14.25" customHeight="1">
      <c r="A373" s="46" t="s">
        <v>6937</v>
      </c>
      <c r="B373" s="20" t="s">
        <v>6938</v>
      </c>
      <c r="C373" s="20" t="s">
        <v>7041</v>
      </c>
      <c r="D373" s="24">
        <v>45658.0</v>
      </c>
      <c r="E373" s="24">
        <v>46022.0</v>
      </c>
      <c r="F373" s="20">
        <v>1.0</v>
      </c>
      <c r="G373" s="20">
        <v>1.0</v>
      </c>
      <c r="H373" s="24">
        <v>46023.0</v>
      </c>
      <c r="I373" s="24">
        <v>46387.0</v>
      </c>
      <c r="J373" s="20">
        <v>0.0</v>
      </c>
      <c r="K373" s="20">
        <v>1.0</v>
      </c>
      <c r="L373" s="24">
        <v>46388.0</v>
      </c>
      <c r="M373" s="24">
        <v>46752.0</v>
      </c>
      <c r="N373" s="20">
        <v>0.0</v>
      </c>
      <c r="O373" s="20">
        <v>1.0</v>
      </c>
      <c r="P373" s="24">
        <v>46753.0</v>
      </c>
      <c r="Q373" s="24">
        <v>47118.0</v>
      </c>
      <c r="R373" s="20">
        <v>0.0</v>
      </c>
      <c r="S373" s="20">
        <v>1.0</v>
      </c>
      <c r="T373" s="24">
        <v>47119.0</v>
      </c>
      <c r="U373" s="24">
        <v>47483.0</v>
      </c>
      <c r="V373" s="20">
        <v>0.0</v>
      </c>
      <c r="W373" s="20">
        <v>1.0</v>
      </c>
      <c r="X373" s="24">
        <v>47484.0</v>
      </c>
      <c r="Y373" s="24">
        <v>47848.0</v>
      </c>
      <c r="Z373" s="20">
        <v>0.0</v>
      </c>
      <c r="AA373" s="20">
        <v>1.0</v>
      </c>
      <c r="AB373" s="24"/>
      <c r="AC373" s="24"/>
    </row>
    <row r="374" ht="14.25" customHeight="1">
      <c r="A374" s="46" t="s">
        <v>6999</v>
      </c>
      <c r="B374" s="20" t="s">
        <v>7000</v>
      </c>
      <c r="C374" s="20" t="s">
        <v>7041</v>
      </c>
      <c r="D374" s="24">
        <v>45658.0</v>
      </c>
      <c r="E374" s="24">
        <v>46022.0</v>
      </c>
      <c r="F374" s="20">
        <v>1.0</v>
      </c>
      <c r="G374" s="20">
        <v>1.0</v>
      </c>
      <c r="H374" s="24">
        <v>46023.0</v>
      </c>
      <c r="I374" s="24">
        <v>46387.0</v>
      </c>
      <c r="J374" s="20">
        <v>0.0</v>
      </c>
      <c r="K374" s="20">
        <v>1.0</v>
      </c>
      <c r="L374" s="24">
        <v>46388.0</v>
      </c>
      <c r="M374" s="24">
        <v>46752.0</v>
      </c>
      <c r="N374" s="20">
        <v>0.0</v>
      </c>
      <c r="O374" s="20">
        <v>1.0</v>
      </c>
      <c r="P374" s="24">
        <v>46753.0</v>
      </c>
      <c r="Q374" s="24">
        <v>47118.0</v>
      </c>
      <c r="R374" s="20">
        <v>0.0</v>
      </c>
      <c r="S374" s="20">
        <v>1.0</v>
      </c>
      <c r="T374" s="24">
        <v>47119.0</v>
      </c>
      <c r="U374" s="24">
        <v>47483.0</v>
      </c>
      <c r="V374" s="20">
        <v>0.0</v>
      </c>
      <c r="W374" s="20">
        <v>1.0</v>
      </c>
      <c r="X374" s="24">
        <v>47484.0</v>
      </c>
      <c r="Y374" s="24">
        <v>47848.0</v>
      </c>
      <c r="Z374" s="20">
        <v>0.0</v>
      </c>
      <c r="AA374" s="20">
        <v>1.0</v>
      </c>
      <c r="AB374" s="24"/>
      <c r="AC374" s="24"/>
    </row>
    <row r="375" ht="14.25" customHeight="1">
      <c r="A375" s="46" t="s">
        <v>7019</v>
      </c>
      <c r="B375" s="20" t="s">
        <v>7020</v>
      </c>
      <c r="C375" s="20" t="s">
        <v>7041</v>
      </c>
      <c r="D375" s="24">
        <v>45658.0</v>
      </c>
      <c r="E375" s="24">
        <v>46022.0</v>
      </c>
      <c r="F375" s="20">
        <v>0.0</v>
      </c>
      <c r="G375" s="20">
        <v>1.0</v>
      </c>
      <c r="H375" s="24">
        <v>46023.0</v>
      </c>
      <c r="I375" s="24">
        <v>46387.0</v>
      </c>
      <c r="J375" s="20">
        <v>0.0</v>
      </c>
      <c r="K375" s="20">
        <v>1.0</v>
      </c>
      <c r="L375" s="24">
        <v>46388.0</v>
      </c>
      <c r="M375" s="24">
        <v>46752.0</v>
      </c>
      <c r="N375" s="20">
        <v>0.0</v>
      </c>
      <c r="O375" s="20">
        <v>1.0</v>
      </c>
      <c r="P375" s="24">
        <v>46753.0</v>
      </c>
      <c r="Q375" s="24">
        <v>47118.0</v>
      </c>
      <c r="R375" s="20">
        <v>0.0</v>
      </c>
      <c r="S375" s="20">
        <v>1.0</v>
      </c>
      <c r="T375" s="24">
        <v>47119.0</v>
      </c>
      <c r="U375" s="24">
        <v>47483.0</v>
      </c>
      <c r="V375" s="20">
        <v>0.0</v>
      </c>
      <c r="W375" s="20">
        <v>1.0</v>
      </c>
      <c r="X375" s="24">
        <v>47484.0</v>
      </c>
      <c r="Y375" s="24">
        <v>47848.0</v>
      </c>
      <c r="Z375" s="20">
        <v>0.0</v>
      </c>
      <c r="AA375" s="20">
        <v>1.0</v>
      </c>
      <c r="AB375" s="24"/>
      <c r="AC375" s="24"/>
    </row>
    <row r="376" ht="14.25" customHeight="1">
      <c r="A376" s="46" t="s">
        <v>215</v>
      </c>
      <c r="B376" s="20" t="s">
        <v>216</v>
      </c>
      <c r="C376" s="20" t="s">
        <v>7041</v>
      </c>
      <c r="D376" s="24">
        <v>45658.0</v>
      </c>
      <c r="E376" s="24">
        <v>46022.0</v>
      </c>
      <c r="F376" s="20">
        <v>0.0</v>
      </c>
      <c r="G376" s="20">
        <v>1.0</v>
      </c>
      <c r="H376" s="24">
        <v>46023.0</v>
      </c>
      <c r="I376" s="24">
        <v>46387.0</v>
      </c>
      <c r="J376" s="20">
        <v>0.0</v>
      </c>
      <c r="K376" s="20">
        <v>1.0</v>
      </c>
      <c r="L376" s="24">
        <v>46388.0</v>
      </c>
      <c r="M376" s="24">
        <v>46752.0</v>
      </c>
      <c r="N376" s="20">
        <v>0.0</v>
      </c>
      <c r="O376" s="20">
        <v>1.0</v>
      </c>
      <c r="P376" s="24">
        <v>46753.0</v>
      </c>
      <c r="Q376" s="24">
        <v>47118.0</v>
      </c>
      <c r="R376" s="20">
        <v>0.0</v>
      </c>
      <c r="S376" s="20">
        <v>1.0</v>
      </c>
      <c r="T376" s="24">
        <v>47119.0</v>
      </c>
      <c r="U376" s="24">
        <v>47483.0</v>
      </c>
      <c r="V376" s="20">
        <v>0.0</v>
      </c>
      <c r="W376" s="20">
        <v>1.0</v>
      </c>
      <c r="X376" s="24">
        <v>47484.0</v>
      </c>
      <c r="Y376" s="24">
        <v>47848.0</v>
      </c>
      <c r="Z376" s="20">
        <v>0.0</v>
      </c>
      <c r="AA376" s="20">
        <v>1.0</v>
      </c>
      <c r="AB376" s="24"/>
      <c r="AC376" s="24"/>
    </row>
    <row r="377" ht="14.25" customHeight="1">
      <c r="A377" s="46" t="s">
        <v>4879</v>
      </c>
      <c r="B377" s="20" t="s">
        <v>4880</v>
      </c>
      <c r="C377" s="20" t="s">
        <v>7041</v>
      </c>
      <c r="D377" s="24">
        <v>45658.0</v>
      </c>
      <c r="E377" s="24">
        <v>46022.0</v>
      </c>
      <c r="F377" s="20">
        <v>1.0</v>
      </c>
      <c r="G377" s="20">
        <v>1.0</v>
      </c>
      <c r="H377" s="24">
        <v>46023.0</v>
      </c>
      <c r="I377" s="24">
        <v>46387.0</v>
      </c>
      <c r="J377" s="20">
        <v>0.0</v>
      </c>
      <c r="K377" s="20">
        <v>1.0</v>
      </c>
      <c r="L377" s="24">
        <v>46388.0</v>
      </c>
      <c r="M377" s="24">
        <v>46752.0</v>
      </c>
      <c r="N377" s="20">
        <v>0.0</v>
      </c>
      <c r="O377" s="20">
        <v>1.0</v>
      </c>
      <c r="P377" s="24">
        <v>46753.0</v>
      </c>
      <c r="Q377" s="24">
        <v>47118.0</v>
      </c>
      <c r="R377" s="20">
        <v>0.0</v>
      </c>
      <c r="S377" s="20">
        <v>1.0</v>
      </c>
      <c r="T377" s="24">
        <v>47119.0</v>
      </c>
      <c r="U377" s="24">
        <v>47483.0</v>
      </c>
      <c r="V377" s="20">
        <v>0.0</v>
      </c>
      <c r="W377" s="20">
        <v>1.0</v>
      </c>
      <c r="X377" s="24">
        <v>47484.0</v>
      </c>
      <c r="Y377" s="24">
        <v>47848.0</v>
      </c>
      <c r="Z377" s="20">
        <v>0.0</v>
      </c>
      <c r="AA377" s="20">
        <v>1.0</v>
      </c>
      <c r="AB377" s="24"/>
      <c r="AC377" s="24"/>
    </row>
    <row r="378" ht="14.25" customHeight="1">
      <c r="A378" s="46" t="s">
        <v>1477</v>
      </c>
      <c r="B378" s="20" t="s">
        <v>1478</v>
      </c>
      <c r="C378" s="20" t="s">
        <v>7041</v>
      </c>
      <c r="D378" s="24">
        <v>45658.0</v>
      </c>
      <c r="E378" s="24">
        <v>46022.0</v>
      </c>
      <c r="F378" s="20">
        <v>0.0</v>
      </c>
      <c r="G378" s="20">
        <v>1.0</v>
      </c>
      <c r="H378" s="24">
        <v>46023.0</v>
      </c>
      <c r="I378" s="24">
        <v>46387.0</v>
      </c>
      <c r="J378" s="20">
        <v>0.0</v>
      </c>
      <c r="K378" s="20">
        <v>1.0</v>
      </c>
      <c r="L378" s="24">
        <v>46388.0</v>
      </c>
      <c r="M378" s="24">
        <v>46752.0</v>
      </c>
      <c r="N378" s="20">
        <v>0.0</v>
      </c>
      <c r="O378" s="20">
        <v>1.0</v>
      </c>
      <c r="P378" s="24">
        <v>46753.0</v>
      </c>
      <c r="Q378" s="24">
        <v>47118.0</v>
      </c>
      <c r="R378" s="20">
        <v>0.0</v>
      </c>
      <c r="S378" s="20">
        <v>1.0</v>
      </c>
      <c r="T378" s="24">
        <v>47119.0</v>
      </c>
      <c r="U378" s="24">
        <v>47483.0</v>
      </c>
      <c r="V378" s="20">
        <v>0.0</v>
      </c>
      <c r="W378" s="20">
        <v>1.0</v>
      </c>
      <c r="X378" s="24">
        <v>47484.0</v>
      </c>
      <c r="Y378" s="24">
        <v>47848.0</v>
      </c>
      <c r="Z378" s="20">
        <v>0.0</v>
      </c>
      <c r="AA378" s="20">
        <v>1.0</v>
      </c>
      <c r="AB378" s="24"/>
      <c r="AC378" s="24"/>
    </row>
    <row r="379" ht="14.25" customHeight="1">
      <c r="A379" s="46" t="s">
        <v>3756</v>
      </c>
      <c r="B379" s="20" t="s">
        <v>3757</v>
      </c>
      <c r="C379" s="20" t="s">
        <v>7041</v>
      </c>
      <c r="D379" s="24">
        <v>45658.0</v>
      </c>
      <c r="E379" s="24">
        <v>46022.0</v>
      </c>
      <c r="F379" s="20">
        <v>0.0</v>
      </c>
      <c r="G379" s="20">
        <v>1.0</v>
      </c>
      <c r="H379" s="24">
        <v>46023.0</v>
      </c>
      <c r="I379" s="24">
        <v>46387.0</v>
      </c>
      <c r="J379" s="20">
        <v>0.0</v>
      </c>
      <c r="K379" s="20">
        <v>1.0</v>
      </c>
      <c r="L379" s="24">
        <v>46388.0</v>
      </c>
      <c r="M379" s="24">
        <v>46752.0</v>
      </c>
      <c r="N379" s="20">
        <v>0.0</v>
      </c>
      <c r="O379" s="20">
        <v>1.0</v>
      </c>
      <c r="P379" s="24">
        <v>46753.0</v>
      </c>
      <c r="Q379" s="24">
        <v>47118.0</v>
      </c>
      <c r="R379" s="20">
        <v>0.0</v>
      </c>
      <c r="S379" s="20">
        <v>1.0</v>
      </c>
      <c r="T379" s="24">
        <v>47119.0</v>
      </c>
      <c r="U379" s="24">
        <v>47483.0</v>
      </c>
      <c r="V379" s="20">
        <v>0.0</v>
      </c>
      <c r="W379" s="20">
        <v>1.0</v>
      </c>
      <c r="X379" s="24">
        <v>47484.0</v>
      </c>
      <c r="Y379" s="24">
        <v>47848.0</v>
      </c>
      <c r="Z379" s="20">
        <v>0.0</v>
      </c>
      <c r="AA379" s="20">
        <v>1.0</v>
      </c>
      <c r="AB379" s="24"/>
      <c r="AC379" s="24"/>
    </row>
    <row r="380" ht="14.25" customHeight="1">
      <c r="A380" s="46" t="s">
        <v>5259</v>
      </c>
      <c r="B380" s="20" t="s">
        <v>5260</v>
      </c>
      <c r="C380" s="20" t="s">
        <v>7041</v>
      </c>
      <c r="D380" s="24">
        <v>45658.0</v>
      </c>
      <c r="E380" s="24">
        <v>46022.0</v>
      </c>
      <c r="F380" s="20">
        <v>0.0</v>
      </c>
      <c r="G380" s="20">
        <v>1.0</v>
      </c>
      <c r="H380" s="24">
        <v>46023.0</v>
      </c>
      <c r="I380" s="24">
        <v>46387.0</v>
      </c>
      <c r="J380" s="20">
        <v>0.0</v>
      </c>
      <c r="K380" s="20">
        <v>1.0</v>
      </c>
      <c r="L380" s="24">
        <v>46388.0</v>
      </c>
      <c r="M380" s="24">
        <v>46752.0</v>
      </c>
      <c r="N380" s="20">
        <v>0.0</v>
      </c>
      <c r="O380" s="20">
        <v>1.0</v>
      </c>
      <c r="P380" s="24">
        <v>46753.0</v>
      </c>
      <c r="Q380" s="24">
        <v>47118.0</v>
      </c>
      <c r="R380" s="20">
        <v>0.0</v>
      </c>
      <c r="S380" s="20">
        <v>1.0</v>
      </c>
      <c r="T380" s="24">
        <v>47119.0</v>
      </c>
      <c r="U380" s="24">
        <v>47483.0</v>
      </c>
      <c r="V380" s="20">
        <v>0.0</v>
      </c>
      <c r="W380" s="20">
        <v>1.0</v>
      </c>
      <c r="X380" s="24">
        <v>47484.0</v>
      </c>
      <c r="Y380" s="24">
        <v>47848.0</v>
      </c>
      <c r="Z380" s="20">
        <v>0.0</v>
      </c>
      <c r="AA380" s="20">
        <v>1.0</v>
      </c>
      <c r="AB380" s="24"/>
      <c r="AC380" s="24"/>
    </row>
    <row r="381" ht="14.25" customHeight="1">
      <c r="A381" s="46" t="s">
        <v>5335</v>
      </c>
      <c r="B381" s="20" t="s">
        <v>5336</v>
      </c>
      <c r="C381" s="20" t="s">
        <v>7041</v>
      </c>
      <c r="D381" s="24">
        <v>45658.0</v>
      </c>
      <c r="E381" s="24">
        <v>46022.0</v>
      </c>
      <c r="F381" s="20">
        <v>0.0</v>
      </c>
      <c r="G381" s="20">
        <v>1.0</v>
      </c>
      <c r="H381" s="24">
        <v>46023.0</v>
      </c>
      <c r="I381" s="24">
        <v>46387.0</v>
      </c>
      <c r="J381" s="20">
        <v>0.0</v>
      </c>
      <c r="K381" s="20">
        <v>1.0</v>
      </c>
      <c r="L381" s="24">
        <v>46388.0</v>
      </c>
      <c r="M381" s="24">
        <v>46752.0</v>
      </c>
      <c r="N381" s="20">
        <v>0.0</v>
      </c>
      <c r="O381" s="20">
        <v>1.0</v>
      </c>
      <c r="P381" s="24">
        <v>46753.0</v>
      </c>
      <c r="Q381" s="24">
        <v>47118.0</v>
      </c>
      <c r="R381" s="20">
        <v>0.0</v>
      </c>
      <c r="S381" s="20">
        <v>1.0</v>
      </c>
      <c r="T381" s="24">
        <v>47119.0</v>
      </c>
      <c r="U381" s="24">
        <v>47483.0</v>
      </c>
      <c r="V381" s="20">
        <v>0.0</v>
      </c>
      <c r="W381" s="20">
        <v>1.0</v>
      </c>
      <c r="X381" s="24">
        <v>47484.0</v>
      </c>
      <c r="Y381" s="24">
        <v>47848.0</v>
      </c>
      <c r="Z381" s="20">
        <v>0.0</v>
      </c>
      <c r="AA381" s="20">
        <v>1.0</v>
      </c>
      <c r="AB381" s="24"/>
      <c r="AC381" s="24"/>
    </row>
    <row r="382" ht="14.25" customHeight="1">
      <c r="A382" s="46" t="s">
        <v>5389</v>
      </c>
      <c r="B382" s="20" t="s">
        <v>5390</v>
      </c>
      <c r="C382" s="20" t="s">
        <v>7041</v>
      </c>
      <c r="D382" s="24">
        <v>45658.0</v>
      </c>
      <c r="E382" s="24">
        <v>46022.0</v>
      </c>
      <c r="F382" s="20">
        <v>1.0</v>
      </c>
      <c r="G382" s="20">
        <v>1.0</v>
      </c>
      <c r="H382" s="24">
        <v>46023.0</v>
      </c>
      <c r="I382" s="24">
        <v>46387.0</v>
      </c>
      <c r="J382" s="20">
        <v>0.0</v>
      </c>
      <c r="K382" s="20">
        <v>1.0</v>
      </c>
      <c r="L382" s="24">
        <v>46388.0</v>
      </c>
      <c r="M382" s="24">
        <v>46752.0</v>
      </c>
      <c r="N382" s="20">
        <v>0.0</v>
      </c>
      <c r="O382" s="20">
        <v>1.0</v>
      </c>
      <c r="P382" s="24">
        <v>46753.0</v>
      </c>
      <c r="Q382" s="24">
        <v>47118.0</v>
      </c>
      <c r="R382" s="20">
        <v>0.0</v>
      </c>
      <c r="S382" s="20">
        <v>1.0</v>
      </c>
      <c r="T382" s="24">
        <v>47119.0</v>
      </c>
      <c r="U382" s="24">
        <v>47483.0</v>
      </c>
      <c r="V382" s="20">
        <v>0.0</v>
      </c>
      <c r="W382" s="20">
        <v>1.0</v>
      </c>
      <c r="X382" s="24">
        <v>47484.0</v>
      </c>
      <c r="Y382" s="24">
        <v>47848.0</v>
      </c>
      <c r="Z382" s="20">
        <v>0.0</v>
      </c>
      <c r="AA382" s="20">
        <v>1.0</v>
      </c>
      <c r="AB382" s="24"/>
      <c r="AC382" s="24"/>
    </row>
    <row r="383" ht="14.25" customHeight="1">
      <c r="A383" s="46" t="s">
        <v>1864</v>
      </c>
      <c r="B383" s="20" t="s">
        <v>1865</v>
      </c>
      <c r="C383" s="20" t="s">
        <v>7041</v>
      </c>
      <c r="D383" s="24">
        <v>45658.0</v>
      </c>
      <c r="E383" s="24">
        <v>46022.0</v>
      </c>
      <c r="F383" s="20">
        <v>0.0</v>
      </c>
      <c r="G383" s="20">
        <v>1.0</v>
      </c>
      <c r="H383" s="24">
        <v>46023.0</v>
      </c>
      <c r="I383" s="24">
        <v>46387.0</v>
      </c>
      <c r="J383" s="20">
        <v>0.0</v>
      </c>
      <c r="K383" s="20">
        <v>1.0</v>
      </c>
      <c r="L383" s="24">
        <v>46388.0</v>
      </c>
      <c r="M383" s="24">
        <v>46752.0</v>
      </c>
      <c r="N383" s="20">
        <v>0.0</v>
      </c>
      <c r="O383" s="20">
        <v>1.0</v>
      </c>
      <c r="P383" s="24">
        <v>46753.0</v>
      </c>
      <c r="Q383" s="24">
        <v>47118.0</v>
      </c>
      <c r="R383" s="20">
        <v>0.0</v>
      </c>
      <c r="S383" s="20">
        <v>1.0</v>
      </c>
      <c r="T383" s="24">
        <v>47119.0</v>
      </c>
      <c r="U383" s="24">
        <v>47483.0</v>
      </c>
      <c r="V383" s="20">
        <v>0.0</v>
      </c>
      <c r="W383" s="20">
        <v>1.0</v>
      </c>
      <c r="X383" s="24">
        <v>47484.0</v>
      </c>
      <c r="Y383" s="24">
        <v>47848.0</v>
      </c>
      <c r="Z383" s="20">
        <v>0.0</v>
      </c>
      <c r="AA383" s="20">
        <v>1.0</v>
      </c>
      <c r="AB383" s="24"/>
      <c r="AC383" s="24"/>
    </row>
    <row r="384" ht="14.25" customHeight="1">
      <c r="A384" s="46" t="s">
        <v>5844</v>
      </c>
      <c r="B384" s="20" t="s">
        <v>5845</v>
      </c>
      <c r="C384" s="20" t="s">
        <v>7041</v>
      </c>
      <c r="D384" s="24">
        <v>45658.0</v>
      </c>
      <c r="E384" s="24">
        <v>46022.0</v>
      </c>
      <c r="F384" s="20">
        <v>0.0</v>
      </c>
      <c r="G384" s="20">
        <v>1.0</v>
      </c>
      <c r="H384" s="24">
        <v>46023.0</v>
      </c>
      <c r="I384" s="24">
        <v>46387.0</v>
      </c>
      <c r="J384" s="20">
        <v>0.0</v>
      </c>
      <c r="K384" s="20">
        <v>1.0</v>
      </c>
      <c r="L384" s="24">
        <v>46388.0</v>
      </c>
      <c r="M384" s="24">
        <v>46752.0</v>
      </c>
      <c r="N384" s="20">
        <v>0.0</v>
      </c>
      <c r="O384" s="20">
        <v>1.0</v>
      </c>
      <c r="P384" s="24">
        <v>46753.0</v>
      </c>
      <c r="Q384" s="24">
        <v>47118.0</v>
      </c>
      <c r="R384" s="20">
        <v>0.0</v>
      </c>
      <c r="S384" s="20">
        <v>1.0</v>
      </c>
      <c r="T384" s="24">
        <v>47119.0</v>
      </c>
      <c r="U384" s="24">
        <v>47483.0</v>
      </c>
      <c r="V384" s="20">
        <v>0.0</v>
      </c>
      <c r="W384" s="20">
        <v>1.0</v>
      </c>
      <c r="X384" s="24">
        <v>47484.0</v>
      </c>
      <c r="Y384" s="24">
        <v>47848.0</v>
      </c>
      <c r="Z384" s="20">
        <v>0.0</v>
      </c>
      <c r="AA384" s="20">
        <v>1.0</v>
      </c>
      <c r="AB384" s="24"/>
      <c r="AC384" s="24"/>
    </row>
    <row r="385" ht="14.25" customHeight="1">
      <c r="A385" s="46" t="s">
        <v>4174</v>
      </c>
      <c r="B385" s="20" t="s">
        <v>4175</v>
      </c>
      <c r="C385" s="20" t="s">
        <v>7041</v>
      </c>
      <c r="D385" s="24">
        <v>45658.0</v>
      </c>
      <c r="E385" s="24">
        <v>46022.0</v>
      </c>
      <c r="F385" s="20">
        <v>0.0</v>
      </c>
      <c r="G385" s="20">
        <v>1.0</v>
      </c>
      <c r="H385" s="24">
        <v>46023.0</v>
      </c>
      <c r="I385" s="24">
        <v>46387.0</v>
      </c>
      <c r="J385" s="20">
        <v>0.0</v>
      </c>
      <c r="K385" s="20">
        <v>1.0</v>
      </c>
      <c r="L385" s="24">
        <v>46388.0</v>
      </c>
      <c r="M385" s="24">
        <v>46752.0</v>
      </c>
      <c r="N385" s="20">
        <v>0.0</v>
      </c>
      <c r="O385" s="20">
        <v>1.0</v>
      </c>
      <c r="P385" s="24">
        <v>46753.0</v>
      </c>
      <c r="Q385" s="24">
        <v>47118.0</v>
      </c>
      <c r="R385" s="20">
        <v>0.0</v>
      </c>
      <c r="S385" s="20">
        <v>1.0</v>
      </c>
      <c r="T385" s="24">
        <v>47119.0</v>
      </c>
      <c r="U385" s="24">
        <v>47483.0</v>
      </c>
      <c r="V385" s="20">
        <v>0.0</v>
      </c>
      <c r="W385" s="20">
        <v>1.0</v>
      </c>
      <c r="X385" s="24">
        <v>47484.0</v>
      </c>
      <c r="Y385" s="24">
        <v>47848.0</v>
      </c>
      <c r="Z385" s="20">
        <v>0.0</v>
      </c>
      <c r="AA385" s="20">
        <v>1.0</v>
      </c>
      <c r="AB385" s="24"/>
      <c r="AC385" s="24"/>
    </row>
    <row r="386" ht="14.25" customHeight="1">
      <c r="A386" s="46" t="s">
        <v>2869</v>
      </c>
      <c r="B386" s="20" t="s">
        <v>2870</v>
      </c>
      <c r="C386" s="20" t="s">
        <v>7041</v>
      </c>
      <c r="D386" s="24">
        <v>45658.0</v>
      </c>
      <c r="E386" s="24">
        <v>46022.0</v>
      </c>
      <c r="F386" s="20">
        <v>0.0</v>
      </c>
      <c r="G386" s="20">
        <v>1.0</v>
      </c>
      <c r="H386" s="24">
        <v>46023.0</v>
      </c>
      <c r="I386" s="24">
        <v>46387.0</v>
      </c>
      <c r="J386" s="20">
        <v>0.0</v>
      </c>
      <c r="K386" s="20">
        <v>1.0</v>
      </c>
      <c r="L386" s="24">
        <v>46388.0</v>
      </c>
      <c r="M386" s="24">
        <v>46752.0</v>
      </c>
      <c r="N386" s="20">
        <v>0.0</v>
      </c>
      <c r="O386" s="20">
        <v>1.0</v>
      </c>
      <c r="P386" s="24">
        <v>46753.0</v>
      </c>
      <c r="Q386" s="24">
        <v>47118.0</v>
      </c>
      <c r="R386" s="20">
        <v>0.0</v>
      </c>
      <c r="S386" s="20">
        <v>1.0</v>
      </c>
      <c r="T386" s="24">
        <v>47119.0</v>
      </c>
      <c r="U386" s="24">
        <v>47483.0</v>
      </c>
      <c r="V386" s="20">
        <v>0.0</v>
      </c>
      <c r="W386" s="20">
        <v>1.0</v>
      </c>
      <c r="X386" s="24">
        <v>47484.0</v>
      </c>
      <c r="Y386" s="24">
        <v>47848.0</v>
      </c>
      <c r="Z386" s="20">
        <v>0.0</v>
      </c>
      <c r="AA386" s="20">
        <v>1.0</v>
      </c>
      <c r="AB386" s="24"/>
      <c r="AC386" s="24"/>
    </row>
    <row r="387" ht="14.25" customHeight="1">
      <c r="A387" s="46" t="s">
        <v>6381</v>
      </c>
      <c r="B387" s="20" t="s">
        <v>6382</v>
      </c>
      <c r="C387" s="20" t="s">
        <v>7041</v>
      </c>
      <c r="D387" s="24">
        <v>45658.0</v>
      </c>
      <c r="E387" s="24">
        <v>46022.0</v>
      </c>
      <c r="F387" s="20">
        <v>1.0</v>
      </c>
      <c r="G387" s="20">
        <v>1.0</v>
      </c>
      <c r="H387" s="24">
        <v>46023.0</v>
      </c>
      <c r="I387" s="24">
        <v>46387.0</v>
      </c>
      <c r="J387" s="20">
        <v>0.0</v>
      </c>
      <c r="K387" s="20">
        <v>1.0</v>
      </c>
      <c r="L387" s="24">
        <v>46388.0</v>
      </c>
      <c r="M387" s="24">
        <v>46752.0</v>
      </c>
      <c r="N387" s="20">
        <v>0.0</v>
      </c>
      <c r="O387" s="20">
        <v>1.0</v>
      </c>
      <c r="P387" s="24">
        <v>46753.0</v>
      </c>
      <c r="Q387" s="24">
        <v>47118.0</v>
      </c>
      <c r="R387" s="20">
        <v>0.0</v>
      </c>
      <c r="S387" s="20">
        <v>1.0</v>
      </c>
      <c r="T387" s="24">
        <v>47119.0</v>
      </c>
      <c r="U387" s="24">
        <v>47483.0</v>
      </c>
      <c r="V387" s="20">
        <v>0.0</v>
      </c>
      <c r="W387" s="20">
        <v>1.0</v>
      </c>
      <c r="X387" s="24">
        <v>47484.0</v>
      </c>
      <c r="Y387" s="24">
        <v>47848.0</v>
      </c>
      <c r="Z387" s="20">
        <v>0.0</v>
      </c>
      <c r="AA387" s="20">
        <v>1.0</v>
      </c>
      <c r="AB387" s="24"/>
      <c r="AC387" s="24"/>
    </row>
    <row r="388" ht="14.25" customHeight="1">
      <c r="A388" s="46" t="s">
        <v>2045</v>
      </c>
      <c r="B388" s="20" t="s">
        <v>2046</v>
      </c>
      <c r="C388" s="20" t="s">
        <v>7041</v>
      </c>
      <c r="D388" s="24">
        <v>45658.0</v>
      </c>
      <c r="E388" s="24">
        <v>46022.0</v>
      </c>
      <c r="F388" s="20">
        <v>0.0</v>
      </c>
      <c r="G388" s="20">
        <v>1.0</v>
      </c>
      <c r="H388" s="24">
        <v>46023.0</v>
      </c>
      <c r="I388" s="24">
        <v>46387.0</v>
      </c>
      <c r="J388" s="20">
        <v>0.0</v>
      </c>
      <c r="K388" s="20">
        <v>1.0</v>
      </c>
      <c r="L388" s="24">
        <v>46388.0</v>
      </c>
      <c r="M388" s="24">
        <v>46752.0</v>
      </c>
      <c r="N388" s="20">
        <v>0.0</v>
      </c>
      <c r="O388" s="20">
        <v>1.0</v>
      </c>
      <c r="P388" s="24">
        <v>46753.0</v>
      </c>
      <c r="Q388" s="24">
        <v>47118.0</v>
      </c>
      <c r="R388" s="20">
        <v>0.0</v>
      </c>
      <c r="S388" s="20">
        <v>1.0</v>
      </c>
      <c r="T388" s="24">
        <v>47119.0</v>
      </c>
      <c r="U388" s="24">
        <v>47483.0</v>
      </c>
      <c r="V388" s="20">
        <v>0.0</v>
      </c>
      <c r="W388" s="20">
        <v>1.0</v>
      </c>
      <c r="X388" s="24">
        <v>47484.0</v>
      </c>
      <c r="Y388" s="24">
        <v>47848.0</v>
      </c>
      <c r="Z388" s="20">
        <v>0.0</v>
      </c>
      <c r="AA388" s="20">
        <v>1.0</v>
      </c>
      <c r="AB388" s="24"/>
      <c r="AC388" s="24"/>
    </row>
    <row r="389" ht="14.25" customHeight="1">
      <c r="A389" s="46" t="s">
        <v>4934</v>
      </c>
      <c r="B389" s="20" t="s">
        <v>4935</v>
      </c>
      <c r="C389" s="20" t="s">
        <v>7041</v>
      </c>
      <c r="D389" s="24">
        <v>45658.0</v>
      </c>
      <c r="E389" s="24">
        <v>46022.0</v>
      </c>
      <c r="F389" s="20">
        <v>1.0</v>
      </c>
      <c r="G389" s="20">
        <v>1.0</v>
      </c>
      <c r="H389" s="24">
        <v>46023.0</v>
      </c>
      <c r="I389" s="24">
        <v>46387.0</v>
      </c>
      <c r="J389" s="20">
        <v>0.0</v>
      </c>
      <c r="K389" s="20">
        <v>1.0</v>
      </c>
      <c r="L389" s="24">
        <v>46388.0</v>
      </c>
      <c r="M389" s="24">
        <v>46752.0</v>
      </c>
      <c r="N389" s="20">
        <v>0.0</v>
      </c>
      <c r="O389" s="20">
        <v>1.0</v>
      </c>
      <c r="P389" s="24">
        <v>46753.0</v>
      </c>
      <c r="Q389" s="24">
        <v>47118.0</v>
      </c>
      <c r="R389" s="20">
        <v>0.0</v>
      </c>
      <c r="S389" s="20">
        <v>1.0</v>
      </c>
      <c r="T389" s="24">
        <v>47119.0</v>
      </c>
      <c r="U389" s="24">
        <v>47483.0</v>
      </c>
      <c r="V389" s="20">
        <v>0.0</v>
      </c>
      <c r="W389" s="20">
        <v>1.0</v>
      </c>
      <c r="X389" s="24">
        <v>47484.0</v>
      </c>
      <c r="Y389" s="24">
        <v>47848.0</v>
      </c>
      <c r="Z389" s="20">
        <v>0.0</v>
      </c>
      <c r="AA389" s="20">
        <v>1.0</v>
      </c>
      <c r="AB389" s="24"/>
      <c r="AC389" s="24"/>
    </row>
    <row r="390" ht="14.25" customHeight="1">
      <c r="A390" s="46" t="s">
        <v>1386</v>
      </c>
      <c r="B390" s="20" t="s">
        <v>1387</v>
      </c>
      <c r="C390" s="20" t="s">
        <v>7041</v>
      </c>
      <c r="D390" s="24">
        <v>45658.0</v>
      </c>
      <c r="E390" s="24">
        <v>46022.0</v>
      </c>
      <c r="F390" s="20">
        <v>0.0</v>
      </c>
      <c r="G390" s="20">
        <v>1.0</v>
      </c>
      <c r="H390" s="24">
        <v>46023.0</v>
      </c>
      <c r="I390" s="24">
        <v>46387.0</v>
      </c>
      <c r="J390" s="20">
        <v>0.0</v>
      </c>
      <c r="K390" s="20">
        <v>1.0</v>
      </c>
      <c r="L390" s="24">
        <v>46388.0</v>
      </c>
      <c r="M390" s="24">
        <v>46752.0</v>
      </c>
      <c r="N390" s="20">
        <v>0.0</v>
      </c>
      <c r="O390" s="20">
        <v>1.0</v>
      </c>
      <c r="P390" s="24">
        <v>46753.0</v>
      </c>
      <c r="Q390" s="24">
        <v>47118.0</v>
      </c>
      <c r="R390" s="20">
        <v>0.0</v>
      </c>
      <c r="S390" s="20">
        <v>1.0</v>
      </c>
      <c r="T390" s="24">
        <v>47119.0</v>
      </c>
      <c r="U390" s="24">
        <v>47483.0</v>
      </c>
      <c r="V390" s="20">
        <v>0.0</v>
      </c>
      <c r="W390" s="20">
        <v>1.0</v>
      </c>
      <c r="X390" s="24">
        <v>47484.0</v>
      </c>
      <c r="Y390" s="24">
        <v>47848.0</v>
      </c>
      <c r="Z390" s="20">
        <v>0.0</v>
      </c>
      <c r="AA390" s="20">
        <v>1.0</v>
      </c>
      <c r="AB390" s="24"/>
      <c r="AC390" s="24"/>
    </row>
    <row r="391" ht="14.25" customHeight="1">
      <c r="A391" s="46" t="s">
        <v>2276</v>
      </c>
      <c r="B391" s="20" t="s">
        <v>2277</v>
      </c>
      <c r="C391" s="20" t="s">
        <v>7041</v>
      </c>
      <c r="D391" s="24">
        <v>45658.0</v>
      </c>
      <c r="E391" s="24">
        <v>46022.0</v>
      </c>
      <c r="F391" s="20">
        <v>0.0</v>
      </c>
      <c r="G391" s="20">
        <v>1.0</v>
      </c>
      <c r="H391" s="24">
        <v>46023.0</v>
      </c>
      <c r="I391" s="24">
        <v>46387.0</v>
      </c>
      <c r="J391" s="20">
        <v>0.0</v>
      </c>
      <c r="K391" s="20">
        <v>1.0</v>
      </c>
      <c r="L391" s="24">
        <v>46388.0</v>
      </c>
      <c r="M391" s="24">
        <v>46752.0</v>
      </c>
      <c r="N391" s="20">
        <v>0.0</v>
      </c>
      <c r="O391" s="20">
        <v>1.0</v>
      </c>
      <c r="P391" s="24">
        <v>46753.0</v>
      </c>
      <c r="Q391" s="24">
        <v>47118.0</v>
      </c>
      <c r="R391" s="20">
        <v>0.0</v>
      </c>
      <c r="S391" s="20">
        <v>1.0</v>
      </c>
      <c r="T391" s="24">
        <v>47119.0</v>
      </c>
      <c r="U391" s="24">
        <v>47483.0</v>
      </c>
      <c r="V391" s="20">
        <v>0.0</v>
      </c>
      <c r="W391" s="20">
        <v>1.0</v>
      </c>
      <c r="X391" s="24">
        <v>47484.0</v>
      </c>
      <c r="Y391" s="24">
        <v>47848.0</v>
      </c>
      <c r="Z391" s="20">
        <v>0.0</v>
      </c>
      <c r="AA391" s="20">
        <v>1.0</v>
      </c>
      <c r="AB391" s="24"/>
      <c r="AC391" s="24"/>
    </row>
    <row r="392" ht="14.25" customHeight="1">
      <c r="A392" s="46" t="s">
        <v>5747</v>
      </c>
      <c r="B392" s="20" t="s">
        <v>5748</v>
      </c>
      <c r="C392" s="20" t="s">
        <v>7041</v>
      </c>
      <c r="D392" s="24">
        <v>45658.0</v>
      </c>
      <c r="E392" s="24">
        <v>46022.0</v>
      </c>
      <c r="F392" s="20">
        <v>0.0</v>
      </c>
      <c r="G392" s="20">
        <v>1.0</v>
      </c>
      <c r="H392" s="24">
        <v>46023.0</v>
      </c>
      <c r="I392" s="24">
        <v>46387.0</v>
      </c>
      <c r="J392" s="20">
        <v>0.0</v>
      </c>
      <c r="K392" s="20">
        <v>1.0</v>
      </c>
      <c r="L392" s="24">
        <v>46388.0</v>
      </c>
      <c r="M392" s="24">
        <v>46752.0</v>
      </c>
      <c r="N392" s="20">
        <v>0.0</v>
      </c>
      <c r="O392" s="20">
        <v>1.0</v>
      </c>
      <c r="P392" s="24">
        <v>46753.0</v>
      </c>
      <c r="Q392" s="24">
        <v>47118.0</v>
      </c>
      <c r="R392" s="20">
        <v>0.0</v>
      </c>
      <c r="S392" s="20">
        <v>1.0</v>
      </c>
      <c r="T392" s="24">
        <v>47119.0</v>
      </c>
      <c r="U392" s="24">
        <v>47483.0</v>
      </c>
      <c r="V392" s="20">
        <v>0.0</v>
      </c>
      <c r="W392" s="20">
        <v>1.0</v>
      </c>
      <c r="X392" s="24">
        <v>47484.0</v>
      </c>
      <c r="Y392" s="24">
        <v>47848.0</v>
      </c>
      <c r="Z392" s="20">
        <v>0.0</v>
      </c>
      <c r="AA392" s="20">
        <v>1.0</v>
      </c>
      <c r="AB392" s="24"/>
      <c r="AC392" s="24"/>
    </row>
    <row r="393" ht="14.25" customHeight="1">
      <c r="A393" s="46" t="s">
        <v>3097</v>
      </c>
      <c r="B393" s="20" t="s">
        <v>3098</v>
      </c>
      <c r="C393" s="20" t="s">
        <v>7041</v>
      </c>
      <c r="D393" s="24">
        <v>45658.0</v>
      </c>
      <c r="E393" s="24">
        <v>46022.0</v>
      </c>
      <c r="F393" s="20">
        <v>0.0</v>
      </c>
      <c r="G393" s="20">
        <v>1.0</v>
      </c>
      <c r="H393" s="24">
        <v>46023.0</v>
      </c>
      <c r="I393" s="24">
        <v>46387.0</v>
      </c>
      <c r="J393" s="20">
        <v>0.0</v>
      </c>
      <c r="K393" s="20">
        <v>1.0</v>
      </c>
      <c r="L393" s="24">
        <v>46388.0</v>
      </c>
      <c r="M393" s="24">
        <v>46752.0</v>
      </c>
      <c r="N393" s="20">
        <v>0.0</v>
      </c>
      <c r="O393" s="20">
        <v>1.0</v>
      </c>
      <c r="P393" s="24">
        <v>46753.0</v>
      </c>
      <c r="Q393" s="24">
        <v>47118.0</v>
      </c>
      <c r="R393" s="20">
        <v>0.0</v>
      </c>
      <c r="S393" s="20">
        <v>1.0</v>
      </c>
      <c r="T393" s="24">
        <v>47119.0</v>
      </c>
      <c r="U393" s="24">
        <v>47483.0</v>
      </c>
      <c r="V393" s="20">
        <v>0.0</v>
      </c>
      <c r="W393" s="20">
        <v>1.0</v>
      </c>
      <c r="X393" s="24">
        <v>47484.0</v>
      </c>
      <c r="Y393" s="24">
        <v>47848.0</v>
      </c>
      <c r="Z393" s="20">
        <v>0.0</v>
      </c>
      <c r="AA393" s="20">
        <v>1.0</v>
      </c>
      <c r="AB393" s="24"/>
      <c r="AC393" s="24"/>
    </row>
    <row r="394" ht="14.25" customHeight="1">
      <c r="A394" s="46" t="s">
        <v>6796</v>
      </c>
      <c r="B394" s="20" t="s">
        <v>6797</v>
      </c>
      <c r="C394" s="20" t="s">
        <v>7041</v>
      </c>
      <c r="D394" s="24">
        <v>45658.0</v>
      </c>
      <c r="E394" s="24">
        <v>46022.0</v>
      </c>
      <c r="F394" s="20">
        <v>0.0</v>
      </c>
      <c r="G394" s="20">
        <v>1.0</v>
      </c>
      <c r="H394" s="24">
        <v>46023.0</v>
      </c>
      <c r="I394" s="24">
        <v>46387.0</v>
      </c>
      <c r="J394" s="20">
        <v>0.0</v>
      </c>
      <c r="K394" s="20">
        <v>1.0</v>
      </c>
      <c r="L394" s="24">
        <v>46388.0</v>
      </c>
      <c r="M394" s="24">
        <v>46752.0</v>
      </c>
      <c r="N394" s="20">
        <v>0.0</v>
      </c>
      <c r="O394" s="20">
        <v>1.0</v>
      </c>
      <c r="P394" s="24">
        <v>46753.0</v>
      </c>
      <c r="Q394" s="24">
        <v>47118.0</v>
      </c>
      <c r="R394" s="20">
        <v>0.0</v>
      </c>
      <c r="S394" s="20">
        <v>1.0</v>
      </c>
      <c r="T394" s="24">
        <v>47119.0</v>
      </c>
      <c r="U394" s="24">
        <v>47483.0</v>
      </c>
      <c r="V394" s="20">
        <v>0.0</v>
      </c>
      <c r="W394" s="20">
        <v>1.0</v>
      </c>
      <c r="X394" s="24">
        <v>47484.0</v>
      </c>
      <c r="Y394" s="24">
        <v>47848.0</v>
      </c>
      <c r="Z394" s="20">
        <v>0.0</v>
      </c>
      <c r="AA394" s="20">
        <v>1.0</v>
      </c>
      <c r="AB394" s="24"/>
      <c r="AC394" s="24"/>
    </row>
    <row r="395" ht="14.25" customHeight="1">
      <c r="A395" s="46" t="s">
        <v>5409</v>
      </c>
      <c r="B395" s="20" t="s">
        <v>5410</v>
      </c>
      <c r="C395" s="20" t="s">
        <v>7041</v>
      </c>
      <c r="D395" s="24">
        <v>45658.0</v>
      </c>
      <c r="E395" s="24">
        <v>46022.0</v>
      </c>
      <c r="F395" s="20">
        <v>0.0</v>
      </c>
      <c r="G395" s="20">
        <v>1.0</v>
      </c>
      <c r="H395" s="24">
        <v>46023.0</v>
      </c>
      <c r="I395" s="24">
        <v>46387.0</v>
      </c>
      <c r="J395" s="20">
        <v>0.0</v>
      </c>
      <c r="K395" s="20">
        <v>1.0</v>
      </c>
      <c r="L395" s="24">
        <v>46388.0</v>
      </c>
      <c r="M395" s="24">
        <v>46752.0</v>
      </c>
      <c r="N395" s="20">
        <v>0.0</v>
      </c>
      <c r="O395" s="20">
        <v>1.0</v>
      </c>
      <c r="P395" s="24">
        <v>46753.0</v>
      </c>
      <c r="Q395" s="24">
        <v>47118.0</v>
      </c>
      <c r="R395" s="20">
        <v>0.0</v>
      </c>
      <c r="S395" s="20">
        <v>1.0</v>
      </c>
      <c r="T395" s="24">
        <v>47119.0</v>
      </c>
      <c r="U395" s="24">
        <v>47483.0</v>
      </c>
      <c r="V395" s="20">
        <v>0.0</v>
      </c>
      <c r="W395" s="20">
        <v>1.0</v>
      </c>
      <c r="X395" s="24">
        <v>47484.0</v>
      </c>
      <c r="Y395" s="24">
        <v>47848.0</v>
      </c>
      <c r="Z395" s="20">
        <v>0.0</v>
      </c>
      <c r="AA395" s="20">
        <v>1.0</v>
      </c>
      <c r="AB395" s="24"/>
      <c r="AC395" s="24"/>
    </row>
    <row r="396" ht="14.25" customHeight="1">
      <c r="A396" s="46" t="s">
        <v>5854</v>
      </c>
      <c r="B396" s="20" t="s">
        <v>5855</v>
      </c>
      <c r="C396" s="20" t="s">
        <v>7041</v>
      </c>
      <c r="D396" s="24">
        <v>45658.0</v>
      </c>
      <c r="E396" s="24">
        <v>46022.0</v>
      </c>
      <c r="F396" s="20">
        <v>0.0</v>
      </c>
      <c r="G396" s="20">
        <v>1.0</v>
      </c>
      <c r="H396" s="24">
        <v>46023.0</v>
      </c>
      <c r="I396" s="24">
        <v>46387.0</v>
      </c>
      <c r="J396" s="20">
        <v>0.0</v>
      </c>
      <c r="K396" s="20">
        <v>1.0</v>
      </c>
      <c r="L396" s="24">
        <v>46388.0</v>
      </c>
      <c r="M396" s="24">
        <v>46752.0</v>
      </c>
      <c r="N396" s="20">
        <v>0.0</v>
      </c>
      <c r="O396" s="20">
        <v>1.0</v>
      </c>
      <c r="P396" s="24">
        <v>46753.0</v>
      </c>
      <c r="Q396" s="24">
        <v>47118.0</v>
      </c>
      <c r="R396" s="20">
        <v>0.0</v>
      </c>
      <c r="S396" s="20">
        <v>1.0</v>
      </c>
      <c r="T396" s="24">
        <v>47119.0</v>
      </c>
      <c r="U396" s="24">
        <v>47483.0</v>
      </c>
      <c r="V396" s="20">
        <v>0.0</v>
      </c>
      <c r="W396" s="20">
        <v>1.0</v>
      </c>
      <c r="X396" s="24">
        <v>47484.0</v>
      </c>
      <c r="Y396" s="24">
        <v>47848.0</v>
      </c>
      <c r="Z396" s="20">
        <v>0.0</v>
      </c>
      <c r="AA396" s="20">
        <v>1.0</v>
      </c>
      <c r="AB396" s="24"/>
      <c r="AC396" s="24"/>
    </row>
    <row r="397" ht="14.25" customHeight="1">
      <c r="A397" s="46" t="s">
        <v>444</v>
      </c>
      <c r="B397" s="20" t="s">
        <v>445</v>
      </c>
      <c r="C397" s="20" t="s">
        <v>7041</v>
      </c>
      <c r="D397" s="24">
        <v>45658.0</v>
      </c>
      <c r="E397" s="24">
        <v>46022.0</v>
      </c>
      <c r="F397" s="20">
        <v>0.0</v>
      </c>
      <c r="G397" s="20">
        <v>1.0</v>
      </c>
      <c r="H397" s="24">
        <v>46023.0</v>
      </c>
      <c r="I397" s="24">
        <v>46387.0</v>
      </c>
      <c r="J397" s="20">
        <v>0.0</v>
      </c>
      <c r="K397" s="20">
        <v>1.0</v>
      </c>
      <c r="L397" s="24">
        <v>46388.0</v>
      </c>
      <c r="M397" s="24">
        <v>46752.0</v>
      </c>
      <c r="N397" s="20">
        <v>0.0</v>
      </c>
      <c r="O397" s="20">
        <v>1.0</v>
      </c>
      <c r="P397" s="24">
        <v>46753.0</v>
      </c>
      <c r="Q397" s="24">
        <v>47118.0</v>
      </c>
      <c r="R397" s="20">
        <v>0.0</v>
      </c>
      <c r="S397" s="20">
        <v>1.0</v>
      </c>
      <c r="T397" s="24">
        <v>47119.0</v>
      </c>
      <c r="U397" s="24">
        <v>47483.0</v>
      </c>
      <c r="V397" s="20">
        <v>0.0</v>
      </c>
      <c r="W397" s="20">
        <v>1.0</v>
      </c>
      <c r="X397" s="24">
        <v>47484.0</v>
      </c>
      <c r="Y397" s="24">
        <v>47848.0</v>
      </c>
      <c r="Z397" s="20">
        <v>0.0</v>
      </c>
      <c r="AA397" s="20">
        <v>1.0</v>
      </c>
      <c r="AB397" s="24"/>
      <c r="AC397" s="24"/>
    </row>
    <row r="398" ht="14.25" customHeight="1">
      <c r="A398" s="46" t="s">
        <v>1516</v>
      </c>
      <c r="B398" s="20" t="s">
        <v>1517</v>
      </c>
      <c r="C398" s="20" t="s">
        <v>7041</v>
      </c>
      <c r="D398" s="24">
        <v>45658.0</v>
      </c>
      <c r="E398" s="24">
        <v>46022.0</v>
      </c>
      <c r="F398" s="20">
        <v>0.0</v>
      </c>
      <c r="G398" s="20">
        <v>1.0</v>
      </c>
      <c r="H398" s="24">
        <v>46023.0</v>
      </c>
      <c r="I398" s="24">
        <v>46387.0</v>
      </c>
      <c r="J398" s="20">
        <v>0.0</v>
      </c>
      <c r="K398" s="20">
        <v>1.0</v>
      </c>
      <c r="L398" s="24">
        <v>46388.0</v>
      </c>
      <c r="M398" s="24">
        <v>46752.0</v>
      </c>
      <c r="N398" s="20">
        <v>0.0</v>
      </c>
      <c r="O398" s="20">
        <v>1.0</v>
      </c>
      <c r="P398" s="24">
        <v>46753.0</v>
      </c>
      <c r="Q398" s="24">
        <v>47118.0</v>
      </c>
      <c r="R398" s="20">
        <v>0.0</v>
      </c>
      <c r="S398" s="20">
        <v>1.0</v>
      </c>
      <c r="T398" s="24">
        <v>47119.0</v>
      </c>
      <c r="U398" s="24">
        <v>47483.0</v>
      </c>
      <c r="V398" s="20">
        <v>0.0</v>
      </c>
      <c r="W398" s="20">
        <v>1.0</v>
      </c>
      <c r="X398" s="24">
        <v>47484.0</v>
      </c>
      <c r="Y398" s="24">
        <v>47848.0</v>
      </c>
      <c r="Z398" s="20">
        <v>0.0</v>
      </c>
      <c r="AA398" s="20">
        <v>1.0</v>
      </c>
      <c r="AB398" s="24"/>
      <c r="AC398" s="24"/>
    </row>
    <row r="399" ht="14.25" customHeight="1">
      <c r="A399" s="46" t="s">
        <v>153</v>
      </c>
      <c r="B399" s="20" t="s">
        <v>154</v>
      </c>
      <c r="C399" s="20" t="s">
        <v>7041</v>
      </c>
      <c r="D399" s="24">
        <v>45658.0</v>
      </c>
      <c r="E399" s="24">
        <v>46022.0</v>
      </c>
      <c r="F399" s="20">
        <v>1.0</v>
      </c>
      <c r="G399" s="20">
        <v>1.0</v>
      </c>
      <c r="H399" s="24">
        <v>46023.0</v>
      </c>
      <c r="I399" s="24">
        <v>46387.0</v>
      </c>
      <c r="J399" s="20">
        <v>0.0</v>
      </c>
      <c r="K399" s="20">
        <v>1.0</v>
      </c>
      <c r="L399" s="24">
        <v>46388.0</v>
      </c>
      <c r="M399" s="24">
        <v>46752.0</v>
      </c>
      <c r="N399" s="20">
        <v>0.0</v>
      </c>
      <c r="O399" s="20">
        <v>1.0</v>
      </c>
      <c r="P399" s="24">
        <v>46753.0</v>
      </c>
      <c r="Q399" s="24">
        <v>47118.0</v>
      </c>
      <c r="R399" s="20">
        <v>0.0</v>
      </c>
      <c r="S399" s="20">
        <v>1.0</v>
      </c>
      <c r="T399" s="24">
        <v>47119.0</v>
      </c>
      <c r="U399" s="24">
        <v>47483.0</v>
      </c>
      <c r="V399" s="20">
        <v>0.0</v>
      </c>
      <c r="W399" s="20">
        <v>1.0</v>
      </c>
      <c r="X399" s="24">
        <v>47484.0</v>
      </c>
      <c r="Y399" s="24">
        <v>47848.0</v>
      </c>
      <c r="Z399" s="20">
        <v>0.0</v>
      </c>
      <c r="AA399" s="20">
        <v>1.0</v>
      </c>
      <c r="AB399" s="24"/>
      <c r="AC399" s="24"/>
    </row>
    <row r="400" ht="14.25" customHeight="1">
      <c r="A400" s="46" t="s">
        <v>2678</v>
      </c>
      <c r="B400" s="20" t="s">
        <v>2679</v>
      </c>
      <c r="C400" s="20" t="s">
        <v>7041</v>
      </c>
      <c r="D400" s="24">
        <v>45658.0</v>
      </c>
      <c r="E400" s="24">
        <v>46022.0</v>
      </c>
      <c r="F400" s="20">
        <v>0.0</v>
      </c>
      <c r="G400" s="20">
        <v>1.0</v>
      </c>
      <c r="H400" s="24">
        <v>46023.0</v>
      </c>
      <c r="I400" s="24">
        <v>46387.0</v>
      </c>
      <c r="J400" s="20">
        <v>0.0</v>
      </c>
      <c r="K400" s="20">
        <v>1.0</v>
      </c>
      <c r="L400" s="24">
        <v>46388.0</v>
      </c>
      <c r="M400" s="24">
        <v>46752.0</v>
      </c>
      <c r="N400" s="20">
        <v>0.0</v>
      </c>
      <c r="O400" s="20">
        <v>1.0</v>
      </c>
      <c r="P400" s="24">
        <v>46753.0</v>
      </c>
      <c r="Q400" s="24">
        <v>47118.0</v>
      </c>
      <c r="R400" s="20">
        <v>0.0</v>
      </c>
      <c r="S400" s="20">
        <v>1.0</v>
      </c>
      <c r="T400" s="24">
        <v>47119.0</v>
      </c>
      <c r="U400" s="24">
        <v>47483.0</v>
      </c>
      <c r="V400" s="20">
        <v>0.0</v>
      </c>
      <c r="W400" s="20">
        <v>1.0</v>
      </c>
      <c r="X400" s="24">
        <v>47484.0</v>
      </c>
      <c r="Y400" s="24">
        <v>47848.0</v>
      </c>
      <c r="Z400" s="20">
        <v>0.0</v>
      </c>
      <c r="AA400" s="20">
        <v>1.0</v>
      </c>
      <c r="AB400" s="24"/>
      <c r="AC400" s="24"/>
    </row>
    <row r="401" ht="14.25" customHeight="1">
      <c r="A401" s="46" t="s">
        <v>3931</v>
      </c>
      <c r="B401" s="20" t="s">
        <v>3932</v>
      </c>
      <c r="C401" s="20" t="s">
        <v>7041</v>
      </c>
      <c r="D401" s="24">
        <v>45658.0</v>
      </c>
      <c r="E401" s="24">
        <v>46022.0</v>
      </c>
      <c r="F401" s="20">
        <v>1.0</v>
      </c>
      <c r="G401" s="20">
        <v>1.0</v>
      </c>
      <c r="H401" s="24">
        <v>46023.0</v>
      </c>
      <c r="I401" s="24">
        <v>46387.0</v>
      </c>
      <c r="J401" s="20">
        <v>0.0</v>
      </c>
      <c r="K401" s="20">
        <v>1.0</v>
      </c>
      <c r="L401" s="24">
        <v>46388.0</v>
      </c>
      <c r="M401" s="24">
        <v>46752.0</v>
      </c>
      <c r="N401" s="20">
        <v>0.0</v>
      </c>
      <c r="O401" s="20">
        <v>1.0</v>
      </c>
      <c r="P401" s="24">
        <v>46753.0</v>
      </c>
      <c r="Q401" s="24">
        <v>47118.0</v>
      </c>
      <c r="R401" s="20">
        <v>0.0</v>
      </c>
      <c r="S401" s="20">
        <v>1.0</v>
      </c>
      <c r="T401" s="24">
        <v>47119.0</v>
      </c>
      <c r="U401" s="24">
        <v>47483.0</v>
      </c>
      <c r="V401" s="20">
        <v>0.0</v>
      </c>
      <c r="W401" s="20">
        <v>1.0</v>
      </c>
      <c r="X401" s="24">
        <v>47484.0</v>
      </c>
      <c r="Y401" s="24">
        <v>47848.0</v>
      </c>
      <c r="Z401" s="20">
        <v>0.0</v>
      </c>
      <c r="AA401" s="20">
        <v>1.0</v>
      </c>
      <c r="AB401" s="24"/>
      <c r="AC401" s="24"/>
    </row>
    <row r="402" ht="14.25" customHeight="1">
      <c r="A402" s="46" t="s">
        <v>4949</v>
      </c>
      <c r="B402" s="20" t="s">
        <v>4950</v>
      </c>
      <c r="C402" s="20" t="s">
        <v>7041</v>
      </c>
      <c r="D402" s="24">
        <v>45658.0</v>
      </c>
      <c r="E402" s="24">
        <v>46022.0</v>
      </c>
      <c r="F402" s="20">
        <v>0.0</v>
      </c>
      <c r="G402" s="20">
        <v>1.0</v>
      </c>
      <c r="H402" s="24">
        <v>46023.0</v>
      </c>
      <c r="I402" s="24">
        <v>46387.0</v>
      </c>
      <c r="J402" s="20">
        <v>0.0</v>
      </c>
      <c r="K402" s="20">
        <v>1.0</v>
      </c>
      <c r="L402" s="24">
        <v>46388.0</v>
      </c>
      <c r="M402" s="24">
        <v>46752.0</v>
      </c>
      <c r="N402" s="20">
        <v>0.0</v>
      </c>
      <c r="O402" s="20">
        <v>1.0</v>
      </c>
      <c r="P402" s="24">
        <v>46753.0</v>
      </c>
      <c r="Q402" s="24">
        <v>47118.0</v>
      </c>
      <c r="R402" s="20">
        <v>0.0</v>
      </c>
      <c r="S402" s="20">
        <v>1.0</v>
      </c>
      <c r="T402" s="24">
        <v>47119.0</v>
      </c>
      <c r="U402" s="24">
        <v>47483.0</v>
      </c>
      <c r="V402" s="20">
        <v>0.0</v>
      </c>
      <c r="W402" s="20">
        <v>1.0</v>
      </c>
      <c r="X402" s="24">
        <v>47484.0</v>
      </c>
      <c r="Y402" s="24">
        <v>47848.0</v>
      </c>
      <c r="Z402" s="20">
        <v>0.0</v>
      </c>
      <c r="AA402" s="20">
        <v>1.0</v>
      </c>
      <c r="AB402" s="24"/>
      <c r="AC402" s="24"/>
    </row>
    <row r="403" ht="14.25" customHeight="1">
      <c r="A403" s="46" t="s">
        <v>4943</v>
      </c>
      <c r="B403" s="20" t="s">
        <v>4944</v>
      </c>
      <c r="C403" s="20" t="s">
        <v>7041</v>
      </c>
      <c r="D403" s="24">
        <v>45658.0</v>
      </c>
      <c r="E403" s="24">
        <v>46022.0</v>
      </c>
      <c r="F403" s="20">
        <v>0.0</v>
      </c>
      <c r="G403" s="20">
        <v>1.0</v>
      </c>
      <c r="H403" s="24">
        <v>46023.0</v>
      </c>
      <c r="I403" s="24">
        <v>46387.0</v>
      </c>
      <c r="J403" s="20">
        <v>0.0</v>
      </c>
      <c r="K403" s="20">
        <v>1.0</v>
      </c>
      <c r="L403" s="24">
        <v>46388.0</v>
      </c>
      <c r="M403" s="24">
        <v>46752.0</v>
      </c>
      <c r="N403" s="20">
        <v>0.0</v>
      </c>
      <c r="O403" s="20">
        <v>1.0</v>
      </c>
      <c r="P403" s="24">
        <v>46753.0</v>
      </c>
      <c r="Q403" s="24">
        <v>47118.0</v>
      </c>
      <c r="R403" s="20">
        <v>0.0</v>
      </c>
      <c r="S403" s="20">
        <v>1.0</v>
      </c>
      <c r="T403" s="24">
        <v>47119.0</v>
      </c>
      <c r="U403" s="24">
        <v>47483.0</v>
      </c>
      <c r="V403" s="20">
        <v>0.0</v>
      </c>
      <c r="W403" s="20">
        <v>1.0</v>
      </c>
      <c r="X403" s="24">
        <v>47484.0</v>
      </c>
      <c r="Y403" s="24">
        <v>47848.0</v>
      </c>
      <c r="Z403" s="20">
        <v>0.0</v>
      </c>
      <c r="AA403" s="20">
        <v>1.0</v>
      </c>
      <c r="AB403" s="24"/>
      <c r="AC403" s="24"/>
    </row>
    <row r="404" ht="14.25" customHeight="1">
      <c r="A404" s="46" t="s">
        <v>5906</v>
      </c>
      <c r="B404" s="20" t="s">
        <v>5907</v>
      </c>
      <c r="C404" s="20" t="s">
        <v>7041</v>
      </c>
      <c r="D404" s="24">
        <v>45658.0</v>
      </c>
      <c r="E404" s="24">
        <v>46022.0</v>
      </c>
      <c r="F404" s="20">
        <v>1.0</v>
      </c>
      <c r="G404" s="20">
        <v>1.0</v>
      </c>
      <c r="H404" s="24">
        <v>46023.0</v>
      </c>
      <c r="I404" s="24">
        <v>46387.0</v>
      </c>
      <c r="J404" s="20">
        <v>0.0</v>
      </c>
      <c r="K404" s="20">
        <v>1.0</v>
      </c>
      <c r="L404" s="24">
        <v>46388.0</v>
      </c>
      <c r="M404" s="24">
        <v>46752.0</v>
      </c>
      <c r="N404" s="20">
        <v>0.0</v>
      </c>
      <c r="O404" s="20">
        <v>1.0</v>
      </c>
      <c r="P404" s="24">
        <v>46753.0</v>
      </c>
      <c r="Q404" s="24">
        <v>47118.0</v>
      </c>
      <c r="R404" s="20">
        <v>0.0</v>
      </c>
      <c r="S404" s="20">
        <v>1.0</v>
      </c>
      <c r="T404" s="24">
        <v>47119.0</v>
      </c>
      <c r="U404" s="24">
        <v>47483.0</v>
      </c>
      <c r="V404" s="20">
        <v>0.0</v>
      </c>
      <c r="W404" s="20">
        <v>1.0</v>
      </c>
      <c r="X404" s="24">
        <v>47484.0</v>
      </c>
      <c r="Y404" s="24">
        <v>47848.0</v>
      </c>
      <c r="Z404" s="20">
        <v>0.0</v>
      </c>
      <c r="AA404" s="20">
        <v>1.0</v>
      </c>
      <c r="AB404" s="24"/>
      <c r="AC404" s="24"/>
    </row>
    <row r="405" ht="14.25" customHeight="1">
      <c r="A405" s="46" t="s">
        <v>5966</v>
      </c>
      <c r="B405" s="20" t="s">
        <v>5967</v>
      </c>
      <c r="C405" s="20" t="s">
        <v>7041</v>
      </c>
      <c r="D405" s="24">
        <v>45658.0</v>
      </c>
      <c r="E405" s="24">
        <v>46022.0</v>
      </c>
      <c r="F405" s="20">
        <v>0.0</v>
      </c>
      <c r="G405" s="20">
        <v>1.0</v>
      </c>
      <c r="H405" s="24">
        <v>46023.0</v>
      </c>
      <c r="I405" s="24">
        <v>46387.0</v>
      </c>
      <c r="J405" s="20">
        <v>0.0</v>
      </c>
      <c r="K405" s="20">
        <v>1.0</v>
      </c>
      <c r="L405" s="24">
        <v>46388.0</v>
      </c>
      <c r="M405" s="24">
        <v>46752.0</v>
      </c>
      <c r="N405" s="20">
        <v>0.0</v>
      </c>
      <c r="O405" s="20">
        <v>1.0</v>
      </c>
      <c r="P405" s="24">
        <v>46753.0</v>
      </c>
      <c r="Q405" s="24">
        <v>47118.0</v>
      </c>
      <c r="R405" s="20">
        <v>0.0</v>
      </c>
      <c r="S405" s="20">
        <v>1.0</v>
      </c>
      <c r="T405" s="24">
        <v>47119.0</v>
      </c>
      <c r="U405" s="24">
        <v>47483.0</v>
      </c>
      <c r="V405" s="20">
        <v>0.0</v>
      </c>
      <c r="W405" s="20">
        <v>1.0</v>
      </c>
      <c r="X405" s="24">
        <v>47484.0</v>
      </c>
      <c r="Y405" s="24">
        <v>47848.0</v>
      </c>
      <c r="Z405" s="20">
        <v>0.0</v>
      </c>
      <c r="AA405" s="20">
        <v>1.0</v>
      </c>
      <c r="AB405" s="24"/>
      <c r="AC405" s="24"/>
    </row>
    <row r="406" ht="14.25" customHeight="1">
      <c r="A406" s="46" t="s">
        <v>2243</v>
      </c>
      <c r="B406" s="20" t="s">
        <v>2244</v>
      </c>
      <c r="C406" s="20" t="s">
        <v>7041</v>
      </c>
      <c r="D406" s="24">
        <v>45658.0</v>
      </c>
      <c r="E406" s="24">
        <v>46022.0</v>
      </c>
      <c r="F406" s="20">
        <v>1.0</v>
      </c>
      <c r="G406" s="20">
        <v>1.0</v>
      </c>
      <c r="H406" s="24">
        <v>46023.0</v>
      </c>
      <c r="I406" s="24">
        <v>46387.0</v>
      </c>
      <c r="J406" s="20">
        <v>0.0</v>
      </c>
      <c r="K406" s="20">
        <v>1.0</v>
      </c>
      <c r="L406" s="24">
        <v>46388.0</v>
      </c>
      <c r="M406" s="24">
        <v>46752.0</v>
      </c>
      <c r="N406" s="20">
        <v>0.0</v>
      </c>
      <c r="O406" s="20">
        <v>1.0</v>
      </c>
      <c r="P406" s="24">
        <v>46753.0</v>
      </c>
      <c r="Q406" s="24">
        <v>47118.0</v>
      </c>
      <c r="R406" s="20">
        <v>0.0</v>
      </c>
      <c r="S406" s="20">
        <v>1.0</v>
      </c>
      <c r="T406" s="24">
        <v>47119.0</v>
      </c>
      <c r="U406" s="24">
        <v>47483.0</v>
      </c>
      <c r="V406" s="20">
        <v>0.0</v>
      </c>
      <c r="W406" s="20">
        <v>1.0</v>
      </c>
      <c r="X406" s="24">
        <v>47484.0</v>
      </c>
      <c r="Y406" s="24">
        <v>47848.0</v>
      </c>
      <c r="Z406" s="20">
        <v>0.0</v>
      </c>
      <c r="AA406" s="20">
        <v>1.0</v>
      </c>
      <c r="AB406" s="24"/>
      <c r="AC406" s="24"/>
    </row>
    <row r="407" ht="14.25" customHeight="1">
      <c r="A407" s="46" t="s">
        <v>2352</v>
      </c>
      <c r="B407" s="20" t="s">
        <v>2353</v>
      </c>
      <c r="C407" s="20" t="s">
        <v>7041</v>
      </c>
      <c r="D407" s="24">
        <v>45658.0</v>
      </c>
      <c r="E407" s="24">
        <v>46022.0</v>
      </c>
      <c r="F407" s="20">
        <v>1.0</v>
      </c>
      <c r="G407" s="20">
        <v>1.0</v>
      </c>
      <c r="H407" s="24">
        <v>46023.0</v>
      </c>
      <c r="I407" s="24">
        <v>46387.0</v>
      </c>
      <c r="J407" s="20">
        <v>0.0</v>
      </c>
      <c r="K407" s="20">
        <v>1.0</v>
      </c>
      <c r="L407" s="24">
        <v>46388.0</v>
      </c>
      <c r="M407" s="24">
        <v>46752.0</v>
      </c>
      <c r="N407" s="20">
        <v>0.0</v>
      </c>
      <c r="O407" s="20">
        <v>1.0</v>
      </c>
      <c r="P407" s="24">
        <v>46753.0</v>
      </c>
      <c r="Q407" s="24">
        <v>47118.0</v>
      </c>
      <c r="R407" s="20">
        <v>0.0</v>
      </c>
      <c r="S407" s="20">
        <v>1.0</v>
      </c>
      <c r="T407" s="24">
        <v>47119.0</v>
      </c>
      <c r="U407" s="24">
        <v>47483.0</v>
      </c>
      <c r="V407" s="20">
        <v>0.0</v>
      </c>
      <c r="W407" s="20">
        <v>1.0</v>
      </c>
      <c r="X407" s="24">
        <v>47484.0</v>
      </c>
      <c r="Y407" s="24">
        <v>47848.0</v>
      </c>
      <c r="Z407" s="20">
        <v>0.0</v>
      </c>
      <c r="AA407" s="20">
        <v>1.0</v>
      </c>
      <c r="AB407" s="24"/>
      <c r="AC407" s="24"/>
    </row>
    <row r="408" ht="14.25" customHeight="1">
      <c r="A408" s="46" t="s">
        <v>3771</v>
      </c>
      <c r="B408" s="20" t="s">
        <v>3772</v>
      </c>
      <c r="C408" s="20" t="s">
        <v>7041</v>
      </c>
      <c r="D408" s="24">
        <v>45658.0</v>
      </c>
      <c r="E408" s="24">
        <v>46022.0</v>
      </c>
      <c r="F408" s="20">
        <v>1.0</v>
      </c>
      <c r="G408" s="20">
        <v>1.0</v>
      </c>
      <c r="H408" s="24">
        <v>46023.0</v>
      </c>
      <c r="I408" s="24">
        <v>46387.0</v>
      </c>
      <c r="J408" s="20">
        <v>0.0</v>
      </c>
      <c r="K408" s="20">
        <v>1.0</v>
      </c>
      <c r="L408" s="24">
        <v>46388.0</v>
      </c>
      <c r="M408" s="24">
        <v>46752.0</v>
      </c>
      <c r="N408" s="20">
        <v>0.0</v>
      </c>
      <c r="O408" s="20">
        <v>1.0</v>
      </c>
      <c r="P408" s="24">
        <v>46753.0</v>
      </c>
      <c r="Q408" s="24">
        <v>47118.0</v>
      </c>
      <c r="R408" s="20">
        <v>0.0</v>
      </c>
      <c r="S408" s="20">
        <v>1.0</v>
      </c>
      <c r="T408" s="24">
        <v>47119.0</v>
      </c>
      <c r="U408" s="24">
        <v>47483.0</v>
      </c>
      <c r="V408" s="20">
        <v>0.0</v>
      </c>
      <c r="W408" s="20">
        <v>1.0</v>
      </c>
      <c r="X408" s="24">
        <v>47484.0</v>
      </c>
      <c r="Y408" s="24">
        <v>47848.0</v>
      </c>
      <c r="Z408" s="20">
        <v>0.0</v>
      </c>
      <c r="AA408" s="20">
        <v>1.0</v>
      </c>
      <c r="AB408" s="24"/>
      <c r="AC408" s="24"/>
    </row>
    <row r="409" ht="14.25" customHeight="1">
      <c r="A409" s="46" t="s">
        <v>3183</v>
      </c>
      <c r="B409" s="20" t="s">
        <v>3184</v>
      </c>
      <c r="C409" s="20" t="s">
        <v>7041</v>
      </c>
      <c r="D409" s="24">
        <v>45658.0</v>
      </c>
      <c r="E409" s="24">
        <v>46022.0</v>
      </c>
      <c r="F409" s="20">
        <v>0.0</v>
      </c>
      <c r="G409" s="20">
        <v>1.0</v>
      </c>
      <c r="H409" s="24">
        <v>46023.0</v>
      </c>
      <c r="I409" s="24">
        <v>46387.0</v>
      </c>
      <c r="J409" s="20">
        <v>0.0</v>
      </c>
      <c r="K409" s="20">
        <v>1.0</v>
      </c>
      <c r="L409" s="24">
        <v>46388.0</v>
      </c>
      <c r="M409" s="24">
        <v>46752.0</v>
      </c>
      <c r="N409" s="20">
        <v>0.0</v>
      </c>
      <c r="O409" s="20">
        <v>1.0</v>
      </c>
      <c r="P409" s="24">
        <v>46753.0</v>
      </c>
      <c r="Q409" s="24">
        <v>47118.0</v>
      </c>
      <c r="R409" s="20">
        <v>0.0</v>
      </c>
      <c r="S409" s="20">
        <v>1.0</v>
      </c>
      <c r="T409" s="24">
        <v>47119.0</v>
      </c>
      <c r="U409" s="24">
        <v>47483.0</v>
      </c>
      <c r="V409" s="20">
        <v>0.0</v>
      </c>
      <c r="W409" s="20">
        <v>1.0</v>
      </c>
      <c r="X409" s="24">
        <v>47484.0</v>
      </c>
      <c r="Y409" s="24">
        <v>47848.0</v>
      </c>
      <c r="Z409" s="20">
        <v>0.0</v>
      </c>
      <c r="AA409" s="20">
        <v>1.0</v>
      </c>
      <c r="AB409" s="24"/>
      <c r="AC409" s="24"/>
    </row>
    <row r="410" ht="14.25" customHeight="1">
      <c r="A410" s="46" t="s">
        <v>2304</v>
      </c>
      <c r="B410" s="20" t="s">
        <v>2305</v>
      </c>
      <c r="C410" s="20" t="s">
        <v>7041</v>
      </c>
      <c r="D410" s="24">
        <v>45658.0</v>
      </c>
      <c r="E410" s="24">
        <v>46022.0</v>
      </c>
      <c r="F410" s="20">
        <v>1.0</v>
      </c>
      <c r="G410" s="20">
        <v>1.0</v>
      </c>
      <c r="H410" s="24">
        <v>46023.0</v>
      </c>
      <c r="I410" s="24">
        <v>46387.0</v>
      </c>
      <c r="J410" s="20">
        <v>0.0</v>
      </c>
      <c r="K410" s="20">
        <v>1.0</v>
      </c>
      <c r="L410" s="24">
        <v>46388.0</v>
      </c>
      <c r="M410" s="24">
        <v>46752.0</v>
      </c>
      <c r="N410" s="20">
        <v>0.0</v>
      </c>
      <c r="O410" s="20">
        <v>1.0</v>
      </c>
      <c r="P410" s="24">
        <v>46753.0</v>
      </c>
      <c r="Q410" s="24">
        <v>47118.0</v>
      </c>
      <c r="R410" s="20">
        <v>0.0</v>
      </c>
      <c r="S410" s="20">
        <v>1.0</v>
      </c>
      <c r="T410" s="24">
        <v>47119.0</v>
      </c>
      <c r="U410" s="24">
        <v>47483.0</v>
      </c>
      <c r="V410" s="20">
        <v>0.0</v>
      </c>
      <c r="W410" s="20">
        <v>1.0</v>
      </c>
      <c r="X410" s="24">
        <v>47484.0</v>
      </c>
      <c r="Y410" s="24">
        <v>47848.0</v>
      </c>
      <c r="Z410" s="20">
        <v>0.0</v>
      </c>
      <c r="AA410" s="20">
        <v>1.0</v>
      </c>
      <c r="AB410" s="24"/>
      <c r="AC410" s="24"/>
    </row>
    <row r="411" ht="14.25" customHeight="1">
      <c r="A411" s="46" t="s">
        <v>4955</v>
      </c>
      <c r="B411" s="20" t="s">
        <v>4956</v>
      </c>
      <c r="C411" s="20" t="s">
        <v>7041</v>
      </c>
      <c r="D411" s="24">
        <v>45658.0</v>
      </c>
      <c r="E411" s="24">
        <v>46022.0</v>
      </c>
      <c r="F411" s="20">
        <v>1.0</v>
      </c>
      <c r="G411" s="20">
        <v>1.0</v>
      </c>
      <c r="H411" s="24">
        <v>46023.0</v>
      </c>
      <c r="I411" s="24">
        <v>46387.0</v>
      </c>
      <c r="J411" s="20">
        <v>0.0</v>
      </c>
      <c r="K411" s="20">
        <v>1.0</v>
      </c>
      <c r="L411" s="24">
        <v>46388.0</v>
      </c>
      <c r="M411" s="24">
        <v>46752.0</v>
      </c>
      <c r="N411" s="20">
        <v>0.0</v>
      </c>
      <c r="O411" s="20">
        <v>1.0</v>
      </c>
      <c r="P411" s="24">
        <v>46753.0</v>
      </c>
      <c r="Q411" s="24">
        <v>47118.0</v>
      </c>
      <c r="R411" s="20">
        <v>0.0</v>
      </c>
      <c r="S411" s="20">
        <v>1.0</v>
      </c>
      <c r="T411" s="24">
        <v>47119.0</v>
      </c>
      <c r="U411" s="24">
        <v>47483.0</v>
      </c>
      <c r="V411" s="20">
        <v>0.0</v>
      </c>
      <c r="W411" s="20">
        <v>1.0</v>
      </c>
      <c r="X411" s="24">
        <v>47484.0</v>
      </c>
      <c r="Y411" s="24">
        <v>47848.0</v>
      </c>
      <c r="Z411" s="20">
        <v>0.0</v>
      </c>
      <c r="AA411" s="20">
        <v>1.0</v>
      </c>
      <c r="AB411" s="24"/>
      <c r="AC411" s="24"/>
    </row>
    <row r="412" ht="14.25" customHeight="1">
      <c r="A412" s="46" t="s">
        <v>4426</v>
      </c>
      <c r="B412" s="20" t="s">
        <v>4427</v>
      </c>
      <c r="C412" s="20" t="s">
        <v>7041</v>
      </c>
      <c r="D412" s="24">
        <v>45658.0</v>
      </c>
      <c r="E412" s="24">
        <v>46022.0</v>
      </c>
      <c r="F412" s="20">
        <v>0.0</v>
      </c>
      <c r="G412" s="20">
        <v>1.0</v>
      </c>
      <c r="H412" s="24">
        <v>46023.0</v>
      </c>
      <c r="I412" s="24">
        <v>46387.0</v>
      </c>
      <c r="J412" s="20">
        <v>0.0</v>
      </c>
      <c r="K412" s="20">
        <v>1.0</v>
      </c>
      <c r="L412" s="24">
        <v>46388.0</v>
      </c>
      <c r="M412" s="24">
        <v>46752.0</v>
      </c>
      <c r="N412" s="20">
        <v>0.0</v>
      </c>
      <c r="O412" s="20">
        <v>1.0</v>
      </c>
      <c r="P412" s="24">
        <v>46753.0</v>
      </c>
      <c r="Q412" s="24">
        <v>47118.0</v>
      </c>
      <c r="R412" s="20">
        <v>0.0</v>
      </c>
      <c r="S412" s="20">
        <v>1.0</v>
      </c>
      <c r="T412" s="24">
        <v>47119.0</v>
      </c>
      <c r="U412" s="24">
        <v>47483.0</v>
      </c>
      <c r="V412" s="20">
        <v>0.0</v>
      </c>
      <c r="W412" s="20">
        <v>1.0</v>
      </c>
      <c r="X412" s="24">
        <v>47484.0</v>
      </c>
      <c r="Y412" s="24">
        <v>47848.0</v>
      </c>
      <c r="Z412" s="20">
        <v>0.0</v>
      </c>
      <c r="AA412" s="20">
        <v>1.0</v>
      </c>
      <c r="AB412" s="24"/>
      <c r="AC412" s="24"/>
    </row>
    <row r="413" ht="14.25" customHeight="1">
      <c r="A413" s="46" t="s">
        <v>1678</v>
      </c>
      <c r="B413" s="20" t="s">
        <v>1679</v>
      </c>
      <c r="C413" s="20" t="s">
        <v>7041</v>
      </c>
      <c r="D413" s="24">
        <v>45658.0</v>
      </c>
      <c r="E413" s="24">
        <v>46022.0</v>
      </c>
      <c r="F413" s="20">
        <v>0.0</v>
      </c>
      <c r="G413" s="20">
        <v>1.0</v>
      </c>
      <c r="H413" s="24">
        <v>46023.0</v>
      </c>
      <c r="I413" s="24">
        <v>46387.0</v>
      </c>
      <c r="J413" s="20">
        <v>0.0</v>
      </c>
      <c r="K413" s="20">
        <v>1.0</v>
      </c>
      <c r="L413" s="24">
        <v>46388.0</v>
      </c>
      <c r="M413" s="24">
        <v>46752.0</v>
      </c>
      <c r="N413" s="20">
        <v>0.0</v>
      </c>
      <c r="O413" s="20">
        <v>1.0</v>
      </c>
      <c r="P413" s="24">
        <v>46753.0</v>
      </c>
      <c r="Q413" s="24">
        <v>47118.0</v>
      </c>
      <c r="R413" s="20">
        <v>0.0</v>
      </c>
      <c r="S413" s="20">
        <v>1.0</v>
      </c>
      <c r="T413" s="24">
        <v>47119.0</v>
      </c>
      <c r="U413" s="24">
        <v>47483.0</v>
      </c>
      <c r="V413" s="20">
        <v>0.0</v>
      </c>
      <c r="W413" s="20">
        <v>1.0</v>
      </c>
      <c r="X413" s="24">
        <v>47484.0</v>
      </c>
      <c r="Y413" s="24">
        <v>47848.0</v>
      </c>
      <c r="Z413" s="20">
        <v>0.0</v>
      </c>
      <c r="AA413" s="20">
        <v>1.0</v>
      </c>
      <c r="AB413" s="24"/>
      <c r="AC413" s="24"/>
    </row>
    <row r="414" ht="14.25" customHeight="1">
      <c r="A414" s="46" t="s">
        <v>4235</v>
      </c>
      <c r="B414" s="20" t="s">
        <v>4236</v>
      </c>
      <c r="C414" s="20" t="s">
        <v>7041</v>
      </c>
      <c r="D414" s="24">
        <v>45658.0</v>
      </c>
      <c r="E414" s="24">
        <v>46022.0</v>
      </c>
      <c r="F414" s="20">
        <v>0.0</v>
      </c>
      <c r="G414" s="20">
        <v>1.0</v>
      </c>
      <c r="H414" s="24">
        <v>46023.0</v>
      </c>
      <c r="I414" s="24">
        <v>46387.0</v>
      </c>
      <c r="J414" s="20">
        <v>0.0</v>
      </c>
      <c r="K414" s="20">
        <v>1.0</v>
      </c>
      <c r="L414" s="24">
        <v>46388.0</v>
      </c>
      <c r="M414" s="24">
        <v>46752.0</v>
      </c>
      <c r="N414" s="20">
        <v>0.0</v>
      </c>
      <c r="O414" s="20">
        <v>1.0</v>
      </c>
      <c r="P414" s="24">
        <v>46753.0</v>
      </c>
      <c r="Q414" s="24">
        <v>47118.0</v>
      </c>
      <c r="R414" s="20">
        <v>0.0</v>
      </c>
      <c r="S414" s="20">
        <v>1.0</v>
      </c>
      <c r="T414" s="24">
        <v>47119.0</v>
      </c>
      <c r="U414" s="24">
        <v>47483.0</v>
      </c>
      <c r="V414" s="20">
        <v>0.0</v>
      </c>
      <c r="W414" s="20">
        <v>1.0</v>
      </c>
      <c r="X414" s="24">
        <v>47484.0</v>
      </c>
      <c r="Y414" s="24">
        <v>47848.0</v>
      </c>
      <c r="Z414" s="20">
        <v>0.0</v>
      </c>
      <c r="AA414" s="20">
        <v>1.0</v>
      </c>
      <c r="AB414" s="24"/>
      <c r="AC414" s="24"/>
    </row>
    <row r="415" ht="14.25" customHeight="1">
      <c r="A415" s="46" t="s">
        <v>5246</v>
      </c>
      <c r="B415" s="20" t="s">
        <v>5247</v>
      </c>
      <c r="C415" s="20" t="s">
        <v>7041</v>
      </c>
      <c r="D415" s="24">
        <v>45658.0</v>
      </c>
      <c r="E415" s="24">
        <v>46022.0</v>
      </c>
      <c r="F415" s="20">
        <v>0.0</v>
      </c>
      <c r="G415" s="20">
        <v>1.0</v>
      </c>
      <c r="H415" s="24">
        <v>46023.0</v>
      </c>
      <c r="I415" s="24">
        <v>46387.0</v>
      </c>
      <c r="J415" s="20">
        <v>0.0</v>
      </c>
      <c r="K415" s="20">
        <v>1.0</v>
      </c>
      <c r="L415" s="24">
        <v>46388.0</v>
      </c>
      <c r="M415" s="24">
        <v>46752.0</v>
      </c>
      <c r="N415" s="20">
        <v>0.0</v>
      </c>
      <c r="O415" s="20">
        <v>1.0</v>
      </c>
      <c r="P415" s="24">
        <v>46753.0</v>
      </c>
      <c r="Q415" s="24">
        <v>47118.0</v>
      </c>
      <c r="R415" s="20">
        <v>0.0</v>
      </c>
      <c r="S415" s="20">
        <v>1.0</v>
      </c>
      <c r="T415" s="24">
        <v>47119.0</v>
      </c>
      <c r="U415" s="24">
        <v>47483.0</v>
      </c>
      <c r="V415" s="20">
        <v>0.0</v>
      </c>
      <c r="W415" s="20">
        <v>1.0</v>
      </c>
      <c r="X415" s="24">
        <v>47484.0</v>
      </c>
      <c r="Y415" s="24">
        <v>47848.0</v>
      </c>
      <c r="Z415" s="20">
        <v>0.0</v>
      </c>
      <c r="AA415" s="20">
        <v>1.0</v>
      </c>
      <c r="AB415" s="24"/>
      <c r="AC415" s="24"/>
    </row>
    <row r="416" ht="14.25" customHeight="1">
      <c r="A416" s="46" t="s">
        <v>3320</v>
      </c>
      <c r="B416" s="20" t="s">
        <v>3321</v>
      </c>
      <c r="C416" s="20" t="s">
        <v>7041</v>
      </c>
      <c r="D416" s="24">
        <v>45658.0</v>
      </c>
      <c r="E416" s="24">
        <v>46022.0</v>
      </c>
      <c r="F416" s="20">
        <v>1.0</v>
      </c>
      <c r="G416" s="20">
        <v>1.0</v>
      </c>
      <c r="H416" s="24">
        <v>46023.0</v>
      </c>
      <c r="I416" s="24">
        <v>46387.0</v>
      </c>
      <c r="J416" s="20">
        <v>0.0</v>
      </c>
      <c r="K416" s="20">
        <v>1.0</v>
      </c>
      <c r="L416" s="24">
        <v>46388.0</v>
      </c>
      <c r="M416" s="24">
        <v>46752.0</v>
      </c>
      <c r="N416" s="20">
        <v>0.0</v>
      </c>
      <c r="O416" s="20">
        <v>1.0</v>
      </c>
      <c r="P416" s="24">
        <v>46753.0</v>
      </c>
      <c r="Q416" s="24">
        <v>47118.0</v>
      </c>
      <c r="R416" s="20">
        <v>0.0</v>
      </c>
      <c r="S416" s="20">
        <v>1.0</v>
      </c>
      <c r="T416" s="24">
        <v>47119.0</v>
      </c>
      <c r="U416" s="24">
        <v>47483.0</v>
      </c>
      <c r="V416" s="20">
        <v>0.0</v>
      </c>
      <c r="W416" s="20">
        <v>1.0</v>
      </c>
      <c r="X416" s="24">
        <v>47484.0</v>
      </c>
      <c r="Y416" s="24">
        <v>47848.0</v>
      </c>
      <c r="Z416" s="20">
        <v>0.0</v>
      </c>
      <c r="AA416" s="20">
        <v>1.0</v>
      </c>
      <c r="AB416" s="24"/>
      <c r="AC416" s="24"/>
    </row>
    <row r="417" ht="14.25" customHeight="1">
      <c r="A417" s="46" t="s">
        <v>3721</v>
      </c>
      <c r="B417" s="20" t="s">
        <v>3722</v>
      </c>
      <c r="C417" s="20" t="s">
        <v>7041</v>
      </c>
      <c r="D417" s="24">
        <v>45658.0</v>
      </c>
      <c r="E417" s="24">
        <v>46022.0</v>
      </c>
      <c r="F417" s="20">
        <v>1.0</v>
      </c>
      <c r="G417" s="20">
        <v>1.0</v>
      </c>
      <c r="H417" s="24">
        <v>46023.0</v>
      </c>
      <c r="I417" s="24">
        <v>46387.0</v>
      </c>
      <c r="J417" s="20">
        <v>0.0</v>
      </c>
      <c r="K417" s="20">
        <v>1.0</v>
      </c>
      <c r="L417" s="24">
        <v>46388.0</v>
      </c>
      <c r="M417" s="24">
        <v>46752.0</v>
      </c>
      <c r="N417" s="20">
        <v>0.0</v>
      </c>
      <c r="O417" s="20">
        <v>1.0</v>
      </c>
      <c r="P417" s="24">
        <v>46753.0</v>
      </c>
      <c r="Q417" s="24">
        <v>47118.0</v>
      </c>
      <c r="R417" s="20">
        <v>0.0</v>
      </c>
      <c r="S417" s="20">
        <v>1.0</v>
      </c>
      <c r="T417" s="24">
        <v>47119.0</v>
      </c>
      <c r="U417" s="24">
        <v>47483.0</v>
      </c>
      <c r="V417" s="20">
        <v>0.0</v>
      </c>
      <c r="W417" s="20">
        <v>1.0</v>
      </c>
      <c r="X417" s="24">
        <v>47484.0</v>
      </c>
      <c r="Y417" s="24">
        <v>47848.0</v>
      </c>
      <c r="Z417" s="20">
        <v>0.0</v>
      </c>
      <c r="AA417" s="20">
        <v>1.0</v>
      </c>
      <c r="AB417" s="24"/>
      <c r="AC417" s="24"/>
    </row>
    <row r="418" ht="14.25" customHeight="1">
      <c r="A418" s="46" t="s">
        <v>2811</v>
      </c>
      <c r="B418" s="20" t="s">
        <v>2812</v>
      </c>
      <c r="C418" s="20" t="s">
        <v>7041</v>
      </c>
      <c r="D418" s="24">
        <v>45658.0</v>
      </c>
      <c r="E418" s="24">
        <v>46022.0</v>
      </c>
      <c r="F418" s="20">
        <v>1.0</v>
      </c>
      <c r="G418" s="20">
        <v>1.0</v>
      </c>
      <c r="H418" s="24">
        <v>46023.0</v>
      </c>
      <c r="I418" s="24">
        <v>46387.0</v>
      </c>
      <c r="J418" s="20">
        <v>0.0</v>
      </c>
      <c r="K418" s="20">
        <v>1.0</v>
      </c>
      <c r="L418" s="24">
        <v>46388.0</v>
      </c>
      <c r="M418" s="24">
        <v>46752.0</v>
      </c>
      <c r="N418" s="20">
        <v>0.0</v>
      </c>
      <c r="O418" s="20">
        <v>1.0</v>
      </c>
      <c r="P418" s="24">
        <v>46753.0</v>
      </c>
      <c r="Q418" s="24">
        <v>47118.0</v>
      </c>
      <c r="R418" s="20">
        <v>0.0</v>
      </c>
      <c r="S418" s="20">
        <v>1.0</v>
      </c>
      <c r="T418" s="24">
        <v>47119.0</v>
      </c>
      <c r="U418" s="24">
        <v>47483.0</v>
      </c>
      <c r="V418" s="20">
        <v>0.0</v>
      </c>
      <c r="W418" s="20">
        <v>1.0</v>
      </c>
      <c r="X418" s="24">
        <v>47484.0</v>
      </c>
      <c r="Y418" s="24">
        <v>47848.0</v>
      </c>
      <c r="Z418" s="20">
        <v>0.0</v>
      </c>
      <c r="AA418" s="20">
        <v>1.0</v>
      </c>
      <c r="AB418" s="24"/>
      <c r="AC418" s="24"/>
    </row>
    <row r="419" ht="14.25" customHeight="1">
      <c r="A419" s="46" t="s">
        <v>2604</v>
      </c>
      <c r="B419" s="20" t="s">
        <v>2605</v>
      </c>
      <c r="C419" s="20" t="s">
        <v>7041</v>
      </c>
      <c r="D419" s="24">
        <v>45658.0</v>
      </c>
      <c r="E419" s="24">
        <v>46022.0</v>
      </c>
      <c r="F419" s="20">
        <v>0.0</v>
      </c>
      <c r="G419" s="20">
        <v>1.0</v>
      </c>
      <c r="H419" s="24">
        <v>46023.0</v>
      </c>
      <c r="I419" s="24">
        <v>46387.0</v>
      </c>
      <c r="J419" s="20">
        <v>0.0</v>
      </c>
      <c r="K419" s="20">
        <v>1.0</v>
      </c>
      <c r="L419" s="24">
        <v>46388.0</v>
      </c>
      <c r="M419" s="24">
        <v>46752.0</v>
      </c>
      <c r="N419" s="20">
        <v>0.0</v>
      </c>
      <c r="O419" s="20">
        <v>1.0</v>
      </c>
      <c r="P419" s="24">
        <v>46753.0</v>
      </c>
      <c r="Q419" s="24">
        <v>47118.0</v>
      </c>
      <c r="R419" s="20">
        <v>0.0</v>
      </c>
      <c r="S419" s="20">
        <v>1.0</v>
      </c>
      <c r="T419" s="24">
        <v>47119.0</v>
      </c>
      <c r="U419" s="24">
        <v>47483.0</v>
      </c>
      <c r="V419" s="20">
        <v>0.0</v>
      </c>
      <c r="W419" s="20">
        <v>1.0</v>
      </c>
      <c r="X419" s="24">
        <v>47484.0</v>
      </c>
      <c r="Y419" s="24">
        <v>47848.0</v>
      </c>
      <c r="Z419" s="20">
        <v>0.0</v>
      </c>
      <c r="AA419" s="20">
        <v>1.0</v>
      </c>
      <c r="AB419" s="24"/>
      <c r="AC419" s="24"/>
    </row>
    <row r="420" ht="14.25" customHeight="1">
      <c r="A420" s="46" t="s">
        <v>308</v>
      </c>
      <c r="B420" s="20" t="s">
        <v>309</v>
      </c>
      <c r="C420" s="20" t="s">
        <v>7041</v>
      </c>
      <c r="D420" s="24">
        <v>45658.0</v>
      </c>
      <c r="E420" s="24">
        <v>46022.0</v>
      </c>
      <c r="F420" s="20">
        <v>1.0</v>
      </c>
      <c r="G420" s="20">
        <v>1.0</v>
      </c>
      <c r="H420" s="24">
        <v>46023.0</v>
      </c>
      <c r="I420" s="24">
        <v>46387.0</v>
      </c>
      <c r="J420" s="20">
        <v>0.0</v>
      </c>
      <c r="K420" s="20">
        <v>1.0</v>
      </c>
      <c r="L420" s="24">
        <v>46388.0</v>
      </c>
      <c r="M420" s="24">
        <v>46752.0</v>
      </c>
      <c r="N420" s="20">
        <v>0.0</v>
      </c>
      <c r="O420" s="20">
        <v>1.0</v>
      </c>
      <c r="P420" s="24">
        <v>46753.0</v>
      </c>
      <c r="Q420" s="24">
        <v>47118.0</v>
      </c>
      <c r="R420" s="20">
        <v>0.0</v>
      </c>
      <c r="S420" s="20">
        <v>1.0</v>
      </c>
      <c r="T420" s="24">
        <v>47119.0</v>
      </c>
      <c r="U420" s="24">
        <v>47483.0</v>
      </c>
      <c r="V420" s="20">
        <v>0.0</v>
      </c>
      <c r="W420" s="20">
        <v>1.0</v>
      </c>
      <c r="X420" s="24">
        <v>47484.0</v>
      </c>
      <c r="Y420" s="24">
        <v>47848.0</v>
      </c>
      <c r="Z420" s="20">
        <v>0.0</v>
      </c>
      <c r="AA420" s="20">
        <v>1.0</v>
      </c>
      <c r="AB420" s="24"/>
      <c r="AC420" s="24"/>
    </row>
    <row r="421" ht="14.25" customHeight="1">
      <c r="A421" s="46" t="s">
        <v>6002</v>
      </c>
      <c r="B421" s="20" t="s">
        <v>6003</v>
      </c>
      <c r="C421" s="20" t="s">
        <v>7041</v>
      </c>
      <c r="D421" s="24">
        <v>45658.0</v>
      </c>
      <c r="E421" s="24">
        <v>46022.0</v>
      </c>
      <c r="F421" s="20">
        <v>1.0</v>
      </c>
      <c r="G421" s="20">
        <v>1.0</v>
      </c>
      <c r="H421" s="24">
        <v>46023.0</v>
      </c>
      <c r="I421" s="24">
        <v>46387.0</v>
      </c>
      <c r="J421" s="20">
        <v>0.0</v>
      </c>
      <c r="K421" s="20">
        <v>1.0</v>
      </c>
      <c r="L421" s="24">
        <v>46388.0</v>
      </c>
      <c r="M421" s="24">
        <v>46752.0</v>
      </c>
      <c r="N421" s="20">
        <v>0.0</v>
      </c>
      <c r="O421" s="20">
        <v>1.0</v>
      </c>
      <c r="P421" s="24">
        <v>46753.0</v>
      </c>
      <c r="Q421" s="24">
        <v>47118.0</v>
      </c>
      <c r="R421" s="20">
        <v>0.0</v>
      </c>
      <c r="S421" s="20">
        <v>1.0</v>
      </c>
      <c r="T421" s="24">
        <v>47119.0</v>
      </c>
      <c r="U421" s="24">
        <v>47483.0</v>
      </c>
      <c r="V421" s="20">
        <v>0.0</v>
      </c>
      <c r="W421" s="20">
        <v>1.0</v>
      </c>
      <c r="X421" s="24">
        <v>47484.0</v>
      </c>
      <c r="Y421" s="24">
        <v>47848.0</v>
      </c>
      <c r="Z421" s="20">
        <v>0.0</v>
      </c>
      <c r="AA421" s="20">
        <v>1.0</v>
      </c>
      <c r="AB421" s="24"/>
      <c r="AC421" s="24"/>
    </row>
    <row r="422" ht="14.25" customHeight="1">
      <c r="A422" s="46" t="s">
        <v>844</v>
      </c>
      <c r="B422" s="20" t="s">
        <v>845</v>
      </c>
      <c r="C422" s="20" t="s">
        <v>7041</v>
      </c>
      <c r="D422" s="24">
        <v>45658.0</v>
      </c>
      <c r="E422" s="24">
        <v>46022.0</v>
      </c>
      <c r="F422" s="20">
        <v>0.0</v>
      </c>
      <c r="G422" s="20">
        <v>1.0</v>
      </c>
      <c r="H422" s="24">
        <v>46023.0</v>
      </c>
      <c r="I422" s="24">
        <v>46387.0</v>
      </c>
      <c r="J422" s="20">
        <v>0.0</v>
      </c>
      <c r="K422" s="20">
        <v>1.0</v>
      </c>
      <c r="L422" s="24">
        <v>46388.0</v>
      </c>
      <c r="M422" s="24">
        <v>46752.0</v>
      </c>
      <c r="N422" s="20">
        <v>0.0</v>
      </c>
      <c r="O422" s="20">
        <v>1.0</v>
      </c>
      <c r="P422" s="24">
        <v>46753.0</v>
      </c>
      <c r="Q422" s="24">
        <v>47118.0</v>
      </c>
      <c r="R422" s="20">
        <v>0.0</v>
      </c>
      <c r="S422" s="20">
        <v>1.0</v>
      </c>
      <c r="T422" s="24">
        <v>47119.0</v>
      </c>
      <c r="U422" s="24">
        <v>47483.0</v>
      </c>
      <c r="V422" s="20">
        <v>0.0</v>
      </c>
      <c r="W422" s="20">
        <v>1.0</v>
      </c>
      <c r="X422" s="24">
        <v>47484.0</v>
      </c>
      <c r="Y422" s="24">
        <v>47848.0</v>
      </c>
      <c r="Z422" s="20">
        <v>0.0</v>
      </c>
      <c r="AA422" s="20">
        <v>1.0</v>
      </c>
      <c r="AB422" s="24"/>
      <c r="AC422" s="24"/>
    </row>
    <row r="423" ht="14.25" customHeight="1">
      <c r="A423" s="46" t="s">
        <v>6150</v>
      </c>
      <c r="B423" s="20" t="s">
        <v>6151</v>
      </c>
      <c r="C423" s="20" t="s">
        <v>7041</v>
      </c>
      <c r="D423" s="24">
        <v>45658.0</v>
      </c>
      <c r="E423" s="24">
        <v>46022.0</v>
      </c>
      <c r="F423" s="20">
        <v>1.0</v>
      </c>
      <c r="G423" s="20">
        <v>1.0</v>
      </c>
      <c r="H423" s="24">
        <v>46023.0</v>
      </c>
      <c r="I423" s="24">
        <v>46387.0</v>
      </c>
      <c r="J423" s="20">
        <v>0.0</v>
      </c>
      <c r="K423" s="20">
        <v>1.0</v>
      </c>
      <c r="L423" s="24">
        <v>46388.0</v>
      </c>
      <c r="M423" s="24">
        <v>46752.0</v>
      </c>
      <c r="N423" s="20">
        <v>0.0</v>
      </c>
      <c r="O423" s="20">
        <v>1.0</v>
      </c>
      <c r="P423" s="24">
        <v>46753.0</v>
      </c>
      <c r="Q423" s="24">
        <v>47118.0</v>
      </c>
      <c r="R423" s="20">
        <v>0.0</v>
      </c>
      <c r="S423" s="20">
        <v>1.0</v>
      </c>
      <c r="T423" s="24">
        <v>47119.0</v>
      </c>
      <c r="U423" s="24">
        <v>47483.0</v>
      </c>
      <c r="V423" s="20">
        <v>0.0</v>
      </c>
      <c r="W423" s="20">
        <v>1.0</v>
      </c>
      <c r="X423" s="24">
        <v>47484.0</v>
      </c>
      <c r="Y423" s="24">
        <v>47848.0</v>
      </c>
      <c r="Z423" s="20">
        <v>0.0</v>
      </c>
      <c r="AA423" s="20">
        <v>1.0</v>
      </c>
      <c r="AB423" s="24"/>
      <c r="AC423" s="24"/>
    </row>
    <row r="424" ht="14.25" customHeight="1">
      <c r="A424" s="46" t="s">
        <v>1641</v>
      </c>
      <c r="B424" s="20" t="s">
        <v>1642</v>
      </c>
      <c r="C424" s="20" t="s">
        <v>7041</v>
      </c>
      <c r="D424" s="24">
        <v>45658.0</v>
      </c>
      <c r="E424" s="24">
        <v>46022.0</v>
      </c>
      <c r="F424" s="20">
        <v>1.0</v>
      </c>
      <c r="G424" s="20">
        <v>1.0</v>
      </c>
      <c r="H424" s="24">
        <v>46023.0</v>
      </c>
      <c r="I424" s="24">
        <v>46387.0</v>
      </c>
      <c r="J424" s="20">
        <v>0.0</v>
      </c>
      <c r="K424" s="20">
        <v>1.0</v>
      </c>
      <c r="L424" s="24">
        <v>46388.0</v>
      </c>
      <c r="M424" s="24">
        <v>46752.0</v>
      </c>
      <c r="N424" s="20">
        <v>0.0</v>
      </c>
      <c r="O424" s="20">
        <v>1.0</v>
      </c>
      <c r="P424" s="24">
        <v>46753.0</v>
      </c>
      <c r="Q424" s="24">
        <v>47118.0</v>
      </c>
      <c r="R424" s="20">
        <v>0.0</v>
      </c>
      <c r="S424" s="20">
        <v>1.0</v>
      </c>
      <c r="T424" s="24">
        <v>47119.0</v>
      </c>
      <c r="U424" s="24">
        <v>47483.0</v>
      </c>
      <c r="V424" s="20">
        <v>0.0</v>
      </c>
      <c r="W424" s="20">
        <v>1.0</v>
      </c>
      <c r="X424" s="24">
        <v>47484.0</v>
      </c>
      <c r="Y424" s="24">
        <v>47848.0</v>
      </c>
      <c r="Z424" s="20">
        <v>0.0</v>
      </c>
      <c r="AA424" s="20">
        <v>1.0</v>
      </c>
      <c r="AB424" s="24"/>
      <c r="AC424" s="24"/>
    </row>
    <row r="425" ht="14.25" customHeight="1">
      <c r="A425" s="46" t="s">
        <v>5525</v>
      </c>
      <c r="B425" s="20" t="s">
        <v>5526</v>
      </c>
      <c r="C425" s="20" t="s">
        <v>7041</v>
      </c>
      <c r="D425" s="24">
        <v>45658.0</v>
      </c>
      <c r="E425" s="24">
        <v>46022.0</v>
      </c>
      <c r="F425" s="20">
        <v>0.0</v>
      </c>
      <c r="G425" s="20">
        <v>1.0</v>
      </c>
      <c r="H425" s="24">
        <v>46023.0</v>
      </c>
      <c r="I425" s="24">
        <v>46387.0</v>
      </c>
      <c r="J425" s="20">
        <v>0.0</v>
      </c>
      <c r="K425" s="20">
        <v>1.0</v>
      </c>
      <c r="L425" s="24">
        <v>46388.0</v>
      </c>
      <c r="M425" s="24">
        <v>46752.0</v>
      </c>
      <c r="N425" s="20">
        <v>0.0</v>
      </c>
      <c r="O425" s="20">
        <v>1.0</v>
      </c>
      <c r="P425" s="24">
        <v>46753.0</v>
      </c>
      <c r="Q425" s="24">
        <v>47118.0</v>
      </c>
      <c r="R425" s="20">
        <v>0.0</v>
      </c>
      <c r="S425" s="20">
        <v>1.0</v>
      </c>
      <c r="T425" s="24">
        <v>47119.0</v>
      </c>
      <c r="U425" s="24">
        <v>47483.0</v>
      </c>
      <c r="V425" s="20">
        <v>0.0</v>
      </c>
      <c r="W425" s="20">
        <v>1.0</v>
      </c>
      <c r="X425" s="24">
        <v>47484.0</v>
      </c>
      <c r="Y425" s="24">
        <v>47848.0</v>
      </c>
      <c r="Z425" s="20">
        <v>0.0</v>
      </c>
      <c r="AA425" s="20">
        <v>1.0</v>
      </c>
      <c r="AB425" s="24"/>
      <c r="AC425" s="24"/>
    </row>
    <row r="426" ht="14.25" customHeight="1">
      <c r="A426" s="46" t="s">
        <v>5212</v>
      </c>
      <c r="B426" s="20" t="s">
        <v>5213</v>
      </c>
      <c r="C426" s="20" t="s">
        <v>7041</v>
      </c>
      <c r="D426" s="24">
        <v>45658.0</v>
      </c>
      <c r="E426" s="24">
        <v>46022.0</v>
      </c>
      <c r="F426" s="20">
        <v>1.0</v>
      </c>
      <c r="G426" s="20">
        <v>1.0</v>
      </c>
      <c r="H426" s="24">
        <v>46023.0</v>
      </c>
      <c r="I426" s="24">
        <v>46387.0</v>
      </c>
      <c r="J426" s="20">
        <v>0.0</v>
      </c>
      <c r="K426" s="20">
        <v>1.0</v>
      </c>
      <c r="L426" s="24">
        <v>46388.0</v>
      </c>
      <c r="M426" s="24">
        <v>46752.0</v>
      </c>
      <c r="N426" s="20">
        <v>0.0</v>
      </c>
      <c r="O426" s="20">
        <v>1.0</v>
      </c>
      <c r="P426" s="24">
        <v>46753.0</v>
      </c>
      <c r="Q426" s="24">
        <v>47118.0</v>
      </c>
      <c r="R426" s="20">
        <v>0.0</v>
      </c>
      <c r="S426" s="20">
        <v>1.0</v>
      </c>
      <c r="T426" s="24">
        <v>47119.0</v>
      </c>
      <c r="U426" s="24">
        <v>47483.0</v>
      </c>
      <c r="V426" s="20">
        <v>0.0</v>
      </c>
      <c r="W426" s="20">
        <v>1.0</v>
      </c>
      <c r="X426" s="24">
        <v>47484.0</v>
      </c>
      <c r="Y426" s="24">
        <v>47848.0</v>
      </c>
      <c r="Z426" s="20">
        <v>0.0</v>
      </c>
      <c r="AA426" s="20">
        <v>1.0</v>
      </c>
      <c r="AB426" s="24"/>
      <c r="AC426" s="24"/>
    </row>
    <row r="427" ht="14.25" customHeight="1">
      <c r="A427" s="46" t="s">
        <v>3832</v>
      </c>
      <c r="B427" s="20" t="s">
        <v>3833</v>
      </c>
      <c r="C427" s="20" t="s">
        <v>7041</v>
      </c>
      <c r="D427" s="24">
        <v>45658.0</v>
      </c>
      <c r="E427" s="24">
        <v>46022.0</v>
      </c>
      <c r="F427" s="20">
        <v>0.0</v>
      </c>
      <c r="G427" s="20">
        <v>1.0</v>
      </c>
      <c r="H427" s="24">
        <v>46023.0</v>
      </c>
      <c r="I427" s="24">
        <v>46387.0</v>
      </c>
      <c r="J427" s="20">
        <v>0.0</v>
      </c>
      <c r="K427" s="20">
        <v>1.0</v>
      </c>
      <c r="L427" s="24">
        <v>46388.0</v>
      </c>
      <c r="M427" s="24">
        <v>46752.0</v>
      </c>
      <c r="N427" s="20">
        <v>0.0</v>
      </c>
      <c r="O427" s="20">
        <v>1.0</v>
      </c>
      <c r="P427" s="24">
        <v>46753.0</v>
      </c>
      <c r="Q427" s="24">
        <v>47118.0</v>
      </c>
      <c r="R427" s="20">
        <v>0.0</v>
      </c>
      <c r="S427" s="20">
        <v>1.0</v>
      </c>
      <c r="T427" s="24">
        <v>47119.0</v>
      </c>
      <c r="U427" s="24">
        <v>47483.0</v>
      </c>
      <c r="V427" s="20">
        <v>0.0</v>
      </c>
      <c r="W427" s="20">
        <v>1.0</v>
      </c>
      <c r="X427" s="24">
        <v>47484.0</v>
      </c>
      <c r="Y427" s="24">
        <v>47848.0</v>
      </c>
      <c r="Z427" s="20">
        <v>0.0</v>
      </c>
      <c r="AA427" s="20">
        <v>1.0</v>
      </c>
      <c r="AB427" s="24"/>
      <c r="AC427" s="24"/>
    </row>
    <row r="428" ht="14.25" customHeight="1">
      <c r="A428" s="46" t="s">
        <v>1695</v>
      </c>
      <c r="B428" s="20" t="s">
        <v>1696</v>
      </c>
      <c r="C428" s="20" t="s">
        <v>7041</v>
      </c>
      <c r="D428" s="24">
        <v>45658.0</v>
      </c>
      <c r="E428" s="24">
        <v>46022.0</v>
      </c>
      <c r="F428" s="20">
        <v>0.0</v>
      </c>
      <c r="G428" s="20">
        <v>1.0</v>
      </c>
      <c r="H428" s="24">
        <v>46023.0</v>
      </c>
      <c r="I428" s="24">
        <v>46387.0</v>
      </c>
      <c r="J428" s="20">
        <v>0.0</v>
      </c>
      <c r="K428" s="20">
        <v>1.0</v>
      </c>
      <c r="L428" s="24">
        <v>46388.0</v>
      </c>
      <c r="M428" s="24">
        <v>46752.0</v>
      </c>
      <c r="N428" s="20">
        <v>0.0</v>
      </c>
      <c r="O428" s="20">
        <v>1.0</v>
      </c>
      <c r="P428" s="24">
        <v>46753.0</v>
      </c>
      <c r="Q428" s="24">
        <v>47118.0</v>
      </c>
      <c r="R428" s="20">
        <v>0.0</v>
      </c>
      <c r="S428" s="20">
        <v>1.0</v>
      </c>
      <c r="T428" s="24">
        <v>47119.0</v>
      </c>
      <c r="U428" s="24">
        <v>47483.0</v>
      </c>
      <c r="V428" s="20">
        <v>0.0</v>
      </c>
      <c r="W428" s="20">
        <v>1.0</v>
      </c>
      <c r="X428" s="24">
        <v>47484.0</v>
      </c>
      <c r="Y428" s="24">
        <v>47848.0</v>
      </c>
      <c r="Z428" s="20">
        <v>0.0</v>
      </c>
      <c r="AA428" s="20">
        <v>1.0</v>
      </c>
      <c r="AB428" s="24"/>
      <c r="AC428" s="24"/>
    </row>
    <row r="429" ht="14.25" customHeight="1">
      <c r="A429" s="46" t="s">
        <v>1316</v>
      </c>
      <c r="B429" s="20" t="s">
        <v>1317</v>
      </c>
      <c r="C429" s="20" t="s">
        <v>7041</v>
      </c>
      <c r="D429" s="24">
        <v>45658.0</v>
      </c>
      <c r="E429" s="24">
        <v>46022.0</v>
      </c>
      <c r="F429" s="20">
        <v>0.0</v>
      </c>
      <c r="G429" s="20">
        <v>1.0</v>
      </c>
      <c r="H429" s="24">
        <v>46023.0</v>
      </c>
      <c r="I429" s="24">
        <v>46387.0</v>
      </c>
      <c r="J429" s="20">
        <v>0.0</v>
      </c>
      <c r="K429" s="20">
        <v>1.0</v>
      </c>
      <c r="L429" s="24">
        <v>46388.0</v>
      </c>
      <c r="M429" s="24">
        <v>46752.0</v>
      </c>
      <c r="N429" s="20">
        <v>0.0</v>
      </c>
      <c r="O429" s="20">
        <v>1.0</v>
      </c>
      <c r="P429" s="24">
        <v>46753.0</v>
      </c>
      <c r="Q429" s="24">
        <v>47118.0</v>
      </c>
      <c r="R429" s="20">
        <v>0.0</v>
      </c>
      <c r="S429" s="20">
        <v>1.0</v>
      </c>
      <c r="T429" s="24">
        <v>47119.0</v>
      </c>
      <c r="U429" s="24">
        <v>47483.0</v>
      </c>
      <c r="V429" s="20">
        <v>0.0</v>
      </c>
      <c r="W429" s="20">
        <v>1.0</v>
      </c>
      <c r="X429" s="24">
        <v>47484.0</v>
      </c>
      <c r="Y429" s="24">
        <v>47848.0</v>
      </c>
      <c r="Z429" s="20">
        <v>0.0</v>
      </c>
      <c r="AA429" s="20">
        <v>1.0</v>
      </c>
      <c r="AB429" s="24"/>
      <c r="AC429" s="24"/>
    </row>
    <row r="430" ht="14.25" customHeight="1">
      <c r="A430" s="46" t="s">
        <v>2215</v>
      </c>
      <c r="B430" s="20" t="s">
        <v>2216</v>
      </c>
      <c r="C430" s="20" t="s">
        <v>7041</v>
      </c>
      <c r="D430" s="24">
        <v>45658.0</v>
      </c>
      <c r="E430" s="24">
        <v>46022.0</v>
      </c>
      <c r="F430" s="20">
        <v>0.0</v>
      </c>
      <c r="G430" s="20">
        <v>1.0</v>
      </c>
      <c r="H430" s="24">
        <v>46023.0</v>
      </c>
      <c r="I430" s="24">
        <v>46387.0</v>
      </c>
      <c r="J430" s="20">
        <v>0.0</v>
      </c>
      <c r="K430" s="20">
        <v>1.0</v>
      </c>
      <c r="L430" s="24">
        <v>46388.0</v>
      </c>
      <c r="M430" s="24">
        <v>46752.0</v>
      </c>
      <c r="N430" s="20">
        <v>0.0</v>
      </c>
      <c r="O430" s="20">
        <v>1.0</v>
      </c>
      <c r="P430" s="24">
        <v>46753.0</v>
      </c>
      <c r="Q430" s="24">
        <v>47118.0</v>
      </c>
      <c r="R430" s="20">
        <v>0.0</v>
      </c>
      <c r="S430" s="20">
        <v>1.0</v>
      </c>
      <c r="T430" s="24">
        <v>47119.0</v>
      </c>
      <c r="U430" s="24">
        <v>47483.0</v>
      </c>
      <c r="V430" s="20">
        <v>0.0</v>
      </c>
      <c r="W430" s="20">
        <v>1.0</v>
      </c>
      <c r="X430" s="24">
        <v>47484.0</v>
      </c>
      <c r="Y430" s="24">
        <v>47848.0</v>
      </c>
      <c r="Z430" s="20">
        <v>0.0</v>
      </c>
      <c r="AA430" s="20">
        <v>1.0</v>
      </c>
      <c r="AB430" s="24"/>
      <c r="AC430" s="24"/>
    </row>
    <row r="431" ht="14.25" customHeight="1">
      <c r="A431" s="46" t="s">
        <v>2891</v>
      </c>
      <c r="B431" s="20" t="s">
        <v>2892</v>
      </c>
      <c r="C431" s="20" t="s">
        <v>7041</v>
      </c>
      <c r="D431" s="24">
        <v>45658.0</v>
      </c>
      <c r="E431" s="24">
        <v>46022.0</v>
      </c>
      <c r="F431" s="20">
        <v>0.0</v>
      </c>
      <c r="G431" s="20">
        <v>1.0</v>
      </c>
      <c r="H431" s="24">
        <v>46023.0</v>
      </c>
      <c r="I431" s="24">
        <v>46387.0</v>
      </c>
      <c r="J431" s="20">
        <v>0.0</v>
      </c>
      <c r="K431" s="20">
        <v>1.0</v>
      </c>
      <c r="L431" s="24">
        <v>46388.0</v>
      </c>
      <c r="M431" s="24">
        <v>46752.0</v>
      </c>
      <c r="N431" s="20">
        <v>0.0</v>
      </c>
      <c r="O431" s="20">
        <v>1.0</v>
      </c>
      <c r="P431" s="24">
        <v>46753.0</v>
      </c>
      <c r="Q431" s="24">
        <v>47118.0</v>
      </c>
      <c r="R431" s="20">
        <v>0.0</v>
      </c>
      <c r="S431" s="20">
        <v>1.0</v>
      </c>
      <c r="T431" s="24">
        <v>47119.0</v>
      </c>
      <c r="U431" s="24">
        <v>47483.0</v>
      </c>
      <c r="V431" s="20">
        <v>0.0</v>
      </c>
      <c r="W431" s="20">
        <v>1.0</v>
      </c>
      <c r="X431" s="24">
        <v>47484.0</v>
      </c>
      <c r="Y431" s="24">
        <v>47848.0</v>
      </c>
      <c r="Z431" s="20">
        <v>0.0</v>
      </c>
      <c r="AA431" s="20">
        <v>1.0</v>
      </c>
      <c r="AB431" s="24"/>
      <c r="AC431" s="24"/>
    </row>
    <row r="432" ht="14.25" customHeight="1">
      <c r="A432" s="46" t="s">
        <v>3219</v>
      </c>
      <c r="B432" s="20" t="s">
        <v>3220</v>
      </c>
      <c r="C432" s="20" t="s">
        <v>7041</v>
      </c>
      <c r="D432" s="24">
        <v>45658.0</v>
      </c>
      <c r="E432" s="24">
        <v>46022.0</v>
      </c>
      <c r="F432" s="20">
        <v>0.0</v>
      </c>
      <c r="G432" s="20">
        <v>1.0</v>
      </c>
      <c r="H432" s="24">
        <v>46023.0</v>
      </c>
      <c r="I432" s="24">
        <v>46387.0</v>
      </c>
      <c r="J432" s="20">
        <v>0.0</v>
      </c>
      <c r="K432" s="20">
        <v>1.0</v>
      </c>
      <c r="L432" s="24">
        <v>46388.0</v>
      </c>
      <c r="M432" s="24">
        <v>46752.0</v>
      </c>
      <c r="N432" s="20">
        <v>0.0</v>
      </c>
      <c r="O432" s="20">
        <v>1.0</v>
      </c>
      <c r="P432" s="24">
        <v>46753.0</v>
      </c>
      <c r="Q432" s="24">
        <v>47118.0</v>
      </c>
      <c r="R432" s="20">
        <v>0.0</v>
      </c>
      <c r="S432" s="20">
        <v>1.0</v>
      </c>
      <c r="T432" s="24">
        <v>47119.0</v>
      </c>
      <c r="U432" s="24">
        <v>47483.0</v>
      </c>
      <c r="V432" s="20">
        <v>0.0</v>
      </c>
      <c r="W432" s="20">
        <v>1.0</v>
      </c>
      <c r="X432" s="24">
        <v>47484.0</v>
      </c>
      <c r="Y432" s="24">
        <v>47848.0</v>
      </c>
      <c r="Z432" s="20">
        <v>0.0</v>
      </c>
      <c r="AA432" s="20">
        <v>1.0</v>
      </c>
      <c r="AB432" s="24"/>
      <c r="AC432" s="24"/>
    </row>
    <row r="433" ht="14.25" customHeight="1">
      <c r="A433" s="46" t="s">
        <v>3491</v>
      </c>
      <c r="B433" s="20" t="s">
        <v>3492</v>
      </c>
      <c r="C433" s="20" t="s">
        <v>7041</v>
      </c>
      <c r="D433" s="24">
        <v>45658.0</v>
      </c>
      <c r="E433" s="24">
        <v>46022.0</v>
      </c>
      <c r="F433" s="20">
        <v>0.0</v>
      </c>
      <c r="G433" s="20">
        <v>1.0</v>
      </c>
      <c r="H433" s="24">
        <v>46023.0</v>
      </c>
      <c r="I433" s="24">
        <v>46387.0</v>
      </c>
      <c r="J433" s="20">
        <v>0.0</v>
      </c>
      <c r="K433" s="20">
        <v>1.0</v>
      </c>
      <c r="L433" s="24">
        <v>46388.0</v>
      </c>
      <c r="M433" s="24">
        <v>46752.0</v>
      </c>
      <c r="N433" s="20">
        <v>0.0</v>
      </c>
      <c r="O433" s="20">
        <v>1.0</v>
      </c>
      <c r="P433" s="24">
        <v>46753.0</v>
      </c>
      <c r="Q433" s="24">
        <v>47118.0</v>
      </c>
      <c r="R433" s="20">
        <v>0.0</v>
      </c>
      <c r="S433" s="20">
        <v>1.0</v>
      </c>
      <c r="T433" s="24">
        <v>47119.0</v>
      </c>
      <c r="U433" s="24">
        <v>47483.0</v>
      </c>
      <c r="V433" s="20">
        <v>0.0</v>
      </c>
      <c r="W433" s="20">
        <v>1.0</v>
      </c>
      <c r="X433" s="24">
        <v>47484.0</v>
      </c>
      <c r="Y433" s="24">
        <v>47848.0</v>
      </c>
      <c r="Z433" s="20">
        <v>0.0</v>
      </c>
      <c r="AA433" s="20">
        <v>1.0</v>
      </c>
      <c r="AB433" s="24"/>
      <c r="AC433" s="24"/>
    </row>
    <row r="434" ht="14.25" customHeight="1">
      <c r="A434" s="46" t="s">
        <v>3649</v>
      </c>
      <c r="B434" s="20" t="s">
        <v>3650</v>
      </c>
      <c r="C434" s="20" t="s">
        <v>7041</v>
      </c>
      <c r="D434" s="24">
        <v>45658.0</v>
      </c>
      <c r="E434" s="24">
        <v>46022.0</v>
      </c>
      <c r="F434" s="20">
        <v>0.0</v>
      </c>
      <c r="G434" s="20">
        <v>1.0</v>
      </c>
      <c r="H434" s="24">
        <v>46023.0</v>
      </c>
      <c r="I434" s="24">
        <v>46387.0</v>
      </c>
      <c r="J434" s="20">
        <v>0.0</v>
      </c>
      <c r="K434" s="20">
        <v>1.0</v>
      </c>
      <c r="L434" s="24">
        <v>46388.0</v>
      </c>
      <c r="M434" s="24">
        <v>46752.0</v>
      </c>
      <c r="N434" s="20">
        <v>0.0</v>
      </c>
      <c r="O434" s="20">
        <v>1.0</v>
      </c>
      <c r="P434" s="24">
        <v>46753.0</v>
      </c>
      <c r="Q434" s="24">
        <v>47118.0</v>
      </c>
      <c r="R434" s="20">
        <v>0.0</v>
      </c>
      <c r="S434" s="20">
        <v>1.0</v>
      </c>
      <c r="T434" s="24">
        <v>47119.0</v>
      </c>
      <c r="U434" s="24">
        <v>47483.0</v>
      </c>
      <c r="V434" s="20">
        <v>0.0</v>
      </c>
      <c r="W434" s="20">
        <v>1.0</v>
      </c>
      <c r="X434" s="24">
        <v>47484.0</v>
      </c>
      <c r="Y434" s="24">
        <v>47848.0</v>
      </c>
      <c r="Z434" s="20">
        <v>0.0</v>
      </c>
      <c r="AA434" s="20">
        <v>1.0</v>
      </c>
      <c r="AB434" s="24"/>
      <c r="AC434" s="24"/>
    </row>
    <row r="435" ht="14.25" customHeight="1">
      <c r="A435" s="46" t="s">
        <v>6672</v>
      </c>
      <c r="B435" s="20" t="s">
        <v>6673</v>
      </c>
      <c r="C435" s="20" t="s">
        <v>7041</v>
      </c>
      <c r="D435" s="24">
        <v>45658.0</v>
      </c>
      <c r="E435" s="24">
        <v>46022.0</v>
      </c>
      <c r="F435" s="20">
        <v>0.0</v>
      </c>
      <c r="G435" s="20">
        <v>1.0</v>
      </c>
      <c r="H435" s="24">
        <v>46023.0</v>
      </c>
      <c r="I435" s="24">
        <v>46387.0</v>
      </c>
      <c r="J435" s="20">
        <v>0.0</v>
      </c>
      <c r="K435" s="20">
        <v>1.0</v>
      </c>
      <c r="L435" s="24">
        <v>46388.0</v>
      </c>
      <c r="M435" s="24">
        <v>46752.0</v>
      </c>
      <c r="N435" s="20">
        <v>0.0</v>
      </c>
      <c r="O435" s="20">
        <v>1.0</v>
      </c>
      <c r="P435" s="24">
        <v>46753.0</v>
      </c>
      <c r="Q435" s="24">
        <v>47118.0</v>
      </c>
      <c r="R435" s="20">
        <v>0.0</v>
      </c>
      <c r="S435" s="20">
        <v>1.0</v>
      </c>
      <c r="T435" s="24">
        <v>47119.0</v>
      </c>
      <c r="U435" s="24">
        <v>47483.0</v>
      </c>
      <c r="V435" s="20">
        <v>0.0</v>
      </c>
      <c r="W435" s="20">
        <v>1.0</v>
      </c>
      <c r="X435" s="24">
        <v>47484.0</v>
      </c>
      <c r="Y435" s="24">
        <v>47848.0</v>
      </c>
      <c r="Z435" s="20">
        <v>0.0</v>
      </c>
      <c r="AA435" s="20">
        <v>1.0</v>
      </c>
      <c r="AB435" s="24"/>
      <c r="AC435" s="24"/>
    </row>
    <row r="436" ht="14.25" customHeight="1">
      <c r="A436" s="46" t="s">
        <v>1117</v>
      </c>
      <c r="B436" s="20" t="s">
        <v>1118</v>
      </c>
      <c r="C436" s="20" t="s">
        <v>7041</v>
      </c>
      <c r="D436" s="24">
        <v>45658.0</v>
      </c>
      <c r="E436" s="24">
        <v>46022.0</v>
      </c>
      <c r="F436" s="20">
        <v>0.0</v>
      </c>
      <c r="G436" s="20">
        <v>1.0</v>
      </c>
      <c r="H436" s="24">
        <v>46023.0</v>
      </c>
      <c r="I436" s="24">
        <v>46387.0</v>
      </c>
      <c r="J436" s="20">
        <v>0.0</v>
      </c>
      <c r="K436" s="20">
        <v>1.0</v>
      </c>
      <c r="L436" s="24">
        <v>46388.0</v>
      </c>
      <c r="M436" s="24">
        <v>46752.0</v>
      </c>
      <c r="N436" s="20">
        <v>0.0</v>
      </c>
      <c r="O436" s="20">
        <v>1.0</v>
      </c>
      <c r="P436" s="24">
        <v>46753.0</v>
      </c>
      <c r="Q436" s="24">
        <v>47118.0</v>
      </c>
      <c r="R436" s="20">
        <v>0.0</v>
      </c>
      <c r="S436" s="20">
        <v>1.0</v>
      </c>
      <c r="T436" s="24">
        <v>47119.0</v>
      </c>
      <c r="U436" s="24">
        <v>47483.0</v>
      </c>
      <c r="V436" s="20">
        <v>0.0</v>
      </c>
      <c r="W436" s="20">
        <v>1.0</v>
      </c>
      <c r="X436" s="24">
        <v>47484.0</v>
      </c>
      <c r="Y436" s="24">
        <v>47848.0</v>
      </c>
      <c r="Z436" s="20">
        <v>0.0</v>
      </c>
      <c r="AA436" s="20">
        <v>1.0</v>
      </c>
      <c r="AB436" s="24"/>
      <c r="AC436" s="24"/>
    </row>
    <row r="437" ht="14.25" customHeight="1">
      <c r="A437" s="46" t="s">
        <v>4031</v>
      </c>
      <c r="B437" s="20" t="s">
        <v>4032</v>
      </c>
      <c r="C437" s="20" t="s">
        <v>7041</v>
      </c>
      <c r="D437" s="24">
        <v>45658.0</v>
      </c>
      <c r="E437" s="24">
        <v>46022.0</v>
      </c>
      <c r="F437" s="20">
        <v>0.0</v>
      </c>
      <c r="G437" s="20">
        <v>1.0</v>
      </c>
      <c r="H437" s="24">
        <v>46023.0</v>
      </c>
      <c r="I437" s="24">
        <v>46387.0</v>
      </c>
      <c r="J437" s="20">
        <v>0.0</v>
      </c>
      <c r="K437" s="20">
        <v>1.0</v>
      </c>
      <c r="L437" s="24">
        <v>46388.0</v>
      </c>
      <c r="M437" s="24">
        <v>46752.0</v>
      </c>
      <c r="N437" s="20">
        <v>0.0</v>
      </c>
      <c r="O437" s="20">
        <v>1.0</v>
      </c>
      <c r="P437" s="24">
        <v>46753.0</v>
      </c>
      <c r="Q437" s="24">
        <v>47118.0</v>
      </c>
      <c r="R437" s="20">
        <v>0.0</v>
      </c>
      <c r="S437" s="20">
        <v>1.0</v>
      </c>
      <c r="T437" s="24">
        <v>47119.0</v>
      </c>
      <c r="U437" s="24">
        <v>47483.0</v>
      </c>
      <c r="V437" s="20">
        <v>0.0</v>
      </c>
      <c r="W437" s="20">
        <v>1.0</v>
      </c>
      <c r="X437" s="24">
        <v>47484.0</v>
      </c>
      <c r="Y437" s="24">
        <v>47848.0</v>
      </c>
      <c r="Z437" s="20">
        <v>0.0</v>
      </c>
      <c r="AA437" s="20">
        <v>1.0</v>
      </c>
      <c r="AB437" s="24"/>
      <c r="AC437" s="24"/>
    </row>
    <row r="438" ht="14.25" customHeight="1">
      <c r="A438" s="46" t="s">
        <v>5887</v>
      </c>
      <c r="B438" s="20" t="s">
        <v>5888</v>
      </c>
      <c r="C438" s="20" t="s">
        <v>7041</v>
      </c>
      <c r="D438" s="24">
        <v>45658.0</v>
      </c>
      <c r="E438" s="24">
        <v>46022.0</v>
      </c>
      <c r="F438" s="20">
        <v>0.0</v>
      </c>
      <c r="G438" s="20">
        <v>1.0</v>
      </c>
      <c r="H438" s="24">
        <v>46023.0</v>
      </c>
      <c r="I438" s="24">
        <v>46387.0</v>
      </c>
      <c r="J438" s="20">
        <v>0.0</v>
      </c>
      <c r="K438" s="20">
        <v>1.0</v>
      </c>
      <c r="L438" s="24">
        <v>46388.0</v>
      </c>
      <c r="M438" s="24">
        <v>46752.0</v>
      </c>
      <c r="N438" s="20">
        <v>0.0</v>
      </c>
      <c r="O438" s="20">
        <v>1.0</v>
      </c>
      <c r="P438" s="24">
        <v>46753.0</v>
      </c>
      <c r="Q438" s="24">
        <v>47118.0</v>
      </c>
      <c r="R438" s="20">
        <v>0.0</v>
      </c>
      <c r="S438" s="20">
        <v>1.0</v>
      </c>
      <c r="T438" s="24">
        <v>47119.0</v>
      </c>
      <c r="U438" s="24">
        <v>47483.0</v>
      </c>
      <c r="V438" s="20">
        <v>0.0</v>
      </c>
      <c r="W438" s="20">
        <v>1.0</v>
      </c>
      <c r="X438" s="24">
        <v>47484.0</v>
      </c>
      <c r="Y438" s="24">
        <v>47848.0</v>
      </c>
      <c r="Z438" s="20">
        <v>0.0</v>
      </c>
      <c r="AA438" s="20">
        <v>1.0</v>
      </c>
      <c r="AB438" s="24"/>
      <c r="AC438" s="24"/>
    </row>
    <row r="439" ht="14.25" customHeight="1">
      <c r="A439" s="46" t="s">
        <v>6349</v>
      </c>
      <c r="B439" s="20" t="s">
        <v>6350</v>
      </c>
      <c r="C439" s="20" t="s">
        <v>7041</v>
      </c>
      <c r="D439" s="24">
        <v>45658.0</v>
      </c>
      <c r="E439" s="24">
        <v>46022.0</v>
      </c>
      <c r="F439" s="20">
        <v>1.0</v>
      </c>
      <c r="G439" s="20">
        <v>1.0</v>
      </c>
      <c r="H439" s="24">
        <v>46023.0</v>
      </c>
      <c r="I439" s="24">
        <v>46387.0</v>
      </c>
      <c r="J439" s="20">
        <v>0.0</v>
      </c>
      <c r="K439" s="20">
        <v>1.0</v>
      </c>
      <c r="L439" s="24">
        <v>46388.0</v>
      </c>
      <c r="M439" s="24">
        <v>46752.0</v>
      </c>
      <c r="N439" s="20">
        <v>0.0</v>
      </c>
      <c r="O439" s="20">
        <v>1.0</v>
      </c>
      <c r="P439" s="24">
        <v>46753.0</v>
      </c>
      <c r="Q439" s="24">
        <v>47118.0</v>
      </c>
      <c r="R439" s="20">
        <v>0.0</v>
      </c>
      <c r="S439" s="20">
        <v>1.0</v>
      </c>
      <c r="T439" s="24">
        <v>47119.0</v>
      </c>
      <c r="U439" s="24">
        <v>47483.0</v>
      </c>
      <c r="V439" s="20">
        <v>0.0</v>
      </c>
      <c r="W439" s="20">
        <v>1.0</v>
      </c>
      <c r="X439" s="24">
        <v>47484.0</v>
      </c>
      <c r="Y439" s="24">
        <v>47848.0</v>
      </c>
      <c r="Z439" s="20">
        <v>0.0</v>
      </c>
      <c r="AA439" s="20">
        <v>1.0</v>
      </c>
      <c r="AB439" s="24"/>
      <c r="AC439" s="24"/>
    </row>
    <row r="440" ht="14.25" customHeight="1">
      <c r="A440" s="46" t="s">
        <v>6644</v>
      </c>
      <c r="B440" s="20" t="s">
        <v>6645</v>
      </c>
      <c r="C440" s="20" t="s">
        <v>7041</v>
      </c>
      <c r="D440" s="24">
        <v>45658.0</v>
      </c>
      <c r="E440" s="24">
        <v>46022.0</v>
      </c>
      <c r="F440" s="20">
        <v>0.0</v>
      </c>
      <c r="G440" s="20">
        <v>1.0</v>
      </c>
      <c r="H440" s="24">
        <v>46023.0</v>
      </c>
      <c r="I440" s="24">
        <v>46387.0</v>
      </c>
      <c r="J440" s="20">
        <v>0.0</v>
      </c>
      <c r="K440" s="20">
        <v>1.0</v>
      </c>
      <c r="L440" s="24">
        <v>46388.0</v>
      </c>
      <c r="M440" s="24">
        <v>46752.0</v>
      </c>
      <c r="N440" s="20">
        <v>0.0</v>
      </c>
      <c r="O440" s="20">
        <v>1.0</v>
      </c>
      <c r="P440" s="24">
        <v>46753.0</v>
      </c>
      <c r="Q440" s="24">
        <v>47118.0</v>
      </c>
      <c r="R440" s="20">
        <v>0.0</v>
      </c>
      <c r="S440" s="20">
        <v>1.0</v>
      </c>
      <c r="T440" s="24">
        <v>47119.0</v>
      </c>
      <c r="U440" s="24">
        <v>47483.0</v>
      </c>
      <c r="V440" s="20">
        <v>0.0</v>
      </c>
      <c r="W440" s="20">
        <v>1.0</v>
      </c>
      <c r="X440" s="24">
        <v>47484.0</v>
      </c>
      <c r="Y440" s="24">
        <v>47848.0</v>
      </c>
      <c r="Z440" s="20">
        <v>0.0</v>
      </c>
      <c r="AA440" s="20">
        <v>1.0</v>
      </c>
      <c r="AB440" s="24"/>
      <c r="AC440" s="24"/>
    </row>
    <row r="441" ht="14.25" customHeight="1">
      <c r="A441" s="46" t="s">
        <v>6651</v>
      </c>
      <c r="B441" s="20" t="s">
        <v>6652</v>
      </c>
      <c r="C441" s="20" t="s">
        <v>7041</v>
      </c>
      <c r="D441" s="24">
        <v>45658.0</v>
      </c>
      <c r="E441" s="24">
        <v>46022.0</v>
      </c>
      <c r="F441" s="20">
        <v>0.0</v>
      </c>
      <c r="G441" s="20">
        <v>1.0</v>
      </c>
      <c r="H441" s="24">
        <v>46023.0</v>
      </c>
      <c r="I441" s="24">
        <v>46387.0</v>
      </c>
      <c r="J441" s="20">
        <v>0.0</v>
      </c>
      <c r="K441" s="20">
        <v>1.0</v>
      </c>
      <c r="L441" s="24">
        <v>46388.0</v>
      </c>
      <c r="M441" s="24">
        <v>46752.0</v>
      </c>
      <c r="N441" s="20">
        <v>0.0</v>
      </c>
      <c r="O441" s="20">
        <v>1.0</v>
      </c>
      <c r="P441" s="24">
        <v>46753.0</v>
      </c>
      <c r="Q441" s="24">
        <v>47118.0</v>
      </c>
      <c r="R441" s="20">
        <v>0.0</v>
      </c>
      <c r="S441" s="20">
        <v>1.0</v>
      </c>
      <c r="T441" s="24">
        <v>47119.0</v>
      </c>
      <c r="U441" s="24">
        <v>47483.0</v>
      </c>
      <c r="V441" s="20">
        <v>0.0</v>
      </c>
      <c r="W441" s="20">
        <v>1.0</v>
      </c>
      <c r="X441" s="24">
        <v>47484.0</v>
      </c>
      <c r="Y441" s="24">
        <v>47848.0</v>
      </c>
      <c r="Z441" s="20">
        <v>0.0</v>
      </c>
      <c r="AA441" s="20">
        <v>1.0</v>
      </c>
      <c r="AB441" s="24"/>
      <c r="AC441" s="24"/>
    </row>
    <row r="442" ht="14.25" customHeight="1">
      <c r="A442" s="46" t="s">
        <v>6783</v>
      </c>
      <c r="B442" s="20" t="s">
        <v>6784</v>
      </c>
      <c r="C442" s="20" t="s">
        <v>7041</v>
      </c>
      <c r="D442" s="24">
        <v>45658.0</v>
      </c>
      <c r="E442" s="24">
        <v>46022.0</v>
      </c>
      <c r="F442" s="20">
        <v>0.0</v>
      </c>
      <c r="G442" s="20">
        <v>1.0</v>
      </c>
      <c r="H442" s="24">
        <v>46023.0</v>
      </c>
      <c r="I442" s="24">
        <v>46387.0</v>
      </c>
      <c r="J442" s="20">
        <v>0.0</v>
      </c>
      <c r="K442" s="20">
        <v>1.0</v>
      </c>
      <c r="L442" s="24">
        <v>46388.0</v>
      </c>
      <c r="M442" s="24">
        <v>46752.0</v>
      </c>
      <c r="N442" s="20">
        <v>0.0</v>
      </c>
      <c r="O442" s="20">
        <v>1.0</v>
      </c>
      <c r="P442" s="24">
        <v>46753.0</v>
      </c>
      <c r="Q442" s="24">
        <v>47118.0</v>
      </c>
      <c r="R442" s="20">
        <v>0.0</v>
      </c>
      <c r="S442" s="20">
        <v>1.0</v>
      </c>
      <c r="T442" s="24">
        <v>47119.0</v>
      </c>
      <c r="U442" s="24">
        <v>47483.0</v>
      </c>
      <c r="V442" s="20">
        <v>0.0</v>
      </c>
      <c r="W442" s="20">
        <v>1.0</v>
      </c>
      <c r="X442" s="24">
        <v>47484.0</v>
      </c>
      <c r="Y442" s="24">
        <v>47848.0</v>
      </c>
      <c r="Z442" s="20">
        <v>0.0</v>
      </c>
      <c r="AA442" s="20">
        <v>1.0</v>
      </c>
      <c r="AB442" s="24"/>
      <c r="AC442" s="24"/>
    </row>
    <row r="443" ht="14.25" customHeight="1">
      <c r="A443" s="46" t="s">
        <v>139</v>
      </c>
      <c r="B443" s="20" t="s">
        <v>140</v>
      </c>
      <c r="C443" s="20" t="s">
        <v>7041</v>
      </c>
      <c r="D443" s="24">
        <v>45658.0</v>
      </c>
      <c r="E443" s="24">
        <v>46022.0</v>
      </c>
      <c r="F443" s="20">
        <v>0.0</v>
      </c>
      <c r="G443" s="20">
        <v>1.0</v>
      </c>
      <c r="H443" s="24">
        <v>46023.0</v>
      </c>
      <c r="I443" s="24">
        <v>46387.0</v>
      </c>
      <c r="J443" s="20">
        <v>0.0</v>
      </c>
      <c r="K443" s="20">
        <v>1.0</v>
      </c>
      <c r="L443" s="24">
        <v>46388.0</v>
      </c>
      <c r="M443" s="24">
        <v>46752.0</v>
      </c>
      <c r="N443" s="20">
        <v>0.0</v>
      </c>
      <c r="O443" s="20">
        <v>1.0</v>
      </c>
      <c r="P443" s="24">
        <v>46753.0</v>
      </c>
      <c r="Q443" s="24">
        <v>47118.0</v>
      </c>
      <c r="R443" s="20">
        <v>0.0</v>
      </c>
      <c r="S443" s="20">
        <v>1.0</v>
      </c>
      <c r="T443" s="24">
        <v>47119.0</v>
      </c>
      <c r="U443" s="24">
        <v>47483.0</v>
      </c>
      <c r="V443" s="20">
        <v>0.0</v>
      </c>
      <c r="W443" s="20">
        <v>1.0</v>
      </c>
      <c r="X443" s="24">
        <v>47484.0</v>
      </c>
      <c r="Y443" s="24">
        <v>47848.0</v>
      </c>
      <c r="Z443" s="20">
        <v>0.0</v>
      </c>
      <c r="AA443" s="20">
        <v>1.0</v>
      </c>
      <c r="AB443" s="24"/>
      <c r="AC443" s="24"/>
    </row>
    <row r="444" ht="14.25" customHeight="1">
      <c r="A444" s="46" t="s">
        <v>1113</v>
      </c>
      <c r="B444" s="20" t="s">
        <v>1114</v>
      </c>
      <c r="C444" s="20" t="s">
        <v>7041</v>
      </c>
      <c r="D444" s="24">
        <v>45658.0</v>
      </c>
      <c r="E444" s="24">
        <v>46022.0</v>
      </c>
      <c r="F444" s="20">
        <v>0.0</v>
      </c>
      <c r="G444" s="20">
        <v>1.0</v>
      </c>
      <c r="H444" s="24">
        <v>46023.0</v>
      </c>
      <c r="I444" s="24">
        <v>46387.0</v>
      </c>
      <c r="J444" s="20">
        <v>0.0</v>
      </c>
      <c r="K444" s="20">
        <v>1.0</v>
      </c>
      <c r="L444" s="24">
        <v>46388.0</v>
      </c>
      <c r="M444" s="24">
        <v>46752.0</v>
      </c>
      <c r="N444" s="20">
        <v>0.0</v>
      </c>
      <c r="O444" s="20">
        <v>1.0</v>
      </c>
      <c r="P444" s="24">
        <v>46753.0</v>
      </c>
      <c r="Q444" s="24">
        <v>47118.0</v>
      </c>
      <c r="R444" s="20">
        <v>0.0</v>
      </c>
      <c r="S444" s="20">
        <v>1.0</v>
      </c>
      <c r="T444" s="24">
        <v>47119.0</v>
      </c>
      <c r="U444" s="24">
        <v>47483.0</v>
      </c>
      <c r="V444" s="20">
        <v>0.0</v>
      </c>
      <c r="W444" s="20">
        <v>1.0</v>
      </c>
      <c r="X444" s="24">
        <v>47484.0</v>
      </c>
      <c r="Y444" s="24">
        <v>47848.0</v>
      </c>
      <c r="Z444" s="20">
        <v>0.0</v>
      </c>
      <c r="AA444" s="20">
        <v>1.0</v>
      </c>
      <c r="AB444" s="24"/>
      <c r="AC444" s="24"/>
    </row>
    <row r="445" ht="14.25" customHeight="1">
      <c r="A445" s="46" t="s">
        <v>1308</v>
      </c>
      <c r="B445" s="20" t="s">
        <v>1309</v>
      </c>
      <c r="C445" s="20" t="s">
        <v>7041</v>
      </c>
      <c r="D445" s="24">
        <v>45658.0</v>
      </c>
      <c r="E445" s="24">
        <v>46022.0</v>
      </c>
      <c r="F445" s="20">
        <v>0.0</v>
      </c>
      <c r="G445" s="20">
        <v>1.0</v>
      </c>
      <c r="H445" s="24">
        <v>46023.0</v>
      </c>
      <c r="I445" s="24">
        <v>46387.0</v>
      </c>
      <c r="J445" s="20">
        <v>0.0</v>
      </c>
      <c r="K445" s="20">
        <v>1.0</v>
      </c>
      <c r="L445" s="24">
        <v>46388.0</v>
      </c>
      <c r="M445" s="24">
        <v>46752.0</v>
      </c>
      <c r="N445" s="20">
        <v>0.0</v>
      </c>
      <c r="O445" s="20">
        <v>1.0</v>
      </c>
      <c r="P445" s="24">
        <v>46753.0</v>
      </c>
      <c r="Q445" s="24">
        <v>47118.0</v>
      </c>
      <c r="R445" s="20">
        <v>0.0</v>
      </c>
      <c r="S445" s="20">
        <v>1.0</v>
      </c>
      <c r="T445" s="24">
        <v>47119.0</v>
      </c>
      <c r="U445" s="24">
        <v>47483.0</v>
      </c>
      <c r="V445" s="20">
        <v>0.0</v>
      </c>
      <c r="W445" s="20">
        <v>1.0</v>
      </c>
      <c r="X445" s="24">
        <v>47484.0</v>
      </c>
      <c r="Y445" s="24">
        <v>47848.0</v>
      </c>
      <c r="Z445" s="20">
        <v>0.0</v>
      </c>
      <c r="AA445" s="20">
        <v>1.0</v>
      </c>
      <c r="AB445" s="24"/>
      <c r="AC445" s="24"/>
    </row>
    <row r="446" ht="14.25" customHeight="1">
      <c r="A446" s="46" t="s">
        <v>222</v>
      </c>
      <c r="B446" s="20" t="s">
        <v>223</v>
      </c>
      <c r="C446" s="20" t="s">
        <v>7041</v>
      </c>
      <c r="D446" s="24">
        <v>45658.0</v>
      </c>
      <c r="E446" s="24">
        <v>46022.0</v>
      </c>
      <c r="F446" s="20">
        <v>0.0</v>
      </c>
      <c r="G446" s="20">
        <v>1.0</v>
      </c>
      <c r="H446" s="24">
        <v>46023.0</v>
      </c>
      <c r="I446" s="24">
        <v>46387.0</v>
      </c>
      <c r="J446" s="20">
        <v>0.0</v>
      </c>
      <c r="K446" s="20">
        <v>1.0</v>
      </c>
      <c r="L446" s="24">
        <v>46388.0</v>
      </c>
      <c r="M446" s="24">
        <v>46752.0</v>
      </c>
      <c r="N446" s="20">
        <v>0.0</v>
      </c>
      <c r="O446" s="20">
        <v>1.0</v>
      </c>
      <c r="P446" s="24">
        <v>46753.0</v>
      </c>
      <c r="Q446" s="24">
        <v>47118.0</v>
      </c>
      <c r="R446" s="20">
        <v>0.0</v>
      </c>
      <c r="S446" s="20">
        <v>1.0</v>
      </c>
      <c r="T446" s="24">
        <v>47119.0</v>
      </c>
      <c r="U446" s="24">
        <v>47483.0</v>
      </c>
      <c r="V446" s="20">
        <v>0.0</v>
      </c>
      <c r="W446" s="20">
        <v>1.0</v>
      </c>
      <c r="X446" s="24">
        <v>47484.0</v>
      </c>
      <c r="Y446" s="24">
        <v>47848.0</v>
      </c>
      <c r="Z446" s="20">
        <v>0.0</v>
      </c>
      <c r="AA446" s="20">
        <v>1.0</v>
      </c>
      <c r="AB446" s="24"/>
      <c r="AC446" s="24"/>
    </row>
    <row r="447" ht="14.25" customHeight="1">
      <c r="A447" s="46" t="s">
        <v>4156</v>
      </c>
      <c r="B447" s="20" t="s">
        <v>4157</v>
      </c>
      <c r="C447" s="20" t="s">
        <v>7041</v>
      </c>
      <c r="D447" s="24">
        <v>45658.0</v>
      </c>
      <c r="E447" s="24">
        <v>46022.0</v>
      </c>
      <c r="F447" s="20">
        <v>0.0</v>
      </c>
      <c r="G447" s="20">
        <v>1.0</v>
      </c>
      <c r="H447" s="24">
        <v>46023.0</v>
      </c>
      <c r="I447" s="24">
        <v>46387.0</v>
      </c>
      <c r="J447" s="20">
        <v>0.0</v>
      </c>
      <c r="K447" s="20">
        <v>1.0</v>
      </c>
      <c r="L447" s="24">
        <v>46388.0</v>
      </c>
      <c r="M447" s="24">
        <v>46752.0</v>
      </c>
      <c r="N447" s="20">
        <v>0.0</v>
      </c>
      <c r="O447" s="20">
        <v>1.0</v>
      </c>
      <c r="P447" s="24">
        <v>46753.0</v>
      </c>
      <c r="Q447" s="24">
        <v>47118.0</v>
      </c>
      <c r="R447" s="20">
        <v>0.0</v>
      </c>
      <c r="S447" s="20">
        <v>1.0</v>
      </c>
      <c r="T447" s="24">
        <v>47119.0</v>
      </c>
      <c r="U447" s="24">
        <v>47483.0</v>
      </c>
      <c r="V447" s="20">
        <v>0.0</v>
      </c>
      <c r="W447" s="20">
        <v>1.0</v>
      </c>
      <c r="X447" s="24">
        <v>47484.0</v>
      </c>
      <c r="Y447" s="24">
        <v>47848.0</v>
      </c>
      <c r="Z447" s="20">
        <v>0.0</v>
      </c>
      <c r="AA447" s="20">
        <v>1.0</v>
      </c>
      <c r="AB447" s="24"/>
      <c r="AC447" s="24"/>
    </row>
    <row r="448" ht="14.25" customHeight="1">
      <c r="A448" s="46" t="s">
        <v>3844</v>
      </c>
      <c r="B448" s="20" t="s">
        <v>3845</v>
      </c>
      <c r="C448" s="20" t="s">
        <v>7041</v>
      </c>
      <c r="D448" s="24">
        <v>45658.0</v>
      </c>
      <c r="E448" s="24">
        <v>46022.0</v>
      </c>
      <c r="F448" s="20">
        <v>0.0</v>
      </c>
      <c r="G448" s="20">
        <v>1.0</v>
      </c>
      <c r="H448" s="24">
        <v>46023.0</v>
      </c>
      <c r="I448" s="24">
        <v>46387.0</v>
      </c>
      <c r="J448" s="20">
        <v>0.0</v>
      </c>
      <c r="K448" s="20">
        <v>1.0</v>
      </c>
      <c r="L448" s="24">
        <v>46388.0</v>
      </c>
      <c r="M448" s="24">
        <v>46752.0</v>
      </c>
      <c r="N448" s="20">
        <v>0.0</v>
      </c>
      <c r="O448" s="20">
        <v>1.0</v>
      </c>
      <c r="P448" s="24">
        <v>46753.0</v>
      </c>
      <c r="Q448" s="24">
        <v>47118.0</v>
      </c>
      <c r="R448" s="20">
        <v>0.0</v>
      </c>
      <c r="S448" s="20">
        <v>1.0</v>
      </c>
      <c r="T448" s="24">
        <v>47119.0</v>
      </c>
      <c r="U448" s="24">
        <v>47483.0</v>
      </c>
      <c r="V448" s="20">
        <v>0.0</v>
      </c>
      <c r="W448" s="20">
        <v>1.0</v>
      </c>
      <c r="X448" s="24">
        <v>47484.0</v>
      </c>
      <c r="Y448" s="24">
        <v>47848.0</v>
      </c>
      <c r="Z448" s="20">
        <v>0.0</v>
      </c>
      <c r="AA448" s="20">
        <v>1.0</v>
      </c>
      <c r="AB448" s="24"/>
      <c r="AC448" s="24"/>
    </row>
    <row r="449" ht="14.25" customHeight="1">
      <c r="A449" s="46" t="s">
        <v>6022</v>
      </c>
      <c r="B449" s="20" t="s">
        <v>6023</v>
      </c>
      <c r="C449" s="20" t="s">
        <v>7041</v>
      </c>
      <c r="D449" s="24">
        <v>45658.0</v>
      </c>
      <c r="E449" s="24">
        <v>46022.0</v>
      </c>
      <c r="F449" s="20">
        <v>1.0</v>
      </c>
      <c r="G449" s="20">
        <v>1.0</v>
      </c>
      <c r="H449" s="24">
        <v>46023.0</v>
      </c>
      <c r="I449" s="24">
        <v>46387.0</v>
      </c>
      <c r="J449" s="20">
        <v>0.0</v>
      </c>
      <c r="K449" s="20">
        <v>1.0</v>
      </c>
      <c r="L449" s="24">
        <v>46388.0</v>
      </c>
      <c r="M449" s="24">
        <v>46752.0</v>
      </c>
      <c r="N449" s="20">
        <v>0.0</v>
      </c>
      <c r="O449" s="20">
        <v>1.0</v>
      </c>
      <c r="P449" s="24">
        <v>46753.0</v>
      </c>
      <c r="Q449" s="24">
        <v>47118.0</v>
      </c>
      <c r="R449" s="20">
        <v>0.0</v>
      </c>
      <c r="S449" s="20">
        <v>1.0</v>
      </c>
      <c r="T449" s="24">
        <v>47119.0</v>
      </c>
      <c r="U449" s="24">
        <v>47483.0</v>
      </c>
      <c r="V449" s="20">
        <v>0.0</v>
      </c>
      <c r="W449" s="20">
        <v>1.0</v>
      </c>
      <c r="X449" s="24">
        <v>47484.0</v>
      </c>
      <c r="Y449" s="24">
        <v>47848.0</v>
      </c>
      <c r="Z449" s="20">
        <v>0.0</v>
      </c>
      <c r="AA449" s="20">
        <v>1.0</v>
      </c>
      <c r="AB449" s="24"/>
      <c r="AC449" s="24"/>
    </row>
    <row r="450" ht="14.25" customHeight="1">
      <c r="A450" s="46" t="s">
        <v>6960</v>
      </c>
      <c r="B450" s="20" t="s">
        <v>6961</v>
      </c>
      <c r="C450" s="20" t="s">
        <v>7041</v>
      </c>
      <c r="D450" s="24">
        <v>45658.0</v>
      </c>
      <c r="E450" s="24">
        <v>46022.0</v>
      </c>
      <c r="F450" s="20">
        <v>1.0</v>
      </c>
      <c r="G450" s="20">
        <v>1.0</v>
      </c>
      <c r="H450" s="24">
        <v>46023.0</v>
      </c>
      <c r="I450" s="24">
        <v>46387.0</v>
      </c>
      <c r="J450" s="20">
        <v>0.0</v>
      </c>
      <c r="K450" s="20">
        <v>1.0</v>
      </c>
      <c r="L450" s="24">
        <v>46388.0</v>
      </c>
      <c r="M450" s="24">
        <v>46752.0</v>
      </c>
      <c r="N450" s="20">
        <v>0.0</v>
      </c>
      <c r="O450" s="20">
        <v>1.0</v>
      </c>
      <c r="P450" s="24">
        <v>46753.0</v>
      </c>
      <c r="Q450" s="24">
        <v>47118.0</v>
      </c>
      <c r="R450" s="20">
        <v>0.0</v>
      </c>
      <c r="S450" s="20">
        <v>1.0</v>
      </c>
      <c r="T450" s="24">
        <v>47119.0</v>
      </c>
      <c r="U450" s="24">
        <v>47483.0</v>
      </c>
      <c r="V450" s="20">
        <v>0.0</v>
      </c>
      <c r="W450" s="20">
        <v>1.0</v>
      </c>
      <c r="X450" s="24">
        <v>47484.0</v>
      </c>
      <c r="Y450" s="24">
        <v>47848.0</v>
      </c>
      <c r="Z450" s="20">
        <v>0.0</v>
      </c>
      <c r="AA450" s="20">
        <v>1.0</v>
      </c>
      <c r="AB450" s="24"/>
      <c r="AC450" s="24"/>
    </row>
    <row r="451" ht="14.25" customHeight="1">
      <c r="A451" s="46" t="s">
        <v>955</v>
      </c>
      <c r="B451" s="20" t="s">
        <v>956</v>
      </c>
      <c r="C451" s="20" t="s">
        <v>7041</v>
      </c>
      <c r="D451" s="24">
        <v>45658.0</v>
      </c>
      <c r="E451" s="24">
        <v>46022.0</v>
      </c>
      <c r="F451" s="20">
        <v>0.0</v>
      </c>
      <c r="G451" s="20">
        <v>1.0</v>
      </c>
      <c r="H451" s="24">
        <v>46023.0</v>
      </c>
      <c r="I451" s="24">
        <v>46387.0</v>
      </c>
      <c r="J451" s="20">
        <v>0.0</v>
      </c>
      <c r="K451" s="20">
        <v>1.0</v>
      </c>
      <c r="L451" s="24">
        <v>46388.0</v>
      </c>
      <c r="M451" s="24">
        <v>46752.0</v>
      </c>
      <c r="N451" s="20">
        <v>0.0</v>
      </c>
      <c r="O451" s="20">
        <v>1.0</v>
      </c>
      <c r="P451" s="24">
        <v>46753.0</v>
      </c>
      <c r="Q451" s="24">
        <v>47118.0</v>
      </c>
      <c r="R451" s="20">
        <v>0.0</v>
      </c>
      <c r="S451" s="20">
        <v>1.0</v>
      </c>
      <c r="T451" s="24">
        <v>47119.0</v>
      </c>
      <c r="U451" s="24">
        <v>47483.0</v>
      </c>
      <c r="V451" s="20">
        <v>0.0</v>
      </c>
      <c r="W451" s="20">
        <v>1.0</v>
      </c>
      <c r="X451" s="24">
        <v>47484.0</v>
      </c>
      <c r="Y451" s="24">
        <v>47848.0</v>
      </c>
      <c r="Z451" s="20">
        <v>0.0</v>
      </c>
      <c r="AA451" s="20">
        <v>1.0</v>
      </c>
      <c r="AB451" s="24"/>
      <c r="AC451" s="24"/>
    </row>
    <row r="452" ht="14.25" customHeight="1">
      <c r="A452" s="46" t="s">
        <v>5488</v>
      </c>
      <c r="B452" s="20" t="s">
        <v>5489</v>
      </c>
      <c r="C452" s="20" t="s">
        <v>7041</v>
      </c>
      <c r="D452" s="24">
        <v>45658.0</v>
      </c>
      <c r="E452" s="24">
        <v>46022.0</v>
      </c>
      <c r="F452" s="20">
        <v>0.0</v>
      </c>
      <c r="G452" s="20">
        <v>1.0</v>
      </c>
      <c r="H452" s="24">
        <v>46023.0</v>
      </c>
      <c r="I452" s="24">
        <v>46387.0</v>
      </c>
      <c r="J452" s="20">
        <v>0.0</v>
      </c>
      <c r="K452" s="20">
        <v>1.0</v>
      </c>
      <c r="L452" s="24">
        <v>46388.0</v>
      </c>
      <c r="M452" s="24">
        <v>46752.0</v>
      </c>
      <c r="N452" s="20">
        <v>0.0</v>
      </c>
      <c r="O452" s="20">
        <v>1.0</v>
      </c>
      <c r="P452" s="24">
        <v>46753.0</v>
      </c>
      <c r="Q452" s="24">
        <v>47118.0</v>
      </c>
      <c r="R452" s="20">
        <v>0.0</v>
      </c>
      <c r="S452" s="20">
        <v>1.0</v>
      </c>
      <c r="T452" s="24">
        <v>47119.0</v>
      </c>
      <c r="U452" s="24">
        <v>47483.0</v>
      </c>
      <c r="V452" s="20">
        <v>0.0</v>
      </c>
      <c r="W452" s="20">
        <v>1.0</v>
      </c>
      <c r="X452" s="24">
        <v>47484.0</v>
      </c>
      <c r="Y452" s="24">
        <v>47848.0</v>
      </c>
      <c r="Z452" s="20">
        <v>0.0</v>
      </c>
      <c r="AA452" s="20">
        <v>1.0</v>
      </c>
      <c r="AB452" s="24"/>
      <c r="AC452" s="24"/>
    </row>
    <row r="453" ht="14.25" customHeight="1">
      <c r="A453" s="46" t="s">
        <v>3816</v>
      </c>
      <c r="B453" s="20" t="s">
        <v>3817</v>
      </c>
      <c r="C453" s="20" t="s">
        <v>7041</v>
      </c>
      <c r="D453" s="24">
        <v>45658.0</v>
      </c>
      <c r="E453" s="24">
        <v>46022.0</v>
      </c>
      <c r="F453" s="20">
        <v>0.0</v>
      </c>
      <c r="G453" s="20">
        <v>1.0</v>
      </c>
      <c r="H453" s="24">
        <v>46023.0</v>
      </c>
      <c r="I453" s="24">
        <v>46387.0</v>
      </c>
      <c r="J453" s="20">
        <v>0.0</v>
      </c>
      <c r="K453" s="20">
        <v>1.0</v>
      </c>
      <c r="L453" s="24">
        <v>46388.0</v>
      </c>
      <c r="M453" s="24">
        <v>46752.0</v>
      </c>
      <c r="N453" s="20">
        <v>0.0</v>
      </c>
      <c r="O453" s="20">
        <v>1.0</v>
      </c>
      <c r="P453" s="24">
        <v>46753.0</v>
      </c>
      <c r="Q453" s="24">
        <v>47118.0</v>
      </c>
      <c r="R453" s="20">
        <v>0.0</v>
      </c>
      <c r="S453" s="20">
        <v>1.0</v>
      </c>
      <c r="T453" s="24">
        <v>47119.0</v>
      </c>
      <c r="U453" s="24">
        <v>47483.0</v>
      </c>
      <c r="V453" s="20">
        <v>0.0</v>
      </c>
      <c r="W453" s="20">
        <v>1.0</v>
      </c>
      <c r="X453" s="24">
        <v>47484.0</v>
      </c>
      <c r="Y453" s="24">
        <v>47848.0</v>
      </c>
      <c r="Z453" s="20">
        <v>0.0</v>
      </c>
      <c r="AA453" s="20">
        <v>1.0</v>
      </c>
      <c r="AB453" s="24"/>
      <c r="AC453" s="24"/>
    </row>
    <row r="454" ht="14.25" customHeight="1">
      <c r="A454" s="46" t="s">
        <v>1595</v>
      </c>
      <c r="B454" s="20" t="s">
        <v>1596</v>
      </c>
      <c r="C454" s="20" t="s">
        <v>7041</v>
      </c>
      <c r="D454" s="24">
        <v>45658.0</v>
      </c>
      <c r="E454" s="24">
        <v>46022.0</v>
      </c>
      <c r="F454" s="20">
        <v>0.0</v>
      </c>
      <c r="G454" s="20">
        <v>1.0</v>
      </c>
      <c r="H454" s="24">
        <v>46023.0</v>
      </c>
      <c r="I454" s="24">
        <v>46387.0</v>
      </c>
      <c r="J454" s="20">
        <v>0.0</v>
      </c>
      <c r="K454" s="20">
        <v>1.0</v>
      </c>
      <c r="L454" s="24">
        <v>46388.0</v>
      </c>
      <c r="M454" s="24">
        <v>46752.0</v>
      </c>
      <c r="N454" s="20">
        <v>0.0</v>
      </c>
      <c r="O454" s="20">
        <v>1.0</v>
      </c>
      <c r="P454" s="24">
        <v>46753.0</v>
      </c>
      <c r="Q454" s="24">
        <v>47118.0</v>
      </c>
      <c r="R454" s="20">
        <v>0.0</v>
      </c>
      <c r="S454" s="20">
        <v>1.0</v>
      </c>
      <c r="T454" s="24">
        <v>47119.0</v>
      </c>
      <c r="U454" s="24">
        <v>47483.0</v>
      </c>
      <c r="V454" s="20">
        <v>0.0</v>
      </c>
      <c r="W454" s="20">
        <v>1.0</v>
      </c>
      <c r="X454" s="24">
        <v>47484.0</v>
      </c>
      <c r="Y454" s="24">
        <v>47848.0</v>
      </c>
      <c r="Z454" s="20">
        <v>0.0</v>
      </c>
      <c r="AA454" s="20">
        <v>1.0</v>
      </c>
      <c r="AB454" s="24"/>
      <c r="AC454" s="24"/>
    </row>
    <row r="455" ht="14.25" customHeight="1">
      <c r="A455" s="46" t="s">
        <v>2611</v>
      </c>
      <c r="B455" s="20" t="s">
        <v>2612</v>
      </c>
      <c r="C455" s="20" t="s">
        <v>7044</v>
      </c>
      <c r="D455" s="24">
        <v>45658.0</v>
      </c>
      <c r="E455" s="24">
        <v>46022.0</v>
      </c>
      <c r="F455" s="20">
        <v>1.0</v>
      </c>
      <c r="G455" s="20">
        <v>1.0</v>
      </c>
      <c r="H455" s="24">
        <v>46023.0</v>
      </c>
      <c r="I455" s="24">
        <v>46387.0</v>
      </c>
      <c r="J455" s="20">
        <v>0.0</v>
      </c>
      <c r="K455" s="20">
        <v>1.0</v>
      </c>
      <c r="L455" s="24">
        <v>46388.0</v>
      </c>
      <c r="M455" s="24">
        <v>46752.0</v>
      </c>
      <c r="N455" s="20">
        <v>0.0</v>
      </c>
      <c r="O455" s="20">
        <v>1.0</v>
      </c>
      <c r="P455" s="24">
        <v>46753.0</v>
      </c>
      <c r="Q455" s="24">
        <v>47118.0</v>
      </c>
      <c r="R455" s="20">
        <v>0.0</v>
      </c>
      <c r="S455" s="20">
        <v>1.0</v>
      </c>
      <c r="T455" s="24">
        <v>47119.0</v>
      </c>
      <c r="U455" s="24">
        <v>47483.0</v>
      </c>
      <c r="V455" s="20">
        <v>0.0</v>
      </c>
      <c r="W455" s="20">
        <v>1.0</v>
      </c>
      <c r="X455" s="24">
        <v>47484.0</v>
      </c>
      <c r="Y455" s="24">
        <v>47848.0</v>
      </c>
      <c r="Z455" s="20">
        <v>0.0</v>
      </c>
      <c r="AA455" s="20">
        <v>1.0</v>
      </c>
      <c r="AB455" s="24"/>
      <c r="AC455" s="24"/>
    </row>
    <row r="456" ht="14.25" customHeight="1">
      <c r="A456" s="46" t="s">
        <v>854</v>
      </c>
      <c r="B456" s="20" t="s">
        <v>855</v>
      </c>
      <c r="C456" s="20" t="s">
        <v>7041</v>
      </c>
      <c r="D456" s="24">
        <v>45658.0</v>
      </c>
      <c r="E456" s="24">
        <v>46022.0</v>
      </c>
      <c r="F456" s="20">
        <v>1.0</v>
      </c>
      <c r="G456" s="20">
        <v>1.0</v>
      </c>
      <c r="H456" s="24">
        <v>46023.0</v>
      </c>
      <c r="I456" s="24">
        <v>46387.0</v>
      </c>
      <c r="J456" s="20">
        <v>0.0</v>
      </c>
      <c r="K456" s="20">
        <v>1.0</v>
      </c>
      <c r="L456" s="24">
        <v>46388.0</v>
      </c>
      <c r="M456" s="24">
        <v>46752.0</v>
      </c>
      <c r="N456" s="20">
        <v>0.0</v>
      </c>
      <c r="O456" s="20">
        <v>1.0</v>
      </c>
      <c r="P456" s="24">
        <v>46753.0</v>
      </c>
      <c r="Q456" s="24">
        <v>47118.0</v>
      </c>
      <c r="R456" s="20">
        <v>0.0</v>
      </c>
      <c r="S456" s="20">
        <v>1.0</v>
      </c>
      <c r="T456" s="24">
        <v>47119.0</v>
      </c>
      <c r="U456" s="24">
        <v>47483.0</v>
      </c>
      <c r="V456" s="20">
        <v>0.0</v>
      </c>
      <c r="W456" s="20">
        <v>1.0</v>
      </c>
      <c r="X456" s="24">
        <v>47484.0</v>
      </c>
      <c r="Y456" s="24">
        <v>47848.0</v>
      </c>
      <c r="Z456" s="20">
        <v>0.0</v>
      </c>
      <c r="AA456" s="20">
        <v>1.0</v>
      </c>
      <c r="AB456" s="24"/>
      <c r="AC456" s="24"/>
    </row>
    <row r="457" ht="14.25" customHeight="1">
      <c r="A457" s="46" t="s">
        <v>5469</v>
      </c>
      <c r="B457" s="20" t="s">
        <v>5470</v>
      </c>
      <c r="C457" s="20" t="s">
        <v>7041</v>
      </c>
      <c r="D457" s="24">
        <v>45658.0</v>
      </c>
      <c r="E457" s="24">
        <v>46022.0</v>
      </c>
      <c r="F457" s="20">
        <v>0.0</v>
      </c>
      <c r="G457" s="20">
        <v>1.0</v>
      </c>
      <c r="H457" s="24">
        <v>46023.0</v>
      </c>
      <c r="I457" s="24">
        <v>46387.0</v>
      </c>
      <c r="J457" s="20">
        <v>0.0</v>
      </c>
      <c r="K457" s="20">
        <v>1.0</v>
      </c>
      <c r="L457" s="24">
        <v>46388.0</v>
      </c>
      <c r="M457" s="24">
        <v>46752.0</v>
      </c>
      <c r="N457" s="20">
        <v>0.0</v>
      </c>
      <c r="O457" s="20">
        <v>1.0</v>
      </c>
      <c r="P457" s="24">
        <v>46753.0</v>
      </c>
      <c r="Q457" s="24">
        <v>47118.0</v>
      </c>
      <c r="R457" s="20">
        <v>0.0</v>
      </c>
      <c r="S457" s="20">
        <v>1.0</v>
      </c>
      <c r="T457" s="24">
        <v>47119.0</v>
      </c>
      <c r="U457" s="24">
        <v>47483.0</v>
      </c>
      <c r="V457" s="20">
        <v>0.0</v>
      </c>
      <c r="W457" s="20">
        <v>1.0</v>
      </c>
      <c r="X457" s="24">
        <v>47484.0</v>
      </c>
      <c r="Y457" s="24">
        <v>47848.0</v>
      </c>
      <c r="Z457" s="20">
        <v>0.0</v>
      </c>
      <c r="AA457" s="20">
        <v>1.0</v>
      </c>
      <c r="AB457" s="24"/>
      <c r="AC457" s="24"/>
    </row>
    <row r="458" ht="14.25" customHeight="1">
      <c r="A458" s="46" t="s">
        <v>5562</v>
      </c>
      <c r="B458" s="20" t="s">
        <v>5563</v>
      </c>
      <c r="C458" s="20" t="s">
        <v>7041</v>
      </c>
      <c r="D458" s="24">
        <v>45658.0</v>
      </c>
      <c r="E458" s="24">
        <v>46022.0</v>
      </c>
      <c r="F458" s="20">
        <v>0.0</v>
      </c>
      <c r="G458" s="20">
        <v>1.0</v>
      </c>
      <c r="H458" s="24">
        <v>46023.0</v>
      </c>
      <c r="I458" s="24">
        <v>46387.0</v>
      </c>
      <c r="J458" s="20">
        <v>0.0</v>
      </c>
      <c r="K458" s="20">
        <v>1.0</v>
      </c>
      <c r="L458" s="24">
        <v>46388.0</v>
      </c>
      <c r="M458" s="24">
        <v>46752.0</v>
      </c>
      <c r="N458" s="20">
        <v>0.0</v>
      </c>
      <c r="O458" s="20">
        <v>1.0</v>
      </c>
      <c r="P458" s="24">
        <v>46753.0</v>
      </c>
      <c r="Q458" s="24">
        <v>47118.0</v>
      </c>
      <c r="R458" s="20">
        <v>0.0</v>
      </c>
      <c r="S458" s="20">
        <v>1.0</v>
      </c>
      <c r="T458" s="24">
        <v>47119.0</v>
      </c>
      <c r="U458" s="24">
        <v>47483.0</v>
      </c>
      <c r="V458" s="20">
        <v>0.0</v>
      </c>
      <c r="W458" s="20">
        <v>1.0</v>
      </c>
      <c r="X458" s="24">
        <v>47484.0</v>
      </c>
      <c r="Y458" s="24">
        <v>47848.0</v>
      </c>
      <c r="Z458" s="20">
        <v>0.0</v>
      </c>
      <c r="AA458" s="20">
        <v>1.0</v>
      </c>
      <c r="AB458" s="24"/>
      <c r="AC458" s="24"/>
    </row>
    <row r="459" ht="14.25" customHeight="1">
      <c r="A459" s="46" t="s">
        <v>6137</v>
      </c>
      <c r="B459" s="20" t="s">
        <v>6138</v>
      </c>
      <c r="C459" s="20" t="s">
        <v>7041</v>
      </c>
      <c r="D459" s="24">
        <v>45658.0</v>
      </c>
      <c r="E459" s="24">
        <v>46022.0</v>
      </c>
      <c r="F459" s="20">
        <v>0.0</v>
      </c>
      <c r="G459" s="20">
        <v>1.0</v>
      </c>
      <c r="H459" s="24">
        <v>46023.0</v>
      </c>
      <c r="I459" s="24">
        <v>46387.0</v>
      </c>
      <c r="J459" s="20">
        <v>0.0</v>
      </c>
      <c r="K459" s="20">
        <v>1.0</v>
      </c>
      <c r="L459" s="24">
        <v>46388.0</v>
      </c>
      <c r="M459" s="24">
        <v>46752.0</v>
      </c>
      <c r="N459" s="20">
        <v>0.0</v>
      </c>
      <c r="O459" s="20">
        <v>1.0</v>
      </c>
      <c r="P459" s="24">
        <v>46753.0</v>
      </c>
      <c r="Q459" s="24">
        <v>47118.0</v>
      </c>
      <c r="R459" s="20">
        <v>0.0</v>
      </c>
      <c r="S459" s="20">
        <v>1.0</v>
      </c>
      <c r="T459" s="24">
        <v>47119.0</v>
      </c>
      <c r="U459" s="24">
        <v>47483.0</v>
      </c>
      <c r="V459" s="20">
        <v>0.0</v>
      </c>
      <c r="W459" s="20">
        <v>1.0</v>
      </c>
      <c r="X459" s="24">
        <v>47484.0</v>
      </c>
      <c r="Y459" s="24">
        <v>47848.0</v>
      </c>
      <c r="Z459" s="20">
        <v>0.0</v>
      </c>
      <c r="AA459" s="20">
        <v>1.0</v>
      </c>
      <c r="AB459" s="24"/>
      <c r="AC459" s="24"/>
    </row>
    <row r="460" ht="14.25" customHeight="1">
      <c r="A460" s="46" t="s">
        <v>352</v>
      </c>
      <c r="B460" s="20" t="s">
        <v>353</v>
      </c>
      <c r="C460" s="20" t="s">
        <v>7041</v>
      </c>
      <c r="D460" s="24">
        <v>45658.0</v>
      </c>
      <c r="E460" s="24">
        <v>46022.0</v>
      </c>
      <c r="F460" s="20">
        <v>0.0</v>
      </c>
      <c r="G460" s="20">
        <v>1.0</v>
      </c>
      <c r="H460" s="24">
        <v>46023.0</v>
      </c>
      <c r="I460" s="24">
        <v>46387.0</v>
      </c>
      <c r="J460" s="20">
        <v>0.0</v>
      </c>
      <c r="K460" s="20">
        <v>1.0</v>
      </c>
      <c r="L460" s="24">
        <v>46388.0</v>
      </c>
      <c r="M460" s="24">
        <v>46752.0</v>
      </c>
      <c r="N460" s="20">
        <v>0.0</v>
      </c>
      <c r="O460" s="20">
        <v>1.0</v>
      </c>
      <c r="P460" s="24">
        <v>46753.0</v>
      </c>
      <c r="Q460" s="24">
        <v>47118.0</v>
      </c>
      <c r="R460" s="20">
        <v>0.0</v>
      </c>
      <c r="S460" s="20">
        <v>1.0</v>
      </c>
      <c r="T460" s="24">
        <v>47119.0</v>
      </c>
      <c r="U460" s="24">
        <v>47483.0</v>
      </c>
      <c r="V460" s="20">
        <v>0.0</v>
      </c>
      <c r="W460" s="20">
        <v>1.0</v>
      </c>
      <c r="X460" s="24">
        <v>47484.0</v>
      </c>
      <c r="Y460" s="24">
        <v>47848.0</v>
      </c>
      <c r="Z460" s="20">
        <v>0.0</v>
      </c>
      <c r="AA460" s="20">
        <v>1.0</v>
      </c>
      <c r="AB460" s="24"/>
      <c r="AC460" s="24"/>
    </row>
    <row r="461" ht="14.25" customHeight="1">
      <c r="A461" s="46" t="s">
        <v>5120</v>
      </c>
      <c r="B461" s="20" t="s">
        <v>5121</v>
      </c>
      <c r="C461" s="20" t="s">
        <v>7041</v>
      </c>
      <c r="D461" s="24">
        <v>45658.0</v>
      </c>
      <c r="E461" s="24">
        <v>46022.0</v>
      </c>
      <c r="F461" s="20">
        <v>0.0</v>
      </c>
      <c r="G461" s="20">
        <v>1.0</v>
      </c>
      <c r="H461" s="24">
        <v>46023.0</v>
      </c>
      <c r="I461" s="24">
        <v>46387.0</v>
      </c>
      <c r="J461" s="20">
        <v>0.0</v>
      </c>
      <c r="K461" s="20">
        <v>1.0</v>
      </c>
      <c r="L461" s="24">
        <v>46388.0</v>
      </c>
      <c r="M461" s="24">
        <v>46752.0</v>
      </c>
      <c r="N461" s="20">
        <v>0.0</v>
      </c>
      <c r="O461" s="20">
        <v>1.0</v>
      </c>
      <c r="P461" s="24">
        <v>46753.0</v>
      </c>
      <c r="Q461" s="24">
        <v>47118.0</v>
      </c>
      <c r="R461" s="20">
        <v>0.0</v>
      </c>
      <c r="S461" s="20">
        <v>1.0</v>
      </c>
      <c r="T461" s="24">
        <v>47119.0</v>
      </c>
      <c r="U461" s="24">
        <v>47483.0</v>
      </c>
      <c r="V461" s="20">
        <v>0.0</v>
      </c>
      <c r="W461" s="20">
        <v>1.0</v>
      </c>
      <c r="X461" s="24">
        <v>47484.0</v>
      </c>
      <c r="Y461" s="24">
        <v>47848.0</v>
      </c>
      <c r="Z461" s="20">
        <v>0.0</v>
      </c>
      <c r="AA461" s="20">
        <v>1.0</v>
      </c>
      <c r="AB461" s="24"/>
      <c r="AC461" s="24"/>
    </row>
    <row r="462" ht="14.25" customHeight="1">
      <c r="A462" s="46" t="s">
        <v>3873</v>
      </c>
      <c r="B462" s="20" t="s">
        <v>3874</v>
      </c>
      <c r="C462" s="20" t="s">
        <v>7041</v>
      </c>
      <c r="D462" s="24">
        <v>45658.0</v>
      </c>
      <c r="E462" s="24">
        <v>46022.0</v>
      </c>
      <c r="F462" s="20">
        <v>0.0</v>
      </c>
      <c r="G462" s="20">
        <v>1.0</v>
      </c>
      <c r="H462" s="24">
        <v>46023.0</v>
      </c>
      <c r="I462" s="24">
        <v>46387.0</v>
      </c>
      <c r="J462" s="20">
        <v>0.0</v>
      </c>
      <c r="K462" s="20">
        <v>1.0</v>
      </c>
      <c r="L462" s="24">
        <v>46388.0</v>
      </c>
      <c r="M462" s="24">
        <v>46752.0</v>
      </c>
      <c r="N462" s="20">
        <v>0.0</v>
      </c>
      <c r="O462" s="20">
        <v>1.0</v>
      </c>
      <c r="P462" s="24">
        <v>46753.0</v>
      </c>
      <c r="Q462" s="24">
        <v>47118.0</v>
      </c>
      <c r="R462" s="20">
        <v>0.0</v>
      </c>
      <c r="S462" s="20">
        <v>1.0</v>
      </c>
      <c r="T462" s="24">
        <v>47119.0</v>
      </c>
      <c r="U462" s="24">
        <v>47483.0</v>
      </c>
      <c r="V462" s="20">
        <v>0.0</v>
      </c>
      <c r="W462" s="20">
        <v>1.0</v>
      </c>
      <c r="X462" s="24">
        <v>47484.0</v>
      </c>
      <c r="Y462" s="24">
        <v>47848.0</v>
      </c>
      <c r="Z462" s="20">
        <v>0.0</v>
      </c>
      <c r="AA462" s="20">
        <v>1.0</v>
      </c>
      <c r="AB462" s="24"/>
      <c r="AC462" s="24"/>
    </row>
    <row r="463" ht="14.25" customHeight="1">
      <c r="A463" s="46" t="s">
        <v>2383</v>
      </c>
      <c r="B463" s="20" t="s">
        <v>2384</v>
      </c>
      <c r="C463" s="20" t="s">
        <v>7041</v>
      </c>
      <c r="D463" s="24">
        <v>45658.0</v>
      </c>
      <c r="E463" s="24">
        <v>46022.0</v>
      </c>
      <c r="F463" s="20">
        <v>0.0</v>
      </c>
      <c r="G463" s="20">
        <v>1.0</v>
      </c>
      <c r="H463" s="24">
        <v>46023.0</v>
      </c>
      <c r="I463" s="24">
        <v>46387.0</v>
      </c>
      <c r="J463" s="20">
        <v>0.0</v>
      </c>
      <c r="K463" s="20">
        <v>1.0</v>
      </c>
      <c r="L463" s="24">
        <v>46388.0</v>
      </c>
      <c r="M463" s="24">
        <v>46752.0</v>
      </c>
      <c r="N463" s="20">
        <v>0.0</v>
      </c>
      <c r="O463" s="20">
        <v>1.0</v>
      </c>
      <c r="P463" s="24">
        <v>46753.0</v>
      </c>
      <c r="Q463" s="24">
        <v>47118.0</v>
      </c>
      <c r="R463" s="20">
        <v>0.0</v>
      </c>
      <c r="S463" s="20">
        <v>1.0</v>
      </c>
      <c r="T463" s="24">
        <v>47119.0</v>
      </c>
      <c r="U463" s="24">
        <v>47483.0</v>
      </c>
      <c r="V463" s="20">
        <v>0.0</v>
      </c>
      <c r="W463" s="20">
        <v>1.0</v>
      </c>
      <c r="X463" s="24">
        <v>47484.0</v>
      </c>
      <c r="Y463" s="24">
        <v>47848.0</v>
      </c>
      <c r="Z463" s="20">
        <v>0.0</v>
      </c>
      <c r="AA463" s="20">
        <v>1.0</v>
      </c>
      <c r="AB463" s="24"/>
      <c r="AC463" s="24"/>
    </row>
    <row r="464" ht="14.25" customHeight="1">
      <c r="A464" s="46" t="s">
        <v>5170</v>
      </c>
      <c r="B464" s="20" t="s">
        <v>5171</v>
      </c>
      <c r="C464" s="20" t="s">
        <v>7041</v>
      </c>
      <c r="D464" s="24">
        <v>45658.0</v>
      </c>
      <c r="E464" s="24">
        <v>46022.0</v>
      </c>
      <c r="F464" s="20">
        <v>0.0</v>
      </c>
      <c r="G464" s="20">
        <v>1.0</v>
      </c>
      <c r="H464" s="24">
        <v>46023.0</v>
      </c>
      <c r="I464" s="24">
        <v>46387.0</v>
      </c>
      <c r="J464" s="20">
        <v>0.0</v>
      </c>
      <c r="K464" s="20">
        <v>1.0</v>
      </c>
      <c r="L464" s="24">
        <v>46388.0</v>
      </c>
      <c r="M464" s="24">
        <v>46752.0</v>
      </c>
      <c r="N464" s="20">
        <v>0.0</v>
      </c>
      <c r="O464" s="20">
        <v>1.0</v>
      </c>
      <c r="P464" s="24">
        <v>46753.0</v>
      </c>
      <c r="Q464" s="24">
        <v>47118.0</v>
      </c>
      <c r="R464" s="20">
        <v>0.0</v>
      </c>
      <c r="S464" s="20">
        <v>1.0</v>
      </c>
      <c r="T464" s="24">
        <v>47119.0</v>
      </c>
      <c r="U464" s="24">
        <v>47483.0</v>
      </c>
      <c r="V464" s="20">
        <v>0.0</v>
      </c>
      <c r="W464" s="20">
        <v>1.0</v>
      </c>
      <c r="X464" s="24">
        <v>47484.0</v>
      </c>
      <c r="Y464" s="24">
        <v>47848.0</v>
      </c>
      <c r="Z464" s="20">
        <v>0.0</v>
      </c>
      <c r="AA464" s="20">
        <v>1.0</v>
      </c>
      <c r="AB464" s="24"/>
      <c r="AC464" s="24"/>
    </row>
    <row r="465" ht="14.25" customHeight="1">
      <c r="A465" s="46" t="s">
        <v>799</v>
      </c>
      <c r="B465" s="20" t="s">
        <v>800</v>
      </c>
      <c r="C465" s="20" t="s">
        <v>7041</v>
      </c>
      <c r="D465" s="24">
        <v>45658.0</v>
      </c>
      <c r="E465" s="24">
        <v>46022.0</v>
      </c>
      <c r="F465" s="20">
        <v>0.0</v>
      </c>
      <c r="G465" s="20">
        <v>1.0</v>
      </c>
      <c r="H465" s="24">
        <v>46023.0</v>
      </c>
      <c r="I465" s="24">
        <v>46387.0</v>
      </c>
      <c r="J465" s="20">
        <v>0.0</v>
      </c>
      <c r="K465" s="20">
        <v>1.0</v>
      </c>
      <c r="L465" s="24">
        <v>46388.0</v>
      </c>
      <c r="M465" s="24">
        <v>46752.0</v>
      </c>
      <c r="N465" s="20">
        <v>0.0</v>
      </c>
      <c r="O465" s="20">
        <v>1.0</v>
      </c>
      <c r="P465" s="24">
        <v>46753.0</v>
      </c>
      <c r="Q465" s="24">
        <v>47118.0</v>
      </c>
      <c r="R465" s="20">
        <v>0.0</v>
      </c>
      <c r="S465" s="20">
        <v>1.0</v>
      </c>
      <c r="T465" s="24">
        <v>47119.0</v>
      </c>
      <c r="U465" s="24">
        <v>47483.0</v>
      </c>
      <c r="V465" s="20">
        <v>0.0</v>
      </c>
      <c r="W465" s="20">
        <v>1.0</v>
      </c>
      <c r="X465" s="24">
        <v>47484.0</v>
      </c>
      <c r="Y465" s="24">
        <v>47848.0</v>
      </c>
      <c r="Z465" s="20">
        <v>0.0</v>
      </c>
      <c r="AA465" s="20">
        <v>1.0</v>
      </c>
      <c r="AB465" s="24"/>
      <c r="AC465" s="24"/>
    </row>
    <row r="466" ht="14.25" customHeight="1">
      <c r="A466" s="46" t="s">
        <v>1732</v>
      </c>
      <c r="B466" s="20" t="s">
        <v>1733</v>
      </c>
      <c r="C466" s="20" t="s">
        <v>7041</v>
      </c>
      <c r="D466" s="24">
        <v>45658.0</v>
      </c>
      <c r="E466" s="24">
        <v>46022.0</v>
      </c>
      <c r="F466" s="20">
        <v>0.0</v>
      </c>
      <c r="G466" s="20">
        <v>1.0</v>
      </c>
      <c r="H466" s="24">
        <v>46023.0</v>
      </c>
      <c r="I466" s="24">
        <v>46387.0</v>
      </c>
      <c r="J466" s="20">
        <v>0.0</v>
      </c>
      <c r="K466" s="20">
        <v>1.0</v>
      </c>
      <c r="L466" s="24">
        <v>46388.0</v>
      </c>
      <c r="M466" s="24">
        <v>46752.0</v>
      </c>
      <c r="N466" s="20">
        <v>0.0</v>
      </c>
      <c r="O466" s="20">
        <v>1.0</v>
      </c>
      <c r="P466" s="24">
        <v>46753.0</v>
      </c>
      <c r="Q466" s="24">
        <v>47118.0</v>
      </c>
      <c r="R466" s="20">
        <v>0.0</v>
      </c>
      <c r="S466" s="20">
        <v>1.0</v>
      </c>
      <c r="T466" s="24">
        <v>47119.0</v>
      </c>
      <c r="U466" s="24">
        <v>47483.0</v>
      </c>
      <c r="V466" s="20">
        <v>0.0</v>
      </c>
      <c r="W466" s="20">
        <v>1.0</v>
      </c>
      <c r="X466" s="24">
        <v>47484.0</v>
      </c>
      <c r="Y466" s="24">
        <v>47848.0</v>
      </c>
      <c r="Z466" s="20">
        <v>0.0</v>
      </c>
      <c r="AA466" s="20">
        <v>1.0</v>
      </c>
      <c r="AB466" s="24"/>
      <c r="AC466" s="24"/>
    </row>
    <row r="467" ht="14.25" customHeight="1">
      <c r="A467" s="46" t="s">
        <v>6399</v>
      </c>
      <c r="B467" s="20" t="s">
        <v>6400</v>
      </c>
      <c r="C467" s="20" t="s">
        <v>7041</v>
      </c>
      <c r="D467" s="24">
        <v>45658.0</v>
      </c>
      <c r="E467" s="24">
        <v>46022.0</v>
      </c>
      <c r="F467" s="20">
        <v>1.0</v>
      </c>
      <c r="G467" s="20">
        <v>1.0</v>
      </c>
      <c r="H467" s="24">
        <v>46023.0</v>
      </c>
      <c r="I467" s="24">
        <v>46387.0</v>
      </c>
      <c r="J467" s="20">
        <v>0.0</v>
      </c>
      <c r="K467" s="20">
        <v>1.0</v>
      </c>
      <c r="L467" s="24">
        <v>46388.0</v>
      </c>
      <c r="M467" s="24">
        <v>46752.0</v>
      </c>
      <c r="N467" s="20">
        <v>0.0</v>
      </c>
      <c r="O467" s="20">
        <v>1.0</v>
      </c>
      <c r="P467" s="24">
        <v>46753.0</v>
      </c>
      <c r="Q467" s="24">
        <v>47118.0</v>
      </c>
      <c r="R467" s="20">
        <v>0.0</v>
      </c>
      <c r="S467" s="20">
        <v>1.0</v>
      </c>
      <c r="T467" s="24">
        <v>47119.0</v>
      </c>
      <c r="U467" s="24">
        <v>47483.0</v>
      </c>
      <c r="V467" s="20">
        <v>0.0</v>
      </c>
      <c r="W467" s="20">
        <v>1.0</v>
      </c>
      <c r="X467" s="24">
        <v>47484.0</v>
      </c>
      <c r="Y467" s="24">
        <v>47848.0</v>
      </c>
      <c r="Z467" s="20">
        <v>0.0</v>
      </c>
      <c r="AA467" s="20">
        <v>1.0</v>
      </c>
      <c r="AB467" s="24"/>
      <c r="AC467" s="24"/>
    </row>
    <row r="468" ht="14.25" customHeight="1">
      <c r="A468" s="46" t="s">
        <v>6162</v>
      </c>
      <c r="B468" s="20" t="s">
        <v>6163</v>
      </c>
      <c r="C468" s="20" t="s">
        <v>7041</v>
      </c>
      <c r="D468" s="24">
        <v>45658.0</v>
      </c>
      <c r="E468" s="24">
        <v>46022.0</v>
      </c>
      <c r="F468" s="20">
        <v>1.0</v>
      </c>
      <c r="G468" s="20">
        <v>1.0</v>
      </c>
      <c r="H468" s="24">
        <v>46023.0</v>
      </c>
      <c r="I468" s="24">
        <v>46387.0</v>
      </c>
      <c r="J468" s="20">
        <v>0.0</v>
      </c>
      <c r="K468" s="20">
        <v>1.0</v>
      </c>
      <c r="L468" s="24">
        <v>46388.0</v>
      </c>
      <c r="M468" s="24">
        <v>46752.0</v>
      </c>
      <c r="N468" s="20">
        <v>0.0</v>
      </c>
      <c r="O468" s="20">
        <v>1.0</v>
      </c>
      <c r="P468" s="24">
        <v>46753.0</v>
      </c>
      <c r="Q468" s="24">
        <v>47118.0</v>
      </c>
      <c r="R468" s="20">
        <v>0.0</v>
      </c>
      <c r="S468" s="20">
        <v>1.0</v>
      </c>
      <c r="T468" s="24">
        <v>47119.0</v>
      </c>
      <c r="U468" s="24">
        <v>47483.0</v>
      </c>
      <c r="V468" s="20">
        <v>0.0</v>
      </c>
      <c r="W468" s="20">
        <v>1.0</v>
      </c>
      <c r="X468" s="24">
        <v>47484.0</v>
      </c>
      <c r="Y468" s="24">
        <v>47848.0</v>
      </c>
      <c r="Z468" s="20">
        <v>0.0</v>
      </c>
      <c r="AA468" s="20">
        <v>1.0</v>
      </c>
      <c r="AB468" s="24"/>
      <c r="AC468" s="24"/>
    </row>
    <row r="469" ht="14.25" customHeight="1">
      <c r="A469" s="46" t="s">
        <v>6415</v>
      </c>
      <c r="B469" s="20" t="s">
        <v>6416</v>
      </c>
      <c r="C469" s="20" t="s">
        <v>7041</v>
      </c>
      <c r="D469" s="24">
        <v>45658.0</v>
      </c>
      <c r="E469" s="24">
        <v>46022.0</v>
      </c>
      <c r="F469" s="20">
        <v>0.0</v>
      </c>
      <c r="G469" s="20">
        <v>1.0</v>
      </c>
      <c r="H469" s="24">
        <v>46023.0</v>
      </c>
      <c r="I469" s="24">
        <v>46387.0</v>
      </c>
      <c r="J469" s="20">
        <v>0.0</v>
      </c>
      <c r="K469" s="20">
        <v>1.0</v>
      </c>
      <c r="L469" s="24">
        <v>46388.0</v>
      </c>
      <c r="M469" s="24">
        <v>46752.0</v>
      </c>
      <c r="N469" s="20">
        <v>0.0</v>
      </c>
      <c r="O469" s="20">
        <v>1.0</v>
      </c>
      <c r="P469" s="24">
        <v>46753.0</v>
      </c>
      <c r="Q469" s="24">
        <v>47118.0</v>
      </c>
      <c r="R469" s="20">
        <v>0.0</v>
      </c>
      <c r="S469" s="20">
        <v>1.0</v>
      </c>
      <c r="T469" s="24">
        <v>47119.0</v>
      </c>
      <c r="U469" s="24">
        <v>47483.0</v>
      </c>
      <c r="V469" s="20">
        <v>0.0</v>
      </c>
      <c r="W469" s="20">
        <v>1.0</v>
      </c>
      <c r="X469" s="24">
        <v>47484.0</v>
      </c>
      <c r="Y469" s="24">
        <v>47848.0</v>
      </c>
      <c r="Z469" s="20">
        <v>0.0</v>
      </c>
      <c r="AA469" s="20">
        <v>1.0</v>
      </c>
      <c r="AB469" s="24"/>
      <c r="AC469" s="24"/>
    </row>
    <row r="470" ht="14.25" customHeight="1">
      <c r="A470" s="46" t="s">
        <v>4432</v>
      </c>
      <c r="B470" s="20" t="s">
        <v>4433</v>
      </c>
      <c r="C470" s="20" t="s">
        <v>7041</v>
      </c>
      <c r="D470" s="24">
        <v>45658.0</v>
      </c>
      <c r="E470" s="24">
        <v>46022.0</v>
      </c>
      <c r="F470" s="20">
        <v>0.0</v>
      </c>
      <c r="G470" s="20">
        <v>1.0</v>
      </c>
      <c r="H470" s="24">
        <v>46023.0</v>
      </c>
      <c r="I470" s="24">
        <v>46387.0</v>
      </c>
      <c r="J470" s="20">
        <v>0.0</v>
      </c>
      <c r="K470" s="20">
        <v>1.0</v>
      </c>
      <c r="L470" s="24">
        <v>46388.0</v>
      </c>
      <c r="M470" s="24">
        <v>46752.0</v>
      </c>
      <c r="N470" s="20">
        <v>0.0</v>
      </c>
      <c r="O470" s="20">
        <v>1.0</v>
      </c>
      <c r="P470" s="24">
        <v>46753.0</v>
      </c>
      <c r="Q470" s="24">
        <v>47118.0</v>
      </c>
      <c r="R470" s="20">
        <v>0.0</v>
      </c>
      <c r="S470" s="20">
        <v>1.0</v>
      </c>
      <c r="T470" s="24">
        <v>47119.0</v>
      </c>
      <c r="U470" s="24">
        <v>47483.0</v>
      </c>
      <c r="V470" s="20">
        <v>0.0</v>
      </c>
      <c r="W470" s="20">
        <v>1.0</v>
      </c>
      <c r="X470" s="24">
        <v>47484.0</v>
      </c>
      <c r="Y470" s="24">
        <v>47848.0</v>
      </c>
      <c r="Z470" s="20">
        <v>0.0</v>
      </c>
      <c r="AA470" s="20">
        <v>1.0</v>
      </c>
      <c r="AB470" s="24"/>
      <c r="AC470" s="24"/>
    </row>
    <row r="471" ht="14.25" customHeight="1">
      <c r="A471" s="46" t="s">
        <v>2344</v>
      </c>
      <c r="B471" s="20" t="s">
        <v>2345</v>
      </c>
      <c r="C471" s="20" t="s">
        <v>7041</v>
      </c>
      <c r="D471" s="24">
        <v>45658.0</v>
      </c>
      <c r="E471" s="24">
        <v>46022.0</v>
      </c>
      <c r="F471" s="20">
        <v>0.0</v>
      </c>
      <c r="G471" s="20">
        <v>1.0</v>
      </c>
      <c r="H471" s="24">
        <v>46023.0</v>
      </c>
      <c r="I471" s="24">
        <v>46387.0</v>
      </c>
      <c r="J471" s="20">
        <v>0.0</v>
      </c>
      <c r="K471" s="20">
        <v>1.0</v>
      </c>
      <c r="L471" s="24">
        <v>46388.0</v>
      </c>
      <c r="M471" s="24">
        <v>46752.0</v>
      </c>
      <c r="N471" s="20">
        <v>0.0</v>
      </c>
      <c r="O471" s="20">
        <v>1.0</v>
      </c>
      <c r="P471" s="24">
        <v>46753.0</v>
      </c>
      <c r="Q471" s="24">
        <v>47118.0</v>
      </c>
      <c r="R471" s="20">
        <v>0.0</v>
      </c>
      <c r="S471" s="20">
        <v>1.0</v>
      </c>
      <c r="T471" s="24">
        <v>47119.0</v>
      </c>
      <c r="U471" s="24">
        <v>47483.0</v>
      </c>
      <c r="V471" s="20">
        <v>0.0</v>
      </c>
      <c r="W471" s="20">
        <v>1.0</v>
      </c>
      <c r="X471" s="24">
        <v>47484.0</v>
      </c>
      <c r="Y471" s="24">
        <v>47848.0</v>
      </c>
      <c r="Z471" s="20">
        <v>0.0</v>
      </c>
      <c r="AA471" s="20">
        <v>1.0</v>
      </c>
      <c r="AB471" s="24"/>
      <c r="AC471" s="24"/>
    </row>
    <row r="472" ht="14.25" customHeight="1">
      <c r="A472" s="46" t="s">
        <v>6931</v>
      </c>
      <c r="B472" s="20" t="s">
        <v>6932</v>
      </c>
      <c r="C472" s="20" t="s">
        <v>7041</v>
      </c>
      <c r="D472" s="24">
        <v>45658.0</v>
      </c>
      <c r="E472" s="24">
        <v>46022.0</v>
      </c>
      <c r="F472" s="20">
        <v>1.0</v>
      </c>
      <c r="G472" s="20">
        <v>1.0</v>
      </c>
      <c r="H472" s="24">
        <v>46023.0</v>
      </c>
      <c r="I472" s="24">
        <v>46387.0</v>
      </c>
      <c r="J472" s="20">
        <v>0.0</v>
      </c>
      <c r="K472" s="20">
        <v>1.0</v>
      </c>
      <c r="L472" s="24">
        <v>46388.0</v>
      </c>
      <c r="M472" s="24">
        <v>46752.0</v>
      </c>
      <c r="N472" s="20">
        <v>0.0</v>
      </c>
      <c r="O472" s="20">
        <v>1.0</v>
      </c>
      <c r="P472" s="24">
        <v>46753.0</v>
      </c>
      <c r="Q472" s="24">
        <v>47118.0</v>
      </c>
      <c r="R472" s="20">
        <v>0.0</v>
      </c>
      <c r="S472" s="20">
        <v>1.0</v>
      </c>
      <c r="T472" s="24">
        <v>47119.0</v>
      </c>
      <c r="U472" s="24">
        <v>47483.0</v>
      </c>
      <c r="V472" s="20">
        <v>0.0</v>
      </c>
      <c r="W472" s="20">
        <v>1.0</v>
      </c>
      <c r="X472" s="24">
        <v>47484.0</v>
      </c>
      <c r="Y472" s="24">
        <v>47848.0</v>
      </c>
      <c r="Z472" s="20">
        <v>0.0</v>
      </c>
      <c r="AA472" s="20">
        <v>1.0</v>
      </c>
      <c r="AB472" s="24"/>
      <c r="AC472" s="24"/>
    </row>
    <row r="473" ht="14.25" customHeight="1">
      <c r="A473" s="46" t="s">
        <v>1735</v>
      </c>
      <c r="B473" s="20" t="s">
        <v>1736</v>
      </c>
      <c r="C473" s="20" t="s">
        <v>7041</v>
      </c>
      <c r="D473" s="24">
        <v>45658.0</v>
      </c>
      <c r="E473" s="24">
        <v>46022.0</v>
      </c>
      <c r="F473" s="20">
        <v>0.0</v>
      </c>
      <c r="G473" s="20">
        <v>1.0</v>
      </c>
      <c r="H473" s="24">
        <v>46023.0</v>
      </c>
      <c r="I473" s="24">
        <v>46387.0</v>
      </c>
      <c r="J473" s="20">
        <v>0.0</v>
      </c>
      <c r="K473" s="20">
        <v>1.0</v>
      </c>
      <c r="L473" s="24">
        <v>46388.0</v>
      </c>
      <c r="M473" s="24">
        <v>46752.0</v>
      </c>
      <c r="N473" s="20">
        <v>0.0</v>
      </c>
      <c r="O473" s="20">
        <v>1.0</v>
      </c>
      <c r="P473" s="24">
        <v>46753.0</v>
      </c>
      <c r="Q473" s="24">
        <v>47118.0</v>
      </c>
      <c r="R473" s="20">
        <v>0.0</v>
      </c>
      <c r="S473" s="20">
        <v>1.0</v>
      </c>
      <c r="T473" s="24">
        <v>47119.0</v>
      </c>
      <c r="U473" s="24">
        <v>47483.0</v>
      </c>
      <c r="V473" s="20">
        <v>0.0</v>
      </c>
      <c r="W473" s="20">
        <v>1.0</v>
      </c>
      <c r="X473" s="24">
        <v>47484.0</v>
      </c>
      <c r="Y473" s="24">
        <v>47848.0</v>
      </c>
      <c r="Z473" s="20">
        <v>0.0</v>
      </c>
      <c r="AA473" s="20">
        <v>1.0</v>
      </c>
      <c r="AB473" s="24"/>
      <c r="AC473" s="24"/>
    </row>
    <row r="474" ht="14.25" customHeight="1">
      <c r="A474" s="46" t="s">
        <v>4038</v>
      </c>
      <c r="B474" s="20" t="s">
        <v>4039</v>
      </c>
      <c r="C474" s="20" t="s">
        <v>7041</v>
      </c>
      <c r="D474" s="24">
        <v>45658.0</v>
      </c>
      <c r="E474" s="24">
        <v>46022.0</v>
      </c>
      <c r="F474" s="20">
        <v>1.0</v>
      </c>
      <c r="G474" s="20">
        <v>1.0</v>
      </c>
      <c r="H474" s="24">
        <v>46023.0</v>
      </c>
      <c r="I474" s="24">
        <v>46387.0</v>
      </c>
      <c r="J474" s="20">
        <v>0.0</v>
      </c>
      <c r="K474" s="20">
        <v>1.0</v>
      </c>
      <c r="L474" s="24">
        <v>46388.0</v>
      </c>
      <c r="M474" s="24">
        <v>46752.0</v>
      </c>
      <c r="N474" s="20">
        <v>0.0</v>
      </c>
      <c r="O474" s="20">
        <v>1.0</v>
      </c>
      <c r="P474" s="24">
        <v>46753.0</v>
      </c>
      <c r="Q474" s="24">
        <v>47118.0</v>
      </c>
      <c r="R474" s="20">
        <v>0.0</v>
      </c>
      <c r="S474" s="20">
        <v>1.0</v>
      </c>
      <c r="T474" s="24">
        <v>47119.0</v>
      </c>
      <c r="U474" s="24">
        <v>47483.0</v>
      </c>
      <c r="V474" s="20">
        <v>0.0</v>
      </c>
      <c r="W474" s="20">
        <v>1.0</v>
      </c>
      <c r="X474" s="24">
        <v>47484.0</v>
      </c>
      <c r="Y474" s="24">
        <v>47848.0</v>
      </c>
      <c r="Z474" s="20">
        <v>0.0</v>
      </c>
      <c r="AA474" s="20">
        <v>1.0</v>
      </c>
      <c r="AB474" s="24"/>
      <c r="AC474" s="24"/>
    </row>
    <row r="475" ht="14.25" customHeight="1">
      <c r="A475" s="46" t="s">
        <v>5049</v>
      </c>
      <c r="B475" s="20" t="s">
        <v>5050</v>
      </c>
      <c r="C475" s="20" t="s">
        <v>7041</v>
      </c>
      <c r="D475" s="24">
        <v>45658.0</v>
      </c>
      <c r="E475" s="24">
        <v>46022.0</v>
      </c>
      <c r="F475" s="20">
        <v>1.0</v>
      </c>
      <c r="G475" s="20">
        <v>1.0</v>
      </c>
      <c r="H475" s="24">
        <v>46023.0</v>
      </c>
      <c r="I475" s="24">
        <v>46387.0</v>
      </c>
      <c r="J475" s="20">
        <v>0.0</v>
      </c>
      <c r="K475" s="20">
        <v>1.0</v>
      </c>
      <c r="L475" s="24">
        <v>46388.0</v>
      </c>
      <c r="M475" s="24">
        <v>46752.0</v>
      </c>
      <c r="N475" s="20">
        <v>0.0</v>
      </c>
      <c r="O475" s="20">
        <v>1.0</v>
      </c>
      <c r="P475" s="24">
        <v>46753.0</v>
      </c>
      <c r="Q475" s="24">
        <v>47118.0</v>
      </c>
      <c r="R475" s="20">
        <v>0.0</v>
      </c>
      <c r="S475" s="20">
        <v>1.0</v>
      </c>
      <c r="T475" s="24">
        <v>47119.0</v>
      </c>
      <c r="U475" s="24">
        <v>47483.0</v>
      </c>
      <c r="V475" s="20">
        <v>0.0</v>
      </c>
      <c r="W475" s="20">
        <v>1.0</v>
      </c>
      <c r="X475" s="24">
        <v>47484.0</v>
      </c>
      <c r="Y475" s="24">
        <v>47848.0</v>
      </c>
      <c r="Z475" s="20">
        <v>0.0</v>
      </c>
      <c r="AA475" s="20">
        <v>1.0</v>
      </c>
      <c r="AB475" s="24"/>
      <c r="AC475" s="24"/>
    </row>
    <row r="476" ht="14.25" customHeight="1">
      <c r="A476" s="46" t="s">
        <v>6172</v>
      </c>
      <c r="B476" s="20" t="s">
        <v>6173</v>
      </c>
      <c r="C476" s="20" t="s">
        <v>7041</v>
      </c>
      <c r="D476" s="24">
        <v>45658.0</v>
      </c>
      <c r="E476" s="24">
        <v>46022.0</v>
      </c>
      <c r="F476" s="20">
        <v>0.0</v>
      </c>
      <c r="G476" s="20">
        <v>1.0</v>
      </c>
      <c r="H476" s="24">
        <v>46023.0</v>
      </c>
      <c r="I476" s="24">
        <v>46387.0</v>
      </c>
      <c r="J476" s="20">
        <v>0.0</v>
      </c>
      <c r="K476" s="20">
        <v>1.0</v>
      </c>
      <c r="L476" s="24">
        <v>46388.0</v>
      </c>
      <c r="M476" s="24">
        <v>46752.0</v>
      </c>
      <c r="N476" s="20">
        <v>0.0</v>
      </c>
      <c r="O476" s="20">
        <v>1.0</v>
      </c>
      <c r="P476" s="24">
        <v>46753.0</v>
      </c>
      <c r="Q476" s="24">
        <v>47118.0</v>
      </c>
      <c r="R476" s="20">
        <v>0.0</v>
      </c>
      <c r="S476" s="20">
        <v>1.0</v>
      </c>
      <c r="T476" s="24">
        <v>47119.0</v>
      </c>
      <c r="U476" s="24">
        <v>47483.0</v>
      </c>
      <c r="V476" s="20">
        <v>0.0</v>
      </c>
      <c r="W476" s="20">
        <v>1.0</v>
      </c>
      <c r="X476" s="24">
        <v>47484.0</v>
      </c>
      <c r="Y476" s="24">
        <v>47848.0</v>
      </c>
      <c r="Z476" s="20">
        <v>0.0</v>
      </c>
      <c r="AA476" s="20">
        <v>1.0</v>
      </c>
      <c r="AB476" s="24"/>
      <c r="AC476" s="24"/>
    </row>
    <row r="477" ht="14.25" customHeight="1">
      <c r="A477" s="46" t="s">
        <v>5947</v>
      </c>
      <c r="B477" s="20" t="s">
        <v>5948</v>
      </c>
      <c r="C477" s="20" t="s">
        <v>7041</v>
      </c>
      <c r="D477" s="24">
        <v>45658.0</v>
      </c>
      <c r="E477" s="24">
        <v>46022.0</v>
      </c>
      <c r="F477" s="20">
        <v>0.0</v>
      </c>
      <c r="G477" s="20">
        <v>1.0</v>
      </c>
      <c r="H477" s="24">
        <v>46023.0</v>
      </c>
      <c r="I477" s="24">
        <v>46387.0</v>
      </c>
      <c r="J477" s="20">
        <v>0.0</v>
      </c>
      <c r="K477" s="20">
        <v>1.0</v>
      </c>
      <c r="L477" s="24">
        <v>46388.0</v>
      </c>
      <c r="M477" s="24">
        <v>46752.0</v>
      </c>
      <c r="N477" s="20">
        <v>0.0</v>
      </c>
      <c r="O477" s="20">
        <v>1.0</v>
      </c>
      <c r="P477" s="24">
        <v>46753.0</v>
      </c>
      <c r="Q477" s="24">
        <v>47118.0</v>
      </c>
      <c r="R477" s="20">
        <v>0.0</v>
      </c>
      <c r="S477" s="20">
        <v>1.0</v>
      </c>
      <c r="T477" s="24">
        <v>47119.0</v>
      </c>
      <c r="U477" s="24">
        <v>47483.0</v>
      </c>
      <c r="V477" s="20">
        <v>0.0</v>
      </c>
      <c r="W477" s="20">
        <v>1.0</v>
      </c>
      <c r="X477" s="24">
        <v>47484.0</v>
      </c>
      <c r="Y477" s="24">
        <v>47848.0</v>
      </c>
      <c r="Z477" s="20">
        <v>0.0</v>
      </c>
      <c r="AA477" s="20">
        <v>1.0</v>
      </c>
      <c r="AB477" s="24"/>
      <c r="AC477" s="24"/>
    </row>
    <row r="478" ht="14.25" customHeight="1">
      <c r="A478" s="46" t="s">
        <v>2833</v>
      </c>
      <c r="B478" s="20" t="s">
        <v>2834</v>
      </c>
      <c r="C478" s="20" t="s">
        <v>7041</v>
      </c>
      <c r="D478" s="24">
        <v>45658.0</v>
      </c>
      <c r="E478" s="24">
        <v>46022.0</v>
      </c>
      <c r="F478" s="20">
        <v>0.0</v>
      </c>
      <c r="G478" s="20">
        <v>1.0</v>
      </c>
      <c r="H478" s="24">
        <v>46023.0</v>
      </c>
      <c r="I478" s="24">
        <v>46387.0</v>
      </c>
      <c r="J478" s="20">
        <v>0.0</v>
      </c>
      <c r="K478" s="20">
        <v>1.0</v>
      </c>
      <c r="L478" s="24">
        <v>46388.0</v>
      </c>
      <c r="M478" s="24">
        <v>46752.0</v>
      </c>
      <c r="N478" s="20">
        <v>0.0</v>
      </c>
      <c r="O478" s="20">
        <v>1.0</v>
      </c>
      <c r="P478" s="24">
        <v>46753.0</v>
      </c>
      <c r="Q478" s="24">
        <v>47118.0</v>
      </c>
      <c r="R478" s="20">
        <v>0.0</v>
      </c>
      <c r="S478" s="20">
        <v>1.0</v>
      </c>
      <c r="T478" s="24">
        <v>47119.0</v>
      </c>
      <c r="U478" s="24">
        <v>47483.0</v>
      </c>
      <c r="V478" s="20">
        <v>0.0</v>
      </c>
      <c r="W478" s="20">
        <v>1.0</v>
      </c>
      <c r="X478" s="24">
        <v>47484.0</v>
      </c>
      <c r="Y478" s="24">
        <v>47848.0</v>
      </c>
      <c r="Z478" s="20">
        <v>0.0</v>
      </c>
      <c r="AA478" s="20">
        <v>1.0</v>
      </c>
      <c r="AB478" s="24"/>
      <c r="AC478" s="24"/>
    </row>
    <row r="479" ht="14.25" customHeight="1">
      <c r="A479" s="46" t="s">
        <v>551</v>
      </c>
      <c r="B479" s="20" t="s">
        <v>552</v>
      </c>
      <c r="C479" s="20" t="s">
        <v>7041</v>
      </c>
      <c r="D479" s="24">
        <v>45658.0</v>
      </c>
      <c r="E479" s="24">
        <v>46022.0</v>
      </c>
      <c r="F479" s="20">
        <v>0.0</v>
      </c>
      <c r="G479" s="20">
        <v>1.0</v>
      </c>
      <c r="H479" s="24">
        <v>46023.0</v>
      </c>
      <c r="I479" s="24">
        <v>46387.0</v>
      </c>
      <c r="J479" s="20">
        <v>0.0</v>
      </c>
      <c r="K479" s="20">
        <v>1.0</v>
      </c>
      <c r="L479" s="24">
        <v>46388.0</v>
      </c>
      <c r="M479" s="24">
        <v>46752.0</v>
      </c>
      <c r="N479" s="20">
        <v>0.0</v>
      </c>
      <c r="O479" s="20">
        <v>1.0</v>
      </c>
      <c r="P479" s="24">
        <v>46753.0</v>
      </c>
      <c r="Q479" s="24">
        <v>47118.0</v>
      </c>
      <c r="R479" s="20">
        <v>0.0</v>
      </c>
      <c r="S479" s="20">
        <v>1.0</v>
      </c>
      <c r="T479" s="24">
        <v>47119.0</v>
      </c>
      <c r="U479" s="24">
        <v>47483.0</v>
      </c>
      <c r="V479" s="20">
        <v>0.0</v>
      </c>
      <c r="W479" s="20">
        <v>1.0</v>
      </c>
      <c r="X479" s="24">
        <v>47484.0</v>
      </c>
      <c r="Y479" s="24">
        <v>47848.0</v>
      </c>
      <c r="Z479" s="20">
        <v>0.0</v>
      </c>
      <c r="AA479" s="20">
        <v>1.0</v>
      </c>
      <c r="AB479" s="24"/>
      <c r="AC479" s="24"/>
    </row>
    <row r="480" ht="14.25" customHeight="1">
      <c r="A480" s="46" t="s">
        <v>132</v>
      </c>
      <c r="B480" s="20" t="s">
        <v>133</v>
      </c>
      <c r="C480" s="20" t="s">
        <v>7041</v>
      </c>
      <c r="D480" s="24">
        <v>45658.0</v>
      </c>
      <c r="E480" s="24">
        <v>46022.0</v>
      </c>
      <c r="F480" s="20">
        <v>0.0</v>
      </c>
      <c r="G480" s="20">
        <v>1.0</v>
      </c>
      <c r="H480" s="24">
        <v>46023.0</v>
      </c>
      <c r="I480" s="24">
        <v>46387.0</v>
      </c>
      <c r="J480" s="20">
        <v>0.0</v>
      </c>
      <c r="K480" s="20">
        <v>1.0</v>
      </c>
      <c r="L480" s="24">
        <v>46388.0</v>
      </c>
      <c r="M480" s="24">
        <v>46752.0</v>
      </c>
      <c r="N480" s="20">
        <v>0.0</v>
      </c>
      <c r="O480" s="20">
        <v>1.0</v>
      </c>
      <c r="P480" s="24">
        <v>46753.0</v>
      </c>
      <c r="Q480" s="24">
        <v>47118.0</v>
      </c>
      <c r="R480" s="20">
        <v>0.0</v>
      </c>
      <c r="S480" s="20">
        <v>1.0</v>
      </c>
      <c r="T480" s="24">
        <v>47119.0</v>
      </c>
      <c r="U480" s="24">
        <v>47483.0</v>
      </c>
      <c r="V480" s="20">
        <v>0.0</v>
      </c>
      <c r="W480" s="20">
        <v>1.0</v>
      </c>
      <c r="X480" s="24">
        <v>47484.0</v>
      </c>
      <c r="Y480" s="24">
        <v>47848.0</v>
      </c>
      <c r="Z480" s="20">
        <v>0.0</v>
      </c>
      <c r="AA480" s="20">
        <v>1.0</v>
      </c>
      <c r="AB480" s="24"/>
      <c r="AC480" s="24"/>
    </row>
    <row r="481" ht="14.25" customHeight="1">
      <c r="A481" s="46" t="s">
        <v>5124</v>
      </c>
      <c r="B481" s="20" t="s">
        <v>5125</v>
      </c>
      <c r="C481" s="20" t="s">
        <v>7041</v>
      </c>
      <c r="D481" s="24">
        <v>45658.0</v>
      </c>
      <c r="E481" s="24">
        <v>46022.0</v>
      </c>
      <c r="F481" s="20">
        <v>0.0</v>
      </c>
      <c r="G481" s="20">
        <v>1.0</v>
      </c>
      <c r="H481" s="24">
        <v>46023.0</v>
      </c>
      <c r="I481" s="24">
        <v>46387.0</v>
      </c>
      <c r="J481" s="20">
        <v>0.0</v>
      </c>
      <c r="K481" s="20">
        <v>1.0</v>
      </c>
      <c r="L481" s="24">
        <v>46388.0</v>
      </c>
      <c r="M481" s="24">
        <v>46752.0</v>
      </c>
      <c r="N481" s="20">
        <v>0.0</v>
      </c>
      <c r="O481" s="20">
        <v>1.0</v>
      </c>
      <c r="P481" s="24">
        <v>46753.0</v>
      </c>
      <c r="Q481" s="24">
        <v>47118.0</v>
      </c>
      <c r="R481" s="20">
        <v>0.0</v>
      </c>
      <c r="S481" s="20">
        <v>1.0</v>
      </c>
      <c r="T481" s="24">
        <v>47119.0</v>
      </c>
      <c r="U481" s="24">
        <v>47483.0</v>
      </c>
      <c r="V481" s="20">
        <v>0.0</v>
      </c>
      <c r="W481" s="20">
        <v>1.0</v>
      </c>
      <c r="X481" s="24">
        <v>47484.0</v>
      </c>
      <c r="Y481" s="24">
        <v>47848.0</v>
      </c>
      <c r="Z481" s="20">
        <v>0.0</v>
      </c>
      <c r="AA481" s="20">
        <v>1.0</v>
      </c>
      <c r="AB481" s="24"/>
      <c r="AC481" s="24"/>
    </row>
    <row r="482" ht="14.25" customHeight="1">
      <c r="A482" s="46" t="s">
        <v>4988</v>
      </c>
      <c r="B482" s="20" t="s">
        <v>4989</v>
      </c>
      <c r="C482" s="20" t="s">
        <v>7041</v>
      </c>
      <c r="D482" s="24">
        <v>45658.0</v>
      </c>
      <c r="E482" s="24">
        <v>46022.0</v>
      </c>
      <c r="F482" s="20">
        <v>0.0</v>
      </c>
      <c r="G482" s="20">
        <v>1.0</v>
      </c>
      <c r="H482" s="24">
        <v>46023.0</v>
      </c>
      <c r="I482" s="24">
        <v>46387.0</v>
      </c>
      <c r="J482" s="20">
        <v>0.0</v>
      </c>
      <c r="K482" s="20">
        <v>1.0</v>
      </c>
      <c r="L482" s="24">
        <v>46388.0</v>
      </c>
      <c r="M482" s="24">
        <v>46752.0</v>
      </c>
      <c r="N482" s="20">
        <v>0.0</v>
      </c>
      <c r="O482" s="20">
        <v>1.0</v>
      </c>
      <c r="P482" s="24">
        <v>46753.0</v>
      </c>
      <c r="Q482" s="24">
        <v>47118.0</v>
      </c>
      <c r="R482" s="20">
        <v>0.0</v>
      </c>
      <c r="S482" s="20">
        <v>1.0</v>
      </c>
      <c r="T482" s="24">
        <v>47119.0</v>
      </c>
      <c r="U482" s="24">
        <v>47483.0</v>
      </c>
      <c r="V482" s="20">
        <v>0.0</v>
      </c>
      <c r="W482" s="20">
        <v>1.0</v>
      </c>
      <c r="X482" s="24">
        <v>47484.0</v>
      </c>
      <c r="Y482" s="24">
        <v>47848.0</v>
      </c>
      <c r="Z482" s="20">
        <v>0.0</v>
      </c>
      <c r="AA482" s="20">
        <v>1.0</v>
      </c>
      <c r="AB482" s="24"/>
      <c r="AC482" s="24"/>
    </row>
    <row r="483" ht="14.25" customHeight="1">
      <c r="A483" s="46" t="s">
        <v>867</v>
      </c>
      <c r="B483" s="20" t="s">
        <v>868</v>
      </c>
      <c r="C483" s="20" t="s">
        <v>7041</v>
      </c>
      <c r="D483" s="24">
        <v>45658.0</v>
      </c>
      <c r="E483" s="24">
        <v>46022.0</v>
      </c>
      <c r="F483" s="20">
        <v>0.0</v>
      </c>
      <c r="G483" s="20">
        <v>1.0</v>
      </c>
      <c r="H483" s="24">
        <v>46023.0</v>
      </c>
      <c r="I483" s="24">
        <v>46387.0</v>
      </c>
      <c r="J483" s="20">
        <v>0.0</v>
      </c>
      <c r="K483" s="20">
        <v>1.0</v>
      </c>
      <c r="L483" s="24">
        <v>46388.0</v>
      </c>
      <c r="M483" s="24">
        <v>46752.0</v>
      </c>
      <c r="N483" s="20">
        <v>0.0</v>
      </c>
      <c r="O483" s="20">
        <v>1.0</v>
      </c>
      <c r="P483" s="24">
        <v>46753.0</v>
      </c>
      <c r="Q483" s="24">
        <v>47118.0</v>
      </c>
      <c r="R483" s="20">
        <v>0.0</v>
      </c>
      <c r="S483" s="20">
        <v>1.0</v>
      </c>
      <c r="T483" s="24">
        <v>47119.0</v>
      </c>
      <c r="U483" s="24">
        <v>47483.0</v>
      </c>
      <c r="V483" s="20">
        <v>0.0</v>
      </c>
      <c r="W483" s="20">
        <v>1.0</v>
      </c>
      <c r="X483" s="24">
        <v>47484.0</v>
      </c>
      <c r="Y483" s="24">
        <v>47848.0</v>
      </c>
      <c r="Z483" s="20">
        <v>0.0</v>
      </c>
      <c r="AA483" s="20">
        <v>1.0</v>
      </c>
      <c r="AB483" s="24"/>
      <c r="AC483" s="24"/>
    </row>
    <row r="484" ht="14.25" customHeight="1">
      <c r="A484" s="46" t="s">
        <v>6912</v>
      </c>
      <c r="B484" s="20" t="s">
        <v>6913</v>
      </c>
      <c r="C484" s="20" t="s">
        <v>7041</v>
      </c>
      <c r="D484" s="24">
        <v>45658.0</v>
      </c>
      <c r="E484" s="24">
        <v>46022.0</v>
      </c>
      <c r="F484" s="20">
        <v>0.0</v>
      </c>
      <c r="G484" s="20">
        <v>1.0</v>
      </c>
      <c r="H484" s="24">
        <v>46023.0</v>
      </c>
      <c r="I484" s="24">
        <v>46387.0</v>
      </c>
      <c r="J484" s="20">
        <v>0.0</v>
      </c>
      <c r="K484" s="20">
        <v>1.0</v>
      </c>
      <c r="L484" s="24">
        <v>46388.0</v>
      </c>
      <c r="M484" s="24">
        <v>46752.0</v>
      </c>
      <c r="N484" s="20">
        <v>0.0</v>
      </c>
      <c r="O484" s="20">
        <v>1.0</v>
      </c>
      <c r="P484" s="24">
        <v>46753.0</v>
      </c>
      <c r="Q484" s="24">
        <v>47118.0</v>
      </c>
      <c r="R484" s="20">
        <v>0.0</v>
      </c>
      <c r="S484" s="20">
        <v>1.0</v>
      </c>
      <c r="T484" s="24">
        <v>47119.0</v>
      </c>
      <c r="U484" s="24">
        <v>47483.0</v>
      </c>
      <c r="V484" s="20">
        <v>0.0</v>
      </c>
      <c r="W484" s="20">
        <v>1.0</v>
      </c>
      <c r="X484" s="24">
        <v>47484.0</v>
      </c>
      <c r="Y484" s="24">
        <v>47848.0</v>
      </c>
      <c r="Z484" s="20">
        <v>0.0</v>
      </c>
      <c r="AA484" s="20">
        <v>1.0</v>
      </c>
      <c r="AB484" s="24"/>
      <c r="AC484" s="24"/>
    </row>
    <row r="485" ht="14.25" customHeight="1">
      <c r="A485" s="46" t="s">
        <v>1938</v>
      </c>
      <c r="B485" s="20" t="s">
        <v>1939</v>
      </c>
      <c r="C485" s="20" t="s">
        <v>7041</v>
      </c>
      <c r="D485" s="24">
        <v>45658.0</v>
      </c>
      <c r="E485" s="24">
        <v>46022.0</v>
      </c>
      <c r="F485" s="20">
        <v>0.0</v>
      </c>
      <c r="G485" s="20">
        <v>1.0</v>
      </c>
      <c r="H485" s="24">
        <v>46023.0</v>
      </c>
      <c r="I485" s="24">
        <v>46387.0</v>
      </c>
      <c r="J485" s="20">
        <v>0.0</v>
      </c>
      <c r="K485" s="20">
        <v>1.0</v>
      </c>
      <c r="L485" s="24">
        <v>46388.0</v>
      </c>
      <c r="M485" s="24">
        <v>46752.0</v>
      </c>
      <c r="N485" s="20">
        <v>0.0</v>
      </c>
      <c r="O485" s="20">
        <v>1.0</v>
      </c>
      <c r="P485" s="24">
        <v>46753.0</v>
      </c>
      <c r="Q485" s="24">
        <v>47118.0</v>
      </c>
      <c r="R485" s="20">
        <v>0.0</v>
      </c>
      <c r="S485" s="20">
        <v>1.0</v>
      </c>
      <c r="T485" s="24">
        <v>47119.0</v>
      </c>
      <c r="U485" s="24">
        <v>47483.0</v>
      </c>
      <c r="V485" s="20">
        <v>0.0</v>
      </c>
      <c r="W485" s="20">
        <v>1.0</v>
      </c>
      <c r="X485" s="24">
        <v>47484.0</v>
      </c>
      <c r="Y485" s="24">
        <v>47848.0</v>
      </c>
      <c r="Z485" s="20">
        <v>0.0</v>
      </c>
      <c r="AA485" s="20">
        <v>1.0</v>
      </c>
      <c r="AB485" s="24"/>
      <c r="AC485" s="24"/>
    </row>
    <row r="486" ht="14.25" customHeight="1">
      <c r="A486" s="46" t="s">
        <v>1218</v>
      </c>
      <c r="B486" s="20" t="s">
        <v>1219</v>
      </c>
      <c r="C486" s="20" t="s">
        <v>7041</v>
      </c>
      <c r="D486" s="24">
        <v>45658.0</v>
      </c>
      <c r="E486" s="24">
        <v>46022.0</v>
      </c>
      <c r="F486" s="20">
        <v>0.0</v>
      </c>
      <c r="G486" s="20">
        <v>1.0</v>
      </c>
      <c r="H486" s="24">
        <v>46023.0</v>
      </c>
      <c r="I486" s="24">
        <v>46387.0</v>
      </c>
      <c r="J486" s="20">
        <v>0.0</v>
      </c>
      <c r="K486" s="20">
        <v>1.0</v>
      </c>
      <c r="L486" s="24">
        <v>46388.0</v>
      </c>
      <c r="M486" s="24">
        <v>46752.0</v>
      </c>
      <c r="N486" s="20">
        <v>0.0</v>
      </c>
      <c r="O486" s="20">
        <v>1.0</v>
      </c>
      <c r="P486" s="24">
        <v>46753.0</v>
      </c>
      <c r="Q486" s="24">
        <v>47118.0</v>
      </c>
      <c r="R486" s="20">
        <v>0.0</v>
      </c>
      <c r="S486" s="20">
        <v>1.0</v>
      </c>
      <c r="T486" s="24">
        <v>47119.0</v>
      </c>
      <c r="U486" s="24">
        <v>47483.0</v>
      </c>
      <c r="V486" s="20">
        <v>0.0</v>
      </c>
      <c r="W486" s="20">
        <v>1.0</v>
      </c>
      <c r="X486" s="24">
        <v>47484.0</v>
      </c>
      <c r="Y486" s="24">
        <v>47848.0</v>
      </c>
      <c r="Z486" s="20">
        <v>0.0</v>
      </c>
      <c r="AA486" s="20">
        <v>1.0</v>
      </c>
      <c r="AB486" s="24"/>
      <c r="AC486" s="24"/>
    </row>
    <row r="487" ht="14.25" customHeight="1">
      <c r="A487" s="46" t="s">
        <v>2259</v>
      </c>
      <c r="B487" s="20" t="s">
        <v>2260</v>
      </c>
      <c r="C487" s="20" t="s">
        <v>7041</v>
      </c>
      <c r="D487" s="24">
        <v>45658.0</v>
      </c>
      <c r="E487" s="24">
        <v>46022.0</v>
      </c>
      <c r="F487" s="20">
        <v>1.0</v>
      </c>
      <c r="G487" s="20">
        <v>1.0</v>
      </c>
      <c r="H487" s="24">
        <v>46023.0</v>
      </c>
      <c r="I487" s="24">
        <v>46387.0</v>
      </c>
      <c r="J487" s="20">
        <v>0.0</v>
      </c>
      <c r="K487" s="20">
        <v>1.0</v>
      </c>
      <c r="L487" s="24">
        <v>46388.0</v>
      </c>
      <c r="M487" s="24">
        <v>46752.0</v>
      </c>
      <c r="N487" s="20">
        <v>0.0</v>
      </c>
      <c r="O487" s="20">
        <v>1.0</v>
      </c>
      <c r="P487" s="24">
        <v>46753.0</v>
      </c>
      <c r="Q487" s="24">
        <v>47118.0</v>
      </c>
      <c r="R487" s="20">
        <v>0.0</v>
      </c>
      <c r="S487" s="20">
        <v>1.0</v>
      </c>
      <c r="T487" s="24">
        <v>47119.0</v>
      </c>
      <c r="U487" s="24">
        <v>47483.0</v>
      </c>
      <c r="V487" s="20">
        <v>0.0</v>
      </c>
      <c r="W487" s="20">
        <v>1.0</v>
      </c>
      <c r="X487" s="24">
        <v>47484.0</v>
      </c>
      <c r="Y487" s="24">
        <v>47848.0</v>
      </c>
      <c r="Z487" s="20">
        <v>0.0</v>
      </c>
      <c r="AA487" s="20">
        <v>1.0</v>
      </c>
      <c r="AB487" s="24"/>
      <c r="AC487" s="24"/>
    </row>
    <row r="488" ht="14.25" customHeight="1">
      <c r="A488" s="46" t="s">
        <v>3246</v>
      </c>
      <c r="B488" s="20" t="s">
        <v>3247</v>
      </c>
      <c r="C488" s="20" t="s">
        <v>7041</v>
      </c>
      <c r="D488" s="24">
        <v>45658.0</v>
      </c>
      <c r="E488" s="24">
        <v>46022.0</v>
      </c>
      <c r="F488" s="20">
        <v>0.0</v>
      </c>
      <c r="G488" s="20">
        <v>1.0</v>
      </c>
      <c r="H488" s="24">
        <v>46023.0</v>
      </c>
      <c r="I488" s="24">
        <v>46387.0</v>
      </c>
      <c r="J488" s="20">
        <v>0.0</v>
      </c>
      <c r="K488" s="20">
        <v>1.0</v>
      </c>
      <c r="L488" s="24">
        <v>46388.0</v>
      </c>
      <c r="M488" s="24">
        <v>46752.0</v>
      </c>
      <c r="N488" s="20">
        <v>0.0</v>
      </c>
      <c r="O488" s="20">
        <v>1.0</v>
      </c>
      <c r="P488" s="24">
        <v>46753.0</v>
      </c>
      <c r="Q488" s="24">
        <v>47118.0</v>
      </c>
      <c r="R488" s="20">
        <v>0.0</v>
      </c>
      <c r="S488" s="20">
        <v>1.0</v>
      </c>
      <c r="T488" s="24">
        <v>47119.0</v>
      </c>
      <c r="U488" s="24">
        <v>47483.0</v>
      </c>
      <c r="V488" s="20">
        <v>0.0</v>
      </c>
      <c r="W488" s="20">
        <v>1.0</v>
      </c>
      <c r="X488" s="24">
        <v>47484.0</v>
      </c>
      <c r="Y488" s="24">
        <v>47848.0</v>
      </c>
      <c r="Z488" s="20">
        <v>0.0</v>
      </c>
      <c r="AA488" s="20">
        <v>1.0</v>
      </c>
      <c r="AB488" s="24"/>
      <c r="AC488" s="24"/>
    </row>
    <row r="489" ht="14.25" customHeight="1">
      <c r="A489" s="46" t="s">
        <v>321</v>
      </c>
      <c r="B489" s="20" t="s">
        <v>322</v>
      </c>
      <c r="C489" s="20" t="s">
        <v>7041</v>
      </c>
      <c r="D489" s="24">
        <v>45658.0</v>
      </c>
      <c r="E489" s="24">
        <v>46022.0</v>
      </c>
      <c r="F489" s="20">
        <v>1.0</v>
      </c>
      <c r="G489" s="20">
        <v>1.0</v>
      </c>
      <c r="H489" s="24">
        <v>46023.0</v>
      </c>
      <c r="I489" s="24">
        <v>46387.0</v>
      </c>
      <c r="J489" s="20">
        <v>0.0</v>
      </c>
      <c r="K489" s="20">
        <v>1.0</v>
      </c>
      <c r="L489" s="24">
        <v>46388.0</v>
      </c>
      <c r="M489" s="24">
        <v>46752.0</v>
      </c>
      <c r="N489" s="20">
        <v>0.0</v>
      </c>
      <c r="O489" s="20">
        <v>1.0</v>
      </c>
      <c r="P489" s="24">
        <v>46753.0</v>
      </c>
      <c r="Q489" s="24">
        <v>47118.0</v>
      </c>
      <c r="R489" s="20">
        <v>0.0</v>
      </c>
      <c r="S489" s="20">
        <v>1.0</v>
      </c>
      <c r="T489" s="24">
        <v>47119.0</v>
      </c>
      <c r="U489" s="24">
        <v>47483.0</v>
      </c>
      <c r="V489" s="20">
        <v>0.0</v>
      </c>
      <c r="W489" s="20">
        <v>1.0</v>
      </c>
      <c r="X489" s="24">
        <v>47484.0</v>
      </c>
      <c r="Y489" s="24">
        <v>47848.0</v>
      </c>
      <c r="Z489" s="20">
        <v>0.0</v>
      </c>
      <c r="AA489" s="20">
        <v>1.0</v>
      </c>
      <c r="AB489" s="24"/>
      <c r="AC489" s="24"/>
    </row>
    <row r="490" ht="14.25" customHeight="1">
      <c r="A490" s="46" t="s">
        <v>494</v>
      </c>
      <c r="B490" s="20" t="s">
        <v>495</v>
      </c>
      <c r="C490" s="20" t="s">
        <v>7041</v>
      </c>
      <c r="D490" s="24">
        <v>45658.0</v>
      </c>
      <c r="E490" s="24">
        <v>46022.0</v>
      </c>
      <c r="F490" s="20">
        <v>0.0</v>
      </c>
      <c r="G490" s="20">
        <v>1.0</v>
      </c>
      <c r="H490" s="24">
        <v>46023.0</v>
      </c>
      <c r="I490" s="24">
        <v>46387.0</v>
      </c>
      <c r="J490" s="20">
        <v>0.0</v>
      </c>
      <c r="K490" s="20">
        <v>1.0</v>
      </c>
      <c r="L490" s="24">
        <v>46388.0</v>
      </c>
      <c r="M490" s="24">
        <v>46752.0</v>
      </c>
      <c r="N490" s="20">
        <v>0.0</v>
      </c>
      <c r="O490" s="20">
        <v>1.0</v>
      </c>
      <c r="P490" s="24">
        <v>46753.0</v>
      </c>
      <c r="Q490" s="24">
        <v>47118.0</v>
      </c>
      <c r="R490" s="20">
        <v>0.0</v>
      </c>
      <c r="S490" s="20">
        <v>1.0</v>
      </c>
      <c r="T490" s="24">
        <v>47119.0</v>
      </c>
      <c r="U490" s="24">
        <v>47483.0</v>
      </c>
      <c r="V490" s="20">
        <v>0.0</v>
      </c>
      <c r="W490" s="20">
        <v>1.0</v>
      </c>
      <c r="X490" s="24">
        <v>47484.0</v>
      </c>
      <c r="Y490" s="24">
        <v>47848.0</v>
      </c>
      <c r="Z490" s="20">
        <v>0.0</v>
      </c>
      <c r="AA490" s="20">
        <v>1.0</v>
      </c>
      <c r="AB490" s="24"/>
      <c r="AC490" s="24"/>
    </row>
    <row r="491" ht="14.25" customHeight="1">
      <c r="A491" s="46" t="s">
        <v>1240</v>
      </c>
      <c r="B491" s="20" t="s">
        <v>1241</v>
      </c>
      <c r="C491" s="20" t="s">
        <v>7041</v>
      </c>
      <c r="D491" s="24">
        <v>45658.0</v>
      </c>
      <c r="E491" s="24">
        <v>46022.0</v>
      </c>
      <c r="F491" s="20">
        <v>0.0</v>
      </c>
      <c r="G491" s="20">
        <v>1.0</v>
      </c>
      <c r="H491" s="24">
        <v>46023.0</v>
      </c>
      <c r="I491" s="24">
        <v>46387.0</v>
      </c>
      <c r="J491" s="20">
        <v>0.0</v>
      </c>
      <c r="K491" s="20">
        <v>1.0</v>
      </c>
      <c r="L491" s="24">
        <v>46388.0</v>
      </c>
      <c r="M491" s="24">
        <v>46752.0</v>
      </c>
      <c r="N491" s="20">
        <v>0.0</v>
      </c>
      <c r="O491" s="20">
        <v>1.0</v>
      </c>
      <c r="P491" s="24">
        <v>46753.0</v>
      </c>
      <c r="Q491" s="24">
        <v>47118.0</v>
      </c>
      <c r="R491" s="20">
        <v>0.0</v>
      </c>
      <c r="S491" s="20">
        <v>1.0</v>
      </c>
      <c r="T491" s="24">
        <v>47119.0</v>
      </c>
      <c r="U491" s="24">
        <v>47483.0</v>
      </c>
      <c r="V491" s="20">
        <v>0.0</v>
      </c>
      <c r="W491" s="20">
        <v>1.0</v>
      </c>
      <c r="X491" s="24">
        <v>47484.0</v>
      </c>
      <c r="Y491" s="24">
        <v>47848.0</v>
      </c>
      <c r="Z491" s="20">
        <v>0.0</v>
      </c>
      <c r="AA491" s="20">
        <v>1.0</v>
      </c>
      <c r="AB491" s="24"/>
      <c r="AC491" s="24"/>
    </row>
    <row r="492" ht="14.25" customHeight="1">
      <c r="A492" s="46" t="s">
        <v>6864</v>
      </c>
      <c r="B492" s="20" t="s">
        <v>6865</v>
      </c>
      <c r="C492" s="20" t="s">
        <v>7041</v>
      </c>
      <c r="D492" s="24">
        <v>45658.0</v>
      </c>
      <c r="E492" s="24">
        <v>46022.0</v>
      </c>
      <c r="F492" s="20">
        <v>0.0</v>
      </c>
      <c r="G492" s="20">
        <v>1.0</v>
      </c>
      <c r="H492" s="24">
        <v>46023.0</v>
      </c>
      <c r="I492" s="24">
        <v>46387.0</v>
      </c>
      <c r="J492" s="20">
        <v>0.0</v>
      </c>
      <c r="K492" s="20">
        <v>1.0</v>
      </c>
      <c r="L492" s="24">
        <v>46388.0</v>
      </c>
      <c r="M492" s="24">
        <v>46752.0</v>
      </c>
      <c r="N492" s="20">
        <v>0.0</v>
      </c>
      <c r="O492" s="20">
        <v>1.0</v>
      </c>
      <c r="P492" s="24">
        <v>46753.0</v>
      </c>
      <c r="Q492" s="24">
        <v>47118.0</v>
      </c>
      <c r="R492" s="20">
        <v>0.0</v>
      </c>
      <c r="S492" s="20">
        <v>1.0</v>
      </c>
      <c r="T492" s="24">
        <v>47119.0</v>
      </c>
      <c r="U492" s="24">
        <v>47483.0</v>
      </c>
      <c r="V492" s="20">
        <v>0.0</v>
      </c>
      <c r="W492" s="20">
        <v>1.0</v>
      </c>
      <c r="X492" s="24">
        <v>47484.0</v>
      </c>
      <c r="Y492" s="24">
        <v>47848.0</v>
      </c>
      <c r="Z492" s="20">
        <v>0.0</v>
      </c>
      <c r="AA492" s="20">
        <v>1.0</v>
      </c>
      <c r="AB492" s="24"/>
      <c r="AC492" s="24"/>
    </row>
    <row r="493" ht="14.25" customHeight="1">
      <c r="A493" s="46" t="s">
        <v>6402</v>
      </c>
      <c r="B493" s="20" t="s">
        <v>6403</v>
      </c>
      <c r="C493" s="20" t="s">
        <v>7041</v>
      </c>
      <c r="D493" s="24">
        <v>45658.0</v>
      </c>
      <c r="E493" s="24">
        <v>46022.0</v>
      </c>
      <c r="F493" s="20">
        <v>0.0</v>
      </c>
      <c r="G493" s="20">
        <v>1.0</v>
      </c>
      <c r="H493" s="24">
        <v>46023.0</v>
      </c>
      <c r="I493" s="24">
        <v>46387.0</v>
      </c>
      <c r="J493" s="20">
        <v>0.0</v>
      </c>
      <c r="K493" s="20">
        <v>1.0</v>
      </c>
      <c r="L493" s="24">
        <v>46388.0</v>
      </c>
      <c r="M493" s="24">
        <v>46752.0</v>
      </c>
      <c r="N493" s="20">
        <v>0.0</v>
      </c>
      <c r="O493" s="20">
        <v>1.0</v>
      </c>
      <c r="P493" s="24">
        <v>46753.0</v>
      </c>
      <c r="Q493" s="24">
        <v>47118.0</v>
      </c>
      <c r="R493" s="20">
        <v>0.0</v>
      </c>
      <c r="S493" s="20">
        <v>1.0</v>
      </c>
      <c r="T493" s="24">
        <v>47119.0</v>
      </c>
      <c r="U493" s="24">
        <v>47483.0</v>
      </c>
      <c r="V493" s="20">
        <v>0.0</v>
      </c>
      <c r="W493" s="20">
        <v>1.0</v>
      </c>
      <c r="X493" s="24">
        <v>47484.0</v>
      </c>
      <c r="Y493" s="24">
        <v>47848.0</v>
      </c>
      <c r="Z493" s="20">
        <v>0.0</v>
      </c>
      <c r="AA493" s="20">
        <v>1.0</v>
      </c>
      <c r="AB493" s="24"/>
      <c r="AC493" s="24"/>
    </row>
    <row r="494" ht="14.25" customHeight="1">
      <c r="A494" s="46" t="s">
        <v>2719</v>
      </c>
      <c r="B494" s="20" t="s">
        <v>2720</v>
      </c>
      <c r="C494" s="20" t="s">
        <v>7041</v>
      </c>
      <c r="D494" s="24">
        <v>45658.0</v>
      </c>
      <c r="E494" s="24">
        <v>46022.0</v>
      </c>
      <c r="F494" s="20">
        <v>1.0</v>
      </c>
      <c r="G494" s="20">
        <v>1.0</v>
      </c>
      <c r="H494" s="24">
        <v>46023.0</v>
      </c>
      <c r="I494" s="24">
        <v>46387.0</v>
      </c>
      <c r="J494" s="20">
        <v>0.0</v>
      </c>
      <c r="K494" s="20">
        <v>1.0</v>
      </c>
      <c r="L494" s="24">
        <v>46388.0</v>
      </c>
      <c r="M494" s="24">
        <v>46752.0</v>
      </c>
      <c r="N494" s="20">
        <v>0.0</v>
      </c>
      <c r="O494" s="20">
        <v>1.0</v>
      </c>
      <c r="P494" s="24">
        <v>46753.0</v>
      </c>
      <c r="Q494" s="24">
        <v>47118.0</v>
      </c>
      <c r="R494" s="20">
        <v>0.0</v>
      </c>
      <c r="S494" s="20">
        <v>1.0</v>
      </c>
      <c r="T494" s="24">
        <v>47119.0</v>
      </c>
      <c r="U494" s="24">
        <v>47483.0</v>
      </c>
      <c r="V494" s="20">
        <v>0.0</v>
      </c>
      <c r="W494" s="20">
        <v>1.0</v>
      </c>
      <c r="X494" s="24">
        <v>47484.0</v>
      </c>
      <c r="Y494" s="24">
        <v>47848.0</v>
      </c>
      <c r="Z494" s="20">
        <v>0.0</v>
      </c>
      <c r="AA494" s="20">
        <v>1.0</v>
      </c>
      <c r="AB494" s="24"/>
      <c r="AC494" s="24"/>
    </row>
    <row r="495" ht="14.25" customHeight="1">
      <c r="A495" s="46" t="s">
        <v>2301</v>
      </c>
      <c r="B495" s="20" t="s">
        <v>2302</v>
      </c>
      <c r="C495" s="20" t="s">
        <v>7041</v>
      </c>
      <c r="D495" s="24">
        <v>45658.0</v>
      </c>
      <c r="E495" s="24">
        <v>46022.0</v>
      </c>
      <c r="F495" s="20">
        <v>1.0</v>
      </c>
      <c r="G495" s="20">
        <v>1.0</v>
      </c>
      <c r="H495" s="24">
        <v>46023.0</v>
      </c>
      <c r="I495" s="24">
        <v>46387.0</v>
      </c>
      <c r="J495" s="20">
        <v>0.0</v>
      </c>
      <c r="K495" s="20">
        <v>1.0</v>
      </c>
      <c r="L495" s="24">
        <v>46388.0</v>
      </c>
      <c r="M495" s="24">
        <v>46752.0</v>
      </c>
      <c r="N495" s="20">
        <v>0.0</v>
      </c>
      <c r="O495" s="20">
        <v>1.0</v>
      </c>
      <c r="P495" s="24">
        <v>46753.0</v>
      </c>
      <c r="Q495" s="24">
        <v>47118.0</v>
      </c>
      <c r="R495" s="20">
        <v>0.0</v>
      </c>
      <c r="S495" s="20">
        <v>1.0</v>
      </c>
      <c r="T495" s="24">
        <v>47119.0</v>
      </c>
      <c r="U495" s="24">
        <v>47483.0</v>
      </c>
      <c r="V495" s="20">
        <v>0.0</v>
      </c>
      <c r="W495" s="20">
        <v>1.0</v>
      </c>
      <c r="X495" s="24">
        <v>47484.0</v>
      </c>
      <c r="Y495" s="24">
        <v>47848.0</v>
      </c>
      <c r="Z495" s="20">
        <v>0.0</v>
      </c>
      <c r="AA495" s="20">
        <v>1.0</v>
      </c>
      <c r="AB495" s="24"/>
      <c r="AC495" s="24"/>
    </row>
    <row r="496" ht="14.25" customHeight="1">
      <c r="A496" s="46" t="s">
        <v>3120</v>
      </c>
      <c r="B496" s="20" t="s">
        <v>3121</v>
      </c>
      <c r="C496" s="20" t="s">
        <v>7041</v>
      </c>
      <c r="D496" s="24">
        <v>45658.0</v>
      </c>
      <c r="E496" s="24">
        <v>46022.0</v>
      </c>
      <c r="F496" s="20">
        <v>0.0</v>
      </c>
      <c r="G496" s="20">
        <v>1.0</v>
      </c>
      <c r="H496" s="24">
        <v>46023.0</v>
      </c>
      <c r="I496" s="24">
        <v>46387.0</v>
      </c>
      <c r="J496" s="20">
        <v>0.0</v>
      </c>
      <c r="K496" s="20">
        <v>1.0</v>
      </c>
      <c r="L496" s="24">
        <v>46388.0</v>
      </c>
      <c r="M496" s="24">
        <v>46752.0</v>
      </c>
      <c r="N496" s="20">
        <v>0.0</v>
      </c>
      <c r="O496" s="20">
        <v>1.0</v>
      </c>
      <c r="P496" s="24">
        <v>46753.0</v>
      </c>
      <c r="Q496" s="24">
        <v>47118.0</v>
      </c>
      <c r="R496" s="20">
        <v>0.0</v>
      </c>
      <c r="S496" s="20">
        <v>1.0</v>
      </c>
      <c r="T496" s="24">
        <v>47119.0</v>
      </c>
      <c r="U496" s="24">
        <v>47483.0</v>
      </c>
      <c r="V496" s="20">
        <v>0.0</v>
      </c>
      <c r="W496" s="20">
        <v>1.0</v>
      </c>
      <c r="X496" s="24">
        <v>47484.0</v>
      </c>
      <c r="Y496" s="24">
        <v>47848.0</v>
      </c>
      <c r="Z496" s="20">
        <v>0.0</v>
      </c>
      <c r="AA496" s="20">
        <v>1.0</v>
      </c>
      <c r="AB496" s="24"/>
      <c r="AC496" s="24"/>
    </row>
    <row r="497" ht="14.25" customHeight="1">
      <c r="A497" s="46" t="s">
        <v>7022</v>
      </c>
      <c r="B497" s="20" t="s">
        <v>7023</v>
      </c>
      <c r="C497" s="20" t="s">
        <v>7041</v>
      </c>
      <c r="D497" s="24">
        <v>45658.0</v>
      </c>
      <c r="E497" s="24">
        <v>46022.0</v>
      </c>
      <c r="F497" s="20">
        <v>1.0</v>
      </c>
      <c r="G497" s="20">
        <v>1.0</v>
      </c>
      <c r="H497" s="24">
        <v>46023.0</v>
      </c>
      <c r="I497" s="24">
        <v>46387.0</v>
      </c>
      <c r="J497" s="20">
        <v>0.0</v>
      </c>
      <c r="K497" s="20">
        <v>1.0</v>
      </c>
      <c r="L497" s="24">
        <v>46388.0</v>
      </c>
      <c r="M497" s="24">
        <v>46752.0</v>
      </c>
      <c r="N497" s="20">
        <v>0.0</v>
      </c>
      <c r="O497" s="20">
        <v>1.0</v>
      </c>
      <c r="P497" s="24">
        <v>46753.0</v>
      </c>
      <c r="Q497" s="24">
        <v>47118.0</v>
      </c>
      <c r="R497" s="20">
        <v>0.0</v>
      </c>
      <c r="S497" s="20">
        <v>1.0</v>
      </c>
      <c r="T497" s="24">
        <v>47119.0</v>
      </c>
      <c r="U497" s="24">
        <v>47483.0</v>
      </c>
      <c r="V497" s="20">
        <v>0.0</v>
      </c>
      <c r="W497" s="20">
        <v>1.0</v>
      </c>
      <c r="X497" s="24">
        <v>47484.0</v>
      </c>
      <c r="Y497" s="24">
        <v>47848.0</v>
      </c>
      <c r="Z497" s="20">
        <v>0.0</v>
      </c>
      <c r="AA497" s="20">
        <v>1.0</v>
      </c>
      <c r="AB497" s="24"/>
      <c r="AC497" s="24"/>
    </row>
    <row r="498" ht="14.25" customHeight="1">
      <c r="A498" s="46" t="s">
        <v>6684</v>
      </c>
      <c r="B498" s="20" t="s">
        <v>6685</v>
      </c>
      <c r="C498" s="20" t="s">
        <v>7041</v>
      </c>
      <c r="D498" s="24">
        <v>45658.0</v>
      </c>
      <c r="E498" s="24">
        <v>46022.0</v>
      </c>
      <c r="F498" s="20">
        <v>1.0</v>
      </c>
      <c r="G498" s="20">
        <v>1.0</v>
      </c>
      <c r="H498" s="24">
        <v>46023.0</v>
      </c>
      <c r="I498" s="24">
        <v>46387.0</v>
      </c>
      <c r="J498" s="20">
        <v>0.0</v>
      </c>
      <c r="K498" s="20">
        <v>1.0</v>
      </c>
      <c r="L498" s="24">
        <v>46388.0</v>
      </c>
      <c r="M498" s="24">
        <v>46752.0</v>
      </c>
      <c r="N498" s="20">
        <v>0.0</v>
      </c>
      <c r="O498" s="20">
        <v>1.0</v>
      </c>
      <c r="P498" s="24">
        <v>46753.0</v>
      </c>
      <c r="Q498" s="24">
        <v>47118.0</v>
      </c>
      <c r="R498" s="20">
        <v>0.0</v>
      </c>
      <c r="S498" s="20">
        <v>1.0</v>
      </c>
      <c r="T498" s="24">
        <v>47119.0</v>
      </c>
      <c r="U498" s="24">
        <v>47483.0</v>
      </c>
      <c r="V498" s="20">
        <v>0.0</v>
      </c>
      <c r="W498" s="20">
        <v>1.0</v>
      </c>
      <c r="X498" s="24">
        <v>47484.0</v>
      </c>
      <c r="Y498" s="24">
        <v>47848.0</v>
      </c>
      <c r="Z498" s="20">
        <v>0.0</v>
      </c>
      <c r="AA498" s="20">
        <v>1.0</v>
      </c>
      <c r="AB498" s="24"/>
      <c r="AC498" s="24"/>
    </row>
    <row r="499" ht="14.25" customHeight="1">
      <c r="A499" s="46" t="s">
        <v>4798</v>
      </c>
      <c r="B499" s="20" t="s">
        <v>4799</v>
      </c>
      <c r="C499" s="20" t="s">
        <v>7041</v>
      </c>
      <c r="D499" s="24">
        <v>45658.0</v>
      </c>
      <c r="E499" s="24">
        <v>46022.0</v>
      </c>
      <c r="F499" s="20">
        <v>1.0</v>
      </c>
      <c r="G499" s="20">
        <v>1.0</v>
      </c>
      <c r="H499" s="24">
        <v>46023.0</v>
      </c>
      <c r="I499" s="24">
        <v>46387.0</v>
      </c>
      <c r="J499" s="20">
        <v>0.0</v>
      </c>
      <c r="K499" s="20">
        <v>1.0</v>
      </c>
      <c r="L499" s="24">
        <v>46388.0</v>
      </c>
      <c r="M499" s="24">
        <v>46752.0</v>
      </c>
      <c r="N499" s="20">
        <v>0.0</v>
      </c>
      <c r="O499" s="20">
        <v>1.0</v>
      </c>
      <c r="P499" s="24">
        <v>46753.0</v>
      </c>
      <c r="Q499" s="24">
        <v>47118.0</v>
      </c>
      <c r="R499" s="20">
        <v>0.0</v>
      </c>
      <c r="S499" s="20">
        <v>1.0</v>
      </c>
      <c r="T499" s="24">
        <v>47119.0</v>
      </c>
      <c r="U499" s="24">
        <v>47483.0</v>
      </c>
      <c r="V499" s="20">
        <v>0.0</v>
      </c>
      <c r="W499" s="20">
        <v>1.0</v>
      </c>
      <c r="X499" s="24">
        <v>47484.0</v>
      </c>
      <c r="Y499" s="24">
        <v>47848.0</v>
      </c>
      <c r="Z499" s="20">
        <v>0.0</v>
      </c>
      <c r="AA499" s="20">
        <v>1.0</v>
      </c>
      <c r="AB499" s="24"/>
      <c r="AC499" s="24"/>
    </row>
    <row r="500" ht="14.25" customHeight="1">
      <c r="A500" s="46" t="s">
        <v>3206</v>
      </c>
      <c r="B500" s="20" t="s">
        <v>3207</v>
      </c>
      <c r="C500" s="20" t="s">
        <v>7041</v>
      </c>
      <c r="D500" s="24">
        <v>45658.0</v>
      </c>
      <c r="E500" s="24">
        <v>46022.0</v>
      </c>
      <c r="F500" s="20">
        <v>0.0</v>
      </c>
      <c r="G500" s="20">
        <v>1.0</v>
      </c>
      <c r="H500" s="24">
        <v>46023.0</v>
      </c>
      <c r="I500" s="24">
        <v>46387.0</v>
      </c>
      <c r="J500" s="20">
        <v>0.0</v>
      </c>
      <c r="K500" s="20">
        <v>1.0</v>
      </c>
      <c r="L500" s="24">
        <v>46388.0</v>
      </c>
      <c r="M500" s="24">
        <v>46752.0</v>
      </c>
      <c r="N500" s="20">
        <v>0.0</v>
      </c>
      <c r="O500" s="20">
        <v>1.0</v>
      </c>
      <c r="P500" s="24">
        <v>46753.0</v>
      </c>
      <c r="Q500" s="24">
        <v>47118.0</v>
      </c>
      <c r="R500" s="20">
        <v>0.0</v>
      </c>
      <c r="S500" s="20">
        <v>1.0</v>
      </c>
      <c r="T500" s="24">
        <v>47119.0</v>
      </c>
      <c r="U500" s="24">
        <v>47483.0</v>
      </c>
      <c r="V500" s="20">
        <v>0.0</v>
      </c>
      <c r="W500" s="20">
        <v>1.0</v>
      </c>
      <c r="X500" s="24">
        <v>47484.0</v>
      </c>
      <c r="Y500" s="24">
        <v>47848.0</v>
      </c>
      <c r="Z500" s="20">
        <v>0.0</v>
      </c>
      <c r="AA500" s="20">
        <v>1.0</v>
      </c>
      <c r="AB500" s="24"/>
      <c r="AC500" s="24"/>
    </row>
    <row r="501" ht="14.25" customHeight="1">
      <c r="A501" s="46" t="s">
        <v>3330</v>
      </c>
      <c r="B501" s="20" t="s">
        <v>3331</v>
      </c>
      <c r="C501" s="20" t="s">
        <v>7041</v>
      </c>
      <c r="D501" s="24">
        <v>45658.0</v>
      </c>
      <c r="E501" s="24">
        <v>46022.0</v>
      </c>
      <c r="F501" s="20">
        <v>0.0</v>
      </c>
      <c r="G501" s="20">
        <v>1.0</v>
      </c>
      <c r="H501" s="24">
        <v>46023.0</v>
      </c>
      <c r="I501" s="24">
        <v>46387.0</v>
      </c>
      <c r="J501" s="20">
        <v>0.0</v>
      </c>
      <c r="K501" s="20">
        <v>1.0</v>
      </c>
      <c r="L501" s="24">
        <v>46388.0</v>
      </c>
      <c r="M501" s="24">
        <v>46752.0</v>
      </c>
      <c r="N501" s="20">
        <v>0.0</v>
      </c>
      <c r="O501" s="20">
        <v>1.0</v>
      </c>
      <c r="P501" s="24">
        <v>46753.0</v>
      </c>
      <c r="Q501" s="24">
        <v>47118.0</v>
      </c>
      <c r="R501" s="20">
        <v>0.0</v>
      </c>
      <c r="S501" s="20">
        <v>1.0</v>
      </c>
      <c r="T501" s="24">
        <v>47119.0</v>
      </c>
      <c r="U501" s="24">
        <v>47483.0</v>
      </c>
      <c r="V501" s="20">
        <v>0.0</v>
      </c>
      <c r="W501" s="20">
        <v>1.0</v>
      </c>
      <c r="X501" s="24">
        <v>47484.0</v>
      </c>
      <c r="Y501" s="24">
        <v>47848.0</v>
      </c>
      <c r="Z501" s="20">
        <v>0.0</v>
      </c>
      <c r="AA501" s="20">
        <v>1.0</v>
      </c>
      <c r="AB501" s="24"/>
      <c r="AC501" s="24"/>
    </row>
    <row r="502" ht="14.25" customHeight="1">
      <c r="A502" s="46" t="s">
        <v>4501</v>
      </c>
      <c r="B502" s="20" t="s">
        <v>4502</v>
      </c>
      <c r="C502" s="20" t="s">
        <v>7041</v>
      </c>
      <c r="D502" s="24">
        <v>45658.0</v>
      </c>
      <c r="E502" s="24">
        <v>46022.0</v>
      </c>
      <c r="F502" s="20">
        <v>0.0</v>
      </c>
      <c r="G502" s="20">
        <v>1.0</v>
      </c>
      <c r="H502" s="24">
        <v>46023.0</v>
      </c>
      <c r="I502" s="24">
        <v>46387.0</v>
      </c>
      <c r="J502" s="20">
        <v>0.0</v>
      </c>
      <c r="K502" s="20">
        <v>1.0</v>
      </c>
      <c r="L502" s="24">
        <v>46388.0</v>
      </c>
      <c r="M502" s="24">
        <v>46752.0</v>
      </c>
      <c r="N502" s="20">
        <v>0.0</v>
      </c>
      <c r="O502" s="20">
        <v>1.0</v>
      </c>
      <c r="P502" s="24">
        <v>46753.0</v>
      </c>
      <c r="Q502" s="24">
        <v>47118.0</v>
      </c>
      <c r="R502" s="20">
        <v>0.0</v>
      </c>
      <c r="S502" s="20">
        <v>1.0</v>
      </c>
      <c r="T502" s="24">
        <v>47119.0</v>
      </c>
      <c r="U502" s="24">
        <v>47483.0</v>
      </c>
      <c r="V502" s="20">
        <v>0.0</v>
      </c>
      <c r="W502" s="20">
        <v>1.0</v>
      </c>
      <c r="X502" s="24">
        <v>47484.0</v>
      </c>
      <c r="Y502" s="24">
        <v>47848.0</v>
      </c>
      <c r="Z502" s="20">
        <v>0.0</v>
      </c>
      <c r="AA502" s="20">
        <v>1.0</v>
      </c>
      <c r="AB502" s="24"/>
      <c r="AC502" s="24"/>
    </row>
    <row r="503" ht="14.25" customHeight="1">
      <c r="A503" s="46" t="s">
        <v>3067</v>
      </c>
      <c r="B503" s="20" t="s">
        <v>3068</v>
      </c>
      <c r="C503" s="20" t="s">
        <v>7041</v>
      </c>
      <c r="D503" s="24">
        <v>45658.0</v>
      </c>
      <c r="E503" s="24">
        <v>46022.0</v>
      </c>
      <c r="F503" s="20">
        <v>1.0</v>
      </c>
      <c r="G503" s="20">
        <v>1.0</v>
      </c>
      <c r="H503" s="24">
        <v>46023.0</v>
      </c>
      <c r="I503" s="24">
        <v>46387.0</v>
      </c>
      <c r="J503" s="20">
        <v>0.0</v>
      </c>
      <c r="K503" s="20">
        <v>1.0</v>
      </c>
      <c r="L503" s="24">
        <v>46388.0</v>
      </c>
      <c r="M503" s="24">
        <v>46752.0</v>
      </c>
      <c r="N503" s="20">
        <v>0.0</v>
      </c>
      <c r="O503" s="20">
        <v>1.0</v>
      </c>
      <c r="P503" s="24">
        <v>46753.0</v>
      </c>
      <c r="Q503" s="24">
        <v>47118.0</v>
      </c>
      <c r="R503" s="20">
        <v>0.0</v>
      </c>
      <c r="S503" s="20">
        <v>1.0</v>
      </c>
      <c r="T503" s="24">
        <v>47119.0</v>
      </c>
      <c r="U503" s="24">
        <v>47483.0</v>
      </c>
      <c r="V503" s="20">
        <v>0.0</v>
      </c>
      <c r="W503" s="20">
        <v>1.0</v>
      </c>
      <c r="X503" s="24">
        <v>47484.0</v>
      </c>
      <c r="Y503" s="24">
        <v>47848.0</v>
      </c>
      <c r="Z503" s="20">
        <v>0.0</v>
      </c>
      <c r="AA503" s="20">
        <v>1.0</v>
      </c>
      <c r="AB503" s="24"/>
      <c r="AC503" s="24"/>
    </row>
    <row r="504" ht="14.25" customHeight="1">
      <c r="A504" s="46" t="s">
        <v>6744</v>
      </c>
      <c r="B504" s="20" t="s">
        <v>6745</v>
      </c>
      <c r="C504" s="20" t="s">
        <v>7041</v>
      </c>
      <c r="D504" s="24">
        <v>45658.0</v>
      </c>
      <c r="E504" s="24">
        <v>46022.0</v>
      </c>
      <c r="F504" s="20">
        <v>0.0</v>
      </c>
      <c r="G504" s="20">
        <v>1.0</v>
      </c>
      <c r="H504" s="24">
        <v>46023.0</v>
      </c>
      <c r="I504" s="24">
        <v>46387.0</v>
      </c>
      <c r="J504" s="20">
        <v>0.0</v>
      </c>
      <c r="K504" s="20">
        <v>1.0</v>
      </c>
      <c r="L504" s="24">
        <v>46388.0</v>
      </c>
      <c r="M504" s="24">
        <v>46752.0</v>
      </c>
      <c r="N504" s="20">
        <v>0.0</v>
      </c>
      <c r="O504" s="20">
        <v>1.0</v>
      </c>
      <c r="P504" s="24">
        <v>46753.0</v>
      </c>
      <c r="Q504" s="24">
        <v>47118.0</v>
      </c>
      <c r="R504" s="20">
        <v>0.0</v>
      </c>
      <c r="S504" s="20">
        <v>1.0</v>
      </c>
      <c r="T504" s="24">
        <v>47119.0</v>
      </c>
      <c r="U504" s="24">
        <v>47483.0</v>
      </c>
      <c r="V504" s="20">
        <v>0.0</v>
      </c>
      <c r="W504" s="20">
        <v>1.0</v>
      </c>
      <c r="X504" s="24">
        <v>47484.0</v>
      </c>
      <c r="Y504" s="24">
        <v>47848.0</v>
      </c>
      <c r="Z504" s="20">
        <v>0.0</v>
      </c>
      <c r="AA504" s="20">
        <v>1.0</v>
      </c>
      <c r="AB504" s="24"/>
      <c r="AC504" s="24"/>
    </row>
    <row r="505" ht="14.25" customHeight="1">
      <c r="A505" s="46" t="s">
        <v>4178</v>
      </c>
      <c r="B505" s="20" t="s">
        <v>4179</v>
      </c>
      <c r="C505" s="20" t="s">
        <v>7041</v>
      </c>
      <c r="D505" s="24">
        <v>45658.0</v>
      </c>
      <c r="E505" s="24">
        <v>46022.0</v>
      </c>
      <c r="F505" s="20">
        <v>0.0</v>
      </c>
      <c r="G505" s="20">
        <v>1.0</v>
      </c>
      <c r="H505" s="24">
        <v>46023.0</v>
      </c>
      <c r="I505" s="24">
        <v>46387.0</v>
      </c>
      <c r="J505" s="20">
        <v>0.0</v>
      </c>
      <c r="K505" s="20">
        <v>1.0</v>
      </c>
      <c r="L505" s="24">
        <v>46388.0</v>
      </c>
      <c r="M505" s="24">
        <v>46752.0</v>
      </c>
      <c r="N505" s="20">
        <v>0.0</v>
      </c>
      <c r="O505" s="20">
        <v>1.0</v>
      </c>
      <c r="P505" s="24">
        <v>46753.0</v>
      </c>
      <c r="Q505" s="24">
        <v>47118.0</v>
      </c>
      <c r="R505" s="20">
        <v>0.0</v>
      </c>
      <c r="S505" s="20">
        <v>1.0</v>
      </c>
      <c r="T505" s="24">
        <v>47119.0</v>
      </c>
      <c r="U505" s="24">
        <v>47483.0</v>
      </c>
      <c r="V505" s="20">
        <v>0.0</v>
      </c>
      <c r="W505" s="20">
        <v>1.0</v>
      </c>
      <c r="X505" s="24">
        <v>47484.0</v>
      </c>
      <c r="Y505" s="24">
        <v>47848.0</v>
      </c>
      <c r="Z505" s="20">
        <v>0.0</v>
      </c>
      <c r="AA505" s="20">
        <v>1.0</v>
      </c>
      <c r="AB505" s="24"/>
      <c r="AC505" s="24"/>
    </row>
    <row r="506" ht="14.25" customHeight="1">
      <c r="A506" s="46" t="s">
        <v>6408</v>
      </c>
      <c r="B506" s="20" t="s">
        <v>6409</v>
      </c>
      <c r="C506" s="20" t="s">
        <v>7041</v>
      </c>
      <c r="D506" s="24">
        <v>45658.0</v>
      </c>
      <c r="E506" s="24">
        <v>46022.0</v>
      </c>
      <c r="F506" s="20">
        <v>0.0</v>
      </c>
      <c r="G506" s="20">
        <v>1.0</v>
      </c>
      <c r="H506" s="24">
        <v>46023.0</v>
      </c>
      <c r="I506" s="24">
        <v>46387.0</v>
      </c>
      <c r="J506" s="20">
        <v>0.0</v>
      </c>
      <c r="K506" s="20">
        <v>1.0</v>
      </c>
      <c r="L506" s="24">
        <v>46388.0</v>
      </c>
      <c r="M506" s="24">
        <v>46752.0</v>
      </c>
      <c r="N506" s="20">
        <v>0.0</v>
      </c>
      <c r="O506" s="20">
        <v>1.0</v>
      </c>
      <c r="P506" s="24">
        <v>46753.0</v>
      </c>
      <c r="Q506" s="24">
        <v>47118.0</v>
      </c>
      <c r="R506" s="20">
        <v>0.0</v>
      </c>
      <c r="S506" s="20">
        <v>1.0</v>
      </c>
      <c r="T506" s="24">
        <v>47119.0</v>
      </c>
      <c r="U506" s="24">
        <v>47483.0</v>
      </c>
      <c r="V506" s="20">
        <v>0.0</v>
      </c>
      <c r="W506" s="20">
        <v>1.0</v>
      </c>
      <c r="X506" s="24">
        <v>47484.0</v>
      </c>
      <c r="Y506" s="24">
        <v>47848.0</v>
      </c>
      <c r="Z506" s="20">
        <v>0.0</v>
      </c>
      <c r="AA506" s="20">
        <v>1.0</v>
      </c>
      <c r="AB506" s="24"/>
      <c r="AC506" s="24"/>
    </row>
    <row r="507" ht="14.25" customHeight="1">
      <c r="A507" s="46" t="s">
        <v>6420</v>
      </c>
      <c r="B507" s="20" t="s">
        <v>6421</v>
      </c>
      <c r="C507" s="20" t="s">
        <v>7041</v>
      </c>
      <c r="D507" s="24">
        <v>45658.0</v>
      </c>
      <c r="E507" s="24">
        <v>46022.0</v>
      </c>
      <c r="F507" s="20">
        <v>0.0</v>
      </c>
      <c r="G507" s="20">
        <v>1.0</v>
      </c>
      <c r="H507" s="24">
        <v>46023.0</v>
      </c>
      <c r="I507" s="24">
        <v>46387.0</v>
      </c>
      <c r="J507" s="20">
        <v>0.0</v>
      </c>
      <c r="K507" s="20">
        <v>1.0</v>
      </c>
      <c r="L507" s="24">
        <v>46388.0</v>
      </c>
      <c r="M507" s="24">
        <v>46752.0</v>
      </c>
      <c r="N507" s="20">
        <v>0.0</v>
      </c>
      <c r="O507" s="20">
        <v>1.0</v>
      </c>
      <c r="P507" s="24">
        <v>46753.0</v>
      </c>
      <c r="Q507" s="24">
        <v>47118.0</v>
      </c>
      <c r="R507" s="20">
        <v>0.0</v>
      </c>
      <c r="S507" s="20">
        <v>1.0</v>
      </c>
      <c r="T507" s="24">
        <v>47119.0</v>
      </c>
      <c r="U507" s="24">
        <v>47483.0</v>
      </c>
      <c r="V507" s="20">
        <v>0.0</v>
      </c>
      <c r="W507" s="20">
        <v>1.0</v>
      </c>
      <c r="X507" s="24">
        <v>47484.0</v>
      </c>
      <c r="Y507" s="24">
        <v>47848.0</v>
      </c>
      <c r="Z507" s="20">
        <v>0.0</v>
      </c>
      <c r="AA507" s="20">
        <v>1.0</v>
      </c>
      <c r="AB507" s="24"/>
      <c r="AC507" s="24"/>
    </row>
    <row r="508" ht="14.25" customHeight="1">
      <c r="A508" s="46" t="s">
        <v>1702</v>
      </c>
      <c r="B508" s="20" t="s">
        <v>1703</v>
      </c>
      <c r="C508" s="20" t="s">
        <v>7041</v>
      </c>
      <c r="D508" s="24">
        <v>45658.0</v>
      </c>
      <c r="E508" s="24">
        <v>46022.0</v>
      </c>
      <c r="F508" s="20">
        <v>1.0</v>
      </c>
      <c r="G508" s="20">
        <v>1.0</v>
      </c>
      <c r="H508" s="24">
        <v>46023.0</v>
      </c>
      <c r="I508" s="24">
        <v>46387.0</v>
      </c>
      <c r="J508" s="20">
        <v>0.0</v>
      </c>
      <c r="K508" s="20">
        <v>1.0</v>
      </c>
      <c r="L508" s="24">
        <v>46388.0</v>
      </c>
      <c r="M508" s="24">
        <v>46752.0</v>
      </c>
      <c r="N508" s="20">
        <v>0.0</v>
      </c>
      <c r="O508" s="20">
        <v>1.0</v>
      </c>
      <c r="P508" s="24">
        <v>46753.0</v>
      </c>
      <c r="Q508" s="24">
        <v>47118.0</v>
      </c>
      <c r="R508" s="20">
        <v>0.0</v>
      </c>
      <c r="S508" s="20">
        <v>1.0</v>
      </c>
      <c r="T508" s="24">
        <v>47119.0</v>
      </c>
      <c r="U508" s="24">
        <v>47483.0</v>
      </c>
      <c r="V508" s="20">
        <v>0.0</v>
      </c>
      <c r="W508" s="20">
        <v>1.0</v>
      </c>
      <c r="X508" s="24">
        <v>47484.0</v>
      </c>
      <c r="Y508" s="24">
        <v>47848.0</v>
      </c>
      <c r="Z508" s="20">
        <v>0.0</v>
      </c>
      <c r="AA508" s="20">
        <v>1.0</v>
      </c>
      <c r="AB508" s="24"/>
      <c r="AC508" s="24"/>
    </row>
    <row r="509" ht="14.25" customHeight="1">
      <c r="A509" s="46" t="s">
        <v>2056</v>
      </c>
      <c r="B509" s="20" t="s">
        <v>2057</v>
      </c>
      <c r="C509" s="20" t="s">
        <v>7041</v>
      </c>
      <c r="D509" s="24">
        <v>45658.0</v>
      </c>
      <c r="E509" s="24">
        <v>46022.0</v>
      </c>
      <c r="F509" s="20">
        <v>0.0</v>
      </c>
      <c r="G509" s="20">
        <v>1.0</v>
      </c>
      <c r="H509" s="24">
        <v>46023.0</v>
      </c>
      <c r="I509" s="24">
        <v>46387.0</v>
      </c>
      <c r="J509" s="20">
        <v>0.0</v>
      </c>
      <c r="K509" s="20">
        <v>1.0</v>
      </c>
      <c r="L509" s="24">
        <v>46388.0</v>
      </c>
      <c r="M509" s="24">
        <v>46752.0</v>
      </c>
      <c r="N509" s="20">
        <v>0.0</v>
      </c>
      <c r="O509" s="20">
        <v>1.0</v>
      </c>
      <c r="P509" s="24">
        <v>46753.0</v>
      </c>
      <c r="Q509" s="24">
        <v>47118.0</v>
      </c>
      <c r="R509" s="20">
        <v>0.0</v>
      </c>
      <c r="S509" s="20">
        <v>1.0</v>
      </c>
      <c r="T509" s="24">
        <v>47119.0</v>
      </c>
      <c r="U509" s="24">
        <v>47483.0</v>
      </c>
      <c r="V509" s="20">
        <v>0.0</v>
      </c>
      <c r="W509" s="20">
        <v>1.0</v>
      </c>
      <c r="X509" s="24">
        <v>47484.0</v>
      </c>
      <c r="Y509" s="24">
        <v>47848.0</v>
      </c>
      <c r="Z509" s="20">
        <v>0.0</v>
      </c>
      <c r="AA509" s="20">
        <v>1.0</v>
      </c>
      <c r="AB509" s="24"/>
      <c r="AC509" s="24"/>
    </row>
    <row r="510" ht="14.25" customHeight="1">
      <c r="A510" s="46" t="s">
        <v>2662</v>
      </c>
      <c r="B510" s="20" t="s">
        <v>2663</v>
      </c>
      <c r="C510" s="20" t="s">
        <v>7041</v>
      </c>
      <c r="D510" s="24">
        <v>45658.0</v>
      </c>
      <c r="E510" s="24">
        <v>46022.0</v>
      </c>
      <c r="F510" s="20">
        <v>0.0</v>
      </c>
      <c r="G510" s="20">
        <v>1.0</v>
      </c>
      <c r="H510" s="24">
        <v>46023.0</v>
      </c>
      <c r="I510" s="24">
        <v>46387.0</v>
      </c>
      <c r="J510" s="20">
        <v>0.0</v>
      </c>
      <c r="K510" s="20">
        <v>1.0</v>
      </c>
      <c r="L510" s="24">
        <v>46388.0</v>
      </c>
      <c r="M510" s="24">
        <v>46752.0</v>
      </c>
      <c r="N510" s="20">
        <v>0.0</v>
      </c>
      <c r="O510" s="20">
        <v>1.0</v>
      </c>
      <c r="P510" s="24">
        <v>46753.0</v>
      </c>
      <c r="Q510" s="24">
        <v>47118.0</v>
      </c>
      <c r="R510" s="20">
        <v>0.0</v>
      </c>
      <c r="S510" s="20">
        <v>1.0</v>
      </c>
      <c r="T510" s="24">
        <v>47119.0</v>
      </c>
      <c r="U510" s="24">
        <v>47483.0</v>
      </c>
      <c r="V510" s="20">
        <v>0.0</v>
      </c>
      <c r="W510" s="20">
        <v>1.0</v>
      </c>
      <c r="X510" s="24">
        <v>47484.0</v>
      </c>
      <c r="Y510" s="24">
        <v>47848.0</v>
      </c>
      <c r="Z510" s="20">
        <v>0.0</v>
      </c>
      <c r="AA510" s="20">
        <v>1.0</v>
      </c>
      <c r="AB510" s="24"/>
      <c r="AC510" s="24"/>
    </row>
    <row r="511" ht="14.25" customHeight="1">
      <c r="A511" s="46" t="s">
        <v>5507</v>
      </c>
      <c r="B511" s="20" t="s">
        <v>5508</v>
      </c>
      <c r="C511" s="20" t="s">
        <v>7041</v>
      </c>
      <c r="D511" s="24">
        <v>45658.0</v>
      </c>
      <c r="E511" s="24">
        <v>46022.0</v>
      </c>
      <c r="F511" s="20">
        <v>1.0</v>
      </c>
      <c r="G511" s="20">
        <v>1.0</v>
      </c>
      <c r="H511" s="24">
        <v>46023.0</v>
      </c>
      <c r="I511" s="24">
        <v>46387.0</v>
      </c>
      <c r="J511" s="20">
        <v>0.0</v>
      </c>
      <c r="K511" s="20">
        <v>1.0</v>
      </c>
      <c r="L511" s="24">
        <v>46388.0</v>
      </c>
      <c r="M511" s="24">
        <v>46752.0</v>
      </c>
      <c r="N511" s="20">
        <v>0.0</v>
      </c>
      <c r="O511" s="20">
        <v>1.0</v>
      </c>
      <c r="P511" s="24">
        <v>46753.0</v>
      </c>
      <c r="Q511" s="24">
        <v>47118.0</v>
      </c>
      <c r="R511" s="20">
        <v>0.0</v>
      </c>
      <c r="S511" s="20">
        <v>1.0</v>
      </c>
      <c r="T511" s="24">
        <v>47119.0</v>
      </c>
      <c r="U511" s="24">
        <v>47483.0</v>
      </c>
      <c r="V511" s="20">
        <v>0.0</v>
      </c>
      <c r="W511" s="20">
        <v>1.0</v>
      </c>
      <c r="X511" s="24">
        <v>47484.0</v>
      </c>
      <c r="Y511" s="24">
        <v>47848.0</v>
      </c>
      <c r="Z511" s="20">
        <v>0.0</v>
      </c>
      <c r="AA511" s="20">
        <v>1.0</v>
      </c>
      <c r="AB511" s="24"/>
      <c r="AC511" s="24"/>
    </row>
    <row r="512" ht="14.25" customHeight="1">
      <c r="A512" s="46" t="s">
        <v>165</v>
      </c>
      <c r="B512" s="20" t="s">
        <v>166</v>
      </c>
      <c r="C512" s="20" t="s">
        <v>7041</v>
      </c>
      <c r="D512" s="24">
        <v>45658.0</v>
      </c>
      <c r="E512" s="24">
        <v>46022.0</v>
      </c>
      <c r="F512" s="20">
        <v>1.0</v>
      </c>
      <c r="G512" s="20">
        <v>1.0</v>
      </c>
      <c r="H512" s="24">
        <v>46023.0</v>
      </c>
      <c r="I512" s="24">
        <v>46387.0</v>
      </c>
      <c r="J512" s="20">
        <v>0.0</v>
      </c>
      <c r="K512" s="20">
        <v>1.0</v>
      </c>
      <c r="L512" s="24">
        <v>46388.0</v>
      </c>
      <c r="M512" s="24">
        <v>46752.0</v>
      </c>
      <c r="N512" s="20">
        <v>0.0</v>
      </c>
      <c r="O512" s="20">
        <v>1.0</v>
      </c>
      <c r="P512" s="24">
        <v>46753.0</v>
      </c>
      <c r="Q512" s="24">
        <v>47118.0</v>
      </c>
      <c r="R512" s="20">
        <v>0.0</v>
      </c>
      <c r="S512" s="20">
        <v>1.0</v>
      </c>
      <c r="T512" s="24">
        <v>47119.0</v>
      </c>
      <c r="U512" s="24">
        <v>47483.0</v>
      </c>
      <c r="V512" s="20">
        <v>0.0</v>
      </c>
      <c r="W512" s="20">
        <v>1.0</v>
      </c>
      <c r="X512" s="24">
        <v>47484.0</v>
      </c>
      <c r="Y512" s="24">
        <v>47848.0</v>
      </c>
      <c r="Z512" s="20">
        <v>0.0</v>
      </c>
      <c r="AA512" s="20">
        <v>1.0</v>
      </c>
      <c r="AB512" s="24"/>
      <c r="AC512" s="24"/>
    </row>
    <row r="513" ht="14.25" customHeight="1">
      <c r="A513" s="46" t="s">
        <v>6877</v>
      </c>
      <c r="B513" s="20" t="s">
        <v>6878</v>
      </c>
      <c r="C513" s="20" t="s">
        <v>7041</v>
      </c>
      <c r="D513" s="24">
        <v>45658.0</v>
      </c>
      <c r="E513" s="24">
        <v>46022.0</v>
      </c>
      <c r="F513" s="20">
        <v>0.0</v>
      </c>
      <c r="G513" s="20">
        <v>1.0</v>
      </c>
      <c r="H513" s="24">
        <v>46023.0</v>
      </c>
      <c r="I513" s="24">
        <v>46387.0</v>
      </c>
      <c r="J513" s="20">
        <v>0.0</v>
      </c>
      <c r="K513" s="20">
        <v>1.0</v>
      </c>
      <c r="L513" s="24">
        <v>46388.0</v>
      </c>
      <c r="M513" s="24">
        <v>46752.0</v>
      </c>
      <c r="N513" s="20">
        <v>0.0</v>
      </c>
      <c r="O513" s="20">
        <v>1.0</v>
      </c>
      <c r="P513" s="24">
        <v>46753.0</v>
      </c>
      <c r="Q513" s="24">
        <v>47118.0</v>
      </c>
      <c r="R513" s="20">
        <v>0.0</v>
      </c>
      <c r="S513" s="20">
        <v>1.0</v>
      </c>
      <c r="T513" s="24">
        <v>47119.0</v>
      </c>
      <c r="U513" s="24">
        <v>47483.0</v>
      </c>
      <c r="V513" s="20">
        <v>0.0</v>
      </c>
      <c r="W513" s="20">
        <v>1.0</v>
      </c>
      <c r="X513" s="24">
        <v>47484.0</v>
      </c>
      <c r="Y513" s="24">
        <v>47848.0</v>
      </c>
      <c r="Z513" s="20">
        <v>0.0</v>
      </c>
      <c r="AA513" s="20">
        <v>1.0</v>
      </c>
      <c r="AB513" s="24"/>
      <c r="AC513" s="24"/>
    </row>
    <row r="514" ht="14.25" customHeight="1">
      <c r="A514" s="46" t="s">
        <v>6504</v>
      </c>
      <c r="B514" s="20" t="s">
        <v>6505</v>
      </c>
      <c r="C514" s="20" t="s">
        <v>7041</v>
      </c>
      <c r="D514" s="24">
        <v>45658.0</v>
      </c>
      <c r="E514" s="24">
        <v>46022.0</v>
      </c>
      <c r="F514" s="20">
        <v>0.0</v>
      </c>
      <c r="G514" s="20">
        <v>1.0</v>
      </c>
      <c r="H514" s="24">
        <v>46023.0</v>
      </c>
      <c r="I514" s="24">
        <v>46387.0</v>
      </c>
      <c r="J514" s="20">
        <v>0.0</v>
      </c>
      <c r="K514" s="20">
        <v>1.0</v>
      </c>
      <c r="L514" s="24">
        <v>46388.0</v>
      </c>
      <c r="M514" s="24">
        <v>46752.0</v>
      </c>
      <c r="N514" s="20">
        <v>0.0</v>
      </c>
      <c r="O514" s="20">
        <v>1.0</v>
      </c>
      <c r="P514" s="24">
        <v>46753.0</v>
      </c>
      <c r="Q514" s="24">
        <v>47118.0</v>
      </c>
      <c r="R514" s="20">
        <v>0.0</v>
      </c>
      <c r="S514" s="20">
        <v>1.0</v>
      </c>
      <c r="T514" s="24">
        <v>47119.0</v>
      </c>
      <c r="U514" s="24">
        <v>47483.0</v>
      </c>
      <c r="V514" s="20">
        <v>0.0</v>
      </c>
      <c r="W514" s="20">
        <v>1.0</v>
      </c>
      <c r="X514" s="24">
        <v>47484.0</v>
      </c>
      <c r="Y514" s="24">
        <v>47848.0</v>
      </c>
      <c r="Z514" s="20">
        <v>0.0</v>
      </c>
      <c r="AA514" s="20">
        <v>1.0</v>
      </c>
      <c r="AB514" s="24"/>
      <c r="AC514" s="24"/>
    </row>
    <row r="515" ht="14.25" customHeight="1">
      <c r="A515" s="46" t="s">
        <v>2348</v>
      </c>
      <c r="B515" s="20" t="s">
        <v>2349</v>
      </c>
      <c r="C515" s="20" t="s">
        <v>7041</v>
      </c>
      <c r="D515" s="24">
        <v>45658.0</v>
      </c>
      <c r="E515" s="24">
        <v>46022.0</v>
      </c>
      <c r="F515" s="20">
        <v>0.0</v>
      </c>
      <c r="G515" s="20">
        <v>1.0</v>
      </c>
      <c r="H515" s="24">
        <v>46023.0</v>
      </c>
      <c r="I515" s="24">
        <v>46387.0</v>
      </c>
      <c r="J515" s="20">
        <v>0.0</v>
      </c>
      <c r="K515" s="20">
        <v>1.0</v>
      </c>
      <c r="L515" s="24">
        <v>46388.0</v>
      </c>
      <c r="M515" s="24">
        <v>46752.0</v>
      </c>
      <c r="N515" s="20">
        <v>0.0</v>
      </c>
      <c r="O515" s="20">
        <v>1.0</v>
      </c>
      <c r="P515" s="24">
        <v>46753.0</v>
      </c>
      <c r="Q515" s="24">
        <v>47118.0</v>
      </c>
      <c r="R515" s="20">
        <v>0.0</v>
      </c>
      <c r="S515" s="20">
        <v>1.0</v>
      </c>
      <c r="T515" s="24">
        <v>47119.0</v>
      </c>
      <c r="U515" s="24">
        <v>47483.0</v>
      </c>
      <c r="V515" s="20">
        <v>0.0</v>
      </c>
      <c r="W515" s="20">
        <v>1.0</v>
      </c>
      <c r="X515" s="24">
        <v>47484.0</v>
      </c>
      <c r="Y515" s="24">
        <v>47848.0</v>
      </c>
      <c r="Z515" s="20">
        <v>0.0</v>
      </c>
      <c r="AA515" s="20">
        <v>1.0</v>
      </c>
      <c r="AB515" s="24"/>
      <c r="AC515" s="24"/>
    </row>
    <row r="516" ht="14.25" customHeight="1">
      <c r="A516" s="46" t="s">
        <v>2945</v>
      </c>
      <c r="B516" s="20" t="s">
        <v>2946</v>
      </c>
      <c r="C516" s="20" t="s">
        <v>7041</v>
      </c>
      <c r="D516" s="24">
        <v>45658.0</v>
      </c>
      <c r="E516" s="24">
        <v>46022.0</v>
      </c>
      <c r="F516" s="20">
        <v>0.0</v>
      </c>
      <c r="G516" s="20">
        <v>1.0</v>
      </c>
      <c r="H516" s="24">
        <v>46023.0</v>
      </c>
      <c r="I516" s="24">
        <v>46387.0</v>
      </c>
      <c r="J516" s="20">
        <v>0.0</v>
      </c>
      <c r="K516" s="20">
        <v>1.0</v>
      </c>
      <c r="L516" s="24">
        <v>46388.0</v>
      </c>
      <c r="M516" s="24">
        <v>46752.0</v>
      </c>
      <c r="N516" s="20">
        <v>0.0</v>
      </c>
      <c r="O516" s="20">
        <v>1.0</v>
      </c>
      <c r="P516" s="24">
        <v>46753.0</v>
      </c>
      <c r="Q516" s="24">
        <v>47118.0</v>
      </c>
      <c r="R516" s="20">
        <v>0.0</v>
      </c>
      <c r="S516" s="20">
        <v>1.0</v>
      </c>
      <c r="T516" s="24">
        <v>47119.0</v>
      </c>
      <c r="U516" s="24">
        <v>47483.0</v>
      </c>
      <c r="V516" s="20">
        <v>0.0</v>
      </c>
      <c r="W516" s="20">
        <v>1.0</v>
      </c>
      <c r="X516" s="24">
        <v>47484.0</v>
      </c>
      <c r="Y516" s="24">
        <v>47848.0</v>
      </c>
      <c r="Z516" s="20">
        <v>0.0</v>
      </c>
      <c r="AA516" s="20">
        <v>1.0</v>
      </c>
      <c r="AB516" s="24"/>
      <c r="AC516" s="24"/>
    </row>
    <row r="517" ht="14.25" customHeight="1">
      <c r="A517" s="46" t="s">
        <v>1380</v>
      </c>
      <c r="B517" s="20" t="s">
        <v>1381</v>
      </c>
      <c r="C517" s="20" t="s">
        <v>7041</v>
      </c>
      <c r="D517" s="24">
        <v>45658.0</v>
      </c>
      <c r="E517" s="24">
        <v>46022.0</v>
      </c>
      <c r="F517" s="20">
        <v>0.0</v>
      </c>
      <c r="G517" s="20">
        <v>1.0</v>
      </c>
      <c r="H517" s="24">
        <v>46023.0</v>
      </c>
      <c r="I517" s="24">
        <v>46387.0</v>
      </c>
      <c r="J517" s="20">
        <v>0.0</v>
      </c>
      <c r="K517" s="20">
        <v>1.0</v>
      </c>
      <c r="L517" s="24">
        <v>46388.0</v>
      </c>
      <c r="M517" s="24">
        <v>46752.0</v>
      </c>
      <c r="N517" s="20">
        <v>0.0</v>
      </c>
      <c r="O517" s="20">
        <v>1.0</v>
      </c>
      <c r="P517" s="24">
        <v>46753.0</v>
      </c>
      <c r="Q517" s="24">
        <v>47118.0</v>
      </c>
      <c r="R517" s="20">
        <v>0.0</v>
      </c>
      <c r="S517" s="20">
        <v>1.0</v>
      </c>
      <c r="T517" s="24">
        <v>47119.0</v>
      </c>
      <c r="U517" s="24">
        <v>47483.0</v>
      </c>
      <c r="V517" s="20">
        <v>0.0</v>
      </c>
      <c r="W517" s="20">
        <v>1.0</v>
      </c>
      <c r="X517" s="24">
        <v>47484.0</v>
      </c>
      <c r="Y517" s="24">
        <v>47848.0</v>
      </c>
      <c r="Z517" s="20">
        <v>0.0</v>
      </c>
      <c r="AA517" s="20">
        <v>1.0</v>
      </c>
      <c r="AB517" s="24"/>
      <c r="AC517" s="24"/>
    </row>
    <row r="518" ht="14.25" customHeight="1">
      <c r="A518" s="46" t="s">
        <v>3159</v>
      </c>
      <c r="B518" s="20" t="s">
        <v>3160</v>
      </c>
      <c r="C518" s="20" t="s">
        <v>7041</v>
      </c>
      <c r="D518" s="24">
        <v>45658.0</v>
      </c>
      <c r="E518" s="24">
        <v>46022.0</v>
      </c>
      <c r="F518" s="20">
        <v>0.0</v>
      </c>
      <c r="G518" s="20">
        <v>1.0</v>
      </c>
      <c r="H518" s="24">
        <v>46023.0</v>
      </c>
      <c r="I518" s="24">
        <v>46387.0</v>
      </c>
      <c r="J518" s="20">
        <v>0.0</v>
      </c>
      <c r="K518" s="20">
        <v>1.0</v>
      </c>
      <c r="L518" s="24">
        <v>46388.0</v>
      </c>
      <c r="M518" s="24">
        <v>46752.0</v>
      </c>
      <c r="N518" s="20">
        <v>0.0</v>
      </c>
      <c r="O518" s="20">
        <v>1.0</v>
      </c>
      <c r="P518" s="24">
        <v>46753.0</v>
      </c>
      <c r="Q518" s="24">
        <v>47118.0</v>
      </c>
      <c r="R518" s="20">
        <v>0.0</v>
      </c>
      <c r="S518" s="20">
        <v>1.0</v>
      </c>
      <c r="T518" s="24">
        <v>47119.0</v>
      </c>
      <c r="U518" s="24">
        <v>47483.0</v>
      </c>
      <c r="V518" s="20">
        <v>0.0</v>
      </c>
      <c r="W518" s="20">
        <v>1.0</v>
      </c>
      <c r="X518" s="24">
        <v>47484.0</v>
      </c>
      <c r="Y518" s="24">
        <v>47848.0</v>
      </c>
      <c r="Z518" s="20">
        <v>0.0</v>
      </c>
      <c r="AA518" s="20">
        <v>1.0</v>
      </c>
      <c r="AB518" s="24"/>
      <c r="AC518" s="24"/>
    </row>
    <row r="519" ht="14.25" customHeight="1">
      <c r="A519" s="46" t="s">
        <v>3418</v>
      </c>
      <c r="B519" s="20" t="s">
        <v>3419</v>
      </c>
      <c r="C519" s="20" t="s">
        <v>7041</v>
      </c>
      <c r="D519" s="24">
        <v>45658.0</v>
      </c>
      <c r="E519" s="24">
        <v>46022.0</v>
      </c>
      <c r="F519" s="20">
        <v>0.0</v>
      </c>
      <c r="G519" s="20">
        <v>1.0</v>
      </c>
      <c r="H519" s="24">
        <v>46023.0</v>
      </c>
      <c r="I519" s="24">
        <v>46387.0</v>
      </c>
      <c r="J519" s="20">
        <v>0.0</v>
      </c>
      <c r="K519" s="20">
        <v>1.0</v>
      </c>
      <c r="L519" s="24">
        <v>46388.0</v>
      </c>
      <c r="M519" s="24">
        <v>46752.0</v>
      </c>
      <c r="N519" s="20">
        <v>0.0</v>
      </c>
      <c r="O519" s="20">
        <v>1.0</v>
      </c>
      <c r="P519" s="24">
        <v>46753.0</v>
      </c>
      <c r="Q519" s="24">
        <v>47118.0</v>
      </c>
      <c r="R519" s="20">
        <v>0.0</v>
      </c>
      <c r="S519" s="20">
        <v>1.0</v>
      </c>
      <c r="T519" s="24">
        <v>47119.0</v>
      </c>
      <c r="U519" s="24">
        <v>47483.0</v>
      </c>
      <c r="V519" s="20">
        <v>0.0</v>
      </c>
      <c r="W519" s="20">
        <v>1.0</v>
      </c>
      <c r="X519" s="24">
        <v>47484.0</v>
      </c>
      <c r="Y519" s="24">
        <v>47848.0</v>
      </c>
      <c r="Z519" s="20">
        <v>0.0</v>
      </c>
      <c r="AA519" s="20">
        <v>1.0</v>
      </c>
      <c r="AB519" s="24"/>
      <c r="AC519" s="24"/>
    </row>
    <row r="520" ht="14.25" customHeight="1">
      <c r="A520" s="46" t="s">
        <v>2068</v>
      </c>
      <c r="B520" s="20" t="s">
        <v>2069</v>
      </c>
      <c r="C520" s="20" t="s">
        <v>7041</v>
      </c>
      <c r="D520" s="24">
        <v>45658.0</v>
      </c>
      <c r="E520" s="24">
        <v>46022.0</v>
      </c>
      <c r="F520" s="20">
        <v>0.0</v>
      </c>
      <c r="G520" s="20">
        <v>1.0</v>
      </c>
      <c r="H520" s="24">
        <v>46023.0</v>
      </c>
      <c r="I520" s="24">
        <v>46387.0</v>
      </c>
      <c r="J520" s="20">
        <v>0.0</v>
      </c>
      <c r="K520" s="20">
        <v>1.0</v>
      </c>
      <c r="L520" s="24">
        <v>46388.0</v>
      </c>
      <c r="M520" s="24">
        <v>46752.0</v>
      </c>
      <c r="N520" s="20">
        <v>0.0</v>
      </c>
      <c r="O520" s="20">
        <v>1.0</v>
      </c>
      <c r="P520" s="24">
        <v>46753.0</v>
      </c>
      <c r="Q520" s="24">
        <v>47118.0</v>
      </c>
      <c r="R520" s="20">
        <v>0.0</v>
      </c>
      <c r="S520" s="20">
        <v>1.0</v>
      </c>
      <c r="T520" s="24">
        <v>47119.0</v>
      </c>
      <c r="U520" s="24">
        <v>47483.0</v>
      </c>
      <c r="V520" s="20">
        <v>0.0</v>
      </c>
      <c r="W520" s="20">
        <v>1.0</v>
      </c>
      <c r="X520" s="24">
        <v>47484.0</v>
      </c>
      <c r="Y520" s="24">
        <v>47848.0</v>
      </c>
      <c r="Z520" s="20">
        <v>0.0</v>
      </c>
      <c r="AA520" s="20">
        <v>1.0</v>
      </c>
      <c r="AB520" s="24"/>
      <c r="AC520" s="24"/>
    </row>
    <row r="521" ht="14.25" customHeight="1">
      <c r="A521" s="46" t="s">
        <v>6678</v>
      </c>
      <c r="B521" s="20" t="s">
        <v>6679</v>
      </c>
      <c r="C521" s="20" t="s">
        <v>7041</v>
      </c>
      <c r="D521" s="24">
        <v>45658.0</v>
      </c>
      <c r="E521" s="24">
        <v>46022.0</v>
      </c>
      <c r="F521" s="20">
        <v>0.0</v>
      </c>
      <c r="G521" s="20">
        <v>1.0</v>
      </c>
      <c r="H521" s="24">
        <v>46023.0</v>
      </c>
      <c r="I521" s="24">
        <v>46387.0</v>
      </c>
      <c r="J521" s="20">
        <v>0.0</v>
      </c>
      <c r="K521" s="20">
        <v>1.0</v>
      </c>
      <c r="L521" s="24">
        <v>46388.0</v>
      </c>
      <c r="M521" s="24">
        <v>46752.0</v>
      </c>
      <c r="N521" s="20">
        <v>0.0</v>
      </c>
      <c r="O521" s="20">
        <v>1.0</v>
      </c>
      <c r="P521" s="24">
        <v>46753.0</v>
      </c>
      <c r="Q521" s="24">
        <v>47118.0</v>
      </c>
      <c r="R521" s="20">
        <v>0.0</v>
      </c>
      <c r="S521" s="20">
        <v>1.0</v>
      </c>
      <c r="T521" s="24">
        <v>47119.0</v>
      </c>
      <c r="U521" s="24">
        <v>47483.0</v>
      </c>
      <c r="V521" s="20">
        <v>0.0</v>
      </c>
      <c r="W521" s="20">
        <v>1.0</v>
      </c>
      <c r="X521" s="24">
        <v>47484.0</v>
      </c>
      <c r="Y521" s="24">
        <v>47848.0</v>
      </c>
      <c r="Z521" s="20">
        <v>0.0</v>
      </c>
      <c r="AA521" s="20">
        <v>1.0</v>
      </c>
      <c r="AB521" s="24"/>
      <c r="AC521" s="24"/>
    </row>
    <row r="522" ht="14.25" customHeight="1">
      <c r="A522" s="46" t="s">
        <v>1829</v>
      </c>
      <c r="B522" s="20" t="s">
        <v>1830</v>
      </c>
      <c r="C522" s="20" t="s">
        <v>7041</v>
      </c>
      <c r="D522" s="24">
        <v>45658.0</v>
      </c>
      <c r="E522" s="24">
        <v>46022.0</v>
      </c>
      <c r="F522" s="20">
        <v>0.0</v>
      </c>
      <c r="G522" s="20">
        <v>1.0</v>
      </c>
      <c r="H522" s="24">
        <v>46023.0</v>
      </c>
      <c r="I522" s="24">
        <v>46387.0</v>
      </c>
      <c r="J522" s="20">
        <v>0.0</v>
      </c>
      <c r="K522" s="20">
        <v>1.0</v>
      </c>
      <c r="L522" s="24">
        <v>46388.0</v>
      </c>
      <c r="M522" s="24">
        <v>46752.0</v>
      </c>
      <c r="N522" s="20">
        <v>0.0</v>
      </c>
      <c r="O522" s="20">
        <v>1.0</v>
      </c>
      <c r="P522" s="24">
        <v>46753.0</v>
      </c>
      <c r="Q522" s="24">
        <v>47118.0</v>
      </c>
      <c r="R522" s="20">
        <v>0.0</v>
      </c>
      <c r="S522" s="20">
        <v>1.0</v>
      </c>
      <c r="T522" s="24">
        <v>47119.0</v>
      </c>
      <c r="U522" s="24">
        <v>47483.0</v>
      </c>
      <c r="V522" s="20">
        <v>0.0</v>
      </c>
      <c r="W522" s="20">
        <v>1.0</v>
      </c>
      <c r="X522" s="24">
        <v>47484.0</v>
      </c>
      <c r="Y522" s="24">
        <v>47848.0</v>
      </c>
      <c r="Z522" s="20">
        <v>0.0</v>
      </c>
      <c r="AA522" s="20">
        <v>1.0</v>
      </c>
      <c r="AB522" s="24"/>
      <c r="AC522" s="24"/>
    </row>
    <row r="523" ht="14.25" customHeight="1">
      <c r="A523" s="46" t="s">
        <v>2488</v>
      </c>
      <c r="B523" s="20" t="s">
        <v>2489</v>
      </c>
      <c r="C523" s="20" t="s">
        <v>7041</v>
      </c>
      <c r="D523" s="24">
        <v>45658.0</v>
      </c>
      <c r="E523" s="24">
        <v>46022.0</v>
      </c>
      <c r="F523" s="20">
        <v>0.0</v>
      </c>
      <c r="G523" s="20">
        <v>1.0</v>
      </c>
      <c r="H523" s="24">
        <v>46023.0</v>
      </c>
      <c r="I523" s="24">
        <v>46387.0</v>
      </c>
      <c r="J523" s="20">
        <v>0.0</v>
      </c>
      <c r="K523" s="20">
        <v>1.0</v>
      </c>
      <c r="L523" s="24">
        <v>46388.0</v>
      </c>
      <c r="M523" s="24">
        <v>46752.0</v>
      </c>
      <c r="N523" s="20">
        <v>0.0</v>
      </c>
      <c r="O523" s="20">
        <v>1.0</v>
      </c>
      <c r="P523" s="24">
        <v>46753.0</v>
      </c>
      <c r="Q523" s="24">
        <v>47118.0</v>
      </c>
      <c r="R523" s="20">
        <v>0.0</v>
      </c>
      <c r="S523" s="20">
        <v>1.0</v>
      </c>
      <c r="T523" s="24">
        <v>47119.0</v>
      </c>
      <c r="U523" s="24">
        <v>47483.0</v>
      </c>
      <c r="V523" s="20">
        <v>0.0</v>
      </c>
      <c r="W523" s="20">
        <v>1.0</v>
      </c>
      <c r="X523" s="24">
        <v>47484.0</v>
      </c>
      <c r="Y523" s="24">
        <v>47848.0</v>
      </c>
      <c r="Z523" s="20">
        <v>0.0</v>
      </c>
      <c r="AA523" s="20">
        <v>1.0</v>
      </c>
      <c r="AB523" s="24"/>
      <c r="AC523" s="24"/>
    </row>
    <row r="524" ht="14.25" customHeight="1">
      <c r="A524" s="20" t="s">
        <v>4686</v>
      </c>
      <c r="B524" s="20" t="s">
        <v>4687</v>
      </c>
      <c r="C524" s="20" t="s">
        <v>7041</v>
      </c>
      <c r="D524" s="24">
        <v>45658.0</v>
      </c>
      <c r="E524" s="24">
        <v>46022.0</v>
      </c>
      <c r="F524" s="20">
        <v>0.0</v>
      </c>
      <c r="G524" s="20">
        <v>1.0</v>
      </c>
      <c r="H524" s="24">
        <v>46023.0</v>
      </c>
      <c r="I524" s="24">
        <v>46387.0</v>
      </c>
      <c r="J524" s="20">
        <v>0.0</v>
      </c>
      <c r="K524" s="20">
        <v>1.0</v>
      </c>
      <c r="L524" s="24">
        <v>46388.0</v>
      </c>
      <c r="M524" s="24">
        <v>46752.0</v>
      </c>
      <c r="N524" s="20">
        <v>0.0</v>
      </c>
      <c r="O524" s="20">
        <v>1.0</v>
      </c>
      <c r="P524" s="24">
        <v>46753.0</v>
      </c>
      <c r="Q524" s="24">
        <v>47118.0</v>
      </c>
      <c r="R524" s="20">
        <v>0.0</v>
      </c>
      <c r="S524" s="20">
        <v>1.0</v>
      </c>
      <c r="T524" s="24">
        <v>47119.0</v>
      </c>
      <c r="U524" s="24">
        <v>47483.0</v>
      </c>
      <c r="V524" s="20">
        <v>0.0</v>
      </c>
      <c r="W524" s="20">
        <v>1.0</v>
      </c>
      <c r="X524" s="24">
        <v>47484.0</v>
      </c>
      <c r="Y524" s="24">
        <v>47848.0</v>
      </c>
      <c r="Z524" s="20">
        <v>0.0</v>
      </c>
      <c r="AA524" s="20">
        <v>1.0</v>
      </c>
      <c r="AB524" s="24"/>
      <c r="AC524" s="24"/>
    </row>
    <row r="525" ht="14.25" customHeight="1">
      <c r="A525" s="20" t="s">
        <v>6336</v>
      </c>
      <c r="B525" s="20" t="s">
        <v>6337</v>
      </c>
      <c r="C525" s="20" t="s">
        <v>7041</v>
      </c>
      <c r="D525" s="24">
        <v>45658.0</v>
      </c>
      <c r="E525" s="24">
        <v>46022.0</v>
      </c>
      <c r="F525" s="20">
        <v>0.0</v>
      </c>
      <c r="G525" s="20">
        <v>1.0</v>
      </c>
      <c r="H525" s="24">
        <v>46023.0</v>
      </c>
      <c r="I525" s="24">
        <v>46387.0</v>
      </c>
      <c r="J525" s="20">
        <v>0.0</v>
      </c>
      <c r="K525" s="20">
        <v>1.0</v>
      </c>
      <c r="L525" s="24">
        <v>46388.0</v>
      </c>
      <c r="M525" s="24">
        <v>46752.0</v>
      </c>
      <c r="N525" s="20">
        <v>0.0</v>
      </c>
      <c r="O525" s="20">
        <v>1.0</v>
      </c>
      <c r="P525" s="24">
        <v>46753.0</v>
      </c>
      <c r="Q525" s="24">
        <v>47118.0</v>
      </c>
      <c r="R525" s="20">
        <v>0.0</v>
      </c>
      <c r="S525" s="20">
        <v>1.0</v>
      </c>
      <c r="T525" s="24">
        <v>47119.0</v>
      </c>
      <c r="U525" s="24">
        <v>47483.0</v>
      </c>
      <c r="V525" s="20">
        <v>0.0</v>
      </c>
      <c r="W525" s="20">
        <v>1.0</v>
      </c>
      <c r="X525" s="24">
        <v>47484.0</v>
      </c>
      <c r="Y525" s="24">
        <v>47848.0</v>
      </c>
      <c r="Z525" s="20">
        <v>0.0</v>
      </c>
      <c r="AA525" s="20">
        <v>1.0</v>
      </c>
      <c r="AB525" s="24"/>
      <c r="AC525" s="24"/>
    </row>
    <row r="526" ht="14.25" customHeight="1">
      <c r="A526" s="20" t="s">
        <v>4272</v>
      </c>
      <c r="B526" s="20" t="s">
        <v>4273</v>
      </c>
      <c r="C526" s="20" t="s">
        <v>7041</v>
      </c>
      <c r="D526" s="24">
        <v>45658.0</v>
      </c>
      <c r="E526" s="24">
        <v>46022.0</v>
      </c>
      <c r="F526" s="20">
        <v>1.0</v>
      </c>
      <c r="G526" s="20">
        <v>1.0</v>
      </c>
      <c r="H526" s="24">
        <v>46023.0</v>
      </c>
      <c r="I526" s="24">
        <v>46387.0</v>
      </c>
      <c r="J526" s="20">
        <v>0.0</v>
      </c>
      <c r="K526" s="20">
        <v>1.0</v>
      </c>
      <c r="L526" s="24">
        <v>46388.0</v>
      </c>
      <c r="M526" s="24">
        <v>46752.0</v>
      </c>
      <c r="N526" s="20">
        <v>0.0</v>
      </c>
      <c r="O526" s="20">
        <v>1.0</v>
      </c>
      <c r="P526" s="24">
        <v>46753.0</v>
      </c>
      <c r="Q526" s="24">
        <v>47118.0</v>
      </c>
      <c r="R526" s="20">
        <v>0.0</v>
      </c>
      <c r="S526" s="20">
        <v>1.0</v>
      </c>
      <c r="T526" s="24">
        <v>47119.0</v>
      </c>
      <c r="U526" s="24">
        <v>47483.0</v>
      </c>
      <c r="V526" s="20">
        <v>0.0</v>
      </c>
      <c r="W526" s="20">
        <v>1.0</v>
      </c>
      <c r="X526" s="24">
        <v>47484.0</v>
      </c>
      <c r="Y526" s="24">
        <v>47848.0</v>
      </c>
      <c r="Z526" s="20">
        <v>0.0</v>
      </c>
      <c r="AA526" s="20">
        <v>1.0</v>
      </c>
      <c r="AB526" s="24"/>
      <c r="AC526" s="24"/>
    </row>
    <row r="527" ht="14.25" customHeight="1">
      <c r="A527" s="20" t="s">
        <v>4107</v>
      </c>
      <c r="B527" s="20" t="s">
        <v>4108</v>
      </c>
      <c r="C527" s="20" t="s">
        <v>7041</v>
      </c>
      <c r="D527" s="24">
        <v>45658.0</v>
      </c>
      <c r="E527" s="24">
        <v>46022.0</v>
      </c>
      <c r="F527" s="20">
        <v>0.0</v>
      </c>
      <c r="G527" s="20">
        <v>1.0</v>
      </c>
      <c r="H527" s="24">
        <v>46023.0</v>
      </c>
      <c r="I527" s="24">
        <v>46387.0</v>
      </c>
      <c r="J527" s="20">
        <v>0.0</v>
      </c>
      <c r="K527" s="20">
        <v>1.0</v>
      </c>
      <c r="L527" s="24">
        <v>46388.0</v>
      </c>
      <c r="M527" s="24">
        <v>46752.0</v>
      </c>
      <c r="N527" s="20">
        <v>0.0</v>
      </c>
      <c r="O527" s="20">
        <v>1.0</v>
      </c>
      <c r="P527" s="24">
        <v>46753.0</v>
      </c>
      <c r="Q527" s="24">
        <v>47118.0</v>
      </c>
      <c r="R527" s="20">
        <v>0.0</v>
      </c>
      <c r="S527" s="20">
        <v>1.0</v>
      </c>
      <c r="T527" s="24">
        <v>47119.0</v>
      </c>
      <c r="U527" s="24">
        <v>47483.0</v>
      </c>
      <c r="V527" s="20">
        <v>0.0</v>
      </c>
      <c r="W527" s="20">
        <v>1.0</v>
      </c>
      <c r="X527" s="24">
        <v>47484.0</v>
      </c>
      <c r="Y527" s="24">
        <v>47848.0</v>
      </c>
      <c r="Z527" s="20">
        <v>0.0</v>
      </c>
      <c r="AA527" s="20">
        <v>1.0</v>
      </c>
      <c r="AB527" s="24"/>
      <c r="AC527" s="24"/>
    </row>
    <row r="528" ht="14.25" customHeight="1">
      <c r="A528" s="20" t="s">
        <v>6367</v>
      </c>
      <c r="B528" s="20" t="s">
        <v>6368</v>
      </c>
      <c r="C528" s="20" t="s">
        <v>7041</v>
      </c>
      <c r="D528" s="24">
        <v>45658.0</v>
      </c>
      <c r="E528" s="24">
        <v>46022.0</v>
      </c>
      <c r="F528" s="20">
        <v>1.0</v>
      </c>
      <c r="G528" s="20">
        <v>1.0</v>
      </c>
      <c r="H528" s="24">
        <v>46023.0</v>
      </c>
      <c r="I528" s="24">
        <v>46387.0</v>
      </c>
      <c r="J528" s="20">
        <v>0.0</v>
      </c>
      <c r="K528" s="20">
        <v>1.0</v>
      </c>
      <c r="L528" s="24">
        <v>46388.0</v>
      </c>
      <c r="M528" s="24">
        <v>46752.0</v>
      </c>
      <c r="N528" s="20">
        <v>0.0</v>
      </c>
      <c r="O528" s="20">
        <v>1.0</v>
      </c>
      <c r="P528" s="24">
        <v>46753.0</v>
      </c>
      <c r="Q528" s="24">
        <v>47118.0</v>
      </c>
      <c r="R528" s="20">
        <v>0.0</v>
      </c>
      <c r="S528" s="20">
        <v>1.0</v>
      </c>
      <c r="T528" s="24">
        <v>47119.0</v>
      </c>
      <c r="U528" s="24">
        <v>47483.0</v>
      </c>
      <c r="V528" s="20">
        <v>0.0</v>
      </c>
      <c r="W528" s="20">
        <v>1.0</v>
      </c>
      <c r="X528" s="24">
        <v>47484.0</v>
      </c>
      <c r="Y528" s="24">
        <v>47848.0</v>
      </c>
      <c r="Z528" s="20">
        <v>0.0</v>
      </c>
      <c r="AA528" s="20">
        <v>1.0</v>
      </c>
      <c r="AB528" s="24"/>
      <c r="AC528" s="24"/>
    </row>
    <row r="529" ht="14.25" customHeight="1">
      <c r="A529" s="20" t="s">
        <v>4457</v>
      </c>
      <c r="B529" s="20" t="s">
        <v>4458</v>
      </c>
      <c r="C529" s="20" t="s">
        <v>7041</v>
      </c>
      <c r="D529" s="24">
        <v>45658.0</v>
      </c>
      <c r="E529" s="24">
        <v>46022.0</v>
      </c>
      <c r="F529" s="20">
        <v>0.0</v>
      </c>
      <c r="G529" s="20">
        <v>1.0</v>
      </c>
      <c r="H529" s="24">
        <v>46023.0</v>
      </c>
      <c r="I529" s="24">
        <v>46387.0</v>
      </c>
      <c r="J529" s="20">
        <v>0.0</v>
      </c>
      <c r="K529" s="20">
        <v>1.0</v>
      </c>
      <c r="L529" s="24">
        <v>46388.0</v>
      </c>
      <c r="M529" s="24">
        <v>46752.0</v>
      </c>
      <c r="N529" s="20">
        <v>0.0</v>
      </c>
      <c r="O529" s="20">
        <v>1.0</v>
      </c>
      <c r="P529" s="24">
        <v>46753.0</v>
      </c>
      <c r="Q529" s="24">
        <v>47118.0</v>
      </c>
      <c r="R529" s="20">
        <v>0.0</v>
      </c>
      <c r="S529" s="20">
        <v>1.0</v>
      </c>
      <c r="T529" s="24">
        <v>47119.0</v>
      </c>
      <c r="U529" s="24">
        <v>47483.0</v>
      </c>
      <c r="V529" s="20">
        <v>0.0</v>
      </c>
      <c r="W529" s="20">
        <v>1.0</v>
      </c>
      <c r="X529" s="24">
        <v>47484.0</v>
      </c>
      <c r="Y529" s="24">
        <v>47848.0</v>
      </c>
      <c r="Z529" s="20">
        <v>0.0</v>
      </c>
      <c r="AA529" s="20">
        <v>1.0</v>
      </c>
      <c r="AB529" s="24"/>
      <c r="AC529" s="24"/>
    </row>
    <row r="530" ht="14.25" customHeight="1">
      <c r="A530" s="20" t="s">
        <v>1433</v>
      </c>
      <c r="B530" s="20" t="s">
        <v>1434</v>
      </c>
      <c r="C530" s="20" t="s">
        <v>7041</v>
      </c>
      <c r="D530" s="24">
        <v>45658.0</v>
      </c>
      <c r="E530" s="24">
        <v>46022.0</v>
      </c>
      <c r="F530" s="20">
        <v>0.0</v>
      </c>
      <c r="G530" s="20">
        <v>1.0</v>
      </c>
      <c r="H530" s="24">
        <v>46023.0</v>
      </c>
      <c r="I530" s="24">
        <v>46387.0</v>
      </c>
      <c r="J530" s="20">
        <v>0.0</v>
      </c>
      <c r="K530" s="20">
        <v>1.0</v>
      </c>
      <c r="L530" s="24">
        <v>46388.0</v>
      </c>
      <c r="M530" s="24">
        <v>46752.0</v>
      </c>
      <c r="N530" s="20">
        <v>0.0</v>
      </c>
      <c r="O530" s="20">
        <v>1.0</v>
      </c>
      <c r="P530" s="24">
        <v>46753.0</v>
      </c>
      <c r="Q530" s="24">
        <v>47118.0</v>
      </c>
      <c r="R530" s="20">
        <v>0.0</v>
      </c>
      <c r="S530" s="20">
        <v>1.0</v>
      </c>
      <c r="T530" s="24">
        <v>47119.0</v>
      </c>
      <c r="U530" s="24">
        <v>47483.0</v>
      </c>
      <c r="V530" s="20">
        <v>0.0</v>
      </c>
      <c r="W530" s="20">
        <v>1.0</v>
      </c>
      <c r="X530" s="24">
        <v>47484.0</v>
      </c>
      <c r="Y530" s="24">
        <v>47848.0</v>
      </c>
      <c r="Z530" s="20">
        <v>0.0</v>
      </c>
      <c r="AA530" s="20">
        <v>1.0</v>
      </c>
      <c r="AB530" s="24"/>
      <c r="AC530" s="24"/>
    </row>
    <row r="531" ht="14.25" customHeight="1">
      <c r="A531" s="20" t="s">
        <v>3897</v>
      </c>
      <c r="B531" s="20" t="s">
        <v>3898</v>
      </c>
      <c r="C531" s="20" t="s">
        <v>7044</v>
      </c>
      <c r="D531" s="24">
        <v>45658.0</v>
      </c>
      <c r="E531" s="24">
        <v>46022.0</v>
      </c>
      <c r="F531" s="20">
        <v>1.0</v>
      </c>
      <c r="G531" s="20">
        <v>1.0</v>
      </c>
      <c r="H531" s="24">
        <v>46023.0</v>
      </c>
      <c r="I531" s="24">
        <v>46387.0</v>
      </c>
      <c r="J531" s="20">
        <v>0.0</v>
      </c>
      <c r="K531" s="20">
        <v>1.0</v>
      </c>
      <c r="L531" s="24">
        <v>46388.0</v>
      </c>
      <c r="M531" s="24">
        <v>46752.0</v>
      </c>
      <c r="N531" s="20">
        <v>0.0</v>
      </c>
      <c r="O531" s="20">
        <v>1.0</v>
      </c>
      <c r="P531" s="24">
        <v>46753.0</v>
      </c>
      <c r="Q531" s="24">
        <v>47118.0</v>
      </c>
      <c r="R531" s="20">
        <v>0.0</v>
      </c>
      <c r="S531" s="20">
        <v>1.0</v>
      </c>
      <c r="T531" s="24">
        <v>47119.0</v>
      </c>
      <c r="U531" s="24">
        <v>47483.0</v>
      </c>
      <c r="V531" s="20">
        <v>0.0</v>
      </c>
      <c r="W531" s="20">
        <v>1.0</v>
      </c>
      <c r="X531" s="24">
        <v>47484.0</v>
      </c>
      <c r="Y531" s="24">
        <v>47848.0</v>
      </c>
      <c r="Z531" s="20">
        <v>0.0</v>
      </c>
      <c r="AA531" s="20">
        <v>1.0</v>
      </c>
      <c r="AB531" s="24"/>
      <c r="AC531" s="24"/>
    </row>
    <row r="532" ht="14.25" customHeight="1">
      <c r="D532" s="24"/>
      <c r="E532" s="24"/>
      <c r="H532" s="24"/>
      <c r="I532" s="24"/>
      <c r="L532" s="24"/>
      <c r="M532" s="24"/>
      <c r="P532" s="24"/>
      <c r="Q532" s="24"/>
      <c r="T532" s="24"/>
      <c r="U532" s="24"/>
      <c r="X532" s="24"/>
      <c r="Y532" s="24"/>
      <c r="AB532" s="24"/>
      <c r="AC532" s="24"/>
    </row>
    <row r="533" ht="14.25" customHeight="1">
      <c r="D533" s="24"/>
      <c r="E533" s="24"/>
      <c r="H533" s="24"/>
      <c r="I533" s="24"/>
      <c r="L533" s="24"/>
      <c r="M533" s="24"/>
      <c r="P533" s="24"/>
      <c r="Q533" s="24"/>
      <c r="T533" s="24"/>
      <c r="U533" s="24"/>
      <c r="X533" s="24"/>
      <c r="Y533" s="24"/>
      <c r="AB533" s="24"/>
      <c r="AC533" s="24"/>
    </row>
    <row r="534" ht="14.25" customHeight="1">
      <c r="D534" s="24"/>
      <c r="E534" s="24"/>
      <c r="H534" s="24"/>
      <c r="I534" s="24"/>
      <c r="L534" s="24"/>
      <c r="M534" s="24"/>
      <c r="P534" s="24"/>
      <c r="Q534" s="24"/>
      <c r="T534" s="24"/>
      <c r="U534" s="24"/>
      <c r="X534" s="24"/>
      <c r="Y534" s="24"/>
      <c r="AB534" s="24"/>
      <c r="AC534" s="24"/>
    </row>
    <row r="535" ht="14.25" customHeight="1">
      <c r="D535" s="24"/>
      <c r="E535" s="24"/>
      <c r="H535" s="24"/>
      <c r="I535" s="24"/>
      <c r="L535" s="24"/>
      <c r="M535" s="24"/>
      <c r="P535" s="24"/>
      <c r="Q535" s="24"/>
      <c r="T535" s="24"/>
      <c r="U535" s="24"/>
      <c r="X535" s="24"/>
      <c r="Y535" s="24"/>
      <c r="AB535" s="24"/>
      <c r="AC535" s="24"/>
    </row>
    <row r="536" ht="14.25" customHeight="1">
      <c r="D536" s="24"/>
      <c r="E536" s="24"/>
      <c r="H536" s="24"/>
      <c r="I536" s="24"/>
      <c r="L536" s="24"/>
      <c r="M536" s="24"/>
      <c r="P536" s="24"/>
      <c r="Q536" s="24"/>
      <c r="T536" s="24"/>
      <c r="U536" s="24"/>
      <c r="X536" s="24"/>
      <c r="Y536" s="24"/>
      <c r="AB536" s="24"/>
      <c r="AC536" s="24"/>
    </row>
    <row r="537" ht="14.25" customHeight="1">
      <c r="D537" s="24"/>
      <c r="E537" s="24"/>
      <c r="H537" s="24"/>
      <c r="I537" s="24"/>
      <c r="L537" s="24"/>
      <c r="M537" s="24"/>
      <c r="P537" s="24"/>
      <c r="Q537" s="24"/>
      <c r="T537" s="24"/>
      <c r="U537" s="24"/>
      <c r="X537" s="24"/>
      <c r="Y537" s="24"/>
      <c r="AB537" s="24"/>
      <c r="AC537" s="24"/>
    </row>
    <row r="538" ht="14.25" customHeight="1">
      <c r="D538" s="24"/>
      <c r="E538" s="24"/>
      <c r="H538" s="24"/>
      <c r="I538" s="24"/>
      <c r="L538" s="24"/>
      <c r="M538" s="24"/>
      <c r="P538" s="24"/>
      <c r="Q538" s="24"/>
      <c r="T538" s="24"/>
      <c r="U538" s="24"/>
      <c r="X538" s="24"/>
      <c r="Y538" s="24"/>
      <c r="AB538" s="24"/>
      <c r="AC538" s="24"/>
    </row>
    <row r="539" ht="14.25" customHeight="1">
      <c r="D539" s="24"/>
      <c r="E539" s="24"/>
      <c r="H539" s="24"/>
      <c r="I539" s="24"/>
      <c r="L539" s="24"/>
      <c r="M539" s="24"/>
      <c r="P539" s="24"/>
      <c r="Q539" s="24"/>
      <c r="T539" s="24"/>
      <c r="U539" s="24"/>
      <c r="X539" s="24"/>
      <c r="Y539" s="24"/>
      <c r="AB539" s="24"/>
      <c r="AC539" s="24"/>
    </row>
    <row r="540" ht="14.25" customHeight="1">
      <c r="D540" s="24"/>
      <c r="E540" s="24"/>
      <c r="H540" s="24"/>
      <c r="I540" s="24"/>
      <c r="L540" s="24"/>
      <c r="M540" s="24"/>
      <c r="P540" s="24"/>
      <c r="Q540" s="24"/>
      <c r="T540" s="24"/>
      <c r="U540" s="24"/>
      <c r="X540" s="24"/>
      <c r="Y540" s="24"/>
      <c r="AB540" s="24"/>
      <c r="AC540" s="24"/>
    </row>
    <row r="541" ht="14.25" customHeight="1">
      <c r="D541" s="24"/>
      <c r="E541" s="24"/>
      <c r="H541" s="24"/>
      <c r="I541" s="24"/>
      <c r="L541" s="24"/>
      <c r="M541" s="24"/>
      <c r="P541" s="24"/>
      <c r="Q541" s="24"/>
      <c r="T541" s="24"/>
      <c r="U541" s="24"/>
      <c r="X541" s="24"/>
      <c r="Y541" s="24"/>
      <c r="AB541" s="24"/>
      <c r="AC541" s="24"/>
    </row>
    <row r="542" ht="14.25" customHeight="1">
      <c r="D542" s="24"/>
      <c r="E542" s="24"/>
      <c r="H542" s="24"/>
      <c r="I542" s="24"/>
      <c r="L542" s="24"/>
      <c r="M542" s="24"/>
      <c r="P542" s="24"/>
      <c r="Q542" s="24"/>
      <c r="T542" s="24"/>
      <c r="U542" s="24"/>
      <c r="X542" s="24"/>
      <c r="Y542" s="24"/>
      <c r="AB542" s="24"/>
      <c r="AC542" s="24"/>
    </row>
    <row r="543" ht="14.25" customHeight="1">
      <c r="D543" s="24"/>
      <c r="E543" s="24"/>
      <c r="H543" s="24"/>
      <c r="I543" s="24"/>
      <c r="L543" s="24"/>
      <c r="M543" s="24"/>
      <c r="P543" s="24"/>
      <c r="Q543" s="24"/>
      <c r="T543" s="24"/>
      <c r="U543" s="24"/>
      <c r="X543" s="24"/>
      <c r="Y543" s="24"/>
      <c r="AB543" s="24"/>
      <c r="AC543" s="24"/>
    </row>
    <row r="544" ht="14.25" customHeight="1">
      <c r="D544" s="24"/>
      <c r="E544" s="24"/>
      <c r="H544" s="24"/>
      <c r="I544" s="24"/>
      <c r="L544" s="24"/>
      <c r="M544" s="24"/>
      <c r="P544" s="24"/>
      <c r="Q544" s="24"/>
      <c r="T544" s="24"/>
      <c r="U544" s="24"/>
      <c r="X544" s="24"/>
      <c r="Y544" s="24"/>
      <c r="AB544" s="24"/>
      <c r="AC544" s="24"/>
    </row>
    <row r="545" ht="14.25" customHeight="1">
      <c r="D545" s="24"/>
      <c r="E545" s="24"/>
      <c r="H545" s="24"/>
      <c r="I545" s="24"/>
      <c r="L545" s="24"/>
      <c r="M545" s="24"/>
      <c r="P545" s="24"/>
      <c r="Q545" s="24"/>
      <c r="T545" s="24"/>
      <c r="U545" s="24"/>
      <c r="X545" s="24"/>
      <c r="Y545" s="24"/>
      <c r="AB545" s="24"/>
      <c r="AC545" s="24"/>
    </row>
    <row r="546" ht="14.25" customHeight="1">
      <c r="D546" s="24"/>
      <c r="E546" s="24"/>
      <c r="H546" s="24"/>
      <c r="I546" s="24"/>
      <c r="L546" s="24"/>
      <c r="M546" s="24"/>
      <c r="P546" s="24"/>
      <c r="Q546" s="24"/>
      <c r="T546" s="24"/>
      <c r="U546" s="24"/>
      <c r="X546" s="24"/>
      <c r="Y546" s="24"/>
      <c r="AB546" s="24"/>
      <c r="AC546" s="24"/>
    </row>
    <row r="547" ht="14.25" customHeight="1">
      <c r="D547" s="24"/>
      <c r="E547" s="24"/>
      <c r="H547" s="24"/>
      <c r="I547" s="24"/>
      <c r="L547" s="24"/>
      <c r="M547" s="24"/>
      <c r="P547" s="24"/>
      <c r="Q547" s="24"/>
      <c r="T547" s="24"/>
      <c r="U547" s="24"/>
      <c r="X547" s="24"/>
      <c r="Y547" s="24"/>
      <c r="AB547" s="24"/>
      <c r="AC547" s="24"/>
    </row>
    <row r="548" ht="14.25" customHeight="1">
      <c r="D548" s="24"/>
      <c r="E548" s="24"/>
      <c r="H548" s="24"/>
      <c r="I548" s="24"/>
      <c r="L548" s="24"/>
      <c r="M548" s="24"/>
      <c r="P548" s="24"/>
      <c r="Q548" s="24"/>
      <c r="T548" s="24"/>
      <c r="U548" s="24"/>
      <c r="X548" s="24"/>
      <c r="Y548" s="24"/>
      <c r="AB548" s="24"/>
      <c r="AC548" s="24"/>
    </row>
    <row r="549" ht="14.25" customHeight="1">
      <c r="D549" s="24"/>
      <c r="E549" s="24"/>
      <c r="H549" s="24"/>
      <c r="I549" s="24"/>
      <c r="L549" s="24"/>
      <c r="M549" s="24"/>
      <c r="P549" s="24"/>
      <c r="Q549" s="24"/>
      <c r="T549" s="24"/>
      <c r="U549" s="24"/>
      <c r="X549" s="24"/>
      <c r="Y549" s="24"/>
      <c r="AB549" s="24"/>
      <c r="AC549" s="24"/>
    </row>
    <row r="550" ht="14.25" customHeight="1">
      <c r="D550" s="24"/>
      <c r="E550" s="24"/>
      <c r="H550" s="24"/>
      <c r="I550" s="24"/>
      <c r="L550" s="24"/>
      <c r="M550" s="24"/>
      <c r="P550" s="24"/>
      <c r="Q550" s="24"/>
      <c r="T550" s="24"/>
      <c r="U550" s="24"/>
      <c r="X550" s="24"/>
      <c r="Y550" s="24"/>
      <c r="AB550" s="24"/>
      <c r="AC550" s="24"/>
    </row>
    <row r="551" ht="14.25" customHeight="1">
      <c r="D551" s="24"/>
      <c r="E551" s="24"/>
      <c r="H551" s="24"/>
      <c r="I551" s="24"/>
      <c r="L551" s="24"/>
      <c r="M551" s="24"/>
      <c r="P551" s="24"/>
      <c r="Q551" s="24"/>
      <c r="T551" s="24"/>
      <c r="U551" s="24"/>
      <c r="X551" s="24"/>
      <c r="Y551" s="24"/>
      <c r="AB551" s="24"/>
      <c r="AC551" s="24"/>
    </row>
    <row r="552" ht="14.25" customHeight="1">
      <c r="D552" s="24"/>
      <c r="E552" s="24"/>
      <c r="H552" s="24"/>
      <c r="I552" s="24"/>
      <c r="L552" s="24"/>
      <c r="M552" s="24"/>
      <c r="P552" s="24"/>
      <c r="Q552" s="24"/>
      <c r="T552" s="24"/>
      <c r="U552" s="24"/>
      <c r="X552" s="24"/>
      <c r="Y552" s="24"/>
      <c r="AB552" s="24"/>
      <c r="AC552" s="24"/>
    </row>
    <row r="553" ht="14.25" customHeight="1">
      <c r="D553" s="24"/>
      <c r="E553" s="24"/>
      <c r="H553" s="24"/>
      <c r="I553" s="24"/>
      <c r="L553" s="24"/>
      <c r="M553" s="24"/>
      <c r="P553" s="24"/>
      <c r="Q553" s="24"/>
      <c r="T553" s="24"/>
      <c r="U553" s="24"/>
      <c r="X553" s="24"/>
      <c r="Y553" s="24"/>
      <c r="AB553" s="24"/>
      <c r="AC553" s="24"/>
    </row>
    <row r="554" ht="14.25" customHeight="1">
      <c r="D554" s="24"/>
      <c r="E554" s="24"/>
      <c r="H554" s="24"/>
      <c r="I554" s="24"/>
      <c r="L554" s="24"/>
      <c r="M554" s="24"/>
      <c r="P554" s="24"/>
      <c r="Q554" s="24"/>
      <c r="T554" s="24"/>
      <c r="U554" s="24"/>
      <c r="X554" s="24"/>
      <c r="Y554" s="24"/>
      <c r="AB554" s="24"/>
      <c r="AC554" s="24"/>
    </row>
    <row r="555" ht="14.25" customHeight="1">
      <c r="D555" s="24"/>
      <c r="E555" s="24"/>
      <c r="H555" s="24"/>
      <c r="I555" s="24"/>
      <c r="L555" s="24"/>
      <c r="M555" s="24"/>
      <c r="P555" s="24"/>
      <c r="Q555" s="24"/>
      <c r="T555" s="24"/>
      <c r="U555" s="24"/>
      <c r="X555" s="24"/>
      <c r="Y555" s="24"/>
      <c r="AB555" s="24"/>
      <c r="AC555" s="24"/>
    </row>
    <row r="556" ht="14.25" customHeight="1">
      <c r="D556" s="24"/>
      <c r="E556" s="24"/>
      <c r="H556" s="24"/>
      <c r="I556" s="24"/>
      <c r="L556" s="24"/>
      <c r="M556" s="24"/>
      <c r="P556" s="24"/>
      <c r="Q556" s="24"/>
      <c r="T556" s="24"/>
      <c r="U556" s="24"/>
      <c r="X556" s="24"/>
      <c r="Y556" s="24"/>
      <c r="AB556" s="24"/>
      <c r="AC556" s="24"/>
    </row>
    <row r="557" ht="14.25" customHeight="1">
      <c r="D557" s="24"/>
      <c r="E557" s="24"/>
      <c r="H557" s="24"/>
      <c r="I557" s="24"/>
      <c r="L557" s="24"/>
      <c r="M557" s="24"/>
      <c r="P557" s="24"/>
      <c r="Q557" s="24"/>
      <c r="T557" s="24"/>
      <c r="U557" s="24"/>
      <c r="X557" s="24"/>
      <c r="Y557" s="24"/>
      <c r="AB557" s="24"/>
      <c r="AC557" s="24"/>
    </row>
    <row r="558" ht="14.25" customHeight="1">
      <c r="D558" s="24"/>
      <c r="E558" s="24"/>
      <c r="H558" s="24"/>
      <c r="I558" s="24"/>
      <c r="L558" s="24"/>
      <c r="M558" s="24"/>
      <c r="P558" s="24"/>
      <c r="Q558" s="24"/>
      <c r="T558" s="24"/>
      <c r="U558" s="24"/>
      <c r="X558" s="24"/>
      <c r="Y558" s="24"/>
      <c r="AB558" s="24"/>
      <c r="AC558" s="24"/>
    </row>
    <row r="559" ht="14.25" customHeight="1">
      <c r="D559" s="24"/>
      <c r="E559" s="24"/>
      <c r="H559" s="24"/>
      <c r="I559" s="24"/>
      <c r="L559" s="24"/>
      <c r="M559" s="24"/>
      <c r="P559" s="24"/>
      <c r="Q559" s="24"/>
      <c r="T559" s="24"/>
      <c r="U559" s="24"/>
      <c r="X559" s="24"/>
      <c r="Y559" s="24"/>
      <c r="AB559" s="24"/>
      <c r="AC559" s="24"/>
    </row>
    <row r="560" ht="14.25" customHeight="1">
      <c r="D560" s="24"/>
      <c r="E560" s="24"/>
      <c r="H560" s="24"/>
      <c r="I560" s="24"/>
      <c r="L560" s="24"/>
      <c r="M560" s="24"/>
      <c r="P560" s="24"/>
      <c r="Q560" s="24"/>
      <c r="T560" s="24"/>
      <c r="U560" s="24"/>
      <c r="X560" s="24"/>
      <c r="Y560" s="24"/>
      <c r="AB560" s="24"/>
      <c r="AC560" s="24"/>
    </row>
    <row r="561" ht="14.25" customHeight="1">
      <c r="D561" s="24"/>
      <c r="E561" s="24"/>
      <c r="H561" s="24"/>
      <c r="I561" s="24"/>
      <c r="L561" s="24"/>
      <c r="M561" s="24"/>
      <c r="P561" s="24"/>
      <c r="Q561" s="24"/>
      <c r="T561" s="24"/>
      <c r="U561" s="24"/>
      <c r="X561" s="24"/>
      <c r="Y561" s="24"/>
      <c r="AB561" s="24"/>
      <c r="AC561" s="24"/>
    </row>
    <row r="562" ht="14.25" customHeight="1">
      <c r="D562" s="24"/>
      <c r="E562" s="24"/>
      <c r="H562" s="24"/>
      <c r="I562" s="24"/>
      <c r="L562" s="24"/>
      <c r="M562" s="24"/>
      <c r="P562" s="24"/>
      <c r="Q562" s="24"/>
      <c r="T562" s="24"/>
      <c r="U562" s="24"/>
      <c r="X562" s="24"/>
      <c r="Y562" s="24"/>
      <c r="AB562" s="24"/>
      <c r="AC562" s="24"/>
    </row>
    <row r="563" ht="14.25" customHeight="1">
      <c r="D563" s="24"/>
      <c r="E563" s="24"/>
      <c r="H563" s="24"/>
      <c r="I563" s="24"/>
      <c r="L563" s="24"/>
      <c r="M563" s="24"/>
      <c r="P563" s="24"/>
      <c r="Q563" s="24"/>
      <c r="T563" s="24"/>
      <c r="U563" s="24"/>
      <c r="X563" s="24"/>
      <c r="Y563" s="24"/>
      <c r="AB563" s="24"/>
      <c r="AC563" s="24"/>
    </row>
    <row r="564" ht="14.25" customHeight="1">
      <c r="D564" s="24"/>
      <c r="E564" s="24"/>
      <c r="H564" s="24"/>
      <c r="I564" s="24"/>
      <c r="L564" s="24"/>
      <c r="M564" s="24"/>
      <c r="P564" s="24"/>
      <c r="Q564" s="24"/>
      <c r="T564" s="24"/>
      <c r="U564" s="24"/>
      <c r="X564" s="24"/>
      <c r="Y564" s="24"/>
      <c r="AB564" s="24"/>
      <c r="AC564" s="24"/>
    </row>
    <row r="565" ht="14.25" customHeight="1">
      <c r="D565" s="24"/>
      <c r="E565" s="24"/>
      <c r="H565" s="24"/>
      <c r="I565" s="24"/>
      <c r="L565" s="24"/>
      <c r="M565" s="24"/>
      <c r="P565" s="24"/>
      <c r="Q565" s="24"/>
      <c r="T565" s="24"/>
      <c r="U565" s="24"/>
      <c r="X565" s="24"/>
      <c r="Y565" s="24"/>
      <c r="AB565" s="24"/>
      <c r="AC565" s="24"/>
    </row>
    <row r="566" ht="14.25" customHeight="1">
      <c r="D566" s="24"/>
      <c r="E566" s="24"/>
      <c r="H566" s="24"/>
      <c r="I566" s="24"/>
      <c r="L566" s="24"/>
      <c r="M566" s="24"/>
      <c r="P566" s="24"/>
      <c r="Q566" s="24"/>
      <c r="T566" s="24"/>
      <c r="U566" s="24"/>
      <c r="X566" s="24"/>
      <c r="Y566" s="24"/>
      <c r="AB566" s="24"/>
      <c r="AC566" s="24"/>
    </row>
    <row r="567" ht="14.25" customHeight="1">
      <c r="D567" s="24"/>
      <c r="E567" s="24"/>
      <c r="H567" s="24"/>
      <c r="I567" s="24"/>
      <c r="L567" s="24"/>
      <c r="M567" s="24"/>
      <c r="P567" s="24"/>
      <c r="Q567" s="24"/>
      <c r="T567" s="24"/>
      <c r="U567" s="24"/>
      <c r="X567" s="24"/>
      <c r="Y567" s="24"/>
      <c r="AB567" s="24"/>
      <c r="AC567" s="24"/>
    </row>
    <row r="568" ht="14.25" customHeight="1">
      <c r="D568" s="24"/>
      <c r="E568" s="24"/>
      <c r="H568" s="24"/>
      <c r="I568" s="24"/>
      <c r="L568" s="24"/>
      <c r="M568" s="24"/>
      <c r="P568" s="24"/>
      <c r="Q568" s="24"/>
      <c r="T568" s="24"/>
      <c r="U568" s="24"/>
      <c r="X568" s="24"/>
      <c r="Y568" s="24"/>
      <c r="AB568" s="24"/>
      <c r="AC568" s="24"/>
    </row>
    <row r="569" ht="14.25" customHeight="1">
      <c r="D569" s="24"/>
      <c r="E569" s="24"/>
      <c r="H569" s="24"/>
      <c r="I569" s="24"/>
      <c r="L569" s="24"/>
      <c r="M569" s="24"/>
      <c r="P569" s="24"/>
      <c r="Q569" s="24"/>
      <c r="T569" s="24"/>
      <c r="U569" s="24"/>
      <c r="X569" s="24"/>
      <c r="Y569" s="24"/>
      <c r="AB569" s="24"/>
      <c r="AC569" s="24"/>
    </row>
    <row r="570" ht="14.25" customHeight="1">
      <c r="D570" s="24"/>
      <c r="E570" s="24"/>
      <c r="H570" s="24"/>
      <c r="I570" s="24"/>
      <c r="L570" s="24"/>
      <c r="M570" s="24"/>
      <c r="P570" s="24"/>
      <c r="Q570" s="24"/>
      <c r="T570" s="24"/>
      <c r="U570" s="24"/>
      <c r="X570" s="24"/>
      <c r="Y570" s="24"/>
      <c r="AB570" s="24"/>
      <c r="AC570" s="24"/>
    </row>
    <row r="571" ht="14.25" customHeight="1">
      <c r="D571" s="24"/>
      <c r="E571" s="24"/>
      <c r="H571" s="24"/>
      <c r="I571" s="24"/>
      <c r="L571" s="24"/>
      <c r="M571" s="24"/>
      <c r="P571" s="24"/>
      <c r="Q571" s="24"/>
      <c r="T571" s="24"/>
      <c r="U571" s="24"/>
      <c r="X571" s="24"/>
      <c r="Y571" s="24"/>
      <c r="AB571" s="24"/>
      <c r="AC571" s="24"/>
    </row>
    <row r="572" ht="14.25" customHeight="1">
      <c r="D572" s="24"/>
      <c r="E572" s="24"/>
      <c r="H572" s="24"/>
      <c r="I572" s="24"/>
      <c r="L572" s="24"/>
      <c r="M572" s="24"/>
      <c r="P572" s="24"/>
      <c r="Q572" s="24"/>
      <c r="T572" s="24"/>
      <c r="U572" s="24"/>
      <c r="X572" s="24"/>
      <c r="Y572" s="24"/>
      <c r="AB572" s="24"/>
      <c r="AC572" s="24"/>
    </row>
    <row r="573" ht="14.25" customHeight="1">
      <c r="D573" s="24"/>
      <c r="E573" s="24"/>
      <c r="H573" s="24"/>
      <c r="I573" s="24"/>
      <c r="L573" s="24"/>
      <c r="M573" s="24"/>
      <c r="P573" s="24"/>
      <c r="Q573" s="24"/>
      <c r="T573" s="24"/>
      <c r="U573" s="24"/>
      <c r="X573" s="24"/>
      <c r="Y573" s="24"/>
      <c r="AB573" s="24"/>
      <c r="AC573" s="24"/>
    </row>
    <row r="574" ht="14.25" customHeight="1">
      <c r="D574" s="24"/>
      <c r="E574" s="24"/>
      <c r="H574" s="24"/>
      <c r="I574" s="24"/>
      <c r="L574" s="24"/>
      <c r="M574" s="24"/>
      <c r="P574" s="24"/>
      <c r="Q574" s="24"/>
      <c r="T574" s="24"/>
      <c r="U574" s="24"/>
      <c r="X574" s="24"/>
      <c r="Y574" s="24"/>
      <c r="AB574" s="24"/>
      <c r="AC574" s="24"/>
    </row>
    <row r="575" ht="14.25" customHeight="1">
      <c r="D575" s="24"/>
      <c r="E575" s="24"/>
      <c r="H575" s="24"/>
      <c r="I575" s="24"/>
      <c r="L575" s="24"/>
      <c r="M575" s="24"/>
      <c r="P575" s="24"/>
      <c r="Q575" s="24"/>
      <c r="T575" s="24"/>
      <c r="U575" s="24"/>
      <c r="X575" s="24"/>
      <c r="Y575" s="24"/>
      <c r="AB575" s="24"/>
      <c r="AC575" s="24"/>
    </row>
    <row r="576" ht="14.25" customHeight="1">
      <c r="D576" s="24"/>
      <c r="E576" s="24"/>
      <c r="H576" s="24"/>
      <c r="I576" s="24"/>
      <c r="L576" s="24"/>
      <c r="M576" s="24"/>
      <c r="P576" s="24"/>
      <c r="Q576" s="24"/>
      <c r="T576" s="24"/>
      <c r="U576" s="24"/>
      <c r="X576" s="24"/>
      <c r="Y576" s="24"/>
      <c r="AB576" s="24"/>
      <c r="AC576" s="24"/>
    </row>
    <row r="577" ht="14.25" customHeight="1">
      <c r="D577" s="24"/>
      <c r="E577" s="24"/>
      <c r="H577" s="24"/>
      <c r="I577" s="24"/>
      <c r="L577" s="24"/>
      <c r="M577" s="24"/>
      <c r="P577" s="24"/>
      <c r="Q577" s="24"/>
      <c r="T577" s="24"/>
      <c r="U577" s="24"/>
      <c r="X577" s="24"/>
      <c r="Y577" s="24"/>
      <c r="AB577" s="24"/>
      <c r="AC577" s="24"/>
    </row>
    <row r="578" ht="14.25" customHeight="1">
      <c r="D578" s="24"/>
      <c r="E578" s="24"/>
      <c r="H578" s="24"/>
      <c r="I578" s="24"/>
      <c r="L578" s="24"/>
      <c r="M578" s="24"/>
      <c r="P578" s="24"/>
      <c r="Q578" s="24"/>
      <c r="T578" s="24"/>
      <c r="U578" s="24"/>
      <c r="X578" s="24"/>
      <c r="Y578" s="24"/>
      <c r="AB578" s="24"/>
      <c r="AC578" s="24"/>
    </row>
    <row r="579" ht="14.25" customHeight="1">
      <c r="D579" s="24"/>
      <c r="E579" s="24"/>
      <c r="H579" s="24"/>
      <c r="I579" s="24"/>
      <c r="L579" s="24"/>
      <c r="M579" s="24"/>
      <c r="P579" s="24"/>
      <c r="Q579" s="24"/>
      <c r="T579" s="24"/>
      <c r="U579" s="24"/>
      <c r="X579" s="24"/>
      <c r="Y579" s="24"/>
      <c r="AB579" s="24"/>
      <c r="AC579" s="24"/>
    </row>
    <row r="580" ht="14.25" customHeight="1">
      <c r="D580" s="24"/>
      <c r="E580" s="24"/>
      <c r="H580" s="24"/>
      <c r="I580" s="24"/>
      <c r="L580" s="24"/>
      <c r="M580" s="24"/>
      <c r="P580" s="24"/>
      <c r="Q580" s="24"/>
      <c r="T580" s="24"/>
      <c r="U580" s="24"/>
      <c r="X580" s="24"/>
      <c r="Y580" s="24"/>
      <c r="AB580" s="24"/>
      <c r="AC580" s="24"/>
    </row>
    <row r="581" ht="14.25" customHeight="1">
      <c r="D581" s="24"/>
      <c r="E581" s="24"/>
      <c r="H581" s="24"/>
      <c r="I581" s="24"/>
      <c r="L581" s="24"/>
      <c r="M581" s="24"/>
      <c r="P581" s="24"/>
      <c r="Q581" s="24"/>
      <c r="T581" s="24"/>
      <c r="U581" s="24"/>
      <c r="X581" s="24"/>
      <c r="Y581" s="24"/>
      <c r="AB581" s="24"/>
      <c r="AC581" s="24"/>
    </row>
    <row r="582" ht="14.25" customHeight="1">
      <c r="D582" s="24"/>
      <c r="E582" s="24"/>
      <c r="H582" s="24"/>
      <c r="I582" s="24"/>
      <c r="L582" s="24"/>
      <c r="M582" s="24"/>
      <c r="P582" s="24"/>
      <c r="Q582" s="24"/>
      <c r="T582" s="24"/>
      <c r="U582" s="24"/>
      <c r="X582" s="24"/>
      <c r="Y582" s="24"/>
      <c r="AB582" s="24"/>
      <c r="AC582" s="24"/>
    </row>
    <row r="583" ht="14.25" customHeight="1">
      <c r="D583" s="24"/>
      <c r="E583" s="24"/>
      <c r="H583" s="24"/>
      <c r="I583" s="24"/>
      <c r="L583" s="24"/>
      <c r="M583" s="24"/>
      <c r="P583" s="24"/>
      <c r="Q583" s="24"/>
      <c r="T583" s="24"/>
      <c r="U583" s="24"/>
      <c r="X583" s="24"/>
      <c r="Y583" s="24"/>
      <c r="AB583" s="24"/>
      <c r="AC583" s="24"/>
    </row>
    <row r="584" ht="14.25" customHeight="1">
      <c r="D584" s="24"/>
      <c r="E584" s="24"/>
      <c r="H584" s="24"/>
      <c r="I584" s="24"/>
      <c r="L584" s="24"/>
      <c r="M584" s="24"/>
      <c r="P584" s="24"/>
      <c r="Q584" s="24"/>
      <c r="T584" s="24"/>
      <c r="U584" s="24"/>
      <c r="X584" s="24"/>
      <c r="Y584" s="24"/>
      <c r="AB584" s="24"/>
      <c r="AC584" s="24"/>
    </row>
    <row r="585" ht="14.25" customHeight="1">
      <c r="D585" s="24"/>
      <c r="E585" s="24"/>
      <c r="H585" s="24"/>
      <c r="I585" s="24"/>
      <c r="L585" s="24"/>
      <c r="M585" s="24"/>
      <c r="P585" s="24"/>
      <c r="Q585" s="24"/>
      <c r="T585" s="24"/>
      <c r="U585" s="24"/>
      <c r="X585" s="24"/>
      <c r="Y585" s="24"/>
      <c r="AB585" s="24"/>
      <c r="AC585" s="24"/>
    </row>
    <row r="586" ht="14.25" customHeight="1">
      <c r="D586" s="24"/>
      <c r="E586" s="24"/>
      <c r="H586" s="24"/>
      <c r="I586" s="24"/>
      <c r="L586" s="24"/>
      <c r="M586" s="24"/>
      <c r="P586" s="24"/>
      <c r="Q586" s="24"/>
      <c r="T586" s="24"/>
      <c r="U586" s="24"/>
      <c r="X586" s="24"/>
      <c r="Y586" s="24"/>
      <c r="AB586" s="24"/>
      <c r="AC586" s="24"/>
    </row>
    <row r="587" ht="14.25" customHeight="1">
      <c r="D587" s="24"/>
      <c r="E587" s="24"/>
      <c r="H587" s="24"/>
      <c r="I587" s="24"/>
      <c r="L587" s="24"/>
      <c r="M587" s="24"/>
      <c r="P587" s="24"/>
      <c r="Q587" s="24"/>
      <c r="T587" s="24"/>
      <c r="U587" s="24"/>
      <c r="X587" s="24"/>
      <c r="Y587" s="24"/>
      <c r="AB587" s="24"/>
      <c r="AC587" s="24"/>
    </row>
    <row r="588" ht="14.25" customHeight="1">
      <c r="D588" s="24"/>
      <c r="E588" s="24"/>
      <c r="H588" s="24"/>
      <c r="I588" s="24"/>
      <c r="L588" s="24"/>
      <c r="M588" s="24"/>
      <c r="P588" s="24"/>
      <c r="Q588" s="24"/>
      <c r="T588" s="24"/>
      <c r="U588" s="24"/>
      <c r="X588" s="24"/>
      <c r="Y588" s="24"/>
      <c r="AB588" s="24"/>
      <c r="AC588" s="24"/>
    </row>
    <row r="589" ht="14.25" customHeight="1">
      <c r="D589" s="24"/>
      <c r="E589" s="24"/>
      <c r="H589" s="24"/>
      <c r="I589" s="24"/>
      <c r="L589" s="24"/>
      <c r="M589" s="24"/>
      <c r="P589" s="24"/>
      <c r="Q589" s="24"/>
      <c r="T589" s="24"/>
      <c r="U589" s="24"/>
      <c r="X589" s="24"/>
      <c r="Y589" s="24"/>
      <c r="AB589" s="24"/>
      <c r="AC589" s="24"/>
    </row>
    <row r="590" ht="14.25" customHeight="1">
      <c r="D590" s="24"/>
      <c r="E590" s="24"/>
      <c r="H590" s="24"/>
      <c r="I590" s="24"/>
      <c r="L590" s="24"/>
      <c r="M590" s="24"/>
      <c r="P590" s="24"/>
      <c r="Q590" s="24"/>
      <c r="T590" s="24"/>
      <c r="U590" s="24"/>
      <c r="X590" s="24"/>
      <c r="Y590" s="24"/>
      <c r="AB590" s="24"/>
      <c r="AC590" s="24"/>
    </row>
    <row r="591" ht="14.25" customHeight="1">
      <c r="D591" s="24"/>
      <c r="E591" s="24"/>
      <c r="H591" s="24"/>
      <c r="I591" s="24"/>
      <c r="L591" s="24"/>
      <c r="M591" s="24"/>
      <c r="P591" s="24"/>
      <c r="Q591" s="24"/>
      <c r="T591" s="24"/>
      <c r="U591" s="24"/>
      <c r="X591" s="24"/>
      <c r="Y591" s="24"/>
      <c r="AB591" s="24"/>
      <c r="AC591" s="24"/>
    </row>
    <row r="592" ht="14.25" customHeight="1">
      <c r="D592" s="24"/>
      <c r="E592" s="24"/>
      <c r="H592" s="24"/>
      <c r="I592" s="24"/>
      <c r="L592" s="24"/>
      <c r="M592" s="24"/>
      <c r="P592" s="24"/>
      <c r="Q592" s="24"/>
      <c r="T592" s="24"/>
      <c r="U592" s="24"/>
      <c r="X592" s="24"/>
      <c r="Y592" s="24"/>
      <c r="AB592" s="24"/>
      <c r="AC592" s="24"/>
    </row>
    <row r="593" ht="14.25" customHeight="1">
      <c r="D593" s="24"/>
      <c r="E593" s="24"/>
      <c r="H593" s="24"/>
      <c r="I593" s="24"/>
      <c r="L593" s="24"/>
      <c r="M593" s="24"/>
      <c r="P593" s="24"/>
      <c r="Q593" s="24"/>
      <c r="T593" s="24"/>
      <c r="U593" s="24"/>
      <c r="X593" s="24"/>
      <c r="Y593" s="24"/>
      <c r="AB593" s="24"/>
      <c r="AC593" s="24"/>
    </row>
    <row r="594" ht="14.25" customHeight="1">
      <c r="D594" s="24"/>
      <c r="E594" s="24"/>
      <c r="H594" s="24"/>
      <c r="I594" s="24"/>
      <c r="L594" s="24"/>
      <c r="M594" s="24"/>
      <c r="P594" s="24"/>
      <c r="Q594" s="24"/>
      <c r="T594" s="24"/>
      <c r="U594" s="24"/>
      <c r="X594" s="24"/>
      <c r="Y594" s="24"/>
      <c r="AB594" s="24"/>
      <c r="AC594" s="24"/>
    </row>
    <row r="595" ht="14.25" customHeight="1">
      <c r="D595" s="24"/>
      <c r="E595" s="24"/>
      <c r="H595" s="24"/>
      <c r="I595" s="24"/>
      <c r="L595" s="24"/>
      <c r="M595" s="24"/>
      <c r="P595" s="24"/>
      <c r="Q595" s="24"/>
      <c r="T595" s="24"/>
      <c r="U595" s="24"/>
      <c r="X595" s="24"/>
      <c r="Y595" s="24"/>
      <c r="AB595" s="24"/>
      <c r="AC595" s="24"/>
    </row>
    <row r="596" ht="14.25" customHeight="1">
      <c r="D596" s="24"/>
      <c r="E596" s="24"/>
      <c r="H596" s="24"/>
      <c r="I596" s="24"/>
      <c r="L596" s="24"/>
      <c r="M596" s="24"/>
      <c r="P596" s="24"/>
      <c r="Q596" s="24"/>
      <c r="T596" s="24"/>
      <c r="U596" s="24"/>
      <c r="X596" s="24"/>
      <c r="Y596" s="24"/>
      <c r="AB596" s="24"/>
      <c r="AC596" s="24"/>
    </row>
    <row r="597" ht="14.25" customHeight="1">
      <c r="D597" s="24"/>
      <c r="E597" s="24"/>
      <c r="H597" s="24"/>
      <c r="I597" s="24"/>
      <c r="L597" s="24"/>
      <c r="M597" s="24"/>
      <c r="P597" s="24"/>
      <c r="Q597" s="24"/>
      <c r="T597" s="24"/>
      <c r="U597" s="24"/>
      <c r="X597" s="24"/>
      <c r="Y597" s="24"/>
      <c r="AB597" s="24"/>
      <c r="AC597" s="24"/>
    </row>
    <row r="598" ht="14.25" customHeight="1">
      <c r="D598" s="24"/>
      <c r="E598" s="24"/>
      <c r="H598" s="24"/>
      <c r="I598" s="24"/>
      <c r="L598" s="24"/>
      <c r="M598" s="24"/>
      <c r="P598" s="24"/>
      <c r="Q598" s="24"/>
      <c r="T598" s="24"/>
      <c r="U598" s="24"/>
      <c r="X598" s="24"/>
      <c r="Y598" s="24"/>
      <c r="AB598" s="24"/>
      <c r="AC598" s="24"/>
    </row>
    <row r="599" ht="14.25" customHeight="1">
      <c r="D599" s="24"/>
      <c r="E599" s="24"/>
      <c r="H599" s="24"/>
      <c r="I599" s="24"/>
      <c r="L599" s="24"/>
      <c r="M599" s="24"/>
      <c r="P599" s="24"/>
      <c r="Q599" s="24"/>
      <c r="T599" s="24"/>
      <c r="U599" s="24"/>
      <c r="X599" s="24"/>
      <c r="Y599" s="24"/>
      <c r="AB599" s="24"/>
      <c r="AC599" s="24"/>
    </row>
    <row r="600" ht="14.25" customHeight="1">
      <c r="D600" s="24"/>
      <c r="E600" s="24"/>
      <c r="H600" s="24"/>
      <c r="I600" s="24"/>
      <c r="L600" s="24"/>
      <c r="M600" s="24"/>
      <c r="P600" s="24"/>
      <c r="Q600" s="24"/>
      <c r="T600" s="24"/>
      <c r="U600" s="24"/>
      <c r="X600" s="24"/>
      <c r="Y600" s="24"/>
      <c r="AB600" s="24"/>
      <c r="AC600" s="24"/>
    </row>
    <row r="601" ht="14.25" customHeight="1">
      <c r="D601" s="24"/>
      <c r="E601" s="24"/>
      <c r="H601" s="24"/>
      <c r="I601" s="24"/>
      <c r="L601" s="24"/>
      <c r="M601" s="24"/>
      <c r="P601" s="24"/>
      <c r="Q601" s="24"/>
      <c r="T601" s="24"/>
      <c r="U601" s="24"/>
      <c r="X601" s="24"/>
      <c r="Y601" s="24"/>
      <c r="AB601" s="24"/>
      <c r="AC601" s="24"/>
    </row>
    <row r="602" ht="14.25" customHeight="1">
      <c r="D602" s="24"/>
      <c r="E602" s="24"/>
      <c r="H602" s="24"/>
      <c r="I602" s="24"/>
      <c r="L602" s="24"/>
      <c r="M602" s="24"/>
      <c r="P602" s="24"/>
      <c r="Q602" s="24"/>
      <c r="T602" s="24"/>
      <c r="U602" s="24"/>
      <c r="X602" s="24"/>
      <c r="Y602" s="24"/>
      <c r="AB602" s="24"/>
      <c r="AC602" s="24"/>
    </row>
    <row r="603" ht="14.25" customHeight="1">
      <c r="D603" s="24"/>
      <c r="E603" s="24"/>
      <c r="H603" s="24"/>
      <c r="I603" s="24"/>
      <c r="L603" s="24"/>
      <c r="M603" s="24"/>
      <c r="P603" s="24"/>
      <c r="Q603" s="24"/>
      <c r="T603" s="24"/>
      <c r="U603" s="24"/>
      <c r="X603" s="24"/>
      <c r="Y603" s="24"/>
      <c r="AB603" s="24"/>
      <c r="AC603" s="24"/>
    </row>
    <row r="604" ht="14.25" customHeight="1">
      <c r="D604" s="24"/>
      <c r="E604" s="24"/>
      <c r="H604" s="24"/>
      <c r="I604" s="24"/>
      <c r="L604" s="24"/>
      <c r="M604" s="24"/>
      <c r="P604" s="24"/>
      <c r="Q604" s="24"/>
      <c r="T604" s="24"/>
      <c r="U604" s="24"/>
      <c r="X604" s="24"/>
      <c r="Y604" s="24"/>
      <c r="AB604" s="24"/>
      <c r="AC604" s="24"/>
    </row>
    <row r="605" ht="14.25" customHeight="1">
      <c r="D605" s="24"/>
      <c r="E605" s="24"/>
      <c r="H605" s="24"/>
      <c r="I605" s="24"/>
      <c r="L605" s="24"/>
      <c r="M605" s="24"/>
      <c r="P605" s="24"/>
      <c r="Q605" s="24"/>
      <c r="T605" s="24"/>
      <c r="U605" s="24"/>
      <c r="X605" s="24"/>
      <c r="Y605" s="24"/>
      <c r="AB605" s="24"/>
      <c r="AC605" s="24"/>
    </row>
    <row r="606" ht="14.25" customHeight="1">
      <c r="D606" s="24"/>
      <c r="E606" s="24"/>
      <c r="H606" s="24"/>
      <c r="I606" s="24"/>
      <c r="L606" s="24"/>
      <c r="M606" s="24"/>
      <c r="P606" s="24"/>
      <c r="Q606" s="24"/>
      <c r="T606" s="24"/>
      <c r="U606" s="24"/>
      <c r="X606" s="24"/>
      <c r="Y606" s="24"/>
      <c r="AB606" s="24"/>
      <c r="AC606" s="24"/>
    </row>
    <row r="607" ht="14.25" customHeight="1">
      <c r="D607" s="24"/>
      <c r="E607" s="24"/>
      <c r="H607" s="24"/>
      <c r="I607" s="24"/>
      <c r="L607" s="24"/>
      <c r="M607" s="24"/>
      <c r="P607" s="24"/>
      <c r="Q607" s="24"/>
      <c r="T607" s="24"/>
      <c r="U607" s="24"/>
      <c r="X607" s="24"/>
      <c r="Y607" s="24"/>
      <c r="AB607" s="24"/>
      <c r="AC607" s="24"/>
    </row>
    <row r="608" ht="14.25" customHeight="1">
      <c r="D608" s="24"/>
      <c r="E608" s="24"/>
      <c r="H608" s="24"/>
      <c r="I608" s="24"/>
      <c r="L608" s="24"/>
      <c r="M608" s="24"/>
      <c r="P608" s="24"/>
      <c r="Q608" s="24"/>
      <c r="T608" s="24"/>
      <c r="U608" s="24"/>
      <c r="X608" s="24"/>
      <c r="Y608" s="24"/>
      <c r="AB608" s="24"/>
      <c r="AC608" s="24"/>
    </row>
    <row r="609" ht="14.25" customHeight="1">
      <c r="D609" s="24"/>
      <c r="E609" s="24"/>
      <c r="H609" s="24"/>
      <c r="I609" s="24"/>
      <c r="L609" s="24"/>
      <c r="M609" s="24"/>
      <c r="P609" s="24"/>
      <c r="Q609" s="24"/>
      <c r="T609" s="24"/>
      <c r="U609" s="24"/>
      <c r="X609" s="24"/>
      <c r="Y609" s="24"/>
      <c r="AB609" s="24"/>
      <c r="AC609" s="24"/>
    </row>
    <row r="610" ht="14.25" customHeight="1">
      <c r="D610" s="24"/>
      <c r="E610" s="24"/>
      <c r="H610" s="24"/>
      <c r="I610" s="24"/>
      <c r="L610" s="24"/>
      <c r="M610" s="24"/>
      <c r="P610" s="24"/>
      <c r="Q610" s="24"/>
      <c r="T610" s="24"/>
      <c r="U610" s="24"/>
      <c r="X610" s="24"/>
      <c r="Y610" s="24"/>
      <c r="AB610" s="24"/>
      <c r="AC610" s="24"/>
    </row>
    <row r="611" ht="14.25" customHeight="1">
      <c r="D611" s="24"/>
      <c r="E611" s="24"/>
      <c r="H611" s="24"/>
      <c r="I611" s="24"/>
      <c r="L611" s="24"/>
      <c r="M611" s="24"/>
      <c r="P611" s="24"/>
      <c r="Q611" s="24"/>
      <c r="T611" s="24"/>
      <c r="U611" s="24"/>
      <c r="X611" s="24"/>
      <c r="Y611" s="24"/>
      <c r="AB611" s="24"/>
      <c r="AC611" s="24"/>
    </row>
    <row r="612" ht="14.25" customHeight="1">
      <c r="D612" s="24"/>
      <c r="E612" s="24"/>
      <c r="H612" s="24"/>
      <c r="I612" s="24"/>
      <c r="L612" s="24"/>
      <c r="M612" s="24"/>
      <c r="P612" s="24"/>
      <c r="Q612" s="24"/>
      <c r="T612" s="24"/>
      <c r="U612" s="24"/>
      <c r="X612" s="24"/>
      <c r="Y612" s="24"/>
      <c r="AB612" s="24"/>
      <c r="AC612" s="24"/>
    </row>
    <row r="613" ht="14.25" customHeight="1">
      <c r="D613" s="24"/>
      <c r="E613" s="24"/>
      <c r="H613" s="24"/>
      <c r="I613" s="24"/>
      <c r="L613" s="24"/>
      <c r="M613" s="24"/>
      <c r="P613" s="24"/>
      <c r="Q613" s="24"/>
      <c r="T613" s="24"/>
      <c r="U613" s="24"/>
      <c r="X613" s="24"/>
      <c r="Y613" s="24"/>
      <c r="AB613" s="24"/>
      <c r="AC613" s="24"/>
    </row>
    <row r="614" ht="14.25" customHeight="1">
      <c r="D614" s="24"/>
      <c r="E614" s="24"/>
      <c r="H614" s="24"/>
      <c r="I614" s="24"/>
      <c r="L614" s="24"/>
      <c r="M614" s="24"/>
      <c r="P614" s="24"/>
      <c r="Q614" s="24"/>
      <c r="T614" s="24"/>
      <c r="U614" s="24"/>
      <c r="X614" s="24"/>
      <c r="Y614" s="24"/>
      <c r="AB614" s="24"/>
      <c r="AC614" s="24"/>
    </row>
    <row r="615" ht="14.25" customHeight="1">
      <c r="D615" s="24"/>
      <c r="E615" s="24"/>
      <c r="H615" s="24"/>
      <c r="I615" s="24"/>
      <c r="L615" s="24"/>
      <c r="M615" s="24"/>
      <c r="P615" s="24"/>
      <c r="Q615" s="24"/>
      <c r="T615" s="24"/>
      <c r="U615" s="24"/>
      <c r="X615" s="24"/>
      <c r="Y615" s="24"/>
      <c r="AB615" s="24"/>
      <c r="AC615" s="24"/>
    </row>
    <row r="616" ht="14.25" customHeight="1">
      <c r="D616" s="24"/>
      <c r="E616" s="24"/>
      <c r="H616" s="24"/>
      <c r="I616" s="24"/>
      <c r="L616" s="24"/>
      <c r="M616" s="24"/>
      <c r="P616" s="24"/>
      <c r="Q616" s="24"/>
      <c r="T616" s="24"/>
      <c r="U616" s="24"/>
      <c r="X616" s="24"/>
      <c r="Y616" s="24"/>
      <c r="AB616" s="24"/>
      <c r="AC616" s="24"/>
    </row>
    <row r="617" ht="14.25" customHeight="1">
      <c r="D617" s="24"/>
      <c r="E617" s="24"/>
      <c r="H617" s="24"/>
      <c r="I617" s="24"/>
      <c r="L617" s="24"/>
      <c r="M617" s="24"/>
      <c r="P617" s="24"/>
      <c r="Q617" s="24"/>
      <c r="T617" s="24"/>
      <c r="U617" s="24"/>
      <c r="X617" s="24"/>
      <c r="Y617" s="24"/>
      <c r="AB617" s="24"/>
      <c r="AC617" s="24"/>
    </row>
    <row r="618" ht="14.25" customHeight="1">
      <c r="D618" s="24"/>
      <c r="E618" s="24"/>
      <c r="H618" s="24"/>
      <c r="I618" s="24"/>
      <c r="L618" s="24"/>
      <c r="M618" s="24"/>
      <c r="P618" s="24"/>
      <c r="Q618" s="24"/>
      <c r="T618" s="24"/>
      <c r="U618" s="24"/>
      <c r="X618" s="24"/>
      <c r="Y618" s="24"/>
      <c r="AB618" s="24"/>
      <c r="AC618" s="24"/>
    </row>
    <row r="619" ht="14.25" customHeight="1">
      <c r="D619" s="24"/>
      <c r="E619" s="24"/>
      <c r="H619" s="24"/>
      <c r="I619" s="24"/>
      <c r="L619" s="24"/>
      <c r="M619" s="24"/>
      <c r="P619" s="24"/>
      <c r="Q619" s="24"/>
      <c r="T619" s="24"/>
      <c r="U619" s="24"/>
      <c r="X619" s="24"/>
      <c r="Y619" s="24"/>
      <c r="AB619" s="24"/>
      <c r="AC619" s="24"/>
    </row>
    <row r="620" ht="14.25" customHeight="1">
      <c r="D620" s="24"/>
      <c r="E620" s="24"/>
      <c r="H620" s="24"/>
      <c r="I620" s="24"/>
      <c r="L620" s="24"/>
      <c r="M620" s="24"/>
      <c r="P620" s="24"/>
      <c r="Q620" s="24"/>
      <c r="T620" s="24"/>
      <c r="U620" s="24"/>
      <c r="X620" s="24"/>
      <c r="Y620" s="24"/>
      <c r="AB620" s="24"/>
      <c r="AC620" s="24"/>
    </row>
    <row r="621" ht="14.25" customHeight="1">
      <c r="D621" s="24"/>
      <c r="E621" s="24"/>
      <c r="H621" s="24"/>
      <c r="I621" s="24"/>
      <c r="L621" s="24"/>
      <c r="M621" s="24"/>
      <c r="P621" s="24"/>
      <c r="Q621" s="24"/>
      <c r="T621" s="24"/>
      <c r="U621" s="24"/>
      <c r="X621" s="24"/>
      <c r="Y621" s="24"/>
      <c r="AB621" s="24"/>
      <c r="AC621" s="24"/>
    </row>
    <row r="622" ht="14.25" customHeight="1">
      <c r="D622" s="24"/>
      <c r="E622" s="24"/>
      <c r="H622" s="24"/>
      <c r="I622" s="24"/>
      <c r="L622" s="24"/>
      <c r="M622" s="24"/>
      <c r="P622" s="24"/>
      <c r="Q622" s="24"/>
      <c r="T622" s="24"/>
      <c r="U622" s="24"/>
      <c r="X622" s="24"/>
      <c r="Y622" s="24"/>
      <c r="AB622" s="24"/>
      <c r="AC622" s="24"/>
    </row>
    <row r="623" ht="14.25" customHeight="1">
      <c r="D623" s="24"/>
      <c r="E623" s="24"/>
      <c r="H623" s="24"/>
      <c r="I623" s="24"/>
      <c r="L623" s="24"/>
      <c r="M623" s="24"/>
      <c r="P623" s="24"/>
      <c r="Q623" s="24"/>
      <c r="T623" s="24"/>
      <c r="U623" s="24"/>
      <c r="X623" s="24"/>
      <c r="Y623" s="24"/>
      <c r="AB623" s="24"/>
      <c r="AC623" s="24"/>
    </row>
    <row r="624" ht="14.25" customHeight="1">
      <c r="D624" s="24"/>
      <c r="E624" s="24"/>
      <c r="H624" s="24"/>
      <c r="I624" s="24"/>
      <c r="L624" s="24"/>
      <c r="M624" s="24"/>
      <c r="P624" s="24"/>
      <c r="Q624" s="24"/>
      <c r="T624" s="24"/>
      <c r="U624" s="24"/>
      <c r="X624" s="24"/>
      <c r="Y624" s="24"/>
      <c r="AB624" s="24"/>
      <c r="AC624" s="24"/>
    </row>
    <row r="625" ht="14.25" customHeight="1">
      <c r="D625" s="24"/>
      <c r="E625" s="24"/>
      <c r="H625" s="24"/>
      <c r="I625" s="24"/>
      <c r="L625" s="24"/>
      <c r="M625" s="24"/>
      <c r="P625" s="24"/>
      <c r="Q625" s="24"/>
      <c r="T625" s="24"/>
      <c r="U625" s="24"/>
      <c r="X625" s="24"/>
      <c r="Y625" s="24"/>
      <c r="AB625" s="24"/>
      <c r="AC625" s="24"/>
    </row>
    <row r="626" ht="14.25" customHeight="1">
      <c r="D626" s="24"/>
      <c r="E626" s="24"/>
      <c r="H626" s="24"/>
      <c r="I626" s="24"/>
      <c r="L626" s="24"/>
      <c r="M626" s="24"/>
      <c r="P626" s="24"/>
      <c r="Q626" s="24"/>
      <c r="T626" s="24"/>
      <c r="U626" s="24"/>
      <c r="X626" s="24"/>
      <c r="Y626" s="24"/>
      <c r="AB626" s="24"/>
      <c r="AC626" s="24"/>
    </row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80"/>
    <hyperlink r:id="rId2" ref="B172"/>
  </hyperlinks>
  <printOptions/>
  <pageMargins bottom="0.75" footer="0.0" header="0.0" left="0.7" right="0.7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80.14"/>
    <col customWidth="1" min="3" max="3" width="29.43"/>
    <col customWidth="1" min="4" max="4" width="43.57"/>
    <col customWidth="1" min="5" max="5" width="37.71"/>
    <col customWidth="1" min="6" max="7" width="18.14"/>
    <col customWidth="1" min="8" max="8" width="22.43"/>
    <col customWidth="1" min="9" max="9" width="20.14"/>
    <col customWidth="1" min="10" max="11" width="18.14"/>
    <col customWidth="1" min="12" max="12" width="22.43"/>
    <col customWidth="1" min="13" max="13" width="20.14"/>
    <col customWidth="1" min="14" max="15" width="18.14"/>
    <col customWidth="1" min="16" max="16" width="22.43"/>
    <col customWidth="1" min="17" max="17" width="20.14"/>
    <col customWidth="1" min="18" max="19" width="18.14"/>
    <col customWidth="1" min="20" max="20" width="22.43"/>
    <col customWidth="1" min="21" max="21" width="20.14"/>
    <col customWidth="1" min="22" max="23" width="18.14"/>
    <col customWidth="1" min="24" max="24" width="22.43"/>
    <col customWidth="1" min="25" max="25" width="20.14"/>
    <col customWidth="1" min="26" max="38" width="18.14"/>
  </cols>
  <sheetData>
    <row r="1" ht="14.25" customHeight="1">
      <c r="A1" s="44" t="s">
        <v>7033</v>
      </c>
      <c r="B1" s="44" t="s">
        <v>7034</v>
      </c>
      <c r="C1" s="44" t="s">
        <v>7035</v>
      </c>
      <c r="D1" s="44" t="s">
        <v>7036</v>
      </c>
      <c r="E1" s="44" t="s">
        <v>7037</v>
      </c>
      <c r="F1" s="44" t="s">
        <v>7038</v>
      </c>
      <c r="G1" s="44" t="s">
        <v>7039</v>
      </c>
      <c r="H1" s="44" t="s">
        <v>7036</v>
      </c>
      <c r="I1" s="44" t="s">
        <v>7037</v>
      </c>
      <c r="J1" s="44" t="s">
        <v>7038</v>
      </c>
      <c r="K1" s="44" t="s">
        <v>7039</v>
      </c>
      <c r="L1" s="44" t="s">
        <v>7036</v>
      </c>
      <c r="M1" s="44" t="s">
        <v>7037</v>
      </c>
      <c r="N1" s="44" t="s">
        <v>7038</v>
      </c>
      <c r="O1" s="44" t="s">
        <v>7039</v>
      </c>
      <c r="P1" s="44" t="s">
        <v>7036</v>
      </c>
      <c r="Q1" s="44" t="s">
        <v>7037</v>
      </c>
      <c r="R1" s="44" t="s">
        <v>7038</v>
      </c>
      <c r="S1" s="44" t="s">
        <v>7039</v>
      </c>
      <c r="T1" s="44" t="s">
        <v>7036</v>
      </c>
      <c r="U1" s="44" t="s">
        <v>7037</v>
      </c>
      <c r="V1" s="44" t="s">
        <v>7038</v>
      </c>
      <c r="W1" s="44" t="s">
        <v>7039</v>
      </c>
      <c r="X1" s="44" t="s">
        <v>7036</v>
      </c>
      <c r="Y1" s="44" t="s">
        <v>7037</v>
      </c>
      <c r="Z1" s="44" t="s">
        <v>7038</v>
      </c>
      <c r="AA1" s="44" t="s">
        <v>7039</v>
      </c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</row>
    <row r="2" ht="14.25" customHeight="1">
      <c r="A2" s="46" t="s">
        <v>3123</v>
      </c>
      <c r="B2" s="20" t="s">
        <v>3124</v>
      </c>
      <c r="C2" s="20" t="s">
        <v>7041</v>
      </c>
      <c r="D2" s="24">
        <v>45658.0</v>
      </c>
      <c r="E2" s="24">
        <v>46022.0</v>
      </c>
      <c r="F2" s="20">
        <v>1.0</v>
      </c>
      <c r="G2" s="20">
        <v>1.0</v>
      </c>
      <c r="H2" s="24">
        <v>46023.0</v>
      </c>
      <c r="I2" s="24">
        <v>46387.0</v>
      </c>
      <c r="J2" s="20">
        <v>0.0</v>
      </c>
      <c r="K2" s="20">
        <v>1.0</v>
      </c>
      <c r="L2" s="24">
        <v>46388.0</v>
      </c>
      <c r="M2" s="24">
        <v>46752.0</v>
      </c>
      <c r="N2" s="20">
        <v>0.0</v>
      </c>
      <c r="O2" s="20">
        <v>1.0</v>
      </c>
      <c r="P2" s="24">
        <v>46753.0</v>
      </c>
      <c r="Q2" s="24">
        <v>47118.0</v>
      </c>
      <c r="R2" s="20">
        <v>0.0</v>
      </c>
      <c r="S2" s="20">
        <v>1.0</v>
      </c>
      <c r="T2" s="24">
        <v>47119.0</v>
      </c>
      <c r="U2" s="24">
        <v>47483.0</v>
      </c>
      <c r="V2" s="20">
        <v>0.0</v>
      </c>
      <c r="W2" s="20">
        <v>1.0</v>
      </c>
      <c r="X2" s="24">
        <v>47484.0</v>
      </c>
      <c r="Y2" s="24">
        <v>47848.0</v>
      </c>
      <c r="Z2" s="20">
        <v>0.0</v>
      </c>
      <c r="AA2" s="20">
        <v>1.0</v>
      </c>
      <c r="AC2" s="24"/>
      <c r="AD2" s="24"/>
      <c r="AH2" s="24"/>
      <c r="AI2" s="24"/>
    </row>
    <row r="3" ht="14.25" customHeight="1">
      <c r="A3" s="46" t="s">
        <v>331</v>
      </c>
      <c r="B3" s="20" t="s">
        <v>332</v>
      </c>
      <c r="C3" s="20" t="s">
        <v>7041</v>
      </c>
      <c r="D3" s="24">
        <v>45658.0</v>
      </c>
      <c r="E3" s="24">
        <v>46022.0</v>
      </c>
      <c r="F3" s="20">
        <v>1.0</v>
      </c>
      <c r="G3" s="20">
        <v>1.0</v>
      </c>
      <c r="H3" s="24">
        <v>46023.0</v>
      </c>
      <c r="I3" s="24">
        <v>46387.0</v>
      </c>
      <c r="J3" s="20">
        <v>0.0</v>
      </c>
      <c r="K3" s="20">
        <v>1.0</v>
      </c>
      <c r="L3" s="24">
        <v>46388.0</v>
      </c>
      <c r="M3" s="24">
        <v>46752.0</v>
      </c>
      <c r="N3" s="20">
        <v>0.0</v>
      </c>
      <c r="O3" s="20">
        <v>1.0</v>
      </c>
      <c r="P3" s="24">
        <v>46753.0</v>
      </c>
      <c r="Q3" s="24">
        <v>47118.0</v>
      </c>
      <c r="R3" s="20">
        <v>0.0</v>
      </c>
      <c r="S3" s="20">
        <v>1.0</v>
      </c>
      <c r="T3" s="24">
        <v>47119.0</v>
      </c>
      <c r="U3" s="24">
        <v>47483.0</v>
      </c>
      <c r="V3" s="20">
        <v>0.0</v>
      </c>
      <c r="W3" s="20">
        <v>1.0</v>
      </c>
      <c r="X3" s="24">
        <v>47484.0</v>
      </c>
      <c r="Y3" s="24">
        <v>47848.0</v>
      </c>
      <c r="Z3" s="20">
        <v>0.0</v>
      </c>
      <c r="AA3" s="20">
        <v>1.0</v>
      </c>
      <c r="AC3" s="24"/>
      <c r="AD3" s="24"/>
      <c r="AH3" s="24"/>
      <c r="AI3" s="24"/>
    </row>
    <row r="4" ht="14.25" customHeight="1">
      <c r="A4" s="46" t="s">
        <v>184</v>
      </c>
      <c r="B4" s="20" t="s">
        <v>185</v>
      </c>
      <c r="C4" s="20" t="s">
        <v>7041</v>
      </c>
      <c r="D4" s="24">
        <v>45658.0</v>
      </c>
      <c r="E4" s="24">
        <v>46022.0</v>
      </c>
      <c r="F4" s="20">
        <v>0.0</v>
      </c>
      <c r="G4" s="20">
        <v>1.0</v>
      </c>
      <c r="H4" s="24">
        <v>46023.0</v>
      </c>
      <c r="I4" s="24">
        <v>46387.0</v>
      </c>
      <c r="J4" s="20">
        <v>0.0</v>
      </c>
      <c r="K4" s="20">
        <v>1.0</v>
      </c>
      <c r="L4" s="24">
        <v>46388.0</v>
      </c>
      <c r="M4" s="24">
        <v>46752.0</v>
      </c>
      <c r="N4" s="20">
        <v>0.0</v>
      </c>
      <c r="O4" s="20">
        <v>1.0</v>
      </c>
      <c r="P4" s="24">
        <v>46753.0</v>
      </c>
      <c r="Q4" s="24">
        <v>47118.0</v>
      </c>
      <c r="R4" s="20">
        <v>0.0</v>
      </c>
      <c r="S4" s="20">
        <v>1.0</v>
      </c>
      <c r="T4" s="24">
        <v>47119.0</v>
      </c>
      <c r="U4" s="24">
        <v>47483.0</v>
      </c>
      <c r="V4" s="20">
        <v>0.0</v>
      </c>
      <c r="W4" s="20">
        <v>1.0</v>
      </c>
      <c r="X4" s="24">
        <v>47484.0</v>
      </c>
      <c r="Y4" s="24">
        <v>47848.0</v>
      </c>
      <c r="Z4" s="20">
        <v>0.0</v>
      </c>
      <c r="AA4" s="20">
        <v>1.0</v>
      </c>
      <c r="AC4" s="24"/>
      <c r="AD4" s="24"/>
      <c r="AH4" s="24"/>
      <c r="AI4" s="24"/>
    </row>
    <row r="5" ht="14.25" customHeight="1">
      <c r="A5" s="46" t="s">
        <v>595</v>
      </c>
      <c r="B5" s="20" t="s">
        <v>596</v>
      </c>
      <c r="C5" s="20" t="s">
        <v>7041</v>
      </c>
      <c r="D5" s="24">
        <v>45658.0</v>
      </c>
      <c r="E5" s="24">
        <v>46022.0</v>
      </c>
      <c r="F5" s="20">
        <v>1.0</v>
      </c>
      <c r="G5" s="20">
        <v>1.0</v>
      </c>
      <c r="H5" s="24">
        <v>46023.0</v>
      </c>
      <c r="I5" s="24">
        <v>46387.0</v>
      </c>
      <c r="J5" s="20">
        <v>0.0</v>
      </c>
      <c r="K5" s="20">
        <v>1.0</v>
      </c>
      <c r="L5" s="24">
        <v>46388.0</v>
      </c>
      <c r="M5" s="24">
        <v>46752.0</v>
      </c>
      <c r="N5" s="20">
        <v>0.0</v>
      </c>
      <c r="O5" s="20">
        <v>1.0</v>
      </c>
      <c r="P5" s="24">
        <v>46753.0</v>
      </c>
      <c r="Q5" s="24">
        <v>47118.0</v>
      </c>
      <c r="R5" s="20">
        <v>0.0</v>
      </c>
      <c r="S5" s="20">
        <v>1.0</v>
      </c>
      <c r="T5" s="24">
        <v>47119.0</v>
      </c>
      <c r="U5" s="24">
        <v>47483.0</v>
      </c>
      <c r="V5" s="20">
        <v>0.0</v>
      </c>
      <c r="W5" s="20">
        <v>1.0</v>
      </c>
      <c r="X5" s="24">
        <v>47484.0</v>
      </c>
      <c r="Y5" s="24">
        <v>47848.0</v>
      </c>
      <c r="Z5" s="20">
        <v>0.0</v>
      </c>
      <c r="AA5" s="20">
        <v>1.0</v>
      </c>
      <c r="AC5" s="24"/>
      <c r="AD5" s="24"/>
      <c r="AH5" s="24"/>
      <c r="AI5" s="24"/>
    </row>
    <row r="6" ht="14.25" customHeight="1">
      <c r="A6" s="46" t="s">
        <v>1706</v>
      </c>
      <c r="B6" s="20" t="s">
        <v>1707</v>
      </c>
      <c r="C6" s="20" t="s">
        <v>7041</v>
      </c>
      <c r="D6" s="24">
        <v>45658.0</v>
      </c>
      <c r="E6" s="24">
        <v>46022.0</v>
      </c>
      <c r="F6" s="20">
        <v>1.0</v>
      </c>
      <c r="G6" s="20">
        <v>1.0</v>
      </c>
      <c r="H6" s="24">
        <v>46023.0</v>
      </c>
      <c r="I6" s="24">
        <v>46387.0</v>
      </c>
      <c r="J6" s="20">
        <v>0.0</v>
      </c>
      <c r="K6" s="20">
        <v>1.0</v>
      </c>
      <c r="L6" s="24">
        <v>46388.0</v>
      </c>
      <c r="M6" s="24">
        <v>46752.0</v>
      </c>
      <c r="N6" s="20">
        <v>0.0</v>
      </c>
      <c r="O6" s="20">
        <v>1.0</v>
      </c>
      <c r="P6" s="24">
        <v>46753.0</v>
      </c>
      <c r="Q6" s="24">
        <v>47118.0</v>
      </c>
      <c r="R6" s="20">
        <v>0.0</v>
      </c>
      <c r="S6" s="20">
        <v>1.0</v>
      </c>
      <c r="T6" s="24">
        <v>47119.0</v>
      </c>
      <c r="U6" s="24">
        <v>47483.0</v>
      </c>
      <c r="V6" s="20">
        <v>0.0</v>
      </c>
      <c r="W6" s="20">
        <v>1.0</v>
      </c>
      <c r="X6" s="24">
        <v>47484.0</v>
      </c>
      <c r="Y6" s="24">
        <v>47848.0</v>
      </c>
      <c r="Z6" s="20">
        <v>0.0</v>
      </c>
      <c r="AA6" s="20">
        <v>1.0</v>
      </c>
      <c r="AC6" s="24"/>
      <c r="AD6" s="24"/>
      <c r="AH6" s="24"/>
      <c r="AI6" s="24"/>
    </row>
    <row r="7" ht="14.25" customHeight="1">
      <c r="A7" s="46" t="s">
        <v>1833</v>
      </c>
      <c r="B7" s="20" t="s">
        <v>1834</v>
      </c>
      <c r="C7" s="20" t="s">
        <v>7041</v>
      </c>
      <c r="D7" s="24">
        <v>45658.0</v>
      </c>
      <c r="E7" s="24">
        <v>46022.0</v>
      </c>
      <c r="F7" s="20">
        <v>1.0</v>
      </c>
      <c r="G7" s="20">
        <v>1.0</v>
      </c>
      <c r="H7" s="24">
        <v>46023.0</v>
      </c>
      <c r="I7" s="24">
        <v>46387.0</v>
      </c>
      <c r="J7" s="20">
        <v>0.0</v>
      </c>
      <c r="K7" s="20">
        <v>1.0</v>
      </c>
      <c r="L7" s="24">
        <v>46388.0</v>
      </c>
      <c r="M7" s="24">
        <v>46752.0</v>
      </c>
      <c r="N7" s="20">
        <v>0.0</v>
      </c>
      <c r="O7" s="20">
        <v>1.0</v>
      </c>
      <c r="P7" s="24">
        <v>46753.0</v>
      </c>
      <c r="Q7" s="24">
        <v>47118.0</v>
      </c>
      <c r="R7" s="20">
        <v>0.0</v>
      </c>
      <c r="S7" s="20">
        <v>1.0</v>
      </c>
      <c r="T7" s="24">
        <v>47119.0</v>
      </c>
      <c r="U7" s="24">
        <v>47483.0</v>
      </c>
      <c r="V7" s="20">
        <v>0.0</v>
      </c>
      <c r="W7" s="20">
        <v>1.0</v>
      </c>
      <c r="X7" s="24">
        <v>47484.0</v>
      </c>
      <c r="Y7" s="24">
        <v>47848.0</v>
      </c>
      <c r="Z7" s="20">
        <v>0.0</v>
      </c>
      <c r="AA7" s="20">
        <v>1.0</v>
      </c>
      <c r="AC7" s="24"/>
      <c r="AD7" s="24"/>
      <c r="AH7" s="24"/>
      <c r="AI7" s="24"/>
    </row>
    <row r="8" ht="14.25" customHeight="1">
      <c r="A8" s="46" t="s">
        <v>255</v>
      </c>
      <c r="B8" s="20" t="s">
        <v>256</v>
      </c>
      <c r="C8" s="20" t="s">
        <v>7041</v>
      </c>
      <c r="D8" s="24">
        <v>45658.0</v>
      </c>
      <c r="E8" s="24">
        <v>46022.0</v>
      </c>
      <c r="F8" s="20">
        <v>1.0</v>
      </c>
      <c r="G8" s="20">
        <v>1.0</v>
      </c>
      <c r="H8" s="24">
        <v>46023.0</v>
      </c>
      <c r="I8" s="24">
        <v>46387.0</v>
      </c>
      <c r="J8" s="20">
        <v>0.0</v>
      </c>
      <c r="K8" s="20">
        <v>1.0</v>
      </c>
      <c r="L8" s="24">
        <v>46388.0</v>
      </c>
      <c r="M8" s="24">
        <v>46752.0</v>
      </c>
      <c r="N8" s="20">
        <v>0.0</v>
      </c>
      <c r="O8" s="20">
        <v>1.0</v>
      </c>
      <c r="P8" s="24">
        <v>46753.0</v>
      </c>
      <c r="Q8" s="24">
        <v>47118.0</v>
      </c>
      <c r="R8" s="20">
        <v>0.0</v>
      </c>
      <c r="S8" s="20">
        <v>1.0</v>
      </c>
      <c r="T8" s="24">
        <v>47119.0</v>
      </c>
      <c r="U8" s="24">
        <v>47483.0</v>
      </c>
      <c r="V8" s="20">
        <v>0.0</v>
      </c>
      <c r="W8" s="20">
        <v>1.0</v>
      </c>
      <c r="X8" s="24">
        <v>47484.0</v>
      </c>
      <c r="Y8" s="24">
        <v>47848.0</v>
      </c>
      <c r="Z8" s="20">
        <v>0.0</v>
      </c>
      <c r="AA8" s="20">
        <v>1.0</v>
      </c>
      <c r="AC8" s="24"/>
      <c r="AD8" s="24"/>
      <c r="AH8" s="24"/>
      <c r="AI8" s="24"/>
    </row>
    <row r="9" ht="14.25" customHeight="1">
      <c r="A9" s="46" t="s">
        <v>2000</v>
      </c>
      <c r="B9" s="20" t="s">
        <v>2001</v>
      </c>
      <c r="C9" s="20" t="s">
        <v>7041</v>
      </c>
      <c r="D9" s="24">
        <v>45658.0</v>
      </c>
      <c r="E9" s="24">
        <v>46022.0</v>
      </c>
      <c r="F9" s="20">
        <v>1.0</v>
      </c>
      <c r="G9" s="20">
        <v>1.0</v>
      </c>
      <c r="H9" s="24">
        <v>46023.0</v>
      </c>
      <c r="I9" s="24">
        <v>46387.0</v>
      </c>
      <c r="J9" s="20">
        <v>0.0</v>
      </c>
      <c r="K9" s="20">
        <v>1.0</v>
      </c>
      <c r="L9" s="24">
        <v>46388.0</v>
      </c>
      <c r="M9" s="24">
        <v>46752.0</v>
      </c>
      <c r="N9" s="20">
        <v>0.0</v>
      </c>
      <c r="O9" s="20">
        <v>1.0</v>
      </c>
      <c r="P9" s="24">
        <v>46753.0</v>
      </c>
      <c r="Q9" s="24">
        <v>47118.0</v>
      </c>
      <c r="R9" s="20">
        <v>0.0</v>
      </c>
      <c r="S9" s="20">
        <v>1.0</v>
      </c>
      <c r="T9" s="24">
        <v>47119.0</v>
      </c>
      <c r="U9" s="24">
        <v>47483.0</v>
      </c>
      <c r="V9" s="20">
        <v>0.0</v>
      </c>
      <c r="W9" s="20">
        <v>1.0</v>
      </c>
      <c r="X9" s="24">
        <v>47484.0</v>
      </c>
      <c r="Y9" s="24">
        <v>47848.0</v>
      </c>
      <c r="Z9" s="20">
        <v>0.0</v>
      </c>
      <c r="AA9" s="20">
        <v>1.0</v>
      </c>
      <c r="AC9" s="24"/>
      <c r="AD9" s="24"/>
      <c r="AH9" s="24"/>
      <c r="AI9" s="24"/>
    </row>
    <row r="10" ht="14.25" customHeight="1">
      <c r="A10" s="46" t="s">
        <v>2647</v>
      </c>
      <c r="B10" s="20" t="s">
        <v>2648</v>
      </c>
      <c r="C10" s="20" t="s">
        <v>7041</v>
      </c>
      <c r="D10" s="24">
        <v>45658.0</v>
      </c>
      <c r="E10" s="24">
        <v>46022.0</v>
      </c>
      <c r="F10" s="20">
        <v>0.0</v>
      </c>
      <c r="G10" s="20">
        <v>1.0</v>
      </c>
      <c r="H10" s="24">
        <v>46023.0</v>
      </c>
      <c r="I10" s="24">
        <v>46387.0</v>
      </c>
      <c r="J10" s="20">
        <v>0.0</v>
      </c>
      <c r="K10" s="20">
        <v>1.0</v>
      </c>
      <c r="L10" s="24">
        <v>46388.0</v>
      </c>
      <c r="M10" s="24">
        <v>46752.0</v>
      </c>
      <c r="N10" s="20">
        <v>0.0</v>
      </c>
      <c r="O10" s="20">
        <v>1.0</v>
      </c>
      <c r="P10" s="24">
        <v>46753.0</v>
      </c>
      <c r="Q10" s="24">
        <v>47118.0</v>
      </c>
      <c r="R10" s="20">
        <v>0.0</v>
      </c>
      <c r="S10" s="20">
        <v>1.0</v>
      </c>
      <c r="T10" s="24">
        <v>47119.0</v>
      </c>
      <c r="U10" s="24">
        <v>47483.0</v>
      </c>
      <c r="V10" s="20">
        <v>0.0</v>
      </c>
      <c r="W10" s="20">
        <v>1.0</v>
      </c>
      <c r="X10" s="24">
        <v>47484.0</v>
      </c>
      <c r="Y10" s="24">
        <v>47848.0</v>
      </c>
      <c r="Z10" s="20">
        <v>0.0</v>
      </c>
      <c r="AA10" s="20">
        <v>1.0</v>
      </c>
      <c r="AC10" s="24"/>
      <c r="AD10" s="24"/>
      <c r="AH10" s="24"/>
      <c r="AI10" s="24"/>
    </row>
    <row r="11" ht="14.25" customHeight="1">
      <c r="A11" s="46" t="s">
        <v>3406</v>
      </c>
      <c r="B11" s="20" t="s">
        <v>3407</v>
      </c>
      <c r="C11" s="20" t="s">
        <v>7041</v>
      </c>
      <c r="D11" s="24">
        <v>45658.0</v>
      </c>
      <c r="E11" s="24">
        <v>46022.0</v>
      </c>
      <c r="F11" s="20">
        <v>1.0</v>
      </c>
      <c r="G11" s="20">
        <v>1.0</v>
      </c>
      <c r="H11" s="24">
        <v>46023.0</v>
      </c>
      <c r="I11" s="24">
        <v>46387.0</v>
      </c>
      <c r="J11" s="20">
        <v>0.0</v>
      </c>
      <c r="K11" s="20">
        <v>1.0</v>
      </c>
      <c r="L11" s="24">
        <v>46388.0</v>
      </c>
      <c r="M11" s="24">
        <v>46752.0</v>
      </c>
      <c r="N11" s="20">
        <v>0.0</v>
      </c>
      <c r="O11" s="20">
        <v>1.0</v>
      </c>
      <c r="P11" s="24">
        <v>46753.0</v>
      </c>
      <c r="Q11" s="24">
        <v>47118.0</v>
      </c>
      <c r="R11" s="20">
        <v>0.0</v>
      </c>
      <c r="S11" s="20">
        <v>1.0</v>
      </c>
      <c r="T11" s="24">
        <v>47119.0</v>
      </c>
      <c r="U11" s="24">
        <v>47483.0</v>
      </c>
      <c r="V11" s="20">
        <v>0.0</v>
      </c>
      <c r="W11" s="20">
        <v>1.0</v>
      </c>
      <c r="X11" s="24">
        <v>47484.0</v>
      </c>
      <c r="Y11" s="24">
        <v>47848.0</v>
      </c>
      <c r="Z11" s="20">
        <v>0.0</v>
      </c>
      <c r="AA11" s="20">
        <v>1.0</v>
      </c>
      <c r="AC11" s="24"/>
      <c r="AD11" s="24"/>
      <c r="AH11" s="24"/>
      <c r="AI11" s="24"/>
    </row>
    <row r="12" ht="14.25" customHeight="1">
      <c r="A12" s="46" t="s">
        <v>2007</v>
      </c>
      <c r="B12" s="20" t="s">
        <v>2004</v>
      </c>
      <c r="C12" s="20" t="s">
        <v>7041</v>
      </c>
      <c r="D12" s="24">
        <v>45658.0</v>
      </c>
      <c r="E12" s="24">
        <v>46022.0</v>
      </c>
      <c r="F12" s="20">
        <v>1.0</v>
      </c>
      <c r="G12" s="20">
        <v>1.0</v>
      </c>
      <c r="H12" s="24">
        <v>46023.0</v>
      </c>
      <c r="I12" s="24">
        <v>46387.0</v>
      </c>
      <c r="J12" s="20">
        <v>0.0</v>
      </c>
      <c r="K12" s="20">
        <v>1.0</v>
      </c>
      <c r="L12" s="24">
        <v>46388.0</v>
      </c>
      <c r="M12" s="24">
        <v>46752.0</v>
      </c>
      <c r="N12" s="20">
        <v>0.0</v>
      </c>
      <c r="O12" s="20">
        <v>1.0</v>
      </c>
      <c r="P12" s="24">
        <v>46753.0</v>
      </c>
      <c r="Q12" s="24">
        <v>47118.0</v>
      </c>
      <c r="R12" s="20">
        <v>0.0</v>
      </c>
      <c r="S12" s="20">
        <v>1.0</v>
      </c>
      <c r="T12" s="24">
        <v>47119.0</v>
      </c>
      <c r="U12" s="24">
        <v>47483.0</v>
      </c>
      <c r="V12" s="20">
        <v>0.0</v>
      </c>
      <c r="W12" s="20">
        <v>1.0</v>
      </c>
      <c r="X12" s="24">
        <v>47484.0</v>
      </c>
      <c r="Y12" s="24">
        <v>47848.0</v>
      </c>
      <c r="Z12" s="20">
        <v>0.0</v>
      </c>
      <c r="AA12" s="20">
        <v>1.0</v>
      </c>
      <c r="AC12" s="24"/>
      <c r="AD12" s="24"/>
      <c r="AH12" s="24"/>
      <c r="AI12" s="24"/>
    </row>
    <row r="13" ht="14.25" customHeight="1">
      <c r="A13" s="46" t="s">
        <v>3203</v>
      </c>
      <c r="B13" s="20" t="s">
        <v>3204</v>
      </c>
      <c r="C13" s="20" t="s">
        <v>7041</v>
      </c>
      <c r="D13" s="24">
        <v>45658.0</v>
      </c>
      <c r="E13" s="24">
        <v>46022.0</v>
      </c>
      <c r="F13" s="20">
        <v>0.0</v>
      </c>
      <c r="G13" s="20">
        <v>1.0</v>
      </c>
      <c r="H13" s="24">
        <v>46023.0</v>
      </c>
      <c r="I13" s="24">
        <v>46387.0</v>
      </c>
      <c r="J13" s="20">
        <v>0.0</v>
      </c>
      <c r="K13" s="20">
        <v>1.0</v>
      </c>
      <c r="L13" s="24">
        <v>46388.0</v>
      </c>
      <c r="M13" s="24">
        <v>46752.0</v>
      </c>
      <c r="N13" s="20">
        <v>0.0</v>
      </c>
      <c r="O13" s="20">
        <v>1.0</v>
      </c>
      <c r="P13" s="24">
        <v>46753.0</v>
      </c>
      <c r="Q13" s="24">
        <v>47118.0</v>
      </c>
      <c r="R13" s="20">
        <v>0.0</v>
      </c>
      <c r="S13" s="20">
        <v>1.0</v>
      </c>
      <c r="T13" s="24">
        <v>47119.0</v>
      </c>
      <c r="U13" s="24">
        <v>47483.0</v>
      </c>
      <c r="V13" s="20">
        <v>0.0</v>
      </c>
      <c r="W13" s="20">
        <v>1.0</v>
      </c>
      <c r="X13" s="24">
        <v>47484.0</v>
      </c>
      <c r="Y13" s="24">
        <v>47848.0</v>
      </c>
      <c r="Z13" s="20">
        <v>0.0</v>
      </c>
      <c r="AA13" s="20">
        <v>1.0</v>
      </c>
      <c r="AC13" s="24"/>
      <c r="AD13" s="24"/>
      <c r="AH13" s="24"/>
      <c r="AI13" s="24"/>
    </row>
    <row r="14" ht="14.25" customHeight="1">
      <c r="A14" s="46" t="s">
        <v>4078</v>
      </c>
      <c r="B14" s="20" t="s">
        <v>4079</v>
      </c>
      <c r="C14" s="20" t="s">
        <v>7041</v>
      </c>
      <c r="D14" s="24">
        <v>45658.0</v>
      </c>
      <c r="E14" s="24">
        <v>46022.0</v>
      </c>
      <c r="F14" s="20">
        <v>0.0</v>
      </c>
      <c r="G14" s="20">
        <v>1.0</v>
      </c>
      <c r="H14" s="24">
        <v>46023.0</v>
      </c>
      <c r="I14" s="24">
        <v>46387.0</v>
      </c>
      <c r="J14" s="20">
        <v>0.0</v>
      </c>
      <c r="K14" s="20">
        <v>1.0</v>
      </c>
      <c r="L14" s="24">
        <v>46388.0</v>
      </c>
      <c r="M14" s="24">
        <v>46752.0</v>
      </c>
      <c r="N14" s="20">
        <v>0.0</v>
      </c>
      <c r="O14" s="20">
        <v>1.0</v>
      </c>
      <c r="P14" s="24">
        <v>46753.0</v>
      </c>
      <c r="Q14" s="24">
        <v>47118.0</v>
      </c>
      <c r="R14" s="20">
        <v>0.0</v>
      </c>
      <c r="S14" s="20">
        <v>1.0</v>
      </c>
      <c r="T14" s="24">
        <v>47119.0</v>
      </c>
      <c r="U14" s="24">
        <v>47483.0</v>
      </c>
      <c r="V14" s="20">
        <v>0.0</v>
      </c>
      <c r="W14" s="20">
        <v>1.0</v>
      </c>
      <c r="X14" s="24">
        <v>47484.0</v>
      </c>
      <c r="Y14" s="24">
        <v>47848.0</v>
      </c>
      <c r="Z14" s="20">
        <v>0.0</v>
      </c>
      <c r="AA14" s="20">
        <v>1.0</v>
      </c>
      <c r="AC14" s="24"/>
      <c r="AD14" s="24"/>
      <c r="AH14" s="24"/>
      <c r="AI14" s="24"/>
    </row>
    <row r="15" ht="14.25" customHeight="1">
      <c r="A15" s="46" t="s">
        <v>5850</v>
      </c>
      <c r="B15" s="20" t="s">
        <v>5851</v>
      </c>
      <c r="C15" s="20" t="s">
        <v>7041</v>
      </c>
      <c r="D15" s="24">
        <v>45658.0</v>
      </c>
      <c r="E15" s="24">
        <v>46022.0</v>
      </c>
      <c r="F15" s="20">
        <v>0.0</v>
      </c>
      <c r="G15" s="20">
        <v>1.0</v>
      </c>
      <c r="H15" s="24">
        <v>46023.0</v>
      </c>
      <c r="I15" s="24">
        <v>46387.0</v>
      </c>
      <c r="J15" s="20">
        <v>0.0</v>
      </c>
      <c r="K15" s="20">
        <v>1.0</v>
      </c>
      <c r="L15" s="24">
        <v>46388.0</v>
      </c>
      <c r="M15" s="24">
        <v>46752.0</v>
      </c>
      <c r="N15" s="20">
        <v>0.0</v>
      </c>
      <c r="O15" s="20">
        <v>1.0</v>
      </c>
      <c r="P15" s="24">
        <v>46753.0</v>
      </c>
      <c r="Q15" s="24">
        <v>47118.0</v>
      </c>
      <c r="R15" s="20">
        <v>0.0</v>
      </c>
      <c r="S15" s="20">
        <v>1.0</v>
      </c>
      <c r="T15" s="24">
        <v>47119.0</v>
      </c>
      <c r="U15" s="24">
        <v>47483.0</v>
      </c>
      <c r="V15" s="20">
        <v>0.0</v>
      </c>
      <c r="W15" s="20">
        <v>1.0</v>
      </c>
      <c r="X15" s="24">
        <v>47484.0</v>
      </c>
      <c r="Y15" s="24">
        <v>47848.0</v>
      </c>
      <c r="Z15" s="20">
        <v>0.0</v>
      </c>
      <c r="AA15" s="20">
        <v>1.0</v>
      </c>
      <c r="AC15" s="24"/>
      <c r="AD15" s="24"/>
      <c r="AH15" s="24"/>
      <c r="AI15" s="24"/>
    </row>
    <row r="16" ht="14.25" customHeight="1">
      <c r="A16" s="46" t="s">
        <v>6030</v>
      </c>
      <c r="B16" s="20" t="s">
        <v>6031</v>
      </c>
      <c r="C16" s="20" t="s">
        <v>7041</v>
      </c>
      <c r="D16" s="24">
        <v>45658.0</v>
      </c>
      <c r="E16" s="24">
        <v>46022.0</v>
      </c>
      <c r="F16" s="20">
        <v>1.0</v>
      </c>
      <c r="G16" s="20">
        <v>1.0</v>
      </c>
      <c r="H16" s="24">
        <v>46023.0</v>
      </c>
      <c r="I16" s="24">
        <v>46387.0</v>
      </c>
      <c r="J16" s="20">
        <v>0.0</v>
      </c>
      <c r="K16" s="20">
        <v>1.0</v>
      </c>
      <c r="L16" s="24">
        <v>46388.0</v>
      </c>
      <c r="M16" s="24">
        <v>46752.0</v>
      </c>
      <c r="N16" s="20">
        <v>0.0</v>
      </c>
      <c r="O16" s="20">
        <v>1.0</v>
      </c>
      <c r="P16" s="24">
        <v>46753.0</v>
      </c>
      <c r="Q16" s="24">
        <v>47118.0</v>
      </c>
      <c r="R16" s="20">
        <v>0.0</v>
      </c>
      <c r="S16" s="20">
        <v>1.0</v>
      </c>
      <c r="T16" s="24">
        <v>47119.0</v>
      </c>
      <c r="U16" s="24">
        <v>47483.0</v>
      </c>
      <c r="V16" s="20">
        <v>0.0</v>
      </c>
      <c r="W16" s="20">
        <v>1.0</v>
      </c>
      <c r="X16" s="24">
        <v>47484.0</v>
      </c>
      <c r="Y16" s="24">
        <v>47848.0</v>
      </c>
      <c r="Z16" s="20">
        <v>0.0</v>
      </c>
      <c r="AA16" s="20">
        <v>1.0</v>
      </c>
      <c r="AC16" s="24"/>
      <c r="AD16" s="24"/>
      <c r="AH16" s="24"/>
      <c r="AI16" s="24"/>
    </row>
    <row r="17" ht="14.25" customHeight="1">
      <c r="A17" s="46" t="s">
        <v>6391</v>
      </c>
      <c r="B17" s="20" t="s">
        <v>6392</v>
      </c>
      <c r="C17" s="20" t="s">
        <v>7041</v>
      </c>
      <c r="D17" s="24">
        <v>45658.0</v>
      </c>
      <c r="E17" s="24">
        <v>46022.0</v>
      </c>
      <c r="F17" s="20">
        <v>1.0</v>
      </c>
      <c r="G17" s="20">
        <v>1.0</v>
      </c>
      <c r="H17" s="24">
        <v>46023.0</v>
      </c>
      <c r="I17" s="24">
        <v>46387.0</v>
      </c>
      <c r="J17" s="20">
        <v>0.0</v>
      </c>
      <c r="K17" s="20">
        <v>1.0</v>
      </c>
      <c r="L17" s="24">
        <v>46388.0</v>
      </c>
      <c r="M17" s="24">
        <v>46752.0</v>
      </c>
      <c r="N17" s="20">
        <v>0.0</v>
      </c>
      <c r="O17" s="20">
        <v>1.0</v>
      </c>
      <c r="P17" s="24">
        <v>46753.0</v>
      </c>
      <c r="Q17" s="24">
        <v>47118.0</v>
      </c>
      <c r="R17" s="20">
        <v>0.0</v>
      </c>
      <c r="S17" s="20">
        <v>1.0</v>
      </c>
      <c r="T17" s="24">
        <v>47119.0</v>
      </c>
      <c r="U17" s="24">
        <v>47483.0</v>
      </c>
      <c r="V17" s="20">
        <v>0.0</v>
      </c>
      <c r="W17" s="20">
        <v>1.0</v>
      </c>
      <c r="X17" s="24">
        <v>47484.0</v>
      </c>
      <c r="Y17" s="24">
        <v>47848.0</v>
      </c>
      <c r="Z17" s="20">
        <v>0.0</v>
      </c>
      <c r="AA17" s="20">
        <v>1.0</v>
      </c>
      <c r="AC17" s="24"/>
      <c r="AD17" s="24"/>
      <c r="AH17" s="24"/>
      <c r="AI17" s="24"/>
    </row>
    <row r="18" ht="14.25" customHeight="1">
      <c r="A18" s="46" t="s">
        <v>6092</v>
      </c>
      <c r="B18" s="20" t="s">
        <v>6093</v>
      </c>
      <c r="C18" s="20" t="s">
        <v>7041</v>
      </c>
      <c r="D18" s="24">
        <v>45658.0</v>
      </c>
      <c r="E18" s="24">
        <v>46022.0</v>
      </c>
      <c r="F18" s="20">
        <v>1.0</v>
      </c>
      <c r="G18" s="20">
        <v>1.0</v>
      </c>
      <c r="H18" s="24">
        <v>46023.0</v>
      </c>
      <c r="I18" s="24">
        <v>46387.0</v>
      </c>
      <c r="J18" s="20">
        <v>0.0</v>
      </c>
      <c r="K18" s="20">
        <v>1.0</v>
      </c>
      <c r="L18" s="24">
        <v>46388.0</v>
      </c>
      <c r="M18" s="24">
        <v>46752.0</v>
      </c>
      <c r="N18" s="20">
        <v>0.0</v>
      </c>
      <c r="O18" s="20">
        <v>1.0</v>
      </c>
      <c r="P18" s="24">
        <v>46753.0</v>
      </c>
      <c r="Q18" s="24">
        <v>47118.0</v>
      </c>
      <c r="R18" s="20">
        <v>0.0</v>
      </c>
      <c r="S18" s="20">
        <v>1.0</v>
      </c>
      <c r="T18" s="24">
        <v>47119.0</v>
      </c>
      <c r="U18" s="24">
        <v>47483.0</v>
      </c>
      <c r="V18" s="20">
        <v>0.0</v>
      </c>
      <c r="W18" s="20">
        <v>1.0</v>
      </c>
      <c r="X18" s="24">
        <v>47484.0</v>
      </c>
      <c r="Y18" s="24">
        <v>47848.0</v>
      </c>
      <c r="Z18" s="20">
        <v>0.0</v>
      </c>
      <c r="AA18" s="20">
        <v>1.0</v>
      </c>
      <c r="AC18" s="24"/>
      <c r="AD18" s="24"/>
      <c r="AH18" s="24"/>
      <c r="AI18" s="24"/>
    </row>
    <row r="19" ht="14.25" customHeight="1">
      <c r="A19" s="46" t="s">
        <v>5234</v>
      </c>
      <c r="B19" s="20" t="s">
        <v>5235</v>
      </c>
      <c r="C19" s="20" t="s">
        <v>7041</v>
      </c>
      <c r="D19" s="24">
        <v>45658.0</v>
      </c>
      <c r="E19" s="24">
        <v>46022.0</v>
      </c>
      <c r="F19" s="20">
        <v>0.0</v>
      </c>
      <c r="G19" s="20">
        <v>1.0</v>
      </c>
      <c r="H19" s="24">
        <v>46023.0</v>
      </c>
      <c r="I19" s="24">
        <v>46387.0</v>
      </c>
      <c r="J19" s="20">
        <v>0.0</v>
      </c>
      <c r="K19" s="20">
        <v>1.0</v>
      </c>
      <c r="L19" s="24">
        <v>46388.0</v>
      </c>
      <c r="M19" s="24">
        <v>46752.0</v>
      </c>
      <c r="N19" s="20">
        <v>0.0</v>
      </c>
      <c r="O19" s="20">
        <v>1.0</v>
      </c>
      <c r="P19" s="24">
        <v>46753.0</v>
      </c>
      <c r="Q19" s="24">
        <v>47118.0</v>
      </c>
      <c r="R19" s="20">
        <v>0.0</v>
      </c>
      <c r="S19" s="20">
        <v>1.0</v>
      </c>
      <c r="T19" s="24">
        <v>47119.0</v>
      </c>
      <c r="U19" s="24">
        <v>47483.0</v>
      </c>
      <c r="V19" s="20">
        <v>0.0</v>
      </c>
      <c r="W19" s="20">
        <v>1.0</v>
      </c>
      <c r="X19" s="24">
        <v>47484.0</v>
      </c>
      <c r="Y19" s="24">
        <v>47848.0</v>
      </c>
      <c r="Z19" s="20">
        <v>0.0</v>
      </c>
      <c r="AA19" s="20">
        <v>1.0</v>
      </c>
      <c r="AC19" s="24"/>
      <c r="AD19" s="24"/>
      <c r="AH19" s="24"/>
      <c r="AI19" s="24"/>
    </row>
    <row r="20" ht="14.25" customHeight="1">
      <c r="A20" s="46" t="s">
        <v>3966</v>
      </c>
      <c r="B20" s="20" t="s">
        <v>3967</v>
      </c>
      <c r="C20" s="20" t="s">
        <v>7041</v>
      </c>
      <c r="D20" s="24">
        <v>45658.0</v>
      </c>
      <c r="E20" s="24">
        <v>46022.0</v>
      </c>
      <c r="F20" s="20">
        <v>1.0</v>
      </c>
      <c r="G20" s="20">
        <v>1.0</v>
      </c>
      <c r="H20" s="24">
        <v>46023.0</v>
      </c>
      <c r="I20" s="24">
        <v>46387.0</v>
      </c>
      <c r="J20" s="20">
        <v>0.0</v>
      </c>
      <c r="K20" s="20">
        <v>1.0</v>
      </c>
      <c r="L20" s="24">
        <v>46388.0</v>
      </c>
      <c r="M20" s="24">
        <v>46752.0</v>
      </c>
      <c r="N20" s="20">
        <v>0.0</v>
      </c>
      <c r="O20" s="20">
        <v>1.0</v>
      </c>
      <c r="P20" s="24">
        <v>46753.0</v>
      </c>
      <c r="Q20" s="24">
        <v>47118.0</v>
      </c>
      <c r="R20" s="20">
        <v>0.0</v>
      </c>
      <c r="S20" s="20">
        <v>1.0</v>
      </c>
      <c r="T20" s="24">
        <v>47119.0</v>
      </c>
      <c r="U20" s="24">
        <v>47483.0</v>
      </c>
      <c r="V20" s="20">
        <v>0.0</v>
      </c>
      <c r="W20" s="20">
        <v>1.0</v>
      </c>
      <c r="X20" s="24">
        <v>47484.0</v>
      </c>
      <c r="Y20" s="24">
        <v>47848.0</v>
      </c>
      <c r="Z20" s="20">
        <v>0.0</v>
      </c>
      <c r="AA20" s="20">
        <v>1.0</v>
      </c>
      <c r="AC20" s="24"/>
      <c r="AD20" s="24"/>
      <c r="AH20" s="24"/>
      <c r="AI20" s="24"/>
    </row>
    <row r="21" ht="14.25" customHeight="1">
      <c r="A21" s="46" t="s">
        <v>4505</v>
      </c>
      <c r="B21" s="20" t="s">
        <v>4506</v>
      </c>
      <c r="C21" s="20" t="s">
        <v>7041</v>
      </c>
      <c r="D21" s="24">
        <v>45658.0</v>
      </c>
      <c r="E21" s="24">
        <v>46022.0</v>
      </c>
      <c r="F21" s="20">
        <v>1.0</v>
      </c>
      <c r="G21" s="20">
        <v>1.0</v>
      </c>
      <c r="H21" s="24">
        <v>46023.0</v>
      </c>
      <c r="I21" s="24">
        <v>46387.0</v>
      </c>
      <c r="J21" s="20">
        <v>0.0</v>
      </c>
      <c r="K21" s="20">
        <v>1.0</v>
      </c>
      <c r="L21" s="24">
        <v>46388.0</v>
      </c>
      <c r="M21" s="24">
        <v>46752.0</v>
      </c>
      <c r="N21" s="20">
        <v>0.0</v>
      </c>
      <c r="O21" s="20">
        <v>1.0</v>
      </c>
      <c r="P21" s="24">
        <v>46753.0</v>
      </c>
      <c r="Q21" s="24">
        <v>47118.0</v>
      </c>
      <c r="R21" s="20">
        <v>0.0</v>
      </c>
      <c r="S21" s="20">
        <v>1.0</v>
      </c>
      <c r="T21" s="24">
        <v>47119.0</v>
      </c>
      <c r="U21" s="24">
        <v>47483.0</v>
      </c>
      <c r="V21" s="20">
        <v>0.0</v>
      </c>
      <c r="W21" s="20">
        <v>1.0</v>
      </c>
      <c r="X21" s="24">
        <v>47484.0</v>
      </c>
      <c r="Y21" s="24">
        <v>47848.0</v>
      </c>
      <c r="Z21" s="20">
        <v>0.0</v>
      </c>
      <c r="AA21" s="20">
        <v>1.0</v>
      </c>
      <c r="AC21" s="24"/>
      <c r="AD21" s="24"/>
      <c r="AH21" s="24"/>
      <c r="AI21" s="24"/>
    </row>
    <row r="22" ht="14.25" customHeight="1">
      <c r="A22" s="46" t="s">
        <v>6432</v>
      </c>
      <c r="B22" s="20" t="s">
        <v>6433</v>
      </c>
      <c r="C22" s="20" t="s">
        <v>7041</v>
      </c>
      <c r="D22" s="24">
        <v>45658.0</v>
      </c>
      <c r="E22" s="24">
        <v>46022.0</v>
      </c>
      <c r="F22" s="20">
        <v>0.0</v>
      </c>
      <c r="G22" s="20">
        <v>1.0</v>
      </c>
      <c r="H22" s="24">
        <v>46023.0</v>
      </c>
      <c r="I22" s="24">
        <v>46387.0</v>
      </c>
      <c r="J22" s="20">
        <v>0.0</v>
      </c>
      <c r="K22" s="20">
        <v>1.0</v>
      </c>
      <c r="L22" s="24">
        <v>46388.0</v>
      </c>
      <c r="M22" s="24">
        <v>46752.0</v>
      </c>
      <c r="N22" s="20">
        <v>0.0</v>
      </c>
      <c r="O22" s="20">
        <v>1.0</v>
      </c>
      <c r="P22" s="24">
        <v>46753.0</v>
      </c>
      <c r="Q22" s="24">
        <v>47118.0</v>
      </c>
      <c r="R22" s="20">
        <v>0.0</v>
      </c>
      <c r="S22" s="20">
        <v>1.0</v>
      </c>
      <c r="T22" s="24">
        <v>47119.0</v>
      </c>
      <c r="U22" s="24">
        <v>47483.0</v>
      </c>
      <c r="V22" s="20">
        <v>0.0</v>
      </c>
      <c r="W22" s="20">
        <v>1.0</v>
      </c>
      <c r="X22" s="24">
        <v>47484.0</v>
      </c>
      <c r="Y22" s="24">
        <v>47848.0</v>
      </c>
      <c r="Z22" s="20">
        <v>0.0</v>
      </c>
      <c r="AA22" s="20">
        <v>1.0</v>
      </c>
      <c r="AC22" s="24"/>
      <c r="AD22" s="24"/>
      <c r="AH22" s="24"/>
      <c r="AI22" s="24"/>
    </row>
    <row r="23" ht="14.25" customHeight="1">
      <c r="A23" s="46" t="s">
        <v>6774</v>
      </c>
      <c r="B23" s="20" t="s">
        <v>6775</v>
      </c>
      <c r="C23" s="20" t="s">
        <v>7041</v>
      </c>
      <c r="D23" s="24">
        <v>45658.0</v>
      </c>
      <c r="E23" s="24">
        <v>46022.0</v>
      </c>
      <c r="F23" s="20">
        <v>0.0</v>
      </c>
      <c r="G23" s="20">
        <v>1.0</v>
      </c>
      <c r="H23" s="24">
        <v>46023.0</v>
      </c>
      <c r="I23" s="24">
        <v>46387.0</v>
      </c>
      <c r="J23" s="20">
        <v>0.0</v>
      </c>
      <c r="K23" s="20">
        <v>1.0</v>
      </c>
      <c r="L23" s="24">
        <v>46388.0</v>
      </c>
      <c r="M23" s="24">
        <v>46752.0</v>
      </c>
      <c r="N23" s="20">
        <v>0.0</v>
      </c>
      <c r="O23" s="20">
        <v>1.0</v>
      </c>
      <c r="P23" s="24">
        <v>46753.0</v>
      </c>
      <c r="Q23" s="24">
        <v>47118.0</v>
      </c>
      <c r="R23" s="20">
        <v>0.0</v>
      </c>
      <c r="S23" s="20">
        <v>1.0</v>
      </c>
      <c r="T23" s="24">
        <v>47119.0</v>
      </c>
      <c r="U23" s="24">
        <v>47483.0</v>
      </c>
      <c r="V23" s="20">
        <v>0.0</v>
      </c>
      <c r="W23" s="20">
        <v>1.0</v>
      </c>
      <c r="X23" s="24">
        <v>47484.0</v>
      </c>
      <c r="Y23" s="24">
        <v>47848.0</v>
      </c>
      <c r="Z23" s="20">
        <v>0.0</v>
      </c>
      <c r="AA23" s="20">
        <v>1.0</v>
      </c>
      <c r="AC23" s="24"/>
      <c r="AD23" s="24"/>
      <c r="AH23" s="24"/>
      <c r="AI23" s="24"/>
    </row>
    <row r="24" ht="14.25" customHeight="1">
      <c r="A24" s="46" t="s">
        <v>4875</v>
      </c>
      <c r="B24" s="20" t="s">
        <v>4876</v>
      </c>
      <c r="C24" s="20" t="s">
        <v>7041</v>
      </c>
      <c r="D24" s="24">
        <v>45658.0</v>
      </c>
      <c r="E24" s="24">
        <v>46022.0</v>
      </c>
      <c r="F24" s="20">
        <v>1.0</v>
      </c>
      <c r="G24" s="20">
        <v>1.0</v>
      </c>
      <c r="H24" s="24">
        <v>46023.0</v>
      </c>
      <c r="I24" s="24">
        <v>46387.0</v>
      </c>
      <c r="J24" s="20">
        <v>0.0</v>
      </c>
      <c r="K24" s="20">
        <v>1.0</v>
      </c>
      <c r="L24" s="24">
        <v>46388.0</v>
      </c>
      <c r="M24" s="24">
        <v>46752.0</v>
      </c>
      <c r="N24" s="20">
        <v>0.0</v>
      </c>
      <c r="O24" s="20">
        <v>1.0</v>
      </c>
      <c r="P24" s="24">
        <v>46753.0</v>
      </c>
      <c r="Q24" s="24">
        <v>47118.0</v>
      </c>
      <c r="R24" s="20">
        <v>0.0</v>
      </c>
      <c r="S24" s="20">
        <v>1.0</v>
      </c>
      <c r="T24" s="24">
        <v>47119.0</v>
      </c>
      <c r="U24" s="24">
        <v>47483.0</v>
      </c>
      <c r="V24" s="20">
        <v>0.0</v>
      </c>
      <c r="W24" s="20">
        <v>1.0</v>
      </c>
      <c r="X24" s="24">
        <v>47484.0</v>
      </c>
      <c r="Y24" s="24">
        <v>47848.0</v>
      </c>
      <c r="Z24" s="20">
        <v>0.0</v>
      </c>
      <c r="AA24" s="20">
        <v>1.0</v>
      </c>
      <c r="AC24" s="24"/>
      <c r="AD24" s="24"/>
      <c r="AH24" s="24"/>
      <c r="AI24" s="24"/>
    </row>
    <row r="25" ht="14.25" customHeight="1">
      <c r="A25" s="46" t="s">
        <v>6065</v>
      </c>
      <c r="B25" s="20" t="s">
        <v>6066</v>
      </c>
      <c r="C25" s="20" t="s">
        <v>7041</v>
      </c>
      <c r="D25" s="24">
        <v>45658.0</v>
      </c>
      <c r="E25" s="24">
        <v>46022.0</v>
      </c>
      <c r="F25" s="20">
        <v>0.0</v>
      </c>
      <c r="G25" s="20">
        <v>1.0</v>
      </c>
      <c r="H25" s="24">
        <v>46023.0</v>
      </c>
      <c r="I25" s="24">
        <v>46387.0</v>
      </c>
      <c r="J25" s="20">
        <v>0.0</v>
      </c>
      <c r="K25" s="20">
        <v>1.0</v>
      </c>
      <c r="L25" s="24">
        <v>46388.0</v>
      </c>
      <c r="M25" s="24">
        <v>46752.0</v>
      </c>
      <c r="N25" s="20">
        <v>0.0</v>
      </c>
      <c r="O25" s="20">
        <v>1.0</v>
      </c>
      <c r="P25" s="24">
        <v>46753.0</v>
      </c>
      <c r="Q25" s="24">
        <v>47118.0</v>
      </c>
      <c r="R25" s="20">
        <v>0.0</v>
      </c>
      <c r="S25" s="20">
        <v>1.0</v>
      </c>
      <c r="T25" s="24">
        <v>47119.0</v>
      </c>
      <c r="U25" s="24">
        <v>47483.0</v>
      </c>
      <c r="V25" s="20">
        <v>0.0</v>
      </c>
      <c r="W25" s="20">
        <v>1.0</v>
      </c>
      <c r="X25" s="24">
        <v>47484.0</v>
      </c>
      <c r="Y25" s="24">
        <v>47848.0</v>
      </c>
      <c r="Z25" s="20">
        <v>0.0</v>
      </c>
      <c r="AA25" s="20">
        <v>1.0</v>
      </c>
      <c r="AC25" s="24"/>
      <c r="AD25" s="24"/>
      <c r="AH25" s="24"/>
      <c r="AI25" s="24"/>
    </row>
    <row r="26" ht="14.25" customHeight="1">
      <c r="A26" s="46" t="s">
        <v>4794</v>
      </c>
      <c r="B26" s="20" t="s">
        <v>4795</v>
      </c>
      <c r="C26" s="20" t="s">
        <v>7041</v>
      </c>
      <c r="D26" s="24">
        <v>45658.0</v>
      </c>
      <c r="E26" s="24">
        <v>46022.0</v>
      </c>
      <c r="F26" s="20">
        <v>1.0</v>
      </c>
      <c r="G26" s="20">
        <v>1.0</v>
      </c>
      <c r="H26" s="24">
        <v>46023.0</v>
      </c>
      <c r="I26" s="24">
        <v>46387.0</v>
      </c>
      <c r="J26" s="20">
        <v>0.0</v>
      </c>
      <c r="K26" s="20">
        <v>1.0</v>
      </c>
      <c r="L26" s="24">
        <v>46388.0</v>
      </c>
      <c r="M26" s="24">
        <v>46752.0</v>
      </c>
      <c r="N26" s="20">
        <v>0.0</v>
      </c>
      <c r="O26" s="20">
        <v>1.0</v>
      </c>
      <c r="P26" s="24">
        <v>46753.0</v>
      </c>
      <c r="Q26" s="24">
        <v>47118.0</v>
      </c>
      <c r="R26" s="20">
        <v>0.0</v>
      </c>
      <c r="S26" s="20">
        <v>1.0</v>
      </c>
      <c r="T26" s="24">
        <v>47119.0</v>
      </c>
      <c r="U26" s="24">
        <v>47483.0</v>
      </c>
      <c r="V26" s="20">
        <v>0.0</v>
      </c>
      <c r="W26" s="20">
        <v>1.0</v>
      </c>
      <c r="X26" s="24">
        <v>47484.0</v>
      </c>
      <c r="Y26" s="24">
        <v>47848.0</v>
      </c>
      <c r="Z26" s="20">
        <v>0.0</v>
      </c>
      <c r="AA26" s="20">
        <v>1.0</v>
      </c>
      <c r="AC26" s="24"/>
      <c r="AD26" s="24"/>
      <c r="AH26" s="24"/>
      <c r="AI26" s="24"/>
    </row>
    <row r="27" ht="14.25" customHeight="1">
      <c r="A27" s="46" t="s">
        <v>6860</v>
      </c>
      <c r="B27" s="20" t="s">
        <v>6861</v>
      </c>
      <c r="C27" s="20" t="s">
        <v>7041</v>
      </c>
      <c r="D27" s="24">
        <v>45658.0</v>
      </c>
      <c r="E27" s="24">
        <v>46022.0</v>
      </c>
      <c r="F27" s="20">
        <v>1.0</v>
      </c>
      <c r="G27" s="20">
        <v>1.0</v>
      </c>
      <c r="H27" s="24">
        <v>46023.0</v>
      </c>
      <c r="I27" s="24">
        <v>46387.0</v>
      </c>
      <c r="J27" s="20">
        <v>0.0</v>
      </c>
      <c r="K27" s="20">
        <v>1.0</v>
      </c>
      <c r="L27" s="24">
        <v>46388.0</v>
      </c>
      <c r="M27" s="24">
        <v>46752.0</v>
      </c>
      <c r="N27" s="20">
        <v>0.0</v>
      </c>
      <c r="O27" s="20">
        <v>1.0</v>
      </c>
      <c r="P27" s="24">
        <v>46753.0</v>
      </c>
      <c r="Q27" s="24">
        <v>47118.0</v>
      </c>
      <c r="R27" s="20">
        <v>0.0</v>
      </c>
      <c r="S27" s="20">
        <v>1.0</v>
      </c>
      <c r="T27" s="24">
        <v>47119.0</v>
      </c>
      <c r="U27" s="24">
        <v>47483.0</v>
      </c>
      <c r="V27" s="20">
        <v>0.0</v>
      </c>
      <c r="W27" s="20">
        <v>1.0</v>
      </c>
      <c r="X27" s="24">
        <v>47484.0</v>
      </c>
      <c r="Y27" s="24">
        <v>47848.0</v>
      </c>
      <c r="Z27" s="20">
        <v>0.0</v>
      </c>
      <c r="AA27" s="20">
        <v>1.0</v>
      </c>
      <c r="AC27" s="24"/>
      <c r="AD27" s="24"/>
      <c r="AH27" s="24"/>
      <c r="AI27" s="24"/>
    </row>
    <row r="28" ht="14.25" customHeight="1">
      <c r="A28" s="46" t="s">
        <v>5579</v>
      </c>
      <c r="B28" s="20" t="s">
        <v>5580</v>
      </c>
      <c r="C28" s="20" t="s">
        <v>7041</v>
      </c>
      <c r="D28" s="24">
        <v>45658.0</v>
      </c>
      <c r="E28" s="24">
        <v>46022.0</v>
      </c>
      <c r="F28" s="20">
        <v>1.0</v>
      </c>
      <c r="G28" s="20">
        <v>1.0</v>
      </c>
      <c r="H28" s="24">
        <v>46023.0</v>
      </c>
      <c r="I28" s="24">
        <v>46387.0</v>
      </c>
      <c r="J28" s="20">
        <v>0.0</v>
      </c>
      <c r="K28" s="20">
        <v>1.0</v>
      </c>
      <c r="L28" s="24">
        <v>46388.0</v>
      </c>
      <c r="M28" s="24">
        <v>46752.0</v>
      </c>
      <c r="N28" s="20">
        <v>0.0</v>
      </c>
      <c r="O28" s="20">
        <v>1.0</v>
      </c>
      <c r="P28" s="24">
        <v>46753.0</v>
      </c>
      <c r="Q28" s="24">
        <v>47118.0</v>
      </c>
      <c r="R28" s="20">
        <v>0.0</v>
      </c>
      <c r="S28" s="20">
        <v>1.0</v>
      </c>
      <c r="T28" s="24">
        <v>47119.0</v>
      </c>
      <c r="U28" s="24">
        <v>47483.0</v>
      </c>
      <c r="V28" s="20">
        <v>0.0</v>
      </c>
      <c r="W28" s="20">
        <v>1.0</v>
      </c>
      <c r="X28" s="24">
        <v>47484.0</v>
      </c>
      <c r="Y28" s="24">
        <v>47848.0</v>
      </c>
      <c r="Z28" s="20">
        <v>0.0</v>
      </c>
      <c r="AA28" s="20">
        <v>1.0</v>
      </c>
      <c r="AC28" s="24"/>
      <c r="AD28" s="24"/>
      <c r="AH28" s="24"/>
      <c r="AI28" s="24"/>
    </row>
    <row r="29" ht="14.25" customHeight="1">
      <c r="A29" s="46" t="s">
        <v>6657</v>
      </c>
      <c r="B29" s="20" t="s">
        <v>6658</v>
      </c>
      <c r="C29" s="20" t="s">
        <v>7041</v>
      </c>
      <c r="D29" s="24">
        <v>45658.0</v>
      </c>
      <c r="E29" s="24">
        <v>46022.0</v>
      </c>
      <c r="F29" s="20">
        <v>0.0</v>
      </c>
      <c r="G29" s="20">
        <v>1.0</v>
      </c>
      <c r="H29" s="24">
        <v>46023.0</v>
      </c>
      <c r="I29" s="24">
        <v>46387.0</v>
      </c>
      <c r="J29" s="20">
        <v>0.0</v>
      </c>
      <c r="K29" s="20">
        <v>1.0</v>
      </c>
      <c r="L29" s="24">
        <v>46388.0</v>
      </c>
      <c r="M29" s="24">
        <v>46752.0</v>
      </c>
      <c r="N29" s="20">
        <v>0.0</v>
      </c>
      <c r="O29" s="20">
        <v>1.0</v>
      </c>
      <c r="P29" s="24">
        <v>46753.0</v>
      </c>
      <c r="Q29" s="24">
        <v>47118.0</v>
      </c>
      <c r="R29" s="20">
        <v>0.0</v>
      </c>
      <c r="S29" s="20">
        <v>1.0</v>
      </c>
      <c r="T29" s="24">
        <v>47119.0</v>
      </c>
      <c r="U29" s="24">
        <v>47483.0</v>
      </c>
      <c r="V29" s="20">
        <v>0.0</v>
      </c>
      <c r="W29" s="20">
        <v>1.0</v>
      </c>
      <c r="X29" s="24">
        <v>47484.0</v>
      </c>
      <c r="Y29" s="24">
        <v>47848.0</v>
      </c>
      <c r="Z29" s="20">
        <v>0.0</v>
      </c>
      <c r="AA29" s="20">
        <v>1.0</v>
      </c>
      <c r="AC29" s="24"/>
      <c r="AD29" s="24"/>
      <c r="AH29" s="24"/>
      <c r="AI29" s="24"/>
    </row>
    <row r="30" ht="14.25" customHeight="1">
      <c r="A30" s="46" t="s">
        <v>6660</v>
      </c>
      <c r="B30" s="20" t="s">
        <v>6661</v>
      </c>
      <c r="C30" s="20" t="s">
        <v>7041</v>
      </c>
      <c r="D30" s="24">
        <v>45658.0</v>
      </c>
      <c r="E30" s="24">
        <v>46022.0</v>
      </c>
      <c r="F30" s="20">
        <v>0.0</v>
      </c>
      <c r="G30" s="20">
        <v>1.0</v>
      </c>
      <c r="H30" s="24">
        <v>46023.0</v>
      </c>
      <c r="I30" s="24">
        <v>46387.0</v>
      </c>
      <c r="J30" s="20">
        <v>0.0</v>
      </c>
      <c r="K30" s="20">
        <v>1.0</v>
      </c>
      <c r="L30" s="24">
        <v>46388.0</v>
      </c>
      <c r="M30" s="24">
        <v>46752.0</v>
      </c>
      <c r="N30" s="20">
        <v>0.0</v>
      </c>
      <c r="O30" s="20">
        <v>1.0</v>
      </c>
      <c r="P30" s="24">
        <v>46753.0</v>
      </c>
      <c r="Q30" s="24">
        <v>47118.0</v>
      </c>
      <c r="R30" s="20">
        <v>0.0</v>
      </c>
      <c r="S30" s="20">
        <v>1.0</v>
      </c>
      <c r="T30" s="24">
        <v>47119.0</v>
      </c>
      <c r="U30" s="24">
        <v>47483.0</v>
      </c>
      <c r="V30" s="20">
        <v>0.0</v>
      </c>
      <c r="W30" s="20">
        <v>1.0</v>
      </c>
      <c r="X30" s="24">
        <v>47484.0</v>
      </c>
      <c r="Y30" s="24">
        <v>47848.0</v>
      </c>
      <c r="Z30" s="20">
        <v>0.0</v>
      </c>
      <c r="AA30" s="20">
        <v>1.0</v>
      </c>
      <c r="AC30" s="24"/>
      <c r="AD30" s="24"/>
      <c r="AH30" s="24"/>
      <c r="AI30" s="24"/>
    </row>
    <row r="31" ht="14.25" customHeight="1">
      <c r="A31" s="46" t="s">
        <v>4783</v>
      </c>
      <c r="B31" s="20" t="s">
        <v>4784</v>
      </c>
      <c r="C31" s="20" t="s">
        <v>7041</v>
      </c>
      <c r="D31" s="24">
        <v>45658.0</v>
      </c>
      <c r="E31" s="24">
        <v>46022.0</v>
      </c>
      <c r="F31" s="20">
        <v>1.0</v>
      </c>
      <c r="G31" s="20">
        <v>1.0</v>
      </c>
      <c r="H31" s="24">
        <v>46023.0</v>
      </c>
      <c r="I31" s="24">
        <v>46387.0</v>
      </c>
      <c r="J31" s="20">
        <v>0.0</v>
      </c>
      <c r="K31" s="20">
        <v>1.0</v>
      </c>
      <c r="L31" s="24">
        <v>46388.0</v>
      </c>
      <c r="M31" s="24">
        <v>46752.0</v>
      </c>
      <c r="N31" s="20">
        <v>0.0</v>
      </c>
      <c r="O31" s="20">
        <v>1.0</v>
      </c>
      <c r="P31" s="24">
        <v>46753.0</v>
      </c>
      <c r="Q31" s="24">
        <v>47118.0</v>
      </c>
      <c r="R31" s="20">
        <v>0.0</v>
      </c>
      <c r="S31" s="20">
        <v>1.0</v>
      </c>
      <c r="T31" s="24">
        <v>47119.0</v>
      </c>
      <c r="U31" s="24">
        <v>47483.0</v>
      </c>
      <c r="V31" s="20">
        <v>0.0</v>
      </c>
      <c r="W31" s="20">
        <v>1.0</v>
      </c>
      <c r="X31" s="24">
        <v>47484.0</v>
      </c>
      <c r="Y31" s="24">
        <v>47848.0</v>
      </c>
      <c r="Z31" s="20">
        <v>0.0</v>
      </c>
      <c r="AA31" s="20">
        <v>1.0</v>
      </c>
      <c r="AC31" s="24"/>
      <c r="AD31" s="24"/>
      <c r="AH31" s="24"/>
      <c r="AI31" s="24"/>
    </row>
    <row r="32" ht="14.25" customHeight="1">
      <c r="A32" s="46" t="s">
        <v>4845</v>
      </c>
      <c r="B32" s="20" t="s">
        <v>4846</v>
      </c>
      <c r="C32" s="20" t="s">
        <v>7041</v>
      </c>
      <c r="D32" s="24">
        <v>45658.0</v>
      </c>
      <c r="E32" s="24">
        <v>46022.0</v>
      </c>
      <c r="F32" s="20">
        <v>1.0</v>
      </c>
      <c r="G32" s="20">
        <v>1.0</v>
      </c>
      <c r="H32" s="24">
        <v>46023.0</v>
      </c>
      <c r="I32" s="24">
        <v>46387.0</v>
      </c>
      <c r="J32" s="20">
        <v>0.0</v>
      </c>
      <c r="K32" s="20">
        <v>1.0</v>
      </c>
      <c r="L32" s="24">
        <v>46388.0</v>
      </c>
      <c r="M32" s="24">
        <v>46752.0</v>
      </c>
      <c r="N32" s="20">
        <v>0.0</v>
      </c>
      <c r="O32" s="20">
        <v>1.0</v>
      </c>
      <c r="P32" s="24">
        <v>46753.0</v>
      </c>
      <c r="Q32" s="24">
        <v>47118.0</v>
      </c>
      <c r="R32" s="20">
        <v>0.0</v>
      </c>
      <c r="S32" s="20">
        <v>1.0</v>
      </c>
      <c r="T32" s="24">
        <v>47119.0</v>
      </c>
      <c r="U32" s="24">
        <v>47483.0</v>
      </c>
      <c r="V32" s="20">
        <v>0.0</v>
      </c>
      <c r="W32" s="20">
        <v>1.0</v>
      </c>
      <c r="X32" s="24">
        <v>47484.0</v>
      </c>
      <c r="Y32" s="24">
        <v>47848.0</v>
      </c>
      <c r="Z32" s="20">
        <v>0.0</v>
      </c>
      <c r="AA32" s="20">
        <v>1.0</v>
      </c>
      <c r="AC32" s="24"/>
      <c r="AD32" s="24"/>
      <c r="AH32" s="24"/>
      <c r="AI32" s="24"/>
    </row>
    <row r="33" ht="14.25" customHeight="1">
      <c r="A33" s="46" t="s">
        <v>4849</v>
      </c>
      <c r="B33" s="20" t="s">
        <v>4850</v>
      </c>
      <c r="C33" s="20" t="s">
        <v>7041</v>
      </c>
      <c r="D33" s="24">
        <v>45658.0</v>
      </c>
      <c r="E33" s="24">
        <v>46022.0</v>
      </c>
      <c r="F33" s="20">
        <v>0.0</v>
      </c>
      <c r="G33" s="20">
        <v>1.0</v>
      </c>
      <c r="H33" s="24">
        <v>46023.0</v>
      </c>
      <c r="I33" s="24">
        <v>46387.0</v>
      </c>
      <c r="J33" s="20">
        <v>0.0</v>
      </c>
      <c r="K33" s="20">
        <v>1.0</v>
      </c>
      <c r="L33" s="24">
        <v>46388.0</v>
      </c>
      <c r="M33" s="24">
        <v>46752.0</v>
      </c>
      <c r="N33" s="20">
        <v>0.0</v>
      </c>
      <c r="O33" s="20">
        <v>1.0</v>
      </c>
      <c r="P33" s="24">
        <v>46753.0</v>
      </c>
      <c r="Q33" s="24">
        <v>47118.0</v>
      </c>
      <c r="R33" s="20">
        <v>0.0</v>
      </c>
      <c r="S33" s="20">
        <v>1.0</v>
      </c>
      <c r="T33" s="24">
        <v>47119.0</v>
      </c>
      <c r="U33" s="24">
        <v>47483.0</v>
      </c>
      <c r="V33" s="20">
        <v>0.0</v>
      </c>
      <c r="W33" s="20">
        <v>1.0</v>
      </c>
      <c r="X33" s="24">
        <v>47484.0</v>
      </c>
      <c r="Y33" s="24">
        <v>47848.0</v>
      </c>
      <c r="Z33" s="20">
        <v>0.0</v>
      </c>
      <c r="AA33" s="20">
        <v>1.0</v>
      </c>
      <c r="AC33" s="24"/>
      <c r="AD33" s="24"/>
      <c r="AH33" s="24"/>
      <c r="AI33" s="24"/>
    </row>
    <row r="34" ht="14.25" customHeight="1">
      <c r="A34" s="46" t="s">
        <v>4788</v>
      </c>
      <c r="B34" s="20" t="s">
        <v>4789</v>
      </c>
      <c r="C34" s="20" t="s">
        <v>7041</v>
      </c>
      <c r="D34" s="24">
        <v>45658.0</v>
      </c>
      <c r="E34" s="24">
        <v>46022.0</v>
      </c>
      <c r="F34" s="20">
        <v>0.0</v>
      </c>
      <c r="G34" s="20">
        <v>1.0</v>
      </c>
      <c r="H34" s="24">
        <v>46023.0</v>
      </c>
      <c r="I34" s="24">
        <v>46387.0</v>
      </c>
      <c r="J34" s="20">
        <v>0.0</v>
      </c>
      <c r="K34" s="20">
        <v>1.0</v>
      </c>
      <c r="L34" s="24">
        <v>46388.0</v>
      </c>
      <c r="M34" s="24">
        <v>46752.0</v>
      </c>
      <c r="N34" s="20">
        <v>0.0</v>
      </c>
      <c r="O34" s="20">
        <v>1.0</v>
      </c>
      <c r="P34" s="24">
        <v>46753.0</v>
      </c>
      <c r="Q34" s="24">
        <v>47118.0</v>
      </c>
      <c r="R34" s="20">
        <v>0.0</v>
      </c>
      <c r="S34" s="20">
        <v>1.0</v>
      </c>
      <c r="T34" s="24">
        <v>47119.0</v>
      </c>
      <c r="U34" s="24">
        <v>47483.0</v>
      </c>
      <c r="V34" s="20">
        <v>0.0</v>
      </c>
      <c r="W34" s="20">
        <v>1.0</v>
      </c>
      <c r="X34" s="24">
        <v>47484.0</v>
      </c>
      <c r="Y34" s="24">
        <v>47848.0</v>
      </c>
      <c r="Z34" s="20">
        <v>0.0</v>
      </c>
      <c r="AA34" s="20">
        <v>1.0</v>
      </c>
      <c r="AC34" s="24"/>
      <c r="AD34" s="24"/>
      <c r="AH34" s="24"/>
      <c r="AI34" s="24"/>
    </row>
    <row r="35" ht="14.25" customHeight="1">
      <c r="A35" s="46" t="s">
        <v>4838</v>
      </c>
      <c r="B35" s="20" t="s">
        <v>4839</v>
      </c>
      <c r="C35" s="20" t="s">
        <v>7041</v>
      </c>
      <c r="D35" s="24">
        <v>45658.0</v>
      </c>
      <c r="E35" s="24">
        <v>46022.0</v>
      </c>
      <c r="F35" s="20">
        <v>0.0</v>
      </c>
      <c r="G35" s="20">
        <v>1.0</v>
      </c>
      <c r="H35" s="24">
        <v>46023.0</v>
      </c>
      <c r="I35" s="24">
        <v>46387.0</v>
      </c>
      <c r="J35" s="20">
        <v>0.0</v>
      </c>
      <c r="K35" s="20">
        <v>1.0</v>
      </c>
      <c r="L35" s="24">
        <v>46388.0</v>
      </c>
      <c r="M35" s="24">
        <v>46752.0</v>
      </c>
      <c r="N35" s="20">
        <v>0.0</v>
      </c>
      <c r="O35" s="20">
        <v>1.0</v>
      </c>
      <c r="P35" s="24">
        <v>46753.0</v>
      </c>
      <c r="Q35" s="24">
        <v>47118.0</v>
      </c>
      <c r="R35" s="20">
        <v>0.0</v>
      </c>
      <c r="S35" s="20">
        <v>1.0</v>
      </c>
      <c r="T35" s="24">
        <v>47119.0</v>
      </c>
      <c r="U35" s="24">
        <v>47483.0</v>
      </c>
      <c r="V35" s="20">
        <v>0.0</v>
      </c>
      <c r="W35" s="20">
        <v>1.0</v>
      </c>
      <c r="X35" s="24">
        <v>47484.0</v>
      </c>
      <c r="Y35" s="24">
        <v>47848.0</v>
      </c>
      <c r="Z35" s="20">
        <v>0.0</v>
      </c>
      <c r="AA35" s="20">
        <v>1.0</v>
      </c>
      <c r="AC35" s="24"/>
      <c r="AD35" s="24"/>
      <c r="AH35" s="24"/>
      <c r="AI35" s="24"/>
    </row>
    <row r="36" ht="14.25" customHeight="1">
      <c r="A36" s="46" t="s">
        <v>1124</v>
      </c>
      <c r="B36" s="20" t="s">
        <v>1125</v>
      </c>
      <c r="C36" s="20" t="s">
        <v>7041</v>
      </c>
      <c r="D36" s="24">
        <v>45658.0</v>
      </c>
      <c r="E36" s="24">
        <v>46022.0</v>
      </c>
      <c r="F36" s="20">
        <v>1.0</v>
      </c>
      <c r="G36" s="20">
        <v>1.0</v>
      </c>
      <c r="H36" s="24">
        <v>46023.0</v>
      </c>
      <c r="I36" s="24">
        <v>46387.0</v>
      </c>
      <c r="J36" s="20">
        <v>0.0</v>
      </c>
      <c r="K36" s="20">
        <v>1.0</v>
      </c>
      <c r="L36" s="24">
        <v>46388.0</v>
      </c>
      <c r="M36" s="24">
        <v>46752.0</v>
      </c>
      <c r="N36" s="20">
        <v>0.0</v>
      </c>
      <c r="O36" s="20">
        <v>1.0</v>
      </c>
      <c r="P36" s="24">
        <v>46753.0</v>
      </c>
      <c r="Q36" s="24">
        <v>47118.0</v>
      </c>
      <c r="R36" s="20">
        <v>0.0</v>
      </c>
      <c r="S36" s="20">
        <v>1.0</v>
      </c>
      <c r="T36" s="24">
        <v>47119.0</v>
      </c>
      <c r="U36" s="24">
        <v>47483.0</v>
      </c>
      <c r="V36" s="20">
        <v>0.0</v>
      </c>
      <c r="W36" s="20">
        <v>1.0</v>
      </c>
      <c r="X36" s="24">
        <v>47484.0</v>
      </c>
      <c r="Y36" s="24">
        <v>47848.0</v>
      </c>
      <c r="Z36" s="20">
        <v>0.0</v>
      </c>
      <c r="AA36" s="20">
        <v>1.0</v>
      </c>
      <c r="AC36" s="24"/>
      <c r="AD36" s="24"/>
      <c r="AH36" s="24"/>
      <c r="AI36" s="24"/>
    </row>
    <row r="37" ht="14.25" customHeight="1">
      <c r="A37" s="46" t="s">
        <v>2137</v>
      </c>
      <c r="B37" s="20" t="s">
        <v>2138</v>
      </c>
      <c r="C37" s="20" t="s">
        <v>7041</v>
      </c>
      <c r="D37" s="24">
        <v>45658.0</v>
      </c>
      <c r="E37" s="24">
        <v>46022.0</v>
      </c>
      <c r="F37" s="20">
        <v>1.0</v>
      </c>
      <c r="G37" s="20">
        <v>1.0</v>
      </c>
      <c r="H37" s="24">
        <v>46023.0</v>
      </c>
      <c r="I37" s="24">
        <v>46387.0</v>
      </c>
      <c r="J37" s="20">
        <v>0.0</v>
      </c>
      <c r="K37" s="20">
        <v>1.0</v>
      </c>
      <c r="L37" s="24">
        <v>46388.0</v>
      </c>
      <c r="M37" s="24">
        <v>46752.0</v>
      </c>
      <c r="N37" s="20">
        <v>0.0</v>
      </c>
      <c r="O37" s="20">
        <v>1.0</v>
      </c>
      <c r="P37" s="24">
        <v>46753.0</v>
      </c>
      <c r="Q37" s="24">
        <v>47118.0</v>
      </c>
      <c r="R37" s="20">
        <v>0.0</v>
      </c>
      <c r="S37" s="20">
        <v>1.0</v>
      </c>
      <c r="T37" s="24">
        <v>47119.0</v>
      </c>
      <c r="U37" s="24">
        <v>47483.0</v>
      </c>
      <c r="V37" s="20">
        <v>0.0</v>
      </c>
      <c r="W37" s="20">
        <v>1.0</v>
      </c>
      <c r="X37" s="24">
        <v>47484.0</v>
      </c>
      <c r="Y37" s="24">
        <v>47848.0</v>
      </c>
      <c r="Z37" s="20">
        <v>0.0</v>
      </c>
      <c r="AA37" s="20">
        <v>1.0</v>
      </c>
      <c r="AC37" s="24"/>
      <c r="AD37" s="24"/>
      <c r="AH37" s="24"/>
      <c r="AI37" s="24"/>
    </row>
    <row r="38" ht="14.25" customHeight="1">
      <c r="A38" s="46" t="s">
        <v>5513</v>
      </c>
      <c r="B38" s="20" t="s">
        <v>5514</v>
      </c>
      <c r="C38" s="20" t="s">
        <v>7041</v>
      </c>
      <c r="D38" s="24">
        <v>45658.0</v>
      </c>
      <c r="E38" s="24">
        <v>46022.0</v>
      </c>
      <c r="F38" s="20">
        <v>1.0</v>
      </c>
      <c r="G38" s="20">
        <v>1.0</v>
      </c>
      <c r="H38" s="24">
        <v>46023.0</v>
      </c>
      <c r="I38" s="24">
        <v>46387.0</v>
      </c>
      <c r="J38" s="20">
        <v>0.0</v>
      </c>
      <c r="K38" s="20">
        <v>1.0</v>
      </c>
      <c r="L38" s="24">
        <v>46388.0</v>
      </c>
      <c r="M38" s="24">
        <v>46752.0</v>
      </c>
      <c r="N38" s="20">
        <v>0.0</v>
      </c>
      <c r="O38" s="20">
        <v>1.0</v>
      </c>
      <c r="P38" s="24">
        <v>46753.0</v>
      </c>
      <c r="Q38" s="24">
        <v>47118.0</v>
      </c>
      <c r="R38" s="20">
        <v>0.0</v>
      </c>
      <c r="S38" s="20">
        <v>1.0</v>
      </c>
      <c r="T38" s="24">
        <v>47119.0</v>
      </c>
      <c r="U38" s="24">
        <v>47483.0</v>
      </c>
      <c r="V38" s="20">
        <v>0.0</v>
      </c>
      <c r="W38" s="20">
        <v>1.0</v>
      </c>
      <c r="X38" s="24">
        <v>47484.0</v>
      </c>
      <c r="Y38" s="24">
        <v>47848.0</v>
      </c>
      <c r="Z38" s="20">
        <v>0.0</v>
      </c>
      <c r="AA38" s="20">
        <v>1.0</v>
      </c>
      <c r="AC38" s="24"/>
      <c r="AD38" s="24"/>
      <c r="AH38" s="24"/>
      <c r="AI38" s="24"/>
    </row>
    <row r="39" ht="14.25" customHeight="1">
      <c r="A39" s="46" t="s">
        <v>654</v>
      </c>
      <c r="B39" s="20" t="s">
        <v>655</v>
      </c>
      <c r="C39" s="20" t="s">
        <v>7041</v>
      </c>
      <c r="D39" s="24">
        <v>45658.0</v>
      </c>
      <c r="E39" s="24">
        <v>46022.0</v>
      </c>
      <c r="F39" s="20">
        <v>1.0</v>
      </c>
      <c r="G39" s="20">
        <v>1.0</v>
      </c>
      <c r="H39" s="24">
        <v>46023.0</v>
      </c>
      <c r="I39" s="24">
        <v>46387.0</v>
      </c>
      <c r="J39" s="20">
        <v>0.0</v>
      </c>
      <c r="K39" s="20">
        <v>1.0</v>
      </c>
      <c r="L39" s="24">
        <v>46388.0</v>
      </c>
      <c r="M39" s="24">
        <v>46752.0</v>
      </c>
      <c r="N39" s="20">
        <v>0.0</v>
      </c>
      <c r="O39" s="20">
        <v>1.0</v>
      </c>
      <c r="P39" s="24">
        <v>46753.0</v>
      </c>
      <c r="Q39" s="24">
        <v>47118.0</v>
      </c>
      <c r="R39" s="20">
        <v>0.0</v>
      </c>
      <c r="S39" s="20">
        <v>1.0</v>
      </c>
      <c r="T39" s="24">
        <v>47119.0</v>
      </c>
      <c r="U39" s="24">
        <v>47483.0</v>
      </c>
      <c r="V39" s="20">
        <v>0.0</v>
      </c>
      <c r="W39" s="20">
        <v>1.0</v>
      </c>
      <c r="X39" s="24">
        <v>47484.0</v>
      </c>
      <c r="Y39" s="24">
        <v>47848.0</v>
      </c>
      <c r="Z39" s="20">
        <v>0.0</v>
      </c>
      <c r="AA39" s="20">
        <v>1.0</v>
      </c>
      <c r="AC39" s="24"/>
      <c r="AD39" s="24"/>
      <c r="AH39" s="24"/>
      <c r="AI39" s="24"/>
    </row>
    <row r="40" ht="14.25" customHeight="1">
      <c r="A40" s="46" t="s">
        <v>1956</v>
      </c>
      <c r="B40" s="20" t="s">
        <v>1957</v>
      </c>
      <c r="C40" s="20" t="s">
        <v>7041</v>
      </c>
      <c r="D40" s="24">
        <v>45658.0</v>
      </c>
      <c r="E40" s="24">
        <v>46022.0</v>
      </c>
      <c r="F40" s="20">
        <v>0.0</v>
      </c>
      <c r="G40" s="20">
        <v>1.0</v>
      </c>
      <c r="H40" s="24">
        <v>46023.0</v>
      </c>
      <c r="I40" s="24">
        <v>46387.0</v>
      </c>
      <c r="J40" s="20">
        <v>0.0</v>
      </c>
      <c r="K40" s="20">
        <v>1.0</v>
      </c>
      <c r="L40" s="24">
        <v>46388.0</v>
      </c>
      <c r="M40" s="24">
        <v>46752.0</v>
      </c>
      <c r="N40" s="20">
        <v>0.0</v>
      </c>
      <c r="O40" s="20">
        <v>1.0</v>
      </c>
      <c r="P40" s="24">
        <v>46753.0</v>
      </c>
      <c r="Q40" s="24">
        <v>47118.0</v>
      </c>
      <c r="R40" s="20">
        <v>0.0</v>
      </c>
      <c r="S40" s="20">
        <v>1.0</v>
      </c>
      <c r="T40" s="24">
        <v>47119.0</v>
      </c>
      <c r="U40" s="24">
        <v>47483.0</v>
      </c>
      <c r="V40" s="20">
        <v>0.0</v>
      </c>
      <c r="W40" s="20">
        <v>1.0</v>
      </c>
      <c r="X40" s="24">
        <v>47484.0</v>
      </c>
      <c r="Y40" s="24">
        <v>47848.0</v>
      </c>
      <c r="Z40" s="20">
        <v>0.0</v>
      </c>
      <c r="AA40" s="20">
        <v>1.0</v>
      </c>
      <c r="AC40" s="24"/>
      <c r="AD40" s="24"/>
      <c r="AH40" s="24"/>
      <c r="AI40" s="24"/>
    </row>
    <row r="41" ht="14.25" customHeight="1">
      <c r="A41" s="46" t="s">
        <v>4981</v>
      </c>
      <c r="B41" s="20" t="s">
        <v>4982</v>
      </c>
      <c r="C41" s="20" t="s">
        <v>7041</v>
      </c>
      <c r="D41" s="24">
        <v>45658.0</v>
      </c>
      <c r="E41" s="24">
        <v>46022.0</v>
      </c>
      <c r="F41" s="20">
        <v>0.0</v>
      </c>
      <c r="G41" s="20">
        <v>1.0</v>
      </c>
      <c r="H41" s="24">
        <v>46023.0</v>
      </c>
      <c r="I41" s="24">
        <v>46387.0</v>
      </c>
      <c r="J41" s="20">
        <v>0.0</v>
      </c>
      <c r="K41" s="20">
        <v>1.0</v>
      </c>
      <c r="L41" s="24">
        <v>46388.0</v>
      </c>
      <c r="M41" s="24">
        <v>46752.0</v>
      </c>
      <c r="N41" s="20">
        <v>0.0</v>
      </c>
      <c r="O41" s="20">
        <v>1.0</v>
      </c>
      <c r="P41" s="24">
        <v>46753.0</v>
      </c>
      <c r="Q41" s="24">
        <v>47118.0</v>
      </c>
      <c r="R41" s="20">
        <v>0.0</v>
      </c>
      <c r="S41" s="20">
        <v>1.0</v>
      </c>
      <c r="T41" s="24">
        <v>47119.0</v>
      </c>
      <c r="U41" s="24">
        <v>47483.0</v>
      </c>
      <c r="V41" s="20">
        <v>0.0</v>
      </c>
      <c r="W41" s="20">
        <v>1.0</v>
      </c>
      <c r="X41" s="24">
        <v>47484.0</v>
      </c>
      <c r="Y41" s="24">
        <v>47848.0</v>
      </c>
      <c r="Z41" s="20">
        <v>0.0</v>
      </c>
      <c r="AA41" s="20">
        <v>1.0</v>
      </c>
      <c r="AC41" s="24"/>
      <c r="AD41" s="24"/>
      <c r="AH41" s="24"/>
      <c r="AI41" s="24"/>
    </row>
    <row r="42" ht="14.25" customHeight="1">
      <c r="A42" s="46" t="s">
        <v>6915</v>
      </c>
      <c r="B42" s="20" t="s">
        <v>6916</v>
      </c>
      <c r="C42" s="20" t="s">
        <v>7041</v>
      </c>
      <c r="D42" s="24">
        <v>45658.0</v>
      </c>
      <c r="E42" s="24">
        <v>46022.0</v>
      </c>
      <c r="F42" s="20">
        <v>1.0</v>
      </c>
      <c r="G42" s="20">
        <v>1.0</v>
      </c>
      <c r="H42" s="24">
        <v>46023.0</v>
      </c>
      <c r="I42" s="24">
        <v>46387.0</v>
      </c>
      <c r="J42" s="20">
        <v>0.0</v>
      </c>
      <c r="K42" s="20">
        <v>1.0</v>
      </c>
      <c r="L42" s="24">
        <v>46388.0</v>
      </c>
      <c r="M42" s="24">
        <v>46752.0</v>
      </c>
      <c r="N42" s="20">
        <v>0.0</v>
      </c>
      <c r="O42" s="20">
        <v>1.0</v>
      </c>
      <c r="P42" s="24">
        <v>46753.0</v>
      </c>
      <c r="Q42" s="24">
        <v>47118.0</v>
      </c>
      <c r="R42" s="20">
        <v>0.0</v>
      </c>
      <c r="S42" s="20">
        <v>1.0</v>
      </c>
      <c r="T42" s="24">
        <v>47119.0</v>
      </c>
      <c r="U42" s="24">
        <v>47483.0</v>
      </c>
      <c r="V42" s="20">
        <v>0.0</v>
      </c>
      <c r="W42" s="20">
        <v>1.0</v>
      </c>
      <c r="X42" s="24">
        <v>47484.0</v>
      </c>
      <c r="Y42" s="24">
        <v>47848.0</v>
      </c>
      <c r="Z42" s="20">
        <v>0.0</v>
      </c>
      <c r="AA42" s="20">
        <v>1.0</v>
      </c>
      <c r="AC42" s="24"/>
      <c r="AD42" s="24"/>
      <c r="AH42" s="24"/>
      <c r="AI42" s="24"/>
    </row>
    <row r="43" ht="14.25" customHeight="1">
      <c r="A43" s="46" t="s">
        <v>463</v>
      </c>
      <c r="B43" s="20" t="s">
        <v>464</v>
      </c>
      <c r="C43" s="20" t="s">
        <v>7041</v>
      </c>
      <c r="D43" s="24">
        <v>45658.0</v>
      </c>
      <c r="E43" s="24">
        <v>46022.0</v>
      </c>
      <c r="F43" s="20">
        <v>0.0</v>
      </c>
      <c r="G43" s="20">
        <v>1.0</v>
      </c>
      <c r="H43" s="24">
        <v>46023.0</v>
      </c>
      <c r="I43" s="24">
        <v>46387.0</v>
      </c>
      <c r="J43" s="20">
        <v>0.0</v>
      </c>
      <c r="K43" s="20">
        <v>1.0</v>
      </c>
      <c r="L43" s="24">
        <v>46388.0</v>
      </c>
      <c r="M43" s="24">
        <v>46752.0</v>
      </c>
      <c r="N43" s="20">
        <v>0.0</v>
      </c>
      <c r="O43" s="20">
        <v>1.0</v>
      </c>
      <c r="P43" s="24">
        <v>46753.0</v>
      </c>
      <c r="Q43" s="24">
        <v>47118.0</v>
      </c>
      <c r="R43" s="20">
        <v>0.0</v>
      </c>
      <c r="S43" s="20">
        <v>1.0</v>
      </c>
      <c r="T43" s="24">
        <v>47119.0</v>
      </c>
      <c r="U43" s="24">
        <v>47483.0</v>
      </c>
      <c r="V43" s="20">
        <v>0.0</v>
      </c>
      <c r="W43" s="20">
        <v>1.0</v>
      </c>
      <c r="X43" s="24">
        <v>47484.0</v>
      </c>
      <c r="Y43" s="24">
        <v>47848.0</v>
      </c>
      <c r="Z43" s="20">
        <v>0.0</v>
      </c>
      <c r="AA43" s="20">
        <v>1.0</v>
      </c>
      <c r="AC43" s="24"/>
      <c r="AD43" s="24"/>
      <c r="AH43" s="24"/>
      <c r="AI43" s="24"/>
    </row>
    <row r="44" ht="14.25" customHeight="1">
      <c r="A44" s="46" t="s">
        <v>4326</v>
      </c>
      <c r="B44" s="20" t="s">
        <v>4327</v>
      </c>
      <c r="C44" s="20" t="s">
        <v>7041</v>
      </c>
      <c r="D44" s="24">
        <v>45658.0</v>
      </c>
      <c r="E44" s="24">
        <v>46022.0</v>
      </c>
      <c r="F44" s="20">
        <v>0.0</v>
      </c>
      <c r="G44" s="20">
        <v>1.0</v>
      </c>
      <c r="H44" s="24">
        <v>46023.0</v>
      </c>
      <c r="I44" s="24">
        <v>46387.0</v>
      </c>
      <c r="J44" s="20">
        <v>0.0</v>
      </c>
      <c r="K44" s="20">
        <v>1.0</v>
      </c>
      <c r="L44" s="24">
        <v>46388.0</v>
      </c>
      <c r="M44" s="24">
        <v>46752.0</v>
      </c>
      <c r="N44" s="20">
        <v>0.0</v>
      </c>
      <c r="O44" s="20">
        <v>1.0</v>
      </c>
      <c r="P44" s="24">
        <v>46753.0</v>
      </c>
      <c r="Q44" s="24">
        <v>47118.0</v>
      </c>
      <c r="R44" s="20">
        <v>0.0</v>
      </c>
      <c r="S44" s="20">
        <v>1.0</v>
      </c>
      <c r="T44" s="24">
        <v>47119.0</v>
      </c>
      <c r="U44" s="24">
        <v>47483.0</v>
      </c>
      <c r="V44" s="20">
        <v>0.0</v>
      </c>
      <c r="W44" s="20">
        <v>1.0</v>
      </c>
      <c r="X44" s="24">
        <v>47484.0</v>
      </c>
      <c r="Y44" s="24">
        <v>47848.0</v>
      </c>
      <c r="Z44" s="20">
        <v>0.0</v>
      </c>
      <c r="AA44" s="20">
        <v>1.0</v>
      </c>
      <c r="AC44" s="24"/>
      <c r="AD44" s="24"/>
      <c r="AH44" s="24"/>
      <c r="AI44" s="24"/>
    </row>
    <row r="45" ht="14.25" customHeight="1">
      <c r="A45" s="46" t="s">
        <v>2853</v>
      </c>
      <c r="B45" s="20" t="s">
        <v>2854</v>
      </c>
      <c r="C45" s="20" t="s">
        <v>7041</v>
      </c>
      <c r="D45" s="24">
        <v>45658.0</v>
      </c>
      <c r="E45" s="24">
        <v>46022.0</v>
      </c>
      <c r="F45" s="20">
        <v>0.0</v>
      </c>
      <c r="G45" s="20">
        <v>1.0</v>
      </c>
      <c r="H45" s="24">
        <v>46023.0</v>
      </c>
      <c r="I45" s="24">
        <v>46387.0</v>
      </c>
      <c r="J45" s="20">
        <v>0.0</v>
      </c>
      <c r="K45" s="20">
        <v>1.0</v>
      </c>
      <c r="L45" s="24">
        <v>46388.0</v>
      </c>
      <c r="M45" s="24">
        <v>46752.0</v>
      </c>
      <c r="N45" s="20">
        <v>0.0</v>
      </c>
      <c r="O45" s="20">
        <v>1.0</v>
      </c>
      <c r="P45" s="24">
        <v>46753.0</v>
      </c>
      <c r="Q45" s="24">
        <v>47118.0</v>
      </c>
      <c r="R45" s="20">
        <v>0.0</v>
      </c>
      <c r="S45" s="20">
        <v>1.0</v>
      </c>
      <c r="T45" s="24">
        <v>47119.0</v>
      </c>
      <c r="U45" s="24">
        <v>47483.0</v>
      </c>
      <c r="V45" s="20">
        <v>0.0</v>
      </c>
      <c r="W45" s="20">
        <v>1.0</v>
      </c>
      <c r="X45" s="24">
        <v>47484.0</v>
      </c>
      <c r="Y45" s="24">
        <v>47848.0</v>
      </c>
      <c r="Z45" s="20">
        <v>0.0</v>
      </c>
      <c r="AA45" s="20">
        <v>1.0</v>
      </c>
      <c r="AC45" s="24"/>
      <c r="AD45" s="24"/>
      <c r="AH45" s="24"/>
      <c r="AI45" s="24"/>
    </row>
    <row r="46" ht="14.25" customHeight="1">
      <c r="A46" s="46" t="s">
        <v>2092</v>
      </c>
      <c r="B46" s="20" t="s">
        <v>2093</v>
      </c>
      <c r="C46" s="20" t="s">
        <v>7041</v>
      </c>
      <c r="D46" s="24">
        <v>45658.0</v>
      </c>
      <c r="E46" s="24">
        <v>46022.0</v>
      </c>
      <c r="F46" s="20">
        <v>0.0</v>
      </c>
      <c r="G46" s="20">
        <v>1.0</v>
      </c>
      <c r="H46" s="24">
        <v>46023.0</v>
      </c>
      <c r="I46" s="24">
        <v>46387.0</v>
      </c>
      <c r="J46" s="20">
        <v>0.0</v>
      </c>
      <c r="K46" s="20">
        <v>1.0</v>
      </c>
      <c r="L46" s="24">
        <v>46388.0</v>
      </c>
      <c r="M46" s="24">
        <v>46752.0</v>
      </c>
      <c r="N46" s="20">
        <v>0.0</v>
      </c>
      <c r="O46" s="20">
        <v>1.0</v>
      </c>
      <c r="P46" s="24">
        <v>46753.0</v>
      </c>
      <c r="Q46" s="24">
        <v>47118.0</v>
      </c>
      <c r="R46" s="20">
        <v>0.0</v>
      </c>
      <c r="S46" s="20">
        <v>1.0</v>
      </c>
      <c r="T46" s="24">
        <v>47119.0</v>
      </c>
      <c r="U46" s="24">
        <v>47483.0</v>
      </c>
      <c r="V46" s="20">
        <v>0.0</v>
      </c>
      <c r="W46" s="20">
        <v>1.0</v>
      </c>
      <c r="X46" s="24">
        <v>47484.0</v>
      </c>
      <c r="Y46" s="24">
        <v>47848.0</v>
      </c>
      <c r="Z46" s="20">
        <v>0.0</v>
      </c>
      <c r="AA46" s="20">
        <v>1.0</v>
      </c>
      <c r="AC46" s="24"/>
      <c r="AD46" s="24"/>
      <c r="AH46" s="24"/>
      <c r="AI46" s="24"/>
    </row>
    <row r="47" ht="14.25" customHeight="1">
      <c r="A47" s="46" t="s">
        <v>6898</v>
      </c>
      <c r="B47" s="20" t="s">
        <v>6899</v>
      </c>
      <c r="C47" s="20" t="s">
        <v>7041</v>
      </c>
      <c r="D47" s="24">
        <v>45658.0</v>
      </c>
      <c r="E47" s="24">
        <v>46022.0</v>
      </c>
      <c r="F47" s="20">
        <v>1.0</v>
      </c>
      <c r="G47" s="20">
        <v>1.0</v>
      </c>
      <c r="H47" s="24">
        <v>46023.0</v>
      </c>
      <c r="I47" s="24">
        <v>46387.0</v>
      </c>
      <c r="J47" s="20">
        <v>0.0</v>
      </c>
      <c r="K47" s="20">
        <v>1.0</v>
      </c>
      <c r="L47" s="24">
        <v>46388.0</v>
      </c>
      <c r="M47" s="24">
        <v>46752.0</v>
      </c>
      <c r="N47" s="20">
        <v>0.0</v>
      </c>
      <c r="O47" s="20">
        <v>1.0</v>
      </c>
      <c r="P47" s="24">
        <v>46753.0</v>
      </c>
      <c r="Q47" s="24">
        <v>47118.0</v>
      </c>
      <c r="R47" s="20">
        <v>0.0</v>
      </c>
      <c r="S47" s="20">
        <v>1.0</v>
      </c>
      <c r="T47" s="24">
        <v>47119.0</v>
      </c>
      <c r="U47" s="24">
        <v>47483.0</v>
      </c>
      <c r="V47" s="20">
        <v>0.0</v>
      </c>
      <c r="W47" s="20">
        <v>1.0</v>
      </c>
      <c r="X47" s="24">
        <v>47484.0</v>
      </c>
      <c r="Y47" s="24">
        <v>47848.0</v>
      </c>
      <c r="Z47" s="20">
        <v>0.0</v>
      </c>
      <c r="AA47" s="20">
        <v>1.0</v>
      </c>
      <c r="AC47" s="24"/>
      <c r="AD47" s="24"/>
      <c r="AH47" s="24"/>
      <c r="AI47" s="24"/>
    </row>
    <row r="48" ht="14.25" customHeight="1">
      <c r="A48" s="46" t="s">
        <v>4448</v>
      </c>
      <c r="B48" s="20" t="s">
        <v>4449</v>
      </c>
      <c r="C48" s="20" t="s">
        <v>7041</v>
      </c>
      <c r="D48" s="24">
        <v>45658.0</v>
      </c>
      <c r="E48" s="24">
        <v>46022.0</v>
      </c>
      <c r="F48" s="20">
        <v>0.0</v>
      </c>
      <c r="G48" s="20">
        <v>1.0</v>
      </c>
      <c r="H48" s="24">
        <v>46023.0</v>
      </c>
      <c r="I48" s="24">
        <v>46387.0</v>
      </c>
      <c r="J48" s="20">
        <v>0.0</v>
      </c>
      <c r="K48" s="20">
        <v>1.0</v>
      </c>
      <c r="L48" s="24">
        <v>46388.0</v>
      </c>
      <c r="M48" s="24">
        <v>46752.0</v>
      </c>
      <c r="N48" s="20">
        <v>0.0</v>
      </c>
      <c r="O48" s="20">
        <v>1.0</v>
      </c>
      <c r="P48" s="24">
        <v>46753.0</v>
      </c>
      <c r="Q48" s="24">
        <v>47118.0</v>
      </c>
      <c r="R48" s="20">
        <v>0.0</v>
      </c>
      <c r="S48" s="20">
        <v>1.0</v>
      </c>
      <c r="T48" s="24">
        <v>47119.0</v>
      </c>
      <c r="U48" s="24">
        <v>47483.0</v>
      </c>
      <c r="V48" s="20">
        <v>0.0</v>
      </c>
      <c r="W48" s="20">
        <v>1.0</v>
      </c>
      <c r="X48" s="24">
        <v>47484.0</v>
      </c>
      <c r="Y48" s="24">
        <v>47848.0</v>
      </c>
      <c r="Z48" s="20">
        <v>0.0</v>
      </c>
      <c r="AA48" s="20">
        <v>1.0</v>
      </c>
      <c r="AC48" s="24"/>
      <c r="AD48" s="24"/>
      <c r="AH48" s="24"/>
      <c r="AI48" s="24"/>
    </row>
    <row r="49" ht="14.25" customHeight="1">
      <c r="A49" s="46" t="s">
        <v>1156</v>
      </c>
      <c r="B49" s="20" t="s">
        <v>1157</v>
      </c>
      <c r="C49" s="20" t="s">
        <v>7041</v>
      </c>
      <c r="D49" s="24">
        <v>45658.0</v>
      </c>
      <c r="E49" s="24">
        <v>46022.0</v>
      </c>
      <c r="F49" s="20">
        <v>1.0</v>
      </c>
      <c r="G49" s="20">
        <v>1.0</v>
      </c>
      <c r="H49" s="24">
        <v>46023.0</v>
      </c>
      <c r="I49" s="24">
        <v>46387.0</v>
      </c>
      <c r="J49" s="20">
        <v>0.0</v>
      </c>
      <c r="K49" s="20">
        <v>1.0</v>
      </c>
      <c r="L49" s="24">
        <v>46388.0</v>
      </c>
      <c r="M49" s="24">
        <v>46752.0</v>
      </c>
      <c r="N49" s="20">
        <v>0.0</v>
      </c>
      <c r="O49" s="20">
        <v>1.0</v>
      </c>
      <c r="P49" s="24">
        <v>46753.0</v>
      </c>
      <c r="Q49" s="24">
        <v>47118.0</v>
      </c>
      <c r="R49" s="20">
        <v>0.0</v>
      </c>
      <c r="S49" s="20">
        <v>1.0</v>
      </c>
      <c r="T49" s="24">
        <v>47119.0</v>
      </c>
      <c r="U49" s="24">
        <v>47483.0</v>
      </c>
      <c r="V49" s="20">
        <v>0.0</v>
      </c>
      <c r="W49" s="20">
        <v>1.0</v>
      </c>
      <c r="X49" s="24">
        <v>47484.0</v>
      </c>
      <c r="Y49" s="24">
        <v>47848.0</v>
      </c>
      <c r="Z49" s="20">
        <v>0.0</v>
      </c>
      <c r="AA49" s="20">
        <v>1.0</v>
      </c>
      <c r="AC49" s="24"/>
      <c r="AD49" s="24"/>
      <c r="AH49" s="24"/>
      <c r="AI49" s="24"/>
    </row>
    <row r="50" ht="14.25" customHeight="1">
      <c r="A50" s="46" t="s">
        <v>1267</v>
      </c>
      <c r="B50" s="20" t="s">
        <v>1268</v>
      </c>
      <c r="C50" s="20" t="s">
        <v>7041</v>
      </c>
      <c r="D50" s="24">
        <v>45658.0</v>
      </c>
      <c r="E50" s="24">
        <v>46022.0</v>
      </c>
      <c r="F50" s="20">
        <v>1.0</v>
      </c>
      <c r="G50" s="20">
        <v>1.0</v>
      </c>
      <c r="H50" s="24">
        <v>46023.0</v>
      </c>
      <c r="I50" s="24">
        <v>46387.0</v>
      </c>
      <c r="J50" s="20">
        <v>0.0</v>
      </c>
      <c r="K50" s="20">
        <v>1.0</v>
      </c>
      <c r="L50" s="24">
        <v>46388.0</v>
      </c>
      <c r="M50" s="24">
        <v>46752.0</v>
      </c>
      <c r="N50" s="20">
        <v>0.0</v>
      </c>
      <c r="O50" s="20">
        <v>1.0</v>
      </c>
      <c r="P50" s="24">
        <v>46753.0</v>
      </c>
      <c r="Q50" s="24">
        <v>47118.0</v>
      </c>
      <c r="R50" s="20">
        <v>0.0</v>
      </c>
      <c r="S50" s="20">
        <v>1.0</v>
      </c>
      <c r="T50" s="24">
        <v>47119.0</v>
      </c>
      <c r="U50" s="24">
        <v>47483.0</v>
      </c>
      <c r="V50" s="20">
        <v>0.0</v>
      </c>
      <c r="W50" s="20">
        <v>1.0</v>
      </c>
      <c r="X50" s="24">
        <v>47484.0</v>
      </c>
      <c r="Y50" s="24">
        <v>47848.0</v>
      </c>
      <c r="Z50" s="20">
        <v>0.0</v>
      </c>
      <c r="AA50" s="20">
        <v>1.0</v>
      </c>
      <c r="AC50" s="24"/>
      <c r="AD50" s="24"/>
      <c r="AH50" s="24"/>
      <c r="AI50" s="24"/>
    </row>
    <row r="51" ht="14.25" customHeight="1">
      <c r="A51" s="46" t="s">
        <v>5825</v>
      </c>
      <c r="B51" s="20" t="s">
        <v>5826</v>
      </c>
      <c r="C51" s="20" t="s">
        <v>7041</v>
      </c>
      <c r="D51" s="24">
        <v>45658.0</v>
      </c>
      <c r="E51" s="24">
        <v>46022.0</v>
      </c>
      <c r="F51" s="20">
        <v>1.0</v>
      </c>
      <c r="G51" s="20">
        <v>1.0</v>
      </c>
      <c r="H51" s="24">
        <v>46023.0</v>
      </c>
      <c r="I51" s="24">
        <v>46387.0</v>
      </c>
      <c r="J51" s="20">
        <v>0.0</v>
      </c>
      <c r="K51" s="20">
        <v>1.0</v>
      </c>
      <c r="L51" s="24">
        <v>46388.0</v>
      </c>
      <c r="M51" s="24">
        <v>46752.0</v>
      </c>
      <c r="N51" s="20">
        <v>0.0</v>
      </c>
      <c r="O51" s="20">
        <v>1.0</v>
      </c>
      <c r="P51" s="24">
        <v>46753.0</v>
      </c>
      <c r="Q51" s="24">
        <v>47118.0</v>
      </c>
      <c r="R51" s="20">
        <v>0.0</v>
      </c>
      <c r="S51" s="20">
        <v>1.0</v>
      </c>
      <c r="T51" s="24">
        <v>47119.0</v>
      </c>
      <c r="U51" s="24">
        <v>47483.0</v>
      </c>
      <c r="V51" s="20">
        <v>0.0</v>
      </c>
      <c r="W51" s="20">
        <v>1.0</v>
      </c>
      <c r="X51" s="24">
        <v>47484.0</v>
      </c>
      <c r="Y51" s="24">
        <v>47848.0</v>
      </c>
      <c r="Z51" s="20">
        <v>0.0</v>
      </c>
      <c r="AA51" s="20">
        <v>1.0</v>
      </c>
      <c r="AC51" s="24"/>
      <c r="AD51" s="24"/>
      <c r="AH51" s="24"/>
      <c r="AI51" s="24"/>
    </row>
    <row r="52" ht="14.25" customHeight="1">
      <c r="A52" s="46" t="s">
        <v>1561</v>
      </c>
      <c r="B52" s="20" t="s">
        <v>1562</v>
      </c>
      <c r="C52" s="20" t="s">
        <v>7041</v>
      </c>
      <c r="D52" s="24">
        <v>45658.0</v>
      </c>
      <c r="E52" s="24">
        <v>46022.0</v>
      </c>
      <c r="F52" s="20">
        <v>0.0</v>
      </c>
      <c r="G52" s="20">
        <v>1.0</v>
      </c>
      <c r="H52" s="24">
        <v>46023.0</v>
      </c>
      <c r="I52" s="24">
        <v>46387.0</v>
      </c>
      <c r="J52" s="20">
        <v>0.0</v>
      </c>
      <c r="K52" s="20">
        <v>1.0</v>
      </c>
      <c r="L52" s="24">
        <v>46388.0</v>
      </c>
      <c r="M52" s="24">
        <v>46752.0</v>
      </c>
      <c r="N52" s="20">
        <v>0.0</v>
      </c>
      <c r="O52" s="20">
        <v>1.0</v>
      </c>
      <c r="P52" s="24">
        <v>46753.0</v>
      </c>
      <c r="Q52" s="24">
        <v>47118.0</v>
      </c>
      <c r="R52" s="20">
        <v>0.0</v>
      </c>
      <c r="S52" s="20">
        <v>1.0</v>
      </c>
      <c r="T52" s="24">
        <v>47119.0</v>
      </c>
      <c r="U52" s="24">
        <v>47483.0</v>
      </c>
      <c r="V52" s="20">
        <v>0.0</v>
      </c>
      <c r="W52" s="20">
        <v>1.0</v>
      </c>
      <c r="X52" s="24">
        <v>47484.0</v>
      </c>
      <c r="Y52" s="24">
        <v>47848.0</v>
      </c>
      <c r="Z52" s="20">
        <v>0.0</v>
      </c>
      <c r="AA52" s="20">
        <v>1.0</v>
      </c>
      <c r="AC52" s="24"/>
      <c r="AD52" s="24"/>
      <c r="AH52" s="24"/>
      <c r="AI52" s="24"/>
    </row>
    <row r="53" ht="14.25" customHeight="1">
      <c r="A53" s="46" t="s">
        <v>5036</v>
      </c>
      <c r="B53" s="20" t="s">
        <v>5037</v>
      </c>
      <c r="C53" s="20" t="s">
        <v>7041</v>
      </c>
      <c r="D53" s="24">
        <v>45658.0</v>
      </c>
      <c r="E53" s="24">
        <v>46022.0</v>
      </c>
      <c r="F53" s="20">
        <v>0.0</v>
      </c>
      <c r="G53" s="20">
        <v>1.0</v>
      </c>
      <c r="H53" s="24">
        <v>46023.0</v>
      </c>
      <c r="I53" s="24">
        <v>46387.0</v>
      </c>
      <c r="J53" s="20">
        <v>0.0</v>
      </c>
      <c r="K53" s="20">
        <v>1.0</v>
      </c>
      <c r="L53" s="24">
        <v>46388.0</v>
      </c>
      <c r="M53" s="24">
        <v>46752.0</v>
      </c>
      <c r="N53" s="20">
        <v>0.0</v>
      </c>
      <c r="O53" s="20">
        <v>1.0</v>
      </c>
      <c r="P53" s="24">
        <v>46753.0</v>
      </c>
      <c r="Q53" s="24">
        <v>47118.0</v>
      </c>
      <c r="R53" s="20">
        <v>0.0</v>
      </c>
      <c r="S53" s="20">
        <v>1.0</v>
      </c>
      <c r="T53" s="24">
        <v>47119.0</v>
      </c>
      <c r="U53" s="24">
        <v>47483.0</v>
      </c>
      <c r="V53" s="20">
        <v>0.0</v>
      </c>
      <c r="W53" s="20">
        <v>1.0</v>
      </c>
      <c r="X53" s="24">
        <v>47484.0</v>
      </c>
      <c r="Y53" s="24">
        <v>47848.0</v>
      </c>
      <c r="Z53" s="20">
        <v>0.0</v>
      </c>
      <c r="AA53" s="20">
        <v>1.0</v>
      </c>
      <c r="AC53" s="24"/>
      <c r="AD53" s="24"/>
      <c r="AH53" s="24"/>
      <c r="AI53" s="24"/>
    </row>
    <row r="54" ht="14.25" customHeight="1">
      <c r="A54" s="46" t="s">
        <v>4958</v>
      </c>
      <c r="B54" s="20" t="s">
        <v>4959</v>
      </c>
      <c r="C54" s="20" t="s">
        <v>7041</v>
      </c>
      <c r="D54" s="24">
        <v>45658.0</v>
      </c>
      <c r="E54" s="24">
        <v>46022.0</v>
      </c>
      <c r="F54" s="20">
        <v>0.0</v>
      </c>
      <c r="G54" s="20">
        <v>1.0</v>
      </c>
      <c r="H54" s="24">
        <v>46023.0</v>
      </c>
      <c r="I54" s="24">
        <v>46387.0</v>
      </c>
      <c r="J54" s="20">
        <v>0.0</v>
      </c>
      <c r="K54" s="20">
        <v>1.0</v>
      </c>
      <c r="L54" s="24">
        <v>46388.0</v>
      </c>
      <c r="M54" s="24">
        <v>46752.0</v>
      </c>
      <c r="N54" s="20">
        <v>0.0</v>
      </c>
      <c r="O54" s="20">
        <v>1.0</v>
      </c>
      <c r="P54" s="24">
        <v>46753.0</v>
      </c>
      <c r="Q54" s="24">
        <v>47118.0</v>
      </c>
      <c r="R54" s="20">
        <v>0.0</v>
      </c>
      <c r="S54" s="20">
        <v>1.0</v>
      </c>
      <c r="T54" s="24">
        <v>47119.0</v>
      </c>
      <c r="U54" s="24">
        <v>47483.0</v>
      </c>
      <c r="V54" s="20">
        <v>0.0</v>
      </c>
      <c r="W54" s="20">
        <v>1.0</v>
      </c>
      <c r="X54" s="24">
        <v>47484.0</v>
      </c>
      <c r="Y54" s="24">
        <v>47848.0</v>
      </c>
      <c r="Z54" s="20">
        <v>0.0</v>
      </c>
      <c r="AA54" s="20">
        <v>1.0</v>
      </c>
      <c r="AC54" s="24"/>
      <c r="AD54" s="24"/>
      <c r="AH54" s="24"/>
      <c r="AI54" s="24"/>
    </row>
    <row r="55" ht="14.25" customHeight="1">
      <c r="A55" s="46" t="s">
        <v>604</v>
      </c>
      <c r="B55" s="20" t="s">
        <v>605</v>
      </c>
      <c r="C55" s="20" t="s">
        <v>7041</v>
      </c>
      <c r="D55" s="24">
        <v>45658.0</v>
      </c>
      <c r="E55" s="24">
        <v>46022.0</v>
      </c>
      <c r="F55" s="20">
        <v>0.0</v>
      </c>
      <c r="G55" s="20">
        <v>1.0</v>
      </c>
      <c r="H55" s="24">
        <v>46023.0</v>
      </c>
      <c r="I55" s="24">
        <v>46387.0</v>
      </c>
      <c r="J55" s="20">
        <v>0.0</v>
      </c>
      <c r="K55" s="20">
        <v>1.0</v>
      </c>
      <c r="L55" s="24">
        <v>46388.0</v>
      </c>
      <c r="M55" s="24">
        <v>46752.0</v>
      </c>
      <c r="N55" s="20">
        <v>0.0</v>
      </c>
      <c r="O55" s="20">
        <v>1.0</v>
      </c>
      <c r="P55" s="24">
        <v>46753.0</v>
      </c>
      <c r="Q55" s="24">
        <v>47118.0</v>
      </c>
      <c r="R55" s="20">
        <v>0.0</v>
      </c>
      <c r="S55" s="20">
        <v>1.0</v>
      </c>
      <c r="T55" s="24">
        <v>47119.0</v>
      </c>
      <c r="U55" s="24">
        <v>47483.0</v>
      </c>
      <c r="V55" s="20">
        <v>0.0</v>
      </c>
      <c r="W55" s="20">
        <v>1.0</v>
      </c>
      <c r="X55" s="24">
        <v>47484.0</v>
      </c>
      <c r="Y55" s="24">
        <v>47848.0</v>
      </c>
      <c r="Z55" s="20">
        <v>0.0</v>
      </c>
      <c r="AA55" s="20">
        <v>1.0</v>
      </c>
      <c r="AC55" s="24"/>
      <c r="AD55" s="24"/>
      <c r="AH55" s="24"/>
      <c r="AI55" s="24"/>
    </row>
    <row r="56" ht="14.25" customHeight="1">
      <c r="A56" s="46" t="s">
        <v>1457</v>
      </c>
      <c r="B56" s="20" t="s">
        <v>1458</v>
      </c>
      <c r="C56" s="20" t="s">
        <v>7041</v>
      </c>
      <c r="D56" s="24">
        <v>45658.0</v>
      </c>
      <c r="E56" s="24">
        <v>46022.0</v>
      </c>
      <c r="F56" s="20">
        <v>1.0</v>
      </c>
      <c r="G56" s="20">
        <v>1.0</v>
      </c>
      <c r="H56" s="24">
        <v>46023.0</v>
      </c>
      <c r="I56" s="24">
        <v>46387.0</v>
      </c>
      <c r="J56" s="20">
        <v>0.0</v>
      </c>
      <c r="K56" s="20">
        <v>1.0</v>
      </c>
      <c r="L56" s="24">
        <v>46388.0</v>
      </c>
      <c r="M56" s="24">
        <v>46752.0</v>
      </c>
      <c r="N56" s="20">
        <v>0.0</v>
      </c>
      <c r="O56" s="20">
        <v>1.0</v>
      </c>
      <c r="P56" s="24">
        <v>46753.0</v>
      </c>
      <c r="Q56" s="24">
        <v>47118.0</v>
      </c>
      <c r="R56" s="20">
        <v>0.0</v>
      </c>
      <c r="S56" s="20">
        <v>1.0</v>
      </c>
      <c r="T56" s="24">
        <v>47119.0</v>
      </c>
      <c r="U56" s="24">
        <v>47483.0</v>
      </c>
      <c r="V56" s="20">
        <v>0.0</v>
      </c>
      <c r="W56" s="20">
        <v>1.0</v>
      </c>
      <c r="X56" s="24">
        <v>47484.0</v>
      </c>
      <c r="Y56" s="24">
        <v>47848.0</v>
      </c>
      <c r="Z56" s="20">
        <v>0.0</v>
      </c>
      <c r="AA56" s="20">
        <v>1.0</v>
      </c>
      <c r="AC56" s="24"/>
      <c r="AD56" s="24"/>
      <c r="AH56" s="24"/>
      <c r="AI56" s="24"/>
    </row>
    <row r="57" ht="14.25" customHeight="1">
      <c r="A57" s="46" t="s">
        <v>5129</v>
      </c>
      <c r="B57" s="20" t="s">
        <v>5130</v>
      </c>
      <c r="C57" s="20" t="s">
        <v>7041</v>
      </c>
      <c r="D57" s="24">
        <v>45658.0</v>
      </c>
      <c r="E57" s="24">
        <v>46022.0</v>
      </c>
      <c r="F57" s="20">
        <v>0.0</v>
      </c>
      <c r="G57" s="20">
        <v>1.0</v>
      </c>
      <c r="H57" s="24">
        <v>46023.0</v>
      </c>
      <c r="I57" s="24">
        <v>46387.0</v>
      </c>
      <c r="J57" s="20">
        <v>0.0</v>
      </c>
      <c r="K57" s="20">
        <v>1.0</v>
      </c>
      <c r="L57" s="24">
        <v>46388.0</v>
      </c>
      <c r="M57" s="24">
        <v>46752.0</v>
      </c>
      <c r="N57" s="20">
        <v>0.0</v>
      </c>
      <c r="O57" s="20">
        <v>1.0</v>
      </c>
      <c r="P57" s="24">
        <v>46753.0</v>
      </c>
      <c r="Q57" s="24">
        <v>47118.0</v>
      </c>
      <c r="R57" s="20">
        <v>0.0</v>
      </c>
      <c r="S57" s="20">
        <v>1.0</v>
      </c>
      <c r="T57" s="24">
        <v>47119.0</v>
      </c>
      <c r="U57" s="24">
        <v>47483.0</v>
      </c>
      <c r="V57" s="20">
        <v>0.0</v>
      </c>
      <c r="W57" s="20">
        <v>1.0</v>
      </c>
      <c r="X57" s="24">
        <v>47484.0</v>
      </c>
      <c r="Y57" s="24">
        <v>47848.0</v>
      </c>
      <c r="Z57" s="20">
        <v>0.0</v>
      </c>
      <c r="AA57" s="20">
        <v>1.0</v>
      </c>
      <c r="AC57" s="24"/>
      <c r="AD57" s="24"/>
      <c r="AH57" s="24"/>
      <c r="AI57" s="24"/>
    </row>
    <row r="58" ht="14.25" customHeight="1">
      <c r="A58" s="46" t="s">
        <v>4213</v>
      </c>
      <c r="B58" s="20" t="s">
        <v>4214</v>
      </c>
      <c r="C58" s="20" t="s">
        <v>7041</v>
      </c>
      <c r="D58" s="24">
        <v>45658.0</v>
      </c>
      <c r="E58" s="24">
        <v>46022.0</v>
      </c>
      <c r="F58" s="20">
        <v>0.0</v>
      </c>
      <c r="G58" s="20">
        <v>1.0</v>
      </c>
      <c r="H58" s="24">
        <v>46023.0</v>
      </c>
      <c r="I58" s="24">
        <v>46387.0</v>
      </c>
      <c r="J58" s="20">
        <v>0.0</v>
      </c>
      <c r="K58" s="20">
        <v>1.0</v>
      </c>
      <c r="L58" s="24">
        <v>46388.0</v>
      </c>
      <c r="M58" s="24">
        <v>46752.0</v>
      </c>
      <c r="N58" s="20">
        <v>0.0</v>
      </c>
      <c r="O58" s="20">
        <v>1.0</v>
      </c>
      <c r="P58" s="24">
        <v>46753.0</v>
      </c>
      <c r="Q58" s="24">
        <v>47118.0</v>
      </c>
      <c r="R58" s="20">
        <v>0.0</v>
      </c>
      <c r="S58" s="20">
        <v>1.0</v>
      </c>
      <c r="T58" s="24">
        <v>47119.0</v>
      </c>
      <c r="U58" s="24">
        <v>47483.0</v>
      </c>
      <c r="V58" s="20">
        <v>0.0</v>
      </c>
      <c r="W58" s="20">
        <v>1.0</v>
      </c>
      <c r="X58" s="24">
        <v>47484.0</v>
      </c>
      <c r="Y58" s="24">
        <v>47848.0</v>
      </c>
      <c r="Z58" s="20">
        <v>0.0</v>
      </c>
      <c r="AA58" s="20">
        <v>1.0</v>
      </c>
      <c r="AC58" s="24"/>
      <c r="AD58" s="24"/>
      <c r="AH58" s="24"/>
      <c r="AI58" s="24"/>
    </row>
    <row r="59" ht="14.25" customHeight="1">
      <c r="A59" s="46" t="s">
        <v>5024</v>
      </c>
      <c r="B59" s="20" t="s">
        <v>5025</v>
      </c>
      <c r="C59" s="20" t="s">
        <v>7041</v>
      </c>
      <c r="D59" s="24">
        <v>45658.0</v>
      </c>
      <c r="E59" s="24">
        <v>46022.0</v>
      </c>
      <c r="F59" s="20">
        <v>1.0</v>
      </c>
      <c r="G59" s="20">
        <v>1.0</v>
      </c>
      <c r="H59" s="24">
        <v>46023.0</v>
      </c>
      <c r="I59" s="24">
        <v>46387.0</v>
      </c>
      <c r="J59" s="20">
        <v>0.0</v>
      </c>
      <c r="K59" s="20">
        <v>1.0</v>
      </c>
      <c r="L59" s="24">
        <v>46388.0</v>
      </c>
      <c r="M59" s="24">
        <v>46752.0</v>
      </c>
      <c r="N59" s="20">
        <v>0.0</v>
      </c>
      <c r="O59" s="20">
        <v>1.0</v>
      </c>
      <c r="P59" s="24">
        <v>46753.0</v>
      </c>
      <c r="Q59" s="24">
        <v>47118.0</v>
      </c>
      <c r="R59" s="20">
        <v>0.0</v>
      </c>
      <c r="S59" s="20">
        <v>1.0</v>
      </c>
      <c r="T59" s="24">
        <v>47119.0</v>
      </c>
      <c r="U59" s="24">
        <v>47483.0</v>
      </c>
      <c r="V59" s="20">
        <v>0.0</v>
      </c>
      <c r="W59" s="20">
        <v>1.0</v>
      </c>
      <c r="X59" s="24">
        <v>47484.0</v>
      </c>
      <c r="Y59" s="24">
        <v>47848.0</v>
      </c>
      <c r="Z59" s="20">
        <v>0.0</v>
      </c>
      <c r="AA59" s="20">
        <v>1.0</v>
      </c>
      <c r="AC59" s="24"/>
      <c r="AD59" s="24"/>
      <c r="AH59" s="24"/>
      <c r="AI59" s="24"/>
    </row>
    <row r="60" ht="14.25" customHeight="1">
      <c r="A60" s="46" t="s">
        <v>5988</v>
      </c>
      <c r="B60" s="20" t="s">
        <v>5989</v>
      </c>
      <c r="C60" s="20" t="s">
        <v>7041</v>
      </c>
      <c r="D60" s="24">
        <v>45658.0</v>
      </c>
      <c r="E60" s="24">
        <v>46022.0</v>
      </c>
      <c r="F60" s="20">
        <v>0.0</v>
      </c>
      <c r="G60" s="20">
        <v>1.0</v>
      </c>
      <c r="H60" s="24">
        <v>46023.0</v>
      </c>
      <c r="I60" s="24">
        <v>46387.0</v>
      </c>
      <c r="J60" s="20">
        <v>0.0</v>
      </c>
      <c r="K60" s="20">
        <v>1.0</v>
      </c>
      <c r="L60" s="24">
        <v>46388.0</v>
      </c>
      <c r="M60" s="24">
        <v>46752.0</v>
      </c>
      <c r="N60" s="20">
        <v>0.0</v>
      </c>
      <c r="O60" s="20">
        <v>1.0</v>
      </c>
      <c r="P60" s="24">
        <v>46753.0</v>
      </c>
      <c r="Q60" s="24">
        <v>47118.0</v>
      </c>
      <c r="R60" s="20">
        <v>0.0</v>
      </c>
      <c r="S60" s="20">
        <v>1.0</v>
      </c>
      <c r="T60" s="24">
        <v>47119.0</v>
      </c>
      <c r="U60" s="24">
        <v>47483.0</v>
      </c>
      <c r="V60" s="20">
        <v>0.0</v>
      </c>
      <c r="W60" s="20">
        <v>1.0</v>
      </c>
      <c r="X60" s="24">
        <v>47484.0</v>
      </c>
      <c r="Y60" s="24">
        <v>47848.0</v>
      </c>
      <c r="Z60" s="20">
        <v>0.0</v>
      </c>
      <c r="AA60" s="20">
        <v>1.0</v>
      </c>
      <c r="AC60" s="24"/>
      <c r="AD60" s="24"/>
      <c r="AH60" s="24"/>
      <c r="AI60" s="24"/>
    </row>
    <row r="61" ht="14.25" customHeight="1">
      <c r="A61" s="46" t="s">
        <v>5757</v>
      </c>
      <c r="B61" s="20" t="s">
        <v>5758</v>
      </c>
      <c r="C61" s="20" t="s">
        <v>7041</v>
      </c>
      <c r="D61" s="24">
        <v>45658.0</v>
      </c>
      <c r="E61" s="24">
        <v>46022.0</v>
      </c>
      <c r="F61" s="20">
        <v>1.0</v>
      </c>
      <c r="G61" s="20">
        <v>1.0</v>
      </c>
      <c r="H61" s="24">
        <v>46023.0</v>
      </c>
      <c r="I61" s="24">
        <v>46387.0</v>
      </c>
      <c r="J61" s="20">
        <v>0.0</v>
      </c>
      <c r="K61" s="20">
        <v>1.0</v>
      </c>
      <c r="L61" s="24">
        <v>46388.0</v>
      </c>
      <c r="M61" s="24">
        <v>46752.0</v>
      </c>
      <c r="N61" s="20">
        <v>0.0</v>
      </c>
      <c r="O61" s="20">
        <v>1.0</v>
      </c>
      <c r="P61" s="24">
        <v>46753.0</v>
      </c>
      <c r="Q61" s="24">
        <v>47118.0</v>
      </c>
      <c r="R61" s="20">
        <v>0.0</v>
      </c>
      <c r="S61" s="20">
        <v>1.0</v>
      </c>
      <c r="T61" s="24">
        <v>47119.0</v>
      </c>
      <c r="U61" s="24">
        <v>47483.0</v>
      </c>
      <c r="V61" s="20">
        <v>0.0</v>
      </c>
      <c r="W61" s="20">
        <v>1.0</v>
      </c>
      <c r="X61" s="24">
        <v>47484.0</v>
      </c>
      <c r="Y61" s="24">
        <v>47848.0</v>
      </c>
      <c r="Z61" s="20">
        <v>0.0</v>
      </c>
      <c r="AA61" s="20">
        <v>1.0</v>
      </c>
      <c r="AC61" s="24"/>
      <c r="AD61" s="24"/>
      <c r="AH61" s="24"/>
      <c r="AI61" s="24"/>
    </row>
    <row r="62" ht="14.25" customHeight="1">
      <c r="A62" s="46" t="s">
        <v>3503</v>
      </c>
      <c r="B62" s="20" t="s">
        <v>3504</v>
      </c>
      <c r="C62" s="20" t="s">
        <v>7041</v>
      </c>
      <c r="D62" s="24">
        <v>45658.0</v>
      </c>
      <c r="E62" s="24">
        <v>46022.0</v>
      </c>
      <c r="F62" s="20">
        <v>1.0</v>
      </c>
      <c r="G62" s="20">
        <v>1.0</v>
      </c>
      <c r="H62" s="24">
        <v>46023.0</v>
      </c>
      <c r="I62" s="24">
        <v>46387.0</v>
      </c>
      <c r="J62" s="20">
        <v>0.0</v>
      </c>
      <c r="K62" s="20">
        <v>1.0</v>
      </c>
      <c r="L62" s="24">
        <v>46388.0</v>
      </c>
      <c r="M62" s="24">
        <v>46752.0</v>
      </c>
      <c r="N62" s="20">
        <v>0.0</v>
      </c>
      <c r="O62" s="20">
        <v>1.0</v>
      </c>
      <c r="P62" s="24">
        <v>46753.0</v>
      </c>
      <c r="Q62" s="24">
        <v>47118.0</v>
      </c>
      <c r="R62" s="20">
        <v>0.0</v>
      </c>
      <c r="S62" s="20">
        <v>1.0</v>
      </c>
      <c r="T62" s="24">
        <v>47119.0</v>
      </c>
      <c r="U62" s="24">
        <v>47483.0</v>
      </c>
      <c r="V62" s="20">
        <v>0.0</v>
      </c>
      <c r="W62" s="20">
        <v>1.0</v>
      </c>
      <c r="X62" s="24">
        <v>47484.0</v>
      </c>
      <c r="Y62" s="24">
        <v>47848.0</v>
      </c>
      <c r="Z62" s="20">
        <v>0.0</v>
      </c>
      <c r="AA62" s="20">
        <v>1.0</v>
      </c>
      <c r="AC62" s="24"/>
      <c r="AD62" s="24"/>
      <c r="AH62" s="24"/>
      <c r="AI62" s="24"/>
    </row>
    <row r="63" ht="14.25" customHeight="1">
      <c r="A63" s="46" t="s">
        <v>5498</v>
      </c>
      <c r="B63" s="20" t="s">
        <v>5499</v>
      </c>
      <c r="C63" s="20" t="s">
        <v>7041</v>
      </c>
      <c r="D63" s="24">
        <v>45658.0</v>
      </c>
      <c r="E63" s="24">
        <v>46022.0</v>
      </c>
      <c r="F63" s="20">
        <v>0.0</v>
      </c>
      <c r="G63" s="20">
        <v>1.0</v>
      </c>
      <c r="H63" s="24">
        <v>46023.0</v>
      </c>
      <c r="I63" s="24">
        <v>46387.0</v>
      </c>
      <c r="J63" s="20">
        <v>0.0</v>
      </c>
      <c r="K63" s="20">
        <v>1.0</v>
      </c>
      <c r="L63" s="24">
        <v>46388.0</v>
      </c>
      <c r="M63" s="24">
        <v>46752.0</v>
      </c>
      <c r="N63" s="20">
        <v>0.0</v>
      </c>
      <c r="O63" s="20">
        <v>1.0</v>
      </c>
      <c r="P63" s="24">
        <v>46753.0</v>
      </c>
      <c r="Q63" s="24">
        <v>47118.0</v>
      </c>
      <c r="R63" s="20">
        <v>0.0</v>
      </c>
      <c r="S63" s="20">
        <v>1.0</v>
      </c>
      <c r="T63" s="24">
        <v>47119.0</v>
      </c>
      <c r="U63" s="24">
        <v>47483.0</v>
      </c>
      <c r="V63" s="20">
        <v>0.0</v>
      </c>
      <c r="W63" s="20">
        <v>1.0</v>
      </c>
      <c r="X63" s="24">
        <v>47484.0</v>
      </c>
      <c r="Y63" s="24">
        <v>47848.0</v>
      </c>
      <c r="Z63" s="20">
        <v>0.0</v>
      </c>
      <c r="AA63" s="20">
        <v>1.0</v>
      </c>
      <c r="AC63" s="24"/>
      <c r="AD63" s="24"/>
      <c r="AH63" s="24"/>
      <c r="AI63" s="24"/>
    </row>
    <row r="64" ht="14.25" customHeight="1">
      <c r="A64" s="46" t="s">
        <v>2928</v>
      </c>
      <c r="B64" s="20" t="s">
        <v>2929</v>
      </c>
      <c r="C64" s="20" t="s">
        <v>7041</v>
      </c>
      <c r="D64" s="24">
        <v>45658.0</v>
      </c>
      <c r="E64" s="24">
        <v>46022.0</v>
      </c>
      <c r="F64" s="20">
        <v>1.0</v>
      </c>
      <c r="G64" s="20">
        <v>1.0</v>
      </c>
      <c r="H64" s="24">
        <v>46023.0</v>
      </c>
      <c r="I64" s="24">
        <v>46387.0</v>
      </c>
      <c r="J64" s="20">
        <v>0.0</v>
      </c>
      <c r="K64" s="20">
        <v>1.0</v>
      </c>
      <c r="L64" s="24">
        <v>46388.0</v>
      </c>
      <c r="M64" s="24">
        <v>46752.0</v>
      </c>
      <c r="N64" s="20">
        <v>0.0</v>
      </c>
      <c r="O64" s="20">
        <v>1.0</v>
      </c>
      <c r="P64" s="24">
        <v>46753.0</v>
      </c>
      <c r="Q64" s="24">
        <v>47118.0</v>
      </c>
      <c r="R64" s="20">
        <v>0.0</v>
      </c>
      <c r="S64" s="20">
        <v>1.0</v>
      </c>
      <c r="T64" s="24">
        <v>47119.0</v>
      </c>
      <c r="U64" s="24">
        <v>47483.0</v>
      </c>
      <c r="V64" s="20">
        <v>0.0</v>
      </c>
      <c r="W64" s="20">
        <v>1.0</v>
      </c>
      <c r="X64" s="24">
        <v>47484.0</v>
      </c>
      <c r="Y64" s="24">
        <v>47848.0</v>
      </c>
      <c r="Z64" s="20">
        <v>0.0</v>
      </c>
      <c r="AA64" s="20">
        <v>1.0</v>
      </c>
      <c r="AC64" s="24"/>
      <c r="AD64" s="24"/>
      <c r="AH64" s="24"/>
      <c r="AI64" s="24"/>
    </row>
    <row r="65" ht="14.25" customHeight="1">
      <c r="A65" s="46" t="s">
        <v>3443</v>
      </c>
      <c r="B65" s="20" t="s">
        <v>3444</v>
      </c>
      <c r="C65" s="20" t="s">
        <v>7041</v>
      </c>
      <c r="D65" s="24">
        <v>45658.0</v>
      </c>
      <c r="E65" s="24">
        <v>46022.0</v>
      </c>
      <c r="F65" s="20">
        <v>0.0</v>
      </c>
      <c r="G65" s="20">
        <v>1.0</v>
      </c>
      <c r="H65" s="24">
        <v>46023.0</v>
      </c>
      <c r="I65" s="24">
        <v>46387.0</v>
      </c>
      <c r="J65" s="20">
        <v>0.0</v>
      </c>
      <c r="K65" s="20">
        <v>1.0</v>
      </c>
      <c r="L65" s="24">
        <v>46388.0</v>
      </c>
      <c r="M65" s="24">
        <v>46752.0</v>
      </c>
      <c r="N65" s="20">
        <v>0.0</v>
      </c>
      <c r="O65" s="20">
        <v>1.0</v>
      </c>
      <c r="P65" s="24">
        <v>46753.0</v>
      </c>
      <c r="Q65" s="24">
        <v>47118.0</v>
      </c>
      <c r="R65" s="20">
        <v>0.0</v>
      </c>
      <c r="S65" s="20">
        <v>1.0</v>
      </c>
      <c r="T65" s="24">
        <v>47119.0</v>
      </c>
      <c r="U65" s="24">
        <v>47483.0</v>
      </c>
      <c r="V65" s="20">
        <v>0.0</v>
      </c>
      <c r="W65" s="20">
        <v>1.0</v>
      </c>
      <c r="X65" s="24">
        <v>47484.0</v>
      </c>
      <c r="Y65" s="24">
        <v>47848.0</v>
      </c>
      <c r="Z65" s="20">
        <v>0.0</v>
      </c>
      <c r="AA65" s="20">
        <v>1.0</v>
      </c>
      <c r="AC65" s="24"/>
      <c r="AD65" s="24"/>
      <c r="AH65" s="24"/>
      <c r="AI65" s="24"/>
    </row>
    <row r="66" ht="14.25" customHeight="1">
      <c r="A66" s="46" t="s">
        <v>622</v>
      </c>
      <c r="B66" s="20" t="s">
        <v>623</v>
      </c>
      <c r="C66" s="20" t="s">
        <v>7041</v>
      </c>
      <c r="D66" s="24">
        <v>45658.0</v>
      </c>
      <c r="E66" s="24">
        <v>46022.0</v>
      </c>
      <c r="F66" s="20">
        <v>0.0</v>
      </c>
      <c r="G66" s="20">
        <v>1.0</v>
      </c>
      <c r="H66" s="24">
        <v>46023.0</v>
      </c>
      <c r="I66" s="24">
        <v>46387.0</v>
      </c>
      <c r="J66" s="20">
        <v>0.0</v>
      </c>
      <c r="K66" s="20">
        <v>1.0</v>
      </c>
      <c r="L66" s="24">
        <v>46388.0</v>
      </c>
      <c r="M66" s="24">
        <v>46752.0</v>
      </c>
      <c r="N66" s="20">
        <v>0.0</v>
      </c>
      <c r="O66" s="20">
        <v>1.0</v>
      </c>
      <c r="P66" s="24">
        <v>46753.0</v>
      </c>
      <c r="Q66" s="24">
        <v>47118.0</v>
      </c>
      <c r="R66" s="20">
        <v>0.0</v>
      </c>
      <c r="S66" s="20">
        <v>1.0</v>
      </c>
      <c r="T66" s="24">
        <v>47119.0</v>
      </c>
      <c r="U66" s="24">
        <v>47483.0</v>
      </c>
      <c r="V66" s="20">
        <v>0.0</v>
      </c>
      <c r="W66" s="20">
        <v>1.0</v>
      </c>
      <c r="X66" s="24">
        <v>47484.0</v>
      </c>
      <c r="Y66" s="24">
        <v>47848.0</v>
      </c>
      <c r="Z66" s="20">
        <v>0.0</v>
      </c>
      <c r="AA66" s="20">
        <v>1.0</v>
      </c>
      <c r="AC66" s="24"/>
      <c r="AD66" s="24"/>
      <c r="AH66" s="24"/>
      <c r="AI66" s="24"/>
    </row>
    <row r="67" ht="14.25" customHeight="1">
      <c r="A67" s="46" t="s">
        <v>262</v>
      </c>
      <c r="B67" s="20" t="s">
        <v>263</v>
      </c>
      <c r="C67" s="20" t="s">
        <v>7041</v>
      </c>
      <c r="D67" s="24">
        <v>45658.0</v>
      </c>
      <c r="E67" s="24">
        <v>46022.0</v>
      </c>
      <c r="F67" s="20">
        <v>1.0</v>
      </c>
      <c r="G67" s="20">
        <v>1.0</v>
      </c>
      <c r="H67" s="24">
        <v>46023.0</v>
      </c>
      <c r="I67" s="24">
        <v>46387.0</v>
      </c>
      <c r="J67" s="20">
        <v>0.0</v>
      </c>
      <c r="K67" s="20">
        <v>1.0</v>
      </c>
      <c r="L67" s="24">
        <v>46388.0</v>
      </c>
      <c r="M67" s="24">
        <v>46752.0</v>
      </c>
      <c r="N67" s="20">
        <v>0.0</v>
      </c>
      <c r="O67" s="20">
        <v>1.0</v>
      </c>
      <c r="P67" s="24">
        <v>46753.0</v>
      </c>
      <c r="Q67" s="24">
        <v>47118.0</v>
      </c>
      <c r="R67" s="20">
        <v>0.0</v>
      </c>
      <c r="S67" s="20">
        <v>1.0</v>
      </c>
      <c r="T67" s="24">
        <v>47119.0</v>
      </c>
      <c r="U67" s="24">
        <v>47483.0</v>
      </c>
      <c r="V67" s="20">
        <v>0.0</v>
      </c>
      <c r="W67" s="20">
        <v>1.0</v>
      </c>
      <c r="X67" s="24">
        <v>47484.0</v>
      </c>
      <c r="Y67" s="24">
        <v>47848.0</v>
      </c>
      <c r="Z67" s="20">
        <v>0.0</v>
      </c>
      <c r="AA67" s="20">
        <v>1.0</v>
      </c>
      <c r="AC67" s="24"/>
      <c r="AD67" s="24"/>
      <c r="AH67" s="24"/>
      <c r="AI67" s="24"/>
    </row>
    <row r="68" ht="14.25" customHeight="1">
      <c r="A68" s="46" t="s">
        <v>811</v>
      </c>
      <c r="B68" s="20" t="s">
        <v>812</v>
      </c>
      <c r="C68" s="20" t="s">
        <v>7041</v>
      </c>
      <c r="D68" s="24">
        <v>45658.0</v>
      </c>
      <c r="E68" s="24">
        <v>46022.0</v>
      </c>
      <c r="F68" s="20">
        <v>0.0</v>
      </c>
      <c r="G68" s="20">
        <v>1.0</v>
      </c>
      <c r="H68" s="24">
        <v>46023.0</v>
      </c>
      <c r="I68" s="24">
        <v>46387.0</v>
      </c>
      <c r="J68" s="20">
        <v>0.0</v>
      </c>
      <c r="K68" s="20">
        <v>1.0</v>
      </c>
      <c r="L68" s="24">
        <v>46388.0</v>
      </c>
      <c r="M68" s="24">
        <v>46752.0</v>
      </c>
      <c r="N68" s="20">
        <v>0.0</v>
      </c>
      <c r="O68" s="20">
        <v>1.0</v>
      </c>
      <c r="P68" s="24">
        <v>46753.0</v>
      </c>
      <c r="Q68" s="24">
        <v>47118.0</v>
      </c>
      <c r="R68" s="20">
        <v>0.0</v>
      </c>
      <c r="S68" s="20">
        <v>1.0</v>
      </c>
      <c r="T68" s="24">
        <v>47119.0</v>
      </c>
      <c r="U68" s="24">
        <v>47483.0</v>
      </c>
      <c r="V68" s="20">
        <v>0.0</v>
      </c>
      <c r="W68" s="20">
        <v>1.0</v>
      </c>
      <c r="X68" s="24">
        <v>47484.0</v>
      </c>
      <c r="Y68" s="24">
        <v>47848.0</v>
      </c>
      <c r="Z68" s="20">
        <v>0.0</v>
      </c>
      <c r="AA68" s="20">
        <v>1.0</v>
      </c>
      <c r="AC68" s="24"/>
      <c r="AD68" s="24"/>
      <c r="AH68" s="24"/>
      <c r="AI68" s="24"/>
    </row>
    <row r="69" ht="14.25" customHeight="1">
      <c r="A69" s="46" t="s">
        <v>1146</v>
      </c>
      <c r="B69" s="20" t="s">
        <v>1147</v>
      </c>
      <c r="C69" s="20" t="s">
        <v>7041</v>
      </c>
      <c r="D69" s="24">
        <v>45658.0</v>
      </c>
      <c r="E69" s="24">
        <v>46022.0</v>
      </c>
      <c r="F69" s="20">
        <v>1.0</v>
      </c>
      <c r="G69" s="20">
        <v>1.0</v>
      </c>
      <c r="H69" s="24">
        <v>46023.0</v>
      </c>
      <c r="I69" s="24">
        <v>46387.0</v>
      </c>
      <c r="J69" s="20">
        <v>0.0</v>
      </c>
      <c r="K69" s="20">
        <v>1.0</v>
      </c>
      <c r="L69" s="24">
        <v>46388.0</v>
      </c>
      <c r="M69" s="24">
        <v>46752.0</v>
      </c>
      <c r="N69" s="20">
        <v>0.0</v>
      </c>
      <c r="O69" s="20">
        <v>1.0</v>
      </c>
      <c r="P69" s="24">
        <v>46753.0</v>
      </c>
      <c r="Q69" s="24">
        <v>47118.0</v>
      </c>
      <c r="R69" s="20">
        <v>0.0</v>
      </c>
      <c r="S69" s="20">
        <v>1.0</v>
      </c>
      <c r="T69" s="24">
        <v>47119.0</v>
      </c>
      <c r="U69" s="24">
        <v>47483.0</v>
      </c>
      <c r="V69" s="20">
        <v>0.0</v>
      </c>
      <c r="W69" s="20">
        <v>1.0</v>
      </c>
      <c r="X69" s="24">
        <v>47484.0</v>
      </c>
      <c r="Y69" s="24">
        <v>47848.0</v>
      </c>
      <c r="Z69" s="20">
        <v>0.0</v>
      </c>
      <c r="AA69" s="20">
        <v>1.0</v>
      </c>
      <c r="AC69" s="24"/>
      <c r="AD69" s="24"/>
      <c r="AH69" s="24"/>
      <c r="AI69" s="24"/>
    </row>
    <row r="70" ht="14.25" customHeight="1">
      <c r="A70" s="46" t="s">
        <v>6482</v>
      </c>
      <c r="B70" s="20" t="s">
        <v>6483</v>
      </c>
      <c r="C70" s="20" t="s">
        <v>7041</v>
      </c>
      <c r="D70" s="24">
        <v>45658.0</v>
      </c>
      <c r="E70" s="24">
        <v>46022.0</v>
      </c>
      <c r="F70" s="20">
        <v>1.0</v>
      </c>
      <c r="G70" s="20">
        <v>1.0</v>
      </c>
      <c r="H70" s="24">
        <v>46023.0</v>
      </c>
      <c r="I70" s="24">
        <v>46387.0</v>
      </c>
      <c r="J70" s="20">
        <v>0.0</v>
      </c>
      <c r="K70" s="20">
        <v>1.0</v>
      </c>
      <c r="L70" s="24">
        <v>46388.0</v>
      </c>
      <c r="M70" s="24">
        <v>46752.0</v>
      </c>
      <c r="N70" s="20">
        <v>0.0</v>
      </c>
      <c r="O70" s="20">
        <v>1.0</v>
      </c>
      <c r="P70" s="24">
        <v>46753.0</v>
      </c>
      <c r="Q70" s="24">
        <v>47118.0</v>
      </c>
      <c r="R70" s="20">
        <v>0.0</v>
      </c>
      <c r="S70" s="20">
        <v>1.0</v>
      </c>
      <c r="T70" s="24">
        <v>47119.0</v>
      </c>
      <c r="U70" s="24">
        <v>47483.0</v>
      </c>
      <c r="V70" s="20">
        <v>0.0</v>
      </c>
      <c r="W70" s="20">
        <v>1.0</v>
      </c>
      <c r="X70" s="24">
        <v>47484.0</v>
      </c>
      <c r="Y70" s="24">
        <v>47848.0</v>
      </c>
      <c r="Z70" s="20">
        <v>0.0</v>
      </c>
      <c r="AA70" s="20">
        <v>1.0</v>
      </c>
      <c r="AC70" s="24"/>
      <c r="AD70" s="24"/>
      <c r="AH70" s="24"/>
      <c r="AI70" s="24"/>
    </row>
    <row r="71" ht="14.25" customHeight="1">
      <c r="A71" s="46" t="s">
        <v>1674</v>
      </c>
      <c r="B71" s="20" t="s">
        <v>1675</v>
      </c>
      <c r="C71" s="20" t="s">
        <v>7041</v>
      </c>
      <c r="D71" s="24">
        <v>45658.0</v>
      </c>
      <c r="E71" s="24">
        <v>46022.0</v>
      </c>
      <c r="F71" s="20">
        <v>1.0</v>
      </c>
      <c r="G71" s="20">
        <v>1.0</v>
      </c>
      <c r="H71" s="24">
        <v>46023.0</v>
      </c>
      <c r="I71" s="24">
        <v>46387.0</v>
      </c>
      <c r="J71" s="20">
        <v>0.0</v>
      </c>
      <c r="K71" s="20">
        <v>1.0</v>
      </c>
      <c r="L71" s="24">
        <v>46388.0</v>
      </c>
      <c r="M71" s="24">
        <v>46752.0</v>
      </c>
      <c r="N71" s="20">
        <v>0.0</v>
      </c>
      <c r="O71" s="20">
        <v>1.0</v>
      </c>
      <c r="P71" s="24">
        <v>46753.0</v>
      </c>
      <c r="Q71" s="24">
        <v>47118.0</v>
      </c>
      <c r="R71" s="20">
        <v>0.0</v>
      </c>
      <c r="S71" s="20">
        <v>1.0</v>
      </c>
      <c r="T71" s="24">
        <v>47119.0</v>
      </c>
      <c r="U71" s="24">
        <v>47483.0</v>
      </c>
      <c r="V71" s="20">
        <v>0.0</v>
      </c>
      <c r="W71" s="20">
        <v>1.0</v>
      </c>
      <c r="X71" s="24">
        <v>47484.0</v>
      </c>
      <c r="Y71" s="24">
        <v>47848.0</v>
      </c>
      <c r="Z71" s="20">
        <v>0.0</v>
      </c>
      <c r="AA71" s="20">
        <v>1.0</v>
      </c>
      <c r="AC71" s="24"/>
      <c r="AD71" s="24"/>
      <c r="AH71" s="24"/>
      <c r="AI71" s="24"/>
    </row>
    <row r="72" ht="14.25" customHeight="1">
      <c r="A72" s="46" t="s">
        <v>6303</v>
      </c>
      <c r="B72" s="20" t="s">
        <v>6304</v>
      </c>
      <c r="C72" s="20" t="s">
        <v>7041</v>
      </c>
      <c r="D72" s="24">
        <v>45658.0</v>
      </c>
      <c r="E72" s="24">
        <v>46022.0</v>
      </c>
      <c r="F72" s="20">
        <v>0.0</v>
      </c>
      <c r="G72" s="20">
        <v>1.0</v>
      </c>
      <c r="H72" s="24">
        <v>46023.0</v>
      </c>
      <c r="I72" s="24">
        <v>46387.0</v>
      </c>
      <c r="J72" s="20">
        <v>0.0</v>
      </c>
      <c r="K72" s="20">
        <v>1.0</v>
      </c>
      <c r="L72" s="24">
        <v>46388.0</v>
      </c>
      <c r="M72" s="24">
        <v>46752.0</v>
      </c>
      <c r="N72" s="20">
        <v>0.0</v>
      </c>
      <c r="O72" s="20">
        <v>1.0</v>
      </c>
      <c r="P72" s="24">
        <v>46753.0</v>
      </c>
      <c r="Q72" s="24">
        <v>47118.0</v>
      </c>
      <c r="R72" s="20">
        <v>0.0</v>
      </c>
      <c r="S72" s="20">
        <v>1.0</v>
      </c>
      <c r="T72" s="24">
        <v>47119.0</v>
      </c>
      <c r="U72" s="24">
        <v>47483.0</v>
      </c>
      <c r="V72" s="20">
        <v>0.0</v>
      </c>
      <c r="W72" s="20">
        <v>1.0</v>
      </c>
      <c r="X72" s="24">
        <v>47484.0</v>
      </c>
      <c r="Y72" s="24">
        <v>47848.0</v>
      </c>
      <c r="Z72" s="20">
        <v>0.0</v>
      </c>
      <c r="AA72" s="20">
        <v>1.0</v>
      </c>
      <c r="AC72" s="24"/>
      <c r="AD72" s="24"/>
      <c r="AH72" s="24"/>
      <c r="AI72" s="24"/>
    </row>
    <row r="73" ht="14.25" customHeight="1">
      <c r="A73" s="46" t="s">
        <v>6731</v>
      </c>
      <c r="B73" s="20" t="s">
        <v>6732</v>
      </c>
      <c r="C73" s="20" t="s">
        <v>7041</v>
      </c>
      <c r="D73" s="24">
        <v>45658.0</v>
      </c>
      <c r="E73" s="24">
        <v>46022.0</v>
      </c>
      <c r="F73" s="20">
        <v>1.0</v>
      </c>
      <c r="G73" s="20">
        <v>1.0</v>
      </c>
      <c r="H73" s="24">
        <v>46023.0</v>
      </c>
      <c r="I73" s="24">
        <v>46387.0</v>
      </c>
      <c r="J73" s="20">
        <v>0.0</v>
      </c>
      <c r="K73" s="20">
        <v>1.0</v>
      </c>
      <c r="L73" s="24">
        <v>46388.0</v>
      </c>
      <c r="M73" s="24">
        <v>46752.0</v>
      </c>
      <c r="N73" s="20">
        <v>0.0</v>
      </c>
      <c r="O73" s="20">
        <v>1.0</v>
      </c>
      <c r="P73" s="24">
        <v>46753.0</v>
      </c>
      <c r="Q73" s="24">
        <v>47118.0</v>
      </c>
      <c r="R73" s="20">
        <v>0.0</v>
      </c>
      <c r="S73" s="20">
        <v>1.0</v>
      </c>
      <c r="T73" s="24">
        <v>47119.0</v>
      </c>
      <c r="U73" s="24">
        <v>47483.0</v>
      </c>
      <c r="V73" s="20">
        <v>0.0</v>
      </c>
      <c r="W73" s="20">
        <v>1.0</v>
      </c>
      <c r="X73" s="24">
        <v>47484.0</v>
      </c>
      <c r="Y73" s="24">
        <v>47848.0</v>
      </c>
      <c r="Z73" s="20">
        <v>0.0</v>
      </c>
      <c r="AA73" s="20">
        <v>1.0</v>
      </c>
      <c r="AC73" s="24"/>
      <c r="AD73" s="24"/>
      <c r="AH73" s="24"/>
      <c r="AI73" s="24"/>
    </row>
    <row r="74" ht="14.25" customHeight="1">
      <c r="A74" s="46" t="s">
        <v>6217</v>
      </c>
      <c r="B74" s="20" t="s">
        <v>6218</v>
      </c>
      <c r="C74" s="20" t="s">
        <v>7041</v>
      </c>
      <c r="D74" s="24">
        <v>45658.0</v>
      </c>
      <c r="E74" s="24">
        <v>46022.0</v>
      </c>
      <c r="F74" s="20">
        <v>1.0</v>
      </c>
      <c r="G74" s="20">
        <v>1.0</v>
      </c>
      <c r="H74" s="24">
        <v>46023.0</v>
      </c>
      <c r="I74" s="24">
        <v>46387.0</v>
      </c>
      <c r="J74" s="20">
        <v>0.0</v>
      </c>
      <c r="K74" s="20">
        <v>1.0</v>
      </c>
      <c r="L74" s="24">
        <v>46388.0</v>
      </c>
      <c r="M74" s="24">
        <v>46752.0</v>
      </c>
      <c r="N74" s="20">
        <v>0.0</v>
      </c>
      <c r="O74" s="20">
        <v>1.0</v>
      </c>
      <c r="P74" s="24">
        <v>46753.0</v>
      </c>
      <c r="Q74" s="24">
        <v>47118.0</v>
      </c>
      <c r="R74" s="20">
        <v>0.0</v>
      </c>
      <c r="S74" s="20">
        <v>1.0</v>
      </c>
      <c r="T74" s="24">
        <v>47119.0</v>
      </c>
      <c r="U74" s="24">
        <v>47483.0</v>
      </c>
      <c r="V74" s="20">
        <v>0.0</v>
      </c>
      <c r="W74" s="20">
        <v>1.0</v>
      </c>
      <c r="X74" s="24">
        <v>47484.0</v>
      </c>
      <c r="Y74" s="24">
        <v>47848.0</v>
      </c>
      <c r="Z74" s="20">
        <v>0.0</v>
      </c>
      <c r="AA74" s="20">
        <v>1.0</v>
      </c>
      <c r="AC74" s="24"/>
      <c r="AD74" s="24"/>
      <c r="AH74" s="24"/>
      <c r="AI74" s="24"/>
    </row>
    <row r="75" ht="14.25" customHeight="1">
      <c r="A75" s="46" t="s">
        <v>6141</v>
      </c>
      <c r="B75" s="20" t="s">
        <v>6142</v>
      </c>
      <c r="C75" s="20" t="s">
        <v>7041</v>
      </c>
      <c r="D75" s="24">
        <v>45658.0</v>
      </c>
      <c r="E75" s="24">
        <v>46022.0</v>
      </c>
      <c r="F75" s="20">
        <v>0.0</v>
      </c>
      <c r="G75" s="20">
        <v>1.0</v>
      </c>
      <c r="H75" s="24">
        <v>46023.0</v>
      </c>
      <c r="I75" s="24">
        <v>46387.0</v>
      </c>
      <c r="J75" s="20">
        <v>0.0</v>
      </c>
      <c r="K75" s="20">
        <v>1.0</v>
      </c>
      <c r="L75" s="24">
        <v>46388.0</v>
      </c>
      <c r="M75" s="24">
        <v>46752.0</v>
      </c>
      <c r="N75" s="20">
        <v>0.0</v>
      </c>
      <c r="O75" s="20">
        <v>1.0</v>
      </c>
      <c r="P75" s="24">
        <v>46753.0</v>
      </c>
      <c r="Q75" s="24">
        <v>47118.0</v>
      </c>
      <c r="R75" s="20">
        <v>0.0</v>
      </c>
      <c r="S75" s="20">
        <v>1.0</v>
      </c>
      <c r="T75" s="24">
        <v>47119.0</v>
      </c>
      <c r="U75" s="24">
        <v>47483.0</v>
      </c>
      <c r="V75" s="20">
        <v>0.0</v>
      </c>
      <c r="W75" s="20">
        <v>1.0</v>
      </c>
      <c r="X75" s="24">
        <v>47484.0</v>
      </c>
      <c r="Y75" s="24">
        <v>47848.0</v>
      </c>
      <c r="Z75" s="20">
        <v>0.0</v>
      </c>
      <c r="AA75" s="20">
        <v>1.0</v>
      </c>
      <c r="AC75" s="24"/>
      <c r="AD75" s="24"/>
      <c r="AH75" s="24"/>
      <c r="AI75" s="24"/>
    </row>
    <row r="76" ht="14.25" customHeight="1">
      <c r="A76" s="46" t="s">
        <v>4711</v>
      </c>
      <c r="B76" s="20" t="s">
        <v>4712</v>
      </c>
      <c r="C76" s="20" t="s">
        <v>7041</v>
      </c>
      <c r="D76" s="24">
        <v>45658.0</v>
      </c>
      <c r="E76" s="24">
        <v>46022.0</v>
      </c>
      <c r="F76" s="20">
        <v>1.0</v>
      </c>
      <c r="G76" s="20">
        <v>1.0</v>
      </c>
      <c r="H76" s="24">
        <v>46023.0</v>
      </c>
      <c r="I76" s="24">
        <v>46387.0</v>
      </c>
      <c r="J76" s="20">
        <v>0.0</v>
      </c>
      <c r="K76" s="20">
        <v>1.0</v>
      </c>
      <c r="L76" s="24">
        <v>46388.0</v>
      </c>
      <c r="M76" s="24">
        <v>46752.0</v>
      </c>
      <c r="N76" s="20">
        <v>0.0</v>
      </c>
      <c r="O76" s="20">
        <v>1.0</v>
      </c>
      <c r="P76" s="24">
        <v>46753.0</v>
      </c>
      <c r="Q76" s="24">
        <v>47118.0</v>
      </c>
      <c r="R76" s="20">
        <v>0.0</v>
      </c>
      <c r="S76" s="20">
        <v>1.0</v>
      </c>
      <c r="T76" s="24">
        <v>47119.0</v>
      </c>
      <c r="U76" s="24">
        <v>47483.0</v>
      </c>
      <c r="V76" s="20">
        <v>0.0</v>
      </c>
      <c r="W76" s="20">
        <v>1.0</v>
      </c>
      <c r="X76" s="24">
        <v>47484.0</v>
      </c>
      <c r="Y76" s="24">
        <v>47848.0</v>
      </c>
      <c r="Z76" s="20">
        <v>0.0</v>
      </c>
      <c r="AA76" s="20">
        <v>1.0</v>
      </c>
      <c r="AC76" s="24"/>
      <c r="AD76" s="24"/>
      <c r="AH76" s="24"/>
      <c r="AI76" s="24"/>
    </row>
    <row r="77" ht="14.25" customHeight="1">
      <c r="A77" s="46" t="s">
        <v>5367</v>
      </c>
      <c r="B77" s="20" t="s">
        <v>5368</v>
      </c>
      <c r="C77" s="20" t="s">
        <v>7041</v>
      </c>
      <c r="D77" s="24">
        <v>45658.0</v>
      </c>
      <c r="E77" s="24">
        <v>46022.0</v>
      </c>
      <c r="F77" s="20">
        <v>0.0</v>
      </c>
      <c r="G77" s="20">
        <v>1.0</v>
      </c>
      <c r="H77" s="24">
        <v>46023.0</v>
      </c>
      <c r="I77" s="24">
        <v>46387.0</v>
      </c>
      <c r="J77" s="20">
        <v>0.0</v>
      </c>
      <c r="K77" s="20">
        <v>1.0</v>
      </c>
      <c r="L77" s="24">
        <v>46388.0</v>
      </c>
      <c r="M77" s="24">
        <v>46752.0</v>
      </c>
      <c r="N77" s="20">
        <v>0.0</v>
      </c>
      <c r="O77" s="20">
        <v>1.0</v>
      </c>
      <c r="P77" s="24">
        <v>46753.0</v>
      </c>
      <c r="Q77" s="24">
        <v>47118.0</v>
      </c>
      <c r="R77" s="20">
        <v>0.0</v>
      </c>
      <c r="S77" s="20">
        <v>1.0</v>
      </c>
      <c r="T77" s="24">
        <v>47119.0</v>
      </c>
      <c r="U77" s="24">
        <v>47483.0</v>
      </c>
      <c r="V77" s="20">
        <v>0.0</v>
      </c>
      <c r="W77" s="20">
        <v>1.0</v>
      </c>
      <c r="X77" s="24">
        <v>47484.0</v>
      </c>
      <c r="Y77" s="24">
        <v>47848.0</v>
      </c>
      <c r="Z77" s="20">
        <v>0.0</v>
      </c>
      <c r="AA77" s="20">
        <v>1.0</v>
      </c>
      <c r="AC77" s="24"/>
      <c r="AD77" s="24"/>
      <c r="AH77" s="24"/>
      <c r="AI77" s="24"/>
    </row>
    <row r="78" ht="14.25" customHeight="1">
      <c r="A78" s="46" t="s">
        <v>5281</v>
      </c>
      <c r="B78" s="20" t="s">
        <v>5282</v>
      </c>
      <c r="C78" s="20" t="s">
        <v>7041</v>
      </c>
      <c r="D78" s="24">
        <v>45658.0</v>
      </c>
      <c r="E78" s="24">
        <v>46022.0</v>
      </c>
      <c r="F78" s="20">
        <v>0.0</v>
      </c>
      <c r="G78" s="20">
        <v>1.0</v>
      </c>
      <c r="H78" s="24">
        <v>46023.0</v>
      </c>
      <c r="I78" s="24">
        <v>46387.0</v>
      </c>
      <c r="J78" s="20">
        <v>0.0</v>
      </c>
      <c r="K78" s="20">
        <v>1.0</v>
      </c>
      <c r="L78" s="24">
        <v>46388.0</v>
      </c>
      <c r="M78" s="24">
        <v>46752.0</v>
      </c>
      <c r="N78" s="20">
        <v>0.0</v>
      </c>
      <c r="O78" s="20">
        <v>1.0</v>
      </c>
      <c r="P78" s="24">
        <v>46753.0</v>
      </c>
      <c r="Q78" s="24">
        <v>47118.0</v>
      </c>
      <c r="R78" s="20">
        <v>0.0</v>
      </c>
      <c r="S78" s="20">
        <v>1.0</v>
      </c>
      <c r="T78" s="24">
        <v>47119.0</v>
      </c>
      <c r="U78" s="24">
        <v>47483.0</v>
      </c>
      <c r="V78" s="20">
        <v>0.0</v>
      </c>
      <c r="W78" s="20">
        <v>1.0</v>
      </c>
      <c r="X78" s="24">
        <v>47484.0</v>
      </c>
      <c r="Y78" s="24">
        <v>47848.0</v>
      </c>
      <c r="Z78" s="20">
        <v>0.0</v>
      </c>
      <c r="AA78" s="20">
        <v>1.0</v>
      </c>
      <c r="AC78" s="24"/>
      <c r="AD78" s="24"/>
      <c r="AH78" s="24"/>
      <c r="AI78" s="24"/>
    </row>
    <row r="79" ht="14.25" customHeight="1">
      <c r="A79" s="46" t="s">
        <v>898</v>
      </c>
      <c r="B79" s="20" t="s">
        <v>899</v>
      </c>
      <c r="C79" s="20" t="s">
        <v>7041</v>
      </c>
      <c r="D79" s="24">
        <v>45658.0</v>
      </c>
      <c r="E79" s="24">
        <v>46022.0</v>
      </c>
      <c r="F79" s="20">
        <v>0.0</v>
      </c>
      <c r="G79" s="20">
        <v>1.0</v>
      </c>
      <c r="H79" s="24">
        <v>46023.0</v>
      </c>
      <c r="I79" s="24">
        <v>46387.0</v>
      </c>
      <c r="J79" s="20">
        <v>0.0</v>
      </c>
      <c r="K79" s="20">
        <v>1.0</v>
      </c>
      <c r="L79" s="24">
        <v>46388.0</v>
      </c>
      <c r="M79" s="24">
        <v>46752.0</v>
      </c>
      <c r="N79" s="20">
        <v>0.0</v>
      </c>
      <c r="O79" s="20">
        <v>1.0</v>
      </c>
      <c r="P79" s="24">
        <v>46753.0</v>
      </c>
      <c r="Q79" s="24">
        <v>47118.0</v>
      </c>
      <c r="R79" s="20">
        <v>0.0</v>
      </c>
      <c r="S79" s="20">
        <v>1.0</v>
      </c>
      <c r="T79" s="24">
        <v>47119.0</v>
      </c>
      <c r="U79" s="24">
        <v>47483.0</v>
      </c>
      <c r="V79" s="20">
        <v>0.0</v>
      </c>
      <c r="W79" s="20">
        <v>1.0</v>
      </c>
      <c r="X79" s="24">
        <v>47484.0</v>
      </c>
      <c r="Y79" s="24">
        <v>47848.0</v>
      </c>
      <c r="Z79" s="20">
        <v>0.0</v>
      </c>
      <c r="AA79" s="20">
        <v>1.0</v>
      </c>
      <c r="AC79" s="24"/>
      <c r="AD79" s="24"/>
      <c r="AH79" s="24"/>
      <c r="AI79" s="24"/>
    </row>
    <row r="80" ht="14.25" customHeight="1">
      <c r="A80" s="46" t="s">
        <v>5008</v>
      </c>
      <c r="B80" s="20" t="s">
        <v>5009</v>
      </c>
      <c r="C80" s="20" t="s">
        <v>7041</v>
      </c>
      <c r="D80" s="24">
        <v>45658.0</v>
      </c>
      <c r="E80" s="24">
        <v>46022.0</v>
      </c>
      <c r="F80" s="20">
        <v>0.0</v>
      </c>
      <c r="G80" s="20">
        <v>1.0</v>
      </c>
      <c r="H80" s="24">
        <v>46023.0</v>
      </c>
      <c r="I80" s="24">
        <v>46387.0</v>
      </c>
      <c r="J80" s="20">
        <v>0.0</v>
      </c>
      <c r="K80" s="20">
        <v>1.0</v>
      </c>
      <c r="L80" s="24">
        <v>46388.0</v>
      </c>
      <c r="M80" s="24">
        <v>46752.0</v>
      </c>
      <c r="N80" s="20">
        <v>0.0</v>
      </c>
      <c r="O80" s="20">
        <v>1.0</v>
      </c>
      <c r="P80" s="24">
        <v>46753.0</v>
      </c>
      <c r="Q80" s="24">
        <v>47118.0</v>
      </c>
      <c r="R80" s="20">
        <v>0.0</v>
      </c>
      <c r="S80" s="20">
        <v>1.0</v>
      </c>
      <c r="T80" s="24">
        <v>47119.0</v>
      </c>
      <c r="U80" s="24">
        <v>47483.0</v>
      </c>
      <c r="V80" s="20">
        <v>0.0</v>
      </c>
      <c r="W80" s="20">
        <v>1.0</v>
      </c>
      <c r="X80" s="24">
        <v>47484.0</v>
      </c>
      <c r="Y80" s="24">
        <v>47848.0</v>
      </c>
      <c r="Z80" s="20">
        <v>0.0</v>
      </c>
      <c r="AA80" s="20">
        <v>1.0</v>
      </c>
      <c r="AC80" s="24"/>
      <c r="AD80" s="24"/>
      <c r="AH80" s="24"/>
      <c r="AI80" s="24"/>
    </row>
    <row r="81" ht="14.25" customHeight="1">
      <c r="A81" s="46" t="s">
        <v>1840</v>
      </c>
      <c r="B81" s="26" t="s">
        <v>1841</v>
      </c>
      <c r="C81" s="20" t="s">
        <v>7041</v>
      </c>
      <c r="D81" s="24">
        <v>45658.0</v>
      </c>
      <c r="E81" s="24">
        <v>46022.0</v>
      </c>
      <c r="F81" s="20">
        <v>1.0</v>
      </c>
      <c r="G81" s="20">
        <v>1.0</v>
      </c>
      <c r="H81" s="24">
        <v>46023.0</v>
      </c>
      <c r="I81" s="24">
        <v>46387.0</v>
      </c>
      <c r="J81" s="20">
        <v>0.0</v>
      </c>
      <c r="K81" s="20">
        <v>1.0</v>
      </c>
      <c r="L81" s="24">
        <v>46388.0</v>
      </c>
      <c r="M81" s="24">
        <v>46752.0</v>
      </c>
      <c r="N81" s="20">
        <v>0.0</v>
      </c>
      <c r="O81" s="20">
        <v>1.0</v>
      </c>
      <c r="P81" s="24">
        <v>46753.0</v>
      </c>
      <c r="Q81" s="24">
        <v>47118.0</v>
      </c>
      <c r="R81" s="20">
        <v>0.0</v>
      </c>
      <c r="S81" s="20">
        <v>1.0</v>
      </c>
      <c r="T81" s="24">
        <v>47119.0</v>
      </c>
      <c r="U81" s="24">
        <v>47483.0</v>
      </c>
      <c r="V81" s="20">
        <v>0.0</v>
      </c>
      <c r="W81" s="20">
        <v>1.0</v>
      </c>
      <c r="X81" s="24">
        <v>47484.0</v>
      </c>
      <c r="Y81" s="24">
        <v>47848.0</v>
      </c>
      <c r="Z81" s="20">
        <v>0.0</v>
      </c>
      <c r="AA81" s="20">
        <v>1.0</v>
      </c>
      <c r="AC81" s="24"/>
      <c r="AD81" s="24"/>
      <c r="AH81" s="24"/>
      <c r="AI81" s="24"/>
    </row>
    <row r="82" ht="14.25" customHeight="1">
      <c r="A82" s="46" t="s">
        <v>3336</v>
      </c>
      <c r="B82" s="20" t="s">
        <v>3337</v>
      </c>
      <c r="C82" s="20" t="s">
        <v>7041</v>
      </c>
      <c r="D82" s="24">
        <v>45658.0</v>
      </c>
      <c r="E82" s="24">
        <v>46022.0</v>
      </c>
      <c r="F82" s="20">
        <v>1.0</v>
      </c>
      <c r="G82" s="20">
        <v>1.0</v>
      </c>
      <c r="H82" s="24">
        <v>46023.0</v>
      </c>
      <c r="I82" s="24">
        <v>46387.0</v>
      </c>
      <c r="J82" s="20">
        <v>0.0</v>
      </c>
      <c r="K82" s="20">
        <v>1.0</v>
      </c>
      <c r="L82" s="24">
        <v>46388.0</v>
      </c>
      <c r="M82" s="24">
        <v>46752.0</v>
      </c>
      <c r="N82" s="20">
        <v>0.0</v>
      </c>
      <c r="O82" s="20">
        <v>1.0</v>
      </c>
      <c r="P82" s="24">
        <v>46753.0</v>
      </c>
      <c r="Q82" s="24">
        <v>47118.0</v>
      </c>
      <c r="R82" s="20">
        <v>0.0</v>
      </c>
      <c r="S82" s="20">
        <v>1.0</v>
      </c>
      <c r="T82" s="24">
        <v>47119.0</v>
      </c>
      <c r="U82" s="24">
        <v>47483.0</v>
      </c>
      <c r="V82" s="20">
        <v>0.0</v>
      </c>
      <c r="W82" s="20">
        <v>1.0</v>
      </c>
      <c r="X82" s="24">
        <v>47484.0</v>
      </c>
      <c r="Y82" s="24">
        <v>47848.0</v>
      </c>
      <c r="Z82" s="20">
        <v>0.0</v>
      </c>
      <c r="AA82" s="20">
        <v>1.0</v>
      </c>
      <c r="AC82" s="24"/>
      <c r="AD82" s="24"/>
      <c r="AH82" s="24"/>
      <c r="AI82" s="24"/>
    </row>
    <row r="83" ht="14.25" customHeight="1">
      <c r="A83" s="46" t="s">
        <v>4961</v>
      </c>
      <c r="B83" s="20" t="s">
        <v>4962</v>
      </c>
      <c r="C83" s="20" t="s">
        <v>7041</v>
      </c>
      <c r="D83" s="24">
        <v>45658.0</v>
      </c>
      <c r="E83" s="24">
        <v>46022.0</v>
      </c>
      <c r="F83" s="20">
        <v>0.0</v>
      </c>
      <c r="G83" s="20">
        <v>1.0</v>
      </c>
      <c r="H83" s="24">
        <v>46023.0</v>
      </c>
      <c r="I83" s="24">
        <v>46387.0</v>
      </c>
      <c r="J83" s="20">
        <v>0.0</v>
      </c>
      <c r="K83" s="20">
        <v>1.0</v>
      </c>
      <c r="L83" s="24">
        <v>46388.0</v>
      </c>
      <c r="M83" s="24">
        <v>46752.0</v>
      </c>
      <c r="N83" s="20">
        <v>0.0</v>
      </c>
      <c r="O83" s="20">
        <v>1.0</v>
      </c>
      <c r="P83" s="24">
        <v>46753.0</v>
      </c>
      <c r="Q83" s="24">
        <v>47118.0</v>
      </c>
      <c r="R83" s="20">
        <v>0.0</v>
      </c>
      <c r="S83" s="20">
        <v>1.0</v>
      </c>
      <c r="T83" s="24">
        <v>47119.0</v>
      </c>
      <c r="U83" s="24">
        <v>47483.0</v>
      </c>
      <c r="V83" s="20">
        <v>0.0</v>
      </c>
      <c r="W83" s="20">
        <v>1.0</v>
      </c>
      <c r="X83" s="24">
        <v>47484.0</v>
      </c>
      <c r="Y83" s="24">
        <v>47848.0</v>
      </c>
      <c r="Z83" s="20">
        <v>0.0</v>
      </c>
      <c r="AA83" s="20">
        <v>1.0</v>
      </c>
      <c r="AC83" s="24"/>
      <c r="AD83" s="24"/>
      <c r="AH83" s="24"/>
      <c r="AI83" s="24"/>
    </row>
    <row r="84" ht="14.25" customHeight="1">
      <c r="A84" s="46" t="s">
        <v>3173</v>
      </c>
      <c r="B84" s="20" t="s">
        <v>3174</v>
      </c>
      <c r="C84" s="20" t="s">
        <v>7041</v>
      </c>
      <c r="D84" s="24">
        <v>45658.0</v>
      </c>
      <c r="E84" s="24">
        <v>46022.0</v>
      </c>
      <c r="F84" s="20">
        <v>1.0</v>
      </c>
      <c r="G84" s="20">
        <v>1.0</v>
      </c>
      <c r="H84" s="24">
        <v>46023.0</v>
      </c>
      <c r="I84" s="24">
        <v>46387.0</v>
      </c>
      <c r="J84" s="20">
        <v>0.0</v>
      </c>
      <c r="K84" s="20">
        <v>1.0</v>
      </c>
      <c r="L84" s="24">
        <v>46388.0</v>
      </c>
      <c r="M84" s="24">
        <v>46752.0</v>
      </c>
      <c r="N84" s="20">
        <v>0.0</v>
      </c>
      <c r="O84" s="20">
        <v>1.0</v>
      </c>
      <c r="P84" s="24">
        <v>46753.0</v>
      </c>
      <c r="Q84" s="24">
        <v>47118.0</v>
      </c>
      <c r="R84" s="20">
        <v>0.0</v>
      </c>
      <c r="S84" s="20">
        <v>1.0</v>
      </c>
      <c r="T84" s="24">
        <v>47119.0</v>
      </c>
      <c r="U84" s="24">
        <v>47483.0</v>
      </c>
      <c r="V84" s="20">
        <v>0.0</v>
      </c>
      <c r="W84" s="20">
        <v>1.0</v>
      </c>
      <c r="X84" s="24">
        <v>47484.0</v>
      </c>
      <c r="Y84" s="24">
        <v>47848.0</v>
      </c>
      <c r="Z84" s="20">
        <v>0.0</v>
      </c>
      <c r="AA84" s="20">
        <v>1.0</v>
      </c>
      <c r="AC84" s="24"/>
      <c r="AD84" s="24"/>
      <c r="AH84" s="24"/>
      <c r="AI84" s="24"/>
    </row>
    <row r="85" ht="14.25" customHeight="1">
      <c r="A85" s="46" t="s">
        <v>2741</v>
      </c>
      <c r="B85" s="20" t="s">
        <v>2742</v>
      </c>
      <c r="C85" s="20" t="s">
        <v>7041</v>
      </c>
      <c r="D85" s="24">
        <v>45658.0</v>
      </c>
      <c r="E85" s="24">
        <v>46022.0</v>
      </c>
      <c r="F85" s="20">
        <v>1.0</v>
      </c>
      <c r="G85" s="20">
        <v>1.0</v>
      </c>
      <c r="H85" s="24">
        <v>46023.0</v>
      </c>
      <c r="I85" s="24">
        <v>46387.0</v>
      </c>
      <c r="J85" s="20">
        <v>0.0</v>
      </c>
      <c r="K85" s="20">
        <v>1.0</v>
      </c>
      <c r="L85" s="24">
        <v>46388.0</v>
      </c>
      <c r="M85" s="24">
        <v>46752.0</v>
      </c>
      <c r="N85" s="20">
        <v>0.0</v>
      </c>
      <c r="O85" s="20">
        <v>1.0</v>
      </c>
      <c r="P85" s="24">
        <v>46753.0</v>
      </c>
      <c r="Q85" s="24">
        <v>47118.0</v>
      </c>
      <c r="R85" s="20">
        <v>0.0</v>
      </c>
      <c r="S85" s="20">
        <v>1.0</v>
      </c>
      <c r="T85" s="24">
        <v>47119.0</v>
      </c>
      <c r="U85" s="24">
        <v>47483.0</v>
      </c>
      <c r="V85" s="20">
        <v>0.0</v>
      </c>
      <c r="W85" s="20">
        <v>1.0</v>
      </c>
      <c r="X85" s="24">
        <v>47484.0</v>
      </c>
      <c r="Y85" s="24">
        <v>47848.0</v>
      </c>
      <c r="Z85" s="20">
        <v>0.0</v>
      </c>
      <c r="AA85" s="20">
        <v>1.0</v>
      </c>
      <c r="AC85" s="24"/>
      <c r="AD85" s="24"/>
      <c r="AH85" s="24"/>
      <c r="AI85" s="24"/>
    </row>
    <row r="86" ht="14.25" customHeight="1">
      <c r="A86" s="46" t="s">
        <v>6026</v>
      </c>
      <c r="B86" s="20" t="s">
        <v>6027</v>
      </c>
      <c r="C86" s="20" t="s">
        <v>7041</v>
      </c>
      <c r="D86" s="24">
        <v>45658.0</v>
      </c>
      <c r="E86" s="24">
        <v>46022.0</v>
      </c>
      <c r="F86" s="20">
        <v>0.0</v>
      </c>
      <c r="G86" s="20">
        <v>1.0</v>
      </c>
      <c r="H86" s="24">
        <v>46023.0</v>
      </c>
      <c r="I86" s="24">
        <v>46387.0</v>
      </c>
      <c r="J86" s="20">
        <v>0.0</v>
      </c>
      <c r="K86" s="20">
        <v>1.0</v>
      </c>
      <c r="L86" s="24">
        <v>46388.0</v>
      </c>
      <c r="M86" s="24">
        <v>46752.0</v>
      </c>
      <c r="N86" s="20">
        <v>0.0</v>
      </c>
      <c r="O86" s="20">
        <v>1.0</v>
      </c>
      <c r="P86" s="24">
        <v>46753.0</v>
      </c>
      <c r="Q86" s="24">
        <v>47118.0</v>
      </c>
      <c r="R86" s="20">
        <v>0.0</v>
      </c>
      <c r="S86" s="20">
        <v>1.0</v>
      </c>
      <c r="T86" s="24">
        <v>47119.0</v>
      </c>
      <c r="U86" s="24">
        <v>47483.0</v>
      </c>
      <c r="V86" s="20">
        <v>0.0</v>
      </c>
      <c r="W86" s="20">
        <v>1.0</v>
      </c>
      <c r="X86" s="24">
        <v>47484.0</v>
      </c>
      <c r="Y86" s="24">
        <v>47848.0</v>
      </c>
      <c r="Z86" s="20">
        <v>0.0</v>
      </c>
      <c r="AA86" s="20">
        <v>1.0</v>
      </c>
      <c r="AC86" s="24"/>
      <c r="AD86" s="24"/>
      <c r="AH86" s="24"/>
      <c r="AI86" s="24"/>
    </row>
    <row r="87" ht="14.25" customHeight="1">
      <c r="A87" s="46" t="s">
        <v>3893</v>
      </c>
      <c r="B87" s="20" t="s">
        <v>3894</v>
      </c>
      <c r="C87" s="20" t="s">
        <v>7041</v>
      </c>
      <c r="D87" s="24">
        <v>45658.0</v>
      </c>
      <c r="E87" s="24">
        <v>46022.0</v>
      </c>
      <c r="F87" s="20">
        <v>1.0</v>
      </c>
      <c r="G87" s="20">
        <v>1.0</v>
      </c>
      <c r="H87" s="24">
        <v>46023.0</v>
      </c>
      <c r="I87" s="24">
        <v>46387.0</v>
      </c>
      <c r="J87" s="20">
        <v>0.0</v>
      </c>
      <c r="K87" s="20">
        <v>1.0</v>
      </c>
      <c r="L87" s="24">
        <v>46388.0</v>
      </c>
      <c r="M87" s="24">
        <v>46752.0</v>
      </c>
      <c r="N87" s="20">
        <v>0.0</v>
      </c>
      <c r="O87" s="20">
        <v>1.0</v>
      </c>
      <c r="P87" s="24">
        <v>46753.0</v>
      </c>
      <c r="Q87" s="24">
        <v>47118.0</v>
      </c>
      <c r="R87" s="20">
        <v>0.0</v>
      </c>
      <c r="S87" s="20">
        <v>1.0</v>
      </c>
      <c r="T87" s="24">
        <v>47119.0</v>
      </c>
      <c r="U87" s="24">
        <v>47483.0</v>
      </c>
      <c r="V87" s="20">
        <v>0.0</v>
      </c>
      <c r="W87" s="20">
        <v>1.0</v>
      </c>
      <c r="X87" s="24">
        <v>47484.0</v>
      </c>
      <c r="Y87" s="24">
        <v>47848.0</v>
      </c>
      <c r="Z87" s="20">
        <v>0.0</v>
      </c>
      <c r="AA87" s="20">
        <v>1.0</v>
      </c>
      <c r="AC87" s="24"/>
      <c r="AD87" s="24"/>
      <c r="AH87" s="24"/>
      <c r="AI87" s="24"/>
    </row>
    <row r="88" ht="14.25" customHeight="1">
      <c r="A88" s="46" t="s">
        <v>1366</v>
      </c>
      <c r="B88" s="20" t="s">
        <v>1367</v>
      </c>
      <c r="C88" s="20" t="s">
        <v>7041</v>
      </c>
      <c r="D88" s="24">
        <v>45658.0</v>
      </c>
      <c r="E88" s="24">
        <v>46022.0</v>
      </c>
      <c r="F88" s="20">
        <v>1.0</v>
      </c>
      <c r="G88" s="20">
        <v>1.0</v>
      </c>
      <c r="H88" s="24">
        <v>46023.0</v>
      </c>
      <c r="I88" s="24">
        <v>46387.0</v>
      </c>
      <c r="J88" s="20">
        <v>0.0</v>
      </c>
      <c r="K88" s="20">
        <v>1.0</v>
      </c>
      <c r="L88" s="24">
        <v>46388.0</v>
      </c>
      <c r="M88" s="24">
        <v>46752.0</v>
      </c>
      <c r="N88" s="20">
        <v>0.0</v>
      </c>
      <c r="O88" s="20">
        <v>1.0</v>
      </c>
      <c r="P88" s="24">
        <v>46753.0</v>
      </c>
      <c r="Q88" s="24">
        <v>47118.0</v>
      </c>
      <c r="R88" s="20">
        <v>0.0</v>
      </c>
      <c r="S88" s="20">
        <v>1.0</v>
      </c>
      <c r="T88" s="24">
        <v>47119.0</v>
      </c>
      <c r="U88" s="24">
        <v>47483.0</v>
      </c>
      <c r="V88" s="20">
        <v>0.0</v>
      </c>
      <c r="W88" s="20">
        <v>1.0</v>
      </c>
      <c r="X88" s="24">
        <v>47484.0</v>
      </c>
      <c r="Y88" s="24">
        <v>47848.0</v>
      </c>
      <c r="Z88" s="20">
        <v>0.0</v>
      </c>
      <c r="AA88" s="20">
        <v>1.0</v>
      </c>
      <c r="AC88" s="24"/>
      <c r="AD88" s="24"/>
      <c r="AH88" s="24"/>
      <c r="AI88" s="24"/>
    </row>
    <row r="89" ht="14.25" customHeight="1">
      <c r="A89" s="46" t="s">
        <v>6495</v>
      </c>
      <c r="B89" s="20" t="s">
        <v>6496</v>
      </c>
      <c r="C89" s="20" t="s">
        <v>7041</v>
      </c>
      <c r="D89" s="24">
        <v>45658.0</v>
      </c>
      <c r="E89" s="24">
        <v>46022.0</v>
      </c>
      <c r="F89" s="20">
        <v>1.0</v>
      </c>
      <c r="G89" s="20">
        <v>1.0</v>
      </c>
      <c r="H89" s="24">
        <v>46023.0</v>
      </c>
      <c r="I89" s="24">
        <v>46387.0</v>
      </c>
      <c r="J89" s="20">
        <v>0.0</v>
      </c>
      <c r="K89" s="20">
        <v>1.0</v>
      </c>
      <c r="L89" s="24">
        <v>46388.0</v>
      </c>
      <c r="M89" s="24">
        <v>46752.0</v>
      </c>
      <c r="N89" s="20">
        <v>0.0</v>
      </c>
      <c r="O89" s="20">
        <v>1.0</v>
      </c>
      <c r="P89" s="24">
        <v>46753.0</v>
      </c>
      <c r="Q89" s="24">
        <v>47118.0</v>
      </c>
      <c r="R89" s="20">
        <v>0.0</v>
      </c>
      <c r="S89" s="20">
        <v>1.0</v>
      </c>
      <c r="T89" s="24">
        <v>47119.0</v>
      </c>
      <c r="U89" s="24">
        <v>47483.0</v>
      </c>
      <c r="V89" s="20">
        <v>0.0</v>
      </c>
      <c r="W89" s="20">
        <v>1.0</v>
      </c>
      <c r="X89" s="24">
        <v>47484.0</v>
      </c>
      <c r="Y89" s="24">
        <v>47848.0</v>
      </c>
      <c r="Z89" s="20">
        <v>0.0</v>
      </c>
      <c r="AA89" s="20">
        <v>1.0</v>
      </c>
      <c r="AC89" s="24"/>
      <c r="AD89" s="24"/>
      <c r="AH89" s="24"/>
      <c r="AI89" s="24"/>
    </row>
    <row r="90" ht="14.25" customHeight="1">
      <c r="A90" s="46" t="s">
        <v>1667</v>
      </c>
      <c r="B90" s="20" t="s">
        <v>1668</v>
      </c>
      <c r="C90" s="20" t="s">
        <v>7041</v>
      </c>
      <c r="D90" s="24">
        <v>45658.0</v>
      </c>
      <c r="E90" s="24">
        <v>46022.0</v>
      </c>
      <c r="F90" s="20">
        <v>1.0</v>
      </c>
      <c r="G90" s="20">
        <v>1.0</v>
      </c>
      <c r="H90" s="24">
        <v>46023.0</v>
      </c>
      <c r="I90" s="24">
        <v>46387.0</v>
      </c>
      <c r="J90" s="20">
        <v>0.0</v>
      </c>
      <c r="K90" s="20">
        <v>1.0</v>
      </c>
      <c r="L90" s="24">
        <v>46388.0</v>
      </c>
      <c r="M90" s="24">
        <v>46752.0</v>
      </c>
      <c r="N90" s="20">
        <v>0.0</v>
      </c>
      <c r="O90" s="20">
        <v>1.0</v>
      </c>
      <c r="P90" s="24">
        <v>46753.0</v>
      </c>
      <c r="Q90" s="24">
        <v>47118.0</v>
      </c>
      <c r="R90" s="20">
        <v>0.0</v>
      </c>
      <c r="S90" s="20">
        <v>1.0</v>
      </c>
      <c r="T90" s="24">
        <v>47119.0</v>
      </c>
      <c r="U90" s="24">
        <v>47483.0</v>
      </c>
      <c r="V90" s="20">
        <v>0.0</v>
      </c>
      <c r="W90" s="20">
        <v>1.0</v>
      </c>
      <c r="X90" s="24">
        <v>47484.0</v>
      </c>
      <c r="Y90" s="24">
        <v>47848.0</v>
      </c>
      <c r="Z90" s="20">
        <v>0.0</v>
      </c>
      <c r="AA90" s="20">
        <v>1.0</v>
      </c>
      <c r="AC90" s="24"/>
      <c r="AD90" s="24"/>
      <c r="AH90" s="24"/>
      <c r="AI90" s="24"/>
    </row>
    <row r="91" ht="14.25" customHeight="1">
      <c r="A91" s="46" t="s">
        <v>1873</v>
      </c>
      <c r="B91" s="20" t="s">
        <v>1874</v>
      </c>
      <c r="C91" s="20" t="s">
        <v>7041</v>
      </c>
      <c r="D91" s="24">
        <v>45658.0</v>
      </c>
      <c r="E91" s="24">
        <v>46022.0</v>
      </c>
      <c r="F91" s="20">
        <v>1.0</v>
      </c>
      <c r="G91" s="20">
        <v>1.0</v>
      </c>
      <c r="H91" s="24">
        <v>46023.0</v>
      </c>
      <c r="I91" s="24">
        <v>46387.0</v>
      </c>
      <c r="J91" s="20">
        <v>0.0</v>
      </c>
      <c r="K91" s="20">
        <v>1.0</v>
      </c>
      <c r="L91" s="24">
        <v>46388.0</v>
      </c>
      <c r="M91" s="24">
        <v>46752.0</v>
      </c>
      <c r="N91" s="20">
        <v>0.0</v>
      </c>
      <c r="O91" s="20">
        <v>1.0</v>
      </c>
      <c r="P91" s="24">
        <v>46753.0</v>
      </c>
      <c r="Q91" s="24">
        <v>47118.0</v>
      </c>
      <c r="R91" s="20">
        <v>0.0</v>
      </c>
      <c r="S91" s="20">
        <v>1.0</v>
      </c>
      <c r="T91" s="24">
        <v>47119.0</v>
      </c>
      <c r="U91" s="24">
        <v>47483.0</v>
      </c>
      <c r="V91" s="20">
        <v>0.0</v>
      </c>
      <c r="W91" s="20">
        <v>1.0</v>
      </c>
      <c r="X91" s="24">
        <v>47484.0</v>
      </c>
      <c r="Y91" s="24">
        <v>47848.0</v>
      </c>
      <c r="Z91" s="20">
        <v>0.0</v>
      </c>
      <c r="AA91" s="20">
        <v>1.0</v>
      </c>
      <c r="AC91" s="24"/>
      <c r="AD91" s="24"/>
      <c r="AH91" s="24"/>
      <c r="AI91" s="24"/>
    </row>
    <row r="92" ht="14.25" customHeight="1">
      <c r="A92" s="46" t="s">
        <v>6018</v>
      </c>
      <c r="B92" s="20" t="s">
        <v>6019</v>
      </c>
      <c r="C92" s="20" t="s">
        <v>7041</v>
      </c>
      <c r="D92" s="24">
        <v>45658.0</v>
      </c>
      <c r="E92" s="24">
        <v>46022.0</v>
      </c>
      <c r="F92" s="20">
        <v>0.0</v>
      </c>
      <c r="G92" s="20">
        <v>1.0</v>
      </c>
      <c r="H92" s="24">
        <v>46023.0</v>
      </c>
      <c r="I92" s="24">
        <v>46387.0</v>
      </c>
      <c r="J92" s="20">
        <v>0.0</v>
      </c>
      <c r="K92" s="20">
        <v>1.0</v>
      </c>
      <c r="L92" s="24">
        <v>46388.0</v>
      </c>
      <c r="M92" s="24">
        <v>46752.0</v>
      </c>
      <c r="N92" s="20">
        <v>0.0</v>
      </c>
      <c r="O92" s="20">
        <v>1.0</v>
      </c>
      <c r="P92" s="24">
        <v>46753.0</v>
      </c>
      <c r="Q92" s="24">
        <v>47118.0</v>
      </c>
      <c r="R92" s="20">
        <v>0.0</v>
      </c>
      <c r="S92" s="20">
        <v>1.0</v>
      </c>
      <c r="T92" s="24">
        <v>47119.0</v>
      </c>
      <c r="U92" s="24">
        <v>47483.0</v>
      </c>
      <c r="V92" s="20">
        <v>0.0</v>
      </c>
      <c r="W92" s="20">
        <v>1.0</v>
      </c>
      <c r="X92" s="24">
        <v>47484.0</v>
      </c>
      <c r="Y92" s="24">
        <v>47848.0</v>
      </c>
      <c r="Z92" s="20">
        <v>0.0</v>
      </c>
      <c r="AA92" s="20">
        <v>1.0</v>
      </c>
      <c r="AC92" s="24"/>
      <c r="AD92" s="24"/>
      <c r="AH92" s="24"/>
      <c r="AI92" s="24"/>
    </row>
    <row r="93" ht="14.25" customHeight="1">
      <c r="A93" s="46" t="s">
        <v>3155</v>
      </c>
      <c r="B93" s="20" t="s">
        <v>3156</v>
      </c>
      <c r="C93" s="20" t="s">
        <v>7041</v>
      </c>
      <c r="D93" s="24">
        <v>45658.0</v>
      </c>
      <c r="E93" s="24">
        <v>46022.0</v>
      </c>
      <c r="F93" s="20">
        <v>1.0</v>
      </c>
      <c r="G93" s="20">
        <v>1.0</v>
      </c>
      <c r="H93" s="24">
        <v>46023.0</v>
      </c>
      <c r="I93" s="24">
        <v>46387.0</v>
      </c>
      <c r="J93" s="20">
        <v>0.0</v>
      </c>
      <c r="K93" s="20">
        <v>1.0</v>
      </c>
      <c r="L93" s="24">
        <v>46388.0</v>
      </c>
      <c r="M93" s="24">
        <v>46752.0</v>
      </c>
      <c r="N93" s="20">
        <v>0.0</v>
      </c>
      <c r="O93" s="20">
        <v>1.0</v>
      </c>
      <c r="P93" s="24">
        <v>46753.0</v>
      </c>
      <c r="Q93" s="24">
        <v>47118.0</v>
      </c>
      <c r="R93" s="20">
        <v>0.0</v>
      </c>
      <c r="S93" s="20">
        <v>1.0</v>
      </c>
      <c r="T93" s="24">
        <v>47119.0</v>
      </c>
      <c r="U93" s="24">
        <v>47483.0</v>
      </c>
      <c r="V93" s="20">
        <v>0.0</v>
      </c>
      <c r="W93" s="20">
        <v>1.0</v>
      </c>
      <c r="X93" s="24">
        <v>47484.0</v>
      </c>
      <c r="Y93" s="24">
        <v>47848.0</v>
      </c>
      <c r="Z93" s="20">
        <v>0.0</v>
      </c>
      <c r="AA93" s="20">
        <v>1.0</v>
      </c>
      <c r="AC93" s="24"/>
      <c r="AD93" s="24"/>
      <c r="AH93" s="24"/>
      <c r="AI93" s="24"/>
    </row>
    <row r="94" ht="14.25" customHeight="1">
      <c r="A94" s="46" t="s">
        <v>6464</v>
      </c>
      <c r="B94" s="20" t="s">
        <v>6465</v>
      </c>
      <c r="C94" s="20" t="s">
        <v>7041</v>
      </c>
      <c r="D94" s="24">
        <v>45658.0</v>
      </c>
      <c r="E94" s="24">
        <v>46022.0</v>
      </c>
      <c r="F94" s="20">
        <v>1.0</v>
      </c>
      <c r="G94" s="20">
        <v>1.0</v>
      </c>
      <c r="H94" s="24">
        <v>46023.0</v>
      </c>
      <c r="I94" s="24">
        <v>46387.0</v>
      </c>
      <c r="J94" s="20">
        <v>0.0</v>
      </c>
      <c r="K94" s="20">
        <v>1.0</v>
      </c>
      <c r="L94" s="24">
        <v>46388.0</v>
      </c>
      <c r="M94" s="24">
        <v>46752.0</v>
      </c>
      <c r="N94" s="20">
        <v>0.0</v>
      </c>
      <c r="O94" s="20">
        <v>1.0</v>
      </c>
      <c r="P94" s="24">
        <v>46753.0</v>
      </c>
      <c r="Q94" s="24">
        <v>47118.0</v>
      </c>
      <c r="R94" s="20">
        <v>0.0</v>
      </c>
      <c r="S94" s="20">
        <v>1.0</v>
      </c>
      <c r="T94" s="24">
        <v>47119.0</v>
      </c>
      <c r="U94" s="24">
        <v>47483.0</v>
      </c>
      <c r="V94" s="20">
        <v>0.0</v>
      </c>
      <c r="W94" s="20">
        <v>1.0</v>
      </c>
      <c r="X94" s="24">
        <v>47484.0</v>
      </c>
      <c r="Y94" s="24">
        <v>47848.0</v>
      </c>
      <c r="Z94" s="20">
        <v>0.0</v>
      </c>
      <c r="AA94" s="20">
        <v>1.0</v>
      </c>
      <c r="AC94" s="24"/>
      <c r="AD94" s="24"/>
      <c r="AH94" s="24"/>
      <c r="AI94" s="24"/>
    </row>
    <row r="95" ht="14.25" customHeight="1">
      <c r="A95" s="46" t="s">
        <v>6461</v>
      </c>
      <c r="B95" s="20" t="s">
        <v>6462</v>
      </c>
      <c r="C95" s="20" t="s">
        <v>7041</v>
      </c>
      <c r="D95" s="24">
        <v>45658.0</v>
      </c>
      <c r="E95" s="24">
        <v>46022.0</v>
      </c>
      <c r="F95" s="20">
        <v>1.0</v>
      </c>
      <c r="G95" s="20">
        <v>1.0</v>
      </c>
      <c r="H95" s="24">
        <v>46023.0</v>
      </c>
      <c r="I95" s="24">
        <v>46387.0</v>
      </c>
      <c r="J95" s="20">
        <v>0.0</v>
      </c>
      <c r="K95" s="20">
        <v>1.0</v>
      </c>
      <c r="L95" s="24">
        <v>46388.0</v>
      </c>
      <c r="M95" s="24">
        <v>46752.0</v>
      </c>
      <c r="N95" s="20">
        <v>0.0</v>
      </c>
      <c r="O95" s="20">
        <v>1.0</v>
      </c>
      <c r="P95" s="24">
        <v>46753.0</v>
      </c>
      <c r="Q95" s="24">
        <v>47118.0</v>
      </c>
      <c r="R95" s="20">
        <v>0.0</v>
      </c>
      <c r="S95" s="20">
        <v>1.0</v>
      </c>
      <c r="T95" s="24">
        <v>47119.0</v>
      </c>
      <c r="U95" s="24">
        <v>47483.0</v>
      </c>
      <c r="V95" s="20">
        <v>0.0</v>
      </c>
      <c r="W95" s="20">
        <v>1.0</v>
      </c>
      <c r="X95" s="24">
        <v>47484.0</v>
      </c>
      <c r="Y95" s="24">
        <v>47848.0</v>
      </c>
      <c r="Z95" s="20">
        <v>0.0</v>
      </c>
      <c r="AA95" s="20">
        <v>1.0</v>
      </c>
      <c r="AC95" s="24"/>
      <c r="AD95" s="24"/>
      <c r="AH95" s="24"/>
      <c r="AI95" s="24"/>
    </row>
    <row r="96" ht="14.25" customHeight="1">
      <c r="A96" s="46" t="s">
        <v>3234</v>
      </c>
      <c r="B96" s="20" t="s">
        <v>3235</v>
      </c>
      <c r="C96" s="20" t="s">
        <v>7041</v>
      </c>
      <c r="D96" s="24">
        <v>45658.0</v>
      </c>
      <c r="E96" s="24">
        <v>46022.0</v>
      </c>
      <c r="F96" s="20">
        <v>1.0</v>
      </c>
      <c r="G96" s="20">
        <v>1.0</v>
      </c>
      <c r="H96" s="24">
        <v>46023.0</v>
      </c>
      <c r="I96" s="24">
        <v>46387.0</v>
      </c>
      <c r="J96" s="20">
        <v>0.0</v>
      </c>
      <c r="K96" s="20">
        <v>1.0</v>
      </c>
      <c r="L96" s="24">
        <v>46388.0</v>
      </c>
      <c r="M96" s="24">
        <v>46752.0</v>
      </c>
      <c r="N96" s="20">
        <v>0.0</v>
      </c>
      <c r="O96" s="20">
        <v>1.0</v>
      </c>
      <c r="P96" s="24">
        <v>46753.0</v>
      </c>
      <c r="Q96" s="24">
        <v>47118.0</v>
      </c>
      <c r="R96" s="20">
        <v>0.0</v>
      </c>
      <c r="S96" s="20">
        <v>1.0</v>
      </c>
      <c r="T96" s="24">
        <v>47119.0</v>
      </c>
      <c r="U96" s="24">
        <v>47483.0</v>
      </c>
      <c r="V96" s="20">
        <v>0.0</v>
      </c>
      <c r="W96" s="20">
        <v>1.0</v>
      </c>
      <c r="X96" s="24">
        <v>47484.0</v>
      </c>
      <c r="Y96" s="24">
        <v>47848.0</v>
      </c>
      <c r="Z96" s="20">
        <v>0.0</v>
      </c>
      <c r="AA96" s="20">
        <v>1.0</v>
      </c>
      <c r="AC96" s="24"/>
      <c r="AD96" s="24"/>
      <c r="AH96" s="24"/>
      <c r="AI96" s="24"/>
    </row>
    <row r="97" ht="14.25" customHeight="1">
      <c r="A97" s="46" t="s">
        <v>2105</v>
      </c>
      <c r="B97" s="20" t="s">
        <v>2106</v>
      </c>
      <c r="C97" s="20" t="s">
        <v>7041</v>
      </c>
      <c r="D97" s="24">
        <v>45658.0</v>
      </c>
      <c r="E97" s="24">
        <v>46022.0</v>
      </c>
      <c r="F97" s="20">
        <v>0.0</v>
      </c>
      <c r="G97" s="20">
        <v>1.0</v>
      </c>
      <c r="H97" s="24">
        <v>46023.0</v>
      </c>
      <c r="I97" s="24">
        <v>46387.0</v>
      </c>
      <c r="J97" s="20">
        <v>0.0</v>
      </c>
      <c r="K97" s="20">
        <v>1.0</v>
      </c>
      <c r="L97" s="24">
        <v>46388.0</v>
      </c>
      <c r="M97" s="24">
        <v>46752.0</v>
      </c>
      <c r="N97" s="20">
        <v>0.0</v>
      </c>
      <c r="O97" s="20">
        <v>1.0</v>
      </c>
      <c r="P97" s="24">
        <v>46753.0</v>
      </c>
      <c r="Q97" s="24">
        <v>47118.0</v>
      </c>
      <c r="R97" s="20">
        <v>0.0</v>
      </c>
      <c r="S97" s="20">
        <v>1.0</v>
      </c>
      <c r="T97" s="24">
        <v>47119.0</v>
      </c>
      <c r="U97" s="24">
        <v>47483.0</v>
      </c>
      <c r="V97" s="20">
        <v>0.0</v>
      </c>
      <c r="W97" s="20">
        <v>1.0</v>
      </c>
      <c r="X97" s="24">
        <v>47484.0</v>
      </c>
      <c r="Y97" s="24">
        <v>47848.0</v>
      </c>
      <c r="Z97" s="20">
        <v>0.0</v>
      </c>
      <c r="AA97" s="20">
        <v>1.0</v>
      </c>
      <c r="AC97" s="24"/>
      <c r="AD97" s="24"/>
      <c r="AH97" s="24"/>
      <c r="AI97" s="24"/>
    </row>
    <row r="98" ht="14.25" customHeight="1">
      <c r="A98" s="46" t="s">
        <v>5272</v>
      </c>
      <c r="B98" s="20" t="s">
        <v>5273</v>
      </c>
      <c r="C98" s="20" t="s">
        <v>7041</v>
      </c>
      <c r="D98" s="24">
        <v>45658.0</v>
      </c>
      <c r="E98" s="24">
        <v>46022.0</v>
      </c>
      <c r="F98" s="20">
        <v>0.0</v>
      </c>
      <c r="G98" s="20">
        <v>1.0</v>
      </c>
      <c r="H98" s="24">
        <v>46023.0</v>
      </c>
      <c r="I98" s="24">
        <v>46387.0</v>
      </c>
      <c r="J98" s="20">
        <v>0.0</v>
      </c>
      <c r="K98" s="20">
        <v>1.0</v>
      </c>
      <c r="L98" s="24">
        <v>46388.0</v>
      </c>
      <c r="M98" s="24">
        <v>46752.0</v>
      </c>
      <c r="N98" s="20">
        <v>0.0</v>
      </c>
      <c r="O98" s="20">
        <v>1.0</v>
      </c>
      <c r="P98" s="24">
        <v>46753.0</v>
      </c>
      <c r="Q98" s="24">
        <v>47118.0</v>
      </c>
      <c r="R98" s="20">
        <v>0.0</v>
      </c>
      <c r="S98" s="20">
        <v>1.0</v>
      </c>
      <c r="T98" s="24">
        <v>47119.0</v>
      </c>
      <c r="U98" s="24">
        <v>47483.0</v>
      </c>
      <c r="V98" s="20">
        <v>0.0</v>
      </c>
      <c r="W98" s="20">
        <v>1.0</v>
      </c>
      <c r="X98" s="24">
        <v>47484.0</v>
      </c>
      <c r="Y98" s="24">
        <v>47848.0</v>
      </c>
      <c r="Z98" s="20">
        <v>0.0</v>
      </c>
      <c r="AA98" s="20">
        <v>1.0</v>
      </c>
      <c r="AC98" s="24"/>
      <c r="AD98" s="24"/>
      <c r="AH98" s="24"/>
      <c r="AI98" s="24"/>
    </row>
    <row r="99" ht="14.25" customHeight="1">
      <c r="A99" s="46" t="s">
        <v>6300</v>
      </c>
      <c r="B99" s="20" t="s">
        <v>6301</v>
      </c>
      <c r="C99" s="20" t="s">
        <v>7041</v>
      </c>
      <c r="D99" s="24">
        <v>45658.0</v>
      </c>
      <c r="E99" s="24">
        <v>46022.0</v>
      </c>
      <c r="F99" s="20">
        <v>1.0</v>
      </c>
      <c r="G99" s="20">
        <v>1.0</v>
      </c>
      <c r="H99" s="24">
        <v>46023.0</v>
      </c>
      <c r="I99" s="24">
        <v>46387.0</v>
      </c>
      <c r="J99" s="20">
        <v>0.0</v>
      </c>
      <c r="K99" s="20">
        <v>1.0</v>
      </c>
      <c r="L99" s="24">
        <v>46388.0</v>
      </c>
      <c r="M99" s="24">
        <v>46752.0</v>
      </c>
      <c r="N99" s="20">
        <v>0.0</v>
      </c>
      <c r="O99" s="20">
        <v>1.0</v>
      </c>
      <c r="P99" s="24">
        <v>46753.0</v>
      </c>
      <c r="Q99" s="24">
        <v>47118.0</v>
      </c>
      <c r="R99" s="20">
        <v>0.0</v>
      </c>
      <c r="S99" s="20">
        <v>1.0</v>
      </c>
      <c r="T99" s="24">
        <v>47119.0</v>
      </c>
      <c r="U99" s="24">
        <v>47483.0</v>
      </c>
      <c r="V99" s="20">
        <v>0.0</v>
      </c>
      <c r="W99" s="20">
        <v>1.0</v>
      </c>
      <c r="X99" s="24">
        <v>47484.0</v>
      </c>
      <c r="Y99" s="24">
        <v>47848.0</v>
      </c>
      <c r="Z99" s="20">
        <v>0.0</v>
      </c>
      <c r="AA99" s="20">
        <v>1.0</v>
      </c>
      <c r="AC99" s="24"/>
      <c r="AD99" s="24"/>
      <c r="AH99" s="24"/>
      <c r="AI99" s="24"/>
    </row>
    <row r="100" ht="14.25" customHeight="1">
      <c r="A100" s="46" t="s">
        <v>5450</v>
      </c>
      <c r="B100" s="20" t="s">
        <v>5451</v>
      </c>
      <c r="C100" s="20" t="s">
        <v>7041</v>
      </c>
      <c r="D100" s="24">
        <v>45658.0</v>
      </c>
      <c r="E100" s="24">
        <v>46022.0</v>
      </c>
      <c r="F100" s="20">
        <v>1.0</v>
      </c>
      <c r="G100" s="20">
        <v>1.0</v>
      </c>
      <c r="H100" s="24">
        <v>46023.0</v>
      </c>
      <c r="I100" s="24">
        <v>46387.0</v>
      </c>
      <c r="J100" s="20">
        <v>0.0</v>
      </c>
      <c r="K100" s="20">
        <v>1.0</v>
      </c>
      <c r="L100" s="24">
        <v>46388.0</v>
      </c>
      <c r="M100" s="24">
        <v>46752.0</v>
      </c>
      <c r="N100" s="20">
        <v>0.0</v>
      </c>
      <c r="O100" s="20">
        <v>1.0</v>
      </c>
      <c r="P100" s="24">
        <v>46753.0</v>
      </c>
      <c r="Q100" s="24">
        <v>47118.0</v>
      </c>
      <c r="R100" s="20">
        <v>0.0</v>
      </c>
      <c r="S100" s="20">
        <v>1.0</v>
      </c>
      <c r="T100" s="24">
        <v>47119.0</v>
      </c>
      <c r="U100" s="24">
        <v>47483.0</v>
      </c>
      <c r="V100" s="20">
        <v>0.0</v>
      </c>
      <c r="W100" s="20">
        <v>1.0</v>
      </c>
      <c r="X100" s="24">
        <v>47484.0</v>
      </c>
      <c r="Y100" s="24">
        <v>47848.0</v>
      </c>
      <c r="Z100" s="20">
        <v>0.0</v>
      </c>
      <c r="AA100" s="20">
        <v>1.0</v>
      </c>
      <c r="AC100" s="24"/>
      <c r="AD100" s="24"/>
      <c r="AH100" s="24"/>
      <c r="AI100" s="24"/>
    </row>
    <row r="101" ht="14.25" customHeight="1">
      <c r="A101" s="46" t="s">
        <v>2608</v>
      </c>
      <c r="B101" s="20" t="s">
        <v>2609</v>
      </c>
      <c r="C101" s="20" t="s">
        <v>7041</v>
      </c>
      <c r="D101" s="24">
        <v>45658.0</v>
      </c>
      <c r="E101" s="24">
        <v>46022.0</v>
      </c>
      <c r="F101" s="20">
        <v>0.0</v>
      </c>
      <c r="G101" s="20">
        <v>1.0</v>
      </c>
      <c r="H101" s="24">
        <v>46023.0</v>
      </c>
      <c r="I101" s="24">
        <v>46387.0</v>
      </c>
      <c r="J101" s="20">
        <v>0.0</v>
      </c>
      <c r="K101" s="20">
        <v>1.0</v>
      </c>
      <c r="L101" s="24">
        <v>46388.0</v>
      </c>
      <c r="M101" s="24">
        <v>46752.0</v>
      </c>
      <c r="N101" s="20">
        <v>0.0</v>
      </c>
      <c r="O101" s="20">
        <v>1.0</v>
      </c>
      <c r="P101" s="24">
        <v>46753.0</v>
      </c>
      <c r="Q101" s="24">
        <v>47118.0</v>
      </c>
      <c r="R101" s="20">
        <v>0.0</v>
      </c>
      <c r="S101" s="20">
        <v>1.0</v>
      </c>
      <c r="T101" s="24">
        <v>47119.0</v>
      </c>
      <c r="U101" s="24">
        <v>47483.0</v>
      </c>
      <c r="V101" s="20">
        <v>0.0</v>
      </c>
      <c r="W101" s="20">
        <v>1.0</v>
      </c>
      <c r="X101" s="24">
        <v>47484.0</v>
      </c>
      <c r="Y101" s="24">
        <v>47848.0</v>
      </c>
      <c r="Z101" s="20">
        <v>0.0</v>
      </c>
      <c r="AA101" s="20">
        <v>1.0</v>
      </c>
      <c r="AC101" s="24"/>
      <c r="AD101" s="24"/>
      <c r="AH101" s="24"/>
      <c r="AI101" s="24"/>
    </row>
    <row r="102" ht="14.25" customHeight="1">
      <c r="A102" s="46" t="s">
        <v>6089</v>
      </c>
      <c r="B102" s="20" t="s">
        <v>6090</v>
      </c>
      <c r="C102" s="20" t="s">
        <v>7041</v>
      </c>
      <c r="D102" s="24">
        <v>45658.0</v>
      </c>
      <c r="E102" s="24">
        <v>46022.0</v>
      </c>
      <c r="F102" s="20">
        <v>1.0</v>
      </c>
      <c r="G102" s="20">
        <v>1.0</v>
      </c>
      <c r="H102" s="24">
        <v>46023.0</v>
      </c>
      <c r="I102" s="24">
        <v>46387.0</v>
      </c>
      <c r="J102" s="20">
        <v>0.0</v>
      </c>
      <c r="K102" s="20">
        <v>1.0</v>
      </c>
      <c r="L102" s="24">
        <v>46388.0</v>
      </c>
      <c r="M102" s="24">
        <v>46752.0</v>
      </c>
      <c r="N102" s="20">
        <v>0.0</v>
      </c>
      <c r="O102" s="20">
        <v>1.0</v>
      </c>
      <c r="P102" s="24">
        <v>46753.0</v>
      </c>
      <c r="Q102" s="24">
        <v>47118.0</v>
      </c>
      <c r="R102" s="20">
        <v>0.0</v>
      </c>
      <c r="S102" s="20">
        <v>1.0</v>
      </c>
      <c r="T102" s="24">
        <v>47119.0</v>
      </c>
      <c r="U102" s="24">
        <v>47483.0</v>
      </c>
      <c r="V102" s="20">
        <v>0.0</v>
      </c>
      <c r="W102" s="20">
        <v>1.0</v>
      </c>
      <c r="X102" s="24">
        <v>47484.0</v>
      </c>
      <c r="Y102" s="24">
        <v>47848.0</v>
      </c>
      <c r="Z102" s="20">
        <v>0.0</v>
      </c>
      <c r="AA102" s="20">
        <v>1.0</v>
      </c>
      <c r="AC102" s="24"/>
      <c r="AD102" s="24"/>
      <c r="AH102" s="24"/>
      <c r="AI102" s="24"/>
    </row>
    <row r="103" ht="14.25" customHeight="1">
      <c r="A103" s="46" t="s">
        <v>6583</v>
      </c>
      <c r="B103" s="20" t="s">
        <v>6584</v>
      </c>
      <c r="C103" s="20" t="s">
        <v>7041</v>
      </c>
      <c r="D103" s="24">
        <v>45658.0</v>
      </c>
      <c r="E103" s="24">
        <v>46022.0</v>
      </c>
      <c r="F103" s="20">
        <v>0.0</v>
      </c>
      <c r="G103" s="20">
        <v>1.0</v>
      </c>
      <c r="H103" s="24">
        <v>46023.0</v>
      </c>
      <c r="I103" s="24">
        <v>46387.0</v>
      </c>
      <c r="J103" s="20">
        <v>0.0</v>
      </c>
      <c r="K103" s="20">
        <v>1.0</v>
      </c>
      <c r="L103" s="24">
        <v>46388.0</v>
      </c>
      <c r="M103" s="24">
        <v>46752.0</v>
      </c>
      <c r="N103" s="20">
        <v>0.0</v>
      </c>
      <c r="O103" s="20">
        <v>1.0</v>
      </c>
      <c r="P103" s="24">
        <v>46753.0</v>
      </c>
      <c r="Q103" s="24">
        <v>47118.0</v>
      </c>
      <c r="R103" s="20">
        <v>0.0</v>
      </c>
      <c r="S103" s="20">
        <v>1.0</v>
      </c>
      <c r="T103" s="24">
        <v>47119.0</v>
      </c>
      <c r="U103" s="24">
        <v>47483.0</v>
      </c>
      <c r="V103" s="20">
        <v>0.0</v>
      </c>
      <c r="W103" s="20">
        <v>1.0</v>
      </c>
      <c r="X103" s="24">
        <v>47484.0</v>
      </c>
      <c r="Y103" s="24">
        <v>47848.0</v>
      </c>
      <c r="Z103" s="20">
        <v>0.0</v>
      </c>
      <c r="AA103" s="20">
        <v>1.0</v>
      </c>
      <c r="AC103" s="24"/>
      <c r="AD103" s="24"/>
      <c r="AH103" s="24"/>
      <c r="AI103" s="24"/>
    </row>
    <row r="104" ht="14.25" customHeight="1">
      <c r="A104" s="46" t="s">
        <v>2234</v>
      </c>
      <c r="B104" s="20" t="s">
        <v>2235</v>
      </c>
      <c r="C104" s="20" t="s">
        <v>7041</v>
      </c>
      <c r="D104" s="24">
        <v>45658.0</v>
      </c>
      <c r="E104" s="24">
        <v>46022.0</v>
      </c>
      <c r="F104" s="20">
        <v>1.0</v>
      </c>
      <c r="G104" s="20">
        <v>1.0</v>
      </c>
      <c r="H104" s="24">
        <v>46023.0</v>
      </c>
      <c r="I104" s="24">
        <v>46387.0</v>
      </c>
      <c r="J104" s="20">
        <v>0.0</v>
      </c>
      <c r="K104" s="20">
        <v>1.0</v>
      </c>
      <c r="L104" s="24">
        <v>46388.0</v>
      </c>
      <c r="M104" s="24">
        <v>46752.0</v>
      </c>
      <c r="N104" s="20">
        <v>0.0</v>
      </c>
      <c r="O104" s="20">
        <v>1.0</v>
      </c>
      <c r="P104" s="24">
        <v>46753.0</v>
      </c>
      <c r="Q104" s="24">
        <v>47118.0</v>
      </c>
      <c r="R104" s="20">
        <v>0.0</v>
      </c>
      <c r="S104" s="20">
        <v>1.0</v>
      </c>
      <c r="T104" s="24">
        <v>47119.0</v>
      </c>
      <c r="U104" s="24">
        <v>47483.0</v>
      </c>
      <c r="V104" s="20">
        <v>0.0</v>
      </c>
      <c r="W104" s="20">
        <v>1.0</v>
      </c>
      <c r="X104" s="24">
        <v>47484.0</v>
      </c>
      <c r="Y104" s="24">
        <v>47848.0</v>
      </c>
      <c r="Z104" s="20">
        <v>0.0</v>
      </c>
      <c r="AA104" s="20">
        <v>1.0</v>
      </c>
      <c r="AC104" s="24"/>
      <c r="AD104" s="24"/>
      <c r="AH104" s="24"/>
      <c r="AI104" s="24"/>
    </row>
    <row r="105" ht="14.25" customHeight="1">
      <c r="A105" s="46" t="s">
        <v>2894</v>
      </c>
      <c r="B105" s="20" t="s">
        <v>2895</v>
      </c>
      <c r="C105" s="20" t="s">
        <v>7041</v>
      </c>
      <c r="D105" s="24">
        <v>45658.0</v>
      </c>
      <c r="E105" s="24">
        <v>46022.0</v>
      </c>
      <c r="F105" s="20">
        <v>1.0</v>
      </c>
      <c r="G105" s="20">
        <v>1.0</v>
      </c>
      <c r="H105" s="24">
        <v>46023.0</v>
      </c>
      <c r="I105" s="24">
        <v>46387.0</v>
      </c>
      <c r="J105" s="20">
        <v>0.0</v>
      </c>
      <c r="K105" s="20">
        <v>1.0</v>
      </c>
      <c r="L105" s="24">
        <v>46388.0</v>
      </c>
      <c r="M105" s="24">
        <v>46752.0</v>
      </c>
      <c r="N105" s="20">
        <v>0.0</v>
      </c>
      <c r="O105" s="20">
        <v>1.0</v>
      </c>
      <c r="P105" s="24">
        <v>46753.0</v>
      </c>
      <c r="Q105" s="24">
        <v>47118.0</v>
      </c>
      <c r="R105" s="20">
        <v>0.0</v>
      </c>
      <c r="S105" s="20">
        <v>1.0</v>
      </c>
      <c r="T105" s="24">
        <v>47119.0</v>
      </c>
      <c r="U105" s="24">
        <v>47483.0</v>
      </c>
      <c r="V105" s="20">
        <v>0.0</v>
      </c>
      <c r="W105" s="20">
        <v>1.0</v>
      </c>
      <c r="X105" s="24">
        <v>47484.0</v>
      </c>
      <c r="Y105" s="24">
        <v>47848.0</v>
      </c>
      <c r="Z105" s="20">
        <v>0.0</v>
      </c>
      <c r="AA105" s="20">
        <v>1.0</v>
      </c>
      <c r="AC105" s="24"/>
      <c r="AD105" s="24"/>
      <c r="AH105" s="24"/>
      <c r="AI105" s="24"/>
    </row>
    <row r="106" ht="14.25" customHeight="1">
      <c r="A106" s="46" t="s">
        <v>3881</v>
      </c>
      <c r="B106" s="20" t="s">
        <v>3882</v>
      </c>
      <c r="C106" s="20" t="s">
        <v>7041</v>
      </c>
      <c r="D106" s="24">
        <v>45658.0</v>
      </c>
      <c r="E106" s="24">
        <v>46022.0</v>
      </c>
      <c r="F106" s="20">
        <v>0.0</v>
      </c>
      <c r="G106" s="20">
        <v>1.0</v>
      </c>
      <c r="H106" s="24">
        <v>46023.0</v>
      </c>
      <c r="I106" s="24">
        <v>46387.0</v>
      </c>
      <c r="J106" s="20">
        <v>0.0</v>
      </c>
      <c r="K106" s="20">
        <v>1.0</v>
      </c>
      <c r="L106" s="24">
        <v>46388.0</v>
      </c>
      <c r="M106" s="24">
        <v>46752.0</v>
      </c>
      <c r="N106" s="20">
        <v>0.0</v>
      </c>
      <c r="O106" s="20">
        <v>1.0</v>
      </c>
      <c r="P106" s="24">
        <v>46753.0</v>
      </c>
      <c r="Q106" s="24">
        <v>47118.0</v>
      </c>
      <c r="R106" s="20">
        <v>0.0</v>
      </c>
      <c r="S106" s="20">
        <v>1.0</v>
      </c>
      <c r="T106" s="24">
        <v>47119.0</v>
      </c>
      <c r="U106" s="24">
        <v>47483.0</v>
      </c>
      <c r="V106" s="20">
        <v>0.0</v>
      </c>
      <c r="W106" s="20">
        <v>1.0</v>
      </c>
      <c r="X106" s="24">
        <v>47484.0</v>
      </c>
      <c r="Y106" s="24">
        <v>47848.0</v>
      </c>
      <c r="Z106" s="20">
        <v>0.0</v>
      </c>
      <c r="AA106" s="20">
        <v>1.0</v>
      </c>
      <c r="AC106" s="24"/>
      <c r="AD106" s="24"/>
      <c r="AH106" s="24"/>
      <c r="AI106" s="24"/>
    </row>
    <row r="107" ht="14.25" customHeight="1">
      <c r="A107" s="46" t="s">
        <v>5787</v>
      </c>
      <c r="B107" s="20" t="s">
        <v>5788</v>
      </c>
      <c r="C107" s="20" t="s">
        <v>7041</v>
      </c>
      <c r="D107" s="24">
        <v>45658.0</v>
      </c>
      <c r="E107" s="24">
        <v>46022.0</v>
      </c>
      <c r="F107" s="20">
        <v>0.0</v>
      </c>
      <c r="G107" s="20">
        <v>1.0</v>
      </c>
      <c r="H107" s="24">
        <v>46023.0</v>
      </c>
      <c r="I107" s="24">
        <v>46387.0</v>
      </c>
      <c r="J107" s="20">
        <v>0.0</v>
      </c>
      <c r="K107" s="20">
        <v>1.0</v>
      </c>
      <c r="L107" s="24">
        <v>46388.0</v>
      </c>
      <c r="M107" s="24">
        <v>46752.0</v>
      </c>
      <c r="N107" s="20">
        <v>0.0</v>
      </c>
      <c r="O107" s="20">
        <v>1.0</v>
      </c>
      <c r="P107" s="24">
        <v>46753.0</v>
      </c>
      <c r="Q107" s="24">
        <v>47118.0</v>
      </c>
      <c r="R107" s="20">
        <v>0.0</v>
      </c>
      <c r="S107" s="20">
        <v>1.0</v>
      </c>
      <c r="T107" s="24">
        <v>47119.0</v>
      </c>
      <c r="U107" s="24">
        <v>47483.0</v>
      </c>
      <c r="V107" s="20">
        <v>0.0</v>
      </c>
      <c r="W107" s="20">
        <v>1.0</v>
      </c>
      <c r="X107" s="24">
        <v>47484.0</v>
      </c>
      <c r="Y107" s="24">
        <v>47848.0</v>
      </c>
      <c r="Z107" s="20">
        <v>0.0</v>
      </c>
      <c r="AA107" s="20">
        <v>1.0</v>
      </c>
      <c r="AC107" s="24"/>
      <c r="AD107" s="24"/>
      <c r="AH107" s="24"/>
      <c r="AI107" s="24"/>
    </row>
    <row r="108" ht="14.25" customHeight="1">
      <c r="A108" s="46" t="s">
        <v>3459</v>
      </c>
      <c r="B108" s="20" t="s">
        <v>3460</v>
      </c>
      <c r="C108" s="20" t="s">
        <v>7041</v>
      </c>
      <c r="D108" s="24">
        <v>45658.0</v>
      </c>
      <c r="E108" s="24">
        <v>46022.0</v>
      </c>
      <c r="F108" s="20">
        <v>0.0</v>
      </c>
      <c r="G108" s="20">
        <v>1.0</v>
      </c>
      <c r="H108" s="24">
        <v>46023.0</v>
      </c>
      <c r="I108" s="24">
        <v>46387.0</v>
      </c>
      <c r="J108" s="20">
        <v>0.0</v>
      </c>
      <c r="K108" s="20">
        <v>1.0</v>
      </c>
      <c r="L108" s="24">
        <v>46388.0</v>
      </c>
      <c r="M108" s="24">
        <v>46752.0</v>
      </c>
      <c r="N108" s="20">
        <v>0.0</v>
      </c>
      <c r="O108" s="20">
        <v>1.0</v>
      </c>
      <c r="P108" s="24">
        <v>46753.0</v>
      </c>
      <c r="Q108" s="24">
        <v>47118.0</v>
      </c>
      <c r="R108" s="20">
        <v>0.0</v>
      </c>
      <c r="S108" s="20">
        <v>1.0</v>
      </c>
      <c r="T108" s="24">
        <v>47119.0</v>
      </c>
      <c r="U108" s="24">
        <v>47483.0</v>
      </c>
      <c r="V108" s="20">
        <v>0.0</v>
      </c>
      <c r="W108" s="20">
        <v>1.0</v>
      </c>
      <c r="X108" s="24">
        <v>47484.0</v>
      </c>
      <c r="Y108" s="24">
        <v>47848.0</v>
      </c>
      <c r="Z108" s="20">
        <v>0.0</v>
      </c>
      <c r="AA108" s="20">
        <v>1.0</v>
      </c>
      <c r="AC108" s="24"/>
      <c r="AD108" s="24"/>
      <c r="AH108" s="24"/>
      <c r="AI108" s="24"/>
    </row>
    <row r="109" ht="14.25" customHeight="1">
      <c r="A109" s="46" t="s">
        <v>733</v>
      </c>
      <c r="B109" s="20" t="s">
        <v>734</v>
      </c>
      <c r="C109" s="20" t="s">
        <v>7041</v>
      </c>
      <c r="D109" s="24">
        <v>45658.0</v>
      </c>
      <c r="E109" s="24">
        <v>46022.0</v>
      </c>
      <c r="F109" s="20">
        <v>0.0</v>
      </c>
      <c r="G109" s="20">
        <v>1.0</v>
      </c>
      <c r="H109" s="24">
        <v>46023.0</v>
      </c>
      <c r="I109" s="24">
        <v>46387.0</v>
      </c>
      <c r="J109" s="20">
        <v>0.0</v>
      </c>
      <c r="K109" s="20">
        <v>1.0</v>
      </c>
      <c r="L109" s="24">
        <v>46388.0</v>
      </c>
      <c r="M109" s="24">
        <v>46752.0</v>
      </c>
      <c r="N109" s="20">
        <v>0.0</v>
      </c>
      <c r="O109" s="20">
        <v>1.0</v>
      </c>
      <c r="P109" s="24">
        <v>46753.0</v>
      </c>
      <c r="Q109" s="24">
        <v>47118.0</v>
      </c>
      <c r="R109" s="20">
        <v>0.0</v>
      </c>
      <c r="S109" s="20">
        <v>1.0</v>
      </c>
      <c r="T109" s="24">
        <v>47119.0</v>
      </c>
      <c r="U109" s="24">
        <v>47483.0</v>
      </c>
      <c r="V109" s="20">
        <v>0.0</v>
      </c>
      <c r="W109" s="20">
        <v>1.0</v>
      </c>
      <c r="X109" s="24">
        <v>47484.0</v>
      </c>
      <c r="Y109" s="24">
        <v>47848.0</v>
      </c>
      <c r="Z109" s="20">
        <v>0.0</v>
      </c>
      <c r="AA109" s="20">
        <v>1.0</v>
      </c>
      <c r="AC109" s="24"/>
      <c r="AD109" s="24"/>
      <c r="AH109" s="24"/>
      <c r="AI109" s="24"/>
    </row>
    <row r="110" ht="14.25" customHeight="1">
      <c r="A110" s="46" t="s">
        <v>904</v>
      </c>
      <c r="B110" s="20" t="s">
        <v>905</v>
      </c>
      <c r="C110" s="20" t="s">
        <v>7041</v>
      </c>
      <c r="D110" s="24">
        <v>45658.0</v>
      </c>
      <c r="E110" s="24">
        <v>46022.0</v>
      </c>
      <c r="F110" s="20">
        <v>1.0</v>
      </c>
      <c r="G110" s="20">
        <v>1.0</v>
      </c>
      <c r="H110" s="24">
        <v>46023.0</v>
      </c>
      <c r="I110" s="24">
        <v>46387.0</v>
      </c>
      <c r="J110" s="20">
        <v>0.0</v>
      </c>
      <c r="K110" s="20">
        <v>1.0</v>
      </c>
      <c r="L110" s="24">
        <v>46388.0</v>
      </c>
      <c r="M110" s="24">
        <v>46752.0</v>
      </c>
      <c r="N110" s="20">
        <v>0.0</v>
      </c>
      <c r="O110" s="20">
        <v>1.0</v>
      </c>
      <c r="P110" s="24">
        <v>46753.0</v>
      </c>
      <c r="Q110" s="24">
        <v>47118.0</v>
      </c>
      <c r="R110" s="20">
        <v>0.0</v>
      </c>
      <c r="S110" s="20">
        <v>1.0</v>
      </c>
      <c r="T110" s="24">
        <v>47119.0</v>
      </c>
      <c r="U110" s="24">
        <v>47483.0</v>
      </c>
      <c r="V110" s="20">
        <v>0.0</v>
      </c>
      <c r="W110" s="20">
        <v>1.0</v>
      </c>
      <c r="X110" s="24">
        <v>47484.0</v>
      </c>
      <c r="Y110" s="24">
        <v>47848.0</v>
      </c>
      <c r="Z110" s="20">
        <v>0.0</v>
      </c>
      <c r="AA110" s="20">
        <v>1.0</v>
      </c>
      <c r="AC110" s="24"/>
      <c r="AD110" s="24"/>
      <c r="AH110" s="24"/>
      <c r="AI110" s="24"/>
    </row>
    <row r="111" ht="14.25" customHeight="1">
      <c r="A111" s="46" t="s">
        <v>6242</v>
      </c>
      <c r="B111" s="20" t="s">
        <v>6243</v>
      </c>
      <c r="C111" s="20" t="s">
        <v>7041</v>
      </c>
      <c r="D111" s="24">
        <v>45658.0</v>
      </c>
      <c r="E111" s="24">
        <v>46022.0</v>
      </c>
      <c r="F111" s="20">
        <v>1.0</v>
      </c>
      <c r="G111" s="20">
        <v>1.0</v>
      </c>
      <c r="H111" s="24">
        <v>46023.0</v>
      </c>
      <c r="I111" s="24">
        <v>46387.0</v>
      </c>
      <c r="J111" s="20">
        <v>0.0</v>
      </c>
      <c r="K111" s="20">
        <v>1.0</v>
      </c>
      <c r="L111" s="24">
        <v>46388.0</v>
      </c>
      <c r="M111" s="24">
        <v>46752.0</v>
      </c>
      <c r="N111" s="20">
        <v>0.0</v>
      </c>
      <c r="O111" s="20">
        <v>1.0</v>
      </c>
      <c r="P111" s="24">
        <v>46753.0</v>
      </c>
      <c r="Q111" s="24">
        <v>47118.0</v>
      </c>
      <c r="R111" s="20">
        <v>0.0</v>
      </c>
      <c r="S111" s="20">
        <v>1.0</v>
      </c>
      <c r="T111" s="24">
        <v>47119.0</v>
      </c>
      <c r="U111" s="24">
        <v>47483.0</v>
      </c>
      <c r="V111" s="20">
        <v>0.0</v>
      </c>
      <c r="W111" s="20">
        <v>1.0</v>
      </c>
      <c r="X111" s="24">
        <v>47484.0</v>
      </c>
      <c r="Y111" s="24">
        <v>47848.0</v>
      </c>
      <c r="Z111" s="20">
        <v>0.0</v>
      </c>
      <c r="AA111" s="20">
        <v>1.0</v>
      </c>
      <c r="AC111" s="24"/>
      <c r="AD111" s="24"/>
      <c r="AH111" s="24"/>
      <c r="AI111" s="24"/>
    </row>
    <row r="112" ht="14.25" customHeight="1">
      <c r="A112" s="46" t="s">
        <v>608</v>
      </c>
      <c r="B112" s="20" t="s">
        <v>609</v>
      </c>
      <c r="C112" s="20" t="s">
        <v>7041</v>
      </c>
      <c r="D112" s="24">
        <v>45658.0</v>
      </c>
      <c r="E112" s="24">
        <v>46022.0</v>
      </c>
      <c r="F112" s="20">
        <v>0.0</v>
      </c>
      <c r="G112" s="20">
        <v>1.0</v>
      </c>
      <c r="H112" s="24">
        <v>46023.0</v>
      </c>
      <c r="I112" s="24">
        <v>46387.0</v>
      </c>
      <c r="J112" s="20">
        <v>0.0</v>
      </c>
      <c r="K112" s="20">
        <v>1.0</v>
      </c>
      <c r="L112" s="24">
        <v>46388.0</v>
      </c>
      <c r="M112" s="24">
        <v>46752.0</v>
      </c>
      <c r="N112" s="20">
        <v>0.0</v>
      </c>
      <c r="O112" s="20">
        <v>1.0</v>
      </c>
      <c r="P112" s="24">
        <v>46753.0</v>
      </c>
      <c r="Q112" s="24">
        <v>47118.0</v>
      </c>
      <c r="R112" s="20">
        <v>0.0</v>
      </c>
      <c r="S112" s="20">
        <v>1.0</v>
      </c>
      <c r="T112" s="24">
        <v>47119.0</v>
      </c>
      <c r="U112" s="24">
        <v>47483.0</v>
      </c>
      <c r="V112" s="20">
        <v>0.0</v>
      </c>
      <c r="W112" s="20">
        <v>1.0</v>
      </c>
      <c r="X112" s="24">
        <v>47484.0</v>
      </c>
      <c r="Y112" s="24">
        <v>47848.0</v>
      </c>
      <c r="Z112" s="20">
        <v>0.0</v>
      </c>
      <c r="AA112" s="20">
        <v>1.0</v>
      </c>
      <c r="AC112" s="24"/>
      <c r="AD112" s="24"/>
      <c r="AH112" s="24"/>
      <c r="AI112" s="24"/>
    </row>
    <row r="113" ht="14.25" customHeight="1">
      <c r="A113" s="46" t="s">
        <v>2633</v>
      </c>
      <c r="B113" s="20" t="s">
        <v>2634</v>
      </c>
      <c r="C113" s="20" t="s">
        <v>7041</v>
      </c>
      <c r="D113" s="24">
        <v>45658.0</v>
      </c>
      <c r="E113" s="24">
        <v>46022.0</v>
      </c>
      <c r="F113" s="20">
        <v>0.0</v>
      </c>
      <c r="G113" s="20">
        <v>1.0</v>
      </c>
      <c r="H113" s="24">
        <v>46023.0</v>
      </c>
      <c r="I113" s="24">
        <v>46387.0</v>
      </c>
      <c r="J113" s="20">
        <v>0.0</v>
      </c>
      <c r="K113" s="20">
        <v>1.0</v>
      </c>
      <c r="L113" s="24">
        <v>46388.0</v>
      </c>
      <c r="M113" s="24">
        <v>46752.0</v>
      </c>
      <c r="N113" s="20">
        <v>0.0</v>
      </c>
      <c r="O113" s="20">
        <v>1.0</v>
      </c>
      <c r="P113" s="24">
        <v>46753.0</v>
      </c>
      <c r="Q113" s="24">
        <v>47118.0</v>
      </c>
      <c r="R113" s="20">
        <v>0.0</v>
      </c>
      <c r="S113" s="20">
        <v>1.0</v>
      </c>
      <c r="T113" s="24">
        <v>47119.0</v>
      </c>
      <c r="U113" s="24">
        <v>47483.0</v>
      </c>
      <c r="V113" s="20">
        <v>0.0</v>
      </c>
      <c r="W113" s="20">
        <v>1.0</v>
      </c>
      <c r="X113" s="24">
        <v>47484.0</v>
      </c>
      <c r="Y113" s="24">
        <v>47848.0</v>
      </c>
      <c r="Z113" s="20">
        <v>0.0</v>
      </c>
      <c r="AA113" s="20">
        <v>1.0</v>
      </c>
      <c r="AC113" s="24"/>
      <c r="AD113" s="24"/>
      <c r="AH113" s="24"/>
      <c r="AI113" s="24"/>
    </row>
    <row r="114" ht="14.25" customHeight="1">
      <c r="A114" s="46" t="s">
        <v>4125</v>
      </c>
      <c r="B114" s="20" t="s">
        <v>4126</v>
      </c>
      <c r="C114" s="20" t="s">
        <v>7041</v>
      </c>
      <c r="D114" s="24">
        <v>45658.0</v>
      </c>
      <c r="E114" s="24">
        <v>46022.0</v>
      </c>
      <c r="F114" s="20">
        <v>1.0</v>
      </c>
      <c r="G114" s="20">
        <v>1.0</v>
      </c>
      <c r="H114" s="24">
        <v>46023.0</v>
      </c>
      <c r="I114" s="24">
        <v>46387.0</v>
      </c>
      <c r="J114" s="20">
        <v>0.0</v>
      </c>
      <c r="K114" s="20">
        <v>1.0</v>
      </c>
      <c r="L114" s="24">
        <v>46388.0</v>
      </c>
      <c r="M114" s="24">
        <v>46752.0</v>
      </c>
      <c r="N114" s="20">
        <v>0.0</v>
      </c>
      <c r="O114" s="20">
        <v>1.0</v>
      </c>
      <c r="P114" s="24">
        <v>46753.0</v>
      </c>
      <c r="Q114" s="24">
        <v>47118.0</v>
      </c>
      <c r="R114" s="20">
        <v>0.0</v>
      </c>
      <c r="S114" s="20">
        <v>1.0</v>
      </c>
      <c r="T114" s="24">
        <v>47119.0</v>
      </c>
      <c r="U114" s="24">
        <v>47483.0</v>
      </c>
      <c r="V114" s="20">
        <v>0.0</v>
      </c>
      <c r="W114" s="20">
        <v>1.0</v>
      </c>
      <c r="X114" s="24">
        <v>47484.0</v>
      </c>
      <c r="Y114" s="24">
        <v>47848.0</v>
      </c>
      <c r="Z114" s="20">
        <v>0.0</v>
      </c>
      <c r="AA114" s="20">
        <v>1.0</v>
      </c>
      <c r="AC114" s="24"/>
      <c r="AD114" s="24"/>
      <c r="AH114" s="24"/>
      <c r="AI114" s="24"/>
    </row>
    <row r="115" ht="14.25" customHeight="1">
      <c r="A115" s="46" t="s">
        <v>3672</v>
      </c>
      <c r="B115" s="20" t="s">
        <v>3673</v>
      </c>
      <c r="C115" s="20" t="s">
        <v>7041</v>
      </c>
      <c r="D115" s="24">
        <v>45658.0</v>
      </c>
      <c r="E115" s="24">
        <v>46022.0</v>
      </c>
      <c r="F115" s="20">
        <v>0.0</v>
      </c>
      <c r="G115" s="20">
        <v>1.0</v>
      </c>
      <c r="H115" s="24">
        <v>46023.0</v>
      </c>
      <c r="I115" s="24">
        <v>46387.0</v>
      </c>
      <c r="J115" s="20">
        <v>0.0</v>
      </c>
      <c r="K115" s="20">
        <v>1.0</v>
      </c>
      <c r="L115" s="24">
        <v>46388.0</v>
      </c>
      <c r="M115" s="24">
        <v>46752.0</v>
      </c>
      <c r="N115" s="20">
        <v>0.0</v>
      </c>
      <c r="O115" s="20">
        <v>1.0</v>
      </c>
      <c r="P115" s="24">
        <v>46753.0</v>
      </c>
      <c r="Q115" s="24">
        <v>47118.0</v>
      </c>
      <c r="R115" s="20">
        <v>0.0</v>
      </c>
      <c r="S115" s="20">
        <v>1.0</v>
      </c>
      <c r="T115" s="24">
        <v>47119.0</v>
      </c>
      <c r="U115" s="24">
        <v>47483.0</v>
      </c>
      <c r="V115" s="20">
        <v>0.0</v>
      </c>
      <c r="W115" s="20">
        <v>1.0</v>
      </c>
      <c r="X115" s="24">
        <v>47484.0</v>
      </c>
      <c r="Y115" s="24">
        <v>47848.0</v>
      </c>
      <c r="Z115" s="20">
        <v>0.0</v>
      </c>
      <c r="AA115" s="20">
        <v>1.0</v>
      </c>
      <c r="AC115" s="24"/>
      <c r="AD115" s="24"/>
      <c r="AH115" s="24"/>
      <c r="AI115" s="24"/>
    </row>
    <row r="116" ht="14.25" customHeight="1">
      <c r="A116" s="46" t="s">
        <v>3272</v>
      </c>
      <c r="B116" s="20" t="s">
        <v>3273</v>
      </c>
      <c r="C116" s="20" t="s">
        <v>7041</v>
      </c>
      <c r="D116" s="24">
        <v>45658.0</v>
      </c>
      <c r="E116" s="24">
        <v>46022.0</v>
      </c>
      <c r="F116" s="20">
        <v>0.0</v>
      </c>
      <c r="G116" s="20">
        <v>1.0</v>
      </c>
      <c r="H116" s="24">
        <v>46023.0</v>
      </c>
      <c r="I116" s="24">
        <v>46387.0</v>
      </c>
      <c r="J116" s="20">
        <v>0.0</v>
      </c>
      <c r="K116" s="20">
        <v>1.0</v>
      </c>
      <c r="L116" s="24">
        <v>46388.0</v>
      </c>
      <c r="M116" s="24">
        <v>46752.0</v>
      </c>
      <c r="N116" s="20">
        <v>0.0</v>
      </c>
      <c r="O116" s="20">
        <v>1.0</v>
      </c>
      <c r="P116" s="24">
        <v>46753.0</v>
      </c>
      <c r="Q116" s="24">
        <v>47118.0</v>
      </c>
      <c r="R116" s="20">
        <v>0.0</v>
      </c>
      <c r="S116" s="20">
        <v>1.0</v>
      </c>
      <c r="T116" s="24">
        <v>47119.0</v>
      </c>
      <c r="U116" s="24">
        <v>47483.0</v>
      </c>
      <c r="V116" s="20">
        <v>0.0</v>
      </c>
      <c r="W116" s="20">
        <v>1.0</v>
      </c>
      <c r="X116" s="24">
        <v>47484.0</v>
      </c>
      <c r="Y116" s="24">
        <v>47848.0</v>
      </c>
      <c r="Z116" s="20">
        <v>0.0</v>
      </c>
      <c r="AA116" s="20">
        <v>1.0</v>
      </c>
      <c r="AC116" s="24"/>
      <c r="AD116" s="24"/>
      <c r="AH116" s="24"/>
      <c r="AI116" s="24"/>
    </row>
    <row r="117" ht="14.25" customHeight="1">
      <c r="A117" s="46" t="s">
        <v>5960</v>
      </c>
      <c r="B117" s="20" t="s">
        <v>5961</v>
      </c>
      <c r="C117" s="20" t="s">
        <v>7041</v>
      </c>
      <c r="D117" s="24">
        <v>45658.0</v>
      </c>
      <c r="E117" s="24">
        <v>46022.0</v>
      </c>
      <c r="F117" s="20">
        <v>1.0</v>
      </c>
      <c r="G117" s="20">
        <v>1.0</v>
      </c>
      <c r="H117" s="24">
        <v>46023.0</v>
      </c>
      <c r="I117" s="24">
        <v>46387.0</v>
      </c>
      <c r="J117" s="20">
        <v>0.0</v>
      </c>
      <c r="K117" s="20">
        <v>1.0</v>
      </c>
      <c r="L117" s="24">
        <v>46388.0</v>
      </c>
      <c r="M117" s="24">
        <v>46752.0</v>
      </c>
      <c r="N117" s="20">
        <v>0.0</v>
      </c>
      <c r="O117" s="20">
        <v>1.0</v>
      </c>
      <c r="P117" s="24">
        <v>46753.0</v>
      </c>
      <c r="Q117" s="24">
        <v>47118.0</v>
      </c>
      <c r="R117" s="20">
        <v>0.0</v>
      </c>
      <c r="S117" s="20">
        <v>1.0</v>
      </c>
      <c r="T117" s="24">
        <v>47119.0</v>
      </c>
      <c r="U117" s="24">
        <v>47483.0</v>
      </c>
      <c r="V117" s="20">
        <v>0.0</v>
      </c>
      <c r="W117" s="20">
        <v>1.0</v>
      </c>
      <c r="X117" s="24">
        <v>47484.0</v>
      </c>
      <c r="Y117" s="24">
        <v>47848.0</v>
      </c>
      <c r="Z117" s="20">
        <v>0.0</v>
      </c>
      <c r="AA117" s="20">
        <v>1.0</v>
      </c>
      <c r="AC117" s="24"/>
      <c r="AD117" s="24"/>
      <c r="AH117" s="24"/>
      <c r="AI117" s="24"/>
    </row>
    <row r="118" ht="14.25" customHeight="1">
      <c r="A118" s="46" t="s">
        <v>948</v>
      </c>
      <c r="B118" s="20" t="s">
        <v>949</v>
      </c>
      <c r="C118" s="20" t="s">
        <v>7041</v>
      </c>
      <c r="D118" s="24">
        <v>45658.0</v>
      </c>
      <c r="E118" s="24">
        <v>46022.0</v>
      </c>
      <c r="F118" s="20">
        <v>1.0</v>
      </c>
      <c r="G118" s="20">
        <v>1.0</v>
      </c>
      <c r="H118" s="24">
        <v>46023.0</v>
      </c>
      <c r="I118" s="24">
        <v>46387.0</v>
      </c>
      <c r="J118" s="20">
        <v>0.0</v>
      </c>
      <c r="K118" s="20">
        <v>1.0</v>
      </c>
      <c r="L118" s="24">
        <v>46388.0</v>
      </c>
      <c r="M118" s="24">
        <v>46752.0</v>
      </c>
      <c r="N118" s="20">
        <v>0.0</v>
      </c>
      <c r="O118" s="20">
        <v>1.0</v>
      </c>
      <c r="P118" s="24">
        <v>46753.0</v>
      </c>
      <c r="Q118" s="24">
        <v>47118.0</v>
      </c>
      <c r="R118" s="20">
        <v>0.0</v>
      </c>
      <c r="S118" s="20">
        <v>1.0</v>
      </c>
      <c r="T118" s="24">
        <v>47119.0</v>
      </c>
      <c r="U118" s="24">
        <v>47483.0</v>
      </c>
      <c r="V118" s="20">
        <v>0.0</v>
      </c>
      <c r="W118" s="20">
        <v>1.0</v>
      </c>
      <c r="X118" s="24">
        <v>47484.0</v>
      </c>
      <c r="Y118" s="24">
        <v>47848.0</v>
      </c>
      <c r="Z118" s="20">
        <v>0.0</v>
      </c>
      <c r="AA118" s="20">
        <v>1.0</v>
      </c>
      <c r="AC118" s="24"/>
      <c r="AD118" s="24"/>
      <c r="AH118" s="24"/>
      <c r="AI118" s="24"/>
    </row>
    <row r="119" ht="14.25" customHeight="1">
      <c r="A119" s="46" t="s">
        <v>2654</v>
      </c>
      <c r="B119" s="20" t="s">
        <v>2655</v>
      </c>
      <c r="C119" s="20" t="s">
        <v>7041</v>
      </c>
      <c r="D119" s="24">
        <v>45658.0</v>
      </c>
      <c r="E119" s="24">
        <v>46022.0</v>
      </c>
      <c r="F119" s="20">
        <v>1.0</v>
      </c>
      <c r="G119" s="20">
        <v>1.0</v>
      </c>
      <c r="H119" s="24">
        <v>46023.0</v>
      </c>
      <c r="I119" s="24">
        <v>46387.0</v>
      </c>
      <c r="J119" s="20">
        <v>0.0</v>
      </c>
      <c r="K119" s="20">
        <v>1.0</v>
      </c>
      <c r="L119" s="24">
        <v>46388.0</v>
      </c>
      <c r="M119" s="24">
        <v>46752.0</v>
      </c>
      <c r="N119" s="20">
        <v>0.0</v>
      </c>
      <c r="O119" s="20">
        <v>1.0</v>
      </c>
      <c r="P119" s="24">
        <v>46753.0</v>
      </c>
      <c r="Q119" s="24">
        <v>47118.0</v>
      </c>
      <c r="R119" s="20">
        <v>0.0</v>
      </c>
      <c r="S119" s="20">
        <v>1.0</v>
      </c>
      <c r="T119" s="24">
        <v>47119.0</v>
      </c>
      <c r="U119" s="24">
        <v>47483.0</v>
      </c>
      <c r="V119" s="20">
        <v>0.0</v>
      </c>
      <c r="W119" s="20">
        <v>1.0</v>
      </c>
      <c r="X119" s="24">
        <v>47484.0</v>
      </c>
      <c r="Y119" s="24">
        <v>47848.0</v>
      </c>
      <c r="Z119" s="20">
        <v>0.0</v>
      </c>
      <c r="AA119" s="20">
        <v>1.0</v>
      </c>
      <c r="AC119" s="24"/>
      <c r="AD119" s="24"/>
      <c r="AH119" s="24"/>
      <c r="AI119" s="24"/>
    </row>
    <row r="120" ht="14.25" customHeight="1">
      <c r="A120" s="46" t="s">
        <v>4002</v>
      </c>
      <c r="B120" s="20" t="s">
        <v>4003</v>
      </c>
      <c r="C120" s="20" t="s">
        <v>7041</v>
      </c>
      <c r="D120" s="24">
        <v>45658.0</v>
      </c>
      <c r="E120" s="24">
        <v>46022.0</v>
      </c>
      <c r="F120" s="20">
        <v>1.0</v>
      </c>
      <c r="G120" s="20">
        <v>1.0</v>
      </c>
      <c r="H120" s="24">
        <v>46023.0</v>
      </c>
      <c r="I120" s="24">
        <v>46387.0</v>
      </c>
      <c r="J120" s="20">
        <v>0.0</v>
      </c>
      <c r="K120" s="20">
        <v>1.0</v>
      </c>
      <c r="L120" s="24">
        <v>46388.0</v>
      </c>
      <c r="M120" s="24">
        <v>46752.0</v>
      </c>
      <c r="N120" s="20">
        <v>0.0</v>
      </c>
      <c r="O120" s="20">
        <v>1.0</v>
      </c>
      <c r="P120" s="24">
        <v>46753.0</v>
      </c>
      <c r="Q120" s="24">
        <v>47118.0</v>
      </c>
      <c r="R120" s="20">
        <v>0.0</v>
      </c>
      <c r="S120" s="20">
        <v>1.0</v>
      </c>
      <c r="T120" s="24">
        <v>47119.0</v>
      </c>
      <c r="U120" s="24">
        <v>47483.0</v>
      </c>
      <c r="V120" s="20">
        <v>0.0</v>
      </c>
      <c r="W120" s="20">
        <v>1.0</v>
      </c>
      <c r="X120" s="24">
        <v>47484.0</v>
      </c>
      <c r="Y120" s="24">
        <v>47848.0</v>
      </c>
      <c r="Z120" s="20">
        <v>0.0</v>
      </c>
      <c r="AA120" s="20">
        <v>1.0</v>
      </c>
      <c r="AC120" s="24"/>
      <c r="AD120" s="24"/>
      <c r="AH120" s="24"/>
      <c r="AI120" s="24"/>
    </row>
    <row r="121" ht="14.25" customHeight="1">
      <c r="A121" s="46" t="s">
        <v>367</v>
      </c>
      <c r="B121" s="20" t="s">
        <v>368</v>
      </c>
      <c r="C121" s="20" t="s">
        <v>7041</v>
      </c>
      <c r="D121" s="24">
        <v>45658.0</v>
      </c>
      <c r="E121" s="24">
        <v>46022.0</v>
      </c>
      <c r="F121" s="20">
        <v>0.0</v>
      </c>
      <c r="G121" s="20">
        <v>1.0</v>
      </c>
      <c r="H121" s="24">
        <v>46023.0</v>
      </c>
      <c r="I121" s="24">
        <v>46387.0</v>
      </c>
      <c r="J121" s="20">
        <v>0.0</v>
      </c>
      <c r="K121" s="20">
        <v>1.0</v>
      </c>
      <c r="L121" s="24">
        <v>46388.0</v>
      </c>
      <c r="M121" s="24">
        <v>46752.0</v>
      </c>
      <c r="N121" s="20">
        <v>0.0</v>
      </c>
      <c r="O121" s="20">
        <v>1.0</v>
      </c>
      <c r="P121" s="24">
        <v>46753.0</v>
      </c>
      <c r="Q121" s="24">
        <v>47118.0</v>
      </c>
      <c r="R121" s="20">
        <v>0.0</v>
      </c>
      <c r="S121" s="20">
        <v>1.0</v>
      </c>
      <c r="T121" s="24">
        <v>47119.0</v>
      </c>
      <c r="U121" s="24">
        <v>47483.0</v>
      </c>
      <c r="V121" s="20">
        <v>0.0</v>
      </c>
      <c r="W121" s="20">
        <v>1.0</v>
      </c>
      <c r="X121" s="24">
        <v>47484.0</v>
      </c>
      <c r="Y121" s="24">
        <v>47848.0</v>
      </c>
      <c r="Z121" s="20">
        <v>0.0</v>
      </c>
      <c r="AA121" s="20">
        <v>1.0</v>
      </c>
      <c r="AC121" s="24"/>
      <c r="AD121" s="24"/>
      <c r="AH121" s="24"/>
      <c r="AI121" s="24"/>
    </row>
    <row r="122" ht="14.25" customHeight="1">
      <c r="A122" s="46" t="s">
        <v>702</v>
      </c>
      <c r="B122" s="20" t="s">
        <v>703</v>
      </c>
      <c r="C122" s="20" t="s">
        <v>7041</v>
      </c>
      <c r="D122" s="24">
        <v>45658.0</v>
      </c>
      <c r="E122" s="24">
        <v>46022.0</v>
      </c>
      <c r="F122" s="20">
        <v>1.0</v>
      </c>
      <c r="G122" s="20">
        <v>1.0</v>
      </c>
      <c r="H122" s="24">
        <v>46023.0</v>
      </c>
      <c r="I122" s="24">
        <v>46387.0</v>
      </c>
      <c r="J122" s="20">
        <v>0.0</v>
      </c>
      <c r="K122" s="20">
        <v>1.0</v>
      </c>
      <c r="L122" s="24">
        <v>46388.0</v>
      </c>
      <c r="M122" s="24">
        <v>46752.0</v>
      </c>
      <c r="N122" s="20">
        <v>0.0</v>
      </c>
      <c r="O122" s="20">
        <v>1.0</v>
      </c>
      <c r="P122" s="24">
        <v>46753.0</v>
      </c>
      <c r="Q122" s="24">
        <v>47118.0</v>
      </c>
      <c r="R122" s="20">
        <v>0.0</v>
      </c>
      <c r="S122" s="20">
        <v>1.0</v>
      </c>
      <c r="T122" s="24">
        <v>47119.0</v>
      </c>
      <c r="U122" s="24">
        <v>47483.0</v>
      </c>
      <c r="V122" s="20">
        <v>0.0</v>
      </c>
      <c r="W122" s="20">
        <v>1.0</v>
      </c>
      <c r="X122" s="24">
        <v>47484.0</v>
      </c>
      <c r="Y122" s="24">
        <v>47848.0</v>
      </c>
      <c r="Z122" s="20">
        <v>0.0</v>
      </c>
      <c r="AA122" s="20">
        <v>1.0</v>
      </c>
      <c r="AC122" s="24"/>
      <c r="AD122" s="24"/>
      <c r="AH122" s="24"/>
      <c r="AI122" s="24"/>
    </row>
    <row r="123" ht="14.25" customHeight="1">
      <c r="A123" s="46" t="s">
        <v>3658</v>
      </c>
      <c r="B123" s="20" t="s">
        <v>3659</v>
      </c>
      <c r="C123" s="20" t="s">
        <v>7041</v>
      </c>
      <c r="D123" s="24">
        <v>45658.0</v>
      </c>
      <c r="E123" s="24">
        <v>46022.0</v>
      </c>
      <c r="F123" s="20">
        <v>1.0</v>
      </c>
      <c r="G123" s="20">
        <v>1.0</v>
      </c>
      <c r="H123" s="24">
        <v>46023.0</v>
      </c>
      <c r="I123" s="24">
        <v>46387.0</v>
      </c>
      <c r="J123" s="20">
        <v>0.0</v>
      </c>
      <c r="K123" s="20">
        <v>1.0</v>
      </c>
      <c r="L123" s="24">
        <v>46388.0</v>
      </c>
      <c r="M123" s="24">
        <v>46752.0</v>
      </c>
      <c r="N123" s="20">
        <v>0.0</v>
      </c>
      <c r="O123" s="20">
        <v>1.0</v>
      </c>
      <c r="P123" s="24">
        <v>46753.0</v>
      </c>
      <c r="Q123" s="24">
        <v>47118.0</v>
      </c>
      <c r="R123" s="20">
        <v>0.0</v>
      </c>
      <c r="S123" s="20">
        <v>1.0</v>
      </c>
      <c r="T123" s="24">
        <v>47119.0</v>
      </c>
      <c r="U123" s="24">
        <v>47483.0</v>
      </c>
      <c r="V123" s="20">
        <v>0.0</v>
      </c>
      <c r="W123" s="20">
        <v>1.0</v>
      </c>
      <c r="X123" s="24">
        <v>47484.0</v>
      </c>
      <c r="Y123" s="24">
        <v>47848.0</v>
      </c>
      <c r="Z123" s="20">
        <v>0.0</v>
      </c>
      <c r="AA123" s="20">
        <v>1.0</v>
      </c>
      <c r="AC123" s="24"/>
      <c r="AD123" s="24"/>
      <c r="AH123" s="24"/>
      <c r="AI123" s="24"/>
    </row>
    <row r="124" ht="14.25" customHeight="1">
      <c r="A124" s="46" t="s">
        <v>3684</v>
      </c>
      <c r="B124" s="20" t="s">
        <v>3685</v>
      </c>
      <c r="C124" s="20" t="s">
        <v>7041</v>
      </c>
      <c r="D124" s="24">
        <v>45658.0</v>
      </c>
      <c r="E124" s="24">
        <v>46022.0</v>
      </c>
      <c r="F124" s="20">
        <v>0.0</v>
      </c>
      <c r="G124" s="20">
        <v>1.0</v>
      </c>
      <c r="H124" s="24">
        <v>46023.0</v>
      </c>
      <c r="I124" s="24">
        <v>46387.0</v>
      </c>
      <c r="J124" s="20">
        <v>0.0</v>
      </c>
      <c r="K124" s="20">
        <v>1.0</v>
      </c>
      <c r="L124" s="24">
        <v>46388.0</v>
      </c>
      <c r="M124" s="24">
        <v>46752.0</v>
      </c>
      <c r="N124" s="20">
        <v>0.0</v>
      </c>
      <c r="O124" s="20">
        <v>1.0</v>
      </c>
      <c r="P124" s="24">
        <v>46753.0</v>
      </c>
      <c r="Q124" s="24">
        <v>47118.0</v>
      </c>
      <c r="R124" s="20">
        <v>0.0</v>
      </c>
      <c r="S124" s="20">
        <v>1.0</v>
      </c>
      <c r="T124" s="24">
        <v>47119.0</v>
      </c>
      <c r="U124" s="24">
        <v>47483.0</v>
      </c>
      <c r="V124" s="20">
        <v>0.0</v>
      </c>
      <c r="W124" s="20">
        <v>1.0</v>
      </c>
      <c r="X124" s="24">
        <v>47484.0</v>
      </c>
      <c r="Y124" s="24">
        <v>47848.0</v>
      </c>
      <c r="Z124" s="20">
        <v>0.0</v>
      </c>
      <c r="AA124" s="20">
        <v>1.0</v>
      </c>
      <c r="AC124" s="24"/>
      <c r="AD124" s="24"/>
      <c r="AH124" s="24"/>
      <c r="AI124" s="24"/>
    </row>
    <row r="125" ht="14.25" customHeight="1">
      <c r="A125" s="46" t="s">
        <v>6269</v>
      </c>
      <c r="B125" s="20" t="s">
        <v>6270</v>
      </c>
      <c r="C125" s="20" t="s">
        <v>7041</v>
      </c>
      <c r="D125" s="24">
        <v>45658.0</v>
      </c>
      <c r="E125" s="24">
        <v>46022.0</v>
      </c>
      <c r="F125" s="20">
        <v>1.0</v>
      </c>
      <c r="G125" s="20">
        <v>1.0</v>
      </c>
      <c r="H125" s="24">
        <v>46023.0</v>
      </c>
      <c r="I125" s="24">
        <v>46387.0</v>
      </c>
      <c r="J125" s="20">
        <v>0.0</v>
      </c>
      <c r="K125" s="20">
        <v>1.0</v>
      </c>
      <c r="L125" s="24">
        <v>46388.0</v>
      </c>
      <c r="M125" s="24">
        <v>46752.0</v>
      </c>
      <c r="N125" s="20">
        <v>0.0</v>
      </c>
      <c r="O125" s="20">
        <v>1.0</v>
      </c>
      <c r="P125" s="24">
        <v>46753.0</v>
      </c>
      <c r="Q125" s="24">
        <v>47118.0</v>
      </c>
      <c r="R125" s="20">
        <v>0.0</v>
      </c>
      <c r="S125" s="20">
        <v>1.0</v>
      </c>
      <c r="T125" s="24">
        <v>47119.0</v>
      </c>
      <c r="U125" s="24">
        <v>47483.0</v>
      </c>
      <c r="V125" s="20">
        <v>0.0</v>
      </c>
      <c r="W125" s="20">
        <v>1.0</v>
      </c>
      <c r="X125" s="24">
        <v>47484.0</v>
      </c>
      <c r="Y125" s="24">
        <v>47848.0</v>
      </c>
      <c r="Z125" s="20">
        <v>0.0</v>
      </c>
      <c r="AA125" s="20">
        <v>1.0</v>
      </c>
      <c r="AC125" s="24"/>
      <c r="AD125" s="24"/>
      <c r="AH125" s="24"/>
      <c r="AI125" s="24"/>
    </row>
    <row r="126" ht="14.25" customHeight="1">
      <c r="A126" s="46" t="s">
        <v>3916</v>
      </c>
      <c r="B126" s="20" t="s">
        <v>3917</v>
      </c>
      <c r="C126" s="20" t="s">
        <v>7041</v>
      </c>
      <c r="D126" s="24">
        <v>45658.0</v>
      </c>
      <c r="E126" s="24">
        <v>46022.0</v>
      </c>
      <c r="F126" s="20">
        <v>1.0</v>
      </c>
      <c r="G126" s="20">
        <v>1.0</v>
      </c>
      <c r="H126" s="24">
        <v>46023.0</v>
      </c>
      <c r="I126" s="24">
        <v>46387.0</v>
      </c>
      <c r="J126" s="20">
        <v>0.0</v>
      </c>
      <c r="K126" s="20">
        <v>1.0</v>
      </c>
      <c r="L126" s="24">
        <v>46388.0</v>
      </c>
      <c r="M126" s="24">
        <v>46752.0</v>
      </c>
      <c r="N126" s="20">
        <v>0.0</v>
      </c>
      <c r="O126" s="20">
        <v>1.0</v>
      </c>
      <c r="P126" s="24">
        <v>46753.0</v>
      </c>
      <c r="Q126" s="24">
        <v>47118.0</v>
      </c>
      <c r="R126" s="20">
        <v>0.0</v>
      </c>
      <c r="S126" s="20">
        <v>1.0</v>
      </c>
      <c r="T126" s="24">
        <v>47119.0</v>
      </c>
      <c r="U126" s="24">
        <v>47483.0</v>
      </c>
      <c r="V126" s="20">
        <v>0.0</v>
      </c>
      <c r="W126" s="20">
        <v>1.0</v>
      </c>
      <c r="X126" s="24">
        <v>47484.0</v>
      </c>
      <c r="Y126" s="24">
        <v>47848.0</v>
      </c>
      <c r="Z126" s="20">
        <v>0.0</v>
      </c>
      <c r="AA126" s="20">
        <v>1.0</v>
      </c>
      <c r="AC126" s="24"/>
      <c r="AD126" s="24"/>
      <c r="AH126" s="24"/>
      <c r="AI126" s="24"/>
    </row>
    <row r="127" ht="14.25" customHeight="1">
      <c r="A127" s="46" t="s">
        <v>4868</v>
      </c>
      <c r="B127" s="20" t="s">
        <v>4869</v>
      </c>
      <c r="C127" s="20" t="s">
        <v>7041</v>
      </c>
      <c r="D127" s="24">
        <v>45658.0</v>
      </c>
      <c r="E127" s="24">
        <v>46022.0</v>
      </c>
      <c r="F127" s="20">
        <v>1.0</v>
      </c>
      <c r="G127" s="20">
        <v>1.0</v>
      </c>
      <c r="H127" s="24">
        <v>46023.0</v>
      </c>
      <c r="I127" s="24">
        <v>46387.0</v>
      </c>
      <c r="J127" s="20">
        <v>0.0</v>
      </c>
      <c r="K127" s="20">
        <v>1.0</v>
      </c>
      <c r="L127" s="24">
        <v>46388.0</v>
      </c>
      <c r="M127" s="24">
        <v>46752.0</v>
      </c>
      <c r="N127" s="20">
        <v>0.0</v>
      </c>
      <c r="O127" s="20">
        <v>1.0</v>
      </c>
      <c r="P127" s="24">
        <v>46753.0</v>
      </c>
      <c r="Q127" s="24">
        <v>47118.0</v>
      </c>
      <c r="R127" s="20">
        <v>0.0</v>
      </c>
      <c r="S127" s="20">
        <v>1.0</v>
      </c>
      <c r="T127" s="24">
        <v>47119.0</v>
      </c>
      <c r="U127" s="24">
        <v>47483.0</v>
      </c>
      <c r="V127" s="20">
        <v>0.0</v>
      </c>
      <c r="W127" s="20">
        <v>1.0</v>
      </c>
      <c r="X127" s="24">
        <v>47484.0</v>
      </c>
      <c r="Y127" s="24">
        <v>47848.0</v>
      </c>
      <c r="Z127" s="20">
        <v>0.0</v>
      </c>
      <c r="AA127" s="20">
        <v>1.0</v>
      </c>
      <c r="AC127" s="24"/>
      <c r="AD127" s="24"/>
      <c r="AH127" s="24"/>
      <c r="AI127" s="24"/>
    </row>
    <row r="128" ht="14.25" customHeight="1">
      <c r="A128" s="46" t="s">
        <v>2390</v>
      </c>
      <c r="B128" s="20" t="s">
        <v>2391</v>
      </c>
      <c r="C128" s="20" t="s">
        <v>7041</v>
      </c>
      <c r="D128" s="24">
        <v>45658.0</v>
      </c>
      <c r="E128" s="24">
        <v>46022.0</v>
      </c>
      <c r="F128" s="20">
        <v>1.0</v>
      </c>
      <c r="G128" s="20">
        <v>1.0</v>
      </c>
      <c r="H128" s="24">
        <v>46023.0</v>
      </c>
      <c r="I128" s="24">
        <v>46387.0</v>
      </c>
      <c r="J128" s="20">
        <v>0.0</v>
      </c>
      <c r="K128" s="20">
        <v>1.0</v>
      </c>
      <c r="L128" s="24">
        <v>46388.0</v>
      </c>
      <c r="M128" s="24">
        <v>46752.0</v>
      </c>
      <c r="N128" s="20">
        <v>0.0</v>
      </c>
      <c r="O128" s="20">
        <v>1.0</v>
      </c>
      <c r="P128" s="24">
        <v>46753.0</v>
      </c>
      <c r="Q128" s="24">
        <v>47118.0</v>
      </c>
      <c r="R128" s="20">
        <v>0.0</v>
      </c>
      <c r="S128" s="20">
        <v>1.0</v>
      </c>
      <c r="T128" s="24">
        <v>47119.0</v>
      </c>
      <c r="U128" s="24">
        <v>47483.0</v>
      </c>
      <c r="V128" s="20">
        <v>0.0</v>
      </c>
      <c r="W128" s="20">
        <v>1.0</v>
      </c>
      <c r="X128" s="24">
        <v>47484.0</v>
      </c>
      <c r="Y128" s="24">
        <v>47848.0</v>
      </c>
      <c r="Z128" s="20">
        <v>0.0</v>
      </c>
      <c r="AA128" s="20">
        <v>1.0</v>
      </c>
      <c r="AC128" s="24"/>
      <c r="AD128" s="24"/>
      <c r="AH128" s="24"/>
      <c r="AI128" s="24"/>
    </row>
    <row r="129" ht="14.25" customHeight="1">
      <c r="A129" s="46" t="s">
        <v>316</v>
      </c>
      <c r="B129" s="20" t="s">
        <v>317</v>
      </c>
      <c r="C129" s="20" t="s">
        <v>7041</v>
      </c>
      <c r="D129" s="24">
        <v>45658.0</v>
      </c>
      <c r="E129" s="24">
        <v>46022.0</v>
      </c>
      <c r="F129" s="20">
        <v>1.0</v>
      </c>
      <c r="G129" s="20">
        <v>1.0</v>
      </c>
      <c r="H129" s="24">
        <v>46023.0</v>
      </c>
      <c r="I129" s="24">
        <v>46387.0</v>
      </c>
      <c r="J129" s="20">
        <v>0.0</v>
      </c>
      <c r="K129" s="20">
        <v>1.0</v>
      </c>
      <c r="L129" s="24">
        <v>46388.0</v>
      </c>
      <c r="M129" s="24">
        <v>46752.0</v>
      </c>
      <c r="N129" s="20">
        <v>0.0</v>
      </c>
      <c r="O129" s="20">
        <v>1.0</v>
      </c>
      <c r="P129" s="24">
        <v>46753.0</v>
      </c>
      <c r="Q129" s="24">
        <v>47118.0</v>
      </c>
      <c r="R129" s="20">
        <v>0.0</v>
      </c>
      <c r="S129" s="20">
        <v>1.0</v>
      </c>
      <c r="T129" s="24">
        <v>47119.0</v>
      </c>
      <c r="U129" s="24">
        <v>47483.0</v>
      </c>
      <c r="V129" s="20">
        <v>0.0</v>
      </c>
      <c r="W129" s="20">
        <v>1.0</v>
      </c>
      <c r="X129" s="24">
        <v>47484.0</v>
      </c>
      <c r="Y129" s="24">
        <v>47848.0</v>
      </c>
      <c r="Z129" s="20">
        <v>0.0</v>
      </c>
      <c r="AA129" s="20">
        <v>1.0</v>
      </c>
      <c r="AC129" s="24"/>
      <c r="AD129" s="24"/>
      <c r="AH129" s="24"/>
      <c r="AI129" s="24"/>
    </row>
    <row r="130" ht="14.25" customHeight="1">
      <c r="A130" s="46" t="s">
        <v>585</v>
      </c>
      <c r="B130" s="20" t="s">
        <v>586</v>
      </c>
      <c r="C130" s="20" t="s">
        <v>7041</v>
      </c>
      <c r="D130" s="24">
        <v>45658.0</v>
      </c>
      <c r="E130" s="24">
        <v>46022.0</v>
      </c>
      <c r="F130" s="20">
        <v>0.0</v>
      </c>
      <c r="G130" s="20">
        <v>1.0</v>
      </c>
      <c r="H130" s="24">
        <v>46023.0</v>
      </c>
      <c r="I130" s="24">
        <v>46387.0</v>
      </c>
      <c r="J130" s="20">
        <v>0.0</v>
      </c>
      <c r="K130" s="20">
        <v>1.0</v>
      </c>
      <c r="L130" s="24">
        <v>46388.0</v>
      </c>
      <c r="M130" s="24">
        <v>46752.0</v>
      </c>
      <c r="N130" s="20">
        <v>0.0</v>
      </c>
      <c r="O130" s="20">
        <v>1.0</v>
      </c>
      <c r="P130" s="24">
        <v>46753.0</v>
      </c>
      <c r="Q130" s="24">
        <v>47118.0</v>
      </c>
      <c r="R130" s="20">
        <v>0.0</v>
      </c>
      <c r="S130" s="20">
        <v>1.0</v>
      </c>
      <c r="T130" s="24">
        <v>47119.0</v>
      </c>
      <c r="U130" s="24">
        <v>47483.0</v>
      </c>
      <c r="V130" s="20">
        <v>0.0</v>
      </c>
      <c r="W130" s="20">
        <v>1.0</v>
      </c>
      <c r="X130" s="24">
        <v>47484.0</v>
      </c>
      <c r="Y130" s="24">
        <v>47848.0</v>
      </c>
      <c r="Z130" s="20">
        <v>0.0</v>
      </c>
      <c r="AA130" s="20">
        <v>1.0</v>
      </c>
      <c r="AC130" s="24"/>
      <c r="AD130" s="24"/>
      <c r="AH130" s="24"/>
      <c r="AI130" s="24"/>
    </row>
    <row r="131" ht="14.25" customHeight="1">
      <c r="A131" s="46" t="s">
        <v>737</v>
      </c>
      <c r="B131" s="20" t="s">
        <v>738</v>
      </c>
      <c r="C131" s="20" t="s">
        <v>7041</v>
      </c>
      <c r="D131" s="24">
        <v>45658.0</v>
      </c>
      <c r="E131" s="24">
        <v>46022.0</v>
      </c>
      <c r="F131" s="20">
        <v>0.0</v>
      </c>
      <c r="G131" s="20">
        <v>1.0</v>
      </c>
      <c r="H131" s="24">
        <v>46023.0</v>
      </c>
      <c r="I131" s="24">
        <v>46387.0</v>
      </c>
      <c r="J131" s="20">
        <v>0.0</v>
      </c>
      <c r="K131" s="20">
        <v>1.0</v>
      </c>
      <c r="L131" s="24">
        <v>46388.0</v>
      </c>
      <c r="M131" s="24">
        <v>46752.0</v>
      </c>
      <c r="N131" s="20">
        <v>0.0</v>
      </c>
      <c r="O131" s="20">
        <v>1.0</v>
      </c>
      <c r="P131" s="24">
        <v>46753.0</v>
      </c>
      <c r="Q131" s="24">
        <v>47118.0</v>
      </c>
      <c r="R131" s="20">
        <v>0.0</v>
      </c>
      <c r="S131" s="20">
        <v>1.0</v>
      </c>
      <c r="T131" s="24">
        <v>47119.0</v>
      </c>
      <c r="U131" s="24">
        <v>47483.0</v>
      </c>
      <c r="V131" s="20">
        <v>0.0</v>
      </c>
      <c r="W131" s="20">
        <v>1.0</v>
      </c>
      <c r="X131" s="24">
        <v>47484.0</v>
      </c>
      <c r="Y131" s="24">
        <v>47848.0</v>
      </c>
      <c r="Z131" s="20">
        <v>0.0</v>
      </c>
      <c r="AA131" s="20">
        <v>1.0</v>
      </c>
      <c r="AC131" s="24"/>
      <c r="AD131" s="24"/>
      <c r="AH131" s="24"/>
      <c r="AI131" s="24"/>
    </row>
    <row r="132" ht="14.25" customHeight="1">
      <c r="A132" s="46" t="s">
        <v>827</v>
      </c>
      <c r="B132" s="20" t="s">
        <v>828</v>
      </c>
      <c r="C132" s="20" t="s">
        <v>7041</v>
      </c>
      <c r="D132" s="24">
        <v>45658.0</v>
      </c>
      <c r="E132" s="24">
        <v>46022.0</v>
      </c>
      <c r="F132" s="20">
        <v>1.0</v>
      </c>
      <c r="G132" s="20">
        <v>1.0</v>
      </c>
      <c r="H132" s="24">
        <v>46023.0</v>
      </c>
      <c r="I132" s="24">
        <v>46387.0</v>
      </c>
      <c r="J132" s="20">
        <v>0.0</v>
      </c>
      <c r="K132" s="20">
        <v>1.0</v>
      </c>
      <c r="L132" s="24">
        <v>46388.0</v>
      </c>
      <c r="M132" s="24">
        <v>46752.0</v>
      </c>
      <c r="N132" s="20">
        <v>0.0</v>
      </c>
      <c r="O132" s="20">
        <v>1.0</v>
      </c>
      <c r="P132" s="24">
        <v>46753.0</v>
      </c>
      <c r="Q132" s="24">
        <v>47118.0</v>
      </c>
      <c r="R132" s="20">
        <v>0.0</v>
      </c>
      <c r="S132" s="20">
        <v>1.0</v>
      </c>
      <c r="T132" s="24">
        <v>47119.0</v>
      </c>
      <c r="U132" s="24">
        <v>47483.0</v>
      </c>
      <c r="V132" s="20">
        <v>0.0</v>
      </c>
      <c r="W132" s="20">
        <v>1.0</v>
      </c>
      <c r="X132" s="24">
        <v>47484.0</v>
      </c>
      <c r="Y132" s="24">
        <v>47848.0</v>
      </c>
      <c r="Z132" s="20">
        <v>0.0</v>
      </c>
      <c r="AA132" s="20">
        <v>1.0</v>
      </c>
      <c r="AC132" s="24"/>
      <c r="AD132" s="24"/>
      <c r="AH132" s="24"/>
      <c r="AI132" s="24"/>
    </row>
    <row r="133" ht="14.25" customHeight="1">
      <c r="A133" s="46" t="s">
        <v>941</v>
      </c>
      <c r="B133" s="20" t="s">
        <v>942</v>
      </c>
      <c r="C133" s="20" t="s">
        <v>7041</v>
      </c>
      <c r="D133" s="24">
        <v>45658.0</v>
      </c>
      <c r="E133" s="24">
        <v>46022.0</v>
      </c>
      <c r="F133" s="20">
        <v>0.0</v>
      </c>
      <c r="G133" s="20">
        <v>1.0</v>
      </c>
      <c r="H133" s="24">
        <v>46023.0</v>
      </c>
      <c r="I133" s="24">
        <v>46387.0</v>
      </c>
      <c r="J133" s="20">
        <v>0.0</v>
      </c>
      <c r="K133" s="20">
        <v>1.0</v>
      </c>
      <c r="L133" s="24">
        <v>46388.0</v>
      </c>
      <c r="M133" s="24">
        <v>46752.0</v>
      </c>
      <c r="N133" s="20">
        <v>0.0</v>
      </c>
      <c r="O133" s="20">
        <v>1.0</v>
      </c>
      <c r="P133" s="24">
        <v>46753.0</v>
      </c>
      <c r="Q133" s="24">
        <v>47118.0</v>
      </c>
      <c r="R133" s="20">
        <v>0.0</v>
      </c>
      <c r="S133" s="20">
        <v>1.0</v>
      </c>
      <c r="T133" s="24">
        <v>47119.0</v>
      </c>
      <c r="U133" s="24">
        <v>47483.0</v>
      </c>
      <c r="V133" s="20">
        <v>0.0</v>
      </c>
      <c r="W133" s="20">
        <v>1.0</v>
      </c>
      <c r="X133" s="24">
        <v>47484.0</v>
      </c>
      <c r="Y133" s="24">
        <v>47848.0</v>
      </c>
      <c r="Z133" s="20">
        <v>0.0</v>
      </c>
      <c r="AA133" s="20">
        <v>1.0</v>
      </c>
      <c r="AC133" s="24"/>
      <c r="AD133" s="24"/>
      <c r="AH133" s="24"/>
      <c r="AI133" s="24"/>
    </row>
    <row r="134" ht="14.25" customHeight="1">
      <c r="A134" s="46" t="s">
        <v>1036</v>
      </c>
      <c r="B134" s="20" t="s">
        <v>1037</v>
      </c>
      <c r="C134" s="20" t="s">
        <v>7041</v>
      </c>
      <c r="D134" s="24">
        <v>45658.0</v>
      </c>
      <c r="E134" s="24">
        <v>46022.0</v>
      </c>
      <c r="F134" s="20">
        <v>0.0</v>
      </c>
      <c r="G134" s="20">
        <v>1.0</v>
      </c>
      <c r="H134" s="24">
        <v>46023.0</v>
      </c>
      <c r="I134" s="24">
        <v>46387.0</v>
      </c>
      <c r="J134" s="20">
        <v>0.0</v>
      </c>
      <c r="K134" s="20">
        <v>1.0</v>
      </c>
      <c r="L134" s="24">
        <v>46388.0</v>
      </c>
      <c r="M134" s="24">
        <v>46752.0</v>
      </c>
      <c r="N134" s="20">
        <v>0.0</v>
      </c>
      <c r="O134" s="20">
        <v>1.0</v>
      </c>
      <c r="P134" s="24">
        <v>46753.0</v>
      </c>
      <c r="Q134" s="24">
        <v>47118.0</v>
      </c>
      <c r="R134" s="20">
        <v>0.0</v>
      </c>
      <c r="S134" s="20">
        <v>1.0</v>
      </c>
      <c r="T134" s="24">
        <v>47119.0</v>
      </c>
      <c r="U134" s="24">
        <v>47483.0</v>
      </c>
      <c r="V134" s="20">
        <v>0.0</v>
      </c>
      <c r="W134" s="20">
        <v>1.0</v>
      </c>
      <c r="X134" s="24">
        <v>47484.0</v>
      </c>
      <c r="Y134" s="24">
        <v>47848.0</v>
      </c>
      <c r="Z134" s="20">
        <v>0.0</v>
      </c>
      <c r="AA134" s="20">
        <v>1.0</v>
      </c>
      <c r="AC134" s="24"/>
      <c r="AD134" s="24"/>
      <c r="AH134" s="24"/>
      <c r="AI134" s="24"/>
    </row>
    <row r="135" ht="14.25" customHeight="1">
      <c r="A135" s="46" t="s">
        <v>1057</v>
      </c>
      <c r="B135" s="20" t="s">
        <v>1058</v>
      </c>
      <c r="C135" s="20" t="s">
        <v>7041</v>
      </c>
      <c r="D135" s="24">
        <v>45658.0</v>
      </c>
      <c r="E135" s="24">
        <v>46022.0</v>
      </c>
      <c r="F135" s="20">
        <v>1.0</v>
      </c>
      <c r="G135" s="20">
        <v>1.0</v>
      </c>
      <c r="H135" s="24">
        <v>46023.0</v>
      </c>
      <c r="I135" s="24">
        <v>46387.0</v>
      </c>
      <c r="J135" s="20">
        <v>0.0</v>
      </c>
      <c r="K135" s="20">
        <v>1.0</v>
      </c>
      <c r="L135" s="24">
        <v>46388.0</v>
      </c>
      <c r="M135" s="24">
        <v>46752.0</v>
      </c>
      <c r="N135" s="20">
        <v>0.0</v>
      </c>
      <c r="O135" s="20">
        <v>1.0</v>
      </c>
      <c r="P135" s="24">
        <v>46753.0</v>
      </c>
      <c r="Q135" s="24">
        <v>47118.0</v>
      </c>
      <c r="R135" s="20">
        <v>0.0</v>
      </c>
      <c r="S135" s="20">
        <v>1.0</v>
      </c>
      <c r="T135" s="24">
        <v>47119.0</v>
      </c>
      <c r="U135" s="24">
        <v>47483.0</v>
      </c>
      <c r="V135" s="20">
        <v>0.0</v>
      </c>
      <c r="W135" s="20">
        <v>1.0</v>
      </c>
      <c r="X135" s="24">
        <v>47484.0</v>
      </c>
      <c r="Y135" s="24">
        <v>47848.0</v>
      </c>
      <c r="Z135" s="20">
        <v>0.0</v>
      </c>
      <c r="AA135" s="20">
        <v>1.0</v>
      </c>
      <c r="AC135" s="24"/>
      <c r="AD135" s="24"/>
      <c r="AH135" s="24"/>
      <c r="AI135" s="24"/>
    </row>
    <row r="136" ht="14.25" customHeight="1">
      <c r="A136" s="46" t="s">
        <v>1109</v>
      </c>
      <c r="B136" s="20" t="s">
        <v>1110</v>
      </c>
      <c r="C136" s="20" t="s">
        <v>7041</v>
      </c>
      <c r="D136" s="24">
        <v>45658.0</v>
      </c>
      <c r="E136" s="24">
        <v>46022.0</v>
      </c>
      <c r="F136" s="20">
        <v>1.0</v>
      </c>
      <c r="G136" s="20">
        <v>1.0</v>
      </c>
      <c r="H136" s="24">
        <v>46023.0</v>
      </c>
      <c r="I136" s="24">
        <v>46387.0</v>
      </c>
      <c r="J136" s="20">
        <v>0.0</v>
      </c>
      <c r="K136" s="20">
        <v>1.0</v>
      </c>
      <c r="L136" s="24">
        <v>46388.0</v>
      </c>
      <c r="M136" s="24">
        <v>46752.0</v>
      </c>
      <c r="N136" s="20">
        <v>0.0</v>
      </c>
      <c r="O136" s="20">
        <v>1.0</v>
      </c>
      <c r="P136" s="24">
        <v>46753.0</v>
      </c>
      <c r="Q136" s="24">
        <v>47118.0</v>
      </c>
      <c r="R136" s="20">
        <v>0.0</v>
      </c>
      <c r="S136" s="20">
        <v>1.0</v>
      </c>
      <c r="T136" s="24">
        <v>47119.0</v>
      </c>
      <c r="U136" s="24">
        <v>47483.0</v>
      </c>
      <c r="V136" s="20">
        <v>0.0</v>
      </c>
      <c r="W136" s="20">
        <v>1.0</v>
      </c>
      <c r="X136" s="24">
        <v>47484.0</v>
      </c>
      <c r="Y136" s="24">
        <v>47848.0</v>
      </c>
      <c r="Z136" s="20">
        <v>0.0</v>
      </c>
      <c r="AA136" s="20">
        <v>1.0</v>
      </c>
      <c r="AC136" s="24"/>
      <c r="AD136" s="24"/>
      <c r="AH136" s="24"/>
      <c r="AI136" s="24"/>
    </row>
    <row r="137" ht="14.25" customHeight="1">
      <c r="A137" s="46" t="s">
        <v>1174</v>
      </c>
      <c r="B137" s="20" t="s">
        <v>1175</v>
      </c>
      <c r="C137" s="20" t="s">
        <v>7041</v>
      </c>
      <c r="D137" s="24">
        <v>45658.0</v>
      </c>
      <c r="E137" s="24">
        <v>46022.0</v>
      </c>
      <c r="F137" s="20">
        <v>1.0</v>
      </c>
      <c r="G137" s="20">
        <v>1.0</v>
      </c>
      <c r="H137" s="24">
        <v>46023.0</v>
      </c>
      <c r="I137" s="24">
        <v>46387.0</v>
      </c>
      <c r="J137" s="20">
        <v>0.0</v>
      </c>
      <c r="K137" s="20">
        <v>1.0</v>
      </c>
      <c r="L137" s="24">
        <v>46388.0</v>
      </c>
      <c r="M137" s="24">
        <v>46752.0</v>
      </c>
      <c r="N137" s="20">
        <v>0.0</v>
      </c>
      <c r="O137" s="20">
        <v>1.0</v>
      </c>
      <c r="P137" s="24">
        <v>46753.0</v>
      </c>
      <c r="Q137" s="24">
        <v>47118.0</v>
      </c>
      <c r="R137" s="20">
        <v>0.0</v>
      </c>
      <c r="S137" s="20">
        <v>1.0</v>
      </c>
      <c r="T137" s="24">
        <v>47119.0</v>
      </c>
      <c r="U137" s="24">
        <v>47483.0</v>
      </c>
      <c r="V137" s="20">
        <v>0.0</v>
      </c>
      <c r="W137" s="20">
        <v>1.0</v>
      </c>
      <c r="X137" s="24">
        <v>47484.0</v>
      </c>
      <c r="Y137" s="24">
        <v>47848.0</v>
      </c>
      <c r="Z137" s="20">
        <v>0.0</v>
      </c>
      <c r="AA137" s="20">
        <v>1.0</v>
      </c>
      <c r="AC137" s="24"/>
      <c r="AD137" s="24"/>
      <c r="AH137" s="24"/>
      <c r="AI137" s="24"/>
    </row>
    <row r="138" ht="14.25" customHeight="1">
      <c r="A138" s="46" t="s">
        <v>1279</v>
      </c>
      <c r="B138" s="20" t="s">
        <v>1280</v>
      </c>
      <c r="C138" s="20" t="s">
        <v>7041</v>
      </c>
      <c r="D138" s="24">
        <v>45658.0</v>
      </c>
      <c r="E138" s="24">
        <v>46022.0</v>
      </c>
      <c r="F138" s="20">
        <v>1.0</v>
      </c>
      <c r="G138" s="20">
        <v>1.0</v>
      </c>
      <c r="H138" s="24">
        <v>46023.0</v>
      </c>
      <c r="I138" s="24">
        <v>46387.0</v>
      </c>
      <c r="J138" s="20">
        <v>0.0</v>
      </c>
      <c r="K138" s="20">
        <v>1.0</v>
      </c>
      <c r="L138" s="24">
        <v>46388.0</v>
      </c>
      <c r="M138" s="24">
        <v>46752.0</v>
      </c>
      <c r="N138" s="20">
        <v>0.0</v>
      </c>
      <c r="O138" s="20">
        <v>1.0</v>
      </c>
      <c r="P138" s="24">
        <v>46753.0</v>
      </c>
      <c r="Q138" s="24">
        <v>47118.0</v>
      </c>
      <c r="R138" s="20">
        <v>0.0</v>
      </c>
      <c r="S138" s="20">
        <v>1.0</v>
      </c>
      <c r="T138" s="24">
        <v>47119.0</v>
      </c>
      <c r="U138" s="24">
        <v>47483.0</v>
      </c>
      <c r="V138" s="20">
        <v>0.0</v>
      </c>
      <c r="W138" s="20">
        <v>1.0</v>
      </c>
      <c r="X138" s="24">
        <v>47484.0</v>
      </c>
      <c r="Y138" s="24">
        <v>47848.0</v>
      </c>
      <c r="Z138" s="20">
        <v>0.0</v>
      </c>
      <c r="AA138" s="20">
        <v>1.0</v>
      </c>
      <c r="AC138" s="24"/>
      <c r="AD138" s="24"/>
      <c r="AH138" s="24"/>
      <c r="AI138" s="24"/>
    </row>
    <row r="139" ht="14.25" customHeight="1">
      <c r="A139" s="46" t="s">
        <v>1288</v>
      </c>
      <c r="B139" s="20" t="s">
        <v>1289</v>
      </c>
      <c r="C139" s="20" t="s">
        <v>7041</v>
      </c>
      <c r="D139" s="24">
        <v>45658.0</v>
      </c>
      <c r="E139" s="24">
        <v>46022.0</v>
      </c>
      <c r="F139" s="20">
        <v>0.0</v>
      </c>
      <c r="G139" s="20">
        <v>1.0</v>
      </c>
      <c r="H139" s="24">
        <v>46023.0</v>
      </c>
      <c r="I139" s="24">
        <v>46387.0</v>
      </c>
      <c r="J139" s="20">
        <v>0.0</v>
      </c>
      <c r="K139" s="20">
        <v>1.0</v>
      </c>
      <c r="L139" s="24">
        <v>46388.0</v>
      </c>
      <c r="M139" s="24">
        <v>46752.0</v>
      </c>
      <c r="N139" s="20">
        <v>0.0</v>
      </c>
      <c r="O139" s="20">
        <v>1.0</v>
      </c>
      <c r="P139" s="24">
        <v>46753.0</v>
      </c>
      <c r="Q139" s="24">
        <v>47118.0</v>
      </c>
      <c r="R139" s="20">
        <v>0.0</v>
      </c>
      <c r="S139" s="20">
        <v>1.0</v>
      </c>
      <c r="T139" s="24">
        <v>47119.0</v>
      </c>
      <c r="U139" s="24">
        <v>47483.0</v>
      </c>
      <c r="V139" s="20">
        <v>0.0</v>
      </c>
      <c r="W139" s="20">
        <v>1.0</v>
      </c>
      <c r="X139" s="24">
        <v>47484.0</v>
      </c>
      <c r="Y139" s="24">
        <v>47848.0</v>
      </c>
      <c r="Z139" s="20">
        <v>0.0</v>
      </c>
      <c r="AA139" s="20">
        <v>1.0</v>
      </c>
      <c r="AC139" s="24"/>
      <c r="AD139" s="24"/>
      <c r="AH139" s="24"/>
      <c r="AI139" s="24"/>
    </row>
    <row r="140" ht="14.25" customHeight="1">
      <c r="A140" s="46" t="s">
        <v>1320</v>
      </c>
      <c r="B140" s="20" t="s">
        <v>1321</v>
      </c>
      <c r="C140" s="20" t="s">
        <v>7041</v>
      </c>
      <c r="D140" s="24">
        <v>45658.0</v>
      </c>
      <c r="E140" s="24">
        <v>46022.0</v>
      </c>
      <c r="F140" s="20">
        <v>0.0</v>
      </c>
      <c r="G140" s="20">
        <v>1.0</v>
      </c>
      <c r="H140" s="24">
        <v>46023.0</v>
      </c>
      <c r="I140" s="24">
        <v>46387.0</v>
      </c>
      <c r="J140" s="20">
        <v>0.0</v>
      </c>
      <c r="K140" s="20">
        <v>1.0</v>
      </c>
      <c r="L140" s="24">
        <v>46388.0</v>
      </c>
      <c r="M140" s="24">
        <v>46752.0</v>
      </c>
      <c r="N140" s="20">
        <v>0.0</v>
      </c>
      <c r="O140" s="20">
        <v>1.0</v>
      </c>
      <c r="P140" s="24">
        <v>46753.0</v>
      </c>
      <c r="Q140" s="24">
        <v>47118.0</v>
      </c>
      <c r="R140" s="20">
        <v>0.0</v>
      </c>
      <c r="S140" s="20">
        <v>1.0</v>
      </c>
      <c r="T140" s="24">
        <v>47119.0</v>
      </c>
      <c r="U140" s="24">
        <v>47483.0</v>
      </c>
      <c r="V140" s="20">
        <v>0.0</v>
      </c>
      <c r="W140" s="20">
        <v>1.0</v>
      </c>
      <c r="X140" s="24">
        <v>47484.0</v>
      </c>
      <c r="Y140" s="24">
        <v>47848.0</v>
      </c>
      <c r="Z140" s="20">
        <v>0.0</v>
      </c>
      <c r="AA140" s="20">
        <v>1.0</v>
      </c>
      <c r="AC140" s="24"/>
      <c r="AD140" s="24"/>
      <c r="AH140" s="24"/>
      <c r="AI140" s="24"/>
    </row>
    <row r="141" ht="14.25" customHeight="1">
      <c r="A141" s="46" t="s">
        <v>1447</v>
      </c>
      <c r="B141" s="20" t="s">
        <v>1448</v>
      </c>
      <c r="C141" s="20" t="s">
        <v>7041</v>
      </c>
      <c r="D141" s="24">
        <v>45658.0</v>
      </c>
      <c r="E141" s="24">
        <v>46022.0</v>
      </c>
      <c r="F141" s="20">
        <v>1.0</v>
      </c>
      <c r="G141" s="20">
        <v>1.0</v>
      </c>
      <c r="H141" s="24">
        <v>46023.0</v>
      </c>
      <c r="I141" s="24">
        <v>46387.0</v>
      </c>
      <c r="J141" s="20">
        <v>0.0</v>
      </c>
      <c r="K141" s="20">
        <v>1.0</v>
      </c>
      <c r="L141" s="24">
        <v>46388.0</v>
      </c>
      <c r="M141" s="24">
        <v>46752.0</v>
      </c>
      <c r="N141" s="20">
        <v>0.0</v>
      </c>
      <c r="O141" s="20">
        <v>1.0</v>
      </c>
      <c r="P141" s="24">
        <v>46753.0</v>
      </c>
      <c r="Q141" s="24">
        <v>47118.0</v>
      </c>
      <c r="R141" s="20">
        <v>0.0</v>
      </c>
      <c r="S141" s="20">
        <v>1.0</v>
      </c>
      <c r="T141" s="24">
        <v>47119.0</v>
      </c>
      <c r="U141" s="24">
        <v>47483.0</v>
      </c>
      <c r="V141" s="20">
        <v>0.0</v>
      </c>
      <c r="W141" s="20">
        <v>1.0</v>
      </c>
      <c r="X141" s="24">
        <v>47484.0</v>
      </c>
      <c r="Y141" s="24">
        <v>47848.0</v>
      </c>
      <c r="Z141" s="20">
        <v>0.0</v>
      </c>
      <c r="AA141" s="20">
        <v>1.0</v>
      </c>
      <c r="AC141" s="24"/>
      <c r="AD141" s="24"/>
      <c r="AH141" s="24"/>
      <c r="AI141" s="24"/>
    </row>
    <row r="142" ht="14.25" customHeight="1">
      <c r="A142" s="46" t="s">
        <v>1571</v>
      </c>
      <c r="B142" s="20" t="s">
        <v>1572</v>
      </c>
      <c r="C142" s="20" t="s">
        <v>7041</v>
      </c>
      <c r="D142" s="24">
        <v>45658.0</v>
      </c>
      <c r="E142" s="24">
        <v>46022.0</v>
      </c>
      <c r="F142" s="20">
        <v>0.0</v>
      </c>
      <c r="G142" s="20">
        <v>1.0</v>
      </c>
      <c r="H142" s="24">
        <v>46023.0</v>
      </c>
      <c r="I142" s="24">
        <v>46387.0</v>
      </c>
      <c r="J142" s="20">
        <v>0.0</v>
      </c>
      <c r="K142" s="20">
        <v>1.0</v>
      </c>
      <c r="L142" s="24">
        <v>46388.0</v>
      </c>
      <c r="M142" s="24">
        <v>46752.0</v>
      </c>
      <c r="N142" s="20">
        <v>0.0</v>
      </c>
      <c r="O142" s="20">
        <v>1.0</v>
      </c>
      <c r="P142" s="24">
        <v>46753.0</v>
      </c>
      <c r="Q142" s="24">
        <v>47118.0</v>
      </c>
      <c r="R142" s="20">
        <v>0.0</v>
      </c>
      <c r="S142" s="20">
        <v>1.0</v>
      </c>
      <c r="T142" s="24">
        <v>47119.0</v>
      </c>
      <c r="U142" s="24">
        <v>47483.0</v>
      </c>
      <c r="V142" s="20">
        <v>0.0</v>
      </c>
      <c r="W142" s="20">
        <v>1.0</v>
      </c>
      <c r="X142" s="24">
        <v>47484.0</v>
      </c>
      <c r="Y142" s="24">
        <v>47848.0</v>
      </c>
      <c r="Z142" s="20">
        <v>0.0</v>
      </c>
      <c r="AA142" s="20">
        <v>1.0</v>
      </c>
      <c r="AC142" s="24"/>
      <c r="AD142" s="24"/>
      <c r="AH142" s="24"/>
      <c r="AI142" s="24"/>
    </row>
    <row r="143" ht="14.25" customHeight="1">
      <c r="A143" s="46" t="s">
        <v>1605</v>
      </c>
      <c r="B143" s="20" t="s">
        <v>1606</v>
      </c>
      <c r="C143" s="20" t="s">
        <v>7041</v>
      </c>
      <c r="D143" s="24">
        <v>45658.0</v>
      </c>
      <c r="E143" s="24">
        <v>46022.0</v>
      </c>
      <c r="F143" s="20">
        <v>0.0</v>
      </c>
      <c r="G143" s="20">
        <v>1.0</v>
      </c>
      <c r="H143" s="24">
        <v>46023.0</v>
      </c>
      <c r="I143" s="24">
        <v>46387.0</v>
      </c>
      <c r="J143" s="20">
        <v>0.0</v>
      </c>
      <c r="K143" s="20">
        <v>1.0</v>
      </c>
      <c r="L143" s="24">
        <v>46388.0</v>
      </c>
      <c r="M143" s="24">
        <v>46752.0</v>
      </c>
      <c r="N143" s="20">
        <v>0.0</v>
      </c>
      <c r="O143" s="20">
        <v>1.0</v>
      </c>
      <c r="P143" s="24">
        <v>46753.0</v>
      </c>
      <c r="Q143" s="24">
        <v>47118.0</v>
      </c>
      <c r="R143" s="20">
        <v>0.0</v>
      </c>
      <c r="S143" s="20">
        <v>1.0</v>
      </c>
      <c r="T143" s="24">
        <v>47119.0</v>
      </c>
      <c r="U143" s="24">
        <v>47483.0</v>
      </c>
      <c r="V143" s="20">
        <v>0.0</v>
      </c>
      <c r="W143" s="20">
        <v>1.0</v>
      </c>
      <c r="X143" s="24">
        <v>47484.0</v>
      </c>
      <c r="Y143" s="24">
        <v>47848.0</v>
      </c>
      <c r="Z143" s="20">
        <v>0.0</v>
      </c>
      <c r="AA143" s="20">
        <v>1.0</v>
      </c>
      <c r="AC143" s="24"/>
      <c r="AD143" s="24"/>
      <c r="AH143" s="24"/>
      <c r="AI143" s="24"/>
    </row>
    <row r="144" ht="14.25" customHeight="1">
      <c r="A144" s="46" t="s">
        <v>1850</v>
      </c>
      <c r="B144" s="20" t="s">
        <v>1851</v>
      </c>
      <c r="C144" s="20" t="s">
        <v>7041</v>
      </c>
      <c r="D144" s="24">
        <v>45658.0</v>
      </c>
      <c r="E144" s="24">
        <v>46022.0</v>
      </c>
      <c r="F144" s="20">
        <v>0.0</v>
      </c>
      <c r="G144" s="20">
        <v>1.0</v>
      </c>
      <c r="H144" s="24">
        <v>46023.0</v>
      </c>
      <c r="I144" s="24">
        <v>46387.0</v>
      </c>
      <c r="J144" s="20">
        <v>0.0</v>
      </c>
      <c r="K144" s="20">
        <v>1.0</v>
      </c>
      <c r="L144" s="24">
        <v>46388.0</v>
      </c>
      <c r="M144" s="24">
        <v>46752.0</v>
      </c>
      <c r="N144" s="20">
        <v>0.0</v>
      </c>
      <c r="O144" s="20">
        <v>1.0</v>
      </c>
      <c r="P144" s="24">
        <v>46753.0</v>
      </c>
      <c r="Q144" s="24">
        <v>47118.0</v>
      </c>
      <c r="R144" s="20">
        <v>0.0</v>
      </c>
      <c r="S144" s="20">
        <v>1.0</v>
      </c>
      <c r="T144" s="24">
        <v>47119.0</v>
      </c>
      <c r="U144" s="24">
        <v>47483.0</v>
      </c>
      <c r="V144" s="20">
        <v>0.0</v>
      </c>
      <c r="W144" s="20">
        <v>1.0</v>
      </c>
      <c r="X144" s="24">
        <v>47484.0</v>
      </c>
      <c r="Y144" s="24">
        <v>47848.0</v>
      </c>
      <c r="Z144" s="20">
        <v>0.0</v>
      </c>
      <c r="AA144" s="20">
        <v>1.0</v>
      </c>
      <c r="AC144" s="24"/>
      <c r="AD144" s="24"/>
      <c r="AH144" s="24"/>
      <c r="AI144" s="24"/>
    </row>
    <row r="145" ht="14.25" customHeight="1">
      <c r="A145" s="46" t="s">
        <v>1928</v>
      </c>
      <c r="B145" s="20" t="s">
        <v>1929</v>
      </c>
      <c r="C145" s="20" t="s">
        <v>7041</v>
      </c>
      <c r="D145" s="24">
        <v>45658.0</v>
      </c>
      <c r="E145" s="24">
        <v>46022.0</v>
      </c>
      <c r="F145" s="20">
        <v>0.0</v>
      </c>
      <c r="G145" s="20">
        <v>1.0</v>
      </c>
      <c r="H145" s="24">
        <v>46023.0</v>
      </c>
      <c r="I145" s="24">
        <v>46387.0</v>
      </c>
      <c r="J145" s="20">
        <v>0.0</v>
      </c>
      <c r="K145" s="20">
        <v>1.0</v>
      </c>
      <c r="L145" s="24">
        <v>46388.0</v>
      </c>
      <c r="M145" s="24">
        <v>46752.0</v>
      </c>
      <c r="N145" s="20">
        <v>0.0</v>
      </c>
      <c r="O145" s="20">
        <v>1.0</v>
      </c>
      <c r="P145" s="24">
        <v>46753.0</v>
      </c>
      <c r="Q145" s="24">
        <v>47118.0</v>
      </c>
      <c r="R145" s="20">
        <v>0.0</v>
      </c>
      <c r="S145" s="20">
        <v>1.0</v>
      </c>
      <c r="T145" s="24">
        <v>47119.0</v>
      </c>
      <c r="U145" s="24">
        <v>47483.0</v>
      </c>
      <c r="V145" s="20">
        <v>0.0</v>
      </c>
      <c r="W145" s="20">
        <v>1.0</v>
      </c>
      <c r="X145" s="24">
        <v>47484.0</v>
      </c>
      <c r="Y145" s="24">
        <v>47848.0</v>
      </c>
      <c r="Z145" s="20">
        <v>0.0</v>
      </c>
      <c r="AA145" s="20">
        <v>1.0</v>
      </c>
      <c r="AC145" s="24"/>
      <c r="AD145" s="24"/>
      <c r="AH145" s="24"/>
      <c r="AI145" s="24"/>
    </row>
    <row r="146" ht="14.25" customHeight="1">
      <c r="A146" s="46" t="s">
        <v>1979</v>
      </c>
      <c r="B146" s="20" t="s">
        <v>1980</v>
      </c>
      <c r="C146" s="20" t="s">
        <v>7041</v>
      </c>
      <c r="D146" s="24">
        <v>45658.0</v>
      </c>
      <c r="E146" s="24">
        <v>46022.0</v>
      </c>
      <c r="F146" s="20">
        <v>1.0</v>
      </c>
      <c r="G146" s="20">
        <v>1.0</v>
      </c>
      <c r="H146" s="24">
        <v>46023.0</v>
      </c>
      <c r="I146" s="24">
        <v>46387.0</v>
      </c>
      <c r="J146" s="20">
        <v>0.0</v>
      </c>
      <c r="K146" s="20">
        <v>1.0</v>
      </c>
      <c r="L146" s="24">
        <v>46388.0</v>
      </c>
      <c r="M146" s="24">
        <v>46752.0</v>
      </c>
      <c r="N146" s="20">
        <v>0.0</v>
      </c>
      <c r="O146" s="20">
        <v>1.0</v>
      </c>
      <c r="P146" s="24">
        <v>46753.0</v>
      </c>
      <c r="Q146" s="24">
        <v>47118.0</v>
      </c>
      <c r="R146" s="20">
        <v>0.0</v>
      </c>
      <c r="S146" s="20">
        <v>1.0</v>
      </c>
      <c r="T146" s="24">
        <v>47119.0</v>
      </c>
      <c r="U146" s="24">
        <v>47483.0</v>
      </c>
      <c r="V146" s="20">
        <v>0.0</v>
      </c>
      <c r="W146" s="20">
        <v>1.0</v>
      </c>
      <c r="X146" s="24">
        <v>47484.0</v>
      </c>
      <c r="Y146" s="24">
        <v>47848.0</v>
      </c>
      <c r="Z146" s="20">
        <v>0.0</v>
      </c>
      <c r="AA146" s="20">
        <v>1.0</v>
      </c>
      <c r="AC146" s="24"/>
      <c r="AD146" s="24"/>
      <c r="AH146" s="24"/>
      <c r="AI146" s="24"/>
    </row>
    <row r="147" ht="14.25" customHeight="1">
      <c r="A147" s="46" t="s">
        <v>2158</v>
      </c>
      <c r="B147" s="20" t="s">
        <v>2159</v>
      </c>
      <c r="C147" s="20" t="s">
        <v>7041</v>
      </c>
      <c r="D147" s="24">
        <v>45658.0</v>
      </c>
      <c r="E147" s="24">
        <v>46022.0</v>
      </c>
      <c r="F147" s="20">
        <v>0.0</v>
      </c>
      <c r="G147" s="20">
        <v>1.0</v>
      </c>
      <c r="H147" s="24">
        <v>46023.0</v>
      </c>
      <c r="I147" s="24">
        <v>46387.0</v>
      </c>
      <c r="J147" s="20">
        <v>0.0</v>
      </c>
      <c r="K147" s="20">
        <v>1.0</v>
      </c>
      <c r="L147" s="24">
        <v>46388.0</v>
      </c>
      <c r="M147" s="24">
        <v>46752.0</v>
      </c>
      <c r="N147" s="20">
        <v>0.0</v>
      </c>
      <c r="O147" s="20">
        <v>1.0</v>
      </c>
      <c r="P147" s="24">
        <v>46753.0</v>
      </c>
      <c r="Q147" s="24">
        <v>47118.0</v>
      </c>
      <c r="R147" s="20">
        <v>0.0</v>
      </c>
      <c r="S147" s="20">
        <v>1.0</v>
      </c>
      <c r="T147" s="24">
        <v>47119.0</v>
      </c>
      <c r="U147" s="24">
        <v>47483.0</v>
      </c>
      <c r="V147" s="20">
        <v>0.0</v>
      </c>
      <c r="W147" s="20">
        <v>1.0</v>
      </c>
      <c r="X147" s="24">
        <v>47484.0</v>
      </c>
      <c r="Y147" s="24">
        <v>47848.0</v>
      </c>
      <c r="Z147" s="20">
        <v>0.0</v>
      </c>
      <c r="AA147" s="20">
        <v>1.0</v>
      </c>
      <c r="AC147" s="24"/>
      <c r="AD147" s="24"/>
      <c r="AH147" s="24"/>
      <c r="AI147" s="24"/>
    </row>
    <row r="148" ht="14.25" customHeight="1">
      <c r="A148" s="46" t="s">
        <v>2163</v>
      </c>
      <c r="B148" s="20" t="s">
        <v>2164</v>
      </c>
      <c r="C148" s="20" t="s">
        <v>7041</v>
      </c>
      <c r="D148" s="24">
        <v>45658.0</v>
      </c>
      <c r="E148" s="24">
        <v>46022.0</v>
      </c>
      <c r="F148" s="20">
        <v>0.0</v>
      </c>
      <c r="G148" s="20">
        <v>1.0</v>
      </c>
      <c r="H148" s="24">
        <v>46023.0</v>
      </c>
      <c r="I148" s="24">
        <v>46387.0</v>
      </c>
      <c r="J148" s="20">
        <v>0.0</v>
      </c>
      <c r="K148" s="20">
        <v>1.0</v>
      </c>
      <c r="L148" s="24">
        <v>46388.0</v>
      </c>
      <c r="M148" s="24">
        <v>46752.0</v>
      </c>
      <c r="N148" s="20">
        <v>0.0</v>
      </c>
      <c r="O148" s="20">
        <v>1.0</v>
      </c>
      <c r="P148" s="24">
        <v>46753.0</v>
      </c>
      <c r="Q148" s="24">
        <v>47118.0</v>
      </c>
      <c r="R148" s="20">
        <v>0.0</v>
      </c>
      <c r="S148" s="20">
        <v>1.0</v>
      </c>
      <c r="T148" s="24">
        <v>47119.0</v>
      </c>
      <c r="U148" s="24">
        <v>47483.0</v>
      </c>
      <c r="V148" s="20">
        <v>0.0</v>
      </c>
      <c r="W148" s="20">
        <v>1.0</v>
      </c>
      <c r="X148" s="24">
        <v>47484.0</v>
      </c>
      <c r="Y148" s="24">
        <v>47848.0</v>
      </c>
      <c r="Z148" s="20">
        <v>0.0</v>
      </c>
      <c r="AA148" s="20">
        <v>1.0</v>
      </c>
      <c r="AC148" s="24"/>
      <c r="AD148" s="24"/>
      <c r="AH148" s="24"/>
      <c r="AI148" s="24"/>
    </row>
    <row r="149" ht="14.25" customHeight="1">
      <c r="A149" s="46" t="s">
        <v>2167</v>
      </c>
      <c r="B149" s="20" t="s">
        <v>2168</v>
      </c>
      <c r="C149" s="20" t="s">
        <v>7041</v>
      </c>
      <c r="D149" s="24">
        <v>45658.0</v>
      </c>
      <c r="E149" s="24">
        <v>46022.0</v>
      </c>
      <c r="F149" s="20">
        <v>0.0</v>
      </c>
      <c r="G149" s="20">
        <v>1.0</v>
      </c>
      <c r="H149" s="24">
        <v>46023.0</v>
      </c>
      <c r="I149" s="24">
        <v>46387.0</v>
      </c>
      <c r="J149" s="20">
        <v>0.0</v>
      </c>
      <c r="K149" s="20">
        <v>1.0</v>
      </c>
      <c r="L149" s="24">
        <v>46388.0</v>
      </c>
      <c r="M149" s="24">
        <v>46752.0</v>
      </c>
      <c r="N149" s="20">
        <v>0.0</v>
      </c>
      <c r="O149" s="20">
        <v>1.0</v>
      </c>
      <c r="P149" s="24">
        <v>46753.0</v>
      </c>
      <c r="Q149" s="24">
        <v>47118.0</v>
      </c>
      <c r="R149" s="20">
        <v>0.0</v>
      </c>
      <c r="S149" s="20">
        <v>1.0</v>
      </c>
      <c r="T149" s="24">
        <v>47119.0</v>
      </c>
      <c r="U149" s="24">
        <v>47483.0</v>
      </c>
      <c r="V149" s="20">
        <v>0.0</v>
      </c>
      <c r="W149" s="20">
        <v>1.0</v>
      </c>
      <c r="X149" s="24">
        <v>47484.0</v>
      </c>
      <c r="Y149" s="24">
        <v>47848.0</v>
      </c>
      <c r="Z149" s="20">
        <v>0.0</v>
      </c>
      <c r="AA149" s="20">
        <v>1.0</v>
      </c>
      <c r="AC149" s="24"/>
      <c r="AD149" s="24"/>
      <c r="AH149" s="24"/>
      <c r="AI149" s="24"/>
    </row>
    <row r="150" ht="14.25" customHeight="1">
      <c r="A150" s="46" t="s">
        <v>2380</v>
      </c>
      <c r="B150" s="20" t="s">
        <v>2381</v>
      </c>
      <c r="C150" s="20" t="s">
        <v>7041</v>
      </c>
      <c r="D150" s="24">
        <v>45658.0</v>
      </c>
      <c r="E150" s="24">
        <v>46022.0</v>
      </c>
      <c r="F150" s="20">
        <v>1.0</v>
      </c>
      <c r="G150" s="20">
        <v>1.0</v>
      </c>
      <c r="H150" s="24">
        <v>46023.0</v>
      </c>
      <c r="I150" s="24">
        <v>46387.0</v>
      </c>
      <c r="J150" s="20">
        <v>0.0</v>
      </c>
      <c r="K150" s="20">
        <v>1.0</v>
      </c>
      <c r="L150" s="24">
        <v>46388.0</v>
      </c>
      <c r="M150" s="24">
        <v>46752.0</v>
      </c>
      <c r="N150" s="20">
        <v>0.0</v>
      </c>
      <c r="O150" s="20">
        <v>1.0</v>
      </c>
      <c r="P150" s="24">
        <v>46753.0</v>
      </c>
      <c r="Q150" s="24">
        <v>47118.0</v>
      </c>
      <c r="R150" s="20">
        <v>0.0</v>
      </c>
      <c r="S150" s="20">
        <v>1.0</v>
      </c>
      <c r="T150" s="24">
        <v>47119.0</v>
      </c>
      <c r="U150" s="24">
        <v>47483.0</v>
      </c>
      <c r="V150" s="20">
        <v>0.0</v>
      </c>
      <c r="W150" s="20">
        <v>1.0</v>
      </c>
      <c r="X150" s="24">
        <v>47484.0</v>
      </c>
      <c r="Y150" s="24">
        <v>47848.0</v>
      </c>
      <c r="Z150" s="20">
        <v>0.0</v>
      </c>
      <c r="AA150" s="20">
        <v>1.0</v>
      </c>
      <c r="AC150" s="24"/>
      <c r="AD150" s="24"/>
      <c r="AH150" s="24"/>
      <c r="AI150" s="24"/>
    </row>
    <row r="151" ht="14.25" customHeight="1">
      <c r="A151" s="46" t="s">
        <v>2423</v>
      </c>
      <c r="B151" s="20" t="s">
        <v>2424</v>
      </c>
      <c r="C151" s="20" t="s">
        <v>7041</v>
      </c>
      <c r="D151" s="24">
        <v>45658.0</v>
      </c>
      <c r="E151" s="24">
        <v>46022.0</v>
      </c>
      <c r="F151" s="20">
        <v>1.0</v>
      </c>
      <c r="G151" s="20">
        <v>1.0</v>
      </c>
      <c r="H151" s="24">
        <v>46023.0</v>
      </c>
      <c r="I151" s="24">
        <v>46387.0</v>
      </c>
      <c r="J151" s="20">
        <v>0.0</v>
      </c>
      <c r="K151" s="20">
        <v>1.0</v>
      </c>
      <c r="L151" s="24">
        <v>46388.0</v>
      </c>
      <c r="M151" s="24">
        <v>46752.0</v>
      </c>
      <c r="N151" s="20">
        <v>0.0</v>
      </c>
      <c r="O151" s="20">
        <v>1.0</v>
      </c>
      <c r="P151" s="24">
        <v>46753.0</v>
      </c>
      <c r="Q151" s="24">
        <v>47118.0</v>
      </c>
      <c r="R151" s="20">
        <v>0.0</v>
      </c>
      <c r="S151" s="20">
        <v>1.0</v>
      </c>
      <c r="T151" s="24">
        <v>47119.0</v>
      </c>
      <c r="U151" s="24">
        <v>47483.0</v>
      </c>
      <c r="V151" s="20">
        <v>0.0</v>
      </c>
      <c r="W151" s="20">
        <v>1.0</v>
      </c>
      <c r="X151" s="24">
        <v>47484.0</v>
      </c>
      <c r="Y151" s="24">
        <v>47848.0</v>
      </c>
      <c r="Z151" s="20">
        <v>0.0</v>
      </c>
      <c r="AA151" s="20">
        <v>1.0</v>
      </c>
      <c r="AC151" s="24"/>
      <c r="AD151" s="24"/>
      <c r="AH151" s="24"/>
      <c r="AI151" s="24"/>
    </row>
    <row r="152" ht="14.25" customHeight="1">
      <c r="A152" s="46" t="s">
        <v>2474</v>
      </c>
      <c r="B152" s="20" t="s">
        <v>2475</v>
      </c>
      <c r="C152" s="20" t="s">
        <v>7041</v>
      </c>
      <c r="D152" s="24">
        <v>45658.0</v>
      </c>
      <c r="E152" s="24">
        <v>46022.0</v>
      </c>
      <c r="F152" s="20">
        <v>0.0</v>
      </c>
      <c r="G152" s="20">
        <v>1.0</v>
      </c>
      <c r="H152" s="24">
        <v>46023.0</v>
      </c>
      <c r="I152" s="24">
        <v>46387.0</v>
      </c>
      <c r="J152" s="20">
        <v>0.0</v>
      </c>
      <c r="K152" s="20">
        <v>1.0</v>
      </c>
      <c r="L152" s="24">
        <v>46388.0</v>
      </c>
      <c r="M152" s="24">
        <v>46752.0</v>
      </c>
      <c r="N152" s="20">
        <v>0.0</v>
      </c>
      <c r="O152" s="20">
        <v>1.0</v>
      </c>
      <c r="P152" s="24">
        <v>46753.0</v>
      </c>
      <c r="Q152" s="24">
        <v>47118.0</v>
      </c>
      <c r="R152" s="20">
        <v>0.0</v>
      </c>
      <c r="S152" s="20">
        <v>1.0</v>
      </c>
      <c r="T152" s="24">
        <v>47119.0</v>
      </c>
      <c r="U152" s="24">
        <v>47483.0</v>
      </c>
      <c r="V152" s="20">
        <v>0.0</v>
      </c>
      <c r="W152" s="20">
        <v>1.0</v>
      </c>
      <c r="X152" s="24">
        <v>47484.0</v>
      </c>
      <c r="Y152" s="24">
        <v>47848.0</v>
      </c>
      <c r="Z152" s="20">
        <v>0.0</v>
      </c>
      <c r="AA152" s="20">
        <v>1.0</v>
      </c>
      <c r="AC152" s="24"/>
      <c r="AD152" s="24"/>
      <c r="AH152" s="24"/>
      <c r="AI152" s="24"/>
    </row>
    <row r="153" ht="14.25" customHeight="1">
      <c r="A153" s="46" t="s">
        <v>2492</v>
      </c>
      <c r="B153" s="20" t="s">
        <v>2493</v>
      </c>
      <c r="C153" s="20" t="s">
        <v>7041</v>
      </c>
      <c r="D153" s="24">
        <v>45658.0</v>
      </c>
      <c r="E153" s="24">
        <v>46022.0</v>
      </c>
      <c r="F153" s="20">
        <v>1.0</v>
      </c>
      <c r="G153" s="20">
        <v>1.0</v>
      </c>
      <c r="H153" s="24">
        <v>46023.0</v>
      </c>
      <c r="I153" s="24">
        <v>46387.0</v>
      </c>
      <c r="J153" s="20">
        <v>0.0</v>
      </c>
      <c r="K153" s="20">
        <v>1.0</v>
      </c>
      <c r="L153" s="24">
        <v>46388.0</v>
      </c>
      <c r="M153" s="24">
        <v>46752.0</v>
      </c>
      <c r="N153" s="20">
        <v>0.0</v>
      </c>
      <c r="O153" s="20">
        <v>1.0</v>
      </c>
      <c r="P153" s="24">
        <v>46753.0</v>
      </c>
      <c r="Q153" s="24">
        <v>47118.0</v>
      </c>
      <c r="R153" s="20">
        <v>0.0</v>
      </c>
      <c r="S153" s="20">
        <v>1.0</v>
      </c>
      <c r="T153" s="24">
        <v>47119.0</v>
      </c>
      <c r="U153" s="24">
        <v>47483.0</v>
      </c>
      <c r="V153" s="20">
        <v>0.0</v>
      </c>
      <c r="W153" s="20">
        <v>1.0</v>
      </c>
      <c r="X153" s="24">
        <v>47484.0</v>
      </c>
      <c r="Y153" s="24">
        <v>47848.0</v>
      </c>
      <c r="Z153" s="20">
        <v>0.0</v>
      </c>
      <c r="AA153" s="20">
        <v>1.0</v>
      </c>
      <c r="AC153" s="24"/>
      <c r="AD153" s="24"/>
      <c r="AH153" s="24"/>
      <c r="AI153" s="24"/>
    </row>
    <row r="154" ht="14.25" customHeight="1">
      <c r="A154" s="46" t="s">
        <v>2526</v>
      </c>
      <c r="B154" s="20" t="s">
        <v>2527</v>
      </c>
      <c r="C154" s="20" t="s">
        <v>7041</v>
      </c>
      <c r="D154" s="24">
        <v>45658.0</v>
      </c>
      <c r="E154" s="24">
        <v>46022.0</v>
      </c>
      <c r="F154" s="20">
        <v>0.0</v>
      </c>
      <c r="G154" s="20">
        <v>1.0</v>
      </c>
      <c r="H154" s="24">
        <v>46023.0</v>
      </c>
      <c r="I154" s="24">
        <v>46387.0</v>
      </c>
      <c r="J154" s="20">
        <v>0.0</v>
      </c>
      <c r="K154" s="20">
        <v>1.0</v>
      </c>
      <c r="L154" s="24">
        <v>46388.0</v>
      </c>
      <c r="M154" s="24">
        <v>46752.0</v>
      </c>
      <c r="N154" s="20">
        <v>0.0</v>
      </c>
      <c r="O154" s="20">
        <v>1.0</v>
      </c>
      <c r="P154" s="24">
        <v>46753.0</v>
      </c>
      <c r="Q154" s="24">
        <v>47118.0</v>
      </c>
      <c r="R154" s="20">
        <v>0.0</v>
      </c>
      <c r="S154" s="20">
        <v>1.0</v>
      </c>
      <c r="T154" s="24">
        <v>47119.0</v>
      </c>
      <c r="U154" s="24">
        <v>47483.0</v>
      </c>
      <c r="V154" s="20">
        <v>0.0</v>
      </c>
      <c r="W154" s="20">
        <v>1.0</v>
      </c>
      <c r="X154" s="24">
        <v>47484.0</v>
      </c>
      <c r="Y154" s="24">
        <v>47848.0</v>
      </c>
      <c r="Z154" s="20">
        <v>0.0</v>
      </c>
      <c r="AA154" s="20">
        <v>1.0</v>
      </c>
      <c r="AC154" s="24"/>
      <c r="AD154" s="24"/>
      <c r="AH154" s="24"/>
      <c r="AI154" s="24"/>
    </row>
    <row r="155" ht="14.25" customHeight="1">
      <c r="A155" s="46" t="s">
        <v>2636</v>
      </c>
      <c r="B155" s="20" t="s">
        <v>2637</v>
      </c>
      <c r="C155" s="20" t="s">
        <v>7041</v>
      </c>
      <c r="D155" s="24">
        <v>45658.0</v>
      </c>
      <c r="E155" s="24">
        <v>46022.0</v>
      </c>
      <c r="F155" s="20">
        <v>0.0</v>
      </c>
      <c r="G155" s="20">
        <v>1.0</v>
      </c>
      <c r="H155" s="24">
        <v>46023.0</v>
      </c>
      <c r="I155" s="24">
        <v>46387.0</v>
      </c>
      <c r="J155" s="20">
        <v>0.0</v>
      </c>
      <c r="K155" s="20">
        <v>1.0</v>
      </c>
      <c r="L155" s="24">
        <v>46388.0</v>
      </c>
      <c r="M155" s="24">
        <v>46752.0</v>
      </c>
      <c r="N155" s="20">
        <v>0.0</v>
      </c>
      <c r="O155" s="20">
        <v>1.0</v>
      </c>
      <c r="P155" s="24">
        <v>46753.0</v>
      </c>
      <c r="Q155" s="24">
        <v>47118.0</v>
      </c>
      <c r="R155" s="20">
        <v>0.0</v>
      </c>
      <c r="S155" s="20">
        <v>1.0</v>
      </c>
      <c r="T155" s="24">
        <v>47119.0</v>
      </c>
      <c r="U155" s="24">
        <v>47483.0</v>
      </c>
      <c r="V155" s="20">
        <v>0.0</v>
      </c>
      <c r="W155" s="20">
        <v>1.0</v>
      </c>
      <c r="X155" s="24">
        <v>47484.0</v>
      </c>
      <c r="Y155" s="24">
        <v>47848.0</v>
      </c>
      <c r="Z155" s="20">
        <v>0.0</v>
      </c>
      <c r="AA155" s="20">
        <v>1.0</v>
      </c>
      <c r="AC155" s="24"/>
      <c r="AD155" s="24"/>
      <c r="AH155" s="24"/>
      <c r="AI155" s="24"/>
    </row>
    <row r="156" ht="14.25" customHeight="1">
      <c r="A156" s="46" t="s">
        <v>2776</v>
      </c>
      <c r="B156" s="20" t="s">
        <v>2777</v>
      </c>
      <c r="C156" s="20" t="s">
        <v>7041</v>
      </c>
      <c r="D156" s="24">
        <v>45658.0</v>
      </c>
      <c r="E156" s="24">
        <v>46022.0</v>
      </c>
      <c r="F156" s="20">
        <v>0.0</v>
      </c>
      <c r="G156" s="20">
        <v>1.0</v>
      </c>
      <c r="H156" s="24">
        <v>46023.0</v>
      </c>
      <c r="I156" s="24">
        <v>46387.0</v>
      </c>
      <c r="J156" s="20">
        <v>0.0</v>
      </c>
      <c r="K156" s="20">
        <v>1.0</v>
      </c>
      <c r="L156" s="24">
        <v>46388.0</v>
      </c>
      <c r="M156" s="24">
        <v>46752.0</v>
      </c>
      <c r="N156" s="20">
        <v>0.0</v>
      </c>
      <c r="O156" s="20">
        <v>1.0</v>
      </c>
      <c r="P156" s="24">
        <v>46753.0</v>
      </c>
      <c r="Q156" s="24">
        <v>47118.0</v>
      </c>
      <c r="R156" s="20">
        <v>0.0</v>
      </c>
      <c r="S156" s="20">
        <v>1.0</v>
      </c>
      <c r="T156" s="24">
        <v>47119.0</v>
      </c>
      <c r="U156" s="24">
        <v>47483.0</v>
      </c>
      <c r="V156" s="20">
        <v>0.0</v>
      </c>
      <c r="W156" s="20">
        <v>1.0</v>
      </c>
      <c r="X156" s="24">
        <v>47484.0</v>
      </c>
      <c r="Y156" s="24">
        <v>47848.0</v>
      </c>
      <c r="Z156" s="20">
        <v>0.0</v>
      </c>
      <c r="AA156" s="20">
        <v>1.0</v>
      </c>
      <c r="AC156" s="24"/>
      <c r="AD156" s="24"/>
      <c r="AH156" s="24"/>
      <c r="AI156" s="24"/>
    </row>
    <row r="157" ht="14.25" customHeight="1">
      <c r="A157" s="46" t="s">
        <v>2794</v>
      </c>
      <c r="B157" s="20" t="s">
        <v>2795</v>
      </c>
      <c r="C157" s="20" t="s">
        <v>7041</v>
      </c>
      <c r="D157" s="24">
        <v>45658.0</v>
      </c>
      <c r="E157" s="24">
        <v>46022.0</v>
      </c>
      <c r="F157" s="20">
        <v>1.0</v>
      </c>
      <c r="G157" s="20">
        <v>1.0</v>
      </c>
      <c r="H157" s="24">
        <v>46023.0</v>
      </c>
      <c r="I157" s="24">
        <v>46387.0</v>
      </c>
      <c r="J157" s="20">
        <v>0.0</v>
      </c>
      <c r="K157" s="20">
        <v>1.0</v>
      </c>
      <c r="L157" s="24">
        <v>46388.0</v>
      </c>
      <c r="M157" s="24">
        <v>46752.0</v>
      </c>
      <c r="N157" s="20">
        <v>0.0</v>
      </c>
      <c r="O157" s="20">
        <v>1.0</v>
      </c>
      <c r="P157" s="24">
        <v>46753.0</v>
      </c>
      <c r="Q157" s="24">
        <v>47118.0</v>
      </c>
      <c r="R157" s="20">
        <v>0.0</v>
      </c>
      <c r="S157" s="20">
        <v>1.0</v>
      </c>
      <c r="T157" s="24">
        <v>47119.0</v>
      </c>
      <c r="U157" s="24">
        <v>47483.0</v>
      </c>
      <c r="V157" s="20">
        <v>0.0</v>
      </c>
      <c r="W157" s="20">
        <v>1.0</v>
      </c>
      <c r="X157" s="24">
        <v>47484.0</v>
      </c>
      <c r="Y157" s="24">
        <v>47848.0</v>
      </c>
      <c r="Z157" s="20">
        <v>0.0</v>
      </c>
      <c r="AA157" s="20">
        <v>1.0</v>
      </c>
      <c r="AC157" s="24"/>
      <c r="AD157" s="24"/>
      <c r="AH157" s="24"/>
      <c r="AI157" s="24"/>
    </row>
    <row r="158" ht="14.25" customHeight="1">
      <c r="A158" s="46" t="s">
        <v>2975</v>
      </c>
      <c r="B158" s="20" t="s">
        <v>2976</v>
      </c>
      <c r="C158" s="20" t="s">
        <v>7041</v>
      </c>
      <c r="D158" s="24">
        <v>45658.0</v>
      </c>
      <c r="E158" s="24">
        <v>46022.0</v>
      </c>
      <c r="F158" s="20">
        <v>0.0</v>
      </c>
      <c r="G158" s="20">
        <v>1.0</v>
      </c>
      <c r="H158" s="24">
        <v>46023.0</v>
      </c>
      <c r="I158" s="24">
        <v>46387.0</v>
      </c>
      <c r="J158" s="20">
        <v>0.0</v>
      </c>
      <c r="K158" s="20">
        <v>1.0</v>
      </c>
      <c r="L158" s="24">
        <v>46388.0</v>
      </c>
      <c r="M158" s="24">
        <v>46752.0</v>
      </c>
      <c r="N158" s="20">
        <v>0.0</v>
      </c>
      <c r="O158" s="20">
        <v>1.0</v>
      </c>
      <c r="P158" s="24">
        <v>46753.0</v>
      </c>
      <c r="Q158" s="24">
        <v>47118.0</v>
      </c>
      <c r="R158" s="20">
        <v>0.0</v>
      </c>
      <c r="S158" s="20">
        <v>1.0</v>
      </c>
      <c r="T158" s="24">
        <v>47119.0</v>
      </c>
      <c r="U158" s="24">
        <v>47483.0</v>
      </c>
      <c r="V158" s="20">
        <v>0.0</v>
      </c>
      <c r="W158" s="20">
        <v>1.0</v>
      </c>
      <c r="X158" s="24">
        <v>47484.0</v>
      </c>
      <c r="Y158" s="24">
        <v>47848.0</v>
      </c>
      <c r="Z158" s="20">
        <v>0.0</v>
      </c>
      <c r="AA158" s="20">
        <v>1.0</v>
      </c>
      <c r="AC158" s="24"/>
      <c r="AD158" s="24"/>
      <c r="AH158" s="24"/>
      <c r="AI158" s="24"/>
    </row>
    <row r="159" ht="14.25" customHeight="1">
      <c r="A159" s="46" t="s">
        <v>2978</v>
      </c>
      <c r="B159" s="20" t="s">
        <v>2979</v>
      </c>
      <c r="C159" s="20" t="s">
        <v>7041</v>
      </c>
      <c r="D159" s="24">
        <v>45658.0</v>
      </c>
      <c r="E159" s="24">
        <v>46022.0</v>
      </c>
      <c r="F159" s="20">
        <v>1.0</v>
      </c>
      <c r="G159" s="20">
        <v>1.0</v>
      </c>
      <c r="H159" s="24">
        <v>46023.0</v>
      </c>
      <c r="I159" s="24">
        <v>46387.0</v>
      </c>
      <c r="J159" s="20">
        <v>0.0</v>
      </c>
      <c r="K159" s="20">
        <v>1.0</v>
      </c>
      <c r="L159" s="24">
        <v>46388.0</v>
      </c>
      <c r="M159" s="24">
        <v>46752.0</v>
      </c>
      <c r="N159" s="20">
        <v>0.0</v>
      </c>
      <c r="O159" s="20">
        <v>1.0</v>
      </c>
      <c r="P159" s="24">
        <v>46753.0</v>
      </c>
      <c r="Q159" s="24">
        <v>47118.0</v>
      </c>
      <c r="R159" s="20">
        <v>0.0</v>
      </c>
      <c r="S159" s="20">
        <v>1.0</v>
      </c>
      <c r="T159" s="24">
        <v>47119.0</v>
      </c>
      <c r="U159" s="24">
        <v>47483.0</v>
      </c>
      <c r="V159" s="20">
        <v>0.0</v>
      </c>
      <c r="W159" s="20">
        <v>1.0</v>
      </c>
      <c r="X159" s="24">
        <v>47484.0</v>
      </c>
      <c r="Y159" s="24">
        <v>47848.0</v>
      </c>
      <c r="Z159" s="20">
        <v>0.0</v>
      </c>
      <c r="AA159" s="20">
        <v>1.0</v>
      </c>
      <c r="AC159" s="24"/>
      <c r="AD159" s="24"/>
      <c r="AH159" s="24"/>
      <c r="AI159" s="24"/>
    </row>
    <row r="160" ht="14.25" customHeight="1">
      <c r="A160" s="46" t="s">
        <v>2982</v>
      </c>
      <c r="B160" s="20" t="s">
        <v>2983</v>
      </c>
      <c r="C160" s="20" t="s">
        <v>7041</v>
      </c>
      <c r="D160" s="24">
        <v>45658.0</v>
      </c>
      <c r="E160" s="24">
        <v>46022.0</v>
      </c>
      <c r="F160" s="20">
        <v>1.0</v>
      </c>
      <c r="G160" s="20">
        <v>1.0</v>
      </c>
      <c r="H160" s="24">
        <v>46023.0</v>
      </c>
      <c r="I160" s="24">
        <v>46387.0</v>
      </c>
      <c r="J160" s="20">
        <v>0.0</v>
      </c>
      <c r="K160" s="20">
        <v>1.0</v>
      </c>
      <c r="L160" s="24">
        <v>46388.0</v>
      </c>
      <c r="M160" s="24">
        <v>46752.0</v>
      </c>
      <c r="N160" s="20">
        <v>0.0</v>
      </c>
      <c r="O160" s="20">
        <v>1.0</v>
      </c>
      <c r="P160" s="24">
        <v>46753.0</v>
      </c>
      <c r="Q160" s="24">
        <v>47118.0</v>
      </c>
      <c r="R160" s="20">
        <v>0.0</v>
      </c>
      <c r="S160" s="20">
        <v>1.0</v>
      </c>
      <c r="T160" s="24">
        <v>47119.0</v>
      </c>
      <c r="U160" s="24">
        <v>47483.0</v>
      </c>
      <c r="V160" s="20">
        <v>0.0</v>
      </c>
      <c r="W160" s="20">
        <v>1.0</v>
      </c>
      <c r="X160" s="24">
        <v>47484.0</v>
      </c>
      <c r="Y160" s="24">
        <v>47848.0</v>
      </c>
      <c r="Z160" s="20">
        <v>0.0</v>
      </c>
      <c r="AA160" s="20">
        <v>1.0</v>
      </c>
      <c r="AC160" s="24"/>
      <c r="AD160" s="24"/>
      <c r="AH160" s="24"/>
      <c r="AI160" s="24"/>
    </row>
    <row r="161" ht="14.25" customHeight="1">
      <c r="A161" s="46" t="s">
        <v>3112</v>
      </c>
      <c r="B161" s="20" t="s">
        <v>3113</v>
      </c>
      <c r="C161" s="20" t="s">
        <v>7041</v>
      </c>
      <c r="D161" s="24">
        <v>45658.0</v>
      </c>
      <c r="E161" s="24">
        <v>46022.0</v>
      </c>
      <c r="F161" s="20">
        <v>0.0</v>
      </c>
      <c r="G161" s="20">
        <v>1.0</v>
      </c>
      <c r="H161" s="24">
        <v>46023.0</v>
      </c>
      <c r="I161" s="24">
        <v>46387.0</v>
      </c>
      <c r="J161" s="20">
        <v>0.0</v>
      </c>
      <c r="K161" s="20">
        <v>1.0</v>
      </c>
      <c r="L161" s="24">
        <v>46388.0</v>
      </c>
      <c r="M161" s="24">
        <v>46752.0</v>
      </c>
      <c r="N161" s="20">
        <v>0.0</v>
      </c>
      <c r="O161" s="20">
        <v>1.0</v>
      </c>
      <c r="P161" s="24">
        <v>46753.0</v>
      </c>
      <c r="Q161" s="24">
        <v>47118.0</v>
      </c>
      <c r="R161" s="20">
        <v>0.0</v>
      </c>
      <c r="S161" s="20">
        <v>1.0</v>
      </c>
      <c r="T161" s="24">
        <v>47119.0</v>
      </c>
      <c r="U161" s="24">
        <v>47483.0</v>
      </c>
      <c r="V161" s="20">
        <v>0.0</v>
      </c>
      <c r="W161" s="20">
        <v>1.0</v>
      </c>
      <c r="X161" s="24">
        <v>47484.0</v>
      </c>
      <c r="Y161" s="24">
        <v>47848.0</v>
      </c>
      <c r="Z161" s="20">
        <v>0.0</v>
      </c>
      <c r="AA161" s="20">
        <v>1.0</v>
      </c>
      <c r="AC161" s="24"/>
      <c r="AD161" s="24"/>
      <c r="AH161" s="24"/>
      <c r="AI161" s="24"/>
    </row>
    <row r="162" ht="14.25" customHeight="1">
      <c r="A162" s="46" t="s">
        <v>3141</v>
      </c>
      <c r="B162" s="20" t="s">
        <v>3142</v>
      </c>
      <c r="C162" s="20" t="s">
        <v>7041</v>
      </c>
      <c r="D162" s="24">
        <v>45658.0</v>
      </c>
      <c r="E162" s="24">
        <v>46022.0</v>
      </c>
      <c r="F162" s="20">
        <v>0.0</v>
      </c>
      <c r="G162" s="20">
        <v>1.0</v>
      </c>
      <c r="H162" s="24">
        <v>46023.0</v>
      </c>
      <c r="I162" s="24">
        <v>46387.0</v>
      </c>
      <c r="J162" s="20">
        <v>0.0</v>
      </c>
      <c r="K162" s="20">
        <v>1.0</v>
      </c>
      <c r="L162" s="24">
        <v>46388.0</v>
      </c>
      <c r="M162" s="24">
        <v>46752.0</v>
      </c>
      <c r="N162" s="20">
        <v>0.0</v>
      </c>
      <c r="O162" s="20">
        <v>1.0</v>
      </c>
      <c r="P162" s="24">
        <v>46753.0</v>
      </c>
      <c r="Q162" s="24">
        <v>47118.0</v>
      </c>
      <c r="R162" s="20">
        <v>0.0</v>
      </c>
      <c r="S162" s="20">
        <v>1.0</v>
      </c>
      <c r="T162" s="24">
        <v>47119.0</v>
      </c>
      <c r="U162" s="24">
        <v>47483.0</v>
      </c>
      <c r="V162" s="20">
        <v>0.0</v>
      </c>
      <c r="W162" s="20">
        <v>1.0</v>
      </c>
      <c r="X162" s="24">
        <v>47484.0</v>
      </c>
      <c r="Y162" s="24">
        <v>47848.0</v>
      </c>
      <c r="Z162" s="20">
        <v>0.0</v>
      </c>
      <c r="AA162" s="20">
        <v>1.0</v>
      </c>
      <c r="AC162" s="24"/>
      <c r="AD162" s="24"/>
      <c r="AH162" s="24"/>
      <c r="AI162" s="24"/>
    </row>
    <row r="163" ht="14.25" customHeight="1">
      <c r="A163" s="46" t="s">
        <v>3163</v>
      </c>
      <c r="B163" s="20" t="s">
        <v>3164</v>
      </c>
      <c r="C163" s="20" t="s">
        <v>7041</v>
      </c>
      <c r="D163" s="24">
        <v>45658.0</v>
      </c>
      <c r="E163" s="24">
        <v>46022.0</v>
      </c>
      <c r="F163" s="20">
        <v>0.0</v>
      </c>
      <c r="G163" s="20">
        <v>1.0</v>
      </c>
      <c r="H163" s="24">
        <v>46023.0</v>
      </c>
      <c r="I163" s="24">
        <v>46387.0</v>
      </c>
      <c r="J163" s="20">
        <v>0.0</v>
      </c>
      <c r="K163" s="20">
        <v>1.0</v>
      </c>
      <c r="L163" s="24">
        <v>46388.0</v>
      </c>
      <c r="M163" s="24">
        <v>46752.0</v>
      </c>
      <c r="N163" s="20">
        <v>0.0</v>
      </c>
      <c r="O163" s="20">
        <v>1.0</v>
      </c>
      <c r="P163" s="24">
        <v>46753.0</v>
      </c>
      <c r="Q163" s="24">
        <v>47118.0</v>
      </c>
      <c r="R163" s="20">
        <v>0.0</v>
      </c>
      <c r="S163" s="20">
        <v>1.0</v>
      </c>
      <c r="T163" s="24">
        <v>47119.0</v>
      </c>
      <c r="U163" s="24">
        <v>47483.0</v>
      </c>
      <c r="V163" s="20">
        <v>0.0</v>
      </c>
      <c r="W163" s="20">
        <v>1.0</v>
      </c>
      <c r="X163" s="24">
        <v>47484.0</v>
      </c>
      <c r="Y163" s="24">
        <v>47848.0</v>
      </c>
      <c r="Z163" s="20">
        <v>0.0</v>
      </c>
      <c r="AA163" s="20">
        <v>1.0</v>
      </c>
      <c r="AC163" s="24"/>
      <c r="AD163" s="24"/>
      <c r="AH163" s="24"/>
      <c r="AI163" s="24"/>
    </row>
    <row r="164" ht="14.25" customHeight="1">
      <c r="A164" s="46" t="s">
        <v>3176</v>
      </c>
      <c r="B164" s="20" t="s">
        <v>3177</v>
      </c>
      <c r="C164" s="20" t="s">
        <v>7041</v>
      </c>
      <c r="D164" s="24">
        <v>45658.0</v>
      </c>
      <c r="E164" s="24">
        <v>46022.0</v>
      </c>
      <c r="F164" s="20">
        <v>0.0</v>
      </c>
      <c r="G164" s="20">
        <v>1.0</v>
      </c>
      <c r="H164" s="24">
        <v>46023.0</v>
      </c>
      <c r="I164" s="24">
        <v>46387.0</v>
      </c>
      <c r="J164" s="20">
        <v>0.0</v>
      </c>
      <c r="K164" s="20">
        <v>1.0</v>
      </c>
      <c r="L164" s="24">
        <v>46388.0</v>
      </c>
      <c r="M164" s="24">
        <v>46752.0</v>
      </c>
      <c r="N164" s="20">
        <v>0.0</v>
      </c>
      <c r="O164" s="20">
        <v>1.0</v>
      </c>
      <c r="P164" s="24">
        <v>46753.0</v>
      </c>
      <c r="Q164" s="24">
        <v>47118.0</v>
      </c>
      <c r="R164" s="20">
        <v>0.0</v>
      </c>
      <c r="S164" s="20">
        <v>1.0</v>
      </c>
      <c r="T164" s="24">
        <v>47119.0</v>
      </c>
      <c r="U164" s="24">
        <v>47483.0</v>
      </c>
      <c r="V164" s="20">
        <v>0.0</v>
      </c>
      <c r="W164" s="20">
        <v>1.0</v>
      </c>
      <c r="X164" s="24">
        <v>47484.0</v>
      </c>
      <c r="Y164" s="24">
        <v>47848.0</v>
      </c>
      <c r="Z164" s="20">
        <v>0.0</v>
      </c>
      <c r="AA164" s="20">
        <v>1.0</v>
      </c>
      <c r="AC164" s="24"/>
      <c r="AD164" s="24"/>
      <c r="AH164" s="24"/>
      <c r="AI164" s="24"/>
    </row>
    <row r="165" ht="14.25" customHeight="1">
      <c r="A165" s="46" t="s">
        <v>3268</v>
      </c>
      <c r="B165" s="20" t="s">
        <v>3269</v>
      </c>
      <c r="C165" s="20" t="s">
        <v>7041</v>
      </c>
      <c r="D165" s="24">
        <v>45658.0</v>
      </c>
      <c r="E165" s="24">
        <v>46022.0</v>
      </c>
      <c r="F165" s="20">
        <v>0.0</v>
      </c>
      <c r="G165" s="20">
        <v>1.0</v>
      </c>
      <c r="H165" s="24">
        <v>46023.0</v>
      </c>
      <c r="I165" s="24">
        <v>46387.0</v>
      </c>
      <c r="J165" s="20">
        <v>0.0</v>
      </c>
      <c r="K165" s="20">
        <v>1.0</v>
      </c>
      <c r="L165" s="24">
        <v>46388.0</v>
      </c>
      <c r="M165" s="24">
        <v>46752.0</v>
      </c>
      <c r="N165" s="20">
        <v>0.0</v>
      </c>
      <c r="O165" s="20">
        <v>1.0</v>
      </c>
      <c r="P165" s="24">
        <v>46753.0</v>
      </c>
      <c r="Q165" s="24">
        <v>47118.0</v>
      </c>
      <c r="R165" s="20">
        <v>0.0</v>
      </c>
      <c r="S165" s="20">
        <v>1.0</v>
      </c>
      <c r="T165" s="24">
        <v>47119.0</v>
      </c>
      <c r="U165" s="24">
        <v>47483.0</v>
      </c>
      <c r="V165" s="20">
        <v>0.0</v>
      </c>
      <c r="W165" s="20">
        <v>1.0</v>
      </c>
      <c r="X165" s="24">
        <v>47484.0</v>
      </c>
      <c r="Y165" s="24">
        <v>47848.0</v>
      </c>
      <c r="Z165" s="20">
        <v>0.0</v>
      </c>
      <c r="AA165" s="20">
        <v>1.0</v>
      </c>
      <c r="AC165" s="24"/>
      <c r="AD165" s="24"/>
      <c r="AH165" s="24"/>
      <c r="AI165" s="24"/>
    </row>
    <row r="166" ht="14.25" customHeight="1">
      <c r="A166" s="46" t="s">
        <v>3357</v>
      </c>
      <c r="B166" s="20" t="s">
        <v>3358</v>
      </c>
      <c r="C166" s="20" t="s">
        <v>7041</v>
      </c>
      <c r="D166" s="24">
        <v>45658.0</v>
      </c>
      <c r="E166" s="24">
        <v>46022.0</v>
      </c>
      <c r="F166" s="20">
        <v>0.0</v>
      </c>
      <c r="G166" s="20">
        <v>1.0</v>
      </c>
      <c r="H166" s="24">
        <v>46023.0</v>
      </c>
      <c r="I166" s="24">
        <v>46387.0</v>
      </c>
      <c r="J166" s="20">
        <v>0.0</v>
      </c>
      <c r="K166" s="20">
        <v>1.0</v>
      </c>
      <c r="L166" s="24">
        <v>46388.0</v>
      </c>
      <c r="M166" s="24">
        <v>46752.0</v>
      </c>
      <c r="N166" s="20">
        <v>0.0</v>
      </c>
      <c r="O166" s="20">
        <v>1.0</v>
      </c>
      <c r="P166" s="24">
        <v>46753.0</v>
      </c>
      <c r="Q166" s="24">
        <v>47118.0</v>
      </c>
      <c r="R166" s="20">
        <v>0.0</v>
      </c>
      <c r="S166" s="20">
        <v>1.0</v>
      </c>
      <c r="T166" s="24">
        <v>47119.0</v>
      </c>
      <c r="U166" s="24">
        <v>47483.0</v>
      </c>
      <c r="V166" s="20">
        <v>0.0</v>
      </c>
      <c r="W166" s="20">
        <v>1.0</v>
      </c>
      <c r="X166" s="24">
        <v>47484.0</v>
      </c>
      <c r="Y166" s="24">
        <v>47848.0</v>
      </c>
      <c r="Z166" s="20">
        <v>0.0</v>
      </c>
      <c r="AA166" s="20">
        <v>1.0</v>
      </c>
      <c r="AC166" s="24"/>
      <c r="AD166" s="24"/>
      <c r="AH166" s="24"/>
      <c r="AI166" s="24"/>
    </row>
    <row r="167" ht="14.25" customHeight="1">
      <c r="A167" s="46" t="s">
        <v>3392</v>
      </c>
      <c r="B167" s="20" t="s">
        <v>3393</v>
      </c>
      <c r="C167" s="20" t="s">
        <v>7041</v>
      </c>
      <c r="D167" s="24">
        <v>45658.0</v>
      </c>
      <c r="E167" s="24">
        <v>46022.0</v>
      </c>
      <c r="F167" s="20">
        <v>1.0</v>
      </c>
      <c r="G167" s="20">
        <v>1.0</v>
      </c>
      <c r="H167" s="24">
        <v>46023.0</v>
      </c>
      <c r="I167" s="24">
        <v>46387.0</v>
      </c>
      <c r="J167" s="20">
        <v>0.0</v>
      </c>
      <c r="K167" s="20">
        <v>1.0</v>
      </c>
      <c r="L167" s="24">
        <v>46388.0</v>
      </c>
      <c r="M167" s="24">
        <v>46752.0</v>
      </c>
      <c r="N167" s="20">
        <v>0.0</v>
      </c>
      <c r="O167" s="20">
        <v>1.0</v>
      </c>
      <c r="P167" s="24">
        <v>46753.0</v>
      </c>
      <c r="Q167" s="24">
        <v>47118.0</v>
      </c>
      <c r="R167" s="20">
        <v>0.0</v>
      </c>
      <c r="S167" s="20">
        <v>1.0</v>
      </c>
      <c r="T167" s="24">
        <v>47119.0</v>
      </c>
      <c r="U167" s="24">
        <v>47483.0</v>
      </c>
      <c r="V167" s="20">
        <v>0.0</v>
      </c>
      <c r="W167" s="20">
        <v>1.0</v>
      </c>
      <c r="X167" s="24">
        <v>47484.0</v>
      </c>
      <c r="Y167" s="24">
        <v>47848.0</v>
      </c>
      <c r="Z167" s="20">
        <v>0.0</v>
      </c>
      <c r="AA167" s="20">
        <v>1.0</v>
      </c>
      <c r="AC167" s="24"/>
      <c r="AD167" s="24"/>
      <c r="AH167" s="24"/>
      <c r="AI167" s="24"/>
    </row>
    <row r="168" ht="14.25" customHeight="1">
      <c r="A168" s="46" t="s">
        <v>3413</v>
      </c>
      <c r="B168" s="20" t="s">
        <v>3414</v>
      </c>
      <c r="C168" s="20" t="s">
        <v>7041</v>
      </c>
      <c r="D168" s="24">
        <v>45658.0</v>
      </c>
      <c r="E168" s="24">
        <v>46022.0</v>
      </c>
      <c r="F168" s="20">
        <v>1.0</v>
      </c>
      <c r="G168" s="20">
        <v>1.0</v>
      </c>
      <c r="H168" s="24">
        <v>46023.0</v>
      </c>
      <c r="I168" s="24">
        <v>46387.0</v>
      </c>
      <c r="J168" s="20">
        <v>0.0</v>
      </c>
      <c r="K168" s="20">
        <v>1.0</v>
      </c>
      <c r="L168" s="24">
        <v>46388.0</v>
      </c>
      <c r="M168" s="24">
        <v>46752.0</v>
      </c>
      <c r="N168" s="20">
        <v>0.0</v>
      </c>
      <c r="O168" s="20">
        <v>1.0</v>
      </c>
      <c r="P168" s="24">
        <v>46753.0</v>
      </c>
      <c r="Q168" s="24">
        <v>47118.0</v>
      </c>
      <c r="R168" s="20">
        <v>0.0</v>
      </c>
      <c r="S168" s="20">
        <v>1.0</v>
      </c>
      <c r="T168" s="24">
        <v>47119.0</v>
      </c>
      <c r="U168" s="24">
        <v>47483.0</v>
      </c>
      <c r="V168" s="20">
        <v>0.0</v>
      </c>
      <c r="W168" s="20">
        <v>1.0</v>
      </c>
      <c r="X168" s="24">
        <v>47484.0</v>
      </c>
      <c r="Y168" s="24">
        <v>47848.0</v>
      </c>
      <c r="Z168" s="20">
        <v>0.0</v>
      </c>
      <c r="AA168" s="20">
        <v>1.0</v>
      </c>
      <c r="AC168" s="24"/>
      <c r="AD168" s="24"/>
      <c r="AH168" s="24"/>
      <c r="AI168" s="24"/>
    </row>
    <row r="169" ht="14.25" customHeight="1">
      <c r="A169" s="46" t="s">
        <v>3564</v>
      </c>
      <c r="B169" s="20" t="s">
        <v>3565</v>
      </c>
      <c r="C169" s="20" t="s">
        <v>7044</v>
      </c>
      <c r="D169" s="24">
        <v>45658.0</v>
      </c>
      <c r="E169" s="24">
        <v>46022.0</v>
      </c>
      <c r="F169" s="20">
        <v>0.0</v>
      </c>
      <c r="G169" s="20">
        <v>1.0</v>
      </c>
      <c r="H169" s="24">
        <v>46023.0</v>
      </c>
      <c r="I169" s="24">
        <v>46387.0</v>
      </c>
      <c r="J169" s="20">
        <v>0.0</v>
      </c>
      <c r="K169" s="20">
        <v>1.0</v>
      </c>
      <c r="L169" s="24">
        <v>46388.0</v>
      </c>
      <c r="M169" s="24">
        <v>46752.0</v>
      </c>
      <c r="N169" s="20">
        <v>0.0</v>
      </c>
      <c r="O169" s="20">
        <v>1.0</v>
      </c>
      <c r="P169" s="24">
        <v>46753.0</v>
      </c>
      <c r="Q169" s="24">
        <v>47118.0</v>
      </c>
      <c r="R169" s="20">
        <v>0.0</v>
      </c>
      <c r="S169" s="20">
        <v>1.0</v>
      </c>
      <c r="T169" s="24">
        <v>47119.0</v>
      </c>
      <c r="U169" s="24">
        <v>47483.0</v>
      </c>
      <c r="V169" s="20">
        <v>0.0</v>
      </c>
      <c r="W169" s="20">
        <v>1.0</v>
      </c>
      <c r="X169" s="24">
        <v>47484.0</v>
      </c>
      <c r="Y169" s="24">
        <v>47848.0</v>
      </c>
      <c r="Z169" s="20">
        <v>0.0</v>
      </c>
      <c r="AA169" s="20">
        <v>1.0</v>
      </c>
      <c r="AC169" s="24"/>
      <c r="AD169" s="24"/>
      <c r="AH169" s="24"/>
      <c r="AI169" s="24"/>
    </row>
    <row r="170" ht="14.25" customHeight="1">
      <c r="A170" s="46" t="s">
        <v>3603</v>
      </c>
      <c r="B170" s="20" t="s">
        <v>3604</v>
      </c>
      <c r="C170" s="20" t="s">
        <v>7041</v>
      </c>
      <c r="D170" s="24">
        <v>45658.0</v>
      </c>
      <c r="E170" s="24">
        <v>46022.0</v>
      </c>
      <c r="F170" s="20">
        <v>0.0</v>
      </c>
      <c r="G170" s="20">
        <v>1.0</v>
      </c>
      <c r="H170" s="24">
        <v>46023.0</v>
      </c>
      <c r="I170" s="24">
        <v>46387.0</v>
      </c>
      <c r="J170" s="20">
        <v>0.0</v>
      </c>
      <c r="K170" s="20">
        <v>1.0</v>
      </c>
      <c r="L170" s="24">
        <v>46388.0</v>
      </c>
      <c r="M170" s="24">
        <v>46752.0</v>
      </c>
      <c r="N170" s="20">
        <v>0.0</v>
      </c>
      <c r="O170" s="20">
        <v>1.0</v>
      </c>
      <c r="P170" s="24">
        <v>46753.0</v>
      </c>
      <c r="Q170" s="24">
        <v>47118.0</v>
      </c>
      <c r="R170" s="20">
        <v>0.0</v>
      </c>
      <c r="S170" s="20">
        <v>1.0</v>
      </c>
      <c r="T170" s="24">
        <v>47119.0</v>
      </c>
      <c r="U170" s="24">
        <v>47483.0</v>
      </c>
      <c r="V170" s="20">
        <v>0.0</v>
      </c>
      <c r="W170" s="20">
        <v>1.0</v>
      </c>
      <c r="X170" s="24">
        <v>47484.0</v>
      </c>
      <c r="Y170" s="24">
        <v>47848.0</v>
      </c>
      <c r="Z170" s="20">
        <v>0.0</v>
      </c>
      <c r="AA170" s="20">
        <v>1.0</v>
      </c>
      <c r="AC170" s="24"/>
      <c r="AD170" s="24"/>
      <c r="AH170" s="24"/>
      <c r="AI170" s="24"/>
    </row>
    <row r="171" ht="14.25" customHeight="1">
      <c r="A171" s="46" t="s">
        <v>3877</v>
      </c>
      <c r="B171" s="20" t="s">
        <v>3878</v>
      </c>
      <c r="C171" s="20" t="s">
        <v>7041</v>
      </c>
      <c r="D171" s="24">
        <v>45658.0</v>
      </c>
      <c r="E171" s="24">
        <v>46022.0</v>
      </c>
      <c r="F171" s="20">
        <v>1.0</v>
      </c>
      <c r="G171" s="20">
        <v>1.0</v>
      </c>
      <c r="H171" s="24">
        <v>46023.0</v>
      </c>
      <c r="I171" s="24">
        <v>46387.0</v>
      </c>
      <c r="J171" s="20">
        <v>0.0</v>
      </c>
      <c r="K171" s="20">
        <v>1.0</v>
      </c>
      <c r="L171" s="24">
        <v>46388.0</v>
      </c>
      <c r="M171" s="24">
        <v>46752.0</v>
      </c>
      <c r="N171" s="20">
        <v>0.0</v>
      </c>
      <c r="O171" s="20">
        <v>1.0</v>
      </c>
      <c r="P171" s="24">
        <v>46753.0</v>
      </c>
      <c r="Q171" s="24">
        <v>47118.0</v>
      </c>
      <c r="R171" s="20">
        <v>0.0</v>
      </c>
      <c r="S171" s="20">
        <v>1.0</v>
      </c>
      <c r="T171" s="24">
        <v>47119.0</v>
      </c>
      <c r="U171" s="24">
        <v>47483.0</v>
      </c>
      <c r="V171" s="20">
        <v>0.0</v>
      </c>
      <c r="W171" s="20">
        <v>1.0</v>
      </c>
      <c r="X171" s="24">
        <v>47484.0</v>
      </c>
      <c r="Y171" s="24">
        <v>47848.0</v>
      </c>
      <c r="Z171" s="20">
        <v>0.0</v>
      </c>
      <c r="AA171" s="20">
        <v>1.0</v>
      </c>
      <c r="AC171" s="24"/>
      <c r="AD171" s="24"/>
      <c r="AH171" s="24"/>
      <c r="AI171" s="24"/>
    </row>
    <row r="172" ht="14.25" customHeight="1">
      <c r="A172" s="46" t="s">
        <v>3943</v>
      </c>
      <c r="B172" s="26" t="s">
        <v>3944</v>
      </c>
      <c r="C172" s="20" t="s">
        <v>7041</v>
      </c>
      <c r="D172" s="24">
        <v>45658.0</v>
      </c>
      <c r="E172" s="24">
        <v>46022.0</v>
      </c>
      <c r="F172" s="20">
        <v>0.0</v>
      </c>
      <c r="G172" s="20">
        <v>1.0</v>
      </c>
      <c r="H172" s="24">
        <v>46023.0</v>
      </c>
      <c r="I172" s="24">
        <v>46387.0</v>
      </c>
      <c r="J172" s="20">
        <v>0.0</v>
      </c>
      <c r="K172" s="20">
        <v>1.0</v>
      </c>
      <c r="L172" s="24">
        <v>46388.0</v>
      </c>
      <c r="M172" s="24">
        <v>46752.0</v>
      </c>
      <c r="N172" s="20">
        <v>0.0</v>
      </c>
      <c r="O172" s="20">
        <v>1.0</v>
      </c>
      <c r="P172" s="24">
        <v>46753.0</v>
      </c>
      <c r="Q172" s="24">
        <v>47118.0</v>
      </c>
      <c r="R172" s="20">
        <v>0.0</v>
      </c>
      <c r="S172" s="20">
        <v>1.0</v>
      </c>
      <c r="T172" s="24">
        <v>47119.0</v>
      </c>
      <c r="U172" s="24">
        <v>47483.0</v>
      </c>
      <c r="V172" s="20">
        <v>0.0</v>
      </c>
      <c r="W172" s="20">
        <v>1.0</v>
      </c>
      <c r="X172" s="24">
        <v>47484.0</v>
      </c>
      <c r="Y172" s="24">
        <v>47848.0</v>
      </c>
      <c r="Z172" s="20">
        <v>0.0</v>
      </c>
      <c r="AA172" s="20">
        <v>1.0</v>
      </c>
      <c r="AC172" s="24"/>
      <c r="AD172" s="24"/>
      <c r="AH172" s="24"/>
      <c r="AI172" s="24"/>
    </row>
    <row r="173" ht="14.25" customHeight="1">
      <c r="A173" s="46" t="s">
        <v>4011</v>
      </c>
      <c r="B173" s="20" t="s">
        <v>4012</v>
      </c>
      <c r="C173" s="20" t="s">
        <v>7041</v>
      </c>
      <c r="D173" s="24">
        <v>45658.0</v>
      </c>
      <c r="E173" s="24">
        <v>46022.0</v>
      </c>
      <c r="F173" s="20">
        <v>0.0</v>
      </c>
      <c r="G173" s="20">
        <v>1.0</v>
      </c>
      <c r="H173" s="24">
        <v>46023.0</v>
      </c>
      <c r="I173" s="24">
        <v>46387.0</v>
      </c>
      <c r="J173" s="20">
        <v>0.0</v>
      </c>
      <c r="K173" s="20">
        <v>1.0</v>
      </c>
      <c r="L173" s="24">
        <v>46388.0</v>
      </c>
      <c r="M173" s="24">
        <v>46752.0</v>
      </c>
      <c r="N173" s="20">
        <v>0.0</v>
      </c>
      <c r="O173" s="20">
        <v>1.0</v>
      </c>
      <c r="P173" s="24">
        <v>46753.0</v>
      </c>
      <c r="Q173" s="24">
        <v>47118.0</v>
      </c>
      <c r="R173" s="20">
        <v>0.0</v>
      </c>
      <c r="S173" s="20">
        <v>1.0</v>
      </c>
      <c r="T173" s="24">
        <v>47119.0</v>
      </c>
      <c r="U173" s="24">
        <v>47483.0</v>
      </c>
      <c r="V173" s="20">
        <v>0.0</v>
      </c>
      <c r="W173" s="20">
        <v>1.0</v>
      </c>
      <c r="X173" s="24">
        <v>47484.0</v>
      </c>
      <c r="Y173" s="24">
        <v>47848.0</v>
      </c>
      <c r="Z173" s="20">
        <v>0.0</v>
      </c>
      <c r="AA173" s="20">
        <v>1.0</v>
      </c>
      <c r="AC173" s="24"/>
      <c r="AD173" s="24"/>
      <c r="AH173" s="24"/>
      <c r="AI173" s="24"/>
    </row>
    <row r="174" ht="14.25" customHeight="1">
      <c r="A174" s="46" t="s">
        <v>4140</v>
      </c>
      <c r="B174" s="20" t="s">
        <v>4141</v>
      </c>
      <c r="C174" s="20" t="s">
        <v>7041</v>
      </c>
      <c r="D174" s="24">
        <v>45658.0</v>
      </c>
      <c r="E174" s="24">
        <v>46022.0</v>
      </c>
      <c r="F174" s="20">
        <v>0.0</v>
      </c>
      <c r="G174" s="20">
        <v>1.0</v>
      </c>
      <c r="H174" s="24">
        <v>46023.0</v>
      </c>
      <c r="I174" s="24">
        <v>46387.0</v>
      </c>
      <c r="J174" s="20">
        <v>0.0</v>
      </c>
      <c r="K174" s="20">
        <v>1.0</v>
      </c>
      <c r="L174" s="24">
        <v>46388.0</v>
      </c>
      <c r="M174" s="24">
        <v>46752.0</v>
      </c>
      <c r="N174" s="20">
        <v>0.0</v>
      </c>
      <c r="O174" s="20">
        <v>1.0</v>
      </c>
      <c r="P174" s="24">
        <v>46753.0</v>
      </c>
      <c r="Q174" s="24">
        <v>47118.0</v>
      </c>
      <c r="R174" s="20">
        <v>0.0</v>
      </c>
      <c r="S174" s="20">
        <v>1.0</v>
      </c>
      <c r="T174" s="24">
        <v>47119.0</v>
      </c>
      <c r="U174" s="24">
        <v>47483.0</v>
      </c>
      <c r="V174" s="20">
        <v>0.0</v>
      </c>
      <c r="W174" s="20">
        <v>1.0</v>
      </c>
      <c r="X174" s="24">
        <v>47484.0</v>
      </c>
      <c r="Y174" s="24">
        <v>47848.0</v>
      </c>
      <c r="Z174" s="20">
        <v>0.0</v>
      </c>
      <c r="AA174" s="20">
        <v>1.0</v>
      </c>
      <c r="AC174" s="24"/>
      <c r="AD174" s="24"/>
      <c r="AH174" s="24"/>
      <c r="AI174" s="24"/>
    </row>
    <row r="175" ht="14.25" customHeight="1">
      <c r="A175" s="46" t="s">
        <v>4197</v>
      </c>
      <c r="B175" s="20" t="s">
        <v>4198</v>
      </c>
      <c r="C175" s="20" t="s">
        <v>7041</v>
      </c>
      <c r="D175" s="24">
        <v>45658.0</v>
      </c>
      <c r="E175" s="24">
        <v>46022.0</v>
      </c>
      <c r="F175" s="20">
        <v>1.0</v>
      </c>
      <c r="G175" s="20">
        <v>1.0</v>
      </c>
      <c r="H175" s="24">
        <v>46023.0</v>
      </c>
      <c r="I175" s="24">
        <v>46387.0</v>
      </c>
      <c r="J175" s="20">
        <v>0.0</v>
      </c>
      <c r="K175" s="20">
        <v>1.0</v>
      </c>
      <c r="L175" s="24">
        <v>46388.0</v>
      </c>
      <c r="M175" s="24">
        <v>46752.0</v>
      </c>
      <c r="N175" s="20">
        <v>0.0</v>
      </c>
      <c r="O175" s="20">
        <v>1.0</v>
      </c>
      <c r="P175" s="24">
        <v>46753.0</v>
      </c>
      <c r="Q175" s="24">
        <v>47118.0</v>
      </c>
      <c r="R175" s="20">
        <v>0.0</v>
      </c>
      <c r="S175" s="20">
        <v>1.0</v>
      </c>
      <c r="T175" s="24">
        <v>47119.0</v>
      </c>
      <c r="U175" s="24">
        <v>47483.0</v>
      </c>
      <c r="V175" s="20">
        <v>0.0</v>
      </c>
      <c r="W175" s="20">
        <v>1.0</v>
      </c>
      <c r="X175" s="24">
        <v>47484.0</v>
      </c>
      <c r="Y175" s="24">
        <v>47848.0</v>
      </c>
      <c r="Z175" s="20">
        <v>0.0</v>
      </c>
      <c r="AA175" s="20">
        <v>1.0</v>
      </c>
      <c r="AC175" s="24"/>
      <c r="AD175" s="24"/>
      <c r="AH175" s="24"/>
      <c r="AI175" s="24"/>
    </row>
    <row r="176" ht="14.25" customHeight="1">
      <c r="A176" s="46" t="s">
        <v>4894</v>
      </c>
      <c r="B176" s="20" t="s">
        <v>4895</v>
      </c>
      <c r="C176" s="20" t="s">
        <v>7041</v>
      </c>
      <c r="D176" s="24">
        <v>45658.0</v>
      </c>
      <c r="E176" s="24">
        <v>46022.0</v>
      </c>
      <c r="F176" s="20">
        <v>1.0</v>
      </c>
      <c r="G176" s="20">
        <v>1.0</v>
      </c>
      <c r="H176" s="24">
        <v>46023.0</v>
      </c>
      <c r="I176" s="24">
        <v>46387.0</v>
      </c>
      <c r="J176" s="20">
        <v>0.0</v>
      </c>
      <c r="K176" s="20">
        <v>1.0</v>
      </c>
      <c r="L176" s="24">
        <v>46388.0</v>
      </c>
      <c r="M176" s="24">
        <v>46752.0</v>
      </c>
      <c r="N176" s="20">
        <v>0.0</v>
      </c>
      <c r="O176" s="20">
        <v>1.0</v>
      </c>
      <c r="P176" s="24">
        <v>46753.0</v>
      </c>
      <c r="Q176" s="24">
        <v>47118.0</v>
      </c>
      <c r="R176" s="20">
        <v>0.0</v>
      </c>
      <c r="S176" s="20">
        <v>1.0</v>
      </c>
      <c r="T176" s="24">
        <v>47119.0</v>
      </c>
      <c r="U176" s="24">
        <v>47483.0</v>
      </c>
      <c r="V176" s="20">
        <v>0.0</v>
      </c>
      <c r="W176" s="20">
        <v>1.0</v>
      </c>
      <c r="X176" s="24">
        <v>47484.0</v>
      </c>
      <c r="Y176" s="24">
        <v>47848.0</v>
      </c>
      <c r="Z176" s="20">
        <v>0.0</v>
      </c>
      <c r="AA176" s="20">
        <v>1.0</v>
      </c>
      <c r="AC176" s="24"/>
      <c r="AD176" s="24"/>
      <c r="AH176" s="24"/>
      <c r="AI176" s="24"/>
    </row>
    <row r="177" ht="14.25" customHeight="1">
      <c r="A177" s="46" t="s">
        <v>4904</v>
      </c>
      <c r="B177" s="20" t="s">
        <v>4905</v>
      </c>
      <c r="C177" s="20" t="s">
        <v>7041</v>
      </c>
      <c r="D177" s="24">
        <v>45658.0</v>
      </c>
      <c r="E177" s="24">
        <v>46022.0</v>
      </c>
      <c r="F177" s="20">
        <v>0.0</v>
      </c>
      <c r="G177" s="20">
        <v>1.0</v>
      </c>
      <c r="H177" s="24">
        <v>46023.0</v>
      </c>
      <c r="I177" s="24">
        <v>46387.0</v>
      </c>
      <c r="J177" s="20">
        <v>0.0</v>
      </c>
      <c r="K177" s="20">
        <v>1.0</v>
      </c>
      <c r="L177" s="24">
        <v>46388.0</v>
      </c>
      <c r="M177" s="24">
        <v>46752.0</v>
      </c>
      <c r="N177" s="20">
        <v>0.0</v>
      </c>
      <c r="O177" s="20">
        <v>1.0</v>
      </c>
      <c r="P177" s="24">
        <v>46753.0</v>
      </c>
      <c r="Q177" s="24">
        <v>47118.0</v>
      </c>
      <c r="R177" s="20">
        <v>0.0</v>
      </c>
      <c r="S177" s="20">
        <v>1.0</v>
      </c>
      <c r="T177" s="24">
        <v>47119.0</v>
      </c>
      <c r="U177" s="24">
        <v>47483.0</v>
      </c>
      <c r="V177" s="20">
        <v>0.0</v>
      </c>
      <c r="W177" s="20">
        <v>1.0</v>
      </c>
      <c r="X177" s="24">
        <v>47484.0</v>
      </c>
      <c r="Y177" s="24">
        <v>47848.0</v>
      </c>
      <c r="Z177" s="20">
        <v>0.0</v>
      </c>
      <c r="AA177" s="20">
        <v>1.0</v>
      </c>
      <c r="AC177" s="24"/>
      <c r="AD177" s="24"/>
      <c r="AH177" s="24"/>
      <c r="AI177" s="24"/>
    </row>
    <row r="178" ht="14.25" customHeight="1">
      <c r="A178" s="46" t="s">
        <v>5041</v>
      </c>
      <c r="B178" s="20" t="s">
        <v>5042</v>
      </c>
      <c r="C178" s="20" t="s">
        <v>7041</v>
      </c>
      <c r="D178" s="24">
        <v>45658.0</v>
      </c>
      <c r="E178" s="24">
        <v>46022.0</v>
      </c>
      <c r="F178" s="20">
        <v>0.0</v>
      </c>
      <c r="G178" s="20">
        <v>1.0</v>
      </c>
      <c r="H178" s="24">
        <v>46023.0</v>
      </c>
      <c r="I178" s="24">
        <v>46387.0</v>
      </c>
      <c r="J178" s="20">
        <v>0.0</v>
      </c>
      <c r="K178" s="20">
        <v>1.0</v>
      </c>
      <c r="L178" s="24">
        <v>46388.0</v>
      </c>
      <c r="M178" s="24">
        <v>46752.0</v>
      </c>
      <c r="N178" s="20">
        <v>0.0</v>
      </c>
      <c r="O178" s="20">
        <v>1.0</v>
      </c>
      <c r="P178" s="24">
        <v>46753.0</v>
      </c>
      <c r="Q178" s="24">
        <v>47118.0</v>
      </c>
      <c r="R178" s="20">
        <v>0.0</v>
      </c>
      <c r="S178" s="20">
        <v>1.0</v>
      </c>
      <c r="T178" s="24">
        <v>47119.0</v>
      </c>
      <c r="U178" s="24">
        <v>47483.0</v>
      </c>
      <c r="V178" s="20">
        <v>0.0</v>
      </c>
      <c r="W178" s="20">
        <v>1.0</v>
      </c>
      <c r="X178" s="24">
        <v>47484.0</v>
      </c>
      <c r="Y178" s="24">
        <v>47848.0</v>
      </c>
      <c r="Z178" s="20">
        <v>0.0</v>
      </c>
      <c r="AA178" s="20">
        <v>1.0</v>
      </c>
      <c r="AC178" s="24"/>
      <c r="AD178" s="24"/>
      <c r="AH178" s="24"/>
      <c r="AI178" s="24"/>
    </row>
    <row r="179" ht="14.25" customHeight="1">
      <c r="A179" s="46" t="s">
        <v>5052</v>
      </c>
      <c r="B179" s="20" t="s">
        <v>5053</v>
      </c>
      <c r="C179" s="20" t="s">
        <v>7041</v>
      </c>
      <c r="D179" s="24">
        <v>45658.0</v>
      </c>
      <c r="E179" s="24">
        <v>46022.0</v>
      </c>
      <c r="F179" s="20">
        <v>0.0</v>
      </c>
      <c r="G179" s="20">
        <v>1.0</v>
      </c>
      <c r="H179" s="24">
        <v>46023.0</v>
      </c>
      <c r="I179" s="24">
        <v>46387.0</v>
      </c>
      <c r="J179" s="20">
        <v>0.0</v>
      </c>
      <c r="K179" s="20">
        <v>1.0</v>
      </c>
      <c r="L179" s="24">
        <v>46388.0</v>
      </c>
      <c r="M179" s="24">
        <v>46752.0</v>
      </c>
      <c r="N179" s="20">
        <v>0.0</v>
      </c>
      <c r="O179" s="20">
        <v>1.0</v>
      </c>
      <c r="P179" s="24">
        <v>46753.0</v>
      </c>
      <c r="Q179" s="24">
        <v>47118.0</v>
      </c>
      <c r="R179" s="20">
        <v>0.0</v>
      </c>
      <c r="S179" s="20">
        <v>1.0</v>
      </c>
      <c r="T179" s="24">
        <v>47119.0</v>
      </c>
      <c r="U179" s="24">
        <v>47483.0</v>
      </c>
      <c r="V179" s="20">
        <v>0.0</v>
      </c>
      <c r="W179" s="20">
        <v>1.0</v>
      </c>
      <c r="X179" s="24">
        <v>47484.0</v>
      </c>
      <c r="Y179" s="24">
        <v>47848.0</v>
      </c>
      <c r="Z179" s="20">
        <v>0.0</v>
      </c>
      <c r="AA179" s="20">
        <v>1.0</v>
      </c>
      <c r="AC179" s="24"/>
      <c r="AD179" s="24"/>
      <c r="AH179" s="24"/>
      <c r="AI179" s="24"/>
    </row>
    <row r="180" ht="14.25" customHeight="1">
      <c r="A180" s="46" t="s">
        <v>5112</v>
      </c>
      <c r="B180" s="20" t="s">
        <v>5113</v>
      </c>
      <c r="C180" s="20" t="s">
        <v>7041</v>
      </c>
      <c r="D180" s="24">
        <v>45658.0</v>
      </c>
      <c r="E180" s="24">
        <v>46022.0</v>
      </c>
      <c r="F180" s="20">
        <v>0.0</v>
      </c>
      <c r="G180" s="20">
        <v>1.0</v>
      </c>
      <c r="H180" s="24">
        <v>46023.0</v>
      </c>
      <c r="I180" s="24">
        <v>46387.0</v>
      </c>
      <c r="J180" s="20">
        <v>0.0</v>
      </c>
      <c r="K180" s="20">
        <v>1.0</v>
      </c>
      <c r="L180" s="24">
        <v>46388.0</v>
      </c>
      <c r="M180" s="24">
        <v>46752.0</v>
      </c>
      <c r="N180" s="20">
        <v>0.0</v>
      </c>
      <c r="O180" s="20">
        <v>1.0</v>
      </c>
      <c r="P180" s="24">
        <v>46753.0</v>
      </c>
      <c r="Q180" s="24">
        <v>47118.0</v>
      </c>
      <c r="R180" s="20">
        <v>0.0</v>
      </c>
      <c r="S180" s="20">
        <v>1.0</v>
      </c>
      <c r="T180" s="24">
        <v>47119.0</v>
      </c>
      <c r="U180" s="24">
        <v>47483.0</v>
      </c>
      <c r="V180" s="20">
        <v>0.0</v>
      </c>
      <c r="W180" s="20">
        <v>1.0</v>
      </c>
      <c r="X180" s="24">
        <v>47484.0</v>
      </c>
      <c r="Y180" s="24">
        <v>47848.0</v>
      </c>
      <c r="Z180" s="20">
        <v>0.0</v>
      </c>
      <c r="AA180" s="20">
        <v>1.0</v>
      </c>
      <c r="AC180" s="24"/>
      <c r="AD180" s="24"/>
      <c r="AH180" s="24"/>
      <c r="AI180" s="24"/>
    </row>
    <row r="181" ht="14.25" customHeight="1">
      <c r="A181" s="46" t="s">
        <v>5163</v>
      </c>
      <c r="B181" s="20" t="s">
        <v>5164</v>
      </c>
      <c r="C181" s="20" t="s">
        <v>7041</v>
      </c>
      <c r="D181" s="24">
        <v>45658.0</v>
      </c>
      <c r="E181" s="24">
        <v>46022.0</v>
      </c>
      <c r="F181" s="20">
        <v>0.0</v>
      </c>
      <c r="G181" s="20">
        <v>1.0</v>
      </c>
      <c r="H181" s="24">
        <v>46023.0</v>
      </c>
      <c r="I181" s="24">
        <v>46387.0</v>
      </c>
      <c r="J181" s="20">
        <v>0.0</v>
      </c>
      <c r="K181" s="20">
        <v>1.0</v>
      </c>
      <c r="L181" s="24">
        <v>46388.0</v>
      </c>
      <c r="M181" s="24">
        <v>46752.0</v>
      </c>
      <c r="N181" s="20">
        <v>0.0</v>
      </c>
      <c r="O181" s="20">
        <v>1.0</v>
      </c>
      <c r="P181" s="24">
        <v>46753.0</v>
      </c>
      <c r="Q181" s="24">
        <v>47118.0</v>
      </c>
      <c r="R181" s="20">
        <v>0.0</v>
      </c>
      <c r="S181" s="20">
        <v>1.0</v>
      </c>
      <c r="T181" s="24">
        <v>47119.0</v>
      </c>
      <c r="U181" s="24">
        <v>47483.0</v>
      </c>
      <c r="V181" s="20">
        <v>0.0</v>
      </c>
      <c r="W181" s="20">
        <v>1.0</v>
      </c>
      <c r="X181" s="24">
        <v>47484.0</v>
      </c>
      <c r="Y181" s="24">
        <v>47848.0</v>
      </c>
      <c r="Z181" s="20">
        <v>0.0</v>
      </c>
      <c r="AA181" s="20">
        <v>1.0</v>
      </c>
      <c r="AC181" s="24"/>
      <c r="AD181" s="24"/>
      <c r="AH181" s="24"/>
      <c r="AI181" s="24"/>
    </row>
    <row r="182" ht="14.25" customHeight="1">
      <c r="A182" s="46" t="s">
        <v>5166</v>
      </c>
      <c r="B182" s="20" t="s">
        <v>5167</v>
      </c>
      <c r="C182" s="20" t="s">
        <v>7041</v>
      </c>
      <c r="D182" s="24">
        <v>45658.0</v>
      </c>
      <c r="E182" s="24">
        <v>46022.0</v>
      </c>
      <c r="F182" s="20">
        <v>1.0</v>
      </c>
      <c r="G182" s="20">
        <v>1.0</v>
      </c>
      <c r="H182" s="24">
        <v>46023.0</v>
      </c>
      <c r="I182" s="24">
        <v>46387.0</v>
      </c>
      <c r="J182" s="20">
        <v>0.0</v>
      </c>
      <c r="K182" s="20">
        <v>1.0</v>
      </c>
      <c r="L182" s="24">
        <v>46388.0</v>
      </c>
      <c r="M182" s="24">
        <v>46752.0</v>
      </c>
      <c r="N182" s="20">
        <v>0.0</v>
      </c>
      <c r="O182" s="20">
        <v>1.0</v>
      </c>
      <c r="P182" s="24">
        <v>46753.0</v>
      </c>
      <c r="Q182" s="24">
        <v>47118.0</v>
      </c>
      <c r="R182" s="20">
        <v>0.0</v>
      </c>
      <c r="S182" s="20">
        <v>1.0</v>
      </c>
      <c r="T182" s="24">
        <v>47119.0</v>
      </c>
      <c r="U182" s="24">
        <v>47483.0</v>
      </c>
      <c r="V182" s="20">
        <v>0.0</v>
      </c>
      <c r="W182" s="20">
        <v>1.0</v>
      </c>
      <c r="X182" s="24">
        <v>47484.0</v>
      </c>
      <c r="Y182" s="24">
        <v>47848.0</v>
      </c>
      <c r="Z182" s="20">
        <v>0.0</v>
      </c>
      <c r="AA182" s="20">
        <v>1.0</v>
      </c>
      <c r="AC182" s="24"/>
      <c r="AD182" s="24"/>
      <c r="AH182" s="24"/>
      <c r="AI182" s="24"/>
    </row>
    <row r="183" ht="14.25" customHeight="1">
      <c r="A183" s="46" t="s">
        <v>5177</v>
      </c>
      <c r="B183" s="20" t="s">
        <v>5178</v>
      </c>
      <c r="C183" s="20" t="s">
        <v>7041</v>
      </c>
      <c r="D183" s="24">
        <v>45658.0</v>
      </c>
      <c r="E183" s="24">
        <v>46022.0</v>
      </c>
      <c r="F183" s="20">
        <v>0.0</v>
      </c>
      <c r="G183" s="20">
        <v>1.0</v>
      </c>
      <c r="H183" s="24">
        <v>46023.0</v>
      </c>
      <c r="I183" s="24">
        <v>46387.0</v>
      </c>
      <c r="J183" s="20">
        <v>0.0</v>
      </c>
      <c r="K183" s="20">
        <v>1.0</v>
      </c>
      <c r="L183" s="24">
        <v>46388.0</v>
      </c>
      <c r="M183" s="24">
        <v>46752.0</v>
      </c>
      <c r="N183" s="20">
        <v>0.0</v>
      </c>
      <c r="O183" s="20">
        <v>1.0</v>
      </c>
      <c r="P183" s="24">
        <v>46753.0</v>
      </c>
      <c r="Q183" s="24">
        <v>47118.0</v>
      </c>
      <c r="R183" s="20">
        <v>0.0</v>
      </c>
      <c r="S183" s="20">
        <v>1.0</v>
      </c>
      <c r="T183" s="24">
        <v>47119.0</v>
      </c>
      <c r="U183" s="24">
        <v>47483.0</v>
      </c>
      <c r="V183" s="20">
        <v>0.0</v>
      </c>
      <c r="W183" s="20">
        <v>1.0</v>
      </c>
      <c r="X183" s="24">
        <v>47484.0</v>
      </c>
      <c r="Y183" s="24">
        <v>47848.0</v>
      </c>
      <c r="Z183" s="20">
        <v>0.0</v>
      </c>
      <c r="AA183" s="20">
        <v>1.0</v>
      </c>
      <c r="AC183" s="24"/>
      <c r="AD183" s="24"/>
      <c r="AH183" s="24"/>
      <c r="AI183" s="24"/>
    </row>
    <row r="184" ht="14.25" customHeight="1">
      <c r="A184" s="46" t="s">
        <v>5249</v>
      </c>
      <c r="B184" s="20" t="s">
        <v>5250</v>
      </c>
      <c r="C184" s="20" t="s">
        <v>7041</v>
      </c>
      <c r="D184" s="24">
        <v>45658.0</v>
      </c>
      <c r="E184" s="24">
        <v>46022.0</v>
      </c>
      <c r="F184" s="20">
        <v>0.0</v>
      </c>
      <c r="G184" s="20">
        <v>1.0</v>
      </c>
      <c r="H184" s="24">
        <v>46023.0</v>
      </c>
      <c r="I184" s="24">
        <v>46387.0</v>
      </c>
      <c r="J184" s="20">
        <v>0.0</v>
      </c>
      <c r="K184" s="20">
        <v>1.0</v>
      </c>
      <c r="L184" s="24">
        <v>46388.0</v>
      </c>
      <c r="M184" s="24">
        <v>46752.0</v>
      </c>
      <c r="N184" s="20">
        <v>0.0</v>
      </c>
      <c r="O184" s="20">
        <v>1.0</v>
      </c>
      <c r="P184" s="24">
        <v>46753.0</v>
      </c>
      <c r="Q184" s="24">
        <v>47118.0</v>
      </c>
      <c r="R184" s="20">
        <v>0.0</v>
      </c>
      <c r="S184" s="20">
        <v>1.0</v>
      </c>
      <c r="T184" s="24">
        <v>47119.0</v>
      </c>
      <c r="U184" s="24">
        <v>47483.0</v>
      </c>
      <c r="V184" s="20">
        <v>0.0</v>
      </c>
      <c r="W184" s="20">
        <v>1.0</v>
      </c>
      <c r="X184" s="24">
        <v>47484.0</v>
      </c>
      <c r="Y184" s="24">
        <v>47848.0</v>
      </c>
      <c r="Z184" s="20">
        <v>0.0</v>
      </c>
      <c r="AA184" s="20">
        <v>1.0</v>
      </c>
      <c r="AC184" s="24"/>
      <c r="AD184" s="24"/>
      <c r="AH184" s="24"/>
      <c r="AI184" s="24"/>
    </row>
    <row r="185" ht="14.25" customHeight="1">
      <c r="A185" s="46" t="s">
        <v>5309</v>
      </c>
      <c r="B185" s="20" t="s">
        <v>5310</v>
      </c>
      <c r="C185" s="20" t="s">
        <v>7041</v>
      </c>
      <c r="D185" s="24">
        <v>45658.0</v>
      </c>
      <c r="E185" s="24">
        <v>46022.0</v>
      </c>
      <c r="F185" s="20">
        <v>1.0</v>
      </c>
      <c r="G185" s="20">
        <v>1.0</v>
      </c>
      <c r="H185" s="24">
        <v>46023.0</v>
      </c>
      <c r="I185" s="24">
        <v>46387.0</v>
      </c>
      <c r="J185" s="20">
        <v>0.0</v>
      </c>
      <c r="K185" s="20">
        <v>1.0</v>
      </c>
      <c r="L185" s="24">
        <v>46388.0</v>
      </c>
      <c r="M185" s="24">
        <v>46752.0</v>
      </c>
      <c r="N185" s="20">
        <v>0.0</v>
      </c>
      <c r="O185" s="20">
        <v>1.0</v>
      </c>
      <c r="P185" s="24">
        <v>46753.0</v>
      </c>
      <c r="Q185" s="24">
        <v>47118.0</v>
      </c>
      <c r="R185" s="20">
        <v>0.0</v>
      </c>
      <c r="S185" s="20">
        <v>1.0</v>
      </c>
      <c r="T185" s="24">
        <v>47119.0</v>
      </c>
      <c r="U185" s="24">
        <v>47483.0</v>
      </c>
      <c r="V185" s="20">
        <v>0.0</v>
      </c>
      <c r="W185" s="20">
        <v>1.0</v>
      </c>
      <c r="X185" s="24">
        <v>47484.0</v>
      </c>
      <c r="Y185" s="24">
        <v>47848.0</v>
      </c>
      <c r="Z185" s="20">
        <v>0.0</v>
      </c>
      <c r="AA185" s="20">
        <v>1.0</v>
      </c>
      <c r="AC185" s="24"/>
      <c r="AD185" s="24"/>
      <c r="AH185" s="24"/>
      <c r="AI185" s="24"/>
    </row>
    <row r="186" ht="14.25" customHeight="1">
      <c r="A186" s="46" t="s">
        <v>5341</v>
      </c>
      <c r="B186" s="20" t="s">
        <v>5342</v>
      </c>
      <c r="C186" s="20" t="s">
        <v>7041</v>
      </c>
      <c r="D186" s="24">
        <v>45658.0</v>
      </c>
      <c r="E186" s="24">
        <v>46022.0</v>
      </c>
      <c r="F186" s="20">
        <v>1.0</v>
      </c>
      <c r="G186" s="20">
        <v>1.0</v>
      </c>
      <c r="H186" s="24">
        <v>46023.0</v>
      </c>
      <c r="I186" s="24">
        <v>46387.0</v>
      </c>
      <c r="J186" s="20">
        <v>0.0</v>
      </c>
      <c r="K186" s="20">
        <v>1.0</v>
      </c>
      <c r="L186" s="24">
        <v>46388.0</v>
      </c>
      <c r="M186" s="24">
        <v>46752.0</v>
      </c>
      <c r="N186" s="20">
        <v>0.0</v>
      </c>
      <c r="O186" s="20">
        <v>1.0</v>
      </c>
      <c r="P186" s="24">
        <v>46753.0</v>
      </c>
      <c r="Q186" s="24">
        <v>47118.0</v>
      </c>
      <c r="R186" s="20">
        <v>0.0</v>
      </c>
      <c r="S186" s="20">
        <v>1.0</v>
      </c>
      <c r="T186" s="24">
        <v>47119.0</v>
      </c>
      <c r="U186" s="24">
        <v>47483.0</v>
      </c>
      <c r="V186" s="20">
        <v>0.0</v>
      </c>
      <c r="W186" s="20">
        <v>1.0</v>
      </c>
      <c r="X186" s="24">
        <v>47484.0</v>
      </c>
      <c r="Y186" s="24">
        <v>47848.0</v>
      </c>
      <c r="Z186" s="20">
        <v>0.0</v>
      </c>
      <c r="AA186" s="20">
        <v>1.0</v>
      </c>
      <c r="AC186" s="24"/>
      <c r="AD186" s="24"/>
      <c r="AH186" s="24"/>
      <c r="AI186" s="24"/>
    </row>
    <row r="187" ht="14.25" customHeight="1">
      <c r="A187" s="46" t="s">
        <v>5417</v>
      </c>
      <c r="B187" s="20" t="s">
        <v>5418</v>
      </c>
      <c r="C187" s="20" t="s">
        <v>7041</v>
      </c>
      <c r="D187" s="24">
        <v>45658.0</v>
      </c>
      <c r="E187" s="24">
        <v>46022.0</v>
      </c>
      <c r="F187" s="20">
        <v>1.0</v>
      </c>
      <c r="G187" s="20">
        <v>1.0</v>
      </c>
      <c r="H187" s="24">
        <v>46023.0</v>
      </c>
      <c r="I187" s="24">
        <v>46387.0</v>
      </c>
      <c r="J187" s="20">
        <v>0.0</v>
      </c>
      <c r="K187" s="20">
        <v>1.0</v>
      </c>
      <c r="L187" s="24">
        <v>46388.0</v>
      </c>
      <c r="M187" s="24">
        <v>46752.0</v>
      </c>
      <c r="N187" s="20">
        <v>0.0</v>
      </c>
      <c r="O187" s="20">
        <v>1.0</v>
      </c>
      <c r="P187" s="24">
        <v>46753.0</v>
      </c>
      <c r="Q187" s="24">
        <v>47118.0</v>
      </c>
      <c r="R187" s="20">
        <v>0.0</v>
      </c>
      <c r="S187" s="20">
        <v>1.0</v>
      </c>
      <c r="T187" s="24">
        <v>47119.0</v>
      </c>
      <c r="U187" s="24">
        <v>47483.0</v>
      </c>
      <c r="V187" s="20">
        <v>0.0</v>
      </c>
      <c r="W187" s="20">
        <v>1.0</v>
      </c>
      <c r="X187" s="24">
        <v>47484.0</v>
      </c>
      <c r="Y187" s="24">
        <v>47848.0</v>
      </c>
      <c r="Z187" s="20">
        <v>0.0</v>
      </c>
      <c r="AA187" s="20">
        <v>1.0</v>
      </c>
      <c r="AC187" s="24"/>
      <c r="AD187" s="24"/>
      <c r="AH187" s="24"/>
      <c r="AI187" s="24"/>
    </row>
    <row r="188" ht="14.25" customHeight="1">
      <c r="A188" s="46" t="s">
        <v>5592</v>
      </c>
      <c r="B188" s="20" t="s">
        <v>5593</v>
      </c>
      <c r="C188" s="20" t="s">
        <v>7041</v>
      </c>
      <c r="D188" s="24">
        <v>45658.0</v>
      </c>
      <c r="E188" s="24">
        <v>46022.0</v>
      </c>
      <c r="F188" s="20">
        <v>0.0</v>
      </c>
      <c r="G188" s="20">
        <v>1.0</v>
      </c>
      <c r="H188" s="24">
        <v>46023.0</v>
      </c>
      <c r="I188" s="24">
        <v>46387.0</v>
      </c>
      <c r="J188" s="20">
        <v>0.0</v>
      </c>
      <c r="K188" s="20">
        <v>1.0</v>
      </c>
      <c r="L188" s="24">
        <v>46388.0</v>
      </c>
      <c r="M188" s="24">
        <v>46752.0</v>
      </c>
      <c r="N188" s="20">
        <v>0.0</v>
      </c>
      <c r="O188" s="20">
        <v>1.0</v>
      </c>
      <c r="P188" s="24">
        <v>46753.0</v>
      </c>
      <c r="Q188" s="24">
        <v>47118.0</v>
      </c>
      <c r="R188" s="20">
        <v>0.0</v>
      </c>
      <c r="S188" s="20">
        <v>1.0</v>
      </c>
      <c r="T188" s="24">
        <v>47119.0</v>
      </c>
      <c r="U188" s="24">
        <v>47483.0</v>
      </c>
      <c r="V188" s="20">
        <v>0.0</v>
      </c>
      <c r="W188" s="20">
        <v>1.0</v>
      </c>
      <c r="X188" s="24">
        <v>47484.0</v>
      </c>
      <c r="Y188" s="24">
        <v>47848.0</v>
      </c>
      <c r="Z188" s="20">
        <v>0.0</v>
      </c>
      <c r="AA188" s="20">
        <v>1.0</v>
      </c>
      <c r="AC188" s="24"/>
      <c r="AD188" s="24"/>
      <c r="AH188" s="24"/>
      <c r="AI188" s="24"/>
    </row>
    <row r="189" ht="14.25" customHeight="1">
      <c r="A189" s="46" t="s">
        <v>5650</v>
      </c>
      <c r="B189" s="20" t="s">
        <v>5651</v>
      </c>
      <c r="C189" s="20" t="s">
        <v>7041</v>
      </c>
      <c r="D189" s="24">
        <v>45658.0</v>
      </c>
      <c r="E189" s="24">
        <v>46022.0</v>
      </c>
      <c r="F189" s="20">
        <v>0.0</v>
      </c>
      <c r="G189" s="20">
        <v>1.0</v>
      </c>
      <c r="H189" s="24">
        <v>46023.0</v>
      </c>
      <c r="I189" s="24">
        <v>46387.0</v>
      </c>
      <c r="J189" s="20">
        <v>0.0</v>
      </c>
      <c r="K189" s="20">
        <v>1.0</v>
      </c>
      <c r="L189" s="24">
        <v>46388.0</v>
      </c>
      <c r="M189" s="24">
        <v>46752.0</v>
      </c>
      <c r="N189" s="20">
        <v>0.0</v>
      </c>
      <c r="O189" s="20">
        <v>1.0</v>
      </c>
      <c r="P189" s="24">
        <v>46753.0</v>
      </c>
      <c r="Q189" s="24">
        <v>47118.0</v>
      </c>
      <c r="R189" s="20">
        <v>0.0</v>
      </c>
      <c r="S189" s="20">
        <v>1.0</v>
      </c>
      <c r="T189" s="24">
        <v>47119.0</v>
      </c>
      <c r="U189" s="24">
        <v>47483.0</v>
      </c>
      <c r="V189" s="20">
        <v>0.0</v>
      </c>
      <c r="W189" s="20">
        <v>1.0</v>
      </c>
      <c r="X189" s="24">
        <v>47484.0</v>
      </c>
      <c r="Y189" s="24">
        <v>47848.0</v>
      </c>
      <c r="Z189" s="20">
        <v>0.0</v>
      </c>
      <c r="AA189" s="20">
        <v>1.0</v>
      </c>
      <c r="AC189" s="24"/>
      <c r="AD189" s="24"/>
      <c r="AH189" s="24"/>
      <c r="AI189" s="24"/>
    </row>
    <row r="190" ht="14.25" customHeight="1">
      <c r="A190" s="46" t="s">
        <v>5695</v>
      </c>
      <c r="B190" s="20" t="s">
        <v>5696</v>
      </c>
      <c r="C190" s="20" t="s">
        <v>7041</v>
      </c>
      <c r="D190" s="24">
        <v>45658.0</v>
      </c>
      <c r="E190" s="24">
        <v>46022.0</v>
      </c>
      <c r="F190" s="20">
        <v>0.0</v>
      </c>
      <c r="G190" s="20">
        <v>1.0</v>
      </c>
      <c r="H190" s="24">
        <v>46023.0</v>
      </c>
      <c r="I190" s="24">
        <v>46387.0</v>
      </c>
      <c r="J190" s="20">
        <v>0.0</v>
      </c>
      <c r="K190" s="20">
        <v>1.0</v>
      </c>
      <c r="L190" s="24">
        <v>46388.0</v>
      </c>
      <c r="M190" s="24">
        <v>46752.0</v>
      </c>
      <c r="N190" s="20">
        <v>0.0</v>
      </c>
      <c r="O190" s="20">
        <v>1.0</v>
      </c>
      <c r="P190" s="24">
        <v>46753.0</v>
      </c>
      <c r="Q190" s="24">
        <v>47118.0</v>
      </c>
      <c r="R190" s="20">
        <v>0.0</v>
      </c>
      <c r="S190" s="20">
        <v>1.0</v>
      </c>
      <c r="T190" s="24">
        <v>47119.0</v>
      </c>
      <c r="U190" s="24">
        <v>47483.0</v>
      </c>
      <c r="V190" s="20">
        <v>0.0</v>
      </c>
      <c r="W190" s="20">
        <v>1.0</v>
      </c>
      <c r="X190" s="24">
        <v>47484.0</v>
      </c>
      <c r="Y190" s="24">
        <v>47848.0</v>
      </c>
      <c r="Z190" s="20">
        <v>0.0</v>
      </c>
      <c r="AA190" s="20">
        <v>1.0</v>
      </c>
      <c r="AC190" s="24"/>
      <c r="AD190" s="24"/>
      <c r="AH190" s="24"/>
      <c r="AI190" s="24"/>
    </row>
    <row r="191" ht="14.25" customHeight="1">
      <c r="A191" s="46" t="s">
        <v>5702</v>
      </c>
      <c r="B191" s="20" t="s">
        <v>5703</v>
      </c>
      <c r="C191" s="20" t="s">
        <v>7041</v>
      </c>
      <c r="D191" s="24">
        <v>45658.0</v>
      </c>
      <c r="E191" s="24">
        <v>46022.0</v>
      </c>
      <c r="F191" s="20">
        <v>0.0</v>
      </c>
      <c r="G191" s="20">
        <v>1.0</v>
      </c>
      <c r="H191" s="24">
        <v>46023.0</v>
      </c>
      <c r="I191" s="24">
        <v>46387.0</v>
      </c>
      <c r="J191" s="20">
        <v>0.0</v>
      </c>
      <c r="K191" s="20">
        <v>1.0</v>
      </c>
      <c r="L191" s="24">
        <v>46388.0</v>
      </c>
      <c r="M191" s="24">
        <v>46752.0</v>
      </c>
      <c r="N191" s="20">
        <v>0.0</v>
      </c>
      <c r="O191" s="20">
        <v>1.0</v>
      </c>
      <c r="P191" s="24">
        <v>46753.0</v>
      </c>
      <c r="Q191" s="24">
        <v>47118.0</v>
      </c>
      <c r="R191" s="20">
        <v>0.0</v>
      </c>
      <c r="S191" s="20">
        <v>1.0</v>
      </c>
      <c r="T191" s="24">
        <v>47119.0</v>
      </c>
      <c r="U191" s="24">
        <v>47483.0</v>
      </c>
      <c r="V191" s="20">
        <v>0.0</v>
      </c>
      <c r="W191" s="20">
        <v>1.0</v>
      </c>
      <c r="X191" s="24">
        <v>47484.0</v>
      </c>
      <c r="Y191" s="24">
        <v>47848.0</v>
      </c>
      <c r="Z191" s="20">
        <v>0.0</v>
      </c>
      <c r="AA191" s="20">
        <v>1.0</v>
      </c>
      <c r="AC191" s="24"/>
      <c r="AD191" s="24"/>
      <c r="AH191" s="24"/>
      <c r="AI191" s="24"/>
    </row>
    <row r="192" ht="14.25" customHeight="1">
      <c r="A192" s="46" t="s">
        <v>5915</v>
      </c>
      <c r="B192" s="20" t="s">
        <v>5916</v>
      </c>
      <c r="C192" s="20" t="s">
        <v>7041</v>
      </c>
      <c r="D192" s="24">
        <v>45658.0</v>
      </c>
      <c r="E192" s="24">
        <v>46022.0</v>
      </c>
      <c r="F192" s="20">
        <v>0.0</v>
      </c>
      <c r="G192" s="20">
        <v>1.0</v>
      </c>
      <c r="H192" s="24">
        <v>46023.0</v>
      </c>
      <c r="I192" s="24">
        <v>46387.0</v>
      </c>
      <c r="J192" s="20">
        <v>0.0</v>
      </c>
      <c r="K192" s="20">
        <v>1.0</v>
      </c>
      <c r="L192" s="24">
        <v>46388.0</v>
      </c>
      <c r="M192" s="24">
        <v>46752.0</v>
      </c>
      <c r="N192" s="20">
        <v>0.0</v>
      </c>
      <c r="O192" s="20">
        <v>1.0</v>
      </c>
      <c r="P192" s="24">
        <v>46753.0</v>
      </c>
      <c r="Q192" s="24">
        <v>47118.0</v>
      </c>
      <c r="R192" s="20">
        <v>0.0</v>
      </c>
      <c r="S192" s="20">
        <v>1.0</v>
      </c>
      <c r="T192" s="24">
        <v>47119.0</v>
      </c>
      <c r="U192" s="24">
        <v>47483.0</v>
      </c>
      <c r="V192" s="20">
        <v>0.0</v>
      </c>
      <c r="W192" s="20">
        <v>1.0</v>
      </c>
      <c r="X192" s="24">
        <v>47484.0</v>
      </c>
      <c r="Y192" s="24">
        <v>47848.0</v>
      </c>
      <c r="Z192" s="20">
        <v>0.0</v>
      </c>
      <c r="AA192" s="20">
        <v>1.0</v>
      </c>
      <c r="AC192" s="24"/>
      <c r="AD192" s="24"/>
      <c r="AH192" s="24"/>
      <c r="AI192" s="24"/>
    </row>
    <row r="193" ht="14.25" customHeight="1">
      <c r="A193" s="46" t="s">
        <v>5995</v>
      </c>
      <c r="B193" s="20" t="s">
        <v>5996</v>
      </c>
      <c r="C193" s="20" t="s">
        <v>7041</v>
      </c>
      <c r="D193" s="24">
        <v>45658.0</v>
      </c>
      <c r="E193" s="24">
        <v>46022.0</v>
      </c>
      <c r="F193" s="20">
        <v>1.0</v>
      </c>
      <c r="G193" s="20">
        <v>1.0</v>
      </c>
      <c r="H193" s="24">
        <v>46023.0</v>
      </c>
      <c r="I193" s="24">
        <v>46387.0</v>
      </c>
      <c r="J193" s="20">
        <v>0.0</v>
      </c>
      <c r="K193" s="20">
        <v>1.0</v>
      </c>
      <c r="L193" s="24">
        <v>46388.0</v>
      </c>
      <c r="M193" s="24">
        <v>46752.0</v>
      </c>
      <c r="N193" s="20">
        <v>0.0</v>
      </c>
      <c r="O193" s="20">
        <v>1.0</v>
      </c>
      <c r="P193" s="24">
        <v>46753.0</v>
      </c>
      <c r="Q193" s="24">
        <v>47118.0</v>
      </c>
      <c r="R193" s="20">
        <v>0.0</v>
      </c>
      <c r="S193" s="20">
        <v>1.0</v>
      </c>
      <c r="T193" s="24">
        <v>47119.0</v>
      </c>
      <c r="U193" s="24">
        <v>47483.0</v>
      </c>
      <c r="V193" s="20">
        <v>0.0</v>
      </c>
      <c r="W193" s="20">
        <v>1.0</v>
      </c>
      <c r="X193" s="24">
        <v>47484.0</v>
      </c>
      <c r="Y193" s="24">
        <v>47848.0</v>
      </c>
      <c r="Z193" s="20">
        <v>0.0</v>
      </c>
      <c r="AA193" s="20">
        <v>1.0</v>
      </c>
      <c r="AC193" s="24"/>
      <c r="AD193" s="24"/>
      <c r="AH193" s="24"/>
      <c r="AI193" s="24"/>
    </row>
    <row r="194" ht="14.25" customHeight="1">
      <c r="A194" s="46" t="s">
        <v>6199</v>
      </c>
      <c r="B194" s="20" t="s">
        <v>6200</v>
      </c>
      <c r="C194" s="20" t="s">
        <v>7041</v>
      </c>
      <c r="D194" s="24">
        <v>45658.0</v>
      </c>
      <c r="E194" s="24">
        <v>46022.0</v>
      </c>
      <c r="F194" s="20">
        <v>1.0</v>
      </c>
      <c r="G194" s="20">
        <v>1.0</v>
      </c>
      <c r="H194" s="24">
        <v>46023.0</v>
      </c>
      <c r="I194" s="24">
        <v>46387.0</v>
      </c>
      <c r="J194" s="20">
        <v>0.0</v>
      </c>
      <c r="K194" s="20">
        <v>1.0</v>
      </c>
      <c r="L194" s="24">
        <v>46388.0</v>
      </c>
      <c r="M194" s="24">
        <v>46752.0</v>
      </c>
      <c r="N194" s="20">
        <v>0.0</v>
      </c>
      <c r="O194" s="20">
        <v>1.0</v>
      </c>
      <c r="P194" s="24">
        <v>46753.0</v>
      </c>
      <c r="Q194" s="24">
        <v>47118.0</v>
      </c>
      <c r="R194" s="20">
        <v>0.0</v>
      </c>
      <c r="S194" s="20">
        <v>1.0</v>
      </c>
      <c r="T194" s="24">
        <v>47119.0</v>
      </c>
      <c r="U194" s="24">
        <v>47483.0</v>
      </c>
      <c r="V194" s="20">
        <v>0.0</v>
      </c>
      <c r="W194" s="20">
        <v>1.0</v>
      </c>
      <c r="X194" s="24">
        <v>47484.0</v>
      </c>
      <c r="Y194" s="24">
        <v>47848.0</v>
      </c>
      <c r="Z194" s="20">
        <v>0.0</v>
      </c>
      <c r="AA194" s="20">
        <v>1.0</v>
      </c>
      <c r="AC194" s="24"/>
      <c r="AD194" s="24"/>
      <c r="AH194" s="24"/>
      <c r="AI194" s="24"/>
    </row>
    <row r="195" ht="14.25" customHeight="1">
      <c r="A195" s="46" t="s">
        <v>6238</v>
      </c>
      <c r="B195" s="20" t="s">
        <v>6239</v>
      </c>
      <c r="C195" s="20" t="s">
        <v>7041</v>
      </c>
      <c r="D195" s="24">
        <v>45658.0</v>
      </c>
      <c r="E195" s="24">
        <v>46022.0</v>
      </c>
      <c r="F195" s="20">
        <v>1.0</v>
      </c>
      <c r="G195" s="20">
        <v>1.0</v>
      </c>
      <c r="H195" s="24">
        <v>46023.0</v>
      </c>
      <c r="I195" s="24">
        <v>46387.0</v>
      </c>
      <c r="J195" s="20">
        <v>0.0</v>
      </c>
      <c r="K195" s="20">
        <v>1.0</v>
      </c>
      <c r="L195" s="24">
        <v>46388.0</v>
      </c>
      <c r="M195" s="24">
        <v>46752.0</v>
      </c>
      <c r="N195" s="20">
        <v>0.0</v>
      </c>
      <c r="O195" s="20">
        <v>1.0</v>
      </c>
      <c r="P195" s="24">
        <v>46753.0</v>
      </c>
      <c r="Q195" s="24">
        <v>47118.0</v>
      </c>
      <c r="R195" s="20">
        <v>0.0</v>
      </c>
      <c r="S195" s="20">
        <v>1.0</v>
      </c>
      <c r="T195" s="24">
        <v>47119.0</v>
      </c>
      <c r="U195" s="24">
        <v>47483.0</v>
      </c>
      <c r="V195" s="20">
        <v>0.0</v>
      </c>
      <c r="W195" s="20">
        <v>1.0</v>
      </c>
      <c r="X195" s="24">
        <v>47484.0</v>
      </c>
      <c r="Y195" s="24">
        <v>47848.0</v>
      </c>
      <c r="Z195" s="20">
        <v>0.0</v>
      </c>
      <c r="AA195" s="20">
        <v>1.0</v>
      </c>
      <c r="AC195" s="24"/>
      <c r="AD195" s="24"/>
      <c r="AH195" s="24"/>
      <c r="AI195" s="24"/>
    </row>
    <row r="196" ht="14.25" customHeight="1">
      <c r="A196" s="46" t="s">
        <v>6248</v>
      </c>
      <c r="B196" s="20" t="s">
        <v>6249</v>
      </c>
      <c r="C196" s="20" t="s">
        <v>7041</v>
      </c>
      <c r="D196" s="24">
        <v>45658.0</v>
      </c>
      <c r="E196" s="24">
        <v>46022.0</v>
      </c>
      <c r="F196" s="20">
        <v>0.0</v>
      </c>
      <c r="G196" s="20">
        <v>1.0</v>
      </c>
      <c r="H196" s="24">
        <v>46023.0</v>
      </c>
      <c r="I196" s="24">
        <v>46387.0</v>
      </c>
      <c r="J196" s="20">
        <v>0.0</v>
      </c>
      <c r="K196" s="20">
        <v>1.0</v>
      </c>
      <c r="L196" s="24">
        <v>46388.0</v>
      </c>
      <c r="M196" s="24">
        <v>46752.0</v>
      </c>
      <c r="N196" s="20">
        <v>0.0</v>
      </c>
      <c r="O196" s="20">
        <v>1.0</v>
      </c>
      <c r="P196" s="24">
        <v>46753.0</v>
      </c>
      <c r="Q196" s="24">
        <v>47118.0</v>
      </c>
      <c r="R196" s="20">
        <v>0.0</v>
      </c>
      <c r="S196" s="20">
        <v>1.0</v>
      </c>
      <c r="T196" s="24">
        <v>47119.0</v>
      </c>
      <c r="U196" s="24">
        <v>47483.0</v>
      </c>
      <c r="V196" s="20">
        <v>0.0</v>
      </c>
      <c r="W196" s="20">
        <v>1.0</v>
      </c>
      <c r="X196" s="24">
        <v>47484.0</v>
      </c>
      <c r="Y196" s="24">
        <v>47848.0</v>
      </c>
      <c r="Z196" s="20">
        <v>0.0</v>
      </c>
      <c r="AA196" s="20">
        <v>1.0</v>
      </c>
      <c r="AC196" s="24"/>
      <c r="AD196" s="24"/>
      <c r="AH196" s="24"/>
      <c r="AI196" s="24"/>
    </row>
    <row r="197" ht="14.25" customHeight="1">
      <c r="A197" s="46" t="s">
        <v>6435</v>
      </c>
      <c r="B197" s="20" t="s">
        <v>6436</v>
      </c>
      <c r="C197" s="20" t="s">
        <v>7041</v>
      </c>
      <c r="D197" s="24">
        <v>45658.0</v>
      </c>
      <c r="E197" s="24">
        <v>46022.0</v>
      </c>
      <c r="F197" s="20">
        <v>1.0</v>
      </c>
      <c r="G197" s="20">
        <v>1.0</v>
      </c>
      <c r="H197" s="24">
        <v>46023.0</v>
      </c>
      <c r="I197" s="24">
        <v>46387.0</v>
      </c>
      <c r="J197" s="20">
        <v>0.0</v>
      </c>
      <c r="K197" s="20">
        <v>1.0</v>
      </c>
      <c r="L197" s="24">
        <v>46388.0</v>
      </c>
      <c r="M197" s="24">
        <v>46752.0</v>
      </c>
      <c r="N197" s="20">
        <v>0.0</v>
      </c>
      <c r="O197" s="20">
        <v>1.0</v>
      </c>
      <c r="P197" s="24">
        <v>46753.0</v>
      </c>
      <c r="Q197" s="24">
        <v>47118.0</v>
      </c>
      <c r="R197" s="20">
        <v>0.0</v>
      </c>
      <c r="S197" s="20">
        <v>1.0</v>
      </c>
      <c r="T197" s="24">
        <v>47119.0</v>
      </c>
      <c r="U197" s="24">
        <v>47483.0</v>
      </c>
      <c r="V197" s="20">
        <v>0.0</v>
      </c>
      <c r="W197" s="20">
        <v>1.0</v>
      </c>
      <c r="X197" s="24">
        <v>47484.0</v>
      </c>
      <c r="Y197" s="24">
        <v>47848.0</v>
      </c>
      <c r="Z197" s="20">
        <v>0.0</v>
      </c>
      <c r="AA197" s="20">
        <v>1.0</v>
      </c>
      <c r="AC197" s="24"/>
      <c r="AD197" s="24"/>
      <c r="AH197" s="24"/>
      <c r="AI197" s="24"/>
    </row>
    <row r="198" ht="14.25" customHeight="1">
      <c r="A198" s="46" t="s">
        <v>6693</v>
      </c>
      <c r="B198" s="20" t="s">
        <v>6694</v>
      </c>
      <c r="C198" s="20" t="s">
        <v>7041</v>
      </c>
      <c r="D198" s="24">
        <v>45658.0</v>
      </c>
      <c r="E198" s="24">
        <v>46022.0</v>
      </c>
      <c r="F198" s="20">
        <v>0.0</v>
      </c>
      <c r="G198" s="20">
        <v>1.0</v>
      </c>
      <c r="H198" s="24">
        <v>46023.0</v>
      </c>
      <c r="I198" s="24">
        <v>46387.0</v>
      </c>
      <c r="J198" s="20">
        <v>0.0</v>
      </c>
      <c r="K198" s="20">
        <v>1.0</v>
      </c>
      <c r="L198" s="24">
        <v>46388.0</v>
      </c>
      <c r="M198" s="24">
        <v>46752.0</v>
      </c>
      <c r="N198" s="20">
        <v>0.0</v>
      </c>
      <c r="O198" s="20">
        <v>1.0</v>
      </c>
      <c r="P198" s="24">
        <v>46753.0</v>
      </c>
      <c r="Q198" s="24">
        <v>47118.0</v>
      </c>
      <c r="R198" s="20">
        <v>0.0</v>
      </c>
      <c r="S198" s="20">
        <v>1.0</v>
      </c>
      <c r="T198" s="24">
        <v>47119.0</v>
      </c>
      <c r="U198" s="24">
        <v>47483.0</v>
      </c>
      <c r="V198" s="20">
        <v>0.0</v>
      </c>
      <c r="W198" s="20">
        <v>1.0</v>
      </c>
      <c r="X198" s="24">
        <v>47484.0</v>
      </c>
      <c r="Y198" s="24">
        <v>47848.0</v>
      </c>
      <c r="Z198" s="20">
        <v>0.0</v>
      </c>
      <c r="AA198" s="20">
        <v>1.0</v>
      </c>
      <c r="AC198" s="24"/>
      <c r="AD198" s="24"/>
      <c r="AH198" s="24"/>
      <c r="AI198" s="24"/>
    </row>
    <row r="199" ht="14.25" customHeight="1">
      <c r="A199" s="46" t="s">
        <v>6716</v>
      </c>
      <c r="B199" s="20" t="s">
        <v>6717</v>
      </c>
      <c r="C199" s="20" t="s">
        <v>7041</v>
      </c>
      <c r="D199" s="24">
        <v>45658.0</v>
      </c>
      <c r="E199" s="24">
        <v>46022.0</v>
      </c>
      <c r="F199" s="20">
        <v>1.0</v>
      </c>
      <c r="G199" s="20">
        <v>1.0</v>
      </c>
      <c r="H199" s="24">
        <v>46023.0</v>
      </c>
      <c r="I199" s="24">
        <v>46387.0</v>
      </c>
      <c r="J199" s="20">
        <v>0.0</v>
      </c>
      <c r="K199" s="20">
        <v>1.0</v>
      </c>
      <c r="L199" s="24">
        <v>46388.0</v>
      </c>
      <c r="M199" s="24">
        <v>46752.0</v>
      </c>
      <c r="N199" s="20">
        <v>0.0</v>
      </c>
      <c r="O199" s="20">
        <v>1.0</v>
      </c>
      <c r="P199" s="24">
        <v>46753.0</v>
      </c>
      <c r="Q199" s="24">
        <v>47118.0</v>
      </c>
      <c r="R199" s="20">
        <v>0.0</v>
      </c>
      <c r="S199" s="20">
        <v>1.0</v>
      </c>
      <c r="T199" s="24">
        <v>47119.0</v>
      </c>
      <c r="U199" s="24">
        <v>47483.0</v>
      </c>
      <c r="V199" s="20">
        <v>0.0</v>
      </c>
      <c r="W199" s="20">
        <v>1.0</v>
      </c>
      <c r="X199" s="24">
        <v>47484.0</v>
      </c>
      <c r="Y199" s="24">
        <v>47848.0</v>
      </c>
      <c r="Z199" s="20">
        <v>0.0</v>
      </c>
      <c r="AA199" s="20">
        <v>1.0</v>
      </c>
      <c r="AC199" s="24"/>
      <c r="AD199" s="24"/>
      <c r="AH199" s="24"/>
      <c r="AI199" s="24"/>
    </row>
    <row r="200" ht="14.25" customHeight="1">
      <c r="A200" s="46" t="s">
        <v>6943</v>
      </c>
      <c r="B200" s="20" t="s">
        <v>6944</v>
      </c>
      <c r="C200" s="20" t="s">
        <v>7041</v>
      </c>
      <c r="D200" s="24">
        <v>45658.0</v>
      </c>
      <c r="E200" s="24">
        <v>46022.0</v>
      </c>
      <c r="F200" s="20">
        <v>0.0</v>
      </c>
      <c r="G200" s="20">
        <v>1.0</v>
      </c>
      <c r="H200" s="24">
        <v>46023.0</v>
      </c>
      <c r="I200" s="24">
        <v>46387.0</v>
      </c>
      <c r="J200" s="20">
        <v>0.0</v>
      </c>
      <c r="K200" s="20">
        <v>1.0</v>
      </c>
      <c r="L200" s="24">
        <v>46388.0</v>
      </c>
      <c r="M200" s="24">
        <v>46752.0</v>
      </c>
      <c r="N200" s="20">
        <v>0.0</v>
      </c>
      <c r="O200" s="20">
        <v>1.0</v>
      </c>
      <c r="P200" s="24">
        <v>46753.0</v>
      </c>
      <c r="Q200" s="24">
        <v>47118.0</v>
      </c>
      <c r="R200" s="20">
        <v>0.0</v>
      </c>
      <c r="S200" s="20">
        <v>1.0</v>
      </c>
      <c r="T200" s="24">
        <v>47119.0</v>
      </c>
      <c r="U200" s="24">
        <v>47483.0</v>
      </c>
      <c r="V200" s="20">
        <v>0.0</v>
      </c>
      <c r="W200" s="20">
        <v>1.0</v>
      </c>
      <c r="X200" s="24">
        <v>47484.0</v>
      </c>
      <c r="Y200" s="24">
        <v>47848.0</v>
      </c>
      <c r="Z200" s="20">
        <v>0.0</v>
      </c>
      <c r="AA200" s="20">
        <v>1.0</v>
      </c>
      <c r="AC200" s="24"/>
      <c r="AD200" s="24"/>
      <c r="AH200" s="24"/>
      <c r="AI200" s="24"/>
    </row>
    <row r="201" ht="14.25" customHeight="1">
      <c r="A201" s="46" t="s">
        <v>7002</v>
      </c>
      <c r="B201" s="20" t="s">
        <v>7003</v>
      </c>
      <c r="C201" s="20" t="s">
        <v>7041</v>
      </c>
      <c r="D201" s="24">
        <v>45658.0</v>
      </c>
      <c r="E201" s="24">
        <v>46022.0</v>
      </c>
      <c r="F201" s="20">
        <v>0.0</v>
      </c>
      <c r="G201" s="20">
        <v>1.0</v>
      </c>
      <c r="H201" s="24">
        <v>46023.0</v>
      </c>
      <c r="I201" s="24">
        <v>46387.0</v>
      </c>
      <c r="J201" s="20">
        <v>0.0</v>
      </c>
      <c r="K201" s="20">
        <v>1.0</v>
      </c>
      <c r="L201" s="24">
        <v>46388.0</v>
      </c>
      <c r="M201" s="24">
        <v>46752.0</v>
      </c>
      <c r="N201" s="20">
        <v>0.0</v>
      </c>
      <c r="O201" s="20">
        <v>1.0</v>
      </c>
      <c r="P201" s="24">
        <v>46753.0</v>
      </c>
      <c r="Q201" s="24">
        <v>47118.0</v>
      </c>
      <c r="R201" s="20">
        <v>0.0</v>
      </c>
      <c r="S201" s="20">
        <v>1.0</v>
      </c>
      <c r="T201" s="24">
        <v>47119.0</v>
      </c>
      <c r="U201" s="24">
        <v>47483.0</v>
      </c>
      <c r="V201" s="20">
        <v>0.0</v>
      </c>
      <c r="W201" s="20">
        <v>1.0</v>
      </c>
      <c r="X201" s="24">
        <v>47484.0</v>
      </c>
      <c r="Y201" s="24">
        <v>47848.0</v>
      </c>
      <c r="Z201" s="20">
        <v>0.0</v>
      </c>
      <c r="AA201" s="20">
        <v>1.0</v>
      </c>
      <c r="AC201" s="24"/>
      <c r="AD201" s="24"/>
      <c r="AH201" s="24"/>
      <c r="AI201" s="24"/>
    </row>
    <row r="202" ht="14.25" customHeight="1">
      <c r="A202" s="46" t="s">
        <v>7027</v>
      </c>
      <c r="B202" s="20" t="s">
        <v>7028</v>
      </c>
      <c r="C202" s="20" t="s">
        <v>7041</v>
      </c>
      <c r="D202" s="24">
        <v>45658.0</v>
      </c>
      <c r="E202" s="24">
        <v>46022.0</v>
      </c>
      <c r="F202" s="20">
        <v>1.0</v>
      </c>
      <c r="G202" s="20">
        <v>1.0</v>
      </c>
      <c r="H202" s="24">
        <v>46023.0</v>
      </c>
      <c r="I202" s="24">
        <v>46387.0</v>
      </c>
      <c r="J202" s="20">
        <v>0.0</v>
      </c>
      <c r="K202" s="20">
        <v>1.0</v>
      </c>
      <c r="L202" s="24">
        <v>46388.0</v>
      </c>
      <c r="M202" s="24">
        <v>46752.0</v>
      </c>
      <c r="N202" s="20">
        <v>0.0</v>
      </c>
      <c r="O202" s="20">
        <v>1.0</v>
      </c>
      <c r="P202" s="24">
        <v>46753.0</v>
      </c>
      <c r="Q202" s="24">
        <v>47118.0</v>
      </c>
      <c r="R202" s="20">
        <v>0.0</v>
      </c>
      <c r="S202" s="20">
        <v>1.0</v>
      </c>
      <c r="T202" s="24">
        <v>47119.0</v>
      </c>
      <c r="U202" s="24">
        <v>47483.0</v>
      </c>
      <c r="V202" s="20">
        <v>0.0</v>
      </c>
      <c r="W202" s="20">
        <v>1.0</v>
      </c>
      <c r="X202" s="24">
        <v>47484.0</v>
      </c>
      <c r="Y202" s="24">
        <v>47848.0</v>
      </c>
      <c r="Z202" s="20">
        <v>0.0</v>
      </c>
      <c r="AA202" s="20">
        <v>1.0</v>
      </c>
      <c r="AC202" s="24"/>
      <c r="AD202" s="24"/>
      <c r="AH202" s="24"/>
      <c r="AI202" s="24"/>
    </row>
    <row r="203" ht="14.25" customHeight="1">
      <c r="A203" s="46" t="s">
        <v>6681</v>
      </c>
      <c r="B203" s="20" t="s">
        <v>6682</v>
      </c>
      <c r="C203" s="20" t="s">
        <v>7041</v>
      </c>
      <c r="D203" s="24">
        <v>45658.0</v>
      </c>
      <c r="E203" s="24">
        <v>46022.0</v>
      </c>
      <c r="F203" s="20">
        <v>0.0</v>
      </c>
      <c r="G203" s="20">
        <v>1.0</v>
      </c>
      <c r="H203" s="24">
        <v>46023.0</v>
      </c>
      <c r="I203" s="24">
        <v>46387.0</v>
      </c>
      <c r="J203" s="20">
        <v>0.0</v>
      </c>
      <c r="K203" s="20">
        <v>1.0</v>
      </c>
      <c r="L203" s="24">
        <v>46388.0</v>
      </c>
      <c r="M203" s="24">
        <v>46752.0</v>
      </c>
      <c r="N203" s="20">
        <v>0.0</v>
      </c>
      <c r="O203" s="20">
        <v>1.0</v>
      </c>
      <c r="P203" s="24">
        <v>46753.0</v>
      </c>
      <c r="Q203" s="24">
        <v>47118.0</v>
      </c>
      <c r="R203" s="20">
        <v>0.0</v>
      </c>
      <c r="S203" s="20">
        <v>1.0</v>
      </c>
      <c r="T203" s="24">
        <v>47119.0</v>
      </c>
      <c r="U203" s="24">
        <v>47483.0</v>
      </c>
      <c r="V203" s="20">
        <v>0.0</v>
      </c>
      <c r="W203" s="20">
        <v>1.0</v>
      </c>
      <c r="X203" s="24">
        <v>47484.0</v>
      </c>
      <c r="Y203" s="24">
        <v>47848.0</v>
      </c>
      <c r="Z203" s="20">
        <v>0.0</v>
      </c>
      <c r="AA203" s="20">
        <v>1.0</v>
      </c>
      <c r="AC203" s="24"/>
      <c r="AD203" s="24"/>
      <c r="AH203" s="24"/>
      <c r="AI203" s="24"/>
    </row>
    <row r="204" ht="14.25" customHeight="1">
      <c r="A204" s="46" t="s">
        <v>6492</v>
      </c>
      <c r="B204" s="20" t="s">
        <v>6493</v>
      </c>
      <c r="C204" s="20" t="s">
        <v>7041</v>
      </c>
      <c r="D204" s="24">
        <v>45658.0</v>
      </c>
      <c r="E204" s="24">
        <v>46022.0</v>
      </c>
      <c r="F204" s="20">
        <v>0.0</v>
      </c>
      <c r="G204" s="20">
        <v>1.0</v>
      </c>
      <c r="H204" s="24">
        <v>46023.0</v>
      </c>
      <c r="I204" s="24">
        <v>46387.0</v>
      </c>
      <c r="J204" s="20">
        <v>0.0</v>
      </c>
      <c r="K204" s="20">
        <v>1.0</v>
      </c>
      <c r="L204" s="24">
        <v>46388.0</v>
      </c>
      <c r="M204" s="24">
        <v>46752.0</v>
      </c>
      <c r="N204" s="20">
        <v>0.0</v>
      </c>
      <c r="O204" s="20">
        <v>1.0</v>
      </c>
      <c r="P204" s="24">
        <v>46753.0</v>
      </c>
      <c r="Q204" s="24">
        <v>47118.0</v>
      </c>
      <c r="R204" s="20">
        <v>0.0</v>
      </c>
      <c r="S204" s="20">
        <v>1.0</v>
      </c>
      <c r="T204" s="24">
        <v>47119.0</v>
      </c>
      <c r="U204" s="24">
        <v>47483.0</v>
      </c>
      <c r="V204" s="20">
        <v>0.0</v>
      </c>
      <c r="W204" s="20">
        <v>1.0</v>
      </c>
      <c r="X204" s="24">
        <v>47484.0</v>
      </c>
      <c r="Y204" s="24">
        <v>47848.0</v>
      </c>
      <c r="Z204" s="20">
        <v>0.0</v>
      </c>
      <c r="AA204" s="20">
        <v>1.0</v>
      </c>
      <c r="AC204" s="24"/>
      <c r="AD204" s="24"/>
      <c r="AH204" s="24"/>
      <c r="AI204" s="24"/>
    </row>
    <row r="205" ht="14.25" customHeight="1">
      <c r="A205" s="46" t="s">
        <v>5379</v>
      </c>
      <c r="B205" s="20" t="s">
        <v>5380</v>
      </c>
      <c r="C205" s="20" t="s">
        <v>7041</v>
      </c>
      <c r="D205" s="24">
        <v>45658.0</v>
      </c>
      <c r="E205" s="24">
        <v>46022.0</v>
      </c>
      <c r="F205" s="20">
        <v>1.0</v>
      </c>
      <c r="G205" s="20">
        <v>1.0</v>
      </c>
      <c r="H205" s="24">
        <v>46023.0</v>
      </c>
      <c r="I205" s="24">
        <v>46387.0</v>
      </c>
      <c r="J205" s="20">
        <v>0.0</v>
      </c>
      <c r="K205" s="20">
        <v>1.0</v>
      </c>
      <c r="L205" s="24">
        <v>46388.0</v>
      </c>
      <c r="M205" s="24">
        <v>46752.0</v>
      </c>
      <c r="N205" s="20">
        <v>0.0</v>
      </c>
      <c r="O205" s="20">
        <v>1.0</v>
      </c>
      <c r="P205" s="24">
        <v>46753.0</v>
      </c>
      <c r="Q205" s="24">
        <v>47118.0</v>
      </c>
      <c r="R205" s="20">
        <v>0.0</v>
      </c>
      <c r="S205" s="20">
        <v>1.0</v>
      </c>
      <c r="T205" s="24">
        <v>47119.0</v>
      </c>
      <c r="U205" s="24">
        <v>47483.0</v>
      </c>
      <c r="V205" s="20">
        <v>0.0</v>
      </c>
      <c r="W205" s="20">
        <v>1.0</v>
      </c>
      <c r="X205" s="24">
        <v>47484.0</v>
      </c>
      <c r="Y205" s="24">
        <v>47848.0</v>
      </c>
      <c r="Z205" s="20">
        <v>0.0</v>
      </c>
      <c r="AA205" s="20">
        <v>1.0</v>
      </c>
      <c r="AC205" s="24"/>
      <c r="AD205" s="24"/>
      <c r="AH205" s="24"/>
      <c r="AI205" s="24"/>
    </row>
    <row r="206" ht="14.25" customHeight="1">
      <c r="A206" s="46" t="s">
        <v>2317</v>
      </c>
      <c r="B206" s="20" t="s">
        <v>2318</v>
      </c>
      <c r="C206" s="20" t="s">
        <v>7041</v>
      </c>
      <c r="D206" s="24">
        <v>45658.0</v>
      </c>
      <c r="E206" s="24">
        <v>46022.0</v>
      </c>
      <c r="F206" s="20">
        <v>0.0</v>
      </c>
      <c r="G206" s="20">
        <v>1.0</v>
      </c>
      <c r="H206" s="24">
        <v>46023.0</v>
      </c>
      <c r="I206" s="24">
        <v>46387.0</v>
      </c>
      <c r="J206" s="20">
        <v>0.0</v>
      </c>
      <c r="K206" s="20">
        <v>1.0</v>
      </c>
      <c r="L206" s="24">
        <v>46388.0</v>
      </c>
      <c r="M206" s="24">
        <v>46752.0</v>
      </c>
      <c r="N206" s="20">
        <v>0.0</v>
      </c>
      <c r="O206" s="20">
        <v>1.0</v>
      </c>
      <c r="P206" s="24">
        <v>46753.0</v>
      </c>
      <c r="Q206" s="24">
        <v>47118.0</v>
      </c>
      <c r="R206" s="20">
        <v>0.0</v>
      </c>
      <c r="S206" s="20">
        <v>1.0</v>
      </c>
      <c r="T206" s="24">
        <v>47119.0</v>
      </c>
      <c r="U206" s="24">
        <v>47483.0</v>
      </c>
      <c r="V206" s="20">
        <v>0.0</v>
      </c>
      <c r="W206" s="20">
        <v>1.0</v>
      </c>
      <c r="X206" s="24">
        <v>47484.0</v>
      </c>
      <c r="Y206" s="24">
        <v>47848.0</v>
      </c>
      <c r="Z206" s="20">
        <v>0.0</v>
      </c>
      <c r="AA206" s="20">
        <v>1.0</v>
      </c>
      <c r="AC206" s="24"/>
      <c r="AD206" s="24"/>
      <c r="AH206" s="24"/>
      <c r="AI206" s="24"/>
    </row>
    <row r="207" ht="14.25" customHeight="1">
      <c r="A207" s="46" t="s">
        <v>5619</v>
      </c>
      <c r="B207" s="20" t="s">
        <v>5620</v>
      </c>
      <c r="C207" s="20" t="s">
        <v>7041</v>
      </c>
      <c r="D207" s="24">
        <v>45658.0</v>
      </c>
      <c r="E207" s="24">
        <v>46022.0</v>
      </c>
      <c r="F207" s="20">
        <v>0.0</v>
      </c>
      <c r="G207" s="20">
        <v>1.0</v>
      </c>
      <c r="H207" s="24">
        <v>46023.0</v>
      </c>
      <c r="I207" s="24">
        <v>46387.0</v>
      </c>
      <c r="J207" s="20">
        <v>0.0</v>
      </c>
      <c r="K207" s="20">
        <v>1.0</v>
      </c>
      <c r="L207" s="24">
        <v>46388.0</v>
      </c>
      <c r="M207" s="24">
        <v>46752.0</v>
      </c>
      <c r="N207" s="20">
        <v>0.0</v>
      </c>
      <c r="O207" s="20">
        <v>1.0</v>
      </c>
      <c r="P207" s="24">
        <v>46753.0</v>
      </c>
      <c r="Q207" s="24">
        <v>47118.0</v>
      </c>
      <c r="R207" s="20">
        <v>0.0</v>
      </c>
      <c r="S207" s="20">
        <v>1.0</v>
      </c>
      <c r="T207" s="24">
        <v>47119.0</v>
      </c>
      <c r="U207" s="24">
        <v>47483.0</v>
      </c>
      <c r="V207" s="20">
        <v>0.0</v>
      </c>
      <c r="W207" s="20">
        <v>1.0</v>
      </c>
      <c r="X207" s="24">
        <v>47484.0</v>
      </c>
      <c r="Y207" s="24">
        <v>47848.0</v>
      </c>
      <c r="Z207" s="20">
        <v>0.0</v>
      </c>
      <c r="AA207" s="20">
        <v>1.0</v>
      </c>
      <c r="AC207" s="24"/>
      <c r="AD207" s="24"/>
      <c r="AH207" s="24"/>
      <c r="AI207" s="24"/>
    </row>
    <row r="208" ht="14.25" customHeight="1">
      <c r="A208" s="46" t="s">
        <v>3904</v>
      </c>
      <c r="B208" s="20" t="s">
        <v>3905</v>
      </c>
      <c r="C208" s="20" t="s">
        <v>7041</v>
      </c>
      <c r="D208" s="24">
        <v>45658.0</v>
      </c>
      <c r="E208" s="24">
        <v>46022.0</v>
      </c>
      <c r="F208" s="20">
        <v>0.0</v>
      </c>
      <c r="G208" s="20">
        <v>1.0</v>
      </c>
      <c r="H208" s="24">
        <v>46023.0</v>
      </c>
      <c r="I208" s="24">
        <v>46387.0</v>
      </c>
      <c r="J208" s="20">
        <v>0.0</v>
      </c>
      <c r="K208" s="20">
        <v>1.0</v>
      </c>
      <c r="L208" s="24">
        <v>46388.0</v>
      </c>
      <c r="M208" s="24">
        <v>46752.0</v>
      </c>
      <c r="N208" s="20">
        <v>0.0</v>
      </c>
      <c r="O208" s="20">
        <v>1.0</v>
      </c>
      <c r="P208" s="24">
        <v>46753.0</v>
      </c>
      <c r="Q208" s="24">
        <v>47118.0</v>
      </c>
      <c r="R208" s="20">
        <v>0.0</v>
      </c>
      <c r="S208" s="20">
        <v>1.0</v>
      </c>
      <c r="T208" s="24">
        <v>47119.0</v>
      </c>
      <c r="U208" s="24">
        <v>47483.0</v>
      </c>
      <c r="V208" s="20">
        <v>0.0</v>
      </c>
      <c r="W208" s="20">
        <v>1.0</v>
      </c>
      <c r="X208" s="24">
        <v>47484.0</v>
      </c>
      <c r="Y208" s="24">
        <v>47848.0</v>
      </c>
      <c r="Z208" s="20">
        <v>0.0</v>
      </c>
      <c r="AA208" s="20">
        <v>1.0</v>
      </c>
      <c r="AC208" s="24"/>
      <c r="AD208" s="24"/>
      <c r="AH208" s="24"/>
      <c r="AI208" s="24"/>
    </row>
    <row r="209" ht="14.25" customHeight="1">
      <c r="A209" s="46" t="s">
        <v>6620</v>
      </c>
      <c r="B209" s="20" t="s">
        <v>6621</v>
      </c>
      <c r="C209" s="20" t="s">
        <v>7041</v>
      </c>
      <c r="D209" s="24">
        <v>45658.0</v>
      </c>
      <c r="E209" s="24">
        <v>46022.0</v>
      </c>
      <c r="F209" s="20">
        <v>1.0</v>
      </c>
      <c r="G209" s="20">
        <v>1.0</v>
      </c>
      <c r="H209" s="24">
        <v>46023.0</v>
      </c>
      <c r="I209" s="24">
        <v>46387.0</v>
      </c>
      <c r="J209" s="20">
        <v>0.0</v>
      </c>
      <c r="K209" s="20">
        <v>1.0</v>
      </c>
      <c r="L209" s="24">
        <v>46388.0</v>
      </c>
      <c r="M209" s="24">
        <v>46752.0</v>
      </c>
      <c r="N209" s="20">
        <v>0.0</v>
      </c>
      <c r="O209" s="20">
        <v>1.0</v>
      </c>
      <c r="P209" s="24">
        <v>46753.0</v>
      </c>
      <c r="Q209" s="24">
        <v>47118.0</v>
      </c>
      <c r="R209" s="20">
        <v>0.0</v>
      </c>
      <c r="S209" s="20">
        <v>1.0</v>
      </c>
      <c r="T209" s="24">
        <v>47119.0</v>
      </c>
      <c r="U209" s="24">
        <v>47483.0</v>
      </c>
      <c r="V209" s="20">
        <v>0.0</v>
      </c>
      <c r="W209" s="20">
        <v>1.0</v>
      </c>
      <c r="X209" s="24">
        <v>47484.0</v>
      </c>
      <c r="Y209" s="24">
        <v>47848.0</v>
      </c>
      <c r="Z209" s="20">
        <v>0.0</v>
      </c>
      <c r="AA209" s="20">
        <v>1.0</v>
      </c>
      <c r="AC209" s="24"/>
      <c r="AD209" s="24"/>
      <c r="AH209" s="24"/>
      <c r="AI209" s="24"/>
    </row>
    <row r="210" ht="14.25" customHeight="1">
      <c r="A210" s="46" t="s">
        <v>6479</v>
      </c>
      <c r="B210" s="20" t="s">
        <v>6480</v>
      </c>
      <c r="C210" s="20" t="s">
        <v>7041</v>
      </c>
      <c r="D210" s="24">
        <v>45658.0</v>
      </c>
      <c r="E210" s="24">
        <v>46022.0</v>
      </c>
      <c r="F210" s="20">
        <v>1.0</v>
      </c>
      <c r="G210" s="20">
        <v>1.0</v>
      </c>
      <c r="H210" s="24">
        <v>46023.0</v>
      </c>
      <c r="I210" s="24">
        <v>46387.0</v>
      </c>
      <c r="J210" s="20">
        <v>0.0</v>
      </c>
      <c r="K210" s="20">
        <v>1.0</v>
      </c>
      <c r="L210" s="24">
        <v>46388.0</v>
      </c>
      <c r="M210" s="24">
        <v>46752.0</v>
      </c>
      <c r="N210" s="20">
        <v>0.0</v>
      </c>
      <c r="O210" s="20">
        <v>1.0</v>
      </c>
      <c r="P210" s="24">
        <v>46753.0</v>
      </c>
      <c r="Q210" s="24">
        <v>47118.0</v>
      </c>
      <c r="R210" s="20">
        <v>0.0</v>
      </c>
      <c r="S210" s="20">
        <v>1.0</v>
      </c>
      <c r="T210" s="24">
        <v>47119.0</v>
      </c>
      <c r="U210" s="24">
        <v>47483.0</v>
      </c>
      <c r="V210" s="20">
        <v>0.0</v>
      </c>
      <c r="W210" s="20">
        <v>1.0</v>
      </c>
      <c r="X210" s="24">
        <v>47484.0</v>
      </c>
      <c r="Y210" s="24">
        <v>47848.0</v>
      </c>
      <c r="Z210" s="20">
        <v>0.0</v>
      </c>
      <c r="AA210" s="20">
        <v>1.0</v>
      </c>
      <c r="AC210" s="24"/>
      <c r="AD210" s="24"/>
      <c r="AH210" s="24"/>
      <c r="AI210" s="24"/>
    </row>
    <row r="211" ht="14.25" customHeight="1">
      <c r="A211" s="46" t="s">
        <v>3264</v>
      </c>
      <c r="B211" s="20" t="s">
        <v>3265</v>
      </c>
      <c r="C211" s="20" t="s">
        <v>7041</v>
      </c>
      <c r="D211" s="24">
        <v>45658.0</v>
      </c>
      <c r="E211" s="24">
        <v>46022.0</v>
      </c>
      <c r="F211" s="20">
        <v>1.0</v>
      </c>
      <c r="G211" s="20">
        <v>1.0</v>
      </c>
      <c r="H211" s="24">
        <v>46023.0</v>
      </c>
      <c r="I211" s="24">
        <v>46387.0</v>
      </c>
      <c r="J211" s="20">
        <v>0.0</v>
      </c>
      <c r="K211" s="20">
        <v>1.0</v>
      </c>
      <c r="L211" s="24">
        <v>46388.0</v>
      </c>
      <c r="M211" s="24">
        <v>46752.0</v>
      </c>
      <c r="N211" s="20">
        <v>0.0</v>
      </c>
      <c r="O211" s="20">
        <v>1.0</v>
      </c>
      <c r="P211" s="24">
        <v>46753.0</v>
      </c>
      <c r="Q211" s="24">
        <v>47118.0</v>
      </c>
      <c r="R211" s="20">
        <v>0.0</v>
      </c>
      <c r="S211" s="20">
        <v>1.0</v>
      </c>
      <c r="T211" s="24">
        <v>47119.0</v>
      </c>
      <c r="U211" s="24">
        <v>47483.0</v>
      </c>
      <c r="V211" s="20">
        <v>0.0</v>
      </c>
      <c r="W211" s="20">
        <v>1.0</v>
      </c>
      <c r="X211" s="24">
        <v>47484.0</v>
      </c>
      <c r="Y211" s="24">
        <v>47848.0</v>
      </c>
      <c r="Z211" s="20">
        <v>0.0</v>
      </c>
      <c r="AA211" s="20">
        <v>1.0</v>
      </c>
      <c r="AC211" s="24"/>
      <c r="AD211" s="24"/>
      <c r="AH211" s="24"/>
      <c r="AI211" s="24"/>
    </row>
    <row r="212" ht="14.25" customHeight="1">
      <c r="A212" s="46" t="s">
        <v>3907</v>
      </c>
      <c r="B212" s="20" t="s">
        <v>3908</v>
      </c>
      <c r="C212" s="20" t="s">
        <v>7041</v>
      </c>
      <c r="D212" s="24">
        <v>45658.0</v>
      </c>
      <c r="E212" s="24">
        <v>46022.0</v>
      </c>
      <c r="F212" s="20">
        <v>0.0</v>
      </c>
      <c r="G212" s="20">
        <v>1.0</v>
      </c>
      <c r="H212" s="24">
        <v>46023.0</v>
      </c>
      <c r="I212" s="24">
        <v>46387.0</v>
      </c>
      <c r="J212" s="20">
        <v>0.0</v>
      </c>
      <c r="K212" s="20">
        <v>1.0</v>
      </c>
      <c r="L212" s="24">
        <v>46388.0</v>
      </c>
      <c r="M212" s="24">
        <v>46752.0</v>
      </c>
      <c r="N212" s="20">
        <v>0.0</v>
      </c>
      <c r="O212" s="20">
        <v>1.0</v>
      </c>
      <c r="P212" s="24">
        <v>46753.0</v>
      </c>
      <c r="Q212" s="24">
        <v>47118.0</v>
      </c>
      <c r="R212" s="20">
        <v>0.0</v>
      </c>
      <c r="S212" s="20">
        <v>1.0</v>
      </c>
      <c r="T212" s="24">
        <v>47119.0</v>
      </c>
      <c r="U212" s="24">
        <v>47483.0</v>
      </c>
      <c r="V212" s="20">
        <v>0.0</v>
      </c>
      <c r="W212" s="20">
        <v>1.0</v>
      </c>
      <c r="X212" s="24">
        <v>47484.0</v>
      </c>
      <c r="Y212" s="24">
        <v>47848.0</v>
      </c>
      <c r="Z212" s="20">
        <v>0.0</v>
      </c>
      <c r="AA212" s="20">
        <v>1.0</v>
      </c>
      <c r="AC212" s="24"/>
      <c r="AD212" s="24"/>
      <c r="AH212" s="24"/>
      <c r="AI212" s="24"/>
    </row>
    <row r="213" ht="14.25" customHeight="1">
      <c r="A213" s="46" t="s">
        <v>504</v>
      </c>
      <c r="B213" s="20" t="s">
        <v>505</v>
      </c>
      <c r="C213" s="20" t="s">
        <v>7041</v>
      </c>
      <c r="D213" s="24">
        <v>45658.0</v>
      </c>
      <c r="E213" s="24">
        <v>46022.0</v>
      </c>
      <c r="F213" s="20">
        <v>0.0</v>
      </c>
      <c r="G213" s="20">
        <v>1.0</v>
      </c>
      <c r="H213" s="24">
        <v>46023.0</v>
      </c>
      <c r="I213" s="24">
        <v>46387.0</v>
      </c>
      <c r="J213" s="20">
        <v>0.0</v>
      </c>
      <c r="K213" s="20">
        <v>1.0</v>
      </c>
      <c r="L213" s="24">
        <v>46388.0</v>
      </c>
      <c r="M213" s="24">
        <v>46752.0</v>
      </c>
      <c r="N213" s="20">
        <v>0.0</v>
      </c>
      <c r="O213" s="20">
        <v>1.0</v>
      </c>
      <c r="P213" s="24">
        <v>46753.0</v>
      </c>
      <c r="Q213" s="24">
        <v>47118.0</v>
      </c>
      <c r="R213" s="20">
        <v>0.0</v>
      </c>
      <c r="S213" s="20">
        <v>1.0</v>
      </c>
      <c r="T213" s="24">
        <v>47119.0</v>
      </c>
      <c r="U213" s="24">
        <v>47483.0</v>
      </c>
      <c r="V213" s="20">
        <v>0.0</v>
      </c>
      <c r="W213" s="20">
        <v>1.0</v>
      </c>
      <c r="X213" s="24">
        <v>47484.0</v>
      </c>
      <c r="Y213" s="24">
        <v>47848.0</v>
      </c>
      <c r="Z213" s="20">
        <v>0.0</v>
      </c>
      <c r="AA213" s="20">
        <v>1.0</v>
      </c>
      <c r="AC213" s="24"/>
      <c r="AD213" s="24"/>
      <c r="AH213" s="24"/>
      <c r="AI213" s="24"/>
    </row>
    <row r="214" ht="14.25" customHeight="1">
      <c r="A214" s="46" t="s">
        <v>507</v>
      </c>
      <c r="B214" s="20" t="s">
        <v>508</v>
      </c>
      <c r="C214" s="20" t="s">
        <v>7041</v>
      </c>
      <c r="D214" s="24">
        <v>45658.0</v>
      </c>
      <c r="E214" s="24">
        <v>46022.0</v>
      </c>
      <c r="F214" s="20">
        <v>0.0</v>
      </c>
      <c r="G214" s="20">
        <v>1.0</v>
      </c>
      <c r="H214" s="24">
        <v>46023.0</v>
      </c>
      <c r="I214" s="24">
        <v>46387.0</v>
      </c>
      <c r="J214" s="20">
        <v>0.0</v>
      </c>
      <c r="K214" s="20">
        <v>1.0</v>
      </c>
      <c r="L214" s="24">
        <v>46388.0</v>
      </c>
      <c r="M214" s="24">
        <v>46752.0</v>
      </c>
      <c r="N214" s="20">
        <v>0.0</v>
      </c>
      <c r="O214" s="20">
        <v>1.0</v>
      </c>
      <c r="P214" s="24">
        <v>46753.0</v>
      </c>
      <c r="Q214" s="24">
        <v>47118.0</v>
      </c>
      <c r="R214" s="20">
        <v>0.0</v>
      </c>
      <c r="S214" s="20">
        <v>1.0</v>
      </c>
      <c r="T214" s="24">
        <v>47119.0</v>
      </c>
      <c r="U214" s="24">
        <v>47483.0</v>
      </c>
      <c r="V214" s="20">
        <v>0.0</v>
      </c>
      <c r="W214" s="20">
        <v>1.0</v>
      </c>
      <c r="X214" s="24">
        <v>47484.0</v>
      </c>
      <c r="Y214" s="24">
        <v>47848.0</v>
      </c>
      <c r="Z214" s="20">
        <v>0.0</v>
      </c>
      <c r="AA214" s="20">
        <v>1.0</v>
      </c>
      <c r="AC214" s="24"/>
      <c r="AD214" s="24"/>
      <c r="AH214" s="24"/>
      <c r="AI214" s="24"/>
    </row>
    <row r="215" ht="14.25" customHeight="1">
      <c r="A215" s="46" t="s">
        <v>718</v>
      </c>
      <c r="B215" s="20" t="s">
        <v>719</v>
      </c>
      <c r="C215" s="20" t="s">
        <v>7041</v>
      </c>
      <c r="D215" s="24">
        <v>45658.0</v>
      </c>
      <c r="E215" s="24">
        <v>46022.0</v>
      </c>
      <c r="F215" s="20">
        <v>0.0</v>
      </c>
      <c r="G215" s="20">
        <v>1.0</v>
      </c>
      <c r="H215" s="24">
        <v>46023.0</v>
      </c>
      <c r="I215" s="24">
        <v>46387.0</v>
      </c>
      <c r="J215" s="20">
        <v>0.0</v>
      </c>
      <c r="K215" s="20">
        <v>1.0</v>
      </c>
      <c r="L215" s="24">
        <v>46388.0</v>
      </c>
      <c r="M215" s="24">
        <v>46752.0</v>
      </c>
      <c r="N215" s="20">
        <v>0.0</v>
      </c>
      <c r="O215" s="20">
        <v>1.0</v>
      </c>
      <c r="P215" s="24">
        <v>46753.0</v>
      </c>
      <c r="Q215" s="24">
        <v>47118.0</v>
      </c>
      <c r="R215" s="20">
        <v>0.0</v>
      </c>
      <c r="S215" s="20">
        <v>1.0</v>
      </c>
      <c r="T215" s="24">
        <v>47119.0</v>
      </c>
      <c r="U215" s="24">
        <v>47483.0</v>
      </c>
      <c r="V215" s="20">
        <v>0.0</v>
      </c>
      <c r="W215" s="20">
        <v>1.0</v>
      </c>
      <c r="X215" s="24">
        <v>47484.0</v>
      </c>
      <c r="Y215" s="24">
        <v>47848.0</v>
      </c>
      <c r="Z215" s="20">
        <v>0.0</v>
      </c>
      <c r="AA215" s="20">
        <v>1.0</v>
      </c>
      <c r="AC215" s="24"/>
      <c r="AD215" s="24"/>
      <c r="AH215" s="24"/>
      <c r="AI215" s="24"/>
    </row>
    <row r="216" ht="14.25" customHeight="1">
      <c r="A216" s="46" t="s">
        <v>759</v>
      </c>
      <c r="B216" s="20" t="s">
        <v>760</v>
      </c>
      <c r="C216" s="20" t="s">
        <v>7041</v>
      </c>
      <c r="D216" s="24">
        <v>45658.0</v>
      </c>
      <c r="E216" s="24">
        <v>46022.0</v>
      </c>
      <c r="F216" s="20">
        <v>0.0</v>
      </c>
      <c r="G216" s="20">
        <v>1.0</v>
      </c>
      <c r="H216" s="24">
        <v>46023.0</v>
      </c>
      <c r="I216" s="24">
        <v>46387.0</v>
      </c>
      <c r="J216" s="20">
        <v>0.0</v>
      </c>
      <c r="K216" s="20">
        <v>1.0</v>
      </c>
      <c r="L216" s="24">
        <v>46388.0</v>
      </c>
      <c r="M216" s="24">
        <v>46752.0</v>
      </c>
      <c r="N216" s="20">
        <v>0.0</v>
      </c>
      <c r="O216" s="20">
        <v>1.0</v>
      </c>
      <c r="P216" s="24">
        <v>46753.0</v>
      </c>
      <c r="Q216" s="24">
        <v>47118.0</v>
      </c>
      <c r="R216" s="20">
        <v>0.0</v>
      </c>
      <c r="S216" s="20">
        <v>1.0</v>
      </c>
      <c r="T216" s="24">
        <v>47119.0</v>
      </c>
      <c r="U216" s="24">
        <v>47483.0</v>
      </c>
      <c r="V216" s="20">
        <v>0.0</v>
      </c>
      <c r="W216" s="20">
        <v>1.0</v>
      </c>
      <c r="X216" s="24">
        <v>47484.0</v>
      </c>
      <c r="Y216" s="24">
        <v>47848.0</v>
      </c>
      <c r="Z216" s="20">
        <v>0.0</v>
      </c>
      <c r="AA216" s="20">
        <v>1.0</v>
      </c>
      <c r="AC216" s="24"/>
      <c r="AD216" s="24"/>
      <c r="AH216" s="24"/>
      <c r="AI216" s="24"/>
    </row>
    <row r="217" ht="14.25" customHeight="1">
      <c r="A217" s="46" t="s">
        <v>1271</v>
      </c>
      <c r="B217" s="20" t="s">
        <v>1272</v>
      </c>
      <c r="C217" s="20" t="s">
        <v>7041</v>
      </c>
      <c r="D217" s="24">
        <v>45658.0</v>
      </c>
      <c r="E217" s="24">
        <v>46022.0</v>
      </c>
      <c r="F217" s="20">
        <v>0.0</v>
      </c>
      <c r="G217" s="20">
        <v>1.0</v>
      </c>
      <c r="H217" s="24">
        <v>46023.0</v>
      </c>
      <c r="I217" s="24">
        <v>46387.0</v>
      </c>
      <c r="J217" s="20">
        <v>0.0</v>
      </c>
      <c r="K217" s="20">
        <v>1.0</v>
      </c>
      <c r="L217" s="24">
        <v>46388.0</v>
      </c>
      <c r="M217" s="24">
        <v>46752.0</v>
      </c>
      <c r="N217" s="20">
        <v>0.0</v>
      </c>
      <c r="O217" s="20">
        <v>1.0</v>
      </c>
      <c r="P217" s="24">
        <v>46753.0</v>
      </c>
      <c r="Q217" s="24">
        <v>47118.0</v>
      </c>
      <c r="R217" s="20">
        <v>0.0</v>
      </c>
      <c r="S217" s="20">
        <v>1.0</v>
      </c>
      <c r="T217" s="24">
        <v>47119.0</v>
      </c>
      <c r="U217" s="24">
        <v>47483.0</v>
      </c>
      <c r="V217" s="20">
        <v>0.0</v>
      </c>
      <c r="W217" s="20">
        <v>1.0</v>
      </c>
      <c r="X217" s="24">
        <v>47484.0</v>
      </c>
      <c r="Y217" s="24">
        <v>47848.0</v>
      </c>
      <c r="Z217" s="20">
        <v>0.0</v>
      </c>
      <c r="AA217" s="20">
        <v>1.0</v>
      </c>
      <c r="AC217" s="24"/>
      <c r="AD217" s="24"/>
      <c r="AH217" s="24"/>
      <c r="AI217" s="24"/>
    </row>
    <row r="218" ht="14.25" customHeight="1">
      <c r="A218" s="46" t="s">
        <v>1328</v>
      </c>
      <c r="B218" s="20" t="s">
        <v>1329</v>
      </c>
      <c r="C218" s="20" t="s">
        <v>7041</v>
      </c>
      <c r="D218" s="24">
        <v>45658.0</v>
      </c>
      <c r="E218" s="24">
        <v>46022.0</v>
      </c>
      <c r="F218" s="20">
        <v>1.0</v>
      </c>
      <c r="G218" s="20">
        <v>1.0</v>
      </c>
      <c r="H218" s="24">
        <v>46023.0</v>
      </c>
      <c r="I218" s="24">
        <v>46387.0</v>
      </c>
      <c r="J218" s="20">
        <v>0.0</v>
      </c>
      <c r="K218" s="20">
        <v>1.0</v>
      </c>
      <c r="L218" s="24">
        <v>46388.0</v>
      </c>
      <c r="M218" s="24">
        <v>46752.0</v>
      </c>
      <c r="N218" s="20">
        <v>0.0</v>
      </c>
      <c r="O218" s="20">
        <v>1.0</v>
      </c>
      <c r="P218" s="24">
        <v>46753.0</v>
      </c>
      <c r="Q218" s="24">
        <v>47118.0</v>
      </c>
      <c r="R218" s="20">
        <v>0.0</v>
      </c>
      <c r="S218" s="20">
        <v>1.0</v>
      </c>
      <c r="T218" s="24">
        <v>47119.0</v>
      </c>
      <c r="U218" s="24">
        <v>47483.0</v>
      </c>
      <c r="V218" s="20">
        <v>0.0</v>
      </c>
      <c r="W218" s="20">
        <v>1.0</v>
      </c>
      <c r="X218" s="24">
        <v>47484.0</v>
      </c>
      <c r="Y218" s="24">
        <v>47848.0</v>
      </c>
      <c r="Z218" s="20">
        <v>0.0</v>
      </c>
      <c r="AA218" s="20">
        <v>1.0</v>
      </c>
      <c r="AC218" s="24"/>
      <c r="AD218" s="24"/>
      <c r="AH218" s="24"/>
      <c r="AI218" s="24"/>
    </row>
    <row r="219" ht="14.25" customHeight="1">
      <c r="A219" s="46" t="s">
        <v>1437</v>
      </c>
      <c r="B219" s="20" t="s">
        <v>1438</v>
      </c>
      <c r="C219" s="20" t="s">
        <v>7041</v>
      </c>
      <c r="D219" s="24">
        <v>45658.0</v>
      </c>
      <c r="E219" s="24">
        <v>46022.0</v>
      </c>
      <c r="F219" s="20">
        <v>1.0</v>
      </c>
      <c r="G219" s="20">
        <v>1.0</v>
      </c>
      <c r="H219" s="24">
        <v>46023.0</v>
      </c>
      <c r="I219" s="24">
        <v>46387.0</v>
      </c>
      <c r="J219" s="20">
        <v>0.0</v>
      </c>
      <c r="K219" s="20">
        <v>1.0</v>
      </c>
      <c r="L219" s="24">
        <v>46388.0</v>
      </c>
      <c r="M219" s="24">
        <v>46752.0</v>
      </c>
      <c r="N219" s="20">
        <v>0.0</v>
      </c>
      <c r="O219" s="20">
        <v>1.0</v>
      </c>
      <c r="P219" s="24">
        <v>46753.0</v>
      </c>
      <c r="Q219" s="24">
        <v>47118.0</v>
      </c>
      <c r="R219" s="20">
        <v>0.0</v>
      </c>
      <c r="S219" s="20">
        <v>1.0</v>
      </c>
      <c r="T219" s="24">
        <v>47119.0</v>
      </c>
      <c r="U219" s="24">
        <v>47483.0</v>
      </c>
      <c r="V219" s="20">
        <v>0.0</v>
      </c>
      <c r="W219" s="20">
        <v>1.0</v>
      </c>
      <c r="X219" s="24">
        <v>47484.0</v>
      </c>
      <c r="Y219" s="24">
        <v>47848.0</v>
      </c>
      <c r="Z219" s="20">
        <v>0.0</v>
      </c>
      <c r="AA219" s="20">
        <v>1.0</v>
      </c>
      <c r="AC219" s="24"/>
      <c r="AD219" s="24"/>
      <c r="AH219" s="24"/>
      <c r="AI219" s="24"/>
    </row>
    <row r="220" ht="14.25" customHeight="1">
      <c r="A220" s="46" t="s">
        <v>1451</v>
      </c>
      <c r="B220" s="20" t="s">
        <v>1452</v>
      </c>
      <c r="C220" s="20" t="s">
        <v>7041</v>
      </c>
      <c r="D220" s="24">
        <v>45658.0</v>
      </c>
      <c r="E220" s="24">
        <v>46022.0</v>
      </c>
      <c r="F220" s="20">
        <v>0.0</v>
      </c>
      <c r="G220" s="20">
        <v>1.0</v>
      </c>
      <c r="H220" s="24">
        <v>46023.0</v>
      </c>
      <c r="I220" s="24">
        <v>46387.0</v>
      </c>
      <c r="J220" s="20">
        <v>0.0</v>
      </c>
      <c r="K220" s="20">
        <v>1.0</v>
      </c>
      <c r="L220" s="24">
        <v>46388.0</v>
      </c>
      <c r="M220" s="24">
        <v>46752.0</v>
      </c>
      <c r="N220" s="20">
        <v>0.0</v>
      </c>
      <c r="O220" s="20">
        <v>1.0</v>
      </c>
      <c r="P220" s="24">
        <v>46753.0</v>
      </c>
      <c r="Q220" s="24">
        <v>47118.0</v>
      </c>
      <c r="R220" s="20">
        <v>0.0</v>
      </c>
      <c r="S220" s="20">
        <v>1.0</v>
      </c>
      <c r="T220" s="24">
        <v>47119.0</v>
      </c>
      <c r="U220" s="24">
        <v>47483.0</v>
      </c>
      <c r="V220" s="20">
        <v>0.0</v>
      </c>
      <c r="W220" s="20">
        <v>1.0</v>
      </c>
      <c r="X220" s="24">
        <v>47484.0</v>
      </c>
      <c r="Y220" s="24">
        <v>47848.0</v>
      </c>
      <c r="Z220" s="20">
        <v>0.0</v>
      </c>
      <c r="AA220" s="20">
        <v>1.0</v>
      </c>
      <c r="AC220" s="24"/>
      <c r="AD220" s="24"/>
      <c r="AH220" s="24"/>
      <c r="AI220" s="24"/>
    </row>
    <row r="221" ht="14.25" customHeight="1">
      <c r="A221" s="46" t="s">
        <v>2262</v>
      </c>
      <c r="B221" s="20" t="s">
        <v>2263</v>
      </c>
      <c r="C221" s="20" t="s">
        <v>7041</v>
      </c>
      <c r="D221" s="24">
        <v>45658.0</v>
      </c>
      <c r="E221" s="24">
        <v>46022.0</v>
      </c>
      <c r="F221" s="20">
        <v>1.0</v>
      </c>
      <c r="G221" s="20">
        <v>1.0</v>
      </c>
      <c r="H221" s="24">
        <v>46023.0</v>
      </c>
      <c r="I221" s="24">
        <v>46387.0</v>
      </c>
      <c r="J221" s="20">
        <v>0.0</v>
      </c>
      <c r="K221" s="20">
        <v>1.0</v>
      </c>
      <c r="L221" s="24">
        <v>46388.0</v>
      </c>
      <c r="M221" s="24">
        <v>46752.0</v>
      </c>
      <c r="N221" s="20">
        <v>0.0</v>
      </c>
      <c r="O221" s="20">
        <v>1.0</v>
      </c>
      <c r="P221" s="24">
        <v>46753.0</v>
      </c>
      <c r="Q221" s="24">
        <v>47118.0</v>
      </c>
      <c r="R221" s="20">
        <v>0.0</v>
      </c>
      <c r="S221" s="20">
        <v>1.0</v>
      </c>
      <c r="T221" s="24">
        <v>47119.0</v>
      </c>
      <c r="U221" s="24">
        <v>47483.0</v>
      </c>
      <c r="V221" s="20">
        <v>0.0</v>
      </c>
      <c r="W221" s="20">
        <v>1.0</v>
      </c>
      <c r="X221" s="24">
        <v>47484.0</v>
      </c>
      <c r="Y221" s="24">
        <v>47848.0</v>
      </c>
      <c r="Z221" s="20">
        <v>0.0</v>
      </c>
      <c r="AA221" s="20">
        <v>1.0</v>
      </c>
      <c r="AC221" s="24"/>
      <c r="AD221" s="24"/>
      <c r="AH221" s="24"/>
      <c r="AI221" s="24"/>
    </row>
    <row r="222" ht="14.25" customHeight="1">
      <c r="A222" s="46" t="s">
        <v>2341</v>
      </c>
      <c r="B222" s="20" t="s">
        <v>2342</v>
      </c>
      <c r="C222" s="20" t="s">
        <v>7041</v>
      </c>
      <c r="D222" s="24">
        <v>45658.0</v>
      </c>
      <c r="E222" s="24">
        <v>46022.0</v>
      </c>
      <c r="F222" s="20">
        <v>1.0</v>
      </c>
      <c r="G222" s="20">
        <v>1.0</v>
      </c>
      <c r="H222" s="24">
        <v>46023.0</v>
      </c>
      <c r="I222" s="24">
        <v>46387.0</v>
      </c>
      <c r="J222" s="20">
        <v>0.0</v>
      </c>
      <c r="K222" s="20">
        <v>1.0</v>
      </c>
      <c r="L222" s="24">
        <v>46388.0</v>
      </c>
      <c r="M222" s="24">
        <v>46752.0</v>
      </c>
      <c r="N222" s="20">
        <v>0.0</v>
      </c>
      <c r="O222" s="20">
        <v>1.0</v>
      </c>
      <c r="P222" s="24">
        <v>46753.0</v>
      </c>
      <c r="Q222" s="24">
        <v>47118.0</v>
      </c>
      <c r="R222" s="20">
        <v>0.0</v>
      </c>
      <c r="S222" s="20">
        <v>1.0</v>
      </c>
      <c r="T222" s="24">
        <v>47119.0</v>
      </c>
      <c r="U222" s="24">
        <v>47483.0</v>
      </c>
      <c r="V222" s="20">
        <v>0.0</v>
      </c>
      <c r="W222" s="20">
        <v>1.0</v>
      </c>
      <c r="X222" s="24">
        <v>47484.0</v>
      </c>
      <c r="Y222" s="24">
        <v>47848.0</v>
      </c>
      <c r="Z222" s="20">
        <v>0.0</v>
      </c>
      <c r="AA222" s="20">
        <v>1.0</v>
      </c>
      <c r="AC222" s="24"/>
      <c r="AD222" s="24"/>
      <c r="AH222" s="24"/>
      <c r="AI222" s="24"/>
    </row>
    <row r="223" ht="14.25" customHeight="1">
      <c r="A223" s="46" t="s">
        <v>6790</v>
      </c>
      <c r="B223" s="20" t="s">
        <v>6791</v>
      </c>
      <c r="C223" s="20" t="s">
        <v>7041</v>
      </c>
      <c r="D223" s="24">
        <v>45658.0</v>
      </c>
      <c r="E223" s="24">
        <v>46022.0</v>
      </c>
      <c r="F223" s="20">
        <v>0.0</v>
      </c>
      <c r="G223" s="20">
        <v>1.0</v>
      </c>
      <c r="H223" s="24">
        <v>46023.0</v>
      </c>
      <c r="I223" s="24">
        <v>46387.0</v>
      </c>
      <c r="J223" s="20">
        <v>0.0</v>
      </c>
      <c r="K223" s="20">
        <v>1.0</v>
      </c>
      <c r="L223" s="24">
        <v>46388.0</v>
      </c>
      <c r="M223" s="24">
        <v>46752.0</v>
      </c>
      <c r="N223" s="20">
        <v>0.0</v>
      </c>
      <c r="O223" s="20">
        <v>1.0</v>
      </c>
      <c r="P223" s="24">
        <v>46753.0</v>
      </c>
      <c r="Q223" s="24">
        <v>47118.0</v>
      </c>
      <c r="R223" s="20">
        <v>0.0</v>
      </c>
      <c r="S223" s="20">
        <v>1.0</v>
      </c>
      <c r="T223" s="24">
        <v>47119.0</v>
      </c>
      <c r="U223" s="24">
        <v>47483.0</v>
      </c>
      <c r="V223" s="20">
        <v>0.0</v>
      </c>
      <c r="W223" s="20">
        <v>1.0</v>
      </c>
      <c r="X223" s="24">
        <v>47484.0</v>
      </c>
      <c r="Y223" s="24">
        <v>47848.0</v>
      </c>
      <c r="Z223" s="20">
        <v>0.0</v>
      </c>
      <c r="AA223" s="20">
        <v>1.0</v>
      </c>
      <c r="AC223" s="24"/>
      <c r="AD223" s="24"/>
      <c r="AH223" s="24"/>
      <c r="AI223" s="24"/>
    </row>
    <row r="224" ht="14.25" customHeight="1">
      <c r="A224" s="46" t="s">
        <v>2623</v>
      </c>
      <c r="B224" s="20" t="s">
        <v>2624</v>
      </c>
      <c r="C224" s="20" t="s">
        <v>7041</v>
      </c>
      <c r="D224" s="24">
        <v>45658.0</v>
      </c>
      <c r="E224" s="24">
        <v>46022.0</v>
      </c>
      <c r="F224" s="20">
        <v>1.0</v>
      </c>
      <c r="G224" s="20">
        <v>1.0</v>
      </c>
      <c r="H224" s="24">
        <v>46023.0</v>
      </c>
      <c r="I224" s="24">
        <v>46387.0</v>
      </c>
      <c r="J224" s="20">
        <v>0.0</v>
      </c>
      <c r="K224" s="20">
        <v>1.0</v>
      </c>
      <c r="L224" s="24">
        <v>46388.0</v>
      </c>
      <c r="M224" s="24">
        <v>46752.0</v>
      </c>
      <c r="N224" s="20">
        <v>0.0</v>
      </c>
      <c r="O224" s="20">
        <v>1.0</v>
      </c>
      <c r="P224" s="24">
        <v>46753.0</v>
      </c>
      <c r="Q224" s="24">
        <v>47118.0</v>
      </c>
      <c r="R224" s="20">
        <v>0.0</v>
      </c>
      <c r="S224" s="20">
        <v>1.0</v>
      </c>
      <c r="T224" s="24">
        <v>47119.0</v>
      </c>
      <c r="U224" s="24">
        <v>47483.0</v>
      </c>
      <c r="V224" s="20">
        <v>0.0</v>
      </c>
      <c r="W224" s="20">
        <v>1.0</v>
      </c>
      <c r="X224" s="24">
        <v>47484.0</v>
      </c>
      <c r="Y224" s="24">
        <v>47848.0</v>
      </c>
      <c r="Z224" s="20">
        <v>0.0</v>
      </c>
      <c r="AA224" s="20">
        <v>1.0</v>
      </c>
      <c r="AC224" s="24"/>
      <c r="AD224" s="24"/>
      <c r="AH224" s="24"/>
      <c r="AI224" s="24"/>
    </row>
    <row r="225" ht="14.25" customHeight="1">
      <c r="A225" s="46" t="s">
        <v>3762</v>
      </c>
      <c r="B225" s="20" t="s">
        <v>3763</v>
      </c>
      <c r="C225" s="20" t="s">
        <v>7041</v>
      </c>
      <c r="D225" s="24">
        <v>45658.0</v>
      </c>
      <c r="E225" s="24">
        <v>46022.0</v>
      </c>
      <c r="F225" s="20">
        <v>0.0</v>
      </c>
      <c r="G225" s="20">
        <v>1.0</v>
      </c>
      <c r="H225" s="24">
        <v>46023.0</v>
      </c>
      <c r="I225" s="24">
        <v>46387.0</v>
      </c>
      <c r="J225" s="20">
        <v>0.0</v>
      </c>
      <c r="K225" s="20">
        <v>1.0</v>
      </c>
      <c r="L225" s="24">
        <v>46388.0</v>
      </c>
      <c r="M225" s="24">
        <v>46752.0</v>
      </c>
      <c r="N225" s="20">
        <v>0.0</v>
      </c>
      <c r="O225" s="20">
        <v>1.0</v>
      </c>
      <c r="P225" s="24">
        <v>46753.0</v>
      </c>
      <c r="Q225" s="24">
        <v>47118.0</v>
      </c>
      <c r="R225" s="20">
        <v>0.0</v>
      </c>
      <c r="S225" s="20">
        <v>1.0</v>
      </c>
      <c r="T225" s="24">
        <v>47119.0</v>
      </c>
      <c r="U225" s="24">
        <v>47483.0</v>
      </c>
      <c r="V225" s="20">
        <v>0.0</v>
      </c>
      <c r="W225" s="20">
        <v>1.0</v>
      </c>
      <c r="X225" s="24">
        <v>47484.0</v>
      </c>
      <c r="Y225" s="24">
        <v>47848.0</v>
      </c>
      <c r="Z225" s="20">
        <v>0.0</v>
      </c>
      <c r="AA225" s="20">
        <v>1.0</v>
      </c>
      <c r="AC225" s="24"/>
      <c r="AD225" s="24"/>
      <c r="AH225" s="24"/>
      <c r="AI225" s="24"/>
    </row>
    <row r="226" ht="14.25" customHeight="1">
      <c r="A226" s="46" t="s">
        <v>4041</v>
      </c>
      <c r="B226" s="20" t="s">
        <v>4042</v>
      </c>
      <c r="C226" s="20" t="s">
        <v>7041</v>
      </c>
      <c r="D226" s="24">
        <v>45658.0</v>
      </c>
      <c r="E226" s="24">
        <v>46022.0</v>
      </c>
      <c r="F226" s="20">
        <v>0.0</v>
      </c>
      <c r="G226" s="20">
        <v>1.0</v>
      </c>
      <c r="H226" s="24">
        <v>46023.0</v>
      </c>
      <c r="I226" s="24">
        <v>46387.0</v>
      </c>
      <c r="J226" s="20">
        <v>0.0</v>
      </c>
      <c r="K226" s="20">
        <v>1.0</v>
      </c>
      <c r="L226" s="24">
        <v>46388.0</v>
      </c>
      <c r="M226" s="24">
        <v>46752.0</v>
      </c>
      <c r="N226" s="20">
        <v>0.0</v>
      </c>
      <c r="O226" s="20">
        <v>1.0</v>
      </c>
      <c r="P226" s="24">
        <v>46753.0</v>
      </c>
      <c r="Q226" s="24">
        <v>47118.0</v>
      </c>
      <c r="R226" s="20">
        <v>0.0</v>
      </c>
      <c r="S226" s="20">
        <v>1.0</v>
      </c>
      <c r="T226" s="24">
        <v>47119.0</v>
      </c>
      <c r="U226" s="24">
        <v>47483.0</v>
      </c>
      <c r="V226" s="20">
        <v>0.0</v>
      </c>
      <c r="W226" s="20">
        <v>1.0</v>
      </c>
      <c r="X226" s="24">
        <v>47484.0</v>
      </c>
      <c r="Y226" s="24">
        <v>47848.0</v>
      </c>
      <c r="Z226" s="20">
        <v>0.0</v>
      </c>
      <c r="AA226" s="20">
        <v>1.0</v>
      </c>
      <c r="AC226" s="24"/>
      <c r="AD226" s="24"/>
      <c r="AH226" s="24"/>
      <c r="AI226" s="24"/>
    </row>
    <row r="227" ht="14.25" customHeight="1">
      <c r="A227" s="46" t="s">
        <v>4397</v>
      </c>
      <c r="B227" s="20" t="s">
        <v>4398</v>
      </c>
      <c r="C227" s="20" t="s">
        <v>7041</v>
      </c>
      <c r="D227" s="24">
        <v>45658.0</v>
      </c>
      <c r="E227" s="24">
        <v>46022.0</v>
      </c>
      <c r="F227" s="20">
        <v>1.0</v>
      </c>
      <c r="G227" s="20">
        <v>1.0</v>
      </c>
      <c r="H227" s="24">
        <v>46023.0</v>
      </c>
      <c r="I227" s="24">
        <v>46387.0</v>
      </c>
      <c r="J227" s="20">
        <v>0.0</v>
      </c>
      <c r="K227" s="20">
        <v>1.0</v>
      </c>
      <c r="L227" s="24">
        <v>46388.0</v>
      </c>
      <c r="M227" s="24">
        <v>46752.0</v>
      </c>
      <c r="N227" s="20">
        <v>0.0</v>
      </c>
      <c r="O227" s="20">
        <v>1.0</v>
      </c>
      <c r="P227" s="24">
        <v>46753.0</v>
      </c>
      <c r="Q227" s="24">
        <v>47118.0</v>
      </c>
      <c r="R227" s="20">
        <v>0.0</v>
      </c>
      <c r="S227" s="20">
        <v>1.0</v>
      </c>
      <c r="T227" s="24">
        <v>47119.0</v>
      </c>
      <c r="U227" s="24">
        <v>47483.0</v>
      </c>
      <c r="V227" s="20">
        <v>0.0</v>
      </c>
      <c r="W227" s="20">
        <v>1.0</v>
      </c>
      <c r="X227" s="24">
        <v>47484.0</v>
      </c>
      <c r="Y227" s="24">
        <v>47848.0</v>
      </c>
      <c r="Z227" s="20">
        <v>0.0</v>
      </c>
      <c r="AA227" s="20">
        <v>1.0</v>
      </c>
      <c r="AC227" s="24"/>
      <c r="AD227" s="24"/>
      <c r="AH227" s="24"/>
      <c r="AI227" s="24"/>
    </row>
    <row r="228" ht="14.25" customHeight="1">
      <c r="A228" s="46" t="s">
        <v>4416</v>
      </c>
      <c r="B228" s="20" t="s">
        <v>4417</v>
      </c>
      <c r="C228" s="20" t="s">
        <v>7041</v>
      </c>
      <c r="D228" s="24">
        <v>45658.0</v>
      </c>
      <c r="E228" s="24">
        <v>46022.0</v>
      </c>
      <c r="F228" s="20">
        <v>1.0</v>
      </c>
      <c r="G228" s="20">
        <v>1.0</v>
      </c>
      <c r="H228" s="24">
        <v>46023.0</v>
      </c>
      <c r="I228" s="24">
        <v>46387.0</v>
      </c>
      <c r="J228" s="20">
        <v>0.0</v>
      </c>
      <c r="K228" s="20">
        <v>1.0</v>
      </c>
      <c r="L228" s="24">
        <v>46388.0</v>
      </c>
      <c r="M228" s="24">
        <v>46752.0</v>
      </c>
      <c r="N228" s="20">
        <v>0.0</v>
      </c>
      <c r="O228" s="20">
        <v>1.0</v>
      </c>
      <c r="P228" s="24">
        <v>46753.0</v>
      </c>
      <c r="Q228" s="24">
        <v>47118.0</v>
      </c>
      <c r="R228" s="20">
        <v>0.0</v>
      </c>
      <c r="S228" s="20">
        <v>1.0</v>
      </c>
      <c r="T228" s="24">
        <v>47119.0</v>
      </c>
      <c r="U228" s="24">
        <v>47483.0</v>
      </c>
      <c r="V228" s="20">
        <v>0.0</v>
      </c>
      <c r="W228" s="20">
        <v>1.0</v>
      </c>
      <c r="X228" s="24">
        <v>47484.0</v>
      </c>
      <c r="Y228" s="24">
        <v>47848.0</v>
      </c>
      <c r="Z228" s="20">
        <v>0.0</v>
      </c>
      <c r="AA228" s="20">
        <v>1.0</v>
      </c>
      <c r="AC228" s="24"/>
      <c r="AD228" s="24"/>
      <c r="AH228" s="24"/>
      <c r="AI228" s="24"/>
    </row>
    <row r="229" ht="14.25" customHeight="1">
      <c r="A229" s="46" t="s">
        <v>5004</v>
      </c>
      <c r="B229" s="20" t="s">
        <v>5005</v>
      </c>
      <c r="C229" s="20" t="s">
        <v>7041</v>
      </c>
      <c r="D229" s="24">
        <v>45658.0</v>
      </c>
      <c r="E229" s="24">
        <v>46022.0</v>
      </c>
      <c r="F229" s="20">
        <v>1.0</v>
      </c>
      <c r="G229" s="20">
        <v>1.0</v>
      </c>
      <c r="H229" s="24">
        <v>46023.0</v>
      </c>
      <c r="I229" s="24">
        <v>46387.0</v>
      </c>
      <c r="J229" s="20">
        <v>0.0</v>
      </c>
      <c r="K229" s="20">
        <v>1.0</v>
      </c>
      <c r="L229" s="24">
        <v>46388.0</v>
      </c>
      <c r="M229" s="24">
        <v>46752.0</v>
      </c>
      <c r="N229" s="20">
        <v>0.0</v>
      </c>
      <c r="O229" s="20">
        <v>1.0</v>
      </c>
      <c r="P229" s="24">
        <v>46753.0</v>
      </c>
      <c r="Q229" s="24">
        <v>47118.0</v>
      </c>
      <c r="R229" s="20">
        <v>0.0</v>
      </c>
      <c r="S229" s="20">
        <v>1.0</v>
      </c>
      <c r="T229" s="24">
        <v>47119.0</v>
      </c>
      <c r="U229" s="24">
        <v>47483.0</v>
      </c>
      <c r="V229" s="20">
        <v>0.0</v>
      </c>
      <c r="W229" s="20">
        <v>1.0</v>
      </c>
      <c r="X229" s="24">
        <v>47484.0</v>
      </c>
      <c r="Y229" s="24">
        <v>47848.0</v>
      </c>
      <c r="Z229" s="20">
        <v>0.0</v>
      </c>
      <c r="AA229" s="20">
        <v>1.0</v>
      </c>
      <c r="AC229" s="24"/>
      <c r="AD229" s="24"/>
      <c r="AH229" s="24"/>
      <c r="AI229" s="24"/>
    </row>
    <row r="230" ht="14.25" customHeight="1">
      <c r="A230" s="46" t="s">
        <v>5060</v>
      </c>
      <c r="B230" s="20" t="s">
        <v>5061</v>
      </c>
      <c r="C230" s="20" t="s">
        <v>7041</v>
      </c>
      <c r="D230" s="24">
        <v>45658.0</v>
      </c>
      <c r="E230" s="24">
        <v>46022.0</v>
      </c>
      <c r="F230" s="20">
        <v>1.0</v>
      </c>
      <c r="G230" s="20">
        <v>1.0</v>
      </c>
      <c r="H230" s="24">
        <v>46023.0</v>
      </c>
      <c r="I230" s="24">
        <v>46387.0</v>
      </c>
      <c r="J230" s="20">
        <v>0.0</v>
      </c>
      <c r="K230" s="20">
        <v>1.0</v>
      </c>
      <c r="L230" s="24">
        <v>46388.0</v>
      </c>
      <c r="M230" s="24">
        <v>46752.0</v>
      </c>
      <c r="N230" s="20">
        <v>0.0</v>
      </c>
      <c r="O230" s="20">
        <v>1.0</v>
      </c>
      <c r="P230" s="24">
        <v>46753.0</v>
      </c>
      <c r="Q230" s="24">
        <v>47118.0</v>
      </c>
      <c r="R230" s="20">
        <v>0.0</v>
      </c>
      <c r="S230" s="20">
        <v>1.0</v>
      </c>
      <c r="T230" s="24">
        <v>47119.0</v>
      </c>
      <c r="U230" s="24">
        <v>47483.0</v>
      </c>
      <c r="V230" s="20">
        <v>0.0</v>
      </c>
      <c r="W230" s="20">
        <v>1.0</v>
      </c>
      <c r="X230" s="24">
        <v>47484.0</v>
      </c>
      <c r="Y230" s="24">
        <v>47848.0</v>
      </c>
      <c r="Z230" s="20">
        <v>0.0</v>
      </c>
      <c r="AA230" s="20">
        <v>1.0</v>
      </c>
      <c r="AC230" s="24"/>
      <c r="AD230" s="24"/>
      <c r="AH230" s="24"/>
      <c r="AI230" s="24"/>
    </row>
    <row r="231" ht="14.25" customHeight="1">
      <c r="A231" s="46" t="s">
        <v>5116</v>
      </c>
      <c r="B231" s="20" t="s">
        <v>5117</v>
      </c>
      <c r="C231" s="20" t="s">
        <v>7041</v>
      </c>
      <c r="D231" s="24">
        <v>45658.0</v>
      </c>
      <c r="E231" s="24">
        <v>46022.0</v>
      </c>
      <c r="F231" s="20">
        <v>1.0</v>
      </c>
      <c r="G231" s="20">
        <v>1.0</v>
      </c>
      <c r="H231" s="24">
        <v>46023.0</v>
      </c>
      <c r="I231" s="24">
        <v>46387.0</v>
      </c>
      <c r="J231" s="20">
        <v>0.0</v>
      </c>
      <c r="K231" s="20">
        <v>1.0</v>
      </c>
      <c r="L231" s="24">
        <v>46388.0</v>
      </c>
      <c r="M231" s="24">
        <v>46752.0</v>
      </c>
      <c r="N231" s="20">
        <v>0.0</v>
      </c>
      <c r="O231" s="20">
        <v>1.0</v>
      </c>
      <c r="P231" s="24">
        <v>46753.0</v>
      </c>
      <c r="Q231" s="24">
        <v>47118.0</v>
      </c>
      <c r="R231" s="20">
        <v>0.0</v>
      </c>
      <c r="S231" s="20">
        <v>1.0</v>
      </c>
      <c r="T231" s="24">
        <v>47119.0</v>
      </c>
      <c r="U231" s="24">
        <v>47483.0</v>
      </c>
      <c r="V231" s="20">
        <v>0.0</v>
      </c>
      <c r="W231" s="20">
        <v>1.0</v>
      </c>
      <c r="X231" s="24">
        <v>47484.0</v>
      </c>
      <c r="Y231" s="24">
        <v>47848.0</v>
      </c>
      <c r="Z231" s="20">
        <v>0.0</v>
      </c>
      <c r="AA231" s="20">
        <v>1.0</v>
      </c>
      <c r="AC231" s="24"/>
      <c r="AD231" s="24"/>
      <c r="AH231" s="24"/>
      <c r="AI231" s="24"/>
    </row>
    <row r="232" ht="14.25" customHeight="1">
      <c r="A232" s="46" t="s">
        <v>5157</v>
      </c>
      <c r="B232" s="20" t="s">
        <v>5158</v>
      </c>
      <c r="C232" s="20" t="s">
        <v>7041</v>
      </c>
      <c r="D232" s="24">
        <v>45658.0</v>
      </c>
      <c r="E232" s="24">
        <v>46022.0</v>
      </c>
      <c r="F232" s="20">
        <v>0.0</v>
      </c>
      <c r="G232" s="20">
        <v>1.0</v>
      </c>
      <c r="H232" s="24">
        <v>46023.0</v>
      </c>
      <c r="I232" s="24">
        <v>46387.0</v>
      </c>
      <c r="J232" s="20">
        <v>0.0</v>
      </c>
      <c r="K232" s="20">
        <v>1.0</v>
      </c>
      <c r="L232" s="24">
        <v>46388.0</v>
      </c>
      <c r="M232" s="24">
        <v>46752.0</v>
      </c>
      <c r="N232" s="20">
        <v>0.0</v>
      </c>
      <c r="O232" s="20">
        <v>1.0</v>
      </c>
      <c r="P232" s="24">
        <v>46753.0</v>
      </c>
      <c r="Q232" s="24">
        <v>47118.0</v>
      </c>
      <c r="R232" s="20">
        <v>0.0</v>
      </c>
      <c r="S232" s="20">
        <v>1.0</v>
      </c>
      <c r="T232" s="24">
        <v>47119.0</v>
      </c>
      <c r="U232" s="24">
        <v>47483.0</v>
      </c>
      <c r="V232" s="20">
        <v>0.0</v>
      </c>
      <c r="W232" s="20">
        <v>1.0</v>
      </c>
      <c r="X232" s="24">
        <v>47484.0</v>
      </c>
      <c r="Y232" s="24">
        <v>47848.0</v>
      </c>
      <c r="Z232" s="20">
        <v>0.0</v>
      </c>
      <c r="AA232" s="20">
        <v>1.0</v>
      </c>
      <c r="AC232" s="24"/>
      <c r="AD232" s="24"/>
      <c r="AH232" s="24"/>
      <c r="AI232" s="24"/>
    </row>
    <row r="233" ht="14.25" customHeight="1">
      <c r="A233" s="46" t="s">
        <v>5717</v>
      </c>
      <c r="B233" s="20" t="s">
        <v>5718</v>
      </c>
      <c r="C233" s="20" t="s">
        <v>7041</v>
      </c>
      <c r="D233" s="24">
        <v>45658.0</v>
      </c>
      <c r="E233" s="24">
        <v>46022.0</v>
      </c>
      <c r="F233" s="20">
        <v>0.0</v>
      </c>
      <c r="G233" s="20">
        <v>1.0</v>
      </c>
      <c r="H233" s="24">
        <v>46023.0</v>
      </c>
      <c r="I233" s="24">
        <v>46387.0</v>
      </c>
      <c r="J233" s="20">
        <v>0.0</v>
      </c>
      <c r="K233" s="20">
        <v>1.0</v>
      </c>
      <c r="L233" s="24">
        <v>46388.0</v>
      </c>
      <c r="M233" s="24">
        <v>46752.0</v>
      </c>
      <c r="N233" s="20">
        <v>0.0</v>
      </c>
      <c r="O233" s="20">
        <v>1.0</v>
      </c>
      <c r="P233" s="24">
        <v>46753.0</v>
      </c>
      <c r="Q233" s="24">
        <v>47118.0</v>
      </c>
      <c r="R233" s="20">
        <v>0.0</v>
      </c>
      <c r="S233" s="20">
        <v>1.0</v>
      </c>
      <c r="T233" s="24">
        <v>47119.0</v>
      </c>
      <c r="U233" s="24">
        <v>47483.0</v>
      </c>
      <c r="V233" s="20">
        <v>0.0</v>
      </c>
      <c r="W233" s="20">
        <v>1.0</v>
      </c>
      <c r="X233" s="24">
        <v>47484.0</v>
      </c>
      <c r="Y233" s="24">
        <v>47848.0</v>
      </c>
      <c r="Z233" s="20">
        <v>0.0</v>
      </c>
      <c r="AA233" s="20">
        <v>1.0</v>
      </c>
      <c r="AC233" s="24"/>
      <c r="AD233" s="24"/>
      <c r="AH233" s="24"/>
      <c r="AI233" s="24"/>
    </row>
    <row r="234" ht="14.25" customHeight="1">
      <c r="A234" s="46" t="s">
        <v>6261</v>
      </c>
      <c r="B234" s="20" t="s">
        <v>6262</v>
      </c>
      <c r="C234" s="20" t="s">
        <v>7041</v>
      </c>
      <c r="D234" s="24">
        <v>45658.0</v>
      </c>
      <c r="E234" s="24">
        <v>46022.0</v>
      </c>
      <c r="F234" s="20">
        <v>0.0</v>
      </c>
      <c r="G234" s="20">
        <v>1.0</v>
      </c>
      <c r="H234" s="24">
        <v>46023.0</v>
      </c>
      <c r="I234" s="24">
        <v>46387.0</v>
      </c>
      <c r="J234" s="20">
        <v>0.0</v>
      </c>
      <c r="K234" s="20">
        <v>1.0</v>
      </c>
      <c r="L234" s="24">
        <v>46388.0</v>
      </c>
      <c r="M234" s="24">
        <v>46752.0</v>
      </c>
      <c r="N234" s="20">
        <v>0.0</v>
      </c>
      <c r="O234" s="20">
        <v>1.0</v>
      </c>
      <c r="P234" s="24">
        <v>46753.0</v>
      </c>
      <c r="Q234" s="24">
        <v>47118.0</v>
      </c>
      <c r="R234" s="20">
        <v>0.0</v>
      </c>
      <c r="S234" s="20">
        <v>1.0</v>
      </c>
      <c r="T234" s="24">
        <v>47119.0</v>
      </c>
      <c r="U234" s="24">
        <v>47483.0</v>
      </c>
      <c r="V234" s="20">
        <v>0.0</v>
      </c>
      <c r="W234" s="20">
        <v>1.0</v>
      </c>
      <c r="X234" s="24">
        <v>47484.0</v>
      </c>
      <c r="Y234" s="24">
        <v>47848.0</v>
      </c>
      <c r="Z234" s="20">
        <v>0.0</v>
      </c>
      <c r="AA234" s="20">
        <v>1.0</v>
      </c>
      <c r="AC234" s="24"/>
      <c r="AD234" s="24"/>
      <c r="AH234" s="24"/>
      <c r="AI234" s="24"/>
    </row>
    <row r="235" ht="14.25" customHeight="1">
      <c r="A235" s="46" t="s">
        <v>2471</v>
      </c>
      <c r="B235" s="20" t="s">
        <v>2472</v>
      </c>
      <c r="C235" s="20" t="s">
        <v>7041</v>
      </c>
      <c r="D235" s="24">
        <v>45658.0</v>
      </c>
      <c r="E235" s="24">
        <v>46022.0</v>
      </c>
      <c r="F235" s="20">
        <v>1.0</v>
      </c>
      <c r="G235" s="20">
        <v>1.0</v>
      </c>
      <c r="H235" s="24">
        <v>46023.0</v>
      </c>
      <c r="I235" s="24">
        <v>46387.0</v>
      </c>
      <c r="J235" s="20">
        <v>0.0</v>
      </c>
      <c r="K235" s="20">
        <v>1.0</v>
      </c>
      <c r="L235" s="24">
        <v>46388.0</v>
      </c>
      <c r="M235" s="24">
        <v>46752.0</v>
      </c>
      <c r="N235" s="20">
        <v>0.0</v>
      </c>
      <c r="O235" s="20">
        <v>1.0</v>
      </c>
      <c r="P235" s="24">
        <v>46753.0</v>
      </c>
      <c r="Q235" s="24">
        <v>47118.0</v>
      </c>
      <c r="R235" s="20">
        <v>0.0</v>
      </c>
      <c r="S235" s="20">
        <v>1.0</v>
      </c>
      <c r="T235" s="24">
        <v>47119.0</v>
      </c>
      <c r="U235" s="24">
        <v>47483.0</v>
      </c>
      <c r="V235" s="20">
        <v>0.0</v>
      </c>
      <c r="W235" s="20">
        <v>1.0</v>
      </c>
      <c r="X235" s="24">
        <v>47484.0</v>
      </c>
      <c r="Y235" s="24">
        <v>47848.0</v>
      </c>
      <c r="Z235" s="20">
        <v>0.0</v>
      </c>
      <c r="AA235" s="20">
        <v>1.0</v>
      </c>
      <c r="AC235" s="24"/>
      <c r="AD235" s="24"/>
      <c r="AH235" s="24"/>
      <c r="AI235" s="24"/>
    </row>
    <row r="236" ht="14.25" customHeight="1">
      <c r="A236" s="46" t="s">
        <v>1188</v>
      </c>
      <c r="B236" s="20" t="s">
        <v>1189</v>
      </c>
      <c r="C236" s="20" t="s">
        <v>7041</v>
      </c>
      <c r="D236" s="24">
        <v>45658.0</v>
      </c>
      <c r="E236" s="24">
        <v>46022.0</v>
      </c>
      <c r="F236" s="20">
        <v>0.0</v>
      </c>
      <c r="G236" s="20">
        <v>1.0</v>
      </c>
      <c r="H236" s="24">
        <v>46023.0</v>
      </c>
      <c r="I236" s="24">
        <v>46387.0</v>
      </c>
      <c r="J236" s="20">
        <v>0.0</v>
      </c>
      <c r="K236" s="20">
        <v>1.0</v>
      </c>
      <c r="L236" s="24">
        <v>46388.0</v>
      </c>
      <c r="M236" s="24">
        <v>46752.0</v>
      </c>
      <c r="N236" s="20">
        <v>0.0</v>
      </c>
      <c r="O236" s="20">
        <v>1.0</v>
      </c>
      <c r="P236" s="24">
        <v>46753.0</v>
      </c>
      <c r="Q236" s="24">
        <v>47118.0</v>
      </c>
      <c r="R236" s="20">
        <v>0.0</v>
      </c>
      <c r="S236" s="20">
        <v>1.0</v>
      </c>
      <c r="T236" s="24">
        <v>47119.0</v>
      </c>
      <c r="U236" s="24">
        <v>47483.0</v>
      </c>
      <c r="V236" s="20">
        <v>0.0</v>
      </c>
      <c r="W236" s="20">
        <v>1.0</v>
      </c>
      <c r="X236" s="24">
        <v>47484.0</v>
      </c>
      <c r="Y236" s="24">
        <v>47848.0</v>
      </c>
      <c r="Z236" s="20">
        <v>0.0</v>
      </c>
      <c r="AA236" s="20">
        <v>1.0</v>
      </c>
      <c r="AC236" s="24"/>
      <c r="AD236" s="24"/>
      <c r="AH236" s="24"/>
      <c r="AI236" s="24"/>
    </row>
    <row r="237" ht="14.25" customHeight="1">
      <c r="A237" s="46" t="s">
        <v>208</v>
      </c>
      <c r="B237" s="20" t="s">
        <v>209</v>
      </c>
      <c r="C237" s="20" t="s">
        <v>7041</v>
      </c>
      <c r="D237" s="24">
        <v>45658.0</v>
      </c>
      <c r="E237" s="24">
        <v>46022.0</v>
      </c>
      <c r="F237" s="20">
        <v>1.0</v>
      </c>
      <c r="G237" s="20">
        <v>1.0</v>
      </c>
      <c r="H237" s="24">
        <v>46023.0</v>
      </c>
      <c r="I237" s="24">
        <v>46387.0</v>
      </c>
      <c r="J237" s="20">
        <v>0.0</v>
      </c>
      <c r="K237" s="20">
        <v>1.0</v>
      </c>
      <c r="L237" s="24">
        <v>46388.0</v>
      </c>
      <c r="M237" s="24">
        <v>46752.0</v>
      </c>
      <c r="N237" s="20">
        <v>0.0</v>
      </c>
      <c r="O237" s="20">
        <v>1.0</v>
      </c>
      <c r="P237" s="24">
        <v>46753.0</v>
      </c>
      <c r="Q237" s="24">
        <v>47118.0</v>
      </c>
      <c r="R237" s="20">
        <v>0.0</v>
      </c>
      <c r="S237" s="20">
        <v>1.0</v>
      </c>
      <c r="T237" s="24">
        <v>47119.0</v>
      </c>
      <c r="U237" s="24">
        <v>47483.0</v>
      </c>
      <c r="V237" s="20">
        <v>0.0</v>
      </c>
      <c r="W237" s="20">
        <v>1.0</v>
      </c>
      <c r="X237" s="24">
        <v>47484.0</v>
      </c>
      <c r="Y237" s="24">
        <v>47848.0</v>
      </c>
      <c r="Z237" s="20">
        <v>0.0</v>
      </c>
      <c r="AA237" s="20">
        <v>1.0</v>
      </c>
      <c r="AC237" s="24"/>
      <c r="AD237" s="24"/>
      <c r="AH237" s="24"/>
      <c r="AI237" s="24"/>
    </row>
    <row r="238" ht="14.25" customHeight="1">
      <c r="A238" s="46" t="s">
        <v>237</v>
      </c>
      <c r="B238" s="20" t="s">
        <v>238</v>
      </c>
      <c r="C238" s="20" t="s">
        <v>7041</v>
      </c>
      <c r="D238" s="24">
        <v>45658.0</v>
      </c>
      <c r="E238" s="24">
        <v>46022.0</v>
      </c>
      <c r="F238" s="20">
        <v>0.0</v>
      </c>
      <c r="G238" s="20">
        <v>1.0</v>
      </c>
      <c r="H238" s="24">
        <v>46023.0</v>
      </c>
      <c r="I238" s="24">
        <v>46387.0</v>
      </c>
      <c r="J238" s="20">
        <v>0.0</v>
      </c>
      <c r="K238" s="20">
        <v>1.0</v>
      </c>
      <c r="L238" s="24">
        <v>46388.0</v>
      </c>
      <c r="M238" s="24">
        <v>46752.0</v>
      </c>
      <c r="N238" s="20">
        <v>0.0</v>
      </c>
      <c r="O238" s="20">
        <v>1.0</v>
      </c>
      <c r="P238" s="24">
        <v>46753.0</v>
      </c>
      <c r="Q238" s="24">
        <v>47118.0</v>
      </c>
      <c r="R238" s="20">
        <v>0.0</v>
      </c>
      <c r="S238" s="20">
        <v>1.0</v>
      </c>
      <c r="T238" s="24">
        <v>47119.0</v>
      </c>
      <c r="U238" s="24">
        <v>47483.0</v>
      </c>
      <c r="V238" s="20">
        <v>0.0</v>
      </c>
      <c r="W238" s="20">
        <v>1.0</v>
      </c>
      <c r="X238" s="24">
        <v>47484.0</v>
      </c>
      <c r="Y238" s="24">
        <v>47848.0</v>
      </c>
      <c r="Z238" s="20">
        <v>0.0</v>
      </c>
      <c r="AA238" s="20">
        <v>1.0</v>
      </c>
      <c r="AC238" s="24"/>
      <c r="AD238" s="24"/>
      <c r="AH238" s="24"/>
      <c r="AI238" s="24"/>
    </row>
    <row r="239" ht="14.25" customHeight="1">
      <c r="A239" s="46" t="s">
        <v>311</v>
      </c>
      <c r="B239" s="20" t="s">
        <v>312</v>
      </c>
      <c r="C239" s="20" t="s">
        <v>7041</v>
      </c>
      <c r="D239" s="24">
        <v>45658.0</v>
      </c>
      <c r="E239" s="24">
        <v>46022.0</v>
      </c>
      <c r="F239" s="20">
        <v>1.0</v>
      </c>
      <c r="G239" s="20">
        <v>1.0</v>
      </c>
      <c r="H239" s="24">
        <v>46023.0</v>
      </c>
      <c r="I239" s="24">
        <v>46387.0</v>
      </c>
      <c r="J239" s="20">
        <v>0.0</v>
      </c>
      <c r="K239" s="20">
        <v>1.0</v>
      </c>
      <c r="L239" s="24">
        <v>46388.0</v>
      </c>
      <c r="M239" s="24">
        <v>46752.0</v>
      </c>
      <c r="N239" s="20">
        <v>0.0</v>
      </c>
      <c r="O239" s="20">
        <v>1.0</v>
      </c>
      <c r="P239" s="24">
        <v>46753.0</v>
      </c>
      <c r="Q239" s="24">
        <v>47118.0</v>
      </c>
      <c r="R239" s="20">
        <v>0.0</v>
      </c>
      <c r="S239" s="20">
        <v>1.0</v>
      </c>
      <c r="T239" s="24">
        <v>47119.0</v>
      </c>
      <c r="U239" s="24">
        <v>47483.0</v>
      </c>
      <c r="V239" s="20">
        <v>0.0</v>
      </c>
      <c r="W239" s="20">
        <v>1.0</v>
      </c>
      <c r="X239" s="24">
        <v>47484.0</v>
      </c>
      <c r="Y239" s="24">
        <v>47848.0</v>
      </c>
      <c r="Z239" s="20">
        <v>0.0</v>
      </c>
      <c r="AA239" s="20">
        <v>1.0</v>
      </c>
      <c r="AC239" s="24"/>
      <c r="AD239" s="24"/>
      <c r="AH239" s="24"/>
      <c r="AI239" s="24"/>
    </row>
    <row r="240" ht="14.25" customHeight="1">
      <c r="A240" s="46" t="s">
        <v>283</v>
      </c>
      <c r="B240" s="20" t="s">
        <v>284</v>
      </c>
      <c r="C240" s="20" t="s">
        <v>7041</v>
      </c>
      <c r="D240" s="24">
        <v>45658.0</v>
      </c>
      <c r="E240" s="24">
        <v>46022.0</v>
      </c>
      <c r="F240" s="20">
        <v>0.0</v>
      </c>
      <c r="G240" s="20">
        <v>1.0</v>
      </c>
      <c r="H240" s="24">
        <v>46023.0</v>
      </c>
      <c r="I240" s="24">
        <v>46387.0</v>
      </c>
      <c r="J240" s="20">
        <v>0.0</v>
      </c>
      <c r="K240" s="20">
        <v>1.0</v>
      </c>
      <c r="L240" s="24">
        <v>46388.0</v>
      </c>
      <c r="M240" s="24">
        <v>46752.0</v>
      </c>
      <c r="N240" s="20">
        <v>0.0</v>
      </c>
      <c r="O240" s="20">
        <v>1.0</v>
      </c>
      <c r="P240" s="24">
        <v>46753.0</v>
      </c>
      <c r="Q240" s="24">
        <v>47118.0</v>
      </c>
      <c r="R240" s="20">
        <v>0.0</v>
      </c>
      <c r="S240" s="20">
        <v>1.0</v>
      </c>
      <c r="T240" s="24">
        <v>47119.0</v>
      </c>
      <c r="U240" s="24">
        <v>47483.0</v>
      </c>
      <c r="V240" s="20">
        <v>0.0</v>
      </c>
      <c r="W240" s="20">
        <v>1.0</v>
      </c>
      <c r="X240" s="24">
        <v>47484.0</v>
      </c>
      <c r="Y240" s="24">
        <v>47848.0</v>
      </c>
      <c r="Z240" s="20">
        <v>0.0</v>
      </c>
      <c r="AA240" s="20">
        <v>1.0</v>
      </c>
      <c r="AC240" s="24"/>
      <c r="AD240" s="24"/>
      <c r="AH240" s="24"/>
      <c r="AI240" s="24"/>
    </row>
    <row r="241" ht="14.25" customHeight="1">
      <c r="A241" s="46" t="s">
        <v>324</v>
      </c>
      <c r="B241" s="20" t="s">
        <v>325</v>
      </c>
      <c r="C241" s="20" t="s">
        <v>7041</v>
      </c>
      <c r="D241" s="24">
        <v>45658.0</v>
      </c>
      <c r="E241" s="24">
        <v>46022.0</v>
      </c>
      <c r="F241" s="20">
        <v>1.0</v>
      </c>
      <c r="G241" s="20">
        <v>1.0</v>
      </c>
      <c r="H241" s="24">
        <v>46023.0</v>
      </c>
      <c r="I241" s="24">
        <v>46387.0</v>
      </c>
      <c r="J241" s="20">
        <v>0.0</v>
      </c>
      <c r="K241" s="20">
        <v>1.0</v>
      </c>
      <c r="L241" s="24">
        <v>46388.0</v>
      </c>
      <c r="M241" s="24">
        <v>46752.0</v>
      </c>
      <c r="N241" s="20">
        <v>0.0</v>
      </c>
      <c r="O241" s="20">
        <v>1.0</v>
      </c>
      <c r="P241" s="24">
        <v>46753.0</v>
      </c>
      <c r="Q241" s="24">
        <v>47118.0</v>
      </c>
      <c r="R241" s="20">
        <v>0.0</v>
      </c>
      <c r="S241" s="20">
        <v>1.0</v>
      </c>
      <c r="T241" s="24">
        <v>47119.0</v>
      </c>
      <c r="U241" s="24">
        <v>47483.0</v>
      </c>
      <c r="V241" s="20">
        <v>0.0</v>
      </c>
      <c r="W241" s="20">
        <v>1.0</v>
      </c>
      <c r="X241" s="24">
        <v>47484.0</v>
      </c>
      <c r="Y241" s="24">
        <v>47848.0</v>
      </c>
      <c r="Z241" s="20">
        <v>0.0</v>
      </c>
      <c r="AA241" s="20">
        <v>1.0</v>
      </c>
      <c r="AC241" s="24"/>
      <c r="AD241" s="24"/>
      <c r="AH241" s="24"/>
      <c r="AI241" s="24"/>
    </row>
    <row r="242" ht="14.25" customHeight="1">
      <c r="A242" s="46" t="s">
        <v>335</v>
      </c>
      <c r="B242" s="20" t="s">
        <v>336</v>
      </c>
      <c r="C242" s="20" t="s">
        <v>7041</v>
      </c>
      <c r="D242" s="24">
        <v>45658.0</v>
      </c>
      <c r="E242" s="24">
        <v>46022.0</v>
      </c>
      <c r="F242" s="20">
        <v>0.0</v>
      </c>
      <c r="G242" s="20">
        <v>1.0</v>
      </c>
      <c r="H242" s="24">
        <v>46023.0</v>
      </c>
      <c r="I242" s="24">
        <v>46387.0</v>
      </c>
      <c r="J242" s="20">
        <v>0.0</v>
      </c>
      <c r="K242" s="20">
        <v>1.0</v>
      </c>
      <c r="L242" s="24">
        <v>46388.0</v>
      </c>
      <c r="M242" s="24">
        <v>46752.0</v>
      </c>
      <c r="N242" s="20">
        <v>0.0</v>
      </c>
      <c r="O242" s="20">
        <v>1.0</v>
      </c>
      <c r="P242" s="24">
        <v>46753.0</v>
      </c>
      <c r="Q242" s="24">
        <v>47118.0</v>
      </c>
      <c r="R242" s="20">
        <v>0.0</v>
      </c>
      <c r="S242" s="20">
        <v>1.0</v>
      </c>
      <c r="T242" s="24">
        <v>47119.0</v>
      </c>
      <c r="U242" s="24">
        <v>47483.0</v>
      </c>
      <c r="V242" s="20">
        <v>0.0</v>
      </c>
      <c r="W242" s="20">
        <v>1.0</v>
      </c>
      <c r="X242" s="24">
        <v>47484.0</v>
      </c>
      <c r="Y242" s="24">
        <v>47848.0</v>
      </c>
      <c r="Z242" s="20">
        <v>0.0</v>
      </c>
      <c r="AA242" s="20">
        <v>1.0</v>
      </c>
      <c r="AC242" s="24"/>
      <c r="AD242" s="24"/>
      <c r="AH242" s="24"/>
      <c r="AI242" s="24"/>
    </row>
    <row r="243" ht="14.25" customHeight="1">
      <c r="A243" s="46" t="s">
        <v>434</v>
      </c>
      <c r="B243" s="20" t="s">
        <v>435</v>
      </c>
      <c r="C243" s="20" t="s">
        <v>7041</v>
      </c>
      <c r="D243" s="24">
        <v>45658.0</v>
      </c>
      <c r="E243" s="24">
        <v>46022.0</v>
      </c>
      <c r="F243" s="20">
        <v>1.0</v>
      </c>
      <c r="G243" s="20">
        <v>1.0</v>
      </c>
      <c r="H243" s="24">
        <v>46023.0</v>
      </c>
      <c r="I243" s="24">
        <v>46387.0</v>
      </c>
      <c r="J243" s="20">
        <v>0.0</v>
      </c>
      <c r="K243" s="20">
        <v>1.0</v>
      </c>
      <c r="L243" s="24">
        <v>46388.0</v>
      </c>
      <c r="M243" s="24">
        <v>46752.0</v>
      </c>
      <c r="N243" s="20">
        <v>0.0</v>
      </c>
      <c r="O243" s="20">
        <v>1.0</v>
      </c>
      <c r="P243" s="24">
        <v>46753.0</v>
      </c>
      <c r="Q243" s="24">
        <v>47118.0</v>
      </c>
      <c r="R243" s="20">
        <v>0.0</v>
      </c>
      <c r="S243" s="20">
        <v>1.0</v>
      </c>
      <c r="T243" s="24">
        <v>47119.0</v>
      </c>
      <c r="U243" s="24">
        <v>47483.0</v>
      </c>
      <c r="V243" s="20">
        <v>0.0</v>
      </c>
      <c r="W243" s="20">
        <v>1.0</v>
      </c>
      <c r="X243" s="24">
        <v>47484.0</v>
      </c>
      <c r="Y243" s="24">
        <v>47848.0</v>
      </c>
      <c r="Z243" s="20">
        <v>0.0</v>
      </c>
      <c r="AA243" s="20">
        <v>1.0</v>
      </c>
      <c r="AC243" s="24"/>
      <c r="AD243" s="24"/>
      <c r="AH243" s="24"/>
      <c r="AI243" s="24"/>
    </row>
    <row r="244" ht="14.25" customHeight="1">
      <c r="A244" s="46" t="s">
        <v>499</v>
      </c>
      <c r="B244" s="20" t="s">
        <v>500</v>
      </c>
      <c r="C244" s="20" t="s">
        <v>7041</v>
      </c>
      <c r="D244" s="24">
        <v>45658.0</v>
      </c>
      <c r="E244" s="24">
        <v>46022.0</v>
      </c>
      <c r="F244" s="20">
        <v>0.0</v>
      </c>
      <c r="G244" s="20">
        <v>1.0</v>
      </c>
      <c r="H244" s="24">
        <v>46023.0</v>
      </c>
      <c r="I244" s="24">
        <v>46387.0</v>
      </c>
      <c r="J244" s="20">
        <v>0.0</v>
      </c>
      <c r="K244" s="20">
        <v>1.0</v>
      </c>
      <c r="L244" s="24">
        <v>46388.0</v>
      </c>
      <c r="M244" s="24">
        <v>46752.0</v>
      </c>
      <c r="N244" s="20">
        <v>0.0</v>
      </c>
      <c r="O244" s="20">
        <v>1.0</v>
      </c>
      <c r="P244" s="24">
        <v>46753.0</v>
      </c>
      <c r="Q244" s="24">
        <v>47118.0</v>
      </c>
      <c r="R244" s="20">
        <v>0.0</v>
      </c>
      <c r="S244" s="20">
        <v>1.0</v>
      </c>
      <c r="T244" s="24">
        <v>47119.0</v>
      </c>
      <c r="U244" s="24">
        <v>47483.0</v>
      </c>
      <c r="V244" s="20">
        <v>0.0</v>
      </c>
      <c r="W244" s="20">
        <v>1.0</v>
      </c>
      <c r="X244" s="24">
        <v>47484.0</v>
      </c>
      <c r="Y244" s="24">
        <v>47848.0</v>
      </c>
      <c r="Z244" s="20">
        <v>0.0</v>
      </c>
      <c r="AA244" s="20">
        <v>1.0</v>
      </c>
      <c r="AC244" s="24"/>
      <c r="AD244" s="24"/>
      <c r="AH244" s="24"/>
      <c r="AI244" s="24"/>
    </row>
    <row r="245" ht="14.25" customHeight="1">
      <c r="A245" s="46" t="s">
        <v>515</v>
      </c>
      <c r="B245" s="20" t="s">
        <v>516</v>
      </c>
      <c r="C245" s="20" t="s">
        <v>7041</v>
      </c>
      <c r="D245" s="24">
        <v>45658.0</v>
      </c>
      <c r="E245" s="24">
        <v>46022.0</v>
      </c>
      <c r="F245" s="20">
        <v>0.0</v>
      </c>
      <c r="G245" s="20">
        <v>1.0</v>
      </c>
      <c r="H245" s="24">
        <v>46023.0</v>
      </c>
      <c r="I245" s="24">
        <v>46387.0</v>
      </c>
      <c r="J245" s="20">
        <v>0.0</v>
      </c>
      <c r="K245" s="20">
        <v>1.0</v>
      </c>
      <c r="L245" s="24">
        <v>46388.0</v>
      </c>
      <c r="M245" s="24">
        <v>46752.0</v>
      </c>
      <c r="N245" s="20">
        <v>0.0</v>
      </c>
      <c r="O245" s="20">
        <v>1.0</v>
      </c>
      <c r="P245" s="24">
        <v>46753.0</v>
      </c>
      <c r="Q245" s="24">
        <v>47118.0</v>
      </c>
      <c r="R245" s="20">
        <v>0.0</v>
      </c>
      <c r="S245" s="20">
        <v>1.0</v>
      </c>
      <c r="T245" s="24">
        <v>47119.0</v>
      </c>
      <c r="U245" s="24">
        <v>47483.0</v>
      </c>
      <c r="V245" s="20">
        <v>0.0</v>
      </c>
      <c r="W245" s="20">
        <v>1.0</v>
      </c>
      <c r="X245" s="24">
        <v>47484.0</v>
      </c>
      <c r="Y245" s="24">
        <v>47848.0</v>
      </c>
      <c r="Z245" s="20">
        <v>0.0</v>
      </c>
      <c r="AA245" s="20">
        <v>1.0</v>
      </c>
      <c r="AC245" s="24"/>
      <c r="AD245" s="24"/>
      <c r="AH245" s="24"/>
      <c r="AI245" s="24"/>
    </row>
    <row r="246" ht="14.25" customHeight="1">
      <c r="A246" s="46" t="s">
        <v>626</v>
      </c>
      <c r="B246" s="20" t="s">
        <v>627</v>
      </c>
      <c r="C246" s="20" t="s">
        <v>7041</v>
      </c>
      <c r="D246" s="24">
        <v>45658.0</v>
      </c>
      <c r="E246" s="24">
        <v>46022.0</v>
      </c>
      <c r="F246" s="20">
        <v>0.0</v>
      </c>
      <c r="G246" s="20">
        <v>1.0</v>
      </c>
      <c r="H246" s="24">
        <v>46023.0</v>
      </c>
      <c r="I246" s="24">
        <v>46387.0</v>
      </c>
      <c r="J246" s="20">
        <v>0.0</v>
      </c>
      <c r="K246" s="20">
        <v>1.0</v>
      </c>
      <c r="L246" s="24">
        <v>46388.0</v>
      </c>
      <c r="M246" s="24">
        <v>46752.0</v>
      </c>
      <c r="N246" s="20">
        <v>0.0</v>
      </c>
      <c r="O246" s="20">
        <v>1.0</v>
      </c>
      <c r="P246" s="24">
        <v>46753.0</v>
      </c>
      <c r="Q246" s="24">
        <v>47118.0</v>
      </c>
      <c r="R246" s="20">
        <v>0.0</v>
      </c>
      <c r="S246" s="20">
        <v>1.0</v>
      </c>
      <c r="T246" s="24">
        <v>47119.0</v>
      </c>
      <c r="U246" s="24">
        <v>47483.0</v>
      </c>
      <c r="V246" s="20">
        <v>0.0</v>
      </c>
      <c r="W246" s="20">
        <v>1.0</v>
      </c>
      <c r="X246" s="24">
        <v>47484.0</v>
      </c>
      <c r="Y246" s="24">
        <v>47848.0</v>
      </c>
      <c r="Z246" s="20">
        <v>0.0</v>
      </c>
      <c r="AA246" s="20">
        <v>1.0</v>
      </c>
      <c r="AC246" s="24"/>
      <c r="AD246" s="24"/>
      <c r="AH246" s="24"/>
      <c r="AI246" s="24"/>
    </row>
    <row r="247" ht="14.25" customHeight="1">
      <c r="A247" s="46" t="s">
        <v>631</v>
      </c>
      <c r="B247" s="20" t="s">
        <v>632</v>
      </c>
      <c r="C247" s="20" t="s">
        <v>7041</v>
      </c>
      <c r="D247" s="24">
        <v>45658.0</v>
      </c>
      <c r="E247" s="24">
        <v>46022.0</v>
      </c>
      <c r="F247" s="20">
        <v>0.0</v>
      </c>
      <c r="G247" s="20">
        <v>1.0</v>
      </c>
      <c r="H247" s="24">
        <v>46023.0</v>
      </c>
      <c r="I247" s="24">
        <v>46387.0</v>
      </c>
      <c r="J247" s="20">
        <v>0.0</v>
      </c>
      <c r="K247" s="20">
        <v>1.0</v>
      </c>
      <c r="L247" s="24">
        <v>46388.0</v>
      </c>
      <c r="M247" s="24">
        <v>46752.0</v>
      </c>
      <c r="N247" s="20">
        <v>0.0</v>
      </c>
      <c r="O247" s="20">
        <v>1.0</v>
      </c>
      <c r="P247" s="24">
        <v>46753.0</v>
      </c>
      <c r="Q247" s="24">
        <v>47118.0</v>
      </c>
      <c r="R247" s="20">
        <v>0.0</v>
      </c>
      <c r="S247" s="20">
        <v>1.0</v>
      </c>
      <c r="T247" s="24">
        <v>47119.0</v>
      </c>
      <c r="U247" s="24">
        <v>47483.0</v>
      </c>
      <c r="V247" s="20">
        <v>0.0</v>
      </c>
      <c r="W247" s="20">
        <v>1.0</v>
      </c>
      <c r="X247" s="24">
        <v>47484.0</v>
      </c>
      <c r="Y247" s="24">
        <v>47848.0</v>
      </c>
      <c r="Z247" s="20">
        <v>0.0</v>
      </c>
      <c r="AA247" s="20">
        <v>1.0</v>
      </c>
      <c r="AC247" s="24"/>
      <c r="AD247" s="24"/>
      <c r="AH247" s="24"/>
      <c r="AI247" s="24"/>
    </row>
    <row r="248" ht="14.25" customHeight="1">
      <c r="A248" s="46" t="s">
        <v>635</v>
      </c>
      <c r="B248" s="20" t="s">
        <v>636</v>
      </c>
      <c r="C248" s="20" t="s">
        <v>7041</v>
      </c>
      <c r="D248" s="24">
        <v>45658.0</v>
      </c>
      <c r="E248" s="24">
        <v>46022.0</v>
      </c>
      <c r="F248" s="20">
        <v>1.0</v>
      </c>
      <c r="G248" s="20">
        <v>1.0</v>
      </c>
      <c r="H248" s="24">
        <v>46023.0</v>
      </c>
      <c r="I248" s="24">
        <v>46387.0</v>
      </c>
      <c r="J248" s="20">
        <v>0.0</v>
      </c>
      <c r="K248" s="20">
        <v>1.0</v>
      </c>
      <c r="L248" s="24">
        <v>46388.0</v>
      </c>
      <c r="M248" s="24">
        <v>46752.0</v>
      </c>
      <c r="N248" s="20">
        <v>0.0</v>
      </c>
      <c r="O248" s="20">
        <v>1.0</v>
      </c>
      <c r="P248" s="24">
        <v>46753.0</v>
      </c>
      <c r="Q248" s="24">
        <v>47118.0</v>
      </c>
      <c r="R248" s="20">
        <v>0.0</v>
      </c>
      <c r="S248" s="20">
        <v>1.0</v>
      </c>
      <c r="T248" s="24">
        <v>47119.0</v>
      </c>
      <c r="U248" s="24">
        <v>47483.0</v>
      </c>
      <c r="V248" s="20">
        <v>0.0</v>
      </c>
      <c r="W248" s="20">
        <v>1.0</v>
      </c>
      <c r="X248" s="24">
        <v>47484.0</v>
      </c>
      <c r="Y248" s="24">
        <v>47848.0</v>
      </c>
      <c r="Z248" s="20">
        <v>0.0</v>
      </c>
      <c r="AA248" s="20">
        <v>1.0</v>
      </c>
      <c r="AC248" s="24"/>
      <c r="AD248" s="24"/>
      <c r="AH248" s="24"/>
      <c r="AI248" s="24"/>
    </row>
    <row r="249" ht="14.25" customHeight="1">
      <c r="A249" s="46" t="s">
        <v>641</v>
      </c>
      <c r="B249" s="20" t="s">
        <v>642</v>
      </c>
      <c r="C249" s="20" t="s">
        <v>7041</v>
      </c>
      <c r="D249" s="24">
        <v>45658.0</v>
      </c>
      <c r="E249" s="24">
        <v>46022.0</v>
      </c>
      <c r="F249" s="20">
        <v>0.0</v>
      </c>
      <c r="G249" s="20">
        <v>1.0</v>
      </c>
      <c r="H249" s="24">
        <v>46023.0</v>
      </c>
      <c r="I249" s="24">
        <v>46387.0</v>
      </c>
      <c r="J249" s="20">
        <v>0.0</v>
      </c>
      <c r="K249" s="20">
        <v>1.0</v>
      </c>
      <c r="L249" s="24">
        <v>46388.0</v>
      </c>
      <c r="M249" s="24">
        <v>46752.0</v>
      </c>
      <c r="N249" s="20">
        <v>0.0</v>
      </c>
      <c r="O249" s="20">
        <v>1.0</v>
      </c>
      <c r="P249" s="24">
        <v>46753.0</v>
      </c>
      <c r="Q249" s="24">
        <v>47118.0</v>
      </c>
      <c r="R249" s="20">
        <v>0.0</v>
      </c>
      <c r="S249" s="20">
        <v>1.0</v>
      </c>
      <c r="T249" s="24">
        <v>47119.0</v>
      </c>
      <c r="U249" s="24">
        <v>47483.0</v>
      </c>
      <c r="V249" s="20">
        <v>0.0</v>
      </c>
      <c r="W249" s="20">
        <v>1.0</v>
      </c>
      <c r="X249" s="24">
        <v>47484.0</v>
      </c>
      <c r="Y249" s="24">
        <v>47848.0</v>
      </c>
      <c r="Z249" s="20">
        <v>0.0</v>
      </c>
      <c r="AA249" s="20">
        <v>1.0</v>
      </c>
      <c r="AC249" s="24"/>
      <c r="AD249" s="24"/>
      <c r="AH249" s="24"/>
      <c r="AI249" s="24"/>
    </row>
    <row r="250" ht="14.25" customHeight="1">
      <c r="A250" s="46" t="s">
        <v>649</v>
      </c>
      <c r="B250" s="20" t="s">
        <v>650</v>
      </c>
      <c r="C250" s="20" t="s">
        <v>7041</v>
      </c>
      <c r="D250" s="24">
        <v>45658.0</v>
      </c>
      <c r="E250" s="24">
        <v>46022.0</v>
      </c>
      <c r="F250" s="20">
        <v>1.0</v>
      </c>
      <c r="G250" s="20">
        <v>1.0</v>
      </c>
      <c r="H250" s="24">
        <v>46023.0</v>
      </c>
      <c r="I250" s="24">
        <v>46387.0</v>
      </c>
      <c r="J250" s="20">
        <v>0.0</v>
      </c>
      <c r="K250" s="20">
        <v>1.0</v>
      </c>
      <c r="L250" s="24">
        <v>46388.0</v>
      </c>
      <c r="M250" s="24">
        <v>46752.0</v>
      </c>
      <c r="N250" s="20">
        <v>0.0</v>
      </c>
      <c r="O250" s="20">
        <v>1.0</v>
      </c>
      <c r="P250" s="24">
        <v>46753.0</v>
      </c>
      <c r="Q250" s="24">
        <v>47118.0</v>
      </c>
      <c r="R250" s="20">
        <v>0.0</v>
      </c>
      <c r="S250" s="20">
        <v>1.0</v>
      </c>
      <c r="T250" s="24">
        <v>47119.0</v>
      </c>
      <c r="U250" s="24">
        <v>47483.0</v>
      </c>
      <c r="V250" s="20">
        <v>0.0</v>
      </c>
      <c r="W250" s="20">
        <v>1.0</v>
      </c>
      <c r="X250" s="24">
        <v>47484.0</v>
      </c>
      <c r="Y250" s="24">
        <v>47848.0</v>
      </c>
      <c r="Z250" s="20">
        <v>0.0</v>
      </c>
      <c r="AA250" s="20">
        <v>1.0</v>
      </c>
      <c r="AC250" s="24"/>
      <c r="AD250" s="24"/>
      <c r="AH250" s="24"/>
      <c r="AI250" s="24"/>
    </row>
    <row r="251" ht="14.25" customHeight="1">
      <c r="A251" s="46" t="s">
        <v>767</v>
      </c>
      <c r="B251" s="20" t="s">
        <v>768</v>
      </c>
      <c r="C251" s="20" t="s">
        <v>7041</v>
      </c>
      <c r="D251" s="24">
        <v>45658.0</v>
      </c>
      <c r="E251" s="24">
        <v>46022.0</v>
      </c>
      <c r="F251" s="20">
        <v>0.0</v>
      </c>
      <c r="G251" s="20">
        <v>1.0</v>
      </c>
      <c r="H251" s="24">
        <v>46023.0</v>
      </c>
      <c r="I251" s="24">
        <v>46387.0</v>
      </c>
      <c r="J251" s="20">
        <v>0.0</v>
      </c>
      <c r="K251" s="20">
        <v>1.0</v>
      </c>
      <c r="L251" s="24">
        <v>46388.0</v>
      </c>
      <c r="M251" s="24">
        <v>46752.0</v>
      </c>
      <c r="N251" s="20">
        <v>0.0</v>
      </c>
      <c r="O251" s="20">
        <v>1.0</v>
      </c>
      <c r="P251" s="24">
        <v>46753.0</v>
      </c>
      <c r="Q251" s="24">
        <v>47118.0</v>
      </c>
      <c r="R251" s="20">
        <v>0.0</v>
      </c>
      <c r="S251" s="20">
        <v>1.0</v>
      </c>
      <c r="T251" s="24">
        <v>47119.0</v>
      </c>
      <c r="U251" s="24">
        <v>47483.0</v>
      </c>
      <c r="V251" s="20">
        <v>0.0</v>
      </c>
      <c r="W251" s="20">
        <v>1.0</v>
      </c>
      <c r="X251" s="24">
        <v>47484.0</v>
      </c>
      <c r="Y251" s="24">
        <v>47848.0</v>
      </c>
      <c r="Z251" s="20">
        <v>0.0</v>
      </c>
      <c r="AA251" s="20">
        <v>1.0</v>
      </c>
      <c r="AC251" s="24"/>
      <c r="AD251" s="24"/>
      <c r="AH251" s="24"/>
      <c r="AI251" s="24"/>
    </row>
    <row r="252" ht="14.25" customHeight="1">
      <c r="A252" s="46" t="s">
        <v>791</v>
      </c>
      <c r="B252" s="20" t="s">
        <v>792</v>
      </c>
      <c r="C252" s="20" t="s">
        <v>7041</v>
      </c>
      <c r="D252" s="24">
        <v>45658.0</v>
      </c>
      <c r="E252" s="24">
        <v>46022.0</v>
      </c>
      <c r="F252" s="20">
        <v>1.0</v>
      </c>
      <c r="G252" s="20">
        <v>1.0</v>
      </c>
      <c r="H252" s="24">
        <v>46023.0</v>
      </c>
      <c r="I252" s="24">
        <v>46387.0</v>
      </c>
      <c r="J252" s="20">
        <v>0.0</v>
      </c>
      <c r="K252" s="20">
        <v>1.0</v>
      </c>
      <c r="L252" s="24">
        <v>46388.0</v>
      </c>
      <c r="M252" s="24">
        <v>46752.0</v>
      </c>
      <c r="N252" s="20">
        <v>0.0</v>
      </c>
      <c r="O252" s="20">
        <v>1.0</v>
      </c>
      <c r="P252" s="24">
        <v>46753.0</v>
      </c>
      <c r="Q252" s="24">
        <v>47118.0</v>
      </c>
      <c r="R252" s="20">
        <v>0.0</v>
      </c>
      <c r="S252" s="20">
        <v>1.0</v>
      </c>
      <c r="T252" s="24">
        <v>47119.0</v>
      </c>
      <c r="U252" s="24">
        <v>47483.0</v>
      </c>
      <c r="V252" s="20">
        <v>0.0</v>
      </c>
      <c r="W252" s="20">
        <v>1.0</v>
      </c>
      <c r="X252" s="24">
        <v>47484.0</v>
      </c>
      <c r="Y252" s="24">
        <v>47848.0</v>
      </c>
      <c r="Z252" s="20">
        <v>0.0</v>
      </c>
      <c r="AA252" s="20">
        <v>1.0</v>
      </c>
      <c r="AC252" s="24"/>
      <c r="AD252" s="24"/>
      <c r="AH252" s="24"/>
      <c r="AI252" s="24"/>
    </row>
    <row r="253" ht="14.25" customHeight="1">
      <c r="A253" s="46" t="s">
        <v>857</v>
      </c>
      <c r="B253" s="20" t="s">
        <v>858</v>
      </c>
      <c r="C253" s="20" t="s">
        <v>7041</v>
      </c>
      <c r="D253" s="24">
        <v>45658.0</v>
      </c>
      <c r="E253" s="24">
        <v>46022.0</v>
      </c>
      <c r="F253" s="20">
        <v>1.0</v>
      </c>
      <c r="G253" s="20">
        <v>1.0</v>
      </c>
      <c r="H253" s="24">
        <v>46023.0</v>
      </c>
      <c r="I253" s="24">
        <v>46387.0</v>
      </c>
      <c r="J253" s="20">
        <v>0.0</v>
      </c>
      <c r="K253" s="20">
        <v>1.0</v>
      </c>
      <c r="L253" s="24">
        <v>46388.0</v>
      </c>
      <c r="M253" s="24">
        <v>46752.0</v>
      </c>
      <c r="N253" s="20">
        <v>0.0</v>
      </c>
      <c r="O253" s="20">
        <v>1.0</v>
      </c>
      <c r="P253" s="24">
        <v>46753.0</v>
      </c>
      <c r="Q253" s="24">
        <v>47118.0</v>
      </c>
      <c r="R253" s="20">
        <v>0.0</v>
      </c>
      <c r="S253" s="20">
        <v>1.0</v>
      </c>
      <c r="T253" s="24">
        <v>47119.0</v>
      </c>
      <c r="U253" s="24">
        <v>47483.0</v>
      </c>
      <c r="V253" s="20">
        <v>0.0</v>
      </c>
      <c r="W253" s="20">
        <v>1.0</v>
      </c>
      <c r="X253" s="24">
        <v>47484.0</v>
      </c>
      <c r="Y253" s="24">
        <v>47848.0</v>
      </c>
      <c r="Z253" s="20">
        <v>0.0</v>
      </c>
      <c r="AA253" s="20">
        <v>1.0</v>
      </c>
      <c r="AC253" s="24"/>
      <c r="AD253" s="24"/>
      <c r="AH253" s="24"/>
      <c r="AI253" s="24"/>
    </row>
    <row r="254" ht="14.25" customHeight="1">
      <c r="A254" s="46" t="s">
        <v>936</v>
      </c>
      <c r="B254" s="20" t="s">
        <v>937</v>
      </c>
      <c r="C254" s="20" t="s">
        <v>7041</v>
      </c>
      <c r="D254" s="24">
        <v>45658.0</v>
      </c>
      <c r="E254" s="24">
        <v>46022.0</v>
      </c>
      <c r="F254" s="20">
        <v>0.0</v>
      </c>
      <c r="G254" s="20">
        <v>1.0</v>
      </c>
      <c r="H254" s="24">
        <v>46023.0</v>
      </c>
      <c r="I254" s="24">
        <v>46387.0</v>
      </c>
      <c r="J254" s="20">
        <v>0.0</v>
      </c>
      <c r="K254" s="20">
        <v>1.0</v>
      </c>
      <c r="L254" s="24">
        <v>46388.0</v>
      </c>
      <c r="M254" s="24">
        <v>46752.0</v>
      </c>
      <c r="N254" s="20">
        <v>0.0</v>
      </c>
      <c r="O254" s="20">
        <v>1.0</v>
      </c>
      <c r="P254" s="24">
        <v>46753.0</v>
      </c>
      <c r="Q254" s="24">
        <v>47118.0</v>
      </c>
      <c r="R254" s="20">
        <v>0.0</v>
      </c>
      <c r="S254" s="20">
        <v>1.0</v>
      </c>
      <c r="T254" s="24">
        <v>47119.0</v>
      </c>
      <c r="U254" s="24">
        <v>47483.0</v>
      </c>
      <c r="V254" s="20">
        <v>0.0</v>
      </c>
      <c r="W254" s="20">
        <v>1.0</v>
      </c>
      <c r="X254" s="24">
        <v>47484.0</v>
      </c>
      <c r="Y254" s="24">
        <v>47848.0</v>
      </c>
      <c r="Z254" s="20">
        <v>0.0</v>
      </c>
      <c r="AA254" s="20">
        <v>1.0</v>
      </c>
      <c r="AC254" s="24"/>
      <c r="AD254" s="24"/>
      <c r="AH254" s="24"/>
      <c r="AI254" s="24"/>
    </row>
    <row r="255" ht="14.25" customHeight="1">
      <c r="A255" s="46" t="s">
        <v>988</v>
      </c>
      <c r="B255" s="20" t="s">
        <v>989</v>
      </c>
      <c r="C255" s="20" t="s">
        <v>7041</v>
      </c>
      <c r="D255" s="24">
        <v>45658.0</v>
      </c>
      <c r="E255" s="24">
        <v>46022.0</v>
      </c>
      <c r="F255" s="20">
        <v>1.0</v>
      </c>
      <c r="G255" s="20">
        <v>1.0</v>
      </c>
      <c r="H255" s="24">
        <v>46023.0</v>
      </c>
      <c r="I255" s="24">
        <v>46387.0</v>
      </c>
      <c r="J255" s="20">
        <v>0.0</v>
      </c>
      <c r="K255" s="20">
        <v>1.0</v>
      </c>
      <c r="L255" s="24">
        <v>46388.0</v>
      </c>
      <c r="M255" s="24">
        <v>46752.0</v>
      </c>
      <c r="N255" s="20">
        <v>0.0</v>
      </c>
      <c r="O255" s="20">
        <v>1.0</v>
      </c>
      <c r="P255" s="24">
        <v>46753.0</v>
      </c>
      <c r="Q255" s="24">
        <v>47118.0</v>
      </c>
      <c r="R255" s="20">
        <v>0.0</v>
      </c>
      <c r="S255" s="20">
        <v>1.0</v>
      </c>
      <c r="T255" s="24">
        <v>47119.0</v>
      </c>
      <c r="U255" s="24">
        <v>47483.0</v>
      </c>
      <c r="V255" s="20">
        <v>0.0</v>
      </c>
      <c r="W255" s="20">
        <v>1.0</v>
      </c>
      <c r="X255" s="24">
        <v>47484.0</v>
      </c>
      <c r="Y255" s="24">
        <v>47848.0</v>
      </c>
      <c r="Z255" s="20">
        <v>0.0</v>
      </c>
      <c r="AA255" s="20">
        <v>1.0</v>
      </c>
      <c r="AC255" s="24"/>
      <c r="AD255" s="24"/>
      <c r="AH255" s="24"/>
      <c r="AI255" s="24"/>
    </row>
    <row r="256" ht="14.25" customHeight="1">
      <c r="A256" s="46" t="s">
        <v>1031</v>
      </c>
      <c r="B256" s="20" t="s">
        <v>1032</v>
      </c>
      <c r="C256" s="20" t="s">
        <v>7041</v>
      </c>
      <c r="D256" s="24">
        <v>45658.0</v>
      </c>
      <c r="E256" s="24">
        <v>46022.0</v>
      </c>
      <c r="F256" s="20">
        <v>0.0</v>
      </c>
      <c r="G256" s="20">
        <v>1.0</v>
      </c>
      <c r="H256" s="24">
        <v>46023.0</v>
      </c>
      <c r="I256" s="24">
        <v>46387.0</v>
      </c>
      <c r="J256" s="20">
        <v>0.0</v>
      </c>
      <c r="K256" s="20">
        <v>1.0</v>
      </c>
      <c r="L256" s="24">
        <v>46388.0</v>
      </c>
      <c r="M256" s="24">
        <v>46752.0</v>
      </c>
      <c r="N256" s="20">
        <v>0.0</v>
      </c>
      <c r="O256" s="20">
        <v>1.0</v>
      </c>
      <c r="P256" s="24">
        <v>46753.0</v>
      </c>
      <c r="Q256" s="24">
        <v>47118.0</v>
      </c>
      <c r="R256" s="20">
        <v>0.0</v>
      </c>
      <c r="S256" s="20">
        <v>1.0</v>
      </c>
      <c r="T256" s="24">
        <v>47119.0</v>
      </c>
      <c r="U256" s="24">
        <v>47483.0</v>
      </c>
      <c r="V256" s="20">
        <v>0.0</v>
      </c>
      <c r="W256" s="20">
        <v>1.0</v>
      </c>
      <c r="X256" s="24">
        <v>47484.0</v>
      </c>
      <c r="Y256" s="24">
        <v>47848.0</v>
      </c>
      <c r="Z256" s="20">
        <v>0.0</v>
      </c>
      <c r="AA256" s="20">
        <v>1.0</v>
      </c>
      <c r="AC256" s="24"/>
      <c r="AD256" s="24"/>
      <c r="AH256" s="24"/>
      <c r="AI256" s="24"/>
    </row>
    <row r="257" ht="14.25" customHeight="1">
      <c r="A257" s="46" t="s">
        <v>1094</v>
      </c>
      <c r="B257" s="20" t="s">
        <v>1095</v>
      </c>
      <c r="C257" s="20" t="s">
        <v>7041</v>
      </c>
      <c r="D257" s="24">
        <v>45658.0</v>
      </c>
      <c r="E257" s="24">
        <v>46022.0</v>
      </c>
      <c r="F257" s="20">
        <v>0.0</v>
      </c>
      <c r="G257" s="20">
        <v>1.0</v>
      </c>
      <c r="H257" s="24">
        <v>46023.0</v>
      </c>
      <c r="I257" s="24">
        <v>46387.0</v>
      </c>
      <c r="J257" s="20">
        <v>0.0</v>
      </c>
      <c r="K257" s="20">
        <v>1.0</v>
      </c>
      <c r="L257" s="24">
        <v>46388.0</v>
      </c>
      <c r="M257" s="24">
        <v>46752.0</v>
      </c>
      <c r="N257" s="20">
        <v>0.0</v>
      </c>
      <c r="O257" s="20">
        <v>1.0</v>
      </c>
      <c r="P257" s="24">
        <v>46753.0</v>
      </c>
      <c r="Q257" s="24">
        <v>47118.0</v>
      </c>
      <c r="R257" s="20">
        <v>0.0</v>
      </c>
      <c r="S257" s="20">
        <v>1.0</v>
      </c>
      <c r="T257" s="24">
        <v>47119.0</v>
      </c>
      <c r="U257" s="24">
        <v>47483.0</v>
      </c>
      <c r="V257" s="20">
        <v>0.0</v>
      </c>
      <c r="W257" s="20">
        <v>1.0</v>
      </c>
      <c r="X257" s="24">
        <v>47484.0</v>
      </c>
      <c r="Y257" s="24">
        <v>47848.0</v>
      </c>
      <c r="Z257" s="20">
        <v>0.0</v>
      </c>
      <c r="AA257" s="20">
        <v>1.0</v>
      </c>
      <c r="AC257" s="24"/>
      <c r="AD257" s="24"/>
      <c r="AH257" s="24"/>
      <c r="AI257" s="24"/>
    </row>
    <row r="258" ht="14.25" customHeight="1">
      <c r="A258" s="46" t="s">
        <v>1253</v>
      </c>
      <c r="B258" s="20" t="s">
        <v>1254</v>
      </c>
      <c r="C258" s="20" t="s">
        <v>7041</v>
      </c>
      <c r="D258" s="24">
        <v>45658.0</v>
      </c>
      <c r="E258" s="24">
        <v>46022.0</v>
      </c>
      <c r="F258" s="20">
        <v>1.0</v>
      </c>
      <c r="G258" s="20">
        <v>1.0</v>
      </c>
      <c r="H258" s="24">
        <v>46023.0</v>
      </c>
      <c r="I258" s="24">
        <v>46387.0</v>
      </c>
      <c r="J258" s="20">
        <v>0.0</v>
      </c>
      <c r="K258" s="20">
        <v>1.0</v>
      </c>
      <c r="L258" s="24">
        <v>46388.0</v>
      </c>
      <c r="M258" s="24">
        <v>46752.0</v>
      </c>
      <c r="N258" s="20">
        <v>0.0</v>
      </c>
      <c r="O258" s="20">
        <v>1.0</v>
      </c>
      <c r="P258" s="24">
        <v>46753.0</v>
      </c>
      <c r="Q258" s="24">
        <v>47118.0</v>
      </c>
      <c r="R258" s="20">
        <v>0.0</v>
      </c>
      <c r="S258" s="20">
        <v>1.0</v>
      </c>
      <c r="T258" s="24">
        <v>47119.0</v>
      </c>
      <c r="U258" s="24">
        <v>47483.0</v>
      </c>
      <c r="V258" s="20">
        <v>0.0</v>
      </c>
      <c r="W258" s="20">
        <v>1.0</v>
      </c>
      <c r="X258" s="24">
        <v>47484.0</v>
      </c>
      <c r="Y258" s="24">
        <v>47848.0</v>
      </c>
      <c r="Z258" s="20">
        <v>0.0</v>
      </c>
      <c r="AA258" s="20">
        <v>1.0</v>
      </c>
      <c r="AC258" s="24"/>
      <c r="AD258" s="24"/>
      <c r="AH258" s="24"/>
      <c r="AI258" s="24"/>
    </row>
    <row r="259" ht="14.25" customHeight="1">
      <c r="A259" s="46" t="s">
        <v>1312</v>
      </c>
      <c r="B259" s="20" t="s">
        <v>1313</v>
      </c>
      <c r="C259" s="20" t="s">
        <v>7041</v>
      </c>
      <c r="D259" s="24">
        <v>45658.0</v>
      </c>
      <c r="E259" s="24">
        <v>46022.0</v>
      </c>
      <c r="F259" s="20">
        <v>0.0</v>
      </c>
      <c r="G259" s="20">
        <v>1.0</v>
      </c>
      <c r="H259" s="24">
        <v>46023.0</v>
      </c>
      <c r="I259" s="24">
        <v>46387.0</v>
      </c>
      <c r="J259" s="20">
        <v>0.0</v>
      </c>
      <c r="K259" s="20">
        <v>1.0</v>
      </c>
      <c r="L259" s="24">
        <v>46388.0</v>
      </c>
      <c r="M259" s="24">
        <v>46752.0</v>
      </c>
      <c r="N259" s="20">
        <v>0.0</v>
      </c>
      <c r="O259" s="20">
        <v>1.0</v>
      </c>
      <c r="P259" s="24">
        <v>46753.0</v>
      </c>
      <c r="Q259" s="24">
        <v>47118.0</v>
      </c>
      <c r="R259" s="20">
        <v>0.0</v>
      </c>
      <c r="S259" s="20">
        <v>1.0</v>
      </c>
      <c r="T259" s="24">
        <v>47119.0</v>
      </c>
      <c r="U259" s="24">
        <v>47483.0</v>
      </c>
      <c r="V259" s="20">
        <v>0.0</v>
      </c>
      <c r="W259" s="20">
        <v>1.0</v>
      </c>
      <c r="X259" s="24">
        <v>47484.0</v>
      </c>
      <c r="Y259" s="24">
        <v>47848.0</v>
      </c>
      <c r="Z259" s="20">
        <v>0.0</v>
      </c>
      <c r="AA259" s="20">
        <v>1.0</v>
      </c>
      <c r="AC259" s="24"/>
      <c r="AD259" s="24"/>
      <c r="AH259" s="24"/>
      <c r="AI259" s="24"/>
    </row>
    <row r="260" ht="14.25" customHeight="1">
      <c r="A260" s="46" t="s">
        <v>1353</v>
      </c>
      <c r="B260" s="20" t="s">
        <v>1354</v>
      </c>
      <c r="C260" s="20" t="s">
        <v>7041</v>
      </c>
      <c r="D260" s="24">
        <v>45658.0</v>
      </c>
      <c r="E260" s="24">
        <v>46022.0</v>
      </c>
      <c r="F260" s="20">
        <v>0.0</v>
      </c>
      <c r="G260" s="20">
        <v>1.0</v>
      </c>
      <c r="H260" s="24">
        <v>46023.0</v>
      </c>
      <c r="I260" s="24">
        <v>46387.0</v>
      </c>
      <c r="J260" s="20">
        <v>0.0</v>
      </c>
      <c r="K260" s="20">
        <v>1.0</v>
      </c>
      <c r="L260" s="24">
        <v>46388.0</v>
      </c>
      <c r="M260" s="24">
        <v>46752.0</v>
      </c>
      <c r="N260" s="20">
        <v>0.0</v>
      </c>
      <c r="O260" s="20">
        <v>1.0</v>
      </c>
      <c r="P260" s="24">
        <v>46753.0</v>
      </c>
      <c r="Q260" s="24">
        <v>47118.0</v>
      </c>
      <c r="R260" s="20">
        <v>0.0</v>
      </c>
      <c r="S260" s="20">
        <v>1.0</v>
      </c>
      <c r="T260" s="24">
        <v>47119.0</v>
      </c>
      <c r="U260" s="24">
        <v>47483.0</v>
      </c>
      <c r="V260" s="20">
        <v>0.0</v>
      </c>
      <c r="W260" s="20">
        <v>1.0</v>
      </c>
      <c r="X260" s="24">
        <v>47484.0</v>
      </c>
      <c r="Y260" s="24">
        <v>47848.0</v>
      </c>
      <c r="Z260" s="20">
        <v>0.0</v>
      </c>
      <c r="AA260" s="20">
        <v>1.0</v>
      </c>
      <c r="AC260" s="24"/>
      <c r="AD260" s="24"/>
      <c r="AH260" s="24"/>
      <c r="AI260" s="24"/>
    </row>
    <row r="261" ht="14.25" customHeight="1">
      <c r="A261" s="46" t="s">
        <v>1414</v>
      </c>
      <c r="B261" s="20" t="s">
        <v>1415</v>
      </c>
      <c r="C261" s="20" t="s">
        <v>7041</v>
      </c>
      <c r="D261" s="24">
        <v>45658.0</v>
      </c>
      <c r="E261" s="24">
        <v>46022.0</v>
      </c>
      <c r="F261" s="20">
        <v>1.0</v>
      </c>
      <c r="G261" s="20">
        <v>1.0</v>
      </c>
      <c r="H261" s="24">
        <v>46023.0</v>
      </c>
      <c r="I261" s="24">
        <v>46387.0</v>
      </c>
      <c r="J261" s="20">
        <v>0.0</v>
      </c>
      <c r="K261" s="20">
        <v>1.0</v>
      </c>
      <c r="L261" s="24">
        <v>46388.0</v>
      </c>
      <c r="M261" s="24">
        <v>46752.0</v>
      </c>
      <c r="N261" s="20">
        <v>0.0</v>
      </c>
      <c r="O261" s="20">
        <v>1.0</v>
      </c>
      <c r="P261" s="24">
        <v>46753.0</v>
      </c>
      <c r="Q261" s="24">
        <v>47118.0</v>
      </c>
      <c r="R261" s="20">
        <v>0.0</v>
      </c>
      <c r="S261" s="20">
        <v>1.0</v>
      </c>
      <c r="T261" s="24">
        <v>47119.0</v>
      </c>
      <c r="U261" s="24">
        <v>47483.0</v>
      </c>
      <c r="V261" s="20">
        <v>0.0</v>
      </c>
      <c r="W261" s="20">
        <v>1.0</v>
      </c>
      <c r="X261" s="24">
        <v>47484.0</v>
      </c>
      <c r="Y261" s="24">
        <v>47848.0</v>
      </c>
      <c r="Z261" s="20">
        <v>0.0</v>
      </c>
      <c r="AA261" s="20">
        <v>1.0</v>
      </c>
      <c r="AC261" s="24"/>
      <c r="AD261" s="24"/>
      <c r="AH261" s="24"/>
      <c r="AI261" s="24"/>
    </row>
    <row r="262" ht="14.25" customHeight="1">
      <c r="A262" s="46" t="s">
        <v>1418</v>
      </c>
      <c r="B262" s="20" t="s">
        <v>1419</v>
      </c>
      <c r="C262" s="20" t="s">
        <v>7041</v>
      </c>
      <c r="D262" s="24">
        <v>45658.0</v>
      </c>
      <c r="E262" s="24">
        <v>46022.0</v>
      </c>
      <c r="F262" s="20">
        <v>1.0</v>
      </c>
      <c r="G262" s="20">
        <v>1.0</v>
      </c>
      <c r="H262" s="24">
        <v>46023.0</v>
      </c>
      <c r="I262" s="24">
        <v>46387.0</v>
      </c>
      <c r="J262" s="20">
        <v>0.0</v>
      </c>
      <c r="K262" s="20">
        <v>1.0</v>
      </c>
      <c r="L262" s="24">
        <v>46388.0</v>
      </c>
      <c r="M262" s="24">
        <v>46752.0</v>
      </c>
      <c r="N262" s="20">
        <v>0.0</v>
      </c>
      <c r="O262" s="20">
        <v>1.0</v>
      </c>
      <c r="P262" s="24">
        <v>46753.0</v>
      </c>
      <c r="Q262" s="24">
        <v>47118.0</v>
      </c>
      <c r="R262" s="20">
        <v>0.0</v>
      </c>
      <c r="S262" s="20">
        <v>1.0</v>
      </c>
      <c r="T262" s="24">
        <v>47119.0</v>
      </c>
      <c r="U262" s="24">
        <v>47483.0</v>
      </c>
      <c r="V262" s="20">
        <v>0.0</v>
      </c>
      <c r="W262" s="20">
        <v>1.0</v>
      </c>
      <c r="X262" s="24">
        <v>47484.0</v>
      </c>
      <c r="Y262" s="24">
        <v>47848.0</v>
      </c>
      <c r="Z262" s="20">
        <v>0.0</v>
      </c>
      <c r="AA262" s="20">
        <v>1.0</v>
      </c>
      <c r="AC262" s="24"/>
      <c r="AD262" s="24"/>
      <c r="AH262" s="24"/>
      <c r="AI262" s="24"/>
    </row>
    <row r="263" ht="14.25" customHeight="1">
      <c r="A263" s="46" t="s">
        <v>1422</v>
      </c>
      <c r="B263" s="20" t="s">
        <v>1423</v>
      </c>
      <c r="C263" s="20" t="s">
        <v>7041</v>
      </c>
      <c r="D263" s="24">
        <v>45658.0</v>
      </c>
      <c r="E263" s="24">
        <v>46022.0</v>
      </c>
      <c r="F263" s="20">
        <v>0.0</v>
      </c>
      <c r="G263" s="20">
        <v>1.0</v>
      </c>
      <c r="H263" s="24">
        <v>46023.0</v>
      </c>
      <c r="I263" s="24">
        <v>46387.0</v>
      </c>
      <c r="J263" s="20">
        <v>0.0</v>
      </c>
      <c r="K263" s="20">
        <v>1.0</v>
      </c>
      <c r="L263" s="24">
        <v>46388.0</v>
      </c>
      <c r="M263" s="24">
        <v>46752.0</v>
      </c>
      <c r="N263" s="20">
        <v>0.0</v>
      </c>
      <c r="O263" s="20">
        <v>1.0</v>
      </c>
      <c r="P263" s="24">
        <v>46753.0</v>
      </c>
      <c r="Q263" s="24">
        <v>47118.0</v>
      </c>
      <c r="R263" s="20">
        <v>0.0</v>
      </c>
      <c r="S263" s="20">
        <v>1.0</v>
      </c>
      <c r="T263" s="24">
        <v>47119.0</v>
      </c>
      <c r="U263" s="24">
        <v>47483.0</v>
      </c>
      <c r="V263" s="20">
        <v>0.0</v>
      </c>
      <c r="W263" s="20">
        <v>1.0</v>
      </c>
      <c r="X263" s="24">
        <v>47484.0</v>
      </c>
      <c r="Y263" s="24">
        <v>47848.0</v>
      </c>
      <c r="Z263" s="20">
        <v>0.0</v>
      </c>
      <c r="AA263" s="20">
        <v>1.0</v>
      </c>
      <c r="AC263" s="24"/>
      <c r="AD263" s="24"/>
      <c r="AH263" s="24"/>
      <c r="AI263" s="24"/>
    </row>
    <row r="264" ht="14.25" customHeight="1">
      <c r="A264" s="46" t="s">
        <v>1425</v>
      </c>
      <c r="B264" s="20" t="s">
        <v>1426</v>
      </c>
      <c r="C264" s="20" t="s">
        <v>7041</v>
      </c>
      <c r="D264" s="24">
        <v>45658.0</v>
      </c>
      <c r="E264" s="24">
        <v>46022.0</v>
      </c>
      <c r="F264" s="20">
        <v>0.0</v>
      </c>
      <c r="G264" s="20">
        <v>1.0</v>
      </c>
      <c r="H264" s="24">
        <v>46023.0</v>
      </c>
      <c r="I264" s="24">
        <v>46387.0</v>
      </c>
      <c r="J264" s="20">
        <v>0.0</v>
      </c>
      <c r="K264" s="20">
        <v>1.0</v>
      </c>
      <c r="L264" s="24">
        <v>46388.0</v>
      </c>
      <c r="M264" s="24">
        <v>46752.0</v>
      </c>
      <c r="N264" s="20">
        <v>0.0</v>
      </c>
      <c r="O264" s="20">
        <v>1.0</v>
      </c>
      <c r="P264" s="24">
        <v>46753.0</v>
      </c>
      <c r="Q264" s="24">
        <v>47118.0</v>
      </c>
      <c r="R264" s="20">
        <v>0.0</v>
      </c>
      <c r="S264" s="20">
        <v>1.0</v>
      </c>
      <c r="T264" s="24">
        <v>47119.0</v>
      </c>
      <c r="U264" s="24">
        <v>47483.0</v>
      </c>
      <c r="V264" s="20">
        <v>0.0</v>
      </c>
      <c r="W264" s="20">
        <v>1.0</v>
      </c>
      <c r="X264" s="24">
        <v>47484.0</v>
      </c>
      <c r="Y264" s="24">
        <v>47848.0</v>
      </c>
      <c r="Z264" s="20">
        <v>0.0</v>
      </c>
      <c r="AA264" s="20">
        <v>1.0</v>
      </c>
      <c r="AC264" s="24"/>
      <c r="AD264" s="24"/>
      <c r="AH264" s="24"/>
      <c r="AI264" s="24"/>
    </row>
    <row r="265" ht="14.25" customHeight="1">
      <c r="A265" s="46" t="s">
        <v>1428</v>
      </c>
      <c r="B265" s="20" t="s">
        <v>1429</v>
      </c>
      <c r="C265" s="20" t="s">
        <v>7041</v>
      </c>
      <c r="D265" s="24">
        <v>45658.0</v>
      </c>
      <c r="E265" s="24">
        <v>46022.0</v>
      </c>
      <c r="F265" s="20">
        <v>0.0</v>
      </c>
      <c r="G265" s="20">
        <v>1.0</v>
      </c>
      <c r="H265" s="24">
        <v>46023.0</v>
      </c>
      <c r="I265" s="24">
        <v>46387.0</v>
      </c>
      <c r="J265" s="20">
        <v>0.0</v>
      </c>
      <c r="K265" s="20">
        <v>1.0</v>
      </c>
      <c r="L265" s="24">
        <v>46388.0</v>
      </c>
      <c r="M265" s="24">
        <v>46752.0</v>
      </c>
      <c r="N265" s="20">
        <v>0.0</v>
      </c>
      <c r="O265" s="20">
        <v>1.0</v>
      </c>
      <c r="P265" s="24">
        <v>46753.0</v>
      </c>
      <c r="Q265" s="24">
        <v>47118.0</v>
      </c>
      <c r="R265" s="20">
        <v>0.0</v>
      </c>
      <c r="S265" s="20">
        <v>1.0</v>
      </c>
      <c r="T265" s="24">
        <v>47119.0</v>
      </c>
      <c r="U265" s="24">
        <v>47483.0</v>
      </c>
      <c r="V265" s="20">
        <v>0.0</v>
      </c>
      <c r="W265" s="20">
        <v>1.0</v>
      </c>
      <c r="X265" s="24">
        <v>47484.0</v>
      </c>
      <c r="Y265" s="24">
        <v>47848.0</v>
      </c>
      <c r="Z265" s="20">
        <v>0.0</v>
      </c>
      <c r="AA265" s="20">
        <v>1.0</v>
      </c>
      <c r="AC265" s="24"/>
      <c r="AD265" s="24"/>
      <c r="AH265" s="24"/>
      <c r="AI265" s="24"/>
    </row>
    <row r="266" ht="14.25" customHeight="1">
      <c r="A266" s="46" t="s">
        <v>1480</v>
      </c>
      <c r="B266" s="20" t="s">
        <v>1481</v>
      </c>
      <c r="C266" s="20" t="s">
        <v>7041</v>
      </c>
      <c r="D266" s="24">
        <v>45658.0</v>
      </c>
      <c r="E266" s="24">
        <v>46022.0</v>
      </c>
      <c r="F266" s="20">
        <v>1.0</v>
      </c>
      <c r="G266" s="20">
        <v>1.0</v>
      </c>
      <c r="H266" s="24">
        <v>46023.0</v>
      </c>
      <c r="I266" s="24">
        <v>46387.0</v>
      </c>
      <c r="J266" s="20">
        <v>0.0</v>
      </c>
      <c r="K266" s="20">
        <v>1.0</v>
      </c>
      <c r="L266" s="24">
        <v>46388.0</v>
      </c>
      <c r="M266" s="24">
        <v>46752.0</v>
      </c>
      <c r="N266" s="20">
        <v>0.0</v>
      </c>
      <c r="O266" s="20">
        <v>1.0</v>
      </c>
      <c r="P266" s="24">
        <v>46753.0</v>
      </c>
      <c r="Q266" s="24">
        <v>47118.0</v>
      </c>
      <c r="R266" s="20">
        <v>0.0</v>
      </c>
      <c r="S266" s="20">
        <v>1.0</v>
      </c>
      <c r="T266" s="24">
        <v>47119.0</v>
      </c>
      <c r="U266" s="24">
        <v>47483.0</v>
      </c>
      <c r="V266" s="20">
        <v>0.0</v>
      </c>
      <c r="W266" s="20">
        <v>1.0</v>
      </c>
      <c r="X266" s="24">
        <v>47484.0</v>
      </c>
      <c r="Y266" s="24">
        <v>47848.0</v>
      </c>
      <c r="Z266" s="20">
        <v>0.0</v>
      </c>
      <c r="AA266" s="20">
        <v>1.0</v>
      </c>
      <c r="AC266" s="24"/>
      <c r="AD266" s="24"/>
      <c r="AH266" s="24"/>
      <c r="AI266" s="24"/>
    </row>
    <row r="267" ht="14.25" customHeight="1">
      <c r="A267" s="46" t="s">
        <v>1602</v>
      </c>
      <c r="B267" s="20" t="s">
        <v>1603</v>
      </c>
      <c r="C267" s="20" t="s">
        <v>7041</v>
      </c>
      <c r="D267" s="24">
        <v>45658.0</v>
      </c>
      <c r="E267" s="24">
        <v>46022.0</v>
      </c>
      <c r="F267" s="20">
        <v>1.0</v>
      </c>
      <c r="G267" s="20">
        <v>1.0</v>
      </c>
      <c r="H267" s="24">
        <v>46023.0</v>
      </c>
      <c r="I267" s="24">
        <v>46387.0</v>
      </c>
      <c r="J267" s="20">
        <v>0.0</v>
      </c>
      <c r="K267" s="20">
        <v>1.0</v>
      </c>
      <c r="L267" s="24">
        <v>46388.0</v>
      </c>
      <c r="M267" s="24">
        <v>46752.0</v>
      </c>
      <c r="N267" s="20">
        <v>0.0</v>
      </c>
      <c r="O267" s="20">
        <v>1.0</v>
      </c>
      <c r="P267" s="24">
        <v>46753.0</v>
      </c>
      <c r="Q267" s="24">
        <v>47118.0</v>
      </c>
      <c r="R267" s="20">
        <v>0.0</v>
      </c>
      <c r="S267" s="20">
        <v>1.0</v>
      </c>
      <c r="T267" s="24">
        <v>47119.0</v>
      </c>
      <c r="U267" s="24">
        <v>47483.0</v>
      </c>
      <c r="V267" s="20">
        <v>0.0</v>
      </c>
      <c r="W267" s="20">
        <v>1.0</v>
      </c>
      <c r="X267" s="24">
        <v>47484.0</v>
      </c>
      <c r="Y267" s="24">
        <v>47848.0</v>
      </c>
      <c r="Z267" s="20">
        <v>0.0</v>
      </c>
      <c r="AA267" s="20">
        <v>1.0</v>
      </c>
      <c r="AC267" s="24"/>
      <c r="AD267" s="24"/>
      <c r="AH267" s="24"/>
      <c r="AI267" s="24"/>
    </row>
    <row r="268" ht="14.25" customHeight="1">
      <c r="A268" s="46" t="s">
        <v>1689</v>
      </c>
      <c r="B268" s="20" t="s">
        <v>1690</v>
      </c>
      <c r="C268" s="20" t="s">
        <v>7041</v>
      </c>
      <c r="D268" s="24">
        <v>45658.0</v>
      </c>
      <c r="E268" s="24">
        <v>46022.0</v>
      </c>
      <c r="F268" s="20">
        <v>1.0</v>
      </c>
      <c r="G268" s="20">
        <v>1.0</v>
      </c>
      <c r="H268" s="24">
        <v>46023.0</v>
      </c>
      <c r="I268" s="24">
        <v>46387.0</v>
      </c>
      <c r="J268" s="20">
        <v>0.0</v>
      </c>
      <c r="K268" s="20">
        <v>1.0</v>
      </c>
      <c r="L268" s="24">
        <v>46388.0</v>
      </c>
      <c r="M268" s="24">
        <v>46752.0</v>
      </c>
      <c r="N268" s="20">
        <v>0.0</v>
      </c>
      <c r="O268" s="20">
        <v>1.0</v>
      </c>
      <c r="P268" s="24">
        <v>46753.0</v>
      </c>
      <c r="Q268" s="24">
        <v>47118.0</v>
      </c>
      <c r="R268" s="20">
        <v>0.0</v>
      </c>
      <c r="S268" s="20">
        <v>1.0</v>
      </c>
      <c r="T268" s="24">
        <v>47119.0</v>
      </c>
      <c r="U268" s="24">
        <v>47483.0</v>
      </c>
      <c r="V268" s="20">
        <v>0.0</v>
      </c>
      <c r="W268" s="20">
        <v>1.0</v>
      </c>
      <c r="X268" s="24">
        <v>47484.0</v>
      </c>
      <c r="Y268" s="24">
        <v>47848.0</v>
      </c>
      <c r="Z268" s="20">
        <v>0.0</v>
      </c>
      <c r="AA268" s="20">
        <v>1.0</v>
      </c>
      <c r="AC268" s="24"/>
      <c r="AD268" s="24"/>
      <c r="AH268" s="24"/>
      <c r="AI268" s="24"/>
    </row>
    <row r="269" ht="14.25" customHeight="1">
      <c r="A269" s="46" t="s">
        <v>1699</v>
      </c>
      <c r="B269" s="20" t="s">
        <v>1700</v>
      </c>
      <c r="C269" s="20" t="s">
        <v>7041</v>
      </c>
      <c r="D269" s="24">
        <v>45658.0</v>
      </c>
      <c r="E269" s="24">
        <v>46022.0</v>
      </c>
      <c r="F269" s="20">
        <v>1.0</v>
      </c>
      <c r="G269" s="20">
        <v>1.0</v>
      </c>
      <c r="H269" s="24">
        <v>46023.0</v>
      </c>
      <c r="I269" s="24">
        <v>46387.0</v>
      </c>
      <c r="J269" s="20">
        <v>0.0</v>
      </c>
      <c r="K269" s="20">
        <v>1.0</v>
      </c>
      <c r="L269" s="24">
        <v>46388.0</v>
      </c>
      <c r="M269" s="24">
        <v>46752.0</v>
      </c>
      <c r="N269" s="20">
        <v>0.0</v>
      </c>
      <c r="O269" s="20">
        <v>1.0</v>
      </c>
      <c r="P269" s="24">
        <v>46753.0</v>
      </c>
      <c r="Q269" s="24">
        <v>47118.0</v>
      </c>
      <c r="R269" s="20">
        <v>0.0</v>
      </c>
      <c r="S269" s="20">
        <v>1.0</v>
      </c>
      <c r="T269" s="24">
        <v>47119.0</v>
      </c>
      <c r="U269" s="24">
        <v>47483.0</v>
      </c>
      <c r="V269" s="20">
        <v>0.0</v>
      </c>
      <c r="W269" s="20">
        <v>1.0</v>
      </c>
      <c r="X269" s="24">
        <v>47484.0</v>
      </c>
      <c r="Y269" s="24">
        <v>47848.0</v>
      </c>
      <c r="Z269" s="20">
        <v>0.0</v>
      </c>
      <c r="AA269" s="20">
        <v>1.0</v>
      </c>
      <c r="AC269" s="24"/>
      <c r="AD269" s="24"/>
      <c r="AH269" s="24"/>
      <c r="AI269" s="24"/>
    </row>
    <row r="270" ht="14.25" customHeight="1">
      <c r="A270" s="46" t="s">
        <v>1751</v>
      </c>
      <c r="B270" s="20" t="s">
        <v>1752</v>
      </c>
      <c r="C270" s="20" t="s">
        <v>7041</v>
      </c>
      <c r="D270" s="24">
        <v>45658.0</v>
      </c>
      <c r="E270" s="24">
        <v>46022.0</v>
      </c>
      <c r="F270" s="20">
        <v>0.0</v>
      </c>
      <c r="G270" s="20">
        <v>1.0</v>
      </c>
      <c r="H270" s="24">
        <v>46023.0</v>
      </c>
      <c r="I270" s="24">
        <v>46387.0</v>
      </c>
      <c r="J270" s="20">
        <v>0.0</v>
      </c>
      <c r="K270" s="20">
        <v>1.0</v>
      </c>
      <c r="L270" s="24">
        <v>46388.0</v>
      </c>
      <c r="M270" s="24">
        <v>46752.0</v>
      </c>
      <c r="N270" s="20">
        <v>0.0</v>
      </c>
      <c r="O270" s="20">
        <v>1.0</v>
      </c>
      <c r="P270" s="24">
        <v>46753.0</v>
      </c>
      <c r="Q270" s="24">
        <v>47118.0</v>
      </c>
      <c r="R270" s="20">
        <v>0.0</v>
      </c>
      <c r="S270" s="20">
        <v>1.0</v>
      </c>
      <c r="T270" s="24">
        <v>47119.0</v>
      </c>
      <c r="U270" s="24">
        <v>47483.0</v>
      </c>
      <c r="V270" s="20">
        <v>0.0</v>
      </c>
      <c r="W270" s="20">
        <v>1.0</v>
      </c>
      <c r="X270" s="24">
        <v>47484.0</v>
      </c>
      <c r="Y270" s="24">
        <v>47848.0</v>
      </c>
      <c r="Z270" s="20">
        <v>0.0</v>
      </c>
      <c r="AA270" s="20">
        <v>1.0</v>
      </c>
      <c r="AC270" s="24"/>
      <c r="AD270" s="24"/>
      <c r="AH270" s="24"/>
      <c r="AI270" s="24"/>
    </row>
    <row r="271" ht="14.25" customHeight="1">
      <c r="A271" s="46" t="s">
        <v>1792</v>
      </c>
      <c r="B271" s="20" t="s">
        <v>1793</v>
      </c>
      <c r="C271" s="20" t="s">
        <v>7041</v>
      </c>
      <c r="D271" s="24">
        <v>45658.0</v>
      </c>
      <c r="E271" s="24">
        <v>46022.0</v>
      </c>
      <c r="F271" s="20">
        <v>0.0</v>
      </c>
      <c r="G271" s="20">
        <v>1.0</v>
      </c>
      <c r="H271" s="24">
        <v>46023.0</v>
      </c>
      <c r="I271" s="24">
        <v>46387.0</v>
      </c>
      <c r="J271" s="20">
        <v>0.0</v>
      </c>
      <c r="K271" s="20">
        <v>1.0</v>
      </c>
      <c r="L271" s="24">
        <v>46388.0</v>
      </c>
      <c r="M271" s="24">
        <v>46752.0</v>
      </c>
      <c r="N271" s="20">
        <v>0.0</v>
      </c>
      <c r="O271" s="20">
        <v>1.0</v>
      </c>
      <c r="P271" s="24">
        <v>46753.0</v>
      </c>
      <c r="Q271" s="24">
        <v>47118.0</v>
      </c>
      <c r="R271" s="20">
        <v>0.0</v>
      </c>
      <c r="S271" s="20">
        <v>1.0</v>
      </c>
      <c r="T271" s="24">
        <v>47119.0</v>
      </c>
      <c r="U271" s="24">
        <v>47483.0</v>
      </c>
      <c r="V271" s="20">
        <v>0.0</v>
      </c>
      <c r="W271" s="20">
        <v>1.0</v>
      </c>
      <c r="X271" s="24">
        <v>47484.0</v>
      </c>
      <c r="Y271" s="24">
        <v>47848.0</v>
      </c>
      <c r="Z271" s="20">
        <v>0.0</v>
      </c>
      <c r="AA271" s="20">
        <v>1.0</v>
      </c>
      <c r="AC271" s="24"/>
      <c r="AD271" s="24"/>
      <c r="AH271" s="24"/>
      <c r="AI271" s="24"/>
    </row>
    <row r="272" ht="14.25" customHeight="1">
      <c r="A272" s="46" t="s">
        <v>1811</v>
      </c>
      <c r="B272" s="20" t="s">
        <v>1812</v>
      </c>
      <c r="C272" s="20" t="s">
        <v>7041</v>
      </c>
      <c r="D272" s="24">
        <v>45658.0</v>
      </c>
      <c r="E272" s="24">
        <v>46022.0</v>
      </c>
      <c r="F272" s="20">
        <v>0.0</v>
      </c>
      <c r="G272" s="20">
        <v>1.0</v>
      </c>
      <c r="H272" s="24">
        <v>46023.0</v>
      </c>
      <c r="I272" s="24">
        <v>46387.0</v>
      </c>
      <c r="J272" s="20">
        <v>0.0</v>
      </c>
      <c r="K272" s="20">
        <v>1.0</v>
      </c>
      <c r="L272" s="24">
        <v>46388.0</v>
      </c>
      <c r="M272" s="24">
        <v>46752.0</v>
      </c>
      <c r="N272" s="20">
        <v>0.0</v>
      </c>
      <c r="O272" s="20">
        <v>1.0</v>
      </c>
      <c r="P272" s="24">
        <v>46753.0</v>
      </c>
      <c r="Q272" s="24">
        <v>47118.0</v>
      </c>
      <c r="R272" s="20">
        <v>0.0</v>
      </c>
      <c r="S272" s="20">
        <v>1.0</v>
      </c>
      <c r="T272" s="24">
        <v>47119.0</v>
      </c>
      <c r="U272" s="24">
        <v>47483.0</v>
      </c>
      <c r="V272" s="20">
        <v>0.0</v>
      </c>
      <c r="W272" s="20">
        <v>1.0</v>
      </c>
      <c r="X272" s="24">
        <v>47484.0</v>
      </c>
      <c r="Y272" s="24">
        <v>47848.0</v>
      </c>
      <c r="Z272" s="20">
        <v>0.0</v>
      </c>
      <c r="AA272" s="20">
        <v>1.0</v>
      </c>
      <c r="AC272" s="24"/>
      <c r="AD272" s="24"/>
      <c r="AH272" s="24"/>
      <c r="AI272" s="24"/>
    </row>
    <row r="273" ht="14.25" customHeight="1">
      <c r="A273" s="46" t="s">
        <v>1899</v>
      </c>
      <c r="B273" s="20" t="s">
        <v>1900</v>
      </c>
      <c r="C273" s="20" t="s">
        <v>7041</v>
      </c>
      <c r="D273" s="24">
        <v>45658.0</v>
      </c>
      <c r="E273" s="24">
        <v>46022.0</v>
      </c>
      <c r="F273" s="20">
        <v>0.0</v>
      </c>
      <c r="G273" s="20">
        <v>1.0</v>
      </c>
      <c r="H273" s="24">
        <v>46023.0</v>
      </c>
      <c r="I273" s="24">
        <v>46387.0</v>
      </c>
      <c r="J273" s="20">
        <v>0.0</v>
      </c>
      <c r="K273" s="20">
        <v>1.0</v>
      </c>
      <c r="L273" s="24">
        <v>46388.0</v>
      </c>
      <c r="M273" s="24">
        <v>46752.0</v>
      </c>
      <c r="N273" s="20">
        <v>0.0</v>
      </c>
      <c r="O273" s="20">
        <v>1.0</v>
      </c>
      <c r="P273" s="24">
        <v>46753.0</v>
      </c>
      <c r="Q273" s="24">
        <v>47118.0</v>
      </c>
      <c r="R273" s="20">
        <v>0.0</v>
      </c>
      <c r="S273" s="20">
        <v>1.0</v>
      </c>
      <c r="T273" s="24">
        <v>47119.0</v>
      </c>
      <c r="U273" s="24">
        <v>47483.0</v>
      </c>
      <c r="V273" s="20">
        <v>0.0</v>
      </c>
      <c r="W273" s="20">
        <v>1.0</v>
      </c>
      <c r="X273" s="24">
        <v>47484.0</v>
      </c>
      <c r="Y273" s="24">
        <v>47848.0</v>
      </c>
      <c r="Z273" s="20">
        <v>0.0</v>
      </c>
      <c r="AA273" s="20">
        <v>1.0</v>
      </c>
      <c r="AC273" s="24"/>
      <c r="AD273" s="24"/>
      <c r="AH273" s="24"/>
      <c r="AI273" s="24"/>
    </row>
    <row r="274" ht="14.25" customHeight="1">
      <c r="A274" s="46" t="s">
        <v>1933</v>
      </c>
      <c r="B274" s="20" t="s">
        <v>1934</v>
      </c>
      <c r="C274" s="20" t="s">
        <v>7041</v>
      </c>
      <c r="D274" s="24">
        <v>45658.0</v>
      </c>
      <c r="E274" s="24">
        <v>46022.0</v>
      </c>
      <c r="F274" s="20">
        <v>0.0</v>
      </c>
      <c r="G274" s="20">
        <v>1.0</v>
      </c>
      <c r="H274" s="24">
        <v>46023.0</v>
      </c>
      <c r="I274" s="24">
        <v>46387.0</v>
      </c>
      <c r="J274" s="20">
        <v>0.0</v>
      </c>
      <c r="K274" s="20">
        <v>1.0</v>
      </c>
      <c r="L274" s="24">
        <v>46388.0</v>
      </c>
      <c r="M274" s="24">
        <v>46752.0</v>
      </c>
      <c r="N274" s="20">
        <v>0.0</v>
      </c>
      <c r="O274" s="20">
        <v>1.0</v>
      </c>
      <c r="P274" s="24">
        <v>46753.0</v>
      </c>
      <c r="Q274" s="24">
        <v>47118.0</v>
      </c>
      <c r="R274" s="20">
        <v>0.0</v>
      </c>
      <c r="S274" s="20">
        <v>1.0</v>
      </c>
      <c r="T274" s="24">
        <v>47119.0</v>
      </c>
      <c r="U274" s="24">
        <v>47483.0</v>
      </c>
      <c r="V274" s="20">
        <v>0.0</v>
      </c>
      <c r="W274" s="20">
        <v>1.0</v>
      </c>
      <c r="X274" s="24">
        <v>47484.0</v>
      </c>
      <c r="Y274" s="24">
        <v>47848.0</v>
      </c>
      <c r="Z274" s="20">
        <v>0.0</v>
      </c>
      <c r="AA274" s="20">
        <v>1.0</v>
      </c>
      <c r="AC274" s="24"/>
      <c r="AD274" s="24"/>
      <c r="AH274" s="24"/>
      <c r="AI274" s="24"/>
    </row>
    <row r="275" ht="14.25" customHeight="1">
      <c r="A275" s="46" t="s">
        <v>1987</v>
      </c>
      <c r="B275" s="20" t="s">
        <v>1988</v>
      </c>
      <c r="C275" s="20" t="s">
        <v>7041</v>
      </c>
      <c r="D275" s="24">
        <v>45658.0</v>
      </c>
      <c r="E275" s="24">
        <v>46022.0</v>
      </c>
      <c r="F275" s="20">
        <v>0.0</v>
      </c>
      <c r="G275" s="20">
        <v>1.0</v>
      </c>
      <c r="H275" s="24">
        <v>46023.0</v>
      </c>
      <c r="I275" s="24">
        <v>46387.0</v>
      </c>
      <c r="J275" s="20">
        <v>0.0</v>
      </c>
      <c r="K275" s="20">
        <v>1.0</v>
      </c>
      <c r="L275" s="24">
        <v>46388.0</v>
      </c>
      <c r="M275" s="24">
        <v>46752.0</v>
      </c>
      <c r="N275" s="20">
        <v>0.0</v>
      </c>
      <c r="O275" s="20">
        <v>1.0</v>
      </c>
      <c r="P275" s="24">
        <v>46753.0</v>
      </c>
      <c r="Q275" s="24">
        <v>47118.0</v>
      </c>
      <c r="R275" s="20">
        <v>0.0</v>
      </c>
      <c r="S275" s="20">
        <v>1.0</v>
      </c>
      <c r="T275" s="24">
        <v>47119.0</v>
      </c>
      <c r="U275" s="24">
        <v>47483.0</v>
      </c>
      <c r="V275" s="20">
        <v>0.0</v>
      </c>
      <c r="W275" s="20">
        <v>1.0</v>
      </c>
      <c r="X275" s="24">
        <v>47484.0</v>
      </c>
      <c r="Y275" s="24">
        <v>47848.0</v>
      </c>
      <c r="Z275" s="20">
        <v>0.0</v>
      </c>
      <c r="AA275" s="20">
        <v>1.0</v>
      </c>
      <c r="AC275" s="24"/>
      <c r="AD275" s="24"/>
      <c r="AH275" s="24"/>
      <c r="AI275" s="24"/>
    </row>
    <row r="276" ht="14.25" customHeight="1">
      <c r="A276" s="46" t="s">
        <v>2089</v>
      </c>
      <c r="B276" s="20" t="s">
        <v>2090</v>
      </c>
      <c r="C276" s="20" t="s">
        <v>7041</v>
      </c>
      <c r="D276" s="24">
        <v>45658.0</v>
      </c>
      <c r="E276" s="24">
        <v>46022.0</v>
      </c>
      <c r="F276" s="20">
        <v>0.0</v>
      </c>
      <c r="G276" s="20">
        <v>1.0</v>
      </c>
      <c r="H276" s="24">
        <v>46023.0</v>
      </c>
      <c r="I276" s="24">
        <v>46387.0</v>
      </c>
      <c r="J276" s="20">
        <v>0.0</v>
      </c>
      <c r="K276" s="20">
        <v>1.0</v>
      </c>
      <c r="L276" s="24">
        <v>46388.0</v>
      </c>
      <c r="M276" s="24">
        <v>46752.0</v>
      </c>
      <c r="N276" s="20">
        <v>0.0</v>
      </c>
      <c r="O276" s="20">
        <v>1.0</v>
      </c>
      <c r="P276" s="24">
        <v>46753.0</v>
      </c>
      <c r="Q276" s="24">
        <v>47118.0</v>
      </c>
      <c r="R276" s="20">
        <v>0.0</v>
      </c>
      <c r="S276" s="20">
        <v>1.0</v>
      </c>
      <c r="T276" s="24">
        <v>47119.0</v>
      </c>
      <c r="U276" s="24">
        <v>47483.0</v>
      </c>
      <c r="V276" s="20">
        <v>0.0</v>
      </c>
      <c r="W276" s="20">
        <v>1.0</v>
      </c>
      <c r="X276" s="24">
        <v>47484.0</v>
      </c>
      <c r="Y276" s="24">
        <v>47848.0</v>
      </c>
      <c r="Z276" s="20">
        <v>0.0</v>
      </c>
      <c r="AA276" s="20">
        <v>1.0</v>
      </c>
      <c r="AC276" s="24"/>
      <c r="AD276" s="24"/>
      <c r="AH276" s="24"/>
      <c r="AI276" s="24"/>
    </row>
    <row r="277" ht="14.25" customHeight="1">
      <c r="A277" s="46" t="s">
        <v>2173</v>
      </c>
      <c r="B277" s="20" t="s">
        <v>2174</v>
      </c>
      <c r="C277" s="20" t="s">
        <v>7041</v>
      </c>
      <c r="D277" s="24">
        <v>45658.0</v>
      </c>
      <c r="E277" s="24">
        <v>46022.0</v>
      </c>
      <c r="F277" s="20">
        <v>0.0</v>
      </c>
      <c r="G277" s="20">
        <v>1.0</v>
      </c>
      <c r="H277" s="24">
        <v>46023.0</v>
      </c>
      <c r="I277" s="24">
        <v>46387.0</v>
      </c>
      <c r="J277" s="20">
        <v>0.0</v>
      </c>
      <c r="K277" s="20">
        <v>1.0</v>
      </c>
      <c r="L277" s="24">
        <v>46388.0</v>
      </c>
      <c r="M277" s="24">
        <v>46752.0</v>
      </c>
      <c r="N277" s="20">
        <v>0.0</v>
      </c>
      <c r="O277" s="20">
        <v>1.0</v>
      </c>
      <c r="P277" s="24">
        <v>46753.0</v>
      </c>
      <c r="Q277" s="24">
        <v>47118.0</v>
      </c>
      <c r="R277" s="20">
        <v>0.0</v>
      </c>
      <c r="S277" s="20">
        <v>1.0</v>
      </c>
      <c r="T277" s="24">
        <v>47119.0</v>
      </c>
      <c r="U277" s="24">
        <v>47483.0</v>
      </c>
      <c r="V277" s="20">
        <v>0.0</v>
      </c>
      <c r="W277" s="20">
        <v>1.0</v>
      </c>
      <c r="X277" s="24">
        <v>47484.0</v>
      </c>
      <c r="Y277" s="24">
        <v>47848.0</v>
      </c>
      <c r="Z277" s="20">
        <v>0.0</v>
      </c>
      <c r="AA277" s="20">
        <v>1.0</v>
      </c>
      <c r="AC277" s="24"/>
      <c r="AD277" s="24"/>
      <c r="AH277" s="24"/>
      <c r="AI277" s="24"/>
    </row>
    <row r="278" ht="14.25" customHeight="1">
      <c r="A278" s="46" t="s">
        <v>2256</v>
      </c>
      <c r="B278" s="20" t="s">
        <v>2257</v>
      </c>
      <c r="C278" s="20" t="s">
        <v>7041</v>
      </c>
      <c r="D278" s="24">
        <v>45658.0</v>
      </c>
      <c r="E278" s="24">
        <v>46022.0</v>
      </c>
      <c r="F278" s="20">
        <v>1.0</v>
      </c>
      <c r="G278" s="20">
        <v>1.0</v>
      </c>
      <c r="H278" s="24">
        <v>46023.0</v>
      </c>
      <c r="I278" s="24">
        <v>46387.0</v>
      </c>
      <c r="J278" s="20">
        <v>0.0</v>
      </c>
      <c r="K278" s="20">
        <v>1.0</v>
      </c>
      <c r="L278" s="24">
        <v>46388.0</v>
      </c>
      <c r="M278" s="24">
        <v>46752.0</v>
      </c>
      <c r="N278" s="20">
        <v>0.0</v>
      </c>
      <c r="O278" s="20">
        <v>1.0</v>
      </c>
      <c r="P278" s="24">
        <v>46753.0</v>
      </c>
      <c r="Q278" s="24">
        <v>47118.0</v>
      </c>
      <c r="R278" s="20">
        <v>0.0</v>
      </c>
      <c r="S278" s="20">
        <v>1.0</v>
      </c>
      <c r="T278" s="24">
        <v>47119.0</v>
      </c>
      <c r="U278" s="24">
        <v>47483.0</v>
      </c>
      <c r="V278" s="20">
        <v>0.0</v>
      </c>
      <c r="W278" s="20">
        <v>1.0</v>
      </c>
      <c r="X278" s="24">
        <v>47484.0</v>
      </c>
      <c r="Y278" s="24">
        <v>47848.0</v>
      </c>
      <c r="Z278" s="20">
        <v>0.0</v>
      </c>
      <c r="AA278" s="20">
        <v>1.0</v>
      </c>
      <c r="AC278" s="24"/>
      <c r="AD278" s="24"/>
      <c r="AH278" s="24"/>
      <c r="AI278" s="24"/>
    </row>
    <row r="279" ht="14.25" customHeight="1">
      <c r="A279" s="46" t="s">
        <v>2265</v>
      </c>
      <c r="B279" s="20" t="s">
        <v>2266</v>
      </c>
      <c r="C279" s="20" t="s">
        <v>7041</v>
      </c>
      <c r="D279" s="24">
        <v>45658.0</v>
      </c>
      <c r="E279" s="24">
        <v>46022.0</v>
      </c>
      <c r="F279" s="20">
        <v>0.0</v>
      </c>
      <c r="G279" s="20">
        <v>1.0</v>
      </c>
      <c r="H279" s="24">
        <v>46023.0</v>
      </c>
      <c r="I279" s="24">
        <v>46387.0</v>
      </c>
      <c r="J279" s="20">
        <v>0.0</v>
      </c>
      <c r="K279" s="20">
        <v>1.0</v>
      </c>
      <c r="L279" s="24">
        <v>46388.0</v>
      </c>
      <c r="M279" s="24">
        <v>46752.0</v>
      </c>
      <c r="N279" s="20">
        <v>0.0</v>
      </c>
      <c r="O279" s="20">
        <v>1.0</v>
      </c>
      <c r="P279" s="24">
        <v>46753.0</v>
      </c>
      <c r="Q279" s="24">
        <v>47118.0</v>
      </c>
      <c r="R279" s="20">
        <v>0.0</v>
      </c>
      <c r="S279" s="20">
        <v>1.0</v>
      </c>
      <c r="T279" s="24">
        <v>47119.0</v>
      </c>
      <c r="U279" s="24">
        <v>47483.0</v>
      </c>
      <c r="V279" s="20">
        <v>0.0</v>
      </c>
      <c r="W279" s="20">
        <v>1.0</v>
      </c>
      <c r="X279" s="24">
        <v>47484.0</v>
      </c>
      <c r="Y279" s="24">
        <v>47848.0</v>
      </c>
      <c r="Z279" s="20">
        <v>0.0</v>
      </c>
      <c r="AA279" s="20">
        <v>1.0</v>
      </c>
      <c r="AC279" s="24"/>
      <c r="AD279" s="24"/>
      <c r="AH279" s="24"/>
      <c r="AI279" s="24"/>
    </row>
    <row r="280" ht="14.25" customHeight="1">
      <c r="A280" s="46" t="s">
        <v>2523</v>
      </c>
      <c r="B280" s="20" t="s">
        <v>2524</v>
      </c>
      <c r="C280" s="20" t="s">
        <v>7041</v>
      </c>
      <c r="D280" s="24">
        <v>45658.0</v>
      </c>
      <c r="E280" s="24">
        <v>46022.0</v>
      </c>
      <c r="F280" s="20">
        <v>0.0</v>
      </c>
      <c r="G280" s="20">
        <v>1.0</v>
      </c>
      <c r="H280" s="24">
        <v>46023.0</v>
      </c>
      <c r="I280" s="24">
        <v>46387.0</v>
      </c>
      <c r="J280" s="20">
        <v>0.0</v>
      </c>
      <c r="K280" s="20">
        <v>1.0</v>
      </c>
      <c r="L280" s="24">
        <v>46388.0</v>
      </c>
      <c r="M280" s="24">
        <v>46752.0</v>
      </c>
      <c r="N280" s="20">
        <v>0.0</v>
      </c>
      <c r="O280" s="20">
        <v>1.0</v>
      </c>
      <c r="P280" s="24">
        <v>46753.0</v>
      </c>
      <c r="Q280" s="24">
        <v>47118.0</v>
      </c>
      <c r="R280" s="20">
        <v>0.0</v>
      </c>
      <c r="S280" s="20">
        <v>1.0</v>
      </c>
      <c r="T280" s="24">
        <v>47119.0</v>
      </c>
      <c r="U280" s="24">
        <v>47483.0</v>
      </c>
      <c r="V280" s="20">
        <v>0.0</v>
      </c>
      <c r="W280" s="20">
        <v>1.0</v>
      </c>
      <c r="X280" s="24">
        <v>47484.0</v>
      </c>
      <c r="Y280" s="24">
        <v>47848.0</v>
      </c>
      <c r="Z280" s="20">
        <v>0.0</v>
      </c>
      <c r="AA280" s="20">
        <v>1.0</v>
      </c>
      <c r="AC280" s="24"/>
      <c r="AD280" s="24"/>
      <c r="AH280" s="24"/>
      <c r="AI280" s="24"/>
    </row>
    <row r="281" ht="14.25" customHeight="1">
      <c r="A281" s="46" t="s">
        <v>2541</v>
      </c>
      <c r="B281" s="20" t="s">
        <v>2542</v>
      </c>
      <c r="C281" s="20" t="s">
        <v>7041</v>
      </c>
      <c r="D281" s="24">
        <v>45658.0</v>
      </c>
      <c r="E281" s="24">
        <v>46022.0</v>
      </c>
      <c r="F281" s="20">
        <v>0.0</v>
      </c>
      <c r="G281" s="20">
        <v>1.0</v>
      </c>
      <c r="H281" s="24">
        <v>46023.0</v>
      </c>
      <c r="I281" s="24">
        <v>46387.0</v>
      </c>
      <c r="J281" s="20">
        <v>0.0</v>
      </c>
      <c r="K281" s="20">
        <v>1.0</v>
      </c>
      <c r="L281" s="24">
        <v>46388.0</v>
      </c>
      <c r="M281" s="24">
        <v>46752.0</v>
      </c>
      <c r="N281" s="20">
        <v>0.0</v>
      </c>
      <c r="O281" s="20">
        <v>1.0</v>
      </c>
      <c r="P281" s="24">
        <v>46753.0</v>
      </c>
      <c r="Q281" s="24">
        <v>47118.0</v>
      </c>
      <c r="R281" s="20">
        <v>0.0</v>
      </c>
      <c r="S281" s="20">
        <v>1.0</v>
      </c>
      <c r="T281" s="24">
        <v>47119.0</v>
      </c>
      <c r="U281" s="24">
        <v>47483.0</v>
      </c>
      <c r="V281" s="20">
        <v>0.0</v>
      </c>
      <c r="W281" s="20">
        <v>1.0</v>
      </c>
      <c r="X281" s="24">
        <v>47484.0</v>
      </c>
      <c r="Y281" s="24">
        <v>47848.0</v>
      </c>
      <c r="Z281" s="20">
        <v>0.0</v>
      </c>
      <c r="AA281" s="20">
        <v>1.0</v>
      </c>
      <c r="AC281" s="24"/>
      <c r="AD281" s="24"/>
      <c r="AH281" s="24"/>
      <c r="AI281" s="24"/>
    </row>
    <row r="282" ht="14.25" customHeight="1">
      <c r="A282" s="46" t="s">
        <v>2553</v>
      </c>
      <c r="B282" s="20" t="s">
        <v>2554</v>
      </c>
      <c r="C282" s="20" t="s">
        <v>7041</v>
      </c>
      <c r="D282" s="24">
        <v>45658.0</v>
      </c>
      <c r="E282" s="24">
        <v>46022.0</v>
      </c>
      <c r="F282" s="20">
        <v>0.0</v>
      </c>
      <c r="G282" s="20">
        <v>1.0</v>
      </c>
      <c r="H282" s="24">
        <v>46023.0</v>
      </c>
      <c r="I282" s="24">
        <v>46387.0</v>
      </c>
      <c r="J282" s="20">
        <v>0.0</v>
      </c>
      <c r="K282" s="20">
        <v>1.0</v>
      </c>
      <c r="L282" s="24">
        <v>46388.0</v>
      </c>
      <c r="M282" s="24">
        <v>46752.0</v>
      </c>
      <c r="N282" s="20">
        <v>0.0</v>
      </c>
      <c r="O282" s="20">
        <v>1.0</v>
      </c>
      <c r="P282" s="24">
        <v>46753.0</v>
      </c>
      <c r="Q282" s="24">
        <v>47118.0</v>
      </c>
      <c r="R282" s="20">
        <v>0.0</v>
      </c>
      <c r="S282" s="20">
        <v>1.0</v>
      </c>
      <c r="T282" s="24">
        <v>47119.0</v>
      </c>
      <c r="U282" s="24">
        <v>47483.0</v>
      </c>
      <c r="V282" s="20">
        <v>0.0</v>
      </c>
      <c r="W282" s="20">
        <v>1.0</v>
      </c>
      <c r="X282" s="24">
        <v>47484.0</v>
      </c>
      <c r="Y282" s="24">
        <v>47848.0</v>
      </c>
      <c r="Z282" s="20">
        <v>0.0</v>
      </c>
      <c r="AA282" s="20">
        <v>1.0</v>
      </c>
      <c r="AC282" s="24"/>
      <c r="AD282" s="24"/>
      <c r="AH282" s="24"/>
      <c r="AI282" s="24"/>
    </row>
    <row r="283" ht="14.25" customHeight="1">
      <c r="A283" s="46" t="s">
        <v>2574</v>
      </c>
      <c r="B283" s="20" t="s">
        <v>2575</v>
      </c>
      <c r="C283" s="20" t="s">
        <v>7041</v>
      </c>
      <c r="D283" s="24">
        <v>45658.0</v>
      </c>
      <c r="E283" s="24">
        <v>46022.0</v>
      </c>
      <c r="F283" s="20">
        <v>0.0</v>
      </c>
      <c r="G283" s="20">
        <v>1.0</v>
      </c>
      <c r="H283" s="24">
        <v>46023.0</v>
      </c>
      <c r="I283" s="24">
        <v>46387.0</v>
      </c>
      <c r="J283" s="20">
        <v>0.0</v>
      </c>
      <c r="K283" s="20">
        <v>1.0</v>
      </c>
      <c r="L283" s="24">
        <v>46388.0</v>
      </c>
      <c r="M283" s="24">
        <v>46752.0</v>
      </c>
      <c r="N283" s="20">
        <v>0.0</v>
      </c>
      <c r="O283" s="20">
        <v>1.0</v>
      </c>
      <c r="P283" s="24">
        <v>46753.0</v>
      </c>
      <c r="Q283" s="24">
        <v>47118.0</v>
      </c>
      <c r="R283" s="20">
        <v>0.0</v>
      </c>
      <c r="S283" s="20">
        <v>1.0</v>
      </c>
      <c r="T283" s="24">
        <v>47119.0</v>
      </c>
      <c r="U283" s="24">
        <v>47483.0</v>
      </c>
      <c r="V283" s="20">
        <v>0.0</v>
      </c>
      <c r="W283" s="20">
        <v>1.0</v>
      </c>
      <c r="X283" s="24">
        <v>47484.0</v>
      </c>
      <c r="Y283" s="24">
        <v>47848.0</v>
      </c>
      <c r="Z283" s="20">
        <v>0.0</v>
      </c>
      <c r="AA283" s="20">
        <v>1.0</v>
      </c>
      <c r="AC283" s="24"/>
      <c r="AD283" s="24"/>
      <c r="AH283" s="24"/>
      <c r="AI283" s="24"/>
    </row>
    <row r="284" ht="14.25" customHeight="1">
      <c r="A284" s="46" t="s">
        <v>2592</v>
      </c>
      <c r="B284" s="20" t="s">
        <v>2593</v>
      </c>
      <c r="C284" s="20" t="s">
        <v>7041</v>
      </c>
      <c r="D284" s="24">
        <v>45658.0</v>
      </c>
      <c r="E284" s="24">
        <v>46022.0</v>
      </c>
      <c r="F284" s="20">
        <v>1.0</v>
      </c>
      <c r="G284" s="20">
        <v>1.0</v>
      </c>
      <c r="H284" s="24">
        <v>46023.0</v>
      </c>
      <c r="I284" s="24">
        <v>46387.0</v>
      </c>
      <c r="J284" s="20">
        <v>0.0</v>
      </c>
      <c r="K284" s="20">
        <v>1.0</v>
      </c>
      <c r="L284" s="24">
        <v>46388.0</v>
      </c>
      <c r="M284" s="24">
        <v>46752.0</v>
      </c>
      <c r="N284" s="20">
        <v>0.0</v>
      </c>
      <c r="O284" s="20">
        <v>1.0</v>
      </c>
      <c r="P284" s="24">
        <v>46753.0</v>
      </c>
      <c r="Q284" s="24">
        <v>47118.0</v>
      </c>
      <c r="R284" s="20">
        <v>0.0</v>
      </c>
      <c r="S284" s="20">
        <v>1.0</v>
      </c>
      <c r="T284" s="24">
        <v>47119.0</v>
      </c>
      <c r="U284" s="24">
        <v>47483.0</v>
      </c>
      <c r="V284" s="20">
        <v>0.0</v>
      </c>
      <c r="W284" s="20">
        <v>1.0</v>
      </c>
      <c r="X284" s="24">
        <v>47484.0</v>
      </c>
      <c r="Y284" s="24">
        <v>47848.0</v>
      </c>
      <c r="Z284" s="20">
        <v>0.0</v>
      </c>
      <c r="AA284" s="20">
        <v>1.0</v>
      </c>
      <c r="AC284" s="24"/>
      <c r="AD284" s="24"/>
      <c r="AH284" s="24"/>
      <c r="AI284" s="24"/>
    </row>
    <row r="285" ht="14.25" customHeight="1">
      <c r="A285" s="46" t="s">
        <v>2595</v>
      </c>
      <c r="B285" s="20" t="s">
        <v>2596</v>
      </c>
      <c r="C285" s="20" t="s">
        <v>7041</v>
      </c>
      <c r="D285" s="24">
        <v>45658.0</v>
      </c>
      <c r="E285" s="24">
        <v>46022.0</v>
      </c>
      <c r="F285" s="20">
        <v>1.0</v>
      </c>
      <c r="G285" s="20">
        <v>1.0</v>
      </c>
      <c r="H285" s="24">
        <v>46023.0</v>
      </c>
      <c r="I285" s="24">
        <v>46387.0</v>
      </c>
      <c r="J285" s="20">
        <v>0.0</v>
      </c>
      <c r="K285" s="20">
        <v>1.0</v>
      </c>
      <c r="L285" s="24">
        <v>46388.0</v>
      </c>
      <c r="M285" s="24">
        <v>46752.0</v>
      </c>
      <c r="N285" s="20">
        <v>0.0</v>
      </c>
      <c r="O285" s="20">
        <v>1.0</v>
      </c>
      <c r="P285" s="24">
        <v>46753.0</v>
      </c>
      <c r="Q285" s="24">
        <v>47118.0</v>
      </c>
      <c r="R285" s="20">
        <v>0.0</v>
      </c>
      <c r="S285" s="20">
        <v>1.0</v>
      </c>
      <c r="T285" s="24">
        <v>47119.0</v>
      </c>
      <c r="U285" s="24">
        <v>47483.0</v>
      </c>
      <c r="V285" s="20">
        <v>0.0</v>
      </c>
      <c r="W285" s="20">
        <v>1.0</v>
      </c>
      <c r="X285" s="24">
        <v>47484.0</v>
      </c>
      <c r="Y285" s="24">
        <v>47848.0</v>
      </c>
      <c r="Z285" s="20">
        <v>0.0</v>
      </c>
      <c r="AA285" s="20">
        <v>1.0</v>
      </c>
      <c r="AC285" s="24"/>
      <c r="AD285" s="24"/>
      <c r="AH285" s="24"/>
      <c r="AI285" s="24"/>
    </row>
    <row r="286" ht="14.25" customHeight="1">
      <c r="A286" s="46" t="s">
        <v>2620</v>
      </c>
      <c r="B286" s="20" t="s">
        <v>2621</v>
      </c>
      <c r="C286" s="20" t="s">
        <v>7041</v>
      </c>
      <c r="D286" s="24">
        <v>45658.0</v>
      </c>
      <c r="E286" s="24">
        <v>46022.0</v>
      </c>
      <c r="F286" s="20">
        <v>1.0</v>
      </c>
      <c r="G286" s="20">
        <v>1.0</v>
      </c>
      <c r="H286" s="24">
        <v>46023.0</v>
      </c>
      <c r="I286" s="24">
        <v>46387.0</v>
      </c>
      <c r="J286" s="20">
        <v>0.0</v>
      </c>
      <c r="K286" s="20">
        <v>1.0</v>
      </c>
      <c r="L286" s="24">
        <v>46388.0</v>
      </c>
      <c r="M286" s="24">
        <v>46752.0</v>
      </c>
      <c r="N286" s="20">
        <v>0.0</v>
      </c>
      <c r="O286" s="20">
        <v>1.0</v>
      </c>
      <c r="P286" s="24">
        <v>46753.0</v>
      </c>
      <c r="Q286" s="24">
        <v>47118.0</v>
      </c>
      <c r="R286" s="20">
        <v>0.0</v>
      </c>
      <c r="S286" s="20">
        <v>1.0</v>
      </c>
      <c r="T286" s="24">
        <v>47119.0</v>
      </c>
      <c r="U286" s="24">
        <v>47483.0</v>
      </c>
      <c r="V286" s="20">
        <v>0.0</v>
      </c>
      <c r="W286" s="20">
        <v>1.0</v>
      </c>
      <c r="X286" s="24">
        <v>47484.0</v>
      </c>
      <c r="Y286" s="24">
        <v>47848.0</v>
      </c>
      <c r="Z286" s="20">
        <v>0.0</v>
      </c>
      <c r="AA286" s="20">
        <v>1.0</v>
      </c>
      <c r="AC286" s="24"/>
      <c r="AD286" s="24"/>
      <c r="AH286" s="24"/>
      <c r="AI286" s="24"/>
    </row>
    <row r="287" ht="14.25" customHeight="1">
      <c r="A287" s="46" t="s">
        <v>2709</v>
      </c>
      <c r="B287" s="20" t="s">
        <v>2710</v>
      </c>
      <c r="C287" s="20" t="s">
        <v>7041</v>
      </c>
      <c r="D287" s="24">
        <v>45658.0</v>
      </c>
      <c r="E287" s="24">
        <v>46022.0</v>
      </c>
      <c r="F287" s="20">
        <v>1.0</v>
      </c>
      <c r="G287" s="20">
        <v>1.0</v>
      </c>
      <c r="H287" s="24">
        <v>46023.0</v>
      </c>
      <c r="I287" s="24">
        <v>46387.0</v>
      </c>
      <c r="J287" s="20">
        <v>0.0</v>
      </c>
      <c r="K287" s="20">
        <v>1.0</v>
      </c>
      <c r="L287" s="24">
        <v>46388.0</v>
      </c>
      <c r="M287" s="24">
        <v>46752.0</v>
      </c>
      <c r="N287" s="20">
        <v>0.0</v>
      </c>
      <c r="O287" s="20">
        <v>1.0</v>
      </c>
      <c r="P287" s="24">
        <v>46753.0</v>
      </c>
      <c r="Q287" s="24">
        <v>47118.0</v>
      </c>
      <c r="R287" s="20">
        <v>0.0</v>
      </c>
      <c r="S287" s="20">
        <v>1.0</v>
      </c>
      <c r="T287" s="24">
        <v>47119.0</v>
      </c>
      <c r="U287" s="24">
        <v>47483.0</v>
      </c>
      <c r="V287" s="20">
        <v>0.0</v>
      </c>
      <c r="W287" s="20">
        <v>1.0</v>
      </c>
      <c r="X287" s="24">
        <v>47484.0</v>
      </c>
      <c r="Y287" s="24">
        <v>47848.0</v>
      </c>
      <c r="Z287" s="20">
        <v>0.0</v>
      </c>
      <c r="AA287" s="20">
        <v>1.0</v>
      </c>
      <c r="AC287" s="24"/>
      <c r="AD287" s="24"/>
      <c r="AH287" s="24"/>
      <c r="AI287" s="24"/>
    </row>
    <row r="288" ht="14.25" customHeight="1">
      <c r="A288" s="46" t="s">
        <v>2781</v>
      </c>
      <c r="B288" s="20" t="s">
        <v>2782</v>
      </c>
      <c r="C288" s="20" t="s">
        <v>7041</v>
      </c>
      <c r="D288" s="24">
        <v>45658.0</v>
      </c>
      <c r="E288" s="24">
        <v>46022.0</v>
      </c>
      <c r="F288" s="20">
        <v>1.0</v>
      </c>
      <c r="G288" s="20">
        <v>1.0</v>
      </c>
      <c r="H288" s="24">
        <v>46023.0</v>
      </c>
      <c r="I288" s="24">
        <v>46387.0</v>
      </c>
      <c r="J288" s="20">
        <v>0.0</v>
      </c>
      <c r="K288" s="20">
        <v>1.0</v>
      </c>
      <c r="L288" s="24">
        <v>46388.0</v>
      </c>
      <c r="M288" s="24">
        <v>46752.0</v>
      </c>
      <c r="N288" s="20">
        <v>0.0</v>
      </c>
      <c r="O288" s="20">
        <v>1.0</v>
      </c>
      <c r="P288" s="24">
        <v>46753.0</v>
      </c>
      <c r="Q288" s="24">
        <v>47118.0</v>
      </c>
      <c r="R288" s="20">
        <v>0.0</v>
      </c>
      <c r="S288" s="20">
        <v>1.0</v>
      </c>
      <c r="T288" s="24">
        <v>47119.0</v>
      </c>
      <c r="U288" s="24">
        <v>47483.0</v>
      </c>
      <c r="V288" s="20">
        <v>0.0</v>
      </c>
      <c r="W288" s="20">
        <v>1.0</v>
      </c>
      <c r="X288" s="24">
        <v>47484.0</v>
      </c>
      <c r="Y288" s="24">
        <v>47848.0</v>
      </c>
      <c r="Z288" s="20">
        <v>0.0</v>
      </c>
      <c r="AA288" s="20">
        <v>1.0</v>
      </c>
      <c r="AC288" s="24"/>
      <c r="AD288" s="24"/>
      <c r="AH288" s="24"/>
      <c r="AI288" s="24"/>
    </row>
    <row r="289" ht="14.25" customHeight="1">
      <c r="A289" s="46" t="s">
        <v>2948</v>
      </c>
      <c r="B289" s="20" t="s">
        <v>2949</v>
      </c>
      <c r="C289" s="20" t="s">
        <v>7041</v>
      </c>
      <c r="D289" s="24">
        <v>45658.0</v>
      </c>
      <c r="E289" s="24">
        <v>46022.0</v>
      </c>
      <c r="F289" s="20">
        <v>0.0</v>
      </c>
      <c r="G289" s="20">
        <v>1.0</v>
      </c>
      <c r="H289" s="24">
        <v>46023.0</v>
      </c>
      <c r="I289" s="24">
        <v>46387.0</v>
      </c>
      <c r="J289" s="20">
        <v>0.0</v>
      </c>
      <c r="K289" s="20">
        <v>1.0</v>
      </c>
      <c r="L289" s="24">
        <v>46388.0</v>
      </c>
      <c r="M289" s="24">
        <v>46752.0</v>
      </c>
      <c r="N289" s="20">
        <v>0.0</v>
      </c>
      <c r="O289" s="20">
        <v>1.0</v>
      </c>
      <c r="P289" s="24">
        <v>46753.0</v>
      </c>
      <c r="Q289" s="24">
        <v>47118.0</v>
      </c>
      <c r="R289" s="20">
        <v>0.0</v>
      </c>
      <c r="S289" s="20">
        <v>1.0</v>
      </c>
      <c r="T289" s="24">
        <v>47119.0</v>
      </c>
      <c r="U289" s="24">
        <v>47483.0</v>
      </c>
      <c r="V289" s="20">
        <v>0.0</v>
      </c>
      <c r="W289" s="20">
        <v>1.0</v>
      </c>
      <c r="X289" s="24">
        <v>47484.0</v>
      </c>
      <c r="Y289" s="24">
        <v>47848.0</v>
      </c>
      <c r="Z289" s="20">
        <v>0.0</v>
      </c>
      <c r="AA289" s="20">
        <v>1.0</v>
      </c>
      <c r="AC289" s="24"/>
      <c r="AD289" s="24"/>
      <c r="AH289" s="24"/>
      <c r="AI289" s="24"/>
    </row>
    <row r="290" ht="14.25" customHeight="1">
      <c r="A290" s="46" t="s">
        <v>2957</v>
      </c>
      <c r="B290" s="20" t="s">
        <v>2958</v>
      </c>
      <c r="C290" s="20" t="s">
        <v>7041</v>
      </c>
      <c r="D290" s="24">
        <v>45658.0</v>
      </c>
      <c r="E290" s="24">
        <v>46022.0</v>
      </c>
      <c r="F290" s="20">
        <v>1.0</v>
      </c>
      <c r="G290" s="20">
        <v>1.0</v>
      </c>
      <c r="H290" s="24">
        <v>46023.0</v>
      </c>
      <c r="I290" s="24">
        <v>46387.0</v>
      </c>
      <c r="J290" s="20">
        <v>0.0</v>
      </c>
      <c r="K290" s="20">
        <v>1.0</v>
      </c>
      <c r="L290" s="24">
        <v>46388.0</v>
      </c>
      <c r="M290" s="24">
        <v>46752.0</v>
      </c>
      <c r="N290" s="20">
        <v>0.0</v>
      </c>
      <c r="O290" s="20">
        <v>1.0</v>
      </c>
      <c r="P290" s="24">
        <v>46753.0</v>
      </c>
      <c r="Q290" s="24">
        <v>47118.0</v>
      </c>
      <c r="R290" s="20">
        <v>0.0</v>
      </c>
      <c r="S290" s="20">
        <v>1.0</v>
      </c>
      <c r="T290" s="24">
        <v>47119.0</v>
      </c>
      <c r="U290" s="24">
        <v>47483.0</v>
      </c>
      <c r="V290" s="20">
        <v>0.0</v>
      </c>
      <c r="W290" s="20">
        <v>1.0</v>
      </c>
      <c r="X290" s="24">
        <v>47484.0</v>
      </c>
      <c r="Y290" s="24">
        <v>47848.0</v>
      </c>
      <c r="Z290" s="20">
        <v>0.0</v>
      </c>
      <c r="AA290" s="20">
        <v>1.0</v>
      </c>
      <c r="AC290" s="24"/>
      <c r="AD290" s="24"/>
      <c r="AH290" s="24"/>
      <c r="AI290" s="24"/>
    </row>
    <row r="291" ht="14.25" customHeight="1">
      <c r="A291" s="46" t="s">
        <v>3189</v>
      </c>
      <c r="B291" s="20" t="s">
        <v>3190</v>
      </c>
      <c r="C291" s="20" t="s">
        <v>7041</v>
      </c>
      <c r="D291" s="24">
        <v>45658.0</v>
      </c>
      <c r="E291" s="24">
        <v>46022.0</v>
      </c>
      <c r="F291" s="20">
        <v>0.0</v>
      </c>
      <c r="G291" s="20">
        <v>1.0</v>
      </c>
      <c r="H291" s="24">
        <v>46023.0</v>
      </c>
      <c r="I291" s="24">
        <v>46387.0</v>
      </c>
      <c r="J291" s="20">
        <v>0.0</v>
      </c>
      <c r="K291" s="20">
        <v>1.0</v>
      </c>
      <c r="L291" s="24">
        <v>46388.0</v>
      </c>
      <c r="M291" s="24">
        <v>46752.0</v>
      </c>
      <c r="N291" s="20">
        <v>0.0</v>
      </c>
      <c r="O291" s="20">
        <v>1.0</v>
      </c>
      <c r="P291" s="24">
        <v>46753.0</v>
      </c>
      <c r="Q291" s="24">
        <v>47118.0</v>
      </c>
      <c r="R291" s="20">
        <v>0.0</v>
      </c>
      <c r="S291" s="20">
        <v>1.0</v>
      </c>
      <c r="T291" s="24">
        <v>47119.0</v>
      </c>
      <c r="U291" s="24">
        <v>47483.0</v>
      </c>
      <c r="V291" s="20">
        <v>0.0</v>
      </c>
      <c r="W291" s="20">
        <v>1.0</v>
      </c>
      <c r="X291" s="24">
        <v>47484.0</v>
      </c>
      <c r="Y291" s="24">
        <v>47848.0</v>
      </c>
      <c r="Z291" s="20">
        <v>0.0</v>
      </c>
      <c r="AA291" s="20">
        <v>1.0</v>
      </c>
      <c r="AC291" s="24"/>
      <c r="AD291" s="24"/>
      <c r="AH291" s="24"/>
      <c r="AI291" s="24"/>
    </row>
    <row r="292" ht="14.25" customHeight="1">
      <c r="A292" s="46" t="s">
        <v>3291</v>
      </c>
      <c r="B292" s="20" t="s">
        <v>3292</v>
      </c>
      <c r="C292" s="20" t="s">
        <v>7041</v>
      </c>
      <c r="D292" s="24">
        <v>45658.0</v>
      </c>
      <c r="E292" s="24">
        <v>46022.0</v>
      </c>
      <c r="F292" s="20">
        <v>0.0</v>
      </c>
      <c r="G292" s="20">
        <v>1.0</v>
      </c>
      <c r="H292" s="24">
        <v>46023.0</v>
      </c>
      <c r="I292" s="24">
        <v>46387.0</v>
      </c>
      <c r="J292" s="20">
        <v>0.0</v>
      </c>
      <c r="K292" s="20">
        <v>1.0</v>
      </c>
      <c r="L292" s="24">
        <v>46388.0</v>
      </c>
      <c r="M292" s="24">
        <v>46752.0</v>
      </c>
      <c r="N292" s="20">
        <v>0.0</v>
      </c>
      <c r="O292" s="20">
        <v>1.0</v>
      </c>
      <c r="P292" s="24">
        <v>46753.0</v>
      </c>
      <c r="Q292" s="24">
        <v>47118.0</v>
      </c>
      <c r="R292" s="20">
        <v>0.0</v>
      </c>
      <c r="S292" s="20">
        <v>1.0</v>
      </c>
      <c r="T292" s="24">
        <v>47119.0</v>
      </c>
      <c r="U292" s="24">
        <v>47483.0</v>
      </c>
      <c r="V292" s="20">
        <v>0.0</v>
      </c>
      <c r="W292" s="20">
        <v>1.0</v>
      </c>
      <c r="X292" s="24">
        <v>47484.0</v>
      </c>
      <c r="Y292" s="24">
        <v>47848.0</v>
      </c>
      <c r="Z292" s="20">
        <v>0.0</v>
      </c>
      <c r="AA292" s="20">
        <v>1.0</v>
      </c>
      <c r="AC292" s="24"/>
      <c r="AD292" s="24"/>
      <c r="AH292" s="24"/>
      <c r="AI292" s="24"/>
    </row>
    <row r="293" ht="14.25" customHeight="1">
      <c r="A293" s="46" t="s">
        <v>3326</v>
      </c>
      <c r="B293" s="20" t="s">
        <v>3327</v>
      </c>
      <c r="C293" s="20" t="s">
        <v>7041</v>
      </c>
      <c r="D293" s="24">
        <v>45658.0</v>
      </c>
      <c r="E293" s="24">
        <v>46022.0</v>
      </c>
      <c r="F293" s="20">
        <v>0.0</v>
      </c>
      <c r="G293" s="20">
        <v>1.0</v>
      </c>
      <c r="H293" s="24">
        <v>46023.0</v>
      </c>
      <c r="I293" s="24">
        <v>46387.0</v>
      </c>
      <c r="J293" s="20">
        <v>0.0</v>
      </c>
      <c r="K293" s="20">
        <v>1.0</v>
      </c>
      <c r="L293" s="24">
        <v>46388.0</v>
      </c>
      <c r="M293" s="24">
        <v>46752.0</v>
      </c>
      <c r="N293" s="20">
        <v>0.0</v>
      </c>
      <c r="O293" s="20">
        <v>1.0</v>
      </c>
      <c r="P293" s="24">
        <v>46753.0</v>
      </c>
      <c r="Q293" s="24">
        <v>47118.0</v>
      </c>
      <c r="R293" s="20">
        <v>0.0</v>
      </c>
      <c r="S293" s="20">
        <v>1.0</v>
      </c>
      <c r="T293" s="24">
        <v>47119.0</v>
      </c>
      <c r="U293" s="24">
        <v>47483.0</v>
      </c>
      <c r="V293" s="20">
        <v>0.0</v>
      </c>
      <c r="W293" s="20">
        <v>1.0</v>
      </c>
      <c r="X293" s="24">
        <v>47484.0</v>
      </c>
      <c r="Y293" s="24">
        <v>47848.0</v>
      </c>
      <c r="Z293" s="20">
        <v>0.0</v>
      </c>
      <c r="AA293" s="20">
        <v>1.0</v>
      </c>
      <c r="AC293" s="24"/>
      <c r="AD293" s="24"/>
      <c r="AH293" s="24"/>
      <c r="AI293" s="24"/>
    </row>
    <row r="294" ht="14.25" customHeight="1">
      <c r="A294" s="46" t="s">
        <v>3396</v>
      </c>
      <c r="B294" s="20" t="s">
        <v>3397</v>
      </c>
      <c r="C294" s="20" t="s">
        <v>7041</v>
      </c>
      <c r="D294" s="24">
        <v>45658.0</v>
      </c>
      <c r="E294" s="24">
        <v>46022.0</v>
      </c>
      <c r="F294" s="20">
        <v>0.0</v>
      </c>
      <c r="G294" s="20">
        <v>1.0</v>
      </c>
      <c r="H294" s="24">
        <v>46023.0</v>
      </c>
      <c r="I294" s="24">
        <v>46387.0</v>
      </c>
      <c r="J294" s="20">
        <v>0.0</v>
      </c>
      <c r="K294" s="20">
        <v>1.0</v>
      </c>
      <c r="L294" s="24">
        <v>46388.0</v>
      </c>
      <c r="M294" s="24">
        <v>46752.0</v>
      </c>
      <c r="N294" s="20">
        <v>0.0</v>
      </c>
      <c r="O294" s="20">
        <v>1.0</v>
      </c>
      <c r="P294" s="24">
        <v>46753.0</v>
      </c>
      <c r="Q294" s="24">
        <v>47118.0</v>
      </c>
      <c r="R294" s="20">
        <v>0.0</v>
      </c>
      <c r="S294" s="20">
        <v>1.0</v>
      </c>
      <c r="T294" s="24">
        <v>47119.0</v>
      </c>
      <c r="U294" s="24">
        <v>47483.0</v>
      </c>
      <c r="V294" s="20">
        <v>0.0</v>
      </c>
      <c r="W294" s="20">
        <v>1.0</v>
      </c>
      <c r="X294" s="24">
        <v>47484.0</v>
      </c>
      <c r="Y294" s="24">
        <v>47848.0</v>
      </c>
      <c r="Z294" s="20">
        <v>0.0</v>
      </c>
      <c r="AA294" s="20">
        <v>1.0</v>
      </c>
      <c r="AC294" s="24"/>
      <c r="AD294" s="24"/>
      <c r="AH294" s="24"/>
      <c r="AI294" s="24"/>
    </row>
    <row r="295" ht="14.25" customHeight="1">
      <c r="A295" s="46" t="s">
        <v>3403</v>
      </c>
      <c r="B295" s="20" t="s">
        <v>3404</v>
      </c>
      <c r="C295" s="20" t="s">
        <v>7041</v>
      </c>
      <c r="D295" s="24">
        <v>45658.0</v>
      </c>
      <c r="E295" s="24">
        <v>46022.0</v>
      </c>
      <c r="F295" s="20">
        <v>0.0</v>
      </c>
      <c r="G295" s="20">
        <v>1.0</v>
      </c>
      <c r="H295" s="24">
        <v>46023.0</v>
      </c>
      <c r="I295" s="24">
        <v>46387.0</v>
      </c>
      <c r="J295" s="20">
        <v>0.0</v>
      </c>
      <c r="K295" s="20">
        <v>1.0</v>
      </c>
      <c r="L295" s="24">
        <v>46388.0</v>
      </c>
      <c r="M295" s="24">
        <v>46752.0</v>
      </c>
      <c r="N295" s="20">
        <v>0.0</v>
      </c>
      <c r="O295" s="20">
        <v>1.0</v>
      </c>
      <c r="P295" s="24">
        <v>46753.0</v>
      </c>
      <c r="Q295" s="24">
        <v>47118.0</v>
      </c>
      <c r="R295" s="20">
        <v>0.0</v>
      </c>
      <c r="S295" s="20">
        <v>1.0</v>
      </c>
      <c r="T295" s="24">
        <v>47119.0</v>
      </c>
      <c r="U295" s="24">
        <v>47483.0</v>
      </c>
      <c r="V295" s="20">
        <v>0.0</v>
      </c>
      <c r="W295" s="20">
        <v>1.0</v>
      </c>
      <c r="X295" s="24">
        <v>47484.0</v>
      </c>
      <c r="Y295" s="24">
        <v>47848.0</v>
      </c>
      <c r="Z295" s="20">
        <v>0.0</v>
      </c>
      <c r="AA295" s="20">
        <v>1.0</v>
      </c>
      <c r="AC295" s="24"/>
      <c r="AD295" s="24"/>
      <c r="AH295" s="24"/>
      <c r="AI295" s="24"/>
    </row>
    <row r="296" ht="14.25" customHeight="1">
      <c r="A296" s="46" t="s">
        <v>3469</v>
      </c>
      <c r="B296" s="20" t="s">
        <v>3470</v>
      </c>
      <c r="C296" s="20" t="s">
        <v>7041</v>
      </c>
      <c r="D296" s="24">
        <v>45658.0</v>
      </c>
      <c r="E296" s="24">
        <v>46022.0</v>
      </c>
      <c r="F296" s="20">
        <v>0.0</v>
      </c>
      <c r="G296" s="20">
        <v>1.0</v>
      </c>
      <c r="H296" s="24">
        <v>46023.0</v>
      </c>
      <c r="I296" s="24">
        <v>46387.0</v>
      </c>
      <c r="J296" s="20">
        <v>0.0</v>
      </c>
      <c r="K296" s="20">
        <v>1.0</v>
      </c>
      <c r="L296" s="24">
        <v>46388.0</v>
      </c>
      <c r="M296" s="24">
        <v>46752.0</v>
      </c>
      <c r="N296" s="20">
        <v>0.0</v>
      </c>
      <c r="O296" s="20">
        <v>1.0</v>
      </c>
      <c r="P296" s="24">
        <v>46753.0</v>
      </c>
      <c r="Q296" s="24">
        <v>47118.0</v>
      </c>
      <c r="R296" s="20">
        <v>0.0</v>
      </c>
      <c r="S296" s="20">
        <v>1.0</v>
      </c>
      <c r="T296" s="24">
        <v>47119.0</v>
      </c>
      <c r="U296" s="24">
        <v>47483.0</v>
      </c>
      <c r="V296" s="20">
        <v>0.0</v>
      </c>
      <c r="W296" s="20">
        <v>1.0</v>
      </c>
      <c r="X296" s="24">
        <v>47484.0</v>
      </c>
      <c r="Y296" s="24">
        <v>47848.0</v>
      </c>
      <c r="Z296" s="20">
        <v>0.0</v>
      </c>
      <c r="AA296" s="20">
        <v>1.0</v>
      </c>
      <c r="AC296" s="24"/>
      <c r="AD296" s="24"/>
      <c r="AH296" s="24"/>
      <c r="AI296" s="24"/>
    </row>
    <row r="297" ht="14.25" customHeight="1">
      <c r="A297" s="46" t="s">
        <v>3543</v>
      </c>
      <c r="B297" s="20" t="s">
        <v>3544</v>
      </c>
      <c r="C297" s="20" t="s">
        <v>7041</v>
      </c>
      <c r="D297" s="24">
        <v>45658.0</v>
      </c>
      <c r="E297" s="24">
        <v>46022.0</v>
      </c>
      <c r="F297" s="20">
        <v>0.0</v>
      </c>
      <c r="G297" s="20">
        <v>1.0</v>
      </c>
      <c r="H297" s="24">
        <v>46023.0</v>
      </c>
      <c r="I297" s="24">
        <v>46387.0</v>
      </c>
      <c r="J297" s="20">
        <v>0.0</v>
      </c>
      <c r="K297" s="20">
        <v>1.0</v>
      </c>
      <c r="L297" s="24">
        <v>46388.0</v>
      </c>
      <c r="M297" s="24">
        <v>46752.0</v>
      </c>
      <c r="N297" s="20">
        <v>0.0</v>
      </c>
      <c r="O297" s="20">
        <v>1.0</v>
      </c>
      <c r="P297" s="24">
        <v>46753.0</v>
      </c>
      <c r="Q297" s="24">
        <v>47118.0</v>
      </c>
      <c r="R297" s="20">
        <v>0.0</v>
      </c>
      <c r="S297" s="20">
        <v>1.0</v>
      </c>
      <c r="T297" s="24">
        <v>47119.0</v>
      </c>
      <c r="U297" s="24">
        <v>47483.0</v>
      </c>
      <c r="V297" s="20">
        <v>0.0</v>
      </c>
      <c r="W297" s="20">
        <v>1.0</v>
      </c>
      <c r="X297" s="24">
        <v>47484.0</v>
      </c>
      <c r="Y297" s="24">
        <v>47848.0</v>
      </c>
      <c r="Z297" s="20">
        <v>0.0</v>
      </c>
      <c r="AA297" s="20">
        <v>1.0</v>
      </c>
      <c r="AC297" s="24"/>
      <c r="AD297" s="24"/>
      <c r="AH297" s="24"/>
      <c r="AI297" s="24"/>
    </row>
    <row r="298" ht="14.25" customHeight="1">
      <c r="A298" s="46" t="s">
        <v>3555</v>
      </c>
      <c r="B298" s="20" t="s">
        <v>3556</v>
      </c>
      <c r="C298" s="20" t="s">
        <v>7041</v>
      </c>
      <c r="D298" s="24">
        <v>45658.0</v>
      </c>
      <c r="E298" s="24">
        <v>46022.0</v>
      </c>
      <c r="F298" s="20">
        <v>0.0</v>
      </c>
      <c r="G298" s="20">
        <v>1.0</v>
      </c>
      <c r="H298" s="24">
        <v>46023.0</v>
      </c>
      <c r="I298" s="24">
        <v>46387.0</v>
      </c>
      <c r="J298" s="20">
        <v>0.0</v>
      </c>
      <c r="K298" s="20">
        <v>1.0</v>
      </c>
      <c r="L298" s="24">
        <v>46388.0</v>
      </c>
      <c r="M298" s="24">
        <v>46752.0</v>
      </c>
      <c r="N298" s="20">
        <v>0.0</v>
      </c>
      <c r="O298" s="20">
        <v>1.0</v>
      </c>
      <c r="P298" s="24">
        <v>46753.0</v>
      </c>
      <c r="Q298" s="24">
        <v>47118.0</v>
      </c>
      <c r="R298" s="20">
        <v>0.0</v>
      </c>
      <c r="S298" s="20">
        <v>1.0</v>
      </c>
      <c r="T298" s="24">
        <v>47119.0</v>
      </c>
      <c r="U298" s="24">
        <v>47483.0</v>
      </c>
      <c r="V298" s="20">
        <v>0.0</v>
      </c>
      <c r="W298" s="20">
        <v>1.0</v>
      </c>
      <c r="X298" s="24">
        <v>47484.0</v>
      </c>
      <c r="Y298" s="24">
        <v>47848.0</v>
      </c>
      <c r="Z298" s="20">
        <v>0.0</v>
      </c>
      <c r="AA298" s="20">
        <v>1.0</v>
      </c>
      <c r="AC298" s="24"/>
      <c r="AD298" s="24"/>
      <c r="AH298" s="24"/>
      <c r="AI298" s="24"/>
    </row>
    <row r="299" ht="14.25" customHeight="1">
      <c r="A299" s="46" t="s">
        <v>3572</v>
      </c>
      <c r="B299" s="20" t="s">
        <v>3573</v>
      </c>
      <c r="C299" s="20" t="s">
        <v>7041</v>
      </c>
      <c r="D299" s="24">
        <v>45658.0</v>
      </c>
      <c r="E299" s="24">
        <v>46022.0</v>
      </c>
      <c r="F299" s="20">
        <v>1.0</v>
      </c>
      <c r="G299" s="20">
        <v>1.0</v>
      </c>
      <c r="H299" s="24">
        <v>46023.0</v>
      </c>
      <c r="I299" s="24">
        <v>46387.0</v>
      </c>
      <c r="J299" s="20">
        <v>0.0</v>
      </c>
      <c r="K299" s="20">
        <v>1.0</v>
      </c>
      <c r="L299" s="24">
        <v>46388.0</v>
      </c>
      <c r="M299" s="24">
        <v>46752.0</v>
      </c>
      <c r="N299" s="20">
        <v>0.0</v>
      </c>
      <c r="O299" s="20">
        <v>1.0</v>
      </c>
      <c r="P299" s="24">
        <v>46753.0</v>
      </c>
      <c r="Q299" s="24">
        <v>47118.0</v>
      </c>
      <c r="R299" s="20">
        <v>0.0</v>
      </c>
      <c r="S299" s="20">
        <v>1.0</v>
      </c>
      <c r="T299" s="24">
        <v>47119.0</v>
      </c>
      <c r="U299" s="24">
        <v>47483.0</v>
      </c>
      <c r="V299" s="20">
        <v>0.0</v>
      </c>
      <c r="W299" s="20">
        <v>1.0</v>
      </c>
      <c r="X299" s="24">
        <v>47484.0</v>
      </c>
      <c r="Y299" s="24">
        <v>47848.0</v>
      </c>
      <c r="Z299" s="20">
        <v>0.0</v>
      </c>
      <c r="AA299" s="20">
        <v>1.0</v>
      </c>
      <c r="AC299" s="24"/>
      <c r="AD299" s="24"/>
      <c r="AH299" s="24"/>
      <c r="AI299" s="24"/>
    </row>
    <row r="300" ht="14.25" customHeight="1">
      <c r="A300" s="46" t="s">
        <v>3618</v>
      </c>
      <c r="B300" s="20" t="s">
        <v>3619</v>
      </c>
      <c r="C300" s="20" t="s">
        <v>7041</v>
      </c>
      <c r="D300" s="24">
        <v>45658.0</v>
      </c>
      <c r="E300" s="24">
        <v>46022.0</v>
      </c>
      <c r="F300" s="20">
        <v>0.0</v>
      </c>
      <c r="G300" s="20">
        <v>1.0</v>
      </c>
      <c r="H300" s="24">
        <v>46023.0</v>
      </c>
      <c r="I300" s="24">
        <v>46387.0</v>
      </c>
      <c r="J300" s="20">
        <v>0.0</v>
      </c>
      <c r="K300" s="20">
        <v>1.0</v>
      </c>
      <c r="L300" s="24">
        <v>46388.0</v>
      </c>
      <c r="M300" s="24">
        <v>46752.0</v>
      </c>
      <c r="N300" s="20">
        <v>0.0</v>
      </c>
      <c r="O300" s="20">
        <v>1.0</v>
      </c>
      <c r="P300" s="24">
        <v>46753.0</v>
      </c>
      <c r="Q300" s="24">
        <v>47118.0</v>
      </c>
      <c r="R300" s="20">
        <v>0.0</v>
      </c>
      <c r="S300" s="20">
        <v>1.0</v>
      </c>
      <c r="T300" s="24">
        <v>47119.0</v>
      </c>
      <c r="U300" s="24">
        <v>47483.0</v>
      </c>
      <c r="V300" s="20">
        <v>0.0</v>
      </c>
      <c r="W300" s="20">
        <v>1.0</v>
      </c>
      <c r="X300" s="24">
        <v>47484.0</v>
      </c>
      <c r="Y300" s="24">
        <v>47848.0</v>
      </c>
      <c r="Z300" s="20">
        <v>0.0</v>
      </c>
      <c r="AA300" s="20">
        <v>1.0</v>
      </c>
      <c r="AC300" s="24"/>
      <c r="AD300" s="24"/>
      <c r="AH300" s="24"/>
      <c r="AI300" s="24"/>
    </row>
    <row r="301" ht="14.25" customHeight="1">
      <c r="A301" s="46" t="s">
        <v>3637</v>
      </c>
      <c r="B301" s="20" t="s">
        <v>3638</v>
      </c>
      <c r="C301" s="20" t="s">
        <v>7041</v>
      </c>
      <c r="D301" s="24">
        <v>45658.0</v>
      </c>
      <c r="E301" s="24">
        <v>46022.0</v>
      </c>
      <c r="F301" s="20">
        <v>1.0</v>
      </c>
      <c r="G301" s="20">
        <v>1.0</v>
      </c>
      <c r="H301" s="24">
        <v>46023.0</v>
      </c>
      <c r="I301" s="24">
        <v>46387.0</v>
      </c>
      <c r="J301" s="20">
        <v>0.0</v>
      </c>
      <c r="K301" s="20">
        <v>1.0</v>
      </c>
      <c r="L301" s="24">
        <v>46388.0</v>
      </c>
      <c r="M301" s="24">
        <v>46752.0</v>
      </c>
      <c r="N301" s="20">
        <v>0.0</v>
      </c>
      <c r="O301" s="20">
        <v>1.0</v>
      </c>
      <c r="P301" s="24">
        <v>46753.0</v>
      </c>
      <c r="Q301" s="24">
        <v>47118.0</v>
      </c>
      <c r="R301" s="20">
        <v>0.0</v>
      </c>
      <c r="S301" s="20">
        <v>1.0</v>
      </c>
      <c r="T301" s="24">
        <v>47119.0</v>
      </c>
      <c r="U301" s="24">
        <v>47483.0</v>
      </c>
      <c r="V301" s="20">
        <v>0.0</v>
      </c>
      <c r="W301" s="20">
        <v>1.0</v>
      </c>
      <c r="X301" s="24">
        <v>47484.0</v>
      </c>
      <c r="Y301" s="24">
        <v>47848.0</v>
      </c>
      <c r="Z301" s="20">
        <v>0.0</v>
      </c>
      <c r="AA301" s="20">
        <v>1.0</v>
      </c>
      <c r="AC301" s="24"/>
      <c r="AD301" s="24"/>
      <c r="AH301" s="24"/>
      <c r="AI301" s="24"/>
    </row>
    <row r="302" ht="14.25" customHeight="1">
      <c r="A302" s="46" t="s">
        <v>3703</v>
      </c>
      <c r="B302" s="20" t="s">
        <v>3704</v>
      </c>
      <c r="C302" s="20" t="s">
        <v>7041</v>
      </c>
      <c r="D302" s="24">
        <v>45658.0</v>
      </c>
      <c r="E302" s="24">
        <v>46022.0</v>
      </c>
      <c r="F302" s="20">
        <v>0.0</v>
      </c>
      <c r="G302" s="20">
        <v>1.0</v>
      </c>
      <c r="H302" s="24">
        <v>46023.0</v>
      </c>
      <c r="I302" s="24">
        <v>46387.0</v>
      </c>
      <c r="J302" s="20">
        <v>0.0</v>
      </c>
      <c r="K302" s="20">
        <v>1.0</v>
      </c>
      <c r="L302" s="24">
        <v>46388.0</v>
      </c>
      <c r="M302" s="24">
        <v>46752.0</v>
      </c>
      <c r="N302" s="20">
        <v>0.0</v>
      </c>
      <c r="O302" s="20">
        <v>1.0</v>
      </c>
      <c r="P302" s="24">
        <v>46753.0</v>
      </c>
      <c r="Q302" s="24">
        <v>47118.0</v>
      </c>
      <c r="R302" s="20">
        <v>0.0</v>
      </c>
      <c r="S302" s="20">
        <v>1.0</v>
      </c>
      <c r="T302" s="24">
        <v>47119.0</v>
      </c>
      <c r="U302" s="24">
        <v>47483.0</v>
      </c>
      <c r="V302" s="20">
        <v>0.0</v>
      </c>
      <c r="W302" s="20">
        <v>1.0</v>
      </c>
      <c r="X302" s="24">
        <v>47484.0</v>
      </c>
      <c r="Y302" s="24">
        <v>47848.0</v>
      </c>
      <c r="Z302" s="20">
        <v>0.0</v>
      </c>
      <c r="AA302" s="20">
        <v>1.0</v>
      </c>
      <c r="AC302" s="24"/>
      <c r="AD302" s="24"/>
      <c r="AH302" s="24"/>
      <c r="AI302" s="24"/>
    </row>
    <row r="303" ht="14.25" customHeight="1">
      <c r="A303" s="46" t="s">
        <v>3709</v>
      </c>
      <c r="B303" s="20" t="s">
        <v>3710</v>
      </c>
      <c r="C303" s="20" t="s">
        <v>7041</v>
      </c>
      <c r="D303" s="24">
        <v>45658.0</v>
      </c>
      <c r="E303" s="24">
        <v>46022.0</v>
      </c>
      <c r="F303" s="20">
        <v>0.0</v>
      </c>
      <c r="G303" s="20">
        <v>1.0</v>
      </c>
      <c r="H303" s="24">
        <v>46023.0</v>
      </c>
      <c r="I303" s="24">
        <v>46387.0</v>
      </c>
      <c r="J303" s="20">
        <v>0.0</v>
      </c>
      <c r="K303" s="20">
        <v>1.0</v>
      </c>
      <c r="L303" s="24">
        <v>46388.0</v>
      </c>
      <c r="M303" s="24">
        <v>46752.0</v>
      </c>
      <c r="N303" s="20">
        <v>0.0</v>
      </c>
      <c r="O303" s="20">
        <v>1.0</v>
      </c>
      <c r="P303" s="24">
        <v>46753.0</v>
      </c>
      <c r="Q303" s="24">
        <v>47118.0</v>
      </c>
      <c r="R303" s="20">
        <v>0.0</v>
      </c>
      <c r="S303" s="20">
        <v>1.0</v>
      </c>
      <c r="T303" s="24">
        <v>47119.0</v>
      </c>
      <c r="U303" s="24">
        <v>47483.0</v>
      </c>
      <c r="V303" s="20">
        <v>0.0</v>
      </c>
      <c r="W303" s="20">
        <v>1.0</v>
      </c>
      <c r="X303" s="24">
        <v>47484.0</v>
      </c>
      <c r="Y303" s="24">
        <v>47848.0</v>
      </c>
      <c r="Z303" s="20">
        <v>0.0</v>
      </c>
      <c r="AA303" s="20">
        <v>1.0</v>
      </c>
      <c r="AC303" s="24"/>
      <c r="AD303" s="24"/>
      <c r="AH303" s="24"/>
      <c r="AI303" s="24"/>
    </row>
    <row r="304" ht="14.25" customHeight="1">
      <c r="A304" s="46" t="s">
        <v>3730</v>
      </c>
      <c r="B304" s="20" t="s">
        <v>3731</v>
      </c>
      <c r="C304" s="20" t="s">
        <v>7041</v>
      </c>
      <c r="D304" s="24">
        <v>45658.0</v>
      </c>
      <c r="E304" s="24">
        <v>46022.0</v>
      </c>
      <c r="F304" s="20">
        <v>1.0</v>
      </c>
      <c r="G304" s="20">
        <v>1.0</v>
      </c>
      <c r="H304" s="24">
        <v>46023.0</v>
      </c>
      <c r="I304" s="24">
        <v>46387.0</v>
      </c>
      <c r="J304" s="20">
        <v>0.0</v>
      </c>
      <c r="K304" s="20">
        <v>1.0</v>
      </c>
      <c r="L304" s="24">
        <v>46388.0</v>
      </c>
      <c r="M304" s="24">
        <v>46752.0</v>
      </c>
      <c r="N304" s="20">
        <v>0.0</v>
      </c>
      <c r="O304" s="20">
        <v>1.0</v>
      </c>
      <c r="P304" s="24">
        <v>46753.0</v>
      </c>
      <c r="Q304" s="24">
        <v>47118.0</v>
      </c>
      <c r="R304" s="20">
        <v>0.0</v>
      </c>
      <c r="S304" s="20">
        <v>1.0</v>
      </c>
      <c r="T304" s="24">
        <v>47119.0</v>
      </c>
      <c r="U304" s="24">
        <v>47483.0</v>
      </c>
      <c r="V304" s="20">
        <v>0.0</v>
      </c>
      <c r="W304" s="20">
        <v>1.0</v>
      </c>
      <c r="X304" s="24">
        <v>47484.0</v>
      </c>
      <c r="Y304" s="24">
        <v>47848.0</v>
      </c>
      <c r="Z304" s="20">
        <v>0.0</v>
      </c>
      <c r="AA304" s="20">
        <v>1.0</v>
      </c>
      <c r="AC304" s="24"/>
      <c r="AD304" s="24"/>
      <c r="AH304" s="24"/>
      <c r="AI304" s="24"/>
    </row>
    <row r="305" ht="14.25" customHeight="1">
      <c r="A305" s="46" t="s">
        <v>3733</v>
      </c>
      <c r="B305" s="20" t="s">
        <v>3734</v>
      </c>
      <c r="C305" s="20" t="s">
        <v>7041</v>
      </c>
      <c r="D305" s="24">
        <v>45658.0</v>
      </c>
      <c r="E305" s="24">
        <v>46022.0</v>
      </c>
      <c r="F305" s="20">
        <v>0.0</v>
      </c>
      <c r="G305" s="20">
        <v>1.0</v>
      </c>
      <c r="H305" s="24">
        <v>46023.0</v>
      </c>
      <c r="I305" s="24">
        <v>46387.0</v>
      </c>
      <c r="J305" s="20">
        <v>0.0</v>
      </c>
      <c r="K305" s="20">
        <v>1.0</v>
      </c>
      <c r="L305" s="24">
        <v>46388.0</v>
      </c>
      <c r="M305" s="24">
        <v>46752.0</v>
      </c>
      <c r="N305" s="20">
        <v>0.0</v>
      </c>
      <c r="O305" s="20">
        <v>1.0</v>
      </c>
      <c r="P305" s="24">
        <v>46753.0</v>
      </c>
      <c r="Q305" s="24">
        <v>47118.0</v>
      </c>
      <c r="R305" s="20">
        <v>0.0</v>
      </c>
      <c r="S305" s="20">
        <v>1.0</v>
      </c>
      <c r="T305" s="24">
        <v>47119.0</v>
      </c>
      <c r="U305" s="24">
        <v>47483.0</v>
      </c>
      <c r="V305" s="20">
        <v>0.0</v>
      </c>
      <c r="W305" s="20">
        <v>1.0</v>
      </c>
      <c r="X305" s="24">
        <v>47484.0</v>
      </c>
      <c r="Y305" s="24">
        <v>47848.0</v>
      </c>
      <c r="Z305" s="20">
        <v>0.0</v>
      </c>
      <c r="AA305" s="20">
        <v>1.0</v>
      </c>
      <c r="AC305" s="24"/>
      <c r="AD305" s="24"/>
      <c r="AH305" s="24"/>
      <c r="AI305" s="24"/>
    </row>
    <row r="306" ht="14.25" customHeight="1">
      <c r="A306" s="46" t="s">
        <v>3746</v>
      </c>
      <c r="B306" s="20" t="s">
        <v>3747</v>
      </c>
      <c r="C306" s="20" t="s">
        <v>7041</v>
      </c>
      <c r="D306" s="24">
        <v>45658.0</v>
      </c>
      <c r="E306" s="24">
        <v>46022.0</v>
      </c>
      <c r="F306" s="20">
        <v>0.0</v>
      </c>
      <c r="G306" s="20">
        <v>1.0</v>
      </c>
      <c r="H306" s="24">
        <v>46023.0</v>
      </c>
      <c r="I306" s="24">
        <v>46387.0</v>
      </c>
      <c r="J306" s="20">
        <v>0.0</v>
      </c>
      <c r="K306" s="20">
        <v>1.0</v>
      </c>
      <c r="L306" s="24">
        <v>46388.0</v>
      </c>
      <c r="M306" s="24">
        <v>46752.0</v>
      </c>
      <c r="N306" s="20">
        <v>0.0</v>
      </c>
      <c r="O306" s="20">
        <v>1.0</v>
      </c>
      <c r="P306" s="24">
        <v>46753.0</v>
      </c>
      <c r="Q306" s="24">
        <v>47118.0</v>
      </c>
      <c r="R306" s="20">
        <v>0.0</v>
      </c>
      <c r="S306" s="20">
        <v>1.0</v>
      </c>
      <c r="T306" s="24">
        <v>47119.0</v>
      </c>
      <c r="U306" s="24">
        <v>47483.0</v>
      </c>
      <c r="V306" s="20">
        <v>0.0</v>
      </c>
      <c r="W306" s="20">
        <v>1.0</v>
      </c>
      <c r="X306" s="24">
        <v>47484.0</v>
      </c>
      <c r="Y306" s="24">
        <v>47848.0</v>
      </c>
      <c r="Z306" s="20">
        <v>0.0</v>
      </c>
      <c r="AA306" s="20">
        <v>1.0</v>
      </c>
      <c r="AC306" s="24"/>
      <c r="AD306" s="24"/>
      <c r="AH306" s="24"/>
      <c r="AI306" s="24"/>
    </row>
    <row r="307" ht="14.25" customHeight="1">
      <c r="A307" s="46" t="s">
        <v>3765</v>
      </c>
      <c r="B307" s="20" t="s">
        <v>3766</v>
      </c>
      <c r="C307" s="20" t="s">
        <v>7041</v>
      </c>
      <c r="D307" s="24">
        <v>45658.0</v>
      </c>
      <c r="E307" s="24">
        <v>46022.0</v>
      </c>
      <c r="F307" s="20">
        <v>0.0</v>
      </c>
      <c r="G307" s="20">
        <v>1.0</v>
      </c>
      <c r="H307" s="24">
        <v>46023.0</v>
      </c>
      <c r="I307" s="24">
        <v>46387.0</v>
      </c>
      <c r="J307" s="20">
        <v>0.0</v>
      </c>
      <c r="K307" s="20">
        <v>1.0</v>
      </c>
      <c r="L307" s="24">
        <v>46388.0</v>
      </c>
      <c r="M307" s="24">
        <v>46752.0</v>
      </c>
      <c r="N307" s="20">
        <v>0.0</v>
      </c>
      <c r="O307" s="20">
        <v>1.0</v>
      </c>
      <c r="P307" s="24">
        <v>46753.0</v>
      </c>
      <c r="Q307" s="24">
        <v>47118.0</v>
      </c>
      <c r="R307" s="20">
        <v>0.0</v>
      </c>
      <c r="S307" s="20">
        <v>1.0</v>
      </c>
      <c r="T307" s="24">
        <v>47119.0</v>
      </c>
      <c r="U307" s="24">
        <v>47483.0</v>
      </c>
      <c r="V307" s="20">
        <v>0.0</v>
      </c>
      <c r="W307" s="20">
        <v>1.0</v>
      </c>
      <c r="X307" s="24">
        <v>47484.0</v>
      </c>
      <c r="Y307" s="24">
        <v>47848.0</v>
      </c>
      <c r="Z307" s="20">
        <v>0.0</v>
      </c>
      <c r="AA307" s="20">
        <v>1.0</v>
      </c>
      <c r="AC307" s="24"/>
      <c r="AD307" s="24"/>
      <c r="AH307" s="24"/>
      <c r="AI307" s="24"/>
    </row>
    <row r="308" ht="14.25" customHeight="1">
      <c r="A308" s="46" t="s">
        <v>3768</v>
      </c>
      <c r="B308" s="20" t="s">
        <v>3769</v>
      </c>
      <c r="C308" s="20" t="s">
        <v>7041</v>
      </c>
      <c r="D308" s="24">
        <v>45658.0</v>
      </c>
      <c r="E308" s="24">
        <v>46022.0</v>
      </c>
      <c r="F308" s="20">
        <v>1.0</v>
      </c>
      <c r="G308" s="20">
        <v>1.0</v>
      </c>
      <c r="H308" s="24">
        <v>46023.0</v>
      </c>
      <c r="I308" s="24">
        <v>46387.0</v>
      </c>
      <c r="J308" s="20">
        <v>0.0</v>
      </c>
      <c r="K308" s="20">
        <v>1.0</v>
      </c>
      <c r="L308" s="24">
        <v>46388.0</v>
      </c>
      <c r="M308" s="24">
        <v>46752.0</v>
      </c>
      <c r="N308" s="20">
        <v>0.0</v>
      </c>
      <c r="O308" s="20">
        <v>1.0</v>
      </c>
      <c r="P308" s="24">
        <v>46753.0</v>
      </c>
      <c r="Q308" s="24">
        <v>47118.0</v>
      </c>
      <c r="R308" s="20">
        <v>0.0</v>
      </c>
      <c r="S308" s="20">
        <v>1.0</v>
      </c>
      <c r="T308" s="24">
        <v>47119.0</v>
      </c>
      <c r="U308" s="24">
        <v>47483.0</v>
      </c>
      <c r="V308" s="20">
        <v>0.0</v>
      </c>
      <c r="W308" s="20">
        <v>1.0</v>
      </c>
      <c r="X308" s="24">
        <v>47484.0</v>
      </c>
      <c r="Y308" s="24">
        <v>47848.0</v>
      </c>
      <c r="Z308" s="20">
        <v>0.0</v>
      </c>
      <c r="AA308" s="20">
        <v>1.0</v>
      </c>
      <c r="AC308" s="24"/>
      <c r="AD308" s="24"/>
      <c r="AH308" s="24"/>
      <c r="AI308" s="24"/>
    </row>
    <row r="309" ht="14.25" customHeight="1">
      <c r="A309" s="46" t="s">
        <v>3890</v>
      </c>
      <c r="B309" s="20" t="s">
        <v>3891</v>
      </c>
      <c r="C309" s="20" t="s">
        <v>7041</v>
      </c>
      <c r="D309" s="24">
        <v>45658.0</v>
      </c>
      <c r="E309" s="24">
        <v>46022.0</v>
      </c>
      <c r="F309" s="20">
        <v>1.0</v>
      </c>
      <c r="G309" s="20">
        <v>1.0</v>
      </c>
      <c r="H309" s="24">
        <v>46023.0</v>
      </c>
      <c r="I309" s="24">
        <v>46387.0</v>
      </c>
      <c r="J309" s="20">
        <v>0.0</v>
      </c>
      <c r="K309" s="20">
        <v>1.0</v>
      </c>
      <c r="L309" s="24">
        <v>46388.0</v>
      </c>
      <c r="M309" s="24">
        <v>46752.0</v>
      </c>
      <c r="N309" s="20">
        <v>0.0</v>
      </c>
      <c r="O309" s="20">
        <v>1.0</v>
      </c>
      <c r="P309" s="24">
        <v>46753.0</v>
      </c>
      <c r="Q309" s="24">
        <v>47118.0</v>
      </c>
      <c r="R309" s="20">
        <v>0.0</v>
      </c>
      <c r="S309" s="20">
        <v>1.0</v>
      </c>
      <c r="T309" s="24">
        <v>47119.0</v>
      </c>
      <c r="U309" s="24">
        <v>47483.0</v>
      </c>
      <c r="V309" s="20">
        <v>0.0</v>
      </c>
      <c r="W309" s="20">
        <v>1.0</v>
      </c>
      <c r="X309" s="24">
        <v>47484.0</v>
      </c>
      <c r="Y309" s="24">
        <v>47848.0</v>
      </c>
      <c r="Z309" s="20">
        <v>0.0</v>
      </c>
      <c r="AA309" s="20">
        <v>1.0</v>
      </c>
      <c r="AC309" s="24"/>
      <c r="AD309" s="24"/>
      <c r="AH309" s="24"/>
      <c r="AI309" s="24"/>
    </row>
    <row r="310" ht="14.25" customHeight="1">
      <c r="A310" s="46" t="s">
        <v>3920</v>
      </c>
      <c r="B310" s="20" t="s">
        <v>3921</v>
      </c>
      <c r="C310" s="20" t="s">
        <v>7041</v>
      </c>
      <c r="D310" s="24">
        <v>45658.0</v>
      </c>
      <c r="E310" s="24">
        <v>46022.0</v>
      </c>
      <c r="F310" s="20">
        <v>0.0</v>
      </c>
      <c r="G310" s="20">
        <v>1.0</v>
      </c>
      <c r="H310" s="24">
        <v>46023.0</v>
      </c>
      <c r="I310" s="24">
        <v>46387.0</v>
      </c>
      <c r="J310" s="20">
        <v>0.0</v>
      </c>
      <c r="K310" s="20">
        <v>1.0</v>
      </c>
      <c r="L310" s="24">
        <v>46388.0</v>
      </c>
      <c r="M310" s="24">
        <v>46752.0</v>
      </c>
      <c r="N310" s="20">
        <v>0.0</v>
      </c>
      <c r="O310" s="20">
        <v>1.0</v>
      </c>
      <c r="P310" s="24">
        <v>46753.0</v>
      </c>
      <c r="Q310" s="24">
        <v>47118.0</v>
      </c>
      <c r="R310" s="20">
        <v>0.0</v>
      </c>
      <c r="S310" s="20">
        <v>1.0</v>
      </c>
      <c r="T310" s="24">
        <v>47119.0</v>
      </c>
      <c r="U310" s="24">
        <v>47483.0</v>
      </c>
      <c r="V310" s="20">
        <v>0.0</v>
      </c>
      <c r="W310" s="20">
        <v>1.0</v>
      </c>
      <c r="X310" s="24">
        <v>47484.0</v>
      </c>
      <c r="Y310" s="24">
        <v>47848.0</v>
      </c>
      <c r="Z310" s="20">
        <v>0.0</v>
      </c>
      <c r="AA310" s="20">
        <v>1.0</v>
      </c>
      <c r="AC310" s="24"/>
      <c r="AD310" s="24"/>
      <c r="AH310" s="24"/>
      <c r="AI310" s="24"/>
    </row>
    <row r="311" ht="14.25" customHeight="1">
      <c r="A311" s="46" t="s">
        <v>4045</v>
      </c>
      <c r="B311" s="20" t="s">
        <v>4046</v>
      </c>
      <c r="C311" s="20" t="s">
        <v>7041</v>
      </c>
      <c r="D311" s="24">
        <v>45658.0</v>
      </c>
      <c r="E311" s="24">
        <v>46022.0</v>
      </c>
      <c r="F311" s="20">
        <v>0.0</v>
      </c>
      <c r="G311" s="20">
        <v>1.0</v>
      </c>
      <c r="H311" s="24">
        <v>46023.0</v>
      </c>
      <c r="I311" s="24">
        <v>46387.0</v>
      </c>
      <c r="J311" s="20">
        <v>0.0</v>
      </c>
      <c r="K311" s="20">
        <v>1.0</v>
      </c>
      <c r="L311" s="24">
        <v>46388.0</v>
      </c>
      <c r="M311" s="24">
        <v>46752.0</v>
      </c>
      <c r="N311" s="20">
        <v>0.0</v>
      </c>
      <c r="O311" s="20">
        <v>1.0</v>
      </c>
      <c r="P311" s="24">
        <v>46753.0</v>
      </c>
      <c r="Q311" s="24">
        <v>47118.0</v>
      </c>
      <c r="R311" s="20">
        <v>0.0</v>
      </c>
      <c r="S311" s="20">
        <v>1.0</v>
      </c>
      <c r="T311" s="24">
        <v>47119.0</v>
      </c>
      <c r="U311" s="24">
        <v>47483.0</v>
      </c>
      <c r="V311" s="20">
        <v>0.0</v>
      </c>
      <c r="W311" s="20">
        <v>1.0</v>
      </c>
      <c r="X311" s="24">
        <v>47484.0</v>
      </c>
      <c r="Y311" s="24">
        <v>47848.0</v>
      </c>
      <c r="Z311" s="20">
        <v>0.0</v>
      </c>
      <c r="AA311" s="20">
        <v>1.0</v>
      </c>
      <c r="AC311" s="24"/>
      <c r="AD311" s="24"/>
      <c r="AH311" s="24"/>
      <c r="AI311" s="24"/>
    </row>
    <row r="312" ht="14.25" customHeight="1">
      <c r="A312" s="46" t="s">
        <v>3979</v>
      </c>
      <c r="B312" s="20" t="s">
        <v>3980</v>
      </c>
      <c r="C312" s="20" t="s">
        <v>7041</v>
      </c>
      <c r="D312" s="24">
        <v>45658.0</v>
      </c>
      <c r="E312" s="24">
        <v>46022.0</v>
      </c>
      <c r="F312" s="20">
        <v>0.0</v>
      </c>
      <c r="G312" s="20">
        <v>1.0</v>
      </c>
      <c r="H312" s="24">
        <v>46023.0</v>
      </c>
      <c r="I312" s="24">
        <v>46387.0</v>
      </c>
      <c r="J312" s="20">
        <v>0.0</v>
      </c>
      <c r="K312" s="20">
        <v>1.0</v>
      </c>
      <c r="L312" s="24">
        <v>46388.0</v>
      </c>
      <c r="M312" s="24">
        <v>46752.0</v>
      </c>
      <c r="N312" s="20">
        <v>0.0</v>
      </c>
      <c r="O312" s="20">
        <v>1.0</v>
      </c>
      <c r="P312" s="24">
        <v>46753.0</v>
      </c>
      <c r="Q312" s="24">
        <v>47118.0</v>
      </c>
      <c r="R312" s="20">
        <v>0.0</v>
      </c>
      <c r="S312" s="20">
        <v>1.0</v>
      </c>
      <c r="T312" s="24">
        <v>47119.0</v>
      </c>
      <c r="U312" s="24">
        <v>47483.0</v>
      </c>
      <c r="V312" s="20">
        <v>0.0</v>
      </c>
      <c r="W312" s="20">
        <v>1.0</v>
      </c>
      <c r="X312" s="24">
        <v>47484.0</v>
      </c>
      <c r="Y312" s="24">
        <v>47848.0</v>
      </c>
      <c r="Z312" s="20">
        <v>0.0</v>
      </c>
      <c r="AA312" s="20">
        <v>1.0</v>
      </c>
      <c r="AC312" s="24"/>
      <c r="AD312" s="24"/>
      <c r="AH312" s="24"/>
      <c r="AI312" s="24"/>
    </row>
    <row r="313" ht="14.25" customHeight="1">
      <c r="A313" s="46" t="s">
        <v>4019</v>
      </c>
      <c r="B313" s="20" t="s">
        <v>4020</v>
      </c>
      <c r="C313" s="20" t="s">
        <v>7041</v>
      </c>
      <c r="D313" s="24">
        <v>45658.0</v>
      </c>
      <c r="E313" s="24">
        <v>46022.0</v>
      </c>
      <c r="F313" s="20">
        <v>1.0</v>
      </c>
      <c r="G313" s="20">
        <v>1.0</v>
      </c>
      <c r="H313" s="24">
        <v>46023.0</v>
      </c>
      <c r="I313" s="24">
        <v>46387.0</v>
      </c>
      <c r="J313" s="20">
        <v>0.0</v>
      </c>
      <c r="K313" s="20">
        <v>1.0</v>
      </c>
      <c r="L313" s="24">
        <v>46388.0</v>
      </c>
      <c r="M313" s="24">
        <v>46752.0</v>
      </c>
      <c r="N313" s="20">
        <v>0.0</v>
      </c>
      <c r="O313" s="20">
        <v>1.0</v>
      </c>
      <c r="P313" s="24">
        <v>46753.0</v>
      </c>
      <c r="Q313" s="24">
        <v>47118.0</v>
      </c>
      <c r="R313" s="20">
        <v>0.0</v>
      </c>
      <c r="S313" s="20">
        <v>1.0</v>
      </c>
      <c r="T313" s="24">
        <v>47119.0</v>
      </c>
      <c r="U313" s="24">
        <v>47483.0</v>
      </c>
      <c r="V313" s="20">
        <v>0.0</v>
      </c>
      <c r="W313" s="20">
        <v>1.0</v>
      </c>
      <c r="X313" s="24">
        <v>47484.0</v>
      </c>
      <c r="Y313" s="24">
        <v>47848.0</v>
      </c>
      <c r="Z313" s="20">
        <v>0.0</v>
      </c>
      <c r="AA313" s="20">
        <v>1.0</v>
      </c>
      <c r="AC313" s="24"/>
      <c r="AD313" s="24"/>
      <c r="AH313" s="24"/>
      <c r="AI313" s="24"/>
    </row>
    <row r="314" ht="14.25" customHeight="1">
      <c r="A314" s="46" t="s">
        <v>4101</v>
      </c>
      <c r="B314" s="20" t="s">
        <v>4102</v>
      </c>
      <c r="C314" s="20" t="s">
        <v>7041</v>
      </c>
      <c r="D314" s="24">
        <v>45658.0</v>
      </c>
      <c r="E314" s="24">
        <v>46022.0</v>
      </c>
      <c r="F314" s="20">
        <v>0.0</v>
      </c>
      <c r="G314" s="20">
        <v>1.0</v>
      </c>
      <c r="H314" s="24">
        <v>46023.0</v>
      </c>
      <c r="I314" s="24">
        <v>46387.0</v>
      </c>
      <c r="J314" s="20">
        <v>0.0</v>
      </c>
      <c r="K314" s="20">
        <v>1.0</v>
      </c>
      <c r="L314" s="24">
        <v>46388.0</v>
      </c>
      <c r="M314" s="24">
        <v>46752.0</v>
      </c>
      <c r="N314" s="20">
        <v>0.0</v>
      </c>
      <c r="O314" s="20">
        <v>1.0</v>
      </c>
      <c r="P314" s="24">
        <v>46753.0</v>
      </c>
      <c r="Q314" s="24">
        <v>47118.0</v>
      </c>
      <c r="R314" s="20">
        <v>0.0</v>
      </c>
      <c r="S314" s="20">
        <v>1.0</v>
      </c>
      <c r="T314" s="24">
        <v>47119.0</v>
      </c>
      <c r="U314" s="24">
        <v>47483.0</v>
      </c>
      <c r="V314" s="20">
        <v>0.0</v>
      </c>
      <c r="W314" s="20">
        <v>1.0</v>
      </c>
      <c r="X314" s="24">
        <v>47484.0</v>
      </c>
      <c r="Y314" s="24">
        <v>47848.0</v>
      </c>
      <c r="Z314" s="20">
        <v>0.0</v>
      </c>
      <c r="AA314" s="20">
        <v>1.0</v>
      </c>
      <c r="AC314" s="24"/>
      <c r="AD314" s="24"/>
      <c r="AH314" s="24"/>
      <c r="AI314" s="24"/>
    </row>
    <row r="315" ht="14.25" customHeight="1">
      <c r="A315" s="46" t="s">
        <v>4184</v>
      </c>
      <c r="B315" s="20" t="s">
        <v>4185</v>
      </c>
      <c r="C315" s="20" t="s">
        <v>7041</v>
      </c>
      <c r="D315" s="24">
        <v>45658.0</v>
      </c>
      <c r="E315" s="24">
        <v>46022.0</v>
      </c>
      <c r="F315" s="20">
        <v>0.0</v>
      </c>
      <c r="G315" s="20">
        <v>1.0</v>
      </c>
      <c r="H315" s="24">
        <v>46023.0</v>
      </c>
      <c r="I315" s="24">
        <v>46387.0</v>
      </c>
      <c r="J315" s="20">
        <v>0.0</v>
      </c>
      <c r="K315" s="20">
        <v>1.0</v>
      </c>
      <c r="L315" s="24">
        <v>46388.0</v>
      </c>
      <c r="M315" s="24">
        <v>46752.0</v>
      </c>
      <c r="N315" s="20">
        <v>0.0</v>
      </c>
      <c r="O315" s="20">
        <v>1.0</v>
      </c>
      <c r="P315" s="24">
        <v>46753.0</v>
      </c>
      <c r="Q315" s="24">
        <v>47118.0</v>
      </c>
      <c r="R315" s="20">
        <v>0.0</v>
      </c>
      <c r="S315" s="20">
        <v>1.0</v>
      </c>
      <c r="T315" s="24">
        <v>47119.0</v>
      </c>
      <c r="U315" s="24">
        <v>47483.0</v>
      </c>
      <c r="V315" s="20">
        <v>0.0</v>
      </c>
      <c r="W315" s="20">
        <v>1.0</v>
      </c>
      <c r="X315" s="24">
        <v>47484.0</v>
      </c>
      <c r="Y315" s="24">
        <v>47848.0</v>
      </c>
      <c r="Z315" s="20">
        <v>0.0</v>
      </c>
      <c r="AA315" s="20">
        <v>1.0</v>
      </c>
      <c r="AC315" s="24"/>
      <c r="AD315" s="24"/>
      <c r="AH315" s="24"/>
      <c r="AI315" s="24"/>
    </row>
    <row r="316" ht="14.25" customHeight="1">
      <c r="A316" s="46" t="s">
        <v>4201</v>
      </c>
      <c r="B316" s="20" t="s">
        <v>4202</v>
      </c>
      <c r="C316" s="20" t="s">
        <v>7041</v>
      </c>
      <c r="D316" s="24">
        <v>45658.0</v>
      </c>
      <c r="E316" s="24">
        <v>46022.0</v>
      </c>
      <c r="F316" s="20">
        <v>0.0</v>
      </c>
      <c r="G316" s="20">
        <v>1.0</v>
      </c>
      <c r="H316" s="24">
        <v>46023.0</v>
      </c>
      <c r="I316" s="24">
        <v>46387.0</v>
      </c>
      <c r="J316" s="20">
        <v>0.0</v>
      </c>
      <c r="K316" s="20">
        <v>1.0</v>
      </c>
      <c r="L316" s="24">
        <v>46388.0</v>
      </c>
      <c r="M316" s="24">
        <v>46752.0</v>
      </c>
      <c r="N316" s="20">
        <v>0.0</v>
      </c>
      <c r="O316" s="20">
        <v>1.0</v>
      </c>
      <c r="P316" s="24">
        <v>46753.0</v>
      </c>
      <c r="Q316" s="24">
        <v>47118.0</v>
      </c>
      <c r="R316" s="20">
        <v>0.0</v>
      </c>
      <c r="S316" s="20">
        <v>1.0</v>
      </c>
      <c r="T316" s="24">
        <v>47119.0</v>
      </c>
      <c r="U316" s="24">
        <v>47483.0</v>
      </c>
      <c r="V316" s="20">
        <v>0.0</v>
      </c>
      <c r="W316" s="20">
        <v>1.0</v>
      </c>
      <c r="X316" s="24">
        <v>47484.0</v>
      </c>
      <c r="Y316" s="24">
        <v>47848.0</v>
      </c>
      <c r="Z316" s="20">
        <v>0.0</v>
      </c>
      <c r="AA316" s="20">
        <v>1.0</v>
      </c>
      <c r="AC316" s="24"/>
      <c r="AD316" s="24"/>
      <c r="AH316" s="24"/>
      <c r="AI316" s="24"/>
    </row>
    <row r="317" ht="14.25" customHeight="1">
      <c r="A317" s="46" t="s">
        <v>4259</v>
      </c>
      <c r="B317" s="20" t="s">
        <v>4260</v>
      </c>
      <c r="C317" s="20" t="s">
        <v>7041</v>
      </c>
      <c r="D317" s="24">
        <v>45658.0</v>
      </c>
      <c r="E317" s="24">
        <v>46022.0</v>
      </c>
      <c r="F317" s="20">
        <v>0.0</v>
      </c>
      <c r="G317" s="20">
        <v>1.0</v>
      </c>
      <c r="H317" s="24">
        <v>46023.0</v>
      </c>
      <c r="I317" s="24">
        <v>46387.0</v>
      </c>
      <c r="J317" s="20">
        <v>0.0</v>
      </c>
      <c r="K317" s="20">
        <v>1.0</v>
      </c>
      <c r="L317" s="24">
        <v>46388.0</v>
      </c>
      <c r="M317" s="24">
        <v>46752.0</v>
      </c>
      <c r="N317" s="20">
        <v>0.0</v>
      </c>
      <c r="O317" s="20">
        <v>1.0</v>
      </c>
      <c r="P317" s="24">
        <v>46753.0</v>
      </c>
      <c r="Q317" s="24">
        <v>47118.0</v>
      </c>
      <c r="R317" s="20">
        <v>0.0</v>
      </c>
      <c r="S317" s="20">
        <v>1.0</v>
      </c>
      <c r="T317" s="24">
        <v>47119.0</v>
      </c>
      <c r="U317" s="24">
        <v>47483.0</v>
      </c>
      <c r="V317" s="20">
        <v>0.0</v>
      </c>
      <c r="W317" s="20">
        <v>1.0</v>
      </c>
      <c r="X317" s="24">
        <v>47484.0</v>
      </c>
      <c r="Y317" s="24">
        <v>47848.0</v>
      </c>
      <c r="Z317" s="20">
        <v>0.0</v>
      </c>
      <c r="AA317" s="20">
        <v>1.0</v>
      </c>
      <c r="AC317" s="24"/>
      <c r="AD317" s="24"/>
      <c r="AH317" s="24"/>
      <c r="AI317" s="24"/>
    </row>
    <row r="318" ht="14.25" customHeight="1">
      <c r="A318" s="46" t="s">
        <v>4390</v>
      </c>
      <c r="B318" s="20" t="s">
        <v>4391</v>
      </c>
      <c r="C318" s="20" t="s">
        <v>7041</v>
      </c>
      <c r="D318" s="24">
        <v>45658.0</v>
      </c>
      <c r="E318" s="24">
        <v>46022.0</v>
      </c>
      <c r="F318" s="20">
        <v>0.0</v>
      </c>
      <c r="G318" s="20">
        <v>1.0</v>
      </c>
      <c r="H318" s="24">
        <v>46023.0</v>
      </c>
      <c r="I318" s="24">
        <v>46387.0</v>
      </c>
      <c r="J318" s="20">
        <v>0.0</v>
      </c>
      <c r="K318" s="20">
        <v>1.0</v>
      </c>
      <c r="L318" s="24">
        <v>46388.0</v>
      </c>
      <c r="M318" s="24">
        <v>46752.0</v>
      </c>
      <c r="N318" s="20">
        <v>0.0</v>
      </c>
      <c r="O318" s="20">
        <v>1.0</v>
      </c>
      <c r="P318" s="24">
        <v>46753.0</v>
      </c>
      <c r="Q318" s="24">
        <v>47118.0</v>
      </c>
      <c r="R318" s="20">
        <v>0.0</v>
      </c>
      <c r="S318" s="20">
        <v>1.0</v>
      </c>
      <c r="T318" s="24">
        <v>47119.0</v>
      </c>
      <c r="U318" s="24">
        <v>47483.0</v>
      </c>
      <c r="V318" s="20">
        <v>0.0</v>
      </c>
      <c r="W318" s="20">
        <v>1.0</v>
      </c>
      <c r="X318" s="24">
        <v>47484.0</v>
      </c>
      <c r="Y318" s="24">
        <v>47848.0</v>
      </c>
      <c r="Z318" s="20">
        <v>0.0</v>
      </c>
      <c r="AA318" s="20">
        <v>1.0</v>
      </c>
      <c r="AC318" s="24"/>
      <c r="AD318" s="24"/>
      <c r="AH318" s="24"/>
      <c r="AI318" s="24"/>
    </row>
    <row r="319" ht="14.25" customHeight="1">
      <c r="A319" s="46" t="s">
        <v>4404</v>
      </c>
      <c r="B319" s="20" t="s">
        <v>4405</v>
      </c>
      <c r="C319" s="20" t="s">
        <v>7041</v>
      </c>
      <c r="D319" s="24">
        <v>45658.0</v>
      </c>
      <c r="E319" s="24">
        <v>46022.0</v>
      </c>
      <c r="F319" s="20">
        <v>0.0</v>
      </c>
      <c r="G319" s="20">
        <v>1.0</v>
      </c>
      <c r="H319" s="24">
        <v>46023.0</v>
      </c>
      <c r="I319" s="24">
        <v>46387.0</v>
      </c>
      <c r="J319" s="20">
        <v>0.0</v>
      </c>
      <c r="K319" s="20">
        <v>1.0</v>
      </c>
      <c r="L319" s="24">
        <v>46388.0</v>
      </c>
      <c r="M319" s="24">
        <v>46752.0</v>
      </c>
      <c r="N319" s="20">
        <v>0.0</v>
      </c>
      <c r="O319" s="20">
        <v>1.0</v>
      </c>
      <c r="P319" s="24">
        <v>46753.0</v>
      </c>
      <c r="Q319" s="24">
        <v>47118.0</v>
      </c>
      <c r="R319" s="20">
        <v>0.0</v>
      </c>
      <c r="S319" s="20">
        <v>1.0</v>
      </c>
      <c r="T319" s="24">
        <v>47119.0</v>
      </c>
      <c r="U319" s="24">
        <v>47483.0</v>
      </c>
      <c r="V319" s="20">
        <v>0.0</v>
      </c>
      <c r="W319" s="20">
        <v>1.0</v>
      </c>
      <c r="X319" s="24">
        <v>47484.0</v>
      </c>
      <c r="Y319" s="24">
        <v>47848.0</v>
      </c>
      <c r="Z319" s="20">
        <v>0.0</v>
      </c>
      <c r="AA319" s="20">
        <v>1.0</v>
      </c>
      <c r="AC319" s="24"/>
      <c r="AD319" s="24"/>
      <c r="AH319" s="24"/>
      <c r="AI319" s="24"/>
    </row>
    <row r="320" ht="14.25" customHeight="1">
      <c r="A320" s="46" t="s">
        <v>4419</v>
      </c>
      <c r="B320" s="20" t="s">
        <v>4420</v>
      </c>
      <c r="C320" s="20" t="s">
        <v>7041</v>
      </c>
      <c r="D320" s="24">
        <v>45658.0</v>
      </c>
      <c r="E320" s="24">
        <v>46022.0</v>
      </c>
      <c r="F320" s="20">
        <v>0.0</v>
      </c>
      <c r="G320" s="20">
        <v>1.0</v>
      </c>
      <c r="H320" s="24">
        <v>46023.0</v>
      </c>
      <c r="I320" s="24">
        <v>46387.0</v>
      </c>
      <c r="J320" s="20">
        <v>0.0</v>
      </c>
      <c r="K320" s="20">
        <v>1.0</v>
      </c>
      <c r="L320" s="24">
        <v>46388.0</v>
      </c>
      <c r="M320" s="24">
        <v>46752.0</v>
      </c>
      <c r="N320" s="20">
        <v>0.0</v>
      </c>
      <c r="O320" s="20">
        <v>1.0</v>
      </c>
      <c r="P320" s="24">
        <v>46753.0</v>
      </c>
      <c r="Q320" s="24">
        <v>47118.0</v>
      </c>
      <c r="R320" s="20">
        <v>0.0</v>
      </c>
      <c r="S320" s="20">
        <v>1.0</v>
      </c>
      <c r="T320" s="24">
        <v>47119.0</v>
      </c>
      <c r="U320" s="24">
        <v>47483.0</v>
      </c>
      <c r="V320" s="20">
        <v>0.0</v>
      </c>
      <c r="W320" s="20">
        <v>1.0</v>
      </c>
      <c r="X320" s="24">
        <v>47484.0</v>
      </c>
      <c r="Y320" s="24">
        <v>47848.0</v>
      </c>
      <c r="Z320" s="20">
        <v>0.0</v>
      </c>
      <c r="AA320" s="20">
        <v>1.0</v>
      </c>
      <c r="AC320" s="24"/>
      <c r="AD320" s="24"/>
      <c r="AH320" s="24"/>
      <c r="AI320" s="24"/>
    </row>
    <row r="321" ht="14.25" customHeight="1">
      <c r="A321" s="46" t="s">
        <v>4423</v>
      </c>
      <c r="B321" s="20" t="s">
        <v>4424</v>
      </c>
      <c r="C321" s="20" t="s">
        <v>7041</v>
      </c>
      <c r="D321" s="24">
        <v>45658.0</v>
      </c>
      <c r="E321" s="24">
        <v>46022.0</v>
      </c>
      <c r="F321" s="20">
        <v>0.0</v>
      </c>
      <c r="G321" s="20">
        <v>1.0</v>
      </c>
      <c r="H321" s="24">
        <v>46023.0</v>
      </c>
      <c r="I321" s="24">
        <v>46387.0</v>
      </c>
      <c r="J321" s="20">
        <v>0.0</v>
      </c>
      <c r="K321" s="20">
        <v>1.0</v>
      </c>
      <c r="L321" s="24">
        <v>46388.0</v>
      </c>
      <c r="M321" s="24">
        <v>46752.0</v>
      </c>
      <c r="N321" s="20">
        <v>0.0</v>
      </c>
      <c r="O321" s="20">
        <v>1.0</v>
      </c>
      <c r="P321" s="24">
        <v>46753.0</v>
      </c>
      <c r="Q321" s="24">
        <v>47118.0</v>
      </c>
      <c r="R321" s="20">
        <v>0.0</v>
      </c>
      <c r="S321" s="20">
        <v>1.0</v>
      </c>
      <c r="T321" s="24">
        <v>47119.0</v>
      </c>
      <c r="U321" s="24">
        <v>47483.0</v>
      </c>
      <c r="V321" s="20">
        <v>0.0</v>
      </c>
      <c r="W321" s="20">
        <v>1.0</v>
      </c>
      <c r="X321" s="24">
        <v>47484.0</v>
      </c>
      <c r="Y321" s="24">
        <v>47848.0</v>
      </c>
      <c r="Z321" s="20">
        <v>0.0</v>
      </c>
      <c r="AA321" s="20">
        <v>1.0</v>
      </c>
      <c r="AC321" s="24"/>
      <c r="AD321" s="24"/>
      <c r="AH321" s="24"/>
      <c r="AI321" s="24"/>
    </row>
    <row r="322" ht="14.25" customHeight="1">
      <c r="A322" s="46" t="s">
        <v>4435</v>
      </c>
      <c r="B322" s="20" t="s">
        <v>4436</v>
      </c>
      <c r="C322" s="20" t="s">
        <v>7041</v>
      </c>
      <c r="D322" s="24">
        <v>45658.0</v>
      </c>
      <c r="E322" s="24">
        <v>46022.0</v>
      </c>
      <c r="F322" s="20">
        <v>0.0</v>
      </c>
      <c r="G322" s="20">
        <v>1.0</v>
      </c>
      <c r="H322" s="24">
        <v>46023.0</v>
      </c>
      <c r="I322" s="24">
        <v>46387.0</v>
      </c>
      <c r="J322" s="20">
        <v>0.0</v>
      </c>
      <c r="K322" s="20">
        <v>1.0</v>
      </c>
      <c r="L322" s="24">
        <v>46388.0</v>
      </c>
      <c r="M322" s="24">
        <v>46752.0</v>
      </c>
      <c r="N322" s="20">
        <v>0.0</v>
      </c>
      <c r="O322" s="20">
        <v>1.0</v>
      </c>
      <c r="P322" s="24">
        <v>46753.0</v>
      </c>
      <c r="Q322" s="24">
        <v>47118.0</v>
      </c>
      <c r="R322" s="20">
        <v>0.0</v>
      </c>
      <c r="S322" s="20">
        <v>1.0</v>
      </c>
      <c r="T322" s="24">
        <v>47119.0</v>
      </c>
      <c r="U322" s="24">
        <v>47483.0</v>
      </c>
      <c r="V322" s="20">
        <v>0.0</v>
      </c>
      <c r="W322" s="20">
        <v>1.0</v>
      </c>
      <c r="X322" s="24">
        <v>47484.0</v>
      </c>
      <c r="Y322" s="24">
        <v>47848.0</v>
      </c>
      <c r="Z322" s="20">
        <v>0.0</v>
      </c>
      <c r="AA322" s="20">
        <v>1.0</v>
      </c>
      <c r="AC322" s="24"/>
      <c r="AD322" s="24"/>
      <c r="AH322" s="24"/>
      <c r="AI322" s="24"/>
    </row>
    <row r="323" ht="14.25" customHeight="1">
      <c r="A323" s="46" t="s">
        <v>4470</v>
      </c>
      <c r="B323" s="20" t="s">
        <v>4471</v>
      </c>
      <c r="C323" s="20" t="s">
        <v>7041</v>
      </c>
      <c r="D323" s="24">
        <v>45658.0</v>
      </c>
      <c r="E323" s="24">
        <v>46022.0</v>
      </c>
      <c r="F323" s="20">
        <v>0.0</v>
      </c>
      <c r="G323" s="20">
        <v>1.0</v>
      </c>
      <c r="H323" s="24">
        <v>46023.0</v>
      </c>
      <c r="I323" s="24">
        <v>46387.0</v>
      </c>
      <c r="J323" s="20">
        <v>0.0</v>
      </c>
      <c r="K323" s="20">
        <v>1.0</v>
      </c>
      <c r="L323" s="24">
        <v>46388.0</v>
      </c>
      <c r="M323" s="24">
        <v>46752.0</v>
      </c>
      <c r="N323" s="20">
        <v>0.0</v>
      </c>
      <c r="O323" s="20">
        <v>1.0</v>
      </c>
      <c r="P323" s="24">
        <v>46753.0</v>
      </c>
      <c r="Q323" s="24">
        <v>47118.0</v>
      </c>
      <c r="R323" s="20">
        <v>0.0</v>
      </c>
      <c r="S323" s="20">
        <v>1.0</v>
      </c>
      <c r="T323" s="24">
        <v>47119.0</v>
      </c>
      <c r="U323" s="24">
        <v>47483.0</v>
      </c>
      <c r="V323" s="20">
        <v>0.0</v>
      </c>
      <c r="W323" s="20">
        <v>1.0</v>
      </c>
      <c r="X323" s="24">
        <v>47484.0</v>
      </c>
      <c r="Y323" s="24">
        <v>47848.0</v>
      </c>
      <c r="Z323" s="20">
        <v>0.0</v>
      </c>
      <c r="AA323" s="20">
        <v>1.0</v>
      </c>
      <c r="AC323" s="24"/>
      <c r="AD323" s="24"/>
      <c r="AH323" s="24"/>
      <c r="AI323" s="24"/>
    </row>
    <row r="324" ht="14.25" customHeight="1">
      <c r="A324" s="46" t="s">
        <v>4474</v>
      </c>
      <c r="B324" s="20" t="s">
        <v>4475</v>
      </c>
      <c r="C324" s="20" t="s">
        <v>7041</v>
      </c>
      <c r="D324" s="24">
        <v>45658.0</v>
      </c>
      <c r="E324" s="24">
        <v>46022.0</v>
      </c>
      <c r="F324" s="20">
        <v>1.0</v>
      </c>
      <c r="G324" s="20">
        <v>1.0</v>
      </c>
      <c r="H324" s="24">
        <v>46023.0</v>
      </c>
      <c r="I324" s="24">
        <v>46387.0</v>
      </c>
      <c r="J324" s="20">
        <v>0.0</v>
      </c>
      <c r="K324" s="20">
        <v>1.0</v>
      </c>
      <c r="L324" s="24">
        <v>46388.0</v>
      </c>
      <c r="M324" s="24">
        <v>46752.0</v>
      </c>
      <c r="N324" s="20">
        <v>0.0</v>
      </c>
      <c r="O324" s="20">
        <v>1.0</v>
      </c>
      <c r="P324" s="24">
        <v>46753.0</v>
      </c>
      <c r="Q324" s="24">
        <v>47118.0</v>
      </c>
      <c r="R324" s="20">
        <v>0.0</v>
      </c>
      <c r="S324" s="20">
        <v>1.0</v>
      </c>
      <c r="T324" s="24">
        <v>47119.0</v>
      </c>
      <c r="U324" s="24">
        <v>47483.0</v>
      </c>
      <c r="V324" s="20">
        <v>0.0</v>
      </c>
      <c r="W324" s="20">
        <v>1.0</v>
      </c>
      <c r="X324" s="24">
        <v>47484.0</v>
      </c>
      <c r="Y324" s="24">
        <v>47848.0</v>
      </c>
      <c r="Z324" s="20">
        <v>0.0</v>
      </c>
      <c r="AA324" s="20">
        <v>1.0</v>
      </c>
      <c r="AC324" s="24"/>
      <c r="AD324" s="24"/>
      <c r="AH324" s="24"/>
      <c r="AI324" s="24"/>
    </row>
    <row r="325" ht="14.25" customHeight="1">
      <c r="A325" s="46" t="s">
        <v>4705</v>
      </c>
      <c r="B325" s="20" t="s">
        <v>4706</v>
      </c>
      <c r="C325" s="20" t="s">
        <v>7041</v>
      </c>
      <c r="D325" s="24">
        <v>45658.0</v>
      </c>
      <c r="E325" s="24">
        <v>46022.0</v>
      </c>
      <c r="F325" s="20">
        <v>1.0</v>
      </c>
      <c r="G325" s="20">
        <v>1.0</v>
      </c>
      <c r="H325" s="24">
        <v>46023.0</v>
      </c>
      <c r="I325" s="24">
        <v>46387.0</v>
      </c>
      <c r="J325" s="20">
        <v>0.0</v>
      </c>
      <c r="K325" s="20">
        <v>1.0</v>
      </c>
      <c r="L325" s="24">
        <v>46388.0</v>
      </c>
      <c r="M325" s="24">
        <v>46752.0</v>
      </c>
      <c r="N325" s="20">
        <v>0.0</v>
      </c>
      <c r="O325" s="20">
        <v>1.0</v>
      </c>
      <c r="P325" s="24">
        <v>46753.0</v>
      </c>
      <c r="Q325" s="24">
        <v>47118.0</v>
      </c>
      <c r="R325" s="20">
        <v>0.0</v>
      </c>
      <c r="S325" s="20">
        <v>1.0</v>
      </c>
      <c r="T325" s="24">
        <v>47119.0</v>
      </c>
      <c r="U325" s="24">
        <v>47483.0</v>
      </c>
      <c r="V325" s="20">
        <v>0.0</v>
      </c>
      <c r="W325" s="20">
        <v>1.0</v>
      </c>
      <c r="X325" s="24">
        <v>47484.0</v>
      </c>
      <c r="Y325" s="24">
        <v>47848.0</v>
      </c>
      <c r="Z325" s="20">
        <v>0.0</v>
      </c>
      <c r="AA325" s="20">
        <v>1.0</v>
      </c>
      <c r="AC325" s="24"/>
      <c r="AD325" s="24"/>
      <c r="AH325" s="24"/>
      <c r="AI325" s="24"/>
    </row>
    <row r="326" ht="14.25" customHeight="1">
      <c r="A326" s="46" t="s">
        <v>4806</v>
      </c>
      <c r="B326" s="20" t="s">
        <v>4807</v>
      </c>
      <c r="C326" s="20" t="s">
        <v>7041</v>
      </c>
      <c r="D326" s="24">
        <v>45658.0</v>
      </c>
      <c r="E326" s="24">
        <v>46022.0</v>
      </c>
      <c r="F326" s="20">
        <v>0.0</v>
      </c>
      <c r="G326" s="20">
        <v>1.0</v>
      </c>
      <c r="H326" s="24">
        <v>46023.0</v>
      </c>
      <c r="I326" s="24">
        <v>46387.0</v>
      </c>
      <c r="J326" s="20">
        <v>0.0</v>
      </c>
      <c r="K326" s="20">
        <v>1.0</v>
      </c>
      <c r="L326" s="24">
        <v>46388.0</v>
      </c>
      <c r="M326" s="24">
        <v>46752.0</v>
      </c>
      <c r="N326" s="20">
        <v>0.0</v>
      </c>
      <c r="O326" s="20">
        <v>1.0</v>
      </c>
      <c r="P326" s="24">
        <v>46753.0</v>
      </c>
      <c r="Q326" s="24">
        <v>47118.0</v>
      </c>
      <c r="R326" s="20">
        <v>0.0</v>
      </c>
      <c r="S326" s="20">
        <v>1.0</v>
      </c>
      <c r="T326" s="24">
        <v>47119.0</v>
      </c>
      <c r="U326" s="24">
        <v>47483.0</v>
      </c>
      <c r="V326" s="20">
        <v>0.0</v>
      </c>
      <c r="W326" s="20">
        <v>1.0</v>
      </c>
      <c r="X326" s="24">
        <v>47484.0</v>
      </c>
      <c r="Y326" s="24">
        <v>47848.0</v>
      </c>
      <c r="Z326" s="20">
        <v>0.0</v>
      </c>
      <c r="AA326" s="20">
        <v>1.0</v>
      </c>
      <c r="AC326" s="24"/>
      <c r="AD326" s="24"/>
      <c r="AH326" s="24"/>
      <c r="AI326" s="24"/>
    </row>
    <row r="327" ht="14.25" customHeight="1">
      <c r="A327" s="46" t="s">
        <v>4841</v>
      </c>
      <c r="B327" s="20" t="s">
        <v>4842</v>
      </c>
      <c r="C327" s="20" t="s">
        <v>7041</v>
      </c>
      <c r="D327" s="24">
        <v>45658.0</v>
      </c>
      <c r="E327" s="24">
        <v>46022.0</v>
      </c>
      <c r="F327" s="20">
        <v>0.0</v>
      </c>
      <c r="G327" s="20">
        <v>1.0</v>
      </c>
      <c r="H327" s="24">
        <v>46023.0</v>
      </c>
      <c r="I327" s="24">
        <v>46387.0</v>
      </c>
      <c r="J327" s="20">
        <v>0.0</v>
      </c>
      <c r="K327" s="20">
        <v>1.0</v>
      </c>
      <c r="L327" s="24">
        <v>46388.0</v>
      </c>
      <c r="M327" s="24">
        <v>46752.0</v>
      </c>
      <c r="N327" s="20">
        <v>0.0</v>
      </c>
      <c r="O327" s="20">
        <v>1.0</v>
      </c>
      <c r="P327" s="24">
        <v>46753.0</v>
      </c>
      <c r="Q327" s="24">
        <v>47118.0</v>
      </c>
      <c r="R327" s="20">
        <v>0.0</v>
      </c>
      <c r="S327" s="20">
        <v>1.0</v>
      </c>
      <c r="T327" s="24">
        <v>47119.0</v>
      </c>
      <c r="U327" s="24">
        <v>47483.0</v>
      </c>
      <c r="V327" s="20">
        <v>0.0</v>
      </c>
      <c r="W327" s="20">
        <v>1.0</v>
      </c>
      <c r="X327" s="24">
        <v>47484.0</v>
      </c>
      <c r="Y327" s="24">
        <v>47848.0</v>
      </c>
      <c r="Z327" s="20">
        <v>0.0</v>
      </c>
      <c r="AA327" s="20">
        <v>1.0</v>
      </c>
      <c r="AC327" s="24"/>
      <c r="AD327" s="24"/>
      <c r="AH327" s="24"/>
      <c r="AI327" s="24"/>
    </row>
    <row r="328" ht="14.25" customHeight="1">
      <c r="A328" s="46" t="s">
        <v>4916</v>
      </c>
      <c r="B328" s="20" t="s">
        <v>4917</v>
      </c>
      <c r="C328" s="20" t="s">
        <v>7041</v>
      </c>
      <c r="D328" s="24">
        <v>45658.0</v>
      </c>
      <c r="E328" s="24">
        <v>46022.0</v>
      </c>
      <c r="F328" s="20">
        <v>0.0</v>
      </c>
      <c r="G328" s="20">
        <v>1.0</v>
      </c>
      <c r="H328" s="24">
        <v>46023.0</v>
      </c>
      <c r="I328" s="24">
        <v>46387.0</v>
      </c>
      <c r="J328" s="20">
        <v>0.0</v>
      </c>
      <c r="K328" s="20">
        <v>1.0</v>
      </c>
      <c r="L328" s="24">
        <v>46388.0</v>
      </c>
      <c r="M328" s="24">
        <v>46752.0</v>
      </c>
      <c r="N328" s="20">
        <v>0.0</v>
      </c>
      <c r="O328" s="20">
        <v>1.0</v>
      </c>
      <c r="P328" s="24">
        <v>46753.0</v>
      </c>
      <c r="Q328" s="24">
        <v>47118.0</v>
      </c>
      <c r="R328" s="20">
        <v>0.0</v>
      </c>
      <c r="S328" s="20">
        <v>1.0</v>
      </c>
      <c r="T328" s="24">
        <v>47119.0</v>
      </c>
      <c r="U328" s="24">
        <v>47483.0</v>
      </c>
      <c r="V328" s="20">
        <v>0.0</v>
      </c>
      <c r="W328" s="20">
        <v>1.0</v>
      </c>
      <c r="X328" s="24">
        <v>47484.0</v>
      </c>
      <c r="Y328" s="24">
        <v>47848.0</v>
      </c>
      <c r="Z328" s="20">
        <v>0.0</v>
      </c>
      <c r="AA328" s="20">
        <v>1.0</v>
      </c>
      <c r="AC328" s="24"/>
      <c r="AD328" s="24"/>
      <c r="AH328" s="24"/>
      <c r="AI328" s="24"/>
    </row>
    <row r="329" ht="14.25" customHeight="1">
      <c r="A329" s="46" t="s">
        <v>4925</v>
      </c>
      <c r="B329" s="20" t="s">
        <v>4926</v>
      </c>
      <c r="C329" s="20" t="s">
        <v>7041</v>
      </c>
      <c r="D329" s="24">
        <v>45658.0</v>
      </c>
      <c r="E329" s="24">
        <v>46022.0</v>
      </c>
      <c r="F329" s="20">
        <v>1.0</v>
      </c>
      <c r="G329" s="20">
        <v>1.0</v>
      </c>
      <c r="H329" s="24">
        <v>46023.0</v>
      </c>
      <c r="I329" s="24">
        <v>46387.0</v>
      </c>
      <c r="J329" s="20">
        <v>0.0</v>
      </c>
      <c r="K329" s="20">
        <v>1.0</v>
      </c>
      <c r="L329" s="24">
        <v>46388.0</v>
      </c>
      <c r="M329" s="24">
        <v>46752.0</v>
      </c>
      <c r="N329" s="20">
        <v>0.0</v>
      </c>
      <c r="O329" s="20">
        <v>1.0</v>
      </c>
      <c r="P329" s="24">
        <v>46753.0</v>
      </c>
      <c r="Q329" s="24">
        <v>47118.0</v>
      </c>
      <c r="R329" s="20">
        <v>0.0</v>
      </c>
      <c r="S329" s="20">
        <v>1.0</v>
      </c>
      <c r="T329" s="24">
        <v>47119.0</v>
      </c>
      <c r="U329" s="24">
        <v>47483.0</v>
      </c>
      <c r="V329" s="20">
        <v>0.0</v>
      </c>
      <c r="W329" s="20">
        <v>1.0</v>
      </c>
      <c r="X329" s="24">
        <v>47484.0</v>
      </c>
      <c r="Y329" s="24">
        <v>47848.0</v>
      </c>
      <c r="Z329" s="20">
        <v>0.0</v>
      </c>
      <c r="AA329" s="20">
        <v>1.0</v>
      </c>
      <c r="AC329" s="24"/>
      <c r="AD329" s="24"/>
      <c r="AH329" s="24"/>
      <c r="AI329" s="24"/>
    </row>
    <row r="330" ht="14.25" customHeight="1">
      <c r="A330" s="46" t="s">
        <v>5057</v>
      </c>
      <c r="B330" s="20" t="s">
        <v>5058</v>
      </c>
      <c r="C330" s="20" t="s">
        <v>7041</v>
      </c>
      <c r="D330" s="24">
        <v>45658.0</v>
      </c>
      <c r="E330" s="24">
        <v>46022.0</v>
      </c>
      <c r="F330" s="20">
        <v>0.0</v>
      </c>
      <c r="G330" s="20">
        <v>1.0</v>
      </c>
      <c r="H330" s="24">
        <v>46023.0</v>
      </c>
      <c r="I330" s="24">
        <v>46387.0</v>
      </c>
      <c r="J330" s="20">
        <v>0.0</v>
      </c>
      <c r="K330" s="20">
        <v>1.0</v>
      </c>
      <c r="L330" s="24">
        <v>46388.0</v>
      </c>
      <c r="M330" s="24">
        <v>46752.0</v>
      </c>
      <c r="N330" s="20">
        <v>0.0</v>
      </c>
      <c r="O330" s="20">
        <v>1.0</v>
      </c>
      <c r="P330" s="24">
        <v>46753.0</v>
      </c>
      <c r="Q330" s="24">
        <v>47118.0</v>
      </c>
      <c r="R330" s="20">
        <v>0.0</v>
      </c>
      <c r="S330" s="20">
        <v>1.0</v>
      </c>
      <c r="T330" s="24">
        <v>47119.0</v>
      </c>
      <c r="U330" s="24">
        <v>47483.0</v>
      </c>
      <c r="V330" s="20">
        <v>0.0</v>
      </c>
      <c r="W330" s="20">
        <v>1.0</v>
      </c>
      <c r="X330" s="24">
        <v>47484.0</v>
      </c>
      <c r="Y330" s="24">
        <v>47848.0</v>
      </c>
      <c r="Z330" s="20">
        <v>0.0</v>
      </c>
      <c r="AA330" s="20">
        <v>1.0</v>
      </c>
      <c r="AC330" s="24"/>
      <c r="AD330" s="24"/>
      <c r="AH330" s="24"/>
      <c r="AI330" s="24"/>
    </row>
    <row r="331" ht="14.25" customHeight="1">
      <c r="A331" s="46" t="s">
        <v>5079</v>
      </c>
      <c r="B331" s="20" t="s">
        <v>5080</v>
      </c>
      <c r="C331" s="20" t="s">
        <v>7041</v>
      </c>
      <c r="D331" s="24">
        <v>45658.0</v>
      </c>
      <c r="E331" s="24">
        <v>46022.0</v>
      </c>
      <c r="F331" s="20">
        <v>0.0</v>
      </c>
      <c r="G331" s="20">
        <v>1.0</v>
      </c>
      <c r="H331" s="24">
        <v>46023.0</v>
      </c>
      <c r="I331" s="24">
        <v>46387.0</v>
      </c>
      <c r="J331" s="20">
        <v>0.0</v>
      </c>
      <c r="K331" s="20">
        <v>1.0</v>
      </c>
      <c r="L331" s="24">
        <v>46388.0</v>
      </c>
      <c r="M331" s="24">
        <v>46752.0</v>
      </c>
      <c r="N331" s="20">
        <v>0.0</v>
      </c>
      <c r="O331" s="20">
        <v>1.0</v>
      </c>
      <c r="P331" s="24">
        <v>46753.0</v>
      </c>
      <c r="Q331" s="24">
        <v>47118.0</v>
      </c>
      <c r="R331" s="20">
        <v>0.0</v>
      </c>
      <c r="S331" s="20">
        <v>1.0</v>
      </c>
      <c r="T331" s="24">
        <v>47119.0</v>
      </c>
      <c r="U331" s="24">
        <v>47483.0</v>
      </c>
      <c r="V331" s="20">
        <v>0.0</v>
      </c>
      <c r="W331" s="20">
        <v>1.0</v>
      </c>
      <c r="X331" s="24">
        <v>47484.0</v>
      </c>
      <c r="Y331" s="24">
        <v>47848.0</v>
      </c>
      <c r="Z331" s="20">
        <v>0.0</v>
      </c>
      <c r="AA331" s="20">
        <v>1.0</v>
      </c>
      <c r="AC331" s="24"/>
      <c r="AD331" s="24"/>
      <c r="AH331" s="24"/>
      <c r="AI331" s="24"/>
    </row>
    <row r="332" ht="14.25" customHeight="1">
      <c r="A332" s="46" t="s">
        <v>5182</v>
      </c>
      <c r="B332" s="20" t="s">
        <v>5183</v>
      </c>
      <c r="C332" s="20" t="s">
        <v>7041</v>
      </c>
      <c r="D332" s="24">
        <v>45658.0</v>
      </c>
      <c r="E332" s="24">
        <v>46022.0</v>
      </c>
      <c r="F332" s="20">
        <v>0.0</v>
      </c>
      <c r="G332" s="20">
        <v>1.0</v>
      </c>
      <c r="H332" s="24">
        <v>46023.0</v>
      </c>
      <c r="I332" s="24">
        <v>46387.0</v>
      </c>
      <c r="J332" s="20">
        <v>0.0</v>
      </c>
      <c r="K332" s="20">
        <v>1.0</v>
      </c>
      <c r="L332" s="24">
        <v>46388.0</v>
      </c>
      <c r="M332" s="24">
        <v>46752.0</v>
      </c>
      <c r="N332" s="20">
        <v>0.0</v>
      </c>
      <c r="O332" s="20">
        <v>1.0</v>
      </c>
      <c r="P332" s="24">
        <v>46753.0</v>
      </c>
      <c r="Q332" s="24">
        <v>47118.0</v>
      </c>
      <c r="R332" s="20">
        <v>0.0</v>
      </c>
      <c r="S332" s="20">
        <v>1.0</v>
      </c>
      <c r="T332" s="24">
        <v>47119.0</v>
      </c>
      <c r="U332" s="24">
        <v>47483.0</v>
      </c>
      <c r="V332" s="20">
        <v>0.0</v>
      </c>
      <c r="W332" s="20">
        <v>1.0</v>
      </c>
      <c r="X332" s="24">
        <v>47484.0</v>
      </c>
      <c r="Y332" s="24">
        <v>47848.0</v>
      </c>
      <c r="Z332" s="20">
        <v>0.0</v>
      </c>
      <c r="AA332" s="20">
        <v>1.0</v>
      </c>
      <c r="AC332" s="24"/>
      <c r="AD332" s="24"/>
      <c r="AH332" s="24"/>
      <c r="AI332" s="24"/>
    </row>
    <row r="333" ht="14.25" customHeight="1">
      <c r="A333" s="46" t="s">
        <v>5215</v>
      </c>
      <c r="B333" s="20" t="s">
        <v>5216</v>
      </c>
      <c r="C333" s="20" t="s">
        <v>7041</v>
      </c>
      <c r="D333" s="24">
        <v>45658.0</v>
      </c>
      <c r="E333" s="24">
        <v>46022.0</v>
      </c>
      <c r="F333" s="20">
        <v>1.0</v>
      </c>
      <c r="G333" s="20">
        <v>1.0</v>
      </c>
      <c r="H333" s="24">
        <v>46023.0</v>
      </c>
      <c r="I333" s="24">
        <v>46387.0</v>
      </c>
      <c r="J333" s="20">
        <v>0.0</v>
      </c>
      <c r="K333" s="20">
        <v>1.0</v>
      </c>
      <c r="L333" s="24">
        <v>46388.0</v>
      </c>
      <c r="M333" s="24">
        <v>46752.0</v>
      </c>
      <c r="N333" s="20">
        <v>0.0</v>
      </c>
      <c r="O333" s="20">
        <v>1.0</v>
      </c>
      <c r="P333" s="24">
        <v>46753.0</v>
      </c>
      <c r="Q333" s="24">
        <v>47118.0</v>
      </c>
      <c r="R333" s="20">
        <v>0.0</v>
      </c>
      <c r="S333" s="20">
        <v>1.0</v>
      </c>
      <c r="T333" s="24">
        <v>47119.0</v>
      </c>
      <c r="U333" s="24">
        <v>47483.0</v>
      </c>
      <c r="V333" s="20">
        <v>0.0</v>
      </c>
      <c r="W333" s="20">
        <v>1.0</v>
      </c>
      <c r="X333" s="24">
        <v>47484.0</v>
      </c>
      <c r="Y333" s="24">
        <v>47848.0</v>
      </c>
      <c r="Z333" s="20">
        <v>0.0</v>
      </c>
      <c r="AA333" s="20">
        <v>1.0</v>
      </c>
      <c r="AC333" s="24"/>
      <c r="AD333" s="24"/>
      <c r="AH333" s="24"/>
      <c r="AI333" s="24"/>
    </row>
    <row r="334" ht="14.25" customHeight="1">
      <c r="A334" s="46" t="s">
        <v>5348</v>
      </c>
      <c r="B334" s="20" t="s">
        <v>5349</v>
      </c>
      <c r="C334" s="20" t="s">
        <v>7041</v>
      </c>
      <c r="D334" s="24">
        <v>45658.0</v>
      </c>
      <c r="E334" s="24">
        <v>46022.0</v>
      </c>
      <c r="F334" s="20">
        <v>1.0</v>
      </c>
      <c r="G334" s="20">
        <v>1.0</v>
      </c>
      <c r="H334" s="24">
        <v>46023.0</v>
      </c>
      <c r="I334" s="24">
        <v>46387.0</v>
      </c>
      <c r="J334" s="20">
        <v>0.0</v>
      </c>
      <c r="K334" s="20">
        <v>1.0</v>
      </c>
      <c r="L334" s="24">
        <v>46388.0</v>
      </c>
      <c r="M334" s="24">
        <v>46752.0</v>
      </c>
      <c r="N334" s="20">
        <v>0.0</v>
      </c>
      <c r="O334" s="20">
        <v>1.0</v>
      </c>
      <c r="P334" s="24">
        <v>46753.0</v>
      </c>
      <c r="Q334" s="24">
        <v>47118.0</v>
      </c>
      <c r="R334" s="20">
        <v>0.0</v>
      </c>
      <c r="S334" s="20">
        <v>1.0</v>
      </c>
      <c r="T334" s="24">
        <v>47119.0</v>
      </c>
      <c r="U334" s="24">
        <v>47483.0</v>
      </c>
      <c r="V334" s="20">
        <v>0.0</v>
      </c>
      <c r="W334" s="20">
        <v>1.0</v>
      </c>
      <c r="X334" s="24">
        <v>47484.0</v>
      </c>
      <c r="Y334" s="24">
        <v>47848.0</v>
      </c>
      <c r="Z334" s="20">
        <v>0.0</v>
      </c>
      <c r="AA334" s="20">
        <v>1.0</v>
      </c>
      <c r="AC334" s="24"/>
      <c r="AD334" s="24"/>
      <c r="AH334" s="24"/>
      <c r="AI334" s="24"/>
    </row>
    <row r="335" ht="14.25" customHeight="1">
      <c r="A335" s="46" t="s">
        <v>5357</v>
      </c>
      <c r="B335" s="20" t="s">
        <v>5358</v>
      </c>
      <c r="C335" s="20" t="s">
        <v>7044</v>
      </c>
      <c r="D335" s="24">
        <v>45658.0</v>
      </c>
      <c r="E335" s="24">
        <v>46022.0</v>
      </c>
      <c r="F335" s="20">
        <v>0.0</v>
      </c>
      <c r="G335" s="20">
        <v>1.0</v>
      </c>
      <c r="H335" s="24">
        <v>46023.0</v>
      </c>
      <c r="I335" s="24">
        <v>46387.0</v>
      </c>
      <c r="J335" s="20">
        <v>0.0</v>
      </c>
      <c r="K335" s="20">
        <v>1.0</v>
      </c>
      <c r="L335" s="24">
        <v>46388.0</v>
      </c>
      <c r="M335" s="24">
        <v>46752.0</v>
      </c>
      <c r="N335" s="20">
        <v>0.0</v>
      </c>
      <c r="O335" s="20">
        <v>1.0</v>
      </c>
      <c r="P335" s="24">
        <v>46753.0</v>
      </c>
      <c r="Q335" s="24">
        <v>47118.0</v>
      </c>
      <c r="R335" s="20">
        <v>0.0</v>
      </c>
      <c r="S335" s="20">
        <v>1.0</v>
      </c>
      <c r="T335" s="24">
        <v>47119.0</v>
      </c>
      <c r="U335" s="24">
        <v>47483.0</v>
      </c>
      <c r="V335" s="20">
        <v>0.0</v>
      </c>
      <c r="W335" s="20">
        <v>1.0</v>
      </c>
      <c r="X335" s="24">
        <v>47484.0</v>
      </c>
      <c r="Y335" s="24">
        <v>47848.0</v>
      </c>
      <c r="Z335" s="20">
        <v>0.0</v>
      </c>
      <c r="AA335" s="20">
        <v>1.0</v>
      </c>
      <c r="AC335" s="24"/>
      <c r="AD335" s="24"/>
      <c r="AH335" s="24"/>
      <c r="AI335" s="24"/>
    </row>
    <row r="336" ht="14.25" customHeight="1">
      <c r="A336" s="46" t="s">
        <v>5399</v>
      </c>
      <c r="B336" s="20" t="s">
        <v>5400</v>
      </c>
      <c r="C336" s="20" t="s">
        <v>7041</v>
      </c>
      <c r="D336" s="24">
        <v>45658.0</v>
      </c>
      <c r="E336" s="24">
        <v>46022.0</v>
      </c>
      <c r="F336" s="20">
        <v>0.0</v>
      </c>
      <c r="G336" s="20">
        <v>1.0</v>
      </c>
      <c r="H336" s="24">
        <v>46023.0</v>
      </c>
      <c r="I336" s="24">
        <v>46387.0</v>
      </c>
      <c r="J336" s="20">
        <v>0.0</v>
      </c>
      <c r="K336" s="20">
        <v>1.0</v>
      </c>
      <c r="L336" s="24">
        <v>46388.0</v>
      </c>
      <c r="M336" s="24">
        <v>46752.0</v>
      </c>
      <c r="N336" s="20">
        <v>0.0</v>
      </c>
      <c r="O336" s="20">
        <v>1.0</v>
      </c>
      <c r="P336" s="24">
        <v>46753.0</v>
      </c>
      <c r="Q336" s="24">
        <v>47118.0</v>
      </c>
      <c r="R336" s="20">
        <v>0.0</v>
      </c>
      <c r="S336" s="20">
        <v>1.0</v>
      </c>
      <c r="T336" s="24">
        <v>47119.0</v>
      </c>
      <c r="U336" s="24">
        <v>47483.0</v>
      </c>
      <c r="V336" s="20">
        <v>0.0</v>
      </c>
      <c r="W336" s="20">
        <v>1.0</v>
      </c>
      <c r="X336" s="24">
        <v>47484.0</v>
      </c>
      <c r="Y336" s="24">
        <v>47848.0</v>
      </c>
      <c r="Z336" s="20">
        <v>0.0</v>
      </c>
      <c r="AA336" s="20">
        <v>1.0</v>
      </c>
      <c r="AC336" s="24"/>
      <c r="AD336" s="24"/>
      <c r="AH336" s="24"/>
      <c r="AI336" s="24"/>
    </row>
    <row r="337" ht="14.25" customHeight="1">
      <c r="A337" s="46" t="s">
        <v>5454</v>
      </c>
      <c r="B337" s="20" t="s">
        <v>5455</v>
      </c>
      <c r="C337" s="20" t="s">
        <v>7041</v>
      </c>
      <c r="D337" s="24">
        <v>45658.0</v>
      </c>
      <c r="E337" s="24">
        <v>46022.0</v>
      </c>
      <c r="F337" s="20">
        <v>0.0</v>
      </c>
      <c r="G337" s="20">
        <v>1.0</v>
      </c>
      <c r="H337" s="24">
        <v>46023.0</v>
      </c>
      <c r="I337" s="24">
        <v>46387.0</v>
      </c>
      <c r="J337" s="20">
        <v>0.0</v>
      </c>
      <c r="K337" s="20">
        <v>1.0</v>
      </c>
      <c r="L337" s="24">
        <v>46388.0</v>
      </c>
      <c r="M337" s="24">
        <v>46752.0</v>
      </c>
      <c r="N337" s="20">
        <v>0.0</v>
      </c>
      <c r="O337" s="20">
        <v>1.0</v>
      </c>
      <c r="P337" s="24">
        <v>46753.0</v>
      </c>
      <c r="Q337" s="24">
        <v>47118.0</v>
      </c>
      <c r="R337" s="20">
        <v>0.0</v>
      </c>
      <c r="S337" s="20">
        <v>1.0</v>
      </c>
      <c r="T337" s="24">
        <v>47119.0</v>
      </c>
      <c r="U337" s="24">
        <v>47483.0</v>
      </c>
      <c r="V337" s="20">
        <v>0.0</v>
      </c>
      <c r="W337" s="20">
        <v>1.0</v>
      </c>
      <c r="X337" s="24">
        <v>47484.0</v>
      </c>
      <c r="Y337" s="24">
        <v>47848.0</v>
      </c>
      <c r="Z337" s="20">
        <v>0.0</v>
      </c>
      <c r="AA337" s="20">
        <v>1.0</v>
      </c>
      <c r="AC337" s="24"/>
      <c r="AD337" s="24"/>
      <c r="AH337" s="24"/>
      <c r="AI337" s="24"/>
    </row>
    <row r="338" ht="14.25" customHeight="1">
      <c r="A338" s="46" t="s">
        <v>5504</v>
      </c>
      <c r="B338" s="20" t="s">
        <v>5505</v>
      </c>
      <c r="C338" s="20" t="s">
        <v>7041</v>
      </c>
      <c r="D338" s="24">
        <v>45658.0</v>
      </c>
      <c r="E338" s="24">
        <v>46022.0</v>
      </c>
      <c r="F338" s="20">
        <v>1.0</v>
      </c>
      <c r="G338" s="20">
        <v>1.0</v>
      </c>
      <c r="H338" s="24">
        <v>46023.0</v>
      </c>
      <c r="I338" s="24">
        <v>46387.0</v>
      </c>
      <c r="J338" s="20">
        <v>0.0</v>
      </c>
      <c r="K338" s="20">
        <v>1.0</v>
      </c>
      <c r="L338" s="24">
        <v>46388.0</v>
      </c>
      <c r="M338" s="24">
        <v>46752.0</v>
      </c>
      <c r="N338" s="20">
        <v>0.0</v>
      </c>
      <c r="O338" s="20">
        <v>1.0</v>
      </c>
      <c r="P338" s="24">
        <v>46753.0</v>
      </c>
      <c r="Q338" s="24">
        <v>47118.0</v>
      </c>
      <c r="R338" s="20">
        <v>0.0</v>
      </c>
      <c r="S338" s="20">
        <v>1.0</v>
      </c>
      <c r="T338" s="24">
        <v>47119.0</v>
      </c>
      <c r="U338" s="24">
        <v>47483.0</v>
      </c>
      <c r="V338" s="20">
        <v>0.0</v>
      </c>
      <c r="W338" s="20">
        <v>1.0</v>
      </c>
      <c r="X338" s="24">
        <v>47484.0</v>
      </c>
      <c r="Y338" s="24">
        <v>47848.0</v>
      </c>
      <c r="Z338" s="20">
        <v>0.0</v>
      </c>
      <c r="AA338" s="20">
        <v>1.0</v>
      </c>
      <c r="AC338" s="24"/>
      <c r="AD338" s="24"/>
      <c r="AH338" s="24"/>
      <c r="AI338" s="24"/>
    </row>
    <row r="339" ht="14.25" customHeight="1">
      <c r="A339" s="46" t="s">
        <v>5569</v>
      </c>
      <c r="B339" s="20" t="s">
        <v>5570</v>
      </c>
      <c r="C339" s="20" t="s">
        <v>7041</v>
      </c>
      <c r="D339" s="24">
        <v>45658.0</v>
      </c>
      <c r="E339" s="24">
        <v>46022.0</v>
      </c>
      <c r="F339" s="20">
        <v>0.0</v>
      </c>
      <c r="G339" s="20">
        <v>1.0</v>
      </c>
      <c r="H339" s="24">
        <v>46023.0</v>
      </c>
      <c r="I339" s="24">
        <v>46387.0</v>
      </c>
      <c r="J339" s="20">
        <v>0.0</v>
      </c>
      <c r="K339" s="20">
        <v>1.0</v>
      </c>
      <c r="L339" s="24">
        <v>46388.0</v>
      </c>
      <c r="M339" s="24">
        <v>46752.0</v>
      </c>
      <c r="N339" s="20">
        <v>0.0</v>
      </c>
      <c r="O339" s="20">
        <v>1.0</v>
      </c>
      <c r="P339" s="24">
        <v>46753.0</v>
      </c>
      <c r="Q339" s="24">
        <v>47118.0</v>
      </c>
      <c r="R339" s="20">
        <v>0.0</v>
      </c>
      <c r="S339" s="20">
        <v>1.0</v>
      </c>
      <c r="T339" s="24">
        <v>47119.0</v>
      </c>
      <c r="U339" s="24">
        <v>47483.0</v>
      </c>
      <c r="V339" s="20">
        <v>0.0</v>
      </c>
      <c r="W339" s="20">
        <v>1.0</v>
      </c>
      <c r="X339" s="24">
        <v>47484.0</v>
      </c>
      <c r="Y339" s="24">
        <v>47848.0</v>
      </c>
      <c r="Z339" s="20">
        <v>0.0</v>
      </c>
      <c r="AA339" s="20">
        <v>1.0</v>
      </c>
      <c r="AC339" s="24"/>
      <c r="AD339" s="24"/>
      <c r="AH339" s="24"/>
      <c r="AI339" s="24"/>
    </row>
    <row r="340" ht="14.25" customHeight="1">
      <c r="A340" s="46" t="s">
        <v>5616</v>
      </c>
      <c r="B340" s="20" t="s">
        <v>5617</v>
      </c>
      <c r="C340" s="20" t="s">
        <v>7041</v>
      </c>
      <c r="D340" s="24">
        <v>45658.0</v>
      </c>
      <c r="E340" s="24">
        <v>46022.0</v>
      </c>
      <c r="F340" s="20">
        <v>0.0</v>
      </c>
      <c r="G340" s="20">
        <v>1.0</v>
      </c>
      <c r="H340" s="24">
        <v>46023.0</v>
      </c>
      <c r="I340" s="24">
        <v>46387.0</v>
      </c>
      <c r="J340" s="20">
        <v>0.0</v>
      </c>
      <c r="K340" s="20">
        <v>1.0</v>
      </c>
      <c r="L340" s="24">
        <v>46388.0</v>
      </c>
      <c r="M340" s="24">
        <v>46752.0</v>
      </c>
      <c r="N340" s="20">
        <v>0.0</v>
      </c>
      <c r="O340" s="20">
        <v>1.0</v>
      </c>
      <c r="P340" s="24">
        <v>46753.0</v>
      </c>
      <c r="Q340" s="24">
        <v>47118.0</v>
      </c>
      <c r="R340" s="20">
        <v>0.0</v>
      </c>
      <c r="S340" s="20">
        <v>1.0</v>
      </c>
      <c r="T340" s="24">
        <v>47119.0</v>
      </c>
      <c r="U340" s="24">
        <v>47483.0</v>
      </c>
      <c r="V340" s="20">
        <v>0.0</v>
      </c>
      <c r="W340" s="20">
        <v>1.0</v>
      </c>
      <c r="X340" s="24">
        <v>47484.0</v>
      </c>
      <c r="Y340" s="24">
        <v>47848.0</v>
      </c>
      <c r="Z340" s="20">
        <v>0.0</v>
      </c>
      <c r="AA340" s="20">
        <v>1.0</v>
      </c>
      <c r="AC340" s="24"/>
      <c r="AD340" s="24"/>
      <c r="AH340" s="24"/>
      <c r="AI340" s="24"/>
    </row>
    <row r="341" ht="14.25" customHeight="1">
      <c r="A341" s="46" t="s">
        <v>1884</v>
      </c>
      <c r="B341" s="20" t="s">
        <v>1885</v>
      </c>
      <c r="C341" s="20" t="s">
        <v>7041</v>
      </c>
      <c r="D341" s="24">
        <v>45658.0</v>
      </c>
      <c r="E341" s="24">
        <v>46022.0</v>
      </c>
      <c r="F341" s="20">
        <v>1.0</v>
      </c>
      <c r="G341" s="20">
        <v>1.0</v>
      </c>
      <c r="H341" s="24">
        <v>46023.0</v>
      </c>
      <c r="I341" s="24">
        <v>46387.0</v>
      </c>
      <c r="J341" s="20">
        <v>0.0</v>
      </c>
      <c r="K341" s="20">
        <v>1.0</v>
      </c>
      <c r="L341" s="24">
        <v>46388.0</v>
      </c>
      <c r="M341" s="24">
        <v>46752.0</v>
      </c>
      <c r="N341" s="20">
        <v>0.0</v>
      </c>
      <c r="O341" s="20">
        <v>1.0</v>
      </c>
      <c r="P341" s="24">
        <v>46753.0</v>
      </c>
      <c r="Q341" s="24">
        <v>47118.0</v>
      </c>
      <c r="R341" s="20">
        <v>0.0</v>
      </c>
      <c r="S341" s="20">
        <v>1.0</v>
      </c>
      <c r="T341" s="24">
        <v>47119.0</v>
      </c>
      <c r="U341" s="24">
        <v>47483.0</v>
      </c>
      <c r="V341" s="20">
        <v>0.0</v>
      </c>
      <c r="W341" s="20">
        <v>1.0</v>
      </c>
      <c r="X341" s="24">
        <v>47484.0</v>
      </c>
      <c r="Y341" s="24">
        <v>47848.0</v>
      </c>
      <c r="Z341" s="20">
        <v>0.0</v>
      </c>
      <c r="AA341" s="20">
        <v>1.0</v>
      </c>
      <c r="AC341" s="24"/>
      <c r="AD341" s="24"/>
      <c r="AH341" s="24"/>
      <c r="AI341" s="24"/>
    </row>
    <row r="342" ht="14.25" customHeight="1">
      <c r="A342" s="46" t="s">
        <v>5729</v>
      </c>
      <c r="B342" s="20" t="s">
        <v>5730</v>
      </c>
      <c r="C342" s="20" t="s">
        <v>7041</v>
      </c>
      <c r="D342" s="24">
        <v>45658.0</v>
      </c>
      <c r="E342" s="24">
        <v>46022.0</v>
      </c>
      <c r="F342" s="20">
        <v>0.0</v>
      </c>
      <c r="G342" s="20">
        <v>1.0</v>
      </c>
      <c r="H342" s="24">
        <v>46023.0</v>
      </c>
      <c r="I342" s="24">
        <v>46387.0</v>
      </c>
      <c r="J342" s="20">
        <v>0.0</v>
      </c>
      <c r="K342" s="20">
        <v>1.0</v>
      </c>
      <c r="L342" s="24">
        <v>46388.0</v>
      </c>
      <c r="M342" s="24">
        <v>46752.0</v>
      </c>
      <c r="N342" s="20">
        <v>0.0</v>
      </c>
      <c r="O342" s="20">
        <v>1.0</v>
      </c>
      <c r="P342" s="24">
        <v>46753.0</v>
      </c>
      <c r="Q342" s="24">
        <v>47118.0</v>
      </c>
      <c r="R342" s="20">
        <v>0.0</v>
      </c>
      <c r="S342" s="20">
        <v>1.0</v>
      </c>
      <c r="T342" s="24">
        <v>47119.0</v>
      </c>
      <c r="U342" s="24">
        <v>47483.0</v>
      </c>
      <c r="V342" s="20">
        <v>0.0</v>
      </c>
      <c r="W342" s="20">
        <v>1.0</v>
      </c>
      <c r="X342" s="24">
        <v>47484.0</v>
      </c>
      <c r="Y342" s="24">
        <v>47848.0</v>
      </c>
      <c r="Z342" s="20">
        <v>0.0</v>
      </c>
      <c r="AA342" s="20">
        <v>1.0</v>
      </c>
      <c r="AC342" s="24"/>
      <c r="AD342" s="24"/>
      <c r="AH342" s="24"/>
      <c r="AI342" s="24"/>
    </row>
    <row r="343" ht="14.25" customHeight="1">
      <c r="A343" s="46" t="s">
        <v>5767</v>
      </c>
      <c r="B343" s="20" t="s">
        <v>5768</v>
      </c>
      <c r="C343" s="20" t="s">
        <v>7041</v>
      </c>
      <c r="D343" s="24">
        <v>45658.0</v>
      </c>
      <c r="E343" s="24">
        <v>46022.0</v>
      </c>
      <c r="F343" s="20">
        <v>1.0</v>
      </c>
      <c r="G343" s="20">
        <v>1.0</v>
      </c>
      <c r="H343" s="24">
        <v>46023.0</v>
      </c>
      <c r="I343" s="24">
        <v>46387.0</v>
      </c>
      <c r="J343" s="20">
        <v>0.0</v>
      </c>
      <c r="K343" s="20">
        <v>1.0</v>
      </c>
      <c r="L343" s="24">
        <v>46388.0</v>
      </c>
      <c r="M343" s="24">
        <v>46752.0</v>
      </c>
      <c r="N343" s="20">
        <v>0.0</v>
      </c>
      <c r="O343" s="20">
        <v>1.0</v>
      </c>
      <c r="P343" s="24">
        <v>46753.0</v>
      </c>
      <c r="Q343" s="24">
        <v>47118.0</v>
      </c>
      <c r="R343" s="20">
        <v>0.0</v>
      </c>
      <c r="S343" s="20">
        <v>1.0</v>
      </c>
      <c r="T343" s="24">
        <v>47119.0</v>
      </c>
      <c r="U343" s="24">
        <v>47483.0</v>
      </c>
      <c r="V343" s="20">
        <v>0.0</v>
      </c>
      <c r="W343" s="20">
        <v>1.0</v>
      </c>
      <c r="X343" s="24">
        <v>47484.0</v>
      </c>
      <c r="Y343" s="24">
        <v>47848.0</v>
      </c>
      <c r="Z343" s="20">
        <v>0.0</v>
      </c>
      <c r="AA343" s="20">
        <v>1.0</v>
      </c>
      <c r="AC343" s="24"/>
      <c r="AD343" s="24"/>
      <c r="AH343" s="24"/>
      <c r="AI343" s="24"/>
    </row>
    <row r="344" ht="14.25" customHeight="1">
      <c r="A344" s="46" t="s">
        <v>5783</v>
      </c>
      <c r="B344" s="20" t="s">
        <v>5784</v>
      </c>
      <c r="C344" s="20" t="s">
        <v>7041</v>
      </c>
      <c r="D344" s="24">
        <v>45658.0</v>
      </c>
      <c r="E344" s="24">
        <v>46022.0</v>
      </c>
      <c r="F344" s="20">
        <v>0.0</v>
      </c>
      <c r="G344" s="20">
        <v>1.0</v>
      </c>
      <c r="H344" s="24">
        <v>46023.0</v>
      </c>
      <c r="I344" s="24">
        <v>46387.0</v>
      </c>
      <c r="J344" s="20">
        <v>0.0</v>
      </c>
      <c r="K344" s="20">
        <v>1.0</v>
      </c>
      <c r="L344" s="24">
        <v>46388.0</v>
      </c>
      <c r="M344" s="24">
        <v>46752.0</v>
      </c>
      <c r="N344" s="20">
        <v>0.0</v>
      </c>
      <c r="O344" s="20">
        <v>1.0</v>
      </c>
      <c r="P344" s="24">
        <v>46753.0</v>
      </c>
      <c r="Q344" s="24">
        <v>47118.0</v>
      </c>
      <c r="R344" s="20">
        <v>0.0</v>
      </c>
      <c r="S344" s="20">
        <v>1.0</v>
      </c>
      <c r="T344" s="24">
        <v>47119.0</v>
      </c>
      <c r="U344" s="24">
        <v>47483.0</v>
      </c>
      <c r="V344" s="20">
        <v>0.0</v>
      </c>
      <c r="W344" s="20">
        <v>1.0</v>
      </c>
      <c r="X344" s="24">
        <v>47484.0</v>
      </c>
      <c r="Y344" s="24">
        <v>47848.0</v>
      </c>
      <c r="Z344" s="20">
        <v>0.0</v>
      </c>
      <c r="AA344" s="20">
        <v>1.0</v>
      </c>
      <c r="AC344" s="24"/>
      <c r="AD344" s="24"/>
      <c r="AH344" s="24"/>
      <c r="AI344" s="24"/>
    </row>
    <row r="345" ht="14.25" customHeight="1">
      <c r="A345" s="46" t="s">
        <v>5802</v>
      </c>
      <c r="B345" s="20" t="s">
        <v>5803</v>
      </c>
      <c r="C345" s="20" t="s">
        <v>7041</v>
      </c>
      <c r="D345" s="24">
        <v>45658.0</v>
      </c>
      <c r="E345" s="24">
        <v>46022.0</v>
      </c>
      <c r="F345" s="20">
        <v>0.0</v>
      </c>
      <c r="G345" s="20">
        <v>1.0</v>
      </c>
      <c r="H345" s="24">
        <v>46023.0</v>
      </c>
      <c r="I345" s="24">
        <v>46387.0</v>
      </c>
      <c r="J345" s="20">
        <v>0.0</v>
      </c>
      <c r="K345" s="20">
        <v>1.0</v>
      </c>
      <c r="L345" s="24">
        <v>46388.0</v>
      </c>
      <c r="M345" s="24">
        <v>46752.0</v>
      </c>
      <c r="N345" s="20">
        <v>0.0</v>
      </c>
      <c r="O345" s="20">
        <v>1.0</v>
      </c>
      <c r="P345" s="24">
        <v>46753.0</v>
      </c>
      <c r="Q345" s="24">
        <v>47118.0</v>
      </c>
      <c r="R345" s="20">
        <v>0.0</v>
      </c>
      <c r="S345" s="20">
        <v>1.0</v>
      </c>
      <c r="T345" s="24">
        <v>47119.0</v>
      </c>
      <c r="U345" s="24">
        <v>47483.0</v>
      </c>
      <c r="V345" s="20">
        <v>0.0</v>
      </c>
      <c r="W345" s="20">
        <v>1.0</v>
      </c>
      <c r="X345" s="24">
        <v>47484.0</v>
      </c>
      <c r="Y345" s="24">
        <v>47848.0</v>
      </c>
      <c r="Z345" s="20">
        <v>0.0</v>
      </c>
      <c r="AA345" s="20">
        <v>1.0</v>
      </c>
      <c r="AC345" s="24"/>
      <c r="AD345" s="24"/>
      <c r="AH345" s="24"/>
      <c r="AI345" s="24"/>
    </row>
    <row r="346" ht="14.25" customHeight="1">
      <c r="A346" s="46" t="s">
        <v>5813</v>
      </c>
      <c r="B346" s="20" t="s">
        <v>5814</v>
      </c>
      <c r="C346" s="20" t="s">
        <v>7044</v>
      </c>
      <c r="D346" s="24">
        <v>45658.0</v>
      </c>
      <c r="E346" s="24">
        <v>46022.0</v>
      </c>
      <c r="F346" s="20">
        <v>0.0</v>
      </c>
      <c r="G346" s="20">
        <v>1.0</v>
      </c>
      <c r="H346" s="24">
        <v>46023.0</v>
      </c>
      <c r="I346" s="24">
        <v>46387.0</v>
      </c>
      <c r="J346" s="20">
        <v>0.0</v>
      </c>
      <c r="K346" s="20">
        <v>1.0</v>
      </c>
      <c r="L346" s="24">
        <v>46388.0</v>
      </c>
      <c r="M346" s="24">
        <v>46752.0</v>
      </c>
      <c r="N346" s="20">
        <v>0.0</v>
      </c>
      <c r="O346" s="20">
        <v>1.0</v>
      </c>
      <c r="P346" s="24">
        <v>46753.0</v>
      </c>
      <c r="Q346" s="24">
        <v>47118.0</v>
      </c>
      <c r="R346" s="20">
        <v>0.0</v>
      </c>
      <c r="S346" s="20">
        <v>1.0</v>
      </c>
      <c r="T346" s="24">
        <v>47119.0</v>
      </c>
      <c r="U346" s="24">
        <v>47483.0</v>
      </c>
      <c r="V346" s="20">
        <v>0.0</v>
      </c>
      <c r="W346" s="20">
        <v>1.0</v>
      </c>
      <c r="X346" s="24">
        <v>47484.0</v>
      </c>
      <c r="Y346" s="24">
        <v>47848.0</v>
      </c>
      <c r="Z346" s="20">
        <v>0.0</v>
      </c>
      <c r="AA346" s="20">
        <v>1.0</v>
      </c>
      <c r="AC346" s="24"/>
      <c r="AD346" s="24"/>
      <c r="AH346" s="24"/>
      <c r="AI346" s="24"/>
    </row>
    <row r="347" ht="14.25" customHeight="1">
      <c r="A347" s="46" t="s">
        <v>5838</v>
      </c>
      <c r="B347" s="20" t="s">
        <v>5839</v>
      </c>
      <c r="C347" s="20" t="s">
        <v>7041</v>
      </c>
      <c r="D347" s="24">
        <v>45658.0</v>
      </c>
      <c r="E347" s="24">
        <v>46022.0</v>
      </c>
      <c r="F347" s="20">
        <v>1.0</v>
      </c>
      <c r="G347" s="20">
        <v>1.0</v>
      </c>
      <c r="H347" s="24">
        <v>46023.0</v>
      </c>
      <c r="I347" s="24">
        <v>46387.0</v>
      </c>
      <c r="J347" s="20">
        <v>0.0</v>
      </c>
      <c r="K347" s="20">
        <v>1.0</v>
      </c>
      <c r="L347" s="24">
        <v>46388.0</v>
      </c>
      <c r="M347" s="24">
        <v>46752.0</v>
      </c>
      <c r="N347" s="20">
        <v>0.0</v>
      </c>
      <c r="O347" s="20">
        <v>1.0</v>
      </c>
      <c r="P347" s="24">
        <v>46753.0</v>
      </c>
      <c r="Q347" s="24">
        <v>47118.0</v>
      </c>
      <c r="R347" s="20">
        <v>0.0</v>
      </c>
      <c r="S347" s="20">
        <v>1.0</v>
      </c>
      <c r="T347" s="24">
        <v>47119.0</v>
      </c>
      <c r="U347" s="24">
        <v>47483.0</v>
      </c>
      <c r="V347" s="20">
        <v>0.0</v>
      </c>
      <c r="W347" s="20">
        <v>1.0</v>
      </c>
      <c r="X347" s="24">
        <v>47484.0</v>
      </c>
      <c r="Y347" s="24">
        <v>47848.0</v>
      </c>
      <c r="Z347" s="20">
        <v>0.0</v>
      </c>
      <c r="AA347" s="20">
        <v>1.0</v>
      </c>
      <c r="AC347" s="24"/>
      <c r="AD347" s="24"/>
      <c r="AH347" s="24"/>
      <c r="AI347" s="24"/>
    </row>
    <row r="348" ht="14.25" customHeight="1">
      <c r="A348" s="46" t="s">
        <v>5880</v>
      </c>
      <c r="B348" s="20" t="s">
        <v>5881</v>
      </c>
      <c r="C348" s="20" t="s">
        <v>7041</v>
      </c>
      <c r="D348" s="24">
        <v>45658.0</v>
      </c>
      <c r="E348" s="24">
        <v>46022.0</v>
      </c>
      <c r="F348" s="20">
        <v>0.0</v>
      </c>
      <c r="G348" s="20">
        <v>1.0</v>
      </c>
      <c r="H348" s="24">
        <v>46023.0</v>
      </c>
      <c r="I348" s="24">
        <v>46387.0</v>
      </c>
      <c r="J348" s="20">
        <v>0.0</v>
      </c>
      <c r="K348" s="20">
        <v>1.0</v>
      </c>
      <c r="L348" s="24">
        <v>46388.0</v>
      </c>
      <c r="M348" s="24">
        <v>46752.0</v>
      </c>
      <c r="N348" s="20">
        <v>0.0</v>
      </c>
      <c r="O348" s="20">
        <v>1.0</v>
      </c>
      <c r="P348" s="24">
        <v>46753.0</v>
      </c>
      <c r="Q348" s="24">
        <v>47118.0</v>
      </c>
      <c r="R348" s="20">
        <v>0.0</v>
      </c>
      <c r="S348" s="20">
        <v>1.0</v>
      </c>
      <c r="T348" s="24">
        <v>47119.0</v>
      </c>
      <c r="U348" s="24">
        <v>47483.0</v>
      </c>
      <c r="V348" s="20">
        <v>0.0</v>
      </c>
      <c r="W348" s="20">
        <v>1.0</v>
      </c>
      <c r="X348" s="24">
        <v>47484.0</v>
      </c>
      <c r="Y348" s="24">
        <v>47848.0</v>
      </c>
      <c r="Z348" s="20">
        <v>0.0</v>
      </c>
      <c r="AA348" s="20">
        <v>1.0</v>
      </c>
      <c r="AC348" s="24"/>
      <c r="AD348" s="24"/>
      <c r="AH348" s="24"/>
      <c r="AI348" s="24"/>
    </row>
    <row r="349" ht="14.25" customHeight="1">
      <c r="A349" s="46" t="s">
        <v>5893</v>
      </c>
      <c r="B349" s="20" t="s">
        <v>5894</v>
      </c>
      <c r="C349" s="20" t="s">
        <v>7041</v>
      </c>
      <c r="D349" s="24">
        <v>45658.0</v>
      </c>
      <c r="E349" s="24">
        <v>46022.0</v>
      </c>
      <c r="F349" s="20">
        <v>0.0</v>
      </c>
      <c r="G349" s="20">
        <v>1.0</v>
      </c>
      <c r="H349" s="24">
        <v>46023.0</v>
      </c>
      <c r="I349" s="24">
        <v>46387.0</v>
      </c>
      <c r="J349" s="20">
        <v>0.0</v>
      </c>
      <c r="K349" s="20">
        <v>1.0</v>
      </c>
      <c r="L349" s="24">
        <v>46388.0</v>
      </c>
      <c r="M349" s="24">
        <v>46752.0</v>
      </c>
      <c r="N349" s="20">
        <v>0.0</v>
      </c>
      <c r="O349" s="20">
        <v>1.0</v>
      </c>
      <c r="P349" s="24">
        <v>46753.0</v>
      </c>
      <c r="Q349" s="24">
        <v>47118.0</v>
      </c>
      <c r="R349" s="20">
        <v>0.0</v>
      </c>
      <c r="S349" s="20">
        <v>1.0</v>
      </c>
      <c r="T349" s="24">
        <v>47119.0</v>
      </c>
      <c r="U349" s="24">
        <v>47483.0</v>
      </c>
      <c r="V349" s="20">
        <v>0.0</v>
      </c>
      <c r="W349" s="20">
        <v>1.0</v>
      </c>
      <c r="X349" s="24">
        <v>47484.0</v>
      </c>
      <c r="Y349" s="24">
        <v>47848.0</v>
      </c>
      <c r="Z349" s="20">
        <v>0.0</v>
      </c>
      <c r="AA349" s="20">
        <v>1.0</v>
      </c>
      <c r="AC349" s="24"/>
      <c r="AD349" s="24"/>
      <c r="AH349" s="24"/>
      <c r="AI349" s="24"/>
    </row>
    <row r="350" ht="14.25" customHeight="1">
      <c r="A350" s="46" t="s">
        <v>6006</v>
      </c>
      <c r="B350" s="20" t="s">
        <v>6007</v>
      </c>
      <c r="C350" s="20" t="s">
        <v>7041</v>
      </c>
      <c r="D350" s="24">
        <v>45658.0</v>
      </c>
      <c r="E350" s="24">
        <v>46022.0</v>
      </c>
      <c r="F350" s="20">
        <v>0.0</v>
      </c>
      <c r="G350" s="20">
        <v>1.0</v>
      </c>
      <c r="H350" s="24">
        <v>46023.0</v>
      </c>
      <c r="I350" s="24">
        <v>46387.0</v>
      </c>
      <c r="J350" s="20">
        <v>0.0</v>
      </c>
      <c r="K350" s="20">
        <v>1.0</v>
      </c>
      <c r="L350" s="24">
        <v>46388.0</v>
      </c>
      <c r="M350" s="24">
        <v>46752.0</v>
      </c>
      <c r="N350" s="20">
        <v>0.0</v>
      </c>
      <c r="O350" s="20">
        <v>1.0</v>
      </c>
      <c r="P350" s="24">
        <v>46753.0</v>
      </c>
      <c r="Q350" s="24">
        <v>47118.0</v>
      </c>
      <c r="R350" s="20">
        <v>0.0</v>
      </c>
      <c r="S350" s="20">
        <v>1.0</v>
      </c>
      <c r="T350" s="24">
        <v>47119.0</v>
      </c>
      <c r="U350" s="24">
        <v>47483.0</v>
      </c>
      <c r="V350" s="20">
        <v>0.0</v>
      </c>
      <c r="W350" s="20">
        <v>1.0</v>
      </c>
      <c r="X350" s="24">
        <v>47484.0</v>
      </c>
      <c r="Y350" s="24">
        <v>47848.0</v>
      </c>
      <c r="Z350" s="20">
        <v>0.0</v>
      </c>
      <c r="AA350" s="20">
        <v>1.0</v>
      </c>
      <c r="AC350" s="24"/>
      <c r="AD350" s="24"/>
      <c r="AH350" s="24"/>
      <c r="AI350" s="24"/>
    </row>
    <row r="351" ht="14.25" customHeight="1">
      <c r="A351" s="46" t="s">
        <v>6035</v>
      </c>
      <c r="B351" s="20" t="s">
        <v>6036</v>
      </c>
      <c r="C351" s="20" t="s">
        <v>7041</v>
      </c>
      <c r="D351" s="24">
        <v>45658.0</v>
      </c>
      <c r="E351" s="24">
        <v>46022.0</v>
      </c>
      <c r="F351" s="20">
        <v>0.0</v>
      </c>
      <c r="G351" s="20">
        <v>1.0</v>
      </c>
      <c r="H351" s="24">
        <v>46023.0</v>
      </c>
      <c r="I351" s="24">
        <v>46387.0</v>
      </c>
      <c r="J351" s="20">
        <v>0.0</v>
      </c>
      <c r="K351" s="20">
        <v>1.0</v>
      </c>
      <c r="L351" s="24">
        <v>46388.0</v>
      </c>
      <c r="M351" s="24">
        <v>46752.0</v>
      </c>
      <c r="N351" s="20">
        <v>0.0</v>
      </c>
      <c r="O351" s="20">
        <v>1.0</v>
      </c>
      <c r="P351" s="24">
        <v>46753.0</v>
      </c>
      <c r="Q351" s="24">
        <v>47118.0</v>
      </c>
      <c r="R351" s="20">
        <v>0.0</v>
      </c>
      <c r="S351" s="20">
        <v>1.0</v>
      </c>
      <c r="T351" s="24">
        <v>47119.0</v>
      </c>
      <c r="U351" s="24">
        <v>47483.0</v>
      </c>
      <c r="V351" s="20">
        <v>0.0</v>
      </c>
      <c r="W351" s="20">
        <v>1.0</v>
      </c>
      <c r="X351" s="24">
        <v>47484.0</v>
      </c>
      <c r="Y351" s="24">
        <v>47848.0</v>
      </c>
      <c r="Z351" s="20">
        <v>0.0</v>
      </c>
      <c r="AA351" s="20">
        <v>1.0</v>
      </c>
      <c r="AC351" s="24"/>
      <c r="AD351" s="24"/>
      <c r="AH351" s="24"/>
      <c r="AI351" s="24"/>
    </row>
    <row r="352" ht="14.25" customHeight="1">
      <c r="A352" s="46" t="s">
        <v>6068</v>
      </c>
      <c r="B352" s="20" t="s">
        <v>6069</v>
      </c>
      <c r="C352" s="20" t="s">
        <v>7041</v>
      </c>
      <c r="D352" s="24">
        <v>45658.0</v>
      </c>
      <c r="E352" s="24">
        <v>46022.0</v>
      </c>
      <c r="F352" s="20">
        <v>0.0</v>
      </c>
      <c r="G352" s="20">
        <v>1.0</v>
      </c>
      <c r="H352" s="24">
        <v>46023.0</v>
      </c>
      <c r="I352" s="24">
        <v>46387.0</v>
      </c>
      <c r="J352" s="20">
        <v>0.0</v>
      </c>
      <c r="K352" s="20">
        <v>1.0</v>
      </c>
      <c r="L352" s="24">
        <v>46388.0</v>
      </c>
      <c r="M352" s="24">
        <v>46752.0</v>
      </c>
      <c r="N352" s="20">
        <v>0.0</v>
      </c>
      <c r="O352" s="20">
        <v>1.0</v>
      </c>
      <c r="P352" s="24">
        <v>46753.0</v>
      </c>
      <c r="Q352" s="24">
        <v>47118.0</v>
      </c>
      <c r="R352" s="20">
        <v>0.0</v>
      </c>
      <c r="S352" s="20">
        <v>1.0</v>
      </c>
      <c r="T352" s="24">
        <v>47119.0</v>
      </c>
      <c r="U352" s="24">
        <v>47483.0</v>
      </c>
      <c r="V352" s="20">
        <v>0.0</v>
      </c>
      <c r="W352" s="20">
        <v>1.0</v>
      </c>
      <c r="X352" s="24">
        <v>47484.0</v>
      </c>
      <c r="Y352" s="24">
        <v>47848.0</v>
      </c>
      <c r="Z352" s="20">
        <v>0.0</v>
      </c>
      <c r="AA352" s="20">
        <v>1.0</v>
      </c>
      <c r="AC352" s="24"/>
      <c r="AD352" s="24"/>
      <c r="AH352" s="24"/>
      <c r="AI352" s="24"/>
    </row>
    <row r="353" ht="14.25" customHeight="1">
      <c r="A353" s="46" t="s">
        <v>6125</v>
      </c>
      <c r="B353" s="20" t="s">
        <v>6126</v>
      </c>
      <c r="C353" s="20" t="s">
        <v>7041</v>
      </c>
      <c r="D353" s="24">
        <v>45658.0</v>
      </c>
      <c r="E353" s="24">
        <v>46022.0</v>
      </c>
      <c r="F353" s="20">
        <v>0.0</v>
      </c>
      <c r="G353" s="20">
        <v>1.0</v>
      </c>
      <c r="H353" s="24">
        <v>46023.0</v>
      </c>
      <c r="I353" s="24">
        <v>46387.0</v>
      </c>
      <c r="J353" s="20">
        <v>0.0</v>
      </c>
      <c r="K353" s="20">
        <v>1.0</v>
      </c>
      <c r="L353" s="24">
        <v>46388.0</v>
      </c>
      <c r="M353" s="24">
        <v>46752.0</v>
      </c>
      <c r="N353" s="20">
        <v>0.0</v>
      </c>
      <c r="O353" s="20">
        <v>1.0</v>
      </c>
      <c r="P353" s="24">
        <v>46753.0</v>
      </c>
      <c r="Q353" s="24">
        <v>47118.0</v>
      </c>
      <c r="R353" s="20">
        <v>0.0</v>
      </c>
      <c r="S353" s="20">
        <v>1.0</v>
      </c>
      <c r="T353" s="24">
        <v>47119.0</v>
      </c>
      <c r="U353" s="24">
        <v>47483.0</v>
      </c>
      <c r="V353" s="20">
        <v>0.0</v>
      </c>
      <c r="W353" s="20">
        <v>1.0</v>
      </c>
      <c r="X353" s="24">
        <v>47484.0</v>
      </c>
      <c r="Y353" s="24">
        <v>47848.0</v>
      </c>
      <c r="Z353" s="20">
        <v>0.0</v>
      </c>
      <c r="AA353" s="20">
        <v>1.0</v>
      </c>
      <c r="AC353" s="24"/>
      <c r="AD353" s="24"/>
      <c r="AH353" s="24"/>
      <c r="AI353" s="24"/>
    </row>
    <row r="354" ht="14.25" customHeight="1">
      <c r="A354" s="46" t="s">
        <v>6184</v>
      </c>
      <c r="B354" s="20" t="s">
        <v>6185</v>
      </c>
      <c r="C354" s="20" t="s">
        <v>7041</v>
      </c>
      <c r="D354" s="24">
        <v>45658.0</v>
      </c>
      <c r="E354" s="24">
        <v>46022.0</v>
      </c>
      <c r="F354" s="20">
        <v>0.0</v>
      </c>
      <c r="G354" s="20">
        <v>1.0</v>
      </c>
      <c r="H354" s="24">
        <v>46023.0</v>
      </c>
      <c r="I354" s="24">
        <v>46387.0</v>
      </c>
      <c r="J354" s="20">
        <v>0.0</v>
      </c>
      <c r="K354" s="20">
        <v>1.0</v>
      </c>
      <c r="L354" s="24">
        <v>46388.0</v>
      </c>
      <c r="M354" s="24">
        <v>46752.0</v>
      </c>
      <c r="N354" s="20">
        <v>0.0</v>
      </c>
      <c r="O354" s="20">
        <v>1.0</v>
      </c>
      <c r="P354" s="24">
        <v>46753.0</v>
      </c>
      <c r="Q354" s="24">
        <v>47118.0</v>
      </c>
      <c r="R354" s="20">
        <v>0.0</v>
      </c>
      <c r="S354" s="20">
        <v>1.0</v>
      </c>
      <c r="T354" s="24">
        <v>47119.0</v>
      </c>
      <c r="U354" s="24">
        <v>47483.0</v>
      </c>
      <c r="V354" s="20">
        <v>0.0</v>
      </c>
      <c r="W354" s="20">
        <v>1.0</v>
      </c>
      <c r="X354" s="24">
        <v>47484.0</v>
      </c>
      <c r="Y354" s="24">
        <v>47848.0</v>
      </c>
      <c r="Z354" s="20">
        <v>0.0</v>
      </c>
      <c r="AA354" s="20">
        <v>1.0</v>
      </c>
      <c r="AC354" s="24"/>
      <c r="AD354" s="24"/>
      <c r="AH354" s="24"/>
      <c r="AI354" s="24"/>
    </row>
    <row r="355" ht="14.25" customHeight="1">
      <c r="A355" s="46" t="s">
        <v>6251</v>
      </c>
      <c r="B355" s="20" t="s">
        <v>6252</v>
      </c>
      <c r="C355" s="20" t="s">
        <v>7041</v>
      </c>
      <c r="D355" s="24">
        <v>45658.0</v>
      </c>
      <c r="E355" s="24">
        <v>46022.0</v>
      </c>
      <c r="F355" s="20">
        <v>0.0</v>
      </c>
      <c r="G355" s="20">
        <v>1.0</v>
      </c>
      <c r="H355" s="24">
        <v>46023.0</v>
      </c>
      <c r="I355" s="24">
        <v>46387.0</v>
      </c>
      <c r="J355" s="20">
        <v>0.0</v>
      </c>
      <c r="K355" s="20">
        <v>1.0</v>
      </c>
      <c r="L355" s="24">
        <v>46388.0</v>
      </c>
      <c r="M355" s="24">
        <v>46752.0</v>
      </c>
      <c r="N355" s="20">
        <v>0.0</v>
      </c>
      <c r="O355" s="20">
        <v>1.0</v>
      </c>
      <c r="P355" s="24">
        <v>46753.0</v>
      </c>
      <c r="Q355" s="24">
        <v>47118.0</v>
      </c>
      <c r="R355" s="20">
        <v>0.0</v>
      </c>
      <c r="S355" s="20">
        <v>1.0</v>
      </c>
      <c r="T355" s="24">
        <v>47119.0</v>
      </c>
      <c r="U355" s="24">
        <v>47483.0</v>
      </c>
      <c r="V355" s="20">
        <v>0.0</v>
      </c>
      <c r="W355" s="20">
        <v>1.0</v>
      </c>
      <c r="X355" s="24">
        <v>47484.0</v>
      </c>
      <c r="Y355" s="24">
        <v>47848.0</v>
      </c>
      <c r="Z355" s="20">
        <v>0.0</v>
      </c>
      <c r="AA355" s="20">
        <v>1.0</v>
      </c>
      <c r="AC355" s="24"/>
      <c r="AD355" s="24"/>
      <c r="AH355" s="24"/>
      <c r="AI355" s="24"/>
    </row>
    <row r="356" ht="14.25" customHeight="1">
      <c r="A356" s="46" t="s">
        <v>6254</v>
      </c>
      <c r="B356" s="20" t="s">
        <v>6255</v>
      </c>
      <c r="C356" s="20" t="s">
        <v>7041</v>
      </c>
      <c r="D356" s="24">
        <v>45658.0</v>
      </c>
      <c r="E356" s="24">
        <v>46022.0</v>
      </c>
      <c r="F356" s="20">
        <v>0.0</v>
      </c>
      <c r="G356" s="20">
        <v>1.0</v>
      </c>
      <c r="H356" s="24">
        <v>46023.0</v>
      </c>
      <c r="I356" s="24">
        <v>46387.0</v>
      </c>
      <c r="J356" s="20">
        <v>0.0</v>
      </c>
      <c r="K356" s="20">
        <v>1.0</v>
      </c>
      <c r="L356" s="24">
        <v>46388.0</v>
      </c>
      <c r="M356" s="24">
        <v>46752.0</v>
      </c>
      <c r="N356" s="20">
        <v>0.0</v>
      </c>
      <c r="O356" s="20">
        <v>1.0</v>
      </c>
      <c r="P356" s="24">
        <v>46753.0</v>
      </c>
      <c r="Q356" s="24">
        <v>47118.0</v>
      </c>
      <c r="R356" s="20">
        <v>0.0</v>
      </c>
      <c r="S356" s="20">
        <v>1.0</v>
      </c>
      <c r="T356" s="24">
        <v>47119.0</v>
      </c>
      <c r="U356" s="24">
        <v>47483.0</v>
      </c>
      <c r="V356" s="20">
        <v>0.0</v>
      </c>
      <c r="W356" s="20">
        <v>1.0</v>
      </c>
      <c r="X356" s="24">
        <v>47484.0</v>
      </c>
      <c r="Y356" s="24">
        <v>47848.0</v>
      </c>
      <c r="Z356" s="20">
        <v>0.0</v>
      </c>
      <c r="AA356" s="20">
        <v>1.0</v>
      </c>
      <c r="AC356" s="24"/>
      <c r="AD356" s="24"/>
      <c r="AH356" s="24"/>
      <c r="AI356" s="24"/>
    </row>
    <row r="357" ht="14.25" customHeight="1">
      <c r="A357" s="46" t="s">
        <v>6257</v>
      </c>
      <c r="B357" s="20" t="s">
        <v>6258</v>
      </c>
      <c r="C357" s="20" t="s">
        <v>7041</v>
      </c>
      <c r="D357" s="24">
        <v>45658.0</v>
      </c>
      <c r="E357" s="24">
        <v>46022.0</v>
      </c>
      <c r="F357" s="20">
        <v>1.0</v>
      </c>
      <c r="G357" s="20">
        <v>1.0</v>
      </c>
      <c r="H357" s="24">
        <v>46023.0</v>
      </c>
      <c r="I357" s="24">
        <v>46387.0</v>
      </c>
      <c r="J357" s="20">
        <v>0.0</v>
      </c>
      <c r="K357" s="20">
        <v>1.0</v>
      </c>
      <c r="L357" s="24">
        <v>46388.0</v>
      </c>
      <c r="M357" s="24">
        <v>46752.0</v>
      </c>
      <c r="N357" s="20">
        <v>0.0</v>
      </c>
      <c r="O357" s="20">
        <v>1.0</v>
      </c>
      <c r="P357" s="24">
        <v>46753.0</v>
      </c>
      <c r="Q357" s="24">
        <v>47118.0</v>
      </c>
      <c r="R357" s="20">
        <v>0.0</v>
      </c>
      <c r="S357" s="20">
        <v>1.0</v>
      </c>
      <c r="T357" s="24">
        <v>47119.0</v>
      </c>
      <c r="U357" s="24">
        <v>47483.0</v>
      </c>
      <c r="V357" s="20">
        <v>0.0</v>
      </c>
      <c r="W357" s="20">
        <v>1.0</v>
      </c>
      <c r="X357" s="24">
        <v>47484.0</v>
      </c>
      <c r="Y357" s="24">
        <v>47848.0</v>
      </c>
      <c r="Z357" s="20">
        <v>0.0</v>
      </c>
      <c r="AA357" s="20">
        <v>1.0</v>
      </c>
      <c r="AC357" s="24"/>
      <c r="AD357" s="24"/>
      <c r="AH357" s="24"/>
      <c r="AI357" s="24"/>
    </row>
    <row r="358" ht="14.25" customHeight="1">
      <c r="A358" s="46" t="s">
        <v>6264</v>
      </c>
      <c r="B358" s="20" t="s">
        <v>6265</v>
      </c>
      <c r="C358" s="20" t="s">
        <v>7041</v>
      </c>
      <c r="D358" s="24">
        <v>45658.0</v>
      </c>
      <c r="E358" s="24">
        <v>46022.0</v>
      </c>
      <c r="F358" s="20">
        <v>0.0</v>
      </c>
      <c r="G358" s="20">
        <v>1.0</v>
      </c>
      <c r="H358" s="24">
        <v>46023.0</v>
      </c>
      <c r="I358" s="24">
        <v>46387.0</v>
      </c>
      <c r="J358" s="20">
        <v>0.0</v>
      </c>
      <c r="K358" s="20">
        <v>1.0</v>
      </c>
      <c r="L358" s="24">
        <v>46388.0</v>
      </c>
      <c r="M358" s="24">
        <v>46752.0</v>
      </c>
      <c r="N358" s="20">
        <v>0.0</v>
      </c>
      <c r="O358" s="20">
        <v>1.0</v>
      </c>
      <c r="P358" s="24">
        <v>46753.0</v>
      </c>
      <c r="Q358" s="24">
        <v>47118.0</v>
      </c>
      <c r="R358" s="20">
        <v>0.0</v>
      </c>
      <c r="S358" s="20">
        <v>1.0</v>
      </c>
      <c r="T358" s="24">
        <v>47119.0</v>
      </c>
      <c r="U358" s="24">
        <v>47483.0</v>
      </c>
      <c r="V358" s="20">
        <v>0.0</v>
      </c>
      <c r="W358" s="20">
        <v>1.0</v>
      </c>
      <c r="X358" s="24">
        <v>47484.0</v>
      </c>
      <c r="Y358" s="24">
        <v>47848.0</v>
      </c>
      <c r="Z358" s="20">
        <v>0.0</v>
      </c>
      <c r="AA358" s="20">
        <v>1.0</v>
      </c>
      <c r="AC358" s="24"/>
      <c r="AD358" s="24"/>
      <c r="AH358" s="24"/>
      <c r="AI358" s="24"/>
    </row>
    <row r="359" ht="14.25" customHeight="1">
      <c r="A359" s="46" t="s">
        <v>6288</v>
      </c>
      <c r="B359" s="20" t="s">
        <v>6289</v>
      </c>
      <c r="C359" s="20" t="s">
        <v>7041</v>
      </c>
      <c r="D359" s="24">
        <v>45658.0</v>
      </c>
      <c r="E359" s="24">
        <v>46022.0</v>
      </c>
      <c r="F359" s="20">
        <v>0.0</v>
      </c>
      <c r="G359" s="20">
        <v>1.0</v>
      </c>
      <c r="H359" s="24">
        <v>46023.0</v>
      </c>
      <c r="I359" s="24">
        <v>46387.0</v>
      </c>
      <c r="J359" s="20">
        <v>0.0</v>
      </c>
      <c r="K359" s="20">
        <v>1.0</v>
      </c>
      <c r="L359" s="24">
        <v>46388.0</v>
      </c>
      <c r="M359" s="24">
        <v>46752.0</v>
      </c>
      <c r="N359" s="20">
        <v>0.0</v>
      </c>
      <c r="O359" s="20">
        <v>1.0</v>
      </c>
      <c r="P359" s="24">
        <v>46753.0</v>
      </c>
      <c r="Q359" s="24">
        <v>47118.0</v>
      </c>
      <c r="R359" s="20">
        <v>0.0</v>
      </c>
      <c r="S359" s="20">
        <v>1.0</v>
      </c>
      <c r="T359" s="24">
        <v>47119.0</v>
      </c>
      <c r="U359" s="24">
        <v>47483.0</v>
      </c>
      <c r="V359" s="20">
        <v>0.0</v>
      </c>
      <c r="W359" s="20">
        <v>1.0</v>
      </c>
      <c r="X359" s="24">
        <v>47484.0</v>
      </c>
      <c r="Y359" s="24">
        <v>47848.0</v>
      </c>
      <c r="Z359" s="20">
        <v>0.0</v>
      </c>
      <c r="AA359" s="20">
        <v>1.0</v>
      </c>
      <c r="AC359" s="24"/>
      <c r="AD359" s="24"/>
      <c r="AH359" s="24"/>
      <c r="AI359" s="24"/>
    </row>
    <row r="360" ht="14.25" customHeight="1">
      <c r="A360" s="46" t="s">
        <v>6370</v>
      </c>
      <c r="B360" s="20" t="s">
        <v>6371</v>
      </c>
      <c r="C360" s="20" t="s">
        <v>7041</v>
      </c>
      <c r="D360" s="24">
        <v>45658.0</v>
      </c>
      <c r="E360" s="24">
        <v>46022.0</v>
      </c>
      <c r="F360" s="20">
        <v>0.0</v>
      </c>
      <c r="G360" s="20">
        <v>1.0</v>
      </c>
      <c r="H360" s="24">
        <v>46023.0</v>
      </c>
      <c r="I360" s="24">
        <v>46387.0</v>
      </c>
      <c r="J360" s="20">
        <v>0.0</v>
      </c>
      <c r="K360" s="20">
        <v>1.0</v>
      </c>
      <c r="L360" s="24">
        <v>46388.0</v>
      </c>
      <c r="M360" s="24">
        <v>46752.0</v>
      </c>
      <c r="N360" s="20">
        <v>0.0</v>
      </c>
      <c r="O360" s="20">
        <v>1.0</v>
      </c>
      <c r="P360" s="24">
        <v>46753.0</v>
      </c>
      <c r="Q360" s="24">
        <v>47118.0</v>
      </c>
      <c r="R360" s="20">
        <v>0.0</v>
      </c>
      <c r="S360" s="20">
        <v>1.0</v>
      </c>
      <c r="T360" s="24">
        <v>47119.0</v>
      </c>
      <c r="U360" s="24">
        <v>47483.0</v>
      </c>
      <c r="V360" s="20">
        <v>0.0</v>
      </c>
      <c r="W360" s="20">
        <v>1.0</v>
      </c>
      <c r="X360" s="24">
        <v>47484.0</v>
      </c>
      <c r="Y360" s="24">
        <v>47848.0</v>
      </c>
      <c r="Z360" s="20">
        <v>0.0</v>
      </c>
      <c r="AA360" s="20">
        <v>1.0</v>
      </c>
      <c r="AC360" s="24"/>
      <c r="AD360" s="24"/>
      <c r="AH360" s="24"/>
      <c r="AI360" s="24"/>
    </row>
    <row r="361" ht="14.25" customHeight="1">
      <c r="A361" s="46" t="s">
        <v>6425</v>
      </c>
      <c r="B361" s="20" t="s">
        <v>6426</v>
      </c>
      <c r="C361" s="20" t="s">
        <v>7041</v>
      </c>
      <c r="D361" s="24">
        <v>45658.0</v>
      </c>
      <c r="E361" s="24">
        <v>46022.0</v>
      </c>
      <c r="F361" s="20">
        <v>0.0</v>
      </c>
      <c r="G361" s="20">
        <v>1.0</v>
      </c>
      <c r="H361" s="24">
        <v>46023.0</v>
      </c>
      <c r="I361" s="24">
        <v>46387.0</v>
      </c>
      <c r="J361" s="20">
        <v>0.0</v>
      </c>
      <c r="K361" s="20">
        <v>1.0</v>
      </c>
      <c r="L361" s="24">
        <v>46388.0</v>
      </c>
      <c r="M361" s="24">
        <v>46752.0</v>
      </c>
      <c r="N361" s="20">
        <v>0.0</v>
      </c>
      <c r="O361" s="20">
        <v>1.0</v>
      </c>
      <c r="P361" s="24">
        <v>46753.0</v>
      </c>
      <c r="Q361" s="24">
        <v>47118.0</v>
      </c>
      <c r="R361" s="20">
        <v>0.0</v>
      </c>
      <c r="S361" s="20">
        <v>1.0</v>
      </c>
      <c r="T361" s="24">
        <v>47119.0</v>
      </c>
      <c r="U361" s="24">
        <v>47483.0</v>
      </c>
      <c r="V361" s="20">
        <v>0.0</v>
      </c>
      <c r="W361" s="20">
        <v>1.0</v>
      </c>
      <c r="X361" s="24">
        <v>47484.0</v>
      </c>
      <c r="Y361" s="24">
        <v>47848.0</v>
      </c>
      <c r="Z361" s="20">
        <v>0.0</v>
      </c>
      <c r="AA361" s="20">
        <v>1.0</v>
      </c>
      <c r="AC361" s="24"/>
      <c r="AD361" s="24"/>
      <c r="AH361" s="24"/>
      <c r="AI361" s="24"/>
    </row>
    <row r="362" ht="14.25" customHeight="1">
      <c r="A362" s="46" t="s">
        <v>6454</v>
      </c>
      <c r="B362" s="20" t="s">
        <v>6455</v>
      </c>
      <c r="C362" s="20" t="s">
        <v>7041</v>
      </c>
      <c r="D362" s="24">
        <v>45658.0</v>
      </c>
      <c r="E362" s="24">
        <v>46022.0</v>
      </c>
      <c r="F362" s="20">
        <v>0.0</v>
      </c>
      <c r="G362" s="20">
        <v>1.0</v>
      </c>
      <c r="H362" s="24">
        <v>46023.0</v>
      </c>
      <c r="I362" s="24">
        <v>46387.0</v>
      </c>
      <c r="J362" s="20">
        <v>0.0</v>
      </c>
      <c r="K362" s="20">
        <v>1.0</v>
      </c>
      <c r="L362" s="24">
        <v>46388.0</v>
      </c>
      <c r="M362" s="24">
        <v>46752.0</v>
      </c>
      <c r="N362" s="20">
        <v>0.0</v>
      </c>
      <c r="O362" s="20">
        <v>1.0</v>
      </c>
      <c r="P362" s="24">
        <v>46753.0</v>
      </c>
      <c r="Q362" s="24">
        <v>47118.0</v>
      </c>
      <c r="R362" s="20">
        <v>0.0</v>
      </c>
      <c r="S362" s="20">
        <v>1.0</v>
      </c>
      <c r="T362" s="24">
        <v>47119.0</v>
      </c>
      <c r="U362" s="24">
        <v>47483.0</v>
      </c>
      <c r="V362" s="20">
        <v>0.0</v>
      </c>
      <c r="W362" s="20">
        <v>1.0</v>
      </c>
      <c r="X362" s="24">
        <v>47484.0</v>
      </c>
      <c r="Y362" s="24">
        <v>47848.0</v>
      </c>
      <c r="Z362" s="20">
        <v>0.0</v>
      </c>
      <c r="AA362" s="20">
        <v>1.0</v>
      </c>
      <c r="AC362" s="24"/>
      <c r="AD362" s="24"/>
      <c r="AH362" s="24"/>
      <c r="AI362" s="24"/>
    </row>
    <row r="363" ht="14.25" customHeight="1">
      <c r="A363" s="46" t="s">
        <v>6467</v>
      </c>
      <c r="B363" s="20" t="s">
        <v>6468</v>
      </c>
      <c r="C363" s="20" t="s">
        <v>7041</v>
      </c>
      <c r="D363" s="24">
        <v>45658.0</v>
      </c>
      <c r="E363" s="24">
        <v>46022.0</v>
      </c>
      <c r="F363" s="20">
        <v>0.0</v>
      </c>
      <c r="G363" s="20">
        <v>1.0</v>
      </c>
      <c r="H363" s="24">
        <v>46023.0</v>
      </c>
      <c r="I363" s="24">
        <v>46387.0</v>
      </c>
      <c r="J363" s="20">
        <v>0.0</v>
      </c>
      <c r="K363" s="20">
        <v>1.0</v>
      </c>
      <c r="L363" s="24">
        <v>46388.0</v>
      </c>
      <c r="M363" s="24">
        <v>46752.0</v>
      </c>
      <c r="N363" s="20">
        <v>0.0</v>
      </c>
      <c r="O363" s="20">
        <v>1.0</v>
      </c>
      <c r="P363" s="24">
        <v>46753.0</v>
      </c>
      <c r="Q363" s="24">
        <v>47118.0</v>
      </c>
      <c r="R363" s="20">
        <v>0.0</v>
      </c>
      <c r="S363" s="20">
        <v>1.0</v>
      </c>
      <c r="T363" s="24">
        <v>47119.0</v>
      </c>
      <c r="U363" s="24">
        <v>47483.0</v>
      </c>
      <c r="V363" s="20">
        <v>0.0</v>
      </c>
      <c r="W363" s="20">
        <v>1.0</v>
      </c>
      <c r="X363" s="24">
        <v>47484.0</v>
      </c>
      <c r="Y363" s="24">
        <v>47848.0</v>
      </c>
      <c r="Z363" s="20">
        <v>0.0</v>
      </c>
      <c r="AA363" s="20">
        <v>1.0</v>
      </c>
      <c r="AC363" s="24"/>
      <c r="AD363" s="24"/>
      <c r="AH363" s="24"/>
      <c r="AI363" s="24"/>
    </row>
    <row r="364" ht="14.25" customHeight="1">
      <c r="A364" s="46" t="s">
        <v>6486</v>
      </c>
      <c r="B364" s="20" t="s">
        <v>6487</v>
      </c>
      <c r="C364" s="20" t="s">
        <v>7041</v>
      </c>
      <c r="D364" s="24">
        <v>45658.0</v>
      </c>
      <c r="E364" s="24">
        <v>46022.0</v>
      </c>
      <c r="F364" s="20">
        <v>0.0</v>
      </c>
      <c r="G364" s="20">
        <v>1.0</v>
      </c>
      <c r="H364" s="24">
        <v>46023.0</v>
      </c>
      <c r="I364" s="24">
        <v>46387.0</v>
      </c>
      <c r="J364" s="20">
        <v>0.0</v>
      </c>
      <c r="K364" s="20">
        <v>1.0</v>
      </c>
      <c r="L364" s="24">
        <v>46388.0</v>
      </c>
      <c r="M364" s="24">
        <v>46752.0</v>
      </c>
      <c r="N364" s="20">
        <v>0.0</v>
      </c>
      <c r="O364" s="20">
        <v>1.0</v>
      </c>
      <c r="P364" s="24">
        <v>46753.0</v>
      </c>
      <c r="Q364" s="24">
        <v>47118.0</v>
      </c>
      <c r="R364" s="20">
        <v>0.0</v>
      </c>
      <c r="S364" s="20">
        <v>1.0</v>
      </c>
      <c r="T364" s="24">
        <v>47119.0</v>
      </c>
      <c r="U364" s="24">
        <v>47483.0</v>
      </c>
      <c r="V364" s="20">
        <v>0.0</v>
      </c>
      <c r="W364" s="20">
        <v>1.0</v>
      </c>
      <c r="X364" s="24">
        <v>47484.0</v>
      </c>
      <c r="Y364" s="24">
        <v>47848.0</v>
      </c>
      <c r="Z364" s="20">
        <v>0.0</v>
      </c>
      <c r="AA364" s="20">
        <v>1.0</v>
      </c>
      <c r="AC364" s="24"/>
      <c r="AD364" s="24"/>
      <c r="AH364" s="24"/>
      <c r="AI364" s="24"/>
    </row>
    <row r="365" ht="14.25" customHeight="1">
      <c r="A365" s="46" t="s">
        <v>6586</v>
      </c>
      <c r="B365" s="20" t="s">
        <v>6587</v>
      </c>
      <c r="C365" s="20" t="s">
        <v>7041</v>
      </c>
      <c r="D365" s="24">
        <v>45658.0</v>
      </c>
      <c r="E365" s="24">
        <v>46022.0</v>
      </c>
      <c r="F365" s="20">
        <v>0.0</v>
      </c>
      <c r="G365" s="20">
        <v>1.0</v>
      </c>
      <c r="H365" s="24">
        <v>46023.0</v>
      </c>
      <c r="I365" s="24">
        <v>46387.0</v>
      </c>
      <c r="J365" s="20">
        <v>0.0</v>
      </c>
      <c r="K365" s="20">
        <v>1.0</v>
      </c>
      <c r="L365" s="24">
        <v>46388.0</v>
      </c>
      <c r="M365" s="24">
        <v>46752.0</v>
      </c>
      <c r="N365" s="20">
        <v>0.0</v>
      </c>
      <c r="O365" s="20">
        <v>1.0</v>
      </c>
      <c r="P365" s="24">
        <v>46753.0</v>
      </c>
      <c r="Q365" s="24">
        <v>47118.0</v>
      </c>
      <c r="R365" s="20">
        <v>0.0</v>
      </c>
      <c r="S365" s="20">
        <v>1.0</v>
      </c>
      <c r="T365" s="24">
        <v>47119.0</v>
      </c>
      <c r="U365" s="24">
        <v>47483.0</v>
      </c>
      <c r="V365" s="20">
        <v>0.0</v>
      </c>
      <c r="W365" s="20">
        <v>1.0</v>
      </c>
      <c r="X365" s="24">
        <v>47484.0</v>
      </c>
      <c r="Y365" s="24">
        <v>47848.0</v>
      </c>
      <c r="Z365" s="20">
        <v>0.0</v>
      </c>
      <c r="AA365" s="20">
        <v>1.0</v>
      </c>
      <c r="AC365" s="24"/>
      <c r="AD365" s="24"/>
      <c r="AH365" s="24"/>
      <c r="AI365" s="24"/>
    </row>
    <row r="366" ht="14.25" customHeight="1">
      <c r="A366" s="46" t="s">
        <v>6601</v>
      </c>
      <c r="B366" s="20" t="s">
        <v>6602</v>
      </c>
      <c r="C366" s="20" t="s">
        <v>7041</v>
      </c>
      <c r="D366" s="24">
        <v>45658.0</v>
      </c>
      <c r="E366" s="24">
        <v>46022.0</v>
      </c>
      <c r="F366" s="20">
        <v>0.0</v>
      </c>
      <c r="G366" s="20">
        <v>1.0</v>
      </c>
      <c r="H366" s="24">
        <v>46023.0</v>
      </c>
      <c r="I366" s="24">
        <v>46387.0</v>
      </c>
      <c r="J366" s="20">
        <v>0.0</v>
      </c>
      <c r="K366" s="20">
        <v>1.0</v>
      </c>
      <c r="L366" s="24">
        <v>46388.0</v>
      </c>
      <c r="M366" s="24">
        <v>46752.0</v>
      </c>
      <c r="N366" s="20">
        <v>0.0</v>
      </c>
      <c r="O366" s="20">
        <v>1.0</v>
      </c>
      <c r="P366" s="24">
        <v>46753.0</v>
      </c>
      <c r="Q366" s="24">
        <v>47118.0</v>
      </c>
      <c r="R366" s="20">
        <v>0.0</v>
      </c>
      <c r="S366" s="20">
        <v>1.0</v>
      </c>
      <c r="T366" s="24">
        <v>47119.0</v>
      </c>
      <c r="U366" s="24">
        <v>47483.0</v>
      </c>
      <c r="V366" s="20">
        <v>0.0</v>
      </c>
      <c r="W366" s="20">
        <v>1.0</v>
      </c>
      <c r="X366" s="24">
        <v>47484.0</v>
      </c>
      <c r="Y366" s="24">
        <v>47848.0</v>
      </c>
      <c r="Z366" s="20">
        <v>0.0</v>
      </c>
      <c r="AA366" s="20">
        <v>1.0</v>
      </c>
      <c r="AC366" s="24"/>
      <c r="AD366" s="24"/>
      <c r="AH366" s="24"/>
      <c r="AI366" s="24"/>
    </row>
    <row r="367" ht="14.25" customHeight="1">
      <c r="A367" s="46" t="s">
        <v>6669</v>
      </c>
      <c r="B367" s="20" t="s">
        <v>6670</v>
      </c>
      <c r="C367" s="20" t="s">
        <v>7041</v>
      </c>
      <c r="D367" s="24">
        <v>45658.0</v>
      </c>
      <c r="E367" s="24">
        <v>46022.0</v>
      </c>
      <c r="F367" s="20">
        <v>1.0</v>
      </c>
      <c r="G367" s="20">
        <v>1.0</v>
      </c>
      <c r="H367" s="24">
        <v>46023.0</v>
      </c>
      <c r="I367" s="24">
        <v>46387.0</v>
      </c>
      <c r="J367" s="20">
        <v>0.0</v>
      </c>
      <c r="K367" s="20">
        <v>1.0</v>
      </c>
      <c r="L367" s="24">
        <v>46388.0</v>
      </c>
      <c r="M367" s="24">
        <v>46752.0</v>
      </c>
      <c r="N367" s="20">
        <v>0.0</v>
      </c>
      <c r="O367" s="20">
        <v>1.0</v>
      </c>
      <c r="P367" s="24">
        <v>46753.0</v>
      </c>
      <c r="Q367" s="24">
        <v>47118.0</v>
      </c>
      <c r="R367" s="20">
        <v>0.0</v>
      </c>
      <c r="S367" s="20">
        <v>1.0</v>
      </c>
      <c r="T367" s="24">
        <v>47119.0</v>
      </c>
      <c r="U367" s="24">
        <v>47483.0</v>
      </c>
      <c r="V367" s="20">
        <v>0.0</v>
      </c>
      <c r="W367" s="20">
        <v>1.0</v>
      </c>
      <c r="X367" s="24">
        <v>47484.0</v>
      </c>
      <c r="Y367" s="24">
        <v>47848.0</v>
      </c>
      <c r="Z367" s="20">
        <v>0.0</v>
      </c>
      <c r="AA367" s="20">
        <v>1.0</v>
      </c>
      <c r="AC367" s="24"/>
      <c r="AD367" s="24"/>
      <c r="AH367" s="24"/>
      <c r="AI367" s="24"/>
    </row>
    <row r="368" ht="14.25" customHeight="1">
      <c r="A368" s="46" t="s">
        <v>6707</v>
      </c>
      <c r="B368" s="20" t="s">
        <v>6708</v>
      </c>
      <c r="C368" s="20" t="s">
        <v>7041</v>
      </c>
      <c r="D368" s="24">
        <v>45658.0</v>
      </c>
      <c r="E368" s="24">
        <v>46022.0</v>
      </c>
      <c r="F368" s="20">
        <v>1.0</v>
      </c>
      <c r="G368" s="20">
        <v>1.0</v>
      </c>
      <c r="H368" s="24">
        <v>46023.0</v>
      </c>
      <c r="I368" s="24">
        <v>46387.0</v>
      </c>
      <c r="J368" s="20">
        <v>0.0</v>
      </c>
      <c r="K368" s="20">
        <v>1.0</v>
      </c>
      <c r="L368" s="24">
        <v>46388.0</v>
      </c>
      <c r="M368" s="24">
        <v>46752.0</v>
      </c>
      <c r="N368" s="20">
        <v>0.0</v>
      </c>
      <c r="O368" s="20">
        <v>1.0</v>
      </c>
      <c r="P368" s="24">
        <v>46753.0</v>
      </c>
      <c r="Q368" s="24">
        <v>47118.0</v>
      </c>
      <c r="R368" s="20">
        <v>0.0</v>
      </c>
      <c r="S368" s="20">
        <v>1.0</v>
      </c>
      <c r="T368" s="24">
        <v>47119.0</v>
      </c>
      <c r="U368" s="24">
        <v>47483.0</v>
      </c>
      <c r="V368" s="20">
        <v>0.0</v>
      </c>
      <c r="W368" s="20">
        <v>1.0</v>
      </c>
      <c r="X368" s="24">
        <v>47484.0</v>
      </c>
      <c r="Y368" s="24">
        <v>47848.0</v>
      </c>
      <c r="Z368" s="20">
        <v>0.0</v>
      </c>
      <c r="AA368" s="20">
        <v>1.0</v>
      </c>
      <c r="AC368" s="24"/>
      <c r="AD368" s="24"/>
      <c r="AH368" s="24"/>
      <c r="AI368" s="24"/>
    </row>
    <row r="369" ht="14.25" customHeight="1">
      <c r="A369" s="46" t="s">
        <v>6768</v>
      </c>
      <c r="B369" s="20" t="s">
        <v>6769</v>
      </c>
      <c r="C369" s="20" t="s">
        <v>7041</v>
      </c>
      <c r="D369" s="24">
        <v>45658.0</v>
      </c>
      <c r="E369" s="24">
        <v>46022.0</v>
      </c>
      <c r="F369" s="20">
        <v>1.0</v>
      </c>
      <c r="G369" s="20">
        <v>1.0</v>
      </c>
      <c r="H369" s="24">
        <v>46023.0</v>
      </c>
      <c r="I369" s="24">
        <v>46387.0</v>
      </c>
      <c r="J369" s="20">
        <v>0.0</v>
      </c>
      <c r="K369" s="20">
        <v>1.0</v>
      </c>
      <c r="L369" s="24">
        <v>46388.0</v>
      </c>
      <c r="M369" s="24">
        <v>46752.0</v>
      </c>
      <c r="N369" s="20">
        <v>0.0</v>
      </c>
      <c r="O369" s="20">
        <v>1.0</v>
      </c>
      <c r="P369" s="24">
        <v>46753.0</v>
      </c>
      <c r="Q369" s="24">
        <v>47118.0</v>
      </c>
      <c r="R369" s="20">
        <v>0.0</v>
      </c>
      <c r="S369" s="20">
        <v>1.0</v>
      </c>
      <c r="T369" s="24">
        <v>47119.0</v>
      </c>
      <c r="U369" s="24">
        <v>47483.0</v>
      </c>
      <c r="V369" s="20">
        <v>0.0</v>
      </c>
      <c r="W369" s="20">
        <v>1.0</v>
      </c>
      <c r="X369" s="24">
        <v>47484.0</v>
      </c>
      <c r="Y369" s="24">
        <v>47848.0</v>
      </c>
      <c r="Z369" s="20">
        <v>0.0</v>
      </c>
      <c r="AA369" s="20">
        <v>1.0</v>
      </c>
      <c r="AC369" s="24"/>
      <c r="AD369" s="24"/>
      <c r="AH369" s="24"/>
      <c r="AI369" s="24"/>
    </row>
    <row r="370" ht="14.25" customHeight="1">
      <c r="A370" s="46" t="s">
        <v>6835</v>
      </c>
      <c r="B370" s="20" t="s">
        <v>6836</v>
      </c>
      <c r="C370" s="20" t="s">
        <v>7041</v>
      </c>
      <c r="D370" s="24">
        <v>45658.0</v>
      </c>
      <c r="E370" s="24">
        <v>46022.0</v>
      </c>
      <c r="F370" s="20">
        <v>0.0</v>
      </c>
      <c r="G370" s="20">
        <v>1.0</v>
      </c>
      <c r="H370" s="24">
        <v>46023.0</v>
      </c>
      <c r="I370" s="24">
        <v>46387.0</v>
      </c>
      <c r="J370" s="20">
        <v>0.0</v>
      </c>
      <c r="K370" s="20">
        <v>1.0</v>
      </c>
      <c r="L370" s="24">
        <v>46388.0</v>
      </c>
      <c r="M370" s="24">
        <v>46752.0</v>
      </c>
      <c r="N370" s="20">
        <v>0.0</v>
      </c>
      <c r="O370" s="20">
        <v>1.0</v>
      </c>
      <c r="P370" s="24">
        <v>46753.0</v>
      </c>
      <c r="Q370" s="24">
        <v>47118.0</v>
      </c>
      <c r="R370" s="20">
        <v>0.0</v>
      </c>
      <c r="S370" s="20">
        <v>1.0</v>
      </c>
      <c r="T370" s="24">
        <v>47119.0</v>
      </c>
      <c r="U370" s="24">
        <v>47483.0</v>
      </c>
      <c r="V370" s="20">
        <v>0.0</v>
      </c>
      <c r="W370" s="20">
        <v>1.0</v>
      </c>
      <c r="X370" s="24">
        <v>47484.0</v>
      </c>
      <c r="Y370" s="24">
        <v>47848.0</v>
      </c>
      <c r="Z370" s="20">
        <v>0.0</v>
      </c>
      <c r="AA370" s="20">
        <v>1.0</v>
      </c>
      <c r="AC370" s="24"/>
      <c r="AD370" s="24"/>
      <c r="AH370" s="24"/>
      <c r="AI370" s="24"/>
    </row>
    <row r="371" ht="14.25" customHeight="1">
      <c r="A371" s="46" t="s">
        <v>6892</v>
      </c>
      <c r="B371" s="20" t="s">
        <v>6893</v>
      </c>
      <c r="C371" s="20" t="s">
        <v>7041</v>
      </c>
      <c r="D371" s="24">
        <v>45658.0</v>
      </c>
      <c r="E371" s="24">
        <v>46022.0</v>
      </c>
      <c r="F371" s="20">
        <v>0.0</v>
      </c>
      <c r="G371" s="20">
        <v>1.0</v>
      </c>
      <c r="H371" s="24">
        <v>46023.0</v>
      </c>
      <c r="I371" s="24">
        <v>46387.0</v>
      </c>
      <c r="J371" s="20">
        <v>0.0</v>
      </c>
      <c r="K371" s="20">
        <v>1.0</v>
      </c>
      <c r="L371" s="24">
        <v>46388.0</v>
      </c>
      <c r="M371" s="24">
        <v>46752.0</v>
      </c>
      <c r="N371" s="20">
        <v>0.0</v>
      </c>
      <c r="O371" s="20">
        <v>1.0</v>
      </c>
      <c r="P371" s="24">
        <v>46753.0</v>
      </c>
      <c r="Q371" s="24">
        <v>47118.0</v>
      </c>
      <c r="R371" s="20">
        <v>0.0</v>
      </c>
      <c r="S371" s="20">
        <v>1.0</v>
      </c>
      <c r="T371" s="24">
        <v>47119.0</v>
      </c>
      <c r="U371" s="24">
        <v>47483.0</v>
      </c>
      <c r="V371" s="20">
        <v>0.0</v>
      </c>
      <c r="W371" s="20">
        <v>1.0</v>
      </c>
      <c r="X371" s="24">
        <v>47484.0</v>
      </c>
      <c r="Y371" s="24">
        <v>47848.0</v>
      </c>
      <c r="Z371" s="20">
        <v>0.0</v>
      </c>
      <c r="AA371" s="20">
        <v>1.0</v>
      </c>
      <c r="AC371" s="24"/>
      <c r="AD371" s="24"/>
      <c r="AH371" s="24"/>
      <c r="AI371" s="24"/>
    </row>
    <row r="372" ht="14.25" customHeight="1">
      <c r="A372" s="46" t="s">
        <v>6895</v>
      </c>
      <c r="B372" s="20" t="s">
        <v>6896</v>
      </c>
      <c r="C372" s="20" t="s">
        <v>7041</v>
      </c>
      <c r="D372" s="24">
        <v>45658.0</v>
      </c>
      <c r="E372" s="24">
        <v>46022.0</v>
      </c>
      <c r="F372" s="20">
        <v>0.0</v>
      </c>
      <c r="G372" s="20">
        <v>1.0</v>
      </c>
      <c r="H372" s="24">
        <v>46023.0</v>
      </c>
      <c r="I372" s="24">
        <v>46387.0</v>
      </c>
      <c r="J372" s="20">
        <v>0.0</v>
      </c>
      <c r="K372" s="20">
        <v>1.0</v>
      </c>
      <c r="L372" s="24">
        <v>46388.0</v>
      </c>
      <c r="M372" s="24">
        <v>46752.0</v>
      </c>
      <c r="N372" s="20">
        <v>0.0</v>
      </c>
      <c r="O372" s="20">
        <v>1.0</v>
      </c>
      <c r="P372" s="24">
        <v>46753.0</v>
      </c>
      <c r="Q372" s="24">
        <v>47118.0</v>
      </c>
      <c r="R372" s="20">
        <v>0.0</v>
      </c>
      <c r="S372" s="20">
        <v>1.0</v>
      </c>
      <c r="T372" s="24">
        <v>47119.0</v>
      </c>
      <c r="U372" s="24">
        <v>47483.0</v>
      </c>
      <c r="V372" s="20">
        <v>0.0</v>
      </c>
      <c r="W372" s="20">
        <v>1.0</v>
      </c>
      <c r="X372" s="24">
        <v>47484.0</v>
      </c>
      <c r="Y372" s="24">
        <v>47848.0</v>
      </c>
      <c r="Z372" s="20">
        <v>0.0</v>
      </c>
      <c r="AA372" s="20">
        <v>1.0</v>
      </c>
      <c r="AC372" s="24"/>
      <c r="AD372" s="24"/>
      <c r="AH372" s="24"/>
      <c r="AI372" s="24"/>
    </row>
    <row r="373" ht="14.25" customHeight="1">
      <c r="A373" s="46" t="s">
        <v>6937</v>
      </c>
      <c r="B373" s="20" t="s">
        <v>6938</v>
      </c>
      <c r="C373" s="20" t="s">
        <v>7041</v>
      </c>
      <c r="D373" s="24">
        <v>45658.0</v>
      </c>
      <c r="E373" s="24">
        <v>46022.0</v>
      </c>
      <c r="F373" s="20">
        <v>1.0</v>
      </c>
      <c r="G373" s="20">
        <v>1.0</v>
      </c>
      <c r="H373" s="24">
        <v>46023.0</v>
      </c>
      <c r="I373" s="24">
        <v>46387.0</v>
      </c>
      <c r="J373" s="20">
        <v>0.0</v>
      </c>
      <c r="K373" s="20">
        <v>1.0</v>
      </c>
      <c r="L373" s="24">
        <v>46388.0</v>
      </c>
      <c r="M373" s="24">
        <v>46752.0</v>
      </c>
      <c r="N373" s="20">
        <v>0.0</v>
      </c>
      <c r="O373" s="20">
        <v>1.0</v>
      </c>
      <c r="P373" s="24">
        <v>46753.0</v>
      </c>
      <c r="Q373" s="24">
        <v>47118.0</v>
      </c>
      <c r="R373" s="20">
        <v>0.0</v>
      </c>
      <c r="S373" s="20">
        <v>1.0</v>
      </c>
      <c r="T373" s="24">
        <v>47119.0</v>
      </c>
      <c r="U373" s="24">
        <v>47483.0</v>
      </c>
      <c r="V373" s="20">
        <v>0.0</v>
      </c>
      <c r="W373" s="20">
        <v>1.0</v>
      </c>
      <c r="X373" s="24">
        <v>47484.0</v>
      </c>
      <c r="Y373" s="24">
        <v>47848.0</v>
      </c>
      <c r="Z373" s="20">
        <v>0.0</v>
      </c>
      <c r="AA373" s="20">
        <v>1.0</v>
      </c>
      <c r="AC373" s="24"/>
      <c r="AD373" s="24"/>
      <c r="AH373" s="24"/>
      <c r="AI373" s="24"/>
    </row>
    <row r="374" ht="14.25" customHeight="1">
      <c r="A374" s="46" t="s">
        <v>6999</v>
      </c>
      <c r="B374" s="20" t="s">
        <v>7000</v>
      </c>
      <c r="C374" s="20" t="s">
        <v>7041</v>
      </c>
      <c r="D374" s="24">
        <v>45658.0</v>
      </c>
      <c r="E374" s="24">
        <v>46022.0</v>
      </c>
      <c r="F374" s="20">
        <v>1.0</v>
      </c>
      <c r="G374" s="20">
        <v>1.0</v>
      </c>
      <c r="H374" s="24">
        <v>46023.0</v>
      </c>
      <c r="I374" s="24">
        <v>46387.0</v>
      </c>
      <c r="J374" s="20">
        <v>0.0</v>
      </c>
      <c r="K374" s="20">
        <v>1.0</v>
      </c>
      <c r="L374" s="24">
        <v>46388.0</v>
      </c>
      <c r="M374" s="24">
        <v>46752.0</v>
      </c>
      <c r="N374" s="20">
        <v>0.0</v>
      </c>
      <c r="O374" s="20">
        <v>1.0</v>
      </c>
      <c r="P374" s="24">
        <v>46753.0</v>
      </c>
      <c r="Q374" s="24">
        <v>47118.0</v>
      </c>
      <c r="R374" s="20">
        <v>0.0</v>
      </c>
      <c r="S374" s="20">
        <v>1.0</v>
      </c>
      <c r="T374" s="24">
        <v>47119.0</v>
      </c>
      <c r="U374" s="24">
        <v>47483.0</v>
      </c>
      <c r="V374" s="20">
        <v>0.0</v>
      </c>
      <c r="W374" s="20">
        <v>1.0</v>
      </c>
      <c r="X374" s="24">
        <v>47484.0</v>
      </c>
      <c r="Y374" s="24">
        <v>47848.0</v>
      </c>
      <c r="Z374" s="20">
        <v>0.0</v>
      </c>
      <c r="AA374" s="20">
        <v>1.0</v>
      </c>
      <c r="AC374" s="24"/>
      <c r="AD374" s="24"/>
      <c r="AH374" s="24"/>
      <c r="AI374" s="24"/>
    </row>
    <row r="375" ht="14.25" customHeight="1">
      <c r="A375" s="46" t="s">
        <v>7019</v>
      </c>
      <c r="B375" s="20" t="s">
        <v>7020</v>
      </c>
      <c r="C375" s="20" t="s">
        <v>7041</v>
      </c>
      <c r="D375" s="24">
        <v>45658.0</v>
      </c>
      <c r="E375" s="24">
        <v>46022.0</v>
      </c>
      <c r="F375" s="20">
        <v>0.0</v>
      </c>
      <c r="G375" s="20">
        <v>1.0</v>
      </c>
      <c r="H375" s="24">
        <v>46023.0</v>
      </c>
      <c r="I375" s="24">
        <v>46387.0</v>
      </c>
      <c r="J375" s="20">
        <v>0.0</v>
      </c>
      <c r="K375" s="20">
        <v>1.0</v>
      </c>
      <c r="L375" s="24">
        <v>46388.0</v>
      </c>
      <c r="M375" s="24">
        <v>46752.0</v>
      </c>
      <c r="N375" s="20">
        <v>0.0</v>
      </c>
      <c r="O375" s="20">
        <v>1.0</v>
      </c>
      <c r="P375" s="24">
        <v>46753.0</v>
      </c>
      <c r="Q375" s="24">
        <v>47118.0</v>
      </c>
      <c r="R375" s="20">
        <v>0.0</v>
      </c>
      <c r="S375" s="20">
        <v>1.0</v>
      </c>
      <c r="T375" s="24">
        <v>47119.0</v>
      </c>
      <c r="U375" s="24">
        <v>47483.0</v>
      </c>
      <c r="V375" s="20">
        <v>0.0</v>
      </c>
      <c r="W375" s="20">
        <v>1.0</v>
      </c>
      <c r="X375" s="24">
        <v>47484.0</v>
      </c>
      <c r="Y375" s="24">
        <v>47848.0</v>
      </c>
      <c r="Z375" s="20">
        <v>0.0</v>
      </c>
      <c r="AA375" s="20">
        <v>1.0</v>
      </c>
      <c r="AC375" s="24"/>
      <c r="AD375" s="24"/>
      <c r="AH375" s="24"/>
      <c r="AI375" s="24"/>
    </row>
    <row r="376" ht="14.25" customHeight="1">
      <c r="A376" s="46" t="s">
        <v>215</v>
      </c>
      <c r="B376" s="20" t="s">
        <v>216</v>
      </c>
      <c r="C376" s="20" t="s">
        <v>7041</v>
      </c>
      <c r="D376" s="24">
        <v>45658.0</v>
      </c>
      <c r="E376" s="24">
        <v>46022.0</v>
      </c>
      <c r="F376" s="20">
        <v>0.0</v>
      </c>
      <c r="G376" s="20">
        <v>1.0</v>
      </c>
      <c r="H376" s="24">
        <v>46023.0</v>
      </c>
      <c r="I376" s="24">
        <v>46387.0</v>
      </c>
      <c r="J376" s="20">
        <v>0.0</v>
      </c>
      <c r="K376" s="20">
        <v>1.0</v>
      </c>
      <c r="L376" s="24">
        <v>46388.0</v>
      </c>
      <c r="M376" s="24">
        <v>46752.0</v>
      </c>
      <c r="N376" s="20">
        <v>0.0</v>
      </c>
      <c r="O376" s="20">
        <v>1.0</v>
      </c>
      <c r="P376" s="24">
        <v>46753.0</v>
      </c>
      <c r="Q376" s="24">
        <v>47118.0</v>
      </c>
      <c r="R376" s="20">
        <v>0.0</v>
      </c>
      <c r="S376" s="20">
        <v>1.0</v>
      </c>
      <c r="T376" s="24">
        <v>47119.0</v>
      </c>
      <c r="U376" s="24">
        <v>47483.0</v>
      </c>
      <c r="V376" s="20">
        <v>0.0</v>
      </c>
      <c r="W376" s="20">
        <v>1.0</v>
      </c>
      <c r="X376" s="24">
        <v>47484.0</v>
      </c>
      <c r="Y376" s="24">
        <v>47848.0</v>
      </c>
      <c r="Z376" s="20">
        <v>0.0</v>
      </c>
      <c r="AA376" s="20">
        <v>1.0</v>
      </c>
      <c r="AC376" s="24"/>
      <c r="AD376" s="24"/>
      <c r="AH376" s="24"/>
      <c r="AI376" s="24"/>
    </row>
    <row r="377" ht="14.25" customHeight="1">
      <c r="A377" s="46" t="s">
        <v>4879</v>
      </c>
      <c r="B377" s="20" t="s">
        <v>4880</v>
      </c>
      <c r="C377" s="20" t="s">
        <v>7041</v>
      </c>
      <c r="D377" s="24">
        <v>45658.0</v>
      </c>
      <c r="E377" s="24">
        <v>46022.0</v>
      </c>
      <c r="F377" s="20">
        <v>0.0</v>
      </c>
      <c r="G377" s="20">
        <v>1.0</v>
      </c>
      <c r="H377" s="24">
        <v>46023.0</v>
      </c>
      <c r="I377" s="24">
        <v>46387.0</v>
      </c>
      <c r="J377" s="20">
        <v>0.0</v>
      </c>
      <c r="K377" s="20">
        <v>1.0</v>
      </c>
      <c r="L377" s="24">
        <v>46388.0</v>
      </c>
      <c r="M377" s="24">
        <v>46752.0</v>
      </c>
      <c r="N377" s="20">
        <v>0.0</v>
      </c>
      <c r="O377" s="20">
        <v>1.0</v>
      </c>
      <c r="P377" s="24">
        <v>46753.0</v>
      </c>
      <c r="Q377" s="24">
        <v>47118.0</v>
      </c>
      <c r="R377" s="20">
        <v>0.0</v>
      </c>
      <c r="S377" s="20">
        <v>1.0</v>
      </c>
      <c r="T377" s="24">
        <v>47119.0</v>
      </c>
      <c r="U377" s="24">
        <v>47483.0</v>
      </c>
      <c r="V377" s="20">
        <v>0.0</v>
      </c>
      <c r="W377" s="20">
        <v>1.0</v>
      </c>
      <c r="X377" s="24">
        <v>47484.0</v>
      </c>
      <c r="Y377" s="24">
        <v>47848.0</v>
      </c>
      <c r="Z377" s="20">
        <v>0.0</v>
      </c>
      <c r="AA377" s="20">
        <v>1.0</v>
      </c>
      <c r="AC377" s="24"/>
      <c r="AD377" s="24"/>
      <c r="AH377" s="24"/>
      <c r="AI377" s="24"/>
    </row>
    <row r="378" ht="14.25" customHeight="1">
      <c r="A378" s="46" t="s">
        <v>1477</v>
      </c>
      <c r="B378" s="20" t="s">
        <v>1478</v>
      </c>
      <c r="C378" s="20" t="s">
        <v>7041</v>
      </c>
      <c r="D378" s="24">
        <v>45658.0</v>
      </c>
      <c r="E378" s="24">
        <v>46022.0</v>
      </c>
      <c r="F378" s="20">
        <v>0.0</v>
      </c>
      <c r="G378" s="20">
        <v>1.0</v>
      </c>
      <c r="H378" s="24">
        <v>46023.0</v>
      </c>
      <c r="I378" s="24">
        <v>46387.0</v>
      </c>
      <c r="J378" s="20">
        <v>0.0</v>
      </c>
      <c r="K378" s="20">
        <v>1.0</v>
      </c>
      <c r="L378" s="24">
        <v>46388.0</v>
      </c>
      <c r="M378" s="24">
        <v>46752.0</v>
      </c>
      <c r="N378" s="20">
        <v>0.0</v>
      </c>
      <c r="O378" s="20">
        <v>1.0</v>
      </c>
      <c r="P378" s="24">
        <v>46753.0</v>
      </c>
      <c r="Q378" s="24">
        <v>47118.0</v>
      </c>
      <c r="R378" s="20">
        <v>0.0</v>
      </c>
      <c r="S378" s="20">
        <v>1.0</v>
      </c>
      <c r="T378" s="24">
        <v>47119.0</v>
      </c>
      <c r="U378" s="24">
        <v>47483.0</v>
      </c>
      <c r="V378" s="20">
        <v>0.0</v>
      </c>
      <c r="W378" s="20">
        <v>1.0</v>
      </c>
      <c r="X378" s="24">
        <v>47484.0</v>
      </c>
      <c r="Y378" s="24">
        <v>47848.0</v>
      </c>
      <c r="Z378" s="20">
        <v>0.0</v>
      </c>
      <c r="AA378" s="20">
        <v>1.0</v>
      </c>
      <c r="AC378" s="24"/>
      <c r="AD378" s="24"/>
      <c r="AH378" s="24"/>
      <c r="AI378" s="24"/>
    </row>
    <row r="379" ht="14.25" customHeight="1">
      <c r="A379" s="46" t="s">
        <v>3756</v>
      </c>
      <c r="B379" s="20" t="s">
        <v>3757</v>
      </c>
      <c r="C379" s="20" t="s">
        <v>7041</v>
      </c>
      <c r="D379" s="24">
        <v>45658.0</v>
      </c>
      <c r="E379" s="24">
        <v>46022.0</v>
      </c>
      <c r="F379" s="20">
        <v>0.0</v>
      </c>
      <c r="G379" s="20">
        <v>1.0</v>
      </c>
      <c r="H379" s="24">
        <v>46023.0</v>
      </c>
      <c r="I379" s="24">
        <v>46387.0</v>
      </c>
      <c r="J379" s="20">
        <v>0.0</v>
      </c>
      <c r="K379" s="20">
        <v>1.0</v>
      </c>
      <c r="L379" s="24">
        <v>46388.0</v>
      </c>
      <c r="M379" s="24">
        <v>46752.0</v>
      </c>
      <c r="N379" s="20">
        <v>0.0</v>
      </c>
      <c r="O379" s="20">
        <v>1.0</v>
      </c>
      <c r="P379" s="24">
        <v>46753.0</v>
      </c>
      <c r="Q379" s="24">
        <v>47118.0</v>
      </c>
      <c r="R379" s="20">
        <v>0.0</v>
      </c>
      <c r="S379" s="20">
        <v>1.0</v>
      </c>
      <c r="T379" s="24">
        <v>47119.0</v>
      </c>
      <c r="U379" s="24">
        <v>47483.0</v>
      </c>
      <c r="V379" s="20">
        <v>0.0</v>
      </c>
      <c r="W379" s="20">
        <v>1.0</v>
      </c>
      <c r="X379" s="24">
        <v>47484.0</v>
      </c>
      <c r="Y379" s="24">
        <v>47848.0</v>
      </c>
      <c r="Z379" s="20">
        <v>0.0</v>
      </c>
      <c r="AA379" s="20">
        <v>1.0</v>
      </c>
      <c r="AC379" s="24"/>
      <c r="AD379" s="24"/>
      <c r="AH379" s="24"/>
      <c r="AI379" s="24"/>
    </row>
    <row r="380" ht="14.25" customHeight="1">
      <c r="A380" s="46" t="s">
        <v>5259</v>
      </c>
      <c r="B380" s="20" t="s">
        <v>5260</v>
      </c>
      <c r="C380" s="20" t="s">
        <v>7041</v>
      </c>
      <c r="D380" s="24">
        <v>45658.0</v>
      </c>
      <c r="E380" s="24">
        <v>46022.0</v>
      </c>
      <c r="F380" s="20">
        <v>0.0</v>
      </c>
      <c r="G380" s="20">
        <v>1.0</v>
      </c>
      <c r="H380" s="24">
        <v>46023.0</v>
      </c>
      <c r="I380" s="24">
        <v>46387.0</v>
      </c>
      <c r="J380" s="20">
        <v>0.0</v>
      </c>
      <c r="K380" s="20">
        <v>1.0</v>
      </c>
      <c r="L380" s="24">
        <v>46388.0</v>
      </c>
      <c r="M380" s="24">
        <v>46752.0</v>
      </c>
      <c r="N380" s="20">
        <v>0.0</v>
      </c>
      <c r="O380" s="20">
        <v>1.0</v>
      </c>
      <c r="P380" s="24">
        <v>46753.0</v>
      </c>
      <c r="Q380" s="24">
        <v>47118.0</v>
      </c>
      <c r="R380" s="20">
        <v>0.0</v>
      </c>
      <c r="S380" s="20">
        <v>1.0</v>
      </c>
      <c r="T380" s="24">
        <v>47119.0</v>
      </c>
      <c r="U380" s="24">
        <v>47483.0</v>
      </c>
      <c r="V380" s="20">
        <v>0.0</v>
      </c>
      <c r="W380" s="20">
        <v>1.0</v>
      </c>
      <c r="X380" s="24">
        <v>47484.0</v>
      </c>
      <c r="Y380" s="24">
        <v>47848.0</v>
      </c>
      <c r="Z380" s="20">
        <v>0.0</v>
      </c>
      <c r="AA380" s="20">
        <v>1.0</v>
      </c>
      <c r="AC380" s="24"/>
      <c r="AD380" s="24"/>
      <c r="AH380" s="24"/>
      <c r="AI380" s="24"/>
    </row>
    <row r="381" ht="14.25" customHeight="1">
      <c r="A381" s="46" t="s">
        <v>5335</v>
      </c>
      <c r="B381" s="20" t="s">
        <v>5336</v>
      </c>
      <c r="C381" s="20" t="s">
        <v>7041</v>
      </c>
      <c r="D381" s="24">
        <v>45658.0</v>
      </c>
      <c r="E381" s="24">
        <v>46022.0</v>
      </c>
      <c r="F381" s="20">
        <v>0.0</v>
      </c>
      <c r="G381" s="20">
        <v>1.0</v>
      </c>
      <c r="H381" s="24">
        <v>46023.0</v>
      </c>
      <c r="I381" s="24">
        <v>46387.0</v>
      </c>
      <c r="J381" s="20">
        <v>0.0</v>
      </c>
      <c r="K381" s="20">
        <v>1.0</v>
      </c>
      <c r="L381" s="24">
        <v>46388.0</v>
      </c>
      <c r="M381" s="24">
        <v>46752.0</v>
      </c>
      <c r="N381" s="20">
        <v>0.0</v>
      </c>
      <c r="O381" s="20">
        <v>1.0</v>
      </c>
      <c r="P381" s="24">
        <v>46753.0</v>
      </c>
      <c r="Q381" s="24">
        <v>47118.0</v>
      </c>
      <c r="R381" s="20">
        <v>0.0</v>
      </c>
      <c r="S381" s="20">
        <v>1.0</v>
      </c>
      <c r="T381" s="24">
        <v>47119.0</v>
      </c>
      <c r="U381" s="24">
        <v>47483.0</v>
      </c>
      <c r="V381" s="20">
        <v>0.0</v>
      </c>
      <c r="W381" s="20">
        <v>1.0</v>
      </c>
      <c r="X381" s="24">
        <v>47484.0</v>
      </c>
      <c r="Y381" s="24">
        <v>47848.0</v>
      </c>
      <c r="Z381" s="20">
        <v>0.0</v>
      </c>
      <c r="AA381" s="20">
        <v>1.0</v>
      </c>
      <c r="AC381" s="24"/>
      <c r="AD381" s="24"/>
      <c r="AH381" s="24"/>
      <c r="AI381" s="24"/>
    </row>
    <row r="382" ht="14.25" customHeight="1">
      <c r="A382" s="46" t="s">
        <v>5389</v>
      </c>
      <c r="B382" s="20" t="s">
        <v>5390</v>
      </c>
      <c r="C382" s="20" t="s">
        <v>7041</v>
      </c>
      <c r="D382" s="24">
        <v>45658.0</v>
      </c>
      <c r="E382" s="24">
        <v>46022.0</v>
      </c>
      <c r="F382" s="20">
        <v>0.0</v>
      </c>
      <c r="G382" s="20">
        <v>1.0</v>
      </c>
      <c r="H382" s="24">
        <v>46023.0</v>
      </c>
      <c r="I382" s="24">
        <v>46387.0</v>
      </c>
      <c r="J382" s="20">
        <v>0.0</v>
      </c>
      <c r="K382" s="20">
        <v>1.0</v>
      </c>
      <c r="L382" s="24">
        <v>46388.0</v>
      </c>
      <c r="M382" s="24">
        <v>46752.0</v>
      </c>
      <c r="N382" s="20">
        <v>0.0</v>
      </c>
      <c r="O382" s="20">
        <v>1.0</v>
      </c>
      <c r="P382" s="24">
        <v>46753.0</v>
      </c>
      <c r="Q382" s="24">
        <v>47118.0</v>
      </c>
      <c r="R382" s="20">
        <v>0.0</v>
      </c>
      <c r="S382" s="20">
        <v>1.0</v>
      </c>
      <c r="T382" s="24">
        <v>47119.0</v>
      </c>
      <c r="U382" s="24">
        <v>47483.0</v>
      </c>
      <c r="V382" s="20">
        <v>0.0</v>
      </c>
      <c r="W382" s="20">
        <v>1.0</v>
      </c>
      <c r="X382" s="24">
        <v>47484.0</v>
      </c>
      <c r="Y382" s="24">
        <v>47848.0</v>
      </c>
      <c r="Z382" s="20">
        <v>0.0</v>
      </c>
      <c r="AA382" s="20">
        <v>1.0</v>
      </c>
      <c r="AC382" s="24"/>
      <c r="AD382" s="24"/>
      <c r="AH382" s="24"/>
      <c r="AI382" s="24"/>
    </row>
    <row r="383" ht="14.25" customHeight="1">
      <c r="A383" s="46" t="s">
        <v>1864</v>
      </c>
      <c r="B383" s="20" t="s">
        <v>1865</v>
      </c>
      <c r="C383" s="20" t="s">
        <v>7041</v>
      </c>
      <c r="D383" s="24">
        <v>45658.0</v>
      </c>
      <c r="E383" s="24">
        <v>46022.0</v>
      </c>
      <c r="F383" s="20">
        <v>0.0</v>
      </c>
      <c r="G383" s="20">
        <v>1.0</v>
      </c>
      <c r="H383" s="24">
        <v>46023.0</v>
      </c>
      <c r="I383" s="24">
        <v>46387.0</v>
      </c>
      <c r="J383" s="20">
        <v>0.0</v>
      </c>
      <c r="K383" s="20">
        <v>1.0</v>
      </c>
      <c r="L383" s="24">
        <v>46388.0</v>
      </c>
      <c r="M383" s="24">
        <v>46752.0</v>
      </c>
      <c r="N383" s="20">
        <v>0.0</v>
      </c>
      <c r="O383" s="20">
        <v>1.0</v>
      </c>
      <c r="P383" s="24">
        <v>46753.0</v>
      </c>
      <c r="Q383" s="24">
        <v>47118.0</v>
      </c>
      <c r="R383" s="20">
        <v>0.0</v>
      </c>
      <c r="S383" s="20">
        <v>1.0</v>
      </c>
      <c r="T383" s="24">
        <v>47119.0</v>
      </c>
      <c r="U383" s="24">
        <v>47483.0</v>
      </c>
      <c r="V383" s="20">
        <v>0.0</v>
      </c>
      <c r="W383" s="20">
        <v>1.0</v>
      </c>
      <c r="X383" s="24">
        <v>47484.0</v>
      </c>
      <c r="Y383" s="24">
        <v>47848.0</v>
      </c>
      <c r="Z383" s="20">
        <v>0.0</v>
      </c>
      <c r="AA383" s="20">
        <v>1.0</v>
      </c>
      <c r="AC383" s="24"/>
      <c r="AD383" s="24"/>
      <c r="AH383" s="24"/>
      <c r="AI383" s="24"/>
    </row>
    <row r="384" ht="14.25" customHeight="1">
      <c r="A384" s="46" t="s">
        <v>5844</v>
      </c>
      <c r="B384" s="20" t="s">
        <v>5845</v>
      </c>
      <c r="C384" s="20" t="s">
        <v>7041</v>
      </c>
      <c r="D384" s="24">
        <v>45658.0</v>
      </c>
      <c r="E384" s="24">
        <v>46022.0</v>
      </c>
      <c r="F384" s="20">
        <v>0.0</v>
      </c>
      <c r="G384" s="20">
        <v>1.0</v>
      </c>
      <c r="H384" s="24">
        <v>46023.0</v>
      </c>
      <c r="I384" s="24">
        <v>46387.0</v>
      </c>
      <c r="J384" s="20">
        <v>0.0</v>
      </c>
      <c r="K384" s="20">
        <v>1.0</v>
      </c>
      <c r="L384" s="24">
        <v>46388.0</v>
      </c>
      <c r="M384" s="24">
        <v>46752.0</v>
      </c>
      <c r="N384" s="20">
        <v>0.0</v>
      </c>
      <c r="O384" s="20">
        <v>1.0</v>
      </c>
      <c r="P384" s="24">
        <v>46753.0</v>
      </c>
      <c r="Q384" s="24">
        <v>47118.0</v>
      </c>
      <c r="R384" s="20">
        <v>0.0</v>
      </c>
      <c r="S384" s="20">
        <v>1.0</v>
      </c>
      <c r="T384" s="24">
        <v>47119.0</v>
      </c>
      <c r="U384" s="24">
        <v>47483.0</v>
      </c>
      <c r="V384" s="20">
        <v>0.0</v>
      </c>
      <c r="W384" s="20">
        <v>1.0</v>
      </c>
      <c r="X384" s="24">
        <v>47484.0</v>
      </c>
      <c r="Y384" s="24">
        <v>47848.0</v>
      </c>
      <c r="Z384" s="20">
        <v>0.0</v>
      </c>
      <c r="AA384" s="20">
        <v>1.0</v>
      </c>
      <c r="AC384" s="24"/>
      <c r="AD384" s="24"/>
      <c r="AH384" s="24"/>
      <c r="AI384" s="24"/>
    </row>
    <row r="385" ht="14.25" customHeight="1">
      <c r="A385" s="46" t="s">
        <v>4174</v>
      </c>
      <c r="B385" s="20" t="s">
        <v>4175</v>
      </c>
      <c r="C385" s="20" t="s">
        <v>7041</v>
      </c>
      <c r="D385" s="24">
        <v>45658.0</v>
      </c>
      <c r="E385" s="24">
        <v>46022.0</v>
      </c>
      <c r="F385" s="20">
        <v>0.0</v>
      </c>
      <c r="G385" s="20">
        <v>1.0</v>
      </c>
      <c r="H385" s="24">
        <v>46023.0</v>
      </c>
      <c r="I385" s="24">
        <v>46387.0</v>
      </c>
      <c r="J385" s="20">
        <v>0.0</v>
      </c>
      <c r="K385" s="20">
        <v>1.0</v>
      </c>
      <c r="L385" s="24">
        <v>46388.0</v>
      </c>
      <c r="M385" s="24">
        <v>46752.0</v>
      </c>
      <c r="N385" s="20">
        <v>0.0</v>
      </c>
      <c r="O385" s="20">
        <v>1.0</v>
      </c>
      <c r="P385" s="24">
        <v>46753.0</v>
      </c>
      <c r="Q385" s="24">
        <v>47118.0</v>
      </c>
      <c r="R385" s="20">
        <v>0.0</v>
      </c>
      <c r="S385" s="20">
        <v>1.0</v>
      </c>
      <c r="T385" s="24">
        <v>47119.0</v>
      </c>
      <c r="U385" s="24">
        <v>47483.0</v>
      </c>
      <c r="V385" s="20">
        <v>0.0</v>
      </c>
      <c r="W385" s="20">
        <v>1.0</v>
      </c>
      <c r="X385" s="24">
        <v>47484.0</v>
      </c>
      <c r="Y385" s="24">
        <v>47848.0</v>
      </c>
      <c r="Z385" s="20">
        <v>0.0</v>
      </c>
      <c r="AA385" s="20">
        <v>1.0</v>
      </c>
      <c r="AC385" s="24"/>
      <c r="AD385" s="24"/>
      <c r="AH385" s="24"/>
      <c r="AI385" s="24"/>
    </row>
    <row r="386" ht="14.25" customHeight="1">
      <c r="A386" s="46" t="s">
        <v>2869</v>
      </c>
      <c r="B386" s="20" t="s">
        <v>2870</v>
      </c>
      <c r="C386" s="20" t="s">
        <v>7041</v>
      </c>
      <c r="D386" s="24">
        <v>45658.0</v>
      </c>
      <c r="E386" s="24">
        <v>46022.0</v>
      </c>
      <c r="F386" s="20">
        <v>1.0</v>
      </c>
      <c r="G386" s="20">
        <v>1.0</v>
      </c>
      <c r="H386" s="24">
        <v>46023.0</v>
      </c>
      <c r="I386" s="24">
        <v>46387.0</v>
      </c>
      <c r="J386" s="20">
        <v>0.0</v>
      </c>
      <c r="K386" s="20">
        <v>1.0</v>
      </c>
      <c r="L386" s="24">
        <v>46388.0</v>
      </c>
      <c r="M386" s="24">
        <v>46752.0</v>
      </c>
      <c r="N386" s="20">
        <v>0.0</v>
      </c>
      <c r="O386" s="20">
        <v>1.0</v>
      </c>
      <c r="P386" s="24">
        <v>46753.0</v>
      </c>
      <c r="Q386" s="24">
        <v>47118.0</v>
      </c>
      <c r="R386" s="20">
        <v>0.0</v>
      </c>
      <c r="S386" s="20">
        <v>1.0</v>
      </c>
      <c r="T386" s="24">
        <v>47119.0</v>
      </c>
      <c r="U386" s="24">
        <v>47483.0</v>
      </c>
      <c r="V386" s="20">
        <v>0.0</v>
      </c>
      <c r="W386" s="20">
        <v>1.0</v>
      </c>
      <c r="X386" s="24">
        <v>47484.0</v>
      </c>
      <c r="Y386" s="24">
        <v>47848.0</v>
      </c>
      <c r="Z386" s="20">
        <v>0.0</v>
      </c>
      <c r="AA386" s="20">
        <v>1.0</v>
      </c>
      <c r="AC386" s="24"/>
      <c r="AD386" s="24"/>
      <c r="AH386" s="24"/>
      <c r="AI386" s="24"/>
    </row>
    <row r="387" ht="14.25" customHeight="1">
      <c r="A387" s="46" t="s">
        <v>6381</v>
      </c>
      <c r="B387" s="20" t="s">
        <v>6382</v>
      </c>
      <c r="C387" s="20" t="s">
        <v>7041</v>
      </c>
      <c r="D387" s="24">
        <v>45658.0</v>
      </c>
      <c r="E387" s="24">
        <v>46022.0</v>
      </c>
      <c r="F387" s="20">
        <v>0.0</v>
      </c>
      <c r="G387" s="20">
        <v>1.0</v>
      </c>
      <c r="H387" s="24">
        <v>46023.0</v>
      </c>
      <c r="I387" s="24">
        <v>46387.0</v>
      </c>
      <c r="J387" s="20">
        <v>0.0</v>
      </c>
      <c r="K387" s="20">
        <v>1.0</v>
      </c>
      <c r="L387" s="24">
        <v>46388.0</v>
      </c>
      <c r="M387" s="24">
        <v>46752.0</v>
      </c>
      <c r="N387" s="20">
        <v>0.0</v>
      </c>
      <c r="O387" s="20">
        <v>1.0</v>
      </c>
      <c r="P387" s="24">
        <v>46753.0</v>
      </c>
      <c r="Q387" s="24">
        <v>47118.0</v>
      </c>
      <c r="R387" s="20">
        <v>0.0</v>
      </c>
      <c r="S387" s="20">
        <v>1.0</v>
      </c>
      <c r="T387" s="24">
        <v>47119.0</v>
      </c>
      <c r="U387" s="24">
        <v>47483.0</v>
      </c>
      <c r="V387" s="20">
        <v>0.0</v>
      </c>
      <c r="W387" s="20">
        <v>1.0</v>
      </c>
      <c r="X387" s="24">
        <v>47484.0</v>
      </c>
      <c r="Y387" s="24">
        <v>47848.0</v>
      </c>
      <c r="Z387" s="20">
        <v>0.0</v>
      </c>
      <c r="AA387" s="20">
        <v>1.0</v>
      </c>
      <c r="AC387" s="24"/>
      <c r="AD387" s="24"/>
      <c r="AH387" s="24"/>
      <c r="AI387" s="24"/>
    </row>
    <row r="388" ht="14.25" customHeight="1">
      <c r="A388" s="46" t="s">
        <v>2045</v>
      </c>
      <c r="B388" s="20" t="s">
        <v>2046</v>
      </c>
      <c r="C388" s="20" t="s">
        <v>7041</v>
      </c>
      <c r="D388" s="24">
        <v>45658.0</v>
      </c>
      <c r="E388" s="24">
        <v>46022.0</v>
      </c>
      <c r="F388" s="20">
        <v>0.0</v>
      </c>
      <c r="G388" s="20">
        <v>1.0</v>
      </c>
      <c r="H388" s="24">
        <v>46023.0</v>
      </c>
      <c r="I388" s="24">
        <v>46387.0</v>
      </c>
      <c r="J388" s="20">
        <v>0.0</v>
      </c>
      <c r="K388" s="20">
        <v>1.0</v>
      </c>
      <c r="L388" s="24">
        <v>46388.0</v>
      </c>
      <c r="M388" s="24">
        <v>46752.0</v>
      </c>
      <c r="N388" s="20">
        <v>0.0</v>
      </c>
      <c r="O388" s="20">
        <v>1.0</v>
      </c>
      <c r="P388" s="24">
        <v>46753.0</v>
      </c>
      <c r="Q388" s="24">
        <v>47118.0</v>
      </c>
      <c r="R388" s="20">
        <v>0.0</v>
      </c>
      <c r="S388" s="20">
        <v>1.0</v>
      </c>
      <c r="T388" s="24">
        <v>47119.0</v>
      </c>
      <c r="U388" s="24">
        <v>47483.0</v>
      </c>
      <c r="V388" s="20">
        <v>0.0</v>
      </c>
      <c r="W388" s="20">
        <v>1.0</v>
      </c>
      <c r="X388" s="24">
        <v>47484.0</v>
      </c>
      <c r="Y388" s="24">
        <v>47848.0</v>
      </c>
      <c r="Z388" s="20">
        <v>0.0</v>
      </c>
      <c r="AA388" s="20">
        <v>1.0</v>
      </c>
      <c r="AC388" s="24"/>
      <c r="AD388" s="24"/>
      <c r="AH388" s="24"/>
      <c r="AI388" s="24"/>
    </row>
    <row r="389" ht="14.25" customHeight="1">
      <c r="A389" s="46" t="s">
        <v>4934</v>
      </c>
      <c r="B389" s="20" t="s">
        <v>4935</v>
      </c>
      <c r="C389" s="20" t="s">
        <v>7041</v>
      </c>
      <c r="D389" s="24">
        <v>45658.0</v>
      </c>
      <c r="E389" s="24">
        <v>46022.0</v>
      </c>
      <c r="F389" s="20">
        <v>1.0</v>
      </c>
      <c r="G389" s="20">
        <v>1.0</v>
      </c>
      <c r="H389" s="24">
        <v>46023.0</v>
      </c>
      <c r="I389" s="24">
        <v>46387.0</v>
      </c>
      <c r="J389" s="20">
        <v>0.0</v>
      </c>
      <c r="K389" s="20">
        <v>1.0</v>
      </c>
      <c r="L389" s="24">
        <v>46388.0</v>
      </c>
      <c r="M389" s="24">
        <v>46752.0</v>
      </c>
      <c r="N389" s="20">
        <v>0.0</v>
      </c>
      <c r="O389" s="20">
        <v>1.0</v>
      </c>
      <c r="P389" s="24">
        <v>46753.0</v>
      </c>
      <c r="Q389" s="24">
        <v>47118.0</v>
      </c>
      <c r="R389" s="20">
        <v>0.0</v>
      </c>
      <c r="S389" s="20">
        <v>1.0</v>
      </c>
      <c r="T389" s="24">
        <v>47119.0</v>
      </c>
      <c r="U389" s="24">
        <v>47483.0</v>
      </c>
      <c r="V389" s="20">
        <v>0.0</v>
      </c>
      <c r="W389" s="20">
        <v>1.0</v>
      </c>
      <c r="X389" s="24">
        <v>47484.0</v>
      </c>
      <c r="Y389" s="24">
        <v>47848.0</v>
      </c>
      <c r="Z389" s="20">
        <v>0.0</v>
      </c>
      <c r="AA389" s="20">
        <v>1.0</v>
      </c>
      <c r="AC389" s="24"/>
      <c r="AD389" s="24"/>
      <c r="AH389" s="24"/>
      <c r="AI389" s="24"/>
    </row>
    <row r="390" ht="14.25" customHeight="1">
      <c r="A390" s="46" t="s">
        <v>1386</v>
      </c>
      <c r="B390" s="20" t="s">
        <v>1387</v>
      </c>
      <c r="C390" s="20" t="s">
        <v>7041</v>
      </c>
      <c r="D390" s="24">
        <v>45658.0</v>
      </c>
      <c r="E390" s="24">
        <v>46022.0</v>
      </c>
      <c r="F390" s="20">
        <v>0.0</v>
      </c>
      <c r="G390" s="20">
        <v>1.0</v>
      </c>
      <c r="H390" s="24">
        <v>46023.0</v>
      </c>
      <c r="I390" s="24">
        <v>46387.0</v>
      </c>
      <c r="J390" s="20">
        <v>0.0</v>
      </c>
      <c r="K390" s="20">
        <v>1.0</v>
      </c>
      <c r="L390" s="24">
        <v>46388.0</v>
      </c>
      <c r="M390" s="24">
        <v>46752.0</v>
      </c>
      <c r="N390" s="20">
        <v>0.0</v>
      </c>
      <c r="O390" s="20">
        <v>1.0</v>
      </c>
      <c r="P390" s="24">
        <v>46753.0</v>
      </c>
      <c r="Q390" s="24">
        <v>47118.0</v>
      </c>
      <c r="R390" s="20">
        <v>0.0</v>
      </c>
      <c r="S390" s="20">
        <v>1.0</v>
      </c>
      <c r="T390" s="24">
        <v>47119.0</v>
      </c>
      <c r="U390" s="24">
        <v>47483.0</v>
      </c>
      <c r="V390" s="20">
        <v>0.0</v>
      </c>
      <c r="W390" s="20">
        <v>1.0</v>
      </c>
      <c r="X390" s="24">
        <v>47484.0</v>
      </c>
      <c r="Y390" s="24">
        <v>47848.0</v>
      </c>
      <c r="Z390" s="20">
        <v>0.0</v>
      </c>
      <c r="AA390" s="20">
        <v>1.0</v>
      </c>
      <c r="AC390" s="24"/>
      <c r="AD390" s="24"/>
      <c r="AH390" s="24"/>
      <c r="AI390" s="24"/>
    </row>
    <row r="391" ht="14.25" customHeight="1">
      <c r="A391" s="46" t="s">
        <v>2276</v>
      </c>
      <c r="B391" s="20" t="s">
        <v>2277</v>
      </c>
      <c r="C391" s="20" t="s">
        <v>7041</v>
      </c>
      <c r="D391" s="24">
        <v>45658.0</v>
      </c>
      <c r="E391" s="24">
        <v>46022.0</v>
      </c>
      <c r="F391" s="20">
        <v>0.0</v>
      </c>
      <c r="G391" s="20">
        <v>1.0</v>
      </c>
      <c r="H391" s="24">
        <v>46023.0</v>
      </c>
      <c r="I391" s="24">
        <v>46387.0</v>
      </c>
      <c r="J391" s="20">
        <v>0.0</v>
      </c>
      <c r="K391" s="20">
        <v>1.0</v>
      </c>
      <c r="L391" s="24">
        <v>46388.0</v>
      </c>
      <c r="M391" s="24">
        <v>46752.0</v>
      </c>
      <c r="N391" s="20">
        <v>0.0</v>
      </c>
      <c r="O391" s="20">
        <v>1.0</v>
      </c>
      <c r="P391" s="24">
        <v>46753.0</v>
      </c>
      <c r="Q391" s="24">
        <v>47118.0</v>
      </c>
      <c r="R391" s="20">
        <v>0.0</v>
      </c>
      <c r="S391" s="20">
        <v>1.0</v>
      </c>
      <c r="T391" s="24">
        <v>47119.0</v>
      </c>
      <c r="U391" s="24">
        <v>47483.0</v>
      </c>
      <c r="V391" s="20">
        <v>0.0</v>
      </c>
      <c r="W391" s="20">
        <v>1.0</v>
      </c>
      <c r="X391" s="24">
        <v>47484.0</v>
      </c>
      <c r="Y391" s="24">
        <v>47848.0</v>
      </c>
      <c r="Z391" s="20">
        <v>0.0</v>
      </c>
      <c r="AA391" s="20">
        <v>1.0</v>
      </c>
      <c r="AC391" s="24"/>
      <c r="AD391" s="24"/>
      <c r="AH391" s="24"/>
      <c r="AI391" s="24"/>
    </row>
    <row r="392" ht="14.25" customHeight="1">
      <c r="A392" s="46" t="s">
        <v>5747</v>
      </c>
      <c r="B392" s="20" t="s">
        <v>5748</v>
      </c>
      <c r="C392" s="20" t="s">
        <v>7041</v>
      </c>
      <c r="D392" s="24">
        <v>45658.0</v>
      </c>
      <c r="E392" s="24">
        <v>46022.0</v>
      </c>
      <c r="F392" s="20">
        <v>0.0</v>
      </c>
      <c r="G392" s="20">
        <v>1.0</v>
      </c>
      <c r="H392" s="24">
        <v>46023.0</v>
      </c>
      <c r="I392" s="24">
        <v>46387.0</v>
      </c>
      <c r="J392" s="20">
        <v>0.0</v>
      </c>
      <c r="K392" s="20">
        <v>1.0</v>
      </c>
      <c r="L392" s="24">
        <v>46388.0</v>
      </c>
      <c r="M392" s="24">
        <v>46752.0</v>
      </c>
      <c r="N392" s="20">
        <v>0.0</v>
      </c>
      <c r="O392" s="20">
        <v>1.0</v>
      </c>
      <c r="P392" s="24">
        <v>46753.0</v>
      </c>
      <c r="Q392" s="24">
        <v>47118.0</v>
      </c>
      <c r="R392" s="20">
        <v>0.0</v>
      </c>
      <c r="S392" s="20">
        <v>1.0</v>
      </c>
      <c r="T392" s="24">
        <v>47119.0</v>
      </c>
      <c r="U392" s="24">
        <v>47483.0</v>
      </c>
      <c r="V392" s="20">
        <v>0.0</v>
      </c>
      <c r="W392" s="20">
        <v>1.0</v>
      </c>
      <c r="X392" s="24">
        <v>47484.0</v>
      </c>
      <c r="Y392" s="24">
        <v>47848.0</v>
      </c>
      <c r="Z392" s="20">
        <v>0.0</v>
      </c>
      <c r="AA392" s="20">
        <v>1.0</v>
      </c>
      <c r="AC392" s="24"/>
      <c r="AD392" s="24"/>
      <c r="AH392" s="24"/>
      <c r="AI392" s="24"/>
    </row>
    <row r="393" ht="14.25" customHeight="1">
      <c r="A393" s="46" t="s">
        <v>3097</v>
      </c>
      <c r="B393" s="20" t="s">
        <v>3098</v>
      </c>
      <c r="C393" s="20" t="s">
        <v>7041</v>
      </c>
      <c r="D393" s="24">
        <v>45658.0</v>
      </c>
      <c r="E393" s="24">
        <v>46022.0</v>
      </c>
      <c r="F393" s="20">
        <v>0.0</v>
      </c>
      <c r="G393" s="20">
        <v>1.0</v>
      </c>
      <c r="H393" s="24">
        <v>46023.0</v>
      </c>
      <c r="I393" s="24">
        <v>46387.0</v>
      </c>
      <c r="J393" s="20">
        <v>0.0</v>
      </c>
      <c r="K393" s="20">
        <v>1.0</v>
      </c>
      <c r="L393" s="24">
        <v>46388.0</v>
      </c>
      <c r="M393" s="24">
        <v>46752.0</v>
      </c>
      <c r="N393" s="20">
        <v>0.0</v>
      </c>
      <c r="O393" s="20">
        <v>1.0</v>
      </c>
      <c r="P393" s="24">
        <v>46753.0</v>
      </c>
      <c r="Q393" s="24">
        <v>47118.0</v>
      </c>
      <c r="R393" s="20">
        <v>0.0</v>
      </c>
      <c r="S393" s="20">
        <v>1.0</v>
      </c>
      <c r="T393" s="24">
        <v>47119.0</v>
      </c>
      <c r="U393" s="24">
        <v>47483.0</v>
      </c>
      <c r="V393" s="20">
        <v>0.0</v>
      </c>
      <c r="W393" s="20">
        <v>1.0</v>
      </c>
      <c r="X393" s="24">
        <v>47484.0</v>
      </c>
      <c r="Y393" s="24">
        <v>47848.0</v>
      </c>
      <c r="Z393" s="20">
        <v>0.0</v>
      </c>
      <c r="AA393" s="20">
        <v>1.0</v>
      </c>
      <c r="AC393" s="24"/>
      <c r="AD393" s="24"/>
      <c r="AH393" s="24"/>
      <c r="AI393" s="24"/>
    </row>
    <row r="394" ht="14.25" customHeight="1">
      <c r="A394" s="46" t="s">
        <v>6796</v>
      </c>
      <c r="B394" s="20" t="s">
        <v>6797</v>
      </c>
      <c r="C394" s="20" t="s">
        <v>7041</v>
      </c>
      <c r="D394" s="24">
        <v>45658.0</v>
      </c>
      <c r="E394" s="24">
        <v>46022.0</v>
      </c>
      <c r="F394" s="20">
        <v>0.0</v>
      </c>
      <c r="G394" s="20">
        <v>1.0</v>
      </c>
      <c r="H394" s="24">
        <v>46023.0</v>
      </c>
      <c r="I394" s="24">
        <v>46387.0</v>
      </c>
      <c r="J394" s="20">
        <v>0.0</v>
      </c>
      <c r="K394" s="20">
        <v>1.0</v>
      </c>
      <c r="L394" s="24">
        <v>46388.0</v>
      </c>
      <c r="M394" s="24">
        <v>46752.0</v>
      </c>
      <c r="N394" s="20">
        <v>0.0</v>
      </c>
      <c r="O394" s="20">
        <v>1.0</v>
      </c>
      <c r="P394" s="24">
        <v>46753.0</v>
      </c>
      <c r="Q394" s="24">
        <v>47118.0</v>
      </c>
      <c r="R394" s="20">
        <v>0.0</v>
      </c>
      <c r="S394" s="20">
        <v>1.0</v>
      </c>
      <c r="T394" s="24">
        <v>47119.0</v>
      </c>
      <c r="U394" s="24">
        <v>47483.0</v>
      </c>
      <c r="V394" s="20">
        <v>0.0</v>
      </c>
      <c r="W394" s="20">
        <v>1.0</v>
      </c>
      <c r="X394" s="24">
        <v>47484.0</v>
      </c>
      <c r="Y394" s="24">
        <v>47848.0</v>
      </c>
      <c r="Z394" s="20">
        <v>0.0</v>
      </c>
      <c r="AA394" s="20">
        <v>1.0</v>
      </c>
      <c r="AC394" s="24"/>
      <c r="AD394" s="24"/>
      <c r="AH394" s="24"/>
      <c r="AI394" s="24"/>
    </row>
    <row r="395" ht="14.25" customHeight="1">
      <c r="A395" s="46" t="s">
        <v>5409</v>
      </c>
      <c r="B395" s="20" t="s">
        <v>5410</v>
      </c>
      <c r="C395" s="20" t="s">
        <v>7041</v>
      </c>
      <c r="D395" s="24">
        <v>45658.0</v>
      </c>
      <c r="E395" s="24">
        <v>46022.0</v>
      </c>
      <c r="F395" s="20">
        <v>0.0</v>
      </c>
      <c r="G395" s="20">
        <v>1.0</v>
      </c>
      <c r="H395" s="24">
        <v>46023.0</v>
      </c>
      <c r="I395" s="24">
        <v>46387.0</v>
      </c>
      <c r="J395" s="20">
        <v>0.0</v>
      </c>
      <c r="K395" s="20">
        <v>1.0</v>
      </c>
      <c r="L395" s="24">
        <v>46388.0</v>
      </c>
      <c r="M395" s="24">
        <v>46752.0</v>
      </c>
      <c r="N395" s="20">
        <v>0.0</v>
      </c>
      <c r="O395" s="20">
        <v>1.0</v>
      </c>
      <c r="P395" s="24">
        <v>46753.0</v>
      </c>
      <c r="Q395" s="24">
        <v>47118.0</v>
      </c>
      <c r="R395" s="20">
        <v>0.0</v>
      </c>
      <c r="S395" s="20">
        <v>1.0</v>
      </c>
      <c r="T395" s="24">
        <v>47119.0</v>
      </c>
      <c r="U395" s="24">
        <v>47483.0</v>
      </c>
      <c r="V395" s="20">
        <v>0.0</v>
      </c>
      <c r="W395" s="20">
        <v>1.0</v>
      </c>
      <c r="X395" s="24">
        <v>47484.0</v>
      </c>
      <c r="Y395" s="24">
        <v>47848.0</v>
      </c>
      <c r="Z395" s="20">
        <v>0.0</v>
      </c>
      <c r="AA395" s="20">
        <v>1.0</v>
      </c>
      <c r="AC395" s="24"/>
      <c r="AD395" s="24"/>
      <c r="AH395" s="24"/>
      <c r="AI395" s="24"/>
    </row>
    <row r="396" ht="14.25" customHeight="1">
      <c r="A396" s="46" t="s">
        <v>5854</v>
      </c>
      <c r="B396" s="20" t="s">
        <v>5855</v>
      </c>
      <c r="C396" s="20" t="s">
        <v>7041</v>
      </c>
      <c r="D396" s="24">
        <v>45658.0</v>
      </c>
      <c r="E396" s="24">
        <v>46022.0</v>
      </c>
      <c r="F396" s="20">
        <v>1.0</v>
      </c>
      <c r="G396" s="20">
        <v>1.0</v>
      </c>
      <c r="H396" s="24">
        <v>46023.0</v>
      </c>
      <c r="I396" s="24">
        <v>46387.0</v>
      </c>
      <c r="J396" s="20">
        <v>0.0</v>
      </c>
      <c r="K396" s="20">
        <v>1.0</v>
      </c>
      <c r="L396" s="24">
        <v>46388.0</v>
      </c>
      <c r="M396" s="24">
        <v>46752.0</v>
      </c>
      <c r="N396" s="20">
        <v>0.0</v>
      </c>
      <c r="O396" s="20">
        <v>1.0</v>
      </c>
      <c r="P396" s="24">
        <v>46753.0</v>
      </c>
      <c r="Q396" s="24">
        <v>47118.0</v>
      </c>
      <c r="R396" s="20">
        <v>0.0</v>
      </c>
      <c r="S396" s="20">
        <v>1.0</v>
      </c>
      <c r="T396" s="24">
        <v>47119.0</v>
      </c>
      <c r="U396" s="24">
        <v>47483.0</v>
      </c>
      <c r="V396" s="20">
        <v>0.0</v>
      </c>
      <c r="W396" s="20">
        <v>1.0</v>
      </c>
      <c r="X396" s="24">
        <v>47484.0</v>
      </c>
      <c r="Y396" s="24">
        <v>47848.0</v>
      </c>
      <c r="Z396" s="20">
        <v>0.0</v>
      </c>
      <c r="AA396" s="20">
        <v>1.0</v>
      </c>
      <c r="AC396" s="24"/>
      <c r="AD396" s="24"/>
      <c r="AH396" s="24"/>
      <c r="AI396" s="24"/>
    </row>
    <row r="397" ht="14.25" customHeight="1">
      <c r="A397" s="46" t="s">
        <v>444</v>
      </c>
      <c r="B397" s="20" t="s">
        <v>445</v>
      </c>
      <c r="C397" s="20" t="s">
        <v>7041</v>
      </c>
      <c r="D397" s="24">
        <v>45658.0</v>
      </c>
      <c r="E397" s="24">
        <v>46022.0</v>
      </c>
      <c r="F397" s="20">
        <v>1.0</v>
      </c>
      <c r="G397" s="20">
        <v>1.0</v>
      </c>
      <c r="H397" s="24">
        <v>46023.0</v>
      </c>
      <c r="I397" s="24">
        <v>46387.0</v>
      </c>
      <c r="J397" s="20">
        <v>0.0</v>
      </c>
      <c r="K397" s="20">
        <v>1.0</v>
      </c>
      <c r="L397" s="24">
        <v>46388.0</v>
      </c>
      <c r="M397" s="24">
        <v>46752.0</v>
      </c>
      <c r="N397" s="20">
        <v>0.0</v>
      </c>
      <c r="O397" s="20">
        <v>1.0</v>
      </c>
      <c r="P397" s="24">
        <v>46753.0</v>
      </c>
      <c r="Q397" s="24">
        <v>47118.0</v>
      </c>
      <c r="R397" s="20">
        <v>0.0</v>
      </c>
      <c r="S397" s="20">
        <v>1.0</v>
      </c>
      <c r="T397" s="24">
        <v>47119.0</v>
      </c>
      <c r="U397" s="24">
        <v>47483.0</v>
      </c>
      <c r="V397" s="20">
        <v>0.0</v>
      </c>
      <c r="W397" s="20">
        <v>1.0</v>
      </c>
      <c r="X397" s="24">
        <v>47484.0</v>
      </c>
      <c r="Y397" s="24">
        <v>47848.0</v>
      </c>
      <c r="Z397" s="20">
        <v>0.0</v>
      </c>
      <c r="AA397" s="20">
        <v>1.0</v>
      </c>
      <c r="AC397" s="24"/>
      <c r="AD397" s="24"/>
      <c r="AH397" s="24"/>
      <c r="AI397" s="24"/>
    </row>
    <row r="398" ht="14.25" customHeight="1">
      <c r="A398" s="46" t="s">
        <v>1516</v>
      </c>
      <c r="B398" s="20" t="s">
        <v>1517</v>
      </c>
      <c r="C398" s="20" t="s">
        <v>7041</v>
      </c>
      <c r="D398" s="24">
        <v>45658.0</v>
      </c>
      <c r="E398" s="24">
        <v>46022.0</v>
      </c>
      <c r="F398" s="20">
        <v>0.0</v>
      </c>
      <c r="G398" s="20">
        <v>1.0</v>
      </c>
      <c r="H398" s="24">
        <v>46023.0</v>
      </c>
      <c r="I398" s="24">
        <v>46387.0</v>
      </c>
      <c r="J398" s="20">
        <v>0.0</v>
      </c>
      <c r="K398" s="20">
        <v>1.0</v>
      </c>
      <c r="L398" s="24">
        <v>46388.0</v>
      </c>
      <c r="M398" s="24">
        <v>46752.0</v>
      </c>
      <c r="N398" s="20">
        <v>0.0</v>
      </c>
      <c r="O398" s="20">
        <v>1.0</v>
      </c>
      <c r="P398" s="24">
        <v>46753.0</v>
      </c>
      <c r="Q398" s="24">
        <v>47118.0</v>
      </c>
      <c r="R398" s="20">
        <v>0.0</v>
      </c>
      <c r="S398" s="20">
        <v>1.0</v>
      </c>
      <c r="T398" s="24">
        <v>47119.0</v>
      </c>
      <c r="U398" s="24">
        <v>47483.0</v>
      </c>
      <c r="V398" s="20">
        <v>0.0</v>
      </c>
      <c r="W398" s="20">
        <v>1.0</v>
      </c>
      <c r="X398" s="24">
        <v>47484.0</v>
      </c>
      <c r="Y398" s="24">
        <v>47848.0</v>
      </c>
      <c r="Z398" s="20">
        <v>0.0</v>
      </c>
      <c r="AA398" s="20">
        <v>1.0</v>
      </c>
      <c r="AC398" s="24"/>
      <c r="AD398" s="24"/>
      <c r="AH398" s="24"/>
      <c r="AI398" s="24"/>
    </row>
    <row r="399" ht="14.25" customHeight="1">
      <c r="A399" s="46" t="s">
        <v>153</v>
      </c>
      <c r="B399" s="20" t="s">
        <v>154</v>
      </c>
      <c r="C399" s="20" t="s">
        <v>7041</v>
      </c>
      <c r="D399" s="24">
        <v>45658.0</v>
      </c>
      <c r="E399" s="24">
        <v>46022.0</v>
      </c>
      <c r="F399" s="20">
        <v>0.0</v>
      </c>
      <c r="G399" s="20">
        <v>1.0</v>
      </c>
      <c r="H399" s="24">
        <v>46023.0</v>
      </c>
      <c r="I399" s="24">
        <v>46387.0</v>
      </c>
      <c r="J399" s="20">
        <v>0.0</v>
      </c>
      <c r="K399" s="20">
        <v>1.0</v>
      </c>
      <c r="L399" s="24">
        <v>46388.0</v>
      </c>
      <c r="M399" s="24">
        <v>46752.0</v>
      </c>
      <c r="N399" s="20">
        <v>0.0</v>
      </c>
      <c r="O399" s="20">
        <v>1.0</v>
      </c>
      <c r="P399" s="24">
        <v>46753.0</v>
      </c>
      <c r="Q399" s="24">
        <v>47118.0</v>
      </c>
      <c r="R399" s="20">
        <v>0.0</v>
      </c>
      <c r="S399" s="20">
        <v>1.0</v>
      </c>
      <c r="T399" s="24">
        <v>47119.0</v>
      </c>
      <c r="U399" s="24">
        <v>47483.0</v>
      </c>
      <c r="V399" s="20">
        <v>0.0</v>
      </c>
      <c r="W399" s="20">
        <v>1.0</v>
      </c>
      <c r="X399" s="24">
        <v>47484.0</v>
      </c>
      <c r="Y399" s="24">
        <v>47848.0</v>
      </c>
      <c r="Z399" s="20">
        <v>0.0</v>
      </c>
      <c r="AA399" s="20">
        <v>1.0</v>
      </c>
      <c r="AC399" s="24"/>
      <c r="AD399" s="24"/>
      <c r="AH399" s="24"/>
      <c r="AI399" s="24"/>
    </row>
    <row r="400" ht="14.25" customHeight="1">
      <c r="A400" s="46" t="s">
        <v>2678</v>
      </c>
      <c r="B400" s="20" t="s">
        <v>2679</v>
      </c>
      <c r="C400" s="20" t="s">
        <v>7041</v>
      </c>
      <c r="D400" s="24">
        <v>45658.0</v>
      </c>
      <c r="E400" s="24">
        <v>46022.0</v>
      </c>
      <c r="F400" s="20">
        <v>0.0</v>
      </c>
      <c r="G400" s="20">
        <v>1.0</v>
      </c>
      <c r="H400" s="24">
        <v>46023.0</v>
      </c>
      <c r="I400" s="24">
        <v>46387.0</v>
      </c>
      <c r="J400" s="20">
        <v>0.0</v>
      </c>
      <c r="K400" s="20">
        <v>1.0</v>
      </c>
      <c r="L400" s="24">
        <v>46388.0</v>
      </c>
      <c r="M400" s="24">
        <v>46752.0</v>
      </c>
      <c r="N400" s="20">
        <v>0.0</v>
      </c>
      <c r="O400" s="20">
        <v>1.0</v>
      </c>
      <c r="P400" s="24">
        <v>46753.0</v>
      </c>
      <c r="Q400" s="24">
        <v>47118.0</v>
      </c>
      <c r="R400" s="20">
        <v>0.0</v>
      </c>
      <c r="S400" s="20">
        <v>1.0</v>
      </c>
      <c r="T400" s="24">
        <v>47119.0</v>
      </c>
      <c r="U400" s="24">
        <v>47483.0</v>
      </c>
      <c r="V400" s="20">
        <v>0.0</v>
      </c>
      <c r="W400" s="20">
        <v>1.0</v>
      </c>
      <c r="X400" s="24">
        <v>47484.0</v>
      </c>
      <c r="Y400" s="24">
        <v>47848.0</v>
      </c>
      <c r="Z400" s="20">
        <v>0.0</v>
      </c>
      <c r="AA400" s="20">
        <v>1.0</v>
      </c>
      <c r="AC400" s="24"/>
      <c r="AD400" s="24"/>
      <c r="AH400" s="24"/>
      <c r="AI400" s="24"/>
    </row>
    <row r="401" ht="14.25" customHeight="1">
      <c r="A401" s="46" t="s">
        <v>3931</v>
      </c>
      <c r="B401" s="20" t="s">
        <v>3932</v>
      </c>
      <c r="C401" s="20" t="s">
        <v>7041</v>
      </c>
      <c r="D401" s="24">
        <v>45658.0</v>
      </c>
      <c r="E401" s="24">
        <v>46022.0</v>
      </c>
      <c r="F401" s="20">
        <v>0.0</v>
      </c>
      <c r="G401" s="20">
        <v>1.0</v>
      </c>
      <c r="H401" s="24">
        <v>46023.0</v>
      </c>
      <c r="I401" s="24">
        <v>46387.0</v>
      </c>
      <c r="J401" s="20">
        <v>0.0</v>
      </c>
      <c r="K401" s="20">
        <v>1.0</v>
      </c>
      <c r="L401" s="24">
        <v>46388.0</v>
      </c>
      <c r="M401" s="24">
        <v>46752.0</v>
      </c>
      <c r="N401" s="20">
        <v>0.0</v>
      </c>
      <c r="O401" s="20">
        <v>1.0</v>
      </c>
      <c r="P401" s="24">
        <v>46753.0</v>
      </c>
      <c r="Q401" s="24">
        <v>47118.0</v>
      </c>
      <c r="R401" s="20">
        <v>0.0</v>
      </c>
      <c r="S401" s="20">
        <v>1.0</v>
      </c>
      <c r="T401" s="24">
        <v>47119.0</v>
      </c>
      <c r="U401" s="24">
        <v>47483.0</v>
      </c>
      <c r="V401" s="20">
        <v>0.0</v>
      </c>
      <c r="W401" s="20">
        <v>1.0</v>
      </c>
      <c r="X401" s="24">
        <v>47484.0</v>
      </c>
      <c r="Y401" s="24">
        <v>47848.0</v>
      </c>
      <c r="Z401" s="20">
        <v>0.0</v>
      </c>
      <c r="AA401" s="20">
        <v>1.0</v>
      </c>
      <c r="AC401" s="24"/>
      <c r="AD401" s="24"/>
      <c r="AH401" s="24"/>
      <c r="AI401" s="24"/>
    </row>
    <row r="402" ht="14.25" customHeight="1">
      <c r="A402" s="46" t="s">
        <v>4949</v>
      </c>
      <c r="B402" s="20" t="s">
        <v>4950</v>
      </c>
      <c r="C402" s="20" t="s">
        <v>7041</v>
      </c>
      <c r="D402" s="24">
        <v>45658.0</v>
      </c>
      <c r="E402" s="24">
        <v>46022.0</v>
      </c>
      <c r="F402" s="20">
        <v>0.0</v>
      </c>
      <c r="G402" s="20">
        <v>1.0</v>
      </c>
      <c r="H402" s="24">
        <v>46023.0</v>
      </c>
      <c r="I402" s="24">
        <v>46387.0</v>
      </c>
      <c r="J402" s="20">
        <v>0.0</v>
      </c>
      <c r="K402" s="20">
        <v>1.0</v>
      </c>
      <c r="L402" s="24">
        <v>46388.0</v>
      </c>
      <c r="M402" s="24">
        <v>46752.0</v>
      </c>
      <c r="N402" s="20">
        <v>0.0</v>
      </c>
      <c r="O402" s="20">
        <v>1.0</v>
      </c>
      <c r="P402" s="24">
        <v>46753.0</v>
      </c>
      <c r="Q402" s="24">
        <v>47118.0</v>
      </c>
      <c r="R402" s="20">
        <v>0.0</v>
      </c>
      <c r="S402" s="20">
        <v>1.0</v>
      </c>
      <c r="T402" s="24">
        <v>47119.0</v>
      </c>
      <c r="U402" s="24">
        <v>47483.0</v>
      </c>
      <c r="V402" s="20">
        <v>0.0</v>
      </c>
      <c r="W402" s="20">
        <v>1.0</v>
      </c>
      <c r="X402" s="24">
        <v>47484.0</v>
      </c>
      <c r="Y402" s="24">
        <v>47848.0</v>
      </c>
      <c r="Z402" s="20">
        <v>0.0</v>
      </c>
      <c r="AA402" s="20">
        <v>1.0</v>
      </c>
      <c r="AC402" s="24"/>
      <c r="AD402" s="24"/>
      <c r="AH402" s="24"/>
      <c r="AI402" s="24"/>
    </row>
    <row r="403" ht="14.25" customHeight="1">
      <c r="A403" s="46" t="s">
        <v>4943</v>
      </c>
      <c r="B403" s="20" t="s">
        <v>4944</v>
      </c>
      <c r="C403" s="20" t="s">
        <v>7041</v>
      </c>
      <c r="D403" s="24">
        <v>45658.0</v>
      </c>
      <c r="E403" s="24">
        <v>46022.0</v>
      </c>
      <c r="F403" s="20">
        <v>0.0</v>
      </c>
      <c r="G403" s="20">
        <v>1.0</v>
      </c>
      <c r="H403" s="24">
        <v>46023.0</v>
      </c>
      <c r="I403" s="24">
        <v>46387.0</v>
      </c>
      <c r="J403" s="20">
        <v>0.0</v>
      </c>
      <c r="K403" s="20">
        <v>1.0</v>
      </c>
      <c r="L403" s="24">
        <v>46388.0</v>
      </c>
      <c r="M403" s="24">
        <v>46752.0</v>
      </c>
      <c r="N403" s="20">
        <v>0.0</v>
      </c>
      <c r="O403" s="20">
        <v>1.0</v>
      </c>
      <c r="P403" s="24">
        <v>46753.0</v>
      </c>
      <c r="Q403" s="24">
        <v>47118.0</v>
      </c>
      <c r="R403" s="20">
        <v>0.0</v>
      </c>
      <c r="S403" s="20">
        <v>1.0</v>
      </c>
      <c r="T403" s="24">
        <v>47119.0</v>
      </c>
      <c r="U403" s="24">
        <v>47483.0</v>
      </c>
      <c r="V403" s="20">
        <v>0.0</v>
      </c>
      <c r="W403" s="20">
        <v>1.0</v>
      </c>
      <c r="X403" s="24">
        <v>47484.0</v>
      </c>
      <c r="Y403" s="24">
        <v>47848.0</v>
      </c>
      <c r="Z403" s="20">
        <v>0.0</v>
      </c>
      <c r="AA403" s="20">
        <v>1.0</v>
      </c>
      <c r="AC403" s="24"/>
      <c r="AD403" s="24"/>
      <c r="AH403" s="24"/>
      <c r="AI403" s="24"/>
    </row>
    <row r="404" ht="14.25" customHeight="1">
      <c r="A404" s="46" t="s">
        <v>5906</v>
      </c>
      <c r="B404" s="20" t="s">
        <v>5907</v>
      </c>
      <c r="C404" s="20" t="s">
        <v>7041</v>
      </c>
      <c r="D404" s="24">
        <v>45658.0</v>
      </c>
      <c r="E404" s="24">
        <v>46022.0</v>
      </c>
      <c r="F404" s="20">
        <v>0.0</v>
      </c>
      <c r="G404" s="20">
        <v>1.0</v>
      </c>
      <c r="H404" s="24">
        <v>46023.0</v>
      </c>
      <c r="I404" s="24">
        <v>46387.0</v>
      </c>
      <c r="J404" s="20">
        <v>0.0</v>
      </c>
      <c r="K404" s="20">
        <v>1.0</v>
      </c>
      <c r="L404" s="24">
        <v>46388.0</v>
      </c>
      <c r="M404" s="24">
        <v>46752.0</v>
      </c>
      <c r="N404" s="20">
        <v>0.0</v>
      </c>
      <c r="O404" s="20">
        <v>1.0</v>
      </c>
      <c r="P404" s="24">
        <v>46753.0</v>
      </c>
      <c r="Q404" s="24">
        <v>47118.0</v>
      </c>
      <c r="R404" s="20">
        <v>0.0</v>
      </c>
      <c r="S404" s="20">
        <v>1.0</v>
      </c>
      <c r="T404" s="24">
        <v>47119.0</v>
      </c>
      <c r="U404" s="24">
        <v>47483.0</v>
      </c>
      <c r="V404" s="20">
        <v>0.0</v>
      </c>
      <c r="W404" s="20">
        <v>1.0</v>
      </c>
      <c r="X404" s="24">
        <v>47484.0</v>
      </c>
      <c r="Y404" s="24">
        <v>47848.0</v>
      </c>
      <c r="Z404" s="20">
        <v>0.0</v>
      </c>
      <c r="AA404" s="20">
        <v>1.0</v>
      </c>
      <c r="AC404" s="24"/>
      <c r="AD404" s="24"/>
      <c r="AH404" s="24"/>
      <c r="AI404" s="24"/>
    </row>
    <row r="405" ht="14.25" customHeight="1">
      <c r="A405" s="46" t="s">
        <v>5966</v>
      </c>
      <c r="B405" s="20" t="s">
        <v>5967</v>
      </c>
      <c r="C405" s="20" t="s">
        <v>7041</v>
      </c>
      <c r="D405" s="24">
        <v>45658.0</v>
      </c>
      <c r="E405" s="24">
        <v>46022.0</v>
      </c>
      <c r="F405" s="20">
        <v>0.0</v>
      </c>
      <c r="G405" s="20">
        <v>1.0</v>
      </c>
      <c r="H405" s="24">
        <v>46023.0</v>
      </c>
      <c r="I405" s="24">
        <v>46387.0</v>
      </c>
      <c r="J405" s="20">
        <v>0.0</v>
      </c>
      <c r="K405" s="20">
        <v>1.0</v>
      </c>
      <c r="L405" s="24">
        <v>46388.0</v>
      </c>
      <c r="M405" s="24">
        <v>46752.0</v>
      </c>
      <c r="N405" s="20">
        <v>0.0</v>
      </c>
      <c r="O405" s="20">
        <v>1.0</v>
      </c>
      <c r="P405" s="24">
        <v>46753.0</v>
      </c>
      <c r="Q405" s="24">
        <v>47118.0</v>
      </c>
      <c r="R405" s="20">
        <v>0.0</v>
      </c>
      <c r="S405" s="20">
        <v>1.0</v>
      </c>
      <c r="T405" s="24">
        <v>47119.0</v>
      </c>
      <c r="U405" s="24">
        <v>47483.0</v>
      </c>
      <c r="V405" s="20">
        <v>0.0</v>
      </c>
      <c r="W405" s="20">
        <v>1.0</v>
      </c>
      <c r="X405" s="24">
        <v>47484.0</v>
      </c>
      <c r="Y405" s="24">
        <v>47848.0</v>
      </c>
      <c r="Z405" s="20">
        <v>0.0</v>
      </c>
      <c r="AA405" s="20">
        <v>1.0</v>
      </c>
      <c r="AC405" s="24"/>
      <c r="AD405" s="24"/>
      <c r="AH405" s="24"/>
      <c r="AI405" s="24"/>
    </row>
    <row r="406" ht="14.25" customHeight="1">
      <c r="A406" s="46" t="s">
        <v>2243</v>
      </c>
      <c r="B406" s="20" t="s">
        <v>2244</v>
      </c>
      <c r="C406" s="20" t="s">
        <v>7041</v>
      </c>
      <c r="D406" s="24">
        <v>45658.0</v>
      </c>
      <c r="E406" s="24">
        <v>46022.0</v>
      </c>
      <c r="F406" s="20">
        <v>1.0</v>
      </c>
      <c r="G406" s="20">
        <v>1.0</v>
      </c>
      <c r="H406" s="24">
        <v>46023.0</v>
      </c>
      <c r="I406" s="24">
        <v>46387.0</v>
      </c>
      <c r="J406" s="20">
        <v>0.0</v>
      </c>
      <c r="K406" s="20">
        <v>1.0</v>
      </c>
      <c r="L406" s="24">
        <v>46388.0</v>
      </c>
      <c r="M406" s="24">
        <v>46752.0</v>
      </c>
      <c r="N406" s="20">
        <v>0.0</v>
      </c>
      <c r="O406" s="20">
        <v>1.0</v>
      </c>
      <c r="P406" s="24">
        <v>46753.0</v>
      </c>
      <c r="Q406" s="24">
        <v>47118.0</v>
      </c>
      <c r="R406" s="20">
        <v>0.0</v>
      </c>
      <c r="S406" s="20">
        <v>1.0</v>
      </c>
      <c r="T406" s="24">
        <v>47119.0</v>
      </c>
      <c r="U406" s="24">
        <v>47483.0</v>
      </c>
      <c r="V406" s="20">
        <v>0.0</v>
      </c>
      <c r="W406" s="20">
        <v>1.0</v>
      </c>
      <c r="X406" s="24">
        <v>47484.0</v>
      </c>
      <c r="Y406" s="24">
        <v>47848.0</v>
      </c>
      <c r="Z406" s="20">
        <v>0.0</v>
      </c>
      <c r="AA406" s="20">
        <v>1.0</v>
      </c>
      <c r="AC406" s="24"/>
      <c r="AD406" s="24"/>
      <c r="AH406" s="24"/>
      <c r="AI406" s="24"/>
    </row>
    <row r="407" ht="14.25" customHeight="1">
      <c r="A407" s="46" t="s">
        <v>2352</v>
      </c>
      <c r="B407" s="20" t="s">
        <v>2353</v>
      </c>
      <c r="C407" s="20" t="s">
        <v>7041</v>
      </c>
      <c r="D407" s="24">
        <v>45658.0</v>
      </c>
      <c r="E407" s="24">
        <v>46022.0</v>
      </c>
      <c r="F407" s="20">
        <v>0.0</v>
      </c>
      <c r="G407" s="20">
        <v>1.0</v>
      </c>
      <c r="H407" s="24">
        <v>46023.0</v>
      </c>
      <c r="I407" s="24">
        <v>46387.0</v>
      </c>
      <c r="J407" s="20">
        <v>0.0</v>
      </c>
      <c r="K407" s="20">
        <v>1.0</v>
      </c>
      <c r="L407" s="24">
        <v>46388.0</v>
      </c>
      <c r="M407" s="24">
        <v>46752.0</v>
      </c>
      <c r="N407" s="20">
        <v>0.0</v>
      </c>
      <c r="O407" s="20">
        <v>1.0</v>
      </c>
      <c r="P407" s="24">
        <v>46753.0</v>
      </c>
      <c r="Q407" s="24">
        <v>47118.0</v>
      </c>
      <c r="R407" s="20">
        <v>0.0</v>
      </c>
      <c r="S407" s="20">
        <v>1.0</v>
      </c>
      <c r="T407" s="24">
        <v>47119.0</v>
      </c>
      <c r="U407" s="24">
        <v>47483.0</v>
      </c>
      <c r="V407" s="20">
        <v>0.0</v>
      </c>
      <c r="W407" s="20">
        <v>1.0</v>
      </c>
      <c r="X407" s="24">
        <v>47484.0</v>
      </c>
      <c r="Y407" s="24">
        <v>47848.0</v>
      </c>
      <c r="Z407" s="20">
        <v>0.0</v>
      </c>
      <c r="AA407" s="20">
        <v>1.0</v>
      </c>
      <c r="AC407" s="24"/>
      <c r="AD407" s="24"/>
      <c r="AH407" s="24"/>
      <c r="AI407" s="24"/>
    </row>
    <row r="408" ht="14.25" customHeight="1">
      <c r="A408" s="46" t="s">
        <v>3771</v>
      </c>
      <c r="B408" s="20" t="s">
        <v>3772</v>
      </c>
      <c r="C408" s="20" t="s">
        <v>7041</v>
      </c>
      <c r="D408" s="24">
        <v>45658.0</v>
      </c>
      <c r="E408" s="24">
        <v>46022.0</v>
      </c>
      <c r="F408" s="20">
        <v>1.0</v>
      </c>
      <c r="G408" s="20">
        <v>1.0</v>
      </c>
      <c r="H408" s="24">
        <v>46023.0</v>
      </c>
      <c r="I408" s="24">
        <v>46387.0</v>
      </c>
      <c r="J408" s="20">
        <v>0.0</v>
      </c>
      <c r="K408" s="20">
        <v>1.0</v>
      </c>
      <c r="L408" s="24">
        <v>46388.0</v>
      </c>
      <c r="M408" s="24">
        <v>46752.0</v>
      </c>
      <c r="N408" s="20">
        <v>0.0</v>
      </c>
      <c r="O408" s="20">
        <v>1.0</v>
      </c>
      <c r="P408" s="24">
        <v>46753.0</v>
      </c>
      <c r="Q408" s="24">
        <v>47118.0</v>
      </c>
      <c r="R408" s="20">
        <v>0.0</v>
      </c>
      <c r="S408" s="20">
        <v>1.0</v>
      </c>
      <c r="T408" s="24">
        <v>47119.0</v>
      </c>
      <c r="U408" s="24">
        <v>47483.0</v>
      </c>
      <c r="V408" s="20">
        <v>0.0</v>
      </c>
      <c r="W408" s="20">
        <v>1.0</v>
      </c>
      <c r="X408" s="24">
        <v>47484.0</v>
      </c>
      <c r="Y408" s="24">
        <v>47848.0</v>
      </c>
      <c r="Z408" s="20">
        <v>0.0</v>
      </c>
      <c r="AA408" s="20">
        <v>1.0</v>
      </c>
      <c r="AC408" s="24"/>
      <c r="AD408" s="24"/>
      <c r="AH408" s="24"/>
      <c r="AI408" s="24"/>
    </row>
    <row r="409" ht="14.25" customHeight="1">
      <c r="A409" s="46" t="s">
        <v>3183</v>
      </c>
      <c r="B409" s="20" t="s">
        <v>3184</v>
      </c>
      <c r="C409" s="20" t="s">
        <v>7041</v>
      </c>
      <c r="D409" s="24">
        <v>45658.0</v>
      </c>
      <c r="E409" s="24">
        <v>46022.0</v>
      </c>
      <c r="F409" s="20">
        <v>0.0</v>
      </c>
      <c r="G409" s="20">
        <v>1.0</v>
      </c>
      <c r="H409" s="24">
        <v>46023.0</v>
      </c>
      <c r="I409" s="24">
        <v>46387.0</v>
      </c>
      <c r="J409" s="20">
        <v>0.0</v>
      </c>
      <c r="K409" s="20">
        <v>1.0</v>
      </c>
      <c r="L409" s="24">
        <v>46388.0</v>
      </c>
      <c r="M409" s="24">
        <v>46752.0</v>
      </c>
      <c r="N409" s="20">
        <v>0.0</v>
      </c>
      <c r="O409" s="20">
        <v>1.0</v>
      </c>
      <c r="P409" s="24">
        <v>46753.0</v>
      </c>
      <c r="Q409" s="24">
        <v>47118.0</v>
      </c>
      <c r="R409" s="20">
        <v>0.0</v>
      </c>
      <c r="S409" s="20">
        <v>1.0</v>
      </c>
      <c r="T409" s="24">
        <v>47119.0</v>
      </c>
      <c r="U409" s="24">
        <v>47483.0</v>
      </c>
      <c r="V409" s="20">
        <v>0.0</v>
      </c>
      <c r="W409" s="20">
        <v>1.0</v>
      </c>
      <c r="X409" s="24">
        <v>47484.0</v>
      </c>
      <c r="Y409" s="24">
        <v>47848.0</v>
      </c>
      <c r="Z409" s="20">
        <v>0.0</v>
      </c>
      <c r="AA409" s="20">
        <v>1.0</v>
      </c>
      <c r="AC409" s="24"/>
      <c r="AD409" s="24"/>
      <c r="AH409" s="24"/>
      <c r="AI409" s="24"/>
    </row>
    <row r="410" ht="14.25" customHeight="1">
      <c r="A410" s="46" t="s">
        <v>2304</v>
      </c>
      <c r="B410" s="20" t="s">
        <v>2305</v>
      </c>
      <c r="C410" s="20" t="s">
        <v>7041</v>
      </c>
      <c r="D410" s="24">
        <v>45658.0</v>
      </c>
      <c r="E410" s="24">
        <v>46022.0</v>
      </c>
      <c r="F410" s="20">
        <v>1.0</v>
      </c>
      <c r="G410" s="20">
        <v>1.0</v>
      </c>
      <c r="H410" s="24">
        <v>46023.0</v>
      </c>
      <c r="I410" s="24">
        <v>46387.0</v>
      </c>
      <c r="J410" s="20">
        <v>0.0</v>
      </c>
      <c r="K410" s="20">
        <v>1.0</v>
      </c>
      <c r="L410" s="24">
        <v>46388.0</v>
      </c>
      <c r="M410" s="24">
        <v>46752.0</v>
      </c>
      <c r="N410" s="20">
        <v>0.0</v>
      </c>
      <c r="O410" s="20">
        <v>1.0</v>
      </c>
      <c r="P410" s="24">
        <v>46753.0</v>
      </c>
      <c r="Q410" s="24">
        <v>47118.0</v>
      </c>
      <c r="R410" s="20">
        <v>0.0</v>
      </c>
      <c r="S410" s="20">
        <v>1.0</v>
      </c>
      <c r="T410" s="24">
        <v>47119.0</v>
      </c>
      <c r="U410" s="24">
        <v>47483.0</v>
      </c>
      <c r="V410" s="20">
        <v>0.0</v>
      </c>
      <c r="W410" s="20">
        <v>1.0</v>
      </c>
      <c r="X410" s="24">
        <v>47484.0</v>
      </c>
      <c r="Y410" s="24">
        <v>47848.0</v>
      </c>
      <c r="Z410" s="20">
        <v>0.0</v>
      </c>
      <c r="AA410" s="20">
        <v>1.0</v>
      </c>
      <c r="AC410" s="24"/>
      <c r="AD410" s="24"/>
      <c r="AH410" s="24"/>
      <c r="AI410" s="24"/>
    </row>
    <row r="411" ht="14.25" customHeight="1">
      <c r="A411" s="46" t="s">
        <v>4955</v>
      </c>
      <c r="B411" s="20" t="s">
        <v>4956</v>
      </c>
      <c r="C411" s="20" t="s">
        <v>7041</v>
      </c>
      <c r="D411" s="24">
        <v>45658.0</v>
      </c>
      <c r="E411" s="24">
        <v>46022.0</v>
      </c>
      <c r="F411" s="20">
        <v>0.0</v>
      </c>
      <c r="G411" s="20">
        <v>1.0</v>
      </c>
      <c r="H411" s="24">
        <v>46023.0</v>
      </c>
      <c r="I411" s="24">
        <v>46387.0</v>
      </c>
      <c r="J411" s="20">
        <v>0.0</v>
      </c>
      <c r="K411" s="20">
        <v>1.0</v>
      </c>
      <c r="L411" s="24">
        <v>46388.0</v>
      </c>
      <c r="M411" s="24">
        <v>46752.0</v>
      </c>
      <c r="N411" s="20">
        <v>0.0</v>
      </c>
      <c r="O411" s="20">
        <v>1.0</v>
      </c>
      <c r="P411" s="24">
        <v>46753.0</v>
      </c>
      <c r="Q411" s="24">
        <v>47118.0</v>
      </c>
      <c r="R411" s="20">
        <v>0.0</v>
      </c>
      <c r="S411" s="20">
        <v>1.0</v>
      </c>
      <c r="T411" s="24">
        <v>47119.0</v>
      </c>
      <c r="U411" s="24">
        <v>47483.0</v>
      </c>
      <c r="V411" s="20">
        <v>0.0</v>
      </c>
      <c r="W411" s="20">
        <v>1.0</v>
      </c>
      <c r="X411" s="24">
        <v>47484.0</v>
      </c>
      <c r="Y411" s="24">
        <v>47848.0</v>
      </c>
      <c r="Z411" s="20">
        <v>0.0</v>
      </c>
      <c r="AA411" s="20">
        <v>1.0</v>
      </c>
      <c r="AC411" s="24"/>
      <c r="AD411" s="24"/>
      <c r="AH411" s="24"/>
      <c r="AI411" s="24"/>
    </row>
    <row r="412" ht="14.25" customHeight="1">
      <c r="A412" s="46" t="s">
        <v>4426</v>
      </c>
      <c r="B412" s="20" t="s">
        <v>4427</v>
      </c>
      <c r="C412" s="20" t="s">
        <v>7041</v>
      </c>
      <c r="D412" s="24">
        <v>45658.0</v>
      </c>
      <c r="E412" s="24">
        <v>46022.0</v>
      </c>
      <c r="F412" s="20">
        <v>1.0</v>
      </c>
      <c r="G412" s="20">
        <v>1.0</v>
      </c>
      <c r="H412" s="24">
        <v>46023.0</v>
      </c>
      <c r="I412" s="24">
        <v>46387.0</v>
      </c>
      <c r="J412" s="20">
        <v>0.0</v>
      </c>
      <c r="K412" s="20">
        <v>1.0</v>
      </c>
      <c r="L412" s="24">
        <v>46388.0</v>
      </c>
      <c r="M412" s="24">
        <v>46752.0</v>
      </c>
      <c r="N412" s="20">
        <v>0.0</v>
      </c>
      <c r="O412" s="20">
        <v>1.0</v>
      </c>
      <c r="P412" s="24">
        <v>46753.0</v>
      </c>
      <c r="Q412" s="24">
        <v>47118.0</v>
      </c>
      <c r="R412" s="20">
        <v>0.0</v>
      </c>
      <c r="S412" s="20">
        <v>1.0</v>
      </c>
      <c r="T412" s="24">
        <v>47119.0</v>
      </c>
      <c r="U412" s="24">
        <v>47483.0</v>
      </c>
      <c r="V412" s="20">
        <v>0.0</v>
      </c>
      <c r="W412" s="20">
        <v>1.0</v>
      </c>
      <c r="X412" s="24">
        <v>47484.0</v>
      </c>
      <c r="Y412" s="24">
        <v>47848.0</v>
      </c>
      <c r="Z412" s="20">
        <v>0.0</v>
      </c>
      <c r="AA412" s="20">
        <v>1.0</v>
      </c>
      <c r="AC412" s="24"/>
      <c r="AD412" s="24"/>
      <c r="AH412" s="24"/>
      <c r="AI412" s="24"/>
    </row>
    <row r="413" ht="14.25" customHeight="1">
      <c r="A413" s="46" t="s">
        <v>1678</v>
      </c>
      <c r="B413" s="20" t="s">
        <v>1679</v>
      </c>
      <c r="C413" s="20" t="s">
        <v>7041</v>
      </c>
      <c r="D413" s="24">
        <v>45658.0</v>
      </c>
      <c r="E413" s="24">
        <v>46022.0</v>
      </c>
      <c r="F413" s="20">
        <v>0.0</v>
      </c>
      <c r="G413" s="20">
        <v>1.0</v>
      </c>
      <c r="H413" s="24">
        <v>46023.0</v>
      </c>
      <c r="I413" s="24">
        <v>46387.0</v>
      </c>
      <c r="J413" s="20">
        <v>0.0</v>
      </c>
      <c r="K413" s="20">
        <v>1.0</v>
      </c>
      <c r="L413" s="24">
        <v>46388.0</v>
      </c>
      <c r="M413" s="24">
        <v>46752.0</v>
      </c>
      <c r="N413" s="20">
        <v>0.0</v>
      </c>
      <c r="O413" s="20">
        <v>1.0</v>
      </c>
      <c r="P413" s="24">
        <v>46753.0</v>
      </c>
      <c r="Q413" s="24">
        <v>47118.0</v>
      </c>
      <c r="R413" s="20">
        <v>0.0</v>
      </c>
      <c r="S413" s="20">
        <v>1.0</v>
      </c>
      <c r="T413" s="24">
        <v>47119.0</v>
      </c>
      <c r="U413" s="24">
        <v>47483.0</v>
      </c>
      <c r="V413" s="20">
        <v>0.0</v>
      </c>
      <c r="W413" s="20">
        <v>1.0</v>
      </c>
      <c r="X413" s="24">
        <v>47484.0</v>
      </c>
      <c r="Y413" s="24">
        <v>47848.0</v>
      </c>
      <c r="Z413" s="20">
        <v>0.0</v>
      </c>
      <c r="AA413" s="20">
        <v>1.0</v>
      </c>
      <c r="AC413" s="24"/>
      <c r="AD413" s="24"/>
      <c r="AH413" s="24"/>
      <c r="AI413" s="24"/>
    </row>
    <row r="414" ht="14.25" customHeight="1">
      <c r="A414" s="46" t="s">
        <v>4235</v>
      </c>
      <c r="B414" s="20" t="s">
        <v>4236</v>
      </c>
      <c r="C414" s="20" t="s">
        <v>7041</v>
      </c>
      <c r="D414" s="24">
        <v>45658.0</v>
      </c>
      <c r="E414" s="24">
        <v>46022.0</v>
      </c>
      <c r="F414" s="20">
        <v>0.0</v>
      </c>
      <c r="G414" s="20">
        <v>1.0</v>
      </c>
      <c r="H414" s="24">
        <v>46023.0</v>
      </c>
      <c r="I414" s="24">
        <v>46387.0</v>
      </c>
      <c r="J414" s="20">
        <v>0.0</v>
      </c>
      <c r="K414" s="20">
        <v>1.0</v>
      </c>
      <c r="L414" s="24">
        <v>46388.0</v>
      </c>
      <c r="M414" s="24">
        <v>46752.0</v>
      </c>
      <c r="N414" s="20">
        <v>0.0</v>
      </c>
      <c r="O414" s="20">
        <v>1.0</v>
      </c>
      <c r="P414" s="24">
        <v>46753.0</v>
      </c>
      <c r="Q414" s="24">
        <v>47118.0</v>
      </c>
      <c r="R414" s="20">
        <v>0.0</v>
      </c>
      <c r="S414" s="20">
        <v>1.0</v>
      </c>
      <c r="T414" s="24">
        <v>47119.0</v>
      </c>
      <c r="U414" s="24">
        <v>47483.0</v>
      </c>
      <c r="V414" s="20">
        <v>0.0</v>
      </c>
      <c r="W414" s="20">
        <v>1.0</v>
      </c>
      <c r="X414" s="24">
        <v>47484.0</v>
      </c>
      <c r="Y414" s="24">
        <v>47848.0</v>
      </c>
      <c r="Z414" s="20">
        <v>0.0</v>
      </c>
      <c r="AA414" s="20">
        <v>1.0</v>
      </c>
      <c r="AC414" s="24"/>
      <c r="AD414" s="24"/>
      <c r="AH414" s="24"/>
      <c r="AI414" s="24"/>
    </row>
    <row r="415" ht="14.25" customHeight="1">
      <c r="A415" s="46" t="s">
        <v>5246</v>
      </c>
      <c r="B415" s="20" t="s">
        <v>5247</v>
      </c>
      <c r="C415" s="20" t="s">
        <v>7041</v>
      </c>
      <c r="D415" s="24">
        <v>45658.0</v>
      </c>
      <c r="E415" s="24">
        <v>46022.0</v>
      </c>
      <c r="F415" s="20">
        <v>0.0</v>
      </c>
      <c r="G415" s="20">
        <v>1.0</v>
      </c>
      <c r="H415" s="24">
        <v>46023.0</v>
      </c>
      <c r="I415" s="24">
        <v>46387.0</v>
      </c>
      <c r="J415" s="20">
        <v>0.0</v>
      </c>
      <c r="K415" s="20">
        <v>1.0</v>
      </c>
      <c r="L415" s="24">
        <v>46388.0</v>
      </c>
      <c r="M415" s="24">
        <v>46752.0</v>
      </c>
      <c r="N415" s="20">
        <v>0.0</v>
      </c>
      <c r="O415" s="20">
        <v>1.0</v>
      </c>
      <c r="P415" s="24">
        <v>46753.0</v>
      </c>
      <c r="Q415" s="24">
        <v>47118.0</v>
      </c>
      <c r="R415" s="20">
        <v>0.0</v>
      </c>
      <c r="S415" s="20">
        <v>1.0</v>
      </c>
      <c r="T415" s="24">
        <v>47119.0</v>
      </c>
      <c r="U415" s="24">
        <v>47483.0</v>
      </c>
      <c r="V415" s="20">
        <v>0.0</v>
      </c>
      <c r="W415" s="20">
        <v>1.0</v>
      </c>
      <c r="X415" s="24">
        <v>47484.0</v>
      </c>
      <c r="Y415" s="24">
        <v>47848.0</v>
      </c>
      <c r="Z415" s="20">
        <v>0.0</v>
      </c>
      <c r="AA415" s="20">
        <v>1.0</v>
      </c>
      <c r="AC415" s="24"/>
      <c r="AD415" s="24"/>
      <c r="AH415" s="24"/>
      <c r="AI415" s="24"/>
    </row>
    <row r="416" ht="14.25" customHeight="1">
      <c r="A416" s="46" t="s">
        <v>3320</v>
      </c>
      <c r="B416" s="20" t="s">
        <v>3321</v>
      </c>
      <c r="C416" s="20" t="s">
        <v>7041</v>
      </c>
      <c r="D416" s="24">
        <v>45658.0</v>
      </c>
      <c r="E416" s="24">
        <v>46022.0</v>
      </c>
      <c r="F416" s="20">
        <v>0.0</v>
      </c>
      <c r="G416" s="20">
        <v>1.0</v>
      </c>
      <c r="H416" s="24">
        <v>46023.0</v>
      </c>
      <c r="I416" s="24">
        <v>46387.0</v>
      </c>
      <c r="J416" s="20">
        <v>0.0</v>
      </c>
      <c r="K416" s="20">
        <v>1.0</v>
      </c>
      <c r="L416" s="24">
        <v>46388.0</v>
      </c>
      <c r="M416" s="24">
        <v>46752.0</v>
      </c>
      <c r="N416" s="20">
        <v>0.0</v>
      </c>
      <c r="O416" s="20">
        <v>1.0</v>
      </c>
      <c r="P416" s="24">
        <v>46753.0</v>
      </c>
      <c r="Q416" s="24">
        <v>47118.0</v>
      </c>
      <c r="R416" s="20">
        <v>0.0</v>
      </c>
      <c r="S416" s="20">
        <v>1.0</v>
      </c>
      <c r="T416" s="24">
        <v>47119.0</v>
      </c>
      <c r="U416" s="24">
        <v>47483.0</v>
      </c>
      <c r="V416" s="20">
        <v>0.0</v>
      </c>
      <c r="W416" s="20">
        <v>1.0</v>
      </c>
      <c r="X416" s="24">
        <v>47484.0</v>
      </c>
      <c r="Y416" s="24">
        <v>47848.0</v>
      </c>
      <c r="Z416" s="20">
        <v>0.0</v>
      </c>
      <c r="AA416" s="20">
        <v>1.0</v>
      </c>
      <c r="AC416" s="24"/>
      <c r="AD416" s="24"/>
      <c r="AH416" s="24"/>
      <c r="AI416" s="24"/>
    </row>
    <row r="417" ht="14.25" customHeight="1">
      <c r="A417" s="46" t="s">
        <v>3721</v>
      </c>
      <c r="B417" s="20" t="s">
        <v>3722</v>
      </c>
      <c r="C417" s="20" t="s">
        <v>7041</v>
      </c>
      <c r="D417" s="24">
        <v>45658.0</v>
      </c>
      <c r="E417" s="24">
        <v>46022.0</v>
      </c>
      <c r="F417" s="20">
        <v>1.0</v>
      </c>
      <c r="G417" s="20">
        <v>1.0</v>
      </c>
      <c r="H417" s="24">
        <v>46023.0</v>
      </c>
      <c r="I417" s="24">
        <v>46387.0</v>
      </c>
      <c r="J417" s="20">
        <v>0.0</v>
      </c>
      <c r="K417" s="20">
        <v>1.0</v>
      </c>
      <c r="L417" s="24">
        <v>46388.0</v>
      </c>
      <c r="M417" s="24">
        <v>46752.0</v>
      </c>
      <c r="N417" s="20">
        <v>0.0</v>
      </c>
      <c r="O417" s="20">
        <v>1.0</v>
      </c>
      <c r="P417" s="24">
        <v>46753.0</v>
      </c>
      <c r="Q417" s="24">
        <v>47118.0</v>
      </c>
      <c r="R417" s="20">
        <v>0.0</v>
      </c>
      <c r="S417" s="20">
        <v>1.0</v>
      </c>
      <c r="T417" s="24">
        <v>47119.0</v>
      </c>
      <c r="U417" s="24">
        <v>47483.0</v>
      </c>
      <c r="V417" s="20">
        <v>0.0</v>
      </c>
      <c r="W417" s="20">
        <v>1.0</v>
      </c>
      <c r="X417" s="24">
        <v>47484.0</v>
      </c>
      <c r="Y417" s="24">
        <v>47848.0</v>
      </c>
      <c r="Z417" s="20">
        <v>0.0</v>
      </c>
      <c r="AA417" s="20">
        <v>1.0</v>
      </c>
      <c r="AC417" s="24"/>
      <c r="AD417" s="24"/>
      <c r="AH417" s="24"/>
      <c r="AI417" s="24"/>
    </row>
    <row r="418" ht="14.25" customHeight="1">
      <c r="A418" s="46" t="s">
        <v>2811</v>
      </c>
      <c r="B418" s="20" t="s">
        <v>2812</v>
      </c>
      <c r="C418" s="20" t="s">
        <v>7041</v>
      </c>
      <c r="D418" s="24">
        <v>45658.0</v>
      </c>
      <c r="E418" s="24">
        <v>46022.0</v>
      </c>
      <c r="F418" s="20">
        <v>0.0</v>
      </c>
      <c r="G418" s="20">
        <v>1.0</v>
      </c>
      <c r="H418" s="24">
        <v>46023.0</v>
      </c>
      <c r="I418" s="24">
        <v>46387.0</v>
      </c>
      <c r="J418" s="20">
        <v>0.0</v>
      </c>
      <c r="K418" s="20">
        <v>1.0</v>
      </c>
      <c r="L418" s="24">
        <v>46388.0</v>
      </c>
      <c r="M418" s="24">
        <v>46752.0</v>
      </c>
      <c r="N418" s="20">
        <v>0.0</v>
      </c>
      <c r="O418" s="20">
        <v>1.0</v>
      </c>
      <c r="P418" s="24">
        <v>46753.0</v>
      </c>
      <c r="Q418" s="24">
        <v>47118.0</v>
      </c>
      <c r="R418" s="20">
        <v>0.0</v>
      </c>
      <c r="S418" s="20">
        <v>1.0</v>
      </c>
      <c r="T418" s="24">
        <v>47119.0</v>
      </c>
      <c r="U418" s="24">
        <v>47483.0</v>
      </c>
      <c r="V418" s="20">
        <v>0.0</v>
      </c>
      <c r="W418" s="20">
        <v>1.0</v>
      </c>
      <c r="X418" s="24">
        <v>47484.0</v>
      </c>
      <c r="Y418" s="24">
        <v>47848.0</v>
      </c>
      <c r="Z418" s="20">
        <v>0.0</v>
      </c>
      <c r="AA418" s="20">
        <v>1.0</v>
      </c>
      <c r="AC418" s="24"/>
      <c r="AD418" s="24"/>
      <c r="AH418" s="24"/>
      <c r="AI418" s="24"/>
    </row>
    <row r="419" ht="14.25" customHeight="1">
      <c r="A419" s="46" t="s">
        <v>2604</v>
      </c>
      <c r="B419" s="20" t="s">
        <v>2605</v>
      </c>
      <c r="C419" s="20" t="s">
        <v>7041</v>
      </c>
      <c r="D419" s="24">
        <v>45658.0</v>
      </c>
      <c r="E419" s="24">
        <v>46022.0</v>
      </c>
      <c r="F419" s="20">
        <v>0.0</v>
      </c>
      <c r="G419" s="20">
        <v>1.0</v>
      </c>
      <c r="H419" s="24">
        <v>46023.0</v>
      </c>
      <c r="I419" s="24">
        <v>46387.0</v>
      </c>
      <c r="J419" s="20">
        <v>0.0</v>
      </c>
      <c r="K419" s="20">
        <v>1.0</v>
      </c>
      <c r="L419" s="24">
        <v>46388.0</v>
      </c>
      <c r="M419" s="24">
        <v>46752.0</v>
      </c>
      <c r="N419" s="20">
        <v>0.0</v>
      </c>
      <c r="O419" s="20">
        <v>1.0</v>
      </c>
      <c r="P419" s="24">
        <v>46753.0</v>
      </c>
      <c r="Q419" s="24">
        <v>47118.0</v>
      </c>
      <c r="R419" s="20">
        <v>0.0</v>
      </c>
      <c r="S419" s="20">
        <v>1.0</v>
      </c>
      <c r="T419" s="24">
        <v>47119.0</v>
      </c>
      <c r="U419" s="24">
        <v>47483.0</v>
      </c>
      <c r="V419" s="20">
        <v>0.0</v>
      </c>
      <c r="W419" s="20">
        <v>1.0</v>
      </c>
      <c r="X419" s="24">
        <v>47484.0</v>
      </c>
      <c r="Y419" s="24">
        <v>47848.0</v>
      </c>
      <c r="Z419" s="20">
        <v>0.0</v>
      </c>
      <c r="AA419" s="20">
        <v>1.0</v>
      </c>
      <c r="AC419" s="24"/>
      <c r="AD419" s="24"/>
      <c r="AH419" s="24"/>
      <c r="AI419" s="24"/>
    </row>
    <row r="420" ht="14.25" customHeight="1">
      <c r="A420" s="46" t="s">
        <v>308</v>
      </c>
      <c r="B420" s="20" t="s">
        <v>309</v>
      </c>
      <c r="C420" s="20" t="s">
        <v>7041</v>
      </c>
      <c r="D420" s="24">
        <v>45658.0</v>
      </c>
      <c r="E420" s="24">
        <v>46022.0</v>
      </c>
      <c r="F420" s="20">
        <v>0.0</v>
      </c>
      <c r="G420" s="20">
        <v>1.0</v>
      </c>
      <c r="H420" s="24">
        <v>46023.0</v>
      </c>
      <c r="I420" s="24">
        <v>46387.0</v>
      </c>
      <c r="J420" s="20">
        <v>0.0</v>
      </c>
      <c r="K420" s="20">
        <v>1.0</v>
      </c>
      <c r="L420" s="24">
        <v>46388.0</v>
      </c>
      <c r="M420" s="24">
        <v>46752.0</v>
      </c>
      <c r="N420" s="20">
        <v>0.0</v>
      </c>
      <c r="O420" s="20">
        <v>1.0</v>
      </c>
      <c r="P420" s="24">
        <v>46753.0</v>
      </c>
      <c r="Q420" s="24">
        <v>47118.0</v>
      </c>
      <c r="R420" s="20">
        <v>0.0</v>
      </c>
      <c r="S420" s="20">
        <v>1.0</v>
      </c>
      <c r="T420" s="24">
        <v>47119.0</v>
      </c>
      <c r="U420" s="24">
        <v>47483.0</v>
      </c>
      <c r="V420" s="20">
        <v>0.0</v>
      </c>
      <c r="W420" s="20">
        <v>1.0</v>
      </c>
      <c r="X420" s="24">
        <v>47484.0</v>
      </c>
      <c r="Y420" s="24">
        <v>47848.0</v>
      </c>
      <c r="Z420" s="20">
        <v>0.0</v>
      </c>
      <c r="AA420" s="20">
        <v>1.0</v>
      </c>
      <c r="AC420" s="24"/>
      <c r="AD420" s="24"/>
      <c r="AH420" s="24"/>
      <c r="AI420" s="24"/>
    </row>
    <row r="421" ht="14.25" customHeight="1">
      <c r="A421" s="46" t="s">
        <v>6002</v>
      </c>
      <c r="B421" s="20" t="s">
        <v>6003</v>
      </c>
      <c r="C421" s="20" t="s">
        <v>7041</v>
      </c>
      <c r="D421" s="24">
        <v>45658.0</v>
      </c>
      <c r="E421" s="24">
        <v>46022.0</v>
      </c>
      <c r="F421" s="20">
        <v>1.0</v>
      </c>
      <c r="G421" s="20">
        <v>1.0</v>
      </c>
      <c r="H421" s="24">
        <v>46023.0</v>
      </c>
      <c r="I421" s="24">
        <v>46387.0</v>
      </c>
      <c r="J421" s="20">
        <v>0.0</v>
      </c>
      <c r="K421" s="20">
        <v>1.0</v>
      </c>
      <c r="L421" s="24">
        <v>46388.0</v>
      </c>
      <c r="M421" s="24">
        <v>46752.0</v>
      </c>
      <c r="N421" s="20">
        <v>0.0</v>
      </c>
      <c r="O421" s="20">
        <v>1.0</v>
      </c>
      <c r="P421" s="24">
        <v>46753.0</v>
      </c>
      <c r="Q421" s="24">
        <v>47118.0</v>
      </c>
      <c r="R421" s="20">
        <v>0.0</v>
      </c>
      <c r="S421" s="20">
        <v>1.0</v>
      </c>
      <c r="T421" s="24">
        <v>47119.0</v>
      </c>
      <c r="U421" s="24">
        <v>47483.0</v>
      </c>
      <c r="V421" s="20">
        <v>0.0</v>
      </c>
      <c r="W421" s="20">
        <v>1.0</v>
      </c>
      <c r="X421" s="24">
        <v>47484.0</v>
      </c>
      <c r="Y421" s="24">
        <v>47848.0</v>
      </c>
      <c r="Z421" s="20">
        <v>0.0</v>
      </c>
      <c r="AA421" s="20">
        <v>1.0</v>
      </c>
      <c r="AC421" s="24"/>
      <c r="AD421" s="24"/>
      <c r="AH421" s="24"/>
      <c r="AI421" s="24"/>
    </row>
    <row r="422" ht="14.25" customHeight="1">
      <c r="A422" s="46" t="s">
        <v>844</v>
      </c>
      <c r="B422" s="20" t="s">
        <v>845</v>
      </c>
      <c r="C422" s="20" t="s">
        <v>7041</v>
      </c>
      <c r="D422" s="24">
        <v>45658.0</v>
      </c>
      <c r="E422" s="24">
        <v>46022.0</v>
      </c>
      <c r="F422" s="20">
        <v>0.0</v>
      </c>
      <c r="G422" s="20">
        <v>1.0</v>
      </c>
      <c r="H422" s="24">
        <v>46023.0</v>
      </c>
      <c r="I422" s="24">
        <v>46387.0</v>
      </c>
      <c r="J422" s="20">
        <v>0.0</v>
      </c>
      <c r="K422" s="20">
        <v>1.0</v>
      </c>
      <c r="L422" s="24">
        <v>46388.0</v>
      </c>
      <c r="M422" s="24">
        <v>46752.0</v>
      </c>
      <c r="N422" s="20">
        <v>0.0</v>
      </c>
      <c r="O422" s="20">
        <v>1.0</v>
      </c>
      <c r="P422" s="24">
        <v>46753.0</v>
      </c>
      <c r="Q422" s="24">
        <v>47118.0</v>
      </c>
      <c r="R422" s="20">
        <v>0.0</v>
      </c>
      <c r="S422" s="20">
        <v>1.0</v>
      </c>
      <c r="T422" s="24">
        <v>47119.0</v>
      </c>
      <c r="U422" s="24">
        <v>47483.0</v>
      </c>
      <c r="V422" s="20">
        <v>0.0</v>
      </c>
      <c r="W422" s="20">
        <v>1.0</v>
      </c>
      <c r="X422" s="24">
        <v>47484.0</v>
      </c>
      <c r="Y422" s="24">
        <v>47848.0</v>
      </c>
      <c r="Z422" s="20">
        <v>0.0</v>
      </c>
      <c r="AA422" s="20">
        <v>1.0</v>
      </c>
      <c r="AC422" s="24"/>
      <c r="AD422" s="24"/>
      <c r="AH422" s="24"/>
      <c r="AI422" s="24"/>
    </row>
    <row r="423" ht="14.25" customHeight="1">
      <c r="A423" s="46" t="s">
        <v>6150</v>
      </c>
      <c r="B423" s="20" t="s">
        <v>6151</v>
      </c>
      <c r="C423" s="20" t="s">
        <v>7041</v>
      </c>
      <c r="D423" s="24">
        <v>45658.0</v>
      </c>
      <c r="E423" s="24">
        <v>46022.0</v>
      </c>
      <c r="F423" s="20">
        <v>1.0</v>
      </c>
      <c r="G423" s="20">
        <v>1.0</v>
      </c>
      <c r="H423" s="24">
        <v>46023.0</v>
      </c>
      <c r="I423" s="24">
        <v>46387.0</v>
      </c>
      <c r="J423" s="20">
        <v>0.0</v>
      </c>
      <c r="K423" s="20">
        <v>1.0</v>
      </c>
      <c r="L423" s="24">
        <v>46388.0</v>
      </c>
      <c r="M423" s="24">
        <v>46752.0</v>
      </c>
      <c r="N423" s="20">
        <v>0.0</v>
      </c>
      <c r="O423" s="20">
        <v>1.0</v>
      </c>
      <c r="P423" s="24">
        <v>46753.0</v>
      </c>
      <c r="Q423" s="24">
        <v>47118.0</v>
      </c>
      <c r="R423" s="20">
        <v>0.0</v>
      </c>
      <c r="S423" s="20">
        <v>1.0</v>
      </c>
      <c r="T423" s="24">
        <v>47119.0</v>
      </c>
      <c r="U423" s="24">
        <v>47483.0</v>
      </c>
      <c r="V423" s="20">
        <v>0.0</v>
      </c>
      <c r="W423" s="20">
        <v>1.0</v>
      </c>
      <c r="X423" s="24">
        <v>47484.0</v>
      </c>
      <c r="Y423" s="24">
        <v>47848.0</v>
      </c>
      <c r="Z423" s="20">
        <v>0.0</v>
      </c>
      <c r="AA423" s="20">
        <v>1.0</v>
      </c>
      <c r="AC423" s="24"/>
      <c r="AD423" s="24"/>
      <c r="AH423" s="24"/>
      <c r="AI423" s="24"/>
    </row>
    <row r="424" ht="14.25" customHeight="1">
      <c r="A424" s="46" t="s">
        <v>1641</v>
      </c>
      <c r="B424" s="20" t="s">
        <v>1642</v>
      </c>
      <c r="C424" s="20" t="s">
        <v>7041</v>
      </c>
      <c r="D424" s="24">
        <v>45658.0</v>
      </c>
      <c r="E424" s="24">
        <v>46022.0</v>
      </c>
      <c r="F424" s="20">
        <v>1.0</v>
      </c>
      <c r="G424" s="20">
        <v>1.0</v>
      </c>
      <c r="H424" s="24">
        <v>46023.0</v>
      </c>
      <c r="I424" s="24">
        <v>46387.0</v>
      </c>
      <c r="J424" s="20">
        <v>0.0</v>
      </c>
      <c r="K424" s="20">
        <v>1.0</v>
      </c>
      <c r="L424" s="24">
        <v>46388.0</v>
      </c>
      <c r="M424" s="24">
        <v>46752.0</v>
      </c>
      <c r="N424" s="20">
        <v>0.0</v>
      </c>
      <c r="O424" s="20">
        <v>1.0</v>
      </c>
      <c r="P424" s="24">
        <v>46753.0</v>
      </c>
      <c r="Q424" s="24">
        <v>47118.0</v>
      </c>
      <c r="R424" s="20">
        <v>0.0</v>
      </c>
      <c r="S424" s="20">
        <v>1.0</v>
      </c>
      <c r="T424" s="24">
        <v>47119.0</v>
      </c>
      <c r="U424" s="24">
        <v>47483.0</v>
      </c>
      <c r="V424" s="20">
        <v>0.0</v>
      </c>
      <c r="W424" s="20">
        <v>1.0</v>
      </c>
      <c r="X424" s="24">
        <v>47484.0</v>
      </c>
      <c r="Y424" s="24">
        <v>47848.0</v>
      </c>
      <c r="Z424" s="20">
        <v>0.0</v>
      </c>
      <c r="AA424" s="20">
        <v>1.0</v>
      </c>
      <c r="AC424" s="24"/>
      <c r="AD424" s="24"/>
      <c r="AH424" s="24"/>
      <c r="AI424" s="24"/>
    </row>
    <row r="425" ht="14.25" customHeight="1">
      <c r="A425" s="46" t="s">
        <v>5525</v>
      </c>
      <c r="B425" s="20" t="s">
        <v>5526</v>
      </c>
      <c r="C425" s="20" t="s">
        <v>7041</v>
      </c>
      <c r="D425" s="24">
        <v>45658.0</v>
      </c>
      <c r="E425" s="24">
        <v>46022.0</v>
      </c>
      <c r="F425" s="20">
        <v>0.0</v>
      </c>
      <c r="G425" s="20">
        <v>1.0</v>
      </c>
      <c r="H425" s="24">
        <v>46023.0</v>
      </c>
      <c r="I425" s="24">
        <v>46387.0</v>
      </c>
      <c r="J425" s="20">
        <v>0.0</v>
      </c>
      <c r="K425" s="20">
        <v>1.0</v>
      </c>
      <c r="L425" s="24">
        <v>46388.0</v>
      </c>
      <c r="M425" s="24">
        <v>46752.0</v>
      </c>
      <c r="N425" s="20">
        <v>0.0</v>
      </c>
      <c r="O425" s="20">
        <v>1.0</v>
      </c>
      <c r="P425" s="24">
        <v>46753.0</v>
      </c>
      <c r="Q425" s="24">
        <v>47118.0</v>
      </c>
      <c r="R425" s="20">
        <v>0.0</v>
      </c>
      <c r="S425" s="20">
        <v>1.0</v>
      </c>
      <c r="T425" s="24">
        <v>47119.0</v>
      </c>
      <c r="U425" s="24">
        <v>47483.0</v>
      </c>
      <c r="V425" s="20">
        <v>0.0</v>
      </c>
      <c r="W425" s="20">
        <v>1.0</v>
      </c>
      <c r="X425" s="24">
        <v>47484.0</v>
      </c>
      <c r="Y425" s="24">
        <v>47848.0</v>
      </c>
      <c r="Z425" s="20">
        <v>0.0</v>
      </c>
      <c r="AA425" s="20">
        <v>1.0</v>
      </c>
      <c r="AC425" s="24"/>
      <c r="AD425" s="24"/>
      <c r="AH425" s="24"/>
      <c r="AI425" s="24"/>
    </row>
    <row r="426" ht="14.25" customHeight="1">
      <c r="A426" s="46" t="s">
        <v>5212</v>
      </c>
      <c r="B426" s="20" t="s">
        <v>5213</v>
      </c>
      <c r="C426" s="20" t="s">
        <v>7041</v>
      </c>
      <c r="D426" s="24">
        <v>45658.0</v>
      </c>
      <c r="E426" s="24">
        <v>46022.0</v>
      </c>
      <c r="F426" s="20">
        <v>0.0</v>
      </c>
      <c r="G426" s="20">
        <v>1.0</v>
      </c>
      <c r="H426" s="24">
        <v>46023.0</v>
      </c>
      <c r="I426" s="24">
        <v>46387.0</v>
      </c>
      <c r="J426" s="20">
        <v>0.0</v>
      </c>
      <c r="K426" s="20">
        <v>1.0</v>
      </c>
      <c r="L426" s="24">
        <v>46388.0</v>
      </c>
      <c r="M426" s="24">
        <v>46752.0</v>
      </c>
      <c r="N426" s="20">
        <v>0.0</v>
      </c>
      <c r="O426" s="20">
        <v>1.0</v>
      </c>
      <c r="P426" s="24">
        <v>46753.0</v>
      </c>
      <c r="Q426" s="24">
        <v>47118.0</v>
      </c>
      <c r="R426" s="20">
        <v>0.0</v>
      </c>
      <c r="S426" s="20">
        <v>1.0</v>
      </c>
      <c r="T426" s="24">
        <v>47119.0</v>
      </c>
      <c r="U426" s="24">
        <v>47483.0</v>
      </c>
      <c r="V426" s="20">
        <v>0.0</v>
      </c>
      <c r="W426" s="20">
        <v>1.0</v>
      </c>
      <c r="X426" s="24">
        <v>47484.0</v>
      </c>
      <c r="Y426" s="24">
        <v>47848.0</v>
      </c>
      <c r="Z426" s="20">
        <v>0.0</v>
      </c>
      <c r="AA426" s="20">
        <v>1.0</v>
      </c>
      <c r="AC426" s="24"/>
      <c r="AD426" s="24"/>
      <c r="AH426" s="24"/>
      <c r="AI426" s="24"/>
    </row>
    <row r="427" ht="14.25" customHeight="1">
      <c r="A427" s="46" t="s">
        <v>3832</v>
      </c>
      <c r="B427" s="20" t="s">
        <v>3833</v>
      </c>
      <c r="C427" s="20" t="s">
        <v>7041</v>
      </c>
      <c r="D427" s="24">
        <v>45658.0</v>
      </c>
      <c r="E427" s="24">
        <v>46022.0</v>
      </c>
      <c r="F427" s="20">
        <v>0.0</v>
      </c>
      <c r="G427" s="20">
        <v>1.0</v>
      </c>
      <c r="H427" s="24">
        <v>46023.0</v>
      </c>
      <c r="I427" s="24">
        <v>46387.0</v>
      </c>
      <c r="J427" s="20">
        <v>0.0</v>
      </c>
      <c r="K427" s="20">
        <v>1.0</v>
      </c>
      <c r="L427" s="24">
        <v>46388.0</v>
      </c>
      <c r="M427" s="24">
        <v>46752.0</v>
      </c>
      <c r="N427" s="20">
        <v>0.0</v>
      </c>
      <c r="O427" s="20">
        <v>1.0</v>
      </c>
      <c r="P427" s="24">
        <v>46753.0</v>
      </c>
      <c r="Q427" s="24">
        <v>47118.0</v>
      </c>
      <c r="R427" s="20">
        <v>0.0</v>
      </c>
      <c r="S427" s="20">
        <v>1.0</v>
      </c>
      <c r="T427" s="24">
        <v>47119.0</v>
      </c>
      <c r="U427" s="24">
        <v>47483.0</v>
      </c>
      <c r="V427" s="20">
        <v>0.0</v>
      </c>
      <c r="W427" s="20">
        <v>1.0</v>
      </c>
      <c r="X427" s="24">
        <v>47484.0</v>
      </c>
      <c r="Y427" s="24">
        <v>47848.0</v>
      </c>
      <c r="Z427" s="20">
        <v>0.0</v>
      </c>
      <c r="AA427" s="20">
        <v>1.0</v>
      </c>
      <c r="AC427" s="24"/>
      <c r="AD427" s="24"/>
      <c r="AH427" s="24"/>
      <c r="AI427" s="24"/>
    </row>
    <row r="428" ht="14.25" customHeight="1">
      <c r="A428" s="46" t="s">
        <v>1695</v>
      </c>
      <c r="B428" s="20" t="s">
        <v>1696</v>
      </c>
      <c r="C428" s="20" t="s">
        <v>7041</v>
      </c>
      <c r="D428" s="24">
        <v>45658.0</v>
      </c>
      <c r="E428" s="24">
        <v>46022.0</v>
      </c>
      <c r="F428" s="20">
        <v>0.0</v>
      </c>
      <c r="G428" s="20">
        <v>1.0</v>
      </c>
      <c r="H428" s="24">
        <v>46023.0</v>
      </c>
      <c r="I428" s="24">
        <v>46387.0</v>
      </c>
      <c r="J428" s="20">
        <v>0.0</v>
      </c>
      <c r="K428" s="20">
        <v>1.0</v>
      </c>
      <c r="L428" s="24">
        <v>46388.0</v>
      </c>
      <c r="M428" s="24">
        <v>46752.0</v>
      </c>
      <c r="N428" s="20">
        <v>0.0</v>
      </c>
      <c r="O428" s="20">
        <v>1.0</v>
      </c>
      <c r="P428" s="24">
        <v>46753.0</v>
      </c>
      <c r="Q428" s="24">
        <v>47118.0</v>
      </c>
      <c r="R428" s="20">
        <v>0.0</v>
      </c>
      <c r="S428" s="20">
        <v>1.0</v>
      </c>
      <c r="T428" s="24">
        <v>47119.0</v>
      </c>
      <c r="U428" s="24">
        <v>47483.0</v>
      </c>
      <c r="V428" s="20">
        <v>0.0</v>
      </c>
      <c r="W428" s="20">
        <v>1.0</v>
      </c>
      <c r="X428" s="24">
        <v>47484.0</v>
      </c>
      <c r="Y428" s="24">
        <v>47848.0</v>
      </c>
      <c r="Z428" s="20">
        <v>0.0</v>
      </c>
      <c r="AA428" s="20">
        <v>1.0</v>
      </c>
      <c r="AC428" s="24"/>
      <c r="AD428" s="24"/>
      <c r="AH428" s="24"/>
      <c r="AI428" s="24"/>
    </row>
    <row r="429" ht="14.25" customHeight="1">
      <c r="A429" s="46" t="s">
        <v>1316</v>
      </c>
      <c r="B429" s="20" t="s">
        <v>1317</v>
      </c>
      <c r="C429" s="20" t="s">
        <v>7041</v>
      </c>
      <c r="D429" s="24">
        <v>45658.0</v>
      </c>
      <c r="E429" s="24">
        <v>46022.0</v>
      </c>
      <c r="F429" s="20">
        <v>0.0</v>
      </c>
      <c r="G429" s="20">
        <v>1.0</v>
      </c>
      <c r="H429" s="24">
        <v>46023.0</v>
      </c>
      <c r="I429" s="24">
        <v>46387.0</v>
      </c>
      <c r="J429" s="20">
        <v>0.0</v>
      </c>
      <c r="K429" s="20">
        <v>1.0</v>
      </c>
      <c r="L429" s="24">
        <v>46388.0</v>
      </c>
      <c r="M429" s="24">
        <v>46752.0</v>
      </c>
      <c r="N429" s="20">
        <v>0.0</v>
      </c>
      <c r="O429" s="20">
        <v>1.0</v>
      </c>
      <c r="P429" s="24">
        <v>46753.0</v>
      </c>
      <c r="Q429" s="24">
        <v>47118.0</v>
      </c>
      <c r="R429" s="20">
        <v>0.0</v>
      </c>
      <c r="S429" s="20">
        <v>1.0</v>
      </c>
      <c r="T429" s="24">
        <v>47119.0</v>
      </c>
      <c r="U429" s="24">
        <v>47483.0</v>
      </c>
      <c r="V429" s="20">
        <v>0.0</v>
      </c>
      <c r="W429" s="20">
        <v>1.0</v>
      </c>
      <c r="X429" s="24">
        <v>47484.0</v>
      </c>
      <c r="Y429" s="24">
        <v>47848.0</v>
      </c>
      <c r="Z429" s="20">
        <v>0.0</v>
      </c>
      <c r="AA429" s="20">
        <v>1.0</v>
      </c>
      <c r="AC429" s="24"/>
      <c r="AD429" s="24"/>
      <c r="AH429" s="24"/>
      <c r="AI429" s="24"/>
    </row>
    <row r="430" ht="14.25" customHeight="1">
      <c r="A430" s="46" t="s">
        <v>2215</v>
      </c>
      <c r="B430" s="20" t="s">
        <v>2216</v>
      </c>
      <c r="C430" s="20" t="s">
        <v>7041</v>
      </c>
      <c r="D430" s="24">
        <v>45658.0</v>
      </c>
      <c r="E430" s="24">
        <v>46022.0</v>
      </c>
      <c r="F430" s="20">
        <v>0.0</v>
      </c>
      <c r="G430" s="20">
        <v>1.0</v>
      </c>
      <c r="H430" s="24">
        <v>46023.0</v>
      </c>
      <c r="I430" s="24">
        <v>46387.0</v>
      </c>
      <c r="J430" s="20">
        <v>0.0</v>
      </c>
      <c r="K430" s="20">
        <v>1.0</v>
      </c>
      <c r="L430" s="24">
        <v>46388.0</v>
      </c>
      <c r="M430" s="24">
        <v>46752.0</v>
      </c>
      <c r="N430" s="20">
        <v>0.0</v>
      </c>
      <c r="O430" s="20">
        <v>1.0</v>
      </c>
      <c r="P430" s="24">
        <v>46753.0</v>
      </c>
      <c r="Q430" s="24">
        <v>47118.0</v>
      </c>
      <c r="R430" s="20">
        <v>0.0</v>
      </c>
      <c r="S430" s="20">
        <v>1.0</v>
      </c>
      <c r="T430" s="24">
        <v>47119.0</v>
      </c>
      <c r="U430" s="24">
        <v>47483.0</v>
      </c>
      <c r="V430" s="20">
        <v>0.0</v>
      </c>
      <c r="W430" s="20">
        <v>1.0</v>
      </c>
      <c r="X430" s="24">
        <v>47484.0</v>
      </c>
      <c r="Y430" s="24">
        <v>47848.0</v>
      </c>
      <c r="Z430" s="20">
        <v>0.0</v>
      </c>
      <c r="AA430" s="20">
        <v>1.0</v>
      </c>
      <c r="AC430" s="24"/>
      <c r="AD430" s="24"/>
      <c r="AH430" s="24"/>
      <c r="AI430" s="24"/>
    </row>
    <row r="431" ht="14.25" customHeight="1">
      <c r="A431" s="46" t="s">
        <v>2891</v>
      </c>
      <c r="B431" s="20" t="s">
        <v>2892</v>
      </c>
      <c r="C431" s="20" t="s">
        <v>7041</v>
      </c>
      <c r="D431" s="24">
        <v>45658.0</v>
      </c>
      <c r="E431" s="24">
        <v>46022.0</v>
      </c>
      <c r="F431" s="20">
        <v>0.0</v>
      </c>
      <c r="G431" s="20">
        <v>1.0</v>
      </c>
      <c r="H431" s="24">
        <v>46023.0</v>
      </c>
      <c r="I431" s="24">
        <v>46387.0</v>
      </c>
      <c r="J431" s="20">
        <v>0.0</v>
      </c>
      <c r="K431" s="20">
        <v>1.0</v>
      </c>
      <c r="L431" s="24">
        <v>46388.0</v>
      </c>
      <c r="M431" s="24">
        <v>46752.0</v>
      </c>
      <c r="N431" s="20">
        <v>0.0</v>
      </c>
      <c r="O431" s="20">
        <v>1.0</v>
      </c>
      <c r="P431" s="24">
        <v>46753.0</v>
      </c>
      <c r="Q431" s="24">
        <v>47118.0</v>
      </c>
      <c r="R431" s="20">
        <v>0.0</v>
      </c>
      <c r="S431" s="20">
        <v>1.0</v>
      </c>
      <c r="T431" s="24">
        <v>47119.0</v>
      </c>
      <c r="U431" s="24">
        <v>47483.0</v>
      </c>
      <c r="V431" s="20">
        <v>0.0</v>
      </c>
      <c r="W431" s="20">
        <v>1.0</v>
      </c>
      <c r="X431" s="24">
        <v>47484.0</v>
      </c>
      <c r="Y431" s="24">
        <v>47848.0</v>
      </c>
      <c r="Z431" s="20">
        <v>0.0</v>
      </c>
      <c r="AA431" s="20">
        <v>1.0</v>
      </c>
      <c r="AC431" s="24"/>
      <c r="AD431" s="24"/>
      <c r="AH431" s="24"/>
      <c r="AI431" s="24"/>
    </row>
    <row r="432" ht="14.25" customHeight="1">
      <c r="A432" s="46" t="s">
        <v>3219</v>
      </c>
      <c r="B432" s="20" t="s">
        <v>3220</v>
      </c>
      <c r="C432" s="20" t="s">
        <v>7041</v>
      </c>
      <c r="D432" s="24">
        <v>45658.0</v>
      </c>
      <c r="E432" s="24">
        <v>46022.0</v>
      </c>
      <c r="F432" s="20">
        <v>0.0</v>
      </c>
      <c r="G432" s="20">
        <v>1.0</v>
      </c>
      <c r="H432" s="24">
        <v>46023.0</v>
      </c>
      <c r="I432" s="24">
        <v>46387.0</v>
      </c>
      <c r="J432" s="20">
        <v>0.0</v>
      </c>
      <c r="K432" s="20">
        <v>1.0</v>
      </c>
      <c r="L432" s="24">
        <v>46388.0</v>
      </c>
      <c r="M432" s="24">
        <v>46752.0</v>
      </c>
      <c r="N432" s="20">
        <v>0.0</v>
      </c>
      <c r="O432" s="20">
        <v>1.0</v>
      </c>
      <c r="P432" s="24">
        <v>46753.0</v>
      </c>
      <c r="Q432" s="24">
        <v>47118.0</v>
      </c>
      <c r="R432" s="20">
        <v>0.0</v>
      </c>
      <c r="S432" s="20">
        <v>1.0</v>
      </c>
      <c r="T432" s="24">
        <v>47119.0</v>
      </c>
      <c r="U432" s="24">
        <v>47483.0</v>
      </c>
      <c r="V432" s="20">
        <v>0.0</v>
      </c>
      <c r="W432" s="20">
        <v>1.0</v>
      </c>
      <c r="X432" s="24">
        <v>47484.0</v>
      </c>
      <c r="Y432" s="24">
        <v>47848.0</v>
      </c>
      <c r="Z432" s="20">
        <v>0.0</v>
      </c>
      <c r="AA432" s="20">
        <v>1.0</v>
      </c>
      <c r="AC432" s="24"/>
      <c r="AD432" s="24"/>
      <c r="AH432" s="24"/>
      <c r="AI432" s="24"/>
    </row>
    <row r="433" ht="14.25" customHeight="1">
      <c r="A433" s="46" t="s">
        <v>3491</v>
      </c>
      <c r="B433" s="20" t="s">
        <v>3492</v>
      </c>
      <c r="C433" s="20" t="s">
        <v>7041</v>
      </c>
      <c r="D433" s="24">
        <v>45658.0</v>
      </c>
      <c r="E433" s="24">
        <v>46022.0</v>
      </c>
      <c r="F433" s="20">
        <v>0.0</v>
      </c>
      <c r="G433" s="20">
        <v>1.0</v>
      </c>
      <c r="H433" s="24">
        <v>46023.0</v>
      </c>
      <c r="I433" s="24">
        <v>46387.0</v>
      </c>
      <c r="J433" s="20">
        <v>0.0</v>
      </c>
      <c r="K433" s="20">
        <v>1.0</v>
      </c>
      <c r="L433" s="24">
        <v>46388.0</v>
      </c>
      <c r="M433" s="24">
        <v>46752.0</v>
      </c>
      <c r="N433" s="20">
        <v>0.0</v>
      </c>
      <c r="O433" s="20">
        <v>1.0</v>
      </c>
      <c r="P433" s="24">
        <v>46753.0</v>
      </c>
      <c r="Q433" s="24">
        <v>47118.0</v>
      </c>
      <c r="R433" s="20">
        <v>0.0</v>
      </c>
      <c r="S433" s="20">
        <v>1.0</v>
      </c>
      <c r="T433" s="24">
        <v>47119.0</v>
      </c>
      <c r="U433" s="24">
        <v>47483.0</v>
      </c>
      <c r="V433" s="20">
        <v>0.0</v>
      </c>
      <c r="W433" s="20">
        <v>1.0</v>
      </c>
      <c r="X433" s="24">
        <v>47484.0</v>
      </c>
      <c r="Y433" s="24">
        <v>47848.0</v>
      </c>
      <c r="Z433" s="20">
        <v>0.0</v>
      </c>
      <c r="AA433" s="20">
        <v>1.0</v>
      </c>
      <c r="AC433" s="24"/>
      <c r="AD433" s="24"/>
      <c r="AH433" s="24"/>
      <c r="AI433" s="24"/>
    </row>
    <row r="434" ht="14.25" customHeight="1">
      <c r="A434" s="46" t="s">
        <v>3649</v>
      </c>
      <c r="B434" s="20" t="s">
        <v>3650</v>
      </c>
      <c r="C434" s="20" t="s">
        <v>7041</v>
      </c>
      <c r="D434" s="24">
        <v>45658.0</v>
      </c>
      <c r="E434" s="24">
        <v>46022.0</v>
      </c>
      <c r="F434" s="20">
        <v>0.0</v>
      </c>
      <c r="G434" s="20">
        <v>1.0</v>
      </c>
      <c r="H434" s="24">
        <v>46023.0</v>
      </c>
      <c r="I434" s="24">
        <v>46387.0</v>
      </c>
      <c r="J434" s="20">
        <v>0.0</v>
      </c>
      <c r="K434" s="20">
        <v>1.0</v>
      </c>
      <c r="L434" s="24">
        <v>46388.0</v>
      </c>
      <c r="M434" s="24">
        <v>46752.0</v>
      </c>
      <c r="N434" s="20">
        <v>0.0</v>
      </c>
      <c r="O434" s="20">
        <v>1.0</v>
      </c>
      <c r="P434" s="24">
        <v>46753.0</v>
      </c>
      <c r="Q434" s="24">
        <v>47118.0</v>
      </c>
      <c r="R434" s="20">
        <v>0.0</v>
      </c>
      <c r="S434" s="20">
        <v>1.0</v>
      </c>
      <c r="T434" s="24">
        <v>47119.0</v>
      </c>
      <c r="U434" s="24">
        <v>47483.0</v>
      </c>
      <c r="V434" s="20">
        <v>0.0</v>
      </c>
      <c r="W434" s="20">
        <v>1.0</v>
      </c>
      <c r="X434" s="24">
        <v>47484.0</v>
      </c>
      <c r="Y434" s="24">
        <v>47848.0</v>
      </c>
      <c r="Z434" s="20">
        <v>0.0</v>
      </c>
      <c r="AA434" s="20">
        <v>1.0</v>
      </c>
      <c r="AC434" s="24"/>
      <c r="AD434" s="24"/>
      <c r="AH434" s="24"/>
      <c r="AI434" s="24"/>
    </row>
    <row r="435" ht="14.25" customHeight="1">
      <c r="A435" s="46" t="s">
        <v>6672</v>
      </c>
      <c r="B435" s="20" t="s">
        <v>6673</v>
      </c>
      <c r="C435" s="20" t="s">
        <v>7041</v>
      </c>
      <c r="D435" s="24">
        <v>45658.0</v>
      </c>
      <c r="E435" s="24">
        <v>46022.0</v>
      </c>
      <c r="F435" s="20">
        <v>0.0</v>
      </c>
      <c r="G435" s="20">
        <v>1.0</v>
      </c>
      <c r="H435" s="24">
        <v>46023.0</v>
      </c>
      <c r="I435" s="24">
        <v>46387.0</v>
      </c>
      <c r="J435" s="20">
        <v>0.0</v>
      </c>
      <c r="K435" s="20">
        <v>1.0</v>
      </c>
      <c r="L435" s="24">
        <v>46388.0</v>
      </c>
      <c r="M435" s="24">
        <v>46752.0</v>
      </c>
      <c r="N435" s="20">
        <v>0.0</v>
      </c>
      <c r="O435" s="20">
        <v>1.0</v>
      </c>
      <c r="P435" s="24">
        <v>46753.0</v>
      </c>
      <c r="Q435" s="24">
        <v>47118.0</v>
      </c>
      <c r="R435" s="20">
        <v>0.0</v>
      </c>
      <c r="S435" s="20">
        <v>1.0</v>
      </c>
      <c r="T435" s="24">
        <v>47119.0</v>
      </c>
      <c r="U435" s="24">
        <v>47483.0</v>
      </c>
      <c r="V435" s="20">
        <v>0.0</v>
      </c>
      <c r="W435" s="20">
        <v>1.0</v>
      </c>
      <c r="X435" s="24">
        <v>47484.0</v>
      </c>
      <c r="Y435" s="24">
        <v>47848.0</v>
      </c>
      <c r="Z435" s="20">
        <v>0.0</v>
      </c>
      <c r="AA435" s="20">
        <v>1.0</v>
      </c>
      <c r="AC435" s="24"/>
      <c r="AD435" s="24"/>
      <c r="AH435" s="24"/>
      <c r="AI435" s="24"/>
    </row>
    <row r="436" ht="14.25" customHeight="1">
      <c r="A436" s="46" t="s">
        <v>1117</v>
      </c>
      <c r="B436" s="20" t="s">
        <v>1118</v>
      </c>
      <c r="C436" s="20" t="s">
        <v>7041</v>
      </c>
      <c r="D436" s="24">
        <v>45658.0</v>
      </c>
      <c r="E436" s="24">
        <v>46022.0</v>
      </c>
      <c r="F436" s="20">
        <v>0.0</v>
      </c>
      <c r="G436" s="20">
        <v>1.0</v>
      </c>
      <c r="H436" s="24">
        <v>46023.0</v>
      </c>
      <c r="I436" s="24">
        <v>46387.0</v>
      </c>
      <c r="J436" s="20">
        <v>0.0</v>
      </c>
      <c r="K436" s="20">
        <v>1.0</v>
      </c>
      <c r="L436" s="24">
        <v>46388.0</v>
      </c>
      <c r="M436" s="24">
        <v>46752.0</v>
      </c>
      <c r="N436" s="20">
        <v>0.0</v>
      </c>
      <c r="O436" s="20">
        <v>1.0</v>
      </c>
      <c r="P436" s="24">
        <v>46753.0</v>
      </c>
      <c r="Q436" s="24">
        <v>47118.0</v>
      </c>
      <c r="R436" s="20">
        <v>0.0</v>
      </c>
      <c r="S436" s="20">
        <v>1.0</v>
      </c>
      <c r="T436" s="24">
        <v>47119.0</v>
      </c>
      <c r="U436" s="24">
        <v>47483.0</v>
      </c>
      <c r="V436" s="20">
        <v>0.0</v>
      </c>
      <c r="W436" s="20">
        <v>1.0</v>
      </c>
      <c r="X436" s="24">
        <v>47484.0</v>
      </c>
      <c r="Y436" s="24">
        <v>47848.0</v>
      </c>
      <c r="Z436" s="20">
        <v>0.0</v>
      </c>
      <c r="AA436" s="20">
        <v>1.0</v>
      </c>
      <c r="AC436" s="24"/>
      <c r="AD436" s="24"/>
      <c r="AH436" s="24"/>
      <c r="AI436" s="24"/>
    </row>
    <row r="437" ht="14.25" customHeight="1">
      <c r="A437" s="46" t="s">
        <v>4031</v>
      </c>
      <c r="B437" s="20" t="s">
        <v>4032</v>
      </c>
      <c r="C437" s="20" t="s">
        <v>7041</v>
      </c>
      <c r="D437" s="24">
        <v>45658.0</v>
      </c>
      <c r="E437" s="24">
        <v>46022.0</v>
      </c>
      <c r="F437" s="20">
        <v>0.0</v>
      </c>
      <c r="G437" s="20">
        <v>1.0</v>
      </c>
      <c r="H437" s="24">
        <v>46023.0</v>
      </c>
      <c r="I437" s="24">
        <v>46387.0</v>
      </c>
      <c r="J437" s="20">
        <v>0.0</v>
      </c>
      <c r="K437" s="20">
        <v>1.0</v>
      </c>
      <c r="L437" s="24">
        <v>46388.0</v>
      </c>
      <c r="M437" s="24">
        <v>46752.0</v>
      </c>
      <c r="N437" s="20">
        <v>0.0</v>
      </c>
      <c r="O437" s="20">
        <v>1.0</v>
      </c>
      <c r="P437" s="24">
        <v>46753.0</v>
      </c>
      <c r="Q437" s="24">
        <v>47118.0</v>
      </c>
      <c r="R437" s="20">
        <v>0.0</v>
      </c>
      <c r="S437" s="20">
        <v>1.0</v>
      </c>
      <c r="T437" s="24">
        <v>47119.0</v>
      </c>
      <c r="U437" s="24">
        <v>47483.0</v>
      </c>
      <c r="V437" s="20">
        <v>0.0</v>
      </c>
      <c r="W437" s="20">
        <v>1.0</v>
      </c>
      <c r="X437" s="24">
        <v>47484.0</v>
      </c>
      <c r="Y437" s="24">
        <v>47848.0</v>
      </c>
      <c r="Z437" s="20">
        <v>0.0</v>
      </c>
      <c r="AA437" s="20">
        <v>1.0</v>
      </c>
      <c r="AC437" s="24"/>
      <c r="AD437" s="24"/>
      <c r="AH437" s="24"/>
      <c r="AI437" s="24"/>
    </row>
    <row r="438" ht="14.25" customHeight="1">
      <c r="A438" s="46" t="s">
        <v>5887</v>
      </c>
      <c r="B438" s="20" t="s">
        <v>5888</v>
      </c>
      <c r="C438" s="20" t="s">
        <v>7041</v>
      </c>
      <c r="D438" s="24">
        <v>45658.0</v>
      </c>
      <c r="E438" s="24">
        <v>46022.0</v>
      </c>
      <c r="F438" s="20">
        <v>0.0</v>
      </c>
      <c r="G438" s="20">
        <v>1.0</v>
      </c>
      <c r="H438" s="24">
        <v>46023.0</v>
      </c>
      <c r="I438" s="24">
        <v>46387.0</v>
      </c>
      <c r="J438" s="20">
        <v>0.0</v>
      </c>
      <c r="K438" s="20">
        <v>1.0</v>
      </c>
      <c r="L438" s="24">
        <v>46388.0</v>
      </c>
      <c r="M438" s="24">
        <v>46752.0</v>
      </c>
      <c r="N438" s="20">
        <v>0.0</v>
      </c>
      <c r="O438" s="20">
        <v>1.0</v>
      </c>
      <c r="P438" s="24">
        <v>46753.0</v>
      </c>
      <c r="Q438" s="24">
        <v>47118.0</v>
      </c>
      <c r="R438" s="20">
        <v>0.0</v>
      </c>
      <c r="S438" s="20">
        <v>1.0</v>
      </c>
      <c r="T438" s="24">
        <v>47119.0</v>
      </c>
      <c r="U438" s="24">
        <v>47483.0</v>
      </c>
      <c r="V438" s="20">
        <v>0.0</v>
      </c>
      <c r="W438" s="20">
        <v>1.0</v>
      </c>
      <c r="X438" s="24">
        <v>47484.0</v>
      </c>
      <c r="Y438" s="24">
        <v>47848.0</v>
      </c>
      <c r="Z438" s="20">
        <v>0.0</v>
      </c>
      <c r="AA438" s="20">
        <v>1.0</v>
      </c>
      <c r="AC438" s="24"/>
      <c r="AD438" s="24"/>
      <c r="AH438" s="24"/>
      <c r="AI438" s="24"/>
    </row>
    <row r="439" ht="14.25" customHeight="1">
      <c r="A439" s="46" t="s">
        <v>6349</v>
      </c>
      <c r="B439" s="20" t="s">
        <v>6350</v>
      </c>
      <c r="C439" s="20" t="s">
        <v>7041</v>
      </c>
      <c r="D439" s="24">
        <v>45658.0</v>
      </c>
      <c r="E439" s="24">
        <v>46022.0</v>
      </c>
      <c r="F439" s="20">
        <v>0.0</v>
      </c>
      <c r="G439" s="20">
        <v>1.0</v>
      </c>
      <c r="H439" s="24">
        <v>46023.0</v>
      </c>
      <c r="I439" s="24">
        <v>46387.0</v>
      </c>
      <c r="J439" s="20">
        <v>0.0</v>
      </c>
      <c r="K439" s="20">
        <v>1.0</v>
      </c>
      <c r="L439" s="24">
        <v>46388.0</v>
      </c>
      <c r="M439" s="24">
        <v>46752.0</v>
      </c>
      <c r="N439" s="20">
        <v>0.0</v>
      </c>
      <c r="O439" s="20">
        <v>1.0</v>
      </c>
      <c r="P439" s="24">
        <v>46753.0</v>
      </c>
      <c r="Q439" s="24">
        <v>47118.0</v>
      </c>
      <c r="R439" s="20">
        <v>0.0</v>
      </c>
      <c r="S439" s="20">
        <v>1.0</v>
      </c>
      <c r="T439" s="24">
        <v>47119.0</v>
      </c>
      <c r="U439" s="24">
        <v>47483.0</v>
      </c>
      <c r="V439" s="20">
        <v>0.0</v>
      </c>
      <c r="W439" s="20">
        <v>1.0</v>
      </c>
      <c r="X439" s="24">
        <v>47484.0</v>
      </c>
      <c r="Y439" s="24">
        <v>47848.0</v>
      </c>
      <c r="Z439" s="20">
        <v>0.0</v>
      </c>
      <c r="AA439" s="20">
        <v>1.0</v>
      </c>
      <c r="AC439" s="24"/>
      <c r="AD439" s="24"/>
      <c r="AH439" s="24"/>
      <c r="AI439" s="24"/>
    </row>
    <row r="440" ht="14.25" customHeight="1">
      <c r="A440" s="46" t="s">
        <v>6644</v>
      </c>
      <c r="B440" s="20" t="s">
        <v>6645</v>
      </c>
      <c r="C440" s="20" t="s">
        <v>7041</v>
      </c>
      <c r="D440" s="24">
        <v>45658.0</v>
      </c>
      <c r="E440" s="24">
        <v>46022.0</v>
      </c>
      <c r="F440" s="20">
        <v>0.0</v>
      </c>
      <c r="G440" s="20">
        <v>1.0</v>
      </c>
      <c r="H440" s="24">
        <v>46023.0</v>
      </c>
      <c r="I440" s="24">
        <v>46387.0</v>
      </c>
      <c r="J440" s="20">
        <v>0.0</v>
      </c>
      <c r="K440" s="20">
        <v>1.0</v>
      </c>
      <c r="L440" s="24">
        <v>46388.0</v>
      </c>
      <c r="M440" s="24">
        <v>46752.0</v>
      </c>
      <c r="N440" s="20">
        <v>0.0</v>
      </c>
      <c r="O440" s="20">
        <v>1.0</v>
      </c>
      <c r="P440" s="24">
        <v>46753.0</v>
      </c>
      <c r="Q440" s="24">
        <v>47118.0</v>
      </c>
      <c r="R440" s="20">
        <v>0.0</v>
      </c>
      <c r="S440" s="20">
        <v>1.0</v>
      </c>
      <c r="T440" s="24">
        <v>47119.0</v>
      </c>
      <c r="U440" s="24">
        <v>47483.0</v>
      </c>
      <c r="V440" s="20">
        <v>0.0</v>
      </c>
      <c r="W440" s="20">
        <v>1.0</v>
      </c>
      <c r="X440" s="24">
        <v>47484.0</v>
      </c>
      <c r="Y440" s="24">
        <v>47848.0</v>
      </c>
      <c r="Z440" s="20">
        <v>0.0</v>
      </c>
      <c r="AA440" s="20">
        <v>1.0</v>
      </c>
      <c r="AC440" s="24"/>
      <c r="AD440" s="24"/>
      <c r="AH440" s="24"/>
      <c r="AI440" s="24"/>
    </row>
    <row r="441" ht="14.25" customHeight="1">
      <c r="A441" s="46" t="s">
        <v>6651</v>
      </c>
      <c r="B441" s="20" t="s">
        <v>6652</v>
      </c>
      <c r="C441" s="20" t="s">
        <v>7041</v>
      </c>
      <c r="D441" s="24">
        <v>45658.0</v>
      </c>
      <c r="E441" s="24">
        <v>46022.0</v>
      </c>
      <c r="F441" s="20">
        <v>0.0</v>
      </c>
      <c r="G441" s="20">
        <v>1.0</v>
      </c>
      <c r="H441" s="24">
        <v>46023.0</v>
      </c>
      <c r="I441" s="24">
        <v>46387.0</v>
      </c>
      <c r="J441" s="20">
        <v>0.0</v>
      </c>
      <c r="K441" s="20">
        <v>1.0</v>
      </c>
      <c r="L441" s="24">
        <v>46388.0</v>
      </c>
      <c r="M441" s="24">
        <v>46752.0</v>
      </c>
      <c r="N441" s="20">
        <v>0.0</v>
      </c>
      <c r="O441" s="20">
        <v>1.0</v>
      </c>
      <c r="P441" s="24">
        <v>46753.0</v>
      </c>
      <c r="Q441" s="24">
        <v>47118.0</v>
      </c>
      <c r="R441" s="20">
        <v>0.0</v>
      </c>
      <c r="S441" s="20">
        <v>1.0</v>
      </c>
      <c r="T441" s="24">
        <v>47119.0</v>
      </c>
      <c r="U441" s="24">
        <v>47483.0</v>
      </c>
      <c r="V441" s="20">
        <v>0.0</v>
      </c>
      <c r="W441" s="20">
        <v>1.0</v>
      </c>
      <c r="X441" s="24">
        <v>47484.0</v>
      </c>
      <c r="Y441" s="24">
        <v>47848.0</v>
      </c>
      <c r="Z441" s="20">
        <v>0.0</v>
      </c>
      <c r="AA441" s="20">
        <v>1.0</v>
      </c>
      <c r="AC441" s="24"/>
      <c r="AD441" s="24"/>
      <c r="AH441" s="24"/>
      <c r="AI441" s="24"/>
    </row>
    <row r="442" ht="14.25" customHeight="1">
      <c r="A442" s="46" t="s">
        <v>6783</v>
      </c>
      <c r="B442" s="20" t="s">
        <v>6784</v>
      </c>
      <c r="C442" s="20" t="s">
        <v>7041</v>
      </c>
      <c r="D442" s="24">
        <v>45658.0</v>
      </c>
      <c r="E442" s="24">
        <v>46022.0</v>
      </c>
      <c r="F442" s="20">
        <v>0.0</v>
      </c>
      <c r="G442" s="20">
        <v>1.0</v>
      </c>
      <c r="H442" s="24">
        <v>46023.0</v>
      </c>
      <c r="I442" s="24">
        <v>46387.0</v>
      </c>
      <c r="J442" s="20">
        <v>0.0</v>
      </c>
      <c r="K442" s="20">
        <v>1.0</v>
      </c>
      <c r="L442" s="24">
        <v>46388.0</v>
      </c>
      <c r="M442" s="24">
        <v>46752.0</v>
      </c>
      <c r="N442" s="20">
        <v>0.0</v>
      </c>
      <c r="O442" s="20">
        <v>1.0</v>
      </c>
      <c r="P442" s="24">
        <v>46753.0</v>
      </c>
      <c r="Q442" s="24">
        <v>47118.0</v>
      </c>
      <c r="R442" s="20">
        <v>0.0</v>
      </c>
      <c r="S442" s="20">
        <v>1.0</v>
      </c>
      <c r="T442" s="24">
        <v>47119.0</v>
      </c>
      <c r="U442" s="24">
        <v>47483.0</v>
      </c>
      <c r="V442" s="20">
        <v>0.0</v>
      </c>
      <c r="W442" s="20">
        <v>1.0</v>
      </c>
      <c r="X442" s="24">
        <v>47484.0</v>
      </c>
      <c r="Y442" s="24">
        <v>47848.0</v>
      </c>
      <c r="Z442" s="20">
        <v>0.0</v>
      </c>
      <c r="AA442" s="20">
        <v>1.0</v>
      </c>
      <c r="AC442" s="24"/>
      <c r="AD442" s="24"/>
      <c r="AH442" s="24"/>
      <c r="AI442" s="24"/>
    </row>
    <row r="443" ht="14.25" customHeight="1">
      <c r="A443" s="46" t="s">
        <v>139</v>
      </c>
      <c r="B443" s="20" t="s">
        <v>140</v>
      </c>
      <c r="C443" s="20" t="s">
        <v>7041</v>
      </c>
      <c r="D443" s="24">
        <v>45658.0</v>
      </c>
      <c r="E443" s="24">
        <v>46022.0</v>
      </c>
      <c r="F443" s="20">
        <v>0.0</v>
      </c>
      <c r="G443" s="20">
        <v>1.0</v>
      </c>
      <c r="H443" s="24">
        <v>46023.0</v>
      </c>
      <c r="I443" s="24">
        <v>46387.0</v>
      </c>
      <c r="J443" s="20">
        <v>0.0</v>
      </c>
      <c r="K443" s="20">
        <v>1.0</v>
      </c>
      <c r="L443" s="24">
        <v>46388.0</v>
      </c>
      <c r="M443" s="24">
        <v>46752.0</v>
      </c>
      <c r="N443" s="20">
        <v>0.0</v>
      </c>
      <c r="O443" s="20">
        <v>1.0</v>
      </c>
      <c r="P443" s="24">
        <v>46753.0</v>
      </c>
      <c r="Q443" s="24">
        <v>47118.0</v>
      </c>
      <c r="R443" s="20">
        <v>0.0</v>
      </c>
      <c r="S443" s="20">
        <v>1.0</v>
      </c>
      <c r="T443" s="24">
        <v>47119.0</v>
      </c>
      <c r="U443" s="24">
        <v>47483.0</v>
      </c>
      <c r="V443" s="20">
        <v>0.0</v>
      </c>
      <c r="W443" s="20">
        <v>1.0</v>
      </c>
      <c r="X443" s="24">
        <v>47484.0</v>
      </c>
      <c r="Y443" s="24">
        <v>47848.0</v>
      </c>
      <c r="Z443" s="20">
        <v>0.0</v>
      </c>
      <c r="AA443" s="20">
        <v>1.0</v>
      </c>
      <c r="AC443" s="24"/>
      <c r="AD443" s="24"/>
      <c r="AH443" s="24"/>
      <c r="AI443" s="24"/>
    </row>
    <row r="444" ht="14.25" customHeight="1">
      <c r="A444" s="46" t="s">
        <v>1113</v>
      </c>
      <c r="B444" s="20" t="s">
        <v>1114</v>
      </c>
      <c r="C444" s="20" t="s">
        <v>7041</v>
      </c>
      <c r="D444" s="24">
        <v>45658.0</v>
      </c>
      <c r="E444" s="24">
        <v>46022.0</v>
      </c>
      <c r="F444" s="20">
        <v>0.0</v>
      </c>
      <c r="G444" s="20">
        <v>1.0</v>
      </c>
      <c r="H444" s="24">
        <v>46023.0</v>
      </c>
      <c r="I444" s="24">
        <v>46387.0</v>
      </c>
      <c r="J444" s="20">
        <v>0.0</v>
      </c>
      <c r="K444" s="20">
        <v>1.0</v>
      </c>
      <c r="L444" s="24">
        <v>46388.0</v>
      </c>
      <c r="M444" s="24">
        <v>46752.0</v>
      </c>
      <c r="N444" s="20">
        <v>0.0</v>
      </c>
      <c r="O444" s="20">
        <v>1.0</v>
      </c>
      <c r="P444" s="24">
        <v>46753.0</v>
      </c>
      <c r="Q444" s="24">
        <v>47118.0</v>
      </c>
      <c r="R444" s="20">
        <v>0.0</v>
      </c>
      <c r="S444" s="20">
        <v>1.0</v>
      </c>
      <c r="T444" s="24">
        <v>47119.0</v>
      </c>
      <c r="U444" s="24">
        <v>47483.0</v>
      </c>
      <c r="V444" s="20">
        <v>0.0</v>
      </c>
      <c r="W444" s="20">
        <v>1.0</v>
      </c>
      <c r="X444" s="24">
        <v>47484.0</v>
      </c>
      <c r="Y444" s="24">
        <v>47848.0</v>
      </c>
      <c r="Z444" s="20">
        <v>0.0</v>
      </c>
      <c r="AA444" s="20">
        <v>1.0</v>
      </c>
      <c r="AC444" s="24"/>
      <c r="AD444" s="24"/>
      <c r="AH444" s="24"/>
      <c r="AI444" s="24"/>
    </row>
    <row r="445" ht="14.25" customHeight="1">
      <c r="A445" s="46" t="s">
        <v>1308</v>
      </c>
      <c r="B445" s="20" t="s">
        <v>1309</v>
      </c>
      <c r="C445" s="20" t="s">
        <v>7041</v>
      </c>
      <c r="D445" s="24">
        <v>45658.0</v>
      </c>
      <c r="E445" s="24">
        <v>46022.0</v>
      </c>
      <c r="F445" s="20">
        <v>0.0</v>
      </c>
      <c r="G445" s="20">
        <v>1.0</v>
      </c>
      <c r="H445" s="24">
        <v>46023.0</v>
      </c>
      <c r="I445" s="24">
        <v>46387.0</v>
      </c>
      <c r="J445" s="20">
        <v>0.0</v>
      </c>
      <c r="K445" s="20">
        <v>1.0</v>
      </c>
      <c r="L445" s="24">
        <v>46388.0</v>
      </c>
      <c r="M445" s="24">
        <v>46752.0</v>
      </c>
      <c r="N445" s="20">
        <v>0.0</v>
      </c>
      <c r="O445" s="20">
        <v>1.0</v>
      </c>
      <c r="P445" s="24">
        <v>46753.0</v>
      </c>
      <c r="Q445" s="24">
        <v>47118.0</v>
      </c>
      <c r="R445" s="20">
        <v>0.0</v>
      </c>
      <c r="S445" s="20">
        <v>1.0</v>
      </c>
      <c r="T445" s="24">
        <v>47119.0</v>
      </c>
      <c r="U445" s="24">
        <v>47483.0</v>
      </c>
      <c r="V445" s="20">
        <v>0.0</v>
      </c>
      <c r="W445" s="20">
        <v>1.0</v>
      </c>
      <c r="X445" s="24">
        <v>47484.0</v>
      </c>
      <c r="Y445" s="24">
        <v>47848.0</v>
      </c>
      <c r="Z445" s="20">
        <v>0.0</v>
      </c>
      <c r="AA445" s="20">
        <v>1.0</v>
      </c>
      <c r="AC445" s="24"/>
      <c r="AD445" s="24"/>
      <c r="AH445" s="24"/>
      <c r="AI445" s="24"/>
    </row>
    <row r="446" ht="14.25" customHeight="1">
      <c r="A446" s="46" t="s">
        <v>222</v>
      </c>
      <c r="B446" s="20" t="s">
        <v>223</v>
      </c>
      <c r="C446" s="20" t="s">
        <v>7041</v>
      </c>
      <c r="D446" s="24">
        <v>45658.0</v>
      </c>
      <c r="E446" s="24">
        <v>46022.0</v>
      </c>
      <c r="F446" s="20">
        <v>0.0</v>
      </c>
      <c r="G446" s="20">
        <v>1.0</v>
      </c>
      <c r="H446" s="24">
        <v>46023.0</v>
      </c>
      <c r="I446" s="24">
        <v>46387.0</v>
      </c>
      <c r="J446" s="20">
        <v>0.0</v>
      </c>
      <c r="K446" s="20">
        <v>1.0</v>
      </c>
      <c r="L446" s="24">
        <v>46388.0</v>
      </c>
      <c r="M446" s="24">
        <v>46752.0</v>
      </c>
      <c r="N446" s="20">
        <v>0.0</v>
      </c>
      <c r="O446" s="20">
        <v>1.0</v>
      </c>
      <c r="P446" s="24">
        <v>46753.0</v>
      </c>
      <c r="Q446" s="24">
        <v>47118.0</v>
      </c>
      <c r="R446" s="20">
        <v>0.0</v>
      </c>
      <c r="S446" s="20">
        <v>1.0</v>
      </c>
      <c r="T446" s="24">
        <v>47119.0</v>
      </c>
      <c r="U446" s="24">
        <v>47483.0</v>
      </c>
      <c r="V446" s="20">
        <v>0.0</v>
      </c>
      <c r="W446" s="20">
        <v>1.0</v>
      </c>
      <c r="X446" s="24">
        <v>47484.0</v>
      </c>
      <c r="Y446" s="24">
        <v>47848.0</v>
      </c>
      <c r="Z446" s="20">
        <v>0.0</v>
      </c>
      <c r="AA446" s="20">
        <v>1.0</v>
      </c>
      <c r="AC446" s="24"/>
      <c r="AD446" s="24"/>
      <c r="AH446" s="24"/>
      <c r="AI446" s="24"/>
    </row>
    <row r="447" ht="14.25" customHeight="1">
      <c r="A447" s="46" t="s">
        <v>4156</v>
      </c>
      <c r="B447" s="20" t="s">
        <v>4157</v>
      </c>
      <c r="C447" s="20" t="s">
        <v>7041</v>
      </c>
      <c r="D447" s="24">
        <v>45658.0</v>
      </c>
      <c r="E447" s="24">
        <v>46022.0</v>
      </c>
      <c r="F447" s="20">
        <v>1.0</v>
      </c>
      <c r="G447" s="20">
        <v>1.0</v>
      </c>
      <c r="H447" s="24">
        <v>46023.0</v>
      </c>
      <c r="I447" s="24">
        <v>46387.0</v>
      </c>
      <c r="J447" s="20">
        <v>0.0</v>
      </c>
      <c r="K447" s="20">
        <v>1.0</v>
      </c>
      <c r="L447" s="24">
        <v>46388.0</v>
      </c>
      <c r="M447" s="24">
        <v>46752.0</v>
      </c>
      <c r="N447" s="20">
        <v>0.0</v>
      </c>
      <c r="O447" s="20">
        <v>1.0</v>
      </c>
      <c r="P447" s="24">
        <v>46753.0</v>
      </c>
      <c r="Q447" s="24">
        <v>47118.0</v>
      </c>
      <c r="R447" s="20">
        <v>0.0</v>
      </c>
      <c r="S447" s="20">
        <v>1.0</v>
      </c>
      <c r="T447" s="24">
        <v>47119.0</v>
      </c>
      <c r="U447" s="24">
        <v>47483.0</v>
      </c>
      <c r="V447" s="20">
        <v>0.0</v>
      </c>
      <c r="W447" s="20">
        <v>1.0</v>
      </c>
      <c r="X447" s="24">
        <v>47484.0</v>
      </c>
      <c r="Y447" s="24">
        <v>47848.0</v>
      </c>
      <c r="Z447" s="20">
        <v>0.0</v>
      </c>
      <c r="AA447" s="20">
        <v>1.0</v>
      </c>
      <c r="AC447" s="24"/>
      <c r="AD447" s="24"/>
      <c r="AH447" s="24"/>
      <c r="AI447" s="24"/>
    </row>
    <row r="448" ht="14.25" customHeight="1">
      <c r="A448" s="46" t="s">
        <v>3844</v>
      </c>
      <c r="B448" s="20" t="s">
        <v>3845</v>
      </c>
      <c r="C448" s="20" t="s">
        <v>7041</v>
      </c>
      <c r="D448" s="24">
        <v>45658.0</v>
      </c>
      <c r="E448" s="24">
        <v>46022.0</v>
      </c>
      <c r="F448" s="20">
        <v>0.0</v>
      </c>
      <c r="G448" s="20">
        <v>1.0</v>
      </c>
      <c r="H448" s="24">
        <v>46023.0</v>
      </c>
      <c r="I448" s="24">
        <v>46387.0</v>
      </c>
      <c r="J448" s="20">
        <v>0.0</v>
      </c>
      <c r="K448" s="20">
        <v>1.0</v>
      </c>
      <c r="L448" s="24">
        <v>46388.0</v>
      </c>
      <c r="M448" s="24">
        <v>46752.0</v>
      </c>
      <c r="N448" s="20">
        <v>0.0</v>
      </c>
      <c r="O448" s="20">
        <v>1.0</v>
      </c>
      <c r="P448" s="24">
        <v>46753.0</v>
      </c>
      <c r="Q448" s="24">
        <v>47118.0</v>
      </c>
      <c r="R448" s="20">
        <v>0.0</v>
      </c>
      <c r="S448" s="20">
        <v>1.0</v>
      </c>
      <c r="T448" s="24">
        <v>47119.0</v>
      </c>
      <c r="U448" s="24">
        <v>47483.0</v>
      </c>
      <c r="V448" s="20">
        <v>0.0</v>
      </c>
      <c r="W448" s="20">
        <v>1.0</v>
      </c>
      <c r="X448" s="24">
        <v>47484.0</v>
      </c>
      <c r="Y448" s="24">
        <v>47848.0</v>
      </c>
      <c r="Z448" s="20">
        <v>0.0</v>
      </c>
      <c r="AA448" s="20">
        <v>1.0</v>
      </c>
      <c r="AC448" s="24"/>
      <c r="AD448" s="24"/>
      <c r="AH448" s="24"/>
      <c r="AI448" s="24"/>
    </row>
    <row r="449" ht="14.25" customHeight="1">
      <c r="A449" s="46" t="s">
        <v>6022</v>
      </c>
      <c r="B449" s="20" t="s">
        <v>6023</v>
      </c>
      <c r="C449" s="20" t="s">
        <v>7041</v>
      </c>
      <c r="D449" s="24">
        <v>45658.0</v>
      </c>
      <c r="E449" s="24">
        <v>46022.0</v>
      </c>
      <c r="F449" s="20">
        <v>0.0</v>
      </c>
      <c r="G449" s="20">
        <v>1.0</v>
      </c>
      <c r="H449" s="24">
        <v>46023.0</v>
      </c>
      <c r="I449" s="24">
        <v>46387.0</v>
      </c>
      <c r="J449" s="20">
        <v>0.0</v>
      </c>
      <c r="K449" s="20">
        <v>1.0</v>
      </c>
      <c r="L449" s="24">
        <v>46388.0</v>
      </c>
      <c r="M449" s="24">
        <v>46752.0</v>
      </c>
      <c r="N449" s="20">
        <v>0.0</v>
      </c>
      <c r="O449" s="20">
        <v>1.0</v>
      </c>
      <c r="P449" s="24">
        <v>46753.0</v>
      </c>
      <c r="Q449" s="24">
        <v>47118.0</v>
      </c>
      <c r="R449" s="20">
        <v>0.0</v>
      </c>
      <c r="S449" s="20">
        <v>1.0</v>
      </c>
      <c r="T449" s="24">
        <v>47119.0</v>
      </c>
      <c r="U449" s="24">
        <v>47483.0</v>
      </c>
      <c r="V449" s="20">
        <v>0.0</v>
      </c>
      <c r="W449" s="20">
        <v>1.0</v>
      </c>
      <c r="X449" s="24">
        <v>47484.0</v>
      </c>
      <c r="Y449" s="24">
        <v>47848.0</v>
      </c>
      <c r="Z449" s="20">
        <v>0.0</v>
      </c>
      <c r="AA449" s="20">
        <v>1.0</v>
      </c>
      <c r="AC449" s="24"/>
      <c r="AD449" s="24"/>
      <c r="AH449" s="24"/>
      <c r="AI449" s="24"/>
    </row>
    <row r="450" ht="14.25" customHeight="1">
      <c r="A450" s="46" t="s">
        <v>6960</v>
      </c>
      <c r="B450" s="20" t="s">
        <v>6961</v>
      </c>
      <c r="C450" s="20" t="s">
        <v>7041</v>
      </c>
      <c r="D450" s="24">
        <v>45658.0</v>
      </c>
      <c r="E450" s="24">
        <v>46022.0</v>
      </c>
      <c r="F450" s="20">
        <v>1.0</v>
      </c>
      <c r="G450" s="20">
        <v>1.0</v>
      </c>
      <c r="H450" s="24">
        <v>46023.0</v>
      </c>
      <c r="I450" s="24">
        <v>46387.0</v>
      </c>
      <c r="J450" s="20">
        <v>0.0</v>
      </c>
      <c r="K450" s="20">
        <v>1.0</v>
      </c>
      <c r="L450" s="24">
        <v>46388.0</v>
      </c>
      <c r="M450" s="24">
        <v>46752.0</v>
      </c>
      <c r="N450" s="20">
        <v>0.0</v>
      </c>
      <c r="O450" s="20">
        <v>1.0</v>
      </c>
      <c r="P450" s="24">
        <v>46753.0</v>
      </c>
      <c r="Q450" s="24">
        <v>47118.0</v>
      </c>
      <c r="R450" s="20">
        <v>0.0</v>
      </c>
      <c r="S450" s="20">
        <v>1.0</v>
      </c>
      <c r="T450" s="24">
        <v>47119.0</v>
      </c>
      <c r="U450" s="24">
        <v>47483.0</v>
      </c>
      <c r="V450" s="20">
        <v>0.0</v>
      </c>
      <c r="W450" s="20">
        <v>1.0</v>
      </c>
      <c r="X450" s="24">
        <v>47484.0</v>
      </c>
      <c r="Y450" s="24">
        <v>47848.0</v>
      </c>
      <c r="Z450" s="20">
        <v>0.0</v>
      </c>
      <c r="AA450" s="20">
        <v>1.0</v>
      </c>
      <c r="AC450" s="24"/>
      <c r="AD450" s="24"/>
      <c r="AH450" s="24"/>
      <c r="AI450" s="24"/>
    </row>
    <row r="451" ht="14.25" customHeight="1">
      <c r="A451" s="46" t="s">
        <v>955</v>
      </c>
      <c r="B451" s="20" t="s">
        <v>956</v>
      </c>
      <c r="C451" s="20" t="s">
        <v>7041</v>
      </c>
      <c r="D451" s="24">
        <v>45658.0</v>
      </c>
      <c r="E451" s="24">
        <v>46022.0</v>
      </c>
      <c r="F451" s="20">
        <v>0.0</v>
      </c>
      <c r="G451" s="20">
        <v>1.0</v>
      </c>
      <c r="H451" s="24">
        <v>46023.0</v>
      </c>
      <c r="I451" s="24">
        <v>46387.0</v>
      </c>
      <c r="J451" s="20">
        <v>0.0</v>
      </c>
      <c r="K451" s="20">
        <v>1.0</v>
      </c>
      <c r="L451" s="24">
        <v>46388.0</v>
      </c>
      <c r="M451" s="24">
        <v>46752.0</v>
      </c>
      <c r="N451" s="20">
        <v>0.0</v>
      </c>
      <c r="O451" s="20">
        <v>1.0</v>
      </c>
      <c r="P451" s="24">
        <v>46753.0</v>
      </c>
      <c r="Q451" s="24">
        <v>47118.0</v>
      </c>
      <c r="R451" s="20">
        <v>0.0</v>
      </c>
      <c r="S451" s="20">
        <v>1.0</v>
      </c>
      <c r="T451" s="24">
        <v>47119.0</v>
      </c>
      <c r="U451" s="24">
        <v>47483.0</v>
      </c>
      <c r="V451" s="20">
        <v>0.0</v>
      </c>
      <c r="W451" s="20">
        <v>1.0</v>
      </c>
      <c r="X451" s="24">
        <v>47484.0</v>
      </c>
      <c r="Y451" s="24">
        <v>47848.0</v>
      </c>
      <c r="Z451" s="20">
        <v>0.0</v>
      </c>
      <c r="AA451" s="20">
        <v>1.0</v>
      </c>
      <c r="AC451" s="24"/>
      <c r="AD451" s="24"/>
      <c r="AH451" s="24"/>
      <c r="AI451" s="24"/>
    </row>
    <row r="452" ht="14.25" customHeight="1">
      <c r="A452" s="46" t="s">
        <v>5488</v>
      </c>
      <c r="B452" s="20" t="s">
        <v>5489</v>
      </c>
      <c r="C452" s="20" t="s">
        <v>7041</v>
      </c>
      <c r="D452" s="24">
        <v>45658.0</v>
      </c>
      <c r="E452" s="24">
        <v>46022.0</v>
      </c>
      <c r="F452" s="20">
        <v>0.0</v>
      </c>
      <c r="G452" s="20">
        <v>1.0</v>
      </c>
      <c r="H452" s="24">
        <v>46023.0</v>
      </c>
      <c r="I452" s="24">
        <v>46387.0</v>
      </c>
      <c r="J452" s="20">
        <v>0.0</v>
      </c>
      <c r="K452" s="20">
        <v>1.0</v>
      </c>
      <c r="L452" s="24">
        <v>46388.0</v>
      </c>
      <c r="M452" s="24">
        <v>46752.0</v>
      </c>
      <c r="N452" s="20">
        <v>0.0</v>
      </c>
      <c r="O452" s="20">
        <v>1.0</v>
      </c>
      <c r="P452" s="24">
        <v>46753.0</v>
      </c>
      <c r="Q452" s="24">
        <v>47118.0</v>
      </c>
      <c r="R452" s="20">
        <v>0.0</v>
      </c>
      <c r="S452" s="20">
        <v>1.0</v>
      </c>
      <c r="T452" s="24">
        <v>47119.0</v>
      </c>
      <c r="U452" s="24">
        <v>47483.0</v>
      </c>
      <c r="V452" s="20">
        <v>0.0</v>
      </c>
      <c r="W452" s="20">
        <v>1.0</v>
      </c>
      <c r="X452" s="24">
        <v>47484.0</v>
      </c>
      <c r="Y452" s="24">
        <v>47848.0</v>
      </c>
      <c r="Z452" s="20">
        <v>0.0</v>
      </c>
      <c r="AA452" s="20">
        <v>1.0</v>
      </c>
      <c r="AC452" s="24"/>
      <c r="AD452" s="24"/>
      <c r="AH452" s="24"/>
      <c r="AI452" s="24"/>
    </row>
    <row r="453" ht="14.25" customHeight="1">
      <c r="A453" s="46" t="s">
        <v>3816</v>
      </c>
      <c r="B453" s="20" t="s">
        <v>3817</v>
      </c>
      <c r="C453" s="20" t="s">
        <v>7041</v>
      </c>
      <c r="D453" s="24">
        <v>45658.0</v>
      </c>
      <c r="E453" s="24">
        <v>46022.0</v>
      </c>
      <c r="F453" s="20">
        <v>1.0</v>
      </c>
      <c r="G453" s="20">
        <v>1.0</v>
      </c>
      <c r="H453" s="24">
        <v>46023.0</v>
      </c>
      <c r="I453" s="24">
        <v>46387.0</v>
      </c>
      <c r="J453" s="20">
        <v>0.0</v>
      </c>
      <c r="K453" s="20">
        <v>1.0</v>
      </c>
      <c r="L453" s="24">
        <v>46388.0</v>
      </c>
      <c r="M453" s="24">
        <v>46752.0</v>
      </c>
      <c r="N453" s="20">
        <v>0.0</v>
      </c>
      <c r="O453" s="20">
        <v>1.0</v>
      </c>
      <c r="P453" s="24">
        <v>46753.0</v>
      </c>
      <c r="Q453" s="24">
        <v>47118.0</v>
      </c>
      <c r="R453" s="20">
        <v>0.0</v>
      </c>
      <c r="S453" s="20">
        <v>1.0</v>
      </c>
      <c r="T453" s="24">
        <v>47119.0</v>
      </c>
      <c r="U453" s="24">
        <v>47483.0</v>
      </c>
      <c r="V453" s="20">
        <v>0.0</v>
      </c>
      <c r="W453" s="20">
        <v>1.0</v>
      </c>
      <c r="X453" s="24">
        <v>47484.0</v>
      </c>
      <c r="Y453" s="24">
        <v>47848.0</v>
      </c>
      <c r="Z453" s="20">
        <v>0.0</v>
      </c>
      <c r="AA453" s="20">
        <v>1.0</v>
      </c>
      <c r="AC453" s="24"/>
      <c r="AD453" s="24"/>
      <c r="AH453" s="24"/>
      <c r="AI453" s="24"/>
    </row>
    <row r="454" ht="14.25" customHeight="1">
      <c r="A454" s="46" t="s">
        <v>1595</v>
      </c>
      <c r="B454" s="20" t="s">
        <v>1596</v>
      </c>
      <c r="C454" s="20" t="s">
        <v>7041</v>
      </c>
      <c r="D454" s="24">
        <v>45658.0</v>
      </c>
      <c r="E454" s="24">
        <v>46022.0</v>
      </c>
      <c r="F454" s="20">
        <v>1.0</v>
      </c>
      <c r="G454" s="20">
        <v>1.0</v>
      </c>
      <c r="H454" s="24">
        <v>46023.0</v>
      </c>
      <c r="I454" s="24">
        <v>46387.0</v>
      </c>
      <c r="J454" s="20">
        <v>0.0</v>
      </c>
      <c r="K454" s="20">
        <v>1.0</v>
      </c>
      <c r="L454" s="24">
        <v>46388.0</v>
      </c>
      <c r="M454" s="24">
        <v>46752.0</v>
      </c>
      <c r="N454" s="20">
        <v>0.0</v>
      </c>
      <c r="O454" s="20">
        <v>1.0</v>
      </c>
      <c r="P454" s="24">
        <v>46753.0</v>
      </c>
      <c r="Q454" s="24">
        <v>47118.0</v>
      </c>
      <c r="R454" s="20">
        <v>0.0</v>
      </c>
      <c r="S454" s="20">
        <v>1.0</v>
      </c>
      <c r="T454" s="24">
        <v>47119.0</v>
      </c>
      <c r="U454" s="24">
        <v>47483.0</v>
      </c>
      <c r="V454" s="20">
        <v>0.0</v>
      </c>
      <c r="W454" s="20">
        <v>1.0</v>
      </c>
      <c r="X454" s="24">
        <v>47484.0</v>
      </c>
      <c r="Y454" s="24">
        <v>47848.0</v>
      </c>
      <c r="Z454" s="20">
        <v>0.0</v>
      </c>
      <c r="AA454" s="20">
        <v>1.0</v>
      </c>
      <c r="AC454" s="24"/>
      <c r="AD454" s="24"/>
      <c r="AH454" s="24"/>
      <c r="AI454" s="24"/>
    </row>
    <row r="455" ht="14.25" customHeight="1">
      <c r="A455" s="46" t="s">
        <v>2611</v>
      </c>
      <c r="B455" s="20" t="s">
        <v>2612</v>
      </c>
      <c r="C455" s="20" t="s">
        <v>7044</v>
      </c>
      <c r="D455" s="24">
        <v>45658.0</v>
      </c>
      <c r="E455" s="24">
        <v>46022.0</v>
      </c>
      <c r="F455" s="20">
        <v>1.0</v>
      </c>
      <c r="G455" s="20">
        <v>1.0</v>
      </c>
      <c r="H455" s="24">
        <v>46023.0</v>
      </c>
      <c r="I455" s="24">
        <v>46387.0</v>
      </c>
      <c r="J455" s="20">
        <v>0.0</v>
      </c>
      <c r="K455" s="20">
        <v>1.0</v>
      </c>
      <c r="L455" s="24">
        <v>46388.0</v>
      </c>
      <c r="M455" s="24">
        <v>46752.0</v>
      </c>
      <c r="N455" s="20">
        <v>0.0</v>
      </c>
      <c r="O455" s="20">
        <v>1.0</v>
      </c>
      <c r="P455" s="24">
        <v>46753.0</v>
      </c>
      <c r="Q455" s="24">
        <v>47118.0</v>
      </c>
      <c r="R455" s="20">
        <v>0.0</v>
      </c>
      <c r="S455" s="20">
        <v>1.0</v>
      </c>
      <c r="T455" s="24">
        <v>47119.0</v>
      </c>
      <c r="U455" s="24">
        <v>47483.0</v>
      </c>
      <c r="V455" s="20">
        <v>0.0</v>
      </c>
      <c r="W455" s="20">
        <v>1.0</v>
      </c>
      <c r="X455" s="24">
        <v>47484.0</v>
      </c>
      <c r="Y455" s="24">
        <v>47848.0</v>
      </c>
      <c r="Z455" s="20">
        <v>0.0</v>
      </c>
      <c r="AA455" s="20">
        <v>1.0</v>
      </c>
      <c r="AC455" s="24"/>
      <c r="AD455" s="24"/>
      <c r="AH455" s="24"/>
      <c r="AI455" s="24"/>
    </row>
    <row r="456" ht="14.25" customHeight="1">
      <c r="A456" s="46" t="s">
        <v>854</v>
      </c>
      <c r="B456" s="20" t="s">
        <v>855</v>
      </c>
      <c r="C456" s="20" t="s">
        <v>7041</v>
      </c>
      <c r="D456" s="24">
        <v>45658.0</v>
      </c>
      <c r="E456" s="24">
        <v>46022.0</v>
      </c>
      <c r="F456" s="20">
        <v>0.0</v>
      </c>
      <c r="G456" s="20">
        <v>1.0</v>
      </c>
      <c r="H456" s="24">
        <v>46023.0</v>
      </c>
      <c r="I456" s="24">
        <v>46387.0</v>
      </c>
      <c r="J456" s="20">
        <v>0.0</v>
      </c>
      <c r="K456" s="20">
        <v>1.0</v>
      </c>
      <c r="L456" s="24">
        <v>46388.0</v>
      </c>
      <c r="M456" s="24">
        <v>46752.0</v>
      </c>
      <c r="N456" s="20">
        <v>0.0</v>
      </c>
      <c r="O456" s="20">
        <v>1.0</v>
      </c>
      <c r="P456" s="24">
        <v>46753.0</v>
      </c>
      <c r="Q456" s="24">
        <v>47118.0</v>
      </c>
      <c r="R456" s="20">
        <v>0.0</v>
      </c>
      <c r="S456" s="20">
        <v>1.0</v>
      </c>
      <c r="T456" s="24">
        <v>47119.0</v>
      </c>
      <c r="U456" s="24">
        <v>47483.0</v>
      </c>
      <c r="V456" s="20">
        <v>0.0</v>
      </c>
      <c r="W456" s="20">
        <v>1.0</v>
      </c>
      <c r="X456" s="24">
        <v>47484.0</v>
      </c>
      <c r="Y456" s="24">
        <v>47848.0</v>
      </c>
      <c r="Z456" s="20">
        <v>0.0</v>
      </c>
      <c r="AA456" s="20">
        <v>1.0</v>
      </c>
      <c r="AC456" s="24"/>
      <c r="AD456" s="24"/>
      <c r="AH456" s="24"/>
      <c r="AI456" s="24"/>
    </row>
    <row r="457" ht="14.25" customHeight="1">
      <c r="A457" s="46" t="s">
        <v>5469</v>
      </c>
      <c r="B457" s="20" t="s">
        <v>5470</v>
      </c>
      <c r="C457" s="20" t="s">
        <v>7041</v>
      </c>
      <c r="D457" s="24">
        <v>45658.0</v>
      </c>
      <c r="E457" s="24">
        <v>46022.0</v>
      </c>
      <c r="F457" s="20">
        <v>0.0</v>
      </c>
      <c r="G457" s="20">
        <v>1.0</v>
      </c>
      <c r="H457" s="24">
        <v>46023.0</v>
      </c>
      <c r="I457" s="24">
        <v>46387.0</v>
      </c>
      <c r="J457" s="20">
        <v>0.0</v>
      </c>
      <c r="K457" s="20">
        <v>1.0</v>
      </c>
      <c r="L457" s="24">
        <v>46388.0</v>
      </c>
      <c r="M457" s="24">
        <v>46752.0</v>
      </c>
      <c r="N457" s="20">
        <v>0.0</v>
      </c>
      <c r="O457" s="20">
        <v>1.0</v>
      </c>
      <c r="P457" s="24">
        <v>46753.0</v>
      </c>
      <c r="Q457" s="24">
        <v>47118.0</v>
      </c>
      <c r="R457" s="20">
        <v>0.0</v>
      </c>
      <c r="S457" s="20">
        <v>1.0</v>
      </c>
      <c r="T457" s="24">
        <v>47119.0</v>
      </c>
      <c r="U457" s="24">
        <v>47483.0</v>
      </c>
      <c r="V457" s="20">
        <v>0.0</v>
      </c>
      <c r="W457" s="20">
        <v>1.0</v>
      </c>
      <c r="X457" s="24">
        <v>47484.0</v>
      </c>
      <c r="Y457" s="24">
        <v>47848.0</v>
      </c>
      <c r="Z457" s="20">
        <v>0.0</v>
      </c>
      <c r="AA457" s="20">
        <v>1.0</v>
      </c>
      <c r="AC457" s="24"/>
      <c r="AD457" s="24"/>
      <c r="AH457" s="24"/>
      <c r="AI457" s="24"/>
    </row>
    <row r="458" ht="14.25" customHeight="1">
      <c r="A458" s="46" t="s">
        <v>5562</v>
      </c>
      <c r="B458" s="20" t="s">
        <v>5563</v>
      </c>
      <c r="C458" s="20" t="s">
        <v>7041</v>
      </c>
      <c r="D458" s="24">
        <v>45658.0</v>
      </c>
      <c r="E458" s="24">
        <v>46022.0</v>
      </c>
      <c r="F458" s="20">
        <v>0.0</v>
      </c>
      <c r="G458" s="20">
        <v>1.0</v>
      </c>
      <c r="H458" s="24">
        <v>46023.0</v>
      </c>
      <c r="I458" s="24">
        <v>46387.0</v>
      </c>
      <c r="J458" s="20">
        <v>0.0</v>
      </c>
      <c r="K458" s="20">
        <v>1.0</v>
      </c>
      <c r="L458" s="24">
        <v>46388.0</v>
      </c>
      <c r="M458" s="24">
        <v>46752.0</v>
      </c>
      <c r="N458" s="20">
        <v>0.0</v>
      </c>
      <c r="O458" s="20">
        <v>1.0</v>
      </c>
      <c r="P458" s="24">
        <v>46753.0</v>
      </c>
      <c r="Q458" s="24">
        <v>47118.0</v>
      </c>
      <c r="R458" s="20">
        <v>0.0</v>
      </c>
      <c r="S458" s="20">
        <v>1.0</v>
      </c>
      <c r="T458" s="24">
        <v>47119.0</v>
      </c>
      <c r="U458" s="24">
        <v>47483.0</v>
      </c>
      <c r="V458" s="20">
        <v>0.0</v>
      </c>
      <c r="W458" s="20">
        <v>1.0</v>
      </c>
      <c r="X458" s="24">
        <v>47484.0</v>
      </c>
      <c r="Y458" s="24">
        <v>47848.0</v>
      </c>
      <c r="Z458" s="20">
        <v>0.0</v>
      </c>
      <c r="AA458" s="20">
        <v>1.0</v>
      </c>
      <c r="AC458" s="24"/>
      <c r="AD458" s="24"/>
      <c r="AH458" s="24"/>
      <c r="AI458" s="24"/>
    </row>
    <row r="459" ht="14.25" customHeight="1">
      <c r="A459" s="46" t="s">
        <v>6137</v>
      </c>
      <c r="B459" s="20" t="s">
        <v>6138</v>
      </c>
      <c r="C459" s="20" t="s">
        <v>7041</v>
      </c>
      <c r="D459" s="24">
        <v>45658.0</v>
      </c>
      <c r="E459" s="24">
        <v>46022.0</v>
      </c>
      <c r="F459" s="20">
        <v>0.0</v>
      </c>
      <c r="G459" s="20">
        <v>1.0</v>
      </c>
      <c r="H459" s="24">
        <v>46023.0</v>
      </c>
      <c r="I459" s="24">
        <v>46387.0</v>
      </c>
      <c r="J459" s="20">
        <v>0.0</v>
      </c>
      <c r="K459" s="20">
        <v>1.0</v>
      </c>
      <c r="L459" s="24">
        <v>46388.0</v>
      </c>
      <c r="M459" s="24">
        <v>46752.0</v>
      </c>
      <c r="N459" s="20">
        <v>0.0</v>
      </c>
      <c r="O459" s="20">
        <v>1.0</v>
      </c>
      <c r="P459" s="24">
        <v>46753.0</v>
      </c>
      <c r="Q459" s="24">
        <v>47118.0</v>
      </c>
      <c r="R459" s="20">
        <v>0.0</v>
      </c>
      <c r="S459" s="20">
        <v>1.0</v>
      </c>
      <c r="T459" s="24">
        <v>47119.0</v>
      </c>
      <c r="U459" s="24">
        <v>47483.0</v>
      </c>
      <c r="V459" s="20">
        <v>0.0</v>
      </c>
      <c r="W459" s="20">
        <v>1.0</v>
      </c>
      <c r="X459" s="24">
        <v>47484.0</v>
      </c>
      <c r="Y459" s="24">
        <v>47848.0</v>
      </c>
      <c r="Z459" s="20">
        <v>0.0</v>
      </c>
      <c r="AA459" s="20">
        <v>1.0</v>
      </c>
      <c r="AC459" s="24"/>
      <c r="AD459" s="24"/>
      <c r="AH459" s="24"/>
      <c r="AI459" s="24"/>
    </row>
    <row r="460" ht="14.25" customHeight="1">
      <c r="A460" s="46" t="s">
        <v>352</v>
      </c>
      <c r="B460" s="20" t="s">
        <v>353</v>
      </c>
      <c r="C460" s="20" t="s">
        <v>7041</v>
      </c>
      <c r="D460" s="24">
        <v>45658.0</v>
      </c>
      <c r="E460" s="24">
        <v>46022.0</v>
      </c>
      <c r="F460" s="20">
        <v>0.0</v>
      </c>
      <c r="G460" s="20">
        <v>1.0</v>
      </c>
      <c r="H460" s="24">
        <v>46023.0</v>
      </c>
      <c r="I460" s="24">
        <v>46387.0</v>
      </c>
      <c r="J460" s="20">
        <v>0.0</v>
      </c>
      <c r="K460" s="20">
        <v>1.0</v>
      </c>
      <c r="L460" s="24">
        <v>46388.0</v>
      </c>
      <c r="M460" s="24">
        <v>46752.0</v>
      </c>
      <c r="N460" s="20">
        <v>0.0</v>
      </c>
      <c r="O460" s="20">
        <v>1.0</v>
      </c>
      <c r="P460" s="24">
        <v>46753.0</v>
      </c>
      <c r="Q460" s="24">
        <v>47118.0</v>
      </c>
      <c r="R460" s="20">
        <v>0.0</v>
      </c>
      <c r="S460" s="20">
        <v>1.0</v>
      </c>
      <c r="T460" s="24">
        <v>47119.0</v>
      </c>
      <c r="U460" s="24">
        <v>47483.0</v>
      </c>
      <c r="V460" s="20">
        <v>0.0</v>
      </c>
      <c r="W460" s="20">
        <v>1.0</v>
      </c>
      <c r="X460" s="24">
        <v>47484.0</v>
      </c>
      <c r="Y460" s="24">
        <v>47848.0</v>
      </c>
      <c r="Z460" s="20">
        <v>0.0</v>
      </c>
      <c r="AA460" s="20">
        <v>1.0</v>
      </c>
      <c r="AC460" s="24"/>
      <c r="AD460" s="24"/>
      <c r="AH460" s="24"/>
      <c r="AI460" s="24"/>
    </row>
    <row r="461" ht="14.25" customHeight="1">
      <c r="A461" s="46" t="s">
        <v>5120</v>
      </c>
      <c r="B461" s="20" t="s">
        <v>5121</v>
      </c>
      <c r="C461" s="20" t="s">
        <v>7041</v>
      </c>
      <c r="D461" s="24">
        <v>45658.0</v>
      </c>
      <c r="E461" s="24">
        <v>46022.0</v>
      </c>
      <c r="F461" s="20">
        <v>0.0</v>
      </c>
      <c r="G461" s="20">
        <v>1.0</v>
      </c>
      <c r="H461" s="24">
        <v>46023.0</v>
      </c>
      <c r="I461" s="24">
        <v>46387.0</v>
      </c>
      <c r="J461" s="20">
        <v>0.0</v>
      </c>
      <c r="K461" s="20">
        <v>1.0</v>
      </c>
      <c r="L461" s="24">
        <v>46388.0</v>
      </c>
      <c r="M461" s="24">
        <v>46752.0</v>
      </c>
      <c r="N461" s="20">
        <v>0.0</v>
      </c>
      <c r="O461" s="20">
        <v>1.0</v>
      </c>
      <c r="P461" s="24">
        <v>46753.0</v>
      </c>
      <c r="Q461" s="24">
        <v>47118.0</v>
      </c>
      <c r="R461" s="20">
        <v>0.0</v>
      </c>
      <c r="S461" s="20">
        <v>1.0</v>
      </c>
      <c r="T461" s="24">
        <v>47119.0</v>
      </c>
      <c r="U461" s="24">
        <v>47483.0</v>
      </c>
      <c r="V461" s="20">
        <v>0.0</v>
      </c>
      <c r="W461" s="20">
        <v>1.0</v>
      </c>
      <c r="X461" s="24">
        <v>47484.0</v>
      </c>
      <c r="Y461" s="24">
        <v>47848.0</v>
      </c>
      <c r="Z461" s="20">
        <v>0.0</v>
      </c>
      <c r="AA461" s="20">
        <v>1.0</v>
      </c>
      <c r="AC461" s="24"/>
      <c r="AD461" s="24"/>
      <c r="AH461" s="24"/>
      <c r="AI461" s="24"/>
    </row>
    <row r="462" ht="14.25" customHeight="1">
      <c r="A462" s="46" t="s">
        <v>3873</v>
      </c>
      <c r="B462" s="20" t="s">
        <v>3874</v>
      </c>
      <c r="C462" s="20" t="s">
        <v>7041</v>
      </c>
      <c r="D462" s="24">
        <v>45658.0</v>
      </c>
      <c r="E462" s="24">
        <v>46022.0</v>
      </c>
      <c r="F462" s="20">
        <v>1.0</v>
      </c>
      <c r="G462" s="20">
        <v>1.0</v>
      </c>
      <c r="H462" s="24">
        <v>46023.0</v>
      </c>
      <c r="I462" s="24">
        <v>46387.0</v>
      </c>
      <c r="J462" s="20">
        <v>0.0</v>
      </c>
      <c r="K462" s="20">
        <v>1.0</v>
      </c>
      <c r="L462" s="24">
        <v>46388.0</v>
      </c>
      <c r="M462" s="24">
        <v>46752.0</v>
      </c>
      <c r="N462" s="20">
        <v>0.0</v>
      </c>
      <c r="O462" s="20">
        <v>1.0</v>
      </c>
      <c r="P462" s="24">
        <v>46753.0</v>
      </c>
      <c r="Q462" s="24">
        <v>47118.0</v>
      </c>
      <c r="R462" s="20">
        <v>0.0</v>
      </c>
      <c r="S462" s="20">
        <v>1.0</v>
      </c>
      <c r="T462" s="24">
        <v>47119.0</v>
      </c>
      <c r="U462" s="24">
        <v>47483.0</v>
      </c>
      <c r="V462" s="20">
        <v>0.0</v>
      </c>
      <c r="W462" s="20">
        <v>1.0</v>
      </c>
      <c r="X462" s="24">
        <v>47484.0</v>
      </c>
      <c r="Y462" s="24">
        <v>47848.0</v>
      </c>
      <c r="Z462" s="20">
        <v>0.0</v>
      </c>
      <c r="AA462" s="20">
        <v>1.0</v>
      </c>
      <c r="AC462" s="24"/>
      <c r="AD462" s="24"/>
      <c r="AH462" s="24"/>
      <c r="AI462" s="24"/>
    </row>
    <row r="463" ht="14.25" customHeight="1">
      <c r="A463" s="46" t="s">
        <v>2383</v>
      </c>
      <c r="B463" s="20" t="s">
        <v>2384</v>
      </c>
      <c r="C463" s="20" t="s">
        <v>7041</v>
      </c>
      <c r="D463" s="24">
        <v>45658.0</v>
      </c>
      <c r="E463" s="24">
        <v>46022.0</v>
      </c>
      <c r="F463" s="20">
        <v>0.0</v>
      </c>
      <c r="G463" s="20">
        <v>1.0</v>
      </c>
      <c r="H463" s="24">
        <v>46023.0</v>
      </c>
      <c r="I463" s="24">
        <v>46387.0</v>
      </c>
      <c r="J463" s="20">
        <v>0.0</v>
      </c>
      <c r="K463" s="20">
        <v>1.0</v>
      </c>
      <c r="L463" s="24">
        <v>46388.0</v>
      </c>
      <c r="M463" s="24">
        <v>46752.0</v>
      </c>
      <c r="N463" s="20">
        <v>0.0</v>
      </c>
      <c r="O463" s="20">
        <v>1.0</v>
      </c>
      <c r="P463" s="24">
        <v>46753.0</v>
      </c>
      <c r="Q463" s="24">
        <v>47118.0</v>
      </c>
      <c r="R463" s="20">
        <v>0.0</v>
      </c>
      <c r="S463" s="20">
        <v>1.0</v>
      </c>
      <c r="T463" s="24">
        <v>47119.0</v>
      </c>
      <c r="U463" s="24">
        <v>47483.0</v>
      </c>
      <c r="V463" s="20">
        <v>0.0</v>
      </c>
      <c r="W463" s="20">
        <v>1.0</v>
      </c>
      <c r="X463" s="24">
        <v>47484.0</v>
      </c>
      <c r="Y463" s="24">
        <v>47848.0</v>
      </c>
      <c r="Z463" s="20">
        <v>0.0</v>
      </c>
      <c r="AA463" s="20">
        <v>1.0</v>
      </c>
      <c r="AC463" s="24"/>
      <c r="AD463" s="24"/>
      <c r="AH463" s="24"/>
      <c r="AI463" s="24"/>
    </row>
    <row r="464" ht="14.25" customHeight="1">
      <c r="A464" s="46" t="s">
        <v>5170</v>
      </c>
      <c r="B464" s="20" t="s">
        <v>5171</v>
      </c>
      <c r="C464" s="20" t="s">
        <v>7041</v>
      </c>
      <c r="D464" s="24">
        <v>45658.0</v>
      </c>
      <c r="E464" s="24">
        <v>46022.0</v>
      </c>
      <c r="F464" s="20">
        <v>0.0</v>
      </c>
      <c r="G464" s="20">
        <v>1.0</v>
      </c>
      <c r="H464" s="24">
        <v>46023.0</v>
      </c>
      <c r="I464" s="24">
        <v>46387.0</v>
      </c>
      <c r="J464" s="20">
        <v>0.0</v>
      </c>
      <c r="K464" s="20">
        <v>1.0</v>
      </c>
      <c r="L464" s="24">
        <v>46388.0</v>
      </c>
      <c r="M464" s="24">
        <v>46752.0</v>
      </c>
      <c r="N464" s="20">
        <v>0.0</v>
      </c>
      <c r="O464" s="20">
        <v>1.0</v>
      </c>
      <c r="P464" s="24">
        <v>46753.0</v>
      </c>
      <c r="Q464" s="24">
        <v>47118.0</v>
      </c>
      <c r="R464" s="20">
        <v>0.0</v>
      </c>
      <c r="S464" s="20">
        <v>1.0</v>
      </c>
      <c r="T464" s="24">
        <v>47119.0</v>
      </c>
      <c r="U464" s="24">
        <v>47483.0</v>
      </c>
      <c r="V464" s="20">
        <v>0.0</v>
      </c>
      <c r="W464" s="20">
        <v>1.0</v>
      </c>
      <c r="X464" s="24">
        <v>47484.0</v>
      </c>
      <c r="Y464" s="24">
        <v>47848.0</v>
      </c>
      <c r="Z464" s="20">
        <v>0.0</v>
      </c>
      <c r="AA464" s="20">
        <v>1.0</v>
      </c>
      <c r="AC464" s="24"/>
      <c r="AD464" s="24"/>
      <c r="AH464" s="24"/>
      <c r="AI464" s="24"/>
    </row>
    <row r="465" ht="14.25" customHeight="1">
      <c r="A465" s="46" t="s">
        <v>799</v>
      </c>
      <c r="B465" s="20" t="s">
        <v>800</v>
      </c>
      <c r="C465" s="20" t="s">
        <v>7041</v>
      </c>
      <c r="D465" s="24">
        <v>45658.0</v>
      </c>
      <c r="E465" s="24">
        <v>46022.0</v>
      </c>
      <c r="F465" s="20">
        <v>0.0</v>
      </c>
      <c r="G465" s="20">
        <v>1.0</v>
      </c>
      <c r="H465" s="24">
        <v>46023.0</v>
      </c>
      <c r="I465" s="24">
        <v>46387.0</v>
      </c>
      <c r="J465" s="20">
        <v>0.0</v>
      </c>
      <c r="K465" s="20">
        <v>1.0</v>
      </c>
      <c r="L465" s="24">
        <v>46388.0</v>
      </c>
      <c r="M465" s="24">
        <v>46752.0</v>
      </c>
      <c r="N465" s="20">
        <v>0.0</v>
      </c>
      <c r="O465" s="20">
        <v>1.0</v>
      </c>
      <c r="P465" s="24">
        <v>46753.0</v>
      </c>
      <c r="Q465" s="24">
        <v>47118.0</v>
      </c>
      <c r="R465" s="20">
        <v>0.0</v>
      </c>
      <c r="S465" s="20">
        <v>1.0</v>
      </c>
      <c r="T465" s="24">
        <v>47119.0</v>
      </c>
      <c r="U465" s="24">
        <v>47483.0</v>
      </c>
      <c r="V465" s="20">
        <v>0.0</v>
      </c>
      <c r="W465" s="20">
        <v>1.0</v>
      </c>
      <c r="X465" s="24">
        <v>47484.0</v>
      </c>
      <c r="Y465" s="24">
        <v>47848.0</v>
      </c>
      <c r="Z465" s="20">
        <v>0.0</v>
      </c>
      <c r="AA465" s="20">
        <v>1.0</v>
      </c>
      <c r="AC465" s="24"/>
      <c r="AD465" s="24"/>
      <c r="AH465" s="24"/>
      <c r="AI465" s="24"/>
    </row>
    <row r="466" ht="14.25" customHeight="1">
      <c r="A466" s="46" t="s">
        <v>1732</v>
      </c>
      <c r="B466" s="20" t="s">
        <v>1733</v>
      </c>
      <c r="C466" s="20" t="s">
        <v>7041</v>
      </c>
      <c r="D466" s="24">
        <v>45658.0</v>
      </c>
      <c r="E466" s="24">
        <v>46022.0</v>
      </c>
      <c r="F466" s="20">
        <v>0.0</v>
      </c>
      <c r="G466" s="20">
        <v>1.0</v>
      </c>
      <c r="H466" s="24">
        <v>46023.0</v>
      </c>
      <c r="I466" s="24">
        <v>46387.0</v>
      </c>
      <c r="J466" s="20">
        <v>0.0</v>
      </c>
      <c r="K466" s="20">
        <v>1.0</v>
      </c>
      <c r="L466" s="24">
        <v>46388.0</v>
      </c>
      <c r="M466" s="24">
        <v>46752.0</v>
      </c>
      <c r="N466" s="20">
        <v>0.0</v>
      </c>
      <c r="O466" s="20">
        <v>1.0</v>
      </c>
      <c r="P466" s="24">
        <v>46753.0</v>
      </c>
      <c r="Q466" s="24">
        <v>47118.0</v>
      </c>
      <c r="R466" s="20">
        <v>0.0</v>
      </c>
      <c r="S466" s="20">
        <v>1.0</v>
      </c>
      <c r="T466" s="24">
        <v>47119.0</v>
      </c>
      <c r="U466" s="24">
        <v>47483.0</v>
      </c>
      <c r="V466" s="20">
        <v>0.0</v>
      </c>
      <c r="W466" s="20">
        <v>1.0</v>
      </c>
      <c r="X466" s="24">
        <v>47484.0</v>
      </c>
      <c r="Y466" s="24">
        <v>47848.0</v>
      </c>
      <c r="Z466" s="20">
        <v>0.0</v>
      </c>
      <c r="AA466" s="20">
        <v>1.0</v>
      </c>
      <c r="AC466" s="24"/>
      <c r="AD466" s="24"/>
      <c r="AH466" s="24"/>
      <c r="AI466" s="24"/>
    </row>
    <row r="467" ht="14.25" customHeight="1">
      <c r="A467" s="46" t="s">
        <v>6399</v>
      </c>
      <c r="B467" s="20" t="s">
        <v>6400</v>
      </c>
      <c r="C467" s="20" t="s">
        <v>7041</v>
      </c>
      <c r="D467" s="24">
        <v>45658.0</v>
      </c>
      <c r="E467" s="24">
        <v>46022.0</v>
      </c>
      <c r="F467" s="20">
        <v>0.0</v>
      </c>
      <c r="G467" s="20">
        <v>1.0</v>
      </c>
      <c r="H467" s="24">
        <v>46023.0</v>
      </c>
      <c r="I467" s="24">
        <v>46387.0</v>
      </c>
      <c r="J467" s="20">
        <v>0.0</v>
      </c>
      <c r="K467" s="20">
        <v>1.0</v>
      </c>
      <c r="L467" s="24">
        <v>46388.0</v>
      </c>
      <c r="M467" s="24">
        <v>46752.0</v>
      </c>
      <c r="N467" s="20">
        <v>0.0</v>
      </c>
      <c r="O467" s="20">
        <v>1.0</v>
      </c>
      <c r="P467" s="24">
        <v>46753.0</v>
      </c>
      <c r="Q467" s="24">
        <v>47118.0</v>
      </c>
      <c r="R467" s="20">
        <v>0.0</v>
      </c>
      <c r="S467" s="20">
        <v>1.0</v>
      </c>
      <c r="T467" s="24">
        <v>47119.0</v>
      </c>
      <c r="U467" s="24">
        <v>47483.0</v>
      </c>
      <c r="V467" s="20">
        <v>0.0</v>
      </c>
      <c r="W467" s="20">
        <v>1.0</v>
      </c>
      <c r="X467" s="24">
        <v>47484.0</v>
      </c>
      <c r="Y467" s="24">
        <v>47848.0</v>
      </c>
      <c r="Z467" s="20">
        <v>0.0</v>
      </c>
      <c r="AA467" s="20">
        <v>1.0</v>
      </c>
      <c r="AC467" s="24"/>
      <c r="AD467" s="24"/>
      <c r="AH467" s="24"/>
      <c r="AI467" s="24"/>
    </row>
    <row r="468" ht="14.25" customHeight="1">
      <c r="A468" s="46" t="s">
        <v>6162</v>
      </c>
      <c r="B468" s="20" t="s">
        <v>6163</v>
      </c>
      <c r="C468" s="20" t="s">
        <v>7041</v>
      </c>
      <c r="D468" s="24">
        <v>45658.0</v>
      </c>
      <c r="E468" s="24">
        <v>46022.0</v>
      </c>
      <c r="F468" s="20">
        <v>0.0</v>
      </c>
      <c r="G468" s="20">
        <v>1.0</v>
      </c>
      <c r="H468" s="24">
        <v>46023.0</v>
      </c>
      <c r="I468" s="24">
        <v>46387.0</v>
      </c>
      <c r="J468" s="20">
        <v>0.0</v>
      </c>
      <c r="K468" s="20">
        <v>1.0</v>
      </c>
      <c r="L468" s="24">
        <v>46388.0</v>
      </c>
      <c r="M468" s="24">
        <v>46752.0</v>
      </c>
      <c r="N468" s="20">
        <v>0.0</v>
      </c>
      <c r="O468" s="20">
        <v>1.0</v>
      </c>
      <c r="P468" s="24">
        <v>46753.0</v>
      </c>
      <c r="Q468" s="24">
        <v>47118.0</v>
      </c>
      <c r="R468" s="20">
        <v>0.0</v>
      </c>
      <c r="S468" s="20">
        <v>1.0</v>
      </c>
      <c r="T468" s="24">
        <v>47119.0</v>
      </c>
      <c r="U468" s="24">
        <v>47483.0</v>
      </c>
      <c r="V468" s="20">
        <v>0.0</v>
      </c>
      <c r="W468" s="20">
        <v>1.0</v>
      </c>
      <c r="X468" s="24">
        <v>47484.0</v>
      </c>
      <c r="Y468" s="24">
        <v>47848.0</v>
      </c>
      <c r="Z468" s="20">
        <v>0.0</v>
      </c>
      <c r="AA468" s="20">
        <v>1.0</v>
      </c>
      <c r="AC468" s="24"/>
      <c r="AD468" s="24"/>
      <c r="AH468" s="24"/>
      <c r="AI468" s="24"/>
    </row>
    <row r="469" ht="14.25" customHeight="1">
      <c r="A469" s="46" t="s">
        <v>6415</v>
      </c>
      <c r="B469" s="20" t="s">
        <v>6416</v>
      </c>
      <c r="C469" s="20" t="s">
        <v>7041</v>
      </c>
      <c r="D469" s="24">
        <v>45658.0</v>
      </c>
      <c r="E469" s="24">
        <v>46022.0</v>
      </c>
      <c r="F469" s="20">
        <v>0.0</v>
      </c>
      <c r="G469" s="20">
        <v>1.0</v>
      </c>
      <c r="H469" s="24">
        <v>46023.0</v>
      </c>
      <c r="I469" s="24">
        <v>46387.0</v>
      </c>
      <c r="J469" s="20">
        <v>0.0</v>
      </c>
      <c r="K469" s="20">
        <v>1.0</v>
      </c>
      <c r="L469" s="24">
        <v>46388.0</v>
      </c>
      <c r="M469" s="24">
        <v>46752.0</v>
      </c>
      <c r="N469" s="20">
        <v>0.0</v>
      </c>
      <c r="O469" s="20">
        <v>1.0</v>
      </c>
      <c r="P469" s="24">
        <v>46753.0</v>
      </c>
      <c r="Q469" s="24">
        <v>47118.0</v>
      </c>
      <c r="R469" s="20">
        <v>0.0</v>
      </c>
      <c r="S469" s="20">
        <v>1.0</v>
      </c>
      <c r="T469" s="24">
        <v>47119.0</v>
      </c>
      <c r="U469" s="24">
        <v>47483.0</v>
      </c>
      <c r="V469" s="20">
        <v>0.0</v>
      </c>
      <c r="W469" s="20">
        <v>1.0</v>
      </c>
      <c r="X469" s="24">
        <v>47484.0</v>
      </c>
      <c r="Y469" s="24">
        <v>47848.0</v>
      </c>
      <c r="Z469" s="20">
        <v>0.0</v>
      </c>
      <c r="AA469" s="20">
        <v>1.0</v>
      </c>
      <c r="AC469" s="24"/>
      <c r="AD469" s="24"/>
      <c r="AH469" s="24"/>
      <c r="AI469" s="24"/>
    </row>
    <row r="470" ht="14.25" customHeight="1">
      <c r="A470" s="46" t="s">
        <v>4432</v>
      </c>
      <c r="B470" s="20" t="s">
        <v>4433</v>
      </c>
      <c r="C470" s="20" t="s">
        <v>7041</v>
      </c>
      <c r="D470" s="24">
        <v>45658.0</v>
      </c>
      <c r="E470" s="24">
        <v>46022.0</v>
      </c>
      <c r="F470" s="20">
        <v>0.0</v>
      </c>
      <c r="G470" s="20">
        <v>1.0</v>
      </c>
      <c r="H470" s="24">
        <v>46023.0</v>
      </c>
      <c r="I470" s="24">
        <v>46387.0</v>
      </c>
      <c r="J470" s="20">
        <v>0.0</v>
      </c>
      <c r="K470" s="20">
        <v>1.0</v>
      </c>
      <c r="L470" s="24">
        <v>46388.0</v>
      </c>
      <c r="M470" s="24">
        <v>46752.0</v>
      </c>
      <c r="N470" s="20">
        <v>0.0</v>
      </c>
      <c r="O470" s="20">
        <v>1.0</v>
      </c>
      <c r="P470" s="24">
        <v>46753.0</v>
      </c>
      <c r="Q470" s="24">
        <v>47118.0</v>
      </c>
      <c r="R470" s="20">
        <v>0.0</v>
      </c>
      <c r="S470" s="20">
        <v>1.0</v>
      </c>
      <c r="T470" s="24">
        <v>47119.0</v>
      </c>
      <c r="U470" s="24">
        <v>47483.0</v>
      </c>
      <c r="V470" s="20">
        <v>0.0</v>
      </c>
      <c r="W470" s="20">
        <v>1.0</v>
      </c>
      <c r="X470" s="24">
        <v>47484.0</v>
      </c>
      <c r="Y470" s="24">
        <v>47848.0</v>
      </c>
      <c r="Z470" s="20">
        <v>0.0</v>
      </c>
      <c r="AA470" s="20">
        <v>1.0</v>
      </c>
      <c r="AC470" s="24"/>
      <c r="AD470" s="24"/>
      <c r="AH470" s="24"/>
      <c r="AI470" s="24"/>
    </row>
    <row r="471" ht="14.25" customHeight="1">
      <c r="A471" s="46" t="s">
        <v>2344</v>
      </c>
      <c r="B471" s="20" t="s">
        <v>2345</v>
      </c>
      <c r="C471" s="20" t="s">
        <v>7041</v>
      </c>
      <c r="D471" s="24">
        <v>45658.0</v>
      </c>
      <c r="E471" s="24">
        <v>46022.0</v>
      </c>
      <c r="F471" s="20">
        <v>0.0</v>
      </c>
      <c r="G471" s="20">
        <v>1.0</v>
      </c>
      <c r="H471" s="24">
        <v>46023.0</v>
      </c>
      <c r="I471" s="24">
        <v>46387.0</v>
      </c>
      <c r="J471" s="20">
        <v>0.0</v>
      </c>
      <c r="K471" s="20">
        <v>1.0</v>
      </c>
      <c r="L471" s="24">
        <v>46388.0</v>
      </c>
      <c r="M471" s="24">
        <v>46752.0</v>
      </c>
      <c r="N471" s="20">
        <v>0.0</v>
      </c>
      <c r="O471" s="20">
        <v>1.0</v>
      </c>
      <c r="P471" s="24">
        <v>46753.0</v>
      </c>
      <c r="Q471" s="24">
        <v>47118.0</v>
      </c>
      <c r="R471" s="20">
        <v>0.0</v>
      </c>
      <c r="S471" s="20">
        <v>1.0</v>
      </c>
      <c r="T471" s="24">
        <v>47119.0</v>
      </c>
      <c r="U471" s="24">
        <v>47483.0</v>
      </c>
      <c r="V471" s="20">
        <v>0.0</v>
      </c>
      <c r="W471" s="20">
        <v>1.0</v>
      </c>
      <c r="X471" s="24">
        <v>47484.0</v>
      </c>
      <c r="Y471" s="24">
        <v>47848.0</v>
      </c>
      <c r="Z471" s="20">
        <v>0.0</v>
      </c>
      <c r="AA471" s="20">
        <v>1.0</v>
      </c>
      <c r="AC471" s="24"/>
      <c r="AD471" s="24"/>
      <c r="AH471" s="24"/>
      <c r="AI471" s="24"/>
    </row>
    <row r="472" ht="14.25" customHeight="1">
      <c r="A472" s="46" t="s">
        <v>6931</v>
      </c>
      <c r="B472" s="20" t="s">
        <v>6932</v>
      </c>
      <c r="C472" s="20" t="s">
        <v>7041</v>
      </c>
      <c r="D472" s="24">
        <v>45658.0</v>
      </c>
      <c r="E472" s="24">
        <v>46022.0</v>
      </c>
      <c r="F472" s="20">
        <v>0.0</v>
      </c>
      <c r="G472" s="20">
        <v>1.0</v>
      </c>
      <c r="H472" s="24">
        <v>46023.0</v>
      </c>
      <c r="I472" s="24">
        <v>46387.0</v>
      </c>
      <c r="J472" s="20">
        <v>0.0</v>
      </c>
      <c r="K472" s="20">
        <v>1.0</v>
      </c>
      <c r="L472" s="24">
        <v>46388.0</v>
      </c>
      <c r="M472" s="24">
        <v>46752.0</v>
      </c>
      <c r="N472" s="20">
        <v>0.0</v>
      </c>
      <c r="O472" s="20">
        <v>1.0</v>
      </c>
      <c r="P472" s="24">
        <v>46753.0</v>
      </c>
      <c r="Q472" s="24">
        <v>47118.0</v>
      </c>
      <c r="R472" s="20">
        <v>0.0</v>
      </c>
      <c r="S472" s="20">
        <v>1.0</v>
      </c>
      <c r="T472" s="24">
        <v>47119.0</v>
      </c>
      <c r="U472" s="24">
        <v>47483.0</v>
      </c>
      <c r="V472" s="20">
        <v>0.0</v>
      </c>
      <c r="W472" s="20">
        <v>1.0</v>
      </c>
      <c r="X472" s="24">
        <v>47484.0</v>
      </c>
      <c r="Y472" s="24">
        <v>47848.0</v>
      </c>
      <c r="Z472" s="20">
        <v>0.0</v>
      </c>
      <c r="AA472" s="20">
        <v>1.0</v>
      </c>
      <c r="AC472" s="24"/>
      <c r="AD472" s="24"/>
      <c r="AH472" s="24"/>
      <c r="AI472" s="24"/>
    </row>
    <row r="473" ht="14.25" customHeight="1">
      <c r="A473" s="46" t="s">
        <v>1735</v>
      </c>
      <c r="B473" s="20" t="s">
        <v>1736</v>
      </c>
      <c r="C473" s="20" t="s">
        <v>7041</v>
      </c>
      <c r="D473" s="24">
        <v>45658.0</v>
      </c>
      <c r="E473" s="24">
        <v>46022.0</v>
      </c>
      <c r="F473" s="20">
        <v>0.0</v>
      </c>
      <c r="G473" s="20">
        <v>1.0</v>
      </c>
      <c r="H473" s="24">
        <v>46023.0</v>
      </c>
      <c r="I473" s="24">
        <v>46387.0</v>
      </c>
      <c r="J473" s="20">
        <v>0.0</v>
      </c>
      <c r="K473" s="20">
        <v>1.0</v>
      </c>
      <c r="L473" s="24">
        <v>46388.0</v>
      </c>
      <c r="M473" s="24">
        <v>46752.0</v>
      </c>
      <c r="N473" s="20">
        <v>0.0</v>
      </c>
      <c r="O473" s="20">
        <v>1.0</v>
      </c>
      <c r="P473" s="24">
        <v>46753.0</v>
      </c>
      <c r="Q473" s="24">
        <v>47118.0</v>
      </c>
      <c r="R473" s="20">
        <v>0.0</v>
      </c>
      <c r="S473" s="20">
        <v>1.0</v>
      </c>
      <c r="T473" s="24">
        <v>47119.0</v>
      </c>
      <c r="U473" s="24">
        <v>47483.0</v>
      </c>
      <c r="V473" s="20">
        <v>0.0</v>
      </c>
      <c r="W473" s="20">
        <v>1.0</v>
      </c>
      <c r="X473" s="24">
        <v>47484.0</v>
      </c>
      <c r="Y473" s="24">
        <v>47848.0</v>
      </c>
      <c r="Z473" s="20">
        <v>0.0</v>
      </c>
      <c r="AA473" s="20">
        <v>1.0</v>
      </c>
      <c r="AC473" s="24"/>
      <c r="AD473" s="24"/>
      <c r="AH473" s="24"/>
      <c r="AI473" s="24"/>
    </row>
    <row r="474" ht="14.25" customHeight="1">
      <c r="A474" s="46" t="s">
        <v>4038</v>
      </c>
      <c r="B474" s="20" t="s">
        <v>4039</v>
      </c>
      <c r="C474" s="20" t="s">
        <v>7041</v>
      </c>
      <c r="D474" s="24">
        <v>45658.0</v>
      </c>
      <c r="E474" s="24">
        <v>46022.0</v>
      </c>
      <c r="F474" s="20">
        <v>0.0</v>
      </c>
      <c r="G474" s="20">
        <v>1.0</v>
      </c>
      <c r="H474" s="24">
        <v>46023.0</v>
      </c>
      <c r="I474" s="24">
        <v>46387.0</v>
      </c>
      <c r="J474" s="20">
        <v>0.0</v>
      </c>
      <c r="K474" s="20">
        <v>1.0</v>
      </c>
      <c r="L474" s="24">
        <v>46388.0</v>
      </c>
      <c r="M474" s="24">
        <v>46752.0</v>
      </c>
      <c r="N474" s="20">
        <v>0.0</v>
      </c>
      <c r="O474" s="20">
        <v>1.0</v>
      </c>
      <c r="P474" s="24">
        <v>46753.0</v>
      </c>
      <c r="Q474" s="24">
        <v>47118.0</v>
      </c>
      <c r="R474" s="20">
        <v>0.0</v>
      </c>
      <c r="S474" s="20">
        <v>1.0</v>
      </c>
      <c r="T474" s="24">
        <v>47119.0</v>
      </c>
      <c r="U474" s="24">
        <v>47483.0</v>
      </c>
      <c r="V474" s="20">
        <v>0.0</v>
      </c>
      <c r="W474" s="20">
        <v>1.0</v>
      </c>
      <c r="X474" s="24">
        <v>47484.0</v>
      </c>
      <c r="Y474" s="24">
        <v>47848.0</v>
      </c>
      <c r="Z474" s="20">
        <v>0.0</v>
      </c>
      <c r="AA474" s="20">
        <v>1.0</v>
      </c>
      <c r="AC474" s="24"/>
      <c r="AD474" s="24"/>
      <c r="AH474" s="24"/>
      <c r="AI474" s="24"/>
    </row>
    <row r="475" ht="14.25" customHeight="1">
      <c r="A475" s="46" t="s">
        <v>5049</v>
      </c>
      <c r="B475" s="20" t="s">
        <v>5050</v>
      </c>
      <c r="C475" s="20" t="s">
        <v>7041</v>
      </c>
      <c r="D475" s="24">
        <v>45658.0</v>
      </c>
      <c r="E475" s="24">
        <v>46022.0</v>
      </c>
      <c r="F475" s="20">
        <v>0.0</v>
      </c>
      <c r="G475" s="20">
        <v>1.0</v>
      </c>
      <c r="H475" s="24">
        <v>46023.0</v>
      </c>
      <c r="I475" s="24">
        <v>46387.0</v>
      </c>
      <c r="J475" s="20">
        <v>0.0</v>
      </c>
      <c r="K475" s="20">
        <v>1.0</v>
      </c>
      <c r="L475" s="24">
        <v>46388.0</v>
      </c>
      <c r="M475" s="24">
        <v>46752.0</v>
      </c>
      <c r="N475" s="20">
        <v>0.0</v>
      </c>
      <c r="O475" s="20">
        <v>1.0</v>
      </c>
      <c r="P475" s="24">
        <v>46753.0</v>
      </c>
      <c r="Q475" s="24">
        <v>47118.0</v>
      </c>
      <c r="R475" s="20">
        <v>0.0</v>
      </c>
      <c r="S475" s="20">
        <v>1.0</v>
      </c>
      <c r="T475" s="24">
        <v>47119.0</v>
      </c>
      <c r="U475" s="24">
        <v>47483.0</v>
      </c>
      <c r="V475" s="20">
        <v>0.0</v>
      </c>
      <c r="W475" s="20">
        <v>1.0</v>
      </c>
      <c r="X475" s="24">
        <v>47484.0</v>
      </c>
      <c r="Y475" s="24">
        <v>47848.0</v>
      </c>
      <c r="Z475" s="20">
        <v>0.0</v>
      </c>
      <c r="AA475" s="20">
        <v>1.0</v>
      </c>
      <c r="AC475" s="24"/>
      <c r="AD475" s="24"/>
      <c r="AH475" s="24"/>
      <c r="AI475" s="24"/>
    </row>
    <row r="476" ht="14.25" customHeight="1">
      <c r="A476" s="46" t="s">
        <v>6172</v>
      </c>
      <c r="B476" s="20" t="s">
        <v>6173</v>
      </c>
      <c r="C476" s="20" t="s">
        <v>7041</v>
      </c>
      <c r="D476" s="24">
        <v>45658.0</v>
      </c>
      <c r="E476" s="24">
        <v>46022.0</v>
      </c>
      <c r="F476" s="20">
        <v>0.0</v>
      </c>
      <c r="G476" s="20">
        <v>1.0</v>
      </c>
      <c r="H476" s="24">
        <v>46023.0</v>
      </c>
      <c r="I476" s="24">
        <v>46387.0</v>
      </c>
      <c r="J476" s="20">
        <v>0.0</v>
      </c>
      <c r="K476" s="20">
        <v>1.0</v>
      </c>
      <c r="L476" s="24">
        <v>46388.0</v>
      </c>
      <c r="M476" s="24">
        <v>46752.0</v>
      </c>
      <c r="N476" s="20">
        <v>0.0</v>
      </c>
      <c r="O476" s="20">
        <v>1.0</v>
      </c>
      <c r="P476" s="24">
        <v>46753.0</v>
      </c>
      <c r="Q476" s="24">
        <v>47118.0</v>
      </c>
      <c r="R476" s="20">
        <v>0.0</v>
      </c>
      <c r="S476" s="20">
        <v>1.0</v>
      </c>
      <c r="T476" s="24">
        <v>47119.0</v>
      </c>
      <c r="U476" s="24">
        <v>47483.0</v>
      </c>
      <c r="V476" s="20">
        <v>0.0</v>
      </c>
      <c r="W476" s="20">
        <v>1.0</v>
      </c>
      <c r="X476" s="24">
        <v>47484.0</v>
      </c>
      <c r="Y476" s="24">
        <v>47848.0</v>
      </c>
      <c r="Z476" s="20">
        <v>0.0</v>
      </c>
      <c r="AA476" s="20">
        <v>1.0</v>
      </c>
      <c r="AC476" s="24"/>
      <c r="AD476" s="24"/>
      <c r="AH476" s="24"/>
      <c r="AI476" s="24"/>
    </row>
    <row r="477" ht="14.25" customHeight="1">
      <c r="A477" s="46" t="s">
        <v>5947</v>
      </c>
      <c r="B477" s="20" t="s">
        <v>5948</v>
      </c>
      <c r="C477" s="20" t="s">
        <v>7041</v>
      </c>
      <c r="D477" s="24">
        <v>45658.0</v>
      </c>
      <c r="E477" s="24">
        <v>46022.0</v>
      </c>
      <c r="F477" s="20">
        <v>0.0</v>
      </c>
      <c r="G477" s="20">
        <v>1.0</v>
      </c>
      <c r="H477" s="24">
        <v>46023.0</v>
      </c>
      <c r="I477" s="24">
        <v>46387.0</v>
      </c>
      <c r="J477" s="20">
        <v>0.0</v>
      </c>
      <c r="K477" s="20">
        <v>1.0</v>
      </c>
      <c r="L477" s="24">
        <v>46388.0</v>
      </c>
      <c r="M477" s="24">
        <v>46752.0</v>
      </c>
      <c r="N477" s="20">
        <v>0.0</v>
      </c>
      <c r="O477" s="20">
        <v>1.0</v>
      </c>
      <c r="P477" s="24">
        <v>46753.0</v>
      </c>
      <c r="Q477" s="24">
        <v>47118.0</v>
      </c>
      <c r="R477" s="20">
        <v>0.0</v>
      </c>
      <c r="S477" s="20">
        <v>1.0</v>
      </c>
      <c r="T477" s="24">
        <v>47119.0</v>
      </c>
      <c r="U477" s="24">
        <v>47483.0</v>
      </c>
      <c r="V477" s="20">
        <v>0.0</v>
      </c>
      <c r="W477" s="20">
        <v>1.0</v>
      </c>
      <c r="X477" s="24">
        <v>47484.0</v>
      </c>
      <c r="Y477" s="24">
        <v>47848.0</v>
      </c>
      <c r="Z477" s="20">
        <v>0.0</v>
      </c>
      <c r="AA477" s="20">
        <v>1.0</v>
      </c>
      <c r="AC477" s="24"/>
      <c r="AD477" s="24"/>
      <c r="AH477" s="24"/>
      <c r="AI477" s="24"/>
    </row>
    <row r="478" ht="14.25" customHeight="1">
      <c r="A478" s="46" t="s">
        <v>2833</v>
      </c>
      <c r="B478" s="20" t="s">
        <v>2834</v>
      </c>
      <c r="C478" s="20" t="s">
        <v>7041</v>
      </c>
      <c r="D478" s="24">
        <v>45658.0</v>
      </c>
      <c r="E478" s="24">
        <v>46022.0</v>
      </c>
      <c r="F478" s="20">
        <v>0.0</v>
      </c>
      <c r="G478" s="20">
        <v>1.0</v>
      </c>
      <c r="H478" s="24">
        <v>46023.0</v>
      </c>
      <c r="I478" s="24">
        <v>46387.0</v>
      </c>
      <c r="J478" s="20">
        <v>0.0</v>
      </c>
      <c r="K478" s="20">
        <v>1.0</v>
      </c>
      <c r="L478" s="24">
        <v>46388.0</v>
      </c>
      <c r="M478" s="24">
        <v>46752.0</v>
      </c>
      <c r="N478" s="20">
        <v>0.0</v>
      </c>
      <c r="O478" s="20">
        <v>1.0</v>
      </c>
      <c r="P478" s="24">
        <v>46753.0</v>
      </c>
      <c r="Q478" s="24">
        <v>47118.0</v>
      </c>
      <c r="R478" s="20">
        <v>0.0</v>
      </c>
      <c r="S478" s="20">
        <v>1.0</v>
      </c>
      <c r="T478" s="24">
        <v>47119.0</v>
      </c>
      <c r="U478" s="24">
        <v>47483.0</v>
      </c>
      <c r="V478" s="20">
        <v>0.0</v>
      </c>
      <c r="W478" s="20">
        <v>1.0</v>
      </c>
      <c r="X478" s="24">
        <v>47484.0</v>
      </c>
      <c r="Y478" s="24">
        <v>47848.0</v>
      </c>
      <c r="Z478" s="20">
        <v>0.0</v>
      </c>
      <c r="AA478" s="20">
        <v>1.0</v>
      </c>
      <c r="AC478" s="24"/>
      <c r="AD478" s="24"/>
      <c r="AH478" s="24"/>
      <c r="AI478" s="24"/>
    </row>
    <row r="479" ht="14.25" customHeight="1">
      <c r="A479" s="46" t="s">
        <v>551</v>
      </c>
      <c r="B479" s="20" t="s">
        <v>552</v>
      </c>
      <c r="C479" s="20" t="s">
        <v>7041</v>
      </c>
      <c r="D479" s="24">
        <v>45658.0</v>
      </c>
      <c r="E479" s="24">
        <v>46022.0</v>
      </c>
      <c r="F479" s="20">
        <v>0.0</v>
      </c>
      <c r="G479" s="20">
        <v>1.0</v>
      </c>
      <c r="H479" s="24">
        <v>46023.0</v>
      </c>
      <c r="I479" s="24">
        <v>46387.0</v>
      </c>
      <c r="J479" s="20">
        <v>0.0</v>
      </c>
      <c r="K479" s="20">
        <v>1.0</v>
      </c>
      <c r="L479" s="24">
        <v>46388.0</v>
      </c>
      <c r="M479" s="24">
        <v>46752.0</v>
      </c>
      <c r="N479" s="20">
        <v>0.0</v>
      </c>
      <c r="O479" s="20">
        <v>1.0</v>
      </c>
      <c r="P479" s="24">
        <v>46753.0</v>
      </c>
      <c r="Q479" s="24">
        <v>47118.0</v>
      </c>
      <c r="R479" s="20">
        <v>0.0</v>
      </c>
      <c r="S479" s="20">
        <v>1.0</v>
      </c>
      <c r="T479" s="24">
        <v>47119.0</v>
      </c>
      <c r="U479" s="24">
        <v>47483.0</v>
      </c>
      <c r="V479" s="20">
        <v>0.0</v>
      </c>
      <c r="W479" s="20">
        <v>1.0</v>
      </c>
      <c r="X479" s="24">
        <v>47484.0</v>
      </c>
      <c r="Y479" s="24">
        <v>47848.0</v>
      </c>
      <c r="Z479" s="20">
        <v>0.0</v>
      </c>
      <c r="AA479" s="20">
        <v>1.0</v>
      </c>
      <c r="AC479" s="24"/>
      <c r="AD479" s="24"/>
      <c r="AH479" s="24"/>
      <c r="AI479" s="24"/>
    </row>
    <row r="480" ht="14.25" customHeight="1">
      <c r="A480" s="46" t="s">
        <v>132</v>
      </c>
      <c r="B480" s="20" t="s">
        <v>133</v>
      </c>
      <c r="C480" s="20" t="s">
        <v>7041</v>
      </c>
      <c r="D480" s="24">
        <v>45658.0</v>
      </c>
      <c r="E480" s="24">
        <v>46022.0</v>
      </c>
      <c r="F480" s="20">
        <v>0.0</v>
      </c>
      <c r="G480" s="20">
        <v>1.0</v>
      </c>
      <c r="H480" s="24">
        <v>46023.0</v>
      </c>
      <c r="I480" s="24">
        <v>46387.0</v>
      </c>
      <c r="J480" s="20">
        <v>0.0</v>
      </c>
      <c r="K480" s="20">
        <v>1.0</v>
      </c>
      <c r="L480" s="24">
        <v>46388.0</v>
      </c>
      <c r="M480" s="24">
        <v>46752.0</v>
      </c>
      <c r="N480" s="20">
        <v>0.0</v>
      </c>
      <c r="O480" s="20">
        <v>1.0</v>
      </c>
      <c r="P480" s="24">
        <v>46753.0</v>
      </c>
      <c r="Q480" s="24">
        <v>47118.0</v>
      </c>
      <c r="R480" s="20">
        <v>0.0</v>
      </c>
      <c r="S480" s="20">
        <v>1.0</v>
      </c>
      <c r="T480" s="24">
        <v>47119.0</v>
      </c>
      <c r="U480" s="24">
        <v>47483.0</v>
      </c>
      <c r="V480" s="20">
        <v>0.0</v>
      </c>
      <c r="W480" s="20">
        <v>1.0</v>
      </c>
      <c r="X480" s="24">
        <v>47484.0</v>
      </c>
      <c r="Y480" s="24">
        <v>47848.0</v>
      </c>
      <c r="Z480" s="20">
        <v>0.0</v>
      </c>
      <c r="AA480" s="20">
        <v>1.0</v>
      </c>
      <c r="AC480" s="24"/>
      <c r="AD480" s="24"/>
      <c r="AH480" s="24"/>
      <c r="AI480" s="24"/>
    </row>
    <row r="481" ht="14.25" customHeight="1">
      <c r="A481" s="46" t="s">
        <v>5124</v>
      </c>
      <c r="B481" s="20" t="s">
        <v>5125</v>
      </c>
      <c r="C481" s="20" t="s">
        <v>7041</v>
      </c>
      <c r="D481" s="24">
        <v>45658.0</v>
      </c>
      <c r="E481" s="24">
        <v>46022.0</v>
      </c>
      <c r="F481" s="20">
        <v>0.0</v>
      </c>
      <c r="G481" s="20">
        <v>1.0</v>
      </c>
      <c r="H481" s="24">
        <v>46023.0</v>
      </c>
      <c r="I481" s="24">
        <v>46387.0</v>
      </c>
      <c r="J481" s="20">
        <v>0.0</v>
      </c>
      <c r="K481" s="20">
        <v>1.0</v>
      </c>
      <c r="L481" s="24">
        <v>46388.0</v>
      </c>
      <c r="M481" s="24">
        <v>46752.0</v>
      </c>
      <c r="N481" s="20">
        <v>0.0</v>
      </c>
      <c r="O481" s="20">
        <v>1.0</v>
      </c>
      <c r="P481" s="24">
        <v>46753.0</v>
      </c>
      <c r="Q481" s="24">
        <v>47118.0</v>
      </c>
      <c r="R481" s="20">
        <v>0.0</v>
      </c>
      <c r="S481" s="20">
        <v>1.0</v>
      </c>
      <c r="T481" s="24">
        <v>47119.0</v>
      </c>
      <c r="U481" s="24">
        <v>47483.0</v>
      </c>
      <c r="V481" s="20">
        <v>0.0</v>
      </c>
      <c r="W481" s="20">
        <v>1.0</v>
      </c>
      <c r="X481" s="24">
        <v>47484.0</v>
      </c>
      <c r="Y481" s="24">
        <v>47848.0</v>
      </c>
      <c r="Z481" s="20">
        <v>0.0</v>
      </c>
      <c r="AA481" s="20">
        <v>1.0</v>
      </c>
      <c r="AC481" s="24"/>
      <c r="AD481" s="24"/>
      <c r="AH481" s="24"/>
      <c r="AI481" s="24"/>
    </row>
    <row r="482" ht="14.25" customHeight="1">
      <c r="A482" s="46" t="s">
        <v>4988</v>
      </c>
      <c r="B482" s="20" t="s">
        <v>4989</v>
      </c>
      <c r="C482" s="20" t="s">
        <v>7041</v>
      </c>
      <c r="D482" s="24">
        <v>45658.0</v>
      </c>
      <c r="E482" s="24">
        <v>46022.0</v>
      </c>
      <c r="F482" s="20">
        <v>0.0</v>
      </c>
      <c r="G482" s="20">
        <v>1.0</v>
      </c>
      <c r="H482" s="24">
        <v>46023.0</v>
      </c>
      <c r="I482" s="24">
        <v>46387.0</v>
      </c>
      <c r="J482" s="20">
        <v>0.0</v>
      </c>
      <c r="K482" s="20">
        <v>1.0</v>
      </c>
      <c r="L482" s="24">
        <v>46388.0</v>
      </c>
      <c r="M482" s="24">
        <v>46752.0</v>
      </c>
      <c r="N482" s="20">
        <v>0.0</v>
      </c>
      <c r="O482" s="20">
        <v>1.0</v>
      </c>
      <c r="P482" s="24">
        <v>46753.0</v>
      </c>
      <c r="Q482" s="24">
        <v>47118.0</v>
      </c>
      <c r="R482" s="20">
        <v>0.0</v>
      </c>
      <c r="S482" s="20">
        <v>1.0</v>
      </c>
      <c r="T482" s="24">
        <v>47119.0</v>
      </c>
      <c r="U482" s="24">
        <v>47483.0</v>
      </c>
      <c r="V482" s="20">
        <v>0.0</v>
      </c>
      <c r="W482" s="20">
        <v>1.0</v>
      </c>
      <c r="X482" s="24">
        <v>47484.0</v>
      </c>
      <c r="Y482" s="24">
        <v>47848.0</v>
      </c>
      <c r="Z482" s="20">
        <v>0.0</v>
      </c>
      <c r="AA482" s="20">
        <v>1.0</v>
      </c>
      <c r="AC482" s="24"/>
      <c r="AD482" s="24"/>
      <c r="AH482" s="24"/>
      <c r="AI482" s="24"/>
    </row>
    <row r="483" ht="14.25" customHeight="1">
      <c r="A483" s="46" t="s">
        <v>867</v>
      </c>
      <c r="B483" s="20" t="s">
        <v>868</v>
      </c>
      <c r="C483" s="20" t="s">
        <v>7041</v>
      </c>
      <c r="D483" s="24">
        <v>45658.0</v>
      </c>
      <c r="E483" s="24">
        <v>46022.0</v>
      </c>
      <c r="F483" s="20">
        <v>0.0</v>
      </c>
      <c r="G483" s="20">
        <v>1.0</v>
      </c>
      <c r="H483" s="24">
        <v>46023.0</v>
      </c>
      <c r="I483" s="24">
        <v>46387.0</v>
      </c>
      <c r="J483" s="20">
        <v>0.0</v>
      </c>
      <c r="K483" s="20">
        <v>1.0</v>
      </c>
      <c r="L483" s="24">
        <v>46388.0</v>
      </c>
      <c r="M483" s="24">
        <v>46752.0</v>
      </c>
      <c r="N483" s="20">
        <v>0.0</v>
      </c>
      <c r="O483" s="20">
        <v>1.0</v>
      </c>
      <c r="P483" s="24">
        <v>46753.0</v>
      </c>
      <c r="Q483" s="24">
        <v>47118.0</v>
      </c>
      <c r="R483" s="20">
        <v>0.0</v>
      </c>
      <c r="S483" s="20">
        <v>1.0</v>
      </c>
      <c r="T483" s="24">
        <v>47119.0</v>
      </c>
      <c r="U483" s="24">
        <v>47483.0</v>
      </c>
      <c r="V483" s="20">
        <v>0.0</v>
      </c>
      <c r="W483" s="20">
        <v>1.0</v>
      </c>
      <c r="X483" s="24">
        <v>47484.0</v>
      </c>
      <c r="Y483" s="24">
        <v>47848.0</v>
      </c>
      <c r="Z483" s="20">
        <v>0.0</v>
      </c>
      <c r="AA483" s="20">
        <v>1.0</v>
      </c>
      <c r="AC483" s="24"/>
      <c r="AD483" s="24"/>
      <c r="AH483" s="24"/>
      <c r="AI483" s="24"/>
    </row>
    <row r="484" ht="14.25" customHeight="1">
      <c r="A484" s="46" t="s">
        <v>6912</v>
      </c>
      <c r="B484" s="20" t="s">
        <v>6913</v>
      </c>
      <c r="C484" s="20" t="s">
        <v>7041</v>
      </c>
      <c r="D484" s="24">
        <v>45658.0</v>
      </c>
      <c r="E484" s="24">
        <v>46022.0</v>
      </c>
      <c r="F484" s="20">
        <v>0.0</v>
      </c>
      <c r="G484" s="20">
        <v>1.0</v>
      </c>
      <c r="H484" s="24">
        <v>46023.0</v>
      </c>
      <c r="I484" s="24">
        <v>46387.0</v>
      </c>
      <c r="J484" s="20">
        <v>0.0</v>
      </c>
      <c r="K484" s="20">
        <v>1.0</v>
      </c>
      <c r="L484" s="24">
        <v>46388.0</v>
      </c>
      <c r="M484" s="24">
        <v>46752.0</v>
      </c>
      <c r="N484" s="20">
        <v>0.0</v>
      </c>
      <c r="O484" s="20">
        <v>1.0</v>
      </c>
      <c r="P484" s="24">
        <v>46753.0</v>
      </c>
      <c r="Q484" s="24">
        <v>47118.0</v>
      </c>
      <c r="R484" s="20">
        <v>0.0</v>
      </c>
      <c r="S484" s="20">
        <v>1.0</v>
      </c>
      <c r="T484" s="24">
        <v>47119.0</v>
      </c>
      <c r="U484" s="24">
        <v>47483.0</v>
      </c>
      <c r="V484" s="20">
        <v>0.0</v>
      </c>
      <c r="W484" s="20">
        <v>1.0</v>
      </c>
      <c r="X484" s="24">
        <v>47484.0</v>
      </c>
      <c r="Y484" s="24">
        <v>47848.0</v>
      </c>
      <c r="Z484" s="20">
        <v>0.0</v>
      </c>
      <c r="AA484" s="20">
        <v>1.0</v>
      </c>
      <c r="AC484" s="24"/>
      <c r="AD484" s="24"/>
      <c r="AH484" s="24"/>
      <c r="AI484" s="24"/>
    </row>
    <row r="485" ht="14.25" customHeight="1">
      <c r="A485" s="46" t="s">
        <v>1938</v>
      </c>
      <c r="B485" s="20" t="s">
        <v>1939</v>
      </c>
      <c r="C485" s="20" t="s">
        <v>7041</v>
      </c>
      <c r="D485" s="24">
        <v>45658.0</v>
      </c>
      <c r="E485" s="24">
        <v>46022.0</v>
      </c>
      <c r="F485" s="20">
        <v>0.0</v>
      </c>
      <c r="G485" s="20">
        <v>1.0</v>
      </c>
      <c r="H485" s="24">
        <v>46023.0</v>
      </c>
      <c r="I485" s="24">
        <v>46387.0</v>
      </c>
      <c r="J485" s="20">
        <v>0.0</v>
      </c>
      <c r="K485" s="20">
        <v>1.0</v>
      </c>
      <c r="L485" s="24">
        <v>46388.0</v>
      </c>
      <c r="M485" s="24">
        <v>46752.0</v>
      </c>
      <c r="N485" s="20">
        <v>0.0</v>
      </c>
      <c r="O485" s="20">
        <v>1.0</v>
      </c>
      <c r="P485" s="24">
        <v>46753.0</v>
      </c>
      <c r="Q485" s="24">
        <v>47118.0</v>
      </c>
      <c r="R485" s="20">
        <v>0.0</v>
      </c>
      <c r="S485" s="20">
        <v>1.0</v>
      </c>
      <c r="T485" s="24">
        <v>47119.0</v>
      </c>
      <c r="U485" s="24">
        <v>47483.0</v>
      </c>
      <c r="V485" s="20">
        <v>0.0</v>
      </c>
      <c r="W485" s="20">
        <v>1.0</v>
      </c>
      <c r="X485" s="24">
        <v>47484.0</v>
      </c>
      <c r="Y485" s="24">
        <v>47848.0</v>
      </c>
      <c r="Z485" s="20">
        <v>0.0</v>
      </c>
      <c r="AA485" s="20">
        <v>1.0</v>
      </c>
      <c r="AC485" s="24"/>
      <c r="AD485" s="24"/>
      <c r="AH485" s="24"/>
      <c r="AI485" s="24"/>
    </row>
    <row r="486" ht="14.25" customHeight="1">
      <c r="A486" s="46" t="s">
        <v>1218</v>
      </c>
      <c r="B486" s="20" t="s">
        <v>1219</v>
      </c>
      <c r="C486" s="20" t="s">
        <v>7041</v>
      </c>
      <c r="D486" s="24">
        <v>45658.0</v>
      </c>
      <c r="E486" s="24">
        <v>46022.0</v>
      </c>
      <c r="F486" s="20">
        <v>0.0</v>
      </c>
      <c r="G486" s="20">
        <v>1.0</v>
      </c>
      <c r="H486" s="24">
        <v>46023.0</v>
      </c>
      <c r="I486" s="24">
        <v>46387.0</v>
      </c>
      <c r="J486" s="20">
        <v>0.0</v>
      </c>
      <c r="K486" s="20">
        <v>1.0</v>
      </c>
      <c r="L486" s="24">
        <v>46388.0</v>
      </c>
      <c r="M486" s="24">
        <v>46752.0</v>
      </c>
      <c r="N486" s="20">
        <v>0.0</v>
      </c>
      <c r="O486" s="20">
        <v>1.0</v>
      </c>
      <c r="P486" s="24">
        <v>46753.0</v>
      </c>
      <c r="Q486" s="24">
        <v>47118.0</v>
      </c>
      <c r="R486" s="20">
        <v>0.0</v>
      </c>
      <c r="S486" s="20">
        <v>1.0</v>
      </c>
      <c r="T486" s="24">
        <v>47119.0</v>
      </c>
      <c r="U486" s="24">
        <v>47483.0</v>
      </c>
      <c r="V486" s="20">
        <v>0.0</v>
      </c>
      <c r="W486" s="20">
        <v>1.0</v>
      </c>
      <c r="X486" s="24">
        <v>47484.0</v>
      </c>
      <c r="Y486" s="24">
        <v>47848.0</v>
      </c>
      <c r="Z486" s="20">
        <v>0.0</v>
      </c>
      <c r="AA486" s="20">
        <v>1.0</v>
      </c>
      <c r="AC486" s="24"/>
      <c r="AD486" s="24"/>
      <c r="AH486" s="24"/>
      <c r="AI486" s="24"/>
    </row>
    <row r="487" ht="14.25" customHeight="1">
      <c r="A487" s="46" t="s">
        <v>2259</v>
      </c>
      <c r="B487" s="20" t="s">
        <v>2260</v>
      </c>
      <c r="C487" s="20" t="s">
        <v>7041</v>
      </c>
      <c r="D487" s="24">
        <v>45658.0</v>
      </c>
      <c r="E487" s="24">
        <v>46022.0</v>
      </c>
      <c r="F487" s="20">
        <v>0.0</v>
      </c>
      <c r="G487" s="20">
        <v>1.0</v>
      </c>
      <c r="H487" s="24">
        <v>46023.0</v>
      </c>
      <c r="I487" s="24">
        <v>46387.0</v>
      </c>
      <c r="J487" s="20">
        <v>0.0</v>
      </c>
      <c r="K487" s="20">
        <v>1.0</v>
      </c>
      <c r="L487" s="24">
        <v>46388.0</v>
      </c>
      <c r="M487" s="24">
        <v>46752.0</v>
      </c>
      <c r="N487" s="20">
        <v>0.0</v>
      </c>
      <c r="O487" s="20">
        <v>1.0</v>
      </c>
      <c r="P487" s="24">
        <v>46753.0</v>
      </c>
      <c r="Q487" s="24">
        <v>47118.0</v>
      </c>
      <c r="R487" s="20">
        <v>0.0</v>
      </c>
      <c r="S487" s="20">
        <v>1.0</v>
      </c>
      <c r="T487" s="24">
        <v>47119.0</v>
      </c>
      <c r="U487" s="24">
        <v>47483.0</v>
      </c>
      <c r="V487" s="20">
        <v>0.0</v>
      </c>
      <c r="W487" s="20">
        <v>1.0</v>
      </c>
      <c r="X487" s="24">
        <v>47484.0</v>
      </c>
      <c r="Y487" s="24">
        <v>47848.0</v>
      </c>
      <c r="Z487" s="20">
        <v>0.0</v>
      </c>
      <c r="AA487" s="20">
        <v>1.0</v>
      </c>
      <c r="AC487" s="24"/>
      <c r="AD487" s="24"/>
      <c r="AH487" s="24"/>
      <c r="AI487" s="24"/>
    </row>
    <row r="488" ht="14.25" customHeight="1">
      <c r="A488" s="46" t="s">
        <v>3246</v>
      </c>
      <c r="B488" s="20" t="s">
        <v>3247</v>
      </c>
      <c r="C488" s="20" t="s">
        <v>7041</v>
      </c>
      <c r="D488" s="24">
        <v>45658.0</v>
      </c>
      <c r="E488" s="24">
        <v>46022.0</v>
      </c>
      <c r="F488" s="20">
        <v>0.0</v>
      </c>
      <c r="G488" s="20">
        <v>1.0</v>
      </c>
      <c r="H488" s="24">
        <v>46023.0</v>
      </c>
      <c r="I488" s="24">
        <v>46387.0</v>
      </c>
      <c r="J488" s="20">
        <v>0.0</v>
      </c>
      <c r="K488" s="20">
        <v>1.0</v>
      </c>
      <c r="L488" s="24">
        <v>46388.0</v>
      </c>
      <c r="M488" s="24">
        <v>46752.0</v>
      </c>
      <c r="N488" s="20">
        <v>0.0</v>
      </c>
      <c r="O488" s="20">
        <v>1.0</v>
      </c>
      <c r="P488" s="24">
        <v>46753.0</v>
      </c>
      <c r="Q488" s="24">
        <v>47118.0</v>
      </c>
      <c r="R488" s="20">
        <v>0.0</v>
      </c>
      <c r="S488" s="20">
        <v>1.0</v>
      </c>
      <c r="T488" s="24">
        <v>47119.0</v>
      </c>
      <c r="U488" s="24">
        <v>47483.0</v>
      </c>
      <c r="V488" s="20">
        <v>0.0</v>
      </c>
      <c r="W488" s="20">
        <v>1.0</v>
      </c>
      <c r="X488" s="24">
        <v>47484.0</v>
      </c>
      <c r="Y488" s="24">
        <v>47848.0</v>
      </c>
      <c r="Z488" s="20">
        <v>0.0</v>
      </c>
      <c r="AA488" s="20">
        <v>1.0</v>
      </c>
      <c r="AC488" s="24"/>
      <c r="AD488" s="24"/>
      <c r="AH488" s="24"/>
      <c r="AI488" s="24"/>
    </row>
    <row r="489" ht="14.25" customHeight="1">
      <c r="A489" s="46" t="s">
        <v>321</v>
      </c>
      <c r="B489" s="20" t="s">
        <v>322</v>
      </c>
      <c r="C489" s="20" t="s">
        <v>7041</v>
      </c>
      <c r="D489" s="24">
        <v>45658.0</v>
      </c>
      <c r="E489" s="24">
        <v>46022.0</v>
      </c>
      <c r="F489" s="20">
        <v>0.0</v>
      </c>
      <c r="G489" s="20">
        <v>1.0</v>
      </c>
      <c r="H489" s="24">
        <v>46023.0</v>
      </c>
      <c r="I489" s="24">
        <v>46387.0</v>
      </c>
      <c r="J489" s="20">
        <v>0.0</v>
      </c>
      <c r="K489" s="20">
        <v>1.0</v>
      </c>
      <c r="L489" s="24">
        <v>46388.0</v>
      </c>
      <c r="M489" s="24">
        <v>46752.0</v>
      </c>
      <c r="N489" s="20">
        <v>0.0</v>
      </c>
      <c r="O489" s="20">
        <v>1.0</v>
      </c>
      <c r="P489" s="24">
        <v>46753.0</v>
      </c>
      <c r="Q489" s="24">
        <v>47118.0</v>
      </c>
      <c r="R489" s="20">
        <v>0.0</v>
      </c>
      <c r="S489" s="20">
        <v>1.0</v>
      </c>
      <c r="T489" s="24">
        <v>47119.0</v>
      </c>
      <c r="U489" s="24">
        <v>47483.0</v>
      </c>
      <c r="V489" s="20">
        <v>0.0</v>
      </c>
      <c r="W489" s="20">
        <v>1.0</v>
      </c>
      <c r="X489" s="24">
        <v>47484.0</v>
      </c>
      <c r="Y489" s="24">
        <v>47848.0</v>
      </c>
      <c r="Z489" s="20">
        <v>0.0</v>
      </c>
      <c r="AA489" s="20">
        <v>1.0</v>
      </c>
      <c r="AC489" s="24"/>
      <c r="AD489" s="24"/>
      <c r="AH489" s="24"/>
      <c r="AI489" s="24"/>
    </row>
    <row r="490" ht="14.25" customHeight="1">
      <c r="A490" s="46" t="s">
        <v>494</v>
      </c>
      <c r="B490" s="20" t="s">
        <v>495</v>
      </c>
      <c r="C490" s="20" t="s">
        <v>7041</v>
      </c>
      <c r="D490" s="24">
        <v>45658.0</v>
      </c>
      <c r="E490" s="24">
        <v>46022.0</v>
      </c>
      <c r="F490" s="20">
        <v>0.0</v>
      </c>
      <c r="G490" s="20">
        <v>1.0</v>
      </c>
      <c r="H490" s="24">
        <v>46023.0</v>
      </c>
      <c r="I490" s="24">
        <v>46387.0</v>
      </c>
      <c r="J490" s="20">
        <v>0.0</v>
      </c>
      <c r="K490" s="20">
        <v>1.0</v>
      </c>
      <c r="L490" s="24">
        <v>46388.0</v>
      </c>
      <c r="M490" s="24">
        <v>46752.0</v>
      </c>
      <c r="N490" s="20">
        <v>0.0</v>
      </c>
      <c r="O490" s="20">
        <v>1.0</v>
      </c>
      <c r="P490" s="24">
        <v>46753.0</v>
      </c>
      <c r="Q490" s="24">
        <v>47118.0</v>
      </c>
      <c r="R490" s="20">
        <v>0.0</v>
      </c>
      <c r="S490" s="20">
        <v>1.0</v>
      </c>
      <c r="T490" s="24">
        <v>47119.0</v>
      </c>
      <c r="U490" s="24">
        <v>47483.0</v>
      </c>
      <c r="V490" s="20">
        <v>0.0</v>
      </c>
      <c r="W490" s="20">
        <v>1.0</v>
      </c>
      <c r="X490" s="24">
        <v>47484.0</v>
      </c>
      <c r="Y490" s="24">
        <v>47848.0</v>
      </c>
      <c r="Z490" s="20">
        <v>0.0</v>
      </c>
      <c r="AA490" s="20">
        <v>1.0</v>
      </c>
      <c r="AC490" s="24"/>
      <c r="AD490" s="24"/>
      <c r="AH490" s="24"/>
      <c r="AI490" s="24"/>
    </row>
    <row r="491" ht="14.25" customHeight="1">
      <c r="A491" s="46" t="s">
        <v>1240</v>
      </c>
      <c r="B491" s="20" t="s">
        <v>1241</v>
      </c>
      <c r="C491" s="20" t="s">
        <v>7041</v>
      </c>
      <c r="D491" s="24">
        <v>45658.0</v>
      </c>
      <c r="E491" s="24">
        <v>46022.0</v>
      </c>
      <c r="F491" s="20">
        <v>0.0</v>
      </c>
      <c r="G491" s="20">
        <v>1.0</v>
      </c>
      <c r="H491" s="24">
        <v>46023.0</v>
      </c>
      <c r="I491" s="24">
        <v>46387.0</v>
      </c>
      <c r="J491" s="20">
        <v>0.0</v>
      </c>
      <c r="K491" s="20">
        <v>1.0</v>
      </c>
      <c r="L491" s="24">
        <v>46388.0</v>
      </c>
      <c r="M491" s="24">
        <v>46752.0</v>
      </c>
      <c r="N491" s="20">
        <v>0.0</v>
      </c>
      <c r="O491" s="20">
        <v>1.0</v>
      </c>
      <c r="P491" s="24">
        <v>46753.0</v>
      </c>
      <c r="Q491" s="24">
        <v>47118.0</v>
      </c>
      <c r="R491" s="20">
        <v>0.0</v>
      </c>
      <c r="S491" s="20">
        <v>1.0</v>
      </c>
      <c r="T491" s="24">
        <v>47119.0</v>
      </c>
      <c r="U491" s="24">
        <v>47483.0</v>
      </c>
      <c r="V491" s="20">
        <v>0.0</v>
      </c>
      <c r="W491" s="20">
        <v>1.0</v>
      </c>
      <c r="X491" s="24">
        <v>47484.0</v>
      </c>
      <c r="Y491" s="24">
        <v>47848.0</v>
      </c>
      <c r="Z491" s="20">
        <v>0.0</v>
      </c>
      <c r="AA491" s="20">
        <v>1.0</v>
      </c>
      <c r="AC491" s="24"/>
      <c r="AD491" s="24"/>
      <c r="AH491" s="24"/>
      <c r="AI491" s="24"/>
    </row>
    <row r="492" ht="14.25" customHeight="1">
      <c r="A492" s="46" t="s">
        <v>6864</v>
      </c>
      <c r="B492" s="20" t="s">
        <v>6865</v>
      </c>
      <c r="C492" s="20" t="s">
        <v>7041</v>
      </c>
      <c r="D492" s="24">
        <v>45658.0</v>
      </c>
      <c r="E492" s="24">
        <v>46022.0</v>
      </c>
      <c r="F492" s="20">
        <v>0.0</v>
      </c>
      <c r="G492" s="20">
        <v>1.0</v>
      </c>
      <c r="H492" s="24">
        <v>46023.0</v>
      </c>
      <c r="I492" s="24">
        <v>46387.0</v>
      </c>
      <c r="J492" s="20">
        <v>0.0</v>
      </c>
      <c r="K492" s="20">
        <v>1.0</v>
      </c>
      <c r="L492" s="24">
        <v>46388.0</v>
      </c>
      <c r="M492" s="24">
        <v>46752.0</v>
      </c>
      <c r="N492" s="20">
        <v>0.0</v>
      </c>
      <c r="O492" s="20">
        <v>1.0</v>
      </c>
      <c r="P492" s="24">
        <v>46753.0</v>
      </c>
      <c r="Q492" s="24">
        <v>47118.0</v>
      </c>
      <c r="R492" s="20">
        <v>0.0</v>
      </c>
      <c r="S492" s="20">
        <v>1.0</v>
      </c>
      <c r="T492" s="24">
        <v>47119.0</v>
      </c>
      <c r="U492" s="24">
        <v>47483.0</v>
      </c>
      <c r="V492" s="20">
        <v>0.0</v>
      </c>
      <c r="W492" s="20">
        <v>1.0</v>
      </c>
      <c r="X492" s="24">
        <v>47484.0</v>
      </c>
      <c r="Y492" s="24">
        <v>47848.0</v>
      </c>
      <c r="Z492" s="20">
        <v>0.0</v>
      </c>
      <c r="AA492" s="20">
        <v>1.0</v>
      </c>
      <c r="AC492" s="24"/>
      <c r="AD492" s="24"/>
      <c r="AH492" s="24"/>
      <c r="AI492" s="24"/>
    </row>
    <row r="493" ht="14.25" customHeight="1">
      <c r="A493" s="46" t="s">
        <v>6402</v>
      </c>
      <c r="B493" s="20" t="s">
        <v>6403</v>
      </c>
      <c r="C493" s="20" t="s">
        <v>7041</v>
      </c>
      <c r="D493" s="24">
        <v>45658.0</v>
      </c>
      <c r="E493" s="24">
        <v>46022.0</v>
      </c>
      <c r="F493" s="20">
        <v>0.0</v>
      </c>
      <c r="G493" s="20">
        <v>1.0</v>
      </c>
      <c r="H493" s="24">
        <v>46023.0</v>
      </c>
      <c r="I493" s="24">
        <v>46387.0</v>
      </c>
      <c r="J493" s="20">
        <v>0.0</v>
      </c>
      <c r="K493" s="20">
        <v>1.0</v>
      </c>
      <c r="L493" s="24">
        <v>46388.0</v>
      </c>
      <c r="M493" s="24">
        <v>46752.0</v>
      </c>
      <c r="N493" s="20">
        <v>0.0</v>
      </c>
      <c r="O493" s="20">
        <v>1.0</v>
      </c>
      <c r="P493" s="24">
        <v>46753.0</v>
      </c>
      <c r="Q493" s="24">
        <v>47118.0</v>
      </c>
      <c r="R493" s="20">
        <v>0.0</v>
      </c>
      <c r="S493" s="20">
        <v>1.0</v>
      </c>
      <c r="T493" s="24">
        <v>47119.0</v>
      </c>
      <c r="U493" s="24">
        <v>47483.0</v>
      </c>
      <c r="V493" s="20">
        <v>0.0</v>
      </c>
      <c r="W493" s="20">
        <v>1.0</v>
      </c>
      <c r="X493" s="24">
        <v>47484.0</v>
      </c>
      <c r="Y493" s="24">
        <v>47848.0</v>
      </c>
      <c r="Z493" s="20">
        <v>0.0</v>
      </c>
      <c r="AA493" s="20">
        <v>1.0</v>
      </c>
      <c r="AC493" s="24"/>
      <c r="AD493" s="24"/>
      <c r="AH493" s="24"/>
      <c r="AI493" s="24"/>
    </row>
    <row r="494" ht="14.25" customHeight="1">
      <c r="A494" s="46" t="s">
        <v>2719</v>
      </c>
      <c r="B494" s="20" t="s">
        <v>2720</v>
      </c>
      <c r="C494" s="20" t="s">
        <v>7041</v>
      </c>
      <c r="D494" s="24">
        <v>45658.0</v>
      </c>
      <c r="E494" s="24">
        <v>46022.0</v>
      </c>
      <c r="F494" s="20">
        <v>0.0</v>
      </c>
      <c r="G494" s="20">
        <v>1.0</v>
      </c>
      <c r="H494" s="24">
        <v>46023.0</v>
      </c>
      <c r="I494" s="24">
        <v>46387.0</v>
      </c>
      <c r="J494" s="20">
        <v>0.0</v>
      </c>
      <c r="K494" s="20">
        <v>1.0</v>
      </c>
      <c r="L494" s="24">
        <v>46388.0</v>
      </c>
      <c r="M494" s="24">
        <v>46752.0</v>
      </c>
      <c r="N494" s="20">
        <v>0.0</v>
      </c>
      <c r="O494" s="20">
        <v>1.0</v>
      </c>
      <c r="P494" s="24">
        <v>46753.0</v>
      </c>
      <c r="Q494" s="24">
        <v>47118.0</v>
      </c>
      <c r="R494" s="20">
        <v>0.0</v>
      </c>
      <c r="S494" s="20">
        <v>1.0</v>
      </c>
      <c r="T494" s="24">
        <v>47119.0</v>
      </c>
      <c r="U494" s="24">
        <v>47483.0</v>
      </c>
      <c r="V494" s="20">
        <v>0.0</v>
      </c>
      <c r="W494" s="20">
        <v>1.0</v>
      </c>
      <c r="X494" s="24">
        <v>47484.0</v>
      </c>
      <c r="Y494" s="24">
        <v>47848.0</v>
      </c>
      <c r="Z494" s="20">
        <v>0.0</v>
      </c>
      <c r="AA494" s="20">
        <v>1.0</v>
      </c>
      <c r="AC494" s="24"/>
      <c r="AD494" s="24"/>
      <c r="AH494" s="24"/>
      <c r="AI494" s="24"/>
    </row>
    <row r="495" ht="14.25" customHeight="1">
      <c r="A495" s="46" t="s">
        <v>2301</v>
      </c>
      <c r="B495" s="20" t="s">
        <v>2302</v>
      </c>
      <c r="C495" s="20" t="s">
        <v>7041</v>
      </c>
      <c r="D495" s="24">
        <v>45658.0</v>
      </c>
      <c r="E495" s="24">
        <v>46022.0</v>
      </c>
      <c r="F495" s="20">
        <v>0.0</v>
      </c>
      <c r="G495" s="20">
        <v>1.0</v>
      </c>
      <c r="H495" s="24">
        <v>46023.0</v>
      </c>
      <c r="I495" s="24">
        <v>46387.0</v>
      </c>
      <c r="J495" s="20">
        <v>0.0</v>
      </c>
      <c r="K495" s="20">
        <v>1.0</v>
      </c>
      <c r="L495" s="24">
        <v>46388.0</v>
      </c>
      <c r="M495" s="24">
        <v>46752.0</v>
      </c>
      <c r="N495" s="20">
        <v>0.0</v>
      </c>
      <c r="O495" s="20">
        <v>1.0</v>
      </c>
      <c r="P495" s="24">
        <v>46753.0</v>
      </c>
      <c r="Q495" s="24">
        <v>47118.0</v>
      </c>
      <c r="R495" s="20">
        <v>0.0</v>
      </c>
      <c r="S495" s="20">
        <v>1.0</v>
      </c>
      <c r="T495" s="24">
        <v>47119.0</v>
      </c>
      <c r="U495" s="24">
        <v>47483.0</v>
      </c>
      <c r="V495" s="20">
        <v>0.0</v>
      </c>
      <c r="W495" s="20">
        <v>1.0</v>
      </c>
      <c r="X495" s="24">
        <v>47484.0</v>
      </c>
      <c r="Y495" s="24">
        <v>47848.0</v>
      </c>
      <c r="Z495" s="20">
        <v>0.0</v>
      </c>
      <c r="AA495" s="20">
        <v>1.0</v>
      </c>
      <c r="AC495" s="24"/>
      <c r="AD495" s="24"/>
      <c r="AH495" s="24"/>
      <c r="AI495" s="24"/>
    </row>
    <row r="496" ht="14.25" customHeight="1">
      <c r="A496" s="46" t="s">
        <v>3120</v>
      </c>
      <c r="B496" s="20" t="s">
        <v>3121</v>
      </c>
      <c r="C496" s="20" t="s">
        <v>7041</v>
      </c>
      <c r="D496" s="24">
        <v>45658.0</v>
      </c>
      <c r="E496" s="24">
        <v>46022.0</v>
      </c>
      <c r="F496" s="20">
        <v>0.0</v>
      </c>
      <c r="G496" s="20">
        <v>1.0</v>
      </c>
      <c r="H496" s="24">
        <v>46023.0</v>
      </c>
      <c r="I496" s="24">
        <v>46387.0</v>
      </c>
      <c r="J496" s="20">
        <v>0.0</v>
      </c>
      <c r="K496" s="20">
        <v>1.0</v>
      </c>
      <c r="L496" s="24">
        <v>46388.0</v>
      </c>
      <c r="M496" s="24">
        <v>46752.0</v>
      </c>
      <c r="N496" s="20">
        <v>0.0</v>
      </c>
      <c r="O496" s="20">
        <v>1.0</v>
      </c>
      <c r="P496" s="24">
        <v>46753.0</v>
      </c>
      <c r="Q496" s="24">
        <v>47118.0</v>
      </c>
      <c r="R496" s="20">
        <v>0.0</v>
      </c>
      <c r="S496" s="20">
        <v>1.0</v>
      </c>
      <c r="T496" s="24">
        <v>47119.0</v>
      </c>
      <c r="U496" s="24">
        <v>47483.0</v>
      </c>
      <c r="V496" s="20">
        <v>0.0</v>
      </c>
      <c r="W496" s="20">
        <v>1.0</v>
      </c>
      <c r="X496" s="24">
        <v>47484.0</v>
      </c>
      <c r="Y496" s="24">
        <v>47848.0</v>
      </c>
      <c r="Z496" s="20">
        <v>0.0</v>
      </c>
      <c r="AA496" s="20">
        <v>1.0</v>
      </c>
      <c r="AC496" s="24"/>
      <c r="AD496" s="24"/>
      <c r="AH496" s="24"/>
      <c r="AI496" s="24"/>
    </row>
    <row r="497" ht="14.25" customHeight="1">
      <c r="A497" s="46" t="s">
        <v>7022</v>
      </c>
      <c r="B497" s="20" t="s">
        <v>7023</v>
      </c>
      <c r="C497" s="20" t="s">
        <v>7041</v>
      </c>
      <c r="D497" s="24">
        <v>45658.0</v>
      </c>
      <c r="E497" s="24">
        <v>46022.0</v>
      </c>
      <c r="F497" s="20">
        <v>0.0</v>
      </c>
      <c r="G497" s="20">
        <v>1.0</v>
      </c>
      <c r="H497" s="24">
        <v>46023.0</v>
      </c>
      <c r="I497" s="24">
        <v>46387.0</v>
      </c>
      <c r="J497" s="20">
        <v>0.0</v>
      </c>
      <c r="K497" s="20">
        <v>1.0</v>
      </c>
      <c r="L497" s="24">
        <v>46388.0</v>
      </c>
      <c r="M497" s="24">
        <v>46752.0</v>
      </c>
      <c r="N497" s="20">
        <v>0.0</v>
      </c>
      <c r="O497" s="20">
        <v>1.0</v>
      </c>
      <c r="P497" s="24">
        <v>46753.0</v>
      </c>
      <c r="Q497" s="24">
        <v>47118.0</v>
      </c>
      <c r="R497" s="20">
        <v>0.0</v>
      </c>
      <c r="S497" s="20">
        <v>1.0</v>
      </c>
      <c r="T497" s="24">
        <v>47119.0</v>
      </c>
      <c r="U497" s="24">
        <v>47483.0</v>
      </c>
      <c r="V497" s="20">
        <v>0.0</v>
      </c>
      <c r="W497" s="20">
        <v>1.0</v>
      </c>
      <c r="X497" s="24">
        <v>47484.0</v>
      </c>
      <c r="Y497" s="24">
        <v>47848.0</v>
      </c>
      <c r="Z497" s="20">
        <v>0.0</v>
      </c>
      <c r="AA497" s="20">
        <v>1.0</v>
      </c>
      <c r="AC497" s="24"/>
      <c r="AD497" s="24"/>
      <c r="AH497" s="24"/>
      <c r="AI497" s="24"/>
    </row>
    <row r="498" ht="14.25" customHeight="1">
      <c r="A498" s="46" t="s">
        <v>6684</v>
      </c>
      <c r="B498" s="20" t="s">
        <v>6685</v>
      </c>
      <c r="C498" s="20" t="s">
        <v>7041</v>
      </c>
      <c r="D498" s="24">
        <v>45658.0</v>
      </c>
      <c r="E498" s="24">
        <v>46022.0</v>
      </c>
      <c r="F498" s="20">
        <v>0.0</v>
      </c>
      <c r="G498" s="20">
        <v>1.0</v>
      </c>
      <c r="H498" s="24">
        <v>46023.0</v>
      </c>
      <c r="I498" s="24">
        <v>46387.0</v>
      </c>
      <c r="J498" s="20">
        <v>0.0</v>
      </c>
      <c r="K498" s="20">
        <v>1.0</v>
      </c>
      <c r="L498" s="24">
        <v>46388.0</v>
      </c>
      <c r="M498" s="24">
        <v>46752.0</v>
      </c>
      <c r="N498" s="20">
        <v>0.0</v>
      </c>
      <c r="O498" s="20">
        <v>1.0</v>
      </c>
      <c r="P498" s="24">
        <v>46753.0</v>
      </c>
      <c r="Q498" s="24">
        <v>47118.0</v>
      </c>
      <c r="R498" s="20">
        <v>0.0</v>
      </c>
      <c r="S498" s="20">
        <v>1.0</v>
      </c>
      <c r="T498" s="24">
        <v>47119.0</v>
      </c>
      <c r="U498" s="24">
        <v>47483.0</v>
      </c>
      <c r="V498" s="20">
        <v>0.0</v>
      </c>
      <c r="W498" s="20">
        <v>1.0</v>
      </c>
      <c r="X498" s="24">
        <v>47484.0</v>
      </c>
      <c r="Y498" s="24">
        <v>47848.0</v>
      </c>
      <c r="Z498" s="20">
        <v>0.0</v>
      </c>
      <c r="AA498" s="20">
        <v>1.0</v>
      </c>
      <c r="AC498" s="24"/>
      <c r="AD498" s="24"/>
      <c r="AH498" s="24"/>
      <c r="AI498" s="24"/>
    </row>
    <row r="499" ht="14.25" customHeight="1">
      <c r="A499" s="46" t="s">
        <v>4798</v>
      </c>
      <c r="B499" s="20" t="s">
        <v>4799</v>
      </c>
      <c r="C499" s="20" t="s">
        <v>7041</v>
      </c>
      <c r="D499" s="24">
        <v>45658.0</v>
      </c>
      <c r="E499" s="24">
        <v>46022.0</v>
      </c>
      <c r="F499" s="20">
        <v>0.0</v>
      </c>
      <c r="G499" s="20">
        <v>1.0</v>
      </c>
      <c r="H499" s="24">
        <v>46023.0</v>
      </c>
      <c r="I499" s="24">
        <v>46387.0</v>
      </c>
      <c r="J499" s="20">
        <v>0.0</v>
      </c>
      <c r="K499" s="20">
        <v>1.0</v>
      </c>
      <c r="L499" s="24">
        <v>46388.0</v>
      </c>
      <c r="M499" s="24">
        <v>46752.0</v>
      </c>
      <c r="N499" s="20">
        <v>0.0</v>
      </c>
      <c r="O499" s="20">
        <v>1.0</v>
      </c>
      <c r="P499" s="24">
        <v>46753.0</v>
      </c>
      <c r="Q499" s="24">
        <v>47118.0</v>
      </c>
      <c r="R499" s="20">
        <v>0.0</v>
      </c>
      <c r="S499" s="20">
        <v>1.0</v>
      </c>
      <c r="T499" s="24">
        <v>47119.0</v>
      </c>
      <c r="U499" s="24">
        <v>47483.0</v>
      </c>
      <c r="V499" s="20">
        <v>0.0</v>
      </c>
      <c r="W499" s="20">
        <v>1.0</v>
      </c>
      <c r="X499" s="24">
        <v>47484.0</v>
      </c>
      <c r="Y499" s="24">
        <v>47848.0</v>
      </c>
      <c r="Z499" s="20">
        <v>0.0</v>
      </c>
      <c r="AA499" s="20">
        <v>1.0</v>
      </c>
      <c r="AC499" s="24"/>
      <c r="AD499" s="24"/>
      <c r="AH499" s="24"/>
      <c r="AI499" s="24"/>
    </row>
    <row r="500" ht="14.25" customHeight="1">
      <c r="A500" s="46" t="s">
        <v>3206</v>
      </c>
      <c r="B500" s="20" t="s">
        <v>3207</v>
      </c>
      <c r="C500" s="20" t="s">
        <v>7041</v>
      </c>
      <c r="D500" s="24">
        <v>45658.0</v>
      </c>
      <c r="E500" s="24">
        <v>46022.0</v>
      </c>
      <c r="F500" s="20">
        <v>0.0</v>
      </c>
      <c r="G500" s="20">
        <v>1.0</v>
      </c>
      <c r="H500" s="24">
        <v>46023.0</v>
      </c>
      <c r="I500" s="24">
        <v>46387.0</v>
      </c>
      <c r="J500" s="20">
        <v>0.0</v>
      </c>
      <c r="K500" s="20">
        <v>1.0</v>
      </c>
      <c r="L500" s="24">
        <v>46388.0</v>
      </c>
      <c r="M500" s="24">
        <v>46752.0</v>
      </c>
      <c r="N500" s="20">
        <v>0.0</v>
      </c>
      <c r="O500" s="20">
        <v>1.0</v>
      </c>
      <c r="P500" s="24">
        <v>46753.0</v>
      </c>
      <c r="Q500" s="24">
        <v>47118.0</v>
      </c>
      <c r="R500" s="20">
        <v>0.0</v>
      </c>
      <c r="S500" s="20">
        <v>1.0</v>
      </c>
      <c r="T500" s="24">
        <v>47119.0</v>
      </c>
      <c r="U500" s="24">
        <v>47483.0</v>
      </c>
      <c r="V500" s="20">
        <v>0.0</v>
      </c>
      <c r="W500" s="20">
        <v>1.0</v>
      </c>
      <c r="X500" s="24">
        <v>47484.0</v>
      </c>
      <c r="Y500" s="24">
        <v>47848.0</v>
      </c>
      <c r="Z500" s="20">
        <v>0.0</v>
      </c>
      <c r="AA500" s="20">
        <v>1.0</v>
      </c>
      <c r="AC500" s="24"/>
      <c r="AD500" s="24"/>
      <c r="AH500" s="24"/>
      <c r="AI500" s="24"/>
    </row>
    <row r="501" ht="14.25" customHeight="1">
      <c r="A501" s="46" t="s">
        <v>3330</v>
      </c>
      <c r="B501" s="20" t="s">
        <v>3331</v>
      </c>
      <c r="C501" s="20" t="s">
        <v>7041</v>
      </c>
      <c r="D501" s="24">
        <v>45658.0</v>
      </c>
      <c r="E501" s="24">
        <v>46022.0</v>
      </c>
      <c r="F501" s="20">
        <v>1.0</v>
      </c>
      <c r="G501" s="20">
        <v>1.0</v>
      </c>
      <c r="H501" s="24">
        <v>46023.0</v>
      </c>
      <c r="I501" s="24">
        <v>46387.0</v>
      </c>
      <c r="J501" s="20">
        <v>0.0</v>
      </c>
      <c r="K501" s="20">
        <v>1.0</v>
      </c>
      <c r="L501" s="24">
        <v>46388.0</v>
      </c>
      <c r="M501" s="24">
        <v>46752.0</v>
      </c>
      <c r="N501" s="20">
        <v>0.0</v>
      </c>
      <c r="O501" s="20">
        <v>1.0</v>
      </c>
      <c r="P501" s="24">
        <v>46753.0</v>
      </c>
      <c r="Q501" s="24">
        <v>47118.0</v>
      </c>
      <c r="R501" s="20">
        <v>0.0</v>
      </c>
      <c r="S501" s="20">
        <v>1.0</v>
      </c>
      <c r="T501" s="24">
        <v>47119.0</v>
      </c>
      <c r="U501" s="24">
        <v>47483.0</v>
      </c>
      <c r="V501" s="20">
        <v>0.0</v>
      </c>
      <c r="W501" s="20">
        <v>1.0</v>
      </c>
      <c r="X501" s="24">
        <v>47484.0</v>
      </c>
      <c r="Y501" s="24">
        <v>47848.0</v>
      </c>
      <c r="Z501" s="20">
        <v>0.0</v>
      </c>
      <c r="AA501" s="20">
        <v>1.0</v>
      </c>
      <c r="AC501" s="24"/>
      <c r="AD501" s="24"/>
      <c r="AH501" s="24"/>
      <c r="AI501" s="24"/>
    </row>
    <row r="502" ht="14.25" customHeight="1">
      <c r="A502" s="46" t="s">
        <v>4501</v>
      </c>
      <c r="B502" s="20" t="s">
        <v>4502</v>
      </c>
      <c r="C502" s="20" t="s">
        <v>7041</v>
      </c>
      <c r="D502" s="24">
        <v>45658.0</v>
      </c>
      <c r="E502" s="24">
        <v>46022.0</v>
      </c>
      <c r="F502" s="20">
        <v>1.0</v>
      </c>
      <c r="G502" s="20">
        <v>1.0</v>
      </c>
      <c r="H502" s="24">
        <v>46023.0</v>
      </c>
      <c r="I502" s="24">
        <v>46387.0</v>
      </c>
      <c r="J502" s="20">
        <v>0.0</v>
      </c>
      <c r="K502" s="20">
        <v>1.0</v>
      </c>
      <c r="L502" s="24">
        <v>46388.0</v>
      </c>
      <c r="M502" s="24">
        <v>46752.0</v>
      </c>
      <c r="N502" s="20">
        <v>0.0</v>
      </c>
      <c r="O502" s="20">
        <v>1.0</v>
      </c>
      <c r="P502" s="24">
        <v>46753.0</v>
      </c>
      <c r="Q502" s="24">
        <v>47118.0</v>
      </c>
      <c r="R502" s="20">
        <v>0.0</v>
      </c>
      <c r="S502" s="20">
        <v>1.0</v>
      </c>
      <c r="T502" s="24">
        <v>47119.0</v>
      </c>
      <c r="U502" s="24">
        <v>47483.0</v>
      </c>
      <c r="V502" s="20">
        <v>0.0</v>
      </c>
      <c r="W502" s="20">
        <v>1.0</v>
      </c>
      <c r="X502" s="24">
        <v>47484.0</v>
      </c>
      <c r="Y502" s="24">
        <v>47848.0</v>
      </c>
      <c r="Z502" s="20">
        <v>0.0</v>
      </c>
      <c r="AA502" s="20">
        <v>1.0</v>
      </c>
      <c r="AC502" s="24"/>
      <c r="AD502" s="24"/>
      <c r="AH502" s="24"/>
      <c r="AI502" s="24"/>
    </row>
    <row r="503" ht="14.25" customHeight="1">
      <c r="A503" s="46" t="s">
        <v>3067</v>
      </c>
      <c r="B503" s="20" t="s">
        <v>3068</v>
      </c>
      <c r="C503" s="20" t="s">
        <v>7041</v>
      </c>
      <c r="D503" s="24">
        <v>45658.0</v>
      </c>
      <c r="E503" s="24">
        <v>46022.0</v>
      </c>
      <c r="F503" s="20">
        <v>1.0</v>
      </c>
      <c r="G503" s="20">
        <v>1.0</v>
      </c>
      <c r="H503" s="24">
        <v>46023.0</v>
      </c>
      <c r="I503" s="24">
        <v>46387.0</v>
      </c>
      <c r="J503" s="20">
        <v>0.0</v>
      </c>
      <c r="K503" s="20">
        <v>1.0</v>
      </c>
      <c r="L503" s="24">
        <v>46388.0</v>
      </c>
      <c r="M503" s="24">
        <v>46752.0</v>
      </c>
      <c r="N503" s="20">
        <v>0.0</v>
      </c>
      <c r="O503" s="20">
        <v>1.0</v>
      </c>
      <c r="P503" s="24">
        <v>46753.0</v>
      </c>
      <c r="Q503" s="24">
        <v>47118.0</v>
      </c>
      <c r="R503" s="20">
        <v>0.0</v>
      </c>
      <c r="S503" s="20">
        <v>1.0</v>
      </c>
      <c r="T503" s="24">
        <v>47119.0</v>
      </c>
      <c r="U503" s="24">
        <v>47483.0</v>
      </c>
      <c r="V503" s="20">
        <v>0.0</v>
      </c>
      <c r="W503" s="20">
        <v>1.0</v>
      </c>
      <c r="X503" s="24">
        <v>47484.0</v>
      </c>
      <c r="Y503" s="24">
        <v>47848.0</v>
      </c>
      <c r="Z503" s="20">
        <v>0.0</v>
      </c>
      <c r="AA503" s="20">
        <v>1.0</v>
      </c>
      <c r="AC503" s="24"/>
      <c r="AD503" s="24"/>
      <c r="AH503" s="24"/>
      <c r="AI503" s="24"/>
    </row>
    <row r="504" ht="14.25" customHeight="1">
      <c r="A504" s="46" t="s">
        <v>6744</v>
      </c>
      <c r="B504" s="20" t="s">
        <v>6745</v>
      </c>
      <c r="C504" s="20" t="s">
        <v>7041</v>
      </c>
      <c r="D504" s="24">
        <v>45658.0</v>
      </c>
      <c r="E504" s="24">
        <v>46022.0</v>
      </c>
      <c r="F504" s="20">
        <v>0.0</v>
      </c>
      <c r="G504" s="20">
        <v>1.0</v>
      </c>
      <c r="H504" s="24">
        <v>46023.0</v>
      </c>
      <c r="I504" s="24">
        <v>46387.0</v>
      </c>
      <c r="J504" s="20">
        <v>0.0</v>
      </c>
      <c r="K504" s="20">
        <v>1.0</v>
      </c>
      <c r="L504" s="24">
        <v>46388.0</v>
      </c>
      <c r="M504" s="24">
        <v>46752.0</v>
      </c>
      <c r="N504" s="20">
        <v>0.0</v>
      </c>
      <c r="O504" s="20">
        <v>1.0</v>
      </c>
      <c r="P504" s="24">
        <v>46753.0</v>
      </c>
      <c r="Q504" s="24">
        <v>47118.0</v>
      </c>
      <c r="R504" s="20">
        <v>0.0</v>
      </c>
      <c r="S504" s="20">
        <v>1.0</v>
      </c>
      <c r="T504" s="24">
        <v>47119.0</v>
      </c>
      <c r="U504" s="24">
        <v>47483.0</v>
      </c>
      <c r="V504" s="20">
        <v>0.0</v>
      </c>
      <c r="W504" s="20">
        <v>1.0</v>
      </c>
      <c r="X504" s="24">
        <v>47484.0</v>
      </c>
      <c r="Y504" s="24">
        <v>47848.0</v>
      </c>
      <c r="Z504" s="20">
        <v>0.0</v>
      </c>
      <c r="AA504" s="20">
        <v>1.0</v>
      </c>
      <c r="AC504" s="24"/>
      <c r="AD504" s="24"/>
      <c r="AH504" s="24"/>
      <c r="AI504" s="24"/>
    </row>
    <row r="505" ht="14.25" customHeight="1">
      <c r="A505" s="46" t="s">
        <v>4178</v>
      </c>
      <c r="B505" s="20" t="s">
        <v>4179</v>
      </c>
      <c r="C505" s="20" t="s">
        <v>7041</v>
      </c>
      <c r="D505" s="24">
        <v>45658.0</v>
      </c>
      <c r="E505" s="24">
        <v>46022.0</v>
      </c>
      <c r="F505" s="20">
        <v>1.0</v>
      </c>
      <c r="G505" s="20">
        <v>1.0</v>
      </c>
      <c r="H505" s="24">
        <v>46023.0</v>
      </c>
      <c r="I505" s="24">
        <v>46387.0</v>
      </c>
      <c r="J505" s="20">
        <v>0.0</v>
      </c>
      <c r="K505" s="20">
        <v>1.0</v>
      </c>
      <c r="L505" s="24">
        <v>46388.0</v>
      </c>
      <c r="M505" s="24">
        <v>46752.0</v>
      </c>
      <c r="N505" s="20">
        <v>0.0</v>
      </c>
      <c r="O505" s="20">
        <v>1.0</v>
      </c>
      <c r="P505" s="24">
        <v>46753.0</v>
      </c>
      <c r="Q505" s="24">
        <v>47118.0</v>
      </c>
      <c r="R505" s="20">
        <v>0.0</v>
      </c>
      <c r="S505" s="20">
        <v>1.0</v>
      </c>
      <c r="T505" s="24">
        <v>47119.0</v>
      </c>
      <c r="U505" s="24">
        <v>47483.0</v>
      </c>
      <c r="V505" s="20">
        <v>0.0</v>
      </c>
      <c r="W505" s="20">
        <v>1.0</v>
      </c>
      <c r="X505" s="24">
        <v>47484.0</v>
      </c>
      <c r="Y505" s="24">
        <v>47848.0</v>
      </c>
      <c r="Z505" s="20">
        <v>0.0</v>
      </c>
      <c r="AA505" s="20">
        <v>1.0</v>
      </c>
      <c r="AC505" s="24"/>
      <c r="AD505" s="24"/>
      <c r="AH505" s="24"/>
      <c r="AI505" s="24"/>
    </row>
    <row r="506" ht="14.25" customHeight="1">
      <c r="A506" s="46" t="s">
        <v>6408</v>
      </c>
      <c r="B506" s="20" t="s">
        <v>6409</v>
      </c>
      <c r="C506" s="20" t="s">
        <v>7041</v>
      </c>
      <c r="D506" s="24">
        <v>45658.0</v>
      </c>
      <c r="E506" s="24">
        <v>46022.0</v>
      </c>
      <c r="F506" s="20">
        <v>0.0</v>
      </c>
      <c r="G506" s="20">
        <v>1.0</v>
      </c>
      <c r="H506" s="24">
        <v>46023.0</v>
      </c>
      <c r="I506" s="24">
        <v>46387.0</v>
      </c>
      <c r="J506" s="20">
        <v>0.0</v>
      </c>
      <c r="K506" s="20">
        <v>1.0</v>
      </c>
      <c r="L506" s="24">
        <v>46388.0</v>
      </c>
      <c r="M506" s="24">
        <v>46752.0</v>
      </c>
      <c r="N506" s="20">
        <v>0.0</v>
      </c>
      <c r="O506" s="20">
        <v>1.0</v>
      </c>
      <c r="P506" s="24">
        <v>46753.0</v>
      </c>
      <c r="Q506" s="24">
        <v>47118.0</v>
      </c>
      <c r="R506" s="20">
        <v>0.0</v>
      </c>
      <c r="S506" s="20">
        <v>1.0</v>
      </c>
      <c r="T506" s="24">
        <v>47119.0</v>
      </c>
      <c r="U506" s="24">
        <v>47483.0</v>
      </c>
      <c r="V506" s="20">
        <v>0.0</v>
      </c>
      <c r="W506" s="20">
        <v>1.0</v>
      </c>
      <c r="X506" s="24">
        <v>47484.0</v>
      </c>
      <c r="Y506" s="24">
        <v>47848.0</v>
      </c>
      <c r="Z506" s="20">
        <v>0.0</v>
      </c>
      <c r="AA506" s="20">
        <v>1.0</v>
      </c>
      <c r="AC506" s="24"/>
      <c r="AD506" s="24"/>
      <c r="AH506" s="24"/>
      <c r="AI506" s="24"/>
    </row>
    <row r="507" ht="14.25" customHeight="1">
      <c r="A507" s="46" t="s">
        <v>6420</v>
      </c>
      <c r="B507" s="20" t="s">
        <v>6421</v>
      </c>
      <c r="C507" s="20" t="s">
        <v>7041</v>
      </c>
      <c r="D507" s="24">
        <v>45658.0</v>
      </c>
      <c r="E507" s="24">
        <v>46022.0</v>
      </c>
      <c r="F507" s="20">
        <v>0.0</v>
      </c>
      <c r="G507" s="20">
        <v>1.0</v>
      </c>
      <c r="H507" s="24">
        <v>46023.0</v>
      </c>
      <c r="I507" s="24">
        <v>46387.0</v>
      </c>
      <c r="J507" s="20">
        <v>0.0</v>
      </c>
      <c r="K507" s="20">
        <v>1.0</v>
      </c>
      <c r="L507" s="24">
        <v>46388.0</v>
      </c>
      <c r="M507" s="24">
        <v>46752.0</v>
      </c>
      <c r="N507" s="20">
        <v>0.0</v>
      </c>
      <c r="O507" s="20">
        <v>1.0</v>
      </c>
      <c r="P507" s="24">
        <v>46753.0</v>
      </c>
      <c r="Q507" s="24">
        <v>47118.0</v>
      </c>
      <c r="R507" s="20">
        <v>0.0</v>
      </c>
      <c r="S507" s="20">
        <v>1.0</v>
      </c>
      <c r="T507" s="24">
        <v>47119.0</v>
      </c>
      <c r="U507" s="24">
        <v>47483.0</v>
      </c>
      <c r="V507" s="20">
        <v>0.0</v>
      </c>
      <c r="W507" s="20">
        <v>1.0</v>
      </c>
      <c r="X507" s="24">
        <v>47484.0</v>
      </c>
      <c r="Y507" s="24">
        <v>47848.0</v>
      </c>
      <c r="Z507" s="20">
        <v>0.0</v>
      </c>
      <c r="AA507" s="20">
        <v>1.0</v>
      </c>
      <c r="AC507" s="24"/>
      <c r="AD507" s="24"/>
      <c r="AH507" s="24"/>
      <c r="AI507" s="24"/>
    </row>
    <row r="508" ht="14.25" customHeight="1">
      <c r="A508" s="46" t="s">
        <v>1702</v>
      </c>
      <c r="B508" s="20" t="s">
        <v>1703</v>
      </c>
      <c r="C508" s="20" t="s">
        <v>7041</v>
      </c>
      <c r="D508" s="24">
        <v>45658.0</v>
      </c>
      <c r="E508" s="24">
        <v>46022.0</v>
      </c>
      <c r="F508" s="20">
        <v>0.0</v>
      </c>
      <c r="G508" s="20">
        <v>1.0</v>
      </c>
      <c r="H508" s="24">
        <v>46023.0</v>
      </c>
      <c r="I508" s="24">
        <v>46387.0</v>
      </c>
      <c r="J508" s="20">
        <v>0.0</v>
      </c>
      <c r="K508" s="20">
        <v>1.0</v>
      </c>
      <c r="L508" s="24">
        <v>46388.0</v>
      </c>
      <c r="M508" s="24">
        <v>46752.0</v>
      </c>
      <c r="N508" s="20">
        <v>0.0</v>
      </c>
      <c r="O508" s="20">
        <v>1.0</v>
      </c>
      <c r="P508" s="24">
        <v>46753.0</v>
      </c>
      <c r="Q508" s="24">
        <v>47118.0</v>
      </c>
      <c r="R508" s="20">
        <v>0.0</v>
      </c>
      <c r="S508" s="20">
        <v>1.0</v>
      </c>
      <c r="T508" s="24">
        <v>47119.0</v>
      </c>
      <c r="U508" s="24">
        <v>47483.0</v>
      </c>
      <c r="V508" s="20">
        <v>0.0</v>
      </c>
      <c r="W508" s="20">
        <v>1.0</v>
      </c>
      <c r="X508" s="24">
        <v>47484.0</v>
      </c>
      <c r="Y508" s="24">
        <v>47848.0</v>
      </c>
      <c r="Z508" s="20">
        <v>0.0</v>
      </c>
      <c r="AA508" s="20">
        <v>1.0</v>
      </c>
      <c r="AC508" s="24"/>
      <c r="AD508" s="24"/>
      <c r="AH508" s="24"/>
      <c r="AI508" s="24"/>
    </row>
    <row r="509" ht="14.25" customHeight="1">
      <c r="A509" s="46" t="s">
        <v>2056</v>
      </c>
      <c r="B509" s="20" t="s">
        <v>2057</v>
      </c>
      <c r="C509" s="20" t="s">
        <v>7041</v>
      </c>
      <c r="D509" s="24">
        <v>45658.0</v>
      </c>
      <c r="E509" s="24">
        <v>46022.0</v>
      </c>
      <c r="F509" s="20">
        <v>1.0</v>
      </c>
      <c r="G509" s="20">
        <v>1.0</v>
      </c>
      <c r="H509" s="24">
        <v>46023.0</v>
      </c>
      <c r="I509" s="24">
        <v>46387.0</v>
      </c>
      <c r="J509" s="20">
        <v>0.0</v>
      </c>
      <c r="K509" s="20">
        <v>1.0</v>
      </c>
      <c r="L509" s="24">
        <v>46388.0</v>
      </c>
      <c r="M509" s="24">
        <v>46752.0</v>
      </c>
      <c r="N509" s="20">
        <v>0.0</v>
      </c>
      <c r="O509" s="20">
        <v>1.0</v>
      </c>
      <c r="P509" s="24">
        <v>46753.0</v>
      </c>
      <c r="Q509" s="24">
        <v>47118.0</v>
      </c>
      <c r="R509" s="20">
        <v>0.0</v>
      </c>
      <c r="S509" s="20">
        <v>1.0</v>
      </c>
      <c r="T509" s="24">
        <v>47119.0</v>
      </c>
      <c r="U509" s="24">
        <v>47483.0</v>
      </c>
      <c r="V509" s="20">
        <v>0.0</v>
      </c>
      <c r="W509" s="20">
        <v>1.0</v>
      </c>
      <c r="X509" s="24">
        <v>47484.0</v>
      </c>
      <c r="Y509" s="24">
        <v>47848.0</v>
      </c>
      <c r="Z509" s="20">
        <v>0.0</v>
      </c>
      <c r="AA509" s="20">
        <v>1.0</v>
      </c>
      <c r="AC509" s="24"/>
      <c r="AD509" s="24"/>
      <c r="AH509" s="24"/>
      <c r="AI509" s="24"/>
    </row>
    <row r="510" ht="14.25" customHeight="1">
      <c r="A510" s="46" t="s">
        <v>2662</v>
      </c>
      <c r="B510" s="20" t="s">
        <v>2663</v>
      </c>
      <c r="C510" s="20" t="s">
        <v>7041</v>
      </c>
      <c r="D510" s="24">
        <v>45658.0</v>
      </c>
      <c r="E510" s="24">
        <v>46022.0</v>
      </c>
      <c r="F510" s="20">
        <v>1.0</v>
      </c>
      <c r="G510" s="20">
        <v>1.0</v>
      </c>
      <c r="H510" s="24">
        <v>46023.0</v>
      </c>
      <c r="I510" s="24">
        <v>46387.0</v>
      </c>
      <c r="J510" s="20">
        <v>0.0</v>
      </c>
      <c r="K510" s="20">
        <v>1.0</v>
      </c>
      <c r="L510" s="24">
        <v>46388.0</v>
      </c>
      <c r="M510" s="24">
        <v>46752.0</v>
      </c>
      <c r="N510" s="20">
        <v>0.0</v>
      </c>
      <c r="O510" s="20">
        <v>1.0</v>
      </c>
      <c r="P510" s="24">
        <v>46753.0</v>
      </c>
      <c r="Q510" s="24">
        <v>47118.0</v>
      </c>
      <c r="R510" s="20">
        <v>0.0</v>
      </c>
      <c r="S510" s="20">
        <v>1.0</v>
      </c>
      <c r="T510" s="24">
        <v>47119.0</v>
      </c>
      <c r="U510" s="24">
        <v>47483.0</v>
      </c>
      <c r="V510" s="20">
        <v>0.0</v>
      </c>
      <c r="W510" s="20">
        <v>1.0</v>
      </c>
      <c r="X510" s="24">
        <v>47484.0</v>
      </c>
      <c r="Y510" s="24">
        <v>47848.0</v>
      </c>
      <c r="Z510" s="20">
        <v>0.0</v>
      </c>
      <c r="AA510" s="20">
        <v>1.0</v>
      </c>
      <c r="AC510" s="24"/>
      <c r="AD510" s="24"/>
      <c r="AH510" s="24"/>
      <c r="AI510" s="24"/>
    </row>
    <row r="511" ht="14.25" customHeight="1">
      <c r="A511" s="46" t="s">
        <v>5507</v>
      </c>
      <c r="B511" s="20" t="s">
        <v>5508</v>
      </c>
      <c r="C511" s="20" t="s">
        <v>7041</v>
      </c>
      <c r="D511" s="24">
        <v>45658.0</v>
      </c>
      <c r="E511" s="24">
        <v>46022.0</v>
      </c>
      <c r="F511" s="20">
        <v>1.0</v>
      </c>
      <c r="G511" s="20">
        <v>1.0</v>
      </c>
      <c r="H511" s="24">
        <v>46023.0</v>
      </c>
      <c r="I511" s="24">
        <v>46387.0</v>
      </c>
      <c r="J511" s="20">
        <v>0.0</v>
      </c>
      <c r="K511" s="20">
        <v>1.0</v>
      </c>
      <c r="L511" s="24">
        <v>46388.0</v>
      </c>
      <c r="M511" s="24">
        <v>46752.0</v>
      </c>
      <c r="N511" s="20">
        <v>0.0</v>
      </c>
      <c r="O511" s="20">
        <v>1.0</v>
      </c>
      <c r="P511" s="24">
        <v>46753.0</v>
      </c>
      <c r="Q511" s="24">
        <v>47118.0</v>
      </c>
      <c r="R511" s="20">
        <v>0.0</v>
      </c>
      <c r="S511" s="20">
        <v>1.0</v>
      </c>
      <c r="T511" s="24">
        <v>47119.0</v>
      </c>
      <c r="U511" s="24">
        <v>47483.0</v>
      </c>
      <c r="V511" s="20">
        <v>0.0</v>
      </c>
      <c r="W511" s="20">
        <v>1.0</v>
      </c>
      <c r="X511" s="24">
        <v>47484.0</v>
      </c>
      <c r="Y511" s="24">
        <v>47848.0</v>
      </c>
      <c r="Z511" s="20">
        <v>0.0</v>
      </c>
      <c r="AA511" s="20">
        <v>1.0</v>
      </c>
      <c r="AC511" s="24"/>
      <c r="AD511" s="24"/>
      <c r="AH511" s="24"/>
      <c r="AI511" s="24"/>
    </row>
    <row r="512" ht="14.25" customHeight="1">
      <c r="A512" s="46" t="s">
        <v>165</v>
      </c>
      <c r="B512" s="20" t="s">
        <v>166</v>
      </c>
      <c r="C512" s="20" t="s">
        <v>7041</v>
      </c>
      <c r="D512" s="24">
        <v>45658.0</v>
      </c>
      <c r="E512" s="24">
        <v>46022.0</v>
      </c>
      <c r="F512" s="20">
        <v>0.0</v>
      </c>
      <c r="G512" s="20">
        <v>1.0</v>
      </c>
      <c r="H512" s="24">
        <v>46023.0</v>
      </c>
      <c r="I512" s="24">
        <v>46387.0</v>
      </c>
      <c r="J512" s="20">
        <v>0.0</v>
      </c>
      <c r="K512" s="20">
        <v>1.0</v>
      </c>
      <c r="L512" s="24">
        <v>46388.0</v>
      </c>
      <c r="M512" s="24">
        <v>46752.0</v>
      </c>
      <c r="N512" s="20">
        <v>0.0</v>
      </c>
      <c r="O512" s="20">
        <v>1.0</v>
      </c>
      <c r="P512" s="24">
        <v>46753.0</v>
      </c>
      <c r="Q512" s="24">
        <v>47118.0</v>
      </c>
      <c r="R512" s="20">
        <v>0.0</v>
      </c>
      <c r="S512" s="20">
        <v>1.0</v>
      </c>
      <c r="T512" s="24">
        <v>47119.0</v>
      </c>
      <c r="U512" s="24">
        <v>47483.0</v>
      </c>
      <c r="V512" s="20">
        <v>0.0</v>
      </c>
      <c r="W512" s="20">
        <v>1.0</v>
      </c>
      <c r="X512" s="24">
        <v>47484.0</v>
      </c>
      <c r="Y512" s="24">
        <v>47848.0</v>
      </c>
      <c r="Z512" s="20">
        <v>0.0</v>
      </c>
      <c r="AA512" s="20">
        <v>1.0</v>
      </c>
      <c r="AC512" s="24"/>
      <c r="AD512" s="24"/>
      <c r="AH512" s="24"/>
      <c r="AI512" s="24"/>
    </row>
    <row r="513" ht="14.25" customHeight="1">
      <c r="A513" s="46" t="s">
        <v>6877</v>
      </c>
      <c r="B513" s="20" t="s">
        <v>6878</v>
      </c>
      <c r="C513" s="20" t="s">
        <v>7041</v>
      </c>
      <c r="D513" s="24">
        <v>45658.0</v>
      </c>
      <c r="E513" s="24">
        <v>46022.0</v>
      </c>
      <c r="F513" s="20">
        <v>0.0</v>
      </c>
      <c r="G513" s="20">
        <v>1.0</v>
      </c>
      <c r="H513" s="24">
        <v>46023.0</v>
      </c>
      <c r="I513" s="24">
        <v>46387.0</v>
      </c>
      <c r="J513" s="20">
        <v>0.0</v>
      </c>
      <c r="K513" s="20">
        <v>1.0</v>
      </c>
      <c r="L513" s="24">
        <v>46388.0</v>
      </c>
      <c r="M513" s="24">
        <v>46752.0</v>
      </c>
      <c r="N513" s="20">
        <v>0.0</v>
      </c>
      <c r="O513" s="20">
        <v>1.0</v>
      </c>
      <c r="P513" s="24">
        <v>46753.0</v>
      </c>
      <c r="Q513" s="24">
        <v>47118.0</v>
      </c>
      <c r="R513" s="20">
        <v>0.0</v>
      </c>
      <c r="S513" s="20">
        <v>1.0</v>
      </c>
      <c r="T513" s="24">
        <v>47119.0</v>
      </c>
      <c r="U513" s="24">
        <v>47483.0</v>
      </c>
      <c r="V513" s="20">
        <v>0.0</v>
      </c>
      <c r="W513" s="20">
        <v>1.0</v>
      </c>
      <c r="X513" s="24">
        <v>47484.0</v>
      </c>
      <c r="Y513" s="24">
        <v>47848.0</v>
      </c>
      <c r="Z513" s="20">
        <v>0.0</v>
      </c>
      <c r="AA513" s="20">
        <v>1.0</v>
      </c>
      <c r="AC513" s="24"/>
      <c r="AD513" s="24"/>
      <c r="AH513" s="24"/>
      <c r="AI513" s="24"/>
    </row>
    <row r="514" ht="14.25" customHeight="1">
      <c r="A514" s="46" t="s">
        <v>6504</v>
      </c>
      <c r="B514" s="20" t="s">
        <v>6505</v>
      </c>
      <c r="C514" s="20" t="s">
        <v>7041</v>
      </c>
      <c r="D514" s="24">
        <v>45658.0</v>
      </c>
      <c r="E514" s="24">
        <v>46022.0</v>
      </c>
      <c r="F514" s="20">
        <v>0.0</v>
      </c>
      <c r="G514" s="20">
        <v>1.0</v>
      </c>
      <c r="H514" s="24">
        <v>46023.0</v>
      </c>
      <c r="I514" s="24">
        <v>46387.0</v>
      </c>
      <c r="J514" s="20">
        <v>0.0</v>
      </c>
      <c r="K514" s="20">
        <v>1.0</v>
      </c>
      <c r="L514" s="24">
        <v>46388.0</v>
      </c>
      <c r="M514" s="24">
        <v>46752.0</v>
      </c>
      <c r="N514" s="20">
        <v>0.0</v>
      </c>
      <c r="O514" s="20">
        <v>1.0</v>
      </c>
      <c r="P514" s="24">
        <v>46753.0</v>
      </c>
      <c r="Q514" s="24">
        <v>47118.0</v>
      </c>
      <c r="R514" s="20">
        <v>0.0</v>
      </c>
      <c r="S514" s="20">
        <v>1.0</v>
      </c>
      <c r="T514" s="24">
        <v>47119.0</v>
      </c>
      <c r="U514" s="24">
        <v>47483.0</v>
      </c>
      <c r="V514" s="20">
        <v>0.0</v>
      </c>
      <c r="W514" s="20">
        <v>1.0</v>
      </c>
      <c r="X514" s="24">
        <v>47484.0</v>
      </c>
      <c r="Y514" s="24">
        <v>47848.0</v>
      </c>
      <c r="Z514" s="20">
        <v>0.0</v>
      </c>
      <c r="AA514" s="20">
        <v>1.0</v>
      </c>
      <c r="AC514" s="24"/>
      <c r="AD514" s="24"/>
      <c r="AH514" s="24"/>
      <c r="AI514" s="24"/>
    </row>
    <row r="515" ht="14.25" customHeight="1">
      <c r="A515" s="46" t="s">
        <v>2348</v>
      </c>
      <c r="B515" s="20" t="s">
        <v>2349</v>
      </c>
      <c r="C515" s="20" t="s">
        <v>7041</v>
      </c>
      <c r="D515" s="24">
        <v>45658.0</v>
      </c>
      <c r="E515" s="24">
        <v>46022.0</v>
      </c>
      <c r="F515" s="20">
        <v>0.0</v>
      </c>
      <c r="G515" s="20">
        <v>1.0</v>
      </c>
      <c r="H515" s="24">
        <v>46023.0</v>
      </c>
      <c r="I515" s="24">
        <v>46387.0</v>
      </c>
      <c r="J515" s="20">
        <v>0.0</v>
      </c>
      <c r="K515" s="20">
        <v>1.0</v>
      </c>
      <c r="L515" s="24">
        <v>46388.0</v>
      </c>
      <c r="M515" s="24">
        <v>46752.0</v>
      </c>
      <c r="N515" s="20">
        <v>0.0</v>
      </c>
      <c r="O515" s="20">
        <v>1.0</v>
      </c>
      <c r="P515" s="24">
        <v>46753.0</v>
      </c>
      <c r="Q515" s="24">
        <v>47118.0</v>
      </c>
      <c r="R515" s="20">
        <v>0.0</v>
      </c>
      <c r="S515" s="20">
        <v>1.0</v>
      </c>
      <c r="T515" s="24">
        <v>47119.0</v>
      </c>
      <c r="U515" s="24">
        <v>47483.0</v>
      </c>
      <c r="V515" s="20">
        <v>0.0</v>
      </c>
      <c r="W515" s="20">
        <v>1.0</v>
      </c>
      <c r="X515" s="24">
        <v>47484.0</v>
      </c>
      <c r="Y515" s="24">
        <v>47848.0</v>
      </c>
      <c r="Z515" s="20">
        <v>0.0</v>
      </c>
      <c r="AA515" s="20">
        <v>1.0</v>
      </c>
      <c r="AC515" s="24"/>
      <c r="AD515" s="24"/>
      <c r="AH515" s="24"/>
      <c r="AI515" s="24"/>
    </row>
    <row r="516" ht="14.25" customHeight="1">
      <c r="A516" s="46" t="s">
        <v>2945</v>
      </c>
      <c r="B516" s="20" t="s">
        <v>2946</v>
      </c>
      <c r="C516" s="20" t="s">
        <v>7041</v>
      </c>
      <c r="D516" s="24">
        <v>45658.0</v>
      </c>
      <c r="E516" s="24">
        <v>46022.0</v>
      </c>
      <c r="F516" s="20">
        <v>1.0</v>
      </c>
      <c r="G516" s="20">
        <v>1.0</v>
      </c>
      <c r="H516" s="24">
        <v>46023.0</v>
      </c>
      <c r="I516" s="24">
        <v>46387.0</v>
      </c>
      <c r="J516" s="20">
        <v>0.0</v>
      </c>
      <c r="K516" s="20">
        <v>1.0</v>
      </c>
      <c r="L516" s="24">
        <v>46388.0</v>
      </c>
      <c r="M516" s="24">
        <v>46752.0</v>
      </c>
      <c r="N516" s="20">
        <v>0.0</v>
      </c>
      <c r="O516" s="20">
        <v>1.0</v>
      </c>
      <c r="P516" s="24">
        <v>46753.0</v>
      </c>
      <c r="Q516" s="24">
        <v>47118.0</v>
      </c>
      <c r="R516" s="20">
        <v>0.0</v>
      </c>
      <c r="S516" s="20">
        <v>1.0</v>
      </c>
      <c r="T516" s="24">
        <v>47119.0</v>
      </c>
      <c r="U516" s="24">
        <v>47483.0</v>
      </c>
      <c r="V516" s="20">
        <v>0.0</v>
      </c>
      <c r="W516" s="20">
        <v>1.0</v>
      </c>
      <c r="X516" s="24">
        <v>47484.0</v>
      </c>
      <c r="Y516" s="24">
        <v>47848.0</v>
      </c>
      <c r="Z516" s="20">
        <v>0.0</v>
      </c>
      <c r="AA516" s="20">
        <v>1.0</v>
      </c>
      <c r="AC516" s="24"/>
      <c r="AD516" s="24"/>
      <c r="AH516" s="24"/>
      <c r="AI516" s="24"/>
    </row>
    <row r="517" ht="14.25" customHeight="1">
      <c r="A517" s="46" t="s">
        <v>1380</v>
      </c>
      <c r="B517" s="20" t="s">
        <v>1381</v>
      </c>
      <c r="C517" s="20" t="s">
        <v>7041</v>
      </c>
      <c r="D517" s="24">
        <v>45658.0</v>
      </c>
      <c r="E517" s="24">
        <v>46022.0</v>
      </c>
      <c r="F517" s="20">
        <v>0.0</v>
      </c>
      <c r="G517" s="20">
        <v>1.0</v>
      </c>
      <c r="H517" s="24">
        <v>46023.0</v>
      </c>
      <c r="I517" s="24">
        <v>46387.0</v>
      </c>
      <c r="J517" s="20">
        <v>0.0</v>
      </c>
      <c r="K517" s="20">
        <v>1.0</v>
      </c>
      <c r="L517" s="24">
        <v>46388.0</v>
      </c>
      <c r="M517" s="24">
        <v>46752.0</v>
      </c>
      <c r="N517" s="20">
        <v>0.0</v>
      </c>
      <c r="O517" s="20">
        <v>1.0</v>
      </c>
      <c r="P517" s="24">
        <v>46753.0</v>
      </c>
      <c r="Q517" s="24">
        <v>47118.0</v>
      </c>
      <c r="R517" s="20">
        <v>0.0</v>
      </c>
      <c r="S517" s="20">
        <v>1.0</v>
      </c>
      <c r="T517" s="24">
        <v>47119.0</v>
      </c>
      <c r="U517" s="24">
        <v>47483.0</v>
      </c>
      <c r="V517" s="20">
        <v>0.0</v>
      </c>
      <c r="W517" s="20">
        <v>1.0</v>
      </c>
      <c r="X517" s="24">
        <v>47484.0</v>
      </c>
      <c r="Y517" s="24">
        <v>47848.0</v>
      </c>
      <c r="Z517" s="20">
        <v>0.0</v>
      </c>
      <c r="AA517" s="20">
        <v>1.0</v>
      </c>
      <c r="AC517" s="24"/>
      <c r="AD517" s="24"/>
      <c r="AH517" s="24"/>
      <c r="AI517" s="24"/>
    </row>
    <row r="518" ht="14.25" customHeight="1">
      <c r="A518" s="46" t="s">
        <v>3159</v>
      </c>
      <c r="B518" s="20" t="s">
        <v>3160</v>
      </c>
      <c r="C518" s="20" t="s">
        <v>7041</v>
      </c>
      <c r="D518" s="24">
        <v>45658.0</v>
      </c>
      <c r="E518" s="24">
        <v>46022.0</v>
      </c>
      <c r="F518" s="20">
        <v>0.0</v>
      </c>
      <c r="G518" s="20">
        <v>1.0</v>
      </c>
      <c r="H518" s="24">
        <v>46023.0</v>
      </c>
      <c r="I518" s="24">
        <v>46387.0</v>
      </c>
      <c r="J518" s="20">
        <v>0.0</v>
      </c>
      <c r="K518" s="20">
        <v>1.0</v>
      </c>
      <c r="L518" s="24">
        <v>46388.0</v>
      </c>
      <c r="M518" s="24">
        <v>46752.0</v>
      </c>
      <c r="N518" s="20">
        <v>0.0</v>
      </c>
      <c r="O518" s="20">
        <v>1.0</v>
      </c>
      <c r="P518" s="24">
        <v>46753.0</v>
      </c>
      <c r="Q518" s="24">
        <v>47118.0</v>
      </c>
      <c r="R518" s="20">
        <v>0.0</v>
      </c>
      <c r="S518" s="20">
        <v>1.0</v>
      </c>
      <c r="T518" s="24">
        <v>47119.0</v>
      </c>
      <c r="U518" s="24">
        <v>47483.0</v>
      </c>
      <c r="V518" s="20">
        <v>0.0</v>
      </c>
      <c r="W518" s="20">
        <v>1.0</v>
      </c>
      <c r="X518" s="24">
        <v>47484.0</v>
      </c>
      <c r="Y518" s="24">
        <v>47848.0</v>
      </c>
      <c r="Z518" s="20">
        <v>0.0</v>
      </c>
      <c r="AA518" s="20">
        <v>1.0</v>
      </c>
      <c r="AC518" s="24"/>
      <c r="AD518" s="24"/>
      <c r="AH518" s="24"/>
      <c r="AI518" s="24"/>
    </row>
    <row r="519" ht="14.25" customHeight="1">
      <c r="A519" s="46" t="s">
        <v>3418</v>
      </c>
      <c r="B519" s="20" t="s">
        <v>3419</v>
      </c>
      <c r="C519" s="20" t="s">
        <v>7041</v>
      </c>
      <c r="D519" s="24">
        <v>45658.0</v>
      </c>
      <c r="E519" s="24">
        <v>46022.0</v>
      </c>
      <c r="F519" s="20">
        <v>0.0</v>
      </c>
      <c r="G519" s="20">
        <v>1.0</v>
      </c>
      <c r="H519" s="24">
        <v>46023.0</v>
      </c>
      <c r="I519" s="24">
        <v>46387.0</v>
      </c>
      <c r="J519" s="20">
        <v>0.0</v>
      </c>
      <c r="K519" s="20">
        <v>1.0</v>
      </c>
      <c r="L519" s="24">
        <v>46388.0</v>
      </c>
      <c r="M519" s="24">
        <v>46752.0</v>
      </c>
      <c r="N519" s="20">
        <v>0.0</v>
      </c>
      <c r="O519" s="20">
        <v>1.0</v>
      </c>
      <c r="P519" s="24">
        <v>46753.0</v>
      </c>
      <c r="Q519" s="24">
        <v>47118.0</v>
      </c>
      <c r="R519" s="20">
        <v>0.0</v>
      </c>
      <c r="S519" s="20">
        <v>1.0</v>
      </c>
      <c r="T519" s="24">
        <v>47119.0</v>
      </c>
      <c r="U519" s="24">
        <v>47483.0</v>
      </c>
      <c r="V519" s="20">
        <v>0.0</v>
      </c>
      <c r="W519" s="20">
        <v>1.0</v>
      </c>
      <c r="X519" s="24">
        <v>47484.0</v>
      </c>
      <c r="Y519" s="24">
        <v>47848.0</v>
      </c>
      <c r="Z519" s="20">
        <v>0.0</v>
      </c>
      <c r="AA519" s="20">
        <v>1.0</v>
      </c>
      <c r="AC519" s="24"/>
      <c r="AD519" s="24"/>
      <c r="AH519" s="24"/>
      <c r="AI519" s="24"/>
    </row>
    <row r="520" ht="14.25" customHeight="1">
      <c r="A520" s="46" t="s">
        <v>2068</v>
      </c>
      <c r="B520" s="20" t="s">
        <v>2069</v>
      </c>
      <c r="C520" s="20" t="s">
        <v>7041</v>
      </c>
      <c r="D520" s="24">
        <v>45658.0</v>
      </c>
      <c r="E520" s="24">
        <v>46022.0</v>
      </c>
      <c r="F520" s="20">
        <v>0.0</v>
      </c>
      <c r="G520" s="20">
        <v>1.0</v>
      </c>
      <c r="H520" s="24">
        <v>46023.0</v>
      </c>
      <c r="I520" s="24">
        <v>46387.0</v>
      </c>
      <c r="J520" s="20">
        <v>0.0</v>
      </c>
      <c r="K520" s="20">
        <v>1.0</v>
      </c>
      <c r="L520" s="24">
        <v>46388.0</v>
      </c>
      <c r="M520" s="24">
        <v>46752.0</v>
      </c>
      <c r="N520" s="20">
        <v>0.0</v>
      </c>
      <c r="O520" s="20">
        <v>1.0</v>
      </c>
      <c r="P520" s="24">
        <v>46753.0</v>
      </c>
      <c r="Q520" s="24">
        <v>47118.0</v>
      </c>
      <c r="R520" s="20">
        <v>0.0</v>
      </c>
      <c r="S520" s="20">
        <v>1.0</v>
      </c>
      <c r="T520" s="24">
        <v>47119.0</v>
      </c>
      <c r="U520" s="24">
        <v>47483.0</v>
      </c>
      <c r="V520" s="20">
        <v>0.0</v>
      </c>
      <c r="W520" s="20">
        <v>1.0</v>
      </c>
      <c r="X520" s="24">
        <v>47484.0</v>
      </c>
      <c r="Y520" s="24">
        <v>47848.0</v>
      </c>
      <c r="Z520" s="20">
        <v>0.0</v>
      </c>
      <c r="AA520" s="20">
        <v>1.0</v>
      </c>
      <c r="AC520" s="24"/>
      <c r="AD520" s="24"/>
      <c r="AH520" s="24"/>
      <c r="AI520" s="24"/>
    </row>
    <row r="521" ht="14.25" customHeight="1">
      <c r="A521" s="46" t="s">
        <v>6678</v>
      </c>
      <c r="B521" s="20" t="s">
        <v>6679</v>
      </c>
      <c r="C521" s="20" t="s">
        <v>7041</v>
      </c>
      <c r="D521" s="24">
        <v>45658.0</v>
      </c>
      <c r="E521" s="24">
        <v>46022.0</v>
      </c>
      <c r="F521" s="20">
        <v>0.0</v>
      </c>
      <c r="G521" s="20">
        <v>1.0</v>
      </c>
      <c r="H521" s="24">
        <v>46023.0</v>
      </c>
      <c r="I521" s="24">
        <v>46387.0</v>
      </c>
      <c r="J521" s="20">
        <v>0.0</v>
      </c>
      <c r="K521" s="20">
        <v>1.0</v>
      </c>
      <c r="L521" s="24">
        <v>46388.0</v>
      </c>
      <c r="M521" s="24">
        <v>46752.0</v>
      </c>
      <c r="N521" s="20">
        <v>0.0</v>
      </c>
      <c r="O521" s="20">
        <v>1.0</v>
      </c>
      <c r="P521" s="24">
        <v>46753.0</v>
      </c>
      <c r="Q521" s="24">
        <v>47118.0</v>
      </c>
      <c r="R521" s="20">
        <v>0.0</v>
      </c>
      <c r="S521" s="20">
        <v>1.0</v>
      </c>
      <c r="T521" s="24">
        <v>47119.0</v>
      </c>
      <c r="U521" s="24">
        <v>47483.0</v>
      </c>
      <c r="V521" s="20">
        <v>0.0</v>
      </c>
      <c r="W521" s="20">
        <v>1.0</v>
      </c>
      <c r="X521" s="24">
        <v>47484.0</v>
      </c>
      <c r="Y521" s="24">
        <v>47848.0</v>
      </c>
      <c r="Z521" s="20">
        <v>0.0</v>
      </c>
      <c r="AA521" s="20">
        <v>1.0</v>
      </c>
      <c r="AC521" s="24"/>
      <c r="AD521" s="24"/>
      <c r="AH521" s="24"/>
      <c r="AI521" s="24"/>
    </row>
    <row r="522" ht="14.25" customHeight="1">
      <c r="A522" s="46" t="s">
        <v>1829</v>
      </c>
      <c r="B522" s="20" t="s">
        <v>1830</v>
      </c>
      <c r="C522" s="20" t="s">
        <v>7041</v>
      </c>
      <c r="D522" s="24">
        <v>45658.0</v>
      </c>
      <c r="E522" s="24">
        <v>46022.0</v>
      </c>
      <c r="F522" s="20">
        <v>0.0</v>
      </c>
      <c r="G522" s="20">
        <v>1.0</v>
      </c>
      <c r="H522" s="24">
        <v>46023.0</v>
      </c>
      <c r="I522" s="24">
        <v>46387.0</v>
      </c>
      <c r="J522" s="20">
        <v>0.0</v>
      </c>
      <c r="K522" s="20">
        <v>1.0</v>
      </c>
      <c r="L522" s="24">
        <v>46388.0</v>
      </c>
      <c r="M522" s="24">
        <v>46752.0</v>
      </c>
      <c r="N522" s="20">
        <v>0.0</v>
      </c>
      <c r="O522" s="20">
        <v>1.0</v>
      </c>
      <c r="P522" s="24">
        <v>46753.0</v>
      </c>
      <c r="Q522" s="24">
        <v>47118.0</v>
      </c>
      <c r="R522" s="20">
        <v>0.0</v>
      </c>
      <c r="S522" s="20">
        <v>1.0</v>
      </c>
      <c r="T522" s="24">
        <v>47119.0</v>
      </c>
      <c r="U522" s="24">
        <v>47483.0</v>
      </c>
      <c r="V522" s="20">
        <v>0.0</v>
      </c>
      <c r="W522" s="20">
        <v>1.0</v>
      </c>
      <c r="X522" s="24">
        <v>47484.0</v>
      </c>
      <c r="Y522" s="24">
        <v>47848.0</v>
      </c>
      <c r="Z522" s="20">
        <v>0.0</v>
      </c>
      <c r="AA522" s="20">
        <v>1.0</v>
      </c>
      <c r="AC522" s="24"/>
      <c r="AD522" s="24"/>
      <c r="AH522" s="24"/>
      <c r="AI522" s="24"/>
    </row>
    <row r="523" ht="14.25" customHeight="1">
      <c r="A523" s="46" t="s">
        <v>2488</v>
      </c>
      <c r="B523" s="20" t="s">
        <v>2489</v>
      </c>
      <c r="C523" s="20" t="s">
        <v>7041</v>
      </c>
      <c r="D523" s="24">
        <v>45658.0</v>
      </c>
      <c r="E523" s="24">
        <v>46022.0</v>
      </c>
      <c r="F523" s="20">
        <v>0.0</v>
      </c>
      <c r="G523" s="20">
        <v>1.0</v>
      </c>
      <c r="H523" s="24">
        <v>46023.0</v>
      </c>
      <c r="I523" s="24">
        <v>46387.0</v>
      </c>
      <c r="J523" s="20">
        <v>0.0</v>
      </c>
      <c r="K523" s="20">
        <v>1.0</v>
      </c>
      <c r="L523" s="24">
        <v>46388.0</v>
      </c>
      <c r="M523" s="24">
        <v>46752.0</v>
      </c>
      <c r="N523" s="20">
        <v>0.0</v>
      </c>
      <c r="O523" s="20">
        <v>1.0</v>
      </c>
      <c r="P523" s="24">
        <v>46753.0</v>
      </c>
      <c r="Q523" s="24">
        <v>47118.0</v>
      </c>
      <c r="R523" s="20">
        <v>0.0</v>
      </c>
      <c r="S523" s="20">
        <v>1.0</v>
      </c>
      <c r="T523" s="24">
        <v>47119.0</v>
      </c>
      <c r="U523" s="24">
        <v>47483.0</v>
      </c>
      <c r="V523" s="20">
        <v>0.0</v>
      </c>
      <c r="W523" s="20">
        <v>1.0</v>
      </c>
      <c r="X523" s="24">
        <v>47484.0</v>
      </c>
      <c r="Y523" s="24">
        <v>47848.0</v>
      </c>
      <c r="Z523" s="20">
        <v>0.0</v>
      </c>
      <c r="AA523" s="20">
        <v>1.0</v>
      </c>
      <c r="AC523" s="24"/>
      <c r="AD523" s="24"/>
      <c r="AH523" s="24"/>
      <c r="AI523" s="24"/>
    </row>
    <row r="524" ht="14.25" customHeight="1">
      <c r="A524" s="20" t="s">
        <v>4686</v>
      </c>
      <c r="B524" s="20" t="s">
        <v>4687</v>
      </c>
      <c r="C524" s="20" t="s">
        <v>7041</v>
      </c>
      <c r="D524" s="24">
        <v>45658.0</v>
      </c>
      <c r="E524" s="24">
        <v>46022.0</v>
      </c>
      <c r="F524" s="20">
        <v>0.0</v>
      </c>
      <c r="G524" s="20">
        <v>1.0</v>
      </c>
      <c r="H524" s="24">
        <v>46023.0</v>
      </c>
      <c r="I524" s="24">
        <v>46387.0</v>
      </c>
      <c r="J524" s="20">
        <v>0.0</v>
      </c>
      <c r="K524" s="20">
        <v>1.0</v>
      </c>
      <c r="L524" s="24">
        <v>46388.0</v>
      </c>
      <c r="M524" s="24">
        <v>46752.0</v>
      </c>
      <c r="N524" s="20">
        <v>0.0</v>
      </c>
      <c r="O524" s="20">
        <v>1.0</v>
      </c>
      <c r="P524" s="24">
        <v>46753.0</v>
      </c>
      <c r="Q524" s="24">
        <v>47118.0</v>
      </c>
      <c r="R524" s="20">
        <v>0.0</v>
      </c>
      <c r="S524" s="20">
        <v>1.0</v>
      </c>
      <c r="T524" s="24">
        <v>47119.0</v>
      </c>
      <c r="U524" s="24">
        <v>47483.0</v>
      </c>
      <c r="V524" s="20">
        <v>0.0</v>
      </c>
      <c r="W524" s="20">
        <v>1.0</v>
      </c>
      <c r="X524" s="24">
        <v>47484.0</v>
      </c>
      <c r="Y524" s="24">
        <v>47848.0</v>
      </c>
      <c r="Z524" s="20">
        <v>0.0</v>
      </c>
      <c r="AA524" s="20">
        <v>1.0</v>
      </c>
      <c r="AC524" s="24"/>
      <c r="AD524" s="24"/>
      <c r="AH524" s="24"/>
      <c r="AI524" s="24"/>
    </row>
    <row r="525" ht="14.25" customHeight="1">
      <c r="A525" s="20" t="s">
        <v>6336</v>
      </c>
      <c r="B525" s="20" t="s">
        <v>6337</v>
      </c>
      <c r="C525" s="20" t="s">
        <v>7041</v>
      </c>
      <c r="D525" s="24">
        <v>45658.0</v>
      </c>
      <c r="E525" s="24">
        <v>46022.0</v>
      </c>
      <c r="F525" s="20">
        <v>0.0</v>
      </c>
      <c r="G525" s="20">
        <v>1.0</v>
      </c>
      <c r="H525" s="24">
        <v>46023.0</v>
      </c>
      <c r="I525" s="24">
        <v>46387.0</v>
      </c>
      <c r="J525" s="20">
        <v>0.0</v>
      </c>
      <c r="K525" s="20">
        <v>1.0</v>
      </c>
      <c r="L525" s="24">
        <v>46388.0</v>
      </c>
      <c r="M525" s="24">
        <v>46752.0</v>
      </c>
      <c r="N525" s="20">
        <v>0.0</v>
      </c>
      <c r="O525" s="20">
        <v>1.0</v>
      </c>
      <c r="P525" s="24">
        <v>46753.0</v>
      </c>
      <c r="Q525" s="24">
        <v>47118.0</v>
      </c>
      <c r="R525" s="20">
        <v>0.0</v>
      </c>
      <c r="S525" s="20">
        <v>1.0</v>
      </c>
      <c r="T525" s="24">
        <v>47119.0</v>
      </c>
      <c r="U525" s="24">
        <v>47483.0</v>
      </c>
      <c r="V525" s="20">
        <v>0.0</v>
      </c>
      <c r="W525" s="20">
        <v>1.0</v>
      </c>
      <c r="X525" s="24">
        <v>47484.0</v>
      </c>
      <c r="Y525" s="24">
        <v>47848.0</v>
      </c>
      <c r="Z525" s="20">
        <v>0.0</v>
      </c>
      <c r="AA525" s="20">
        <v>1.0</v>
      </c>
      <c r="AC525" s="24"/>
      <c r="AD525" s="24"/>
      <c r="AH525" s="24"/>
      <c r="AI525" s="24"/>
    </row>
    <row r="526" ht="14.25" customHeight="1">
      <c r="A526" s="20" t="s">
        <v>4272</v>
      </c>
      <c r="B526" s="20" t="s">
        <v>4273</v>
      </c>
      <c r="C526" s="20" t="s">
        <v>7041</v>
      </c>
      <c r="D526" s="24">
        <v>45658.0</v>
      </c>
      <c r="E526" s="24">
        <v>46022.0</v>
      </c>
      <c r="F526" s="20">
        <v>0.0</v>
      </c>
      <c r="G526" s="20">
        <v>1.0</v>
      </c>
      <c r="H526" s="24">
        <v>46023.0</v>
      </c>
      <c r="I526" s="24">
        <v>46387.0</v>
      </c>
      <c r="J526" s="20">
        <v>0.0</v>
      </c>
      <c r="K526" s="20">
        <v>1.0</v>
      </c>
      <c r="L526" s="24">
        <v>46388.0</v>
      </c>
      <c r="M526" s="24">
        <v>46752.0</v>
      </c>
      <c r="N526" s="20">
        <v>0.0</v>
      </c>
      <c r="O526" s="20">
        <v>1.0</v>
      </c>
      <c r="P526" s="24">
        <v>46753.0</v>
      </c>
      <c r="Q526" s="24">
        <v>47118.0</v>
      </c>
      <c r="R526" s="20">
        <v>0.0</v>
      </c>
      <c r="S526" s="20">
        <v>1.0</v>
      </c>
      <c r="T526" s="24">
        <v>47119.0</v>
      </c>
      <c r="U526" s="24">
        <v>47483.0</v>
      </c>
      <c r="V526" s="20">
        <v>0.0</v>
      </c>
      <c r="W526" s="20">
        <v>1.0</v>
      </c>
      <c r="X526" s="24">
        <v>47484.0</v>
      </c>
      <c r="Y526" s="24">
        <v>47848.0</v>
      </c>
      <c r="Z526" s="20">
        <v>0.0</v>
      </c>
      <c r="AA526" s="20">
        <v>1.0</v>
      </c>
      <c r="AC526" s="24"/>
      <c r="AD526" s="24"/>
      <c r="AH526" s="24"/>
      <c r="AI526" s="24"/>
    </row>
    <row r="527" ht="14.25" customHeight="1">
      <c r="A527" s="20" t="s">
        <v>4107</v>
      </c>
      <c r="B527" s="20" t="s">
        <v>4108</v>
      </c>
      <c r="C527" s="20" t="s">
        <v>7041</v>
      </c>
      <c r="D527" s="24">
        <v>45658.0</v>
      </c>
      <c r="E527" s="24">
        <v>46022.0</v>
      </c>
      <c r="F527" s="20">
        <v>0.0</v>
      </c>
      <c r="G527" s="20">
        <v>1.0</v>
      </c>
      <c r="H527" s="24">
        <v>46023.0</v>
      </c>
      <c r="I527" s="24">
        <v>46387.0</v>
      </c>
      <c r="J527" s="20">
        <v>0.0</v>
      </c>
      <c r="K527" s="20">
        <v>1.0</v>
      </c>
      <c r="L527" s="24">
        <v>46388.0</v>
      </c>
      <c r="M527" s="24">
        <v>46752.0</v>
      </c>
      <c r="N527" s="20">
        <v>0.0</v>
      </c>
      <c r="O527" s="20">
        <v>1.0</v>
      </c>
      <c r="P527" s="24">
        <v>46753.0</v>
      </c>
      <c r="Q527" s="24">
        <v>47118.0</v>
      </c>
      <c r="R527" s="20">
        <v>0.0</v>
      </c>
      <c r="S527" s="20">
        <v>1.0</v>
      </c>
      <c r="T527" s="24">
        <v>47119.0</v>
      </c>
      <c r="U527" s="24">
        <v>47483.0</v>
      </c>
      <c r="V527" s="20">
        <v>0.0</v>
      </c>
      <c r="W527" s="20">
        <v>1.0</v>
      </c>
      <c r="X527" s="24">
        <v>47484.0</v>
      </c>
      <c r="Y527" s="24">
        <v>47848.0</v>
      </c>
      <c r="Z527" s="20">
        <v>0.0</v>
      </c>
      <c r="AA527" s="20">
        <v>1.0</v>
      </c>
      <c r="AC527" s="24"/>
      <c r="AD527" s="24"/>
      <c r="AH527" s="24"/>
      <c r="AI527" s="24"/>
    </row>
    <row r="528" ht="14.25" customHeight="1">
      <c r="A528" s="20" t="s">
        <v>6367</v>
      </c>
      <c r="B528" s="20" t="s">
        <v>6368</v>
      </c>
      <c r="C528" s="20" t="s">
        <v>7041</v>
      </c>
      <c r="D528" s="24">
        <v>45658.0</v>
      </c>
      <c r="E528" s="24">
        <v>46022.0</v>
      </c>
      <c r="F528" s="20">
        <v>0.0</v>
      </c>
      <c r="G528" s="20">
        <v>1.0</v>
      </c>
      <c r="H528" s="24">
        <v>46023.0</v>
      </c>
      <c r="I528" s="24">
        <v>46387.0</v>
      </c>
      <c r="J528" s="20">
        <v>0.0</v>
      </c>
      <c r="K528" s="20">
        <v>1.0</v>
      </c>
      <c r="L528" s="24">
        <v>46388.0</v>
      </c>
      <c r="M528" s="24">
        <v>46752.0</v>
      </c>
      <c r="N528" s="20">
        <v>0.0</v>
      </c>
      <c r="O528" s="20">
        <v>1.0</v>
      </c>
      <c r="P528" s="24">
        <v>46753.0</v>
      </c>
      <c r="Q528" s="24">
        <v>47118.0</v>
      </c>
      <c r="R528" s="20">
        <v>0.0</v>
      </c>
      <c r="S528" s="20">
        <v>1.0</v>
      </c>
      <c r="T528" s="24">
        <v>47119.0</v>
      </c>
      <c r="U528" s="24">
        <v>47483.0</v>
      </c>
      <c r="V528" s="20">
        <v>0.0</v>
      </c>
      <c r="W528" s="20">
        <v>1.0</v>
      </c>
      <c r="X528" s="24">
        <v>47484.0</v>
      </c>
      <c r="Y528" s="24">
        <v>47848.0</v>
      </c>
      <c r="Z528" s="20">
        <v>0.0</v>
      </c>
      <c r="AA528" s="20">
        <v>1.0</v>
      </c>
      <c r="AC528" s="24"/>
      <c r="AD528" s="24"/>
      <c r="AH528" s="24"/>
      <c r="AI528" s="24"/>
    </row>
    <row r="529" ht="14.25" customHeight="1">
      <c r="A529" s="20" t="s">
        <v>4457</v>
      </c>
      <c r="B529" s="20" t="s">
        <v>4458</v>
      </c>
      <c r="C529" s="20" t="s">
        <v>7041</v>
      </c>
      <c r="D529" s="24">
        <v>45658.0</v>
      </c>
      <c r="E529" s="24">
        <v>46022.0</v>
      </c>
      <c r="F529" s="20">
        <v>0.0</v>
      </c>
      <c r="G529" s="20">
        <v>1.0</v>
      </c>
      <c r="H529" s="24">
        <v>46023.0</v>
      </c>
      <c r="I529" s="24">
        <v>46387.0</v>
      </c>
      <c r="J529" s="20">
        <v>0.0</v>
      </c>
      <c r="K529" s="20">
        <v>1.0</v>
      </c>
      <c r="L529" s="24">
        <v>46388.0</v>
      </c>
      <c r="M529" s="24">
        <v>46752.0</v>
      </c>
      <c r="N529" s="20">
        <v>0.0</v>
      </c>
      <c r="O529" s="20">
        <v>1.0</v>
      </c>
      <c r="P529" s="24">
        <v>46753.0</v>
      </c>
      <c r="Q529" s="24">
        <v>47118.0</v>
      </c>
      <c r="R529" s="20">
        <v>0.0</v>
      </c>
      <c r="S529" s="20">
        <v>1.0</v>
      </c>
      <c r="T529" s="24">
        <v>47119.0</v>
      </c>
      <c r="U529" s="24">
        <v>47483.0</v>
      </c>
      <c r="V529" s="20">
        <v>0.0</v>
      </c>
      <c r="W529" s="20">
        <v>1.0</v>
      </c>
      <c r="X529" s="24">
        <v>47484.0</v>
      </c>
      <c r="Y529" s="24">
        <v>47848.0</v>
      </c>
      <c r="Z529" s="20">
        <v>0.0</v>
      </c>
      <c r="AA529" s="20">
        <v>1.0</v>
      </c>
      <c r="AC529" s="24"/>
      <c r="AD529" s="24"/>
      <c r="AH529" s="24"/>
      <c r="AI529" s="24"/>
    </row>
    <row r="530" ht="14.25" customHeight="1">
      <c r="A530" s="20" t="s">
        <v>1433</v>
      </c>
      <c r="B530" s="20" t="s">
        <v>1434</v>
      </c>
      <c r="C530" s="20" t="s">
        <v>7041</v>
      </c>
      <c r="D530" s="24">
        <v>45658.0</v>
      </c>
      <c r="E530" s="24">
        <v>46022.0</v>
      </c>
      <c r="F530" s="20">
        <v>0.0</v>
      </c>
      <c r="G530" s="20">
        <v>1.0</v>
      </c>
      <c r="H530" s="24">
        <v>46023.0</v>
      </c>
      <c r="I530" s="24">
        <v>46387.0</v>
      </c>
      <c r="J530" s="20">
        <v>0.0</v>
      </c>
      <c r="K530" s="20">
        <v>1.0</v>
      </c>
      <c r="L530" s="24">
        <v>46388.0</v>
      </c>
      <c r="M530" s="24">
        <v>46752.0</v>
      </c>
      <c r="N530" s="20">
        <v>0.0</v>
      </c>
      <c r="O530" s="20">
        <v>1.0</v>
      </c>
      <c r="P530" s="24">
        <v>46753.0</v>
      </c>
      <c r="Q530" s="24">
        <v>47118.0</v>
      </c>
      <c r="R530" s="20">
        <v>0.0</v>
      </c>
      <c r="S530" s="20">
        <v>1.0</v>
      </c>
      <c r="T530" s="24">
        <v>47119.0</v>
      </c>
      <c r="U530" s="24">
        <v>47483.0</v>
      </c>
      <c r="V530" s="20">
        <v>0.0</v>
      </c>
      <c r="W530" s="20">
        <v>1.0</v>
      </c>
      <c r="X530" s="24">
        <v>47484.0</v>
      </c>
      <c r="Y530" s="24">
        <v>47848.0</v>
      </c>
      <c r="Z530" s="20">
        <v>0.0</v>
      </c>
      <c r="AA530" s="20">
        <v>1.0</v>
      </c>
      <c r="AC530" s="24"/>
      <c r="AD530" s="24"/>
      <c r="AH530" s="24"/>
      <c r="AI530" s="24"/>
    </row>
    <row r="531" ht="14.25" customHeight="1">
      <c r="A531" s="20" t="s">
        <v>3897</v>
      </c>
      <c r="B531" s="20" t="s">
        <v>3898</v>
      </c>
      <c r="C531" s="20" t="s">
        <v>7044</v>
      </c>
      <c r="D531" s="24">
        <v>45658.0</v>
      </c>
      <c r="E531" s="24">
        <v>46022.0</v>
      </c>
      <c r="F531" s="20">
        <v>0.0</v>
      </c>
      <c r="G531" s="20">
        <v>1.0</v>
      </c>
      <c r="H531" s="24">
        <v>46023.0</v>
      </c>
      <c r="I531" s="24">
        <v>46387.0</v>
      </c>
      <c r="J531" s="20">
        <v>0.0</v>
      </c>
      <c r="K531" s="20">
        <v>1.0</v>
      </c>
      <c r="L531" s="24">
        <v>46388.0</v>
      </c>
      <c r="M531" s="24">
        <v>46752.0</v>
      </c>
      <c r="N531" s="20">
        <v>0.0</v>
      </c>
      <c r="O531" s="20">
        <v>1.0</v>
      </c>
      <c r="P531" s="24">
        <v>46753.0</v>
      </c>
      <c r="Q531" s="24">
        <v>47118.0</v>
      </c>
      <c r="R531" s="20">
        <v>0.0</v>
      </c>
      <c r="S531" s="20">
        <v>1.0</v>
      </c>
      <c r="T531" s="24">
        <v>47119.0</v>
      </c>
      <c r="U531" s="24">
        <v>47483.0</v>
      </c>
      <c r="V531" s="20">
        <v>0.0</v>
      </c>
      <c r="W531" s="20">
        <v>1.0</v>
      </c>
      <c r="X531" s="24">
        <v>47484.0</v>
      </c>
      <c r="Y531" s="24">
        <v>47848.0</v>
      </c>
      <c r="Z531" s="20">
        <v>0.0</v>
      </c>
      <c r="AA531" s="20">
        <v>1.0</v>
      </c>
      <c r="AC531" s="24"/>
      <c r="AD531" s="24"/>
      <c r="AH531" s="24"/>
      <c r="AI531" s="24"/>
    </row>
    <row r="532" ht="14.25" customHeight="1">
      <c r="D532" s="24"/>
      <c r="E532" s="24"/>
      <c r="I532" s="24"/>
      <c r="J532" s="24"/>
      <c r="N532" s="24"/>
      <c r="O532" s="24"/>
      <c r="S532" s="24"/>
      <c r="T532" s="24"/>
      <c r="X532" s="24"/>
      <c r="Y532" s="24"/>
      <c r="AC532" s="24"/>
      <c r="AD532" s="24"/>
      <c r="AH532" s="24"/>
      <c r="AI532" s="24"/>
    </row>
    <row r="533" ht="14.25" customHeight="1">
      <c r="D533" s="24"/>
      <c r="E533" s="24"/>
      <c r="I533" s="24"/>
      <c r="J533" s="24"/>
      <c r="N533" s="24"/>
      <c r="O533" s="24"/>
      <c r="S533" s="24"/>
      <c r="T533" s="24"/>
      <c r="X533" s="24"/>
      <c r="Y533" s="24"/>
      <c r="AC533" s="24"/>
      <c r="AD533" s="24"/>
      <c r="AH533" s="24"/>
      <c r="AI533" s="24"/>
    </row>
    <row r="534" ht="14.25" customHeight="1">
      <c r="D534" s="24"/>
      <c r="E534" s="24"/>
      <c r="I534" s="24"/>
      <c r="J534" s="24"/>
      <c r="N534" s="24"/>
      <c r="O534" s="24"/>
      <c r="S534" s="24"/>
      <c r="T534" s="24"/>
      <c r="X534" s="24"/>
      <c r="Y534" s="24"/>
      <c r="AC534" s="24"/>
      <c r="AD534" s="24"/>
      <c r="AH534" s="24"/>
      <c r="AI534" s="24"/>
    </row>
    <row r="535" ht="14.25" customHeight="1">
      <c r="D535" s="24"/>
      <c r="E535" s="24"/>
      <c r="I535" s="24"/>
      <c r="J535" s="24"/>
      <c r="N535" s="24"/>
      <c r="O535" s="24"/>
      <c r="S535" s="24"/>
      <c r="T535" s="24"/>
      <c r="X535" s="24"/>
      <c r="Y535" s="24"/>
      <c r="AC535" s="24"/>
      <c r="AD535" s="24"/>
      <c r="AH535" s="24"/>
      <c r="AI535" s="24"/>
    </row>
    <row r="536" ht="14.25" customHeight="1">
      <c r="D536" s="24"/>
      <c r="E536" s="24"/>
      <c r="I536" s="24"/>
      <c r="J536" s="24"/>
      <c r="N536" s="24"/>
      <c r="O536" s="24"/>
      <c r="S536" s="24"/>
      <c r="T536" s="24"/>
      <c r="X536" s="24"/>
      <c r="Y536" s="24"/>
      <c r="AC536" s="24"/>
      <c r="AD536" s="24"/>
      <c r="AH536" s="24"/>
      <c r="AI536" s="24"/>
    </row>
    <row r="537" ht="14.25" customHeight="1">
      <c r="D537" s="24"/>
      <c r="E537" s="24"/>
      <c r="I537" s="24"/>
      <c r="J537" s="24"/>
      <c r="N537" s="24"/>
      <c r="O537" s="24"/>
      <c r="S537" s="24"/>
      <c r="T537" s="24"/>
      <c r="X537" s="24"/>
      <c r="Y537" s="24"/>
      <c r="AC537" s="24"/>
      <c r="AD537" s="24"/>
      <c r="AH537" s="24"/>
      <c r="AI537" s="24"/>
    </row>
    <row r="538" ht="14.25" customHeight="1">
      <c r="D538" s="24"/>
      <c r="E538" s="24"/>
      <c r="I538" s="24"/>
      <c r="J538" s="24"/>
      <c r="N538" s="24"/>
      <c r="O538" s="24"/>
      <c r="S538" s="24"/>
      <c r="T538" s="24"/>
      <c r="X538" s="24"/>
      <c r="Y538" s="24"/>
      <c r="AC538" s="24"/>
      <c r="AD538" s="24"/>
      <c r="AH538" s="24"/>
      <c r="AI538" s="24"/>
    </row>
    <row r="539" ht="14.25" customHeight="1">
      <c r="D539" s="24"/>
      <c r="E539" s="24"/>
      <c r="I539" s="24"/>
      <c r="J539" s="24"/>
      <c r="N539" s="24"/>
      <c r="O539" s="24"/>
      <c r="S539" s="24"/>
      <c r="T539" s="24"/>
      <c r="X539" s="24"/>
      <c r="Y539" s="24"/>
      <c r="AC539" s="24"/>
      <c r="AD539" s="24"/>
      <c r="AH539" s="24"/>
      <c r="AI539" s="24"/>
    </row>
    <row r="540" ht="14.25" customHeight="1">
      <c r="D540" s="24"/>
      <c r="E540" s="24"/>
      <c r="I540" s="24"/>
      <c r="J540" s="24"/>
      <c r="N540" s="24"/>
      <c r="O540" s="24"/>
      <c r="S540" s="24"/>
      <c r="T540" s="24"/>
      <c r="X540" s="24"/>
      <c r="Y540" s="24"/>
      <c r="AC540" s="24"/>
      <c r="AD540" s="24"/>
      <c r="AH540" s="24"/>
      <c r="AI540" s="24"/>
    </row>
    <row r="541" ht="14.25" customHeight="1">
      <c r="D541" s="24"/>
      <c r="E541" s="24"/>
      <c r="I541" s="24"/>
      <c r="J541" s="24"/>
      <c r="N541" s="24"/>
      <c r="O541" s="24"/>
      <c r="S541" s="24"/>
      <c r="T541" s="24"/>
      <c r="X541" s="24"/>
      <c r="Y541" s="24"/>
      <c r="AC541" s="24"/>
      <c r="AD541" s="24"/>
      <c r="AH541" s="24"/>
      <c r="AI541" s="24"/>
    </row>
    <row r="542" ht="14.25" customHeight="1">
      <c r="D542" s="24"/>
      <c r="E542" s="24"/>
      <c r="I542" s="24"/>
      <c r="J542" s="24"/>
      <c r="N542" s="24"/>
      <c r="O542" s="24"/>
      <c r="S542" s="24"/>
      <c r="T542" s="24"/>
      <c r="X542" s="24"/>
      <c r="Y542" s="24"/>
      <c r="AC542" s="24"/>
      <c r="AD542" s="24"/>
      <c r="AH542" s="24"/>
      <c r="AI542" s="24"/>
    </row>
    <row r="543" ht="14.25" customHeight="1">
      <c r="D543" s="24"/>
      <c r="E543" s="24"/>
      <c r="I543" s="24"/>
      <c r="J543" s="24"/>
      <c r="N543" s="24"/>
      <c r="O543" s="24"/>
      <c r="S543" s="24"/>
      <c r="T543" s="24"/>
      <c r="X543" s="24"/>
      <c r="Y543" s="24"/>
      <c r="AC543" s="24"/>
      <c r="AD543" s="24"/>
      <c r="AH543" s="24"/>
      <c r="AI543" s="24"/>
    </row>
    <row r="544" ht="14.25" customHeight="1">
      <c r="D544" s="24"/>
      <c r="E544" s="24"/>
      <c r="I544" s="24"/>
      <c r="J544" s="24"/>
      <c r="N544" s="24"/>
      <c r="O544" s="24"/>
      <c r="S544" s="24"/>
      <c r="T544" s="24"/>
      <c r="X544" s="24"/>
      <c r="Y544" s="24"/>
      <c r="AC544" s="24"/>
      <c r="AD544" s="24"/>
      <c r="AH544" s="24"/>
      <c r="AI544" s="24"/>
    </row>
    <row r="545" ht="14.25" customHeight="1">
      <c r="D545" s="24"/>
      <c r="E545" s="24"/>
      <c r="I545" s="24"/>
      <c r="J545" s="24"/>
      <c r="N545" s="24"/>
      <c r="O545" s="24"/>
      <c r="S545" s="24"/>
      <c r="T545" s="24"/>
      <c r="X545" s="24"/>
      <c r="Y545" s="24"/>
      <c r="AC545" s="24"/>
      <c r="AD545" s="24"/>
      <c r="AH545" s="24"/>
      <c r="AI545" s="24"/>
    </row>
    <row r="546" ht="14.25" customHeight="1">
      <c r="D546" s="24"/>
      <c r="E546" s="24"/>
      <c r="I546" s="24"/>
      <c r="J546" s="24"/>
      <c r="N546" s="24"/>
      <c r="O546" s="24"/>
      <c r="S546" s="24"/>
      <c r="T546" s="24"/>
      <c r="X546" s="24"/>
      <c r="Y546" s="24"/>
      <c r="AC546" s="24"/>
      <c r="AD546" s="24"/>
      <c r="AH546" s="24"/>
      <c r="AI546" s="24"/>
    </row>
    <row r="547" ht="14.25" customHeight="1">
      <c r="D547" s="24"/>
      <c r="E547" s="24"/>
      <c r="I547" s="24"/>
      <c r="J547" s="24"/>
      <c r="N547" s="24"/>
      <c r="O547" s="24"/>
      <c r="S547" s="24"/>
      <c r="T547" s="24"/>
      <c r="X547" s="24"/>
      <c r="Y547" s="24"/>
      <c r="AC547" s="24"/>
      <c r="AD547" s="24"/>
      <c r="AH547" s="24"/>
      <c r="AI547" s="24"/>
    </row>
    <row r="548" ht="14.25" customHeight="1">
      <c r="D548" s="24"/>
      <c r="E548" s="24"/>
      <c r="I548" s="24"/>
      <c r="J548" s="24"/>
      <c r="N548" s="24"/>
      <c r="O548" s="24"/>
      <c r="S548" s="24"/>
      <c r="T548" s="24"/>
      <c r="X548" s="24"/>
      <c r="Y548" s="24"/>
      <c r="AC548" s="24"/>
      <c r="AD548" s="24"/>
      <c r="AH548" s="24"/>
      <c r="AI548" s="24"/>
    </row>
    <row r="549" ht="14.25" customHeight="1">
      <c r="D549" s="24"/>
      <c r="E549" s="24"/>
      <c r="I549" s="24"/>
      <c r="J549" s="24"/>
      <c r="N549" s="24"/>
      <c r="O549" s="24"/>
      <c r="S549" s="24"/>
      <c r="T549" s="24"/>
      <c r="X549" s="24"/>
      <c r="Y549" s="24"/>
      <c r="AC549" s="24"/>
      <c r="AD549" s="24"/>
      <c r="AH549" s="24"/>
      <c r="AI549" s="24"/>
    </row>
    <row r="550" ht="14.25" customHeight="1">
      <c r="D550" s="24"/>
      <c r="E550" s="24"/>
      <c r="I550" s="24"/>
      <c r="J550" s="24"/>
      <c r="N550" s="24"/>
      <c r="O550" s="24"/>
      <c r="S550" s="24"/>
      <c r="T550" s="24"/>
      <c r="X550" s="24"/>
      <c r="Y550" s="24"/>
      <c r="AC550" s="24"/>
      <c r="AD550" s="24"/>
      <c r="AH550" s="24"/>
      <c r="AI550" s="24"/>
    </row>
    <row r="551" ht="14.25" customHeight="1">
      <c r="D551" s="24"/>
      <c r="E551" s="24"/>
      <c r="I551" s="24"/>
      <c r="J551" s="24"/>
      <c r="N551" s="24"/>
      <c r="O551" s="24"/>
      <c r="S551" s="24"/>
      <c r="T551" s="24"/>
      <c r="X551" s="24"/>
      <c r="Y551" s="24"/>
      <c r="AC551" s="24"/>
      <c r="AD551" s="24"/>
      <c r="AH551" s="24"/>
      <c r="AI551" s="24"/>
    </row>
    <row r="552" ht="14.25" customHeight="1">
      <c r="D552" s="24"/>
      <c r="E552" s="24"/>
      <c r="I552" s="24"/>
      <c r="J552" s="24"/>
      <c r="N552" s="24"/>
      <c r="O552" s="24"/>
      <c r="S552" s="24"/>
      <c r="T552" s="24"/>
      <c r="X552" s="24"/>
      <c r="Y552" s="24"/>
      <c r="AC552" s="24"/>
      <c r="AD552" s="24"/>
      <c r="AH552" s="24"/>
      <c r="AI552" s="24"/>
    </row>
    <row r="553" ht="14.25" customHeight="1">
      <c r="D553" s="24"/>
      <c r="E553" s="24"/>
      <c r="I553" s="24"/>
      <c r="J553" s="24"/>
      <c r="N553" s="24"/>
      <c r="O553" s="24"/>
      <c r="S553" s="24"/>
      <c r="T553" s="24"/>
      <c r="X553" s="24"/>
      <c r="Y553" s="24"/>
      <c r="AC553" s="24"/>
      <c r="AD553" s="24"/>
      <c r="AH553" s="24"/>
      <c r="AI553" s="24"/>
    </row>
    <row r="554" ht="14.25" customHeight="1">
      <c r="D554" s="24"/>
      <c r="E554" s="24"/>
      <c r="I554" s="24"/>
      <c r="J554" s="24"/>
      <c r="N554" s="24"/>
      <c r="O554" s="24"/>
      <c r="S554" s="24"/>
      <c r="T554" s="24"/>
      <c r="X554" s="24"/>
      <c r="Y554" s="24"/>
      <c r="AC554" s="24"/>
      <c r="AD554" s="24"/>
      <c r="AH554" s="24"/>
      <c r="AI554" s="24"/>
    </row>
    <row r="555" ht="14.25" customHeight="1">
      <c r="D555" s="24"/>
      <c r="E555" s="24"/>
      <c r="I555" s="24"/>
      <c r="J555" s="24"/>
      <c r="N555" s="24"/>
      <c r="O555" s="24"/>
      <c r="S555" s="24"/>
      <c r="T555" s="24"/>
      <c r="X555" s="24"/>
      <c r="Y555" s="24"/>
      <c r="AC555" s="24"/>
      <c r="AD555" s="24"/>
      <c r="AH555" s="24"/>
      <c r="AI555" s="24"/>
    </row>
    <row r="556" ht="14.25" customHeight="1">
      <c r="D556" s="24"/>
      <c r="E556" s="24"/>
      <c r="I556" s="24"/>
      <c r="J556" s="24"/>
      <c r="N556" s="24"/>
      <c r="O556" s="24"/>
      <c r="S556" s="24"/>
      <c r="T556" s="24"/>
      <c r="X556" s="24"/>
      <c r="Y556" s="24"/>
      <c r="AC556" s="24"/>
      <c r="AD556" s="24"/>
      <c r="AH556" s="24"/>
      <c r="AI556" s="24"/>
    </row>
    <row r="557" ht="14.25" customHeight="1">
      <c r="D557" s="24"/>
      <c r="E557" s="24"/>
      <c r="I557" s="24"/>
      <c r="J557" s="24"/>
      <c r="N557" s="24"/>
      <c r="O557" s="24"/>
      <c r="S557" s="24"/>
      <c r="T557" s="24"/>
      <c r="X557" s="24"/>
      <c r="Y557" s="24"/>
      <c r="AC557" s="24"/>
      <c r="AD557" s="24"/>
      <c r="AH557" s="24"/>
      <c r="AI557" s="24"/>
    </row>
    <row r="558" ht="14.25" customHeight="1">
      <c r="D558" s="24"/>
      <c r="E558" s="24"/>
      <c r="I558" s="24"/>
      <c r="J558" s="24"/>
      <c r="N558" s="24"/>
      <c r="O558" s="24"/>
      <c r="S558" s="24"/>
      <c r="T558" s="24"/>
      <c r="X558" s="24"/>
      <c r="Y558" s="24"/>
      <c r="AC558" s="24"/>
      <c r="AD558" s="24"/>
      <c r="AH558" s="24"/>
      <c r="AI558" s="24"/>
    </row>
    <row r="559" ht="14.25" customHeight="1">
      <c r="D559" s="24"/>
      <c r="E559" s="24"/>
      <c r="I559" s="24"/>
      <c r="J559" s="24"/>
      <c r="N559" s="24"/>
      <c r="O559" s="24"/>
      <c r="S559" s="24"/>
      <c r="T559" s="24"/>
      <c r="X559" s="24"/>
      <c r="Y559" s="24"/>
      <c r="AC559" s="24"/>
      <c r="AD559" s="24"/>
      <c r="AH559" s="24"/>
      <c r="AI559" s="24"/>
    </row>
    <row r="560" ht="14.25" customHeight="1">
      <c r="D560" s="24"/>
      <c r="E560" s="24"/>
      <c r="I560" s="24"/>
      <c r="J560" s="24"/>
      <c r="N560" s="24"/>
      <c r="O560" s="24"/>
      <c r="S560" s="24"/>
      <c r="T560" s="24"/>
      <c r="X560" s="24"/>
      <c r="Y560" s="24"/>
      <c r="AC560" s="24"/>
      <c r="AD560" s="24"/>
      <c r="AH560" s="24"/>
      <c r="AI560" s="24"/>
    </row>
    <row r="561" ht="14.25" customHeight="1">
      <c r="D561" s="24"/>
      <c r="E561" s="24"/>
      <c r="I561" s="24"/>
      <c r="J561" s="24"/>
      <c r="N561" s="24"/>
      <c r="O561" s="24"/>
      <c r="S561" s="24"/>
      <c r="T561" s="24"/>
      <c r="X561" s="24"/>
      <c r="Y561" s="24"/>
      <c r="AC561" s="24"/>
      <c r="AD561" s="24"/>
      <c r="AH561" s="24"/>
      <c r="AI561" s="24"/>
    </row>
    <row r="562" ht="14.25" customHeight="1">
      <c r="D562" s="24"/>
      <c r="E562" s="24"/>
      <c r="I562" s="24"/>
      <c r="J562" s="24"/>
      <c r="N562" s="24"/>
      <c r="O562" s="24"/>
      <c r="S562" s="24"/>
      <c r="T562" s="24"/>
      <c r="X562" s="24"/>
      <c r="Y562" s="24"/>
      <c r="AC562" s="24"/>
      <c r="AD562" s="24"/>
      <c r="AH562" s="24"/>
      <c r="AI562" s="24"/>
    </row>
    <row r="563" ht="14.25" customHeight="1">
      <c r="D563" s="24"/>
      <c r="E563" s="24"/>
      <c r="I563" s="24"/>
      <c r="J563" s="24"/>
      <c r="N563" s="24"/>
      <c r="O563" s="24"/>
      <c r="S563" s="24"/>
      <c r="T563" s="24"/>
      <c r="X563" s="24"/>
      <c r="Y563" s="24"/>
      <c r="AC563" s="24"/>
      <c r="AD563" s="24"/>
      <c r="AH563" s="24"/>
      <c r="AI563" s="24"/>
    </row>
    <row r="564" ht="14.25" customHeight="1">
      <c r="D564" s="24"/>
      <c r="E564" s="24"/>
      <c r="I564" s="24"/>
      <c r="J564" s="24"/>
      <c r="N564" s="24"/>
      <c r="O564" s="24"/>
      <c r="S564" s="24"/>
      <c r="T564" s="24"/>
      <c r="X564" s="24"/>
      <c r="Y564" s="24"/>
      <c r="AC564" s="24"/>
      <c r="AD564" s="24"/>
      <c r="AH564" s="24"/>
      <c r="AI564" s="24"/>
    </row>
    <row r="565" ht="14.25" customHeight="1">
      <c r="D565" s="24"/>
      <c r="E565" s="24"/>
      <c r="I565" s="24"/>
      <c r="J565" s="24"/>
      <c r="N565" s="24"/>
      <c r="O565" s="24"/>
      <c r="S565" s="24"/>
      <c r="T565" s="24"/>
      <c r="X565" s="24"/>
      <c r="Y565" s="24"/>
      <c r="AC565" s="24"/>
      <c r="AD565" s="24"/>
      <c r="AH565" s="24"/>
      <c r="AI565" s="24"/>
    </row>
    <row r="566" ht="14.25" customHeight="1">
      <c r="D566" s="24"/>
      <c r="E566" s="24"/>
      <c r="I566" s="24"/>
      <c r="J566" s="24"/>
      <c r="N566" s="24"/>
      <c r="O566" s="24"/>
      <c r="S566" s="24"/>
      <c r="T566" s="24"/>
      <c r="X566" s="24"/>
      <c r="Y566" s="24"/>
      <c r="AC566" s="24"/>
      <c r="AD566" s="24"/>
      <c r="AH566" s="24"/>
      <c r="AI566" s="24"/>
    </row>
    <row r="567" ht="14.25" customHeight="1">
      <c r="D567" s="24"/>
      <c r="E567" s="24"/>
      <c r="I567" s="24"/>
      <c r="J567" s="24"/>
      <c r="N567" s="24"/>
      <c r="O567" s="24"/>
      <c r="S567" s="24"/>
      <c r="T567" s="24"/>
      <c r="X567" s="24"/>
      <c r="Y567" s="24"/>
      <c r="AC567" s="24"/>
      <c r="AD567" s="24"/>
      <c r="AH567" s="24"/>
      <c r="AI567" s="24"/>
    </row>
    <row r="568" ht="14.25" customHeight="1">
      <c r="D568" s="24"/>
      <c r="E568" s="24"/>
      <c r="I568" s="24"/>
      <c r="J568" s="24"/>
      <c r="N568" s="24"/>
      <c r="O568" s="24"/>
      <c r="S568" s="24"/>
      <c r="T568" s="24"/>
      <c r="X568" s="24"/>
      <c r="Y568" s="24"/>
      <c r="AC568" s="24"/>
      <c r="AD568" s="24"/>
      <c r="AH568" s="24"/>
      <c r="AI568" s="24"/>
    </row>
    <row r="569" ht="14.25" customHeight="1">
      <c r="D569" s="24"/>
      <c r="E569" s="24"/>
      <c r="I569" s="24"/>
      <c r="J569" s="24"/>
      <c r="N569" s="24"/>
      <c r="O569" s="24"/>
      <c r="S569" s="24"/>
      <c r="T569" s="24"/>
      <c r="X569" s="24"/>
      <c r="Y569" s="24"/>
      <c r="AC569" s="24"/>
      <c r="AD569" s="24"/>
      <c r="AH569" s="24"/>
      <c r="AI569" s="24"/>
    </row>
    <row r="570" ht="14.25" customHeight="1">
      <c r="D570" s="24"/>
      <c r="E570" s="24"/>
      <c r="I570" s="24"/>
      <c r="J570" s="24"/>
      <c r="N570" s="24"/>
      <c r="O570" s="24"/>
      <c r="S570" s="24"/>
      <c r="T570" s="24"/>
      <c r="X570" s="24"/>
      <c r="Y570" s="24"/>
      <c r="AC570" s="24"/>
      <c r="AD570" s="24"/>
      <c r="AH570" s="24"/>
      <c r="AI570" s="24"/>
    </row>
    <row r="571" ht="14.25" customHeight="1">
      <c r="D571" s="24"/>
      <c r="E571" s="24"/>
      <c r="I571" s="24"/>
      <c r="J571" s="24"/>
      <c r="N571" s="24"/>
      <c r="O571" s="24"/>
      <c r="S571" s="24"/>
      <c r="T571" s="24"/>
      <c r="X571" s="24"/>
      <c r="Y571" s="24"/>
      <c r="AC571" s="24"/>
      <c r="AD571" s="24"/>
      <c r="AH571" s="24"/>
      <c r="AI571" s="24"/>
    </row>
    <row r="572" ht="14.25" customHeight="1">
      <c r="D572" s="24"/>
      <c r="E572" s="24"/>
      <c r="I572" s="24"/>
      <c r="J572" s="24"/>
      <c r="N572" s="24"/>
      <c r="O572" s="24"/>
      <c r="S572" s="24"/>
      <c r="T572" s="24"/>
      <c r="X572" s="24"/>
      <c r="Y572" s="24"/>
      <c r="AC572" s="24"/>
      <c r="AD572" s="24"/>
      <c r="AH572" s="24"/>
      <c r="AI572" s="24"/>
    </row>
    <row r="573" ht="14.25" customHeight="1">
      <c r="D573" s="24"/>
      <c r="E573" s="24"/>
      <c r="I573" s="24"/>
      <c r="J573" s="24"/>
      <c r="N573" s="24"/>
      <c r="O573" s="24"/>
      <c r="S573" s="24"/>
      <c r="T573" s="24"/>
      <c r="X573" s="24"/>
      <c r="Y573" s="24"/>
      <c r="AC573" s="24"/>
      <c r="AD573" s="24"/>
      <c r="AH573" s="24"/>
      <c r="AI573" s="24"/>
    </row>
    <row r="574" ht="14.25" customHeight="1">
      <c r="D574" s="24"/>
      <c r="E574" s="24"/>
      <c r="I574" s="24"/>
      <c r="J574" s="24"/>
      <c r="N574" s="24"/>
      <c r="O574" s="24"/>
      <c r="S574" s="24"/>
      <c r="T574" s="24"/>
      <c r="X574" s="24"/>
      <c r="Y574" s="24"/>
      <c r="AC574" s="24"/>
      <c r="AD574" s="24"/>
      <c r="AH574" s="24"/>
      <c r="AI574" s="24"/>
    </row>
    <row r="575" ht="14.25" customHeight="1">
      <c r="D575" s="24"/>
      <c r="E575" s="24"/>
      <c r="I575" s="24"/>
      <c r="J575" s="24"/>
      <c r="N575" s="24"/>
      <c r="O575" s="24"/>
      <c r="S575" s="24"/>
      <c r="T575" s="24"/>
      <c r="X575" s="24"/>
      <c r="Y575" s="24"/>
      <c r="AC575" s="24"/>
      <c r="AD575" s="24"/>
      <c r="AH575" s="24"/>
      <c r="AI575" s="24"/>
    </row>
    <row r="576" ht="14.25" customHeight="1">
      <c r="D576" s="24"/>
      <c r="E576" s="24"/>
      <c r="I576" s="24"/>
      <c r="J576" s="24"/>
      <c r="N576" s="24"/>
      <c r="O576" s="24"/>
      <c r="S576" s="24"/>
      <c r="T576" s="24"/>
      <c r="X576" s="24"/>
      <c r="Y576" s="24"/>
      <c r="AC576" s="24"/>
      <c r="AD576" s="24"/>
      <c r="AH576" s="24"/>
      <c r="AI576" s="24"/>
    </row>
    <row r="577" ht="14.25" customHeight="1">
      <c r="D577" s="24"/>
      <c r="E577" s="24"/>
      <c r="I577" s="24"/>
      <c r="J577" s="24"/>
      <c r="N577" s="24"/>
      <c r="O577" s="24"/>
      <c r="S577" s="24"/>
      <c r="T577" s="24"/>
      <c r="X577" s="24"/>
      <c r="Y577" s="24"/>
      <c r="AC577" s="24"/>
      <c r="AD577" s="24"/>
      <c r="AH577" s="24"/>
      <c r="AI577" s="24"/>
    </row>
    <row r="578" ht="14.25" customHeight="1">
      <c r="D578" s="24"/>
      <c r="E578" s="24"/>
      <c r="I578" s="24"/>
      <c r="J578" s="24"/>
      <c r="N578" s="24"/>
      <c r="O578" s="24"/>
      <c r="S578" s="24"/>
      <c r="T578" s="24"/>
      <c r="X578" s="24"/>
      <c r="Y578" s="24"/>
      <c r="AC578" s="24"/>
      <c r="AD578" s="24"/>
      <c r="AH578" s="24"/>
      <c r="AI578" s="24"/>
    </row>
    <row r="579" ht="14.25" customHeight="1">
      <c r="D579" s="24"/>
      <c r="E579" s="24"/>
      <c r="I579" s="24"/>
      <c r="J579" s="24"/>
      <c r="N579" s="24"/>
      <c r="O579" s="24"/>
      <c r="S579" s="24"/>
      <c r="T579" s="24"/>
      <c r="X579" s="24"/>
      <c r="Y579" s="24"/>
      <c r="AC579" s="24"/>
      <c r="AD579" s="24"/>
      <c r="AH579" s="24"/>
      <c r="AI579" s="24"/>
    </row>
    <row r="580" ht="14.25" customHeight="1">
      <c r="D580" s="24"/>
      <c r="E580" s="24"/>
      <c r="I580" s="24"/>
      <c r="J580" s="24"/>
      <c r="N580" s="24"/>
      <c r="O580" s="24"/>
      <c r="S580" s="24"/>
      <c r="T580" s="24"/>
      <c r="X580" s="24"/>
      <c r="Y580" s="24"/>
      <c r="AC580" s="24"/>
      <c r="AD580" s="24"/>
      <c r="AH580" s="24"/>
      <c r="AI580" s="24"/>
    </row>
    <row r="581" ht="14.25" customHeight="1">
      <c r="D581" s="24"/>
      <c r="E581" s="24"/>
      <c r="I581" s="24"/>
      <c r="J581" s="24"/>
      <c r="N581" s="24"/>
      <c r="O581" s="24"/>
      <c r="S581" s="24"/>
      <c r="T581" s="24"/>
      <c r="X581" s="24"/>
      <c r="Y581" s="24"/>
      <c r="AC581" s="24"/>
      <c r="AD581" s="24"/>
      <c r="AH581" s="24"/>
      <c r="AI581" s="24"/>
    </row>
    <row r="582" ht="14.25" customHeight="1">
      <c r="D582" s="24"/>
      <c r="E582" s="24"/>
      <c r="I582" s="24"/>
      <c r="J582" s="24"/>
      <c r="N582" s="24"/>
      <c r="O582" s="24"/>
      <c r="S582" s="24"/>
      <c r="T582" s="24"/>
      <c r="X582" s="24"/>
      <c r="Y582" s="24"/>
      <c r="AC582" s="24"/>
      <c r="AD582" s="24"/>
      <c r="AH582" s="24"/>
      <c r="AI582" s="24"/>
    </row>
    <row r="583" ht="14.25" customHeight="1">
      <c r="D583" s="24"/>
      <c r="E583" s="24"/>
      <c r="I583" s="24"/>
      <c r="J583" s="24"/>
      <c r="N583" s="24"/>
      <c r="O583" s="24"/>
      <c r="S583" s="24"/>
      <c r="T583" s="24"/>
      <c r="X583" s="24"/>
      <c r="Y583" s="24"/>
      <c r="AC583" s="24"/>
      <c r="AD583" s="24"/>
      <c r="AH583" s="24"/>
      <c r="AI583" s="24"/>
    </row>
    <row r="584" ht="14.25" customHeight="1">
      <c r="D584" s="24"/>
      <c r="E584" s="24"/>
      <c r="I584" s="24"/>
      <c r="J584" s="24"/>
      <c r="N584" s="24"/>
      <c r="O584" s="24"/>
      <c r="S584" s="24"/>
      <c r="T584" s="24"/>
      <c r="X584" s="24"/>
      <c r="Y584" s="24"/>
      <c r="AC584" s="24"/>
      <c r="AD584" s="24"/>
      <c r="AH584" s="24"/>
      <c r="AI584" s="24"/>
    </row>
    <row r="585" ht="14.25" customHeight="1">
      <c r="D585" s="24"/>
      <c r="E585" s="24"/>
      <c r="I585" s="24"/>
      <c r="J585" s="24"/>
      <c r="N585" s="24"/>
      <c r="O585" s="24"/>
      <c r="S585" s="24"/>
      <c r="T585" s="24"/>
      <c r="X585" s="24"/>
      <c r="Y585" s="24"/>
      <c r="AC585" s="24"/>
      <c r="AD585" s="24"/>
      <c r="AH585" s="24"/>
      <c r="AI585" s="24"/>
    </row>
    <row r="586" ht="14.25" customHeight="1">
      <c r="D586" s="24"/>
      <c r="E586" s="24"/>
      <c r="I586" s="24"/>
      <c r="J586" s="24"/>
      <c r="N586" s="24"/>
      <c r="O586" s="24"/>
      <c r="S586" s="24"/>
      <c r="T586" s="24"/>
      <c r="X586" s="24"/>
      <c r="Y586" s="24"/>
      <c r="AC586" s="24"/>
      <c r="AD586" s="24"/>
      <c r="AH586" s="24"/>
      <c r="AI586" s="24"/>
    </row>
    <row r="587" ht="14.25" customHeight="1">
      <c r="D587" s="24"/>
      <c r="E587" s="24"/>
      <c r="I587" s="24"/>
      <c r="J587" s="24"/>
      <c r="N587" s="24"/>
      <c r="O587" s="24"/>
      <c r="S587" s="24"/>
      <c r="T587" s="24"/>
      <c r="X587" s="24"/>
      <c r="Y587" s="24"/>
      <c r="AC587" s="24"/>
      <c r="AD587" s="24"/>
      <c r="AH587" s="24"/>
      <c r="AI587" s="24"/>
    </row>
    <row r="588" ht="14.25" customHeight="1">
      <c r="D588" s="24"/>
      <c r="E588" s="24"/>
      <c r="I588" s="24"/>
      <c r="J588" s="24"/>
      <c r="N588" s="24"/>
      <c r="O588" s="24"/>
      <c r="S588" s="24"/>
      <c r="T588" s="24"/>
      <c r="X588" s="24"/>
      <c r="Y588" s="24"/>
      <c r="AC588" s="24"/>
      <c r="AD588" s="24"/>
      <c r="AH588" s="24"/>
      <c r="AI588" s="24"/>
    </row>
    <row r="589" ht="14.25" customHeight="1">
      <c r="D589" s="24"/>
      <c r="E589" s="24"/>
      <c r="I589" s="24"/>
      <c r="J589" s="24"/>
      <c r="N589" s="24"/>
      <c r="O589" s="24"/>
      <c r="S589" s="24"/>
      <c r="T589" s="24"/>
      <c r="X589" s="24"/>
      <c r="Y589" s="24"/>
      <c r="AC589" s="24"/>
      <c r="AD589" s="24"/>
      <c r="AH589" s="24"/>
      <c r="AI589" s="24"/>
    </row>
    <row r="590" ht="14.25" customHeight="1">
      <c r="D590" s="24"/>
      <c r="E590" s="24"/>
      <c r="I590" s="24"/>
      <c r="J590" s="24"/>
      <c r="N590" s="24"/>
      <c r="O590" s="24"/>
      <c r="S590" s="24"/>
      <c r="T590" s="24"/>
      <c r="X590" s="24"/>
      <c r="Y590" s="24"/>
      <c r="AC590" s="24"/>
      <c r="AD590" s="24"/>
      <c r="AH590" s="24"/>
      <c r="AI590" s="24"/>
    </row>
    <row r="591" ht="14.25" customHeight="1">
      <c r="D591" s="24"/>
      <c r="E591" s="24"/>
      <c r="I591" s="24"/>
      <c r="J591" s="24"/>
      <c r="N591" s="24"/>
      <c r="O591" s="24"/>
      <c r="S591" s="24"/>
      <c r="T591" s="24"/>
      <c r="X591" s="24"/>
      <c r="Y591" s="24"/>
      <c r="AC591" s="24"/>
      <c r="AD591" s="24"/>
      <c r="AH591" s="24"/>
      <c r="AI591" s="24"/>
    </row>
    <row r="592" ht="14.25" customHeight="1">
      <c r="D592" s="24"/>
      <c r="E592" s="24"/>
      <c r="I592" s="24"/>
      <c r="J592" s="24"/>
      <c r="N592" s="24"/>
      <c r="O592" s="24"/>
      <c r="S592" s="24"/>
      <c r="T592" s="24"/>
      <c r="X592" s="24"/>
      <c r="Y592" s="24"/>
      <c r="AC592" s="24"/>
      <c r="AD592" s="24"/>
      <c r="AH592" s="24"/>
      <c r="AI592" s="24"/>
    </row>
    <row r="593" ht="14.25" customHeight="1">
      <c r="D593" s="24"/>
      <c r="E593" s="24"/>
      <c r="I593" s="24"/>
      <c r="J593" s="24"/>
      <c r="N593" s="24"/>
      <c r="O593" s="24"/>
      <c r="S593" s="24"/>
      <c r="T593" s="24"/>
      <c r="X593" s="24"/>
      <c r="Y593" s="24"/>
      <c r="AC593" s="24"/>
      <c r="AD593" s="24"/>
      <c r="AH593" s="24"/>
      <c r="AI593" s="24"/>
    </row>
    <row r="594" ht="14.25" customHeight="1">
      <c r="D594" s="24"/>
      <c r="E594" s="24"/>
      <c r="I594" s="24"/>
      <c r="J594" s="24"/>
      <c r="N594" s="24"/>
      <c r="O594" s="24"/>
      <c r="S594" s="24"/>
      <c r="T594" s="24"/>
      <c r="X594" s="24"/>
      <c r="Y594" s="24"/>
      <c r="AC594" s="24"/>
      <c r="AD594" s="24"/>
      <c r="AH594" s="24"/>
      <c r="AI594" s="24"/>
    </row>
    <row r="595" ht="14.25" customHeight="1">
      <c r="D595" s="24"/>
      <c r="E595" s="24"/>
      <c r="I595" s="24"/>
      <c r="J595" s="24"/>
      <c r="N595" s="24"/>
      <c r="O595" s="24"/>
      <c r="S595" s="24"/>
      <c r="T595" s="24"/>
      <c r="X595" s="24"/>
      <c r="Y595" s="24"/>
      <c r="AC595" s="24"/>
      <c r="AD595" s="24"/>
      <c r="AH595" s="24"/>
      <c r="AI595" s="24"/>
    </row>
    <row r="596" ht="14.25" customHeight="1">
      <c r="D596" s="24"/>
      <c r="E596" s="24"/>
      <c r="I596" s="24"/>
      <c r="J596" s="24"/>
      <c r="N596" s="24"/>
      <c r="O596" s="24"/>
      <c r="S596" s="24"/>
      <c r="T596" s="24"/>
      <c r="X596" s="24"/>
      <c r="Y596" s="24"/>
      <c r="AC596" s="24"/>
      <c r="AD596" s="24"/>
      <c r="AH596" s="24"/>
      <c r="AI596" s="24"/>
    </row>
    <row r="597" ht="14.25" customHeight="1">
      <c r="D597" s="24"/>
      <c r="E597" s="24"/>
      <c r="I597" s="24"/>
      <c r="J597" s="24"/>
      <c r="N597" s="24"/>
      <c r="O597" s="24"/>
      <c r="S597" s="24"/>
      <c r="T597" s="24"/>
      <c r="X597" s="24"/>
      <c r="Y597" s="24"/>
      <c r="AC597" s="24"/>
      <c r="AD597" s="24"/>
      <c r="AH597" s="24"/>
      <c r="AI597" s="24"/>
    </row>
    <row r="598" ht="14.25" customHeight="1">
      <c r="D598" s="24"/>
      <c r="E598" s="24"/>
      <c r="I598" s="24"/>
      <c r="J598" s="24"/>
      <c r="N598" s="24"/>
      <c r="O598" s="24"/>
      <c r="S598" s="24"/>
      <c r="T598" s="24"/>
      <c r="X598" s="24"/>
      <c r="Y598" s="24"/>
      <c r="AC598" s="24"/>
      <c r="AD598" s="24"/>
      <c r="AH598" s="24"/>
      <c r="AI598" s="24"/>
    </row>
    <row r="599" ht="14.25" customHeight="1">
      <c r="D599" s="24"/>
      <c r="E599" s="24"/>
      <c r="I599" s="24"/>
      <c r="J599" s="24"/>
      <c r="N599" s="24"/>
      <c r="O599" s="24"/>
      <c r="S599" s="24"/>
      <c r="T599" s="24"/>
      <c r="X599" s="24"/>
      <c r="Y599" s="24"/>
      <c r="AC599" s="24"/>
      <c r="AD599" s="24"/>
      <c r="AH599" s="24"/>
      <c r="AI599" s="24"/>
    </row>
    <row r="600" ht="14.25" customHeight="1">
      <c r="D600" s="24"/>
      <c r="E600" s="24"/>
      <c r="I600" s="24"/>
      <c r="J600" s="24"/>
      <c r="N600" s="24"/>
      <c r="O600" s="24"/>
      <c r="S600" s="24"/>
      <c r="T600" s="24"/>
      <c r="X600" s="24"/>
      <c r="Y600" s="24"/>
      <c r="AC600" s="24"/>
      <c r="AD600" s="24"/>
      <c r="AH600" s="24"/>
      <c r="AI600" s="24"/>
    </row>
    <row r="601" ht="14.25" customHeight="1">
      <c r="D601" s="24"/>
      <c r="E601" s="24"/>
      <c r="I601" s="24"/>
      <c r="J601" s="24"/>
      <c r="N601" s="24"/>
      <c r="O601" s="24"/>
      <c r="S601" s="24"/>
      <c r="T601" s="24"/>
      <c r="X601" s="24"/>
      <c r="Y601" s="24"/>
      <c r="AC601" s="24"/>
      <c r="AD601" s="24"/>
      <c r="AH601" s="24"/>
      <c r="AI601" s="24"/>
    </row>
    <row r="602" ht="14.25" customHeight="1">
      <c r="D602" s="24"/>
      <c r="E602" s="24"/>
      <c r="I602" s="24"/>
      <c r="J602" s="24"/>
      <c r="N602" s="24"/>
      <c r="O602" s="24"/>
      <c r="S602" s="24"/>
      <c r="T602" s="24"/>
      <c r="X602" s="24"/>
      <c r="Y602" s="24"/>
      <c r="AC602" s="24"/>
      <c r="AD602" s="24"/>
      <c r="AH602" s="24"/>
      <c r="AI602" s="24"/>
    </row>
    <row r="603" ht="14.25" customHeight="1">
      <c r="D603" s="24"/>
      <c r="E603" s="24"/>
      <c r="I603" s="24"/>
      <c r="J603" s="24"/>
      <c r="N603" s="24"/>
      <c r="O603" s="24"/>
      <c r="S603" s="24"/>
      <c r="T603" s="24"/>
      <c r="X603" s="24"/>
      <c r="Y603" s="24"/>
      <c r="AC603" s="24"/>
      <c r="AD603" s="24"/>
      <c r="AH603" s="24"/>
      <c r="AI603" s="24"/>
    </row>
    <row r="604" ht="14.25" customHeight="1">
      <c r="D604" s="24"/>
      <c r="E604" s="24"/>
      <c r="I604" s="24"/>
      <c r="J604" s="24"/>
      <c r="N604" s="24"/>
      <c r="O604" s="24"/>
      <c r="S604" s="24"/>
      <c r="T604" s="24"/>
      <c r="X604" s="24"/>
      <c r="Y604" s="24"/>
      <c r="AC604" s="24"/>
      <c r="AD604" s="24"/>
      <c r="AH604" s="24"/>
      <c r="AI604" s="24"/>
    </row>
    <row r="605" ht="14.25" customHeight="1">
      <c r="D605" s="24"/>
      <c r="E605" s="24"/>
      <c r="I605" s="24"/>
      <c r="J605" s="24"/>
      <c r="N605" s="24"/>
      <c r="O605" s="24"/>
      <c r="S605" s="24"/>
      <c r="T605" s="24"/>
      <c r="X605" s="24"/>
      <c r="Y605" s="24"/>
      <c r="AC605" s="24"/>
      <c r="AD605" s="24"/>
      <c r="AH605" s="24"/>
      <c r="AI605" s="24"/>
    </row>
    <row r="606" ht="14.25" customHeight="1">
      <c r="D606" s="24"/>
      <c r="E606" s="24"/>
      <c r="I606" s="24"/>
      <c r="J606" s="24"/>
      <c r="N606" s="24"/>
      <c r="O606" s="24"/>
      <c r="S606" s="24"/>
      <c r="T606" s="24"/>
      <c r="X606" s="24"/>
      <c r="Y606" s="24"/>
      <c r="AC606" s="24"/>
      <c r="AD606" s="24"/>
      <c r="AH606" s="24"/>
      <c r="AI606" s="24"/>
    </row>
    <row r="607" ht="14.25" customHeight="1">
      <c r="D607" s="24"/>
      <c r="E607" s="24"/>
      <c r="I607" s="24"/>
      <c r="J607" s="24"/>
      <c r="N607" s="24"/>
      <c r="O607" s="24"/>
      <c r="S607" s="24"/>
      <c r="T607" s="24"/>
      <c r="X607" s="24"/>
      <c r="Y607" s="24"/>
      <c r="AC607" s="24"/>
      <c r="AD607" s="24"/>
      <c r="AH607" s="24"/>
      <c r="AI607" s="24"/>
    </row>
    <row r="608" ht="14.25" customHeight="1">
      <c r="D608" s="24"/>
      <c r="E608" s="24"/>
      <c r="I608" s="24"/>
      <c r="J608" s="24"/>
      <c r="N608" s="24"/>
      <c r="O608" s="24"/>
      <c r="S608" s="24"/>
      <c r="T608" s="24"/>
      <c r="X608" s="24"/>
      <c r="Y608" s="24"/>
      <c r="AC608" s="24"/>
      <c r="AD608" s="24"/>
      <c r="AH608" s="24"/>
      <c r="AI608" s="24"/>
    </row>
    <row r="609" ht="14.25" customHeight="1">
      <c r="D609" s="24"/>
      <c r="E609" s="24"/>
      <c r="I609" s="24"/>
      <c r="J609" s="24"/>
      <c r="N609" s="24"/>
      <c r="O609" s="24"/>
      <c r="S609" s="24"/>
      <c r="T609" s="24"/>
      <c r="X609" s="24"/>
      <c r="Y609" s="24"/>
      <c r="AC609" s="24"/>
      <c r="AD609" s="24"/>
      <c r="AH609" s="24"/>
      <c r="AI609" s="24"/>
    </row>
    <row r="610" ht="14.25" customHeight="1">
      <c r="D610" s="24"/>
      <c r="E610" s="24"/>
      <c r="I610" s="24"/>
      <c r="J610" s="24"/>
      <c r="N610" s="24"/>
      <c r="O610" s="24"/>
      <c r="S610" s="24"/>
      <c r="T610" s="24"/>
      <c r="X610" s="24"/>
      <c r="Y610" s="24"/>
      <c r="AC610" s="24"/>
      <c r="AD610" s="24"/>
      <c r="AH610" s="24"/>
      <c r="AI610" s="24"/>
    </row>
    <row r="611" ht="14.25" customHeight="1">
      <c r="D611" s="24"/>
      <c r="E611" s="24"/>
      <c r="I611" s="24"/>
      <c r="J611" s="24"/>
      <c r="N611" s="24"/>
      <c r="O611" s="24"/>
      <c r="S611" s="24"/>
      <c r="T611" s="24"/>
      <c r="X611" s="24"/>
      <c r="Y611" s="24"/>
      <c r="AC611" s="24"/>
      <c r="AD611" s="24"/>
      <c r="AH611" s="24"/>
      <c r="AI611" s="24"/>
    </row>
    <row r="612" ht="14.25" customHeight="1">
      <c r="D612" s="24"/>
      <c r="E612" s="24"/>
      <c r="I612" s="24"/>
      <c r="J612" s="24"/>
      <c r="N612" s="24"/>
      <c r="O612" s="24"/>
      <c r="S612" s="24"/>
      <c r="T612" s="24"/>
      <c r="X612" s="24"/>
      <c r="Y612" s="24"/>
      <c r="AC612" s="24"/>
      <c r="AD612" s="24"/>
      <c r="AH612" s="24"/>
      <c r="AI612" s="24"/>
    </row>
    <row r="613" ht="14.25" customHeight="1">
      <c r="D613" s="24"/>
      <c r="E613" s="24"/>
      <c r="I613" s="24"/>
      <c r="J613" s="24"/>
      <c r="N613" s="24"/>
      <c r="O613" s="24"/>
      <c r="S613" s="24"/>
      <c r="T613" s="24"/>
      <c r="X613" s="24"/>
      <c r="Y613" s="24"/>
      <c r="AC613" s="24"/>
      <c r="AD613" s="24"/>
      <c r="AH613" s="24"/>
      <c r="AI613" s="24"/>
    </row>
    <row r="614" ht="14.25" customHeight="1">
      <c r="D614" s="24"/>
      <c r="E614" s="24"/>
      <c r="I614" s="24"/>
      <c r="J614" s="24"/>
      <c r="N614" s="24"/>
      <c r="O614" s="24"/>
      <c r="S614" s="24"/>
      <c r="T614" s="24"/>
      <c r="X614" s="24"/>
      <c r="Y614" s="24"/>
      <c r="AC614" s="24"/>
      <c r="AD614" s="24"/>
      <c r="AH614" s="24"/>
      <c r="AI614" s="24"/>
    </row>
    <row r="615" ht="14.25" customHeight="1">
      <c r="D615" s="24"/>
      <c r="E615" s="24"/>
      <c r="I615" s="24"/>
      <c r="J615" s="24"/>
      <c r="N615" s="24"/>
      <c r="O615" s="24"/>
      <c r="S615" s="24"/>
      <c r="T615" s="24"/>
      <c r="X615" s="24"/>
      <c r="Y615" s="24"/>
      <c r="AC615" s="24"/>
      <c r="AD615" s="24"/>
      <c r="AH615" s="24"/>
      <c r="AI615" s="24"/>
    </row>
    <row r="616" ht="14.25" customHeight="1">
      <c r="D616" s="24"/>
      <c r="E616" s="24"/>
      <c r="I616" s="24"/>
      <c r="J616" s="24"/>
      <c r="N616" s="24"/>
      <c r="O616" s="24"/>
      <c r="S616" s="24"/>
      <c r="T616" s="24"/>
      <c r="X616" s="24"/>
      <c r="Y616" s="24"/>
      <c r="AC616" s="24"/>
      <c r="AD616" s="24"/>
      <c r="AH616" s="24"/>
      <c r="AI616" s="24"/>
    </row>
    <row r="617" ht="14.25" customHeight="1">
      <c r="D617" s="24"/>
      <c r="E617" s="24"/>
      <c r="I617" s="24"/>
      <c r="J617" s="24"/>
      <c r="N617" s="24"/>
      <c r="O617" s="24"/>
      <c r="S617" s="24"/>
      <c r="T617" s="24"/>
      <c r="X617" s="24"/>
      <c r="Y617" s="24"/>
      <c r="AC617" s="24"/>
      <c r="AD617" s="24"/>
      <c r="AH617" s="24"/>
      <c r="AI617" s="24"/>
    </row>
    <row r="618" ht="14.25" customHeight="1">
      <c r="D618" s="24"/>
      <c r="E618" s="24"/>
      <c r="I618" s="24"/>
      <c r="J618" s="24"/>
      <c r="N618" s="24"/>
      <c r="O618" s="24"/>
      <c r="S618" s="24"/>
      <c r="T618" s="24"/>
      <c r="X618" s="24"/>
      <c r="Y618" s="24"/>
      <c r="AC618" s="24"/>
      <c r="AD618" s="24"/>
      <c r="AH618" s="24"/>
      <c r="AI618" s="24"/>
    </row>
    <row r="619" ht="14.25" customHeight="1">
      <c r="D619" s="24"/>
      <c r="E619" s="24"/>
      <c r="I619" s="24"/>
      <c r="J619" s="24"/>
      <c r="N619" s="24"/>
      <c r="O619" s="24"/>
      <c r="S619" s="24"/>
      <c r="T619" s="24"/>
      <c r="X619" s="24"/>
      <c r="Y619" s="24"/>
      <c r="AC619" s="24"/>
      <c r="AD619" s="24"/>
      <c r="AH619" s="24"/>
      <c r="AI619" s="24"/>
    </row>
    <row r="620" ht="14.25" customHeight="1">
      <c r="D620" s="24"/>
      <c r="E620" s="24"/>
      <c r="I620" s="24"/>
      <c r="J620" s="24"/>
      <c r="N620" s="24"/>
      <c r="O620" s="24"/>
      <c r="S620" s="24"/>
      <c r="T620" s="24"/>
      <c r="X620" s="24"/>
      <c r="Y620" s="24"/>
      <c r="AC620" s="24"/>
      <c r="AD620" s="24"/>
      <c r="AH620" s="24"/>
      <c r="AI620" s="24"/>
    </row>
    <row r="621" ht="14.25" customHeight="1">
      <c r="D621" s="24"/>
      <c r="E621" s="24"/>
      <c r="I621" s="24"/>
      <c r="J621" s="24"/>
      <c r="N621" s="24"/>
      <c r="O621" s="24"/>
      <c r="S621" s="24"/>
      <c r="T621" s="24"/>
      <c r="X621" s="24"/>
      <c r="Y621" s="24"/>
      <c r="AC621" s="24"/>
      <c r="AD621" s="24"/>
      <c r="AH621" s="24"/>
      <c r="AI621" s="24"/>
    </row>
    <row r="622" ht="14.25" customHeight="1">
      <c r="D622" s="24"/>
      <c r="E622" s="24"/>
      <c r="I622" s="24"/>
      <c r="J622" s="24"/>
      <c r="N622" s="24"/>
      <c r="O622" s="24"/>
      <c r="S622" s="24"/>
      <c r="T622" s="24"/>
      <c r="X622" s="24"/>
      <c r="Y622" s="24"/>
      <c r="AC622" s="24"/>
      <c r="AD622" s="24"/>
      <c r="AH622" s="24"/>
      <c r="AI622" s="24"/>
    </row>
    <row r="623" ht="14.25" customHeight="1">
      <c r="D623" s="24"/>
      <c r="E623" s="24"/>
      <c r="I623" s="24"/>
      <c r="J623" s="24"/>
      <c r="N623" s="24"/>
      <c r="O623" s="24"/>
      <c r="S623" s="24"/>
      <c r="T623" s="24"/>
      <c r="X623" s="24"/>
      <c r="Y623" s="24"/>
      <c r="AC623" s="24"/>
      <c r="AD623" s="24"/>
      <c r="AH623" s="24"/>
      <c r="AI623" s="24"/>
    </row>
    <row r="624" ht="14.25" customHeight="1">
      <c r="D624" s="24"/>
      <c r="E624" s="24"/>
      <c r="I624" s="24"/>
      <c r="J624" s="24"/>
      <c r="N624" s="24"/>
      <c r="O624" s="24"/>
      <c r="S624" s="24"/>
      <c r="T624" s="24"/>
      <c r="X624" s="24"/>
      <c r="Y624" s="24"/>
      <c r="AC624" s="24"/>
      <c r="AD624" s="24"/>
      <c r="AH624" s="24"/>
      <c r="AI624" s="24"/>
    </row>
    <row r="625" ht="14.25" customHeight="1">
      <c r="D625" s="24"/>
      <c r="E625" s="24"/>
      <c r="I625" s="24"/>
      <c r="J625" s="24"/>
      <c r="N625" s="24"/>
      <c r="O625" s="24"/>
      <c r="S625" s="24"/>
      <c r="T625" s="24"/>
      <c r="X625" s="24"/>
      <c r="Y625" s="24"/>
      <c r="AC625" s="24"/>
      <c r="AD625" s="24"/>
      <c r="AH625" s="24"/>
      <c r="AI625" s="24"/>
    </row>
    <row r="626" ht="14.25" customHeight="1">
      <c r="D626" s="24"/>
      <c r="E626" s="24"/>
      <c r="I626" s="24"/>
      <c r="J626" s="24"/>
      <c r="N626" s="24"/>
      <c r="O626" s="24"/>
      <c r="S626" s="24"/>
      <c r="T626" s="24"/>
      <c r="X626" s="24"/>
      <c r="Y626" s="24"/>
      <c r="AC626" s="24"/>
      <c r="AD626" s="24"/>
      <c r="AH626" s="24"/>
      <c r="AI626" s="24"/>
    </row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B81"/>
    <hyperlink r:id="rId2" ref="B172"/>
  </hyperlinks>
  <printOptions/>
  <pageMargins bottom="0.75" footer="0.0" header="0.0" left="0.7" right="0.7" top="0.75"/>
  <pageSetup orientation="landscape"/>
  <drawing r:id="rId3"/>
</worksheet>
</file>